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Ex1.xml" ContentType="application/vnd.ms-office.chartex+xml"/>
  <Override PartName="/xl/charts/style30.xml" ContentType="application/vnd.ms-office.chartstyle+xml"/>
  <Override PartName="/xl/charts/colors30.xml" ContentType="application/vnd.ms-office.chartcolorstyle+xml"/>
  <Override PartName="/xl/charts/chartEx2.xml" ContentType="application/vnd.ms-office.chartex+xml"/>
  <Override PartName="/xl/charts/style31.xml" ContentType="application/vnd.ms-office.chartstyle+xml"/>
  <Override PartName="/xl/charts/colors31.xml" ContentType="application/vnd.ms-office.chartcolorstyle+xml"/>
  <Override PartName="/xl/charts/chart30.xml" ContentType="application/vnd.openxmlformats-officedocument.drawingml.chart+xml"/>
  <Override PartName="/xl/charts/style32.xml" ContentType="application/vnd.ms-office.chartstyle+xml"/>
  <Override PartName="/xl/charts/colors32.xml" ContentType="application/vnd.ms-office.chartcolorstyle+xml"/>
  <Override PartName="/xl/charts/chart31.xml" ContentType="application/vnd.openxmlformats-officedocument.drawingml.chart+xml"/>
  <Override PartName="/xl/charts/style33.xml" ContentType="application/vnd.ms-office.chartstyle+xml"/>
  <Override PartName="/xl/charts/colors33.xml" ContentType="application/vnd.ms-office.chartcolorstyle+xml"/>
  <Override PartName="/xl/charts/chart32.xml" ContentType="application/vnd.openxmlformats-officedocument.drawingml.chart+xml"/>
  <Override PartName="/xl/charts/style34.xml" ContentType="application/vnd.ms-office.chartstyle+xml"/>
  <Override PartName="/xl/charts/colors34.xml" ContentType="application/vnd.ms-office.chartcolorstyle+xml"/>
  <Override PartName="/xl/charts/chart33.xml" ContentType="application/vnd.openxmlformats-officedocument.drawingml.chart+xml"/>
  <Override PartName="/xl/charts/style35.xml" ContentType="application/vnd.ms-office.chartstyle+xml"/>
  <Override PartName="/xl/charts/colors35.xml" ContentType="application/vnd.ms-office.chartcolorstyle+xml"/>
  <Override PartName="/xl/charts/chart34.xml" ContentType="application/vnd.openxmlformats-officedocument.drawingml.chart+xml"/>
  <Override PartName="/xl/charts/style36.xml" ContentType="application/vnd.ms-office.chartstyle+xml"/>
  <Override PartName="/xl/charts/colors36.xml" ContentType="application/vnd.ms-office.chartcolorstyle+xml"/>
  <Override PartName="/xl/charts/chart35.xml" ContentType="application/vnd.openxmlformats-officedocument.drawingml.chart+xml"/>
  <Override PartName="/xl/charts/style37.xml" ContentType="application/vnd.ms-office.chartstyle+xml"/>
  <Override PartName="/xl/charts/colors37.xml" ContentType="application/vnd.ms-office.chartcolorstyle+xml"/>
  <Override PartName="/xl/charts/chartEx3.xml" ContentType="application/vnd.ms-office.chartex+xml"/>
  <Override PartName="/xl/charts/style38.xml" ContentType="application/vnd.ms-office.chartstyle+xml"/>
  <Override PartName="/xl/charts/colors38.xml" ContentType="application/vnd.ms-office.chartcolorstyle+xml"/>
  <Override PartName="/xl/charts/chart36.xml" ContentType="application/vnd.openxmlformats-officedocument.drawingml.chart+xml"/>
  <Override PartName="/xl/charts/style39.xml" ContentType="application/vnd.ms-office.chartstyle+xml"/>
  <Override PartName="/xl/charts/colors39.xml" ContentType="application/vnd.ms-office.chartcolorstyle+xml"/>
  <Override PartName="/xl/charts/chart37.xml" ContentType="application/vnd.openxmlformats-officedocument.drawingml.chart+xml"/>
  <Override PartName="/xl/charts/style40.xml" ContentType="application/vnd.ms-office.chartstyle+xml"/>
  <Override PartName="/xl/charts/colors40.xml" ContentType="application/vnd.ms-office.chartcolorstyle+xml"/>
  <Override PartName="/xl/charts/chart38.xml" ContentType="application/vnd.openxmlformats-officedocument.drawingml.chart+xml"/>
  <Override PartName="/xl/charts/style41.xml" ContentType="application/vnd.ms-office.chartstyle+xml"/>
  <Override PartName="/xl/charts/colors41.xml" ContentType="application/vnd.ms-office.chartcolorstyle+xml"/>
  <Override PartName="/xl/charts/chart39.xml" ContentType="application/vnd.openxmlformats-officedocument.drawingml.chart+xml"/>
  <Override PartName="/xl/charts/style42.xml" ContentType="application/vnd.ms-office.chartstyle+xml"/>
  <Override PartName="/xl/charts/colors42.xml" ContentType="application/vnd.ms-office.chartcolorstyle+xml"/>
  <Override PartName="/xl/charts/chartEx4.xml" ContentType="application/vnd.ms-office.chartex+xml"/>
  <Override PartName="/xl/charts/style43.xml" ContentType="application/vnd.ms-office.chartstyle+xml"/>
  <Override PartName="/xl/charts/colors43.xml" ContentType="application/vnd.ms-office.chartcolorstyle+xml"/>
  <Override PartName="/xl/drawings/drawing3.xml" ContentType="application/vnd.openxmlformats-officedocument.drawing+xml"/>
  <Override PartName="/xl/charts/chart40.xml" ContentType="application/vnd.openxmlformats-officedocument.drawingml.chart+xml"/>
  <Override PartName="/xl/charts/style44.xml" ContentType="application/vnd.ms-office.chartstyle+xml"/>
  <Override PartName="/xl/charts/colors44.xml" ContentType="application/vnd.ms-office.chartcolorstyle+xml"/>
  <Override PartName="/xl/charts/chart41.xml" ContentType="application/vnd.openxmlformats-officedocument.drawingml.chart+xml"/>
  <Override PartName="/xl/charts/style45.xml" ContentType="application/vnd.ms-office.chartstyle+xml"/>
  <Override PartName="/xl/charts/colors45.xml" ContentType="application/vnd.ms-office.chartcolorstyle+xml"/>
  <Override PartName="/xl/charts/chart42.xml" ContentType="application/vnd.openxmlformats-officedocument.drawingml.chart+xml"/>
  <Override PartName="/xl/charts/style46.xml" ContentType="application/vnd.ms-office.chartstyle+xml"/>
  <Override PartName="/xl/charts/colors46.xml" ContentType="application/vnd.ms-office.chartcolorstyle+xml"/>
  <Override PartName="/xl/charts/chart43.xml" ContentType="application/vnd.openxmlformats-officedocument.drawingml.chart+xml"/>
  <Override PartName="/xl/charts/style47.xml" ContentType="application/vnd.ms-office.chartstyle+xml"/>
  <Override PartName="/xl/charts/colors47.xml" ContentType="application/vnd.ms-office.chartcolorstyle+xml"/>
  <Override PartName="/xl/charts/chart44.xml" ContentType="application/vnd.openxmlformats-officedocument.drawingml.chart+xml"/>
  <Override PartName="/xl/charts/style48.xml" ContentType="application/vnd.ms-office.chartstyle+xml"/>
  <Override PartName="/xl/charts/colors48.xml" ContentType="application/vnd.ms-office.chartcolorstyle+xml"/>
  <Override PartName="/xl/charts/chart45.xml" ContentType="application/vnd.openxmlformats-officedocument.drawingml.chart+xml"/>
  <Override PartName="/xl/charts/style49.xml" ContentType="application/vnd.ms-office.chartstyle+xml"/>
  <Override PartName="/xl/charts/colors49.xml" ContentType="application/vnd.ms-office.chartcolorstyle+xml"/>
  <Override PartName="/xl/charts/chart46.xml" ContentType="application/vnd.openxmlformats-officedocument.drawingml.chart+xml"/>
  <Override PartName="/xl/charts/style50.xml" ContentType="application/vnd.ms-office.chartstyle+xml"/>
  <Override PartName="/xl/charts/colors50.xml" ContentType="application/vnd.ms-office.chartcolorstyle+xml"/>
  <Override PartName="/xl/charts/chart47.xml" ContentType="application/vnd.openxmlformats-officedocument.drawingml.chart+xml"/>
  <Override PartName="/xl/charts/style51.xml" ContentType="application/vnd.ms-office.chartstyle+xml"/>
  <Override PartName="/xl/charts/colors51.xml" ContentType="application/vnd.ms-office.chartcolorstyle+xml"/>
  <Override PartName="/xl/charts/chart48.xml" ContentType="application/vnd.openxmlformats-officedocument.drawingml.chart+xml"/>
  <Override PartName="/xl/charts/style52.xml" ContentType="application/vnd.ms-office.chartstyle+xml"/>
  <Override PartName="/xl/charts/colors52.xml" ContentType="application/vnd.ms-office.chartcolorstyle+xml"/>
  <Override PartName="/xl/charts/chart49.xml" ContentType="application/vnd.openxmlformats-officedocument.drawingml.chart+xml"/>
  <Override PartName="/xl/charts/style53.xml" ContentType="application/vnd.ms-office.chartstyle+xml"/>
  <Override PartName="/xl/charts/colors53.xml" ContentType="application/vnd.ms-office.chartcolorstyle+xml"/>
  <Override PartName="/xl/charts/chart50.xml" ContentType="application/vnd.openxmlformats-officedocument.drawingml.chart+xml"/>
  <Override PartName="/xl/charts/style54.xml" ContentType="application/vnd.ms-office.chartstyle+xml"/>
  <Override PartName="/xl/charts/colors54.xml" ContentType="application/vnd.ms-office.chartcolorstyle+xml"/>
  <Override PartName="/xl/charts/chart51.xml" ContentType="application/vnd.openxmlformats-officedocument.drawingml.chart+xml"/>
  <Override PartName="/xl/charts/style55.xml" ContentType="application/vnd.ms-office.chartstyle+xml"/>
  <Override PartName="/xl/charts/colors55.xml" ContentType="application/vnd.ms-office.chartcolorstyle+xml"/>
  <Override PartName="/xl/charts/chart52.xml" ContentType="application/vnd.openxmlformats-officedocument.drawingml.chart+xml"/>
  <Override PartName="/xl/charts/style56.xml" ContentType="application/vnd.ms-office.chartstyle+xml"/>
  <Override PartName="/xl/charts/colors56.xml" ContentType="application/vnd.ms-office.chartcolorstyle+xml"/>
  <Override PartName="/xl/charts/chart53.xml" ContentType="application/vnd.openxmlformats-officedocument.drawingml.chart+xml"/>
  <Override PartName="/xl/charts/style57.xml" ContentType="application/vnd.ms-office.chartstyle+xml"/>
  <Override PartName="/xl/charts/colors57.xml" ContentType="application/vnd.ms-office.chartcolorstyle+xml"/>
  <Override PartName="/xl/charts/chart54.xml" ContentType="application/vnd.openxmlformats-officedocument.drawingml.chart+xml"/>
  <Override PartName="/xl/charts/style58.xml" ContentType="application/vnd.ms-office.chartstyle+xml"/>
  <Override PartName="/xl/charts/colors58.xml" ContentType="application/vnd.ms-office.chartcolorstyle+xml"/>
  <Override PartName="/xl/charts/chart55.xml" ContentType="application/vnd.openxmlformats-officedocument.drawingml.chart+xml"/>
  <Override PartName="/xl/charts/style59.xml" ContentType="application/vnd.ms-office.chartstyle+xml"/>
  <Override PartName="/xl/charts/colors59.xml" ContentType="application/vnd.ms-office.chartcolorstyle+xml"/>
  <Override PartName="/xl/charts/chart56.xml" ContentType="application/vnd.openxmlformats-officedocument.drawingml.chart+xml"/>
  <Override PartName="/xl/charts/style60.xml" ContentType="application/vnd.ms-office.chartstyle+xml"/>
  <Override PartName="/xl/charts/colors60.xml" ContentType="application/vnd.ms-office.chartcolorstyle+xml"/>
  <Override PartName="/xl/charts/chart57.xml" ContentType="application/vnd.openxmlformats-officedocument.drawingml.chart+xml"/>
  <Override PartName="/xl/charts/style61.xml" ContentType="application/vnd.ms-office.chartstyle+xml"/>
  <Override PartName="/xl/charts/colors61.xml" ContentType="application/vnd.ms-office.chartcolorstyle+xml"/>
  <Override PartName="/xl/charts/chart58.xml" ContentType="application/vnd.openxmlformats-officedocument.drawingml.chart+xml"/>
  <Override PartName="/xl/charts/style62.xml" ContentType="application/vnd.ms-office.chartstyle+xml"/>
  <Override PartName="/xl/charts/colors62.xml" ContentType="application/vnd.ms-office.chartcolorstyle+xml"/>
  <Override PartName="/xl/charts/chart59.xml" ContentType="application/vnd.openxmlformats-officedocument.drawingml.chart+xml"/>
  <Override PartName="/xl/charts/style63.xml" ContentType="application/vnd.ms-office.chartstyle+xml"/>
  <Override PartName="/xl/charts/colors63.xml" ContentType="application/vnd.ms-office.chartcolorstyle+xml"/>
  <Override PartName="/xl/charts/chart60.xml" ContentType="application/vnd.openxmlformats-officedocument.drawingml.chart+xml"/>
  <Override PartName="/xl/charts/style64.xml" ContentType="application/vnd.ms-office.chartstyle+xml"/>
  <Override PartName="/xl/charts/colors64.xml" ContentType="application/vnd.ms-office.chartcolorstyle+xml"/>
  <Override PartName="/xl/charts/chart61.xml" ContentType="application/vnd.openxmlformats-officedocument.drawingml.chart+xml"/>
  <Override PartName="/xl/charts/style65.xml" ContentType="application/vnd.ms-office.chartstyle+xml"/>
  <Override PartName="/xl/charts/colors65.xml" ContentType="application/vnd.ms-office.chartcolorstyle+xml"/>
  <Override PartName="/xl/charts/chart62.xml" ContentType="application/vnd.openxmlformats-officedocument.drawingml.chart+xml"/>
  <Override PartName="/xl/charts/style66.xml" ContentType="application/vnd.ms-office.chartstyle+xml"/>
  <Override PartName="/xl/charts/colors66.xml" ContentType="application/vnd.ms-office.chartcolorstyle+xml"/>
  <Override PartName="/xl/charts/chart63.xml" ContentType="application/vnd.openxmlformats-officedocument.drawingml.chart+xml"/>
  <Override PartName="/xl/charts/style67.xml" ContentType="application/vnd.ms-office.chartstyle+xml"/>
  <Override PartName="/xl/charts/colors67.xml" ContentType="application/vnd.ms-office.chartcolorstyle+xml"/>
  <Override PartName="/xl/charts/chart64.xml" ContentType="application/vnd.openxmlformats-officedocument.drawingml.chart+xml"/>
  <Override PartName="/xl/charts/style68.xml" ContentType="application/vnd.ms-office.chartstyle+xml"/>
  <Override PartName="/xl/charts/colors68.xml" ContentType="application/vnd.ms-office.chartcolorstyle+xml"/>
  <Override PartName="/xl/charts/chart65.xml" ContentType="application/vnd.openxmlformats-officedocument.drawingml.chart+xml"/>
  <Override PartName="/xl/charts/style69.xml" ContentType="application/vnd.ms-office.chartstyle+xml"/>
  <Override PartName="/xl/charts/colors69.xml" ContentType="application/vnd.ms-office.chartcolorstyle+xml"/>
  <Override PartName="/xl/charts/chart66.xml" ContentType="application/vnd.openxmlformats-officedocument.drawingml.chart+xml"/>
  <Override PartName="/xl/charts/style70.xml" ContentType="application/vnd.ms-office.chartstyle+xml"/>
  <Override PartName="/xl/charts/colors70.xml" ContentType="application/vnd.ms-office.chartcolorstyle+xml"/>
  <Override PartName="/xl/charts/chart67.xml" ContentType="application/vnd.openxmlformats-officedocument.drawingml.chart+xml"/>
  <Override PartName="/xl/charts/style71.xml" ContentType="application/vnd.ms-office.chartstyle+xml"/>
  <Override PartName="/xl/charts/colors71.xml" ContentType="application/vnd.ms-office.chartcolorstyle+xml"/>
  <Override PartName="/xl/charts/chart68.xml" ContentType="application/vnd.openxmlformats-officedocument.drawingml.chart+xml"/>
  <Override PartName="/xl/charts/style72.xml" ContentType="application/vnd.ms-office.chartstyle+xml"/>
  <Override PartName="/xl/charts/colors72.xml" ContentType="application/vnd.ms-office.chartcolorstyle+xml"/>
  <Override PartName="/xl/charts/chart69.xml" ContentType="application/vnd.openxmlformats-officedocument.drawingml.chart+xml"/>
  <Override PartName="/xl/charts/style73.xml" ContentType="application/vnd.ms-office.chartstyle+xml"/>
  <Override PartName="/xl/charts/colors73.xml" ContentType="application/vnd.ms-office.chartcolorstyle+xml"/>
  <Override PartName="/xl/charts/chart70.xml" ContentType="application/vnd.openxmlformats-officedocument.drawingml.chart+xml"/>
  <Override PartName="/xl/charts/style74.xml" ContentType="application/vnd.ms-office.chartstyle+xml"/>
  <Override PartName="/xl/charts/colors74.xml" ContentType="application/vnd.ms-office.chartcolorstyle+xml"/>
  <Override PartName="/xl/charts/chart71.xml" ContentType="application/vnd.openxmlformats-officedocument.drawingml.chart+xml"/>
  <Override PartName="/xl/charts/style75.xml" ContentType="application/vnd.ms-office.chartstyle+xml"/>
  <Override PartName="/xl/charts/colors75.xml" ContentType="application/vnd.ms-office.chartcolorstyle+xml"/>
  <Override PartName="/xl/charts/chart72.xml" ContentType="application/vnd.openxmlformats-officedocument.drawingml.chart+xml"/>
  <Override PartName="/xl/charts/style76.xml" ContentType="application/vnd.ms-office.chartstyle+xml"/>
  <Override PartName="/xl/charts/colors76.xml" ContentType="application/vnd.ms-office.chartcolorstyle+xml"/>
  <Override PartName="/xl/charts/chart73.xml" ContentType="application/vnd.openxmlformats-officedocument.drawingml.chart+xml"/>
  <Override PartName="/xl/charts/style77.xml" ContentType="application/vnd.ms-office.chartstyle+xml"/>
  <Override PartName="/xl/charts/colors77.xml" ContentType="application/vnd.ms-office.chartcolorstyle+xml"/>
  <Override PartName="/xl/charts/chart74.xml" ContentType="application/vnd.openxmlformats-officedocument.drawingml.chart+xml"/>
  <Override PartName="/xl/charts/style78.xml" ContentType="application/vnd.ms-office.chartstyle+xml"/>
  <Override PartName="/xl/charts/colors78.xml" ContentType="application/vnd.ms-office.chartcolorstyle+xml"/>
  <Override PartName="/xl/charts/chart75.xml" ContentType="application/vnd.openxmlformats-officedocument.drawingml.chart+xml"/>
  <Override PartName="/xl/charts/style79.xml" ContentType="application/vnd.ms-office.chartstyle+xml"/>
  <Override PartName="/xl/charts/colors79.xml" ContentType="application/vnd.ms-office.chartcolorstyle+xml"/>
  <Override PartName="/xl/charts/chart76.xml" ContentType="application/vnd.openxmlformats-officedocument.drawingml.chart+xml"/>
  <Override PartName="/xl/charts/style80.xml" ContentType="application/vnd.ms-office.chartstyle+xml"/>
  <Override PartName="/xl/charts/colors80.xml" ContentType="application/vnd.ms-office.chartcolorstyle+xml"/>
  <Override PartName="/xl/charts/chart77.xml" ContentType="application/vnd.openxmlformats-officedocument.drawingml.chart+xml"/>
  <Override PartName="/xl/charts/style81.xml" ContentType="application/vnd.ms-office.chartstyle+xml"/>
  <Override PartName="/xl/charts/colors81.xml" ContentType="application/vnd.ms-office.chartcolorstyle+xml"/>
  <Override PartName="/xl/charts/chart78.xml" ContentType="application/vnd.openxmlformats-officedocument.drawingml.chart+xml"/>
  <Override PartName="/xl/charts/style82.xml" ContentType="application/vnd.ms-office.chartstyle+xml"/>
  <Override PartName="/xl/charts/colors82.xml" ContentType="application/vnd.ms-office.chartcolorstyle+xml"/>
  <Override PartName="/xl/charts/chart79.xml" ContentType="application/vnd.openxmlformats-officedocument.drawingml.chart+xml"/>
  <Override PartName="/xl/charts/style83.xml" ContentType="application/vnd.ms-office.chartstyle+xml"/>
  <Override PartName="/xl/charts/colors83.xml" ContentType="application/vnd.ms-office.chartcolorstyle+xml"/>
  <Override PartName="/xl/charts/chart80.xml" ContentType="application/vnd.openxmlformats-officedocument.drawingml.chart+xml"/>
  <Override PartName="/xl/charts/style84.xml" ContentType="application/vnd.ms-office.chartstyle+xml"/>
  <Override PartName="/xl/charts/colors84.xml" ContentType="application/vnd.ms-office.chartcolorstyle+xml"/>
  <Override PartName="/xl/charts/chart81.xml" ContentType="application/vnd.openxmlformats-officedocument.drawingml.chart+xml"/>
  <Override PartName="/xl/charts/style85.xml" ContentType="application/vnd.ms-office.chartstyle+xml"/>
  <Override PartName="/xl/charts/colors85.xml" ContentType="application/vnd.ms-office.chartcolorstyle+xml"/>
  <Override PartName="/xl/charts/chart82.xml" ContentType="application/vnd.openxmlformats-officedocument.drawingml.chart+xml"/>
  <Override PartName="/xl/charts/style86.xml" ContentType="application/vnd.ms-office.chartstyle+xml"/>
  <Override PartName="/xl/charts/colors86.xml" ContentType="application/vnd.ms-office.chartcolorstyle+xml"/>
  <Override PartName="/xl/charts/chart83.xml" ContentType="application/vnd.openxmlformats-officedocument.drawingml.chart+xml"/>
  <Override PartName="/xl/charts/style87.xml" ContentType="application/vnd.ms-office.chartstyle+xml"/>
  <Override PartName="/xl/charts/colors87.xml" ContentType="application/vnd.ms-office.chartcolorstyle+xml"/>
  <Override PartName="/xl/charts/chart84.xml" ContentType="application/vnd.openxmlformats-officedocument.drawingml.chart+xml"/>
  <Override PartName="/xl/charts/style88.xml" ContentType="application/vnd.ms-office.chartstyle+xml"/>
  <Override PartName="/xl/charts/colors88.xml" ContentType="application/vnd.ms-office.chartcolorstyle+xml"/>
  <Override PartName="/xl/charts/chart85.xml" ContentType="application/vnd.openxmlformats-officedocument.drawingml.chart+xml"/>
  <Override PartName="/xl/charts/style89.xml" ContentType="application/vnd.ms-office.chartstyle+xml"/>
  <Override PartName="/xl/charts/colors89.xml" ContentType="application/vnd.ms-office.chartcolorstyle+xml"/>
  <Override PartName="/xl/charts/chart86.xml" ContentType="application/vnd.openxmlformats-officedocument.drawingml.chart+xml"/>
  <Override PartName="/xl/charts/style90.xml" ContentType="application/vnd.ms-office.chartstyle+xml"/>
  <Override PartName="/xl/charts/colors90.xml" ContentType="application/vnd.ms-office.chartcolorstyle+xml"/>
  <Override PartName="/xl/charts/chart87.xml" ContentType="application/vnd.openxmlformats-officedocument.drawingml.chart+xml"/>
  <Override PartName="/xl/charts/style91.xml" ContentType="application/vnd.ms-office.chartstyle+xml"/>
  <Override PartName="/xl/charts/colors91.xml" ContentType="application/vnd.ms-office.chartcolorstyle+xml"/>
  <Override PartName="/xl/charts/chart88.xml" ContentType="application/vnd.openxmlformats-officedocument.drawingml.chart+xml"/>
  <Override PartName="/xl/charts/style92.xml" ContentType="application/vnd.ms-office.chartstyle+xml"/>
  <Override PartName="/xl/charts/colors92.xml" ContentType="application/vnd.ms-office.chartcolorstyle+xml"/>
  <Override PartName="/xl/charts/chart89.xml" ContentType="application/vnd.openxmlformats-officedocument.drawingml.chart+xml"/>
  <Override PartName="/xl/charts/style93.xml" ContentType="application/vnd.ms-office.chartstyle+xml"/>
  <Override PartName="/xl/charts/colors9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24226"/>
  <mc:AlternateContent xmlns:mc="http://schemas.openxmlformats.org/markup-compatibility/2006">
    <mc:Choice Requires="x15">
      <x15ac:absPath xmlns:x15ac="http://schemas.microsoft.com/office/spreadsheetml/2010/11/ac" url="https://cipfa-my.sharepoint.com/personal/jon_gordon_cipfa_org/Documents/Cultural Services Products/Archives/Visitor surveys/2022/Data&amp;Analysis/"/>
    </mc:Choice>
  </mc:AlternateContent>
  <xr:revisionPtr revIDLastSave="196" documentId="8_{4BE1EB30-F2EA-4803-8C20-2D40A0345155}" xr6:coauthVersionLast="47" xr6:coauthVersionMax="47" xr10:uidLastSave="{8788A7C0-9FA9-44C1-9537-0C8E534DA8A9}"/>
  <workbookProtection workbookAlgorithmName="SHA-512" workbookHashValue="lRYehnGWxjEd5moyvNnyylENm4Gk4QDIHFkQE9PurKf7xHp/bO/GvoVSqaJ+yyjLAn5UMCQ1MRTJpyIDxbVPPg==" workbookSaltValue="bsEaHidsKPm0xmPDCI8E1g==" workbookSpinCount="100000" lockStructure="1"/>
  <bookViews>
    <workbookView xWindow="1140" yWindow="-120" windowWidth="27780" windowHeight="16440" firstSheet="1" activeTab="1" xr2:uid="{00000000-000D-0000-FFFF-FFFF00000000}"/>
  </bookViews>
  <sheets>
    <sheet name="AggregatedData" sheetId="1" state="hidden" r:id="rId1"/>
    <sheet name="CoverPage" sheetId="10" r:id="rId2"/>
    <sheet name="ReadMe" sheetId="9" r:id="rId3"/>
    <sheet name="ArchiveResults" sheetId="2" r:id="rId4"/>
    <sheet name="Sheet1" sheetId="8" state="hidden" r:id="rId5"/>
    <sheet name="IndividualReport" sheetId="4" r:id="rId6"/>
    <sheet name="ComparisonSelection" sheetId="5" r:id="rId7"/>
    <sheet name="ComparisonData" sheetId="6" state="hidden" r:id="rId8"/>
    <sheet name="ComparisonReport" sheetId="7" r:id="rId9"/>
    <sheet name="Sheet2" sheetId="3" state="hidden" r:id="rId10"/>
  </sheets>
  <definedNames>
    <definedName name="_10._What_else_are_you_doing_in_the_area_today__in_addition_to_visiting_this_archive?_a">OFFSET(ComparisonData!$VT$6,0,0,ComparisonData!$VX$119,1)</definedName>
    <definedName name="_10._What_else_are_you_doing_in_the_area_today__in_addition_to_visiting_this_archive?_b">OFFSET(ComparisonData!$VU$6,0,0,ComparisonData!$VX$119,1)</definedName>
    <definedName name="_10._What_else_are_you_doing_in_the_area_today__in_addition_to_visiting_this_archive?_c">OFFSET(ComparisonData!$VV$6,0,0,ComparisonData!$VX$119,1)</definedName>
    <definedName name="_10._What_else_are_you_doing_in_the_area_today__in_addition_to_visiting_this_archive?_d">OFFSET(ComparisonData!$VW$6,0,0,ComparisonData!$VX$119,1)</definedName>
    <definedName name="_10._What_else_are_you_doing_in_the_area_today__in_addition_to_visiting_this_archive?_lbl">OFFSET(ComparisonData!$VS$6,0,0,ComparisonData!$VX$119,1)</definedName>
    <definedName name="_11._Approximately_how_many_hours_have_you_spent_at_this_archive_today?_avg">OFFSET(ComparisonData!$WF$6,0,0,ComparisonData!$WG$119,1)</definedName>
    <definedName name="_11._Approximately_how_many_hours_have_you_spent_at_this_archive_today?_lbl">OFFSET(ComparisonData!$WE$6,0,0,ComparisonData!$WG$119,1)</definedName>
    <definedName name="_15._What_is_your_sex?_1">OFFSET(ComparisonData!$YH$6,0,0,ComparisonData!$YJ$119,1)</definedName>
    <definedName name="_15._What_is_your_sex?_2">OFFSET(ComparisonData!$YI$6,0,0,ComparisonData!$YJ$119,1)</definedName>
    <definedName name="_15._What_is_your_sex?_lbl">OFFSET(ComparisonData!$YG$6,0,0,ComparisonData!$YJ$119,1)</definedName>
    <definedName name="_16._Is_the_gender_you_identify_with_the_same_as_your_sex_registered_at_birth?_1">OFFSET(ComparisonData!$YS$6,0,0,ComparisonData!$YU$119,1)</definedName>
    <definedName name="_16._Is_the_gender_you_identify_with_the_same_as_your_sex_registered_at_birth?_2">OFFSET(ComparisonData!$YT$6,0,0,ComparisonData!$YU$119,1)</definedName>
    <definedName name="_16._Is_the_gender_you_identify_with_the_same_as_your_sex_registered_at_birth?_lbl">OFFSET(ComparisonData!$YR$6,0,0,ComparisonData!$YU$119,1)</definedName>
    <definedName name="_17._Your_age?_1">OFFSET(ComparisonData!$ZH$6,0,0,ComparisonData!$ZM$119,1)</definedName>
    <definedName name="_17._Your_age?_2">OFFSET(ComparisonData!$ZI$6,0,0,ComparisonData!$ZM$119,1)</definedName>
    <definedName name="_17._Your_age?_3">OFFSET(ComparisonData!$ZJ$6,0,0,ComparisonData!$ZM$119,1)</definedName>
    <definedName name="_17._Your_age?_4">OFFSET(ComparisonData!$ZK$6,0,0,ComparisonData!$ZM$119,1)</definedName>
    <definedName name="_17._Your_age?_5">OFFSET(ComparisonData!$ZL$6,0,0,ComparisonData!$ZM$119,1)</definedName>
    <definedName name="_17._Your_age?_lbl">OFFSET(ComparisonData!$ZG$6,0,0,ComparisonData!$ZM$119,1)</definedName>
    <definedName name="_18.__a__If_you_are_a_UK_resident__what_is_your_postcode?___By_Index_of_Multiple_Deprivation__IMD_1">OFFSET(ComparisonData!$AAS$6,0,0,ComparisonData!$AAX$119,1)</definedName>
    <definedName name="_18.__a__If_you_are_a_UK_resident__what_is_your_postcode?___By_Index_of_Multiple_Deprivation__IMD_2">OFFSET(ComparisonData!$AAT$6,0,0,ComparisonData!$AAX$119,1)</definedName>
    <definedName name="_18.__a__If_you_are_a_UK_resident__what_is_your_postcode?___By_Index_of_Multiple_Deprivation__IMD_3">OFFSET(ComparisonData!$AAU$6,0,0,ComparisonData!$AAX$119,1)</definedName>
    <definedName name="_18.__a__If_you_are_a_UK_resident__what_is_your_postcode?___By_Index_of_Multiple_Deprivation__IMD_4">OFFSET(ComparisonData!$AAV$6,0,0,ComparisonData!$AAX$119,1)</definedName>
    <definedName name="_18.__a__If_you_are_a_UK_resident__what_is_your_postcode?___By_Index_of_Multiple_Deprivation__IMD_5">OFFSET(ComparisonData!$AAW$6,0,0,ComparisonData!$AAX$119,1)</definedName>
    <definedName name="_18.__a__If_you_are_a_UK_resident__what_is_your_postcode?___By_Index_of_Multiple_Deprivation__IMD_lbl">OFFSET(ComparisonData!$AAR$6,0,0,ComparisonData!$AAX$119,1)</definedName>
    <definedName name="_19._What_is_your_ethnic_group?_1">OFFSET(ComparisonData!$ACB$6,0,0,ComparisonData!$ACG$119,1)</definedName>
    <definedName name="_19._What_is_your_ethnic_group?_2">OFFSET(ComparisonData!$ACC$6,0,0,ComparisonData!$ACG$119,1)</definedName>
    <definedName name="_19._What_is_your_ethnic_group?_3">OFFSET(ComparisonData!$ACD$6,0,0,ComparisonData!$ACG$119,1)</definedName>
    <definedName name="_19._What_is_your_ethnic_group?_4">OFFSET(ComparisonData!$ACE$6,0,0,ComparisonData!$ACG$119,1)</definedName>
    <definedName name="_19._What_is_your_ethnic_group?_5">OFFSET(ComparisonData!$ACF$6,0,0,ComparisonData!$ACG$119,1)</definedName>
    <definedName name="_19._What_is_your_ethnic_group?_lbl">OFFSET(ComparisonData!$ACA$6,0,0,ComparisonData!$ACG$119,1)</definedName>
    <definedName name="_2.__a__Why_are_you_visiting_this_archive_today?_a">OFFSET(ComparisonData!$BD$6,0,0,ComparisonData!$BN$119,1)</definedName>
    <definedName name="_2.__a__Why_are_you_visiting_this_archive_today?_b">OFFSET(ComparisonData!$BE$6,0,0,ComparisonData!$BN$119,1)</definedName>
    <definedName name="_2.__a__Why_are_you_visiting_this_archive_today?_c">OFFSET(ComparisonData!$BF$6,0,0,ComparisonData!$BN$119,1)</definedName>
    <definedName name="_2.__a__Why_are_you_visiting_this_archive_today?_d">OFFSET(ComparisonData!$BG$6,0,0,ComparisonData!$BN$119,1)</definedName>
    <definedName name="_2.__a__Why_are_you_visiting_this_archive_today?_e">OFFSET(ComparisonData!$BH$6,0,0,ComparisonData!$BN$119,1)</definedName>
    <definedName name="_2.__a__Why_are_you_visiting_this_archive_today?_f">OFFSET(ComparisonData!$BI$6,0,0,ComparisonData!$BN$119,1)</definedName>
    <definedName name="_2.__a__Why_are_you_visiting_this_archive_today?_g">OFFSET(ComparisonData!$BJ$6,0,0,ComparisonData!$BN$119,1)</definedName>
    <definedName name="_2.__a__Why_are_you_visiting_this_archive_today?_h">OFFSET(ComparisonData!$BK$6,0,0,ComparisonData!$BN$119,1)</definedName>
    <definedName name="_2.__a__Why_are_you_visiting_this_archive_today?_i">OFFSET(ComparisonData!$BL$6,0,0,ComparisonData!$BN$119,1)</definedName>
    <definedName name="_2.__a__Why_are_you_visiting_this_archive_today?_j">OFFSET(ComparisonData!$BM$6,0,0,ComparisonData!$BN$119,1)</definedName>
    <definedName name="_2.__a__Why_are_you_visiting_this_archive_today?_lbl">OFFSET(ComparisonData!$BC$6,0,0,ComparisonData!$BN$119,1)</definedName>
    <definedName name="_20.__a__Do_you_have_any_long_lasting_physical_or_mental_health_conditions?_1">OFFSET(ComparisonData!$ACQ$6,0,0,ComparisonData!$ACS$119,1)</definedName>
    <definedName name="_20.__a__Do_you_have_any_long_lasting_physical_or_mental_health_conditions?_2">OFFSET(ComparisonData!$ACR$6,0,0,ComparisonData!$ACS$119,1)</definedName>
    <definedName name="_20.__a__Do_you_have_any_long_lasting_physical_or_mental_health_conditions?_lbl">OFFSET(ComparisonData!$ACP$6,0,0,ComparisonData!$ACS$119,1)</definedName>
    <definedName name="_3._What__if_any__of_the_following_did_you_do_to_prepare_for_your_visit_today?_a">OFFSET(ComparisonData!$CA$6,0,0,ComparisonData!$CG$119,1)</definedName>
    <definedName name="_3._What__if_any__of_the_following_did_you_do_to_prepare_for_your_visit_today?_b">OFFSET(ComparisonData!$CB$6,0,0,ComparisonData!$CG$119,1)</definedName>
    <definedName name="_3._What__if_any__of_the_following_did_you_do_to_prepare_for_your_visit_today?_c">OFFSET(ComparisonData!$CC$6,0,0,ComparisonData!$CG$119,1)</definedName>
    <definedName name="_3._What__if_any__of_the_following_did_you_do_to_prepare_for_your_visit_today?_d">OFFSET(ComparisonData!$CD$6,0,0,ComparisonData!$CG$119,1)</definedName>
    <definedName name="_3._What__if_any__of_the_following_did_you_do_to_prepare_for_your_visit_today?_e">OFFSET(ComparisonData!$CE$6,0,0,ComparisonData!$CG$119,1)</definedName>
    <definedName name="_3._What__if_any__of_the_following_did_you_do_to_prepare_for_your_visit_today?_f">OFFSET(ComparisonData!$CF$6,0,0,ComparisonData!$CG$119,1)</definedName>
    <definedName name="_3._What__if_any__of_the_following_did_you_do_to_prepare_for_your_visit_today?_lbl">OFFSET(ComparisonData!$BZ$6,0,0,ComparisonData!$CG$119,1)</definedName>
    <definedName name="_9._What_was_your_primary_method_of_travel_to_this_area___archive_today?_1">OFFSET(ComparisonData!$VD$6,0,0,ComparisonData!$VI$119,1)</definedName>
    <definedName name="_9._What_was_your_primary_method_of_travel_to_this_area___archive_today?_2">OFFSET(ComparisonData!$VE$6,0,0,ComparisonData!$VI$119,1)</definedName>
    <definedName name="_9._What_was_your_primary_method_of_travel_to_this_area___archive_today?_3">OFFSET(ComparisonData!$VF$6,0,0,ComparisonData!$VI$119,1)</definedName>
    <definedName name="_9._What_was_your_primary_method_of_travel_to_this_area___archive_today?_4">OFFSET(ComparisonData!$VG$6,0,0,ComparisonData!$VI$119,1)</definedName>
    <definedName name="_9._What_was_your_primary_method_of_travel_to_this_area___archive_today?_5">OFFSET(ComparisonData!$VH$6,0,0,ComparisonData!$VI$119,1)</definedName>
    <definedName name="_9._What_was_your_primary_method_of_travel_to_this_area___archive_today?_lbl">OFFSET(ComparisonData!$VC$6,0,0,ComparisonData!$VI$119,1)</definedName>
    <definedName name="_xlnm._FilterDatabase" localSheetId="3" hidden="1">ArchiveResults!$A$4:$E$116</definedName>
    <definedName name="_xlnm._FilterDatabase" localSheetId="6" hidden="1">ComparisonSelection!$A$1:$F$113</definedName>
    <definedName name="_xlnm._FilterDatabase" localSheetId="4" hidden="1">Sheet1!$A$1:$A$113</definedName>
    <definedName name="_xlnm._FilterDatabase" localSheetId="9" hidden="1">Sheet2!$A$1:$C$1827</definedName>
    <definedName name="_xlchart.v1.0" hidden="1">IndividualReport!$N$231:$N$234</definedName>
    <definedName name="_xlchart.v1.1" hidden="1">IndividualReport!$Q$231:$Q$234</definedName>
    <definedName name="_xlchart.v1.2" hidden="1">IndividualReport!$N$224:$N$228</definedName>
    <definedName name="_xlchart.v1.3" hidden="1">IndividualReport!$Q$224:$Q$228</definedName>
    <definedName name="_xlchart.v1.4" hidden="1">IndividualReport!$M$302</definedName>
    <definedName name="_xlchart.v1.5" hidden="1">IndividualReport!$N$302:$N$304</definedName>
    <definedName name="_xlchart.v1.6" hidden="1">IndividualReport!$Q$302:$Q$304</definedName>
    <definedName name="_xlchart.v1.7" hidden="1">IndividualReport!$M$284</definedName>
    <definedName name="_xlchart.v1.8" hidden="1">IndividualReport!$N$284:$N$288</definedName>
    <definedName name="_xlchart.v1.9" hidden="1">IndividualReport!$Q$284:$Q$288</definedName>
    <definedName name="a__Is_this_your_first_visit_to_any_archive?_lbl">OFFSET(ComparisonData!$L$6,0,0,ComparisonData!$O$119,1)</definedName>
    <definedName name="a__Is_this_your_first_visit_to_any_archive?_n">OFFSET(ComparisonData!$N$6,0,0,ComparisonData!$O$119,1)</definedName>
    <definedName name="a__Is_this_your_first_visit_to_any_archive?_y">OFFSET(ComparisonData!$M$6,0,0,ComparisonData!$O$119,1)</definedName>
    <definedName name="Access_to_and_in_the_building_1">OFFSET(ComparisonData!$FS$6,0,0,ComparisonData!$FX$119,1)</definedName>
    <definedName name="Access_to_and_in_the_building_2">OFFSET(ComparisonData!$FT$6,0,0,ComparisonData!$FX$119,1)</definedName>
    <definedName name="Access_to_and_in_the_building_3">OFFSET(ComparisonData!$FU$6,0,0,ComparisonData!$FX$119,1)</definedName>
    <definedName name="Access_to_and_in_the_building_4">OFFSET(ComparisonData!$FV$6,0,0,ComparisonData!$FX$119,1)</definedName>
    <definedName name="Access_to_and_in_the_building_5">OFFSET(ComparisonData!$FW$6,0,0,ComparisonData!$FX$119,1)</definedName>
    <definedName name="Access_to_and_in_the_building_lbl">OFFSET(ComparisonData!$FR$6,0,0,ComparisonData!$FX$119,1)</definedName>
    <definedName name="Access_to_other_online_resources_1">OFFSET(ComparisonData!$LV$6,0,0,ComparisonData!$MA$119,1)</definedName>
    <definedName name="Access_to_other_online_resources_2">OFFSET(ComparisonData!$LW$6,0,0,ComparisonData!$MA$119,1)</definedName>
    <definedName name="Access_to_other_online_resources_3">OFFSET(ComparisonData!$LX$6,0,0,ComparisonData!$MA$119,1)</definedName>
    <definedName name="Access_to_other_online_resources_4">OFFSET(ComparisonData!$LY$6,0,0,ComparisonData!$MA$119,1)</definedName>
    <definedName name="Access_to_other_online_resources_5">OFFSET(ComparisonData!$LZ$6,0,0,ComparisonData!$MA$119,1)</definedName>
    <definedName name="Access_to_other_online_resources_lbl">OFFSET(ComparisonData!$LU$6,0,0,ComparisonData!$MA$119,1)</definedName>
    <definedName name="Access_to_wifi_1">OFFSET(ComparisonData!$MN$6,0,0,ComparisonData!$MS$119,1)</definedName>
    <definedName name="Access_to_wifi_2">OFFSET(ComparisonData!$MO$6,0,0,ComparisonData!$MS$119,1)</definedName>
    <definedName name="Access_to_wifi_3">OFFSET(ComparisonData!$MP$6,0,0,ComparisonData!$MS$119,1)</definedName>
    <definedName name="Access_to_wifi_4">OFFSET(ComparisonData!$MQ$6,0,0,ComparisonData!$MS$119,1)</definedName>
    <definedName name="Access_to_wifi_5">OFFSET(ComparisonData!$MR$6,0,0,ComparisonData!$MS$119,1)</definedName>
    <definedName name="Access_to_wifi_lbl">OFFSET(ComparisonData!$MM$6,0,0,ComparisonData!$MS$119,1)</definedName>
    <definedName name="Appearance___upkeep_of_the_building_1">OFFSET(ComparisonData!$FB$6,0,0,ComparisonData!$FG$119,1)</definedName>
    <definedName name="Appearance___upkeep_of_the_building_2">OFFSET(ComparisonData!$FC$6,0,0,ComparisonData!$FG$119,1)</definedName>
    <definedName name="Appearance___upkeep_of_the_building_3">OFFSET(ComparisonData!$FD$6,0,0,ComparisonData!$FG$119,1)</definedName>
    <definedName name="Appearance___upkeep_of_the_building_4">OFFSET(ComparisonData!$FE$6,0,0,ComparisonData!$FG$119,1)</definedName>
    <definedName name="Appearance___upkeep_of_the_building_5">OFFSET(ComparisonData!$FF$6,0,0,ComparisonData!$FG$119,1)</definedName>
    <definedName name="Appearance___upkeep_of_the_building_lbl">OFFSET(ComparisonData!$FA$6,0,0,ComparisonData!$FG$119,1)</definedName>
    <definedName name="Appointment___online_booking_system__if_applicable_1">OFFSET(ComparisonData!$HR$6,0,0,ComparisonData!$HW$119,1)</definedName>
    <definedName name="Appointment___online_booking_system__if_applicable_2">OFFSET(ComparisonData!$HS$6,0,0,ComparisonData!$HW$119,1)</definedName>
    <definedName name="Appointment___online_booking_system__if_applicable_3">OFFSET(ComparisonData!$HT$6,0,0,ComparisonData!$HW$119,1)</definedName>
    <definedName name="Appointment___online_booking_system__if_applicable_4">OFFSET(ComparisonData!$HU$6,0,0,ComparisonData!$HW$119,1)</definedName>
    <definedName name="Appointment___online_booking_system__if_applicable_5">OFFSET(ComparisonData!$HV$6,0,0,ComparisonData!$HW$119,1)</definedName>
    <definedName name="Appointment___online_booking_system__if_applicable_lbl">OFFSET(ComparisonData!$HQ$6,0,0,ComparisonData!$HW$119,1)</definedName>
    <definedName name="Attitude_of_staff_avg">OFFSET(ComparisonData!$CX$6,0,0,ComparisonData!$CY$119,1)</definedName>
    <definedName name="Attitude_of_staff_lbl">OFFSET(ComparisonData!$CW$6,0,0,ComparisonData!$CY$119,1)</definedName>
    <definedName name="Availability_of_our_computers_1">OFFSET(ComparisonData!$IJ$6,0,0,ComparisonData!$IO$119,1)</definedName>
    <definedName name="Availability_of_our_computers_2">OFFSET(ComparisonData!$IK$6,0,0,ComparisonData!$IO$119,1)</definedName>
    <definedName name="Availability_of_our_computers_3">OFFSET(ComparisonData!$IL$6,0,0,ComparisonData!$IO$119,1)</definedName>
    <definedName name="Availability_of_our_computers_4">OFFSET(ComparisonData!$IM$6,0,0,ComparisonData!$IO$119,1)</definedName>
    <definedName name="Availability_of_our_computers_5">OFFSET(ComparisonData!$IN$6,0,0,ComparisonData!$IO$119,1)</definedName>
    <definedName name="Availability_of_our_computers_lbl">OFFSET(ComparisonData!$II$6,0,0,ComparisonData!$IO$119,1)</definedName>
    <definedName name="Availability_of_seating_1">OFFSET(ComparisonData!$NW$6,0,0,ComparisonData!$OB$119,1)</definedName>
    <definedName name="Availability_of_seating_2">OFFSET(ComparisonData!$NX$6,0,0,ComparisonData!$OB$119,1)</definedName>
    <definedName name="Availability_of_seating_3">OFFSET(ComparisonData!$NY$6,0,0,ComparisonData!$OB$119,1)</definedName>
    <definedName name="Availability_of_seating_4">OFFSET(ComparisonData!$NZ$6,0,0,ComparisonData!$OB$119,1)</definedName>
    <definedName name="Availability_of_seating_5">OFFSET(ComparisonData!$OA$6,0,0,ComparisonData!$OB$119,1)</definedName>
    <definedName name="Availability_of_seating_lbl">OFFSET(ComparisonData!$NV$6,0,0,ComparisonData!$OB$119,1)</definedName>
    <definedName name="Availability_of_staff_avg">OFFSET(ComparisonData!$CO$6,0,0,ComparisonData!$CP$119,1)</definedName>
    <definedName name="Availability_of_staff_lbl">OFFSET(ComparisonData!$CN$6,0,0,ComparisonData!$CP$119,1)</definedName>
    <definedName name="Average_age_avg">OFFSET(ComparisonData!$ZU$6,0,0,ComparisonData!$ZV$119,1)</definedName>
    <definedName name="Average_age_lbl">OFFSET(ComparisonData!$ZT$6,0,0,ComparisonData!$ZV$119,1)</definedName>
    <definedName name="b__If_No_at__a__above__have_you_visited_this_archive_before?_lbl">OFFSET(ComparisonData!$X$6,0,0,ComparisonData!$AA$119,1)</definedName>
    <definedName name="b__If_No_at__a__above__have_you_visited_this_archive_before?_n">OFFSET(ComparisonData!$Z$6,0,0,ComparisonData!$AA$119,1)</definedName>
    <definedName name="b__If_No_at__a__above__have_you_visited_this_archive_before?_y">OFFSET(ComparisonData!$Y$6,0,0,ComparisonData!$AA$119,1)</definedName>
    <definedName name="b__If_not_a_UK_resident__what_is_your_country_of_residence?___By_region_1">OFFSET(ComparisonData!$ABK$6,0,0,ComparisonData!$ABP$119,1)</definedName>
    <definedName name="b__If_not_a_UK_resident__what_is_your_country_of_residence?___By_region_2">OFFSET(ComparisonData!$ABL$6,0,0,ComparisonData!$ABP$119,1)</definedName>
    <definedName name="b__If_not_a_UK_resident__what_is_your_country_of_residence?___By_region_3">OFFSET(ComparisonData!$ABM$6,0,0,ComparisonData!$ABP$119,1)</definedName>
    <definedName name="b__If_not_a_UK_resident__what_is_your_country_of_residence?___By_region_4">OFFSET(ComparisonData!$ABN$6,0,0,ComparisonData!$ABP$119,1)</definedName>
    <definedName name="b__If_not_a_UK_resident__what_is_your_country_of_residence?___By_region_5">OFFSET(ComparisonData!$ABO$6,0,0,ComparisonData!$ABP$119,1)</definedName>
    <definedName name="b__If_not_a_UK_resident__what_is_your_country_of_residence?___By_region_lbl">OFFSET(ComparisonData!$ABJ$6,0,0,ComparisonData!$ABP$119,1)</definedName>
    <definedName name="b__If_yes__have_you_experienced_any_barriers_to_accessing_this_service?_1">OFFSET(ComparisonData!$ADD$6,0,0,ComparisonData!$ADG$119,1)</definedName>
    <definedName name="b__If_yes__have_you_experienced_any_barriers_to_accessing_this_service?_2">OFFSET(ComparisonData!$ADE$6,0,0,ComparisonData!$ADG$119,1)</definedName>
    <definedName name="b__If_yes__have_you_experienced_any_barriers_to_accessing_this_service?_3">OFFSET(ComparisonData!$ADF$6,0,0,ComparisonData!$ADG$119,1)</definedName>
    <definedName name="b__If_yes__have_you_experienced_any_barriers_to_accessing_this_service?_lbl">OFFSET(ComparisonData!$ADC$6,0,0,ComparisonData!$ADG$119,1)</definedName>
    <definedName name="c__If_Yes_at__b__above__are_you_a_regular_user_of_this_archive?_lbl">OFFSET(ComparisonData!$AJ$6,0,0,ComparisonData!$AM$119,1)</definedName>
    <definedName name="c__If_Yes_at__b__above__are_you_a_regular_user_of_this_archive?_n">OFFSET(ComparisonData!$AL$6,0,0,ComparisonData!$AM$119,1)</definedName>
    <definedName name="c__If_Yes_at__b__above__are_you_a_regular_user_of_this_archive?_y">OFFSET(ComparisonData!$AK$6,0,0,ComparisonData!$AM$119,1)</definedName>
    <definedName name="Document_delivery_system_1">OFFSET(ComparisonData!$QQ$6,0,0,ComparisonData!$QV$119,1)</definedName>
    <definedName name="Document_delivery_system_2">OFFSET(ComparisonData!$QR$6,0,0,ComparisonData!$QV$119,1)</definedName>
    <definedName name="Document_delivery_system_3">OFFSET(ComparisonData!$QS$6,0,0,ComparisonData!$QV$119,1)</definedName>
    <definedName name="Document_delivery_system_4">OFFSET(ComparisonData!$QT$6,0,0,ComparisonData!$QV$119,1)</definedName>
    <definedName name="Document_delivery_system_5">OFFSET(ComparisonData!$QU$6,0,0,ComparisonData!$QV$119,1)</definedName>
    <definedName name="Document_delivery_system_lbl">OFFSET(ComparisonData!$QP$6,0,0,ComparisonData!$QV$119,1)</definedName>
    <definedName name="Document_ordering_system_1">OFFSET(ComparisonData!$PY$6,0,0,ComparisonData!$QD$119,1)</definedName>
    <definedName name="Document_ordering_system_2">OFFSET(ComparisonData!$PZ$6,0,0,ComparisonData!$QD$119,1)</definedName>
    <definedName name="Document_ordering_system_3">OFFSET(ComparisonData!$QA$6,0,0,ComparisonData!$QD$119,1)</definedName>
    <definedName name="Document_ordering_system_4">OFFSET(ComparisonData!$QB$6,0,0,ComparisonData!$QD$119,1)</definedName>
    <definedName name="Document_ordering_system_5">OFFSET(ComparisonData!$QC$6,0,0,ComparisonData!$QD$119,1)</definedName>
    <definedName name="Document_ordering_system_lbl">OFFSET(ComparisonData!$PX$6,0,0,ComparisonData!$QD$119,1)</definedName>
    <definedName name="Ease_with_which_you_found_us_1">OFFSET(ComparisonData!$EK$6,0,0,ComparisonData!$EP$119,1)</definedName>
    <definedName name="Ease_with_which_you_found_us_2">OFFSET(ComparisonData!$EL$6,0,0,ComparisonData!$EP$119,1)</definedName>
    <definedName name="Ease_with_which_you_found_us_3">OFFSET(ComparisonData!$EM$6,0,0,ComparisonData!$EP$119,1)</definedName>
    <definedName name="Ease_with_which_you_found_us_4">OFFSET(ComparisonData!$EN$6,0,0,ComparisonData!$EP$119,1)</definedName>
    <definedName name="Ease_with_which_you_found_us_5">OFFSET(ComparisonData!$EO$6,0,0,ComparisonData!$EP$119,1)</definedName>
    <definedName name="Ease_with_which_you_found_us_lbl">OFFSET(ComparisonData!$EJ$6,0,0,ComparisonData!$EP$119,1)</definedName>
    <definedName name="Facilities_to_charge_personal_computing_devices_1">OFFSET(ComparisonData!$NF$6,0,0,ComparisonData!$NK$119,1)</definedName>
    <definedName name="Facilities_to_charge_personal_computing_devices_2">OFFSET(ComparisonData!$NG$6,0,0,ComparisonData!$NK$119,1)</definedName>
    <definedName name="Facilities_to_charge_personal_computing_devices_3">OFFSET(ComparisonData!$NH$6,0,0,ComparisonData!$NK$119,1)</definedName>
    <definedName name="Facilities_to_charge_personal_computing_devices_4">OFFSET(ComparisonData!$NI$6,0,0,ComparisonData!$NK$119,1)</definedName>
    <definedName name="Facilities_to_charge_personal_computing_devices_5">OFFSET(ComparisonData!$NJ$6,0,0,ComparisonData!$NK$119,1)</definedName>
    <definedName name="Facilities_to_charge_personal_computing_devices_lbl">OFFSET(ComparisonData!$NE$6,0,0,ComparisonData!$NK$119,1)</definedName>
    <definedName name="Found_the_evidence_I_was_looking_for_1">OFFSET(ComparisonData!$XL$6,0,0,ComparisonData!$XN$119,1)</definedName>
    <definedName name="Found_the_evidence_I_was_looking_for_2">OFFSET(ComparisonData!$XM$6,0,0,ComparisonData!$XN$119,1)</definedName>
    <definedName name="Found_the_evidence_I_was_looking_for_lbl">OFFSET(ComparisonData!$XK$6,0,0,ComparisonData!$XN$119,1)</definedName>
    <definedName name="I_developed_new_skills_or_improved_existing_skills__in_research__use_of_ICT__etc._1">OFFSET(ComparisonData!$WP$6,0,0,ComparisonData!$WR$119,1)</definedName>
    <definedName name="I_developed_new_skills_or_improved_existing_skills__in_research__use_of_ICT__etc._2">OFFSET(ComparisonData!$WQ$6,0,0,ComparisonData!$WR$119,1)</definedName>
    <definedName name="I_developed_new_skills_or_improved_existing_skills__in_research__use_of_ICT__etc._lbl">OFFSET(ComparisonData!$WO$6,0,0,ComparisonData!$WR$119,1)</definedName>
    <definedName name="I_have_a_greater_understanding_of_my_community__its_history_and_people_1">OFFSET(ComparisonData!$XA$6,0,0,ComparisonData!$XC$119,1)</definedName>
    <definedName name="I_have_a_greater_understanding_of_my_community__its_history_and_people_2">OFFSET(ComparisonData!$XB$6,0,0,ComparisonData!$XC$119,1)</definedName>
    <definedName name="I_have_a_greater_understanding_of_my_community__its_history_and_people_lbl">OFFSET(ComparisonData!$WZ$6,0,0,ComparisonData!$XC$119,1)</definedName>
    <definedName name="Learnt_something_unexpected_1">OFFSET(ComparisonData!$XW$6,0,0,ComparisonData!$XY$119,1)</definedName>
    <definedName name="Learnt_something_unexpected_2">OFFSET(ComparisonData!$XX$6,0,0,ComparisonData!$XY$119,1)</definedName>
    <definedName name="Learnt_something_unexpected_lbl">OFFSET(ComparisonData!$XV$6,0,0,ComparisonData!$XY$119,1)</definedName>
    <definedName name="Lockers___toilets___rest_or_refreshment_area_1">OFFSET(ComparisonData!$GJ$6,0,0,ComparisonData!$GO$119,1)</definedName>
    <definedName name="Lockers___toilets___rest_or_refreshment_area_2">OFFSET(ComparisonData!$GK$6,0,0,ComparisonData!$GO$119,1)</definedName>
    <definedName name="Lockers___toilets___rest_or_refreshment_area_3">OFFSET(ComparisonData!$GL$6,0,0,ComparisonData!$GO$119,1)</definedName>
    <definedName name="Lockers___toilets___rest_or_refreshment_area_4">OFFSET(ComparisonData!$GM$6,0,0,ComparisonData!$GO$119,1)</definedName>
    <definedName name="Lockers___toilets___rest_or_refreshment_area_5">OFFSET(ComparisonData!$GN$6,0,0,ComparisonData!$GO$119,1)</definedName>
    <definedName name="Lockers___toilets___rest_or_refreshment_area_lbl">OFFSET(ComparisonData!$GI$6,0,0,ComparisonData!$GO$119,1)</definedName>
    <definedName name="Microfilm_and_microfiche_facilities_1">OFFSET(ComparisonData!$RI$6,0,0,ComparisonData!$RN$119,1)</definedName>
    <definedName name="Microfilm_and_microfiche_facilities_2">OFFSET(ComparisonData!$RJ$6,0,0,ComparisonData!$RN$119,1)</definedName>
    <definedName name="Microfilm_and_microfiche_facilities_3">OFFSET(ComparisonData!$RK$6,0,0,ComparisonData!$RN$119,1)</definedName>
    <definedName name="Microfilm_and_microfiche_facilities_4">OFFSET(ComparisonData!$RL$6,0,0,ComparisonData!$RN$119,1)</definedName>
    <definedName name="Microfilm_and_microfiche_facilities_5">OFFSET(ComparisonData!$RM$6,0,0,ComparisonData!$RN$119,1)</definedName>
    <definedName name="Microfilm_and_microfiche_facilities_lbl">OFFSET(ComparisonData!$RH$6,0,0,ComparisonData!$RN$119,1)</definedName>
    <definedName name="Online_catalogue_or_resources_1">OFFSET(ComparisonData!$UC$6,0,0,ComparisonData!$UH$119,1)</definedName>
    <definedName name="Online_catalogue_or_resources_2">OFFSET(ComparisonData!$UD$6,0,0,ComparisonData!$UH$119,1)</definedName>
    <definedName name="Online_catalogue_or_resources_3">OFFSET(ComparisonData!$UE$6,0,0,ComparisonData!$UH$119,1)</definedName>
    <definedName name="Online_catalogue_or_resources_4">OFFSET(ComparisonData!$UF$6,0,0,ComparisonData!$UH$119,1)</definedName>
    <definedName name="Online_catalogue_or_resources_5">OFFSET(ComparisonData!$UG$6,0,0,ComparisonData!$UH$119,1)</definedName>
    <definedName name="Online_catalogue_or_resources_lbl">OFFSET(ComparisonData!$UB$6,0,0,ComparisonData!$UH$119,1)</definedName>
    <definedName name="Opening_hours_1">OFFSET(ComparisonData!$DT$6,0,0,ComparisonData!$DY$119,1)</definedName>
    <definedName name="Opening_hours_2">OFFSET(ComparisonData!$DU$6,0,0,ComparisonData!$DY$119,1)</definedName>
    <definedName name="Opening_hours_3">OFFSET(ComparisonData!$DV$6,0,0,ComparisonData!$DY$119,1)</definedName>
    <definedName name="Opening_hours_4">OFFSET(ComparisonData!$DW$6,0,0,ComparisonData!$DY$119,1)</definedName>
    <definedName name="Opening_hours_5">OFFSET(ComparisonData!$DX$6,0,0,ComparisonData!$DY$119,1)</definedName>
    <definedName name="Opening_hours_lbl">OFFSET(ComparisonData!$DS$6,0,0,ComparisonData!$DY$119,1)</definedName>
    <definedName name="Our_copy_services_1">OFFSET(ComparisonData!$SA$6,0,0,ComparisonData!$SF$119,1)</definedName>
    <definedName name="Our_copy_services_2">OFFSET(ComparisonData!$SB$6,0,0,ComparisonData!$SF$119,1)</definedName>
    <definedName name="Our_copy_services_3">OFFSET(ComparisonData!$SC$6,0,0,ComparisonData!$SF$119,1)</definedName>
    <definedName name="Our_copy_services_4">OFFSET(ComparisonData!$SD$6,0,0,ComparisonData!$SF$119,1)</definedName>
    <definedName name="Our_copy_services_5">OFFSET(ComparisonData!$SE$6,0,0,ComparisonData!$SF$119,1)</definedName>
    <definedName name="Our_copy_services_lbl">OFFSET(ComparisonData!$RZ$6,0,0,ComparisonData!$SF$119,1)</definedName>
    <definedName name="Overall__how_do_you_rate_this_archive?_avg">OFFSET(ComparisonData!$UP$6,0,0,ComparisonData!$UQ$119,1)</definedName>
    <definedName name="Overall__how_do_you_rate_this_archive?_lbl">OFFSET(ComparisonData!$UO$6,0,0,ComparisonData!$UQ$119,1)</definedName>
    <definedName name="Printed_catalogues_or_resources_1">OFFSET(ComparisonData!$TK$6,0,0,ComparisonData!$TP$119,1)</definedName>
    <definedName name="Printed_catalogues_or_resources_2">OFFSET(ComparisonData!$TL$6,0,0,ComparisonData!$TP$119,1)</definedName>
    <definedName name="Printed_catalogues_or_resources_3">OFFSET(ComparisonData!$TM$6,0,0,ComparisonData!$TP$119,1)</definedName>
    <definedName name="Printed_catalogues_or_resources_4">OFFSET(ComparisonData!$TN$6,0,0,ComparisonData!$TP$119,1)</definedName>
    <definedName name="Printed_catalogues_or_resources_5">OFFSET(ComparisonData!$TO$6,0,0,ComparisonData!$TP$119,1)</definedName>
    <definedName name="Printed_catalogues_or_resources_lbl">OFFSET(ComparisonData!$TJ$6,0,0,ComparisonData!$TP$119,1)</definedName>
    <definedName name="Quality_and_appropriateness_of_the_staff_s_advice_avg">OFFSET(ComparisonData!$DG$6,0,0,ComparisonData!$DH$119,1)</definedName>
    <definedName name="Quality_and_appropriateness_of_the_staff_s_advice_lbl">OFFSET(ComparisonData!$DF$6,0,0,ComparisonData!$DH$119,1)</definedName>
    <definedName name="Quality_of_our_online_catalogue_1">OFFSET(ComparisonData!$KL$6,0,0,ComparisonData!$KQ$119,1)</definedName>
    <definedName name="Quality_of_our_online_catalogue_2">OFFSET(ComparisonData!$KM$6,0,0,ComparisonData!$KQ$119,1)</definedName>
    <definedName name="Quality_of_our_online_catalogue_3">OFFSET(ComparisonData!$KN$6,0,0,ComparisonData!$KQ$119,1)</definedName>
    <definedName name="Quality_of_our_online_catalogue_4">OFFSET(ComparisonData!$KO$6,0,0,ComparisonData!$KQ$119,1)</definedName>
    <definedName name="Quality_of_our_online_catalogue_5">OFFSET(ComparisonData!$KP$6,0,0,ComparisonData!$KQ$119,1)</definedName>
    <definedName name="Quality_of_our_online_catalogue_lbl">OFFSET(ComparisonData!$KK$6,0,0,ComparisonData!$KQ$119,1)</definedName>
    <definedName name="Quality_of_our_other_online_resources_1">OFFSET(ComparisonData!$LD$6,0,0,ComparisonData!$LI$119,1)</definedName>
    <definedName name="Quality_of_our_other_online_resources_2">OFFSET(ComparisonData!$LE$6,0,0,ComparisonData!$LI$119,1)</definedName>
    <definedName name="Quality_of_our_other_online_resources_3">OFFSET(ComparisonData!$LF$6,0,0,ComparisonData!$LI$119,1)</definedName>
    <definedName name="Quality_of_our_other_online_resources_4">OFFSET(ComparisonData!$LG$6,0,0,ComparisonData!$LI$119,1)</definedName>
    <definedName name="Quality_of_our_other_online_resources_5">OFFSET(ComparisonData!$LH$6,0,0,ComparisonData!$LI$119,1)</definedName>
    <definedName name="Quality_of_our_other_online_resources_lbl">OFFSET(ComparisonData!$LC$6,0,0,ComparisonData!$LI$119,1)</definedName>
    <definedName name="Quality_of_our_other_paper_resources_1">OFFSET(ComparisonData!$PG$6,0,0,ComparisonData!$PL$119,1)</definedName>
    <definedName name="Quality_of_our_other_paper_resources_2">OFFSET(ComparisonData!$PH$6,0,0,ComparisonData!$PL$119,1)</definedName>
    <definedName name="Quality_of_our_other_paper_resources_3">OFFSET(ComparisonData!$PI$6,0,0,ComparisonData!$PL$119,1)</definedName>
    <definedName name="Quality_of_our_other_paper_resources_4">OFFSET(ComparisonData!$PJ$6,0,0,ComparisonData!$PL$119,1)</definedName>
    <definedName name="Quality_of_our_other_paper_resources_5">OFFSET(ComparisonData!$PK$6,0,0,ComparisonData!$PL$119,1)</definedName>
    <definedName name="Quality_of_our_other_paper_resources_lbl">OFFSET(ComparisonData!$PF$6,0,0,ComparisonData!$PL$119,1)</definedName>
    <definedName name="Quality_of_our_paper_catalogues_1">OFFSET(ComparisonData!$OO$6,0,0,ComparisonData!$OT$119,1)</definedName>
    <definedName name="Quality_of_our_paper_catalogues_2">OFFSET(ComparisonData!$OP$6,0,0,ComparisonData!$OT$119,1)</definedName>
    <definedName name="Quality_of_our_paper_catalogues_3">OFFSET(ComparisonData!$OQ$6,0,0,ComparisonData!$OT$119,1)</definedName>
    <definedName name="Quality_of_our_paper_catalogues_4">OFFSET(ComparisonData!$OR$6,0,0,ComparisonData!$OT$119,1)</definedName>
    <definedName name="Quality_of_our_paper_catalogues_5">OFFSET(ComparisonData!$OS$6,0,0,ComparisonData!$OT$119,1)</definedName>
    <definedName name="Quality_of_our_paper_catalogues_lbl">OFFSET(ComparisonData!$ON$6,0,0,ComparisonData!$OT$119,1)</definedName>
    <definedName name="Speed_of_our_computers_1">OFFSET(ComparisonData!$JB$6,0,0,ComparisonData!$JG$119,1)</definedName>
    <definedName name="Speed_of_our_computers_2">OFFSET(ComparisonData!$JC$6,0,0,ComparisonData!$JG$119,1)</definedName>
    <definedName name="Speed_of_our_computers_3">OFFSET(ComparisonData!$JD$6,0,0,ComparisonData!$JG$119,1)</definedName>
    <definedName name="Speed_of_our_computers_4">OFFSET(ComparisonData!$JE$6,0,0,ComparisonData!$JG$119,1)</definedName>
    <definedName name="Speed_of_our_computers_5">OFFSET(ComparisonData!$JF$6,0,0,ComparisonData!$JG$119,1)</definedName>
    <definedName name="Speed_of_our_computers_lbl">OFFSET(ComparisonData!$JA$6,0,0,ComparisonData!$JG$119,1)</definedName>
    <definedName name="Usability_of_our_online_catalogue_1">OFFSET(ComparisonData!$JT$6,0,0,ComparisonData!$JY$119,1)</definedName>
    <definedName name="Usability_of_our_online_catalogue_2">OFFSET(ComparisonData!$JU$6,0,0,ComparisonData!$JY$119,1)</definedName>
    <definedName name="Usability_of_our_online_catalogue_3">OFFSET(ComparisonData!$JV$6,0,0,ComparisonData!$JY$119,1)</definedName>
    <definedName name="Usability_of_our_online_catalogue_4">OFFSET(ComparisonData!$JW$6,0,0,ComparisonData!$JY$119,1)</definedName>
    <definedName name="Usability_of_our_online_catalogue_5">OFFSET(ComparisonData!$JX$6,0,0,ComparisonData!$JY$119,1)</definedName>
    <definedName name="Usability_of_our_online_catalogue_lbl">OFFSET(ComparisonData!$JS$6,0,0,ComparisonData!$JY$119,1)</definedName>
    <definedName name="Verbal_communication_1">OFFSET(ComparisonData!$SS$6,0,0,ComparisonData!$SX$119,1)</definedName>
    <definedName name="Verbal_communication_2">OFFSET(ComparisonData!$ST$6,0,0,ComparisonData!$SX$119,1)</definedName>
    <definedName name="Verbal_communication_3">OFFSET(ComparisonData!$SU$6,0,0,ComparisonData!$SX$119,1)</definedName>
    <definedName name="Verbal_communication_4">OFFSET(ComparisonData!$SV$6,0,0,ComparisonData!$SX$119,1)</definedName>
    <definedName name="Verbal_communication_5">OFFSET(ComparisonData!$SW$6,0,0,ComparisonData!$SX$119,1)</definedName>
    <definedName name="Verbal_communication_lbl">OFFSET(ComparisonData!$SR$6,0,0,ComparisonData!$SX$119,1)</definedName>
    <definedName name="Welcome___reception_1">OFFSET(ComparisonData!$HA$6,0,0,ComparisonData!$HF$119,1)</definedName>
    <definedName name="Welcome___reception_2">OFFSET(ComparisonData!$HB$6,0,0,ComparisonData!$HF$119,1)</definedName>
    <definedName name="Welcome___reception_3">OFFSET(ComparisonData!$HC$6,0,0,ComparisonData!$HF$119,1)</definedName>
    <definedName name="Welcome___reception_4">OFFSET(ComparisonData!$HD$6,0,0,ComparisonData!$HF$119,1)</definedName>
    <definedName name="Welcome___reception_5">OFFSET(ComparisonData!$HE$6,0,0,ComparisonData!$HF$119,1)</definedName>
    <definedName name="Welcome___reception_lbl">OFFSET(ComparisonData!$GZ$6,0,0,ComparisonData!$HF$119,1)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P115" i="6" l="1"/>
  <c r="AAO115" i="6"/>
  <c r="AAN115" i="6"/>
  <c r="AAM115" i="6"/>
  <c r="AAL115" i="6"/>
  <c r="AAP94" i="6"/>
  <c r="AAO94" i="6"/>
  <c r="AAN94" i="6"/>
  <c r="AAM94" i="6"/>
  <c r="AAL94" i="6"/>
  <c r="AAK94" i="6" s="1"/>
  <c r="AAP78" i="6"/>
  <c r="AAO78" i="6"/>
  <c r="AAN78" i="6"/>
  <c r="AAM78" i="6"/>
  <c r="AAL78" i="6"/>
  <c r="AAP20" i="6"/>
  <c r="AAO20" i="6"/>
  <c r="AAN20" i="6"/>
  <c r="AAM20" i="6"/>
  <c r="AAL20" i="6"/>
  <c r="AAK78" i="6" l="1"/>
  <c r="AAK115" i="6"/>
  <c r="AAK20" i="6"/>
  <c r="L5375" i="7"/>
  <c r="K5375" i="7"/>
  <c r="J5375" i="7"/>
  <c r="J5374" i="7"/>
  <c r="J5373" i="7"/>
  <c r="K5258" i="7"/>
  <c r="J5258" i="7"/>
  <c r="J5257" i="7"/>
  <c r="J5256" i="7"/>
  <c r="N5141" i="7"/>
  <c r="M5141" i="7"/>
  <c r="L5141" i="7"/>
  <c r="K5141" i="7"/>
  <c r="J5141" i="7"/>
  <c r="J5140" i="7"/>
  <c r="J5139" i="7"/>
  <c r="N5063" i="7"/>
  <c r="M5063" i="7"/>
  <c r="L5063" i="7"/>
  <c r="K5063" i="7"/>
  <c r="J5063" i="7"/>
  <c r="J5062" i="7"/>
  <c r="J5061" i="7"/>
  <c r="N4950" i="7"/>
  <c r="M4950" i="7"/>
  <c r="L4950" i="7"/>
  <c r="K4950" i="7"/>
  <c r="J4950" i="7"/>
  <c r="J4949" i="7"/>
  <c r="J4948" i="7"/>
  <c r="J4833" i="7"/>
  <c r="J4832" i="7"/>
  <c r="J4831" i="7"/>
  <c r="N4716" i="7"/>
  <c r="M4716" i="7"/>
  <c r="L4716" i="7"/>
  <c r="K4716" i="7"/>
  <c r="J4716" i="7"/>
  <c r="J4715" i="7"/>
  <c r="J4714" i="7"/>
  <c r="K4599" i="7"/>
  <c r="J4599" i="7"/>
  <c r="J4598" i="7"/>
  <c r="J4597" i="7"/>
  <c r="K4482" i="7"/>
  <c r="J4482" i="7"/>
  <c r="J4481" i="7"/>
  <c r="J4480" i="7"/>
  <c r="K4365" i="7"/>
  <c r="J4365" i="7"/>
  <c r="J4364" i="7"/>
  <c r="J4363" i="7"/>
  <c r="J4362" i="7"/>
  <c r="K4247" i="7"/>
  <c r="J4247" i="7"/>
  <c r="J4246" i="7"/>
  <c r="J4245" i="7"/>
  <c r="J4244" i="7"/>
  <c r="K4130" i="7"/>
  <c r="J4130" i="7"/>
  <c r="J4129" i="7"/>
  <c r="J4128" i="7"/>
  <c r="J4127" i="7"/>
  <c r="K4013" i="7" l="1"/>
  <c r="J4013" i="7"/>
  <c r="J4012" i="7"/>
  <c r="J4011" i="7"/>
  <c r="J4010" i="7"/>
  <c r="J3895" i="7"/>
  <c r="J3894" i="7"/>
  <c r="J3893" i="7"/>
  <c r="M3778" i="7"/>
  <c r="L3778" i="7"/>
  <c r="K3778" i="7"/>
  <c r="J3778" i="7"/>
  <c r="J3777" i="7"/>
  <c r="J3776" i="7"/>
  <c r="N3661" i="7"/>
  <c r="M3661" i="7"/>
  <c r="L3661" i="7"/>
  <c r="K3661" i="7"/>
  <c r="J3661" i="7"/>
  <c r="J3660" i="7"/>
  <c r="J3659" i="7"/>
  <c r="J3544" i="7"/>
  <c r="J3543" i="7"/>
  <c r="J3542" i="7"/>
  <c r="J3541" i="7"/>
  <c r="N3523" i="7"/>
  <c r="M3523" i="7"/>
  <c r="L3523" i="7"/>
  <c r="K3523" i="7"/>
  <c r="J3523" i="7"/>
  <c r="J3522" i="7"/>
  <c r="J3521" i="7"/>
  <c r="J3520" i="7"/>
  <c r="N3502" i="7"/>
  <c r="M3502" i="7"/>
  <c r="L3502" i="7"/>
  <c r="K3502" i="7"/>
  <c r="J3502" i="7"/>
  <c r="J3501" i="7"/>
  <c r="J3500" i="7"/>
  <c r="J3499" i="7"/>
  <c r="N3481" i="7"/>
  <c r="M3481" i="7"/>
  <c r="L3481" i="7"/>
  <c r="K3481" i="7"/>
  <c r="J3481" i="7"/>
  <c r="J3480" i="7"/>
  <c r="J3479" i="7"/>
  <c r="J3478" i="7"/>
  <c r="N3373" i="7"/>
  <c r="M3373" i="7"/>
  <c r="L3373" i="7"/>
  <c r="K3373" i="7"/>
  <c r="J3373" i="7"/>
  <c r="J3372" i="7"/>
  <c r="J3371" i="7"/>
  <c r="J3370" i="7"/>
  <c r="N3267" i="7"/>
  <c r="M3267" i="7"/>
  <c r="L3267" i="7"/>
  <c r="K3267" i="7"/>
  <c r="J3267" i="7"/>
  <c r="J3266" i="7"/>
  <c r="J3265" i="7"/>
  <c r="J3264" i="7"/>
  <c r="N3151" i="7"/>
  <c r="M3151" i="7"/>
  <c r="L3151" i="7"/>
  <c r="K3151" i="7"/>
  <c r="J3151" i="7"/>
  <c r="J3150" i="7"/>
  <c r="J3149" i="7"/>
  <c r="J3148" i="7"/>
  <c r="N3033" i="7"/>
  <c r="M3033" i="7"/>
  <c r="L3033" i="7"/>
  <c r="K3033" i="7"/>
  <c r="J3033" i="7"/>
  <c r="J3032" i="7"/>
  <c r="J3031" i="7"/>
  <c r="J3030" i="7"/>
  <c r="N2917" i="7"/>
  <c r="M2917" i="7"/>
  <c r="L2917" i="7"/>
  <c r="K2917" i="7"/>
  <c r="J2917" i="7"/>
  <c r="J2916" i="7"/>
  <c r="J2915" i="7"/>
  <c r="J2914" i="7"/>
  <c r="N2803" i="7"/>
  <c r="M2803" i="7"/>
  <c r="L2803" i="7"/>
  <c r="K2803" i="7"/>
  <c r="J2803" i="7"/>
  <c r="J2802" i="7"/>
  <c r="J2801" i="7"/>
  <c r="J2800" i="7"/>
  <c r="N2685" i="7"/>
  <c r="M2685" i="7"/>
  <c r="L2685" i="7"/>
  <c r="K2685" i="7"/>
  <c r="J2685" i="7"/>
  <c r="J2684" i="7"/>
  <c r="J2683" i="7"/>
  <c r="J2682" i="7"/>
  <c r="N2568" i="7"/>
  <c r="M2568" i="7"/>
  <c r="L2568" i="7"/>
  <c r="K2568" i="7"/>
  <c r="J2568" i="7"/>
  <c r="J2567" i="7"/>
  <c r="J2566" i="7"/>
  <c r="J2565" i="7"/>
  <c r="N2450" i="7"/>
  <c r="M2450" i="7"/>
  <c r="L2450" i="7"/>
  <c r="K2450" i="7"/>
  <c r="J2450" i="7"/>
  <c r="J2449" i="7"/>
  <c r="J2448" i="7"/>
  <c r="J2447" i="7"/>
  <c r="N2333" i="7"/>
  <c r="M2333" i="7"/>
  <c r="L2333" i="7"/>
  <c r="K2333" i="7"/>
  <c r="J2333" i="7"/>
  <c r="J2332" i="7"/>
  <c r="J2331" i="7"/>
  <c r="J2330" i="7"/>
  <c r="N2216" i="7"/>
  <c r="M2216" i="7"/>
  <c r="L2216" i="7"/>
  <c r="K2216" i="7"/>
  <c r="J2216" i="7"/>
  <c r="J2215" i="7"/>
  <c r="J2214" i="7"/>
  <c r="J2213" i="7"/>
  <c r="N2098" i="7"/>
  <c r="M2098" i="7"/>
  <c r="L2098" i="7"/>
  <c r="K2098" i="7"/>
  <c r="J2098" i="7"/>
  <c r="J2097" i="7"/>
  <c r="J2096" i="7"/>
  <c r="J2095" i="7"/>
  <c r="N1980" i="7"/>
  <c r="M1980" i="7"/>
  <c r="L1980" i="7"/>
  <c r="K1980" i="7"/>
  <c r="J1980" i="7"/>
  <c r="J1979" i="7"/>
  <c r="J1978" i="7"/>
  <c r="J1977" i="7"/>
  <c r="N1874" i="7"/>
  <c r="M1874" i="7"/>
  <c r="L1874" i="7"/>
  <c r="K1874" i="7"/>
  <c r="J1874" i="7"/>
  <c r="J1873" i="7"/>
  <c r="J1872" i="7"/>
  <c r="J1871" i="7"/>
  <c r="N1765" i="7"/>
  <c r="M1765" i="7"/>
  <c r="L1765" i="7"/>
  <c r="K1765" i="7"/>
  <c r="J1765" i="7"/>
  <c r="J1764" i="7"/>
  <c r="J1763" i="7"/>
  <c r="J1762" i="7"/>
  <c r="N1647" i="7" l="1"/>
  <c r="M1647" i="7"/>
  <c r="L1647" i="7"/>
  <c r="K1647" i="7"/>
  <c r="J1647" i="7"/>
  <c r="J1646" i="7"/>
  <c r="J1645" i="7"/>
  <c r="J1644" i="7"/>
  <c r="N1529" i="7"/>
  <c r="M1529" i="7"/>
  <c r="L1529" i="7"/>
  <c r="K1529" i="7"/>
  <c r="J1529" i="7"/>
  <c r="J1528" i="7"/>
  <c r="J1527" i="7"/>
  <c r="J1526" i="7"/>
  <c r="N1411" i="7"/>
  <c r="M1411" i="7"/>
  <c r="L1411" i="7"/>
  <c r="K1411" i="7"/>
  <c r="J1411" i="7"/>
  <c r="J1410" i="7"/>
  <c r="J1409" i="7"/>
  <c r="J1408" i="7"/>
  <c r="N1293" i="7"/>
  <c r="M1293" i="7"/>
  <c r="L1293" i="7"/>
  <c r="K1293" i="7"/>
  <c r="J1293" i="7"/>
  <c r="J1292" i="7"/>
  <c r="J1291" i="7"/>
  <c r="J1290" i="7"/>
  <c r="N1175" i="7"/>
  <c r="M1175" i="7"/>
  <c r="L1175" i="7"/>
  <c r="K1175" i="7"/>
  <c r="J1175" i="7"/>
  <c r="J1174" i="7"/>
  <c r="J1173" i="7"/>
  <c r="J1172" i="7"/>
  <c r="N1057" i="7"/>
  <c r="M1057" i="7"/>
  <c r="L1057" i="7"/>
  <c r="K1057" i="7"/>
  <c r="J1057" i="7"/>
  <c r="J1056" i="7"/>
  <c r="J1055" i="7"/>
  <c r="J1054" i="7"/>
  <c r="N939" i="7"/>
  <c r="M939" i="7"/>
  <c r="L939" i="7"/>
  <c r="K939" i="7"/>
  <c r="J939" i="7"/>
  <c r="J938" i="7"/>
  <c r="J937" i="7"/>
  <c r="J936" i="7"/>
  <c r="J821" i="7"/>
  <c r="J820" i="7"/>
  <c r="J819" i="7"/>
  <c r="J704" i="7"/>
  <c r="J703" i="7"/>
  <c r="J702" i="7"/>
  <c r="J587" i="7"/>
  <c r="J586" i="7"/>
  <c r="J585" i="7"/>
  <c r="O470" i="7"/>
  <c r="N470" i="7"/>
  <c r="M470" i="7"/>
  <c r="L470" i="7"/>
  <c r="K470" i="7"/>
  <c r="J470" i="7"/>
  <c r="J469" i="7"/>
  <c r="J468" i="7"/>
  <c r="S353" i="7"/>
  <c r="R353" i="7"/>
  <c r="Q353" i="7"/>
  <c r="P353" i="7"/>
  <c r="O353" i="7"/>
  <c r="N353" i="7"/>
  <c r="M353" i="7"/>
  <c r="L353" i="7"/>
  <c r="K353" i="7"/>
  <c r="J353" i="7"/>
  <c r="J352" i="7"/>
  <c r="J351" i="7"/>
  <c r="K240" i="7"/>
  <c r="J240" i="7"/>
  <c r="J239" i="7"/>
  <c r="J238" i="7"/>
  <c r="J237" i="7"/>
  <c r="K122" i="7"/>
  <c r="J122" i="7"/>
  <c r="J121" i="7"/>
  <c r="J120" i="7"/>
  <c r="J119" i="7"/>
  <c r="K4" i="7"/>
  <c r="J4" i="7"/>
  <c r="J3" i="7"/>
  <c r="J2" i="7"/>
  <c r="J1" i="7"/>
  <c r="CA3" i="6"/>
  <c r="BD3" i="6"/>
  <c r="ACL6" i="5"/>
  <c r="ACP117" i="5"/>
  <c r="ACP116" i="5"/>
  <c r="ACP115" i="5"/>
  <c r="ACP114" i="5"/>
  <c r="ACP113" i="5"/>
  <c r="ACP112" i="5"/>
  <c r="ACP111" i="5"/>
  <c r="ACP110" i="5"/>
  <c r="ACP109" i="5"/>
  <c r="ACP108" i="5"/>
  <c r="ACP107" i="5"/>
  <c r="ACP106" i="5"/>
  <c r="ACP105" i="5"/>
  <c r="ACP104" i="5"/>
  <c r="ACP103" i="5"/>
  <c r="ACP102" i="5"/>
  <c r="ACP101" i="5"/>
  <c r="ACP100" i="5"/>
  <c r="ACP99" i="5"/>
  <c r="ACP98" i="5"/>
  <c r="ACP97" i="5"/>
  <c r="ACP96" i="5"/>
  <c r="ACP95" i="5"/>
  <c r="ACP94" i="5"/>
  <c r="ACP93" i="5"/>
  <c r="ACP92" i="5"/>
  <c r="ACP91" i="5"/>
  <c r="ACP90" i="5"/>
  <c r="ACP89" i="5"/>
  <c r="ACP88" i="5"/>
  <c r="ACP87" i="5"/>
  <c r="ACP86" i="5"/>
  <c r="ACP85" i="5"/>
  <c r="ACP84" i="5"/>
  <c r="ACP83" i="5"/>
  <c r="ACP82" i="5"/>
  <c r="ACP81" i="5"/>
  <c r="ACP80" i="5"/>
  <c r="ACP79" i="5"/>
  <c r="ACP78" i="5"/>
  <c r="ACP77" i="5"/>
  <c r="ACP76" i="5"/>
  <c r="ACP75" i="5"/>
  <c r="ACP74" i="5"/>
  <c r="ACP73" i="5"/>
  <c r="ACP72" i="5"/>
  <c r="ACP71" i="5"/>
  <c r="ACP70" i="5"/>
  <c r="ACP69" i="5"/>
  <c r="ACP68" i="5"/>
  <c r="ACP67" i="5"/>
  <c r="ACP66" i="5"/>
  <c r="ACP65" i="5"/>
  <c r="ACP64" i="5"/>
  <c r="ACP63" i="5"/>
  <c r="ACP62" i="5"/>
  <c r="ACP61" i="5"/>
  <c r="ACP60" i="5"/>
  <c r="ACP59" i="5"/>
  <c r="ACP58" i="5"/>
  <c r="ACP57" i="5"/>
  <c r="ACP56" i="5"/>
  <c r="ACP55" i="5"/>
  <c r="ACP54" i="5"/>
  <c r="ACP53" i="5"/>
  <c r="ACP52" i="5"/>
  <c r="ACP51" i="5"/>
  <c r="ACP50" i="5"/>
  <c r="ACP49" i="5"/>
  <c r="ACP48" i="5"/>
  <c r="ACP47" i="5"/>
  <c r="ACP46" i="5"/>
  <c r="ACP45" i="5"/>
  <c r="ACP44" i="5"/>
  <c r="ACP43" i="5"/>
  <c r="ACP42" i="5"/>
  <c r="ACP41" i="5"/>
  <c r="ACP40" i="5"/>
  <c r="ACP39" i="5"/>
  <c r="ACP38" i="5"/>
  <c r="ACP37" i="5"/>
  <c r="ACP36" i="5"/>
  <c r="ACP35" i="5"/>
  <c r="ACP34" i="5"/>
  <c r="ACP33" i="5"/>
  <c r="ACP32" i="5"/>
  <c r="ACP31" i="5"/>
  <c r="ACP30" i="5"/>
  <c r="ACP29" i="5"/>
  <c r="ACP28" i="5"/>
  <c r="ACP27" i="5"/>
  <c r="ACP26" i="5"/>
  <c r="ACP25" i="5"/>
  <c r="ACP24" i="5"/>
  <c r="ACP23" i="5"/>
  <c r="ACP22" i="5"/>
  <c r="ACP21" i="5"/>
  <c r="ACP20" i="5"/>
  <c r="ACP19" i="5"/>
  <c r="ACP18" i="5"/>
  <c r="ACP17" i="5"/>
  <c r="ACP16" i="5"/>
  <c r="ACP15" i="5"/>
  <c r="ACP14" i="5"/>
  <c r="ACP13" i="5"/>
  <c r="ACP12" i="5"/>
  <c r="ACP11" i="5"/>
  <c r="ACP10" i="5"/>
  <c r="ACP9" i="5"/>
  <c r="ACP8" i="5"/>
  <c r="ACP7" i="5"/>
  <c r="ACP6" i="5"/>
  <c r="ADB55" i="5" l="1"/>
  <c r="ACY15" i="5"/>
  <c r="ACZ29" i="5"/>
  <c r="ADC29" i="5" s="1"/>
  <c r="ACY20" i="5"/>
  <c r="ACY103" i="5"/>
  <c r="ADA29" i="5"/>
  <c r="ACY101" i="5"/>
  <c r="ACY37" i="5"/>
  <c r="ADB7" i="5"/>
  <c r="ADA35" i="5"/>
  <c r="ACY39" i="5"/>
  <c r="ACZ8" i="5"/>
  <c r="ADC8" i="5" s="1"/>
  <c r="ACZ37" i="5"/>
  <c r="ADC37" i="5" s="1"/>
  <c r="ACY60" i="5"/>
  <c r="ACZ14" i="5"/>
  <c r="ADC14" i="5" s="1"/>
  <c r="ADA43" i="5"/>
  <c r="ACY61" i="5"/>
  <c r="ADB15" i="5"/>
  <c r="ACZ45" i="5"/>
  <c r="ADC45" i="5" s="1"/>
  <c r="ACY79" i="5"/>
  <c r="ADA21" i="5"/>
  <c r="ADA53" i="5"/>
  <c r="ACY84" i="5"/>
  <c r="ACZ22" i="5"/>
  <c r="ADC22" i="5" s="1"/>
  <c r="ACZ112" i="5"/>
  <c r="ADC112" i="5" s="1"/>
  <c r="ACZ96" i="5"/>
  <c r="ADC96" i="5" s="1"/>
  <c r="ADB90" i="5"/>
  <c r="ADA85" i="5"/>
  <c r="ACZ80" i="5"/>
  <c r="ADC80" i="5" s="1"/>
  <c r="ADB74" i="5"/>
  <c r="ADA69" i="5"/>
  <c r="ACZ64" i="5"/>
  <c r="ADC64" i="5" s="1"/>
  <c r="ADB58" i="5"/>
  <c r="ACZ56" i="5"/>
  <c r="ADC56" i="5" s="1"/>
  <c r="ADB114" i="5"/>
  <c r="ADA109" i="5"/>
  <c r="ADB106" i="5"/>
  <c r="ACZ104" i="5"/>
  <c r="ADC104" i="5" s="1"/>
  <c r="ADA101" i="5"/>
  <c r="ADB98" i="5"/>
  <c r="ADA93" i="5"/>
  <c r="ACZ88" i="5"/>
  <c r="ADC88" i="5" s="1"/>
  <c r="ADB82" i="5"/>
  <c r="ADA77" i="5"/>
  <c r="ACZ72" i="5"/>
  <c r="ADC72" i="5" s="1"/>
  <c r="ADB66" i="5"/>
  <c r="ADA61" i="5"/>
  <c r="ADB111" i="5"/>
  <c r="ACZ109" i="5"/>
  <c r="ADC109" i="5" s="1"/>
  <c r="ADA106" i="5"/>
  <c r="ADB103" i="5"/>
  <c r="ACZ101" i="5"/>
  <c r="ADC101" i="5" s="1"/>
  <c r="ADA98" i="5"/>
  <c r="ADB95" i="5"/>
  <c r="ACZ93" i="5"/>
  <c r="ADC93" i="5" s="1"/>
  <c r="ADA90" i="5"/>
  <c r="ADB87" i="5"/>
  <c r="ACZ85" i="5"/>
  <c r="ADC85" i="5" s="1"/>
  <c r="ADA82" i="5"/>
  <c r="ADB79" i="5"/>
  <c r="ACZ77" i="5"/>
  <c r="ADC77" i="5" s="1"/>
  <c r="ADA74" i="5"/>
  <c r="ADB71" i="5"/>
  <c r="ACZ69" i="5"/>
  <c r="ADC69" i="5" s="1"/>
  <c r="ADB112" i="5"/>
  <c r="ADA99" i="5"/>
  <c r="ADB88" i="5"/>
  <c r="ACZ78" i="5"/>
  <c r="ADC78" i="5" s="1"/>
  <c r="ADA67" i="5"/>
  <c r="ADA59" i="5"/>
  <c r="ADB48" i="5"/>
  <c r="ADA115" i="5"/>
  <c r="ADB104" i="5"/>
  <c r="ACZ94" i="5"/>
  <c r="ADC94" i="5" s="1"/>
  <c r="ADA83" i="5"/>
  <c r="ADB72" i="5"/>
  <c r="ACZ62" i="5"/>
  <c r="ADC62" i="5" s="1"/>
  <c r="ADA51" i="5"/>
  <c r="ADB40" i="5"/>
  <c r="ADA107" i="5"/>
  <c r="ADB96" i="5"/>
  <c r="ACZ86" i="5"/>
  <c r="ADC86" i="5" s="1"/>
  <c r="ADA75" i="5"/>
  <c r="ADB64" i="5"/>
  <c r="ACZ54" i="5"/>
  <c r="ADC54" i="5" s="1"/>
  <c r="ACZ110" i="5"/>
  <c r="ADC110" i="5" s="1"/>
  <c r="ACZ102" i="5"/>
  <c r="ADC102" i="5" s="1"/>
  <c r="ADA91" i="5"/>
  <c r="ADB80" i="5"/>
  <c r="ACZ70" i="5"/>
  <c r="ADC70" i="5" s="1"/>
  <c r="ADB56" i="5"/>
  <c r="ACZ46" i="5"/>
  <c r="ADC46" i="5" s="1"/>
  <c r="ACY12" i="5"/>
  <c r="ACY31" i="5"/>
  <c r="ACY53" i="5"/>
  <c r="ACY76" i="5"/>
  <c r="ACY95" i="5"/>
  <c r="ACY117" i="5"/>
  <c r="ACZ13" i="5"/>
  <c r="ADC13" i="5" s="1"/>
  <c r="ADA19" i="5"/>
  <c r="ADB26" i="5"/>
  <c r="ADA34" i="5"/>
  <c r="ADA42" i="5"/>
  <c r="ADB50" i="5"/>
  <c r="ACY13" i="5"/>
  <c r="ACY36" i="5"/>
  <c r="ACY55" i="5"/>
  <c r="ACY77" i="5"/>
  <c r="ACY100" i="5"/>
  <c r="ACZ6" i="5"/>
  <c r="ADC6" i="5" s="1"/>
  <c r="ADA13" i="5"/>
  <c r="ACZ21" i="5"/>
  <c r="ADC21" i="5" s="1"/>
  <c r="ADA27" i="5"/>
  <c r="ADB34" i="5"/>
  <c r="ADB42" i="5"/>
  <c r="ACZ53" i="5"/>
  <c r="ADC53" i="5" s="1"/>
  <c r="ACY21" i="5"/>
  <c r="ACY44" i="5"/>
  <c r="ACY63" i="5"/>
  <c r="ACY85" i="5"/>
  <c r="ACY108" i="5"/>
  <c r="ADB8" i="5"/>
  <c r="ACZ16" i="5"/>
  <c r="ADC16" i="5" s="1"/>
  <c r="ADB23" i="5"/>
  <c r="ACZ30" i="5"/>
  <c r="ADC30" i="5" s="1"/>
  <c r="ADA37" i="5"/>
  <c r="ADA45" i="5"/>
  <c r="ADA58" i="5"/>
  <c r="ACY23" i="5"/>
  <c r="ACY45" i="5"/>
  <c r="ACY68" i="5"/>
  <c r="ACY87" i="5"/>
  <c r="ACY109" i="5"/>
  <c r="ADA10" i="5"/>
  <c r="ADB16" i="5"/>
  <c r="ACZ24" i="5"/>
  <c r="ADC24" i="5" s="1"/>
  <c r="ADB31" i="5"/>
  <c r="ACZ38" i="5"/>
  <c r="ADC38" i="5" s="1"/>
  <c r="ADB47" i="5"/>
  <c r="ACZ61" i="5"/>
  <c r="ADC61" i="5" s="1"/>
  <c r="ADB117" i="5"/>
  <c r="ACY28" i="5"/>
  <c r="ACY47" i="5"/>
  <c r="ACY69" i="5"/>
  <c r="ACY92" i="5"/>
  <c r="ACY111" i="5"/>
  <c r="ADB10" i="5"/>
  <c r="ADA18" i="5"/>
  <c r="ADB24" i="5"/>
  <c r="ACZ32" i="5"/>
  <c r="ADC32" i="5" s="1"/>
  <c r="ADB39" i="5"/>
  <c r="ACZ48" i="5"/>
  <c r="ADC48" i="5" s="1"/>
  <c r="ADB63" i="5"/>
  <c r="ACY7" i="5"/>
  <c r="ACY29" i="5"/>
  <c r="ACY52" i="5"/>
  <c r="ACY71" i="5"/>
  <c r="ACY93" i="5"/>
  <c r="ACY116" i="5"/>
  <c r="ADA11" i="5"/>
  <c r="ADB18" i="5"/>
  <c r="ADA26" i="5"/>
  <c r="ADB32" i="5"/>
  <c r="ACZ40" i="5"/>
  <c r="ADC40" i="5" s="1"/>
  <c r="ADA50" i="5"/>
  <c r="ADA66" i="5"/>
  <c r="ACY8" i="5"/>
  <c r="ACY16" i="5"/>
  <c r="ACY24" i="5"/>
  <c r="ACY32" i="5"/>
  <c r="ACY40" i="5"/>
  <c r="ACY48" i="5"/>
  <c r="ACY56" i="5"/>
  <c r="ACY64" i="5"/>
  <c r="ACY72" i="5"/>
  <c r="ACY80" i="5"/>
  <c r="ACY88" i="5"/>
  <c r="ACY96" i="5"/>
  <c r="ACY104" i="5"/>
  <c r="ACY112" i="5"/>
  <c r="ADA6" i="5"/>
  <c r="ACZ9" i="5"/>
  <c r="ADC9" i="5" s="1"/>
  <c r="ADB11" i="5"/>
  <c r="ADA14" i="5"/>
  <c r="ACZ17" i="5"/>
  <c r="ADC17" i="5" s="1"/>
  <c r="ADB19" i="5"/>
  <c r="ADA22" i="5"/>
  <c r="ACZ25" i="5"/>
  <c r="ADC25" i="5" s="1"/>
  <c r="ADB27" i="5"/>
  <c r="ADA30" i="5"/>
  <c r="ACZ33" i="5"/>
  <c r="ADC33" i="5" s="1"/>
  <c r="ADB35" i="5"/>
  <c r="ADA38" i="5"/>
  <c r="ACZ41" i="5"/>
  <c r="ADC41" i="5" s="1"/>
  <c r="ADB43" i="5"/>
  <c r="ADA46" i="5"/>
  <c r="ACZ49" i="5"/>
  <c r="ADC49" i="5" s="1"/>
  <c r="ADB51" i="5"/>
  <c r="ADA54" i="5"/>
  <c r="ACZ57" i="5"/>
  <c r="ADC57" i="5" s="1"/>
  <c r="ADB59" i="5"/>
  <c r="ADA62" i="5"/>
  <c r="ACZ65" i="5"/>
  <c r="ADC65" i="5" s="1"/>
  <c r="ADB67" i="5"/>
  <c r="ADA70" i="5"/>
  <c r="ACZ73" i="5"/>
  <c r="ADC73" i="5" s="1"/>
  <c r="ADB75" i="5"/>
  <c r="ADA78" i="5"/>
  <c r="ACZ81" i="5"/>
  <c r="ADC81" i="5" s="1"/>
  <c r="ADB83" i="5"/>
  <c r="ADA86" i="5"/>
  <c r="ACZ89" i="5"/>
  <c r="ADC89" i="5" s="1"/>
  <c r="ADB91" i="5"/>
  <c r="ADA94" i="5"/>
  <c r="ACZ97" i="5"/>
  <c r="ADC97" i="5" s="1"/>
  <c r="ADB99" i="5"/>
  <c r="ADA102" i="5"/>
  <c r="ACZ105" i="5"/>
  <c r="ADC105" i="5" s="1"/>
  <c r="ADB107" i="5"/>
  <c r="ADA110" i="5"/>
  <c r="ACZ113" i="5"/>
  <c r="ADC113" i="5" s="1"/>
  <c r="ADB115" i="5"/>
  <c r="ACY9" i="5"/>
  <c r="ACY17" i="5"/>
  <c r="ACY25" i="5"/>
  <c r="ACY33" i="5"/>
  <c r="ACY41" i="5"/>
  <c r="ACY49" i="5"/>
  <c r="ACY57" i="5"/>
  <c r="ACY65" i="5"/>
  <c r="ACY73" i="5"/>
  <c r="ACY81" i="5"/>
  <c r="ACY89" i="5"/>
  <c r="ACY97" i="5"/>
  <c r="ACY105" i="5"/>
  <c r="ACY113" i="5"/>
  <c r="ADB6" i="5"/>
  <c r="ADA9" i="5"/>
  <c r="ACZ12" i="5"/>
  <c r="ADC12" i="5" s="1"/>
  <c r="ADB14" i="5"/>
  <c r="ADA17" i="5"/>
  <c r="ACZ20" i="5"/>
  <c r="ADC20" i="5" s="1"/>
  <c r="ADB22" i="5"/>
  <c r="ADA25" i="5"/>
  <c r="ACZ28" i="5"/>
  <c r="ADC28" i="5" s="1"/>
  <c r="ADB30" i="5"/>
  <c r="ADA33" i="5"/>
  <c r="ACZ36" i="5"/>
  <c r="ADC36" i="5" s="1"/>
  <c r="ADB38" i="5"/>
  <c r="ADA41" i="5"/>
  <c r="ACZ44" i="5"/>
  <c r="ADC44" i="5" s="1"/>
  <c r="ADB46" i="5"/>
  <c r="ADA49" i="5"/>
  <c r="ACZ52" i="5"/>
  <c r="ADC52" i="5" s="1"/>
  <c r="ADB54" i="5"/>
  <c r="ADA57" i="5"/>
  <c r="ACZ60" i="5"/>
  <c r="ADC60" i="5" s="1"/>
  <c r="ADB62" i="5"/>
  <c r="ADA65" i="5"/>
  <c r="ACZ68" i="5"/>
  <c r="ADC68" i="5" s="1"/>
  <c r="ADB70" i="5"/>
  <c r="ADA73" i="5"/>
  <c r="ACZ76" i="5"/>
  <c r="ADC76" i="5" s="1"/>
  <c r="ADB78" i="5"/>
  <c r="ADA81" i="5"/>
  <c r="ACZ84" i="5"/>
  <c r="ADC84" i="5" s="1"/>
  <c r="ADB86" i="5"/>
  <c r="ADA89" i="5"/>
  <c r="ACZ92" i="5"/>
  <c r="ADC92" i="5" s="1"/>
  <c r="ADB94" i="5"/>
  <c r="ADA97" i="5"/>
  <c r="ACZ100" i="5"/>
  <c r="ADC100" i="5" s="1"/>
  <c r="ADB102" i="5"/>
  <c r="ADA105" i="5"/>
  <c r="ACZ108" i="5"/>
  <c r="ADC108" i="5" s="1"/>
  <c r="ADB110" i="5"/>
  <c r="ADA113" i="5"/>
  <c r="ACZ116" i="5"/>
  <c r="ADC116" i="5" s="1"/>
  <c r="ACY10" i="5"/>
  <c r="ACY18" i="5"/>
  <c r="ACY26" i="5"/>
  <c r="ACY34" i="5"/>
  <c r="ACY42" i="5"/>
  <c r="ACY50" i="5"/>
  <c r="ACY58" i="5"/>
  <c r="ACY66" i="5"/>
  <c r="ACY74" i="5"/>
  <c r="ACY82" i="5"/>
  <c r="ACY90" i="5"/>
  <c r="ACY98" i="5"/>
  <c r="ACY106" i="5"/>
  <c r="ACY114" i="5"/>
  <c r="ACZ7" i="5"/>
  <c r="ADC7" i="5" s="1"/>
  <c r="ADB9" i="5"/>
  <c r="ADA12" i="5"/>
  <c r="ACZ15" i="5"/>
  <c r="ADC15" i="5" s="1"/>
  <c r="ADB17" i="5"/>
  <c r="ADA20" i="5"/>
  <c r="ACZ23" i="5"/>
  <c r="ADC23" i="5" s="1"/>
  <c r="ADB25" i="5"/>
  <c r="ADA28" i="5"/>
  <c r="ACZ31" i="5"/>
  <c r="ADC31" i="5" s="1"/>
  <c r="ADB33" i="5"/>
  <c r="ADA36" i="5"/>
  <c r="ACZ39" i="5"/>
  <c r="ADC39" i="5" s="1"/>
  <c r="ADB41" i="5"/>
  <c r="ADA44" i="5"/>
  <c r="ACZ47" i="5"/>
  <c r="ADC47" i="5" s="1"/>
  <c r="ADB49" i="5"/>
  <c r="ADA52" i="5"/>
  <c r="ACZ55" i="5"/>
  <c r="ADC55" i="5" s="1"/>
  <c r="ADB57" i="5"/>
  <c r="ADA60" i="5"/>
  <c r="ACZ63" i="5"/>
  <c r="ADC63" i="5" s="1"/>
  <c r="ADB65" i="5"/>
  <c r="ADA68" i="5"/>
  <c r="ACZ71" i="5"/>
  <c r="ADC71" i="5" s="1"/>
  <c r="ADB73" i="5"/>
  <c r="ADA76" i="5"/>
  <c r="ACZ79" i="5"/>
  <c r="ADC79" i="5" s="1"/>
  <c r="ADB81" i="5"/>
  <c r="ADA84" i="5"/>
  <c r="ACZ87" i="5"/>
  <c r="ADC87" i="5" s="1"/>
  <c r="ADB89" i="5"/>
  <c r="ADA92" i="5"/>
  <c r="ACZ95" i="5"/>
  <c r="ADC95" i="5" s="1"/>
  <c r="ADB97" i="5"/>
  <c r="ADA100" i="5"/>
  <c r="ACZ103" i="5"/>
  <c r="ADC103" i="5" s="1"/>
  <c r="ADB105" i="5"/>
  <c r="ADA108" i="5"/>
  <c r="ACZ111" i="5"/>
  <c r="ADC111" i="5" s="1"/>
  <c r="ADB113" i="5"/>
  <c r="ADA116" i="5"/>
  <c r="ACY11" i="5"/>
  <c r="ACY19" i="5"/>
  <c r="ACY27" i="5"/>
  <c r="ACY35" i="5"/>
  <c r="ACY43" i="5"/>
  <c r="ACY51" i="5"/>
  <c r="ACY59" i="5"/>
  <c r="ACY67" i="5"/>
  <c r="ACY75" i="5"/>
  <c r="ACY83" i="5"/>
  <c r="ACY91" i="5"/>
  <c r="ACY99" i="5"/>
  <c r="ACY107" i="5"/>
  <c r="ACY115" i="5"/>
  <c r="ADA7" i="5"/>
  <c r="ACZ10" i="5"/>
  <c r="ADC10" i="5" s="1"/>
  <c r="ADB12" i="5"/>
  <c r="ADA15" i="5"/>
  <c r="ACZ18" i="5"/>
  <c r="ADC18" i="5" s="1"/>
  <c r="ADB20" i="5"/>
  <c r="ADA23" i="5"/>
  <c r="ACZ26" i="5"/>
  <c r="ADC26" i="5" s="1"/>
  <c r="ADB28" i="5"/>
  <c r="ADA31" i="5"/>
  <c r="ACZ34" i="5"/>
  <c r="ADC34" i="5" s="1"/>
  <c r="ADB36" i="5"/>
  <c r="ADA39" i="5"/>
  <c r="ACZ42" i="5"/>
  <c r="ADC42" i="5" s="1"/>
  <c r="ADB44" i="5"/>
  <c r="ADA47" i="5"/>
  <c r="ACZ50" i="5"/>
  <c r="ADC50" i="5" s="1"/>
  <c r="ADB52" i="5"/>
  <c r="ADA55" i="5"/>
  <c r="ACZ58" i="5"/>
  <c r="ADC58" i="5" s="1"/>
  <c r="ADB60" i="5"/>
  <c r="ADA63" i="5"/>
  <c r="ACZ66" i="5"/>
  <c r="ADC66" i="5" s="1"/>
  <c r="ADB68" i="5"/>
  <c r="ADA71" i="5"/>
  <c r="ACZ74" i="5"/>
  <c r="ADC74" i="5" s="1"/>
  <c r="ADB76" i="5"/>
  <c r="ADA79" i="5"/>
  <c r="ACZ82" i="5"/>
  <c r="ADC82" i="5" s="1"/>
  <c r="ADB84" i="5"/>
  <c r="ADA87" i="5"/>
  <c r="ACZ90" i="5"/>
  <c r="ADC90" i="5" s="1"/>
  <c r="ADB92" i="5"/>
  <c r="ADA95" i="5"/>
  <c r="ACZ98" i="5"/>
  <c r="ADC98" i="5" s="1"/>
  <c r="ADB100" i="5"/>
  <c r="ADA103" i="5"/>
  <c r="ACZ106" i="5"/>
  <c r="ADC106" i="5" s="1"/>
  <c r="ADB108" i="5"/>
  <c r="ADA111" i="5"/>
  <c r="ACZ114" i="5"/>
  <c r="ADC114" i="5" s="1"/>
  <c r="ADB116" i="5"/>
  <c r="ADA114" i="5"/>
  <c r="ACZ117" i="5"/>
  <c r="ADC117" i="5" s="1"/>
  <c r="ADA117" i="5"/>
  <c r="ACY14" i="5"/>
  <c r="ACY22" i="5"/>
  <c r="ACY30" i="5"/>
  <c r="ACY38" i="5"/>
  <c r="ACY46" i="5"/>
  <c r="ACY54" i="5"/>
  <c r="ACY62" i="5"/>
  <c r="ACY70" i="5"/>
  <c r="ACY78" i="5"/>
  <c r="ACY86" i="5"/>
  <c r="ACY94" i="5"/>
  <c r="ACY102" i="5"/>
  <c r="ACY110" i="5"/>
  <c r="ACY6" i="5"/>
  <c r="ADA8" i="5"/>
  <c r="ACZ11" i="5"/>
  <c r="ADC11" i="5" s="1"/>
  <c r="ADB13" i="5"/>
  <c r="ADA16" i="5"/>
  <c r="ACZ19" i="5"/>
  <c r="ADC19" i="5" s="1"/>
  <c r="ADB21" i="5"/>
  <c r="ADA24" i="5"/>
  <c r="ACZ27" i="5"/>
  <c r="ADC27" i="5" s="1"/>
  <c r="ADB29" i="5"/>
  <c r="ADA32" i="5"/>
  <c r="ACZ35" i="5"/>
  <c r="ADC35" i="5" s="1"/>
  <c r="ADB37" i="5"/>
  <c r="ADA40" i="5"/>
  <c r="ACZ43" i="5"/>
  <c r="ADC43" i="5" s="1"/>
  <c r="ADB45" i="5"/>
  <c r="ADA48" i="5"/>
  <c r="ACZ51" i="5"/>
  <c r="ADC51" i="5" s="1"/>
  <c r="ADB53" i="5"/>
  <c r="ADA56" i="5"/>
  <c r="ACZ59" i="5"/>
  <c r="ADC59" i="5" s="1"/>
  <c r="ADB61" i="5"/>
  <c r="ADA64" i="5"/>
  <c r="ACZ67" i="5"/>
  <c r="ADC67" i="5" s="1"/>
  <c r="ADB69" i="5"/>
  <c r="ADA72" i="5"/>
  <c r="ACZ75" i="5"/>
  <c r="ADC75" i="5" s="1"/>
  <c r="ADB77" i="5"/>
  <c r="ADA80" i="5"/>
  <c r="ACZ83" i="5"/>
  <c r="ADC83" i="5" s="1"/>
  <c r="ADB85" i="5"/>
  <c r="ADA88" i="5"/>
  <c r="ACZ91" i="5"/>
  <c r="ADC91" i="5" s="1"/>
  <c r="ADB93" i="5"/>
  <c r="ADA96" i="5"/>
  <c r="ACZ99" i="5"/>
  <c r="ADC99" i="5" s="1"/>
  <c r="ADB101" i="5"/>
  <c r="ADA104" i="5"/>
  <c r="ACZ107" i="5"/>
  <c r="ADC107" i="5" s="1"/>
  <c r="ADB109" i="5"/>
  <c r="ADA112" i="5"/>
  <c r="ACZ115" i="5"/>
  <c r="ADC115" i="5" s="1"/>
  <c r="IX118" i="2"/>
  <c r="IW118" i="2"/>
  <c r="IV118" i="2"/>
  <c r="IU118" i="2"/>
  <c r="IT118" i="2"/>
  <c r="IS118" i="2"/>
  <c r="IR118" i="2"/>
  <c r="IQ118" i="2"/>
  <c r="IP118" i="2"/>
  <c r="IO118" i="2"/>
  <c r="IN118" i="2"/>
  <c r="IM118" i="2"/>
  <c r="IL118" i="2"/>
  <c r="IK118" i="2"/>
  <c r="IJ118" i="2"/>
  <c r="II118" i="2"/>
  <c r="IH118" i="2"/>
  <c r="IG118" i="2"/>
  <c r="IF118" i="2"/>
  <c r="IE118" i="2"/>
  <c r="ID118" i="2"/>
  <c r="IC118" i="2"/>
  <c r="IB118" i="2"/>
  <c r="IA118" i="2"/>
  <c r="HZ118" i="2"/>
  <c r="HY118" i="2"/>
  <c r="HX118" i="2"/>
  <c r="HW118" i="2"/>
  <c r="HV118" i="2"/>
  <c r="HU118" i="2"/>
  <c r="HT118" i="2"/>
  <c r="HS118" i="2"/>
  <c r="HR118" i="2"/>
  <c r="HQ118" i="2"/>
  <c r="HP118" i="2"/>
  <c r="HO118" i="2"/>
  <c r="HN118" i="2"/>
  <c r="HM118" i="2"/>
  <c r="HL118" i="2"/>
  <c r="HK118" i="2"/>
  <c r="HJ118" i="2"/>
  <c r="HI118" i="2"/>
  <c r="HH118" i="2"/>
  <c r="HG118" i="2"/>
  <c r="HF118" i="2"/>
  <c r="HE118" i="2"/>
  <c r="HD118" i="2"/>
  <c r="HC118" i="2"/>
  <c r="HB118" i="2"/>
  <c r="HA118" i="2"/>
  <c r="GZ118" i="2"/>
  <c r="GY118" i="2"/>
  <c r="GX118" i="2"/>
  <c r="GW118" i="2"/>
  <c r="GV118" i="2"/>
  <c r="GU118" i="2"/>
  <c r="GT118" i="2"/>
  <c r="GS118" i="2"/>
  <c r="GR118" i="2"/>
  <c r="GQ118" i="2"/>
  <c r="GP118" i="2"/>
  <c r="GO118" i="2"/>
  <c r="GN118" i="2"/>
  <c r="GM118" i="2"/>
  <c r="GL118" i="2"/>
  <c r="GK118" i="2"/>
  <c r="GJ118" i="2"/>
  <c r="GI118" i="2"/>
  <c r="GH118" i="2"/>
  <c r="GG118" i="2"/>
  <c r="GF118" i="2"/>
  <c r="GE118" i="2"/>
  <c r="GD118" i="2"/>
  <c r="GC118" i="2"/>
  <c r="GB118" i="2"/>
  <c r="GA118" i="2"/>
  <c r="FZ118" i="2"/>
  <c r="FY118" i="2"/>
  <c r="FX118" i="2"/>
  <c r="FW118" i="2"/>
  <c r="FV118" i="2"/>
  <c r="FU118" i="2"/>
  <c r="FT118" i="2"/>
  <c r="FS118" i="2"/>
  <c r="FR118" i="2"/>
  <c r="FQ118" i="2"/>
  <c r="FP118" i="2"/>
  <c r="FO118" i="2"/>
  <c r="FN118" i="2"/>
  <c r="FM118" i="2"/>
  <c r="FL118" i="2"/>
  <c r="FK118" i="2"/>
  <c r="FJ118" i="2"/>
  <c r="FI118" i="2"/>
  <c r="FH118" i="2"/>
  <c r="FG118" i="2"/>
  <c r="FF118" i="2"/>
  <c r="FE118" i="2"/>
  <c r="FD118" i="2"/>
  <c r="FC118" i="2"/>
  <c r="FB118" i="2"/>
  <c r="FA118" i="2"/>
  <c r="EZ118" i="2"/>
  <c r="EY118" i="2"/>
  <c r="EX118" i="2"/>
  <c r="EW118" i="2"/>
  <c r="EV118" i="2"/>
  <c r="EU118" i="2"/>
  <c r="ET118" i="2"/>
  <c r="ES118" i="2"/>
  <c r="ER118" i="2"/>
  <c r="EQ118" i="2"/>
  <c r="EP118" i="2"/>
  <c r="EO118" i="2"/>
  <c r="EN118" i="2"/>
  <c r="EM118" i="2"/>
  <c r="EL118" i="2"/>
  <c r="EK118" i="2"/>
  <c r="EJ118" i="2"/>
  <c r="EI118" i="2"/>
  <c r="EH118" i="2"/>
  <c r="EG118" i="2"/>
  <c r="EF118" i="2"/>
  <c r="EE118" i="2"/>
  <c r="ED118" i="2"/>
  <c r="EC118" i="2"/>
  <c r="EB118" i="2"/>
  <c r="EA118" i="2"/>
  <c r="DZ118" i="2"/>
  <c r="DY118" i="2"/>
  <c r="DX118" i="2"/>
  <c r="DW118" i="2"/>
  <c r="DV118" i="2"/>
  <c r="DU118" i="2"/>
  <c r="DT118" i="2"/>
  <c r="DS118" i="2"/>
  <c r="DR118" i="2"/>
  <c r="DQ118" i="2"/>
  <c r="DP118" i="2"/>
  <c r="DO118" i="2"/>
  <c r="DN118" i="2"/>
  <c r="DM118" i="2"/>
  <c r="DL118" i="2"/>
  <c r="DK118" i="2"/>
  <c r="DJ118" i="2"/>
  <c r="DI118" i="2"/>
  <c r="DH118" i="2"/>
  <c r="DG118" i="2"/>
  <c r="DF118" i="2"/>
  <c r="DE118" i="2"/>
  <c r="DD118" i="2"/>
  <c r="DC118" i="2"/>
  <c r="DB118" i="2"/>
  <c r="DA118" i="2"/>
  <c r="CZ118" i="2"/>
  <c r="CY118" i="2"/>
  <c r="CX118" i="2"/>
  <c r="CW118" i="2"/>
  <c r="CV118" i="2"/>
  <c r="CU118" i="2"/>
  <c r="CT118" i="2"/>
  <c r="CS118" i="2"/>
  <c r="CR118" i="2"/>
  <c r="CQ118" i="2"/>
  <c r="CP118" i="2"/>
  <c r="CO118" i="2"/>
  <c r="CN118" i="2"/>
  <c r="CM118" i="2"/>
  <c r="CL118" i="2"/>
  <c r="CK118" i="2"/>
  <c r="CJ118" i="2"/>
  <c r="CI118" i="2"/>
  <c r="CH118" i="2"/>
  <c r="CG118" i="2"/>
  <c r="CF118" i="2"/>
  <c r="CE118" i="2"/>
  <c r="CD118" i="2"/>
  <c r="CC118" i="2"/>
  <c r="CB118" i="2"/>
  <c r="CA118" i="2"/>
  <c r="BZ118" i="2"/>
  <c r="BY118" i="2"/>
  <c r="BX118" i="2"/>
  <c r="BW118" i="2"/>
  <c r="BV118" i="2"/>
  <c r="BU118" i="2"/>
  <c r="BT118" i="2"/>
  <c r="BS118" i="2"/>
  <c r="BR118" i="2"/>
  <c r="BQ118" i="2"/>
  <c r="BP118" i="2"/>
  <c r="BO118" i="2"/>
  <c r="BN118" i="2"/>
  <c r="BM118" i="2"/>
  <c r="BL118" i="2"/>
  <c r="BK118" i="2"/>
  <c r="BJ118" i="2"/>
  <c r="BI118" i="2"/>
  <c r="BH118" i="2"/>
  <c r="BG118" i="2"/>
  <c r="BF118" i="2"/>
  <c r="BE118" i="2"/>
  <c r="BD118" i="2"/>
  <c r="BC118" i="2"/>
  <c r="BB118" i="2"/>
  <c r="BA118" i="2"/>
  <c r="AZ118" i="2"/>
  <c r="AY118" i="2"/>
  <c r="AX118" i="2"/>
  <c r="AW118" i="2"/>
  <c r="AV118" i="2"/>
  <c r="AU118" i="2"/>
  <c r="AT118" i="2"/>
  <c r="AS118" i="2"/>
  <c r="AR118" i="2"/>
  <c r="AQ118" i="2"/>
  <c r="AP118" i="2"/>
  <c r="AO118" i="2"/>
  <c r="AN118" i="2"/>
  <c r="AM118" i="2"/>
  <c r="AL118" i="2"/>
  <c r="AK118" i="2"/>
  <c r="AJ118" i="2"/>
  <c r="AI118" i="2"/>
  <c r="AH118" i="2"/>
  <c r="AG118" i="2"/>
  <c r="AF118" i="2"/>
  <c r="AE118" i="2"/>
  <c r="AD118" i="2"/>
  <c r="AC118" i="2"/>
  <c r="AB118" i="2"/>
  <c r="AA118" i="2"/>
  <c r="Z118" i="2"/>
  <c r="Y118" i="2"/>
  <c r="X118" i="2"/>
  <c r="W118" i="2"/>
  <c r="V118" i="2"/>
  <c r="U118" i="2"/>
  <c r="T118" i="2"/>
  <c r="S118" i="2"/>
  <c r="R118" i="2"/>
  <c r="Q118" i="2"/>
  <c r="P118" i="2"/>
  <c r="O118" i="2"/>
  <c r="N118" i="2"/>
  <c r="M118" i="2"/>
  <c r="L118" i="2"/>
  <c r="K118" i="2"/>
  <c r="J118" i="2"/>
  <c r="I118" i="2"/>
  <c r="H118" i="2"/>
  <c r="G118" i="2"/>
  <c r="F118" i="2"/>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ZE117" i="6" l="1" a="1"/>
  <c r="ZE117" i="6" s="1"/>
  <c r="ZD117" i="6" a="1"/>
  <c r="ZD117" i="6" s="1"/>
  <c r="ZC117" i="6" a="1"/>
  <c r="ZC117" i="6" s="1"/>
  <c r="ACZ117" i="6" a="1"/>
  <c r="ACZ117" i="6" s="1"/>
  <c r="ZB117" i="6" a="1"/>
  <c r="ZB117" i="6" s="1"/>
  <c r="ZA117" i="6" a="1"/>
  <c r="ZA117" i="6" s="1"/>
  <c r="ADA117" i="6" a="1"/>
  <c r="ADA117" i="6" s="1"/>
  <c r="ACY117" i="6" a="1"/>
  <c r="ACY117" i="6" s="1"/>
  <c r="AAA51" i="6" a="1"/>
  <c r="AAA51" i="6" s="1"/>
  <c r="ZZ51" i="6" a="1"/>
  <c r="ZZ51" i="6" s="1"/>
  <c r="AAC51" i="6" a="1"/>
  <c r="AAC51" i="6" s="1"/>
  <c r="ZX51" i="6" a="1"/>
  <c r="ZX51" i="6" s="1"/>
  <c r="ZW51" i="6" a="1"/>
  <c r="ZW51" i="6" s="1"/>
  <c r="AAF51" i="6" a="1"/>
  <c r="AAF51" i="6" s="1"/>
  <c r="AAE51" i="6" a="1"/>
  <c r="AAE51" i="6" s="1"/>
  <c r="AAD51" i="6" a="1"/>
  <c r="AAD51" i="6" s="1"/>
  <c r="AAB51" i="6" a="1"/>
  <c r="AAB51" i="6" s="1"/>
  <c r="ZY51" i="6" a="1"/>
  <c r="ZY51" i="6" s="1"/>
  <c r="AAM51" i="6" s="1"/>
  <c r="AAF83" i="6" a="1"/>
  <c r="AAF83" i="6" s="1"/>
  <c r="ZY83" i="6" a="1"/>
  <c r="ZY83" i="6" s="1"/>
  <c r="AAE83" i="6" a="1"/>
  <c r="AAE83" i="6" s="1"/>
  <c r="ZX83" i="6" a="1"/>
  <c r="ZX83" i="6" s="1"/>
  <c r="AAA83" i="6" a="1"/>
  <c r="AAA83" i="6" s="1"/>
  <c r="AAD83" i="6" a="1"/>
  <c r="AAD83" i="6" s="1"/>
  <c r="AAC83" i="6" a="1"/>
  <c r="AAC83" i="6" s="1"/>
  <c r="AAB83" i="6" a="1"/>
  <c r="AAB83" i="6" s="1"/>
  <c r="ZZ83" i="6" a="1"/>
  <c r="ZZ83" i="6" s="1"/>
  <c r="ZW83" i="6" a="1"/>
  <c r="ZW83" i="6" s="1"/>
  <c r="AAE99" i="6" a="1"/>
  <c r="AAE99" i="6" s="1"/>
  <c r="ZW99" i="6" a="1"/>
  <c r="ZW99" i="6" s="1"/>
  <c r="AAD99" i="6" a="1"/>
  <c r="AAD99" i="6" s="1"/>
  <c r="ZY99" i="6" a="1"/>
  <c r="ZY99" i="6" s="1"/>
  <c r="AAF99" i="6" a="1"/>
  <c r="AAF99" i="6" s="1"/>
  <c r="AAC99" i="6" a="1"/>
  <c r="AAC99" i="6" s="1"/>
  <c r="AAB99" i="6" a="1"/>
  <c r="AAB99" i="6" s="1"/>
  <c r="AAA99" i="6" a="1"/>
  <c r="AAA99" i="6" s="1"/>
  <c r="ZZ99" i="6" a="1"/>
  <c r="ZZ99" i="6" s="1"/>
  <c r="ZX99" i="6" a="1"/>
  <c r="ZX99" i="6" s="1"/>
  <c r="AAA12" i="6" a="1"/>
  <c r="AAA12" i="6" s="1"/>
  <c r="AAD12" i="6" a="1"/>
  <c r="AAD12" i="6" s="1"/>
  <c r="AAB12" i="6" a="1"/>
  <c r="AAB12" i="6" s="1"/>
  <c r="ZZ12" i="6" a="1"/>
  <c r="ZZ12" i="6" s="1"/>
  <c r="ZY12" i="6" a="1"/>
  <c r="ZY12" i="6" s="1"/>
  <c r="ZX12" i="6" a="1"/>
  <c r="ZX12" i="6" s="1"/>
  <c r="ZW12" i="6" a="1"/>
  <c r="ZW12" i="6" s="1"/>
  <c r="AAF12" i="6" a="1"/>
  <c r="AAF12" i="6" s="1"/>
  <c r="AAE12" i="6" a="1"/>
  <c r="AAE12" i="6" s="1"/>
  <c r="AAC12" i="6" a="1"/>
  <c r="AAC12" i="6" s="1"/>
  <c r="AAF52" i="6" a="1"/>
  <c r="AAF52" i="6" s="1"/>
  <c r="ZY52" i="6" a="1"/>
  <c r="ZY52" i="6" s="1"/>
  <c r="AAE52" i="6" a="1"/>
  <c r="AAE52" i="6" s="1"/>
  <c r="ZX52" i="6" a="1"/>
  <c r="ZX52" i="6" s="1"/>
  <c r="AAA52" i="6" a="1"/>
  <c r="AAA52" i="6" s="1"/>
  <c r="AAB52" i="6" a="1"/>
  <c r="AAB52" i="6" s="1"/>
  <c r="ZZ52" i="6" a="1"/>
  <c r="ZZ52" i="6" s="1"/>
  <c r="ZW52" i="6" a="1"/>
  <c r="ZW52" i="6" s="1"/>
  <c r="AAD52" i="6" a="1"/>
  <c r="AAD52" i="6" s="1"/>
  <c r="AAC52" i="6" a="1"/>
  <c r="AAC52" i="6" s="1"/>
  <c r="AAE108" i="6" a="1"/>
  <c r="AAE108" i="6" s="1"/>
  <c r="ZW108" i="6" a="1"/>
  <c r="ZW108" i="6" s="1"/>
  <c r="AAD108" i="6" a="1"/>
  <c r="AAD108" i="6" s="1"/>
  <c r="ZY108" i="6" a="1"/>
  <c r="ZY108" i="6" s="1"/>
  <c r="AAB108" i="6" a="1"/>
  <c r="AAB108" i="6" s="1"/>
  <c r="AAA108" i="6" a="1"/>
  <c r="AAA108" i="6" s="1"/>
  <c r="ZZ108" i="6" a="1"/>
  <c r="ZZ108" i="6" s="1"/>
  <c r="ZX108" i="6" a="1"/>
  <c r="ZX108" i="6" s="1"/>
  <c r="AAF108" i="6" a="1"/>
  <c r="AAF108" i="6" s="1"/>
  <c r="AAC108" i="6" a="1"/>
  <c r="AAC108" i="6" s="1"/>
  <c r="AAC11" i="6" a="1"/>
  <c r="AAC11" i="6" s="1"/>
  <c r="AAF11" i="6" a="1"/>
  <c r="AAF11" i="6" s="1"/>
  <c r="ZX11" i="6" a="1"/>
  <c r="ZX11" i="6" s="1"/>
  <c r="AAA11" i="6" a="1"/>
  <c r="AAA11" i="6" s="1"/>
  <c r="ZZ11" i="6" a="1"/>
  <c r="ZZ11" i="6" s="1"/>
  <c r="ZY11" i="6" a="1"/>
  <c r="ZY11" i="6" s="1"/>
  <c r="ZW11" i="6" a="1"/>
  <c r="ZW11" i="6" s="1"/>
  <c r="AAE11" i="6" a="1"/>
  <c r="AAE11" i="6" s="1"/>
  <c r="AAD11" i="6" a="1"/>
  <c r="AAD11" i="6" s="1"/>
  <c r="AAB11" i="6" a="1"/>
  <c r="AAB11" i="6" s="1"/>
  <c r="AAE59" i="6" a="1"/>
  <c r="AAE59" i="6" s="1"/>
  <c r="ZW59" i="6" a="1"/>
  <c r="ZW59" i="6" s="1"/>
  <c r="AAD59" i="6" a="1"/>
  <c r="AAD59" i="6" s="1"/>
  <c r="ZY59" i="6" a="1"/>
  <c r="ZY59" i="6" s="1"/>
  <c r="AAC59" i="6" a="1"/>
  <c r="AAC59" i="6" s="1"/>
  <c r="AAB59" i="6" a="1"/>
  <c r="AAB59" i="6" s="1"/>
  <c r="AAA59" i="6" a="1"/>
  <c r="AAA59" i="6" s="1"/>
  <c r="ZZ59" i="6" a="1"/>
  <c r="ZZ59" i="6" s="1"/>
  <c r="ZX59" i="6" a="1"/>
  <c r="ZX59" i="6" s="1"/>
  <c r="AAF59" i="6" a="1"/>
  <c r="AAF59" i="6" s="1"/>
  <c r="ZZ91" i="6" a="1"/>
  <c r="ZZ91" i="6" s="1"/>
  <c r="ZY91" i="6" a="1"/>
  <c r="ZY91" i="6" s="1"/>
  <c r="AAB91" i="6" a="1"/>
  <c r="AAB91" i="6" s="1"/>
  <c r="AAF91" i="6" a="1"/>
  <c r="AAF91" i="6" s="1"/>
  <c r="AAE91" i="6" a="1"/>
  <c r="AAE91" i="6" s="1"/>
  <c r="AAD91" i="6" a="1"/>
  <c r="AAD91" i="6" s="1"/>
  <c r="AAC91" i="6" a="1"/>
  <c r="AAC91" i="6" s="1"/>
  <c r="AAA91" i="6" a="1"/>
  <c r="AAA91" i="6" s="1"/>
  <c r="ZX91" i="6" a="1"/>
  <c r="ZX91" i="6" s="1"/>
  <c r="ZW91" i="6" a="1"/>
  <c r="ZW91" i="6" s="1"/>
  <c r="AAF107" i="6" a="1"/>
  <c r="AAF107" i="6" s="1"/>
  <c r="ZY107" i="6" a="1"/>
  <c r="ZY107" i="6" s="1"/>
  <c r="AAA107" i="6" a="1"/>
  <c r="AAA107" i="6" s="1"/>
  <c r="ZZ107" i="6" a="1"/>
  <c r="ZZ107" i="6" s="1"/>
  <c r="ZX107" i="6" a="1"/>
  <c r="ZX107" i="6" s="1"/>
  <c r="ZW107" i="6" a="1"/>
  <c r="ZW107" i="6" s="1"/>
  <c r="AAE107" i="6" a="1"/>
  <c r="AAE107" i="6" s="1"/>
  <c r="AAD107" i="6" a="1"/>
  <c r="AAD107" i="6" s="1"/>
  <c r="AAC107" i="6" a="1"/>
  <c r="AAC107" i="6" s="1"/>
  <c r="AAB107" i="6" a="1"/>
  <c r="AAB107" i="6" s="1"/>
  <c r="AAF28" i="6" a="1"/>
  <c r="AAF28" i="6" s="1"/>
  <c r="ZX28" i="6" a="1"/>
  <c r="ZX28" i="6" s="1"/>
  <c r="AAA28" i="6" a="1"/>
  <c r="AAA28" i="6" s="1"/>
  <c r="ZY28" i="6" a="1"/>
  <c r="ZY28" i="6" s="1"/>
  <c r="AAC28" i="6" a="1"/>
  <c r="AAC28" i="6" s="1"/>
  <c r="AAE28" i="6" a="1"/>
  <c r="AAE28" i="6" s="1"/>
  <c r="AAD28" i="6" a="1"/>
  <c r="AAD28" i="6" s="1"/>
  <c r="AAB28" i="6" a="1"/>
  <c r="AAB28" i="6" s="1"/>
  <c r="ZZ28" i="6" a="1"/>
  <c r="ZZ28" i="6" s="1"/>
  <c r="ZW28" i="6" a="1"/>
  <c r="ZW28" i="6" s="1"/>
  <c r="ZY36" i="6" a="1"/>
  <c r="ZY36" i="6" s="1"/>
  <c r="AAF36" i="6" a="1"/>
  <c r="AAF36" i="6" s="1"/>
  <c r="ZX36" i="6" a="1"/>
  <c r="ZX36" i="6" s="1"/>
  <c r="AAA36" i="6" a="1"/>
  <c r="AAA36" i="6" s="1"/>
  <c r="AAE36" i="6" a="1"/>
  <c r="AAE36" i="6" s="1"/>
  <c r="ZW36" i="6" a="1"/>
  <c r="ZW36" i="6" s="1"/>
  <c r="ZZ36" i="6" a="1"/>
  <c r="ZZ36" i="6" s="1"/>
  <c r="AAD36" i="6" a="1"/>
  <c r="AAD36" i="6" s="1"/>
  <c r="AAC36" i="6" a="1"/>
  <c r="AAC36" i="6" s="1"/>
  <c r="AAB36" i="6" a="1"/>
  <c r="AAB36" i="6" s="1"/>
  <c r="ZY44" i="6" a="1"/>
  <c r="ZY44" i="6" s="1"/>
  <c r="AAF44" i="6" a="1"/>
  <c r="AAF44" i="6" s="1"/>
  <c r="ZX44" i="6" a="1"/>
  <c r="ZX44" i="6" s="1"/>
  <c r="AAA44" i="6" a="1"/>
  <c r="AAA44" i="6" s="1"/>
  <c r="AAC44" i="6" a="1"/>
  <c r="AAC44" i="6" s="1"/>
  <c r="AAB44" i="6" a="1"/>
  <c r="AAB44" i="6" s="1"/>
  <c r="ZZ44" i="6" a="1"/>
  <c r="ZZ44" i="6" s="1"/>
  <c r="ZW44" i="6" a="1"/>
  <c r="ZW44" i="6" s="1"/>
  <c r="AAE44" i="6" a="1"/>
  <c r="AAE44" i="6" s="1"/>
  <c r="AAD44" i="6" a="1"/>
  <c r="AAD44" i="6" s="1"/>
  <c r="AAC60" i="6" a="1"/>
  <c r="AAC60" i="6" s="1"/>
  <c r="AAB60" i="6" a="1"/>
  <c r="AAB60" i="6" s="1"/>
  <c r="AAE60" i="6" a="1"/>
  <c r="AAE60" i="6" s="1"/>
  <c r="ZW60" i="6" a="1"/>
  <c r="ZW60" i="6" s="1"/>
  <c r="AAF60" i="6" a="1"/>
  <c r="AAF60" i="6" s="1"/>
  <c r="AAD60" i="6" a="1"/>
  <c r="AAD60" i="6" s="1"/>
  <c r="AAA60" i="6" a="1"/>
  <c r="AAA60" i="6" s="1"/>
  <c r="ZZ60" i="6" a="1"/>
  <c r="ZZ60" i="6" s="1"/>
  <c r="ZY60" i="6" a="1"/>
  <c r="ZY60" i="6" s="1"/>
  <c r="ZX60" i="6" a="1"/>
  <c r="ZX60" i="6" s="1"/>
  <c r="AAC68" i="6" a="1"/>
  <c r="AAC68" i="6" s="1"/>
  <c r="AAB68" i="6" a="1"/>
  <c r="AAB68" i="6" s="1"/>
  <c r="AAE68" i="6" a="1"/>
  <c r="AAE68" i="6" s="1"/>
  <c r="ZW68" i="6" a="1"/>
  <c r="ZW68" i="6" s="1"/>
  <c r="AAD68" i="6" a="1"/>
  <c r="AAD68" i="6" s="1"/>
  <c r="AAA68" i="6" a="1"/>
  <c r="AAA68" i="6" s="1"/>
  <c r="ZZ68" i="6" a="1"/>
  <c r="ZZ68" i="6" s="1"/>
  <c r="ZY68" i="6" a="1"/>
  <c r="ZY68" i="6" s="1"/>
  <c r="ZX68" i="6" a="1"/>
  <c r="ZX68" i="6" s="1"/>
  <c r="AAF68" i="6" a="1"/>
  <c r="AAF68" i="6" s="1"/>
  <c r="AAC76" i="6" a="1"/>
  <c r="AAC76" i="6" s="1"/>
  <c r="AAB76" i="6" a="1"/>
  <c r="AAB76" i="6" s="1"/>
  <c r="AAE76" i="6" a="1"/>
  <c r="AAE76" i="6" s="1"/>
  <c r="ZW76" i="6" a="1"/>
  <c r="ZW76" i="6" s="1"/>
  <c r="ZZ76" i="6" a="1"/>
  <c r="ZZ76" i="6" s="1"/>
  <c r="ZY76" i="6" a="1"/>
  <c r="ZY76" i="6" s="1"/>
  <c r="ZX76" i="6" a="1"/>
  <c r="ZX76" i="6" s="1"/>
  <c r="AAF76" i="6" a="1"/>
  <c r="AAF76" i="6" s="1"/>
  <c r="AAD76" i="6" a="1"/>
  <c r="AAD76" i="6" s="1"/>
  <c r="AAA76" i="6" a="1"/>
  <c r="AAA76" i="6" s="1"/>
  <c r="AAC84" i="6" a="1"/>
  <c r="AAC84" i="6" s="1"/>
  <c r="AAB84" i="6" a="1"/>
  <c r="AAB84" i="6" s="1"/>
  <c r="AAE84" i="6" a="1"/>
  <c r="AAE84" i="6" s="1"/>
  <c r="AAF84" i="6" a="1"/>
  <c r="AAF84" i="6" s="1"/>
  <c r="AAD84" i="6" a="1"/>
  <c r="AAD84" i="6" s="1"/>
  <c r="AAA84" i="6" a="1"/>
  <c r="AAA84" i="6" s="1"/>
  <c r="ZZ84" i="6" a="1"/>
  <c r="ZZ84" i="6" s="1"/>
  <c r="ZY84" i="6" a="1"/>
  <c r="ZY84" i="6" s="1"/>
  <c r="ZX84" i="6" a="1"/>
  <c r="ZX84" i="6" s="1"/>
  <c r="ZW84" i="6" a="1"/>
  <c r="ZW84" i="6" s="1"/>
  <c r="AAE92" i="6" a="1"/>
  <c r="AAE92" i="6" s="1"/>
  <c r="ZX92" i="6" a="1"/>
  <c r="ZX92" i="6" s="1"/>
  <c r="AAD92" i="6" a="1"/>
  <c r="AAD92" i="6" s="1"/>
  <c r="ZW92" i="6" a="1"/>
  <c r="ZW92" i="6" s="1"/>
  <c r="AAF92" i="6" a="1"/>
  <c r="AAF92" i="6" s="1"/>
  <c r="ZZ92" i="6" a="1"/>
  <c r="ZZ92" i="6" s="1"/>
  <c r="AAC92" i="6" a="1"/>
  <c r="AAC92" i="6" s="1"/>
  <c r="AAB92" i="6" a="1"/>
  <c r="AAB92" i="6" s="1"/>
  <c r="AAA92" i="6" a="1"/>
  <c r="AAA92" i="6" s="1"/>
  <c r="ZY92" i="6" a="1"/>
  <c r="ZY92" i="6" s="1"/>
  <c r="AAB100" i="6" a="1"/>
  <c r="AAB100" i="6" s="1"/>
  <c r="AAA100" i="6" a="1"/>
  <c r="AAA100" i="6" s="1"/>
  <c r="AAD100" i="6" a="1"/>
  <c r="AAD100" i="6" s="1"/>
  <c r="ZW100" i="6" a="1"/>
  <c r="ZW100" i="6" s="1"/>
  <c r="ZX100" i="6" a="1"/>
  <c r="ZX100" i="6" s="1"/>
  <c r="AAF100" i="6" a="1"/>
  <c r="AAF100" i="6" s="1"/>
  <c r="AAE100" i="6" a="1"/>
  <c r="AAE100" i="6" s="1"/>
  <c r="AAC100" i="6" a="1"/>
  <c r="AAC100" i="6" s="1"/>
  <c r="ZZ100" i="6" a="1"/>
  <c r="ZZ100" i="6" s="1"/>
  <c r="ZY100" i="6" a="1"/>
  <c r="ZY100" i="6" s="1"/>
  <c r="AAE116" i="6" a="1"/>
  <c r="AAE116" i="6" s="1"/>
  <c r="ZX116" i="6" a="1"/>
  <c r="ZX116" i="6" s="1"/>
  <c r="AAD116" i="6" a="1"/>
  <c r="AAD116" i="6" s="1"/>
  <c r="AAF116" i="6" a="1"/>
  <c r="AAF116" i="6" s="1"/>
  <c r="ZZ116" i="6" a="1"/>
  <c r="ZZ116" i="6" s="1"/>
  <c r="AAA116" i="6" a="1"/>
  <c r="AAA116" i="6" s="1"/>
  <c r="ZY116" i="6" a="1"/>
  <c r="ZY116" i="6" s="1"/>
  <c r="ZW116" i="6" a="1"/>
  <c r="ZW116" i="6" s="1"/>
  <c r="AAC116" i="6" a="1"/>
  <c r="AAC116" i="6" s="1"/>
  <c r="AAB116" i="6" a="1"/>
  <c r="AAB116" i="6" s="1"/>
  <c r="ZY13" i="6" a="1"/>
  <c r="ZY13" i="6" s="1"/>
  <c r="AAB13" i="6" a="1"/>
  <c r="AAB13" i="6" s="1"/>
  <c r="AAC13" i="6" a="1"/>
  <c r="AAC13" i="6" s="1"/>
  <c r="AAA13" i="6" a="1"/>
  <c r="AAA13" i="6" s="1"/>
  <c r="ZZ13" i="6" a="1"/>
  <c r="ZZ13" i="6" s="1"/>
  <c r="ZX13" i="6" a="1"/>
  <c r="ZX13" i="6" s="1"/>
  <c r="ZW13" i="6" a="1"/>
  <c r="ZW13" i="6" s="1"/>
  <c r="AAF13" i="6" a="1"/>
  <c r="AAF13" i="6" s="1"/>
  <c r="AAE13" i="6" a="1"/>
  <c r="AAE13" i="6" s="1"/>
  <c r="AAD13" i="6" a="1"/>
  <c r="AAD13" i="6" s="1"/>
  <c r="AAA21" i="6" a="1"/>
  <c r="AAA21" i="6" s="1"/>
  <c r="AAD21" i="6" a="1"/>
  <c r="AAD21" i="6" s="1"/>
  <c r="ZW21" i="6" a="1"/>
  <c r="ZW21" i="6" s="1"/>
  <c r="AAF21" i="6" a="1"/>
  <c r="AAF21" i="6" s="1"/>
  <c r="AAE21" i="6" a="1"/>
  <c r="AAE21" i="6" s="1"/>
  <c r="AAC21" i="6" a="1"/>
  <c r="AAC21" i="6" s="1"/>
  <c r="AAB21" i="6" a="1"/>
  <c r="AAB21" i="6" s="1"/>
  <c r="ZZ21" i="6" a="1"/>
  <c r="ZZ21" i="6" s="1"/>
  <c r="ZY21" i="6" a="1"/>
  <c r="ZY21" i="6" s="1"/>
  <c r="ZX21" i="6" a="1"/>
  <c r="ZX21" i="6" s="1"/>
  <c r="AAD29" i="6" a="1"/>
  <c r="AAD29" i="6" s="1"/>
  <c r="ZY29" i="6" a="1"/>
  <c r="ZY29" i="6" s="1"/>
  <c r="ZZ29" i="6" a="1"/>
  <c r="ZZ29" i="6" s="1"/>
  <c r="AAC29" i="6" a="1"/>
  <c r="AAC29" i="6" s="1"/>
  <c r="ZW29" i="6" a="1"/>
  <c r="ZW29" i="6" s="1"/>
  <c r="AAF29" i="6" a="1"/>
  <c r="AAF29" i="6" s="1"/>
  <c r="AAE29" i="6" a="1"/>
  <c r="AAE29" i="6" s="1"/>
  <c r="AAB29" i="6" a="1"/>
  <c r="AAB29" i="6" s="1"/>
  <c r="AAA29" i="6" a="1"/>
  <c r="AAA29" i="6" s="1"/>
  <c r="ZX29" i="6" a="1"/>
  <c r="ZX29" i="6" s="1"/>
  <c r="AAE37" i="6" a="1"/>
  <c r="AAE37" i="6" s="1"/>
  <c r="ZW37" i="6" a="1"/>
  <c r="ZW37" i="6" s="1"/>
  <c r="AAD37" i="6" a="1"/>
  <c r="AAD37" i="6" s="1"/>
  <c r="ZY37" i="6" a="1"/>
  <c r="ZY37" i="6" s="1"/>
  <c r="AAA37" i="6" a="1"/>
  <c r="AAA37" i="6" s="1"/>
  <c r="AAF37" i="6" a="1"/>
  <c r="AAF37" i="6" s="1"/>
  <c r="AAC37" i="6" a="1"/>
  <c r="AAC37" i="6" s="1"/>
  <c r="AAB37" i="6" a="1"/>
  <c r="AAB37" i="6" s="1"/>
  <c r="ZZ37" i="6" a="1"/>
  <c r="ZZ37" i="6" s="1"/>
  <c r="ZX37" i="6" a="1"/>
  <c r="ZX37" i="6" s="1"/>
  <c r="AAE45" i="6" a="1"/>
  <c r="AAE45" i="6" s="1"/>
  <c r="ZW45" i="6" a="1"/>
  <c r="ZW45" i="6" s="1"/>
  <c r="AAD45" i="6" a="1"/>
  <c r="AAD45" i="6" s="1"/>
  <c r="ZY45" i="6" a="1"/>
  <c r="ZY45" i="6" s="1"/>
  <c r="AAF45" i="6" a="1"/>
  <c r="AAF45" i="6" s="1"/>
  <c r="AAC45" i="6" a="1"/>
  <c r="AAC45" i="6" s="1"/>
  <c r="AAB45" i="6" a="1"/>
  <c r="AAB45" i="6" s="1"/>
  <c r="AAA45" i="6" a="1"/>
  <c r="AAA45" i="6" s="1"/>
  <c r="ZZ45" i="6" a="1"/>
  <c r="ZZ45" i="6" s="1"/>
  <c r="ZX45" i="6" a="1"/>
  <c r="ZX45" i="6" s="1"/>
  <c r="AAB53" i="6" a="1"/>
  <c r="AAB53" i="6" s="1"/>
  <c r="AAA53" i="6" a="1"/>
  <c r="AAA53" i="6" s="1"/>
  <c r="AAD53" i="6" a="1"/>
  <c r="AAD53" i="6" s="1"/>
  <c r="ZW53" i="6" a="1"/>
  <c r="ZW53" i="6" s="1"/>
  <c r="ZZ53" i="6" a="1"/>
  <c r="ZZ53" i="6" s="1"/>
  <c r="ZY53" i="6" a="1"/>
  <c r="ZY53" i="6" s="1"/>
  <c r="ZX53" i="6" a="1"/>
  <c r="ZX53" i="6" s="1"/>
  <c r="AAF53" i="6" a="1"/>
  <c r="AAF53" i="6" s="1"/>
  <c r="AAE53" i="6" a="1"/>
  <c r="AAE53" i="6" s="1"/>
  <c r="AAC53" i="6" a="1"/>
  <c r="AAC53" i="6" s="1"/>
  <c r="AAA61" i="6" a="1"/>
  <c r="AAA61" i="6" s="1"/>
  <c r="ZZ61" i="6" a="1"/>
  <c r="ZZ61" i="6" s="1"/>
  <c r="AAC61" i="6" a="1"/>
  <c r="AAC61" i="6" s="1"/>
  <c r="ZW61" i="6" a="1"/>
  <c r="ZW61" i="6" s="1"/>
  <c r="AAF61" i="6" a="1"/>
  <c r="AAF61" i="6" s="1"/>
  <c r="AAE61" i="6" a="1"/>
  <c r="AAE61" i="6" s="1"/>
  <c r="AAD61" i="6" a="1"/>
  <c r="AAD61" i="6" s="1"/>
  <c r="AAB61" i="6" a="1"/>
  <c r="AAB61" i="6" s="1"/>
  <c r="ZY61" i="6" a="1"/>
  <c r="ZY61" i="6" s="1"/>
  <c r="ZX61" i="6" a="1"/>
  <c r="ZX61" i="6" s="1"/>
  <c r="AAA69" i="6" a="1"/>
  <c r="AAA69" i="6" s="1"/>
  <c r="ZZ69" i="6" a="1"/>
  <c r="ZZ69" i="6" s="1"/>
  <c r="AAC69" i="6" a="1"/>
  <c r="AAC69" i="6" s="1"/>
  <c r="AAF69" i="6" a="1"/>
  <c r="AAF69" i="6" s="1"/>
  <c r="AAE69" i="6" a="1"/>
  <c r="AAE69" i="6" s="1"/>
  <c r="AAD69" i="6" a="1"/>
  <c r="AAD69" i="6" s="1"/>
  <c r="AAB69" i="6" a="1"/>
  <c r="AAB69" i="6" s="1"/>
  <c r="ZY69" i="6" a="1"/>
  <c r="ZY69" i="6" s="1"/>
  <c r="ZX69" i="6" a="1"/>
  <c r="ZX69" i="6" s="1"/>
  <c r="ZW69" i="6" a="1"/>
  <c r="ZW69" i="6" s="1"/>
  <c r="AAA77" i="6" a="1"/>
  <c r="AAA77" i="6" s="1"/>
  <c r="ZZ77" i="6" a="1"/>
  <c r="ZZ77" i="6" s="1"/>
  <c r="AAC77" i="6" a="1"/>
  <c r="AAC77" i="6" s="1"/>
  <c r="AAD77" i="6" a="1"/>
  <c r="AAD77" i="6" s="1"/>
  <c r="AAB77" i="6" a="1"/>
  <c r="AAB77" i="6" s="1"/>
  <c r="ZY77" i="6" a="1"/>
  <c r="ZY77" i="6" s="1"/>
  <c r="ZX77" i="6" a="1"/>
  <c r="ZX77" i="6" s="1"/>
  <c r="ZW77" i="6" a="1"/>
  <c r="ZW77" i="6" s="1"/>
  <c r="AAF77" i="6" a="1"/>
  <c r="AAF77" i="6" s="1"/>
  <c r="AAE77" i="6" a="1"/>
  <c r="AAE77" i="6" s="1"/>
  <c r="AAA85" i="6" a="1"/>
  <c r="AAA85" i="6" s="1"/>
  <c r="ZZ85" i="6" a="1"/>
  <c r="ZZ85" i="6" s="1"/>
  <c r="AAC85" i="6" a="1"/>
  <c r="AAC85" i="6" s="1"/>
  <c r="AAF85" i="6" a="1"/>
  <c r="AAF85" i="6" s="1"/>
  <c r="AAE85" i="6" a="1"/>
  <c r="AAE85" i="6" s="1"/>
  <c r="AAD85" i="6" a="1"/>
  <c r="AAD85" i="6" s="1"/>
  <c r="AAB85" i="6" a="1"/>
  <c r="AAB85" i="6" s="1"/>
  <c r="ZY85" i="6" a="1"/>
  <c r="ZY85" i="6" s="1"/>
  <c r="ZX85" i="6" a="1"/>
  <c r="ZX85" i="6" s="1"/>
  <c r="ZW85" i="6" a="1"/>
  <c r="ZW85" i="6" s="1"/>
  <c r="AAB93" i="6" a="1"/>
  <c r="AAB93" i="6" s="1"/>
  <c r="AAA93" i="6" a="1"/>
  <c r="AAA93" i="6" s="1"/>
  <c r="ZX93" i="6" a="1"/>
  <c r="ZX93" i="6" s="1"/>
  <c r="ZW93" i="6" a="1"/>
  <c r="ZW93" i="6" s="1"/>
  <c r="AAF93" i="6" a="1"/>
  <c r="AAF93" i="6" s="1"/>
  <c r="AAE93" i="6" a="1"/>
  <c r="AAE93" i="6" s="1"/>
  <c r="AAD93" i="6" a="1"/>
  <c r="AAD93" i="6" s="1"/>
  <c r="AAC93" i="6" a="1"/>
  <c r="AAC93" i="6" s="1"/>
  <c r="ZZ93" i="6" a="1"/>
  <c r="ZZ93" i="6" s="1"/>
  <c r="ZY93" i="6" a="1"/>
  <c r="ZY93" i="6" s="1"/>
  <c r="ZZ101" i="6" a="1"/>
  <c r="ZZ101" i="6" s="1"/>
  <c r="AAF101" i="6" a="1"/>
  <c r="AAF101" i="6" s="1"/>
  <c r="ZY101" i="6" a="1"/>
  <c r="ZY101" i="6" s="1"/>
  <c r="AAB101" i="6" a="1"/>
  <c r="AAB101" i="6" s="1"/>
  <c r="AAA101" i="6" a="1"/>
  <c r="AAA101" i="6" s="1"/>
  <c r="ZX101" i="6" a="1"/>
  <c r="ZX101" i="6" s="1"/>
  <c r="ZW101" i="6" a="1"/>
  <c r="ZW101" i="6" s="1"/>
  <c r="AAE101" i="6" a="1"/>
  <c r="AAE101" i="6" s="1"/>
  <c r="AAD101" i="6" a="1"/>
  <c r="AAD101" i="6" s="1"/>
  <c r="AAC101" i="6" a="1"/>
  <c r="AAC101" i="6" s="1"/>
  <c r="AAC109" i="6" a="1"/>
  <c r="AAC109" i="6" s="1"/>
  <c r="AAB109" i="6" a="1"/>
  <c r="AAB109" i="6" s="1"/>
  <c r="AAD109" i="6" a="1"/>
  <c r="AAD109" i="6" s="1"/>
  <c r="ZW109" i="6" a="1"/>
  <c r="ZW109" i="6" s="1"/>
  <c r="AAE109" i="6" a="1"/>
  <c r="AAE109" i="6" s="1"/>
  <c r="AAA109" i="6" a="1"/>
  <c r="AAA109" i="6" s="1"/>
  <c r="ZZ109" i="6" a="1"/>
  <c r="ZZ109" i="6" s="1"/>
  <c r="ZY109" i="6" a="1"/>
  <c r="ZY109" i="6" s="1"/>
  <c r="ZX109" i="6" a="1"/>
  <c r="ZX109" i="6" s="1"/>
  <c r="AAF109" i="6" a="1"/>
  <c r="AAF109" i="6" s="1"/>
  <c r="ABH117" i="6" a="1"/>
  <c r="ABH117" i="6" s="1"/>
  <c r="ABG117" i="6" a="1"/>
  <c r="ABG117" i="6" s="1"/>
  <c r="AAA117" i="6" a="1"/>
  <c r="AAA117" i="6" s="1"/>
  <c r="ZZ117" i="6" a="1"/>
  <c r="ZZ117" i="6" s="1"/>
  <c r="ABF117" i="6" a="1"/>
  <c r="ABF117" i="6" s="1"/>
  <c r="ABE117" i="6" a="1"/>
  <c r="ABE117" i="6" s="1"/>
  <c r="AAC117" i="6" a="1"/>
  <c r="AAC117" i="6" s="1"/>
  <c r="ABD117" i="6" a="1"/>
  <c r="ABD117" i="6" s="1"/>
  <c r="ZY117" i="6" a="1"/>
  <c r="ZY117" i="6" s="1"/>
  <c r="VO117" i="6" a="1"/>
  <c r="VO117" i="6" s="1"/>
  <c r="ZX117" i="6" a="1"/>
  <c r="ZX117" i="6" s="1"/>
  <c r="AAF117" i="6" a="1"/>
  <c r="AAF117" i="6" s="1"/>
  <c r="ZW117" i="6" a="1"/>
  <c r="ZW117" i="6" s="1"/>
  <c r="AAE117" i="6" a="1"/>
  <c r="AAE117" i="6" s="1"/>
  <c r="AAD117" i="6" a="1"/>
  <c r="AAD117" i="6" s="1"/>
  <c r="VP117" i="6" a="1"/>
  <c r="VP117" i="6" s="1"/>
  <c r="VN117" i="6" a="1"/>
  <c r="VN117" i="6" s="1"/>
  <c r="AAB117" i="6" a="1"/>
  <c r="AAB117" i="6" s="1"/>
  <c r="UZ117" i="6" a="1"/>
  <c r="UZ117" i="6" s="1"/>
  <c r="WC117" i="6" a="1"/>
  <c r="WC117" i="6" s="1"/>
  <c r="NB117" i="6" a="1"/>
  <c r="NB117" i="6" s="1"/>
  <c r="MJ117" i="6" a="1"/>
  <c r="MJ117" i="6" s="1"/>
  <c r="UY117" i="6" a="1"/>
  <c r="UY117" i="6" s="1"/>
  <c r="NA117" i="6" a="1"/>
  <c r="NA117" i="6" s="1"/>
  <c r="UX117" i="6" a="1"/>
  <c r="UX117" i="6" s="1"/>
  <c r="UW117" i="6" a="1"/>
  <c r="UW117" i="6" s="1"/>
  <c r="MZ117" i="6" a="1"/>
  <c r="MZ117" i="6" s="1"/>
  <c r="MY117" i="6" a="1"/>
  <c r="MY117" i="6" s="1"/>
  <c r="LP117" i="6" a="1"/>
  <c r="LP117" i="6" s="1"/>
  <c r="VQ117" i="6" a="1"/>
  <c r="VQ117" i="6" s="1"/>
  <c r="MI117" i="6" a="1"/>
  <c r="MI117" i="6" s="1"/>
  <c r="LR117" i="6" a="1"/>
  <c r="LR117" i="6" s="1"/>
  <c r="VA117" i="6" a="1"/>
  <c r="VA117" i="6" s="1"/>
  <c r="MH117" i="6" a="1"/>
  <c r="MH117" i="6" s="1"/>
  <c r="LO117" i="6" a="1"/>
  <c r="LO117" i="6" s="1"/>
  <c r="UM117" i="6" a="1"/>
  <c r="UM117" i="6" s="1"/>
  <c r="MG117" i="6" a="1"/>
  <c r="MG117" i="6" s="1"/>
  <c r="JO117" i="6" a="1"/>
  <c r="JO117" i="6" s="1"/>
  <c r="KH117" i="6" a="1"/>
  <c r="KH117" i="6" s="1"/>
  <c r="JN117" i="6" a="1"/>
  <c r="JN117" i="6" s="1"/>
  <c r="KZ117" i="6" a="1"/>
  <c r="KZ117" i="6" s="1"/>
  <c r="KG117" i="6" a="1"/>
  <c r="KG117" i="6" s="1"/>
  <c r="JM117" i="6" a="1"/>
  <c r="JM117" i="6" s="1"/>
  <c r="IX117" i="6" a="1"/>
  <c r="IX117" i="6" s="1"/>
  <c r="KY117" i="6" a="1"/>
  <c r="KY117" i="6" s="1"/>
  <c r="KF117" i="6" a="1"/>
  <c r="KF117" i="6" s="1"/>
  <c r="IW117" i="6" a="1"/>
  <c r="IW117" i="6" s="1"/>
  <c r="LQ117" i="6" a="1"/>
  <c r="LQ117" i="6" s="1"/>
  <c r="KX117" i="6" a="1"/>
  <c r="KX117" i="6" s="1"/>
  <c r="KE117" i="6" a="1"/>
  <c r="KE117" i="6" s="1"/>
  <c r="IF117" i="6" a="1"/>
  <c r="IF117" i="6" s="1"/>
  <c r="KW117" i="6" a="1"/>
  <c r="KW117" i="6" s="1"/>
  <c r="HL117" i="6" a="1"/>
  <c r="HL117" i="6" s="1"/>
  <c r="IV117" i="6" a="1"/>
  <c r="IV117" i="6" s="1"/>
  <c r="IE117" i="6" a="1"/>
  <c r="IE117" i="6" s="1"/>
  <c r="HK117" i="6" a="1"/>
  <c r="HK117" i="6" s="1"/>
  <c r="GD117" i="6" a="1"/>
  <c r="GD117" i="6" s="1"/>
  <c r="JP117" i="6" a="1"/>
  <c r="JP117" i="6" s="1"/>
  <c r="IU117" i="6" a="1"/>
  <c r="IU117" i="6" s="1"/>
  <c r="ID117" i="6" a="1"/>
  <c r="ID117" i="6" s="1"/>
  <c r="GC117" i="6" a="1"/>
  <c r="GC117" i="6" s="1"/>
  <c r="IC117" i="6" a="1"/>
  <c r="IC117" i="6" s="1"/>
  <c r="GW117" i="6" a="1"/>
  <c r="GW117" i="6" s="1"/>
  <c r="GV117" i="6" a="1"/>
  <c r="GV117" i="6" s="1"/>
  <c r="HN117" i="6" a="1"/>
  <c r="HN117" i="6" s="1"/>
  <c r="GU117" i="6" a="1"/>
  <c r="GU117" i="6" s="1"/>
  <c r="FL117" i="6" a="1"/>
  <c r="FL117" i="6" s="1"/>
  <c r="EE117" i="6" a="1"/>
  <c r="EE117" i="6" s="1"/>
  <c r="GT117" i="6" a="1"/>
  <c r="GT117" i="6" s="1"/>
  <c r="EW117" i="6" a="1"/>
  <c r="EW117" i="6" s="1"/>
  <c r="ED117" i="6" a="1"/>
  <c r="ED117" i="6" s="1"/>
  <c r="DO117" i="6" a="1"/>
  <c r="DO117" i="6" s="1"/>
  <c r="HM117" i="6" a="1"/>
  <c r="HM117" i="6" s="1"/>
  <c r="GF117" i="6" a="1"/>
  <c r="GF117" i="6" s="1"/>
  <c r="GE117" i="6" a="1"/>
  <c r="GE117" i="6" s="1"/>
  <c r="EV117" i="6" a="1"/>
  <c r="EV117" i="6" s="1"/>
  <c r="DN117" i="6" a="1"/>
  <c r="DN117" i="6" s="1"/>
  <c r="FO117" i="6" a="1"/>
  <c r="FO117" i="6" s="1"/>
  <c r="EU117" i="6" a="1"/>
  <c r="EU117" i="6" s="1"/>
  <c r="DM117" i="6" a="1"/>
  <c r="DM117" i="6" s="1"/>
  <c r="DD117" i="6" a="1"/>
  <c r="DD117" i="6" s="1"/>
  <c r="CU117" i="6" a="1"/>
  <c r="CU117" i="6" s="1"/>
  <c r="FN117" i="6" a="1"/>
  <c r="FN117" i="6" s="1"/>
  <c r="EG117" i="6" a="1"/>
  <c r="EG117" i="6" s="1"/>
  <c r="CL117" i="6" a="1"/>
  <c r="CL117" i="6" s="1"/>
  <c r="FM117" i="6" a="1"/>
  <c r="FM117" i="6" s="1"/>
  <c r="EF117" i="6" a="1"/>
  <c r="EF117" i="6" s="1"/>
  <c r="BT117" i="6" a="1"/>
  <c r="BT117" i="6" s="1"/>
  <c r="AV117" i="6" a="1"/>
  <c r="AV117" i="6" s="1"/>
  <c r="U117" i="6" a="1"/>
  <c r="U117" i="6" s="1"/>
  <c r="SO117" i="6" a="1"/>
  <c r="SO117" i="6" s="1"/>
  <c r="BS117" i="6" a="1"/>
  <c r="BS117" i="6" s="1"/>
  <c r="TY117" i="6" a="1"/>
  <c r="TY117" i="6" s="1"/>
  <c r="SN117" i="6" a="1"/>
  <c r="SN117" i="6" s="1"/>
  <c r="AU117" i="6" a="1"/>
  <c r="AU117" i="6" s="1"/>
  <c r="TX117" i="6" a="1"/>
  <c r="TX117" i="6" s="1"/>
  <c r="TG117" i="6" a="1"/>
  <c r="TG117" i="6" s="1"/>
  <c r="RW117" i="6" a="1"/>
  <c r="RW117" i="6" s="1"/>
  <c r="BA117" i="6" a="1"/>
  <c r="BA117" i="6" s="1"/>
  <c r="AT117" i="6" a="1"/>
  <c r="AT117" i="6" s="1"/>
  <c r="SM117" i="6" a="1"/>
  <c r="SM117" i="6" s="1"/>
  <c r="RV117" i="6" a="1"/>
  <c r="RV117" i="6" s="1"/>
  <c r="EX117" i="6" a="1"/>
  <c r="EX117" i="6" s="1"/>
  <c r="DP117" i="6" a="1"/>
  <c r="DP117" i="6" s="1"/>
  <c r="BX117" i="6" a="1"/>
  <c r="BX117" i="6" s="1"/>
  <c r="AZ117" i="6" a="1"/>
  <c r="AZ117" i="6" s="1"/>
  <c r="AS117" i="6" a="1"/>
  <c r="AS117" i="6" s="1"/>
  <c r="J117" i="6" a="1"/>
  <c r="J117" i="6" s="1"/>
  <c r="TW117" i="6" a="1"/>
  <c r="TW117" i="6" s="1"/>
  <c r="TF117" i="6" a="1"/>
  <c r="TF117" i="6" s="1"/>
  <c r="SL117" i="6" a="1"/>
  <c r="SL117" i="6" s="1"/>
  <c r="RU117" i="6" a="1"/>
  <c r="RU117" i="6" s="1"/>
  <c r="BW117" i="6" a="1"/>
  <c r="BW117" i="6" s="1"/>
  <c r="AY117" i="6" a="1"/>
  <c r="AY117" i="6" s="1"/>
  <c r="AR117" i="6" a="1"/>
  <c r="AR117" i="6" s="1"/>
  <c r="I117" i="6" a="1"/>
  <c r="I117" i="6" s="1"/>
  <c r="H117" i="6" s="1"/>
  <c r="TV117" i="6" a="1"/>
  <c r="TV117" i="6" s="1"/>
  <c r="RT117" i="6" a="1"/>
  <c r="RT117" i="6" s="1"/>
  <c r="BV117" i="6" a="1"/>
  <c r="BV117" i="6" s="1"/>
  <c r="AX117" i="6" a="1"/>
  <c r="AX117" i="6" s="1"/>
  <c r="AH117" i="6" a="1"/>
  <c r="AH117" i="6" s="1"/>
  <c r="TE117" i="6" a="1"/>
  <c r="TE117" i="6" s="1"/>
  <c r="BU117" i="6" a="1"/>
  <c r="BU117" i="6" s="1"/>
  <c r="QL117" i="6" a="1"/>
  <c r="QL117" i="6" s="1"/>
  <c r="PT117" i="6" a="1"/>
  <c r="PT117" i="6" s="1"/>
  <c r="OI117" i="6" a="1"/>
  <c r="OI117" i="6" s="1"/>
  <c r="AW117" i="6" a="1"/>
  <c r="AW117" i="6" s="1"/>
  <c r="RE117" i="6" a="1"/>
  <c r="RE117" i="6" s="1"/>
  <c r="QK117" i="6" a="1"/>
  <c r="QK117" i="6" s="1"/>
  <c r="PC117" i="6" a="1"/>
  <c r="PC117" i="6" s="1"/>
  <c r="OH117" i="6" a="1"/>
  <c r="OH117" i="6" s="1"/>
  <c r="NS117" i="6" a="1"/>
  <c r="NS117" i="6" s="1"/>
  <c r="TD117" i="6" a="1"/>
  <c r="TD117" i="6" s="1"/>
  <c r="QJ117" i="6" a="1"/>
  <c r="QJ117" i="6" s="1"/>
  <c r="PS117" i="6" a="1"/>
  <c r="PS117" i="6" s="1"/>
  <c r="PB117" i="6" a="1"/>
  <c r="PB117" i="6" s="1"/>
  <c r="NR117" i="6" a="1"/>
  <c r="NR117" i="6" s="1"/>
  <c r="QM117" i="6" a="1"/>
  <c r="QM117" i="6" s="1"/>
  <c r="AG117" i="6" a="1"/>
  <c r="AG117" i="6" s="1"/>
  <c r="RD117" i="6" a="1"/>
  <c r="RD117" i="6" s="1"/>
  <c r="PR117" i="6" a="1"/>
  <c r="PR117" i="6" s="1"/>
  <c r="PA117" i="6" a="1"/>
  <c r="PA117" i="6" s="1"/>
  <c r="OZ117" i="6" a="1"/>
  <c r="OZ117" i="6" s="1"/>
  <c r="NQ117" i="6" a="1"/>
  <c r="NQ117" i="6" s="1"/>
  <c r="RC117" i="6" a="1"/>
  <c r="RC117" i="6" s="1"/>
  <c r="NP117" i="6" a="1"/>
  <c r="NP117" i="6" s="1"/>
  <c r="OJ117" i="6" a="1"/>
  <c r="OJ117" i="6" s="1"/>
  <c r="V117" i="6" a="1"/>
  <c r="V117" i="6" s="1"/>
  <c r="RB117" i="6" a="1"/>
  <c r="RB117" i="6" s="1"/>
  <c r="OK117" i="6" a="1"/>
  <c r="OK117" i="6" s="1"/>
  <c r="PU117" i="6" a="1"/>
  <c r="PU117" i="6" s="1"/>
  <c r="ZZ27" i="6" a="1"/>
  <c r="ZZ27" i="6" s="1"/>
  <c r="AAC27" i="6" a="1"/>
  <c r="AAC27" i="6" s="1"/>
  <c r="ZX27" i="6" a="1"/>
  <c r="ZX27" i="6" s="1"/>
  <c r="AAB27" i="6" a="1"/>
  <c r="AAB27" i="6" s="1"/>
  <c r="AAD27" i="6" a="1"/>
  <c r="AAD27" i="6" s="1"/>
  <c r="AAA27" i="6" a="1"/>
  <c r="AAA27" i="6" s="1"/>
  <c r="ZY27" i="6" a="1"/>
  <c r="ZY27" i="6" s="1"/>
  <c r="ZW27" i="6" a="1"/>
  <c r="ZW27" i="6" s="1"/>
  <c r="AAF27" i="6" a="1"/>
  <c r="AAF27" i="6" s="1"/>
  <c r="AAE27" i="6" a="1"/>
  <c r="AAE27" i="6" s="1"/>
  <c r="AAC6" i="6" a="1"/>
  <c r="AAC6" i="6" s="1"/>
  <c r="AAA6" i="6" a="1"/>
  <c r="AAA6" i="6" s="1"/>
  <c r="ZZ6" i="6" a="1"/>
  <c r="ZZ6" i="6" s="1"/>
  <c r="AAF6" i="6" a="1"/>
  <c r="AAF6" i="6" s="1"/>
  <c r="ZY6" i="6" a="1"/>
  <c r="ZY6" i="6" s="1"/>
  <c r="AAE6" i="6" a="1"/>
  <c r="AAE6" i="6" s="1"/>
  <c r="ZX6" i="6" a="1"/>
  <c r="ZX6" i="6" s="1"/>
  <c r="AAD6" i="6" a="1"/>
  <c r="AAD6" i="6" s="1"/>
  <c r="ZW6" i="6" a="1"/>
  <c r="ZW6" i="6" s="1"/>
  <c r="AAB6" i="6" a="1"/>
  <c r="AAB6" i="6" s="1"/>
  <c r="AAC38" i="6" a="1"/>
  <c r="AAC38" i="6" s="1"/>
  <c r="AAB38" i="6" a="1"/>
  <c r="AAB38" i="6" s="1"/>
  <c r="AAE38" i="6" a="1"/>
  <c r="AAE38" i="6" s="1"/>
  <c r="ZW38" i="6" a="1"/>
  <c r="ZW38" i="6" s="1"/>
  <c r="ZY38" i="6" a="1"/>
  <c r="ZY38" i="6" s="1"/>
  <c r="AAD38" i="6" a="1"/>
  <c r="AAD38" i="6" s="1"/>
  <c r="AAF38" i="6" a="1"/>
  <c r="AAF38" i="6" s="1"/>
  <c r="AAA38" i="6" a="1"/>
  <c r="AAA38" i="6" s="1"/>
  <c r="ZZ38" i="6" a="1"/>
  <c r="ZZ38" i="6" s="1"/>
  <c r="ZX38" i="6" a="1"/>
  <c r="ZX38" i="6" s="1"/>
  <c r="AAC46" i="6" a="1"/>
  <c r="AAC46" i="6" s="1"/>
  <c r="AAB46" i="6" a="1"/>
  <c r="AAB46" i="6" s="1"/>
  <c r="AAE46" i="6" a="1"/>
  <c r="AAE46" i="6" s="1"/>
  <c r="ZW46" i="6" a="1"/>
  <c r="ZW46" i="6" s="1"/>
  <c r="ZX46" i="6" a="1"/>
  <c r="ZX46" i="6" s="1"/>
  <c r="AAF46" i="6" a="1"/>
  <c r="AAF46" i="6" s="1"/>
  <c r="AAD46" i="6" a="1"/>
  <c r="AAD46" i="6" s="1"/>
  <c r="AAA46" i="6" a="1"/>
  <c r="AAA46" i="6" s="1"/>
  <c r="ZZ46" i="6" a="1"/>
  <c r="ZZ46" i="6" s="1"/>
  <c r="ZY46" i="6" a="1"/>
  <c r="ZY46" i="6" s="1"/>
  <c r="ZY54" i="6" a="1"/>
  <c r="ZY54" i="6" s="1"/>
  <c r="AAF54" i="6" a="1"/>
  <c r="AAF54" i="6" s="1"/>
  <c r="ZX54" i="6" a="1"/>
  <c r="ZX54" i="6" s="1"/>
  <c r="AAA54" i="6" a="1"/>
  <c r="AAA54" i="6" s="1"/>
  <c r="AAC54" i="6" a="1"/>
  <c r="AAC54" i="6" s="1"/>
  <c r="AAB54" i="6" a="1"/>
  <c r="AAB54" i="6" s="1"/>
  <c r="ZZ54" i="6" a="1"/>
  <c r="ZZ54" i="6" s="1"/>
  <c r="ZW54" i="6" a="1"/>
  <c r="ZW54" i="6" s="1"/>
  <c r="AAE54" i="6" a="1"/>
  <c r="AAE54" i="6" s="1"/>
  <c r="AAD54" i="6" a="1"/>
  <c r="AAD54" i="6" s="1"/>
  <c r="ZY62" i="6" a="1"/>
  <c r="ZY62" i="6" s="1"/>
  <c r="AAF62" i="6" a="1"/>
  <c r="AAF62" i="6" s="1"/>
  <c r="ZX62" i="6" a="1"/>
  <c r="ZX62" i="6" s="1"/>
  <c r="AAA62" i="6" a="1"/>
  <c r="AAA62" i="6" s="1"/>
  <c r="ZZ62" i="6" a="1"/>
  <c r="ZZ62" i="6" s="1"/>
  <c r="ZW62" i="6" a="1"/>
  <c r="ZW62" i="6" s="1"/>
  <c r="AAE62" i="6" a="1"/>
  <c r="AAE62" i="6" s="1"/>
  <c r="AAD62" i="6" a="1"/>
  <c r="AAD62" i="6" s="1"/>
  <c r="AAC62" i="6" a="1"/>
  <c r="AAC62" i="6" s="1"/>
  <c r="AAB62" i="6" a="1"/>
  <c r="AAB62" i="6" s="1"/>
  <c r="ZY70" i="6" a="1"/>
  <c r="ZY70" i="6" s="1"/>
  <c r="AAF70" i="6" a="1"/>
  <c r="AAF70" i="6" s="1"/>
  <c r="ZX70" i="6" a="1"/>
  <c r="ZX70" i="6" s="1"/>
  <c r="AAA70" i="6" a="1"/>
  <c r="AAA70" i="6" s="1"/>
  <c r="AAE70" i="6" a="1"/>
  <c r="AAE70" i="6" s="1"/>
  <c r="AAD70" i="6" a="1"/>
  <c r="AAD70" i="6" s="1"/>
  <c r="AAC70" i="6" a="1"/>
  <c r="AAC70" i="6" s="1"/>
  <c r="AAB70" i="6" a="1"/>
  <c r="AAB70" i="6" s="1"/>
  <c r="ZZ70" i="6" a="1"/>
  <c r="ZZ70" i="6" s="1"/>
  <c r="ZW70" i="6" a="1"/>
  <c r="ZW70" i="6" s="1"/>
  <c r="ZY86" i="6" a="1"/>
  <c r="ZY86" i="6" s="1"/>
  <c r="AAE86" i="6" a="1"/>
  <c r="AAE86" i="6" s="1"/>
  <c r="ZX86" i="6" a="1"/>
  <c r="ZX86" i="6" s="1"/>
  <c r="AAA86" i="6" a="1"/>
  <c r="AAA86" i="6" s="1"/>
  <c r="ZW86" i="6" a="1"/>
  <c r="ZW86" i="6" s="1"/>
  <c r="AAF86" i="6" a="1"/>
  <c r="AAF86" i="6" s="1"/>
  <c r="AAD86" i="6" a="1"/>
  <c r="AAD86" i="6" s="1"/>
  <c r="AAC86" i="6" a="1"/>
  <c r="AAC86" i="6" s="1"/>
  <c r="AAB86" i="6" a="1"/>
  <c r="AAB86" i="6" s="1"/>
  <c r="ZZ86" i="6" a="1"/>
  <c r="ZZ86" i="6" s="1"/>
  <c r="AAE102" i="6" a="1"/>
  <c r="AAE102" i="6" s="1"/>
  <c r="ZW102" i="6" a="1"/>
  <c r="ZW102" i="6" s="1"/>
  <c r="AAD102" i="6" a="1"/>
  <c r="AAD102" i="6" s="1"/>
  <c r="ZY102" i="6" a="1"/>
  <c r="ZY102" i="6" s="1"/>
  <c r="AAB102" i="6" a="1"/>
  <c r="AAB102" i="6" s="1"/>
  <c r="AAA102" i="6" a="1"/>
  <c r="AAA102" i="6" s="1"/>
  <c r="ZZ102" i="6" a="1"/>
  <c r="ZZ102" i="6" s="1"/>
  <c r="ZX102" i="6" a="1"/>
  <c r="ZX102" i="6" s="1"/>
  <c r="AAF102" i="6" a="1"/>
  <c r="AAF102" i="6" s="1"/>
  <c r="AAC102" i="6" a="1"/>
  <c r="AAC102" i="6" s="1"/>
  <c r="ZZ110" i="6" a="1"/>
  <c r="ZZ110" i="6" s="1"/>
  <c r="AAF110" i="6" a="1"/>
  <c r="AAF110" i="6" s="1"/>
  <c r="ZY110" i="6" a="1"/>
  <c r="ZY110" i="6" s="1"/>
  <c r="AAE110" i="6" a="1"/>
  <c r="AAE110" i="6" s="1"/>
  <c r="AAD110" i="6" a="1"/>
  <c r="AAD110" i="6" s="1"/>
  <c r="AAC110" i="6" a="1"/>
  <c r="AAC110" i="6" s="1"/>
  <c r="AAB110" i="6" a="1"/>
  <c r="AAB110" i="6" s="1"/>
  <c r="AAA110" i="6" a="1"/>
  <c r="AAA110" i="6" s="1"/>
  <c r="ZX110" i="6" a="1"/>
  <c r="ZX110" i="6" s="1"/>
  <c r="ZW110" i="6" a="1"/>
  <c r="ZW110" i="6" s="1"/>
  <c r="AAE67" i="6" a="1"/>
  <c r="AAE67" i="6" s="1"/>
  <c r="ZW67" i="6" a="1"/>
  <c r="ZW67" i="6" s="1"/>
  <c r="AAD67" i="6" a="1"/>
  <c r="AAD67" i="6" s="1"/>
  <c r="ZY67" i="6" a="1"/>
  <c r="ZY67" i="6" s="1"/>
  <c r="AAA67" i="6" a="1"/>
  <c r="AAA67" i="6" s="1"/>
  <c r="ZZ67" i="6" a="1"/>
  <c r="ZZ67" i="6" s="1"/>
  <c r="ZX67" i="6" a="1"/>
  <c r="ZX67" i="6" s="1"/>
  <c r="AAF67" i="6" a="1"/>
  <c r="AAF67" i="6" s="1"/>
  <c r="AAC67" i="6" a="1"/>
  <c r="AAC67" i="6" s="1"/>
  <c r="AAB67" i="6" a="1"/>
  <c r="AAB67" i="6" s="1"/>
  <c r="AAB30" i="6" a="1"/>
  <c r="AAB30" i="6" s="1"/>
  <c r="AAE30" i="6" a="1"/>
  <c r="AAE30" i="6" s="1"/>
  <c r="ZW30" i="6" a="1"/>
  <c r="ZW30" i="6" s="1"/>
  <c r="ZZ30" i="6" a="1"/>
  <c r="ZZ30" i="6" s="1"/>
  <c r="AAD30" i="6" a="1"/>
  <c r="AAD30" i="6" s="1"/>
  <c r="AAA30" i="6" a="1"/>
  <c r="AAA30" i="6" s="1"/>
  <c r="ZY30" i="6" a="1"/>
  <c r="ZY30" i="6" s="1"/>
  <c r="ZX30" i="6" a="1"/>
  <c r="ZX30" i="6" s="1"/>
  <c r="AAF30" i="6" a="1"/>
  <c r="AAF30" i="6" s="1"/>
  <c r="AAC30" i="6" a="1"/>
  <c r="AAC30" i="6" s="1"/>
  <c r="AAA39" i="6" a="1"/>
  <c r="AAA39" i="6" s="1"/>
  <c r="ZZ39" i="6" a="1"/>
  <c r="ZZ39" i="6" s="1"/>
  <c r="AAC39" i="6" a="1"/>
  <c r="AAC39" i="6" s="1"/>
  <c r="AAB39" i="6" a="1"/>
  <c r="AAB39" i="6" s="1"/>
  <c r="AAF39" i="6" a="1"/>
  <c r="AAF39" i="6" s="1"/>
  <c r="AAD39" i="6" a="1"/>
  <c r="AAD39" i="6" s="1"/>
  <c r="ZY39" i="6" a="1"/>
  <c r="ZY39" i="6" s="1"/>
  <c r="ZX39" i="6" a="1"/>
  <c r="ZX39" i="6" s="1"/>
  <c r="ZW39" i="6" a="1"/>
  <c r="ZW39" i="6" s="1"/>
  <c r="AAE39" i="6" a="1"/>
  <c r="AAE39" i="6" s="1"/>
  <c r="AAE55" i="6" a="1"/>
  <c r="AAE55" i="6" s="1"/>
  <c r="ZW55" i="6" a="1"/>
  <c r="ZW55" i="6" s="1"/>
  <c r="AAD55" i="6" a="1"/>
  <c r="AAD55" i="6" s="1"/>
  <c r="ZY55" i="6" a="1"/>
  <c r="ZY55" i="6" s="1"/>
  <c r="AAF55" i="6" a="1"/>
  <c r="AAF55" i="6" s="1"/>
  <c r="AAC55" i="6" a="1"/>
  <c r="AAC55" i="6" s="1"/>
  <c r="AAB55" i="6" a="1"/>
  <c r="AAB55" i="6" s="1"/>
  <c r="AAA55" i="6" a="1"/>
  <c r="AAA55" i="6" s="1"/>
  <c r="ZZ55" i="6" a="1"/>
  <c r="ZZ55" i="6" s="1"/>
  <c r="ZX55" i="6" a="1"/>
  <c r="ZX55" i="6" s="1"/>
  <c r="AAE63" i="6" a="1"/>
  <c r="AAE63" i="6" s="1"/>
  <c r="ZW63" i="6" a="1"/>
  <c r="ZW63" i="6" s="1"/>
  <c r="AAD63" i="6" a="1"/>
  <c r="AAD63" i="6" s="1"/>
  <c r="ZY63" i="6" a="1"/>
  <c r="ZY63" i="6" s="1"/>
  <c r="AAB63" i="6" a="1"/>
  <c r="AAB63" i="6" s="1"/>
  <c r="AAA63" i="6" a="1"/>
  <c r="AAA63" i="6" s="1"/>
  <c r="ZZ63" i="6" a="1"/>
  <c r="ZZ63" i="6" s="1"/>
  <c r="ZX63" i="6" a="1"/>
  <c r="ZX63" i="6" s="1"/>
  <c r="AAF63" i="6" a="1"/>
  <c r="AAF63" i="6" s="1"/>
  <c r="AAC63" i="6" a="1"/>
  <c r="AAC63" i="6" s="1"/>
  <c r="AAE71" i="6" a="1"/>
  <c r="AAE71" i="6" s="1"/>
  <c r="ZW71" i="6" a="1"/>
  <c r="ZW71" i="6" s="1"/>
  <c r="AAD71" i="6" a="1"/>
  <c r="AAD71" i="6" s="1"/>
  <c r="ZY71" i="6" a="1"/>
  <c r="ZY71" i="6" s="1"/>
  <c r="ZZ71" i="6" a="1"/>
  <c r="ZZ71" i="6" s="1"/>
  <c r="ZX71" i="6" a="1"/>
  <c r="ZX71" i="6" s="1"/>
  <c r="AAF71" i="6" a="1"/>
  <c r="AAF71" i="6" s="1"/>
  <c r="AAC71" i="6" a="1"/>
  <c r="AAC71" i="6" s="1"/>
  <c r="AAB71" i="6" a="1"/>
  <c r="AAB71" i="6" s="1"/>
  <c r="AAA71" i="6" a="1"/>
  <c r="AAA71" i="6" s="1"/>
  <c r="ZY79" i="6" a="1"/>
  <c r="ZY79" i="6" s="1"/>
  <c r="AAF79" i="6" a="1"/>
  <c r="AAF79" i="6" s="1"/>
  <c r="ZX79" i="6" a="1"/>
  <c r="ZX79" i="6" s="1"/>
  <c r="AAA79" i="6" a="1"/>
  <c r="AAA79" i="6" s="1"/>
  <c r="AAE79" i="6" a="1"/>
  <c r="AAE79" i="6" s="1"/>
  <c r="AAD79" i="6" a="1"/>
  <c r="AAD79" i="6" s="1"/>
  <c r="AAC79" i="6" a="1"/>
  <c r="AAC79" i="6" s="1"/>
  <c r="AAB79" i="6" a="1"/>
  <c r="AAB79" i="6" s="1"/>
  <c r="ZZ79" i="6" a="1"/>
  <c r="ZZ79" i="6" s="1"/>
  <c r="ZW79" i="6" a="1"/>
  <c r="ZW79" i="6" s="1"/>
  <c r="AAB87" i="6" a="1"/>
  <c r="AAB87" i="6" s="1"/>
  <c r="AAA87" i="6" a="1"/>
  <c r="AAA87" i="6" s="1"/>
  <c r="AAD87" i="6" a="1"/>
  <c r="AAD87" i="6" s="1"/>
  <c r="ZW87" i="6" a="1"/>
  <c r="ZW87" i="6" s="1"/>
  <c r="ZY87" i="6" a="1"/>
  <c r="ZY87" i="6" s="1"/>
  <c r="ZX87" i="6" a="1"/>
  <c r="ZX87" i="6" s="1"/>
  <c r="AAF87" i="6" a="1"/>
  <c r="AAF87" i="6" s="1"/>
  <c r="AAE87" i="6" a="1"/>
  <c r="AAE87" i="6" s="1"/>
  <c r="AAC87" i="6" a="1"/>
  <c r="AAC87" i="6" s="1"/>
  <c r="ZZ87" i="6" a="1"/>
  <c r="ZZ87" i="6" s="1"/>
  <c r="AAF95" i="6" a="1"/>
  <c r="AAF95" i="6" s="1"/>
  <c r="ZY95" i="6" a="1"/>
  <c r="ZY95" i="6" s="1"/>
  <c r="AAE95" i="6" a="1"/>
  <c r="AAE95" i="6" s="1"/>
  <c r="ZX95" i="6" a="1"/>
  <c r="ZX95" i="6" s="1"/>
  <c r="AAA95" i="6" a="1"/>
  <c r="AAA95" i="6" s="1"/>
  <c r="ZZ95" i="6" a="1"/>
  <c r="ZZ95" i="6" s="1"/>
  <c r="ZW95" i="6" a="1"/>
  <c r="ZW95" i="6" s="1"/>
  <c r="AAD95" i="6" a="1"/>
  <c r="AAD95" i="6" s="1"/>
  <c r="AAC95" i="6" a="1"/>
  <c r="AAC95" i="6" s="1"/>
  <c r="AAB95" i="6" a="1"/>
  <c r="AAB95" i="6" s="1"/>
  <c r="AAB103" i="6" a="1"/>
  <c r="AAB103" i="6" s="1"/>
  <c r="AAA103" i="6" a="1"/>
  <c r="AAA103" i="6" s="1"/>
  <c r="AAD103" i="6" a="1"/>
  <c r="AAD103" i="6" s="1"/>
  <c r="ZW103" i="6" a="1"/>
  <c r="ZW103" i="6" s="1"/>
  <c r="AAE103" i="6" a="1"/>
  <c r="AAE103" i="6" s="1"/>
  <c r="AAC103" i="6" a="1"/>
  <c r="AAC103" i="6" s="1"/>
  <c r="ZZ103" i="6" a="1"/>
  <c r="ZZ103" i="6" s="1"/>
  <c r="ZY103" i="6" a="1"/>
  <c r="ZY103" i="6" s="1"/>
  <c r="ZX103" i="6" a="1"/>
  <c r="ZX103" i="6" s="1"/>
  <c r="AAF103" i="6" a="1"/>
  <c r="AAF103" i="6" s="1"/>
  <c r="AAD111" i="6" a="1"/>
  <c r="AAD111" i="6" s="1"/>
  <c r="ZW111" i="6" a="1"/>
  <c r="ZW111" i="6" s="1"/>
  <c r="AAC111" i="6" a="1"/>
  <c r="AAC111" i="6" s="1"/>
  <c r="AAF111" i="6" a="1"/>
  <c r="AAF111" i="6" s="1"/>
  <c r="ZY111" i="6" a="1"/>
  <c r="ZY111" i="6" s="1"/>
  <c r="AAE111" i="6" a="1"/>
  <c r="AAE111" i="6" s="1"/>
  <c r="AAB111" i="6" a="1"/>
  <c r="AAB111" i="6" s="1"/>
  <c r="AAA111" i="6" a="1"/>
  <c r="AAA111" i="6" s="1"/>
  <c r="ZZ111" i="6" a="1"/>
  <c r="ZZ111" i="6" s="1"/>
  <c r="ZX111" i="6" a="1"/>
  <c r="ZX111" i="6" s="1"/>
  <c r="AAA43" i="6" a="1"/>
  <c r="AAA43" i="6" s="1"/>
  <c r="ZZ43" i="6" a="1"/>
  <c r="ZZ43" i="6" s="1"/>
  <c r="AAC43" i="6" a="1"/>
  <c r="AAC43" i="6" s="1"/>
  <c r="ZY43" i="6" a="1"/>
  <c r="ZY43" i="6" s="1"/>
  <c r="AAF43" i="6" a="1"/>
  <c r="AAF43" i="6" s="1"/>
  <c r="AAE43" i="6" a="1"/>
  <c r="AAE43" i="6" s="1"/>
  <c r="ZW43" i="6" a="1"/>
  <c r="ZW43" i="6" s="1"/>
  <c r="AAD43" i="6" a="1"/>
  <c r="AAD43" i="6" s="1"/>
  <c r="AAB43" i="6" a="1"/>
  <c r="AAB43" i="6" s="1"/>
  <c r="ZX43" i="6" a="1"/>
  <c r="ZX43" i="6" s="1"/>
  <c r="ZY22" i="6" a="1"/>
  <c r="ZY22" i="6" s="1"/>
  <c r="AAB22" i="6" a="1"/>
  <c r="AAB22" i="6" s="1"/>
  <c r="ZW22" i="6" a="1"/>
  <c r="ZW22" i="6" s="1"/>
  <c r="AAF22" i="6" a="1"/>
  <c r="AAF22" i="6" s="1"/>
  <c r="AAE22" i="6" a="1"/>
  <c r="AAE22" i="6" s="1"/>
  <c r="AAD22" i="6" a="1"/>
  <c r="AAD22" i="6" s="1"/>
  <c r="AAC22" i="6" a="1"/>
  <c r="AAC22" i="6" s="1"/>
  <c r="AAA22" i="6" a="1"/>
  <c r="AAA22" i="6" s="1"/>
  <c r="ZZ22" i="6" a="1"/>
  <c r="ZZ22" i="6" s="1"/>
  <c r="ZX22" i="6" a="1"/>
  <c r="ZX22" i="6" s="1"/>
  <c r="AAE23" i="6" a="1"/>
  <c r="AAE23" i="6" s="1"/>
  <c r="ZW23" i="6" a="1"/>
  <c r="ZW23" i="6" s="1"/>
  <c r="ZZ23" i="6" a="1"/>
  <c r="ZZ23" i="6" s="1"/>
  <c r="ZX23" i="6" a="1"/>
  <c r="ZX23" i="6" s="1"/>
  <c r="AAF23" i="6" a="1"/>
  <c r="AAF23" i="6" s="1"/>
  <c r="AAD23" i="6" a="1"/>
  <c r="AAD23" i="6" s="1"/>
  <c r="AAC23" i="6" a="1"/>
  <c r="AAC23" i="6" s="1"/>
  <c r="AAB23" i="6" a="1"/>
  <c r="AAB23" i="6" s="1"/>
  <c r="AAA23" i="6" a="1"/>
  <c r="AAA23" i="6" s="1"/>
  <c r="ZY23" i="6" a="1"/>
  <c r="ZY23" i="6" s="1"/>
  <c r="AAA16" i="6" a="1"/>
  <c r="AAA16" i="6" s="1"/>
  <c r="AAD16" i="6" a="1"/>
  <c r="AAD16" i="6" s="1"/>
  <c r="AAE16" i="6" a="1"/>
  <c r="AAE16" i="6" s="1"/>
  <c r="AAC16" i="6" a="1"/>
  <c r="AAC16" i="6" s="1"/>
  <c r="AAB16" i="6" a="1"/>
  <c r="AAB16" i="6" s="1"/>
  <c r="ZZ16" i="6" a="1"/>
  <c r="ZZ16" i="6" s="1"/>
  <c r="ZY16" i="6" a="1"/>
  <c r="ZY16" i="6" s="1"/>
  <c r="ZX16" i="6" a="1"/>
  <c r="ZX16" i="6" s="1"/>
  <c r="ZW16" i="6" a="1"/>
  <c r="ZW16" i="6" s="1"/>
  <c r="AAF16" i="6" a="1"/>
  <c r="AAF16" i="6" s="1"/>
  <c r="AAC56" i="6" a="1"/>
  <c r="AAC56" i="6" s="1"/>
  <c r="AAB56" i="6" a="1"/>
  <c r="AAB56" i="6" s="1"/>
  <c r="AAE56" i="6" a="1"/>
  <c r="AAE56" i="6" s="1"/>
  <c r="ZW56" i="6" a="1"/>
  <c r="ZW56" i="6" s="1"/>
  <c r="AAF56" i="6" a="1"/>
  <c r="AAF56" i="6" s="1"/>
  <c r="AAD56" i="6" a="1"/>
  <c r="AAD56" i="6" s="1"/>
  <c r="AAA56" i="6" a="1"/>
  <c r="AAA56" i="6" s="1"/>
  <c r="ZZ56" i="6" a="1"/>
  <c r="ZZ56" i="6" s="1"/>
  <c r="ZY56" i="6" a="1"/>
  <c r="ZY56" i="6" s="1"/>
  <c r="ZX56" i="6" a="1"/>
  <c r="ZX56" i="6" s="1"/>
  <c r="AAC72" i="6" a="1"/>
  <c r="AAC72" i="6" s="1"/>
  <c r="AAB72" i="6" a="1"/>
  <c r="AAB72" i="6" s="1"/>
  <c r="AAE72" i="6" a="1"/>
  <c r="AAE72" i="6" s="1"/>
  <c r="ZW72" i="6" a="1"/>
  <c r="ZW72" i="6" s="1"/>
  <c r="AAA72" i="6" a="1"/>
  <c r="AAA72" i="6" s="1"/>
  <c r="ZZ72" i="6" a="1"/>
  <c r="ZZ72" i="6" s="1"/>
  <c r="ZY72" i="6" a="1"/>
  <c r="ZY72" i="6" s="1"/>
  <c r="ZX72" i="6" a="1"/>
  <c r="ZX72" i="6" s="1"/>
  <c r="AAF72" i="6" a="1"/>
  <c r="AAF72" i="6" s="1"/>
  <c r="AAD72" i="6" a="1"/>
  <c r="AAD72" i="6" s="1"/>
  <c r="ZZ88" i="6" a="1"/>
  <c r="ZZ88" i="6" s="1"/>
  <c r="ZY88" i="6" a="1"/>
  <c r="ZY88" i="6" s="1"/>
  <c r="AAB88" i="6" a="1"/>
  <c r="AAB88" i="6" s="1"/>
  <c r="AAA88" i="6" a="1"/>
  <c r="AAA88" i="6" s="1"/>
  <c r="ZX88" i="6" a="1"/>
  <c r="ZX88" i="6" s="1"/>
  <c r="ZW88" i="6" a="1"/>
  <c r="ZW88" i="6" s="1"/>
  <c r="AAF88" i="6" a="1"/>
  <c r="AAF88" i="6" s="1"/>
  <c r="AAE88" i="6" a="1"/>
  <c r="AAE88" i="6" s="1"/>
  <c r="AAD88" i="6" a="1"/>
  <c r="AAD88" i="6" s="1"/>
  <c r="AAC88" i="6" a="1"/>
  <c r="AAC88" i="6" s="1"/>
  <c r="AAD96" i="6" a="1"/>
  <c r="AAD96" i="6" s="1"/>
  <c r="AAC96" i="6" a="1"/>
  <c r="AAC96" i="6" s="1"/>
  <c r="ZX96" i="6" a="1"/>
  <c r="ZX96" i="6" s="1"/>
  <c r="AAA96" i="6" a="1"/>
  <c r="AAA96" i="6" s="1"/>
  <c r="ZZ96" i="6" a="1"/>
  <c r="ZZ96" i="6" s="1"/>
  <c r="ZY96" i="6" a="1"/>
  <c r="ZY96" i="6" s="1"/>
  <c r="ZW96" i="6" a="1"/>
  <c r="ZW96" i="6" s="1"/>
  <c r="AAF96" i="6" a="1"/>
  <c r="AAF96" i="6" s="1"/>
  <c r="AAE96" i="6" a="1"/>
  <c r="AAE96" i="6" s="1"/>
  <c r="AAB96" i="6" a="1"/>
  <c r="AAB96" i="6" s="1"/>
  <c r="ZZ104" i="6" a="1"/>
  <c r="ZZ104" i="6" s="1"/>
  <c r="AAF104" i="6" a="1"/>
  <c r="AAF104" i="6" s="1"/>
  <c r="ZY104" i="6" a="1"/>
  <c r="ZY104" i="6" s="1"/>
  <c r="AAB104" i="6" a="1"/>
  <c r="AAB104" i="6" s="1"/>
  <c r="AAE104" i="6" a="1"/>
  <c r="AAE104" i="6" s="1"/>
  <c r="AAD104" i="6" a="1"/>
  <c r="AAD104" i="6" s="1"/>
  <c r="AAC104" i="6" a="1"/>
  <c r="AAC104" i="6" s="1"/>
  <c r="AAA104" i="6" a="1"/>
  <c r="AAA104" i="6" s="1"/>
  <c r="ZX104" i="6" a="1"/>
  <c r="ZX104" i="6" s="1"/>
  <c r="ZW104" i="6" a="1"/>
  <c r="ZW104" i="6" s="1"/>
  <c r="AAB112" i="6" a="1"/>
  <c r="AAB112" i="6" s="1"/>
  <c r="AAA112" i="6" a="1"/>
  <c r="AAA112" i="6" s="1"/>
  <c r="AAD112" i="6" a="1"/>
  <c r="AAD112" i="6" s="1"/>
  <c r="ZX112" i="6" a="1"/>
  <c r="ZX112" i="6" s="1"/>
  <c r="ZW112" i="6" a="1"/>
  <c r="ZW112" i="6" s="1"/>
  <c r="AAF112" i="6" a="1"/>
  <c r="AAF112" i="6" s="1"/>
  <c r="AAE112" i="6" a="1"/>
  <c r="AAE112" i="6" s="1"/>
  <c r="AAC112" i="6" a="1"/>
  <c r="AAC112" i="6" s="1"/>
  <c r="ZZ112" i="6" a="1"/>
  <c r="ZZ112" i="6" s="1"/>
  <c r="ZY112" i="6" a="1"/>
  <c r="ZY112" i="6" s="1"/>
  <c r="AAC19" i="6" a="1"/>
  <c r="AAC19" i="6" s="1"/>
  <c r="AAF19" i="6" a="1"/>
  <c r="AAF19" i="6" s="1"/>
  <c r="ZX19" i="6" a="1"/>
  <c r="ZX19" i="6" s="1"/>
  <c r="AAE19" i="6" a="1"/>
  <c r="AAE19" i="6" s="1"/>
  <c r="AAD19" i="6" a="1"/>
  <c r="AAD19" i="6" s="1"/>
  <c r="AAB19" i="6" a="1"/>
  <c r="AAB19" i="6" s="1"/>
  <c r="AAA19" i="6" a="1"/>
  <c r="AAA19" i="6" s="1"/>
  <c r="ZZ19" i="6" a="1"/>
  <c r="ZZ19" i="6" s="1"/>
  <c r="ZY19" i="6" a="1"/>
  <c r="ZY19" i="6" s="1"/>
  <c r="ZW19" i="6" a="1"/>
  <c r="ZW19" i="6" s="1"/>
  <c r="AAE75" i="6" a="1"/>
  <c r="AAE75" i="6" s="1"/>
  <c r="ZW75" i="6" a="1"/>
  <c r="ZW75" i="6" s="1"/>
  <c r="AAD75" i="6" a="1"/>
  <c r="AAD75" i="6" s="1"/>
  <c r="ZY75" i="6" a="1"/>
  <c r="ZY75" i="6" s="1"/>
  <c r="ZX75" i="6" a="1"/>
  <c r="ZX75" i="6" s="1"/>
  <c r="AAF75" i="6" a="1"/>
  <c r="AAF75" i="6" s="1"/>
  <c r="AAC75" i="6" a="1"/>
  <c r="AAC75" i="6" s="1"/>
  <c r="AAB75" i="6" a="1"/>
  <c r="AAB75" i="6" s="1"/>
  <c r="AAA75" i="6" a="1"/>
  <c r="AAA75" i="6" s="1"/>
  <c r="ZZ75" i="6" a="1"/>
  <c r="ZZ75" i="6" s="1"/>
  <c r="AAC15" i="6" a="1"/>
  <c r="AAC15" i="6" s="1"/>
  <c r="AAF15" i="6" a="1"/>
  <c r="AAF15" i="6" s="1"/>
  <c r="ZX15" i="6" a="1"/>
  <c r="ZX15" i="6" s="1"/>
  <c r="AAD15" i="6" a="1"/>
  <c r="AAD15" i="6" s="1"/>
  <c r="AAB15" i="6" a="1"/>
  <c r="AAB15" i="6" s="1"/>
  <c r="AAA15" i="6" a="1"/>
  <c r="AAA15" i="6" s="1"/>
  <c r="ZZ15" i="6" a="1"/>
  <c r="ZZ15" i="6" s="1"/>
  <c r="ZY15" i="6" a="1"/>
  <c r="ZY15" i="6" s="1"/>
  <c r="ZW15" i="6" a="1"/>
  <c r="ZW15" i="6" s="1"/>
  <c r="AAE15" i="6" a="1"/>
  <c r="AAE15" i="6" s="1"/>
  <c r="AAA47" i="6" a="1"/>
  <c r="AAA47" i="6" s="1"/>
  <c r="ZZ47" i="6" a="1"/>
  <c r="ZZ47" i="6" s="1"/>
  <c r="AAC47" i="6" a="1"/>
  <c r="AAC47" i="6" s="1"/>
  <c r="ZY47" i="6" a="1"/>
  <c r="ZY47" i="6" s="1"/>
  <c r="ZX47" i="6" a="1"/>
  <c r="ZX47" i="6" s="1"/>
  <c r="ZW47" i="6" a="1"/>
  <c r="ZW47" i="6" s="1"/>
  <c r="AAF47" i="6" a="1"/>
  <c r="AAF47" i="6" s="1"/>
  <c r="AAE47" i="6" a="1"/>
  <c r="AAE47" i="6" s="1"/>
  <c r="AAD47" i="6" a="1"/>
  <c r="AAD47" i="6" s="1"/>
  <c r="AAB47" i="6" a="1"/>
  <c r="AAB47" i="6" s="1"/>
  <c r="AAC24" i="6" a="1"/>
  <c r="AAC24" i="6" s="1"/>
  <c r="AAF24" i="6" a="1"/>
  <c r="AAF24" i="6" s="1"/>
  <c r="ZX24" i="6" a="1"/>
  <c r="ZX24" i="6" s="1"/>
  <c r="ZY24" i="6" a="1"/>
  <c r="ZY24" i="6" s="1"/>
  <c r="ZW24" i="6" a="1"/>
  <c r="ZW24" i="6" s="1"/>
  <c r="AAE24" i="6" a="1"/>
  <c r="AAE24" i="6" s="1"/>
  <c r="AAD24" i="6" a="1"/>
  <c r="AAD24" i="6" s="1"/>
  <c r="AAB24" i="6" a="1"/>
  <c r="AAB24" i="6" s="1"/>
  <c r="AAA24" i="6" a="1"/>
  <c r="AAA24" i="6" s="1"/>
  <c r="ZZ24" i="6" a="1"/>
  <c r="ZZ24" i="6" s="1"/>
  <c r="ZY48" i="6" a="1"/>
  <c r="ZY48" i="6" s="1"/>
  <c r="AAF48" i="6" a="1"/>
  <c r="AAF48" i="6" s="1"/>
  <c r="ZX48" i="6" a="1"/>
  <c r="ZX48" i="6" s="1"/>
  <c r="AAA48" i="6" a="1"/>
  <c r="AAA48" i="6" s="1"/>
  <c r="AAC48" i="6" a="1"/>
  <c r="AAC48" i="6" s="1"/>
  <c r="AAB48" i="6" a="1"/>
  <c r="AAB48" i="6" s="1"/>
  <c r="ZZ48" i="6" a="1"/>
  <c r="ZZ48" i="6" s="1"/>
  <c r="ZW48" i="6" a="1"/>
  <c r="ZW48" i="6" s="1"/>
  <c r="AAE48" i="6" a="1"/>
  <c r="AAE48" i="6" s="1"/>
  <c r="AAD48" i="6" a="1"/>
  <c r="AAD48" i="6" s="1"/>
  <c r="ZY9" i="6" a="1"/>
  <c r="ZY9" i="6" s="1"/>
  <c r="AAB9" i="6" a="1"/>
  <c r="AAB9" i="6" s="1"/>
  <c r="ZZ9" i="6" a="1"/>
  <c r="ZZ9" i="6" s="1"/>
  <c r="ZX9" i="6" a="1"/>
  <c r="ZX9" i="6" s="1"/>
  <c r="ZW9" i="6" a="1"/>
  <c r="ZW9" i="6" s="1"/>
  <c r="AAF9" i="6" a="1"/>
  <c r="AAF9" i="6" s="1"/>
  <c r="AAE9" i="6" a="1"/>
  <c r="AAE9" i="6" s="1"/>
  <c r="AAD9" i="6" a="1"/>
  <c r="AAD9" i="6" s="1"/>
  <c r="AAC9" i="6" a="1"/>
  <c r="AAC9" i="6" s="1"/>
  <c r="AAA9" i="6" a="1"/>
  <c r="AAA9" i="6" s="1"/>
  <c r="AAE49" i="6" a="1"/>
  <c r="AAE49" i="6" s="1"/>
  <c r="ZW49" i="6" a="1"/>
  <c r="ZW49" i="6" s="1"/>
  <c r="AAD49" i="6" a="1"/>
  <c r="AAD49" i="6" s="1"/>
  <c r="ZY49" i="6" a="1"/>
  <c r="ZY49" i="6" s="1"/>
  <c r="AAF49" i="6" a="1"/>
  <c r="AAF49" i="6" s="1"/>
  <c r="AAC49" i="6" a="1"/>
  <c r="AAC49" i="6" s="1"/>
  <c r="AAB49" i="6" a="1"/>
  <c r="AAB49" i="6" s="1"/>
  <c r="AAA49" i="6" a="1"/>
  <c r="AAA49" i="6" s="1"/>
  <c r="ZZ49" i="6" a="1"/>
  <c r="ZZ49" i="6" s="1"/>
  <c r="ZX49" i="6" a="1"/>
  <c r="ZX49" i="6" s="1"/>
  <c r="AAE105" i="6" a="1"/>
  <c r="AAE105" i="6" s="1"/>
  <c r="ZW105" i="6" a="1"/>
  <c r="ZW105" i="6" s="1"/>
  <c r="AAD105" i="6" a="1"/>
  <c r="AAD105" i="6" s="1"/>
  <c r="ZY105" i="6" a="1"/>
  <c r="ZY105" i="6" s="1"/>
  <c r="AAF105" i="6" a="1"/>
  <c r="AAF105" i="6" s="1"/>
  <c r="AAC105" i="6" a="1"/>
  <c r="AAC105" i="6" s="1"/>
  <c r="AAB105" i="6" a="1"/>
  <c r="AAB105" i="6" s="1"/>
  <c r="AAA105" i="6" a="1"/>
  <c r="AAA105" i="6" s="1"/>
  <c r="ZZ105" i="6" a="1"/>
  <c r="ZZ105" i="6" s="1"/>
  <c r="ZX105" i="6" a="1"/>
  <c r="ZX105" i="6" s="1"/>
  <c r="ZZ35" i="6" a="1"/>
  <c r="ZZ35" i="6" s="1"/>
  <c r="AAC35" i="6" a="1"/>
  <c r="AAC35" i="6" s="1"/>
  <c r="AAD35" i="6" a="1"/>
  <c r="AAD35" i="6" s="1"/>
  <c r="ZW35" i="6" a="1"/>
  <c r="ZW35" i="6" s="1"/>
  <c r="AAF35" i="6" a="1"/>
  <c r="AAF35" i="6" s="1"/>
  <c r="AAE35" i="6" a="1"/>
  <c r="AAE35" i="6" s="1"/>
  <c r="AAB35" i="6" a="1"/>
  <c r="AAB35" i="6" s="1"/>
  <c r="AAA35" i="6" a="1"/>
  <c r="AAA35" i="6" s="1"/>
  <c r="ZY35" i="6" a="1"/>
  <c r="ZY35" i="6" s="1"/>
  <c r="AAM35" i="6" s="1"/>
  <c r="ZX35" i="6" a="1"/>
  <c r="ZX35" i="6" s="1"/>
  <c r="AAE14" i="6" a="1"/>
  <c r="AAE14" i="6" s="1"/>
  <c r="ZW14" i="6" a="1"/>
  <c r="ZW14" i="6" s="1"/>
  <c r="ZZ14" i="6" a="1"/>
  <c r="ZZ14" i="6" s="1"/>
  <c r="AAC14" i="6" a="1"/>
  <c r="AAC14" i="6" s="1"/>
  <c r="AAB14" i="6" a="1"/>
  <c r="AAB14" i="6" s="1"/>
  <c r="AAA14" i="6" a="1"/>
  <c r="AAA14" i="6" s="1"/>
  <c r="ZY14" i="6" a="1"/>
  <c r="ZY14" i="6" s="1"/>
  <c r="ZX14" i="6" a="1"/>
  <c r="ZX14" i="6" s="1"/>
  <c r="AAF14" i="6" a="1"/>
  <c r="AAF14" i="6" s="1"/>
  <c r="AAD14" i="6" a="1"/>
  <c r="AAD14" i="6" s="1"/>
  <c r="AAC7" i="6" a="1"/>
  <c r="AAC7" i="6" s="1"/>
  <c r="AAF7" i="6" a="1"/>
  <c r="AAF7" i="6" s="1"/>
  <c r="ZX7" i="6" a="1"/>
  <c r="ZX7" i="6" s="1"/>
  <c r="ZY7" i="6" a="1"/>
  <c r="ZY7" i="6" s="1"/>
  <c r="ZW7" i="6" a="1"/>
  <c r="ZW7" i="6" s="1"/>
  <c r="AAE7" i="6" a="1"/>
  <c r="AAE7" i="6" s="1"/>
  <c r="AAD7" i="6" a="1"/>
  <c r="AAD7" i="6" s="1"/>
  <c r="AAB7" i="6" a="1"/>
  <c r="AAB7" i="6" s="1"/>
  <c r="AAA7" i="6" a="1"/>
  <c r="AAA7" i="6" s="1"/>
  <c r="ZZ7" i="6" a="1"/>
  <c r="ZZ7" i="6" s="1"/>
  <c r="ZZ31" i="6" a="1"/>
  <c r="ZZ31" i="6" s="1"/>
  <c r="AAC31" i="6" a="1"/>
  <c r="AAC31" i="6" s="1"/>
  <c r="AAA31" i="6" a="1"/>
  <c r="AAA31" i="6" s="1"/>
  <c r="AAE31" i="6" a="1"/>
  <c r="AAE31" i="6" s="1"/>
  <c r="AAF31" i="6" a="1"/>
  <c r="AAF31" i="6" s="1"/>
  <c r="AAD31" i="6" a="1"/>
  <c r="AAD31" i="6" s="1"/>
  <c r="AAB31" i="6" a="1"/>
  <c r="AAB31" i="6" s="1"/>
  <c r="ZY31" i="6" a="1"/>
  <c r="ZY31" i="6" s="1"/>
  <c r="ZX31" i="6" a="1"/>
  <c r="ZX31" i="6" s="1"/>
  <c r="ZW31" i="6" a="1"/>
  <c r="ZW31" i="6" s="1"/>
  <c r="AAA8" i="6" a="1"/>
  <c r="AAA8" i="6" s="1"/>
  <c r="AAD8" i="6" a="1"/>
  <c r="AAD8" i="6" s="1"/>
  <c r="ZY8" i="6" a="1"/>
  <c r="ZY8" i="6" s="1"/>
  <c r="ZX8" i="6" a="1"/>
  <c r="ZX8" i="6" s="1"/>
  <c r="ZW8" i="6" a="1"/>
  <c r="ZW8" i="6" s="1"/>
  <c r="AAF8" i="6" a="1"/>
  <c r="AAF8" i="6" s="1"/>
  <c r="AAE8" i="6" a="1"/>
  <c r="AAE8" i="6" s="1"/>
  <c r="AAC8" i="6" a="1"/>
  <c r="AAC8" i="6" s="1"/>
  <c r="AAB8" i="6" a="1"/>
  <c r="AAB8" i="6" s="1"/>
  <c r="ZZ8" i="6" a="1"/>
  <c r="ZZ8" i="6" s="1"/>
  <c r="AAF32" i="6" a="1"/>
  <c r="AAF32" i="6" s="1"/>
  <c r="ZX32" i="6" a="1"/>
  <c r="ZX32" i="6" s="1"/>
  <c r="AAA32" i="6" a="1"/>
  <c r="AAA32" i="6" s="1"/>
  <c r="AAB32" i="6" a="1"/>
  <c r="AAB32" i="6" s="1"/>
  <c r="AAE32" i="6" a="1"/>
  <c r="AAE32" i="6" s="1"/>
  <c r="AAD32" i="6" a="1"/>
  <c r="AAD32" i="6" s="1"/>
  <c r="AAC32" i="6" a="1"/>
  <c r="AAC32" i="6" s="1"/>
  <c r="ZZ32" i="6" a="1"/>
  <c r="ZZ32" i="6" s="1"/>
  <c r="ZY32" i="6" a="1"/>
  <c r="ZY32" i="6" s="1"/>
  <c r="ZW32" i="6" a="1"/>
  <c r="ZW32" i="6" s="1"/>
  <c r="ZY40" i="6" a="1"/>
  <c r="ZY40" i="6" s="1"/>
  <c r="AAF40" i="6" a="1"/>
  <c r="AAF40" i="6" s="1"/>
  <c r="ZX40" i="6" a="1"/>
  <c r="ZX40" i="6" s="1"/>
  <c r="AAA40" i="6" a="1"/>
  <c r="AAA40" i="6" s="1"/>
  <c r="AAD40" i="6" a="1"/>
  <c r="AAD40" i="6" s="1"/>
  <c r="AAE40" i="6" a="1"/>
  <c r="AAE40" i="6" s="1"/>
  <c r="AAC40" i="6" a="1"/>
  <c r="AAC40" i="6" s="1"/>
  <c r="AAB40" i="6" a="1"/>
  <c r="AAB40" i="6" s="1"/>
  <c r="ZZ40" i="6" a="1"/>
  <c r="ZZ40" i="6" s="1"/>
  <c r="ZW40" i="6" a="1"/>
  <c r="ZW40" i="6" s="1"/>
  <c r="AAC64" i="6" a="1"/>
  <c r="AAC64" i="6" s="1"/>
  <c r="AAB64" i="6" a="1"/>
  <c r="AAB64" i="6" s="1"/>
  <c r="AAE64" i="6" a="1"/>
  <c r="AAE64" i="6" s="1"/>
  <c r="ZW64" i="6" a="1"/>
  <c r="ZW64" i="6" s="1"/>
  <c r="AAF64" i="6" a="1"/>
  <c r="AAF64" i="6" s="1"/>
  <c r="AAD64" i="6" a="1"/>
  <c r="AAD64" i="6" s="1"/>
  <c r="AAA64" i="6" a="1"/>
  <c r="AAA64" i="6" s="1"/>
  <c r="ZZ64" i="6" a="1"/>
  <c r="ZZ64" i="6" s="1"/>
  <c r="ZY64" i="6" a="1"/>
  <c r="ZY64" i="6" s="1"/>
  <c r="ZX64" i="6" a="1"/>
  <c r="ZX64" i="6" s="1"/>
  <c r="AAE80" i="6" a="1"/>
  <c r="AAE80" i="6" s="1"/>
  <c r="ZW80" i="6" a="1"/>
  <c r="ZW80" i="6" s="1"/>
  <c r="AAD80" i="6" a="1"/>
  <c r="AAD80" i="6" s="1"/>
  <c r="ZY80" i="6" a="1"/>
  <c r="ZY80" i="6" s="1"/>
  <c r="AAF80" i="6" a="1"/>
  <c r="AAF80" i="6" s="1"/>
  <c r="AAC80" i="6" a="1"/>
  <c r="AAC80" i="6" s="1"/>
  <c r="AAB80" i="6" a="1"/>
  <c r="AAB80" i="6" s="1"/>
  <c r="AAA80" i="6" a="1"/>
  <c r="AAA80" i="6" s="1"/>
  <c r="ZZ80" i="6" a="1"/>
  <c r="ZZ80" i="6" s="1"/>
  <c r="ZX80" i="6" a="1"/>
  <c r="ZX80" i="6" s="1"/>
  <c r="ZY17" i="6" a="1"/>
  <c r="ZY17" i="6" s="1"/>
  <c r="AAB17" i="6" a="1"/>
  <c r="AAB17" i="6" s="1"/>
  <c r="AAE17" i="6" a="1"/>
  <c r="AAE17" i="6" s="1"/>
  <c r="AAD17" i="6" a="1"/>
  <c r="AAD17" i="6" s="1"/>
  <c r="AAC17" i="6" a="1"/>
  <c r="AAC17" i="6" s="1"/>
  <c r="AAA17" i="6" a="1"/>
  <c r="AAA17" i="6" s="1"/>
  <c r="ZZ17" i="6" a="1"/>
  <c r="ZZ17" i="6" s="1"/>
  <c r="ZX17" i="6" a="1"/>
  <c r="ZX17" i="6" s="1"/>
  <c r="ZW17" i="6" a="1"/>
  <c r="ZW17" i="6" s="1"/>
  <c r="AAF17" i="6" a="1"/>
  <c r="AAF17" i="6" s="1"/>
  <c r="AAA25" i="6" a="1"/>
  <c r="AAA25" i="6" s="1"/>
  <c r="AAD25" i="6" a="1"/>
  <c r="AAD25" i="6" s="1"/>
  <c r="ZY25" i="6" a="1"/>
  <c r="ZY25" i="6" s="1"/>
  <c r="ZX25" i="6" a="1"/>
  <c r="ZX25" i="6" s="1"/>
  <c r="ZW25" i="6" a="1"/>
  <c r="ZW25" i="6" s="1"/>
  <c r="AAF25" i="6" a="1"/>
  <c r="AAF25" i="6" s="1"/>
  <c r="AAE25" i="6" a="1"/>
  <c r="AAE25" i="6" s="1"/>
  <c r="AAC25" i="6" a="1"/>
  <c r="AAC25" i="6" s="1"/>
  <c r="AAB25" i="6" a="1"/>
  <c r="AAB25" i="6" s="1"/>
  <c r="ZZ25" i="6" a="1"/>
  <c r="ZZ25" i="6" s="1"/>
  <c r="AAD33" i="6" a="1"/>
  <c r="AAD33" i="6" s="1"/>
  <c r="ZY33" i="6" a="1"/>
  <c r="ZY33" i="6" s="1"/>
  <c r="AAB33" i="6" a="1"/>
  <c r="AAB33" i="6" s="1"/>
  <c r="AAF33" i="6" a="1"/>
  <c r="AAF33" i="6" s="1"/>
  <c r="ZZ33" i="6" a="1"/>
  <c r="ZZ33" i="6" s="1"/>
  <c r="ZX33" i="6" a="1"/>
  <c r="ZX33" i="6" s="1"/>
  <c r="ZW33" i="6" a="1"/>
  <c r="ZW33" i="6" s="1"/>
  <c r="AAE33" i="6" a="1"/>
  <c r="AAE33" i="6" s="1"/>
  <c r="AAC33" i="6" a="1"/>
  <c r="AAC33" i="6" s="1"/>
  <c r="AAA33" i="6" a="1"/>
  <c r="AAA33" i="6" s="1"/>
  <c r="AAE41" i="6" a="1"/>
  <c r="AAE41" i="6" s="1"/>
  <c r="ZW41" i="6" a="1"/>
  <c r="ZW41" i="6" s="1"/>
  <c r="AAD41" i="6" a="1"/>
  <c r="AAD41" i="6" s="1"/>
  <c r="ZY41" i="6" a="1"/>
  <c r="ZY41" i="6" s="1"/>
  <c r="ZZ41" i="6" a="1"/>
  <c r="ZZ41" i="6" s="1"/>
  <c r="AAA41" i="6" a="1"/>
  <c r="AAA41" i="6" s="1"/>
  <c r="ZX41" i="6" a="1"/>
  <c r="ZX41" i="6" s="1"/>
  <c r="AAF41" i="6" a="1"/>
  <c r="AAF41" i="6" s="1"/>
  <c r="AAC41" i="6" a="1"/>
  <c r="AAC41" i="6" s="1"/>
  <c r="AAB41" i="6" a="1"/>
  <c r="AAB41" i="6" s="1"/>
  <c r="AAA57" i="6" a="1"/>
  <c r="AAA57" i="6" s="1"/>
  <c r="ZZ57" i="6" a="1"/>
  <c r="ZZ57" i="6" s="1"/>
  <c r="AAC57" i="6" a="1"/>
  <c r="AAC57" i="6" s="1"/>
  <c r="ZX57" i="6" a="1"/>
  <c r="ZX57" i="6" s="1"/>
  <c r="ZW57" i="6" a="1"/>
  <c r="ZW57" i="6" s="1"/>
  <c r="AAF57" i="6" a="1"/>
  <c r="AAF57" i="6" s="1"/>
  <c r="AAE57" i="6" a="1"/>
  <c r="AAE57" i="6" s="1"/>
  <c r="AAD57" i="6" a="1"/>
  <c r="AAD57" i="6" s="1"/>
  <c r="AAB57" i="6" a="1"/>
  <c r="AAB57" i="6" s="1"/>
  <c r="ZY57" i="6" a="1"/>
  <c r="ZY57" i="6" s="1"/>
  <c r="AAA65" i="6" a="1"/>
  <c r="AAA65" i="6" s="1"/>
  <c r="ZZ65" i="6" a="1"/>
  <c r="ZZ65" i="6" s="1"/>
  <c r="AAC65" i="6" a="1"/>
  <c r="AAC65" i="6" s="1"/>
  <c r="AAF65" i="6" a="1"/>
  <c r="AAF65" i="6" s="1"/>
  <c r="AAE65" i="6" a="1"/>
  <c r="AAE65" i="6" s="1"/>
  <c r="AAD65" i="6" a="1"/>
  <c r="AAD65" i="6" s="1"/>
  <c r="AAB65" i="6" a="1"/>
  <c r="AAB65" i="6" s="1"/>
  <c r="ZY65" i="6" a="1"/>
  <c r="ZY65" i="6" s="1"/>
  <c r="ZX65" i="6" a="1"/>
  <c r="ZX65" i="6" s="1"/>
  <c r="ZW65" i="6" a="1"/>
  <c r="ZW65" i="6" s="1"/>
  <c r="AAA73" i="6" a="1"/>
  <c r="AAA73" i="6" s="1"/>
  <c r="ZZ73" i="6" a="1"/>
  <c r="ZZ73" i="6" s="1"/>
  <c r="AAC73" i="6" a="1"/>
  <c r="AAC73" i="6" s="1"/>
  <c r="AAE73" i="6" a="1"/>
  <c r="AAE73" i="6" s="1"/>
  <c r="AAD73" i="6" a="1"/>
  <c r="AAD73" i="6" s="1"/>
  <c r="AAB73" i="6" a="1"/>
  <c r="AAB73" i="6" s="1"/>
  <c r="ZY73" i="6" a="1"/>
  <c r="ZY73" i="6" s="1"/>
  <c r="ZX73" i="6" a="1"/>
  <c r="ZX73" i="6" s="1"/>
  <c r="ZW73" i="6" a="1"/>
  <c r="ZW73" i="6" s="1"/>
  <c r="AAF73" i="6" a="1"/>
  <c r="AAF73" i="6" s="1"/>
  <c r="AAC81" i="6" a="1"/>
  <c r="AAC81" i="6" s="1"/>
  <c r="AAB81" i="6" a="1"/>
  <c r="AAB81" i="6" s="1"/>
  <c r="AAE81" i="6" a="1"/>
  <c r="AAE81" i="6" s="1"/>
  <c r="ZW81" i="6" a="1"/>
  <c r="ZW81" i="6" s="1"/>
  <c r="ZY81" i="6" a="1"/>
  <c r="ZY81" i="6" s="1"/>
  <c r="ZX81" i="6" a="1"/>
  <c r="ZX81" i="6" s="1"/>
  <c r="AAF81" i="6" a="1"/>
  <c r="AAF81" i="6" s="1"/>
  <c r="AAD81" i="6" a="1"/>
  <c r="AAD81" i="6" s="1"/>
  <c r="AAA81" i="6" a="1"/>
  <c r="AAA81" i="6" s="1"/>
  <c r="ZZ81" i="6" a="1"/>
  <c r="ZZ81" i="6" s="1"/>
  <c r="AAE89" i="6" a="1"/>
  <c r="AAE89" i="6" s="1"/>
  <c r="ZX89" i="6" a="1"/>
  <c r="ZX89" i="6" s="1"/>
  <c r="AAD89" i="6" a="1"/>
  <c r="AAD89" i="6" s="1"/>
  <c r="ZW89" i="6" a="1"/>
  <c r="ZW89" i="6" s="1"/>
  <c r="ZZ89" i="6" a="1"/>
  <c r="ZZ89" i="6" s="1"/>
  <c r="AAC89" i="6" a="1"/>
  <c r="AAC89" i="6" s="1"/>
  <c r="AAB89" i="6" a="1"/>
  <c r="AAB89" i="6" s="1"/>
  <c r="AAA89" i="6" a="1"/>
  <c r="AAA89" i="6" s="1"/>
  <c r="ZY89" i="6" a="1"/>
  <c r="ZY89" i="6" s="1"/>
  <c r="AAF89" i="6" a="1"/>
  <c r="AAF89" i="6" s="1"/>
  <c r="AAA97" i="6" a="1"/>
  <c r="AAA97" i="6" s="1"/>
  <c r="ZZ97" i="6" a="1"/>
  <c r="ZZ97" i="6" s="1"/>
  <c r="AAC97" i="6" a="1"/>
  <c r="AAC97" i="6" s="1"/>
  <c r="AAD97" i="6" a="1"/>
  <c r="AAD97" i="6" s="1"/>
  <c r="AAB97" i="6" a="1"/>
  <c r="AAB97" i="6" s="1"/>
  <c r="ZY97" i="6" a="1"/>
  <c r="ZY97" i="6" s="1"/>
  <c r="ZX97" i="6" a="1"/>
  <c r="ZX97" i="6" s="1"/>
  <c r="ZW97" i="6" a="1"/>
  <c r="ZW97" i="6" s="1"/>
  <c r="AAF97" i="6" a="1"/>
  <c r="AAF97" i="6" s="1"/>
  <c r="AAE97" i="6" a="1"/>
  <c r="AAE97" i="6" s="1"/>
  <c r="AAF113" i="6" a="1"/>
  <c r="AAF113" i="6" s="1"/>
  <c r="ZY113" i="6" a="1"/>
  <c r="ZY113" i="6" s="1"/>
  <c r="AAE113" i="6" a="1"/>
  <c r="AAE113" i="6" s="1"/>
  <c r="ZX113" i="6" a="1"/>
  <c r="ZX113" i="6" s="1"/>
  <c r="AAA113" i="6" a="1"/>
  <c r="AAA113" i="6" s="1"/>
  <c r="ZZ113" i="6" a="1"/>
  <c r="ZZ113" i="6" s="1"/>
  <c r="ZW113" i="6" a="1"/>
  <c r="ZW113" i="6" s="1"/>
  <c r="AAD113" i="6" a="1"/>
  <c r="AAD113" i="6" s="1"/>
  <c r="AAC113" i="6" a="1"/>
  <c r="AAC113" i="6" s="1"/>
  <c r="AAB113" i="6" a="1"/>
  <c r="AAB113" i="6" s="1"/>
  <c r="AAE10" i="6" a="1"/>
  <c r="AAE10" i="6" s="1"/>
  <c r="ZW10" i="6" a="1"/>
  <c r="ZW10" i="6" s="1"/>
  <c r="ZZ10" i="6" a="1"/>
  <c r="ZZ10" i="6" s="1"/>
  <c r="AAA10" i="6" a="1"/>
  <c r="AAA10" i="6" s="1"/>
  <c r="ZY10" i="6" a="1"/>
  <c r="ZY10" i="6" s="1"/>
  <c r="ZX10" i="6" a="1"/>
  <c r="ZX10" i="6" s="1"/>
  <c r="AAF10" i="6" a="1"/>
  <c r="AAF10" i="6" s="1"/>
  <c r="AAD10" i="6" a="1"/>
  <c r="AAD10" i="6" s="1"/>
  <c r="AAC10" i="6" a="1"/>
  <c r="AAC10" i="6" s="1"/>
  <c r="AAB10" i="6" a="1"/>
  <c r="AAB10" i="6" s="1"/>
  <c r="AAE18" i="6" a="1"/>
  <c r="AAE18" i="6" s="1"/>
  <c r="ZW18" i="6" a="1"/>
  <c r="ZW18" i="6" s="1"/>
  <c r="ZZ18" i="6" a="1"/>
  <c r="ZZ18" i="6" s="1"/>
  <c r="AAF18" i="6" a="1"/>
  <c r="AAF18" i="6" s="1"/>
  <c r="AAD18" i="6" a="1"/>
  <c r="AAD18" i="6" s="1"/>
  <c r="AAC18" i="6" a="1"/>
  <c r="AAC18" i="6" s="1"/>
  <c r="AAB18" i="6" a="1"/>
  <c r="AAB18" i="6" s="1"/>
  <c r="AAA18" i="6" a="1"/>
  <c r="AAA18" i="6" s="1"/>
  <c r="ZY18" i="6" a="1"/>
  <c r="ZY18" i="6" s="1"/>
  <c r="ZX18" i="6" a="1"/>
  <c r="ZX18" i="6" s="1"/>
  <c r="AAE26" i="6" a="1"/>
  <c r="AAE26" i="6" s="1"/>
  <c r="ZY26" i="6" a="1"/>
  <c r="ZY26" i="6" s="1"/>
  <c r="AAB26" i="6" a="1"/>
  <c r="AAB26" i="6" s="1"/>
  <c r="ZZ26" i="6" a="1"/>
  <c r="ZZ26" i="6" s="1"/>
  <c r="ZX26" i="6" a="1"/>
  <c r="ZX26" i="6" s="1"/>
  <c r="ZW26" i="6" a="1"/>
  <c r="ZW26" i="6" s="1"/>
  <c r="AAF26" i="6" a="1"/>
  <c r="AAF26" i="6" s="1"/>
  <c r="AAD26" i="6" a="1"/>
  <c r="AAD26" i="6" s="1"/>
  <c r="AAC26" i="6" a="1"/>
  <c r="AAC26" i="6" s="1"/>
  <c r="AAA26" i="6" a="1"/>
  <c r="AAA26" i="6" s="1"/>
  <c r="AAB34" i="6" a="1"/>
  <c r="AAB34" i="6" s="1"/>
  <c r="AAE34" i="6" a="1"/>
  <c r="AAE34" i="6" s="1"/>
  <c r="ZW34" i="6" a="1"/>
  <c r="ZW34" i="6" s="1"/>
  <c r="AAC34" i="6" a="1"/>
  <c r="AAC34" i="6" s="1"/>
  <c r="AAD34" i="6" a="1"/>
  <c r="AAD34" i="6" s="1"/>
  <c r="AAA34" i="6" a="1"/>
  <c r="AAA34" i="6" s="1"/>
  <c r="ZZ34" i="6" a="1"/>
  <c r="ZZ34" i="6" s="1"/>
  <c r="ZY34" i="6" a="1"/>
  <c r="ZY34" i="6" s="1"/>
  <c r="ZX34" i="6" a="1"/>
  <c r="ZX34" i="6" s="1"/>
  <c r="AAF34" i="6" a="1"/>
  <c r="AAF34" i="6" s="1"/>
  <c r="AAC42" i="6" a="1"/>
  <c r="AAC42" i="6" s="1"/>
  <c r="AAB42" i="6" a="1"/>
  <c r="AAB42" i="6" s="1"/>
  <c r="AAE42" i="6" a="1"/>
  <c r="AAE42" i="6" s="1"/>
  <c r="ZW42" i="6" a="1"/>
  <c r="ZW42" i="6" s="1"/>
  <c r="ZX42" i="6" a="1"/>
  <c r="ZX42" i="6" s="1"/>
  <c r="AAA42" i="6" a="1"/>
  <c r="AAA42" i="6" s="1"/>
  <c r="AAF42" i="6" a="1"/>
  <c r="AAF42" i="6" s="1"/>
  <c r="AAD42" i="6" a="1"/>
  <c r="AAD42" i="6" s="1"/>
  <c r="ZZ42" i="6" a="1"/>
  <c r="ZZ42" i="6" s="1"/>
  <c r="ZY42" i="6" a="1"/>
  <c r="ZY42" i="6" s="1"/>
  <c r="AAC50" i="6" a="1"/>
  <c r="AAC50" i="6" s="1"/>
  <c r="AAB50" i="6" a="1"/>
  <c r="AAB50" i="6" s="1"/>
  <c r="AAE50" i="6" a="1"/>
  <c r="AAE50" i="6" s="1"/>
  <c r="ZW50" i="6" a="1"/>
  <c r="ZW50" i="6" s="1"/>
  <c r="AAF50" i="6" a="1"/>
  <c r="AAF50" i="6" s="1"/>
  <c r="AAD50" i="6" a="1"/>
  <c r="AAD50" i="6" s="1"/>
  <c r="AAA50" i="6" a="1"/>
  <c r="AAA50" i="6" s="1"/>
  <c r="ZZ50" i="6" a="1"/>
  <c r="ZZ50" i="6" s="1"/>
  <c r="ZY50" i="6" a="1"/>
  <c r="ZY50" i="6" s="1"/>
  <c r="ZX50" i="6" a="1"/>
  <c r="ZX50" i="6" s="1"/>
  <c r="ZY58" i="6" a="1"/>
  <c r="ZY58" i="6" s="1"/>
  <c r="AAF58" i="6" a="1"/>
  <c r="AAF58" i="6" s="1"/>
  <c r="ZX58" i="6" a="1"/>
  <c r="ZX58" i="6" s="1"/>
  <c r="AAA58" i="6" a="1"/>
  <c r="AAA58" i="6" s="1"/>
  <c r="AAB58" i="6" a="1"/>
  <c r="AAB58" i="6" s="1"/>
  <c r="ZZ58" i="6" a="1"/>
  <c r="ZZ58" i="6" s="1"/>
  <c r="ZW58" i="6" a="1"/>
  <c r="ZW58" i="6" s="1"/>
  <c r="AAE58" i="6" a="1"/>
  <c r="AAE58" i="6" s="1"/>
  <c r="AAD58" i="6" a="1"/>
  <c r="AAD58" i="6" s="1"/>
  <c r="AAC58" i="6" a="1"/>
  <c r="AAC58" i="6" s="1"/>
  <c r="ZY66" i="6" a="1"/>
  <c r="ZY66" i="6" s="1"/>
  <c r="AAF66" i="6" a="1"/>
  <c r="AAF66" i="6" s="1"/>
  <c r="ZX66" i="6" a="1"/>
  <c r="ZX66" i="6" s="1"/>
  <c r="AAA66" i="6" a="1"/>
  <c r="AAA66" i="6" s="1"/>
  <c r="ZW66" i="6" a="1"/>
  <c r="ZW66" i="6" s="1"/>
  <c r="AAE66" i="6" a="1"/>
  <c r="AAE66" i="6" s="1"/>
  <c r="AAD66" i="6" a="1"/>
  <c r="AAD66" i="6" s="1"/>
  <c r="AAC66" i="6" a="1"/>
  <c r="AAC66" i="6" s="1"/>
  <c r="AAB66" i="6" a="1"/>
  <c r="AAB66" i="6" s="1"/>
  <c r="ZZ66" i="6" a="1"/>
  <c r="ZZ66" i="6" s="1"/>
  <c r="ZY74" i="6" a="1"/>
  <c r="ZY74" i="6" s="1"/>
  <c r="AAF74" i="6" a="1"/>
  <c r="AAF74" i="6" s="1"/>
  <c r="ZX74" i="6" a="1"/>
  <c r="ZX74" i="6" s="1"/>
  <c r="AAA74" i="6" a="1"/>
  <c r="AAA74" i="6" s="1"/>
  <c r="AAE74" i="6" a="1"/>
  <c r="AAE74" i="6" s="1"/>
  <c r="AAD74" i="6" a="1"/>
  <c r="AAD74" i="6" s="1"/>
  <c r="AAC74" i="6" a="1"/>
  <c r="AAC74" i="6" s="1"/>
  <c r="AAB74" i="6" a="1"/>
  <c r="AAB74" i="6" s="1"/>
  <c r="ZZ74" i="6" a="1"/>
  <c r="ZZ74" i="6" s="1"/>
  <c r="ZW74" i="6" a="1"/>
  <c r="ZW74" i="6" s="1"/>
  <c r="AAA82" i="6" a="1"/>
  <c r="AAA82" i="6" s="1"/>
  <c r="ZZ82" i="6" a="1"/>
  <c r="ZZ82" i="6" s="1"/>
  <c r="AAC82" i="6" a="1"/>
  <c r="AAC82" i="6" s="1"/>
  <c r="AAB82" i="6" a="1"/>
  <c r="AAB82" i="6" s="1"/>
  <c r="ZY82" i="6" a="1"/>
  <c r="ZY82" i="6" s="1"/>
  <c r="ZX82" i="6" a="1"/>
  <c r="ZX82" i="6" s="1"/>
  <c r="ZW82" i="6" a="1"/>
  <c r="ZW82" i="6" s="1"/>
  <c r="AAF82" i="6" a="1"/>
  <c r="AAF82" i="6" s="1"/>
  <c r="AAE82" i="6" a="1"/>
  <c r="AAE82" i="6" s="1"/>
  <c r="AAD82" i="6" a="1"/>
  <c r="AAD82" i="6" s="1"/>
  <c r="AAB90" i="6" a="1"/>
  <c r="AAB90" i="6" s="1"/>
  <c r="AAD90" i="6" a="1"/>
  <c r="AAD90" i="6" s="1"/>
  <c r="ZW90" i="6" a="1"/>
  <c r="ZW90" i="6" s="1"/>
  <c r="AAE90" i="6" a="1"/>
  <c r="AAE90" i="6" s="1"/>
  <c r="AAC90" i="6" a="1"/>
  <c r="AAC90" i="6" s="1"/>
  <c r="AAA90" i="6" a="1"/>
  <c r="AAA90" i="6" s="1"/>
  <c r="ZZ90" i="6" a="1"/>
  <c r="ZZ90" i="6" s="1"/>
  <c r="ZY90" i="6" a="1"/>
  <c r="ZY90" i="6" s="1"/>
  <c r="ZX90" i="6" a="1"/>
  <c r="ZX90" i="6" s="1"/>
  <c r="AAF90" i="6" a="1"/>
  <c r="AAF90" i="6" s="1"/>
  <c r="ZY98" i="6" a="1"/>
  <c r="ZY98" i="6" s="1"/>
  <c r="AAF98" i="6" a="1"/>
  <c r="AAF98" i="6" s="1"/>
  <c r="ZX98" i="6" a="1"/>
  <c r="ZX98" i="6" s="1"/>
  <c r="AAA98" i="6" a="1"/>
  <c r="AAA98" i="6" s="1"/>
  <c r="AAE98" i="6" a="1"/>
  <c r="AAE98" i="6" s="1"/>
  <c r="AAD98" i="6" a="1"/>
  <c r="AAD98" i="6" s="1"/>
  <c r="AAC98" i="6" a="1"/>
  <c r="AAC98" i="6" s="1"/>
  <c r="AAB98" i="6" a="1"/>
  <c r="AAB98" i="6" s="1"/>
  <c r="ZZ98" i="6" a="1"/>
  <c r="ZZ98" i="6" s="1"/>
  <c r="ZW98" i="6" a="1"/>
  <c r="ZW98" i="6" s="1"/>
  <c r="AAB106" i="6" a="1"/>
  <c r="AAB106" i="6" s="1"/>
  <c r="AAD106" i="6" a="1"/>
  <c r="AAD106" i="6" s="1"/>
  <c r="ZW106" i="6" a="1"/>
  <c r="ZW106" i="6" s="1"/>
  <c r="ZY106" i="6" a="1"/>
  <c r="ZY106" i="6" s="1"/>
  <c r="ZX106" i="6" a="1"/>
  <c r="ZX106" i="6" s="1"/>
  <c r="AAF106" i="6" a="1"/>
  <c r="AAF106" i="6" s="1"/>
  <c r="AAE106" i="6" a="1"/>
  <c r="AAE106" i="6" s="1"/>
  <c r="AAC106" i="6" a="1"/>
  <c r="AAC106" i="6" s="1"/>
  <c r="AAA106" i="6" a="1"/>
  <c r="AAA106" i="6" s="1"/>
  <c r="ZZ106" i="6" a="1"/>
  <c r="ZZ106" i="6" s="1"/>
  <c r="AAB114" i="6" a="1"/>
  <c r="AAB114" i="6" s="1"/>
  <c r="AAD114" i="6" a="1"/>
  <c r="AAD114" i="6" s="1"/>
  <c r="ZZ114" i="6" a="1"/>
  <c r="ZZ114" i="6" s="1"/>
  <c r="ZY114" i="6" a="1"/>
  <c r="ZY114" i="6" s="1"/>
  <c r="ZX114" i="6" a="1"/>
  <c r="ZX114" i="6" s="1"/>
  <c r="AAF114" i="6" a="1"/>
  <c r="AAF114" i="6" s="1"/>
  <c r="ZW114" i="6" a="1"/>
  <c r="ZW114" i="6" s="1"/>
  <c r="AAE114" i="6" a="1"/>
  <c r="AAE114" i="6" s="1"/>
  <c r="AAC114" i="6" a="1"/>
  <c r="AAC114" i="6" s="1"/>
  <c r="AAA114" i="6" a="1"/>
  <c r="AAA114" i="6" s="1"/>
  <c r="ACM117" i="6" a="1"/>
  <c r="ACM117" i="6" s="1"/>
  <c r="ACL117" i="6" s="1"/>
  <c r="ACN117" i="6" a="1"/>
  <c r="ACN117" i="6" s="1"/>
  <c r="ABV117" i="6" a="1"/>
  <c r="ABV117" i="6" s="1"/>
  <c r="ABU117" i="6" a="1"/>
  <c r="ABU117" i="6" s="1"/>
  <c r="ABY117" i="6" a="1"/>
  <c r="ABY117" i="6" s="1"/>
  <c r="ABX117" i="6" a="1"/>
  <c r="ABX117" i="6" s="1"/>
  <c r="ABW117" i="6" a="1"/>
  <c r="ABW117" i="6" s="1"/>
  <c r="ZR117" i="6" a="1"/>
  <c r="ZR117" i="6" s="1"/>
  <c r="YO117" i="6" a="1"/>
  <c r="YO117" i="6" s="1"/>
  <c r="YD117" i="6" a="1"/>
  <c r="YD117" i="6" s="1"/>
  <c r="YE117" i="6" a="1"/>
  <c r="YE117" i="6" s="1"/>
  <c r="XS117" i="6" a="1"/>
  <c r="XS117" i="6" s="1"/>
  <c r="XI117" i="6" a="1"/>
  <c r="XI117" i="6" s="1"/>
  <c r="XH117" i="6" a="1"/>
  <c r="XH117" i="6" s="1"/>
  <c r="WX117" i="6" a="1"/>
  <c r="WX117" i="6" s="1"/>
  <c r="WL117" i="6" a="1"/>
  <c r="WL117" i="6" s="1"/>
  <c r="WW117" i="6" a="1"/>
  <c r="WW117" i="6" s="1"/>
  <c r="WM117" i="6" a="1"/>
  <c r="WM117" i="6" s="1"/>
  <c r="OL117" i="6" a="1"/>
  <c r="OL117" i="6" s="1"/>
  <c r="T117" i="6" l="1"/>
  <c r="AAN108" i="6"/>
  <c r="AAM57" i="6"/>
  <c r="AAP32" i="6"/>
  <c r="AAP105" i="6"/>
  <c r="AAO75" i="6"/>
  <c r="AAP72" i="6"/>
  <c r="AAP23" i="6"/>
  <c r="AAO21" i="6"/>
  <c r="AAL68" i="6"/>
  <c r="AAL44" i="6"/>
  <c r="AAN91" i="6"/>
  <c r="AAL59" i="6"/>
  <c r="ACX117" i="6"/>
  <c r="AAP104" i="6"/>
  <c r="AAM87" i="6"/>
  <c r="AAM39" i="6"/>
  <c r="AAM82" i="6"/>
  <c r="AAO74" i="6"/>
  <c r="AAL73" i="6"/>
  <c r="AAL57" i="6"/>
  <c r="AAM25" i="6"/>
  <c r="AAP8" i="6"/>
  <c r="AAM19" i="6"/>
  <c r="AAM16" i="6"/>
  <c r="AAN23" i="6"/>
  <c r="AAL22" i="6"/>
  <c r="AAM27" i="6"/>
  <c r="AAM109" i="6"/>
  <c r="AAO101" i="6"/>
  <c r="AAL93" i="6"/>
  <c r="AAL77" i="6"/>
  <c r="AAM53" i="6"/>
  <c r="AAN45" i="6"/>
  <c r="AAM84" i="6"/>
  <c r="AAM99" i="6"/>
  <c r="AAO46" i="6"/>
  <c r="AAO92" i="6"/>
  <c r="AAL100" i="6"/>
  <c r="AAM66" i="6"/>
  <c r="AAM93" i="6"/>
  <c r="AAM100" i="6"/>
  <c r="AAO114" i="6"/>
  <c r="AAO108" i="6"/>
  <c r="AAO8" i="6"/>
  <c r="AAP110" i="6"/>
  <c r="AAO98" i="6"/>
  <c r="AAP74" i="6"/>
  <c r="AAL113" i="6"/>
  <c r="AAN76" i="6"/>
  <c r="AAO42" i="6"/>
  <c r="AAO10" i="6"/>
  <c r="AAO81" i="6"/>
  <c r="AAP65" i="6"/>
  <c r="AAP57" i="6"/>
  <c r="AAP9" i="6"/>
  <c r="AAO104" i="6"/>
  <c r="AAP96" i="6"/>
  <c r="AAP22" i="6"/>
  <c r="AAN19" i="6"/>
  <c r="AAO95" i="6"/>
  <c r="AAO29" i="6"/>
  <c r="AAM28" i="6"/>
  <c r="AAM43" i="6"/>
  <c r="AAN27" i="6"/>
  <c r="AAO53" i="6"/>
  <c r="AAP28" i="6"/>
  <c r="AAN42" i="6"/>
  <c r="AAN31" i="6"/>
  <c r="AAM14" i="6"/>
  <c r="AAN68" i="6"/>
  <c r="AAM59" i="6"/>
  <c r="AAO55" i="6"/>
  <c r="AAL62" i="6"/>
  <c r="AAM58" i="6"/>
  <c r="AAP82" i="6"/>
  <c r="AAM50" i="6"/>
  <c r="AAN16" i="6"/>
  <c r="AAL43" i="6"/>
  <c r="AAP61" i="6"/>
  <c r="AAL71" i="6"/>
  <c r="AAO109" i="6"/>
  <c r="AAP107" i="6"/>
  <c r="AAM114" i="6"/>
  <c r="AAO66" i="6"/>
  <c r="AAL65" i="6"/>
  <c r="AAN41" i="6"/>
  <c r="AAP35" i="6"/>
  <c r="AAN105" i="6"/>
  <c r="AAM112" i="6"/>
  <c r="AAM96" i="6"/>
  <c r="AAP88" i="6"/>
  <c r="AAM95" i="6"/>
  <c r="AAL87" i="6"/>
  <c r="AAO71" i="6"/>
  <c r="AAN102" i="6"/>
  <c r="AAO61" i="6"/>
  <c r="AAL13" i="6"/>
  <c r="AAP116" i="6"/>
  <c r="AAP68" i="6"/>
  <c r="AAO36" i="6"/>
  <c r="AAN12" i="6"/>
  <c r="YZ117" i="6"/>
  <c r="AAL37" i="6"/>
  <c r="AAL42" i="6"/>
  <c r="AAO16" i="6"/>
  <c r="AAP98" i="6"/>
  <c r="AAO50" i="6"/>
  <c r="AAP25" i="6"/>
  <c r="AAM32" i="6"/>
  <c r="AAM9" i="6"/>
  <c r="AAL15" i="6"/>
  <c r="AAP112" i="6"/>
  <c r="AAM72" i="6"/>
  <c r="AAM56" i="6"/>
  <c r="AAO87" i="6"/>
  <c r="AAN44" i="6"/>
  <c r="AAM107" i="6"/>
  <c r="AAL83" i="6"/>
  <c r="AAP114" i="6"/>
  <c r="AAN90" i="6"/>
  <c r="AAP19" i="6"/>
  <c r="AAM117" i="6"/>
  <c r="AAO80" i="6"/>
  <c r="AAL67" i="6"/>
  <c r="AAP37" i="6"/>
  <c r="AAN114" i="6"/>
  <c r="AAL104" i="6"/>
  <c r="AAL101" i="6"/>
  <c r="AAN59" i="6"/>
  <c r="AAL12" i="6"/>
  <c r="AAO33" i="6"/>
  <c r="AAO35" i="6"/>
  <c r="AAM71" i="6"/>
  <c r="AAO102" i="6"/>
  <c r="AAL46" i="6"/>
  <c r="AAO27" i="6"/>
  <c r="AAO77" i="6"/>
  <c r="AAP84" i="6"/>
  <c r="AAM12" i="6"/>
  <c r="AAM85" i="6"/>
  <c r="AAL48" i="6"/>
  <c r="AAO30" i="6"/>
  <c r="AAN70" i="6"/>
  <c r="AAL54" i="6"/>
  <c r="AAO69" i="6"/>
  <c r="AAN60" i="6"/>
  <c r="AAL40" i="6"/>
  <c r="AAO82" i="6"/>
  <c r="AAP50" i="6"/>
  <c r="AAP26" i="6"/>
  <c r="AAN97" i="6"/>
  <c r="AAN25" i="6"/>
  <c r="AAO48" i="6"/>
  <c r="AAP56" i="6"/>
  <c r="AAO43" i="6"/>
  <c r="AAM111" i="6"/>
  <c r="AAP79" i="6"/>
  <c r="AAO54" i="6"/>
  <c r="AAO38" i="6"/>
  <c r="AAP101" i="6"/>
  <c r="AAM77" i="6"/>
  <c r="AAM69" i="6"/>
  <c r="AAO45" i="6"/>
  <c r="AAL116" i="6"/>
  <c r="AAN84" i="6"/>
  <c r="AAL60" i="6"/>
  <c r="AAN26" i="6"/>
  <c r="AAO63" i="6"/>
  <c r="AAM106" i="6"/>
  <c r="AAN74" i="6"/>
  <c r="AAO25" i="6"/>
  <c r="AAL14" i="6"/>
  <c r="AAO105" i="6"/>
  <c r="AAP47" i="6"/>
  <c r="AAM75" i="6"/>
  <c r="AAN96" i="6"/>
  <c r="AAL55" i="6"/>
  <c r="AAN30" i="6"/>
  <c r="AAN54" i="6"/>
  <c r="AAN117" i="6"/>
  <c r="AAP109" i="6"/>
  <c r="AAM116" i="6"/>
  <c r="AAO68" i="6"/>
  <c r="AAP99" i="6"/>
  <c r="AAM98" i="6"/>
  <c r="AAP42" i="6"/>
  <c r="AAN113" i="6"/>
  <c r="AAP89" i="6"/>
  <c r="AAP81" i="6"/>
  <c r="AAO40" i="6"/>
  <c r="AAM8" i="6"/>
  <c r="AAN43" i="6"/>
  <c r="AAO111" i="6"/>
  <c r="AAP103" i="6"/>
  <c r="AAP55" i="6"/>
  <c r="AAO39" i="6"/>
  <c r="AAO70" i="6"/>
  <c r="AAO62" i="6"/>
  <c r="AAO6" i="6"/>
  <c r="AAL85" i="6"/>
  <c r="AAM45" i="6"/>
  <c r="AAL49" i="6"/>
  <c r="AAO76" i="6"/>
  <c r="AAM42" i="6"/>
  <c r="AAL10" i="6"/>
  <c r="AAN89" i="6"/>
  <c r="AAL80" i="6"/>
  <c r="AAL64" i="6"/>
  <c r="AAP7" i="6"/>
  <c r="AAM105" i="6"/>
  <c r="AAO49" i="6"/>
  <c r="AAM24" i="6"/>
  <c r="AAL47" i="6"/>
  <c r="AAM15" i="6"/>
  <c r="AAO96" i="6"/>
  <c r="AAN88" i="6"/>
  <c r="AAL103" i="6"/>
  <c r="AAP87" i="6"/>
  <c r="AAN63" i="6"/>
  <c r="AAN55" i="6"/>
  <c r="AAN101" i="6"/>
  <c r="AAP69" i="6"/>
  <c r="AAP53" i="6"/>
  <c r="AAM21" i="6"/>
  <c r="AAP100" i="6"/>
  <c r="AAM60" i="6"/>
  <c r="AAP36" i="6"/>
  <c r="AAP108" i="6"/>
  <c r="AAP75" i="6"/>
  <c r="AAN95" i="6"/>
  <c r="AAN67" i="6"/>
  <c r="AAP102" i="6"/>
  <c r="AAM54" i="6"/>
  <c r="AAM91" i="6"/>
  <c r="AAM11" i="6"/>
  <c r="AAO52" i="6"/>
  <c r="AAO99" i="6"/>
  <c r="AAO90" i="6"/>
  <c r="AAP10" i="6"/>
  <c r="AAL7" i="6"/>
  <c r="AAL98" i="6"/>
  <c r="AAP90" i="6"/>
  <c r="AAM113" i="6"/>
  <c r="AAM33" i="6"/>
  <c r="AAL105" i="6"/>
  <c r="AAM47" i="6"/>
  <c r="AAN15" i="6"/>
  <c r="AAO88" i="6"/>
  <c r="AAN103" i="6"/>
  <c r="AAN71" i="6"/>
  <c r="AAP30" i="6"/>
  <c r="AAP6" i="6"/>
  <c r="AAM101" i="6"/>
  <c r="AAL106" i="6"/>
  <c r="AAN98" i="6"/>
  <c r="AAL90" i="6"/>
  <c r="AAL58" i="6"/>
  <c r="AAN50" i="6"/>
  <c r="AAM34" i="6"/>
  <c r="AAO34" i="6"/>
  <c r="AAO26" i="6"/>
  <c r="AAM26" i="6"/>
  <c r="AAN82" i="6"/>
  <c r="AAM74" i="6"/>
  <c r="AAP66" i="6"/>
  <c r="AAL34" i="6"/>
  <c r="AAN106" i="6"/>
  <c r="AAM90" i="6"/>
  <c r="AAL66" i="6"/>
  <c r="AAO58" i="6"/>
  <c r="AAP34" i="6"/>
  <c r="AAO106" i="6"/>
  <c r="AAL82" i="6"/>
  <c r="AAN66" i="6"/>
  <c r="AAN58" i="6"/>
  <c r="AAN34" i="6"/>
  <c r="AAL26" i="6"/>
  <c r="AAP106" i="6"/>
  <c r="AAL50" i="6"/>
  <c r="AAL114" i="6"/>
  <c r="AAL74" i="6"/>
  <c r="AAP58" i="6"/>
  <c r="AAM18" i="6"/>
  <c r="AAL18" i="6"/>
  <c r="AAM81" i="6"/>
  <c r="AAP73" i="6"/>
  <c r="AAO57" i="6"/>
  <c r="AAL33" i="6"/>
  <c r="AAN17" i="6"/>
  <c r="AAN40" i="6"/>
  <c r="AAO32" i="6"/>
  <c r="AAN32" i="6"/>
  <c r="AAN18" i="6"/>
  <c r="AAP18" i="6"/>
  <c r="AAM97" i="6"/>
  <c r="AAO89" i="6"/>
  <c r="AAL81" i="6"/>
  <c r="AAO73" i="6"/>
  <c r="AAO65" i="6"/>
  <c r="AAL41" i="6"/>
  <c r="AAL25" i="6"/>
  <c r="AAO17" i="6"/>
  <c r="AAM64" i="6"/>
  <c r="AAL8" i="6"/>
  <c r="AAP41" i="6"/>
  <c r="AAP64" i="6"/>
  <c r="AAO18" i="6"/>
  <c r="AAM10" i="6"/>
  <c r="AAP97" i="6"/>
  <c r="AAN81" i="6"/>
  <c r="AAM65" i="6"/>
  <c r="AAN65" i="6"/>
  <c r="AAN57" i="6"/>
  <c r="AAN33" i="6"/>
  <c r="AAL17" i="6"/>
  <c r="AAP17" i="6"/>
  <c r="AAN80" i="6"/>
  <c r="AAM80" i="6"/>
  <c r="AAN64" i="6"/>
  <c r="AAP40" i="6"/>
  <c r="AAM40" i="6"/>
  <c r="AAL32" i="6"/>
  <c r="AAN10" i="6"/>
  <c r="AAL89" i="6"/>
  <c r="AAM73" i="6"/>
  <c r="AAN73" i="6"/>
  <c r="AAO113" i="6"/>
  <c r="AAO97" i="6"/>
  <c r="AAM89" i="6"/>
  <c r="AAO41" i="6"/>
  <c r="AAO64" i="6"/>
  <c r="AAP113" i="6"/>
  <c r="AAM41" i="6"/>
  <c r="AAP33" i="6"/>
  <c r="AAP80" i="6"/>
  <c r="AAN8" i="6"/>
  <c r="AAL97" i="6"/>
  <c r="AAM17" i="6"/>
  <c r="AAM31" i="6"/>
  <c r="AAO31" i="6"/>
  <c r="AAN14" i="6"/>
  <c r="AAP14" i="6"/>
  <c r="AAO9" i="6"/>
  <c r="AAP48" i="6"/>
  <c r="AAN48" i="6"/>
  <c r="AAO24" i="6"/>
  <c r="AAO47" i="6"/>
  <c r="AAO15" i="6"/>
  <c r="AAL75" i="6"/>
  <c r="AAL112" i="6"/>
  <c r="AAM88" i="6"/>
  <c r="AAN72" i="6"/>
  <c r="AAL35" i="6"/>
  <c r="AAM49" i="6"/>
  <c r="AAN9" i="6"/>
  <c r="AAP24" i="6"/>
  <c r="AAP15" i="6"/>
  <c r="AAO14" i="6"/>
  <c r="AAM104" i="6"/>
  <c r="AAO7" i="6"/>
  <c r="AAN49" i="6"/>
  <c r="AAM48" i="6"/>
  <c r="AAL24" i="6"/>
  <c r="AAN47" i="6"/>
  <c r="AAN75" i="6"/>
  <c r="AAL19" i="6"/>
  <c r="AAO112" i="6"/>
  <c r="AAN104" i="6"/>
  <c r="AAM7" i="6"/>
  <c r="AAL31" i="6"/>
  <c r="AAP31" i="6"/>
  <c r="AAN35" i="6"/>
  <c r="AAN24" i="6"/>
  <c r="AAN112" i="6"/>
  <c r="AAN7" i="6"/>
  <c r="AAP49" i="6"/>
  <c r="AAL9" i="6"/>
  <c r="AAO19" i="6"/>
  <c r="AAL96" i="6"/>
  <c r="AAL88" i="6"/>
  <c r="AAO72" i="6"/>
  <c r="AAL16" i="6"/>
  <c r="AAP16" i="6"/>
  <c r="AAN22" i="6"/>
  <c r="AAP43" i="6"/>
  <c r="AAP111" i="6"/>
  <c r="AAL111" i="6"/>
  <c r="AAO103" i="6"/>
  <c r="AAL95" i="6"/>
  <c r="AAL79" i="6"/>
  <c r="AAN79" i="6"/>
  <c r="AAO67" i="6"/>
  <c r="AAO110" i="6"/>
  <c r="AAL56" i="6"/>
  <c r="AAO23" i="6"/>
  <c r="AAO22" i="6"/>
  <c r="AAM63" i="6"/>
  <c r="AAL39" i="6"/>
  <c r="AAL23" i="6"/>
  <c r="AAP71" i="6"/>
  <c r="AAM22" i="6"/>
  <c r="AAN39" i="6"/>
  <c r="AAL72" i="6"/>
  <c r="AAP95" i="6"/>
  <c r="AAO79" i="6"/>
  <c r="AAM79" i="6"/>
  <c r="AAL63" i="6"/>
  <c r="AAL30" i="6"/>
  <c r="AAL110" i="6"/>
  <c r="AAN56" i="6"/>
  <c r="AAO56" i="6"/>
  <c r="AAM103" i="6"/>
  <c r="AAN87" i="6"/>
  <c r="AAP63" i="6"/>
  <c r="AAM110" i="6"/>
  <c r="AAM23" i="6"/>
  <c r="AAN111" i="6"/>
  <c r="AAM30" i="6"/>
  <c r="AAM55" i="6"/>
  <c r="AAP67" i="6"/>
  <c r="AAO86" i="6"/>
  <c r="AAP70" i="6"/>
  <c r="AAN62" i="6"/>
  <c r="AAN38" i="6"/>
  <c r="AAP38" i="6"/>
  <c r="AAM102" i="6"/>
  <c r="AAM86" i="6"/>
  <c r="AAL86" i="6"/>
  <c r="AAL70" i="6"/>
  <c r="AAM62" i="6"/>
  <c r="AAP39" i="6"/>
  <c r="AAM67" i="6"/>
  <c r="AAN110" i="6"/>
  <c r="AAN86" i="6"/>
  <c r="AAP46" i="6"/>
  <c r="AAL102" i="6"/>
  <c r="AAM70" i="6"/>
  <c r="AAP62" i="6"/>
  <c r="AAP86" i="6"/>
  <c r="AAN46" i="6"/>
  <c r="AAL38" i="6"/>
  <c r="AAM46" i="6"/>
  <c r="AAM38" i="6"/>
  <c r="AAL6" i="6"/>
  <c r="AAN6" i="6"/>
  <c r="AAP27" i="6"/>
  <c r="AAL27" i="6"/>
  <c r="AAP117" i="6"/>
  <c r="AAP93" i="6"/>
  <c r="AAP77" i="6"/>
  <c r="AAN61" i="6"/>
  <c r="AAL53" i="6"/>
  <c r="AAO37" i="6"/>
  <c r="AAL117" i="6"/>
  <c r="AAN109" i="6"/>
  <c r="AAP85" i="6"/>
  <c r="AAL29" i="6"/>
  <c r="AAP54" i="6"/>
  <c r="AAM6" i="6"/>
  <c r="AAL109" i="6"/>
  <c r="AAO85" i="6"/>
  <c r="AAL61" i="6"/>
  <c r="AAN93" i="6"/>
  <c r="AAL45" i="6"/>
  <c r="AAO93" i="6"/>
  <c r="AAN85" i="6"/>
  <c r="AAN77" i="6"/>
  <c r="AAO117" i="6"/>
  <c r="AAN69" i="6"/>
  <c r="AAM37" i="6"/>
  <c r="AAM29" i="6"/>
  <c r="AAN21" i="6"/>
  <c r="AAM13" i="6"/>
  <c r="AAP92" i="6"/>
  <c r="AAP29" i="6"/>
  <c r="AAL69" i="6"/>
  <c r="AAM61" i="6"/>
  <c r="AAN53" i="6"/>
  <c r="AAP45" i="6"/>
  <c r="AAP21" i="6"/>
  <c r="AAN13" i="6"/>
  <c r="AAN37" i="6"/>
  <c r="AAN29" i="6"/>
  <c r="AAL21" i="6"/>
  <c r="AAP13" i="6"/>
  <c r="AAO13" i="6"/>
  <c r="AAN100" i="6"/>
  <c r="AAM92" i="6"/>
  <c r="AAN92" i="6"/>
  <c r="AAL92" i="6"/>
  <c r="AAM76" i="6"/>
  <c r="AAL28" i="6"/>
  <c r="AAO116" i="6"/>
  <c r="AAO100" i="6"/>
  <c r="AAO84" i="6"/>
  <c r="AAL76" i="6"/>
  <c r="AAN116" i="6"/>
  <c r="AAP76" i="6"/>
  <c r="AAP60" i="6"/>
  <c r="AAL84" i="6"/>
  <c r="AAM68" i="6"/>
  <c r="AAO60" i="6"/>
  <c r="AAO44" i="6"/>
  <c r="AAN36" i="6"/>
  <c r="AAO107" i="6"/>
  <c r="AAP44" i="6"/>
  <c r="AAN28" i="6"/>
  <c r="AAN107" i="6"/>
  <c r="AAO91" i="6"/>
  <c r="AAL107" i="6"/>
  <c r="AAL36" i="6"/>
  <c r="AAM36" i="6"/>
  <c r="AAO28" i="6"/>
  <c r="AAL11" i="6"/>
  <c r="AAM44" i="6"/>
  <c r="AAL91" i="6"/>
  <c r="AAP91" i="6"/>
  <c r="AAM52" i="6"/>
  <c r="AAO12" i="6"/>
  <c r="AAN83" i="6"/>
  <c r="AAO51" i="6"/>
  <c r="AAO11" i="6"/>
  <c r="AAL108" i="6"/>
  <c r="AAP12" i="6"/>
  <c r="AAP83" i="6"/>
  <c r="AAP51" i="6"/>
  <c r="AAP59" i="6"/>
  <c r="AAN11" i="6"/>
  <c r="AAM108" i="6"/>
  <c r="AAN52" i="6"/>
  <c r="AAN99" i="6"/>
  <c r="AAN51" i="6"/>
  <c r="AAM83" i="6"/>
  <c r="AAO59" i="6"/>
  <c r="AAP11" i="6"/>
  <c r="AAL52" i="6"/>
  <c r="AAP52" i="6"/>
  <c r="AAL99" i="6"/>
  <c r="AAO83" i="6"/>
  <c r="AAL51" i="6"/>
  <c r="ABC117" i="6"/>
  <c r="OG117" i="6"/>
  <c r="LN117" i="6"/>
  <c r="YP117" i="6" a="1"/>
  <c r="YP117" i="6" s="1"/>
  <c r="XT117" i="6" a="1"/>
  <c r="XT117" i="6" s="1"/>
  <c r="UV117" i="6"/>
  <c r="TU117" i="6"/>
  <c r="QN117" i="6" a="1"/>
  <c r="QN117" i="6" s="1"/>
  <c r="AF117" i="6"/>
  <c r="AAK81" i="6" l="1"/>
  <c r="AAK59" i="6"/>
  <c r="AAK42" i="6"/>
  <c r="AAK105" i="6"/>
  <c r="AAK93" i="6"/>
  <c r="AAK114" i="6"/>
  <c r="AAK49" i="6"/>
  <c r="AAK107" i="6"/>
  <c r="AAK54" i="6"/>
  <c r="AAK67" i="6"/>
  <c r="AAK68" i="6"/>
  <c r="AAK116" i="6"/>
  <c r="AAK40" i="6"/>
  <c r="AAK12" i="6"/>
  <c r="AAK103" i="6"/>
  <c r="AAK55" i="6"/>
  <c r="AAK57" i="6"/>
  <c r="AAK74" i="6"/>
  <c r="AAK108" i="6"/>
  <c r="AAK21" i="6"/>
  <c r="AAK102" i="6"/>
  <c r="AAK16" i="6"/>
  <c r="AAK65" i="6"/>
  <c r="AAK96" i="6"/>
  <c r="AAK15" i="6"/>
  <c r="AAK14" i="6"/>
  <c r="AAK26" i="6"/>
  <c r="AAK101" i="6"/>
  <c r="AAK27" i="6"/>
  <c r="AAK30" i="6"/>
  <c r="AAK22" i="6"/>
  <c r="AAK9" i="6"/>
  <c r="AAK47" i="6"/>
  <c r="AAK10" i="6"/>
  <c r="AAK46" i="6"/>
  <c r="AAK60" i="6"/>
  <c r="AAK37" i="6"/>
  <c r="AAK71" i="6"/>
  <c r="AAK43" i="6"/>
  <c r="AAK13" i="6"/>
  <c r="AAK99" i="6"/>
  <c r="AAK8" i="6"/>
  <c r="AAK77" i="6"/>
  <c r="AAK87" i="6"/>
  <c r="AAK113" i="6"/>
  <c r="AAK64" i="6"/>
  <c r="AAK91" i="6"/>
  <c r="AAK83" i="6"/>
  <c r="AAK85" i="6"/>
  <c r="AAK80" i="6"/>
  <c r="AAK76" i="6"/>
  <c r="AAK48" i="6"/>
  <c r="AAK73" i="6"/>
  <c r="AAK25" i="6"/>
  <c r="AAK24" i="6"/>
  <c r="AAK98" i="6"/>
  <c r="AAK44" i="6"/>
  <c r="AAK100" i="6"/>
  <c r="AAK45" i="6"/>
  <c r="AAK88" i="6"/>
  <c r="AAK7" i="6"/>
  <c r="AAK97" i="6"/>
  <c r="AAK62" i="6"/>
  <c r="AAK104" i="6"/>
  <c r="AAK32" i="6"/>
  <c r="AAK34" i="6"/>
  <c r="AAK51" i="6"/>
  <c r="AAK36" i="6"/>
  <c r="AAK92" i="6"/>
  <c r="AAK29" i="6"/>
  <c r="AAK38" i="6"/>
  <c r="AAK86" i="6"/>
  <c r="AAK63" i="6"/>
  <c r="AAK111" i="6"/>
  <c r="AAK56" i="6"/>
  <c r="AAK61" i="6"/>
  <c r="AAK19" i="6"/>
  <c r="AAK35" i="6"/>
  <c r="AAK33" i="6"/>
  <c r="AAK82" i="6"/>
  <c r="AAK117" i="6"/>
  <c r="AAK23" i="6"/>
  <c r="AAK58" i="6"/>
  <c r="AAK52" i="6"/>
  <c r="AAK84" i="6"/>
  <c r="AAK109" i="6"/>
  <c r="AAK72" i="6"/>
  <c r="AAK39" i="6"/>
  <c r="AAK31" i="6"/>
  <c r="AAK89" i="6"/>
  <c r="AAK50" i="6"/>
  <c r="AAK90" i="6"/>
  <c r="AAK11" i="6"/>
  <c r="AAK53" i="6"/>
  <c r="AAK6" i="6"/>
  <c r="AAK79" i="6"/>
  <c r="AAK112" i="6"/>
  <c r="AAK17" i="6"/>
  <c r="AAK28" i="6"/>
  <c r="AAK110" i="6"/>
  <c r="AAK95" i="6"/>
  <c r="AAK75" i="6"/>
  <c r="AAK41" i="6"/>
  <c r="AAK18" i="6"/>
  <c r="AAK66" i="6"/>
  <c r="AAK69" i="6"/>
  <c r="AAK70" i="6"/>
  <c r="AAK106" i="6"/>
  <c r="QI117" i="6"/>
  <c r="TZ117" i="6" a="1"/>
  <c r="TZ117" i="6" s="1"/>
  <c r="SK117" i="6"/>
  <c r="TC117" i="6"/>
  <c r="RS117" i="6"/>
  <c r="RA117" i="6"/>
  <c r="PQ117" i="6"/>
  <c r="OY117" i="6"/>
  <c r="MX117" i="6"/>
  <c r="KD117" i="6"/>
  <c r="JL117" i="6"/>
  <c r="IB117" i="6"/>
  <c r="AAJ47" i="6" l="1"/>
  <c r="AAJ105" i="6"/>
  <c r="AAJ91" i="6"/>
  <c r="AAJ15" i="6"/>
  <c r="AAJ57" i="6"/>
  <c r="AAJ65" i="6"/>
  <c r="AAJ27" i="6"/>
  <c r="AAJ51" i="6"/>
  <c r="AAJ64" i="6"/>
  <c r="AAJ62" i="6"/>
  <c r="AAJ19" i="6"/>
  <c r="AAJ92" i="6"/>
  <c r="AAJ23" i="6"/>
  <c r="AAJ71" i="6"/>
  <c r="AAJ43" i="6"/>
  <c r="AAJ82" i="6"/>
  <c r="AAJ26" i="6"/>
  <c r="AAJ9" i="6"/>
  <c r="AAJ29" i="6"/>
  <c r="AAJ89" i="6"/>
  <c r="AAJ53" i="6"/>
  <c r="AAJ18" i="6"/>
  <c r="AAJ61" i="6"/>
  <c r="AAJ117" i="6"/>
  <c r="AAJ32" i="6"/>
  <c r="AAJ33" i="6"/>
  <c r="AAJ69" i="6"/>
  <c r="AAJ63" i="6"/>
  <c r="AAJ93" i="6"/>
  <c r="AAJ87" i="6"/>
  <c r="AAJ85" i="6"/>
  <c r="AAJ86" i="6"/>
  <c r="AAJ52" i="6"/>
  <c r="AAJ28" i="6"/>
  <c r="AAJ83" i="6"/>
  <c r="AAJ54" i="6"/>
  <c r="AAJ22" i="6"/>
  <c r="AAJ114" i="6"/>
  <c r="AAJ59" i="6"/>
  <c r="AAJ8" i="6"/>
  <c r="AAJ39" i="6"/>
  <c r="AAJ67" i="6"/>
  <c r="AAJ75" i="6"/>
  <c r="AAJ56" i="6"/>
  <c r="AAJ88" i="6"/>
  <c r="AAJ74" i="6"/>
  <c r="AAJ99" i="6"/>
  <c r="AAJ80" i="6"/>
  <c r="AAJ11" i="6"/>
  <c r="AAJ68" i="6"/>
  <c r="AAJ37" i="6"/>
  <c r="AAJ16" i="6"/>
  <c r="AAJ12" i="6"/>
  <c r="AAJ110" i="6"/>
  <c r="AAJ24" i="6"/>
  <c r="AAJ79" i="6"/>
  <c r="AAJ107" i="6"/>
  <c r="AAJ70" i="6"/>
  <c r="AAJ96" i="6"/>
  <c r="AAJ84" i="6"/>
  <c r="AAJ77" i="6"/>
  <c r="AAJ104" i="6"/>
  <c r="AAJ106" i="6"/>
  <c r="AAJ36" i="6"/>
  <c r="AAJ112" i="6"/>
  <c r="AAJ35" i="6"/>
  <c r="AAJ109" i="6"/>
  <c r="AAJ108" i="6"/>
  <c r="AAJ25" i="6"/>
  <c r="AAJ95" i="6"/>
  <c r="AAJ98" i="6"/>
  <c r="AAJ30" i="6"/>
  <c r="AAJ7" i="6"/>
  <c r="AAJ42" i="6"/>
  <c r="AAJ46" i="6"/>
  <c r="AAJ73" i="6"/>
  <c r="AAJ31" i="6"/>
  <c r="AAJ66" i="6"/>
  <c r="AAJ100" i="6"/>
  <c r="AAJ49" i="6"/>
  <c r="AAJ111" i="6"/>
  <c r="AAJ102" i="6"/>
  <c r="AAJ17" i="6"/>
  <c r="AAJ13" i="6"/>
  <c r="AAJ76" i="6"/>
  <c r="AAJ81" i="6"/>
  <c r="AAJ58" i="6"/>
  <c r="AAJ44" i="6"/>
  <c r="AAJ20" i="6"/>
  <c r="AAJ115" i="6"/>
  <c r="AAJ6" i="6"/>
  <c r="AAJ78" i="6"/>
  <c r="AAJ94" i="6"/>
  <c r="AAJ34" i="6"/>
  <c r="AAJ97" i="6"/>
  <c r="AAJ50" i="6"/>
  <c r="AAJ103" i="6"/>
  <c r="AAJ101" i="6"/>
  <c r="AAJ10" i="6"/>
  <c r="AAJ21" i="6"/>
  <c r="AAJ38" i="6"/>
  <c r="AAJ116" i="6"/>
  <c r="AAJ48" i="6"/>
  <c r="AAJ14" i="6"/>
  <c r="AAJ40" i="6"/>
  <c r="AAJ113" i="6"/>
  <c r="AAJ41" i="6"/>
  <c r="AAJ72" i="6"/>
  <c r="AAJ90" i="6"/>
  <c r="AAJ60" i="6"/>
  <c r="AAJ45" i="6"/>
  <c r="AAJ55" i="6"/>
  <c r="SP117" i="6" a="1"/>
  <c r="SP117" i="6" s="1"/>
  <c r="RX117" i="6" a="1"/>
  <c r="RX117" i="6" s="1"/>
  <c r="TH117" i="6" a="1"/>
  <c r="TH117" i="6" s="1"/>
  <c r="RF117" i="6" a="1"/>
  <c r="RF117" i="6" s="1"/>
  <c r="PV117" i="6" a="1"/>
  <c r="PV117" i="6" s="1"/>
  <c r="PD117" i="6" a="1"/>
  <c r="PD117" i="6" s="1"/>
  <c r="NT117" i="6" a="1"/>
  <c r="NT117" i="6" s="1"/>
  <c r="NC117" i="6" a="1"/>
  <c r="NC117" i="6" s="1"/>
  <c r="MF117" i="6"/>
  <c r="LS117" i="6" a="1"/>
  <c r="LS117" i="6" s="1"/>
  <c r="KV117" i="6"/>
  <c r="KI117" i="6" a="1"/>
  <c r="KI117" i="6" s="1"/>
  <c r="JQ117" i="6" a="1"/>
  <c r="JQ117" i="6" s="1"/>
  <c r="IY117" i="6" a="1"/>
  <c r="IY117" i="6" s="1"/>
  <c r="IT117" i="6" s="1"/>
  <c r="IG117" i="6" a="1"/>
  <c r="IG117" i="6" s="1"/>
  <c r="GX117" i="6" a="1"/>
  <c r="GX117" i="6" s="1"/>
  <c r="FP117" i="6" a="1"/>
  <c r="FP117" i="6" s="1"/>
  <c r="EY117" i="6" a="1"/>
  <c r="EY117" i="6" s="1"/>
  <c r="EH117" i="6" a="1"/>
  <c r="EH117" i="6" s="1"/>
  <c r="DQ117" i="6" a="1"/>
  <c r="DQ117" i="6" s="1"/>
  <c r="AAI117" i="6" l="1"/>
  <c r="AAH117" i="6" s="1"/>
  <c r="AAI6" i="6"/>
  <c r="AAH6" i="6" s="1"/>
  <c r="AAI51" i="6"/>
  <c r="AAH51" i="6" s="1"/>
  <c r="AAI49" i="6"/>
  <c r="AAH49" i="6" s="1"/>
  <c r="AAI80" i="6"/>
  <c r="AAH80" i="6" s="1"/>
  <c r="AAI72" i="6"/>
  <c r="AAH72" i="6" s="1"/>
  <c r="AAI25" i="6"/>
  <c r="AAH25" i="6" s="1"/>
  <c r="AAI54" i="6"/>
  <c r="AAH54" i="6" s="1"/>
  <c r="AAI74" i="6"/>
  <c r="AAH74" i="6" s="1"/>
  <c r="AAI99" i="6"/>
  <c r="AAH99" i="6" s="1"/>
  <c r="AAI61" i="6"/>
  <c r="AAH61" i="6" s="1"/>
  <c r="AAI47" i="6"/>
  <c r="AAH47" i="6" s="1"/>
  <c r="AAI96" i="6"/>
  <c r="AAH96" i="6" s="1"/>
  <c r="AAI114" i="6"/>
  <c r="AAH114" i="6" s="1"/>
  <c r="AAI90" i="6"/>
  <c r="AAH90" i="6" s="1"/>
  <c r="AAI38" i="6"/>
  <c r="AAH38" i="6" s="1"/>
  <c r="AAI94" i="6"/>
  <c r="AAH94" i="6" s="1"/>
  <c r="AAI76" i="6"/>
  <c r="AAH76" i="6" s="1"/>
  <c r="AAI31" i="6"/>
  <c r="AAH31" i="6" s="1"/>
  <c r="AAI77" i="6"/>
  <c r="AAH77" i="6" s="1"/>
  <c r="AAI82" i="6"/>
  <c r="AAH82" i="6" s="1"/>
  <c r="AAI88" i="6"/>
  <c r="AAH88" i="6" s="1"/>
  <c r="AAI22" i="6"/>
  <c r="AAH22" i="6" s="1"/>
  <c r="AAI93" i="6"/>
  <c r="AAH93" i="6" s="1"/>
  <c r="AAI53" i="6"/>
  <c r="AAH53" i="6" s="1"/>
  <c r="AAI23" i="6"/>
  <c r="AAH23" i="6" s="1"/>
  <c r="AAI55" i="6"/>
  <c r="AAH55" i="6" s="1"/>
  <c r="AAI9" i="6"/>
  <c r="AAH9" i="6" s="1"/>
  <c r="AAI64" i="6"/>
  <c r="AAH64" i="6" s="1"/>
  <c r="AAI92" i="6"/>
  <c r="AAH92" i="6" s="1"/>
  <c r="AAI71" i="6"/>
  <c r="AAH71" i="6" s="1"/>
  <c r="AAI104" i="6"/>
  <c r="AAH104" i="6" s="1"/>
  <c r="AAI13" i="6"/>
  <c r="AAH13" i="6" s="1"/>
  <c r="AAI34" i="6"/>
  <c r="AAH34" i="6" s="1"/>
  <c r="AAI40" i="6"/>
  <c r="AAH40" i="6" s="1"/>
  <c r="AAI113" i="6"/>
  <c r="AAH113" i="6" s="1"/>
  <c r="AAI111" i="6"/>
  <c r="AAH111" i="6" s="1"/>
  <c r="AAI73" i="6"/>
  <c r="AAH73" i="6" s="1"/>
  <c r="AAI109" i="6"/>
  <c r="AAH109" i="6" s="1"/>
  <c r="AAI112" i="6"/>
  <c r="AAH112" i="6" s="1"/>
  <c r="AAI26" i="6"/>
  <c r="AAH26" i="6" s="1"/>
  <c r="AAI29" i="6"/>
  <c r="AAH29" i="6" s="1"/>
  <c r="AAI8" i="6"/>
  <c r="AAH8" i="6" s="1"/>
  <c r="AAI67" i="6"/>
  <c r="AAH67" i="6" s="1"/>
  <c r="AAI57" i="6"/>
  <c r="AAH57" i="6" s="1"/>
  <c r="AAI42" i="6"/>
  <c r="AAH42" i="6" s="1"/>
  <c r="AAI14" i="6"/>
  <c r="AAH14" i="6" s="1"/>
  <c r="AAI85" i="6"/>
  <c r="AAH85" i="6" s="1"/>
  <c r="AAI89" i="6"/>
  <c r="AAH89" i="6" s="1"/>
  <c r="AAI10" i="6"/>
  <c r="AAH10" i="6" s="1"/>
  <c r="AAI58" i="6"/>
  <c r="AAH58" i="6" s="1"/>
  <c r="AAI65" i="6"/>
  <c r="AAH65" i="6" s="1"/>
  <c r="AAI78" i="6"/>
  <c r="AAH78" i="6" s="1"/>
  <c r="AAI18" i="6"/>
  <c r="AAH18" i="6" s="1"/>
  <c r="AAI16" i="6"/>
  <c r="AAH16" i="6" s="1"/>
  <c r="AAI97" i="6"/>
  <c r="AAH97" i="6" s="1"/>
  <c r="AAI68" i="6"/>
  <c r="AAH68" i="6" s="1"/>
  <c r="AAI103" i="6"/>
  <c r="AAH103" i="6" s="1"/>
  <c r="AAI91" i="6"/>
  <c r="AAH91" i="6" s="1"/>
  <c r="AAI35" i="6"/>
  <c r="AAH35" i="6" s="1"/>
  <c r="AAI12" i="6"/>
  <c r="AAH12" i="6" s="1"/>
  <c r="AAI11" i="6"/>
  <c r="AAH11" i="6" s="1"/>
  <c r="AAI63" i="6"/>
  <c r="AAH63" i="6" s="1"/>
  <c r="AAI87" i="6"/>
  <c r="AAH87" i="6" s="1"/>
  <c r="AAI83" i="6"/>
  <c r="AAH83" i="6" s="1"/>
  <c r="AAI66" i="6"/>
  <c r="AAH66" i="6" s="1"/>
  <c r="AAI44" i="6"/>
  <c r="AAH44" i="6" s="1"/>
  <c r="AAI60" i="6"/>
  <c r="AAH60" i="6" s="1"/>
  <c r="AAI110" i="6"/>
  <c r="AAH110" i="6" s="1"/>
  <c r="AAI116" i="6"/>
  <c r="AAH116" i="6" s="1"/>
  <c r="AAI32" i="6"/>
  <c r="AAH32" i="6" s="1"/>
  <c r="AAI107" i="6"/>
  <c r="AAH107" i="6" s="1"/>
  <c r="AAI19" i="6"/>
  <c r="AAH19" i="6" s="1"/>
  <c r="AAI86" i="6"/>
  <c r="AAH86" i="6" s="1"/>
  <c r="AAI81" i="6"/>
  <c r="AAH81" i="6" s="1"/>
  <c r="AAI56" i="6"/>
  <c r="AAH56" i="6" s="1"/>
  <c r="AAI95" i="6"/>
  <c r="AAH95" i="6" s="1"/>
  <c r="AAI98" i="6"/>
  <c r="AAH98" i="6" s="1"/>
  <c r="AAI7" i="6"/>
  <c r="AAH7" i="6" s="1"/>
  <c r="AAI15" i="6"/>
  <c r="AAH15" i="6" s="1"/>
  <c r="AAI45" i="6"/>
  <c r="AAH45" i="6" s="1"/>
  <c r="AAI33" i="6"/>
  <c r="AAH33" i="6" s="1"/>
  <c r="AAI84" i="6"/>
  <c r="AAH84" i="6" s="1"/>
  <c r="AAI100" i="6"/>
  <c r="AAH100" i="6" s="1"/>
  <c r="AAI17" i="6"/>
  <c r="AAH17" i="6" s="1"/>
  <c r="AAI41" i="6"/>
  <c r="AAH41" i="6" s="1"/>
  <c r="AAI59" i="6"/>
  <c r="AAH59" i="6" s="1"/>
  <c r="AAI30" i="6"/>
  <c r="AAH30" i="6" s="1"/>
  <c r="AAI62" i="6"/>
  <c r="AAH62" i="6" s="1"/>
  <c r="AAI39" i="6"/>
  <c r="AAH39" i="6" s="1"/>
  <c r="AAI115" i="6"/>
  <c r="AAH115" i="6" s="1"/>
  <c r="AAI105" i="6"/>
  <c r="AAH105" i="6" s="1"/>
  <c r="AAI24" i="6"/>
  <c r="AAH24" i="6" s="1"/>
  <c r="AAI102" i="6"/>
  <c r="AAH102" i="6" s="1"/>
  <c r="AAI52" i="6"/>
  <c r="AAH52" i="6" s="1"/>
  <c r="AAI37" i="6"/>
  <c r="AAH37" i="6" s="1"/>
  <c r="AAI21" i="6"/>
  <c r="AAH21" i="6" s="1"/>
  <c r="AAI106" i="6"/>
  <c r="AAH106" i="6" s="1"/>
  <c r="AAI43" i="6"/>
  <c r="AAH43" i="6" s="1"/>
  <c r="AAI20" i="6"/>
  <c r="AAH20" i="6" s="1"/>
  <c r="AAI36" i="6"/>
  <c r="AAH36" i="6" s="1"/>
  <c r="AAI27" i="6"/>
  <c r="AAH27" i="6" s="1"/>
  <c r="AAI46" i="6"/>
  <c r="AAH46" i="6" s="1"/>
  <c r="AAI75" i="6"/>
  <c r="AAH75" i="6" s="1"/>
  <c r="AAI108" i="6"/>
  <c r="AAH108" i="6" s="1"/>
  <c r="AAI48" i="6"/>
  <c r="AAH48" i="6" s="1"/>
  <c r="AAI69" i="6"/>
  <c r="AAH69" i="6" s="1"/>
  <c r="AAI101" i="6"/>
  <c r="AAH101" i="6" s="1"/>
  <c r="AAI70" i="6"/>
  <c r="AAH70" i="6" s="1"/>
  <c r="AAI79" i="6"/>
  <c r="AAH79" i="6" s="1"/>
  <c r="AAI50" i="6"/>
  <c r="AAH50" i="6" s="1"/>
  <c r="AAI28" i="6"/>
  <c r="AAH28" i="6" s="1"/>
  <c r="MK117" i="6" a="1"/>
  <c r="MK117" i="6" s="1"/>
  <c r="LA117" i="6" a="1"/>
  <c r="LA117" i="6" s="1"/>
  <c r="GG117" i="6" a="1"/>
  <c r="GG117" i="6" s="1"/>
  <c r="HO117" i="6" a="1"/>
  <c r="HO117" i="6" s="1"/>
  <c r="AAG28" i="6" l="1"/>
  <c r="AAG45" i="6"/>
  <c r="AAG6" i="6"/>
  <c r="AAG60" i="6"/>
  <c r="AAG114" i="6"/>
  <c r="AAG15" i="6"/>
  <c r="AAG91" i="6"/>
  <c r="AAG108" i="6"/>
  <c r="AAG78" i="6"/>
  <c r="AAG81" i="6"/>
  <c r="AAG14" i="6"/>
  <c r="AAG52" i="6"/>
  <c r="AAG84" i="6"/>
  <c r="AAG13" i="6"/>
  <c r="AAG48" i="6"/>
  <c r="AAG106" i="6"/>
  <c r="AAG39" i="6"/>
  <c r="AAG33" i="6"/>
  <c r="AAG86" i="6"/>
  <c r="AAG66" i="6"/>
  <c r="AAG103" i="6"/>
  <c r="AAG37" i="6"/>
  <c r="AAG29" i="6"/>
  <c r="AAG34" i="6"/>
  <c r="AAG94" i="6"/>
  <c r="AAG98" i="6"/>
  <c r="AAG100" i="6"/>
  <c r="AAG42" i="6"/>
  <c r="AAG112" i="6"/>
  <c r="AAG104" i="6"/>
  <c r="AAG80" i="6"/>
  <c r="AAG51" i="6"/>
  <c r="AAG50" i="6"/>
  <c r="AAG75" i="6"/>
  <c r="AAG22" i="6"/>
  <c r="AAG102" i="6"/>
  <c r="AAG30" i="6"/>
  <c r="AAG19" i="6"/>
  <c r="AAG77" i="6"/>
  <c r="AAG56" i="6"/>
  <c r="AAG68" i="6"/>
  <c r="AAG65" i="6"/>
  <c r="AAG57" i="6"/>
  <c r="AAG109" i="6"/>
  <c r="AAG71" i="6"/>
  <c r="AAG96" i="6"/>
  <c r="AAG47" i="6"/>
  <c r="AAG79" i="6"/>
  <c r="AAG46" i="6"/>
  <c r="AAG20" i="6"/>
  <c r="AAG24" i="6"/>
  <c r="AAG107" i="6"/>
  <c r="AAG44" i="6"/>
  <c r="AAG90" i="6"/>
  <c r="AAG97" i="6"/>
  <c r="AAG58" i="6"/>
  <c r="AAG67" i="6"/>
  <c r="AAG73" i="6"/>
  <c r="AAG92" i="6"/>
  <c r="AAG117" i="6"/>
  <c r="AAG61" i="6"/>
  <c r="AAG53" i="6"/>
  <c r="AAG27" i="6"/>
  <c r="AAG43" i="6"/>
  <c r="AAG105" i="6"/>
  <c r="AAG32" i="6"/>
  <c r="AAG63" i="6"/>
  <c r="AAG38" i="6"/>
  <c r="AAG10" i="6"/>
  <c r="AAG8" i="6"/>
  <c r="AAG111" i="6"/>
  <c r="AAG64" i="6"/>
  <c r="AAG99" i="6"/>
  <c r="AAG74" i="6"/>
  <c r="AAG70" i="6"/>
  <c r="AAG36" i="6"/>
  <c r="AAG115" i="6"/>
  <c r="AAG116" i="6"/>
  <c r="AAG83" i="6"/>
  <c r="AAG11" i="6"/>
  <c r="AAG23" i="6"/>
  <c r="AAG89" i="6"/>
  <c r="AAG88" i="6"/>
  <c r="AAG113" i="6"/>
  <c r="AAG9" i="6"/>
  <c r="AAG54" i="6"/>
  <c r="AAG25" i="6"/>
  <c r="AAG101" i="6"/>
  <c r="AAG59" i="6"/>
  <c r="AAG31" i="6"/>
  <c r="AAG110" i="6"/>
  <c r="AAG87" i="6"/>
  <c r="AAG12" i="6"/>
  <c r="AAG16" i="6"/>
  <c r="AAG93" i="6"/>
  <c r="AAG40" i="6"/>
  <c r="AAG55" i="6"/>
  <c r="AAG49" i="6"/>
  <c r="AAG17" i="6"/>
  <c r="AAG69" i="6"/>
  <c r="AAG7" i="6"/>
  <c r="AAG21" i="6"/>
  <c r="AAG62" i="6"/>
  <c r="AAG76" i="6"/>
  <c r="AAG41" i="6"/>
  <c r="AAG35" i="6"/>
  <c r="AAG18" i="6"/>
  <c r="AAG85" i="6"/>
  <c r="AAG26" i="6"/>
  <c r="AAG72" i="6"/>
  <c r="AAG82" i="6"/>
  <c r="AAG95" i="6"/>
  <c r="ADA116" i="6" a="1"/>
  <c r="ADA116" i="6" s="1"/>
  <c r="ACZ116" i="6" a="1"/>
  <c r="ACZ116" i="6" s="1"/>
  <c r="ACY116" i="6" a="1"/>
  <c r="ACY116" i="6" s="1"/>
  <c r="ACN116" i="6" a="1"/>
  <c r="ACN116" i="6" s="1"/>
  <c r="ACM116" i="6" a="1"/>
  <c r="ACM116" i="6" s="1"/>
  <c r="ABU116" i="6" a="1"/>
  <c r="ABU116" i="6" s="1"/>
  <c r="ABX116" i="6" a="1"/>
  <c r="ABX116" i="6" s="1"/>
  <c r="ABV116" i="6" a="1"/>
  <c r="ABV116" i="6" s="1"/>
  <c r="ABH116" i="6" a="1"/>
  <c r="ABH116" i="6" s="1"/>
  <c r="ABG116" i="6" a="1"/>
  <c r="ABG116" i="6" s="1"/>
  <c r="ABF116" i="6" a="1"/>
  <c r="ABF116" i="6" s="1"/>
  <c r="ABE116" i="6" a="1"/>
  <c r="ABE116" i="6" s="1"/>
  <c r="ABD116" i="6" a="1"/>
  <c r="ABD116" i="6" s="1"/>
  <c r="ZR116" i="6" a="1"/>
  <c r="ZR116" i="6" s="1"/>
  <c r="ZE116" i="6" a="1"/>
  <c r="ZE116" i="6" s="1"/>
  <c r="ZD116" i="6" a="1"/>
  <c r="ZD116" i="6" s="1"/>
  <c r="ZC116" i="6" a="1"/>
  <c r="ZC116" i="6" s="1"/>
  <c r="ZB116" i="6" a="1"/>
  <c r="ZB116" i="6" s="1"/>
  <c r="ZA116" i="6" a="1"/>
  <c r="ZA116" i="6" s="1"/>
  <c r="YP116" i="6" a="1"/>
  <c r="YP116" i="6" s="1"/>
  <c r="YO116" i="6" a="1"/>
  <c r="YO116" i="6" s="1"/>
  <c r="YE116" i="6" a="1"/>
  <c r="YE116" i="6" s="1"/>
  <c r="YD116" i="6" a="1"/>
  <c r="YD116" i="6" s="1"/>
  <c r="XT116" i="6" a="1"/>
  <c r="XT116" i="6" s="1"/>
  <c r="XS116" i="6" a="1"/>
  <c r="XS116" i="6" s="1"/>
  <c r="XI116" i="6" a="1"/>
  <c r="XI116" i="6" s="1"/>
  <c r="XH116" i="6" a="1"/>
  <c r="XH116" i="6" s="1"/>
  <c r="WX116" i="6" a="1"/>
  <c r="WX116" i="6" s="1"/>
  <c r="WW116" i="6" a="1"/>
  <c r="WW116" i="6" s="1"/>
  <c r="WM116" i="6" a="1"/>
  <c r="WM116" i="6" s="1"/>
  <c r="WL116" i="6" a="1"/>
  <c r="WL116" i="6" s="1"/>
  <c r="WC116" i="6" a="1"/>
  <c r="WC116" i="6" s="1"/>
  <c r="VQ116" i="6" a="1"/>
  <c r="VQ116" i="6" s="1"/>
  <c r="VP116" i="6" a="1"/>
  <c r="VP116" i="6" s="1"/>
  <c r="VO116" i="6" a="1"/>
  <c r="VO116" i="6" s="1"/>
  <c r="VN116" i="6" a="1"/>
  <c r="VN116" i="6" s="1"/>
  <c r="VA116" i="6" a="1"/>
  <c r="VA116" i="6" s="1"/>
  <c r="UZ116" i="6" a="1"/>
  <c r="UZ116" i="6" s="1"/>
  <c r="UY116" i="6" a="1"/>
  <c r="UY116" i="6" s="1"/>
  <c r="UX116" i="6" a="1"/>
  <c r="UX116" i="6" s="1"/>
  <c r="UW116" i="6" a="1"/>
  <c r="UW116" i="6" s="1"/>
  <c r="UM116" i="6" a="1"/>
  <c r="UM116" i="6" s="1"/>
  <c r="TZ116" i="6" a="1"/>
  <c r="TZ116" i="6" s="1"/>
  <c r="TY116" i="6" a="1"/>
  <c r="TY116" i="6" s="1"/>
  <c r="TX116" i="6" a="1"/>
  <c r="TX116" i="6" s="1"/>
  <c r="TW116" i="6" a="1"/>
  <c r="TW116" i="6" s="1"/>
  <c r="TV116" i="6" a="1"/>
  <c r="TV116" i="6" s="1"/>
  <c r="TH116" i="6" a="1"/>
  <c r="TH116" i="6" s="1"/>
  <c r="TG116" i="6" a="1"/>
  <c r="TG116" i="6" s="1"/>
  <c r="TF116" i="6" a="1"/>
  <c r="TF116" i="6" s="1"/>
  <c r="TE116" i="6" a="1"/>
  <c r="TE116" i="6" s="1"/>
  <c r="TD116" i="6" a="1"/>
  <c r="TD116" i="6" s="1"/>
  <c r="SP116" i="6" a="1"/>
  <c r="SP116" i="6" s="1"/>
  <c r="SO116" i="6" a="1"/>
  <c r="SO116" i="6" s="1"/>
  <c r="SN116" i="6" a="1"/>
  <c r="SN116" i="6" s="1"/>
  <c r="SM116" i="6" a="1"/>
  <c r="SM116" i="6" s="1"/>
  <c r="SL116" i="6" a="1"/>
  <c r="SL116" i="6" s="1"/>
  <c r="RX116" i="6" a="1"/>
  <c r="RX116" i="6" s="1"/>
  <c r="RW116" i="6" a="1"/>
  <c r="RW116" i="6" s="1"/>
  <c r="RV116" i="6" a="1"/>
  <c r="RV116" i="6" s="1"/>
  <c r="RU116" i="6" a="1"/>
  <c r="RU116" i="6" s="1"/>
  <c r="RT116" i="6" a="1"/>
  <c r="RT116" i="6" s="1"/>
  <c r="RF116" i="6" a="1"/>
  <c r="RF116" i="6" s="1"/>
  <c r="RE116" i="6" a="1"/>
  <c r="RE116" i="6" s="1"/>
  <c r="RD116" i="6" a="1"/>
  <c r="RD116" i="6" s="1"/>
  <c r="RC116" i="6" a="1"/>
  <c r="RC116" i="6" s="1"/>
  <c r="RB116" i="6" a="1"/>
  <c r="RB116" i="6" s="1"/>
  <c r="QN116" i="6" a="1"/>
  <c r="QN116" i="6" s="1"/>
  <c r="QM116" i="6" a="1"/>
  <c r="QM116" i="6" s="1"/>
  <c r="QL116" i="6" a="1"/>
  <c r="QL116" i="6" s="1"/>
  <c r="QK116" i="6" a="1"/>
  <c r="QK116" i="6" s="1"/>
  <c r="QJ116" i="6" a="1"/>
  <c r="QJ116" i="6" s="1"/>
  <c r="PV116" i="6" a="1"/>
  <c r="PV116" i="6" s="1"/>
  <c r="PU116" i="6" a="1"/>
  <c r="PU116" i="6" s="1"/>
  <c r="PT116" i="6" a="1"/>
  <c r="PT116" i="6" s="1"/>
  <c r="PS116" i="6" a="1"/>
  <c r="PS116" i="6" s="1"/>
  <c r="PR116" i="6" a="1"/>
  <c r="PR116" i="6" s="1"/>
  <c r="PD116" i="6" a="1"/>
  <c r="PD116" i="6" s="1"/>
  <c r="PC116" i="6" a="1"/>
  <c r="PC116" i="6" s="1"/>
  <c r="PB116" i="6" a="1"/>
  <c r="PB116" i="6" s="1"/>
  <c r="PA116" i="6" a="1"/>
  <c r="PA116" i="6" s="1"/>
  <c r="OZ116" i="6" a="1"/>
  <c r="OZ116" i="6" s="1"/>
  <c r="OL116" i="6" a="1"/>
  <c r="OL116" i="6" s="1"/>
  <c r="OK116" i="6" a="1"/>
  <c r="OK116" i="6" s="1"/>
  <c r="OJ116" i="6" a="1"/>
  <c r="OJ116" i="6" s="1"/>
  <c r="OI116" i="6" a="1"/>
  <c r="OI116" i="6" s="1"/>
  <c r="OH116" i="6" a="1"/>
  <c r="OH116" i="6" s="1"/>
  <c r="NT116" i="6" a="1"/>
  <c r="NT116" i="6" s="1"/>
  <c r="NS116" i="6" a="1"/>
  <c r="NS116" i="6" s="1"/>
  <c r="NR116" i="6" a="1"/>
  <c r="NR116" i="6" s="1"/>
  <c r="NQ116" i="6" a="1"/>
  <c r="NQ116" i="6" s="1"/>
  <c r="NP116" i="6" a="1"/>
  <c r="NP116" i="6" s="1"/>
  <c r="NC116" i="6" a="1"/>
  <c r="NC116" i="6" s="1"/>
  <c r="NB116" i="6" a="1"/>
  <c r="NB116" i="6" s="1"/>
  <c r="NA116" i="6" a="1"/>
  <c r="NA116" i="6" s="1"/>
  <c r="MZ116" i="6" a="1"/>
  <c r="MZ116" i="6" s="1"/>
  <c r="MY116" i="6" a="1"/>
  <c r="MY116" i="6" s="1"/>
  <c r="MK116" i="6" a="1"/>
  <c r="MK116" i="6" s="1"/>
  <c r="MJ116" i="6" a="1"/>
  <c r="MJ116" i="6" s="1"/>
  <c r="MI116" i="6" a="1"/>
  <c r="MI116" i="6" s="1"/>
  <c r="MH116" i="6" a="1"/>
  <c r="MH116" i="6" s="1"/>
  <c r="MG116" i="6" a="1"/>
  <c r="MG116" i="6" s="1"/>
  <c r="LS116" i="6" a="1"/>
  <c r="LS116" i="6" s="1"/>
  <c r="LR116" i="6" a="1"/>
  <c r="LR116" i="6" s="1"/>
  <c r="LQ116" i="6" a="1"/>
  <c r="LQ116" i="6" s="1"/>
  <c r="LP116" i="6" a="1"/>
  <c r="LP116" i="6" s="1"/>
  <c r="LO116" i="6" a="1"/>
  <c r="LO116" i="6" s="1"/>
  <c r="LA116" i="6" a="1"/>
  <c r="LA116" i="6" s="1"/>
  <c r="KZ116" i="6" a="1"/>
  <c r="KZ116" i="6" s="1"/>
  <c r="KY116" i="6" a="1"/>
  <c r="KY116" i="6" s="1"/>
  <c r="KX116" i="6" a="1"/>
  <c r="KX116" i="6" s="1"/>
  <c r="KW116" i="6" a="1"/>
  <c r="KW116" i="6" s="1"/>
  <c r="KI116" i="6" a="1"/>
  <c r="KI116" i="6" s="1"/>
  <c r="KH116" i="6" a="1"/>
  <c r="KH116" i="6" s="1"/>
  <c r="KG116" i="6" a="1"/>
  <c r="KG116" i="6" s="1"/>
  <c r="KF116" i="6" a="1"/>
  <c r="KF116" i="6" s="1"/>
  <c r="KE116" i="6" a="1"/>
  <c r="KE116" i="6" s="1"/>
  <c r="JQ116" i="6" a="1"/>
  <c r="JQ116" i="6" s="1"/>
  <c r="JP116" i="6" a="1"/>
  <c r="JP116" i="6" s="1"/>
  <c r="JO116" i="6" a="1"/>
  <c r="JO116" i="6" s="1"/>
  <c r="JN116" i="6" a="1"/>
  <c r="JN116" i="6" s="1"/>
  <c r="JM116" i="6" a="1"/>
  <c r="JM116" i="6" s="1"/>
  <c r="IY116" i="6" a="1"/>
  <c r="IY116" i="6" s="1"/>
  <c r="IX116" i="6" a="1"/>
  <c r="IX116" i="6" s="1"/>
  <c r="IW116" i="6" a="1"/>
  <c r="IW116" i="6" s="1"/>
  <c r="IV116" i="6" a="1"/>
  <c r="IV116" i="6" s="1"/>
  <c r="IU116" i="6" a="1"/>
  <c r="IU116" i="6" s="1"/>
  <c r="IG116" i="6" a="1"/>
  <c r="IG116" i="6" s="1"/>
  <c r="IF116" i="6" a="1"/>
  <c r="IF116" i="6" s="1"/>
  <c r="IE116" i="6" a="1"/>
  <c r="IE116" i="6" s="1"/>
  <c r="ID116" i="6" a="1"/>
  <c r="ID116" i="6" s="1"/>
  <c r="IC116" i="6" a="1"/>
  <c r="IC116" i="6" s="1"/>
  <c r="HO116" i="6" a="1"/>
  <c r="HO116" i="6" s="1"/>
  <c r="HN116" i="6" a="1"/>
  <c r="HN116" i="6" s="1"/>
  <c r="HM116" i="6" a="1"/>
  <c r="HM116" i="6" s="1"/>
  <c r="HL116" i="6" a="1"/>
  <c r="HL116" i="6" s="1"/>
  <c r="HK116" i="6" a="1"/>
  <c r="HK116" i="6" s="1"/>
  <c r="GX116" i="6" a="1"/>
  <c r="GX116" i="6" s="1"/>
  <c r="GW116" i="6" a="1"/>
  <c r="GW116" i="6" s="1"/>
  <c r="GV116" i="6" a="1"/>
  <c r="GV116" i="6" s="1"/>
  <c r="GU116" i="6" a="1"/>
  <c r="GU116" i="6" s="1"/>
  <c r="GT116" i="6" a="1"/>
  <c r="GT116" i="6" s="1"/>
  <c r="GG116" i="6" a="1"/>
  <c r="GG116" i="6" s="1"/>
  <c r="GF116" i="6" a="1"/>
  <c r="GF116" i="6" s="1"/>
  <c r="GE116" i="6" a="1"/>
  <c r="GE116" i="6" s="1"/>
  <c r="GD116" i="6" a="1"/>
  <c r="GD116" i="6" s="1"/>
  <c r="GC116" i="6" a="1"/>
  <c r="GC116" i="6" s="1"/>
  <c r="FP116" i="6" a="1"/>
  <c r="FP116" i="6" s="1"/>
  <c r="FO116" i="6" a="1"/>
  <c r="FO116" i="6" s="1"/>
  <c r="FN116" i="6" a="1"/>
  <c r="FN116" i="6" s="1"/>
  <c r="FM116" i="6" a="1"/>
  <c r="FM116" i="6" s="1"/>
  <c r="FL116" i="6" a="1"/>
  <c r="FL116" i="6" s="1"/>
  <c r="EY116" i="6" a="1"/>
  <c r="EY116" i="6" s="1"/>
  <c r="EX116" i="6" a="1"/>
  <c r="EX116" i="6" s="1"/>
  <c r="EW116" i="6" a="1"/>
  <c r="EW116" i="6" s="1"/>
  <c r="EV116" i="6" a="1"/>
  <c r="EV116" i="6" s="1"/>
  <c r="EU116" i="6" a="1"/>
  <c r="EU116" i="6" s="1"/>
  <c r="EH116" i="6" a="1"/>
  <c r="EH116" i="6" s="1"/>
  <c r="EG116" i="6" a="1"/>
  <c r="EG116" i="6" s="1"/>
  <c r="EF116" i="6" a="1"/>
  <c r="EF116" i="6" s="1"/>
  <c r="EE116" i="6" a="1"/>
  <c r="EE116" i="6" s="1"/>
  <c r="ED116" i="6" a="1"/>
  <c r="ED116" i="6" s="1"/>
  <c r="DQ116" i="6" a="1"/>
  <c r="DQ116" i="6" s="1"/>
  <c r="DP116" i="6" a="1"/>
  <c r="DP116" i="6" s="1"/>
  <c r="DO116" i="6" a="1"/>
  <c r="DO116" i="6" s="1"/>
  <c r="DN116" i="6" a="1"/>
  <c r="DN116" i="6" s="1"/>
  <c r="DM116" i="6" a="1"/>
  <c r="DM116" i="6" s="1"/>
  <c r="DD116" i="6" a="1"/>
  <c r="DD116" i="6" s="1"/>
  <c r="CU116" i="6" a="1"/>
  <c r="CU116" i="6" s="1"/>
  <c r="CL116" i="6" a="1"/>
  <c r="CL116" i="6" s="1"/>
  <c r="BX116" i="6" a="1"/>
  <c r="BX116" i="6" s="1"/>
  <c r="BW116" i="6" a="1"/>
  <c r="BW116" i="6" s="1"/>
  <c r="BV116" i="6" a="1"/>
  <c r="BV116" i="6" s="1"/>
  <c r="BU116" i="6" a="1"/>
  <c r="BU116" i="6" s="1"/>
  <c r="BT116" i="6" a="1"/>
  <c r="BT116" i="6" s="1"/>
  <c r="BS116" i="6" a="1"/>
  <c r="BS116" i="6" s="1"/>
  <c r="BA116" i="6" a="1"/>
  <c r="BA116" i="6" s="1"/>
  <c r="AZ116" i="6" a="1"/>
  <c r="AZ116" i="6" s="1"/>
  <c r="AY116" i="6" a="1"/>
  <c r="AY116" i="6" s="1"/>
  <c r="AX116" i="6" a="1"/>
  <c r="AX116" i="6" s="1"/>
  <c r="AW116" i="6" a="1"/>
  <c r="AW116" i="6" s="1"/>
  <c r="AV116" i="6" a="1"/>
  <c r="AV116" i="6" s="1"/>
  <c r="AU116" i="6" a="1"/>
  <c r="AU116" i="6" s="1"/>
  <c r="AT116" i="6" a="1"/>
  <c r="AT116" i="6" s="1"/>
  <c r="AS116" i="6" a="1"/>
  <c r="AS116" i="6" s="1"/>
  <c r="AR116" i="6" a="1"/>
  <c r="AR116" i="6" s="1"/>
  <c r="AH116" i="6" a="1"/>
  <c r="AH116" i="6" s="1"/>
  <c r="AG116" i="6" a="1"/>
  <c r="AG116" i="6" s="1"/>
  <c r="V116" i="6" a="1"/>
  <c r="V116" i="6" s="1"/>
  <c r="U116" i="6" a="1"/>
  <c r="U116" i="6" s="1"/>
  <c r="J116" i="6" a="1"/>
  <c r="J116" i="6" s="1"/>
  <c r="I116" i="6" a="1"/>
  <c r="I116" i="6" s="1"/>
  <c r="ADA115" i="6" a="1"/>
  <c r="ADA115" i="6" s="1"/>
  <c r="ACZ115" i="6" a="1"/>
  <c r="ACZ115" i="6" s="1"/>
  <c r="ACY115" i="6" a="1"/>
  <c r="ACY115" i="6" s="1"/>
  <c r="ACN115" i="6" a="1"/>
  <c r="ACN115" i="6" s="1"/>
  <c r="ACM115" i="6" a="1"/>
  <c r="ACM115" i="6" s="1"/>
  <c r="ACL115" i="6" s="1"/>
  <c r="ABU115" i="6" a="1"/>
  <c r="ABU115" i="6" s="1"/>
  <c r="ABX115" i="6" a="1"/>
  <c r="ABX115" i="6" s="1"/>
  <c r="ABV115" i="6" a="1"/>
  <c r="ABV115" i="6" s="1"/>
  <c r="ABH115" i="6" a="1"/>
  <c r="ABH115" i="6" s="1"/>
  <c r="ABG115" i="6" a="1"/>
  <c r="ABG115" i="6" s="1"/>
  <c r="ABF115" i="6" a="1"/>
  <c r="ABF115" i="6" s="1"/>
  <c r="ABE115" i="6" a="1"/>
  <c r="ABE115" i="6" s="1"/>
  <c r="ABD115" i="6" a="1"/>
  <c r="ABD115" i="6" s="1"/>
  <c r="ZR115" i="6" a="1"/>
  <c r="ZR115" i="6" s="1"/>
  <c r="ZE115" i="6" a="1"/>
  <c r="ZE115" i="6" s="1"/>
  <c r="ZD115" i="6" a="1"/>
  <c r="ZD115" i="6" s="1"/>
  <c r="ZC115" i="6" a="1"/>
  <c r="ZC115" i="6" s="1"/>
  <c r="ZB115" i="6" a="1"/>
  <c r="ZB115" i="6" s="1"/>
  <c r="ZA115" i="6" a="1"/>
  <c r="ZA115" i="6" s="1"/>
  <c r="YP115" i="6" a="1"/>
  <c r="YP115" i="6" s="1"/>
  <c r="YO115" i="6" a="1"/>
  <c r="YO115" i="6" s="1"/>
  <c r="YE115" i="6" a="1"/>
  <c r="YE115" i="6" s="1"/>
  <c r="YD115" i="6" a="1"/>
  <c r="YD115" i="6" s="1"/>
  <c r="XT115" i="6" a="1"/>
  <c r="XT115" i="6" s="1"/>
  <c r="XS115" i="6" a="1"/>
  <c r="XS115" i="6" s="1"/>
  <c r="XI115" i="6" a="1"/>
  <c r="XI115" i="6" s="1"/>
  <c r="XH115" i="6" a="1"/>
  <c r="XH115" i="6" s="1"/>
  <c r="WX115" i="6" a="1"/>
  <c r="WX115" i="6" s="1"/>
  <c r="WW115" i="6" a="1"/>
  <c r="WW115" i="6" s="1"/>
  <c r="WM115" i="6" a="1"/>
  <c r="WM115" i="6" s="1"/>
  <c r="WL115" i="6" a="1"/>
  <c r="WL115" i="6" s="1"/>
  <c r="WC115" i="6" a="1"/>
  <c r="WC115" i="6" s="1"/>
  <c r="VQ115" i="6" a="1"/>
  <c r="VQ115" i="6" s="1"/>
  <c r="VP115" i="6" a="1"/>
  <c r="VP115" i="6" s="1"/>
  <c r="VO115" i="6" a="1"/>
  <c r="VO115" i="6" s="1"/>
  <c r="VN115" i="6" a="1"/>
  <c r="VN115" i="6" s="1"/>
  <c r="VA115" i="6" a="1"/>
  <c r="VA115" i="6" s="1"/>
  <c r="UZ115" i="6" a="1"/>
  <c r="UZ115" i="6" s="1"/>
  <c r="UY115" i="6" a="1"/>
  <c r="UY115" i="6" s="1"/>
  <c r="UX115" i="6" a="1"/>
  <c r="UX115" i="6" s="1"/>
  <c r="UW115" i="6" a="1"/>
  <c r="UW115" i="6" s="1"/>
  <c r="UM115" i="6" a="1"/>
  <c r="UM115" i="6" s="1"/>
  <c r="TZ115" i="6" a="1"/>
  <c r="TZ115" i="6" s="1"/>
  <c r="TY115" i="6" a="1"/>
  <c r="TY115" i="6" s="1"/>
  <c r="TX115" i="6" a="1"/>
  <c r="TX115" i="6" s="1"/>
  <c r="TW115" i="6" a="1"/>
  <c r="TW115" i="6" s="1"/>
  <c r="TV115" i="6" a="1"/>
  <c r="TV115" i="6" s="1"/>
  <c r="TH115" i="6" a="1"/>
  <c r="TH115" i="6" s="1"/>
  <c r="TG115" i="6" a="1"/>
  <c r="TG115" i="6" s="1"/>
  <c r="TF115" i="6" a="1"/>
  <c r="TF115" i="6" s="1"/>
  <c r="TE115" i="6" a="1"/>
  <c r="TE115" i="6" s="1"/>
  <c r="TD115" i="6" a="1"/>
  <c r="TD115" i="6" s="1"/>
  <c r="SP115" i="6" a="1"/>
  <c r="SP115" i="6" s="1"/>
  <c r="SO115" i="6" a="1"/>
  <c r="SO115" i="6" s="1"/>
  <c r="SN115" i="6" a="1"/>
  <c r="SN115" i="6" s="1"/>
  <c r="SM115" i="6" a="1"/>
  <c r="SM115" i="6" s="1"/>
  <c r="SL115" i="6" a="1"/>
  <c r="SL115" i="6" s="1"/>
  <c r="RX115" i="6" a="1"/>
  <c r="RX115" i="6" s="1"/>
  <c r="RW115" i="6" a="1"/>
  <c r="RW115" i="6" s="1"/>
  <c r="RV115" i="6" a="1"/>
  <c r="RV115" i="6" s="1"/>
  <c r="RU115" i="6" a="1"/>
  <c r="RU115" i="6" s="1"/>
  <c r="RT115" i="6" a="1"/>
  <c r="RT115" i="6" s="1"/>
  <c r="RF115" i="6" a="1"/>
  <c r="RF115" i="6" s="1"/>
  <c r="RE115" i="6" a="1"/>
  <c r="RE115" i="6" s="1"/>
  <c r="RD115" i="6" a="1"/>
  <c r="RD115" i="6" s="1"/>
  <c r="RC115" i="6" a="1"/>
  <c r="RC115" i="6" s="1"/>
  <c r="RB115" i="6" a="1"/>
  <c r="RB115" i="6" s="1"/>
  <c r="QN115" i="6" a="1"/>
  <c r="QN115" i="6" s="1"/>
  <c r="QM115" i="6" a="1"/>
  <c r="QM115" i="6" s="1"/>
  <c r="QL115" i="6" a="1"/>
  <c r="QL115" i="6" s="1"/>
  <c r="QK115" i="6" a="1"/>
  <c r="QK115" i="6" s="1"/>
  <c r="QJ115" i="6" a="1"/>
  <c r="QJ115" i="6" s="1"/>
  <c r="PV115" i="6" a="1"/>
  <c r="PV115" i="6" s="1"/>
  <c r="PU115" i="6" a="1"/>
  <c r="PU115" i="6" s="1"/>
  <c r="PT115" i="6" a="1"/>
  <c r="PT115" i="6" s="1"/>
  <c r="PS115" i="6" a="1"/>
  <c r="PS115" i="6" s="1"/>
  <c r="PR115" i="6" a="1"/>
  <c r="PR115" i="6" s="1"/>
  <c r="PD115" i="6" a="1"/>
  <c r="PD115" i="6" s="1"/>
  <c r="PC115" i="6" a="1"/>
  <c r="PC115" i="6" s="1"/>
  <c r="PB115" i="6" a="1"/>
  <c r="PB115" i="6" s="1"/>
  <c r="PA115" i="6" a="1"/>
  <c r="PA115" i="6" s="1"/>
  <c r="OZ115" i="6" a="1"/>
  <c r="OZ115" i="6" s="1"/>
  <c r="OL115" i="6" a="1"/>
  <c r="OL115" i="6" s="1"/>
  <c r="OK115" i="6" a="1"/>
  <c r="OK115" i="6" s="1"/>
  <c r="OJ115" i="6" a="1"/>
  <c r="OJ115" i="6" s="1"/>
  <c r="OI115" i="6" a="1"/>
  <c r="OI115" i="6" s="1"/>
  <c r="OH115" i="6" a="1"/>
  <c r="OH115" i="6" s="1"/>
  <c r="NT115" i="6" a="1"/>
  <c r="NT115" i="6" s="1"/>
  <c r="NS115" i="6" a="1"/>
  <c r="NS115" i="6" s="1"/>
  <c r="NR115" i="6" a="1"/>
  <c r="NR115" i="6" s="1"/>
  <c r="NQ115" i="6" a="1"/>
  <c r="NQ115" i="6" s="1"/>
  <c r="NP115" i="6" a="1"/>
  <c r="NP115" i="6" s="1"/>
  <c r="NC115" i="6" a="1"/>
  <c r="NC115" i="6" s="1"/>
  <c r="NB115" i="6" a="1"/>
  <c r="NB115" i="6" s="1"/>
  <c r="NA115" i="6" a="1"/>
  <c r="NA115" i="6" s="1"/>
  <c r="MZ115" i="6" a="1"/>
  <c r="MZ115" i="6" s="1"/>
  <c r="MY115" i="6" a="1"/>
  <c r="MY115" i="6" s="1"/>
  <c r="MK115" i="6" a="1"/>
  <c r="MK115" i="6" s="1"/>
  <c r="MJ115" i="6" a="1"/>
  <c r="MJ115" i="6" s="1"/>
  <c r="MI115" i="6" a="1"/>
  <c r="MI115" i="6" s="1"/>
  <c r="MH115" i="6" a="1"/>
  <c r="MH115" i="6" s="1"/>
  <c r="MG115" i="6" a="1"/>
  <c r="MG115" i="6" s="1"/>
  <c r="LS115" i="6" a="1"/>
  <c r="LS115" i="6" s="1"/>
  <c r="LR115" i="6" a="1"/>
  <c r="LR115" i="6" s="1"/>
  <c r="LQ115" i="6" a="1"/>
  <c r="LQ115" i="6" s="1"/>
  <c r="LP115" i="6" a="1"/>
  <c r="LP115" i="6" s="1"/>
  <c r="LO115" i="6" a="1"/>
  <c r="LO115" i="6" s="1"/>
  <c r="LA115" i="6" a="1"/>
  <c r="LA115" i="6" s="1"/>
  <c r="KZ115" i="6" a="1"/>
  <c r="KZ115" i="6" s="1"/>
  <c r="KY115" i="6" a="1"/>
  <c r="KY115" i="6" s="1"/>
  <c r="KX115" i="6" a="1"/>
  <c r="KX115" i="6" s="1"/>
  <c r="KW115" i="6" a="1"/>
  <c r="KW115" i="6" s="1"/>
  <c r="KI115" i="6" a="1"/>
  <c r="KI115" i="6" s="1"/>
  <c r="KH115" i="6" a="1"/>
  <c r="KH115" i="6" s="1"/>
  <c r="KG115" i="6" a="1"/>
  <c r="KG115" i="6" s="1"/>
  <c r="KF115" i="6" a="1"/>
  <c r="KF115" i="6" s="1"/>
  <c r="KE115" i="6" a="1"/>
  <c r="KE115" i="6" s="1"/>
  <c r="JQ115" i="6" a="1"/>
  <c r="JQ115" i="6" s="1"/>
  <c r="JP115" i="6" a="1"/>
  <c r="JP115" i="6" s="1"/>
  <c r="JO115" i="6" a="1"/>
  <c r="JO115" i="6" s="1"/>
  <c r="JN115" i="6" a="1"/>
  <c r="JN115" i="6" s="1"/>
  <c r="JM115" i="6" a="1"/>
  <c r="JM115" i="6" s="1"/>
  <c r="IY115" i="6" a="1"/>
  <c r="IY115" i="6" s="1"/>
  <c r="IX115" i="6" a="1"/>
  <c r="IX115" i="6" s="1"/>
  <c r="IW115" i="6" a="1"/>
  <c r="IW115" i="6" s="1"/>
  <c r="IV115" i="6" a="1"/>
  <c r="IV115" i="6" s="1"/>
  <c r="IU115" i="6" a="1"/>
  <c r="IU115" i="6" s="1"/>
  <c r="IG115" i="6" a="1"/>
  <c r="IG115" i="6" s="1"/>
  <c r="IF115" i="6" a="1"/>
  <c r="IF115" i="6" s="1"/>
  <c r="IE115" i="6" a="1"/>
  <c r="IE115" i="6" s="1"/>
  <c r="ID115" i="6" a="1"/>
  <c r="ID115" i="6" s="1"/>
  <c r="IC115" i="6" a="1"/>
  <c r="IC115" i="6" s="1"/>
  <c r="HO115" i="6" a="1"/>
  <c r="HO115" i="6" s="1"/>
  <c r="HN115" i="6" a="1"/>
  <c r="HN115" i="6" s="1"/>
  <c r="HM115" i="6" a="1"/>
  <c r="HM115" i="6" s="1"/>
  <c r="HL115" i="6" a="1"/>
  <c r="HL115" i="6" s="1"/>
  <c r="HK115" i="6" a="1"/>
  <c r="HK115" i="6" s="1"/>
  <c r="GX115" i="6" a="1"/>
  <c r="GX115" i="6" s="1"/>
  <c r="GW115" i="6" a="1"/>
  <c r="GW115" i="6" s="1"/>
  <c r="GV115" i="6" a="1"/>
  <c r="GV115" i="6" s="1"/>
  <c r="GU115" i="6" a="1"/>
  <c r="GU115" i="6" s="1"/>
  <c r="GT115" i="6" a="1"/>
  <c r="GT115" i="6" s="1"/>
  <c r="GG115" i="6" a="1"/>
  <c r="GG115" i="6" s="1"/>
  <c r="GF115" i="6" a="1"/>
  <c r="GF115" i="6" s="1"/>
  <c r="GE115" i="6" a="1"/>
  <c r="GE115" i="6" s="1"/>
  <c r="GD115" i="6" a="1"/>
  <c r="GD115" i="6" s="1"/>
  <c r="GC115" i="6" a="1"/>
  <c r="GC115" i="6" s="1"/>
  <c r="FP115" i="6" a="1"/>
  <c r="FP115" i="6" s="1"/>
  <c r="FO115" i="6" a="1"/>
  <c r="FO115" i="6" s="1"/>
  <c r="FN115" i="6" a="1"/>
  <c r="FN115" i="6" s="1"/>
  <c r="FM115" i="6" a="1"/>
  <c r="FM115" i="6" s="1"/>
  <c r="FL115" i="6" a="1"/>
  <c r="FL115" i="6" s="1"/>
  <c r="EY115" i="6" a="1"/>
  <c r="EY115" i="6" s="1"/>
  <c r="EX115" i="6" a="1"/>
  <c r="EX115" i="6" s="1"/>
  <c r="EW115" i="6" a="1"/>
  <c r="EW115" i="6" s="1"/>
  <c r="EV115" i="6" a="1"/>
  <c r="EV115" i="6" s="1"/>
  <c r="EU115" i="6" a="1"/>
  <c r="EU115" i="6" s="1"/>
  <c r="EH115" i="6" a="1"/>
  <c r="EH115" i="6" s="1"/>
  <c r="EG115" i="6" a="1"/>
  <c r="EG115" i="6" s="1"/>
  <c r="EF115" i="6" a="1"/>
  <c r="EF115" i="6" s="1"/>
  <c r="EE115" i="6" a="1"/>
  <c r="EE115" i="6" s="1"/>
  <c r="ED115" i="6" a="1"/>
  <c r="ED115" i="6" s="1"/>
  <c r="DQ115" i="6" a="1"/>
  <c r="DQ115" i="6" s="1"/>
  <c r="DP115" i="6" a="1"/>
  <c r="DP115" i="6" s="1"/>
  <c r="DO115" i="6" a="1"/>
  <c r="DO115" i="6" s="1"/>
  <c r="DN115" i="6" a="1"/>
  <c r="DN115" i="6" s="1"/>
  <c r="DM115" i="6" a="1"/>
  <c r="DM115" i="6" s="1"/>
  <c r="DD115" i="6" a="1"/>
  <c r="DD115" i="6" s="1"/>
  <c r="CU115" i="6" a="1"/>
  <c r="CU115" i="6" s="1"/>
  <c r="CL115" i="6" a="1"/>
  <c r="CL115" i="6" s="1"/>
  <c r="BX115" i="6" a="1"/>
  <c r="BX115" i="6" s="1"/>
  <c r="BW115" i="6" a="1"/>
  <c r="BW115" i="6" s="1"/>
  <c r="BV115" i="6" a="1"/>
  <c r="BV115" i="6" s="1"/>
  <c r="BU115" i="6" a="1"/>
  <c r="BU115" i="6" s="1"/>
  <c r="BT115" i="6" a="1"/>
  <c r="BT115" i="6" s="1"/>
  <c r="BS115" i="6" a="1"/>
  <c r="BS115" i="6" s="1"/>
  <c r="BA115" i="6" a="1"/>
  <c r="BA115" i="6" s="1"/>
  <c r="AZ115" i="6" a="1"/>
  <c r="AZ115" i="6" s="1"/>
  <c r="AY115" i="6" a="1"/>
  <c r="AY115" i="6" s="1"/>
  <c r="AX115" i="6" a="1"/>
  <c r="AX115" i="6" s="1"/>
  <c r="AW115" i="6" a="1"/>
  <c r="AW115" i="6" s="1"/>
  <c r="AV115" i="6" a="1"/>
  <c r="AV115" i="6" s="1"/>
  <c r="AU115" i="6" a="1"/>
  <c r="AU115" i="6" s="1"/>
  <c r="AT115" i="6" a="1"/>
  <c r="AT115" i="6" s="1"/>
  <c r="AS115" i="6" a="1"/>
  <c r="AS115" i="6" s="1"/>
  <c r="AR115" i="6" a="1"/>
  <c r="AR115" i="6" s="1"/>
  <c r="AH115" i="6" a="1"/>
  <c r="AH115" i="6" s="1"/>
  <c r="AG115" i="6" a="1"/>
  <c r="AG115" i="6" s="1"/>
  <c r="V115" i="6" a="1"/>
  <c r="V115" i="6" s="1"/>
  <c r="U115" i="6" a="1"/>
  <c r="U115" i="6" s="1"/>
  <c r="J115" i="6" a="1"/>
  <c r="J115" i="6" s="1"/>
  <c r="I115" i="6" a="1"/>
  <c r="I115" i="6" s="1"/>
  <c r="ADA114" i="6" a="1"/>
  <c r="ADA114" i="6" s="1"/>
  <c r="ACZ114" i="6" a="1"/>
  <c r="ACZ114" i="6" s="1"/>
  <c r="ACY114" i="6" a="1"/>
  <c r="ACY114" i="6" s="1"/>
  <c r="ACN114" i="6" a="1"/>
  <c r="ACN114" i="6" s="1"/>
  <c r="ACM114" i="6" a="1"/>
  <c r="ACM114" i="6" s="1"/>
  <c r="ABU114" i="6" a="1"/>
  <c r="ABU114" i="6" s="1"/>
  <c r="ABX114" i="6" a="1"/>
  <c r="ABX114" i="6" s="1"/>
  <c r="ABV114" i="6" a="1"/>
  <c r="ABV114" i="6" s="1"/>
  <c r="ABH114" i="6" a="1"/>
  <c r="ABH114" i="6" s="1"/>
  <c r="ABG114" i="6" a="1"/>
  <c r="ABG114" i="6" s="1"/>
  <c r="ABF114" i="6" a="1"/>
  <c r="ABF114" i="6" s="1"/>
  <c r="ABE114" i="6" a="1"/>
  <c r="ABE114" i="6" s="1"/>
  <c r="ABD114" i="6" a="1"/>
  <c r="ABD114" i="6" s="1"/>
  <c r="ZR114" i="6" a="1"/>
  <c r="ZR114" i="6" s="1"/>
  <c r="ZE114" i="6" a="1"/>
  <c r="ZE114" i="6" s="1"/>
  <c r="ZD114" i="6" a="1"/>
  <c r="ZD114" i="6" s="1"/>
  <c r="ZC114" i="6" a="1"/>
  <c r="ZC114" i="6" s="1"/>
  <c r="ZB114" i="6" a="1"/>
  <c r="ZB114" i="6" s="1"/>
  <c r="ZA114" i="6" a="1"/>
  <c r="ZA114" i="6" s="1"/>
  <c r="YP114" i="6" a="1"/>
  <c r="YP114" i="6" s="1"/>
  <c r="YO114" i="6" a="1"/>
  <c r="YO114" i="6" s="1"/>
  <c r="YE114" i="6" a="1"/>
  <c r="YE114" i="6" s="1"/>
  <c r="YD114" i="6" a="1"/>
  <c r="YD114" i="6" s="1"/>
  <c r="XT114" i="6" a="1"/>
  <c r="XT114" i="6" s="1"/>
  <c r="XS114" i="6" a="1"/>
  <c r="XS114" i="6" s="1"/>
  <c r="XI114" i="6" a="1"/>
  <c r="XI114" i="6" s="1"/>
  <c r="XH114" i="6" a="1"/>
  <c r="XH114" i="6" s="1"/>
  <c r="WX114" i="6" a="1"/>
  <c r="WX114" i="6" s="1"/>
  <c r="WW114" i="6" a="1"/>
  <c r="WW114" i="6" s="1"/>
  <c r="WM114" i="6" a="1"/>
  <c r="WM114" i="6" s="1"/>
  <c r="WL114" i="6" a="1"/>
  <c r="WL114" i="6" s="1"/>
  <c r="WC114" i="6" a="1"/>
  <c r="WC114" i="6" s="1"/>
  <c r="VQ114" i="6" a="1"/>
  <c r="VQ114" i="6" s="1"/>
  <c r="VP114" i="6" a="1"/>
  <c r="VP114" i="6" s="1"/>
  <c r="VO114" i="6" a="1"/>
  <c r="VO114" i="6" s="1"/>
  <c r="VN114" i="6" a="1"/>
  <c r="VN114" i="6" s="1"/>
  <c r="VA114" i="6" a="1"/>
  <c r="VA114" i="6" s="1"/>
  <c r="UZ114" i="6" a="1"/>
  <c r="UZ114" i="6" s="1"/>
  <c r="UY114" i="6" a="1"/>
  <c r="UY114" i="6" s="1"/>
  <c r="UX114" i="6" a="1"/>
  <c r="UX114" i="6" s="1"/>
  <c r="UW114" i="6" a="1"/>
  <c r="UW114" i="6" s="1"/>
  <c r="UM114" i="6" a="1"/>
  <c r="UM114" i="6" s="1"/>
  <c r="TZ114" i="6" a="1"/>
  <c r="TZ114" i="6" s="1"/>
  <c r="TY114" i="6" a="1"/>
  <c r="TY114" i="6" s="1"/>
  <c r="TX114" i="6" a="1"/>
  <c r="TX114" i="6" s="1"/>
  <c r="TW114" i="6" a="1"/>
  <c r="TW114" i="6" s="1"/>
  <c r="TV114" i="6" a="1"/>
  <c r="TV114" i="6" s="1"/>
  <c r="TH114" i="6" a="1"/>
  <c r="TH114" i="6" s="1"/>
  <c r="TG114" i="6" a="1"/>
  <c r="TG114" i="6" s="1"/>
  <c r="TF114" i="6" a="1"/>
  <c r="TF114" i="6" s="1"/>
  <c r="TE114" i="6" a="1"/>
  <c r="TE114" i="6" s="1"/>
  <c r="TD114" i="6" a="1"/>
  <c r="TD114" i="6" s="1"/>
  <c r="SP114" i="6" a="1"/>
  <c r="SP114" i="6" s="1"/>
  <c r="SO114" i="6" a="1"/>
  <c r="SO114" i="6" s="1"/>
  <c r="SN114" i="6" a="1"/>
  <c r="SN114" i="6" s="1"/>
  <c r="SM114" i="6" a="1"/>
  <c r="SM114" i="6" s="1"/>
  <c r="SL114" i="6" a="1"/>
  <c r="SL114" i="6" s="1"/>
  <c r="RX114" i="6" a="1"/>
  <c r="RX114" i="6" s="1"/>
  <c r="RW114" i="6" a="1"/>
  <c r="RW114" i="6" s="1"/>
  <c r="RV114" i="6" a="1"/>
  <c r="RV114" i="6" s="1"/>
  <c r="RU114" i="6" a="1"/>
  <c r="RU114" i="6" s="1"/>
  <c r="RT114" i="6" a="1"/>
  <c r="RT114" i="6" s="1"/>
  <c r="RF114" i="6" a="1"/>
  <c r="RF114" i="6" s="1"/>
  <c r="RE114" i="6" a="1"/>
  <c r="RE114" i="6" s="1"/>
  <c r="RD114" i="6" a="1"/>
  <c r="RD114" i="6" s="1"/>
  <c r="RC114" i="6" a="1"/>
  <c r="RC114" i="6" s="1"/>
  <c r="RB114" i="6" a="1"/>
  <c r="RB114" i="6" s="1"/>
  <c r="QN114" i="6" a="1"/>
  <c r="QN114" i="6" s="1"/>
  <c r="QM114" i="6" a="1"/>
  <c r="QM114" i="6" s="1"/>
  <c r="QL114" i="6" a="1"/>
  <c r="QL114" i="6" s="1"/>
  <c r="QK114" i="6" a="1"/>
  <c r="QK114" i="6" s="1"/>
  <c r="QJ114" i="6" a="1"/>
  <c r="QJ114" i="6" s="1"/>
  <c r="PV114" i="6" a="1"/>
  <c r="PV114" i="6" s="1"/>
  <c r="PU114" i="6" a="1"/>
  <c r="PU114" i="6" s="1"/>
  <c r="PT114" i="6" a="1"/>
  <c r="PT114" i="6" s="1"/>
  <c r="PS114" i="6" a="1"/>
  <c r="PS114" i="6" s="1"/>
  <c r="PR114" i="6" a="1"/>
  <c r="PR114" i="6" s="1"/>
  <c r="PD114" i="6" a="1"/>
  <c r="PD114" i="6" s="1"/>
  <c r="PC114" i="6" a="1"/>
  <c r="PC114" i="6" s="1"/>
  <c r="PB114" i="6" a="1"/>
  <c r="PB114" i="6" s="1"/>
  <c r="PA114" i="6" a="1"/>
  <c r="PA114" i="6" s="1"/>
  <c r="OZ114" i="6" a="1"/>
  <c r="OZ114" i="6" s="1"/>
  <c r="OL114" i="6" a="1"/>
  <c r="OL114" i="6" s="1"/>
  <c r="OK114" i="6" a="1"/>
  <c r="OK114" i="6" s="1"/>
  <c r="OJ114" i="6" a="1"/>
  <c r="OJ114" i="6" s="1"/>
  <c r="OI114" i="6" a="1"/>
  <c r="OI114" i="6" s="1"/>
  <c r="OH114" i="6" a="1"/>
  <c r="OH114" i="6" s="1"/>
  <c r="NT114" i="6" a="1"/>
  <c r="NT114" i="6" s="1"/>
  <c r="NS114" i="6" a="1"/>
  <c r="NS114" i="6" s="1"/>
  <c r="NR114" i="6" a="1"/>
  <c r="NR114" i="6" s="1"/>
  <c r="NQ114" i="6" a="1"/>
  <c r="NQ114" i="6" s="1"/>
  <c r="NP114" i="6" a="1"/>
  <c r="NP114" i="6" s="1"/>
  <c r="NC114" i="6" a="1"/>
  <c r="NC114" i="6" s="1"/>
  <c r="NB114" i="6" a="1"/>
  <c r="NB114" i="6" s="1"/>
  <c r="NA114" i="6" a="1"/>
  <c r="NA114" i="6" s="1"/>
  <c r="MZ114" i="6" a="1"/>
  <c r="MZ114" i="6" s="1"/>
  <c r="MY114" i="6" a="1"/>
  <c r="MY114" i="6" s="1"/>
  <c r="MK114" i="6" a="1"/>
  <c r="MK114" i="6" s="1"/>
  <c r="MJ114" i="6" a="1"/>
  <c r="MJ114" i="6" s="1"/>
  <c r="MI114" i="6" a="1"/>
  <c r="MI114" i="6" s="1"/>
  <c r="MH114" i="6" a="1"/>
  <c r="MH114" i="6" s="1"/>
  <c r="MG114" i="6" a="1"/>
  <c r="MG114" i="6" s="1"/>
  <c r="LS114" i="6" a="1"/>
  <c r="LS114" i="6" s="1"/>
  <c r="LR114" i="6" a="1"/>
  <c r="LR114" i="6" s="1"/>
  <c r="LQ114" i="6" a="1"/>
  <c r="LQ114" i="6" s="1"/>
  <c r="LP114" i="6" a="1"/>
  <c r="LP114" i="6" s="1"/>
  <c r="LO114" i="6" a="1"/>
  <c r="LO114" i="6" s="1"/>
  <c r="LA114" i="6" a="1"/>
  <c r="LA114" i="6" s="1"/>
  <c r="KZ114" i="6" a="1"/>
  <c r="KZ114" i="6" s="1"/>
  <c r="KY114" i="6" a="1"/>
  <c r="KY114" i="6" s="1"/>
  <c r="KX114" i="6" a="1"/>
  <c r="KX114" i="6" s="1"/>
  <c r="KW114" i="6" a="1"/>
  <c r="KW114" i="6" s="1"/>
  <c r="KI114" i="6" a="1"/>
  <c r="KI114" i="6" s="1"/>
  <c r="KH114" i="6" a="1"/>
  <c r="KH114" i="6" s="1"/>
  <c r="KG114" i="6" a="1"/>
  <c r="KG114" i="6" s="1"/>
  <c r="KF114" i="6" a="1"/>
  <c r="KF114" i="6" s="1"/>
  <c r="KE114" i="6" a="1"/>
  <c r="KE114" i="6" s="1"/>
  <c r="JQ114" i="6" a="1"/>
  <c r="JQ114" i="6" s="1"/>
  <c r="JP114" i="6" a="1"/>
  <c r="JP114" i="6" s="1"/>
  <c r="JO114" i="6" a="1"/>
  <c r="JO114" i="6" s="1"/>
  <c r="JN114" i="6" a="1"/>
  <c r="JN114" i="6" s="1"/>
  <c r="JM114" i="6" a="1"/>
  <c r="JM114" i="6" s="1"/>
  <c r="IY114" i="6" a="1"/>
  <c r="IY114" i="6" s="1"/>
  <c r="IX114" i="6" a="1"/>
  <c r="IX114" i="6" s="1"/>
  <c r="IW114" i="6" a="1"/>
  <c r="IW114" i="6" s="1"/>
  <c r="IV114" i="6" a="1"/>
  <c r="IV114" i="6" s="1"/>
  <c r="IU114" i="6" a="1"/>
  <c r="IU114" i="6" s="1"/>
  <c r="IG114" i="6" a="1"/>
  <c r="IG114" i="6" s="1"/>
  <c r="IF114" i="6" a="1"/>
  <c r="IF114" i="6" s="1"/>
  <c r="IE114" i="6" a="1"/>
  <c r="IE114" i="6" s="1"/>
  <c r="ID114" i="6" a="1"/>
  <c r="ID114" i="6" s="1"/>
  <c r="IC114" i="6" a="1"/>
  <c r="IC114" i="6" s="1"/>
  <c r="HO114" i="6" a="1"/>
  <c r="HO114" i="6" s="1"/>
  <c r="HN114" i="6" a="1"/>
  <c r="HN114" i="6" s="1"/>
  <c r="HM114" i="6" a="1"/>
  <c r="HM114" i="6" s="1"/>
  <c r="HL114" i="6" a="1"/>
  <c r="HL114" i="6" s="1"/>
  <c r="HK114" i="6" a="1"/>
  <c r="HK114" i="6" s="1"/>
  <c r="GX114" i="6" a="1"/>
  <c r="GX114" i="6" s="1"/>
  <c r="GW114" i="6" a="1"/>
  <c r="GW114" i="6" s="1"/>
  <c r="GV114" i="6" a="1"/>
  <c r="GV114" i="6" s="1"/>
  <c r="GU114" i="6" a="1"/>
  <c r="GU114" i="6" s="1"/>
  <c r="GT114" i="6" a="1"/>
  <c r="GT114" i="6" s="1"/>
  <c r="GG114" i="6" a="1"/>
  <c r="GG114" i="6" s="1"/>
  <c r="GF114" i="6" a="1"/>
  <c r="GF114" i="6" s="1"/>
  <c r="GE114" i="6" a="1"/>
  <c r="GE114" i="6" s="1"/>
  <c r="GD114" i="6" a="1"/>
  <c r="GD114" i="6" s="1"/>
  <c r="GC114" i="6" a="1"/>
  <c r="GC114" i="6" s="1"/>
  <c r="FP114" i="6" a="1"/>
  <c r="FP114" i="6" s="1"/>
  <c r="FO114" i="6" a="1"/>
  <c r="FO114" i="6" s="1"/>
  <c r="FN114" i="6" a="1"/>
  <c r="FN114" i="6" s="1"/>
  <c r="FM114" i="6" a="1"/>
  <c r="FM114" i="6" s="1"/>
  <c r="FL114" i="6" a="1"/>
  <c r="FL114" i="6" s="1"/>
  <c r="EY114" i="6" a="1"/>
  <c r="EY114" i="6" s="1"/>
  <c r="EX114" i="6" a="1"/>
  <c r="EX114" i="6" s="1"/>
  <c r="EW114" i="6" a="1"/>
  <c r="EW114" i="6" s="1"/>
  <c r="EV114" i="6" a="1"/>
  <c r="EV114" i="6" s="1"/>
  <c r="EU114" i="6" a="1"/>
  <c r="EU114" i="6" s="1"/>
  <c r="EH114" i="6" a="1"/>
  <c r="EH114" i="6" s="1"/>
  <c r="EG114" i="6" a="1"/>
  <c r="EG114" i="6" s="1"/>
  <c r="EF114" i="6" a="1"/>
  <c r="EF114" i="6" s="1"/>
  <c r="EE114" i="6" a="1"/>
  <c r="EE114" i="6" s="1"/>
  <c r="ED114" i="6" a="1"/>
  <c r="ED114" i="6" s="1"/>
  <c r="DQ114" i="6" a="1"/>
  <c r="DQ114" i="6" s="1"/>
  <c r="DP114" i="6" a="1"/>
  <c r="DP114" i="6" s="1"/>
  <c r="DO114" i="6" a="1"/>
  <c r="DO114" i="6" s="1"/>
  <c r="DN114" i="6" a="1"/>
  <c r="DN114" i="6" s="1"/>
  <c r="DM114" i="6" a="1"/>
  <c r="DM114" i="6" s="1"/>
  <c r="DD114" i="6" a="1"/>
  <c r="DD114" i="6" s="1"/>
  <c r="CU114" i="6" a="1"/>
  <c r="CU114" i="6" s="1"/>
  <c r="CL114" i="6" a="1"/>
  <c r="CL114" i="6" s="1"/>
  <c r="BX114" i="6" a="1"/>
  <c r="BX114" i="6" s="1"/>
  <c r="BW114" i="6" a="1"/>
  <c r="BW114" i="6" s="1"/>
  <c r="BV114" i="6" a="1"/>
  <c r="BV114" i="6" s="1"/>
  <c r="BU114" i="6" a="1"/>
  <c r="BU114" i="6" s="1"/>
  <c r="BT114" i="6" a="1"/>
  <c r="BT114" i="6" s="1"/>
  <c r="BS114" i="6" a="1"/>
  <c r="BS114" i="6" s="1"/>
  <c r="BA114" i="6" a="1"/>
  <c r="BA114" i="6" s="1"/>
  <c r="AZ114" i="6" a="1"/>
  <c r="AZ114" i="6" s="1"/>
  <c r="AY114" i="6" a="1"/>
  <c r="AY114" i="6" s="1"/>
  <c r="AX114" i="6" a="1"/>
  <c r="AX114" i="6" s="1"/>
  <c r="AW114" i="6" a="1"/>
  <c r="AW114" i="6" s="1"/>
  <c r="AV114" i="6" a="1"/>
  <c r="AV114" i="6" s="1"/>
  <c r="AU114" i="6" a="1"/>
  <c r="AU114" i="6" s="1"/>
  <c r="AT114" i="6" a="1"/>
  <c r="AT114" i="6" s="1"/>
  <c r="AS114" i="6" a="1"/>
  <c r="AS114" i="6" s="1"/>
  <c r="AR114" i="6" a="1"/>
  <c r="AR114" i="6" s="1"/>
  <c r="AH114" i="6" a="1"/>
  <c r="AH114" i="6" s="1"/>
  <c r="AG114" i="6" a="1"/>
  <c r="AG114" i="6" s="1"/>
  <c r="V114" i="6" a="1"/>
  <c r="V114" i="6" s="1"/>
  <c r="U114" i="6" a="1"/>
  <c r="U114" i="6" s="1"/>
  <c r="J114" i="6" a="1"/>
  <c r="J114" i="6" s="1"/>
  <c r="I114" i="6" a="1"/>
  <c r="I114" i="6" s="1"/>
  <c r="ADA113" i="6" a="1"/>
  <c r="ADA113" i="6" s="1"/>
  <c r="ACZ113" i="6" a="1"/>
  <c r="ACZ113" i="6" s="1"/>
  <c r="ACY113" i="6" a="1"/>
  <c r="ACY113" i="6" s="1"/>
  <c r="ACN113" i="6" a="1"/>
  <c r="ACN113" i="6" s="1"/>
  <c r="ACM113" i="6" a="1"/>
  <c r="ACM113" i="6" s="1"/>
  <c r="ABU113" i="6" a="1"/>
  <c r="ABU113" i="6" s="1"/>
  <c r="ABX113" i="6" a="1"/>
  <c r="ABX113" i="6" s="1"/>
  <c r="ABV113" i="6" a="1"/>
  <c r="ABV113" i="6" s="1"/>
  <c r="ABH113" i="6" a="1"/>
  <c r="ABH113" i="6" s="1"/>
  <c r="ABG113" i="6" a="1"/>
  <c r="ABG113" i="6" s="1"/>
  <c r="ABF113" i="6" a="1"/>
  <c r="ABF113" i="6" s="1"/>
  <c r="ABE113" i="6" a="1"/>
  <c r="ABE113" i="6" s="1"/>
  <c r="ABD113" i="6" a="1"/>
  <c r="ABD113" i="6" s="1"/>
  <c r="ZR113" i="6" a="1"/>
  <c r="ZR113" i="6" s="1"/>
  <c r="ZE113" i="6" a="1"/>
  <c r="ZE113" i="6" s="1"/>
  <c r="ZD113" i="6" a="1"/>
  <c r="ZD113" i="6" s="1"/>
  <c r="ZC113" i="6" a="1"/>
  <c r="ZC113" i="6" s="1"/>
  <c r="ZB113" i="6" a="1"/>
  <c r="ZB113" i="6" s="1"/>
  <c r="ZA113" i="6" a="1"/>
  <c r="ZA113" i="6" s="1"/>
  <c r="YP113" i="6" a="1"/>
  <c r="YP113" i="6" s="1"/>
  <c r="YO113" i="6" a="1"/>
  <c r="YO113" i="6" s="1"/>
  <c r="YE113" i="6" a="1"/>
  <c r="YE113" i="6" s="1"/>
  <c r="YD113" i="6" a="1"/>
  <c r="YD113" i="6" s="1"/>
  <c r="XT113" i="6" a="1"/>
  <c r="XT113" i="6" s="1"/>
  <c r="XS113" i="6" a="1"/>
  <c r="XS113" i="6" s="1"/>
  <c r="XI113" i="6" a="1"/>
  <c r="XI113" i="6" s="1"/>
  <c r="XH113" i="6" a="1"/>
  <c r="XH113" i="6" s="1"/>
  <c r="WX113" i="6" a="1"/>
  <c r="WX113" i="6" s="1"/>
  <c r="WW113" i="6" a="1"/>
  <c r="WW113" i="6" s="1"/>
  <c r="WM113" i="6" a="1"/>
  <c r="WM113" i="6" s="1"/>
  <c r="WL113" i="6" a="1"/>
  <c r="WL113" i="6" s="1"/>
  <c r="WC113" i="6" a="1"/>
  <c r="WC113" i="6" s="1"/>
  <c r="VQ113" i="6" a="1"/>
  <c r="VQ113" i="6" s="1"/>
  <c r="VP113" i="6" a="1"/>
  <c r="VP113" i="6" s="1"/>
  <c r="VO113" i="6" a="1"/>
  <c r="VO113" i="6" s="1"/>
  <c r="VN113" i="6" a="1"/>
  <c r="VN113" i="6" s="1"/>
  <c r="VA113" i="6" a="1"/>
  <c r="VA113" i="6" s="1"/>
  <c r="UZ113" i="6" a="1"/>
  <c r="UZ113" i="6" s="1"/>
  <c r="UY113" i="6" a="1"/>
  <c r="UY113" i="6" s="1"/>
  <c r="UX113" i="6" a="1"/>
  <c r="UX113" i="6" s="1"/>
  <c r="UW113" i="6" a="1"/>
  <c r="UW113" i="6" s="1"/>
  <c r="UM113" i="6" a="1"/>
  <c r="UM113" i="6" s="1"/>
  <c r="TZ113" i="6" a="1"/>
  <c r="TZ113" i="6" s="1"/>
  <c r="TY113" i="6" a="1"/>
  <c r="TY113" i="6" s="1"/>
  <c r="TX113" i="6" a="1"/>
  <c r="TX113" i="6" s="1"/>
  <c r="TW113" i="6" a="1"/>
  <c r="TW113" i="6" s="1"/>
  <c r="TV113" i="6" a="1"/>
  <c r="TV113" i="6" s="1"/>
  <c r="TH113" i="6" a="1"/>
  <c r="TH113" i="6" s="1"/>
  <c r="TG113" i="6" a="1"/>
  <c r="TG113" i="6" s="1"/>
  <c r="TF113" i="6" a="1"/>
  <c r="TF113" i="6" s="1"/>
  <c r="TE113" i="6" a="1"/>
  <c r="TE113" i="6" s="1"/>
  <c r="TD113" i="6" a="1"/>
  <c r="TD113" i="6" s="1"/>
  <c r="SP113" i="6" a="1"/>
  <c r="SP113" i="6" s="1"/>
  <c r="SO113" i="6" a="1"/>
  <c r="SO113" i="6" s="1"/>
  <c r="SN113" i="6" a="1"/>
  <c r="SN113" i="6" s="1"/>
  <c r="SM113" i="6" a="1"/>
  <c r="SM113" i="6" s="1"/>
  <c r="SL113" i="6" a="1"/>
  <c r="SL113" i="6" s="1"/>
  <c r="RX113" i="6" a="1"/>
  <c r="RX113" i="6" s="1"/>
  <c r="RW113" i="6" a="1"/>
  <c r="RW113" i="6" s="1"/>
  <c r="RV113" i="6" a="1"/>
  <c r="RV113" i="6" s="1"/>
  <c r="RU113" i="6" a="1"/>
  <c r="RU113" i="6" s="1"/>
  <c r="RT113" i="6" a="1"/>
  <c r="RT113" i="6" s="1"/>
  <c r="RF113" i="6" a="1"/>
  <c r="RF113" i="6" s="1"/>
  <c r="RE113" i="6" a="1"/>
  <c r="RE113" i="6" s="1"/>
  <c r="RD113" i="6" a="1"/>
  <c r="RD113" i="6" s="1"/>
  <c r="RC113" i="6" a="1"/>
  <c r="RC113" i="6" s="1"/>
  <c r="RB113" i="6" a="1"/>
  <c r="RB113" i="6" s="1"/>
  <c r="QN113" i="6" a="1"/>
  <c r="QN113" i="6" s="1"/>
  <c r="QM113" i="6" a="1"/>
  <c r="QM113" i="6" s="1"/>
  <c r="QL113" i="6" a="1"/>
  <c r="QL113" i="6" s="1"/>
  <c r="QK113" i="6" a="1"/>
  <c r="QK113" i="6" s="1"/>
  <c r="QJ113" i="6" a="1"/>
  <c r="QJ113" i="6" s="1"/>
  <c r="PV113" i="6" a="1"/>
  <c r="PV113" i="6" s="1"/>
  <c r="PU113" i="6" a="1"/>
  <c r="PU113" i="6" s="1"/>
  <c r="PT113" i="6" a="1"/>
  <c r="PT113" i="6" s="1"/>
  <c r="PS113" i="6" a="1"/>
  <c r="PS113" i="6" s="1"/>
  <c r="PR113" i="6" a="1"/>
  <c r="PR113" i="6" s="1"/>
  <c r="PD113" i="6" a="1"/>
  <c r="PD113" i="6" s="1"/>
  <c r="PC113" i="6" a="1"/>
  <c r="PC113" i="6" s="1"/>
  <c r="PB113" i="6" a="1"/>
  <c r="PB113" i="6" s="1"/>
  <c r="PA113" i="6" a="1"/>
  <c r="PA113" i="6" s="1"/>
  <c r="OZ113" i="6" a="1"/>
  <c r="OZ113" i="6" s="1"/>
  <c r="OL113" i="6" a="1"/>
  <c r="OL113" i="6" s="1"/>
  <c r="OK113" i="6" a="1"/>
  <c r="OK113" i="6" s="1"/>
  <c r="OJ113" i="6" a="1"/>
  <c r="OJ113" i="6" s="1"/>
  <c r="OI113" i="6" a="1"/>
  <c r="OI113" i="6" s="1"/>
  <c r="OH113" i="6" a="1"/>
  <c r="OH113" i="6" s="1"/>
  <c r="NT113" i="6" a="1"/>
  <c r="NT113" i="6" s="1"/>
  <c r="NS113" i="6" a="1"/>
  <c r="NS113" i="6" s="1"/>
  <c r="NR113" i="6" a="1"/>
  <c r="NR113" i="6" s="1"/>
  <c r="NQ113" i="6" a="1"/>
  <c r="NQ113" i="6" s="1"/>
  <c r="NP113" i="6" a="1"/>
  <c r="NP113" i="6" s="1"/>
  <c r="NC113" i="6" a="1"/>
  <c r="NC113" i="6" s="1"/>
  <c r="NB113" i="6" a="1"/>
  <c r="NB113" i="6" s="1"/>
  <c r="NA113" i="6" a="1"/>
  <c r="NA113" i="6" s="1"/>
  <c r="MZ113" i="6" a="1"/>
  <c r="MZ113" i="6" s="1"/>
  <c r="MY113" i="6" a="1"/>
  <c r="MY113" i="6" s="1"/>
  <c r="MK113" i="6" a="1"/>
  <c r="MK113" i="6" s="1"/>
  <c r="MJ113" i="6" a="1"/>
  <c r="MJ113" i="6" s="1"/>
  <c r="MI113" i="6" a="1"/>
  <c r="MI113" i="6" s="1"/>
  <c r="MH113" i="6" a="1"/>
  <c r="MH113" i="6" s="1"/>
  <c r="MG113" i="6" a="1"/>
  <c r="MG113" i="6" s="1"/>
  <c r="LS113" i="6" a="1"/>
  <c r="LS113" i="6" s="1"/>
  <c r="LR113" i="6" a="1"/>
  <c r="LR113" i="6" s="1"/>
  <c r="LQ113" i="6" a="1"/>
  <c r="LQ113" i="6" s="1"/>
  <c r="LP113" i="6" a="1"/>
  <c r="LP113" i="6" s="1"/>
  <c r="LO113" i="6" a="1"/>
  <c r="LO113" i="6" s="1"/>
  <c r="LA113" i="6" a="1"/>
  <c r="LA113" i="6" s="1"/>
  <c r="KZ113" i="6" a="1"/>
  <c r="KZ113" i="6" s="1"/>
  <c r="KY113" i="6" a="1"/>
  <c r="KY113" i="6" s="1"/>
  <c r="KX113" i="6" a="1"/>
  <c r="KX113" i="6" s="1"/>
  <c r="KW113" i="6" a="1"/>
  <c r="KW113" i="6" s="1"/>
  <c r="KI113" i="6" a="1"/>
  <c r="KI113" i="6" s="1"/>
  <c r="KH113" i="6" a="1"/>
  <c r="KH113" i="6" s="1"/>
  <c r="KG113" i="6" a="1"/>
  <c r="KG113" i="6" s="1"/>
  <c r="KF113" i="6" a="1"/>
  <c r="KF113" i="6" s="1"/>
  <c r="KE113" i="6" a="1"/>
  <c r="KE113" i="6" s="1"/>
  <c r="JQ113" i="6" a="1"/>
  <c r="JQ113" i="6" s="1"/>
  <c r="JP113" i="6" a="1"/>
  <c r="JP113" i="6" s="1"/>
  <c r="JO113" i="6" a="1"/>
  <c r="JO113" i="6" s="1"/>
  <c r="JN113" i="6" a="1"/>
  <c r="JN113" i="6" s="1"/>
  <c r="JM113" i="6" a="1"/>
  <c r="JM113" i="6" s="1"/>
  <c r="IY113" i="6" a="1"/>
  <c r="IY113" i="6" s="1"/>
  <c r="IX113" i="6" a="1"/>
  <c r="IX113" i="6" s="1"/>
  <c r="IW113" i="6" a="1"/>
  <c r="IW113" i="6" s="1"/>
  <c r="IV113" i="6" a="1"/>
  <c r="IV113" i="6" s="1"/>
  <c r="IU113" i="6" a="1"/>
  <c r="IU113" i="6" s="1"/>
  <c r="IG113" i="6" a="1"/>
  <c r="IG113" i="6" s="1"/>
  <c r="IF113" i="6" a="1"/>
  <c r="IF113" i="6" s="1"/>
  <c r="IE113" i="6" a="1"/>
  <c r="IE113" i="6" s="1"/>
  <c r="ID113" i="6" a="1"/>
  <c r="ID113" i="6" s="1"/>
  <c r="IC113" i="6" a="1"/>
  <c r="IC113" i="6" s="1"/>
  <c r="HO113" i="6" a="1"/>
  <c r="HO113" i="6" s="1"/>
  <c r="HN113" i="6" a="1"/>
  <c r="HN113" i="6" s="1"/>
  <c r="HM113" i="6" a="1"/>
  <c r="HM113" i="6" s="1"/>
  <c r="HL113" i="6" a="1"/>
  <c r="HL113" i="6" s="1"/>
  <c r="HK113" i="6" a="1"/>
  <c r="HK113" i="6" s="1"/>
  <c r="GX113" i="6" a="1"/>
  <c r="GX113" i="6" s="1"/>
  <c r="GW113" i="6" a="1"/>
  <c r="GW113" i="6" s="1"/>
  <c r="GV113" i="6" a="1"/>
  <c r="GV113" i="6" s="1"/>
  <c r="GU113" i="6" a="1"/>
  <c r="GU113" i="6" s="1"/>
  <c r="GT113" i="6" a="1"/>
  <c r="GT113" i="6" s="1"/>
  <c r="GG113" i="6" a="1"/>
  <c r="GG113" i="6" s="1"/>
  <c r="GF113" i="6" a="1"/>
  <c r="GF113" i="6" s="1"/>
  <c r="GE113" i="6" a="1"/>
  <c r="GE113" i="6" s="1"/>
  <c r="GD113" i="6" a="1"/>
  <c r="GD113" i="6" s="1"/>
  <c r="GC113" i="6" a="1"/>
  <c r="GC113" i="6" s="1"/>
  <c r="FP113" i="6" a="1"/>
  <c r="FP113" i="6" s="1"/>
  <c r="FO113" i="6" a="1"/>
  <c r="FO113" i="6" s="1"/>
  <c r="FN113" i="6" a="1"/>
  <c r="FN113" i="6" s="1"/>
  <c r="FM113" i="6" a="1"/>
  <c r="FM113" i="6" s="1"/>
  <c r="FL113" i="6" a="1"/>
  <c r="FL113" i="6" s="1"/>
  <c r="EY113" i="6" a="1"/>
  <c r="EY113" i="6" s="1"/>
  <c r="EX113" i="6" a="1"/>
  <c r="EX113" i="6" s="1"/>
  <c r="EW113" i="6" a="1"/>
  <c r="EW113" i="6" s="1"/>
  <c r="EV113" i="6" a="1"/>
  <c r="EV113" i="6" s="1"/>
  <c r="EU113" i="6" a="1"/>
  <c r="EU113" i="6" s="1"/>
  <c r="EH113" i="6" a="1"/>
  <c r="EH113" i="6" s="1"/>
  <c r="EG113" i="6" a="1"/>
  <c r="EG113" i="6" s="1"/>
  <c r="EF113" i="6" a="1"/>
  <c r="EF113" i="6" s="1"/>
  <c r="EE113" i="6" a="1"/>
  <c r="EE113" i="6" s="1"/>
  <c r="ED113" i="6" a="1"/>
  <c r="ED113" i="6" s="1"/>
  <c r="DQ113" i="6" a="1"/>
  <c r="DQ113" i="6" s="1"/>
  <c r="DP113" i="6" a="1"/>
  <c r="DP113" i="6" s="1"/>
  <c r="DO113" i="6" a="1"/>
  <c r="DO113" i="6" s="1"/>
  <c r="DN113" i="6" a="1"/>
  <c r="DN113" i="6" s="1"/>
  <c r="DM113" i="6" a="1"/>
  <c r="DM113" i="6" s="1"/>
  <c r="DD113" i="6" a="1"/>
  <c r="DD113" i="6" s="1"/>
  <c r="CU113" i="6" a="1"/>
  <c r="CU113" i="6" s="1"/>
  <c r="CL113" i="6" a="1"/>
  <c r="CL113" i="6" s="1"/>
  <c r="BX113" i="6" a="1"/>
  <c r="BX113" i="6" s="1"/>
  <c r="BW113" i="6" a="1"/>
  <c r="BW113" i="6" s="1"/>
  <c r="BV113" i="6" a="1"/>
  <c r="BV113" i="6" s="1"/>
  <c r="BU113" i="6" a="1"/>
  <c r="BU113" i="6" s="1"/>
  <c r="BT113" i="6" a="1"/>
  <c r="BT113" i="6" s="1"/>
  <c r="BS113" i="6" a="1"/>
  <c r="BS113" i="6" s="1"/>
  <c r="BA113" i="6" a="1"/>
  <c r="BA113" i="6" s="1"/>
  <c r="AZ113" i="6" a="1"/>
  <c r="AZ113" i="6" s="1"/>
  <c r="AY113" i="6" a="1"/>
  <c r="AY113" i="6" s="1"/>
  <c r="AX113" i="6" a="1"/>
  <c r="AX113" i="6" s="1"/>
  <c r="AW113" i="6" a="1"/>
  <c r="AW113" i="6" s="1"/>
  <c r="AV113" i="6" a="1"/>
  <c r="AV113" i="6" s="1"/>
  <c r="AU113" i="6" a="1"/>
  <c r="AU113" i="6" s="1"/>
  <c r="AT113" i="6" a="1"/>
  <c r="AT113" i="6" s="1"/>
  <c r="AS113" i="6" a="1"/>
  <c r="AS113" i="6" s="1"/>
  <c r="AR113" i="6" a="1"/>
  <c r="AR113" i="6" s="1"/>
  <c r="AH113" i="6" a="1"/>
  <c r="AH113" i="6" s="1"/>
  <c r="AG113" i="6" a="1"/>
  <c r="AG113" i="6" s="1"/>
  <c r="V113" i="6" a="1"/>
  <c r="V113" i="6" s="1"/>
  <c r="U113" i="6" a="1"/>
  <c r="U113" i="6" s="1"/>
  <c r="J113" i="6" a="1"/>
  <c r="J113" i="6" s="1"/>
  <c r="I113" i="6" a="1"/>
  <c r="I113" i="6" s="1"/>
  <c r="ADA112" i="6" a="1"/>
  <c r="ADA112" i="6" s="1"/>
  <c r="ACZ112" i="6" a="1"/>
  <c r="ACZ112" i="6" s="1"/>
  <c r="ACY112" i="6" a="1"/>
  <c r="ACY112" i="6" s="1"/>
  <c r="ACN112" i="6" a="1"/>
  <c r="ACN112" i="6" s="1"/>
  <c r="ACM112" i="6" a="1"/>
  <c r="ACM112" i="6" s="1"/>
  <c r="ABU112" i="6" a="1"/>
  <c r="ABU112" i="6" s="1"/>
  <c r="ABX112" i="6" a="1"/>
  <c r="ABX112" i="6" s="1"/>
  <c r="ABV112" i="6" a="1"/>
  <c r="ABV112" i="6" s="1"/>
  <c r="ABH112" i="6" a="1"/>
  <c r="ABH112" i="6" s="1"/>
  <c r="ABG112" i="6" a="1"/>
  <c r="ABG112" i="6" s="1"/>
  <c r="ABF112" i="6" a="1"/>
  <c r="ABF112" i="6" s="1"/>
  <c r="ABE112" i="6" a="1"/>
  <c r="ABE112" i="6" s="1"/>
  <c r="ABD112" i="6" a="1"/>
  <c r="ABD112" i="6" s="1"/>
  <c r="ZR112" i="6" a="1"/>
  <c r="ZR112" i="6" s="1"/>
  <c r="ZE112" i="6" a="1"/>
  <c r="ZE112" i="6" s="1"/>
  <c r="ZD112" i="6" a="1"/>
  <c r="ZD112" i="6" s="1"/>
  <c r="ZC112" i="6" a="1"/>
  <c r="ZC112" i="6" s="1"/>
  <c r="ZB112" i="6" a="1"/>
  <c r="ZB112" i="6" s="1"/>
  <c r="ZA112" i="6" a="1"/>
  <c r="ZA112" i="6" s="1"/>
  <c r="YP112" i="6" a="1"/>
  <c r="YP112" i="6" s="1"/>
  <c r="YO112" i="6" a="1"/>
  <c r="YO112" i="6" s="1"/>
  <c r="YE112" i="6" a="1"/>
  <c r="YE112" i="6" s="1"/>
  <c r="YD112" i="6" a="1"/>
  <c r="YD112" i="6" s="1"/>
  <c r="XT112" i="6" a="1"/>
  <c r="XT112" i="6" s="1"/>
  <c r="XS112" i="6" a="1"/>
  <c r="XS112" i="6" s="1"/>
  <c r="XI112" i="6" a="1"/>
  <c r="XI112" i="6" s="1"/>
  <c r="XH112" i="6" a="1"/>
  <c r="XH112" i="6" s="1"/>
  <c r="WX112" i="6" a="1"/>
  <c r="WX112" i="6" s="1"/>
  <c r="WW112" i="6" a="1"/>
  <c r="WW112" i="6" s="1"/>
  <c r="WM112" i="6" a="1"/>
  <c r="WM112" i="6" s="1"/>
  <c r="WL112" i="6" a="1"/>
  <c r="WL112" i="6" s="1"/>
  <c r="WC112" i="6" a="1"/>
  <c r="WC112" i="6" s="1"/>
  <c r="VQ112" i="6" a="1"/>
  <c r="VQ112" i="6" s="1"/>
  <c r="VP112" i="6" a="1"/>
  <c r="VP112" i="6" s="1"/>
  <c r="VO112" i="6" a="1"/>
  <c r="VO112" i="6" s="1"/>
  <c r="VN112" i="6" a="1"/>
  <c r="VN112" i="6" s="1"/>
  <c r="VA112" i="6" a="1"/>
  <c r="VA112" i="6" s="1"/>
  <c r="UZ112" i="6" a="1"/>
  <c r="UZ112" i="6" s="1"/>
  <c r="UY112" i="6" a="1"/>
  <c r="UY112" i="6" s="1"/>
  <c r="UX112" i="6" a="1"/>
  <c r="UX112" i="6" s="1"/>
  <c r="UW112" i="6" a="1"/>
  <c r="UW112" i="6" s="1"/>
  <c r="UM112" i="6" a="1"/>
  <c r="UM112" i="6" s="1"/>
  <c r="TZ112" i="6" a="1"/>
  <c r="TZ112" i="6" s="1"/>
  <c r="TY112" i="6" a="1"/>
  <c r="TY112" i="6" s="1"/>
  <c r="TX112" i="6" a="1"/>
  <c r="TX112" i="6" s="1"/>
  <c r="TW112" i="6" a="1"/>
  <c r="TW112" i="6" s="1"/>
  <c r="TV112" i="6" a="1"/>
  <c r="TV112" i="6" s="1"/>
  <c r="TH112" i="6" a="1"/>
  <c r="TH112" i="6" s="1"/>
  <c r="TG112" i="6" a="1"/>
  <c r="TG112" i="6" s="1"/>
  <c r="TF112" i="6" a="1"/>
  <c r="TF112" i="6" s="1"/>
  <c r="TE112" i="6" a="1"/>
  <c r="TE112" i="6" s="1"/>
  <c r="TD112" i="6" a="1"/>
  <c r="TD112" i="6" s="1"/>
  <c r="SP112" i="6" a="1"/>
  <c r="SP112" i="6" s="1"/>
  <c r="SO112" i="6" a="1"/>
  <c r="SO112" i="6" s="1"/>
  <c r="SN112" i="6" a="1"/>
  <c r="SN112" i="6" s="1"/>
  <c r="SM112" i="6" a="1"/>
  <c r="SM112" i="6" s="1"/>
  <c r="SL112" i="6" a="1"/>
  <c r="SL112" i="6" s="1"/>
  <c r="RX112" i="6" a="1"/>
  <c r="RX112" i="6" s="1"/>
  <c r="RW112" i="6" a="1"/>
  <c r="RW112" i="6" s="1"/>
  <c r="RV112" i="6" a="1"/>
  <c r="RV112" i="6" s="1"/>
  <c r="RU112" i="6" a="1"/>
  <c r="RU112" i="6" s="1"/>
  <c r="RT112" i="6" a="1"/>
  <c r="RT112" i="6" s="1"/>
  <c r="RF112" i="6" a="1"/>
  <c r="RF112" i="6" s="1"/>
  <c r="RE112" i="6" a="1"/>
  <c r="RE112" i="6" s="1"/>
  <c r="RD112" i="6" a="1"/>
  <c r="RD112" i="6" s="1"/>
  <c r="RC112" i="6" a="1"/>
  <c r="RC112" i="6" s="1"/>
  <c r="RB112" i="6" a="1"/>
  <c r="RB112" i="6" s="1"/>
  <c r="QN112" i="6" a="1"/>
  <c r="QN112" i="6" s="1"/>
  <c r="QM112" i="6" a="1"/>
  <c r="QM112" i="6" s="1"/>
  <c r="QL112" i="6" a="1"/>
  <c r="QL112" i="6" s="1"/>
  <c r="QK112" i="6" a="1"/>
  <c r="QK112" i="6" s="1"/>
  <c r="QJ112" i="6" a="1"/>
  <c r="QJ112" i="6" s="1"/>
  <c r="PV112" i="6" a="1"/>
  <c r="PV112" i="6" s="1"/>
  <c r="PU112" i="6" a="1"/>
  <c r="PU112" i="6" s="1"/>
  <c r="PT112" i="6" a="1"/>
  <c r="PT112" i="6" s="1"/>
  <c r="PS112" i="6" a="1"/>
  <c r="PS112" i="6" s="1"/>
  <c r="PR112" i="6" a="1"/>
  <c r="PR112" i="6" s="1"/>
  <c r="PD112" i="6" a="1"/>
  <c r="PD112" i="6" s="1"/>
  <c r="PC112" i="6" a="1"/>
  <c r="PC112" i="6" s="1"/>
  <c r="PB112" i="6" a="1"/>
  <c r="PB112" i="6" s="1"/>
  <c r="PA112" i="6" a="1"/>
  <c r="PA112" i="6" s="1"/>
  <c r="OZ112" i="6" a="1"/>
  <c r="OZ112" i="6" s="1"/>
  <c r="OL112" i="6" a="1"/>
  <c r="OL112" i="6" s="1"/>
  <c r="OK112" i="6" a="1"/>
  <c r="OK112" i="6" s="1"/>
  <c r="OJ112" i="6" a="1"/>
  <c r="OJ112" i="6" s="1"/>
  <c r="OI112" i="6" a="1"/>
  <c r="OI112" i="6" s="1"/>
  <c r="OH112" i="6" a="1"/>
  <c r="OH112" i="6" s="1"/>
  <c r="NT112" i="6" a="1"/>
  <c r="NT112" i="6" s="1"/>
  <c r="NS112" i="6" a="1"/>
  <c r="NS112" i="6" s="1"/>
  <c r="NR112" i="6" a="1"/>
  <c r="NR112" i="6" s="1"/>
  <c r="NQ112" i="6" a="1"/>
  <c r="NQ112" i="6" s="1"/>
  <c r="NP112" i="6" a="1"/>
  <c r="NP112" i="6" s="1"/>
  <c r="NC112" i="6" a="1"/>
  <c r="NC112" i="6" s="1"/>
  <c r="NB112" i="6" a="1"/>
  <c r="NB112" i="6" s="1"/>
  <c r="NA112" i="6" a="1"/>
  <c r="NA112" i="6" s="1"/>
  <c r="MZ112" i="6" a="1"/>
  <c r="MZ112" i="6" s="1"/>
  <c r="MY112" i="6" a="1"/>
  <c r="MY112" i="6" s="1"/>
  <c r="MK112" i="6" a="1"/>
  <c r="MK112" i="6" s="1"/>
  <c r="MJ112" i="6" a="1"/>
  <c r="MJ112" i="6" s="1"/>
  <c r="MI112" i="6" a="1"/>
  <c r="MI112" i="6" s="1"/>
  <c r="MH112" i="6" a="1"/>
  <c r="MH112" i="6" s="1"/>
  <c r="MG112" i="6" a="1"/>
  <c r="MG112" i="6" s="1"/>
  <c r="LS112" i="6" a="1"/>
  <c r="LS112" i="6" s="1"/>
  <c r="LR112" i="6" a="1"/>
  <c r="LR112" i="6" s="1"/>
  <c r="LQ112" i="6" a="1"/>
  <c r="LQ112" i="6" s="1"/>
  <c r="LP112" i="6" a="1"/>
  <c r="LP112" i="6" s="1"/>
  <c r="LO112" i="6" a="1"/>
  <c r="LO112" i="6" s="1"/>
  <c r="LA112" i="6" a="1"/>
  <c r="LA112" i="6" s="1"/>
  <c r="KZ112" i="6" a="1"/>
  <c r="KZ112" i="6" s="1"/>
  <c r="KY112" i="6" a="1"/>
  <c r="KY112" i="6" s="1"/>
  <c r="KX112" i="6" a="1"/>
  <c r="KX112" i="6" s="1"/>
  <c r="KW112" i="6" a="1"/>
  <c r="KW112" i="6" s="1"/>
  <c r="KI112" i="6" a="1"/>
  <c r="KI112" i="6" s="1"/>
  <c r="KH112" i="6" a="1"/>
  <c r="KH112" i="6" s="1"/>
  <c r="KG112" i="6" a="1"/>
  <c r="KG112" i="6" s="1"/>
  <c r="KF112" i="6" a="1"/>
  <c r="KF112" i="6" s="1"/>
  <c r="KE112" i="6" a="1"/>
  <c r="KE112" i="6" s="1"/>
  <c r="JQ112" i="6" a="1"/>
  <c r="JQ112" i="6" s="1"/>
  <c r="JP112" i="6" a="1"/>
  <c r="JP112" i="6" s="1"/>
  <c r="JO112" i="6" a="1"/>
  <c r="JO112" i="6" s="1"/>
  <c r="JN112" i="6" a="1"/>
  <c r="JN112" i="6" s="1"/>
  <c r="JM112" i="6" a="1"/>
  <c r="JM112" i="6" s="1"/>
  <c r="IY112" i="6" a="1"/>
  <c r="IY112" i="6" s="1"/>
  <c r="IX112" i="6" a="1"/>
  <c r="IX112" i="6" s="1"/>
  <c r="IW112" i="6" a="1"/>
  <c r="IW112" i="6" s="1"/>
  <c r="IV112" i="6" a="1"/>
  <c r="IV112" i="6" s="1"/>
  <c r="IU112" i="6" a="1"/>
  <c r="IU112" i="6" s="1"/>
  <c r="IG112" i="6" a="1"/>
  <c r="IG112" i="6" s="1"/>
  <c r="IF112" i="6" a="1"/>
  <c r="IF112" i="6" s="1"/>
  <c r="IE112" i="6" a="1"/>
  <c r="IE112" i="6" s="1"/>
  <c r="ID112" i="6" a="1"/>
  <c r="ID112" i="6" s="1"/>
  <c r="IC112" i="6" a="1"/>
  <c r="IC112" i="6" s="1"/>
  <c r="HO112" i="6" a="1"/>
  <c r="HO112" i="6" s="1"/>
  <c r="HN112" i="6" a="1"/>
  <c r="HN112" i="6" s="1"/>
  <c r="HM112" i="6" a="1"/>
  <c r="HM112" i="6" s="1"/>
  <c r="HL112" i="6" a="1"/>
  <c r="HL112" i="6" s="1"/>
  <c r="HK112" i="6" a="1"/>
  <c r="HK112" i="6" s="1"/>
  <c r="GX112" i="6" a="1"/>
  <c r="GX112" i="6" s="1"/>
  <c r="GW112" i="6" a="1"/>
  <c r="GW112" i="6" s="1"/>
  <c r="GV112" i="6" a="1"/>
  <c r="GV112" i="6" s="1"/>
  <c r="GU112" i="6" a="1"/>
  <c r="GU112" i="6" s="1"/>
  <c r="GT112" i="6" a="1"/>
  <c r="GT112" i="6" s="1"/>
  <c r="GG112" i="6" a="1"/>
  <c r="GG112" i="6" s="1"/>
  <c r="GF112" i="6" a="1"/>
  <c r="GF112" i="6" s="1"/>
  <c r="GE112" i="6" a="1"/>
  <c r="GE112" i="6" s="1"/>
  <c r="GD112" i="6" a="1"/>
  <c r="GD112" i="6" s="1"/>
  <c r="GC112" i="6" a="1"/>
  <c r="GC112" i="6" s="1"/>
  <c r="FP112" i="6" a="1"/>
  <c r="FP112" i="6" s="1"/>
  <c r="FO112" i="6" a="1"/>
  <c r="FO112" i="6" s="1"/>
  <c r="FN112" i="6" a="1"/>
  <c r="FN112" i="6" s="1"/>
  <c r="FM112" i="6" a="1"/>
  <c r="FM112" i="6" s="1"/>
  <c r="FL112" i="6" a="1"/>
  <c r="FL112" i="6" s="1"/>
  <c r="EY112" i="6" a="1"/>
  <c r="EY112" i="6" s="1"/>
  <c r="EX112" i="6" a="1"/>
  <c r="EX112" i="6" s="1"/>
  <c r="EW112" i="6" a="1"/>
  <c r="EW112" i="6" s="1"/>
  <c r="EV112" i="6" a="1"/>
  <c r="EV112" i="6" s="1"/>
  <c r="EU112" i="6" a="1"/>
  <c r="EU112" i="6" s="1"/>
  <c r="EH112" i="6" a="1"/>
  <c r="EH112" i="6" s="1"/>
  <c r="EG112" i="6" a="1"/>
  <c r="EG112" i="6" s="1"/>
  <c r="EF112" i="6" a="1"/>
  <c r="EF112" i="6" s="1"/>
  <c r="EE112" i="6" a="1"/>
  <c r="EE112" i="6" s="1"/>
  <c r="ED112" i="6" a="1"/>
  <c r="ED112" i="6" s="1"/>
  <c r="DQ112" i="6" a="1"/>
  <c r="DQ112" i="6" s="1"/>
  <c r="DP112" i="6" a="1"/>
  <c r="DP112" i="6" s="1"/>
  <c r="DO112" i="6" a="1"/>
  <c r="DO112" i="6" s="1"/>
  <c r="DN112" i="6" a="1"/>
  <c r="DN112" i="6" s="1"/>
  <c r="DM112" i="6" a="1"/>
  <c r="DM112" i="6" s="1"/>
  <c r="DD112" i="6" a="1"/>
  <c r="DD112" i="6" s="1"/>
  <c r="CU112" i="6" a="1"/>
  <c r="CU112" i="6" s="1"/>
  <c r="CL112" i="6" a="1"/>
  <c r="CL112" i="6" s="1"/>
  <c r="BX112" i="6" a="1"/>
  <c r="BX112" i="6" s="1"/>
  <c r="BW112" i="6" a="1"/>
  <c r="BW112" i="6" s="1"/>
  <c r="BV112" i="6" a="1"/>
  <c r="BV112" i="6" s="1"/>
  <c r="BU112" i="6" a="1"/>
  <c r="BU112" i="6" s="1"/>
  <c r="BT112" i="6" a="1"/>
  <c r="BT112" i="6" s="1"/>
  <c r="BS112" i="6" a="1"/>
  <c r="BS112" i="6" s="1"/>
  <c r="BA112" i="6" a="1"/>
  <c r="BA112" i="6" s="1"/>
  <c r="AZ112" i="6" a="1"/>
  <c r="AZ112" i="6" s="1"/>
  <c r="AY112" i="6" a="1"/>
  <c r="AY112" i="6" s="1"/>
  <c r="AX112" i="6" a="1"/>
  <c r="AX112" i="6" s="1"/>
  <c r="AW112" i="6" a="1"/>
  <c r="AW112" i="6" s="1"/>
  <c r="AV112" i="6" a="1"/>
  <c r="AV112" i="6" s="1"/>
  <c r="AU112" i="6" a="1"/>
  <c r="AU112" i="6" s="1"/>
  <c r="AT112" i="6" a="1"/>
  <c r="AT112" i="6" s="1"/>
  <c r="AS112" i="6" a="1"/>
  <c r="AS112" i="6" s="1"/>
  <c r="AR112" i="6" a="1"/>
  <c r="AR112" i="6" s="1"/>
  <c r="AH112" i="6" a="1"/>
  <c r="AH112" i="6" s="1"/>
  <c r="AG112" i="6" a="1"/>
  <c r="AG112" i="6" s="1"/>
  <c r="V112" i="6" a="1"/>
  <c r="V112" i="6" s="1"/>
  <c r="U112" i="6" a="1"/>
  <c r="U112" i="6" s="1"/>
  <c r="J112" i="6" a="1"/>
  <c r="J112" i="6" s="1"/>
  <c r="I112" i="6" a="1"/>
  <c r="I112" i="6" s="1"/>
  <c r="ADA111" i="6" a="1"/>
  <c r="ADA111" i="6" s="1"/>
  <c r="ACZ111" i="6" a="1"/>
  <c r="ACZ111" i="6" s="1"/>
  <c r="ACY111" i="6" a="1"/>
  <c r="ACY111" i="6" s="1"/>
  <c r="ACN111" i="6" a="1"/>
  <c r="ACN111" i="6" s="1"/>
  <c r="ACM111" i="6" a="1"/>
  <c r="ACM111" i="6" s="1"/>
  <c r="ABU111" i="6" a="1"/>
  <c r="ABU111" i="6" s="1"/>
  <c r="ABX111" i="6" a="1"/>
  <c r="ABX111" i="6" s="1"/>
  <c r="ABV111" i="6" a="1"/>
  <c r="ABV111" i="6" s="1"/>
  <c r="ABH111" i="6" a="1"/>
  <c r="ABH111" i="6" s="1"/>
  <c r="ABG111" i="6" a="1"/>
  <c r="ABG111" i="6" s="1"/>
  <c r="ABF111" i="6" a="1"/>
  <c r="ABF111" i="6" s="1"/>
  <c r="ABE111" i="6" a="1"/>
  <c r="ABE111" i="6" s="1"/>
  <c r="ABD111" i="6" a="1"/>
  <c r="ABD111" i="6" s="1"/>
  <c r="ZR111" i="6" a="1"/>
  <c r="ZR111" i="6" s="1"/>
  <c r="ZE111" i="6" a="1"/>
  <c r="ZE111" i="6" s="1"/>
  <c r="ZD111" i="6" a="1"/>
  <c r="ZD111" i="6" s="1"/>
  <c r="ZC111" i="6" a="1"/>
  <c r="ZC111" i="6" s="1"/>
  <c r="ZB111" i="6" a="1"/>
  <c r="ZB111" i="6" s="1"/>
  <c r="ZA111" i="6" a="1"/>
  <c r="ZA111" i="6" s="1"/>
  <c r="YP111" i="6" a="1"/>
  <c r="YP111" i="6" s="1"/>
  <c r="YO111" i="6" a="1"/>
  <c r="YO111" i="6" s="1"/>
  <c r="YE111" i="6" a="1"/>
  <c r="YE111" i="6" s="1"/>
  <c r="YD111" i="6" a="1"/>
  <c r="YD111" i="6" s="1"/>
  <c r="XT111" i="6" a="1"/>
  <c r="XT111" i="6" s="1"/>
  <c r="XS111" i="6" a="1"/>
  <c r="XS111" i="6" s="1"/>
  <c r="XI111" i="6" a="1"/>
  <c r="XI111" i="6" s="1"/>
  <c r="XH111" i="6" a="1"/>
  <c r="XH111" i="6" s="1"/>
  <c r="WX111" i="6" a="1"/>
  <c r="WX111" i="6" s="1"/>
  <c r="WW111" i="6" a="1"/>
  <c r="WW111" i="6" s="1"/>
  <c r="WM111" i="6" a="1"/>
  <c r="WM111" i="6" s="1"/>
  <c r="WL111" i="6" a="1"/>
  <c r="WL111" i="6" s="1"/>
  <c r="WC111" i="6" a="1"/>
  <c r="WC111" i="6" s="1"/>
  <c r="VQ111" i="6" a="1"/>
  <c r="VQ111" i="6" s="1"/>
  <c r="VP111" i="6" a="1"/>
  <c r="VP111" i="6" s="1"/>
  <c r="VO111" i="6" a="1"/>
  <c r="VO111" i="6" s="1"/>
  <c r="VN111" i="6" a="1"/>
  <c r="VN111" i="6" s="1"/>
  <c r="VA111" i="6" a="1"/>
  <c r="VA111" i="6" s="1"/>
  <c r="UZ111" i="6" a="1"/>
  <c r="UZ111" i="6" s="1"/>
  <c r="UY111" i="6" a="1"/>
  <c r="UY111" i="6" s="1"/>
  <c r="UX111" i="6" a="1"/>
  <c r="UX111" i="6" s="1"/>
  <c r="UW111" i="6" a="1"/>
  <c r="UW111" i="6" s="1"/>
  <c r="UM111" i="6" a="1"/>
  <c r="UM111" i="6" s="1"/>
  <c r="TZ111" i="6" a="1"/>
  <c r="TZ111" i="6" s="1"/>
  <c r="TY111" i="6" a="1"/>
  <c r="TY111" i="6" s="1"/>
  <c r="TX111" i="6" a="1"/>
  <c r="TX111" i="6" s="1"/>
  <c r="TW111" i="6" a="1"/>
  <c r="TW111" i="6" s="1"/>
  <c r="TV111" i="6" a="1"/>
  <c r="TV111" i="6" s="1"/>
  <c r="TH111" i="6" a="1"/>
  <c r="TH111" i="6" s="1"/>
  <c r="TG111" i="6" a="1"/>
  <c r="TG111" i="6" s="1"/>
  <c r="TF111" i="6" a="1"/>
  <c r="TF111" i="6" s="1"/>
  <c r="TE111" i="6" a="1"/>
  <c r="TE111" i="6" s="1"/>
  <c r="TD111" i="6" a="1"/>
  <c r="TD111" i="6" s="1"/>
  <c r="SP111" i="6" a="1"/>
  <c r="SP111" i="6" s="1"/>
  <c r="SO111" i="6" a="1"/>
  <c r="SO111" i="6" s="1"/>
  <c r="SN111" i="6" a="1"/>
  <c r="SN111" i="6" s="1"/>
  <c r="SM111" i="6" a="1"/>
  <c r="SM111" i="6" s="1"/>
  <c r="SL111" i="6" a="1"/>
  <c r="SL111" i="6" s="1"/>
  <c r="RX111" i="6" a="1"/>
  <c r="RX111" i="6" s="1"/>
  <c r="RW111" i="6" a="1"/>
  <c r="RW111" i="6" s="1"/>
  <c r="RV111" i="6" a="1"/>
  <c r="RV111" i="6" s="1"/>
  <c r="RU111" i="6" a="1"/>
  <c r="RU111" i="6" s="1"/>
  <c r="RT111" i="6" a="1"/>
  <c r="RT111" i="6" s="1"/>
  <c r="RF111" i="6" a="1"/>
  <c r="RF111" i="6" s="1"/>
  <c r="RE111" i="6" a="1"/>
  <c r="RE111" i="6" s="1"/>
  <c r="RD111" i="6" a="1"/>
  <c r="RD111" i="6" s="1"/>
  <c r="RC111" i="6" a="1"/>
  <c r="RC111" i="6" s="1"/>
  <c r="RB111" i="6" a="1"/>
  <c r="RB111" i="6" s="1"/>
  <c r="QN111" i="6" a="1"/>
  <c r="QN111" i="6" s="1"/>
  <c r="QM111" i="6" a="1"/>
  <c r="QM111" i="6" s="1"/>
  <c r="QL111" i="6" a="1"/>
  <c r="QL111" i="6" s="1"/>
  <c r="QK111" i="6" a="1"/>
  <c r="QK111" i="6" s="1"/>
  <c r="QJ111" i="6" a="1"/>
  <c r="QJ111" i="6" s="1"/>
  <c r="PV111" i="6" a="1"/>
  <c r="PV111" i="6" s="1"/>
  <c r="PU111" i="6" a="1"/>
  <c r="PU111" i="6" s="1"/>
  <c r="PT111" i="6" a="1"/>
  <c r="PT111" i="6" s="1"/>
  <c r="PS111" i="6" a="1"/>
  <c r="PS111" i="6" s="1"/>
  <c r="PR111" i="6" a="1"/>
  <c r="PR111" i="6" s="1"/>
  <c r="PD111" i="6" a="1"/>
  <c r="PD111" i="6" s="1"/>
  <c r="PC111" i="6" a="1"/>
  <c r="PC111" i="6" s="1"/>
  <c r="PB111" i="6" a="1"/>
  <c r="PB111" i="6" s="1"/>
  <c r="PA111" i="6" a="1"/>
  <c r="PA111" i="6" s="1"/>
  <c r="OZ111" i="6" a="1"/>
  <c r="OZ111" i="6" s="1"/>
  <c r="OL111" i="6" a="1"/>
  <c r="OL111" i="6" s="1"/>
  <c r="OK111" i="6" a="1"/>
  <c r="OK111" i="6" s="1"/>
  <c r="OJ111" i="6" a="1"/>
  <c r="OJ111" i="6" s="1"/>
  <c r="OI111" i="6" a="1"/>
  <c r="OI111" i="6" s="1"/>
  <c r="OH111" i="6" a="1"/>
  <c r="OH111" i="6" s="1"/>
  <c r="NT111" i="6" a="1"/>
  <c r="NT111" i="6" s="1"/>
  <c r="NS111" i="6" a="1"/>
  <c r="NS111" i="6" s="1"/>
  <c r="NR111" i="6" a="1"/>
  <c r="NR111" i="6" s="1"/>
  <c r="NQ111" i="6" a="1"/>
  <c r="NQ111" i="6" s="1"/>
  <c r="NP111" i="6" a="1"/>
  <c r="NP111" i="6" s="1"/>
  <c r="NC111" i="6" a="1"/>
  <c r="NC111" i="6" s="1"/>
  <c r="NB111" i="6" a="1"/>
  <c r="NB111" i="6" s="1"/>
  <c r="NA111" i="6" a="1"/>
  <c r="NA111" i="6" s="1"/>
  <c r="MZ111" i="6" a="1"/>
  <c r="MZ111" i="6" s="1"/>
  <c r="MY111" i="6" a="1"/>
  <c r="MY111" i="6" s="1"/>
  <c r="MK111" i="6" a="1"/>
  <c r="MK111" i="6" s="1"/>
  <c r="MJ111" i="6" a="1"/>
  <c r="MJ111" i="6" s="1"/>
  <c r="MI111" i="6" a="1"/>
  <c r="MI111" i="6" s="1"/>
  <c r="MH111" i="6" a="1"/>
  <c r="MH111" i="6" s="1"/>
  <c r="MG111" i="6" a="1"/>
  <c r="MG111" i="6" s="1"/>
  <c r="LS111" i="6" a="1"/>
  <c r="LS111" i="6" s="1"/>
  <c r="LR111" i="6" a="1"/>
  <c r="LR111" i="6" s="1"/>
  <c r="LQ111" i="6" a="1"/>
  <c r="LQ111" i="6" s="1"/>
  <c r="LP111" i="6" a="1"/>
  <c r="LP111" i="6" s="1"/>
  <c r="LO111" i="6" a="1"/>
  <c r="LO111" i="6" s="1"/>
  <c r="LA111" i="6" a="1"/>
  <c r="LA111" i="6" s="1"/>
  <c r="KZ111" i="6" a="1"/>
  <c r="KZ111" i="6" s="1"/>
  <c r="KY111" i="6" a="1"/>
  <c r="KY111" i="6" s="1"/>
  <c r="KX111" i="6" a="1"/>
  <c r="KX111" i="6" s="1"/>
  <c r="KW111" i="6" a="1"/>
  <c r="KW111" i="6" s="1"/>
  <c r="KI111" i="6" a="1"/>
  <c r="KI111" i="6" s="1"/>
  <c r="KH111" i="6" a="1"/>
  <c r="KH111" i="6" s="1"/>
  <c r="KG111" i="6" a="1"/>
  <c r="KG111" i="6" s="1"/>
  <c r="KF111" i="6" a="1"/>
  <c r="KF111" i="6" s="1"/>
  <c r="KE111" i="6" a="1"/>
  <c r="KE111" i="6" s="1"/>
  <c r="JQ111" i="6" a="1"/>
  <c r="JQ111" i="6" s="1"/>
  <c r="JP111" i="6" a="1"/>
  <c r="JP111" i="6" s="1"/>
  <c r="JO111" i="6" a="1"/>
  <c r="JO111" i="6" s="1"/>
  <c r="JN111" i="6" a="1"/>
  <c r="JN111" i="6" s="1"/>
  <c r="JM111" i="6" a="1"/>
  <c r="JM111" i="6" s="1"/>
  <c r="IY111" i="6" a="1"/>
  <c r="IY111" i="6" s="1"/>
  <c r="IX111" i="6" a="1"/>
  <c r="IX111" i="6" s="1"/>
  <c r="IW111" i="6" a="1"/>
  <c r="IW111" i="6" s="1"/>
  <c r="IV111" i="6" a="1"/>
  <c r="IV111" i="6" s="1"/>
  <c r="IU111" i="6" a="1"/>
  <c r="IU111" i="6" s="1"/>
  <c r="IG111" i="6" a="1"/>
  <c r="IG111" i="6" s="1"/>
  <c r="IF111" i="6" a="1"/>
  <c r="IF111" i="6" s="1"/>
  <c r="IE111" i="6" a="1"/>
  <c r="IE111" i="6" s="1"/>
  <c r="ID111" i="6" a="1"/>
  <c r="ID111" i="6" s="1"/>
  <c r="IC111" i="6" a="1"/>
  <c r="IC111" i="6" s="1"/>
  <c r="HO111" i="6" a="1"/>
  <c r="HO111" i="6" s="1"/>
  <c r="HN111" i="6" a="1"/>
  <c r="HN111" i="6" s="1"/>
  <c r="HM111" i="6" a="1"/>
  <c r="HM111" i="6" s="1"/>
  <c r="HL111" i="6" a="1"/>
  <c r="HL111" i="6" s="1"/>
  <c r="HK111" i="6" a="1"/>
  <c r="HK111" i="6" s="1"/>
  <c r="GX111" i="6" a="1"/>
  <c r="GX111" i="6" s="1"/>
  <c r="GW111" i="6" a="1"/>
  <c r="GW111" i="6" s="1"/>
  <c r="GV111" i="6" a="1"/>
  <c r="GV111" i="6" s="1"/>
  <c r="GU111" i="6" a="1"/>
  <c r="GU111" i="6" s="1"/>
  <c r="GT111" i="6" a="1"/>
  <c r="GT111" i="6" s="1"/>
  <c r="GG111" i="6" a="1"/>
  <c r="GG111" i="6" s="1"/>
  <c r="GF111" i="6" a="1"/>
  <c r="GF111" i="6" s="1"/>
  <c r="GE111" i="6" a="1"/>
  <c r="GE111" i="6" s="1"/>
  <c r="GD111" i="6" a="1"/>
  <c r="GD111" i="6" s="1"/>
  <c r="GC111" i="6" a="1"/>
  <c r="GC111" i="6" s="1"/>
  <c r="FP111" i="6" a="1"/>
  <c r="FP111" i="6" s="1"/>
  <c r="FO111" i="6" a="1"/>
  <c r="FO111" i="6" s="1"/>
  <c r="FN111" i="6" a="1"/>
  <c r="FN111" i="6" s="1"/>
  <c r="FM111" i="6" a="1"/>
  <c r="FM111" i="6" s="1"/>
  <c r="FL111" i="6" a="1"/>
  <c r="FL111" i="6" s="1"/>
  <c r="EY111" i="6" a="1"/>
  <c r="EY111" i="6" s="1"/>
  <c r="EX111" i="6" a="1"/>
  <c r="EX111" i="6" s="1"/>
  <c r="EW111" i="6" a="1"/>
  <c r="EW111" i="6" s="1"/>
  <c r="EV111" i="6" a="1"/>
  <c r="EV111" i="6" s="1"/>
  <c r="EU111" i="6" a="1"/>
  <c r="EU111" i="6" s="1"/>
  <c r="EH111" i="6" a="1"/>
  <c r="EH111" i="6" s="1"/>
  <c r="EG111" i="6" a="1"/>
  <c r="EG111" i="6" s="1"/>
  <c r="EF111" i="6" a="1"/>
  <c r="EF111" i="6" s="1"/>
  <c r="EE111" i="6" a="1"/>
  <c r="EE111" i="6" s="1"/>
  <c r="ED111" i="6" a="1"/>
  <c r="ED111" i="6" s="1"/>
  <c r="DQ111" i="6" a="1"/>
  <c r="DQ111" i="6" s="1"/>
  <c r="DP111" i="6" a="1"/>
  <c r="DP111" i="6" s="1"/>
  <c r="DO111" i="6" a="1"/>
  <c r="DO111" i="6" s="1"/>
  <c r="DN111" i="6" a="1"/>
  <c r="DN111" i="6" s="1"/>
  <c r="DM111" i="6" a="1"/>
  <c r="DM111" i="6" s="1"/>
  <c r="DD111" i="6" a="1"/>
  <c r="DD111" i="6" s="1"/>
  <c r="CU111" i="6" a="1"/>
  <c r="CU111" i="6" s="1"/>
  <c r="CL111" i="6" a="1"/>
  <c r="CL111" i="6" s="1"/>
  <c r="BX111" i="6" a="1"/>
  <c r="BX111" i="6" s="1"/>
  <c r="BW111" i="6" a="1"/>
  <c r="BW111" i="6" s="1"/>
  <c r="BV111" i="6" a="1"/>
  <c r="BV111" i="6" s="1"/>
  <c r="BU111" i="6" a="1"/>
  <c r="BU111" i="6" s="1"/>
  <c r="BT111" i="6" a="1"/>
  <c r="BT111" i="6" s="1"/>
  <c r="BS111" i="6" a="1"/>
  <c r="BS111" i="6" s="1"/>
  <c r="BA111" i="6" a="1"/>
  <c r="BA111" i="6" s="1"/>
  <c r="AZ111" i="6" a="1"/>
  <c r="AZ111" i="6" s="1"/>
  <c r="AY111" i="6" a="1"/>
  <c r="AY111" i="6" s="1"/>
  <c r="AX111" i="6" a="1"/>
  <c r="AX111" i="6" s="1"/>
  <c r="AW111" i="6" a="1"/>
  <c r="AW111" i="6" s="1"/>
  <c r="AV111" i="6" a="1"/>
  <c r="AV111" i="6" s="1"/>
  <c r="AU111" i="6" a="1"/>
  <c r="AU111" i="6" s="1"/>
  <c r="AT111" i="6" a="1"/>
  <c r="AT111" i="6" s="1"/>
  <c r="AS111" i="6" a="1"/>
  <c r="AS111" i="6" s="1"/>
  <c r="AR111" i="6" a="1"/>
  <c r="AR111" i="6" s="1"/>
  <c r="AH111" i="6" a="1"/>
  <c r="AH111" i="6" s="1"/>
  <c r="AG111" i="6" a="1"/>
  <c r="AG111" i="6" s="1"/>
  <c r="V111" i="6" a="1"/>
  <c r="V111" i="6" s="1"/>
  <c r="U111" i="6" a="1"/>
  <c r="U111" i="6" s="1"/>
  <c r="J111" i="6" a="1"/>
  <c r="J111" i="6" s="1"/>
  <c r="I111" i="6" a="1"/>
  <c r="I111" i="6" s="1"/>
  <c r="ADA110" i="6" a="1"/>
  <c r="ADA110" i="6" s="1"/>
  <c r="ACZ110" i="6" a="1"/>
  <c r="ACZ110" i="6" s="1"/>
  <c r="ACY110" i="6" a="1"/>
  <c r="ACY110" i="6" s="1"/>
  <c r="ACN110" i="6" a="1"/>
  <c r="ACN110" i="6" s="1"/>
  <c r="ACM110" i="6" a="1"/>
  <c r="ACM110" i="6" s="1"/>
  <c r="ABU110" i="6" a="1"/>
  <c r="ABU110" i="6" s="1"/>
  <c r="ABX110" i="6" a="1"/>
  <c r="ABX110" i="6" s="1"/>
  <c r="ABV110" i="6" a="1"/>
  <c r="ABV110" i="6" s="1"/>
  <c r="ABH110" i="6" a="1"/>
  <c r="ABH110" i="6" s="1"/>
  <c r="ABG110" i="6" a="1"/>
  <c r="ABG110" i="6" s="1"/>
  <c r="ABF110" i="6" a="1"/>
  <c r="ABF110" i="6" s="1"/>
  <c r="ABE110" i="6" a="1"/>
  <c r="ABE110" i="6" s="1"/>
  <c r="ABD110" i="6" a="1"/>
  <c r="ABD110" i="6" s="1"/>
  <c r="ZR110" i="6" a="1"/>
  <c r="ZR110" i="6" s="1"/>
  <c r="ZE110" i="6" a="1"/>
  <c r="ZE110" i="6" s="1"/>
  <c r="ZD110" i="6" a="1"/>
  <c r="ZD110" i="6" s="1"/>
  <c r="ZC110" i="6" a="1"/>
  <c r="ZC110" i="6" s="1"/>
  <c r="ZB110" i="6" a="1"/>
  <c r="ZB110" i="6" s="1"/>
  <c r="ZA110" i="6" a="1"/>
  <c r="ZA110" i="6" s="1"/>
  <c r="YP110" i="6" a="1"/>
  <c r="YP110" i="6" s="1"/>
  <c r="YO110" i="6" a="1"/>
  <c r="YO110" i="6" s="1"/>
  <c r="YE110" i="6" a="1"/>
  <c r="YE110" i="6" s="1"/>
  <c r="YD110" i="6" a="1"/>
  <c r="YD110" i="6" s="1"/>
  <c r="XT110" i="6" a="1"/>
  <c r="XT110" i="6" s="1"/>
  <c r="XS110" i="6" a="1"/>
  <c r="XS110" i="6" s="1"/>
  <c r="XI110" i="6" a="1"/>
  <c r="XI110" i="6" s="1"/>
  <c r="XH110" i="6" a="1"/>
  <c r="XH110" i="6" s="1"/>
  <c r="WX110" i="6" a="1"/>
  <c r="WX110" i="6" s="1"/>
  <c r="WW110" i="6" a="1"/>
  <c r="WW110" i="6" s="1"/>
  <c r="WM110" i="6" a="1"/>
  <c r="WM110" i="6" s="1"/>
  <c r="WL110" i="6" a="1"/>
  <c r="WL110" i="6" s="1"/>
  <c r="WC110" i="6" a="1"/>
  <c r="WC110" i="6" s="1"/>
  <c r="VQ110" i="6" a="1"/>
  <c r="VQ110" i="6" s="1"/>
  <c r="VP110" i="6" a="1"/>
  <c r="VP110" i="6" s="1"/>
  <c r="VO110" i="6" a="1"/>
  <c r="VO110" i="6" s="1"/>
  <c r="VN110" i="6" a="1"/>
  <c r="VN110" i="6" s="1"/>
  <c r="VA110" i="6" a="1"/>
  <c r="VA110" i="6" s="1"/>
  <c r="UZ110" i="6" a="1"/>
  <c r="UZ110" i="6" s="1"/>
  <c r="UY110" i="6" a="1"/>
  <c r="UY110" i="6" s="1"/>
  <c r="UX110" i="6" a="1"/>
  <c r="UX110" i="6" s="1"/>
  <c r="UW110" i="6" a="1"/>
  <c r="UW110" i="6" s="1"/>
  <c r="UM110" i="6" a="1"/>
  <c r="UM110" i="6" s="1"/>
  <c r="TZ110" i="6" a="1"/>
  <c r="TZ110" i="6" s="1"/>
  <c r="TY110" i="6" a="1"/>
  <c r="TY110" i="6" s="1"/>
  <c r="TX110" i="6" a="1"/>
  <c r="TX110" i="6" s="1"/>
  <c r="TW110" i="6" a="1"/>
  <c r="TW110" i="6" s="1"/>
  <c r="TV110" i="6" a="1"/>
  <c r="TV110" i="6" s="1"/>
  <c r="TH110" i="6" a="1"/>
  <c r="TH110" i="6" s="1"/>
  <c r="TG110" i="6" a="1"/>
  <c r="TG110" i="6" s="1"/>
  <c r="TF110" i="6" a="1"/>
  <c r="TF110" i="6" s="1"/>
  <c r="TE110" i="6" a="1"/>
  <c r="TE110" i="6" s="1"/>
  <c r="TD110" i="6" a="1"/>
  <c r="TD110" i="6" s="1"/>
  <c r="SP110" i="6" a="1"/>
  <c r="SP110" i="6" s="1"/>
  <c r="SO110" i="6" a="1"/>
  <c r="SO110" i="6" s="1"/>
  <c r="SN110" i="6" a="1"/>
  <c r="SN110" i="6" s="1"/>
  <c r="SM110" i="6" a="1"/>
  <c r="SM110" i="6" s="1"/>
  <c r="SL110" i="6" a="1"/>
  <c r="SL110" i="6" s="1"/>
  <c r="RX110" i="6" a="1"/>
  <c r="RX110" i="6" s="1"/>
  <c r="RW110" i="6" a="1"/>
  <c r="RW110" i="6" s="1"/>
  <c r="RV110" i="6" a="1"/>
  <c r="RV110" i="6" s="1"/>
  <c r="RU110" i="6" a="1"/>
  <c r="RU110" i="6" s="1"/>
  <c r="RT110" i="6" a="1"/>
  <c r="RT110" i="6" s="1"/>
  <c r="RF110" i="6" a="1"/>
  <c r="RF110" i="6" s="1"/>
  <c r="RE110" i="6" a="1"/>
  <c r="RE110" i="6" s="1"/>
  <c r="RD110" i="6" a="1"/>
  <c r="RD110" i="6" s="1"/>
  <c r="RC110" i="6" a="1"/>
  <c r="RC110" i="6" s="1"/>
  <c r="RB110" i="6" a="1"/>
  <c r="RB110" i="6" s="1"/>
  <c r="QN110" i="6" a="1"/>
  <c r="QN110" i="6" s="1"/>
  <c r="QM110" i="6" a="1"/>
  <c r="QM110" i="6" s="1"/>
  <c r="QL110" i="6" a="1"/>
  <c r="QL110" i="6" s="1"/>
  <c r="QK110" i="6" a="1"/>
  <c r="QK110" i="6" s="1"/>
  <c r="QJ110" i="6" a="1"/>
  <c r="QJ110" i="6" s="1"/>
  <c r="PV110" i="6" a="1"/>
  <c r="PV110" i="6" s="1"/>
  <c r="PU110" i="6" a="1"/>
  <c r="PU110" i="6" s="1"/>
  <c r="PT110" i="6" a="1"/>
  <c r="PT110" i="6" s="1"/>
  <c r="PS110" i="6" a="1"/>
  <c r="PS110" i="6" s="1"/>
  <c r="PR110" i="6" a="1"/>
  <c r="PR110" i="6" s="1"/>
  <c r="PD110" i="6" a="1"/>
  <c r="PD110" i="6" s="1"/>
  <c r="PC110" i="6" a="1"/>
  <c r="PC110" i="6" s="1"/>
  <c r="PB110" i="6" a="1"/>
  <c r="PB110" i="6" s="1"/>
  <c r="PA110" i="6" a="1"/>
  <c r="PA110" i="6" s="1"/>
  <c r="OZ110" i="6" a="1"/>
  <c r="OZ110" i="6" s="1"/>
  <c r="OL110" i="6" a="1"/>
  <c r="OL110" i="6" s="1"/>
  <c r="OK110" i="6" a="1"/>
  <c r="OK110" i="6" s="1"/>
  <c r="OJ110" i="6" a="1"/>
  <c r="OJ110" i="6" s="1"/>
  <c r="OI110" i="6" a="1"/>
  <c r="OI110" i="6" s="1"/>
  <c r="OH110" i="6" a="1"/>
  <c r="OH110" i="6" s="1"/>
  <c r="NT110" i="6" a="1"/>
  <c r="NT110" i="6" s="1"/>
  <c r="NS110" i="6" a="1"/>
  <c r="NS110" i="6" s="1"/>
  <c r="NR110" i="6" a="1"/>
  <c r="NR110" i="6" s="1"/>
  <c r="NQ110" i="6" a="1"/>
  <c r="NQ110" i="6" s="1"/>
  <c r="NP110" i="6" a="1"/>
  <c r="NP110" i="6" s="1"/>
  <c r="NC110" i="6" a="1"/>
  <c r="NC110" i="6" s="1"/>
  <c r="NB110" i="6" a="1"/>
  <c r="NB110" i="6" s="1"/>
  <c r="NA110" i="6" a="1"/>
  <c r="NA110" i="6" s="1"/>
  <c r="MZ110" i="6" a="1"/>
  <c r="MZ110" i="6" s="1"/>
  <c r="MY110" i="6" a="1"/>
  <c r="MY110" i="6" s="1"/>
  <c r="MK110" i="6" a="1"/>
  <c r="MK110" i="6" s="1"/>
  <c r="MJ110" i="6" a="1"/>
  <c r="MJ110" i="6" s="1"/>
  <c r="MI110" i="6" a="1"/>
  <c r="MI110" i="6" s="1"/>
  <c r="MH110" i="6" a="1"/>
  <c r="MH110" i="6" s="1"/>
  <c r="MG110" i="6" a="1"/>
  <c r="MG110" i="6" s="1"/>
  <c r="LS110" i="6" a="1"/>
  <c r="LS110" i="6" s="1"/>
  <c r="LR110" i="6" a="1"/>
  <c r="LR110" i="6" s="1"/>
  <c r="LQ110" i="6" a="1"/>
  <c r="LQ110" i="6" s="1"/>
  <c r="LP110" i="6" a="1"/>
  <c r="LP110" i="6" s="1"/>
  <c r="LO110" i="6" a="1"/>
  <c r="LO110" i="6" s="1"/>
  <c r="LA110" i="6" a="1"/>
  <c r="LA110" i="6" s="1"/>
  <c r="KZ110" i="6" a="1"/>
  <c r="KZ110" i="6" s="1"/>
  <c r="KY110" i="6" a="1"/>
  <c r="KY110" i="6" s="1"/>
  <c r="KX110" i="6" a="1"/>
  <c r="KX110" i="6" s="1"/>
  <c r="KW110" i="6" a="1"/>
  <c r="KW110" i="6" s="1"/>
  <c r="KI110" i="6" a="1"/>
  <c r="KI110" i="6" s="1"/>
  <c r="KH110" i="6" a="1"/>
  <c r="KH110" i="6" s="1"/>
  <c r="KG110" i="6" a="1"/>
  <c r="KG110" i="6" s="1"/>
  <c r="KF110" i="6" a="1"/>
  <c r="KF110" i="6" s="1"/>
  <c r="KE110" i="6" a="1"/>
  <c r="KE110" i="6" s="1"/>
  <c r="JQ110" i="6" a="1"/>
  <c r="JQ110" i="6" s="1"/>
  <c r="JP110" i="6" a="1"/>
  <c r="JP110" i="6" s="1"/>
  <c r="JO110" i="6" a="1"/>
  <c r="JO110" i="6" s="1"/>
  <c r="JN110" i="6" a="1"/>
  <c r="JN110" i="6" s="1"/>
  <c r="JM110" i="6" a="1"/>
  <c r="JM110" i="6" s="1"/>
  <c r="IY110" i="6" a="1"/>
  <c r="IY110" i="6" s="1"/>
  <c r="IX110" i="6" a="1"/>
  <c r="IX110" i="6" s="1"/>
  <c r="IW110" i="6" a="1"/>
  <c r="IW110" i="6" s="1"/>
  <c r="IV110" i="6" a="1"/>
  <c r="IV110" i="6" s="1"/>
  <c r="IU110" i="6" a="1"/>
  <c r="IU110" i="6" s="1"/>
  <c r="IG110" i="6" a="1"/>
  <c r="IG110" i="6" s="1"/>
  <c r="IF110" i="6" a="1"/>
  <c r="IF110" i="6" s="1"/>
  <c r="IE110" i="6" a="1"/>
  <c r="IE110" i="6" s="1"/>
  <c r="ID110" i="6" a="1"/>
  <c r="ID110" i="6" s="1"/>
  <c r="IC110" i="6" a="1"/>
  <c r="IC110" i="6" s="1"/>
  <c r="HO110" i="6" a="1"/>
  <c r="HO110" i="6" s="1"/>
  <c r="HN110" i="6" a="1"/>
  <c r="HN110" i="6" s="1"/>
  <c r="HM110" i="6" a="1"/>
  <c r="HM110" i="6" s="1"/>
  <c r="HL110" i="6" a="1"/>
  <c r="HL110" i="6" s="1"/>
  <c r="HK110" i="6" a="1"/>
  <c r="HK110" i="6" s="1"/>
  <c r="GX110" i="6" a="1"/>
  <c r="GX110" i="6" s="1"/>
  <c r="GW110" i="6" a="1"/>
  <c r="GW110" i="6" s="1"/>
  <c r="GV110" i="6" a="1"/>
  <c r="GV110" i="6" s="1"/>
  <c r="GU110" i="6" a="1"/>
  <c r="GU110" i="6" s="1"/>
  <c r="GT110" i="6" a="1"/>
  <c r="GT110" i="6" s="1"/>
  <c r="GG110" i="6" a="1"/>
  <c r="GG110" i="6" s="1"/>
  <c r="GF110" i="6" a="1"/>
  <c r="GF110" i="6" s="1"/>
  <c r="GE110" i="6" a="1"/>
  <c r="GE110" i="6" s="1"/>
  <c r="GD110" i="6" a="1"/>
  <c r="GD110" i="6" s="1"/>
  <c r="GC110" i="6" a="1"/>
  <c r="GC110" i="6" s="1"/>
  <c r="FP110" i="6" a="1"/>
  <c r="FP110" i="6" s="1"/>
  <c r="FO110" i="6" a="1"/>
  <c r="FO110" i="6" s="1"/>
  <c r="FN110" i="6" a="1"/>
  <c r="FN110" i="6" s="1"/>
  <c r="FM110" i="6" a="1"/>
  <c r="FM110" i="6" s="1"/>
  <c r="FL110" i="6" a="1"/>
  <c r="FL110" i="6" s="1"/>
  <c r="EY110" i="6" a="1"/>
  <c r="EY110" i="6" s="1"/>
  <c r="EX110" i="6" a="1"/>
  <c r="EX110" i="6" s="1"/>
  <c r="EW110" i="6" a="1"/>
  <c r="EW110" i="6" s="1"/>
  <c r="EV110" i="6" a="1"/>
  <c r="EV110" i="6" s="1"/>
  <c r="EU110" i="6" a="1"/>
  <c r="EU110" i="6" s="1"/>
  <c r="EH110" i="6" a="1"/>
  <c r="EH110" i="6" s="1"/>
  <c r="EG110" i="6" a="1"/>
  <c r="EG110" i="6" s="1"/>
  <c r="EF110" i="6" a="1"/>
  <c r="EF110" i="6" s="1"/>
  <c r="EE110" i="6" a="1"/>
  <c r="EE110" i="6" s="1"/>
  <c r="ED110" i="6" a="1"/>
  <c r="ED110" i="6" s="1"/>
  <c r="DQ110" i="6" a="1"/>
  <c r="DQ110" i="6" s="1"/>
  <c r="DP110" i="6" a="1"/>
  <c r="DP110" i="6" s="1"/>
  <c r="DO110" i="6" a="1"/>
  <c r="DO110" i="6" s="1"/>
  <c r="DN110" i="6" a="1"/>
  <c r="DN110" i="6" s="1"/>
  <c r="DM110" i="6" a="1"/>
  <c r="DM110" i="6" s="1"/>
  <c r="DD110" i="6" a="1"/>
  <c r="DD110" i="6" s="1"/>
  <c r="CU110" i="6" a="1"/>
  <c r="CU110" i="6" s="1"/>
  <c r="CL110" i="6" a="1"/>
  <c r="CL110" i="6" s="1"/>
  <c r="BX110" i="6" a="1"/>
  <c r="BX110" i="6" s="1"/>
  <c r="BW110" i="6" a="1"/>
  <c r="BW110" i="6" s="1"/>
  <c r="BV110" i="6" a="1"/>
  <c r="BV110" i="6" s="1"/>
  <c r="BU110" i="6" a="1"/>
  <c r="BU110" i="6" s="1"/>
  <c r="BT110" i="6" a="1"/>
  <c r="BT110" i="6" s="1"/>
  <c r="BS110" i="6" a="1"/>
  <c r="BS110" i="6" s="1"/>
  <c r="BA110" i="6" a="1"/>
  <c r="BA110" i="6" s="1"/>
  <c r="AZ110" i="6" a="1"/>
  <c r="AZ110" i="6" s="1"/>
  <c r="AY110" i="6" a="1"/>
  <c r="AY110" i="6" s="1"/>
  <c r="AX110" i="6" a="1"/>
  <c r="AX110" i="6" s="1"/>
  <c r="AW110" i="6" a="1"/>
  <c r="AW110" i="6" s="1"/>
  <c r="AV110" i="6" a="1"/>
  <c r="AV110" i="6" s="1"/>
  <c r="AU110" i="6" a="1"/>
  <c r="AU110" i="6" s="1"/>
  <c r="AT110" i="6" a="1"/>
  <c r="AT110" i="6" s="1"/>
  <c r="AS110" i="6" a="1"/>
  <c r="AS110" i="6" s="1"/>
  <c r="AR110" i="6" a="1"/>
  <c r="AR110" i="6" s="1"/>
  <c r="AH110" i="6" a="1"/>
  <c r="AH110" i="6" s="1"/>
  <c r="AG110" i="6" a="1"/>
  <c r="AG110" i="6" s="1"/>
  <c r="V110" i="6" a="1"/>
  <c r="V110" i="6" s="1"/>
  <c r="U110" i="6" a="1"/>
  <c r="U110" i="6" s="1"/>
  <c r="J110" i="6" a="1"/>
  <c r="J110" i="6" s="1"/>
  <c r="I110" i="6" a="1"/>
  <c r="I110" i="6" s="1"/>
  <c r="ADA109" i="6" a="1"/>
  <c r="ADA109" i="6" s="1"/>
  <c r="ACZ109" i="6" a="1"/>
  <c r="ACZ109" i="6" s="1"/>
  <c r="ACY109" i="6" a="1"/>
  <c r="ACY109" i="6" s="1"/>
  <c r="ACN109" i="6" a="1"/>
  <c r="ACN109" i="6" s="1"/>
  <c r="ACM109" i="6" a="1"/>
  <c r="ACM109" i="6" s="1"/>
  <c r="ABU109" i="6" a="1"/>
  <c r="ABU109" i="6" s="1"/>
  <c r="ABX109" i="6" a="1"/>
  <c r="ABX109" i="6" s="1"/>
  <c r="ABV109" i="6" a="1"/>
  <c r="ABV109" i="6" s="1"/>
  <c r="ABH109" i="6" a="1"/>
  <c r="ABH109" i="6" s="1"/>
  <c r="ABG109" i="6" a="1"/>
  <c r="ABG109" i="6" s="1"/>
  <c r="ABF109" i="6" a="1"/>
  <c r="ABF109" i="6" s="1"/>
  <c r="ABE109" i="6" a="1"/>
  <c r="ABE109" i="6" s="1"/>
  <c r="ABD109" i="6" a="1"/>
  <c r="ABD109" i="6" s="1"/>
  <c r="ZR109" i="6" a="1"/>
  <c r="ZR109" i="6" s="1"/>
  <c r="ZE109" i="6" a="1"/>
  <c r="ZE109" i="6" s="1"/>
  <c r="ZD109" i="6" a="1"/>
  <c r="ZD109" i="6" s="1"/>
  <c r="ZC109" i="6" a="1"/>
  <c r="ZC109" i="6" s="1"/>
  <c r="ZB109" i="6" a="1"/>
  <c r="ZB109" i="6" s="1"/>
  <c r="ZA109" i="6" a="1"/>
  <c r="ZA109" i="6" s="1"/>
  <c r="YP109" i="6" a="1"/>
  <c r="YP109" i="6" s="1"/>
  <c r="YO109" i="6" a="1"/>
  <c r="YO109" i="6" s="1"/>
  <c r="YE109" i="6" a="1"/>
  <c r="YE109" i="6" s="1"/>
  <c r="YD109" i="6" a="1"/>
  <c r="YD109" i="6" s="1"/>
  <c r="XT109" i="6" a="1"/>
  <c r="XT109" i="6" s="1"/>
  <c r="XS109" i="6" a="1"/>
  <c r="XS109" i="6" s="1"/>
  <c r="XI109" i="6" a="1"/>
  <c r="XI109" i="6" s="1"/>
  <c r="XH109" i="6" a="1"/>
  <c r="XH109" i="6" s="1"/>
  <c r="WX109" i="6" a="1"/>
  <c r="WX109" i="6" s="1"/>
  <c r="WW109" i="6" a="1"/>
  <c r="WW109" i="6" s="1"/>
  <c r="WM109" i="6" a="1"/>
  <c r="WM109" i="6" s="1"/>
  <c r="WL109" i="6" a="1"/>
  <c r="WL109" i="6" s="1"/>
  <c r="WC109" i="6" a="1"/>
  <c r="WC109" i="6" s="1"/>
  <c r="VQ109" i="6" a="1"/>
  <c r="VQ109" i="6" s="1"/>
  <c r="VP109" i="6" a="1"/>
  <c r="VP109" i="6" s="1"/>
  <c r="VO109" i="6" a="1"/>
  <c r="VO109" i="6" s="1"/>
  <c r="VN109" i="6" a="1"/>
  <c r="VN109" i="6" s="1"/>
  <c r="VA109" i="6" a="1"/>
  <c r="VA109" i="6" s="1"/>
  <c r="UZ109" i="6" a="1"/>
  <c r="UZ109" i="6" s="1"/>
  <c r="UY109" i="6" a="1"/>
  <c r="UY109" i="6" s="1"/>
  <c r="UX109" i="6" a="1"/>
  <c r="UX109" i="6" s="1"/>
  <c r="UW109" i="6" a="1"/>
  <c r="UW109" i="6" s="1"/>
  <c r="UM109" i="6" a="1"/>
  <c r="UM109" i="6" s="1"/>
  <c r="TZ109" i="6" a="1"/>
  <c r="TZ109" i="6" s="1"/>
  <c r="TY109" i="6" a="1"/>
  <c r="TY109" i="6" s="1"/>
  <c r="TX109" i="6" a="1"/>
  <c r="TX109" i="6" s="1"/>
  <c r="TW109" i="6" a="1"/>
  <c r="TW109" i="6" s="1"/>
  <c r="TV109" i="6" a="1"/>
  <c r="TV109" i="6" s="1"/>
  <c r="TH109" i="6" a="1"/>
  <c r="TH109" i="6" s="1"/>
  <c r="TG109" i="6" a="1"/>
  <c r="TG109" i="6" s="1"/>
  <c r="TF109" i="6" a="1"/>
  <c r="TF109" i="6" s="1"/>
  <c r="TE109" i="6" a="1"/>
  <c r="TE109" i="6" s="1"/>
  <c r="TD109" i="6" a="1"/>
  <c r="TD109" i="6" s="1"/>
  <c r="SP109" i="6" a="1"/>
  <c r="SP109" i="6" s="1"/>
  <c r="SO109" i="6" a="1"/>
  <c r="SO109" i="6" s="1"/>
  <c r="SN109" i="6" a="1"/>
  <c r="SN109" i="6" s="1"/>
  <c r="SM109" i="6" a="1"/>
  <c r="SM109" i="6" s="1"/>
  <c r="SL109" i="6" a="1"/>
  <c r="SL109" i="6" s="1"/>
  <c r="RX109" i="6" a="1"/>
  <c r="RX109" i="6" s="1"/>
  <c r="RW109" i="6" a="1"/>
  <c r="RW109" i="6" s="1"/>
  <c r="RV109" i="6" a="1"/>
  <c r="RV109" i="6" s="1"/>
  <c r="RU109" i="6" a="1"/>
  <c r="RU109" i="6" s="1"/>
  <c r="RT109" i="6" a="1"/>
  <c r="RT109" i="6" s="1"/>
  <c r="RF109" i="6" a="1"/>
  <c r="RF109" i="6" s="1"/>
  <c r="RE109" i="6" a="1"/>
  <c r="RE109" i="6" s="1"/>
  <c r="RD109" i="6" a="1"/>
  <c r="RD109" i="6" s="1"/>
  <c r="RC109" i="6" a="1"/>
  <c r="RC109" i="6" s="1"/>
  <c r="RB109" i="6" a="1"/>
  <c r="RB109" i="6" s="1"/>
  <c r="QN109" i="6" a="1"/>
  <c r="QN109" i="6" s="1"/>
  <c r="QM109" i="6" a="1"/>
  <c r="QM109" i="6" s="1"/>
  <c r="QL109" i="6" a="1"/>
  <c r="QL109" i="6" s="1"/>
  <c r="QK109" i="6" a="1"/>
  <c r="QK109" i="6" s="1"/>
  <c r="QJ109" i="6" a="1"/>
  <c r="QJ109" i="6" s="1"/>
  <c r="PV109" i="6" a="1"/>
  <c r="PV109" i="6" s="1"/>
  <c r="PU109" i="6" a="1"/>
  <c r="PU109" i="6" s="1"/>
  <c r="PT109" i="6" a="1"/>
  <c r="PT109" i="6" s="1"/>
  <c r="PS109" i="6" a="1"/>
  <c r="PS109" i="6" s="1"/>
  <c r="PR109" i="6" a="1"/>
  <c r="PR109" i="6" s="1"/>
  <c r="PD109" i="6" a="1"/>
  <c r="PD109" i="6" s="1"/>
  <c r="PC109" i="6" a="1"/>
  <c r="PC109" i="6" s="1"/>
  <c r="PB109" i="6" a="1"/>
  <c r="PB109" i="6" s="1"/>
  <c r="PA109" i="6" a="1"/>
  <c r="PA109" i="6" s="1"/>
  <c r="OZ109" i="6" a="1"/>
  <c r="OZ109" i="6" s="1"/>
  <c r="OL109" i="6" a="1"/>
  <c r="OL109" i="6" s="1"/>
  <c r="OK109" i="6" a="1"/>
  <c r="OK109" i="6" s="1"/>
  <c r="OJ109" i="6" a="1"/>
  <c r="OJ109" i="6" s="1"/>
  <c r="OI109" i="6" a="1"/>
  <c r="OI109" i="6" s="1"/>
  <c r="OH109" i="6" a="1"/>
  <c r="OH109" i="6" s="1"/>
  <c r="NT109" i="6" a="1"/>
  <c r="NT109" i="6" s="1"/>
  <c r="NS109" i="6" a="1"/>
  <c r="NS109" i="6" s="1"/>
  <c r="NR109" i="6" a="1"/>
  <c r="NR109" i="6" s="1"/>
  <c r="NQ109" i="6" a="1"/>
  <c r="NQ109" i="6" s="1"/>
  <c r="NP109" i="6" a="1"/>
  <c r="NP109" i="6" s="1"/>
  <c r="NC109" i="6" a="1"/>
  <c r="NC109" i="6" s="1"/>
  <c r="NB109" i="6" a="1"/>
  <c r="NB109" i="6" s="1"/>
  <c r="NA109" i="6" a="1"/>
  <c r="NA109" i="6" s="1"/>
  <c r="MZ109" i="6" a="1"/>
  <c r="MZ109" i="6" s="1"/>
  <c r="MY109" i="6" a="1"/>
  <c r="MY109" i="6" s="1"/>
  <c r="MK109" i="6" a="1"/>
  <c r="MK109" i="6" s="1"/>
  <c r="MJ109" i="6" a="1"/>
  <c r="MJ109" i="6" s="1"/>
  <c r="MI109" i="6" a="1"/>
  <c r="MI109" i="6" s="1"/>
  <c r="MH109" i="6" a="1"/>
  <c r="MH109" i="6" s="1"/>
  <c r="MG109" i="6" a="1"/>
  <c r="MG109" i="6" s="1"/>
  <c r="LS109" i="6" a="1"/>
  <c r="LS109" i="6" s="1"/>
  <c r="LR109" i="6" a="1"/>
  <c r="LR109" i="6" s="1"/>
  <c r="LQ109" i="6" a="1"/>
  <c r="LQ109" i="6" s="1"/>
  <c r="LP109" i="6" a="1"/>
  <c r="LP109" i="6" s="1"/>
  <c r="LO109" i="6" a="1"/>
  <c r="LO109" i="6" s="1"/>
  <c r="LA109" i="6" a="1"/>
  <c r="LA109" i="6" s="1"/>
  <c r="KZ109" i="6" a="1"/>
  <c r="KZ109" i="6" s="1"/>
  <c r="KY109" i="6" a="1"/>
  <c r="KY109" i="6" s="1"/>
  <c r="KX109" i="6" a="1"/>
  <c r="KX109" i="6" s="1"/>
  <c r="KW109" i="6" a="1"/>
  <c r="KW109" i="6" s="1"/>
  <c r="KI109" i="6" a="1"/>
  <c r="KI109" i="6" s="1"/>
  <c r="KH109" i="6" a="1"/>
  <c r="KH109" i="6" s="1"/>
  <c r="KG109" i="6" a="1"/>
  <c r="KG109" i="6" s="1"/>
  <c r="KF109" i="6" a="1"/>
  <c r="KF109" i="6" s="1"/>
  <c r="KE109" i="6" a="1"/>
  <c r="KE109" i="6" s="1"/>
  <c r="JQ109" i="6" a="1"/>
  <c r="JQ109" i="6" s="1"/>
  <c r="JP109" i="6" a="1"/>
  <c r="JP109" i="6" s="1"/>
  <c r="JO109" i="6" a="1"/>
  <c r="JO109" i="6" s="1"/>
  <c r="JN109" i="6" a="1"/>
  <c r="JN109" i="6" s="1"/>
  <c r="JM109" i="6" a="1"/>
  <c r="JM109" i="6" s="1"/>
  <c r="IY109" i="6" a="1"/>
  <c r="IY109" i="6" s="1"/>
  <c r="IX109" i="6" a="1"/>
  <c r="IX109" i="6" s="1"/>
  <c r="IW109" i="6" a="1"/>
  <c r="IW109" i="6" s="1"/>
  <c r="IV109" i="6" a="1"/>
  <c r="IV109" i="6" s="1"/>
  <c r="IU109" i="6" a="1"/>
  <c r="IU109" i="6" s="1"/>
  <c r="IG109" i="6" a="1"/>
  <c r="IG109" i="6" s="1"/>
  <c r="IF109" i="6" a="1"/>
  <c r="IF109" i="6" s="1"/>
  <c r="IE109" i="6" a="1"/>
  <c r="IE109" i="6" s="1"/>
  <c r="ID109" i="6" a="1"/>
  <c r="ID109" i="6" s="1"/>
  <c r="IC109" i="6" a="1"/>
  <c r="IC109" i="6" s="1"/>
  <c r="HO109" i="6" a="1"/>
  <c r="HO109" i="6" s="1"/>
  <c r="HN109" i="6" a="1"/>
  <c r="HN109" i="6" s="1"/>
  <c r="HM109" i="6" a="1"/>
  <c r="HM109" i="6" s="1"/>
  <c r="HL109" i="6" a="1"/>
  <c r="HL109" i="6" s="1"/>
  <c r="HK109" i="6" a="1"/>
  <c r="HK109" i="6" s="1"/>
  <c r="GX109" i="6" a="1"/>
  <c r="GX109" i="6" s="1"/>
  <c r="GW109" i="6" a="1"/>
  <c r="GW109" i="6" s="1"/>
  <c r="GV109" i="6" a="1"/>
  <c r="GV109" i="6" s="1"/>
  <c r="GU109" i="6" a="1"/>
  <c r="GU109" i="6" s="1"/>
  <c r="GT109" i="6" a="1"/>
  <c r="GT109" i="6" s="1"/>
  <c r="GG109" i="6" a="1"/>
  <c r="GG109" i="6" s="1"/>
  <c r="GF109" i="6" a="1"/>
  <c r="GF109" i="6" s="1"/>
  <c r="GE109" i="6" a="1"/>
  <c r="GE109" i="6" s="1"/>
  <c r="GD109" i="6" a="1"/>
  <c r="GD109" i="6" s="1"/>
  <c r="GC109" i="6" a="1"/>
  <c r="GC109" i="6" s="1"/>
  <c r="FP109" i="6" a="1"/>
  <c r="FP109" i="6" s="1"/>
  <c r="FO109" i="6" a="1"/>
  <c r="FO109" i="6" s="1"/>
  <c r="FN109" i="6" a="1"/>
  <c r="FN109" i="6" s="1"/>
  <c r="FM109" i="6" a="1"/>
  <c r="FM109" i="6" s="1"/>
  <c r="FL109" i="6" a="1"/>
  <c r="FL109" i="6" s="1"/>
  <c r="EY109" i="6" a="1"/>
  <c r="EY109" i="6" s="1"/>
  <c r="EX109" i="6" a="1"/>
  <c r="EX109" i="6" s="1"/>
  <c r="EW109" i="6" a="1"/>
  <c r="EW109" i="6" s="1"/>
  <c r="EV109" i="6" a="1"/>
  <c r="EV109" i="6" s="1"/>
  <c r="EU109" i="6" a="1"/>
  <c r="EU109" i="6" s="1"/>
  <c r="EH109" i="6" a="1"/>
  <c r="EH109" i="6" s="1"/>
  <c r="EG109" i="6" a="1"/>
  <c r="EG109" i="6" s="1"/>
  <c r="EF109" i="6" a="1"/>
  <c r="EF109" i="6" s="1"/>
  <c r="EE109" i="6" a="1"/>
  <c r="EE109" i="6" s="1"/>
  <c r="ED109" i="6" a="1"/>
  <c r="ED109" i="6" s="1"/>
  <c r="DQ109" i="6" a="1"/>
  <c r="DQ109" i="6" s="1"/>
  <c r="DP109" i="6" a="1"/>
  <c r="DP109" i="6" s="1"/>
  <c r="DO109" i="6" a="1"/>
  <c r="DO109" i="6" s="1"/>
  <c r="DN109" i="6" a="1"/>
  <c r="DN109" i="6" s="1"/>
  <c r="DM109" i="6" a="1"/>
  <c r="DM109" i="6" s="1"/>
  <c r="DD109" i="6" a="1"/>
  <c r="DD109" i="6" s="1"/>
  <c r="CU109" i="6" a="1"/>
  <c r="CU109" i="6" s="1"/>
  <c r="CL109" i="6" a="1"/>
  <c r="CL109" i="6" s="1"/>
  <c r="BX109" i="6" a="1"/>
  <c r="BX109" i="6" s="1"/>
  <c r="BW109" i="6" a="1"/>
  <c r="BW109" i="6" s="1"/>
  <c r="BV109" i="6" a="1"/>
  <c r="BV109" i="6" s="1"/>
  <c r="BU109" i="6" a="1"/>
  <c r="BU109" i="6" s="1"/>
  <c r="BT109" i="6" a="1"/>
  <c r="BT109" i="6" s="1"/>
  <c r="BS109" i="6" a="1"/>
  <c r="BS109" i="6" s="1"/>
  <c r="BA109" i="6" a="1"/>
  <c r="BA109" i="6" s="1"/>
  <c r="AZ109" i="6" a="1"/>
  <c r="AZ109" i="6" s="1"/>
  <c r="AY109" i="6" a="1"/>
  <c r="AY109" i="6" s="1"/>
  <c r="AX109" i="6" a="1"/>
  <c r="AX109" i="6" s="1"/>
  <c r="AW109" i="6" a="1"/>
  <c r="AW109" i="6" s="1"/>
  <c r="AV109" i="6" a="1"/>
  <c r="AV109" i="6" s="1"/>
  <c r="AU109" i="6" a="1"/>
  <c r="AU109" i="6" s="1"/>
  <c r="AT109" i="6" a="1"/>
  <c r="AT109" i="6" s="1"/>
  <c r="AS109" i="6" a="1"/>
  <c r="AS109" i="6" s="1"/>
  <c r="AR109" i="6" a="1"/>
  <c r="AR109" i="6" s="1"/>
  <c r="AH109" i="6" a="1"/>
  <c r="AH109" i="6" s="1"/>
  <c r="AG109" i="6" a="1"/>
  <c r="AG109" i="6" s="1"/>
  <c r="V109" i="6" a="1"/>
  <c r="V109" i="6" s="1"/>
  <c r="U109" i="6" a="1"/>
  <c r="U109" i="6" s="1"/>
  <c r="J109" i="6" a="1"/>
  <c r="J109" i="6" s="1"/>
  <c r="I109" i="6" a="1"/>
  <c r="I109" i="6" s="1"/>
  <c r="ADA108" i="6" a="1"/>
  <c r="ADA108" i="6" s="1"/>
  <c r="ACZ108" i="6" a="1"/>
  <c r="ACZ108" i="6" s="1"/>
  <c r="ACY108" i="6" a="1"/>
  <c r="ACY108" i="6" s="1"/>
  <c r="ACN108" i="6" a="1"/>
  <c r="ACN108" i="6" s="1"/>
  <c r="ACM108" i="6" a="1"/>
  <c r="ACM108" i="6" s="1"/>
  <c r="ABU108" i="6" a="1"/>
  <c r="ABU108" i="6" s="1"/>
  <c r="ABX108" i="6" a="1"/>
  <c r="ABX108" i="6" s="1"/>
  <c r="ABV108" i="6" a="1"/>
  <c r="ABV108" i="6" s="1"/>
  <c r="ABH108" i="6" a="1"/>
  <c r="ABH108" i="6" s="1"/>
  <c r="ABG108" i="6" a="1"/>
  <c r="ABG108" i="6" s="1"/>
  <c r="ABF108" i="6" a="1"/>
  <c r="ABF108" i="6" s="1"/>
  <c r="ABE108" i="6" a="1"/>
  <c r="ABE108" i="6" s="1"/>
  <c r="ABD108" i="6" a="1"/>
  <c r="ABD108" i="6" s="1"/>
  <c r="ZR108" i="6" a="1"/>
  <c r="ZR108" i="6" s="1"/>
  <c r="ZE108" i="6" a="1"/>
  <c r="ZE108" i="6" s="1"/>
  <c r="ZD108" i="6" a="1"/>
  <c r="ZD108" i="6" s="1"/>
  <c r="ZC108" i="6" a="1"/>
  <c r="ZC108" i="6" s="1"/>
  <c r="ZB108" i="6" a="1"/>
  <c r="ZB108" i="6" s="1"/>
  <c r="ZA108" i="6" a="1"/>
  <c r="ZA108" i="6" s="1"/>
  <c r="YP108" i="6" a="1"/>
  <c r="YP108" i="6" s="1"/>
  <c r="YO108" i="6" a="1"/>
  <c r="YO108" i="6" s="1"/>
  <c r="YE108" i="6" a="1"/>
  <c r="YE108" i="6" s="1"/>
  <c r="YD108" i="6" a="1"/>
  <c r="YD108" i="6" s="1"/>
  <c r="XT108" i="6" a="1"/>
  <c r="XT108" i="6" s="1"/>
  <c r="XS108" i="6" a="1"/>
  <c r="XS108" i="6" s="1"/>
  <c r="XI108" i="6" a="1"/>
  <c r="XI108" i="6" s="1"/>
  <c r="XH108" i="6" a="1"/>
  <c r="XH108" i="6" s="1"/>
  <c r="WX108" i="6" a="1"/>
  <c r="WX108" i="6" s="1"/>
  <c r="WW108" i="6" a="1"/>
  <c r="WW108" i="6" s="1"/>
  <c r="WM108" i="6" a="1"/>
  <c r="WM108" i="6" s="1"/>
  <c r="WL108" i="6" a="1"/>
  <c r="WL108" i="6" s="1"/>
  <c r="WC108" i="6" a="1"/>
  <c r="WC108" i="6" s="1"/>
  <c r="VQ108" i="6" a="1"/>
  <c r="VQ108" i="6" s="1"/>
  <c r="VP108" i="6" a="1"/>
  <c r="VP108" i="6" s="1"/>
  <c r="VO108" i="6" a="1"/>
  <c r="VO108" i="6" s="1"/>
  <c r="VN108" i="6" a="1"/>
  <c r="VN108" i="6" s="1"/>
  <c r="VA108" i="6" a="1"/>
  <c r="VA108" i="6" s="1"/>
  <c r="UZ108" i="6" a="1"/>
  <c r="UZ108" i="6" s="1"/>
  <c r="UY108" i="6" a="1"/>
  <c r="UY108" i="6" s="1"/>
  <c r="UX108" i="6" a="1"/>
  <c r="UX108" i="6" s="1"/>
  <c r="UW108" i="6" a="1"/>
  <c r="UW108" i="6" s="1"/>
  <c r="UM108" i="6" a="1"/>
  <c r="UM108" i="6" s="1"/>
  <c r="TZ108" i="6" a="1"/>
  <c r="TZ108" i="6" s="1"/>
  <c r="TY108" i="6" a="1"/>
  <c r="TY108" i="6" s="1"/>
  <c r="TX108" i="6" a="1"/>
  <c r="TX108" i="6" s="1"/>
  <c r="TW108" i="6" a="1"/>
  <c r="TW108" i="6" s="1"/>
  <c r="TV108" i="6" a="1"/>
  <c r="TV108" i="6" s="1"/>
  <c r="TH108" i="6" a="1"/>
  <c r="TH108" i="6" s="1"/>
  <c r="TG108" i="6" a="1"/>
  <c r="TG108" i="6" s="1"/>
  <c r="TF108" i="6" a="1"/>
  <c r="TF108" i="6" s="1"/>
  <c r="TE108" i="6" a="1"/>
  <c r="TE108" i="6" s="1"/>
  <c r="TD108" i="6" a="1"/>
  <c r="TD108" i="6" s="1"/>
  <c r="SP108" i="6" a="1"/>
  <c r="SP108" i="6" s="1"/>
  <c r="SO108" i="6" a="1"/>
  <c r="SO108" i="6" s="1"/>
  <c r="SN108" i="6" a="1"/>
  <c r="SN108" i="6" s="1"/>
  <c r="SM108" i="6" a="1"/>
  <c r="SM108" i="6" s="1"/>
  <c r="SL108" i="6" a="1"/>
  <c r="SL108" i="6" s="1"/>
  <c r="RX108" i="6" a="1"/>
  <c r="RX108" i="6" s="1"/>
  <c r="RW108" i="6" a="1"/>
  <c r="RW108" i="6" s="1"/>
  <c r="RV108" i="6" a="1"/>
  <c r="RV108" i="6" s="1"/>
  <c r="RU108" i="6" a="1"/>
  <c r="RU108" i="6" s="1"/>
  <c r="RT108" i="6" a="1"/>
  <c r="RT108" i="6" s="1"/>
  <c r="RF108" i="6" a="1"/>
  <c r="RF108" i="6" s="1"/>
  <c r="RE108" i="6" a="1"/>
  <c r="RE108" i="6" s="1"/>
  <c r="RD108" i="6" a="1"/>
  <c r="RD108" i="6" s="1"/>
  <c r="RC108" i="6" a="1"/>
  <c r="RC108" i="6" s="1"/>
  <c r="RB108" i="6" a="1"/>
  <c r="RB108" i="6" s="1"/>
  <c r="QN108" i="6" a="1"/>
  <c r="QN108" i="6" s="1"/>
  <c r="QM108" i="6" a="1"/>
  <c r="QM108" i="6" s="1"/>
  <c r="QL108" i="6" a="1"/>
  <c r="QL108" i="6" s="1"/>
  <c r="QK108" i="6" a="1"/>
  <c r="QK108" i="6" s="1"/>
  <c r="QJ108" i="6" a="1"/>
  <c r="QJ108" i="6" s="1"/>
  <c r="PV108" i="6" a="1"/>
  <c r="PV108" i="6" s="1"/>
  <c r="PU108" i="6" a="1"/>
  <c r="PU108" i="6" s="1"/>
  <c r="PT108" i="6" a="1"/>
  <c r="PT108" i="6" s="1"/>
  <c r="PS108" i="6" a="1"/>
  <c r="PS108" i="6" s="1"/>
  <c r="PR108" i="6" a="1"/>
  <c r="PR108" i="6" s="1"/>
  <c r="PD108" i="6" a="1"/>
  <c r="PD108" i="6" s="1"/>
  <c r="PC108" i="6" a="1"/>
  <c r="PC108" i="6" s="1"/>
  <c r="PB108" i="6" a="1"/>
  <c r="PB108" i="6" s="1"/>
  <c r="PA108" i="6" a="1"/>
  <c r="PA108" i="6" s="1"/>
  <c r="OZ108" i="6" a="1"/>
  <c r="OZ108" i="6" s="1"/>
  <c r="OL108" i="6" a="1"/>
  <c r="OL108" i="6" s="1"/>
  <c r="OK108" i="6" a="1"/>
  <c r="OK108" i="6" s="1"/>
  <c r="OJ108" i="6" a="1"/>
  <c r="OJ108" i="6" s="1"/>
  <c r="OI108" i="6" a="1"/>
  <c r="OI108" i="6" s="1"/>
  <c r="OH108" i="6" a="1"/>
  <c r="OH108" i="6" s="1"/>
  <c r="NT108" i="6" a="1"/>
  <c r="NT108" i="6" s="1"/>
  <c r="NS108" i="6" a="1"/>
  <c r="NS108" i="6" s="1"/>
  <c r="NR108" i="6" a="1"/>
  <c r="NR108" i="6" s="1"/>
  <c r="NQ108" i="6" a="1"/>
  <c r="NQ108" i="6" s="1"/>
  <c r="NP108" i="6" a="1"/>
  <c r="NP108" i="6" s="1"/>
  <c r="NC108" i="6" a="1"/>
  <c r="NC108" i="6" s="1"/>
  <c r="NB108" i="6" a="1"/>
  <c r="NB108" i="6" s="1"/>
  <c r="NA108" i="6" a="1"/>
  <c r="NA108" i="6" s="1"/>
  <c r="MZ108" i="6" a="1"/>
  <c r="MZ108" i="6" s="1"/>
  <c r="MY108" i="6" a="1"/>
  <c r="MY108" i="6" s="1"/>
  <c r="MK108" i="6" a="1"/>
  <c r="MK108" i="6" s="1"/>
  <c r="MJ108" i="6" a="1"/>
  <c r="MJ108" i="6" s="1"/>
  <c r="MI108" i="6" a="1"/>
  <c r="MI108" i="6" s="1"/>
  <c r="MH108" i="6" a="1"/>
  <c r="MH108" i="6" s="1"/>
  <c r="MG108" i="6" a="1"/>
  <c r="MG108" i="6" s="1"/>
  <c r="LS108" i="6" a="1"/>
  <c r="LS108" i="6" s="1"/>
  <c r="LR108" i="6" a="1"/>
  <c r="LR108" i="6" s="1"/>
  <c r="LQ108" i="6" a="1"/>
  <c r="LQ108" i="6" s="1"/>
  <c r="LP108" i="6" a="1"/>
  <c r="LP108" i="6" s="1"/>
  <c r="LO108" i="6" a="1"/>
  <c r="LO108" i="6" s="1"/>
  <c r="LA108" i="6" a="1"/>
  <c r="LA108" i="6" s="1"/>
  <c r="KZ108" i="6" a="1"/>
  <c r="KZ108" i="6" s="1"/>
  <c r="KY108" i="6" a="1"/>
  <c r="KY108" i="6" s="1"/>
  <c r="KX108" i="6" a="1"/>
  <c r="KX108" i="6" s="1"/>
  <c r="KW108" i="6" a="1"/>
  <c r="KW108" i="6" s="1"/>
  <c r="KI108" i="6" a="1"/>
  <c r="KI108" i="6" s="1"/>
  <c r="KH108" i="6" a="1"/>
  <c r="KH108" i="6" s="1"/>
  <c r="KG108" i="6" a="1"/>
  <c r="KG108" i="6" s="1"/>
  <c r="KF108" i="6" a="1"/>
  <c r="KF108" i="6" s="1"/>
  <c r="KE108" i="6" a="1"/>
  <c r="KE108" i="6" s="1"/>
  <c r="JQ108" i="6" a="1"/>
  <c r="JQ108" i="6" s="1"/>
  <c r="JP108" i="6" a="1"/>
  <c r="JP108" i="6" s="1"/>
  <c r="JO108" i="6" a="1"/>
  <c r="JO108" i="6" s="1"/>
  <c r="JN108" i="6" a="1"/>
  <c r="JN108" i="6" s="1"/>
  <c r="JM108" i="6" a="1"/>
  <c r="JM108" i="6" s="1"/>
  <c r="IY108" i="6" a="1"/>
  <c r="IY108" i="6" s="1"/>
  <c r="IX108" i="6" a="1"/>
  <c r="IX108" i="6" s="1"/>
  <c r="IW108" i="6" a="1"/>
  <c r="IW108" i="6" s="1"/>
  <c r="IV108" i="6" a="1"/>
  <c r="IV108" i="6" s="1"/>
  <c r="IU108" i="6" a="1"/>
  <c r="IU108" i="6" s="1"/>
  <c r="IG108" i="6" a="1"/>
  <c r="IG108" i="6" s="1"/>
  <c r="IF108" i="6" a="1"/>
  <c r="IF108" i="6" s="1"/>
  <c r="IE108" i="6" a="1"/>
  <c r="IE108" i="6" s="1"/>
  <c r="ID108" i="6" a="1"/>
  <c r="ID108" i="6" s="1"/>
  <c r="IC108" i="6" a="1"/>
  <c r="IC108" i="6" s="1"/>
  <c r="HO108" i="6" a="1"/>
  <c r="HO108" i="6" s="1"/>
  <c r="HN108" i="6" a="1"/>
  <c r="HN108" i="6" s="1"/>
  <c r="HM108" i="6" a="1"/>
  <c r="HM108" i="6" s="1"/>
  <c r="HL108" i="6" a="1"/>
  <c r="HL108" i="6" s="1"/>
  <c r="HK108" i="6" a="1"/>
  <c r="HK108" i="6" s="1"/>
  <c r="GX108" i="6" a="1"/>
  <c r="GX108" i="6" s="1"/>
  <c r="GW108" i="6" a="1"/>
  <c r="GW108" i="6" s="1"/>
  <c r="GV108" i="6" a="1"/>
  <c r="GV108" i="6" s="1"/>
  <c r="GU108" i="6" a="1"/>
  <c r="GU108" i="6" s="1"/>
  <c r="GT108" i="6" a="1"/>
  <c r="GT108" i="6" s="1"/>
  <c r="GG108" i="6" a="1"/>
  <c r="GG108" i="6" s="1"/>
  <c r="GF108" i="6" a="1"/>
  <c r="GF108" i="6" s="1"/>
  <c r="GE108" i="6" a="1"/>
  <c r="GE108" i="6" s="1"/>
  <c r="GD108" i="6" a="1"/>
  <c r="GD108" i="6" s="1"/>
  <c r="GC108" i="6" a="1"/>
  <c r="GC108" i="6" s="1"/>
  <c r="FP108" i="6" a="1"/>
  <c r="FP108" i="6" s="1"/>
  <c r="FO108" i="6" a="1"/>
  <c r="FO108" i="6" s="1"/>
  <c r="FN108" i="6" a="1"/>
  <c r="FN108" i="6" s="1"/>
  <c r="FM108" i="6" a="1"/>
  <c r="FM108" i="6" s="1"/>
  <c r="FL108" i="6" a="1"/>
  <c r="FL108" i="6" s="1"/>
  <c r="EY108" i="6" a="1"/>
  <c r="EY108" i="6" s="1"/>
  <c r="EX108" i="6" a="1"/>
  <c r="EX108" i="6" s="1"/>
  <c r="EW108" i="6" a="1"/>
  <c r="EW108" i="6" s="1"/>
  <c r="EV108" i="6" a="1"/>
  <c r="EV108" i="6" s="1"/>
  <c r="EU108" i="6" a="1"/>
  <c r="EU108" i="6" s="1"/>
  <c r="EH108" i="6" a="1"/>
  <c r="EH108" i="6" s="1"/>
  <c r="EG108" i="6" a="1"/>
  <c r="EG108" i="6" s="1"/>
  <c r="EF108" i="6" a="1"/>
  <c r="EF108" i="6" s="1"/>
  <c r="EE108" i="6" a="1"/>
  <c r="EE108" i="6" s="1"/>
  <c r="ED108" i="6" a="1"/>
  <c r="ED108" i="6" s="1"/>
  <c r="DQ108" i="6" a="1"/>
  <c r="DQ108" i="6" s="1"/>
  <c r="DP108" i="6" a="1"/>
  <c r="DP108" i="6" s="1"/>
  <c r="DO108" i="6" a="1"/>
  <c r="DO108" i="6" s="1"/>
  <c r="DN108" i="6" a="1"/>
  <c r="DN108" i="6" s="1"/>
  <c r="DM108" i="6" a="1"/>
  <c r="DM108" i="6" s="1"/>
  <c r="DD108" i="6" a="1"/>
  <c r="DD108" i="6" s="1"/>
  <c r="CU108" i="6" a="1"/>
  <c r="CU108" i="6" s="1"/>
  <c r="CL108" i="6" a="1"/>
  <c r="CL108" i="6" s="1"/>
  <c r="BX108" i="6" a="1"/>
  <c r="BX108" i="6" s="1"/>
  <c r="BW108" i="6" a="1"/>
  <c r="BW108" i="6" s="1"/>
  <c r="BV108" i="6" a="1"/>
  <c r="BV108" i="6" s="1"/>
  <c r="BU108" i="6" a="1"/>
  <c r="BU108" i="6" s="1"/>
  <c r="BT108" i="6" a="1"/>
  <c r="BT108" i="6" s="1"/>
  <c r="BS108" i="6" a="1"/>
  <c r="BS108" i="6" s="1"/>
  <c r="BA108" i="6" a="1"/>
  <c r="BA108" i="6" s="1"/>
  <c r="AZ108" i="6" a="1"/>
  <c r="AZ108" i="6" s="1"/>
  <c r="AY108" i="6" a="1"/>
  <c r="AY108" i="6" s="1"/>
  <c r="AX108" i="6" a="1"/>
  <c r="AX108" i="6" s="1"/>
  <c r="AW108" i="6" a="1"/>
  <c r="AW108" i="6" s="1"/>
  <c r="AV108" i="6" a="1"/>
  <c r="AV108" i="6" s="1"/>
  <c r="AU108" i="6" a="1"/>
  <c r="AU108" i="6" s="1"/>
  <c r="AT108" i="6" a="1"/>
  <c r="AT108" i="6" s="1"/>
  <c r="AS108" i="6" a="1"/>
  <c r="AS108" i="6" s="1"/>
  <c r="AR108" i="6" a="1"/>
  <c r="AR108" i="6" s="1"/>
  <c r="AH108" i="6" a="1"/>
  <c r="AH108" i="6" s="1"/>
  <c r="AG108" i="6" a="1"/>
  <c r="AG108" i="6" s="1"/>
  <c r="V108" i="6" a="1"/>
  <c r="V108" i="6" s="1"/>
  <c r="U108" i="6" a="1"/>
  <c r="U108" i="6" s="1"/>
  <c r="J108" i="6" a="1"/>
  <c r="J108" i="6" s="1"/>
  <c r="I108" i="6" a="1"/>
  <c r="I108" i="6" s="1"/>
  <c r="ADA107" i="6" a="1"/>
  <c r="ADA107" i="6" s="1"/>
  <c r="ACZ107" i="6" a="1"/>
  <c r="ACZ107" i="6" s="1"/>
  <c r="ACY107" i="6" a="1"/>
  <c r="ACY107" i="6" s="1"/>
  <c r="ACN107" i="6" a="1"/>
  <c r="ACN107" i="6" s="1"/>
  <c r="ACM107" i="6" a="1"/>
  <c r="ACM107" i="6" s="1"/>
  <c r="ABU107" i="6" a="1"/>
  <c r="ABU107" i="6" s="1"/>
  <c r="ABX107" i="6" a="1"/>
  <c r="ABX107" i="6" s="1"/>
  <c r="ABV107" i="6" a="1"/>
  <c r="ABV107" i="6" s="1"/>
  <c r="ABH107" i="6" a="1"/>
  <c r="ABH107" i="6" s="1"/>
  <c r="ABG107" i="6" a="1"/>
  <c r="ABG107" i="6" s="1"/>
  <c r="ABF107" i="6" a="1"/>
  <c r="ABF107" i="6" s="1"/>
  <c r="ABE107" i="6" a="1"/>
  <c r="ABE107" i="6" s="1"/>
  <c r="ABD107" i="6" a="1"/>
  <c r="ABD107" i="6" s="1"/>
  <c r="ZR107" i="6" a="1"/>
  <c r="ZR107" i="6" s="1"/>
  <c r="ZE107" i="6" a="1"/>
  <c r="ZE107" i="6" s="1"/>
  <c r="ZD107" i="6" a="1"/>
  <c r="ZD107" i="6" s="1"/>
  <c r="ZC107" i="6" a="1"/>
  <c r="ZC107" i="6" s="1"/>
  <c r="ZB107" i="6" a="1"/>
  <c r="ZB107" i="6" s="1"/>
  <c r="ZA107" i="6" a="1"/>
  <c r="ZA107" i="6" s="1"/>
  <c r="YP107" i="6" a="1"/>
  <c r="YP107" i="6" s="1"/>
  <c r="YO107" i="6" a="1"/>
  <c r="YO107" i="6" s="1"/>
  <c r="YE107" i="6" a="1"/>
  <c r="YE107" i="6" s="1"/>
  <c r="YD107" i="6" a="1"/>
  <c r="YD107" i="6" s="1"/>
  <c r="XT107" i="6" a="1"/>
  <c r="XT107" i="6" s="1"/>
  <c r="XS107" i="6" a="1"/>
  <c r="XS107" i="6" s="1"/>
  <c r="XI107" i="6" a="1"/>
  <c r="XI107" i="6" s="1"/>
  <c r="XH107" i="6" a="1"/>
  <c r="XH107" i="6" s="1"/>
  <c r="WX107" i="6" a="1"/>
  <c r="WX107" i="6" s="1"/>
  <c r="WW107" i="6" a="1"/>
  <c r="WW107" i="6" s="1"/>
  <c r="WM107" i="6" a="1"/>
  <c r="WM107" i="6" s="1"/>
  <c r="WL107" i="6" a="1"/>
  <c r="WL107" i="6" s="1"/>
  <c r="WC107" i="6" a="1"/>
  <c r="WC107" i="6" s="1"/>
  <c r="VQ107" i="6" a="1"/>
  <c r="VQ107" i="6" s="1"/>
  <c r="VP107" i="6" a="1"/>
  <c r="VP107" i="6" s="1"/>
  <c r="VO107" i="6" a="1"/>
  <c r="VO107" i="6" s="1"/>
  <c r="VN107" i="6" a="1"/>
  <c r="VN107" i="6" s="1"/>
  <c r="VA107" i="6" a="1"/>
  <c r="VA107" i="6" s="1"/>
  <c r="UZ107" i="6" a="1"/>
  <c r="UZ107" i="6" s="1"/>
  <c r="UY107" i="6" a="1"/>
  <c r="UY107" i="6" s="1"/>
  <c r="UX107" i="6" a="1"/>
  <c r="UX107" i="6" s="1"/>
  <c r="UW107" i="6" a="1"/>
  <c r="UW107" i="6" s="1"/>
  <c r="UM107" i="6" a="1"/>
  <c r="UM107" i="6" s="1"/>
  <c r="TZ107" i="6" a="1"/>
  <c r="TZ107" i="6" s="1"/>
  <c r="TY107" i="6" a="1"/>
  <c r="TY107" i="6" s="1"/>
  <c r="TX107" i="6" a="1"/>
  <c r="TX107" i="6" s="1"/>
  <c r="TW107" i="6" a="1"/>
  <c r="TW107" i="6" s="1"/>
  <c r="TV107" i="6" a="1"/>
  <c r="TV107" i="6" s="1"/>
  <c r="TH107" i="6" a="1"/>
  <c r="TH107" i="6" s="1"/>
  <c r="TG107" i="6" a="1"/>
  <c r="TG107" i="6" s="1"/>
  <c r="TF107" i="6" a="1"/>
  <c r="TF107" i="6" s="1"/>
  <c r="TE107" i="6" a="1"/>
  <c r="TE107" i="6" s="1"/>
  <c r="TD107" i="6" a="1"/>
  <c r="TD107" i="6" s="1"/>
  <c r="SP107" i="6" a="1"/>
  <c r="SP107" i="6" s="1"/>
  <c r="SO107" i="6" a="1"/>
  <c r="SO107" i="6" s="1"/>
  <c r="SN107" i="6" a="1"/>
  <c r="SN107" i="6" s="1"/>
  <c r="SM107" i="6" a="1"/>
  <c r="SM107" i="6" s="1"/>
  <c r="SL107" i="6" a="1"/>
  <c r="SL107" i="6" s="1"/>
  <c r="RX107" i="6" a="1"/>
  <c r="RX107" i="6" s="1"/>
  <c r="RW107" i="6" a="1"/>
  <c r="RW107" i="6" s="1"/>
  <c r="RV107" i="6" a="1"/>
  <c r="RV107" i="6" s="1"/>
  <c r="RU107" i="6" a="1"/>
  <c r="RU107" i="6" s="1"/>
  <c r="RT107" i="6" a="1"/>
  <c r="RT107" i="6" s="1"/>
  <c r="RF107" i="6" a="1"/>
  <c r="RF107" i="6" s="1"/>
  <c r="RE107" i="6" a="1"/>
  <c r="RE107" i="6" s="1"/>
  <c r="RD107" i="6" a="1"/>
  <c r="RD107" i="6" s="1"/>
  <c r="RC107" i="6" a="1"/>
  <c r="RC107" i="6" s="1"/>
  <c r="RB107" i="6" a="1"/>
  <c r="RB107" i="6" s="1"/>
  <c r="QN107" i="6" a="1"/>
  <c r="QN107" i="6" s="1"/>
  <c r="QM107" i="6" a="1"/>
  <c r="QM107" i="6" s="1"/>
  <c r="QL107" i="6" a="1"/>
  <c r="QL107" i="6" s="1"/>
  <c r="QK107" i="6" a="1"/>
  <c r="QK107" i="6" s="1"/>
  <c r="QJ107" i="6" a="1"/>
  <c r="QJ107" i="6" s="1"/>
  <c r="PV107" i="6" a="1"/>
  <c r="PV107" i="6" s="1"/>
  <c r="PU107" i="6" a="1"/>
  <c r="PU107" i="6" s="1"/>
  <c r="PT107" i="6" a="1"/>
  <c r="PT107" i="6" s="1"/>
  <c r="PS107" i="6" a="1"/>
  <c r="PS107" i="6" s="1"/>
  <c r="PR107" i="6" a="1"/>
  <c r="PR107" i="6" s="1"/>
  <c r="PD107" i="6" a="1"/>
  <c r="PD107" i="6" s="1"/>
  <c r="PC107" i="6" a="1"/>
  <c r="PC107" i="6" s="1"/>
  <c r="PB107" i="6" a="1"/>
  <c r="PB107" i="6" s="1"/>
  <c r="PA107" i="6" a="1"/>
  <c r="PA107" i="6" s="1"/>
  <c r="OZ107" i="6" a="1"/>
  <c r="OZ107" i="6" s="1"/>
  <c r="OL107" i="6" a="1"/>
  <c r="OL107" i="6" s="1"/>
  <c r="OK107" i="6" a="1"/>
  <c r="OK107" i="6" s="1"/>
  <c r="OJ107" i="6" a="1"/>
  <c r="OJ107" i="6" s="1"/>
  <c r="OI107" i="6" a="1"/>
  <c r="OI107" i="6" s="1"/>
  <c r="OH107" i="6" a="1"/>
  <c r="OH107" i="6" s="1"/>
  <c r="NT107" i="6" a="1"/>
  <c r="NT107" i="6" s="1"/>
  <c r="NS107" i="6" a="1"/>
  <c r="NS107" i="6" s="1"/>
  <c r="NR107" i="6" a="1"/>
  <c r="NR107" i="6" s="1"/>
  <c r="NQ107" i="6" a="1"/>
  <c r="NQ107" i="6" s="1"/>
  <c r="NP107" i="6" a="1"/>
  <c r="NP107" i="6" s="1"/>
  <c r="NC107" i="6" a="1"/>
  <c r="NC107" i="6" s="1"/>
  <c r="NB107" i="6" a="1"/>
  <c r="NB107" i="6" s="1"/>
  <c r="NA107" i="6" a="1"/>
  <c r="NA107" i="6" s="1"/>
  <c r="MZ107" i="6" a="1"/>
  <c r="MZ107" i="6" s="1"/>
  <c r="MY107" i="6" a="1"/>
  <c r="MY107" i="6" s="1"/>
  <c r="MK107" i="6" a="1"/>
  <c r="MK107" i="6" s="1"/>
  <c r="MJ107" i="6" a="1"/>
  <c r="MJ107" i="6" s="1"/>
  <c r="MI107" i="6" a="1"/>
  <c r="MI107" i="6" s="1"/>
  <c r="MH107" i="6" a="1"/>
  <c r="MH107" i="6" s="1"/>
  <c r="MG107" i="6" a="1"/>
  <c r="MG107" i="6" s="1"/>
  <c r="LS107" i="6" a="1"/>
  <c r="LS107" i="6" s="1"/>
  <c r="LR107" i="6" a="1"/>
  <c r="LR107" i="6" s="1"/>
  <c r="LQ107" i="6" a="1"/>
  <c r="LQ107" i="6" s="1"/>
  <c r="LP107" i="6" a="1"/>
  <c r="LP107" i="6" s="1"/>
  <c r="LO107" i="6" a="1"/>
  <c r="LO107" i="6" s="1"/>
  <c r="LA107" i="6" a="1"/>
  <c r="LA107" i="6" s="1"/>
  <c r="KZ107" i="6" a="1"/>
  <c r="KZ107" i="6" s="1"/>
  <c r="KY107" i="6" a="1"/>
  <c r="KY107" i="6" s="1"/>
  <c r="KX107" i="6" a="1"/>
  <c r="KX107" i="6" s="1"/>
  <c r="KW107" i="6" a="1"/>
  <c r="KW107" i="6" s="1"/>
  <c r="KI107" i="6" a="1"/>
  <c r="KI107" i="6" s="1"/>
  <c r="KH107" i="6" a="1"/>
  <c r="KH107" i="6" s="1"/>
  <c r="KG107" i="6" a="1"/>
  <c r="KG107" i="6" s="1"/>
  <c r="KF107" i="6" a="1"/>
  <c r="KF107" i="6" s="1"/>
  <c r="KE107" i="6" a="1"/>
  <c r="KE107" i="6" s="1"/>
  <c r="JQ107" i="6" a="1"/>
  <c r="JQ107" i="6" s="1"/>
  <c r="JP107" i="6" a="1"/>
  <c r="JP107" i="6" s="1"/>
  <c r="JO107" i="6" a="1"/>
  <c r="JO107" i="6" s="1"/>
  <c r="JN107" i="6" a="1"/>
  <c r="JN107" i="6" s="1"/>
  <c r="JM107" i="6" a="1"/>
  <c r="JM107" i="6" s="1"/>
  <c r="IY107" i="6" a="1"/>
  <c r="IY107" i="6" s="1"/>
  <c r="IX107" i="6" a="1"/>
  <c r="IX107" i="6" s="1"/>
  <c r="IW107" i="6" a="1"/>
  <c r="IW107" i="6" s="1"/>
  <c r="IV107" i="6" a="1"/>
  <c r="IV107" i="6" s="1"/>
  <c r="IU107" i="6" a="1"/>
  <c r="IU107" i="6" s="1"/>
  <c r="IG107" i="6" a="1"/>
  <c r="IG107" i="6" s="1"/>
  <c r="IF107" i="6" a="1"/>
  <c r="IF107" i="6" s="1"/>
  <c r="IE107" i="6" a="1"/>
  <c r="IE107" i="6" s="1"/>
  <c r="ID107" i="6" a="1"/>
  <c r="ID107" i="6" s="1"/>
  <c r="IC107" i="6" a="1"/>
  <c r="IC107" i="6" s="1"/>
  <c r="HO107" i="6" a="1"/>
  <c r="HO107" i="6" s="1"/>
  <c r="HN107" i="6" a="1"/>
  <c r="HN107" i="6" s="1"/>
  <c r="HM107" i="6" a="1"/>
  <c r="HM107" i="6" s="1"/>
  <c r="HL107" i="6" a="1"/>
  <c r="HL107" i="6" s="1"/>
  <c r="HK107" i="6" a="1"/>
  <c r="HK107" i="6" s="1"/>
  <c r="GX107" i="6" a="1"/>
  <c r="GX107" i="6" s="1"/>
  <c r="GW107" i="6" a="1"/>
  <c r="GW107" i="6" s="1"/>
  <c r="GV107" i="6" a="1"/>
  <c r="GV107" i="6" s="1"/>
  <c r="GU107" i="6" a="1"/>
  <c r="GU107" i="6" s="1"/>
  <c r="GT107" i="6" a="1"/>
  <c r="GT107" i="6" s="1"/>
  <c r="GG107" i="6" a="1"/>
  <c r="GG107" i="6" s="1"/>
  <c r="GF107" i="6" a="1"/>
  <c r="GF107" i="6" s="1"/>
  <c r="GE107" i="6" a="1"/>
  <c r="GE107" i="6" s="1"/>
  <c r="GD107" i="6" a="1"/>
  <c r="GD107" i="6" s="1"/>
  <c r="GC107" i="6" a="1"/>
  <c r="GC107" i="6" s="1"/>
  <c r="FP107" i="6" a="1"/>
  <c r="FP107" i="6" s="1"/>
  <c r="FO107" i="6" a="1"/>
  <c r="FO107" i="6" s="1"/>
  <c r="FN107" i="6" a="1"/>
  <c r="FN107" i="6" s="1"/>
  <c r="FM107" i="6" a="1"/>
  <c r="FM107" i="6" s="1"/>
  <c r="FL107" i="6" a="1"/>
  <c r="FL107" i="6" s="1"/>
  <c r="EY107" i="6" a="1"/>
  <c r="EY107" i="6" s="1"/>
  <c r="EX107" i="6" a="1"/>
  <c r="EX107" i="6" s="1"/>
  <c r="EW107" i="6" a="1"/>
  <c r="EW107" i="6" s="1"/>
  <c r="EV107" i="6" a="1"/>
  <c r="EV107" i="6" s="1"/>
  <c r="EU107" i="6" a="1"/>
  <c r="EU107" i="6" s="1"/>
  <c r="EH107" i="6" a="1"/>
  <c r="EH107" i="6" s="1"/>
  <c r="EG107" i="6" a="1"/>
  <c r="EG107" i="6" s="1"/>
  <c r="EF107" i="6" a="1"/>
  <c r="EF107" i="6" s="1"/>
  <c r="EE107" i="6" a="1"/>
  <c r="EE107" i="6" s="1"/>
  <c r="ED107" i="6" a="1"/>
  <c r="ED107" i="6" s="1"/>
  <c r="DQ107" i="6" a="1"/>
  <c r="DQ107" i="6" s="1"/>
  <c r="DP107" i="6" a="1"/>
  <c r="DP107" i="6" s="1"/>
  <c r="DO107" i="6" a="1"/>
  <c r="DO107" i="6" s="1"/>
  <c r="DN107" i="6" a="1"/>
  <c r="DN107" i="6" s="1"/>
  <c r="DM107" i="6" a="1"/>
  <c r="DM107" i="6" s="1"/>
  <c r="DD107" i="6" a="1"/>
  <c r="DD107" i="6" s="1"/>
  <c r="CU107" i="6" a="1"/>
  <c r="CU107" i="6" s="1"/>
  <c r="CL107" i="6" a="1"/>
  <c r="CL107" i="6" s="1"/>
  <c r="BX107" i="6" a="1"/>
  <c r="BX107" i="6" s="1"/>
  <c r="BW107" i="6" a="1"/>
  <c r="BW107" i="6" s="1"/>
  <c r="BV107" i="6" a="1"/>
  <c r="BV107" i="6" s="1"/>
  <c r="BU107" i="6" a="1"/>
  <c r="BU107" i="6" s="1"/>
  <c r="BT107" i="6" a="1"/>
  <c r="BT107" i="6" s="1"/>
  <c r="BS107" i="6" a="1"/>
  <c r="BS107" i="6" s="1"/>
  <c r="BA107" i="6" a="1"/>
  <c r="BA107" i="6" s="1"/>
  <c r="AZ107" i="6" a="1"/>
  <c r="AZ107" i="6" s="1"/>
  <c r="AY107" i="6" a="1"/>
  <c r="AY107" i="6" s="1"/>
  <c r="AX107" i="6" a="1"/>
  <c r="AX107" i="6" s="1"/>
  <c r="AW107" i="6" a="1"/>
  <c r="AW107" i="6" s="1"/>
  <c r="AV107" i="6" a="1"/>
  <c r="AV107" i="6" s="1"/>
  <c r="AU107" i="6" a="1"/>
  <c r="AU107" i="6" s="1"/>
  <c r="AT107" i="6" a="1"/>
  <c r="AT107" i="6" s="1"/>
  <c r="AS107" i="6" a="1"/>
  <c r="AS107" i="6" s="1"/>
  <c r="AR107" i="6" a="1"/>
  <c r="AR107" i="6" s="1"/>
  <c r="AH107" i="6" a="1"/>
  <c r="AH107" i="6" s="1"/>
  <c r="AG107" i="6" a="1"/>
  <c r="AG107" i="6" s="1"/>
  <c r="V107" i="6" a="1"/>
  <c r="V107" i="6" s="1"/>
  <c r="U107" i="6" a="1"/>
  <c r="U107" i="6" s="1"/>
  <c r="T107" i="6" s="1"/>
  <c r="J107" i="6" a="1"/>
  <c r="J107" i="6" s="1"/>
  <c r="I107" i="6" a="1"/>
  <c r="I107" i="6" s="1"/>
  <c r="ADA106" i="6" a="1"/>
  <c r="ADA106" i="6" s="1"/>
  <c r="ACZ106" i="6" a="1"/>
  <c r="ACZ106" i="6" s="1"/>
  <c r="ACY106" i="6" a="1"/>
  <c r="ACY106" i="6" s="1"/>
  <c r="ACN106" i="6" a="1"/>
  <c r="ACN106" i="6" s="1"/>
  <c r="ACM106" i="6" a="1"/>
  <c r="ACM106" i="6" s="1"/>
  <c r="ACL106" i="6" s="1"/>
  <c r="ABU106" i="6" a="1"/>
  <c r="ABU106" i="6" s="1"/>
  <c r="ABX106" i="6" a="1"/>
  <c r="ABX106" i="6" s="1"/>
  <c r="ABV106" i="6" a="1"/>
  <c r="ABV106" i="6" s="1"/>
  <c r="ABH106" i="6" a="1"/>
  <c r="ABH106" i="6" s="1"/>
  <c r="ABG106" i="6" a="1"/>
  <c r="ABG106" i="6" s="1"/>
  <c r="ABF106" i="6" a="1"/>
  <c r="ABF106" i="6" s="1"/>
  <c r="ABE106" i="6" a="1"/>
  <c r="ABE106" i="6" s="1"/>
  <c r="ABD106" i="6" a="1"/>
  <c r="ABD106" i="6" s="1"/>
  <c r="ZR106" i="6" a="1"/>
  <c r="ZR106" i="6" s="1"/>
  <c r="ZE106" i="6" a="1"/>
  <c r="ZE106" i="6" s="1"/>
  <c r="ZD106" i="6" a="1"/>
  <c r="ZD106" i="6" s="1"/>
  <c r="ZC106" i="6" a="1"/>
  <c r="ZC106" i="6" s="1"/>
  <c r="ZB106" i="6" a="1"/>
  <c r="ZB106" i="6" s="1"/>
  <c r="ZA106" i="6" a="1"/>
  <c r="ZA106" i="6" s="1"/>
  <c r="YP106" i="6" a="1"/>
  <c r="YP106" i="6" s="1"/>
  <c r="YO106" i="6" a="1"/>
  <c r="YO106" i="6" s="1"/>
  <c r="YE106" i="6" a="1"/>
  <c r="YE106" i="6" s="1"/>
  <c r="YD106" i="6" a="1"/>
  <c r="YD106" i="6" s="1"/>
  <c r="XT106" i="6" a="1"/>
  <c r="XT106" i="6" s="1"/>
  <c r="XS106" i="6" a="1"/>
  <c r="XS106" i="6" s="1"/>
  <c r="XI106" i="6" a="1"/>
  <c r="XI106" i="6" s="1"/>
  <c r="XH106" i="6" a="1"/>
  <c r="XH106" i="6" s="1"/>
  <c r="WX106" i="6" a="1"/>
  <c r="WX106" i="6" s="1"/>
  <c r="WW106" i="6" a="1"/>
  <c r="WW106" i="6" s="1"/>
  <c r="WM106" i="6" a="1"/>
  <c r="WM106" i="6" s="1"/>
  <c r="WL106" i="6" a="1"/>
  <c r="WL106" i="6" s="1"/>
  <c r="WC106" i="6" a="1"/>
  <c r="WC106" i="6" s="1"/>
  <c r="VQ106" i="6" a="1"/>
  <c r="VQ106" i="6" s="1"/>
  <c r="VP106" i="6" a="1"/>
  <c r="VP106" i="6" s="1"/>
  <c r="VO106" i="6" a="1"/>
  <c r="VO106" i="6" s="1"/>
  <c r="VN106" i="6" a="1"/>
  <c r="VN106" i="6" s="1"/>
  <c r="VA106" i="6" a="1"/>
  <c r="VA106" i="6" s="1"/>
  <c r="UZ106" i="6" a="1"/>
  <c r="UZ106" i="6" s="1"/>
  <c r="UY106" i="6" a="1"/>
  <c r="UY106" i="6" s="1"/>
  <c r="UX106" i="6" a="1"/>
  <c r="UX106" i="6" s="1"/>
  <c r="UW106" i="6" a="1"/>
  <c r="UW106" i="6" s="1"/>
  <c r="UM106" i="6" a="1"/>
  <c r="UM106" i="6" s="1"/>
  <c r="TZ106" i="6" a="1"/>
  <c r="TZ106" i="6" s="1"/>
  <c r="TY106" i="6" a="1"/>
  <c r="TY106" i="6" s="1"/>
  <c r="TX106" i="6" a="1"/>
  <c r="TX106" i="6" s="1"/>
  <c r="TW106" i="6" a="1"/>
  <c r="TW106" i="6" s="1"/>
  <c r="TV106" i="6" a="1"/>
  <c r="TV106" i="6" s="1"/>
  <c r="TH106" i="6" a="1"/>
  <c r="TH106" i="6" s="1"/>
  <c r="TG106" i="6" a="1"/>
  <c r="TG106" i="6" s="1"/>
  <c r="TF106" i="6" a="1"/>
  <c r="TF106" i="6" s="1"/>
  <c r="TE106" i="6" a="1"/>
  <c r="TE106" i="6" s="1"/>
  <c r="TD106" i="6" a="1"/>
  <c r="TD106" i="6" s="1"/>
  <c r="SP106" i="6" a="1"/>
  <c r="SP106" i="6" s="1"/>
  <c r="SO106" i="6" a="1"/>
  <c r="SO106" i="6" s="1"/>
  <c r="SN106" i="6" a="1"/>
  <c r="SN106" i="6" s="1"/>
  <c r="SM106" i="6" a="1"/>
  <c r="SM106" i="6" s="1"/>
  <c r="SL106" i="6" a="1"/>
  <c r="SL106" i="6" s="1"/>
  <c r="RX106" i="6" a="1"/>
  <c r="RX106" i="6" s="1"/>
  <c r="RW106" i="6" a="1"/>
  <c r="RW106" i="6" s="1"/>
  <c r="RV106" i="6" a="1"/>
  <c r="RV106" i="6" s="1"/>
  <c r="RU106" i="6" a="1"/>
  <c r="RU106" i="6" s="1"/>
  <c r="RT106" i="6" a="1"/>
  <c r="RT106" i="6" s="1"/>
  <c r="RF106" i="6" a="1"/>
  <c r="RF106" i="6" s="1"/>
  <c r="RE106" i="6" a="1"/>
  <c r="RE106" i="6" s="1"/>
  <c r="RD106" i="6" a="1"/>
  <c r="RD106" i="6" s="1"/>
  <c r="RC106" i="6" a="1"/>
  <c r="RC106" i="6" s="1"/>
  <c r="RB106" i="6" a="1"/>
  <c r="RB106" i="6" s="1"/>
  <c r="QN106" i="6" a="1"/>
  <c r="QN106" i="6" s="1"/>
  <c r="QM106" i="6" a="1"/>
  <c r="QM106" i="6" s="1"/>
  <c r="QL106" i="6" a="1"/>
  <c r="QL106" i="6" s="1"/>
  <c r="QK106" i="6" a="1"/>
  <c r="QK106" i="6" s="1"/>
  <c r="QJ106" i="6" a="1"/>
  <c r="QJ106" i="6" s="1"/>
  <c r="PV106" i="6" a="1"/>
  <c r="PV106" i="6" s="1"/>
  <c r="PU106" i="6" a="1"/>
  <c r="PU106" i="6" s="1"/>
  <c r="PT106" i="6" a="1"/>
  <c r="PT106" i="6" s="1"/>
  <c r="PS106" i="6" a="1"/>
  <c r="PS106" i="6" s="1"/>
  <c r="PR106" i="6" a="1"/>
  <c r="PR106" i="6" s="1"/>
  <c r="PD106" i="6" a="1"/>
  <c r="PD106" i="6" s="1"/>
  <c r="PC106" i="6" a="1"/>
  <c r="PC106" i="6" s="1"/>
  <c r="PB106" i="6" a="1"/>
  <c r="PB106" i="6" s="1"/>
  <c r="PA106" i="6" a="1"/>
  <c r="PA106" i="6" s="1"/>
  <c r="OZ106" i="6" a="1"/>
  <c r="OZ106" i="6" s="1"/>
  <c r="OL106" i="6" a="1"/>
  <c r="OL106" i="6" s="1"/>
  <c r="OK106" i="6" a="1"/>
  <c r="OK106" i="6" s="1"/>
  <c r="OJ106" i="6" a="1"/>
  <c r="OJ106" i="6" s="1"/>
  <c r="OI106" i="6" a="1"/>
  <c r="OI106" i="6" s="1"/>
  <c r="OH106" i="6" a="1"/>
  <c r="OH106" i="6" s="1"/>
  <c r="NT106" i="6" a="1"/>
  <c r="NT106" i="6" s="1"/>
  <c r="NS106" i="6" a="1"/>
  <c r="NS106" i="6" s="1"/>
  <c r="NR106" i="6" a="1"/>
  <c r="NR106" i="6" s="1"/>
  <c r="NQ106" i="6" a="1"/>
  <c r="NQ106" i="6" s="1"/>
  <c r="NP106" i="6" a="1"/>
  <c r="NP106" i="6" s="1"/>
  <c r="NC106" i="6" a="1"/>
  <c r="NC106" i="6" s="1"/>
  <c r="NB106" i="6" a="1"/>
  <c r="NB106" i="6" s="1"/>
  <c r="NA106" i="6" a="1"/>
  <c r="NA106" i="6" s="1"/>
  <c r="MZ106" i="6" a="1"/>
  <c r="MZ106" i="6" s="1"/>
  <c r="MY106" i="6" a="1"/>
  <c r="MY106" i="6" s="1"/>
  <c r="MK106" i="6" a="1"/>
  <c r="MK106" i="6" s="1"/>
  <c r="MJ106" i="6" a="1"/>
  <c r="MJ106" i="6" s="1"/>
  <c r="MI106" i="6" a="1"/>
  <c r="MI106" i="6" s="1"/>
  <c r="MH106" i="6" a="1"/>
  <c r="MH106" i="6" s="1"/>
  <c r="MG106" i="6" a="1"/>
  <c r="MG106" i="6" s="1"/>
  <c r="LS106" i="6" a="1"/>
  <c r="LS106" i="6" s="1"/>
  <c r="LR106" i="6" a="1"/>
  <c r="LR106" i="6" s="1"/>
  <c r="LQ106" i="6" a="1"/>
  <c r="LQ106" i="6" s="1"/>
  <c r="LP106" i="6" a="1"/>
  <c r="LP106" i="6" s="1"/>
  <c r="LO106" i="6" a="1"/>
  <c r="LO106" i="6" s="1"/>
  <c r="LA106" i="6" a="1"/>
  <c r="LA106" i="6" s="1"/>
  <c r="KZ106" i="6" a="1"/>
  <c r="KZ106" i="6" s="1"/>
  <c r="KY106" i="6" a="1"/>
  <c r="KY106" i="6" s="1"/>
  <c r="KX106" i="6" a="1"/>
  <c r="KX106" i="6" s="1"/>
  <c r="KW106" i="6" a="1"/>
  <c r="KW106" i="6" s="1"/>
  <c r="KI106" i="6" a="1"/>
  <c r="KI106" i="6" s="1"/>
  <c r="KH106" i="6" a="1"/>
  <c r="KH106" i="6" s="1"/>
  <c r="KG106" i="6" a="1"/>
  <c r="KG106" i="6" s="1"/>
  <c r="KF106" i="6" a="1"/>
  <c r="KF106" i="6" s="1"/>
  <c r="KE106" i="6" a="1"/>
  <c r="KE106" i="6" s="1"/>
  <c r="JQ106" i="6" a="1"/>
  <c r="JQ106" i="6" s="1"/>
  <c r="JP106" i="6" a="1"/>
  <c r="JP106" i="6" s="1"/>
  <c r="JO106" i="6" a="1"/>
  <c r="JO106" i="6" s="1"/>
  <c r="JN106" i="6" a="1"/>
  <c r="JN106" i="6" s="1"/>
  <c r="JM106" i="6" a="1"/>
  <c r="JM106" i="6" s="1"/>
  <c r="IY106" i="6" a="1"/>
  <c r="IY106" i="6" s="1"/>
  <c r="IX106" i="6" a="1"/>
  <c r="IX106" i="6" s="1"/>
  <c r="IW106" i="6" a="1"/>
  <c r="IW106" i="6" s="1"/>
  <c r="IV106" i="6" a="1"/>
  <c r="IV106" i="6" s="1"/>
  <c r="IU106" i="6" a="1"/>
  <c r="IU106" i="6" s="1"/>
  <c r="IG106" i="6" a="1"/>
  <c r="IG106" i="6" s="1"/>
  <c r="IF106" i="6" a="1"/>
  <c r="IF106" i="6" s="1"/>
  <c r="IE106" i="6" a="1"/>
  <c r="IE106" i="6" s="1"/>
  <c r="ID106" i="6" a="1"/>
  <c r="ID106" i="6" s="1"/>
  <c r="IC106" i="6" a="1"/>
  <c r="IC106" i="6" s="1"/>
  <c r="HO106" i="6" a="1"/>
  <c r="HO106" i="6" s="1"/>
  <c r="HN106" i="6" a="1"/>
  <c r="HN106" i="6" s="1"/>
  <c r="HM106" i="6" a="1"/>
  <c r="HM106" i="6" s="1"/>
  <c r="HL106" i="6" a="1"/>
  <c r="HL106" i="6" s="1"/>
  <c r="HK106" i="6" a="1"/>
  <c r="HK106" i="6" s="1"/>
  <c r="GX106" i="6" a="1"/>
  <c r="GX106" i="6" s="1"/>
  <c r="GW106" i="6" a="1"/>
  <c r="GW106" i="6" s="1"/>
  <c r="GV106" i="6" a="1"/>
  <c r="GV106" i="6" s="1"/>
  <c r="GU106" i="6" a="1"/>
  <c r="GU106" i="6" s="1"/>
  <c r="GT106" i="6" a="1"/>
  <c r="GT106" i="6" s="1"/>
  <c r="GG106" i="6" a="1"/>
  <c r="GG106" i="6" s="1"/>
  <c r="GF106" i="6" a="1"/>
  <c r="GF106" i="6" s="1"/>
  <c r="GE106" i="6" a="1"/>
  <c r="GE106" i="6" s="1"/>
  <c r="GD106" i="6" a="1"/>
  <c r="GD106" i="6" s="1"/>
  <c r="GC106" i="6" a="1"/>
  <c r="GC106" i="6" s="1"/>
  <c r="FP106" i="6" a="1"/>
  <c r="FP106" i="6" s="1"/>
  <c r="FO106" i="6" a="1"/>
  <c r="FO106" i="6" s="1"/>
  <c r="FN106" i="6" a="1"/>
  <c r="FN106" i="6" s="1"/>
  <c r="FM106" i="6" a="1"/>
  <c r="FM106" i="6" s="1"/>
  <c r="FL106" i="6" a="1"/>
  <c r="FL106" i="6" s="1"/>
  <c r="EY106" i="6" a="1"/>
  <c r="EY106" i="6" s="1"/>
  <c r="EX106" i="6" a="1"/>
  <c r="EX106" i="6" s="1"/>
  <c r="EW106" i="6" a="1"/>
  <c r="EW106" i="6" s="1"/>
  <c r="EV106" i="6" a="1"/>
  <c r="EV106" i="6" s="1"/>
  <c r="EU106" i="6" a="1"/>
  <c r="EU106" i="6" s="1"/>
  <c r="EH106" i="6" a="1"/>
  <c r="EH106" i="6" s="1"/>
  <c r="EG106" i="6" a="1"/>
  <c r="EG106" i="6" s="1"/>
  <c r="EF106" i="6" a="1"/>
  <c r="EF106" i="6" s="1"/>
  <c r="EE106" i="6" a="1"/>
  <c r="EE106" i="6" s="1"/>
  <c r="ED106" i="6" a="1"/>
  <c r="ED106" i="6" s="1"/>
  <c r="DQ106" i="6" a="1"/>
  <c r="DQ106" i="6" s="1"/>
  <c r="DP106" i="6" a="1"/>
  <c r="DP106" i="6" s="1"/>
  <c r="DO106" i="6" a="1"/>
  <c r="DO106" i="6" s="1"/>
  <c r="DN106" i="6" a="1"/>
  <c r="DN106" i="6" s="1"/>
  <c r="DM106" i="6" a="1"/>
  <c r="DM106" i="6" s="1"/>
  <c r="DD106" i="6" a="1"/>
  <c r="DD106" i="6" s="1"/>
  <c r="CU106" i="6" a="1"/>
  <c r="CU106" i="6" s="1"/>
  <c r="CL106" i="6" a="1"/>
  <c r="CL106" i="6" s="1"/>
  <c r="BX106" i="6" a="1"/>
  <c r="BX106" i="6" s="1"/>
  <c r="BW106" i="6" a="1"/>
  <c r="BW106" i="6" s="1"/>
  <c r="BV106" i="6" a="1"/>
  <c r="BV106" i="6" s="1"/>
  <c r="BU106" i="6" a="1"/>
  <c r="BU106" i="6" s="1"/>
  <c r="BT106" i="6" a="1"/>
  <c r="BT106" i="6" s="1"/>
  <c r="BS106" i="6" a="1"/>
  <c r="BS106" i="6" s="1"/>
  <c r="BA106" i="6" a="1"/>
  <c r="BA106" i="6" s="1"/>
  <c r="AZ106" i="6" a="1"/>
  <c r="AZ106" i="6" s="1"/>
  <c r="AY106" i="6" a="1"/>
  <c r="AY106" i="6" s="1"/>
  <c r="AX106" i="6" a="1"/>
  <c r="AX106" i="6" s="1"/>
  <c r="AW106" i="6" a="1"/>
  <c r="AW106" i="6" s="1"/>
  <c r="AV106" i="6" a="1"/>
  <c r="AV106" i="6" s="1"/>
  <c r="AU106" i="6" a="1"/>
  <c r="AU106" i="6" s="1"/>
  <c r="AT106" i="6" a="1"/>
  <c r="AT106" i="6" s="1"/>
  <c r="AS106" i="6" a="1"/>
  <c r="AS106" i="6" s="1"/>
  <c r="AR106" i="6" a="1"/>
  <c r="AR106" i="6" s="1"/>
  <c r="AH106" i="6" a="1"/>
  <c r="AH106" i="6" s="1"/>
  <c r="AG106" i="6" a="1"/>
  <c r="AG106" i="6" s="1"/>
  <c r="V106" i="6" a="1"/>
  <c r="V106" i="6" s="1"/>
  <c r="U106" i="6" a="1"/>
  <c r="U106" i="6" s="1"/>
  <c r="T106" i="6" s="1"/>
  <c r="J106" i="6" a="1"/>
  <c r="J106" i="6" s="1"/>
  <c r="I106" i="6" a="1"/>
  <c r="I106" i="6" s="1"/>
  <c r="ADA105" i="6" a="1"/>
  <c r="ADA105" i="6" s="1"/>
  <c r="ACZ105" i="6" a="1"/>
  <c r="ACZ105" i="6" s="1"/>
  <c r="ACY105" i="6" a="1"/>
  <c r="ACY105" i="6" s="1"/>
  <c r="ACN105" i="6" a="1"/>
  <c r="ACN105" i="6" s="1"/>
  <c r="ACM105" i="6" a="1"/>
  <c r="ACM105" i="6" s="1"/>
  <c r="ABU105" i="6" a="1"/>
  <c r="ABU105" i="6" s="1"/>
  <c r="ABX105" i="6" a="1"/>
  <c r="ABX105" i="6" s="1"/>
  <c r="ABV105" i="6" a="1"/>
  <c r="ABV105" i="6" s="1"/>
  <c r="ABH105" i="6" a="1"/>
  <c r="ABH105" i="6" s="1"/>
  <c r="ABG105" i="6" a="1"/>
  <c r="ABG105" i="6" s="1"/>
  <c r="ABF105" i="6" a="1"/>
  <c r="ABF105" i="6" s="1"/>
  <c r="ABE105" i="6" a="1"/>
  <c r="ABE105" i="6" s="1"/>
  <c r="ABD105" i="6" a="1"/>
  <c r="ABD105" i="6" s="1"/>
  <c r="ZR105" i="6" a="1"/>
  <c r="ZR105" i="6" s="1"/>
  <c r="ZE105" i="6" a="1"/>
  <c r="ZE105" i="6" s="1"/>
  <c r="ZD105" i="6" a="1"/>
  <c r="ZD105" i="6" s="1"/>
  <c r="ZC105" i="6" a="1"/>
  <c r="ZC105" i="6" s="1"/>
  <c r="ZB105" i="6" a="1"/>
  <c r="ZB105" i="6" s="1"/>
  <c r="ZA105" i="6" a="1"/>
  <c r="ZA105" i="6" s="1"/>
  <c r="YP105" i="6" a="1"/>
  <c r="YP105" i="6" s="1"/>
  <c r="YO105" i="6" a="1"/>
  <c r="YO105" i="6" s="1"/>
  <c r="YE105" i="6" a="1"/>
  <c r="YE105" i="6" s="1"/>
  <c r="YD105" i="6" a="1"/>
  <c r="YD105" i="6" s="1"/>
  <c r="XT105" i="6" a="1"/>
  <c r="XT105" i="6" s="1"/>
  <c r="XS105" i="6" a="1"/>
  <c r="XS105" i="6" s="1"/>
  <c r="XI105" i="6" a="1"/>
  <c r="XI105" i="6" s="1"/>
  <c r="XH105" i="6" a="1"/>
  <c r="XH105" i="6" s="1"/>
  <c r="WX105" i="6" a="1"/>
  <c r="WX105" i="6" s="1"/>
  <c r="WW105" i="6" a="1"/>
  <c r="WW105" i="6" s="1"/>
  <c r="WM105" i="6" a="1"/>
  <c r="WM105" i="6" s="1"/>
  <c r="WL105" i="6" a="1"/>
  <c r="WL105" i="6" s="1"/>
  <c r="WC105" i="6" a="1"/>
  <c r="WC105" i="6" s="1"/>
  <c r="VQ105" i="6" a="1"/>
  <c r="VQ105" i="6" s="1"/>
  <c r="VP105" i="6" a="1"/>
  <c r="VP105" i="6" s="1"/>
  <c r="VO105" i="6" a="1"/>
  <c r="VO105" i="6" s="1"/>
  <c r="VN105" i="6" a="1"/>
  <c r="VN105" i="6" s="1"/>
  <c r="VA105" i="6" a="1"/>
  <c r="VA105" i="6" s="1"/>
  <c r="UZ105" i="6" a="1"/>
  <c r="UZ105" i="6" s="1"/>
  <c r="UY105" i="6" a="1"/>
  <c r="UY105" i="6" s="1"/>
  <c r="UX105" i="6" a="1"/>
  <c r="UX105" i="6" s="1"/>
  <c r="UW105" i="6" a="1"/>
  <c r="UW105" i="6" s="1"/>
  <c r="UM105" i="6" a="1"/>
  <c r="UM105" i="6" s="1"/>
  <c r="TZ105" i="6" a="1"/>
  <c r="TZ105" i="6" s="1"/>
  <c r="TY105" i="6" a="1"/>
  <c r="TY105" i="6" s="1"/>
  <c r="TX105" i="6" a="1"/>
  <c r="TX105" i="6" s="1"/>
  <c r="TW105" i="6" a="1"/>
  <c r="TW105" i="6" s="1"/>
  <c r="TV105" i="6" a="1"/>
  <c r="TV105" i="6" s="1"/>
  <c r="TH105" i="6" a="1"/>
  <c r="TH105" i="6" s="1"/>
  <c r="TG105" i="6" a="1"/>
  <c r="TG105" i="6" s="1"/>
  <c r="TF105" i="6" a="1"/>
  <c r="TF105" i="6" s="1"/>
  <c r="TE105" i="6" a="1"/>
  <c r="TE105" i="6" s="1"/>
  <c r="TD105" i="6" a="1"/>
  <c r="TD105" i="6" s="1"/>
  <c r="SP105" i="6" a="1"/>
  <c r="SP105" i="6" s="1"/>
  <c r="SO105" i="6" a="1"/>
  <c r="SO105" i="6" s="1"/>
  <c r="SN105" i="6" a="1"/>
  <c r="SN105" i="6" s="1"/>
  <c r="SM105" i="6" a="1"/>
  <c r="SM105" i="6" s="1"/>
  <c r="SL105" i="6" a="1"/>
  <c r="SL105" i="6" s="1"/>
  <c r="RX105" i="6" a="1"/>
  <c r="RX105" i="6" s="1"/>
  <c r="RW105" i="6" a="1"/>
  <c r="RW105" i="6" s="1"/>
  <c r="RV105" i="6" a="1"/>
  <c r="RV105" i="6" s="1"/>
  <c r="RU105" i="6" a="1"/>
  <c r="RU105" i="6" s="1"/>
  <c r="RT105" i="6" a="1"/>
  <c r="RT105" i="6" s="1"/>
  <c r="RF105" i="6" a="1"/>
  <c r="RF105" i="6" s="1"/>
  <c r="RE105" i="6" a="1"/>
  <c r="RE105" i="6" s="1"/>
  <c r="RD105" i="6" a="1"/>
  <c r="RD105" i="6" s="1"/>
  <c r="RC105" i="6" a="1"/>
  <c r="RC105" i="6" s="1"/>
  <c r="RB105" i="6" a="1"/>
  <c r="RB105" i="6" s="1"/>
  <c r="QN105" i="6" a="1"/>
  <c r="QN105" i="6" s="1"/>
  <c r="QM105" i="6" a="1"/>
  <c r="QM105" i="6" s="1"/>
  <c r="QL105" i="6" a="1"/>
  <c r="QL105" i="6" s="1"/>
  <c r="QK105" i="6" a="1"/>
  <c r="QK105" i="6" s="1"/>
  <c r="QJ105" i="6" a="1"/>
  <c r="QJ105" i="6" s="1"/>
  <c r="PV105" i="6" a="1"/>
  <c r="PV105" i="6" s="1"/>
  <c r="PU105" i="6" a="1"/>
  <c r="PU105" i="6" s="1"/>
  <c r="PT105" i="6" a="1"/>
  <c r="PT105" i="6" s="1"/>
  <c r="PS105" i="6" a="1"/>
  <c r="PS105" i="6" s="1"/>
  <c r="PR105" i="6" a="1"/>
  <c r="PR105" i="6" s="1"/>
  <c r="PD105" i="6" a="1"/>
  <c r="PD105" i="6" s="1"/>
  <c r="PC105" i="6" a="1"/>
  <c r="PC105" i="6" s="1"/>
  <c r="PB105" i="6" a="1"/>
  <c r="PB105" i="6" s="1"/>
  <c r="PA105" i="6" a="1"/>
  <c r="PA105" i="6" s="1"/>
  <c r="OZ105" i="6" a="1"/>
  <c r="OZ105" i="6" s="1"/>
  <c r="OL105" i="6" a="1"/>
  <c r="OL105" i="6" s="1"/>
  <c r="OK105" i="6" a="1"/>
  <c r="OK105" i="6" s="1"/>
  <c r="OJ105" i="6" a="1"/>
  <c r="OJ105" i="6" s="1"/>
  <c r="OI105" i="6" a="1"/>
  <c r="OI105" i="6" s="1"/>
  <c r="OH105" i="6" a="1"/>
  <c r="OH105" i="6" s="1"/>
  <c r="NT105" i="6" a="1"/>
  <c r="NT105" i="6" s="1"/>
  <c r="NS105" i="6" a="1"/>
  <c r="NS105" i="6" s="1"/>
  <c r="NR105" i="6" a="1"/>
  <c r="NR105" i="6" s="1"/>
  <c r="NQ105" i="6" a="1"/>
  <c r="NQ105" i="6" s="1"/>
  <c r="NP105" i="6" a="1"/>
  <c r="NP105" i="6" s="1"/>
  <c r="NC105" i="6" a="1"/>
  <c r="NC105" i="6" s="1"/>
  <c r="NB105" i="6" a="1"/>
  <c r="NB105" i="6" s="1"/>
  <c r="NA105" i="6" a="1"/>
  <c r="NA105" i="6" s="1"/>
  <c r="MZ105" i="6" a="1"/>
  <c r="MZ105" i="6" s="1"/>
  <c r="MY105" i="6" a="1"/>
  <c r="MY105" i="6" s="1"/>
  <c r="MK105" i="6" a="1"/>
  <c r="MK105" i="6" s="1"/>
  <c r="MJ105" i="6" a="1"/>
  <c r="MJ105" i="6" s="1"/>
  <c r="MI105" i="6" a="1"/>
  <c r="MI105" i="6" s="1"/>
  <c r="MH105" i="6" a="1"/>
  <c r="MH105" i="6" s="1"/>
  <c r="MG105" i="6" a="1"/>
  <c r="MG105" i="6" s="1"/>
  <c r="LS105" i="6" a="1"/>
  <c r="LS105" i="6" s="1"/>
  <c r="LR105" i="6" a="1"/>
  <c r="LR105" i="6" s="1"/>
  <c r="LQ105" i="6" a="1"/>
  <c r="LQ105" i="6" s="1"/>
  <c r="LP105" i="6" a="1"/>
  <c r="LP105" i="6" s="1"/>
  <c r="LO105" i="6" a="1"/>
  <c r="LO105" i="6" s="1"/>
  <c r="LA105" i="6" a="1"/>
  <c r="LA105" i="6" s="1"/>
  <c r="KZ105" i="6" a="1"/>
  <c r="KZ105" i="6" s="1"/>
  <c r="KY105" i="6" a="1"/>
  <c r="KY105" i="6" s="1"/>
  <c r="KX105" i="6" a="1"/>
  <c r="KX105" i="6" s="1"/>
  <c r="KW105" i="6" a="1"/>
  <c r="KW105" i="6" s="1"/>
  <c r="KI105" i="6" a="1"/>
  <c r="KI105" i="6" s="1"/>
  <c r="KH105" i="6" a="1"/>
  <c r="KH105" i="6" s="1"/>
  <c r="KG105" i="6" a="1"/>
  <c r="KG105" i="6" s="1"/>
  <c r="KF105" i="6" a="1"/>
  <c r="KF105" i="6" s="1"/>
  <c r="KE105" i="6" a="1"/>
  <c r="KE105" i="6" s="1"/>
  <c r="JQ105" i="6" a="1"/>
  <c r="JQ105" i="6" s="1"/>
  <c r="JP105" i="6" a="1"/>
  <c r="JP105" i="6" s="1"/>
  <c r="JO105" i="6" a="1"/>
  <c r="JO105" i="6" s="1"/>
  <c r="JN105" i="6" a="1"/>
  <c r="JN105" i="6" s="1"/>
  <c r="JM105" i="6" a="1"/>
  <c r="JM105" i="6" s="1"/>
  <c r="IY105" i="6" a="1"/>
  <c r="IY105" i="6" s="1"/>
  <c r="IX105" i="6" a="1"/>
  <c r="IX105" i="6" s="1"/>
  <c r="IW105" i="6" a="1"/>
  <c r="IW105" i="6" s="1"/>
  <c r="IV105" i="6" a="1"/>
  <c r="IV105" i="6" s="1"/>
  <c r="IU105" i="6" a="1"/>
  <c r="IU105" i="6" s="1"/>
  <c r="IG105" i="6" a="1"/>
  <c r="IG105" i="6" s="1"/>
  <c r="IF105" i="6" a="1"/>
  <c r="IF105" i="6" s="1"/>
  <c r="IE105" i="6" a="1"/>
  <c r="IE105" i="6" s="1"/>
  <c r="ID105" i="6" a="1"/>
  <c r="ID105" i="6" s="1"/>
  <c r="IC105" i="6" a="1"/>
  <c r="IC105" i="6" s="1"/>
  <c r="HO105" i="6" a="1"/>
  <c r="HO105" i="6" s="1"/>
  <c r="HN105" i="6" a="1"/>
  <c r="HN105" i="6" s="1"/>
  <c r="HM105" i="6" a="1"/>
  <c r="HM105" i="6" s="1"/>
  <c r="HL105" i="6" a="1"/>
  <c r="HL105" i="6" s="1"/>
  <c r="HK105" i="6" a="1"/>
  <c r="HK105" i="6" s="1"/>
  <c r="GX105" i="6" a="1"/>
  <c r="GX105" i="6" s="1"/>
  <c r="GW105" i="6" a="1"/>
  <c r="GW105" i="6" s="1"/>
  <c r="GV105" i="6" a="1"/>
  <c r="GV105" i="6" s="1"/>
  <c r="GU105" i="6" a="1"/>
  <c r="GU105" i="6" s="1"/>
  <c r="GT105" i="6" a="1"/>
  <c r="GT105" i="6" s="1"/>
  <c r="GG105" i="6" a="1"/>
  <c r="GG105" i="6" s="1"/>
  <c r="GF105" i="6" a="1"/>
  <c r="GF105" i="6" s="1"/>
  <c r="GE105" i="6" a="1"/>
  <c r="GE105" i="6" s="1"/>
  <c r="GD105" i="6" a="1"/>
  <c r="GD105" i="6" s="1"/>
  <c r="GC105" i="6" a="1"/>
  <c r="GC105" i="6" s="1"/>
  <c r="FP105" i="6" a="1"/>
  <c r="FP105" i="6" s="1"/>
  <c r="FO105" i="6" a="1"/>
  <c r="FO105" i="6" s="1"/>
  <c r="FN105" i="6" a="1"/>
  <c r="FN105" i="6" s="1"/>
  <c r="FM105" i="6" a="1"/>
  <c r="FM105" i="6" s="1"/>
  <c r="FL105" i="6" a="1"/>
  <c r="FL105" i="6" s="1"/>
  <c r="EY105" i="6" a="1"/>
  <c r="EY105" i="6" s="1"/>
  <c r="EX105" i="6" a="1"/>
  <c r="EX105" i="6" s="1"/>
  <c r="EW105" i="6" a="1"/>
  <c r="EW105" i="6" s="1"/>
  <c r="EV105" i="6" a="1"/>
  <c r="EV105" i="6" s="1"/>
  <c r="EU105" i="6" a="1"/>
  <c r="EU105" i="6" s="1"/>
  <c r="EH105" i="6" a="1"/>
  <c r="EH105" i="6" s="1"/>
  <c r="EG105" i="6" a="1"/>
  <c r="EG105" i="6" s="1"/>
  <c r="EF105" i="6" a="1"/>
  <c r="EF105" i="6" s="1"/>
  <c r="EE105" i="6" a="1"/>
  <c r="EE105" i="6" s="1"/>
  <c r="ED105" i="6" a="1"/>
  <c r="ED105" i="6" s="1"/>
  <c r="DQ105" i="6" a="1"/>
  <c r="DQ105" i="6" s="1"/>
  <c r="DP105" i="6" a="1"/>
  <c r="DP105" i="6" s="1"/>
  <c r="DO105" i="6" a="1"/>
  <c r="DO105" i="6" s="1"/>
  <c r="DN105" i="6" a="1"/>
  <c r="DN105" i="6" s="1"/>
  <c r="DM105" i="6" a="1"/>
  <c r="DM105" i="6" s="1"/>
  <c r="DD105" i="6" a="1"/>
  <c r="DD105" i="6" s="1"/>
  <c r="CU105" i="6" a="1"/>
  <c r="CU105" i="6" s="1"/>
  <c r="CL105" i="6" a="1"/>
  <c r="CL105" i="6" s="1"/>
  <c r="BX105" i="6" a="1"/>
  <c r="BX105" i="6" s="1"/>
  <c r="BW105" i="6" a="1"/>
  <c r="BW105" i="6" s="1"/>
  <c r="BV105" i="6" a="1"/>
  <c r="BV105" i="6" s="1"/>
  <c r="BU105" i="6" a="1"/>
  <c r="BU105" i="6" s="1"/>
  <c r="BT105" i="6" a="1"/>
  <c r="BT105" i="6" s="1"/>
  <c r="BS105" i="6" a="1"/>
  <c r="BS105" i="6" s="1"/>
  <c r="BA105" i="6" a="1"/>
  <c r="BA105" i="6" s="1"/>
  <c r="AZ105" i="6" a="1"/>
  <c r="AZ105" i="6" s="1"/>
  <c r="AY105" i="6" a="1"/>
  <c r="AY105" i="6" s="1"/>
  <c r="AX105" i="6" a="1"/>
  <c r="AX105" i="6" s="1"/>
  <c r="AW105" i="6" a="1"/>
  <c r="AW105" i="6" s="1"/>
  <c r="AV105" i="6" a="1"/>
  <c r="AV105" i="6" s="1"/>
  <c r="AU105" i="6" a="1"/>
  <c r="AU105" i="6" s="1"/>
  <c r="AT105" i="6" a="1"/>
  <c r="AT105" i="6" s="1"/>
  <c r="AS105" i="6" a="1"/>
  <c r="AS105" i="6" s="1"/>
  <c r="AR105" i="6" a="1"/>
  <c r="AR105" i="6" s="1"/>
  <c r="AH105" i="6" a="1"/>
  <c r="AH105" i="6" s="1"/>
  <c r="AG105" i="6" a="1"/>
  <c r="AG105" i="6" s="1"/>
  <c r="V105" i="6" a="1"/>
  <c r="V105" i="6" s="1"/>
  <c r="U105" i="6" a="1"/>
  <c r="U105" i="6" s="1"/>
  <c r="J105" i="6" a="1"/>
  <c r="J105" i="6" s="1"/>
  <c r="I105" i="6" a="1"/>
  <c r="I105" i="6" s="1"/>
  <c r="ADA104" i="6" a="1"/>
  <c r="ADA104" i="6" s="1"/>
  <c r="ACZ104" i="6" a="1"/>
  <c r="ACZ104" i="6" s="1"/>
  <c r="ACY104" i="6" a="1"/>
  <c r="ACY104" i="6" s="1"/>
  <c r="ACN104" i="6" a="1"/>
  <c r="ACN104" i="6" s="1"/>
  <c r="ACM104" i="6" a="1"/>
  <c r="ACM104" i="6" s="1"/>
  <c r="ABU104" i="6" a="1"/>
  <c r="ABU104" i="6" s="1"/>
  <c r="ABX104" i="6" a="1"/>
  <c r="ABX104" i="6" s="1"/>
  <c r="ABV104" i="6" a="1"/>
  <c r="ABV104" i="6" s="1"/>
  <c r="ABH104" i="6" a="1"/>
  <c r="ABH104" i="6" s="1"/>
  <c r="ABG104" i="6" a="1"/>
  <c r="ABG104" i="6" s="1"/>
  <c r="ABF104" i="6" a="1"/>
  <c r="ABF104" i="6" s="1"/>
  <c r="ABE104" i="6" a="1"/>
  <c r="ABE104" i="6" s="1"/>
  <c r="ABD104" i="6" a="1"/>
  <c r="ABD104" i="6" s="1"/>
  <c r="ZR104" i="6" a="1"/>
  <c r="ZR104" i="6" s="1"/>
  <c r="ZE104" i="6" a="1"/>
  <c r="ZE104" i="6" s="1"/>
  <c r="ZD104" i="6" a="1"/>
  <c r="ZD104" i="6" s="1"/>
  <c r="ZC104" i="6" a="1"/>
  <c r="ZC104" i="6" s="1"/>
  <c r="ZB104" i="6" a="1"/>
  <c r="ZB104" i="6" s="1"/>
  <c r="ZA104" i="6" a="1"/>
  <c r="ZA104" i="6" s="1"/>
  <c r="YP104" i="6" a="1"/>
  <c r="YP104" i="6" s="1"/>
  <c r="YO104" i="6" a="1"/>
  <c r="YO104" i="6" s="1"/>
  <c r="YE104" i="6" a="1"/>
  <c r="YE104" i="6" s="1"/>
  <c r="YD104" i="6" a="1"/>
  <c r="YD104" i="6" s="1"/>
  <c r="XT104" i="6" a="1"/>
  <c r="XT104" i="6" s="1"/>
  <c r="XS104" i="6" a="1"/>
  <c r="XS104" i="6" s="1"/>
  <c r="XI104" i="6" a="1"/>
  <c r="XI104" i="6" s="1"/>
  <c r="XH104" i="6" a="1"/>
  <c r="XH104" i="6" s="1"/>
  <c r="WX104" i="6" a="1"/>
  <c r="WX104" i="6" s="1"/>
  <c r="WW104" i="6" a="1"/>
  <c r="WW104" i="6" s="1"/>
  <c r="WM104" i="6" a="1"/>
  <c r="WM104" i="6" s="1"/>
  <c r="WL104" i="6" a="1"/>
  <c r="WL104" i="6" s="1"/>
  <c r="WC104" i="6" a="1"/>
  <c r="WC104" i="6" s="1"/>
  <c r="VQ104" i="6" a="1"/>
  <c r="VQ104" i="6" s="1"/>
  <c r="VP104" i="6" a="1"/>
  <c r="VP104" i="6" s="1"/>
  <c r="VO104" i="6" a="1"/>
  <c r="VO104" i="6" s="1"/>
  <c r="VN104" i="6" a="1"/>
  <c r="VN104" i="6" s="1"/>
  <c r="VA104" i="6" a="1"/>
  <c r="VA104" i="6" s="1"/>
  <c r="UZ104" i="6" a="1"/>
  <c r="UZ104" i="6" s="1"/>
  <c r="UY104" i="6" a="1"/>
  <c r="UY104" i="6" s="1"/>
  <c r="UX104" i="6" a="1"/>
  <c r="UX104" i="6" s="1"/>
  <c r="UW104" i="6" a="1"/>
  <c r="UW104" i="6" s="1"/>
  <c r="UM104" i="6" a="1"/>
  <c r="UM104" i="6" s="1"/>
  <c r="TZ104" i="6" a="1"/>
  <c r="TZ104" i="6" s="1"/>
  <c r="TY104" i="6" a="1"/>
  <c r="TY104" i="6" s="1"/>
  <c r="TX104" i="6" a="1"/>
  <c r="TX104" i="6" s="1"/>
  <c r="TW104" i="6" a="1"/>
  <c r="TW104" i="6" s="1"/>
  <c r="TV104" i="6" a="1"/>
  <c r="TV104" i="6" s="1"/>
  <c r="TH104" i="6" a="1"/>
  <c r="TH104" i="6" s="1"/>
  <c r="TG104" i="6" a="1"/>
  <c r="TG104" i="6" s="1"/>
  <c r="TF104" i="6" a="1"/>
  <c r="TF104" i="6" s="1"/>
  <c r="TE104" i="6" a="1"/>
  <c r="TE104" i="6" s="1"/>
  <c r="TD104" i="6" a="1"/>
  <c r="TD104" i="6" s="1"/>
  <c r="SP104" i="6" a="1"/>
  <c r="SP104" i="6" s="1"/>
  <c r="SO104" i="6" a="1"/>
  <c r="SO104" i="6" s="1"/>
  <c r="SN104" i="6" a="1"/>
  <c r="SN104" i="6" s="1"/>
  <c r="SM104" i="6" a="1"/>
  <c r="SM104" i="6" s="1"/>
  <c r="SL104" i="6" a="1"/>
  <c r="SL104" i="6" s="1"/>
  <c r="RX104" i="6" a="1"/>
  <c r="RX104" i="6" s="1"/>
  <c r="RW104" i="6" a="1"/>
  <c r="RW104" i="6" s="1"/>
  <c r="RV104" i="6" a="1"/>
  <c r="RV104" i="6" s="1"/>
  <c r="RU104" i="6" a="1"/>
  <c r="RU104" i="6" s="1"/>
  <c r="RT104" i="6" a="1"/>
  <c r="RT104" i="6" s="1"/>
  <c r="RF104" i="6" a="1"/>
  <c r="RF104" i="6" s="1"/>
  <c r="RE104" i="6" a="1"/>
  <c r="RE104" i="6" s="1"/>
  <c r="RD104" i="6" a="1"/>
  <c r="RD104" i="6" s="1"/>
  <c r="RC104" i="6" a="1"/>
  <c r="RC104" i="6" s="1"/>
  <c r="RB104" i="6" a="1"/>
  <c r="RB104" i="6" s="1"/>
  <c r="QN104" i="6" a="1"/>
  <c r="QN104" i="6" s="1"/>
  <c r="QM104" i="6" a="1"/>
  <c r="QM104" i="6" s="1"/>
  <c r="QL104" i="6" a="1"/>
  <c r="QL104" i="6" s="1"/>
  <c r="QK104" i="6" a="1"/>
  <c r="QK104" i="6" s="1"/>
  <c r="QJ104" i="6" a="1"/>
  <c r="QJ104" i="6" s="1"/>
  <c r="PV104" i="6" a="1"/>
  <c r="PV104" i="6" s="1"/>
  <c r="PU104" i="6" a="1"/>
  <c r="PU104" i="6" s="1"/>
  <c r="PT104" i="6" a="1"/>
  <c r="PT104" i="6" s="1"/>
  <c r="PS104" i="6" a="1"/>
  <c r="PS104" i="6" s="1"/>
  <c r="PR104" i="6" a="1"/>
  <c r="PR104" i="6" s="1"/>
  <c r="PD104" i="6" a="1"/>
  <c r="PD104" i="6" s="1"/>
  <c r="PC104" i="6" a="1"/>
  <c r="PC104" i="6" s="1"/>
  <c r="PB104" i="6" a="1"/>
  <c r="PB104" i="6" s="1"/>
  <c r="PA104" i="6" a="1"/>
  <c r="PA104" i="6" s="1"/>
  <c r="OZ104" i="6" a="1"/>
  <c r="OZ104" i="6" s="1"/>
  <c r="OL104" i="6" a="1"/>
  <c r="OL104" i="6" s="1"/>
  <c r="OK104" i="6" a="1"/>
  <c r="OK104" i="6" s="1"/>
  <c r="OJ104" i="6" a="1"/>
  <c r="OJ104" i="6" s="1"/>
  <c r="OI104" i="6" a="1"/>
  <c r="OI104" i="6" s="1"/>
  <c r="OH104" i="6" a="1"/>
  <c r="OH104" i="6" s="1"/>
  <c r="NT104" i="6" a="1"/>
  <c r="NT104" i="6" s="1"/>
  <c r="NS104" i="6" a="1"/>
  <c r="NS104" i="6" s="1"/>
  <c r="NR104" i="6" a="1"/>
  <c r="NR104" i="6" s="1"/>
  <c r="NQ104" i="6" a="1"/>
  <c r="NQ104" i="6" s="1"/>
  <c r="NP104" i="6" a="1"/>
  <c r="NP104" i="6" s="1"/>
  <c r="NC104" i="6" a="1"/>
  <c r="NC104" i="6" s="1"/>
  <c r="NB104" i="6" a="1"/>
  <c r="NB104" i="6" s="1"/>
  <c r="NA104" i="6" a="1"/>
  <c r="NA104" i="6" s="1"/>
  <c r="MZ104" i="6" a="1"/>
  <c r="MZ104" i="6" s="1"/>
  <c r="MY104" i="6" a="1"/>
  <c r="MY104" i="6" s="1"/>
  <c r="MK104" i="6" a="1"/>
  <c r="MK104" i="6" s="1"/>
  <c r="MJ104" i="6" a="1"/>
  <c r="MJ104" i="6" s="1"/>
  <c r="MI104" i="6" a="1"/>
  <c r="MI104" i="6" s="1"/>
  <c r="MH104" i="6" a="1"/>
  <c r="MH104" i="6" s="1"/>
  <c r="MG104" i="6" a="1"/>
  <c r="MG104" i="6" s="1"/>
  <c r="LS104" i="6" a="1"/>
  <c r="LS104" i="6" s="1"/>
  <c r="LR104" i="6" a="1"/>
  <c r="LR104" i="6" s="1"/>
  <c r="LQ104" i="6" a="1"/>
  <c r="LQ104" i="6" s="1"/>
  <c r="LP104" i="6" a="1"/>
  <c r="LP104" i="6" s="1"/>
  <c r="LO104" i="6" a="1"/>
  <c r="LO104" i="6" s="1"/>
  <c r="LA104" i="6" a="1"/>
  <c r="LA104" i="6" s="1"/>
  <c r="KZ104" i="6" a="1"/>
  <c r="KZ104" i="6" s="1"/>
  <c r="KY104" i="6" a="1"/>
  <c r="KY104" i="6" s="1"/>
  <c r="KX104" i="6" a="1"/>
  <c r="KX104" i="6" s="1"/>
  <c r="KW104" i="6" a="1"/>
  <c r="KW104" i="6" s="1"/>
  <c r="KI104" i="6" a="1"/>
  <c r="KI104" i="6" s="1"/>
  <c r="KH104" i="6" a="1"/>
  <c r="KH104" i="6" s="1"/>
  <c r="KG104" i="6" a="1"/>
  <c r="KG104" i="6" s="1"/>
  <c r="KF104" i="6" a="1"/>
  <c r="KF104" i="6" s="1"/>
  <c r="KE104" i="6" a="1"/>
  <c r="KE104" i="6" s="1"/>
  <c r="JQ104" i="6" a="1"/>
  <c r="JQ104" i="6" s="1"/>
  <c r="JP104" i="6" a="1"/>
  <c r="JP104" i="6" s="1"/>
  <c r="JO104" i="6" a="1"/>
  <c r="JO104" i="6" s="1"/>
  <c r="JN104" i="6" a="1"/>
  <c r="JN104" i="6" s="1"/>
  <c r="JM104" i="6" a="1"/>
  <c r="JM104" i="6" s="1"/>
  <c r="IY104" i="6" a="1"/>
  <c r="IY104" i="6" s="1"/>
  <c r="IX104" i="6" a="1"/>
  <c r="IX104" i="6" s="1"/>
  <c r="IW104" i="6" a="1"/>
  <c r="IW104" i="6" s="1"/>
  <c r="IV104" i="6" a="1"/>
  <c r="IV104" i="6" s="1"/>
  <c r="IU104" i="6" a="1"/>
  <c r="IU104" i="6" s="1"/>
  <c r="IG104" i="6" a="1"/>
  <c r="IG104" i="6" s="1"/>
  <c r="IF104" i="6" a="1"/>
  <c r="IF104" i="6" s="1"/>
  <c r="IE104" i="6" a="1"/>
  <c r="IE104" i="6" s="1"/>
  <c r="ID104" i="6" a="1"/>
  <c r="ID104" i="6" s="1"/>
  <c r="IC104" i="6" a="1"/>
  <c r="IC104" i="6" s="1"/>
  <c r="HO104" i="6" a="1"/>
  <c r="HO104" i="6" s="1"/>
  <c r="HN104" i="6" a="1"/>
  <c r="HN104" i="6" s="1"/>
  <c r="HM104" i="6" a="1"/>
  <c r="HM104" i="6" s="1"/>
  <c r="HL104" i="6" a="1"/>
  <c r="HL104" i="6" s="1"/>
  <c r="HK104" i="6" a="1"/>
  <c r="HK104" i="6" s="1"/>
  <c r="GX104" i="6" a="1"/>
  <c r="GX104" i="6" s="1"/>
  <c r="GW104" i="6" a="1"/>
  <c r="GW104" i="6" s="1"/>
  <c r="GV104" i="6" a="1"/>
  <c r="GV104" i="6" s="1"/>
  <c r="GU104" i="6" a="1"/>
  <c r="GU104" i="6" s="1"/>
  <c r="GT104" i="6" a="1"/>
  <c r="GT104" i="6" s="1"/>
  <c r="GG104" i="6" a="1"/>
  <c r="GG104" i="6" s="1"/>
  <c r="GF104" i="6" a="1"/>
  <c r="GF104" i="6" s="1"/>
  <c r="GE104" i="6" a="1"/>
  <c r="GE104" i="6" s="1"/>
  <c r="GD104" i="6" a="1"/>
  <c r="GD104" i="6" s="1"/>
  <c r="GC104" i="6" a="1"/>
  <c r="GC104" i="6" s="1"/>
  <c r="FP104" i="6" a="1"/>
  <c r="FP104" i="6" s="1"/>
  <c r="FO104" i="6" a="1"/>
  <c r="FO104" i="6" s="1"/>
  <c r="FN104" i="6" a="1"/>
  <c r="FN104" i="6" s="1"/>
  <c r="FM104" i="6" a="1"/>
  <c r="FM104" i="6" s="1"/>
  <c r="FL104" i="6" a="1"/>
  <c r="FL104" i="6" s="1"/>
  <c r="EY104" i="6" a="1"/>
  <c r="EY104" i="6" s="1"/>
  <c r="EX104" i="6" a="1"/>
  <c r="EX104" i="6" s="1"/>
  <c r="EW104" i="6" a="1"/>
  <c r="EW104" i="6" s="1"/>
  <c r="EV104" i="6" a="1"/>
  <c r="EV104" i="6" s="1"/>
  <c r="EU104" i="6" a="1"/>
  <c r="EU104" i="6" s="1"/>
  <c r="EH104" i="6" a="1"/>
  <c r="EH104" i="6" s="1"/>
  <c r="EG104" i="6" a="1"/>
  <c r="EG104" i="6" s="1"/>
  <c r="EF104" i="6" a="1"/>
  <c r="EF104" i="6" s="1"/>
  <c r="EE104" i="6" a="1"/>
  <c r="EE104" i="6" s="1"/>
  <c r="ED104" i="6" a="1"/>
  <c r="ED104" i="6" s="1"/>
  <c r="DQ104" i="6" a="1"/>
  <c r="DQ104" i="6" s="1"/>
  <c r="DP104" i="6" a="1"/>
  <c r="DP104" i="6" s="1"/>
  <c r="DO104" i="6" a="1"/>
  <c r="DO104" i="6" s="1"/>
  <c r="DN104" i="6" a="1"/>
  <c r="DN104" i="6" s="1"/>
  <c r="DM104" i="6" a="1"/>
  <c r="DM104" i="6" s="1"/>
  <c r="DD104" i="6" a="1"/>
  <c r="DD104" i="6" s="1"/>
  <c r="CU104" i="6" a="1"/>
  <c r="CU104" i="6" s="1"/>
  <c r="CL104" i="6" a="1"/>
  <c r="CL104" i="6" s="1"/>
  <c r="BX104" i="6" a="1"/>
  <c r="BX104" i="6" s="1"/>
  <c r="BW104" i="6" a="1"/>
  <c r="BW104" i="6" s="1"/>
  <c r="BV104" i="6" a="1"/>
  <c r="BV104" i="6" s="1"/>
  <c r="BU104" i="6" a="1"/>
  <c r="BU104" i="6" s="1"/>
  <c r="BT104" i="6" a="1"/>
  <c r="BT104" i="6" s="1"/>
  <c r="BS104" i="6" a="1"/>
  <c r="BS104" i="6" s="1"/>
  <c r="BA104" i="6" a="1"/>
  <c r="BA104" i="6" s="1"/>
  <c r="AZ104" i="6" a="1"/>
  <c r="AZ104" i="6" s="1"/>
  <c r="AY104" i="6" a="1"/>
  <c r="AY104" i="6" s="1"/>
  <c r="AX104" i="6" a="1"/>
  <c r="AX104" i="6" s="1"/>
  <c r="AW104" i="6" a="1"/>
  <c r="AW104" i="6" s="1"/>
  <c r="AV104" i="6" a="1"/>
  <c r="AV104" i="6" s="1"/>
  <c r="AU104" i="6" a="1"/>
  <c r="AU104" i="6" s="1"/>
  <c r="AT104" i="6" a="1"/>
  <c r="AT104" i="6" s="1"/>
  <c r="AS104" i="6" a="1"/>
  <c r="AS104" i="6" s="1"/>
  <c r="AR104" i="6" a="1"/>
  <c r="AR104" i="6" s="1"/>
  <c r="AH104" i="6" a="1"/>
  <c r="AH104" i="6" s="1"/>
  <c r="AG104" i="6" a="1"/>
  <c r="AG104" i="6" s="1"/>
  <c r="V104" i="6" a="1"/>
  <c r="V104" i="6" s="1"/>
  <c r="U104" i="6" a="1"/>
  <c r="U104" i="6" s="1"/>
  <c r="T104" i="6" s="1"/>
  <c r="J104" i="6" a="1"/>
  <c r="J104" i="6" s="1"/>
  <c r="I104" i="6" a="1"/>
  <c r="I104" i="6" s="1"/>
  <c r="ADA103" i="6" a="1"/>
  <c r="ADA103" i="6" s="1"/>
  <c r="ACZ103" i="6" a="1"/>
  <c r="ACZ103" i="6" s="1"/>
  <c r="ACY103" i="6" a="1"/>
  <c r="ACY103" i="6" s="1"/>
  <c r="ACN103" i="6" a="1"/>
  <c r="ACN103" i="6" s="1"/>
  <c r="ACM103" i="6" a="1"/>
  <c r="ACM103" i="6" s="1"/>
  <c r="ABU103" i="6" a="1"/>
  <c r="ABU103" i="6" s="1"/>
  <c r="ABX103" i="6" a="1"/>
  <c r="ABX103" i="6" s="1"/>
  <c r="ABV103" i="6" a="1"/>
  <c r="ABV103" i="6" s="1"/>
  <c r="ABH103" i="6" a="1"/>
  <c r="ABH103" i="6" s="1"/>
  <c r="ABG103" i="6" a="1"/>
  <c r="ABG103" i="6" s="1"/>
  <c r="ABF103" i="6" a="1"/>
  <c r="ABF103" i="6" s="1"/>
  <c r="ABE103" i="6" a="1"/>
  <c r="ABE103" i="6" s="1"/>
  <c r="ABD103" i="6" a="1"/>
  <c r="ABD103" i="6" s="1"/>
  <c r="ZR103" i="6" a="1"/>
  <c r="ZR103" i="6" s="1"/>
  <c r="ZE103" i="6" a="1"/>
  <c r="ZE103" i="6" s="1"/>
  <c r="ZD103" i="6" a="1"/>
  <c r="ZD103" i="6" s="1"/>
  <c r="ZC103" i="6" a="1"/>
  <c r="ZC103" i="6" s="1"/>
  <c r="ZB103" i="6" a="1"/>
  <c r="ZB103" i="6" s="1"/>
  <c r="ZA103" i="6" a="1"/>
  <c r="ZA103" i="6" s="1"/>
  <c r="YP103" i="6" a="1"/>
  <c r="YP103" i="6" s="1"/>
  <c r="YO103" i="6" a="1"/>
  <c r="YO103" i="6" s="1"/>
  <c r="YE103" i="6" a="1"/>
  <c r="YE103" i="6" s="1"/>
  <c r="YD103" i="6" a="1"/>
  <c r="YD103" i="6" s="1"/>
  <c r="XT103" i="6" a="1"/>
  <c r="XT103" i="6" s="1"/>
  <c r="XS103" i="6" a="1"/>
  <c r="XS103" i="6" s="1"/>
  <c r="XI103" i="6" a="1"/>
  <c r="XI103" i="6" s="1"/>
  <c r="XH103" i="6" a="1"/>
  <c r="XH103" i="6" s="1"/>
  <c r="WX103" i="6" a="1"/>
  <c r="WX103" i="6" s="1"/>
  <c r="WW103" i="6" a="1"/>
  <c r="WW103" i="6" s="1"/>
  <c r="WM103" i="6" a="1"/>
  <c r="WM103" i="6" s="1"/>
  <c r="WL103" i="6" a="1"/>
  <c r="WL103" i="6" s="1"/>
  <c r="WC103" i="6" a="1"/>
  <c r="WC103" i="6" s="1"/>
  <c r="VQ103" i="6" a="1"/>
  <c r="VQ103" i="6" s="1"/>
  <c r="VP103" i="6" a="1"/>
  <c r="VP103" i="6" s="1"/>
  <c r="VO103" i="6" a="1"/>
  <c r="VO103" i="6" s="1"/>
  <c r="VN103" i="6" a="1"/>
  <c r="VN103" i="6" s="1"/>
  <c r="VA103" i="6" a="1"/>
  <c r="VA103" i="6" s="1"/>
  <c r="UZ103" i="6" a="1"/>
  <c r="UZ103" i="6" s="1"/>
  <c r="UY103" i="6" a="1"/>
  <c r="UY103" i="6" s="1"/>
  <c r="UX103" i="6" a="1"/>
  <c r="UX103" i="6" s="1"/>
  <c r="UW103" i="6" a="1"/>
  <c r="UW103" i="6" s="1"/>
  <c r="UM103" i="6" a="1"/>
  <c r="UM103" i="6" s="1"/>
  <c r="TZ103" i="6" a="1"/>
  <c r="TZ103" i="6" s="1"/>
  <c r="TY103" i="6" a="1"/>
  <c r="TY103" i="6" s="1"/>
  <c r="TX103" i="6" a="1"/>
  <c r="TX103" i="6" s="1"/>
  <c r="TW103" i="6" a="1"/>
  <c r="TW103" i="6" s="1"/>
  <c r="TV103" i="6" a="1"/>
  <c r="TV103" i="6" s="1"/>
  <c r="TH103" i="6" a="1"/>
  <c r="TH103" i="6" s="1"/>
  <c r="TG103" i="6" a="1"/>
  <c r="TG103" i="6" s="1"/>
  <c r="TF103" i="6" a="1"/>
  <c r="TF103" i="6" s="1"/>
  <c r="TE103" i="6" a="1"/>
  <c r="TE103" i="6" s="1"/>
  <c r="TD103" i="6" a="1"/>
  <c r="TD103" i="6" s="1"/>
  <c r="SP103" i="6" a="1"/>
  <c r="SP103" i="6" s="1"/>
  <c r="SO103" i="6" a="1"/>
  <c r="SO103" i="6" s="1"/>
  <c r="SN103" i="6" a="1"/>
  <c r="SN103" i="6" s="1"/>
  <c r="SM103" i="6" a="1"/>
  <c r="SM103" i="6" s="1"/>
  <c r="SL103" i="6" a="1"/>
  <c r="SL103" i="6" s="1"/>
  <c r="RX103" i="6" a="1"/>
  <c r="RX103" i="6" s="1"/>
  <c r="RW103" i="6" a="1"/>
  <c r="RW103" i="6" s="1"/>
  <c r="RV103" i="6" a="1"/>
  <c r="RV103" i="6" s="1"/>
  <c r="RU103" i="6" a="1"/>
  <c r="RU103" i="6" s="1"/>
  <c r="RT103" i="6" a="1"/>
  <c r="RT103" i="6" s="1"/>
  <c r="RF103" i="6" a="1"/>
  <c r="RF103" i="6" s="1"/>
  <c r="RE103" i="6" a="1"/>
  <c r="RE103" i="6" s="1"/>
  <c r="RD103" i="6" a="1"/>
  <c r="RD103" i="6" s="1"/>
  <c r="RC103" i="6" a="1"/>
  <c r="RC103" i="6" s="1"/>
  <c r="RB103" i="6" a="1"/>
  <c r="RB103" i="6" s="1"/>
  <c r="QN103" i="6" a="1"/>
  <c r="QN103" i="6" s="1"/>
  <c r="QM103" i="6" a="1"/>
  <c r="QM103" i="6" s="1"/>
  <c r="QL103" i="6" a="1"/>
  <c r="QL103" i="6" s="1"/>
  <c r="QK103" i="6" a="1"/>
  <c r="QK103" i="6" s="1"/>
  <c r="QJ103" i="6" a="1"/>
  <c r="QJ103" i="6" s="1"/>
  <c r="PV103" i="6" a="1"/>
  <c r="PV103" i="6" s="1"/>
  <c r="PU103" i="6" a="1"/>
  <c r="PU103" i="6" s="1"/>
  <c r="PT103" i="6" a="1"/>
  <c r="PT103" i="6" s="1"/>
  <c r="PS103" i="6" a="1"/>
  <c r="PS103" i="6" s="1"/>
  <c r="PR103" i="6" a="1"/>
  <c r="PR103" i="6" s="1"/>
  <c r="PD103" i="6" a="1"/>
  <c r="PD103" i="6" s="1"/>
  <c r="PC103" i="6" a="1"/>
  <c r="PC103" i="6" s="1"/>
  <c r="PB103" i="6" a="1"/>
  <c r="PB103" i="6" s="1"/>
  <c r="PA103" i="6" a="1"/>
  <c r="PA103" i="6" s="1"/>
  <c r="OZ103" i="6" a="1"/>
  <c r="OZ103" i="6" s="1"/>
  <c r="OL103" i="6" a="1"/>
  <c r="OL103" i="6" s="1"/>
  <c r="OK103" i="6" a="1"/>
  <c r="OK103" i="6" s="1"/>
  <c r="OJ103" i="6" a="1"/>
  <c r="OJ103" i="6" s="1"/>
  <c r="OI103" i="6" a="1"/>
  <c r="OI103" i="6" s="1"/>
  <c r="OH103" i="6" a="1"/>
  <c r="OH103" i="6" s="1"/>
  <c r="NT103" i="6" a="1"/>
  <c r="NT103" i="6" s="1"/>
  <c r="NS103" i="6" a="1"/>
  <c r="NS103" i="6" s="1"/>
  <c r="NR103" i="6" a="1"/>
  <c r="NR103" i="6" s="1"/>
  <c r="NQ103" i="6" a="1"/>
  <c r="NQ103" i="6" s="1"/>
  <c r="NP103" i="6" a="1"/>
  <c r="NP103" i="6" s="1"/>
  <c r="NC103" i="6" a="1"/>
  <c r="NC103" i="6" s="1"/>
  <c r="NB103" i="6" a="1"/>
  <c r="NB103" i="6" s="1"/>
  <c r="NA103" i="6" a="1"/>
  <c r="NA103" i="6" s="1"/>
  <c r="MZ103" i="6" a="1"/>
  <c r="MZ103" i="6" s="1"/>
  <c r="MY103" i="6" a="1"/>
  <c r="MY103" i="6" s="1"/>
  <c r="MK103" i="6" a="1"/>
  <c r="MK103" i="6" s="1"/>
  <c r="MJ103" i="6" a="1"/>
  <c r="MJ103" i="6" s="1"/>
  <c r="MI103" i="6" a="1"/>
  <c r="MI103" i="6" s="1"/>
  <c r="MH103" i="6" a="1"/>
  <c r="MH103" i="6" s="1"/>
  <c r="MG103" i="6" a="1"/>
  <c r="MG103" i="6" s="1"/>
  <c r="LS103" i="6" a="1"/>
  <c r="LS103" i="6" s="1"/>
  <c r="LR103" i="6" a="1"/>
  <c r="LR103" i="6" s="1"/>
  <c r="LQ103" i="6" a="1"/>
  <c r="LQ103" i="6" s="1"/>
  <c r="LP103" i="6" a="1"/>
  <c r="LP103" i="6" s="1"/>
  <c r="LO103" i="6" a="1"/>
  <c r="LO103" i="6" s="1"/>
  <c r="LA103" i="6" a="1"/>
  <c r="LA103" i="6" s="1"/>
  <c r="KZ103" i="6" a="1"/>
  <c r="KZ103" i="6" s="1"/>
  <c r="KY103" i="6" a="1"/>
  <c r="KY103" i="6" s="1"/>
  <c r="KX103" i="6" a="1"/>
  <c r="KX103" i="6" s="1"/>
  <c r="KW103" i="6" a="1"/>
  <c r="KW103" i="6" s="1"/>
  <c r="KI103" i="6" a="1"/>
  <c r="KI103" i="6" s="1"/>
  <c r="KH103" i="6" a="1"/>
  <c r="KH103" i="6" s="1"/>
  <c r="KG103" i="6" a="1"/>
  <c r="KG103" i="6" s="1"/>
  <c r="KF103" i="6" a="1"/>
  <c r="KF103" i="6" s="1"/>
  <c r="KE103" i="6" a="1"/>
  <c r="KE103" i="6" s="1"/>
  <c r="JQ103" i="6" a="1"/>
  <c r="JQ103" i="6" s="1"/>
  <c r="JP103" i="6" a="1"/>
  <c r="JP103" i="6" s="1"/>
  <c r="JO103" i="6" a="1"/>
  <c r="JO103" i="6" s="1"/>
  <c r="JN103" i="6" a="1"/>
  <c r="JN103" i="6" s="1"/>
  <c r="JM103" i="6" a="1"/>
  <c r="JM103" i="6" s="1"/>
  <c r="IY103" i="6" a="1"/>
  <c r="IY103" i="6" s="1"/>
  <c r="IX103" i="6" a="1"/>
  <c r="IX103" i="6" s="1"/>
  <c r="IW103" i="6" a="1"/>
  <c r="IW103" i="6" s="1"/>
  <c r="IV103" i="6" a="1"/>
  <c r="IV103" i="6" s="1"/>
  <c r="IU103" i="6" a="1"/>
  <c r="IU103" i="6" s="1"/>
  <c r="IG103" i="6" a="1"/>
  <c r="IG103" i="6" s="1"/>
  <c r="IF103" i="6" a="1"/>
  <c r="IF103" i="6" s="1"/>
  <c r="IE103" i="6" a="1"/>
  <c r="IE103" i="6" s="1"/>
  <c r="ID103" i="6" a="1"/>
  <c r="ID103" i="6" s="1"/>
  <c r="IC103" i="6" a="1"/>
  <c r="IC103" i="6" s="1"/>
  <c r="HO103" i="6" a="1"/>
  <c r="HO103" i="6" s="1"/>
  <c r="HN103" i="6" a="1"/>
  <c r="HN103" i="6" s="1"/>
  <c r="HM103" i="6" a="1"/>
  <c r="HM103" i="6" s="1"/>
  <c r="HL103" i="6" a="1"/>
  <c r="HL103" i="6" s="1"/>
  <c r="HK103" i="6" a="1"/>
  <c r="HK103" i="6" s="1"/>
  <c r="GX103" i="6" a="1"/>
  <c r="GX103" i="6" s="1"/>
  <c r="GW103" i="6" a="1"/>
  <c r="GW103" i="6" s="1"/>
  <c r="GV103" i="6" a="1"/>
  <c r="GV103" i="6" s="1"/>
  <c r="GU103" i="6" a="1"/>
  <c r="GU103" i="6" s="1"/>
  <c r="GT103" i="6" a="1"/>
  <c r="GT103" i="6" s="1"/>
  <c r="GG103" i="6" a="1"/>
  <c r="GG103" i="6" s="1"/>
  <c r="GF103" i="6" a="1"/>
  <c r="GF103" i="6" s="1"/>
  <c r="GE103" i="6" a="1"/>
  <c r="GE103" i="6" s="1"/>
  <c r="GD103" i="6" a="1"/>
  <c r="GD103" i="6" s="1"/>
  <c r="GC103" i="6" a="1"/>
  <c r="GC103" i="6" s="1"/>
  <c r="FP103" i="6" a="1"/>
  <c r="FP103" i="6" s="1"/>
  <c r="FO103" i="6" a="1"/>
  <c r="FO103" i="6" s="1"/>
  <c r="FN103" i="6" a="1"/>
  <c r="FN103" i="6" s="1"/>
  <c r="FM103" i="6" a="1"/>
  <c r="FM103" i="6" s="1"/>
  <c r="FL103" i="6" a="1"/>
  <c r="FL103" i="6" s="1"/>
  <c r="EY103" i="6" a="1"/>
  <c r="EY103" i="6" s="1"/>
  <c r="EX103" i="6" a="1"/>
  <c r="EX103" i="6" s="1"/>
  <c r="EW103" i="6" a="1"/>
  <c r="EW103" i="6" s="1"/>
  <c r="EV103" i="6" a="1"/>
  <c r="EV103" i="6" s="1"/>
  <c r="EU103" i="6" a="1"/>
  <c r="EU103" i="6" s="1"/>
  <c r="EH103" i="6" a="1"/>
  <c r="EH103" i="6" s="1"/>
  <c r="EG103" i="6" a="1"/>
  <c r="EG103" i="6" s="1"/>
  <c r="EF103" i="6" a="1"/>
  <c r="EF103" i="6" s="1"/>
  <c r="EE103" i="6" a="1"/>
  <c r="EE103" i="6" s="1"/>
  <c r="ED103" i="6" a="1"/>
  <c r="ED103" i="6" s="1"/>
  <c r="DQ103" i="6" a="1"/>
  <c r="DQ103" i="6" s="1"/>
  <c r="DP103" i="6" a="1"/>
  <c r="DP103" i="6" s="1"/>
  <c r="DO103" i="6" a="1"/>
  <c r="DO103" i="6" s="1"/>
  <c r="DN103" i="6" a="1"/>
  <c r="DN103" i="6" s="1"/>
  <c r="DM103" i="6" a="1"/>
  <c r="DM103" i="6" s="1"/>
  <c r="DD103" i="6" a="1"/>
  <c r="DD103" i="6" s="1"/>
  <c r="CU103" i="6" a="1"/>
  <c r="CU103" i="6" s="1"/>
  <c r="CL103" i="6" a="1"/>
  <c r="CL103" i="6" s="1"/>
  <c r="BX103" i="6" a="1"/>
  <c r="BX103" i="6" s="1"/>
  <c r="BW103" i="6" a="1"/>
  <c r="BW103" i="6" s="1"/>
  <c r="BV103" i="6" a="1"/>
  <c r="BV103" i="6" s="1"/>
  <c r="BU103" i="6" a="1"/>
  <c r="BU103" i="6" s="1"/>
  <c r="BT103" i="6" a="1"/>
  <c r="BT103" i="6" s="1"/>
  <c r="BS103" i="6" a="1"/>
  <c r="BS103" i="6" s="1"/>
  <c r="BA103" i="6" a="1"/>
  <c r="BA103" i="6" s="1"/>
  <c r="AZ103" i="6" a="1"/>
  <c r="AZ103" i="6" s="1"/>
  <c r="AY103" i="6" a="1"/>
  <c r="AY103" i="6" s="1"/>
  <c r="AX103" i="6" a="1"/>
  <c r="AX103" i="6" s="1"/>
  <c r="AW103" i="6" a="1"/>
  <c r="AW103" i="6" s="1"/>
  <c r="AV103" i="6" a="1"/>
  <c r="AV103" i="6" s="1"/>
  <c r="AU103" i="6" a="1"/>
  <c r="AU103" i="6" s="1"/>
  <c r="AT103" i="6" a="1"/>
  <c r="AT103" i="6" s="1"/>
  <c r="AS103" i="6" a="1"/>
  <c r="AS103" i="6" s="1"/>
  <c r="AR103" i="6" a="1"/>
  <c r="AR103" i="6" s="1"/>
  <c r="AH103" i="6" a="1"/>
  <c r="AH103" i="6" s="1"/>
  <c r="AG103" i="6" a="1"/>
  <c r="AG103" i="6" s="1"/>
  <c r="V103" i="6" a="1"/>
  <c r="V103" i="6" s="1"/>
  <c r="U103" i="6" a="1"/>
  <c r="U103" i="6" s="1"/>
  <c r="J103" i="6" a="1"/>
  <c r="J103" i="6" s="1"/>
  <c r="I103" i="6" a="1"/>
  <c r="I103" i="6" s="1"/>
  <c r="ADA102" i="6" a="1"/>
  <c r="ADA102" i="6" s="1"/>
  <c r="ACZ102" i="6" a="1"/>
  <c r="ACZ102" i="6" s="1"/>
  <c r="ACY102" i="6" a="1"/>
  <c r="ACY102" i="6" s="1"/>
  <c r="ACN102" i="6" a="1"/>
  <c r="ACN102" i="6" s="1"/>
  <c r="ACM102" i="6" a="1"/>
  <c r="ACM102" i="6" s="1"/>
  <c r="ABU102" i="6" a="1"/>
  <c r="ABU102" i="6" s="1"/>
  <c r="ABX102" i="6" a="1"/>
  <c r="ABX102" i="6" s="1"/>
  <c r="ABV102" i="6" a="1"/>
  <c r="ABV102" i="6" s="1"/>
  <c r="ABH102" i="6" a="1"/>
  <c r="ABH102" i="6" s="1"/>
  <c r="ABG102" i="6" a="1"/>
  <c r="ABG102" i="6" s="1"/>
  <c r="ABF102" i="6" a="1"/>
  <c r="ABF102" i="6" s="1"/>
  <c r="ABE102" i="6" a="1"/>
  <c r="ABE102" i="6" s="1"/>
  <c r="ABD102" i="6" a="1"/>
  <c r="ABD102" i="6" s="1"/>
  <c r="ZR102" i="6" a="1"/>
  <c r="ZR102" i="6" s="1"/>
  <c r="ZE102" i="6" a="1"/>
  <c r="ZE102" i="6" s="1"/>
  <c r="ZD102" i="6" a="1"/>
  <c r="ZD102" i="6" s="1"/>
  <c r="ZC102" i="6" a="1"/>
  <c r="ZC102" i="6" s="1"/>
  <c r="ZB102" i="6" a="1"/>
  <c r="ZB102" i="6" s="1"/>
  <c r="ZA102" i="6" a="1"/>
  <c r="ZA102" i="6" s="1"/>
  <c r="YP102" i="6" a="1"/>
  <c r="YP102" i="6" s="1"/>
  <c r="YO102" i="6" a="1"/>
  <c r="YO102" i="6" s="1"/>
  <c r="YE102" i="6" a="1"/>
  <c r="YE102" i="6" s="1"/>
  <c r="YD102" i="6" a="1"/>
  <c r="YD102" i="6" s="1"/>
  <c r="XT102" i="6" a="1"/>
  <c r="XT102" i="6" s="1"/>
  <c r="XS102" i="6" a="1"/>
  <c r="XS102" i="6" s="1"/>
  <c r="XI102" i="6" a="1"/>
  <c r="XI102" i="6" s="1"/>
  <c r="XH102" i="6" a="1"/>
  <c r="XH102" i="6" s="1"/>
  <c r="WX102" i="6" a="1"/>
  <c r="WX102" i="6" s="1"/>
  <c r="WW102" i="6" a="1"/>
  <c r="WW102" i="6" s="1"/>
  <c r="WM102" i="6" a="1"/>
  <c r="WM102" i="6" s="1"/>
  <c r="WL102" i="6" a="1"/>
  <c r="WL102" i="6" s="1"/>
  <c r="WC102" i="6" a="1"/>
  <c r="WC102" i="6" s="1"/>
  <c r="VQ102" i="6" a="1"/>
  <c r="VQ102" i="6" s="1"/>
  <c r="VP102" i="6" a="1"/>
  <c r="VP102" i="6" s="1"/>
  <c r="VO102" i="6" a="1"/>
  <c r="VO102" i="6" s="1"/>
  <c r="VN102" i="6" a="1"/>
  <c r="VN102" i="6" s="1"/>
  <c r="VA102" i="6" a="1"/>
  <c r="VA102" i="6" s="1"/>
  <c r="UZ102" i="6" a="1"/>
  <c r="UZ102" i="6" s="1"/>
  <c r="UY102" i="6" a="1"/>
  <c r="UY102" i="6" s="1"/>
  <c r="UX102" i="6" a="1"/>
  <c r="UX102" i="6" s="1"/>
  <c r="UW102" i="6" a="1"/>
  <c r="UW102" i="6" s="1"/>
  <c r="UM102" i="6" a="1"/>
  <c r="UM102" i="6" s="1"/>
  <c r="TZ102" i="6" a="1"/>
  <c r="TZ102" i="6" s="1"/>
  <c r="TY102" i="6" a="1"/>
  <c r="TY102" i="6" s="1"/>
  <c r="TX102" i="6" a="1"/>
  <c r="TX102" i="6" s="1"/>
  <c r="TW102" i="6" a="1"/>
  <c r="TW102" i="6" s="1"/>
  <c r="TV102" i="6" a="1"/>
  <c r="TV102" i="6" s="1"/>
  <c r="TH102" i="6" a="1"/>
  <c r="TH102" i="6" s="1"/>
  <c r="TG102" i="6" a="1"/>
  <c r="TG102" i="6" s="1"/>
  <c r="TF102" i="6" a="1"/>
  <c r="TF102" i="6" s="1"/>
  <c r="TE102" i="6" a="1"/>
  <c r="TE102" i="6" s="1"/>
  <c r="TD102" i="6" a="1"/>
  <c r="TD102" i="6" s="1"/>
  <c r="SP102" i="6" a="1"/>
  <c r="SP102" i="6" s="1"/>
  <c r="SO102" i="6" a="1"/>
  <c r="SO102" i="6" s="1"/>
  <c r="SN102" i="6" a="1"/>
  <c r="SN102" i="6" s="1"/>
  <c r="SM102" i="6" a="1"/>
  <c r="SM102" i="6" s="1"/>
  <c r="SL102" i="6" a="1"/>
  <c r="SL102" i="6" s="1"/>
  <c r="RX102" i="6" a="1"/>
  <c r="RX102" i="6" s="1"/>
  <c r="RW102" i="6" a="1"/>
  <c r="RW102" i="6" s="1"/>
  <c r="RV102" i="6" a="1"/>
  <c r="RV102" i="6" s="1"/>
  <c r="RU102" i="6" a="1"/>
  <c r="RU102" i="6" s="1"/>
  <c r="RT102" i="6" a="1"/>
  <c r="RT102" i="6" s="1"/>
  <c r="RF102" i="6" a="1"/>
  <c r="RF102" i="6" s="1"/>
  <c r="RE102" i="6" a="1"/>
  <c r="RE102" i="6" s="1"/>
  <c r="RD102" i="6" a="1"/>
  <c r="RD102" i="6" s="1"/>
  <c r="RC102" i="6" a="1"/>
  <c r="RC102" i="6" s="1"/>
  <c r="RB102" i="6" a="1"/>
  <c r="RB102" i="6" s="1"/>
  <c r="QN102" i="6" a="1"/>
  <c r="QN102" i="6" s="1"/>
  <c r="QM102" i="6" a="1"/>
  <c r="QM102" i="6" s="1"/>
  <c r="QL102" i="6" a="1"/>
  <c r="QL102" i="6" s="1"/>
  <c r="QK102" i="6" a="1"/>
  <c r="QK102" i="6" s="1"/>
  <c r="QJ102" i="6" a="1"/>
  <c r="QJ102" i="6" s="1"/>
  <c r="PV102" i="6" a="1"/>
  <c r="PV102" i="6" s="1"/>
  <c r="PU102" i="6" a="1"/>
  <c r="PU102" i="6" s="1"/>
  <c r="PT102" i="6" a="1"/>
  <c r="PT102" i="6" s="1"/>
  <c r="PS102" i="6" a="1"/>
  <c r="PS102" i="6" s="1"/>
  <c r="PR102" i="6" a="1"/>
  <c r="PR102" i="6" s="1"/>
  <c r="PD102" i="6" a="1"/>
  <c r="PD102" i="6" s="1"/>
  <c r="PC102" i="6" a="1"/>
  <c r="PC102" i="6" s="1"/>
  <c r="PB102" i="6" a="1"/>
  <c r="PB102" i="6" s="1"/>
  <c r="PA102" i="6" a="1"/>
  <c r="PA102" i="6" s="1"/>
  <c r="OZ102" i="6" a="1"/>
  <c r="OZ102" i="6" s="1"/>
  <c r="OL102" i="6" a="1"/>
  <c r="OL102" i="6" s="1"/>
  <c r="OK102" i="6" a="1"/>
  <c r="OK102" i="6" s="1"/>
  <c r="OJ102" i="6" a="1"/>
  <c r="OJ102" i="6" s="1"/>
  <c r="OI102" i="6" a="1"/>
  <c r="OI102" i="6" s="1"/>
  <c r="OH102" i="6" a="1"/>
  <c r="OH102" i="6" s="1"/>
  <c r="NT102" i="6" a="1"/>
  <c r="NT102" i="6" s="1"/>
  <c r="NS102" i="6" a="1"/>
  <c r="NS102" i="6" s="1"/>
  <c r="NR102" i="6" a="1"/>
  <c r="NR102" i="6" s="1"/>
  <c r="NQ102" i="6" a="1"/>
  <c r="NQ102" i="6" s="1"/>
  <c r="NP102" i="6" a="1"/>
  <c r="NP102" i="6" s="1"/>
  <c r="NC102" i="6" a="1"/>
  <c r="NC102" i="6" s="1"/>
  <c r="NB102" i="6" a="1"/>
  <c r="NB102" i="6" s="1"/>
  <c r="NA102" i="6" a="1"/>
  <c r="NA102" i="6" s="1"/>
  <c r="MZ102" i="6" a="1"/>
  <c r="MZ102" i="6" s="1"/>
  <c r="MY102" i="6" a="1"/>
  <c r="MY102" i="6" s="1"/>
  <c r="MK102" i="6" a="1"/>
  <c r="MK102" i="6" s="1"/>
  <c r="MJ102" i="6" a="1"/>
  <c r="MJ102" i="6" s="1"/>
  <c r="MI102" i="6" a="1"/>
  <c r="MI102" i="6" s="1"/>
  <c r="MH102" i="6" a="1"/>
  <c r="MH102" i="6" s="1"/>
  <c r="MG102" i="6" a="1"/>
  <c r="MG102" i="6" s="1"/>
  <c r="LS102" i="6" a="1"/>
  <c r="LS102" i="6" s="1"/>
  <c r="LR102" i="6" a="1"/>
  <c r="LR102" i="6" s="1"/>
  <c r="LQ102" i="6" a="1"/>
  <c r="LQ102" i="6" s="1"/>
  <c r="LP102" i="6" a="1"/>
  <c r="LP102" i="6" s="1"/>
  <c r="LO102" i="6" a="1"/>
  <c r="LO102" i="6" s="1"/>
  <c r="LA102" i="6" a="1"/>
  <c r="LA102" i="6" s="1"/>
  <c r="KZ102" i="6" a="1"/>
  <c r="KZ102" i="6" s="1"/>
  <c r="KY102" i="6" a="1"/>
  <c r="KY102" i="6" s="1"/>
  <c r="KX102" i="6" a="1"/>
  <c r="KX102" i="6" s="1"/>
  <c r="KW102" i="6" a="1"/>
  <c r="KW102" i="6" s="1"/>
  <c r="KI102" i="6" a="1"/>
  <c r="KI102" i="6" s="1"/>
  <c r="KH102" i="6" a="1"/>
  <c r="KH102" i="6" s="1"/>
  <c r="KG102" i="6" a="1"/>
  <c r="KG102" i="6" s="1"/>
  <c r="KF102" i="6" a="1"/>
  <c r="KF102" i="6" s="1"/>
  <c r="KE102" i="6" a="1"/>
  <c r="KE102" i="6" s="1"/>
  <c r="JQ102" i="6" a="1"/>
  <c r="JQ102" i="6" s="1"/>
  <c r="JP102" i="6" a="1"/>
  <c r="JP102" i="6" s="1"/>
  <c r="JO102" i="6" a="1"/>
  <c r="JO102" i="6" s="1"/>
  <c r="JN102" i="6" a="1"/>
  <c r="JN102" i="6" s="1"/>
  <c r="JM102" i="6" a="1"/>
  <c r="JM102" i="6" s="1"/>
  <c r="IY102" i="6" a="1"/>
  <c r="IY102" i="6" s="1"/>
  <c r="IX102" i="6" a="1"/>
  <c r="IX102" i="6" s="1"/>
  <c r="IW102" i="6" a="1"/>
  <c r="IW102" i="6" s="1"/>
  <c r="IV102" i="6" a="1"/>
  <c r="IV102" i="6" s="1"/>
  <c r="IU102" i="6" a="1"/>
  <c r="IU102" i="6" s="1"/>
  <c r="IG102" i="6" a="1"/>
  <c r="IG102" i="6" s="1"/>
  <c r="IF102" i="6" a="1"/>
  <c r="IF102" i="6" s="1"/>
  <c r="IE102" i="6" a="1"/>
  <c r="IE102" i="6" s="1"/>
  <c r="ID102" i="6" a="1"/>
  <c r="ID102" i="6" s="1"/>
  <c r="IC102" i="6" a="1"/>
  <c r="IC102" i="6" s="1"/>
  <c r="HO102" i="6" a="1"/>
  <c r="HO102" i="6" s="1"/>
  <c r="HN102" i="6" a="1"/>
  <c r="HN102" i="6" s="1"/>
  <c r="HM102" i="6" a="1"/>
  <c r="HM102" i="6" s="1"/>
  <c r="HL102" i="6" a="1"/>
  <c r="HL102" i="6" s="1"/>
  <c r="HK102" i="6" a="1"/>
  <c r="HK102" i="6" s="1"/>
  <c r="GX102" i="6" a="1"/>
  <c r="GX102" i="6" s="1"/>
  <c r="GW102" i="6" a="1"/>
  <c r="GW102" i="6" s="1"/>
  <c r="GV102" i="6" a="1"/>
  <c r="GV102" i="6" s="1"/>
  <c r="GU102" i="6" a="1"/>
  <c r="GU102" i="6" s="1"/>
  <c r="GT102" i="6" a="1"/>
  <c r="GT102" i="6" s="1"/>
  <c r="GG102" i="6" a="1"/>
  <c r="GG102" i="6" s="1"/>
  <c r="GF102" i="6" a="1"/>
  <c r="GF102" i="6" s="1"/>
  <c r="GE102" i="6" a="1"/>
  <c r="GE102" i="6" s="1"/>
  <c r="GD102" i="6" a="1"/>
  <c r="GD102" i="6" s="1"/>
  <c r="GC102" i="6" a="1"/>
  <c r="GC102" i="6" s="1"/>
  <c r="FP102" i="6" a="1"/>
  <c r="FP102" i="6" s="1"/>
  <c r="FO102" i="6" a="1"/>
  <c r="FO102" i="6" s="1"/>
  <c r="FN102" i="6" a="1"/>
  <c r="FN102" i="6" s="1"/>
  <c r="FM102" i="6" a="1"/>
  <c r="FM102" i="6" s="1"/>
  <c r="FL102" i="6" a="1"/>
  <c r="FL102" i="6" s="1"/>
  <c r="EY102" i="6" a="1"/>
  <c r="EY102" i="6" s="1"/>
  <c r="EX102" i="6" a="1"/>
  <c r="EX102" i="6" s="1"/>
  <c r="EW102" i="6" a="1"/>
  <c r="EW102" i="6" s="1"/>
  <c r="EV102" i="6" a="1"/>
  <c r="EV102" i="6" s="1"/>
  <c r="EU102" i="6" a="1"/>
  <c r="EU102" i="6" s="1"/>
  <c r="EH102" i="6" a="1"/>
  <c r="EH102" i="6" s="1"/>
  <c r="EG102" i="6" a="1"/>
  <c r="EG102" i="6" s="1"/>
  <c r="EF102" i="6" a="1"/>
  <c r="EF102" i="6" s="1"/>
  <c r="EE102" i="6" a="1"/>
  <c r="EE102" i="6" s="1"/>
  <c r="ED102" i="6" a="1"/>
  <c r="ED102" i="6" s="1"/>
  <c r="DQ102" i="6" a="1"/>
  <c r="DQ102" i="6" s="1"/>
  <c r="DP102" i="6" a="1"/>
  <c r="DP102" i="6" s="1"/>
  <c r="DO102" i="6" a="1"/>
  <c r="DO102" i="6" s="1"/>
  <c r="DN102" i="6" a="1"/>
  <c r="DN102" i="6" s="1"/>
  <c r="DM102" i="6" a="1"/>
  <c r="DM102" i="6" s="1"/>
  <c r="DD102" i="6" a="1"/>
  <c r="DD102" i="6" s="1"/>
  <c r="CU102" i="6" a="1"/>
  <c r="CU102" i="6" s="1"/>
  <c r="CL102" i="6" a="1"/>
  <c r="CL102" i="6" s="1"/>
  <c r="BX102" i="6" a="1"/>
  <c r="BX102" i="6" s="1"/>
  <c r="BW102" i="6" a="1"/>
  <c r="BW102" i="6" s="1"/>
  <c r="BV102" i="6" a="1"/>
  <c r="BV102" i="6" s="1"/>
  <c r="BU102" i="6" a="1"/>
  <c r="BU102" i="6" s="1"/>
  <c r="BT102" i="6" a="1"/>
  <c r="BT102" i="6" s="1"/>
  <c r="BS102" i="6" a="1"/>
  <c r="BS102" i="6" s="1"/>
  <c r="BA102" i="6" a="1"/>
  <c r="BA102" i="6" s="1"/>
  <c r="AZ102" i="6" a="1"/>
  <c r="AZ102" i="6" s="1"/>
  <c r="AY102" i="6" a="1"/>
  <c r="AY102" i="6" s="1"/>
  <c r="AX102" i="6" a="1"/>
  <c r="AX102" i="6" s="1"/>
  <c r="AW102" i="6" a="1"/>
  <c r="AW102" i="6" s="1"/>
  <c r="AV102" i="6" a="1"/>
  <c r="AV102" i="6" s="1"/>
  <c r="AU102" i="6" a="1"/>
  <c r="AU102" i="6" s="1"/>
  <c r="AT102" i="6" a="1"/>
  <c r="AT102" i="6" s="1"/>
  <c r="AS102" i="6" a="1"/>
  <c r="AS102" i="6" s="1"/>
  <c r="AR102" i="6" a="1"/>
  <c r="AR102" i="6" s="1"/>
  <c r="AH102" i="6" a="1"/>
  <c r="AH102" i="6" s="1"/>
  <c r="AG102" i="6" a="1"/>
  <c r="AG102" i="6" s="1"/>
  <c r="V102" i="6" a="1"/>
  <c r="V102" i="6" s="1"/>
  <c r="U102" i="6" a="1"/>
  <c r="U102" i="6" s="1"/>
  <c r="J102" i="6" a="1"/>
  <c r="J102" i="6" s="1"/>
  <c r="I102" i="6" a="1"/>
  <c r="I102" i="6" s="1"/>
  <c r="ADA101" i="6" a="1"/>
  <c r="ADA101" i="6" s="1"/>
  <c r="ACZ101" i="6" a="1"/>
  <c r="ACZ101" i="6" s="1"/>
  <c r="ACY101" i="6" a="1"/>
  <c r="ACY101" i="6" s="1"/>
  <c r="ACN101" i="6" a="1"/>
  <c r="ACN101" i="6" s="1"/>
  <c r="ACM101" i="6" a="1"/>
  <c r="ACM101" i="6" s="1"/>
  <c r="ACL101" i="6" s="1"/>
  <c r="ABU101" i="6" a="1"/>
  <c r="ABU101" i="6" s="1"/>
  <c r="ABX101" i="6" a="1"/>
  <c r="ABX101" i="6" s="1"/>
  <c r="ABV101" i="6" a="1"/>
  <c r="ABV101" i="6" s="1"/>
  <c r="ABH101" i="6" a="1"/>
  <c r="ABH101" i="6" s="1"/>
  <c r="ABG101" i="6" a="1"/>
  <c r="ABG101" i="6" s="1"/>
  <c r="ABF101" i="6" a="1"/>
  <c r="ABF101" i="6" s="1"/>
  <c r="ABE101" i="6" a="1"/>
  <c r="ABE101" i="6" s="1"/>
  <c r="ABD101" i="6" a="1"/>
  <c r="ABD101" i="6" s="1"/>
  <c r="ZR101" i="6" a="1"/>
  <c r="ZR101" i="6" s="1"/>
  <c r="ZE101" i="6" a="1"/>
  <c r="ZE101" i="6" s="1"/>
  <c r="ZD101" i="6" a="1"/>
  <c r="ZD101" i="6" s="1"/>
  <c r="ZC101" i="6" a="1"/>
  <c r="ZC101" i="6" s="1"/>
  <c r="ZB101" i="6" a="1"/>
  <c r="ZB101" i="6" s="1"/>
  <c r="ZA101" i="6" a="1"/>
  <c r="ZA101" i="6" s="1"/>
  <c r="YP101" i="6" a="1"/>
  <c r="YP101" i="6" s="1"/>
  <c r="YO101" i="6" a="1"/>
  <c r="YO101" i="6" s="1"/>
  <c r="YE101" i="6" a="1"/>
  <c r="YE101" i="6" s="1"/>
  <c r="YD101" i="6" a="1"/>
  <c r="YD101" i="6" s="1"/>
  <c r="XT101" i="6" a="1"/>
  <c r="XT101" i="6" s="1"/>
  <c r="XS101" i="6" a="1"/>
  <c r="XS101" i="6" s="1"/>
  <c r="XI101" i="6" a="1"/>
  <c r="XI101" i="6" s="1"/>
  <c r="XH101" i="6" a="1"/>
  <c r="XH101" i="6" s="1"/>
  <c r="WX101" i="6" a="1"/>
  <c r="WX101" i="6" s="1"/>
  <c r="WW101" i="6" a="1"/>
  <c r="WW101" i="6" s="1"/>
  <c r="WM101" i="6" a="1"/>
  <c r="WM101" i="6" s="1"/>
  <c r="WL101" i="6" a="1"/>
  <c r="WL101" i="6" s="1"/>
  <c r="WC101" i="6" a="1"/>
  <c r="WC101" i="6" s="1"/>
  <c r="VQ101" i="6" a="1"/>
  <c r="VQ101" i="6" s="1"/>
  <c r="VP101" i="6" a="1"/>
  <c r="VP101" i="6" s="1"/>
  <c r="VO101" i="6" a="1"/>
  <c r="VO101" i="6" s="1"/>
  <c r="VN101" i="6" a="1"/>
  <c r="VN101" i="6" s="1"/>
  <c r="VA101" i="6" a="1"/>
  <c r="VA101" i="6" s="1"/>
  <c r="UZ101" i="6" a="1"/>
  <c r="UZ101" i="6" s="1"/>
  <c r="UY101" i="6" a="1"/>
  <c r="UY101" i="6" s="1"/>
  <c r="UX101" i="6" a="1"/>
  <c r="UX101" i="6" s="1"/>
  <c r="UW101" i="6" a="1"/>
  <c r="UW101" i="6" s="1"/>
  <c r="UM101" i="6" a="1"/>
  <c r="UM101" i="6" s="1"/>
  <c r="TZ101" i="6" a="1"/>
  <c r="TZ101" i="6" s="1"/>
  <c r="TY101" i="6" a="1"/>
  <c r="TY101" i="6" s="1"/>
  <c r="TX101" i="6" a="1"/>
  <c r="TX101" i="6" s="1"/>
  <c r="TW101" i="6" a="1"/>
  <c r="TW101" i="6" s="1"/>
  <c r="TV101" i="6" a="1"/>
  <c r="TV101" i="6" s="1"/>
  <c r="TH101" i="6" a="1"/>
  <c r="TH101" i="6" s="1"/>
  <c r="TG101" i="6" a="1"/>
  <c r="TG101" i="6" s="1"/>
  <c r="TF101" i="6" a="1"/>
  <c r="TF101" i="6" s="1"/>
  <c r="TE101" i="6" a="1"/>
  <c r="TE101" i="6" s="1"/>
  <c r="TD101" i="6" a="1"/>
  <c r="TD101" i="6" s="1"/>
  <c r="SP101" i="6" a="1"/>
  <c r="SP101" i="6" s="1"/>
  <c r="SO101" i="6" a="1"/>
  <c r="SO101" i="6" s="1"/>
  <c r="SN101" i="6" a="1"/>
  <c r="SN101" i="6" s="1"/>
  <c r="SM101" i="6" a="1"/>
  <c r="SM101" i="6" s="1"/>
  <c r="SL101" i="6" a="1"/>
  <c r="SL101" i="6" s="1"/>
  <c r="RX101" i="6" a="1"/>
  <c r="RX101" i="6" s="1"/>
  <c r="RW101" i="6" a="1"/>
  <c r="RW101" i="6" s="1"/>
  <c r="RV101" i="6" a="1"/>
  <c r="RV101" i="6" s="1"/>
  <c r="RU101" i="6" a="1"/>
  <c r="RU101" i="6" s="1"/>
  <c r="RT101" i="6" a="1"/>
  <c r="RT101" i="6" s="1"/>
  <c r="RF101" i="6" a="1"/>
  <c r="RF101" i="6" s="1"/>
  <c r="RE101" i="6" a="1"/>
  <c r="RE101" i="6" s="1"/>
  <c r="RD101" i="6" a="1"/>
  <c r="RD101" i="6" s="1"/>
  <c r="RC101" i="6" a="1"/>
  <c r="RC101" i="6" s="1"/>
  <c r="RB101" i="6" a="1"/>
  <c r="RB101" i="6" s="1"/>
  <c r="QN101" i="6" a="1"/>
  <c r="QN101" i="6" s="1"/>
  <c r="QM101" i="6" a="1"/>
  <c r="QM101" i="6" s="1"/>
  <c r="QL101" i="6" a="1"/>
  <c r="QL101" i="6" s="1"/>
  <c r="QK101" i="6" a="1"/>
  <c r="QK101" i="6" s="1"/>
  <c r="QJ101" i="6" a="1"/>
  <c r="QJ101" i="6" s="1"/>
  <c r="PV101" i="6" a="1"/>
  <c r="PV101" i="6" s="1"/>
  <c r="PU101" i="6" a="1"/>
  <c r="PU101" i="6" s="1"/>
  <c r="PT101" i="6" a="1"/>
  <c r="PT101" i="6" s="1"/>
  <c r="PS101" i="6" a="1"/>
  <c r="PS101" i="6" s="1"/>
  <c r="PR101" i="6" a="1"/>
  <c r="PR101" i="6" s="1"/>
  <c r="PD101" i="6" a="1"/>
  <c r="PD101" i="6" s="1"/>
  <c r="PC101" i="6" a="1"/>
  <c r="PC101" i="6" s="1"/>
  <c r="PB101" i="6" a="1"/>
  <c r="PB101" i="6" s="1"/>
  <c r="PA101" i="6" a="1"/>
  <c r="PA101" i="6" s="1"/>
  <c r="OZ101" i="6" a="1"/>
  <c r="OZ101" i="6" s="1"/>
  <c r="OL101" i="6" a="1"/>
  <c r="OL101" i="6" s="1"/>
  <c r="OK101" i="6" a="1"/>
  <c r="OK101" i="6" s="1"/>
  <c r="OJ101" i="6" a="1"/>
  <c r="OJ101" i="6" s="1"/>
  <c r="OI101" i="6" a="1"/>
  <c r="OI101" i="6" s="1"/>
  <c r="OH101" i="6" a="1"/>
  <c r="OH101" i="6" s="1"/>
  <c r="NT101" i="6" a="1"/>
  <c r="NT101" i="6" s="1"/>
  <c r="NS101" i="6" a="1"/>
  <c r="NS101" i="6" s="1"/>
  <c r="NR101" i="6" a="1"/>
  <c r="NR101" i="6" s="1"/>
  <c r="NQ101" i="6" a="1"/>
  <c r="NQ101" i="6" s="1"/>
  <c r="NP101" i="6" a="1"/>
  <c r="NP101" i="6" s="1"/>
  <c r="NC101" i="6" a="1"/>
  <c r="NC101" i="6" s="1"/>
  <c r="NB101" i="6" a="1"/>
  <c r="NB101" i="6" s="1"/>
  <c r="NA101" i="6" a="1"/>
  <c r="NA101" i="6" s="1"/>
  <c r="MZ101" i="6" a="1"/>
  <c r="MZ101" i="6" s="1"/>
  <c r="MY101" i="6" a="1"/>
  <c r="MY101" i="6" s="1"/>
  <c r="MK101" i="6" a="1"/>
  <c r="MK101" i="6" s="1"/>
  <c r="MJ101" i="6" a="1"/>
  <c r="MJ101" i="6" s="1"/>
  <c r="MI101" i="6" a="1"/>
  <c r="MI101" i="6" s="1"/>
  <c r="MH101" i="6" a="1"/>
  <c r="MH101" i="6" s="1"/>
  <c r="MG101" i="6" a="1"/>
  <c r="MG101" i="6" s="1"/>
  <c r="LS101" i="6" a="1"/>
  <c r="LS101" i="6" s="1"/>
  <c r="LR101" i="6" a="1"/>
  <c r="LR101" i="6" s="1"/>
  <c r="LQ101" i="6" a="1"/>
  <c r="LQ101" i="6" s="1"/>
  <c r="LP101" i="6" a="1"/>
  <c r="LP101" i="6" s="1"/>
  <c r="LO101" i="6" a="1"/>
  <c r="LO101" i="6" s="1"/>
  <c r="LA101" i="6" a="1"/>
  <c r="LA101" i="6" s="1"/>
  <c r="KZ101" i="6" a="1"/>
  <c r="KZ101" i="6" s="1"/>
  <c r="KY101" i="6" a="1"/>
  <c r="KY101" i="6" s="1"/>
  <c r="KX101" i="6" a="1"/>
  <c r="KX101" i="6" s="1"/>
  <c r="KW101" i="6" a="1"/>
  <c r="KW101" i="6" s="1"/>
  <c r="KI101" i="6" a="1"/>
  <c r="KI101" i="6" s="1"/>
  <c r="KH101" i="6" a="1"/>
  <c r="KH101" i="6" s="1"/>
  <c r="KG101" i="6" a="1"/>
  <c r="KG101" i="6" s="1"/>
  <c r="KF101" i="6" a="1"/>
  <c r="KF101" i="6" s="1"/>
  <c r="KE101" i="6" a="1"/>
  <c r="KE101" i="6" s="1"/>
  <c r="JQ101" i="6" a="1"/>
  <c r="JQ101" i="6" s="1"/>
  <c r="JP101" i="6" a="1"/>
  <c r="JP101" i="6" s="1"/>
  <c r="JO101" i="6" a="1"/>
  <c r="JO101" i="6" s="1"/>
  <c r="JN101" i="6" a="1"/>
  <c r="JN101" i="6" s="1"/>
  <c r="JM101" i="6" a="1"/>
  <c r="JM101" i="6" s="1"/>
  <c r="IY101" i="6" a="1"/>
  <c r="IY101" i="6" s="1"/>
  <c r="IX101" i="6" a="1"/>
  <c r="IX101" i="6" s="1"/>
  <c r="IW101" i="6" a="1"/>
  <c r="IW101" i="6" s="1"/>
  <c r="IV101" i="6" a="1"/>
  <c r="IV101" i="6" s="1"/>
  <c r="IU101" i="6" a="1"/>
  <c r="IU101" i="6" s="1"/>
  <c r="IG101" i="6" a="1"/>
  <c r="IG101" i="6" s="1"/>
  <c r="IF101" i="6" a="1"/>
  <c r="IF101" i="6" s="1"/>
  <c r="IE101" i="6" a="1"/>
  <c r="IE101" i="6" s="1"/>
  <c r="ID101" i="6" a="1"/>
  <c r="ID101" i="6" s="1"/>
  <c r="IC101" i="6" a="1"/>
  <c r="IC101" i="6" s="1"/>
  <c r="HO101" i="6" a="1"/>
  <c r="HO101" i="6" s="1"/>
  <c r="HN101" i="6" a="1"/>
  <c r="HN101" i="6" s="1"/>
  <c r="HM101" i="6" a="1"/>
  <c r="HM101" i="6" s="1"/>
  <c r="HL101" i="6" a="1"/>
  <c r="HL101" i="6" s="1"/>
  <c r="HK101" i="6" a="1"/>
  <c r="HK101" i="6" s="1"/>
  <c r="GX101" i="6" a="1"/>
  <c r="GX101" i="6" s="1"/>
  <c r="GW101" i="6" a="1"/>
  <c r="GW101" i="6" s="1"/>
  <c r="GV101" i="6" a="1"/>
  <c r="GV101" i="6" s="1"/>
  <c r="GU101" i="6" a="1"/>
  <c r="GU101" i="6" s="1"/>
  <c r="GT101" i="6" a="1"/>
  <c r="GT101" i="6" s="1"/>
  <c r="GG101" i="6" a="1"/>
  <c r="GG101" i="6" s="1"/>
  <c r="GF101" i="6" a="1"/>
  <c r="GF101" i="6" s="1"/>
  <c r="GE101" i="6" a="1"/>
  <c r="GE101" i="6" s="1"/>
  <c r="GD101" i="6" a="1"/>
  <c r="GD101" i="6" s="1"/>
  <c r="GC101" i="6" a="1"/>
  <c r="GC101" i="6" s="1"/>
  <c r="FP101" i="6" a="1"/>
  <c r="FP101" i="6" s="1"/>
  <c r="FO101" i="6" a="1"/>
  <c r="FO101" i="6" s="1"/>
  <c r="FN101" i="6" a="1"/>
  <c r="FN101" i="6" s="1"/>
  <c r="FM101" i="6" a="1"/>
  <c r="FM101" i="6" s="1"/>
  <c r="FL101" i="6" a="1"/>
  <c r="FL101" i="6" s="1"/>
  <c r="EY101" i="6" a="1"/>
  <c r="EY101" i="6" s="1"/>
  <c r="EX101" i="6" a="1"/>
  <c r="EX101" i="6" s="1"/>
  <c r="EW101" i="6" a="1"/>
  <c r="EW101" i="6" s="1"/>
  <c r="EV101" i="6" a="1"/>
  <c r="EV101" i="6" s="1"/>
  <c r="EU101" i="6" a="1"/>
  <c r="EU101" i="6" s="1"/>
  <c r="EH101" i="6" a="1"/>
  <c r="EH101" i="6" s="1"/>
  <c r="EG101" i="6" a="1"/>
  <c r="EG101" i="6" s="1"/>
  <c r="EF101" i="6" a="1"/>
  <c r="EF101" i="6" s="1"/>
  <c r="EE101" i="6" a="1"/>
  <c r="EE101" i="6" s="1"/>
  <c r="ED101" i="6" a="1"/>
  <c r="ED101" i="6" s="1"/>
  <c r="DQ101" i="6" a="1"/>
  <c r="DQ101" i="6" s="1"/>
  <c r="DP101" i="6" a="1"/>
  <c r="DP101" i="6" s="1"/>
  <c r="DO101" i="6" a="1"/>
  <c r="DO101" i="6" s="1"/>
  <c r="DN101" i="6" a="1"/>
  <c r="DN101" i="6" s="1"/>
  <c r="DM101" i="6" a="1"/>
  <c r="DM101" i="6" s="1"/>
  <c r="DD101" i="6" a="1"/>
  <c r="DD101" i="6" s="1"/>
  <c r="CU101" i="6" a="1"/>
  <c r="CU101" i="6" s="1"/>
  <c r="CL101" i="6" a="1"/>
  <c r="CL101" i="6" s="1"/>
  <c r="BX101" i="6" a="1"/>
  <c r="BX101" i="6" s="1"/>
  <c r="BW101" i="6" a="1"/>
  <c r="BW101" i="6" s="1"/>
  <c r="BV101" i="6" a="1"/>
  <c r="BV101" i="6" s="1"/>
  <c r="BU101" i="6" a="1"/>
  <c r="BU101" i="6" s="1"/>
  <c r="BT101" i="6" a="1"/>
  <c r="BT101" i="6" s="1"/>
  <c r="BS101" i="6" a="1"/>
  <c r="BS101" i="6" s="1"/>
  <c r="BA101" i="6" a="1"/>
  <c r="BA101" i="6" s="1"/>
  <c r="AZ101" i="6" a="1"/>
  <c r="AZ101" i="6" s="1"/>
  <c r="AY101" i="6" a="1"/>
  <c r="AY101" i="6" s="1"/>
  <c r="AX101" i="6" a="1"/>
  <c r="AX101" i="6" s="1"/>
  <c r="AW101" i="6" a="1"/>
  <c r="AW101" i="6" s="1"/>
  <c r="AV101" i="6" a="1"/>
  <c r="AV101" i="6" s="1"/>
  <c r="AU101" i="6" a="1"/>
  <c r="AU101" i="6" s="1"/>
  <c r="AT101" i="6" a="1"/>
  <c r="AT101" i="6" s="1"/>
  <c r="AS101" i="6" a="1"/>
  <c r="AS101" i="6" s="1"/>
  <c r="AR101" i="6" a="1"/>
  <c r="AR101" i="6" s="1"/>
  <c r="AH101" i="6" a="1"/>
  <c r="AH101" i="6" s="1"/>
  <c r="AG101" i="6" a="1"/>
  <c r="AG101" i="6" s="1"/>
  <c r="V101" i="6" a="1"/>
  <c r="V101" i="6" s="1"/>
  <c r="U101" i="6" a="1"/>
  <c r="U101" i="6" s="1"/>
  <c r="J101" i="6" a="1"/>
  <c r="J101" i="6" s="1"/>
  <c r="I101" i="6" a="1"/>
  <c r="I101" i="6" s="1"/>
  <c r="ADA100" i="6" a="1"/>
  <c r="ADA100" i="6" s="1"/>
  <c r="ACZ100" i="6" a="1"/>
  <c r="ACZ100" i="6" s="1"/>
  <c r="ACY100" i="6" a="1"/>
  <c r="ACY100" i="6" s="1"/>
  <c r="ACN100" i="6" a="1"/>
  <c r="ACN100" i="6" s="1"/>
  <c r="ACM100" i="6" a="1"/>
  <c r="ACM100" i="6" s="1"/>
  <c r="ABU100" i="6" a="1"/>
  <c r="ABU100" i="6" s="1"/>
  <c r="ABX100" i="6" a="1"/>
  <c r="ABX100" i="6" s="1"/>
  <c r="ABV100" i="6" a="1"/>
  <c r="ABV100" i="6" s="1"/>
  <c r="ABH100" i="6" a="1"/>
  <c r="ABH100" i="6" s="1"/>
  <c r="ABG100" i="6" a="1"/>
  <c r="ABG100" i="6" s="1"/>
  <c r="ABF100" i="6" a="1"/>
  <c r="ABF100" i="6" s="1"/>
  <c r="ABE100" i="6" a="1"/>
  <c r="ABE100" i="6" s="1"/>
  <c r="ABD100" i="6" a="1"/>
  <c r="ABD100" i="6" s="1"/>
  <c r="ZR100" i="6" a="1"/>
  <c r="ZR100" i="6" s="1"/>
  <c r="ZE100" i="6" a="1"/>
  <c r="ZE100" i="6" s="1"/>
  <c r="ZD100" i="6" a="1"/>
  <c r="ZD100" i="6" s="1"/>
  <c r="ZC100" i="6" a="1"/>
  <c r="ZC100" i="6" s="1"/>
  <c r="ZB100" i="6" a="1"/>
  <c r="ZB100" i="6" s="1"/>
  <c r="ZA100" i="6" a="1"/>
  <c r="ZA100" i="6" s="1"/>
  <c r="YP100" i="6" a="1"/>
  <c r="YP100" i="6" s="1"/>
  <c r="YO100" i="6" a="1"/>
  <c r="YO100" i="6" s="1"/>
  <c r="YE100" i="6" a="1"/>
  <c r="YE100" i="6" s="1"/>
  <c r="YD100" i="6" a="1"/>
  <c r="YD100" i="6" s="1"/>
  <c r="XT100" i="6" a="1"/>
  <c r="XT100" i="6" s="1"/>
  <c r="XS100" i="6" a="1"/>
  <c r="XS100" i="6" s="1"/>
  <c r="XI100" i="6" a="1"/>
  <c r="XI100" i="6" s="1"/>
  <c r="XH100" i="6" a="1"/>
  <c r="XH100" i="6" s="1"/>
  <c r="WX100" i="6" a="1"/>
  <c r="WX100" i="6" s="1"/>
  <c r="WW100" i="6" a="1"/>
  <c r="WW100" i="6" s="1"/>
  <c r="WM100" i="6" a="1"/>
  <c r="WM100" i="6" s="1"/>
  <c r="WL100" i="6" a="1"/>
  <c r="WL100" i="6" s="1"/>
  <c r="WC100" i="6" a="1"/>
  <c r="WC100" i="6" s="1"/>
  <c r="VQ100" i="6" a="1"/>
  <c r="VQ100" i="6" s="1"/>
  <c r="VP100" i="6" a="1"/>
  <c r="VP100" i="6" s="1"/>
  <c r="VO100" i="6" a="1"/>
  <c r="VO100" i="6" s="1"/>
  <c r="VN100" i="6" a="1"/>
  <c r="VN100" i="6" s="1"/>
  <c r="VA100" i="6" a="1"/>
  <c r="VA100" i="6" s="1"/>
  <c r="UZ100" i="6" a="1"/>
  <c r="UZ100" i="6" s="1"/>
  <c r="UY100" i="6" a="1"/>
  <c r="UY100" i="6" s="1"/>
  <c r="UX100" i="6" a="1"/>
  <c r="UX100" i="6" s="1"/>
  <c r="UW100" i="6" a="1"/>
  <c r="UW100" i="6" s="1"/>
  <c r="UM100" i="6" a="1"/>
  <c r="UM100" i="6" s="1"/>
  <c r="TZ100" i="6" a="1"/>
  <c r="TZ100" i="6" s="1"/>
  <c r="TY100" i="6" a="1"/>
  <c r="TY100" i="6" s="1"/>
  <c r="TX100" i="6" a="1"/>
  <c r="TX100" i="6" s="1"/>
  <c r="TW100" i="6" a="1"/>
  <c r="TW100" i="6" s="1"/>
  <c r="TV100" i="6" a="1"/>
  <c r="TV100" i="6" s="1"/>
  <c r="TH100" i="6" a="1"/>
  <c r="TH100" i="6" s="1"/>
  <c r="TG100" i="6" a="1"/>
  <c r="TG100" i="6" s="1"/>
  <c r="TF100" i="6" a="1"/>
  <c r="TF100" i="6" s="1"/>
  <c r="TE100" i="6" a="1"/>
  <c r="TE100" i="6" s="1"/>
  <c r="TD100" i="6" a="1"/>
  <c r="TD100" i="6" s="1"/>
  <c r="SP100" i="6" a="1"/>
  <c r="SP100" i="6" s="1"/>
  <c r="SO100" i="6" a="1"/>
  <c r="SO100" i="6" s="1"/>
  <c r="SN100" i="6" a="1"/>
  <c r="SN100" i="6" s="1"/>
  <c r="SM100" i="6" a="1"/>
  <c r="SM100" i="6" s="1"/>
  <c r="SL100" i="6" a="1"/>
  <c r="SL100" i="6" s="1"/>
  <c r="RX100" i="6" a="1"/>
  <c r="RX100" i="6" s="1"/>
  <c r="RW100" i="6" a="1"/>
  <c r="RW100" i="6" s="1"/>
  <c r="RV100" i="6" a="1"/>
  <c r="RV100" i="6" s="1"/>
  <c r="RU100" i="6" a="1"/>
  <c r="RU100" i="6" s="1"/>
  <c r="RT100" i="6" a="1"/>
  <c r="RT100" i="6" s="1"/>
  <c r="RF100" i="6" a="1"/>
  <c r="RF100" i="6" s="1"/>
  <c r="RE100" i="6" a="1"/>
  <c r="RE100" i="6" s="1"/>
  <c r="RD100" i="6" a="1"/>
  <c r="RD100" i="6" s="1"/>
  <c r="RC100" i="6" a="1"/>
  <c r="RC100" i="6" s="1"/>
  <c r="RB100" i="6" a="1"/>
  <c r="RB100" i="6" s="1"/>
  <c r="QN100" i="6" a="1"/>
  <c r="QN100" i="6" s="1"/>
  <c r="QM100" i="6" a="1"/>
  <c r="QM100" i="6" s="1"/>
  <c r="QL100" i="6" a="1"/>
  <c r="QL100" i="6" s="1"/>
  <c r="QK100" i="6" a="1"/>
  <c r="QK100" i="6" s="1"/>
  <c r="QJ100" i="6" a="1"/>
  <c r="QJ100" i="6" s="1"/>
  <c r="PV100" i="6" a="1"/>
  <c r="PV100" i="6" s="1"/>
  <c r="PU100" i="6" a="1"/>
  <c r="PU100" i="6" s="1"/>
  <c r="PT100" i="6" a="1"/>
  <c r="PT100" i="6" s="1"/>
  <c r="PS100" i="6" a="1"/>
  <c r="PS100" i="6" s="1"/>
  <c r="PR100" i="6" a="1"/>
  <c r="PR100" i="6" s="1"/>
  <c r="PD100" i="6" a="1"/>
  <c r="PD100" i="6" s="1"/>
  <c r="PC100" i="6" a="1"/>
  <c r="PC100" i="6" s="1"/>
  <c r="PB100" i="6" a="1"/>
  <c r="PB100" i="6" s="1"/>
  <c r="PA100" i="6" a="1"/>
  <c r="PA100" i="6" s="1"/>
  <c r="OZ100" i="6" a="1"/>
  <c r="OZ100" i="6" s="1"/>
  <c r="OL100" i="6" a="1"/>
  <c r="OL100" i="6" s="1"/>
  <c r="OK100" i="6" a="1"/>
  <c r="OK100" i="6" s="1"/>
  <c r="OJ100" i="6" a="1"/>
  <c r="OJ100" i="6" s="1"/>
  <c r="OI100" i="6" a="1"/>
  <c r="OI100" i="6" s="1"/>
  <c r="OH100" i="6" a="1"/>
  <c r="OH100" i="6" s="1"/>
  <c r="NT100" i="6" a="1"/>
  <c r="NT100" i="6" s="1"/>
  <c r="NS100" i="6" a="1"/>
  <c r="NS100" i="6" s="1"/>
  <c r="NR100" i="6" a="1"/>
  <c r="NR100" i="6" s="1"/>
  <c r="NQ100" i="6" a="1"/>
  <c r="NQ100" i="6" s="1"/>
  <c r="NP100" i="6" a="1"/>
  <c r="NP100" i="6" s="1"/>
  <c r="NC100" i="6" a="1"/>
  <c r="NC100" i="6" s="1"/>
  <c r="NB100" i="6" a="1"/>
  <c r="NB100" i="6" s="1"/>
  <c r="NA100" i="6" a="1"/>
  <c r="NA100" i="6" s="1"/>
  <c r="MZ100" i="6" a="1"/>
  <c r="MZ100" i="6" s="1"/>
  <c r="MY100" i="6" a="1"/>
  <c r="MY100" i="6" s="1"/>
  <c r="MK100" i="6" a="1"/>
  <c r="MK100" i="6" s="1"/>
  <c r="MJ100" i="6" a="1"/>
  <c r="MJ100" i="6" s="1"/>
  <c r="MI100" i="6" a="1"/>
  <c r="MI100" i="6" s="1"/>
  <c r="MH100" i="6" a="1"/>
  <c r="MH100" i="6" s="1"/>
  <c r="MG100" i="6" a="1"/>
  <c r="MG100" i="6" s="1"/>
  <c r="LS100" i="6" a="1"/>
  <c r="LS100" i="6" s="1"/>
  <c r="LR100" i="6" a="1"/>
  <c r="LR100" i="6" s="1"/>
  <c r="LQ100" i="6" a="1"/>
  <c r="LQ100" i="6" s="1"/>
  <c r="LP100" i="6" a="1"/>
  <c r="LP100" i="6" s="1"/>
  <c r="LO100" i="6" a="1"/>
  <c r="LO100" i="6" s="1"/>
  <c r="LA100" i="6" a="1"/>
  <c r="LA100" i="6" s="1"/>
  <c r="KZ100" i="6" a="1"/>
  <c r="KZ100" i="6" s="1"/>
  <c r="KY100" i="6" a="1"/>
  <c r="KY100" i="6" s="1"/>
  <c r="KX100" i="6" a="1"/>
  <c r="KX100" i="6" s="1"/>
  <c r="KW100" i="6" a="1"/>
  <c r="KW100" i="6" s="1"/>
  <c r="KI100" i="6" a="1"/>
  <c r="KI100" i="6" s="1"/>
  <c r="KH100" i="6" a="1"/>
  <c r="KH100" i="6" s="1"/>
  <c r="KG100" i="6" a="1"/>
  <c r="KG100" i="6" s="1"/>
  <c r="KF100" i="6" a="1"/>
  <c r="KF100" i="6" s="1"/>
  <c r="KE100" i="6" a="1"/>
  <c r="KE100" i="6" s="1"/>
  <c r="JQ100" i="6" a="1"/>
  <c r="JQ100" i="6" s="1"/>
  <c r="JP100" i="6" a="1"/>
  <c r="JP100" i="6" s="1"/>
  <c r="JO100" i="6" a="1"/>
  <c r="JO100" i="6" s="1"/>
  <c r="JN100" i="6" a="1"/>
  <c r="JN100" i="6" s="1"/>
  <c r="JM100" i="6" a="1"/>
  <c r="JM100" i="6" s="1"/>
  <c r="IY100" i="6" a="1"/>
  <c r="IY100" i="6" s="1"/>
  <c r="IX100" i="6" a="1"/>
  <c r="IX100" i="6" s="1"/>
  <c r="IW100" i="6" a="1"/>
  <c r="IW100" i="6" s="1"/>
  <c r="IV100" i="6" a="1"/>
  <c r="IV100" i="6" s="1"/>
  <c r="IU100" i="6" a="1"/>
  <c r="IU100" i="6" s="1"/>
  <c r="IG100" i="6" a="1"/>
  <c r="IG100" i="6" s="1"/>
  <c r="IF100" i="6" a="1"/>
  <c r="IF100" i="6" s="1"/>
  <c r="IE100" i="6" a="1"/>
  <c r="IE100" i="6" s="1"/>
  <c r="ID100" i="6" a="1"/>
  <c r="ID100" i="6" s="1"/>
  <c r="IC100" i="6" a="1"/>
  <c r="IC100" i="6" s="1"/>
  <c r="HO100" i="6" a="1"/>
  <c r="HO100" i="6" s="1"/>
  <c r="HN100" i="6" a="1"/>
  <c r="HN100" i="6" s="1"/>
  <c r="HM100" i="6" a="1"/>
  <c r="HM100" i="6" s="1"/>
  <c r="HL100" i="6" a="1"/>
  <c r="HL100" i="6" s="1"/>
  <c r="HK100" i="6" a="1"/>
  <c r="HK100" i="6" s="1"/>
  <c r="GX100" i="6" a="1"/>
  <c r="GX100" i="6" s="1"/>
  <c r="GW100" i="6" a="1"/>
  <c r="GW100" i="6" s="1"/>
  <c r="GV100" i="6" a="1"/>
  <c r="GV100" i="6" s="1"/>
  <c r="GU100" i="6" a="1"/>
  <c r="GU100" i="6" s="1"/>
  <c r="GT100" i="6" a="1"/>
  <c r="GT100" i="6" s="1"/>
  <c r="GG100" i="6" a="1"/>
  <c r="GG100" i="6" s="1"/>
  <c r="GF100" i="6" a="1"/>
  <c r="GF100" i="6" s="1"/>
  <c r="GE100" i="6" a="1"/>
  <c r="GE100" i="6" s="1"/>
  <c r="GD100" i="6" a="1"/>
  <c r="GD100" i="6" s="1"/>
  <c r="GC100" i="6" a="1"/>
  <c r="GC100" i="6" s="1"/>
  <c r="FP100" i="6" a="1"/>
  <c r="FP100" i="6" s="1"/>
  <c r="FO100" i="6" a="1"/>
  <c r="FO100" i="6" s="1"/>
  <c r="FN100" i="6" a="1"/>
  <c r="FN100" i="6" s="1"/>
  <c r="FM100" i="6" a="1"/>
  <c r="FM100" i="6" s="1"/>
  <c r="FL100" i="6" a="1"/>
  <c r="FL100" i="6" s="1"/>
  <c r="EY100" i="6" a="1"/>
  <c r="EY100" i="6" s="1"/>
  <c r="EX100" i="6" a="1"/>
  <c r="EX100" i="6" s="1"/>
  <c r="EW100" i="6" a="1"/>
  <c r="EW100" i="6" s="1"/>
  <c r="EV100" i="6" a="1"/>
  <c r="EV100" i="6" s="1"/>
  <c r="EU100" i="6" a="1"/>
  <c r="EU100" i="6" s="1"/>
  <c r="EH100" i="6" a="1"/>
  <c r="EH100" i="6" s="1"/>
  <c r="EG100" i="6" a="1"/>
  <c r="EG100" i="6" s="1"/>
  <c r="EF100" i="6" a="1"/>
  <c r="EF100" i="6" s="1"/>
  <c r="EE100" i="6" a="1"/>
  <c r="EE100" i="6" s="1"/>
  <c r="ED100" i="6" a="1"/>
  <c r="ED100" i="6" s="1"/>
  <c r="DQ100" i="6" a="1"/>
  <c r="DQ100" i="6" s="1"/>
  <c r="DP100" i="6" a="1"/>
  <c r="DP100" i="6" s="1"/>
  <c r="DO100" i="6" a="1"/>
  <c r="DO100" i="6" s="1"/>
  <c r="DN100" i="6" a="1"/>
  <c r="DN100" i="6" s="1"/>
  <c r="DM100" i="6" a="1"/>
  <c r="DM100" i="6" s="1"/>
  <c r="DD100" i="6" a="1"/>
  <c r="DD100" i="6" s="1"/>
  <c r="CU100" i="6" a="1"/>
  <c r="CU100" i="6" s="1"/>
  <c r="CL100" i="6" a="1"/>
  <c r="CL100" i="6" s="1"/>
  <c r="BX100" i="6" a="1"/>
  <c r="BX100" i="6" s="1"/>
  <c r="BW100" i="6" a="1"/>
  <c r="BW100" i="6" s="1"/>
  <c r="BV100" i="6" a="1"/>
  <c r="BV100" i="6" s="1"/>
  <c r="BU100" i="6" a="1"/>
  <c r="BU100" i="6" s="1"/>
  <c r="BT100" i="6" a="1"/>
  <c r="BT100" i="6" s="1"/>
  <c r="BS100" i="6" a="1"/>
  <c r="BS100" i="6" s="1"/>
  <c r="BA100" i="6" a="1"/>
  <c r="BA100" i="6" s="1"/>
  <c r="AZ100" i="6" a="1"/>
  <c r="AZ100" i="6" s="1"/>
  <c r="AY100" i="6" a="1"/>
  <c r="AY100" i="6" s="1"/>
  <c r="AX100" i="6" a="1"/>
  <c r="AX100" i="6" s="1"/>
  <c r="AW100" i="6" a="1"/>
  <c r="AW100" i="6" s="1"/>
  <c r="AV100" i="6" a="1"/>
  <c r="AV100" i="6" s="1"/>
  <c r="AU100" i="6" a="1"/>
  <c r="AU100" i="6" s="1"/>
  <c r="AT100" i="6" a="1"/>
  <c r="AT100" i="6" s="1"/>
  <c r="AS100" i="6" a="1"/>
  <c r="AS100" i="6" s="1"/>
  <c r="AR100" i="6" a="1"/>
  <c r="AR100" i="6" s="1"/>
  <c r="AH100" i="6" a="1"/>
  <c r="AH100" i="6" s="1"/>
  <c r="AG100" i="6" a="1"/>
  <c r="AG100" i="6" s="1"/>
  <c r="V100" i="6" a="1"/>
  <c r="V100" i="6" s="1"/>
  <c r="U100" i="6" a="1"/>
  <c r="U100" i="6" s="1"/>
  <c r="J100" i="6" a="1"/>
  <c r="J100" i="6" s="1"/>
  <c r="I100" i="6" a="1"/>
  <c r="I100" i="6" s="1"/>
  <c r="ADA99" i="6" a="1"/>
  <c r="ADA99" i="6" s="1"/>
  <c r="ACZ99" i="6" a="1"/>
  <c r="ACZ99" i="6" s="1"/>
  <c r="ACY99" i="6" a="1"/>
  <c r="ACY99" i="6" s="1"/>
  <c r="ACN99" i="6" a="1"/>
  <c r="ACN99" i="6" s="1"/>
  <c r="ACM99" i="6" a="1"/>
  <c r="ACM99" i="6" s="1"/>
  <c r="ABU99" i="6" a="1"/>
  <c r="ABU99" i="6" s="1"/>
  <c r="ABX99" i="6" a="1"/>
  <c r="ABX99" i="6" s="1"/>
  <c r="ABV99" i="6" a="1"/>
  <c r="ABV99" i="6" s="1"/>
  <c r="ABH99" i="6" a="1"/>
  <c r="ABH99" i="6" s="1"/>
  <c r="ABG99" i="6" a="1"/>
  <c r="ABG99" i="6" s="1"/>
  <c r="ABF99" i="6" a="1"/>
  <c r="ABF99" i="6" s="1"/>
  <c r="ABE99" i="6" a="1"/>
  <c r="ABE99" i="6" s="1"/>
  <c r="ABD99" i="6" a="1"/>
  <c r="ABD99" i="6" s="1"/>
  <c r="ZR99" i="6" a="1"/>
  <c r="ZR99" i="6" s="1"/>
  <c r="ZE99" i="6" a="1"/>
  <c r="ZE99" i="6" s="1"/>
  <c r="ZD99" i="6" a="1"/>
  <c r="ZD99" i="6" s="1"/>
  <c r="ZC99" i="6" a="1"/>
  <c r="ZC99" i="6" s="1"/>
  <c r="ZB99" i="6" a="1"/>
  <c r="ZB99" i="6" s="1"/>
  <c r="ZA99" i="6" a="1"/>
  <c r="ZA99" i="6" s="1"/>
  <c r="YP99" i="6" a="1"/>
  <c r="YP99" i="6" s="1"/>
  <c r="YO99" i="6" a="1"/>
  <c r="YO99" i="6" s="1"/>
  <c r="YE99" i="6" a="1"/>
  <c r="YE99" i="6" s="1"/>
  <c r="YD99" i="6" a="1"/>
  <c r="YD99" i="6" s="1"/>
  <c r="XT99" i="6" a="1"/>
  <c r="XT99" i="6" s="1"/>
  <c r="XS99" i="6" a="1"/>
  <c r="XS99" i="6" s="1"/>
  <c r="XI99" i="6" a="1"/>
  <c r="XI99" i="6" s="1"/>
  <c r="XH99" i="6" a="1"/>
  <c r="XH99" i="6" s="1"/>
  <c r="WX99" i="6" a="1"/>
  <c r="WX99" i="6" s="1"/>
  <c r="WW99" i="6" a="1"/>
  <c r="WW99" i="6" s="1"/>
  <c r="WM99" i="6" a="1"/>
  <c r="WM99" i="6" s="1"/>
  <c r="WL99" i="6" a="1"/>
  <c r="WL99" i="6" s="1"/>
  <c r="WC99" i="6" a="1"/>
  <c r="WC99" i="6" s="1"/>
  <c r="VQ99" i="6" a="1"/>
  <c r="VQ99" i="6" s="1"/>
  <c r="VP99" i="6" a="1"/>
  <c r="VP99" i="6" s="1"/>
  <c r="VO99" i="6" a="1"/>
  <c r="VO99" i="6" s="1"/>
  <c r="VN99" i="6" a="1"/>
  <c r="VN99" i="6" s="1"/>
  <c r="VA99" i="6" a="1"/>
  <c r="VA99" i="6" s="1"/>
  <c r="UZ99" i="6" a="1"/>
  <c r="UZ99" i="6" s="1"/>
  <c r="UY99" i="6" a="1"/>
  <c r="UY99" i="6" s="1"/>
  <c r="UX99" i="6" a="1"/>
  <c r="UX99" i="6" s="1"/>
  <c r="UW99" i="6" a="1"/>
  <c r="UW99" i="6" s="1"/>
  <c r="UM99" i="6" a="1"/>
  <c r="UM99" i="6" s="1"/>
  <c r="TZ99" i="6" a="1"/>
  <c r="TZ99" i="6" s="1"/>
  <c r="TY99" i="6" a="1"/>
  <c r="TY99" i="6" s="1"/>
  <c r="TX99" i="6" a="1"/>
  <c r="TX99" i="6" s="1"/>
  <c r="TW99" i="6" a="1"/>
  <c r="TW99" i="6" s="1"/>
  <c r="TV99" i="6" a="1"/>
  <c r="TV99" i="6" s="1"/>
  <c r="TH99" i="6" a="1"/>
  <c r="TH99" i="6" s="1"/>
  <c r="TG99" i="6" a="1"/>
  <c r="TG99" i="6" s="1"/>
  <c r="TF99" i="6" a="1"/>
  <c r="TF99" i="6" s="1"/>
  <c r="TE99" i="6" a="1"/>
  <c r="TE99" i="6" s="1"/>
  <c r="TD99" i="6" a="1"/>
  <c r="TD99" i="6" s="1"/>
  <c r="SP99" i="6" a="1"/>
  <c r="SP99" i="6" s="1"/>
  <c r="SO99" i="6" a="1"/>
  <c r="SO99" i="6" s="1"/>
  <c r="SN99" i="6" a="1"/>
  <c r="SN99" i="6" s="1"/>
  <c r="SM99" i="6" a="1"/>
  <c r="SM99" i="6" s="1"/>
  <c r="SL99" i="6" a="1"/>
  <c r="SL99" i="6" s="1"/>
  <c r="RX99" i="6" a="1"/>
  <c r="RX99" i="6" s="1"/>
  <c r="RW99" i="6" a="1"/>
  <c r="RW99" i="6" s="1"/>
  <c r="RV99" i="6" a="1"/>
  <c r="RV99" i="6" s="1"/>
  <c r="RU99" i="6" a="1"/>
  <c r="RU99" i="6" s="1"/>
  <c r="RT99" i="6" a="1"/>
  <c r="RT99" i="6" s="1"/>
  <c r="RF99" i="6" a="1"/>
  <c r="RF99" i="6" s="1"/>
  <c r="RE99" i="6" a="1"/>
  <c r="RE99" i="6" s="1"/>
  <c r="RD99" i="6" a="1"/>
  <c r="RD99" i="6" s="1"/>
  <c r="RC99" i="6" a="1"/>
  <c r="RC99" i="6" s="1"/>
  <c r="RB99" i="6" a="1"/>
  <c r="RB99" i="6" s="1"/>
  <c r="QN99" i="6" a="1"/>
  <c r="QN99" i="6" s="1"/>
  <c r="QM99" i="6" a="1"/>
  <c r="QM99" i="6" s="1"/>
  <c r="QL99" i="6" a="1"/>
  <c r="QL99" i="6" s="1"/>
  <c r="QK99" i="6" a="1"/>
  <c r="QK99" i="6" s="1"/>
  <c r="QJ99" i="6" a="1"/>
  <c r="QJ99" i="6" s="1"/>
  <c r="PV99" i="6" a="1"/>
  <c r="PV99" i="6" s="1"/>
  <c r="PU99" i="6" a="1"/>
  <c r="PU99" i="6" s="1"/>
  <c r="PT99" i="6" a="1"/>
  <c r="PT99" i="6" s="1"/>
  <c r="PS99" i="6" a="1"/>
  <c r="PS99" i="6" s="1"/>
  <c r="PR99" i="6" a="1"/>
  <c r="PR99" i="6" s="1"/>
  <c r="PD99" i="6" a="1"/>
  <c r="PD99" i="6" s="1"/>
  <c r="PC99" i="6" a="1"/>
  <c r="PC99" i="6" s="1"/>
  <c r="PB99" i="6" a="1"/>
  <c r="PB99" i="6" s="1"/>
  <c r="PA99" i="6" a="1"/>
  <c r="PA99" i="6" s="1"/>
  <c r="OZ99" i="6" a="1"/>
  <c r="OZ99" i="6" s="1"/>
  <c r="OL99" i="6" a="1"/>
  <c r="OL99" i="6" s="1"/>
  <c r="OK99" i="6" a="1"/>
  <c r="OK99" i="6" s="1"/>
  <c r="OJ99" i="6" a="1"/>
  <c r="OJ99" i="6" s="1"/>
  <c r="OI99" i="6" a="1"/>
  <c r="OI99" i="6" s="1"/>
  <c r="OH99" i="6" a="1"/>
  <c r="OH99" i="6" s="1"/>
  <c r="NT99" i="6" a="1"/>
  <c r="NT99" i="6" s="1"/>
  <c r="NS99" i="6" a="1"/>
  <c r="NS99" i="6" s="1"/>
  <c r="NR99" i="6" a="1"/>
  <c r="NR99" i="6" s="1"/>
  <c r="NQ99" i="6" a="1"/>
  <c r="NQ99" i="6" s="1"/>
  <c r="NP99" i="6" a="1"/>
  <c r="NP99" i="6" s="1"/>
  <c r="NC99" i="6" a="1"/>
  <c r="NC99" i="6" s="1"/>
  <c r="NB99" i="6" a="1"/>
  <c r="NB99" i="6" s="1"/>
  <c r="NA99" i="6" a="1"/>
  <c r="NA99" i="6" s="1"/>
  <c r="MZ99" i="6" a="1"/>
  <c r="MZ99" i="6" s="1"/>
  <c r="MY99" i="6" a="1"/>
  <c r="MY99" i="6" s="1"/>
  <c r="MK99" i="6" a="1"/>
  <c r="MK99" i="6" s="1"/>
  <c r="MJ99" i="6" a="1"/>
  <c r="MJ99" i="6" s="1"/>
  <c r="MI99" i="6" a="1"/>
  <c r="MI99" i="6" s="1"/>
  <c r="MH99" i="6" a="1"/>
  <c r="MH99" i="6" s="1"/>
  <c r="MG99" i="6" a="1"/>
  <c r="MG99" i="6" s="1"/>
  <c r="LS99" i="6" a="1"/>
  <c r="LS99" i="6" s="1"/>
  <c r="LR99" i="6" a="1"/>
  <c r="LR99" i="6" s="1"/>
  <c r="LQ99" i="6" a="1"/>
  <c r="LQ99" i="6" s="1"/>
  <c r="LP99" i="6" a="1"/>
  <c r="LP99" i="6" s="1"/>
  <c r="LO99" i="6" a="1"/>
  <c r="LO99" i="6" s="1"/>
  <c r="LA99" i="6" a="1"/>
  <c r="LA99" i="6" s="1"/>
  <c r="KZ99" i="6" a="1"/>
  <c r="KZ99" i="6" s="1"/>
  <c r="KY99" i="6" a="1"/>
  <c r="KY99" i="6" s="1"/>
  <c r="KX99" i="6" a="1"/>
  <c r="KX99" i="6" s="1"/>
  <c r="KW99" i="6" a="1"/>
  <c r="KW99" i="6" s="1"/>
  <c r="KI99" i="6" a="1"/>
  <c r="KI99" i="6" s="1"/>
  <c r="KH99" i="6" a="1"/>
  <c r="KH99" i="6" s="1"/>
  <c r="KG99" i="6" a="1"/>
  <c r="KG99" i="6" s="1"/>
  <c r="KF99" i="6" a="1"/>
  <c r="KF99" i="6" s="1"/>
  <c r="KE99" i="6" a="1"/>
  <c r="KE99" i="6" s="1"/>
  <c r="JQ99" i="6" a="1"/>
  <c r="JQ99" i="6" s="1"/>
  <c r="JP99" i="6" a="1"/>
  <c r="JP99" i="6" s="1"/>
  <c r="JO99" i="6" a="1"/>
  <c r="JO99" i="6" s="1"/>
  <c r="JN99" i="6" a="1"/>
  <c r="JN99" i="6" s="1"/>
  <c r="JM99" i="6" a="1"/>
  <c r="JM99" i="6" s="1"/>
  <c r="IY99" i="6" a="1"/>
  <c r="IY99" i="6" s="1"/>
  <c r="IX99" i="6" a="1"/>
  <c r="IX99" i="6" s="1"/>
  <c r="IW99" i="6" a="1"/>
  <c r="IW99" i="6" s="1"/>
  <c r="IV99" i="6" a="1"/>
  <c r="IV99" i="6" s="1"/>
  <c r="IU99" i="6" a="1"/>
  <c r="IU99" i="6" s="1"/>
  <c r="IG99" i="6" a="1"/>
  <c r="IG99" i="6" s="1"/>
  <c r="IF99" i="6" a="1"/>
  <c r="IF99" i="6" s="1"/>
  <c r="IE99" i="6" a="1"/>
  <c r="IE99" i="6" s="1"/>
  <c r="ID99" i="6" a="1"/>
  <c r="ID99" i="6" s="1"/>
  <c r="IC99" i="6" a="1"/>
  <c r="IC99" i="6" s="1"/>
  <c r="HO99" i="6" a="1"/>
  <c r="HO99" i="6" s="1"/>
  <c r="HN99" i="6" a="1"/>
  <c r="HN99" i="6" s="1"/>
  <c r="HM99" i="6" a="1"/>
  <c r="HM99" i="6" s="1"/>
  <c r="HL99" i="6" a="1"/>
  <c r="HL99" i="6" s="1"/>
  <c r="HK99" i="6" a="1"/>
  <c r="HK99" i="6" s="1"/>
  <c r="GX99" i="6" a="1"/>
  <c r="GX99" i="6" s="1"/>
  <c r="GW99" i="6" a="1"/>
  <c r="GW99" i="6" s="1"/>
  <c r="GV99" i="6" a="1"/>
  <c r="GV99" i="6" s="1"/>
  <c r="GU99" i="6" a="1"/>
  <c r="GU99" i="6" s="1"/>
  <c r="GT99" i="6" a="1"/>
  <c r="GT99" i="6" s="1"/>
  <c r="GG99" i="6" a="1"/>
  <c r="GG99" i="6" s="1"/>
  <c r="GF99" i="6" a="1"/>
  <c r="GF99" i="6" s="1"/>
  <c r="GE99" i="6" a="1"/>
  <c r="GE99" i="6" s="1"/>
  <c r="GD99" i="6" a="1"/>
  <c r="GD99" i="6" s="1"/>
  <c r="GC99" i="6" a="1"/>
  <c r="GC99" i="6" s="1"/>
  <c r="FP99" i="6" a="1"/>
  <c r="FP99" i="6" s="1"/>
  <c r="FO99" i="6" a="1"/>
  <c r="FO99" i="6" s="1"/>
  <c r="FN99" i="6" a="1"/>
  <c r="FN99" i="6" s="1"/>
  <c r="FM99" i="6" a="1"/>
  <c r="FM99" i="6" s="1"/>
  <c r="FL99" i="6" a="1"/>
  <c r="FL99" i="6" s="1"/>
  <c r="EY99" i="6" a="1"/>
  <c r="EY99" i="6" s="1"/>
  <c r="EX99" i="6" a="1"/>
  <c r="EX99" i="6" s="1"/>
  <c r="EW99" i="6" a="1"/>
  <c r="EW99" i="6" s="1"/>
  <c r="EV99" i="6" a="1"/>
  <c r="EV99" i="6" s="1"/>
  <c r="EU99" i="6" a="1"/>
  <c r="EU99" i="6" s="1"/>
  <c r="EH99" i="6" a="1"/>
  <c r="EH99" i="6" s="1"/>
  <c r="EG99" i="6" a="1"/>
  <c r="EG99" i="6" s="1"/>
  <c r="EF99" i="6" a="1"/>
  <c r="EF99" i="6" s="1"/>
  <c r="EE99" i="6" a="1"/>
  <c r="EE99" i="6" s="1"/>
  <c r="ED99" i="6" a="1"/>
  <c r="ED99" i="6" s="1"/>
  <c r="DQ99" i="6" a="1"/>
  <c r="DQ99" i="6" s="1"/>
  <c r="DP99" i="6" a="1"/>
  <c r="DP99" i="6" s="1"/>
  <c r="DO99" i="6" a="1"/>
  <c r="DO99" i="6" s="1"/>
  <c r="DN99" i="6" a="1"/>
  <c r="DN99" i="6" s="1"/>
  <c r="DM99" i="6" a="1"/>
  <c r="DM99" i="6" s="1"/>
  <c r="DD99" i="6" a="1"/>
  <c r="DD99" i="6" s="1"/>
  <c r="CU99" i="6" a="1"/>
  <c r="CU99" i="6" s="1"/>
  <c r="CL99" i="6" a="1"/>
  <c r="CL99" i="6" s="1"/>
  <c r="BX99" i="6" a="1"/>
  <c r="BX99" i="6" s="1"/>
  <c r="BW99" i="6" a="1"/>
  <c r="BW99" i="6" s="1"/>
  <c r="BV99" i="6" a="1"/>
  <c r="BV99" i="6" s="1"/>
  <c r="BU99" i="6" a="1"/>
  <c r="BU99" i="6" s="1"/>
  <c r="BT99" i="6" a="1"/>
  <c r="BT99" i="6" s="1"/>
  <c r="BS99" i="6" a="1"/>
  <c r="BS99" i="6" s="1"/>
  <c r="BA99" i="6" a="1"/>
  <c r="BA99" i="6" s="1"/>
  <c r="AZ99" i="6" a="1"/>
  <c r="AZ99" i="6" s="1"/>
  <c r="AY99" i="6" a="1"/>
  <c r="AY99" i="6" s="1"/>
  <c r="AX99" i="6" a="1"/>
  <c r="AX99" i="6" s="1"/>
  <c r="AW99" i="6" a="1"/>
  <c r="AW99" i="6" s="1"/>
  <c r="AV99" i="6" a="1"/>
  <c r="AV99" i="6" s="1"/>
  <c r="AU99" i="6" a="1"/>
  <c r="AU99" i="6" s="1"/>
  <c r="AT99" i="6" a="1"/>
  <c r="AT99" i="6" s="1"/>
  <c r="AS99" i="6" a="1"/>
  <c r="AS99" i="6" s="1"/>
  <c r="AR99" i="6" a="1"/>
  <c r="AR99" i="6" s="1"/>
  <c r="AH99" i="6" a="1"/>
  <c r="AH99" i="6" s="1"/>
  <c r="AG99" i="6" a="1"/>
  <c r="AG99" i="6" s="1"/>
  <c r="V99" i="6" a="1"/>
  <c r="V99" i="6" s="1"/>
  <c r="U99" i="6" a="1"/>
  <c r="U99" i="6" s="1"/>
  <c r="J99" i="6" a="1"/>
  <c r="J99" i="6" s="1"/>
  <c r="I99" i="6" a="1"/>
  <c r="I99" i="6" s="1"/>
  <c r="H99" i="6" s="1"/>
  <c r="ADA98" i="6" a="1"/>
  <c r="ADA98" i="6" s="1"/>
  <c r="ACZ98" i="6" a="1"/>
  <c r="ACZ98" i="6" s="1"/>
  <c r="ACY98" i="6" a="1"/>
  <c r="ACY98" i="6" s="1"/>
  <c r="ACN98" i="6" a="1"/>
  <c r="ACN98" i="6" s="1"/>
  <c r="ACM98" i="6" a="1"/>
  <c r="ACM98" i="6" s="1"/>
  <c r="ABU98" i="6" a="1"/>
  <c r="ABU98" i="6" s="1"/>
  <c r="ABX98" i="6" a="1"/>
  <c r="ABX98" i="6" s="1"/>
  <c r="ABV98" i="6" a="1"/>
  <c r="ABV98" i="6" s="1"/>
  <c r="ABH98" i="6" a="1"/>
  <c r="ABH98" i="6" s="1"/>
  <c r="ABG98" i="6" a="1"/>
  <c r="ABG98" i="6" s="1"/>
  <c r="ABF98" i="6" a="1"/>
  <c r="ABF98" i="6" s="1"/>
  <c r="ABE98" i="6" a="1"/>
  <c r="ABE98" i="6" s="1"/>
  <c r="ABD98" i="6" a="1"/>
  <c r="ABD98" i="6" s="1"/>
  <c r="ZR98" i="6" a="1"/>
  <c r="ZR98" i="6" s="1"/>
  <c r="ZE98" i="6" a="1"/>
  <c r="ZE98" i="6" s="1"/>
  <c r="ZD98" i="6" a="1"/>
  <c r="ZD98" i="6" s="1"/>
  <c r="ZC98" i="6" a="1"/>
  <c r="ZC98" i="6" s="1"/>
  <c r="ZB98" i="6" a="1"/>
  <c r="ZB98" i="6" s="1"/>
  <c r="ZA98" i="6" a="1"/>
  <c r="ZA98" i="6" s="1"/>
  <c r="YP98" i="6" a="1"/>
  <c r="YP98" i="6" s="1"/>
  <c r="YO98" i="6" a="1"/>
  <c r="YO98" i="6" s="1"/>
  <c r="YE98" i="6" a="1"/>
  <c r="YE98" i="6" s="1"/>
  <c r="YD98" i="6" a="1"/>
  <c r="YD98" i="6" s="1"/>
  <c r="XT98" i="6" a="1"/>
  <c r="XT98" i="6" s="1"/>
  <c r="XS98" i="6" a="1"/>
  <c r="XS98" i="6" s="1"/>
  <c r="XI98" i="6" a="1"/>
  <c r="XI98" i="6" s="1"/>
  <c r="XH98" i="6" a="1"/>
  <c r="XH98" i="6" s="1"/>
  <c r="WX98" i="6" a="1"/>
  <c r="WX98" i="6" s="1"/>
  <c r="WW98" i="6" a="1"/>
  <c r="WW98" i="6" s="1"/>
  <c r="WM98" i="6" a="1"/>
  <c r="WM98" i="6" s="1"/>
  <c r="WL98" i="6" a="1"/>
  <c r="WL98" i="6" s="1"/>
  <c r="WC98" i="6" a="1"/>
  <c r="WC98" i="6" s="1"/>
  <c r="VQ98" i="6" a="1"/>
  <c r="VQ98" i="6" s="1"/>
  <c r="VP98" i="6" a="1"/>
  <c r="VP98" i="6" s="1"/>
  <c r="VO98" i="6" a="1"/>
  <c r="VO98" i="6" s="1"/>
  <c r="VN98" i="6" a="1"/>
  <c r="VN98" i="6" s="1"/>
  <c r="VA98" i="6" a="1"/>
  <c r="VA98" i="6" s="1"/>
  <c r="UZ98" i="6" a="1"/>
  <c r="UZ98" i="6" s="1"/>
  <c r="UY98" i="6" a="1"/>
  <c r="UY98" i="6" s="1"/>
  <c r="UX98" i="6" a="1"/>
  <c r="UX98" i="6" s="1"/>
  <c r="UW98" i="6" a="1"/>
  <c r="UW98" i="6" s="1"/>
  <c r="UM98" i="6" a="1"/>
  <c r="UM98" i="6" s="1"/>
  <c r="TZ98" i="6" a="1"/>
  <c r="TZ98" i="6" s="1"/>
  <c r="TY98" i="6" a="1"/>
  <c r="TY98" i="6" s="1"/>
  <c r="TX98" i="6" a="1"/>
  <c r="TX98" i="6" s="1"/>
  <c r="TW98" i="6" a="1"/>
  <c r="TW98" i="6" s="1"/>
  <c r="TV98" i="6" a="1"/>
  <c r="TV98" i="6" s="1"/>
  <c r="TH98" i="6" a="1"/>
  <c r="TH98" i="6" s="1"/>
  <c r="TG98" i="6" a="1"/>
  <c r="TG98" i="6" s="1"/>
  <c r="TF98" i="6" a="1"/>
  <c r="TF98" i="6" s="1"/>
  <c r="TE98" i="6" a="1"/>
  <c r="TE98" i="6" s="1"/>
  <c r="TD98" i="6" a="1"/>
  <c r="TD98" i="6" s="1"/>
  <c r="SP98" i="6" a="1"/>
  <c r="SP98" i="6" s="1"/>
  <c r="SO98" i="6" a="1"/>
  <c r="SO98" i="6" s="1"/>
  <c r="SN98" i="6" a="1"/>
  <c r="SN98" i="6" s="1"/>
  <c r="SM98" i="6" a="1"/>
  <c r="SM98" i="6" s="1"/>
  <c r="SL98" i="6" a="1"/>
  <c r="SL98" i="6" s="1"/>
  <c r="RX98" i="6" a="1"/>
  <c r="RX98" i="6" s="1"/>
  <c r="RW98" i="6" a="1"/>
  <c r="RW98" i="6" s="1"/>
  <c r="RV98" i="6" a="1"/>
  <c r="RV98" i="6" s="1"/>
  <c r="RU98" i="6" a="1"/>
  <c r="RU98" i="6" s="1"/>
  <c r="RT98" i="6" a="1"/>
  <c r="RT98" i="6" s="1"/>
  <c r="RF98" i="6" a="1"/>
  <c r="RF98" i="6" s="1"/>
  <c r="RE98" i="6" a="1"/>
  <c r="RE98" i="6" s="1"/>
  <c r="RD98" i="6" a="1"/>
  <c r="RD98" i="6" s="1"/>
  <c r="RC98" i="6" a="1"/>
  <c r="RC98" i="6" s="1"/>
  <c r="RB98" i="6" a="1"/>
  <c r="RB98" i="6" s="1"/>
  <c r="QN98" i="6" a="1"/>
  <c r="QN98" i="6" s="1"/>
  <c r="QM98" i="6" a="1"/>
  <c r="QM98" i="6" s="1"/>
  <c r="QL98" i="6" a="1"/>
  <c r="QL98" i="6" s="1"/>
  <c r="QK98" i="6" a="1"/>
  <c r="QK98" i="6" s="1"/>
  <c r="QJ98" i="6" a="1"/>
  <c r="QJ98" i="6" s="1"/>
  <c r="PV98" i="6" a="1"/>
  <c r="PV98" i="6" s="1"/>
  <c r="PU98" i="6" a="1"/>
  <c r="PU98" i="6" s="1"/>
  <c r="PT98" i="6" a="1"/>
  <c r="PT98" i="6" s="1"/>
  <c r="PS98" i="6" a="1"/>
  <c r="PS98" i="6" s="1"/>
  <c r="PR98" i="6" a="1"/>
  <c r="PR98" i="6" s="1"/>
  <c r="PD98" i="6" a="1"/>
  <c r="PD98" i="6" s="1"/>
  <c r="PC98" i="6" a="1"/>
  <c r="PC98" i="6" s="1"/>
  <c r="PB98" i="6" a="1"/>
  <c r="PB98" i="6" s="1"/>
  <c r="PA98" i="6" a="1"/>
  <c r="PA98" i="6" s="1"/>
  <c r="OZ98" i="6" a="1"/>
  <c r="OZ98" i="6" s="1"/>
  <c r="OL98" i="6" a="1"/>
  <c r="OL98" i="6" s="1"/>
  <c r="OK98" i="6" a="1"/>
  <c r="OK98" i="6" s="1"/>
  <c r="OJ98" i="6" a="1"/>
  <c r="OJ98" i="6" s="1"/>
  <c r="OI98" i="6" a="1"/>
  <c r="OI98" i="6" s="1"/>
  <c r="OH98" i="6" a="1"/>
  <c r="OH98" i="6" s="1"/>
  <c r="NT98" i="6" a="1"/>
  <c r="NT98" i="6" s="1"/>
  <c r="NS98" i="6" a="1"/>
  <c r="NS98" i="6" s="1"/>
  <c r="NR98" i="6" a="1"/>
  <c r="NR98" i="6" s="1"/>
  <c r="NQ98" i="6" a="1"/>
  <c r="NQ98" i="6" s="1"/>
  <c r="NP98" i="6" a="1"/>
  <c r="NP98" i="6" s="1"/>
  <c r="NC98" i="6" a="1"/>
  <c r="NC98" i="6" s="1"/>
  <c r="NB98" i="6" a="1"/>
  <c r="NB98" i="6" s="1"/>
  <c r="NA98" i="6" a="1"/>
  <c r="NA98" i="6" s="1"/>
  <c r="MZ98" i="6" a="1"/>
  <c r="MZ98" i="6" s="1"/>
  <c r="MY98" i="6" a="1"/>
  <c r="MY98" i="6" s="1"/>
  <c r="MK98" i="6" a="1"/>
  <c r="MK98" i="6" s="1"/>
  <c r="MJ98" i="6" a="1"/>
  <c r="MJ98" i="6" s="1"/>
  <c r="MI98" i="6" a="1"/>
  <c r="MI98" i="6" s="1"/>
  <c r="MH98" i="6" a="1"/>
  <c r="MH98" i="6" s="1"/>
  <c r="MG98" i="6" a="1"/>
  <c r="MG98" i="6" s="1"/>
  <c r="LS98" i="6" a="1"/>
  <c r="LS98" i="6" s="1"/>
  <c r="LR98" i="6" a="1"/>
  <c r="LR98" i="6" s="1"/>
  <c r="LQ98" i="6" a="1"/>
  <c r="LQ98" i="6" s="1"/>
  <c r="LP98" i="6" a="1"/>
  <c r="LP98" i="6" s="1"/>
  <c r="LO98" i="6" a="1"/>
  <c r="LO98" i="6" s="1"/>
  <c r="LA98" i="6" a="1"/>
  <c r="LA98" i="6" s="1"/>
  <c r="KZ98" i="6" a="1"/>
  <c r="KZ98" i="6" s="1"/>
  <c r="KY98" i="6" a="1"/>
  <c r="KY98" i="6" s="1"/>
  <c r="KX98" i="6" a="1"/>
  <c r="KX98" i="6" s="1"/>
  <c r="KW98" i="6" a="1"/>
  <c r="KW98" i="6" s="1"/>
  <c r="KI98" i="6" a="1"/>
  <c r="KI98" i="6" s="1"/>
  <c r="KH98" i="6" a="1"/>
  <c r="KH98" i="6" s="1"/>
  <c r="KG98" i="6" a="1"/>
  <c r="KG98" i="6" s="1"/>
  <c r="KF98" i="6" a="1"/>
  <c r="KF98" i="6" s="1"/>
  <c r="KE98" i="6" a="1"/>
  <c r="KE98" i="6" s="1"/>
  <c r="JQ98" i="6" a="1"/>
  <c r="JQ98" i="6" s="1"/>
  <c r="JP98" i="6" a="1"/>
  <c r="JP98" i="6" s="1"/>
  <c r="JO98" i="6" a="1"/>
  <c r="JO98" i="6" s="1"/>
  <c r="JN98" i="6" a="1"/>
  <c r="JN98" i="6" s="1"/>
  <c r="JM98" i="6" a="1"/>
  <c r="JM98" i="6" s="1"/>
  <c r="IY98" i="6" a="1"/>
  <c r="IY98" i="6" s="1"/>
  <c r="IX98" i="6" a="1"/>
  <c r="IX98" i="6" s="1"/>
  <c r="IW98" i="6" a="1"/>
  <c r="IW98" i="6" s="1"/>
  <c r="IV98" i="6" a="1"/>
  <c r="IV98" i="6" s="1"/>
  <c r="IU98" i="6" a="1"/>
  <c r="IU98" i="6" s="1"/>
  <c r="IG98" i="6" a="1"/>
  <c r="IG98" i="6" s="1"/>
  <c r="IF98" i="6" a="1"/>
  <c r="IF98" i="6" s="1"/>
  <c r="IE98" i="6" a="1"/>
  <c r="IE98" i="6" s="1"/>
  <c r="ID98" i="6" a="1"/>
  <c r="ID98" i="6" s="1"/>
  <c r="IC98" i="6" a="1"/>
  <c r="IC98" i="6" s="1"/>
  <c r="HO98" i="6" a="1"/>
  <c r="HO98" i="6" s="1"/>
  <c r="HN98" i="6" a="1"/>
  <c r="HN98" i="6" s="1"/>
  <c r="HM98" i="6" a="1"/>
  <c r="HM98" i="6" s="1"/>
  <c r="HL98" i="6" a="1"/>
  <c r="HL98" i="6" s="1"/>
  <c r="HK98" i="6" a="1"/>
  <c r="HK98" i="6" s="1"/>
  <c r="GX98" i="6" a="1"/>
  <c r="GX98" i="6" s="1"/>
  <c r="GW98" i="6" a="1"/>
  <c r="GW98" i="6" s="1"/>
  <c r="GV98" i="6" a="1"/>
  <c r="GV98" i="6" s="1"/>
  <c r="GU98" i="6" a="1"/>
  <c r="GU98" i="6" s="1"/>
  <c r="GT98" i="6" a="1"/>
  <c r="GT98" i="6" s="1"/>
  <c r="GG98" i="6" a="1"/>
  <c r="GG98" i="6" s="1"/>
  <c r="GF98" i="6" a="1"/>
  <c r="GF98" i="6" s="1"/>
  <c r="GE98" i="6" a="1"/>
  <c r="GE98" i="6" s="1"/>
  <c r="GD98" i="6" a="1"/>
  <c r="GD98" i="6" s="1"/>
  <c r="GC98" i="6" a="1"/>
  <c r="GC98" i="6" s="1"/>
  <c r="FP98" i="6" a="1"/>
  <c r="FP98" i="6" s="1"/>
  <c r="FO98" i="6" a="1"/>
  <c r="FO98" i="6" s="1"/>
  <c r="FN98" i="6" a="1"/>
  <c r="FN98" i="6" s="1"/>
  <c r="FM98" i="6" a="1"/>
  <c r="FM98" i="6" s="1"/>
  <c r="FL98" i="6" a="1"/>
  <c r="FL98" i="6" s="1"/>
  <c r="EY98" i="6" a="1"/>
  <c r="EY98" i="6" s="1"/>
  <c r="EX98" i="6" a="1"/>
  <c r="EX98" i="6" s="1"/>
  <c r="EW98" i="6" a="1"/>
  <c r="EW98" i="6" s="1"/>
  <c r="EV98" i="6" a="1"/>
  <c r="EV98" i="6" s="1"/>
  <c r="EU98" i="6" a="1"/>
  <c r="EU98" i="6" s="1"/>
  <c r="EH98" i="6" a="1"/>
  <c r="EH98" i="6" s="1"/>
  <c r="EG98" i="6" a="1"/>
  <c r="EG98" i="6" s="1"/>
  <c r="EF98" i="6" a="1"/>
  <c r="EF98" i="6" s="1"/>
  <c r="EE98" i="6" a="1"/>
  <c r="EE98" i="6" s="1"/>
  <c r="ED98" i="6" a="1"/>
  <c r="ED98" i="6" s="1"/>
  <c r="DQ98" i="6" a="1"/>
  <c r="DQ98" i="6" s="1"/>
  <c r="DP98" i="6" a="1"/>
  <c r="DP98" i="6" s="1"/>
  <c r="DO98" i="6" a="1"/>
  <c r="DO98" i="6" s="1"/>
  <c r="DN98" i="6" a="1"/>
  <c r="DN98" i="6" s="1"/>
  <c r="DM98" i="6" a="1"/>
  <c r="DM98" i="6" s="1"/>
  <c r="DD98" i="6" a="1"/>
  <c r="DD98" i="6" s="1"/>
  <c r="CU98" i="6" a="1"/>
  <c r="CU98" i="6" s="1"/>
  <c r="CL98" i="6" a="1"/>
  <c r="CL98" i="6" s="1"/>
  <c r="BX98" i="6" a="1"/>
  <c r="BX98" i="6" s="1"/>
  <c r="BW98" i="6" a="1"/>
  <c r="BW98" i="6" s="1"/>
  <c r="BV98" i="6" a="1"/>
  <c r="BV98" i="6" s="1"/>
  <c r="BU98" i="6" a="1"/>
  <c r="BU98" i="6" s="1"/>
  <c r="BT98" i="6" a="1"/>
  <c r="BT98" i="6" s="1"/>
  <c r="BS98" i="6" a="1"/>
  <c r="BS98" i="6" s="1"/>
  <c r="BA98" i="6" a="1"/>
  <c r="BA98" i="6" s="1"/>
  <c r="AZ98" i="6" a="1"/>
  <c r="AZ98" i="6" s="1"/>
  <c r="AY98" i="6" a="1"/>
  <c r="AY98" i="6" s="1"/>
  <c r="AX98" i="6" a="1"/>
  <c r="AX98" i="6" s="1"/>
  <c r="AW98" i="6" a="1"/>
  <c r="AW98" i="6" s="1"/>
  <c r="AV98" i="6" a="1"/>
  <c r="AV98" i="6" s="1"/>
  <c r="AU98" i="6" a="1"/>
  <c r="AU98" i="6" s="1"/>
  <c r="AT98" i="6" a="1"/>
  <c r="AT98" i="6" s="1"/>
  <c r="AS98" i="6" a="1"/>
  <c r="AS98" i="6" s="1"/>
  <c r="AR98" i="6" a="1"/>
  <c r="AR98" i="6" s="1"/>
  <c r="AH98" i="6" a="1"/>
  <c r="AH98" i="6" s="1"/>
  <c r="AG98" i="6" a="1"/>
  <c r="AG98" i="6" s="1"/>
  <c r="V98" i="6" a="1"/>
  <c r="V98" i="6" s="1"/>
  <c r="U98" i="6" a="1"/>
  <c r="U98" i="6" s="1"/>
  <c r="J98" i="6" a="1"/>
  <c r="J98" i="6" s="1"/>
  <c r="I98" i="6" a="1"/>
  <c r="I98" i="6" s="1"/>
  <c r="ADA97" i="6" a="1"/>
  <c r="ADA97" i="6" s="1"/>
  <c r="ACZ97" i="6" a="1"/>
  <c r="ACZ97" i="6" s="1"/>
  <c r="ACY97" i="6" a="1"/>
  <c r="ACY97" i="6" s="1"/>
  <c r="ACN97" i="6" a="1"/>
  <c r="ACN97" i="6" s="1"/>
  <c r="ACM97" i="6" a="1"/>
  <c r="ACM97" i="6" s="1"/>
  <c r="ABU97" i="6" a="1"/>
  <c r="ABU97" i="6" s="1"/>
  <c r="ABX97" i="6" a="1"/>
  <c r="ABX97" i="6" s="1"/>
  <c r="ABV97" i="6" a="1"/>
  <c r="ABV97" i="6" s="1"/>
  <c r="ABH97" i="6" a="1"/>
  <c r="ABH97" i="6" s="1"/>
  <c r="ABG97" i="6" a="1"/>
  <c r="ABG97" i="6" s="1"/>
  <c r="ABF97" i="6" a="1"/>
  <c r="ABF97" i="6" s="1"/>
  <c r="ABE97" i="6" a="1"/>
  <c r="ABE97" i="6" s="1"/>
  <c r="ABD97" i="6" a="1"/>
  <c r="ABD97" i="6" s="1"/>
  <c r="ZR97" i="6" a="1"/>
  <c r="ZR97" i="6" s="1"/>
  <c r="ZE97" i="6" a="1"/>
  <c r="ZE97" i="6" s="1"/>
  <c r="ZD97" i="6" a="1"/>
  <c r="ZD97" i="6" s="1"/>
  <c r="ZC97" i="6" a="1"/>
  <c r="ZC97" i="6" s="1"/>
  <c r="ZB97" i="6" a="1"/>
  <c r="ZB97" i="6" s="1"/>
  <c r="ZA97" i="6" a="1"/>
  <c r="ZA97" i="6" s="1"/>
  <c r="YP97" i="6" a="1"/>
  <c r="YP97" i="6" s="1"/>
  <c r="YO97" i="6" a="1"/>
  <c r="YO97" i="6" s="1"/>
  <c r="YE97" i="6" a="1"/>
  <c r="YE97" i="6" s="1"/>
  <c r="YD97" i="6" a="1"/>
  <c r="YD97" i="6" s="1"/>
  <c r="XT97" i="6" a="1"/>
  <c r="XT97" i="6" s="1"/>
  <c r="XS97" i="6" a="1"/>
  <c r="XS97" i="6" s="1"/>
  <c r="XI97" i="6" a="1"/>
  <c r="XI97" i="6" s="1"/>
  <c r="XH97" i="6" a="1"/>
  <c r="XH97" i="6" s="1"/>
  <c r="WX97" i="6" a="1"/>
  <c r="WX97" i="6" s="1"/>
  <c r="WW97" i="6" a="1"/>
  <c r="WW97" i="6" s="1"/>
  <c r="WM97" i="6" a="1"/>
  <c r="WM97" i="6" s="1"/>
  <c r="WL97" i="6" a="1"/>
  <c r="WL97" i="6" s="1"/>
  <c r="WC97" i="6" a="1"/>
  <c r="WC97" i="6" s="1"/>
  <c r="VQ97" i="6" a="1"/>
  <c r="VQ97" i="6" s="1"/>
  <c r="VP97" i="6" a="1"/>
  <c r="VP97" i="6" s="1"/>
  <c r="VO97" i="6" a="1"/>
  <c r="VO97" i="6" s="1"/>
  <c r="VN97" i="6" a="1"/>
  <c r="VN97" i="6" s="1"/>
  <c r="VA97" i="6" a="1"/>
  <c r="VA97" i="6" s="1"/>
  <c r="UZ97" i="6" a="1"/>
  <c r="UZ97" i="6" s="1"/>
  <c r="UY97" i="6" a="1"/>
  <c r="UY97" i="6" s="1"/>
  <c r="UX97" i="6" a="1"/>
  <c r="UX97" i="6" s="1"/>
  <c r="UW97" i="6" a="1"/>
  <c r="UW97" i="6" s="1"/>
  <c r="UM97" i="6" a="1"/>
  <c r="UM97" i="6" s="1"/>
  <c r="TZ97" i="6" a="1"/>
  <c r="TZ97" i="6" s="1"/>
  <c r="TY97" i="6" a="1"/>
  <c r="TY97" i="6" s="1"/>
  <c r="TX97" i="6" a="1"/>
  <c r="TX97" i="6" s="1"/>
  <c r="TW97" i="6" a="1"/>
  <c r="TW97" i="6" s="1"/>
  <c r="TV97" i="6" a="1"/>
  <c r="TV97" i="6" s="1"/>
  <c r="TH97" i="6" a="1"/>
  <c r="TH97" i="6" s="1"/>
  <c r="TG97" i="6" a="1"/>
  <c r="TG97" i="6" s="1"/>
  <c r="TF97" i="6" a="1"/>
  <c r="TF97" i="6" s="1"/>
  <c r="TE97" i="6" a="1"/>
  <c r="TE97" i="6" s="1"/>
  <c r="TD97" i="6" a="1"/>
  <c r="TD97" i="6" s="1"/>
  <c r="SP97" i="6" a="1"/>
  <c r="SP97" i="6" s="1"/>
  <c r="SO97" i="6" a="1"/>
  <c r="SO97" i="6" s="1"/>
  <c r="SN97" i="6" a="1"/>
  <c r="SN97" i="6" s="1"/>
  <c r="SM97" i="6" a="1"/>
  <c r="SM97" i="6" s="1"/>
  <c r="SL97" i="6" a="1"/>
  <c r="SL97" i="6" s="1"/>
  <c r="RX97" i="6" a="1"/>
  <c r="RX97" i="6" s="1"/>
  <c r="RW97" i="6" a="1"/>
  <c r="RW97" i="6" s="1"/>
  <c r="RV97" i="6" a="1"/>
  <c r="RV97" i="6" s="1"/>
  <c r="RU97" i="6" a="1"/>
  <c r="RU97" i="6" s="1"/>
  <c r="RT97" i="6" a="1"/>
  <c r="RT97" i="6" s="1"/>
  <c r="RF97" i="6" a="1"/>
  <c r="RF97" i="6" s="1"/>
  <c r="RE97" i="6" a="1"/>
  <c r="RE97" i="6" s="1"/>
  <c r="RD97" i="6" a="1"/>
  <c r="RD97" i="6" s="1"/>
  <c r="RC97" i="6" a="1"/>
  <c r="RC97" i="6" s="1"/>
  <c r="RB97" i="6" a="1"/>
  <c r="RB97" i="6" s="1"/>
  <c r="QN97" i="6" a="1"/>
  <c r="QN97" i="6" s="1"/>
  <c r="QM97" i="6" a="1"/>
  <c r="QM97" i="6" s="1"/>
  <c r="QL97" i="6" a="1"/>
  <c r="QL97" i="6" s="1"/>
  <c r="QK97" i="6" a="1"/>
  <c r="QK97" i="6" s="1"/>
  <c r="QJ97" i="6" a="1"/>
  <c r="QJ97" i="6" s="1"/>
  <c r="PV97" i="6" a="1"/>
  <c r="PV97" i="6" s="1"/>
  <c r="PU97" i="6" a="1"/>
  <c r="PU97" i="6" s="1"/>
  <c r="PT97" i="6" a="1"/>
  <c r="PT97" i="6" s="1"/>
  <c r="PS97" i="6" a="1"/>
  <c r="PS97" i="6" s="1"/>
  <c r="PR97" i="6" a="1"/>
  <c r="PR97" i="6" s="1"/>
  <c r="PD97" i="6" a="1"/>
  <c r="PD97" i="6" s="1"/>
  <c r="PC97" i="6" a="1"/>
  <c r="PC97" i="6" s="1"/>
  <c r="PB97" i="6" a="1"/>
  <c r="PB97" i="6" s="1"/>
  <c r="PA97" i="6" a="1"/>
  <c r="PA97" i="6" s="1"/>
  <c r="OZ97" i="6" a="1"/>
  <c r="OZ97" i="6" s="1"/>
  <c r="OL97" i="6" a="1"/>
  <c r="OL97" i="6" s="1"/>
  <c r="OK97" i="6" a="1"/>
  <c r="OK97" i="6" s="1"/>
  <c r="OJ97" i="6" a="1"/>
  <c r="OJ97" i="6" s="1"/>
  <c r="OI97" i="6" a="1"/>
  <c r="OI97" i="6" s="1"/>
  <c r="OH97" i="6" a="1"/>
  <c r="OH97" i="6" s="1"/>
  <c r="NT97" i="6" a="1"/>
  <c r="NT97" i="6" s="1"/>
  <c r="NS97" i="6" a="1"/>
  <c r="NS97" i="6" s="1"/>
  <c r="NR97" i="6" a="1"/>
  <c r="NR97" i="6" s="1"/>
  <c r="NQ97" i="6" a="1"/>
  <c r="NQ97" i="6" s="1"/>
  <c r="NP97" i="6" a="1"/>
  <c r="NP97" i="6" s="1"/>
  <c r="NC97" i="6" a="1"/>
  <c r="NC97" i="6" s="1"/>
  <c r="NB97" i="6" a="1"/>
  <c r="NB97" i="6" s="1"/>
  <c r="NA97" i="6" a="1"/>
  <c r="NA97" i="6" s="1"/>
  <c r="MZ97" i="6" a="1"/>
  <c r="MZ97" i="6" s="1"/>
  <c r="MY97" i="6" a="1"/>
  <c r="MY97" i="6" s="1"/>
  <c r="MK97" i="6" a="1"/>
  <c r="MK97" i="6" s="1"/>
  <c r="MJ97" i="6" a="1"/>
  <c r="MJ97" i="6" s="1"/>
  <c r="MI97" i="6" a="1"/>
  <c r="MI97" i="6" s="1"/>
  <c r="MH97" i="6" a="1"/>
  <c r="MH97" i="6" s="1"/>
  <c r="MG97" i="6" a="1"/>
  <c r="MG97" i="6" s="1"/>
  <c r="LS97" i="6" a="1"/>
  <c r="LS97" i="6" s="1"/>
  <c r="LR97" i="6" a="1"/>
  <c r="LR97" i="6" s="1"/>
  <c r="LQ97" i="6" a="1"/>
  <c r="LQ97" i="6" s="1"/>
  <c r="LP97" i="6" a="1"/>
  <c r="LP97" i="6" s="1"/>
  <c r="LO97" i="6" a="1"/>
  <c r="LO97" i="6" s="1"/>
  <c r="LA97" i="6" a="1"/>
  <c r="LA97" i="6" s="1"/>
  <c r="KZ97" i="6" a="1"/>
  <c r="KZ97" i="6" s="1"/>
  <c r="KY97" i="6" a="1"/>
  <c r="KY97" i="6" s="1"/>
  <c r="KX97" i="6" a="1"/>
  <c r="KX97" i="6" s="1"/>
  <c r="KW97" i="6" a="1"/>
  <c r="KW97" i="6" s="1"/>
  <c r="KI97" i="6" a="1"/>
  <c r="KI97" i="6" s="1"/>
  <c r="KH97" i="6" a="1"/>
  <c r="KH97" i="6" s="1"/>
  <c r="KG97" i="6" a="1"/>
  <c r="KG97" i="6" s="1"/>
  <c r="KF97" i="6" a="1"/>
  <c r="KF97" i="6" s="1"/>
  <c r="KE97" i="6" a="1"/>
  <c r="KE97" i="6" s="1"/>
  <c r="JQ97" i="6" a="1"/>
  <c r="JQ97" i="6" s="1"/>
  <c r="JP97" i="6" a="1"/>
  <c r="JP97" i="6" s="1"/>
  <c r="JO97" i="6" a="1"/>
  <c r="JO97" i="6" s="1"/>
  <c r="JN97" i="6" a="1"/>
  <c r="JN97" i="6" s="1"/>
  <c r="JM97" i="6" a="1"/>
  <c r="JM97" i="6" s="1"/>
  <c r="IY97" i="6" a="1"/>
  <c r="IY97" i="6" s="1"/>
  <c r="IX97" i="6" a="1"/>
  <c r="IX97" i="6" s="1"/>
  <c r="IW97" i="6" a="1"/>
  <c r="IW97" i="6" s="1"/>
  <c r="IV97" i="6" a="1"/>
  <c r="IV97" i="6" s="1"/>
  <c r="IU97" i="6" a="1"/>
  <c r="IU97" i="6" s="1"/>
  <c r="IG97" i="6" a="1"/>
  <c r="IG97" i="6" s="1"/>
  <c r="IF97" i="6" a="1"/>
  <c r="IF97" i="6" s="1"/>
  <c r="IE97" i="6" a="1"/>
  <c r="IE97" i="6" s="1"/>
  <c r="ID97" i="6" a="1"/>
  <c r="ID97" i="6" s="1"/>
  <c r="IC97" i="6" a="1"/>
  <c r="IC97" i="6" s="1"/>
  <c r="HO97" i="6" a="1"/>
  <c r="HO97" i="6" s="1"/>
  <c r="HN97" i="6" a="1"/>
  <c r="HN97" i="6" s="1"/>
  <c r="HM97" i="6" a="1"/>
  <c r="HM97" i="6" s="1"/>
  <c r="HL97" i="6" a="1"/>
  <c r="HL97" i="6" s="1"/>
  <c r="HK97" i="6" a="1"/>
  <c r="HK97" i="6" s="1"/>
  <c r="GX97" i="6" a="1"/>
  <c r="GX97" i="6" s="1"/>
  <c r="GW97" i="6" a="1"/>
  <c r="GW97" i="6" s="1"/>
  <c r="GV97" i="6" a="1"/>
  <c r="GV97" i="6" s="1"/>
  <c r="GU97" i="6" a="1"/>
  <c r="GU97" i="6" s="1"/>
  <c r="GT97" i="6" a="1"/>
  <c r="GT97" i="6" s="1"/>
  <c r="GG97" i="6" a="1"/>
  <c r="GG97" i="6" s="1"/>
  <c r="GF97" i="6" a="1"/>
  <c r="GF97" i="6" s="1"/>
  <c r="GE97" i="6" a="1"/>
  <c r="GE97" i="6" s="1"/>
  <c r="GD97" i="6" a="1"/>
  <c r="GD97" i="6" s="1"/>
  <c r="GC97" i="6" a="1"/>
  <c r="GC97" i="6" s="1"/>
  <c r="FP97" i="6" a="1"/>
  <c r="FP97" i="6" s="1"/>
  <c r="FO97" i="6" a="1"/>
  <c r="FO97" i="6" s="1"/>
  <c r="FN97" i="6" a="1"/>
  <c r="FN97" i="6" s="1"/>
  <c r="FM97" i="6" a="1"/>
  <c r="FM97" i="6" s="1"/>
  <c r="FL97" i="6" a="1"/>
  <c r="FL97" i="6" s="1"/>
  <c r="EY97" i="6" a="1"/>
  <c r="EY97" i="6" s="1"/>
  <c r="EX97" i="6" a="1"/>
  <c r="EX97" i="6" s="1"/>
  <c r="EW97" i="6" a="1"/>
  <c r="EW97" i="6" s="1"/>
  <c r="EV97" i="6" a="1"/>
  <c r="EV97" i="6" s="1"/>
  <c r="EU97" i="6" a="1"/>
  <c r="EU97" i="6" s="1"/>
  <c r="EH97" i="6" a="1"/>
  <c r="EH97" i="6" s="1"/>
  <c r="EG97" i="6" a="1"/>
  <c r="EG97" i="6" s="1"/>
  <c r="EF97" i="6" a="1"/>
  <c r="EF97" i="6" s="1"/>
  <c r="EE97" i="6" a="1"/>
  <c r="EE97" i="6" s="1"/>
  <c r="ED97" i="6" a="1"/>
  <c r="ED97" i="6" s="1"/>
  <c r="DQ97" i="6" a="1"/>
  <c r="DQ97" i="6" s="1"/>
  <c r="DP97" i="6" a="1"/>
  <c r="DP97" i="6" s="1"/>
  <c r="DO97" i="6" a="1"/>
  <c r="DO97" i="6" s="1"/>
  <c r="DN97" i="6" a="1"/>
  <c r="DN97" i="6" s="1"/>
  <c r="DM97" i="6" a="1"/>
  <c r="DM97" i="6" s="1"/>
  <c r="DD97" i="6" a="1"/>
  <c r="DD97" i="6" s="1"/>
  <c r="CU97" i="6" a="1"/>
  <c r="CU97" i="6" s="1"/>
  <c r="CL97" i="6" a="1"/>
  <c r="CL97" i="6" s="1"/>
  <c r="BX97" i="6" a="1"/>
  <c r="BX97" i="6" s="1"/>
  <c r="BW97" i="6" a="1"/>
  <c r="BW97" i="6" s="1"/>
  <c r="BV97" i="6" a="1"/>
  <c r="BV97" i="6" s="1"/>
  <c r="BU97" i="6" a="1"/>
  <c r="BU97" i="6" s="1"/>
  <c r="BT97" i="6" a="1"/>
  <c r="BT97" i="6" s="1"/>
  <c r="BS97" i="6" a="1"/>
  <c r="BS97" i="6" s="1"/>
  <c r="BA97" i="6" a="1"/>
  <c r="BA97" i="6" s="1"/>
  <c r="AZ97" i="6" a="1"/>
  <c r="AZ97" i="6" s="1"/>
  <c r="AY97" i="6" a="1"/>
  <c r="AY97" i="6" s="1"/>
  <c r="AX97" i="6" a="1"/>
  <c r="AX97" i="6" s="1"/>
  <c r="AW97" i="6" a="1"/>
  <c r="AW97" i="6" s="1"/>
  <c r="AV97" i="6" a="1"/>
  <c r="AV97" i="6" s="1"/>
  <c r="AU97" i="6" a="1"/>
  <c r="AU97" i="6" s="1"/>
  <c r="AT97" i="6" a="1"/>
  <c r="AT97" i="6" s="1"/>
  <c r="AS97" i="6" a="1"/>
  <c r="AS97" i="6" s="1"/>
  <c r="AR97" i="6" a="1"/>
  <c r="AR97" i="6" s="1"/>
  <c r="AH97" i="6" a="1"/>
  <c r="AH97" i="6" s="1"/>
  <c r="AG97" i="6" a="1"/>
  <c r="AG97" i="6" s="1"/>
  <c r="V97" i="6" a="1"/>
  <c r="V97" i="6" s="1"/>
  <c r="U97" i="6" a="1"/>
  <c r="U97" i="6" s="1"/>
  <c r="J97" i="6" a="1"/>
  <c r="J97" i="6" s="1"/>
  <c r="I97" i="6" a="1"/>
  <c r="I97" i="6" s="1"/>
  <c r="ADA96" i="6" a="1"/>
  <c r="ADA96" i="6" s="1"/>
  <c r="ACZ96" i="6" a="1"/>
  <c r="ACZ96" i="6" s="1"/>
  <c r="ACY96" i="6" a="1"/>
  <c r="ACY96" i="6" s="1"/>
  <c r="ACN96" i="6" a="1"/>
  <c r="ACN96" i="6" s="1"/>
  <c r="ACM96" i="6" a="1"/>
  <c r="ACM96" i="6" s="1"/>
  <c r="ABU96" i="6" a="1"/>
  <c r="ABU96" i="6" s="1"/>
  <c r="ABX96" i="6" a="1"/>
  <c r="ABX96" i="6" s="1"/>
  <c r="ABV96" i="6" a="1"/>
  <c r="ABV96" i="6" s="1"/>
  <c r="ABH96" i="6" a="1"/>
  <c r="ABH96" i="6" s="1"/>
  <c r="ABG96" i="6" a="1"/>
  <c r="ABG96" i="6" s="1"/>
  <c r="ABF96" i="6" a="1"/>
  <c r="ABF96" i="6" s="1"/>
  <c r="ABE96" i="6" a="1"/>
  <c r="ABE96" i="6" s="1"/>
  <c r="ABD96" i="6" a="1"/>
  <c r="ABD96" i="6" s="1"/>
  <c r="ZR96" i="6" a="1"/>
  <c r="ZR96" i="6" s="1"/>
  <c r="ZE96" i="6" a="1"/>
  <c r="ZE96" i="6" s="1"/>
  <c r="ZD96" i="6" a="1"/>
  <c r="ZD96" i="6" s="1"/>
  <c r="ZC96" i="6" a="1"/>
  <c r="ZC96" i="6" s="1"/>
  <c r="ZB96" i="6" a="1"/>
  <c r="ZB96" i="6" s="1"/>
  <c r="ZA96" i="6" a="1"/>
  <c r="ZA96" i="6" s="1"/>
  <c r="YP96" i="6" a="1"/>
  <c r="YP96" i="6" s="1"/>
  <c r="YO96" i="6" a="1"/>
  <c r="YO96" i="6" s="1"/>
  <c r="YE96" i="6" a="1"/>
  <c r="YE96" i="6" s="1"/>
  <c r="YD96" i="6" a="1"/>
  <c r="YD96" i="6" s="1"/>
  <c r="XT96" i="6" a="1"/>
  <c r="XT96" i="6" s="1"/>
  <c r="XS96" i="6" a="1"/>
  <c r="XS96" i="6" s="1"/>
  <c r="XI96" i="6" a="1"/>
  <c r="XI96" i="6" s="1"/>
  <c r="XH96" i="6" a="1"/>
  <c r="XH96" i="6" s="1"/>
  <c r="WX96" i="6" a="1"/>
  <c r="WX96" i="6" s="1"/>
  <c r="WW96" i="6" a="1"/>
  <c r="WW96" i="6" s="1"/>
  <c r="WM96" i="6" a="1"/>
  <c r="WM96" i="6" s="1"/>
  <c r="WL96" i="6" a="1"/>
  <c r="WL96" i="6" s="1"/>
  <c r="WC96" i="6" a="1"/>
  <c r="WC96" i="6" s="1"/>
  <c r="VQ96" i="6" a="1"/>
  <c r="VQ96" i="6" s="1"/>
  <c r="VP96" i="6" a="1"/>
  <c r="VP96" i="6" s="1"/>
  <c r="VO96" i="6" a="1"/>
  <c r="VO96" i="6" s="1"/>
  <c r="VN96" i="6" a="1"/>
  <c r="VN96" i="6" s="1"/>
  <c r="VA96" i="6" a="1"/>
  <c r="VA96" i="6" s="1"/>
  <c r="UZ96" i="6" a="1"/>
  <c r="UZ96" i="6" s="1"/>
  <c r="UY96" i="6" a="1"/>
  <c r="UY96" i="6" s="1"/>
  <c r="UX96" i="6" a="1"/>
  <c r="UX96" i="6" s="1"/>
  <c r="UW96" i="6" a="1"/>
  <c r="UW96" i="6" s="1"/>
  <c r="UM96" i="6" a="1"/>
  <c r="UM96" i="6" s="1"/>
  <c r="TZ96" i="6" a="1"/>
  <c r="TZ96" i="6" s="1"/>
  <c r="TY96" i="6" a="1"/>
  <c r="TY96" i="6" s="1"/>
  <c r="TX96" i="6" a="1"/>
  <c r="TX96" i="6" s="1"/>
  <c r="TW96" i="6" a="1"/>
  <c r="TW96" i="6" s="1"/>
  <c r="TV96" i="6" a="1"/>
  <c r="TV96" i="6" s="1"/>
  <c r="TH96" i="6" a="1"/>
  <c r="TH96" i="6" s="1"/>
  <c r="TG96" i="6" a="1"/>
  <c r="TG96" i="6" s="1"/>
  <c r="TF96" i="6" a="1"/>
  <c r="TF96" i="6" s="1"/>
  <c r="TE96" i="6" a="1"/>
  <c r="TE96" i="6" s="1"/>
  <c r="TD96" i="6" a="1"/>
  <c r="TD96" i="6" s="1"/>
  <c r="SP96" i="6" a="1"/>
  <c r="SP96" i="6" s="1"/>
  <c r="SO96" i="6" a="1"/>
  <c r="SO96" i="6" s="1"/>
  <c r="SN96" i="6" a="1"/>
  <c r="SN96" i="6" s="1"/>
  <c r="SM96" i="6" a="1"/>
  <c r="SM96" i="6" s="1"/>
  <c r="SL96" i="6" a="1"/>
  <c r="SL96" i="6" s="1"/>
  <c r="RX96" i="6" a="1"/>
  <c r="RX96" i="6" s="1"/>
  <c r="RW96" i="6" a="1"/>
  <c r="RW96" i="6" s="1"/>
  <c r="RV96" i="6" a="1"/>
  <c r="RV96" i="6" s="1"/>
  <c r="RU96" i="6" a="1"/>
  <c r="RU96" i="6" s="1"/>
  <c r="RT96" i="6" a="1"/>
  <c r="RT96" i="6" s="1"/>
  <c r="RF96" i="6" a="1"/>
  <c r="RF96" i="6" s="1"/>
  <c r="RE96" i="6" a="1"/>
  <c r="RE96" i="6" s="1"/>
  <c r="RD96" i="6" a="1"/>
  <c r="RD96" i="6" s="1"/>
  <c r="RC96" i="6" a="1"/>
  <c r="RC96" i="6" s="1"/>
  <c r="RB96" i="6" a="1"/>
  <c r="RB96" i="6" s="1"/>
  <c r="QN96" i="6" a="1"/>
  <c r="QN96" i="6" s="1"/>
  <c r="QM96" i="6" a="1"/>
  <c r="QM96" i="6" s="1"/>
  <c r="QL96" i="6" a="1"/>
  <c r="QL96" i="6" s="1"/>
  <c r="QK96" i="6" a="1"/>
  <c r="QK96" i="6" s="1"/>
  <c r="QJ96" i="6" a="1"/>
  <c r="QJ96" i="6" s="1"/>
  <c r="PV96" i="6" a="1"/>
  <c r="PV96" i="6" s="1"/>
  <c r="PU96" i="6" a="1"/>
  <c r="PU96" i="6" s="1"/>
  <c r="PT96" i="6" a="1"/>
  <c r="PT96" i="6" s="1"/>
  <c r="PS96" i="6" a="1"/>
  <c r="PS96" i="6" s="1"/>
  <c r="PR96" i="6" a="1"/>
  <c r="PR96" i="6" s="1"/>
  <c r="PD96" i="6" a="1"/>
  <c r="PD96" i="6" s="1"/>
  <c r="PC96" i="6" a="1"/>
  <c r="PC96" i="6" s="1"/>
  <c r="PB96" i="6" a="1"/>
  <c r="PB96" i="6" s="1"/>
  <c r="PA96" i="6" a="1"/>
  <c r="PA96" i="6" s="1"/>
  <c r="OZ96" i="6" a="1"/>
  <c r="OZ96" i="6" s="1"/>
  <c r="OL96" i="6" a="1"/>
  <c r="OL96" i="6" s="1"/>
  <c r="OK96" i="6" a="1"/>
  <c r="OK96" i="6" s="1"/>
  <c r="OJ96" i="6" a="1"/>
  <c r="OJ96" i="6" s="1"/>
  <c r="OI96" i="6" a="1"/>
  <c r="OI96" i="6" s="1"/>
  <c r="OH96" i="6" a="1"/>
  <c r="OH96" i="6" s="1"/>
  <c r="NT96" i="6" a="1"/>
  <c r="NT96" i="6" s="1"/>
  <c r="NS96" i="6" a="1"/>
  <c r="NS96" i="6" s="1"/>
  <c r="NR96" i="6" a="1"/>
  <c r="NR96" i="6" s="1"/>
  <c r="NQ96" i="6" a="1"/>
  <c r="NQ96" i="6" s="1"/>
  <c r="NP96" i="6" a="1"/>
  <c r="NP96" i="6" s="1"/>
  <c r="NC96" i="6" a="1"/>
  <c r="NC96" i="6" s="1"/>
  <c r="NB96" i="6" a="1"/>
  <c r="NB96" i="6" s="1"/>
  <c r="NA96" i="6" a="1"/>
  <c r="NA96" i="6" s="1"/>
  <c r="MZ96" i="6" a="1"/>
  <c r="MZ96" i="6" s="1"/>
  <c r="MY96" i="6" a="1"/>
  <c r="MY96" i="6" s="1"/>
  <c r="MK96" i="6" a="1"/>
  <c r="MK96" i="6" s="1"/>
  <c r="MJ96" i="6" a="1"/>
  <c r="MJ96" i="6" s="1"/>
  <c r="MI96" i="6" a="1"/>
  <c r="MI96" i="6" s="1"/>
  <c r="MH96" i="6" a="1"/>
  <c r="MH96" i="6" s="1"/>
  <c r="MG96" i="6" a="1"/>
  <c r="MG96" i="6" s="1"/>
  <c r="LS96" i="6" a="1"/>
  <c r="LS96" i="6" s="1"/>
  <c r="LR96" i="6" a="1"/>
  <c r="LR96" i="6" s="1"/>
  <c r="LQ96" i="6" a="1"/>
  <c r="LQ96" i="6" s="1"/>
  <c r="LP96" i="6" a="1"/>
  <c r="LP96" i="6" s="1"/>
  <c r="LO96" i="6" a="1"/>
  <c r="LO96" i="6" s="1"/>
  <c r="LA96" i="6" a="1"/>
  <c r="LA96" i="6" s="1"/>
  <c r="KZ96" i="6" a="1"/>
  <c r="KZ96" i="6" s="1"/>
  <c r="KY96" i="6" a="1"/>
  <c r="KY96" i="6" s="1"/>
  <c r="KX96" i="6" a="1"/>
  <c r="KX96" i="6" s="1"/>
  <c r="KW96" i="6" a="1"/>
  <c r="KW96" i="6" s="1"/>
  <c r="KI96" i="6" a="1"/>
  <c r="KI96" i="6" s="1"/>
  <c r="KH96" i="6" a="1"/>
  <c r="KH96" i="6" s="1"/>
  <c r="KG96" i="6" a="1"/>
  <c r="KG96" i="6" s="1"/>
  <c r="KF96" i="6" a="1"/>
  <c r="KF96" i="6" s="1"/>
  <c r="KE96" i="6" a="1"/>
  <c r="KE96" i="6" s="1"/>
  <c r="JQ96" i="6" a="1"/>
  <c r="JQ96" i="6" s="1"/>
  <c r="JP96" i="6" a="1"/>
  <c r="JP96" i="6" s="1"/>
  <c r="JO96" i="6" a="1"/>
  <c r="JO96" i="6" s="1"/>
  <c r="JN96" i="6" a="1"/>
  <c r="JN96" i="6" s="1"/>
  <c r="JM96" i="6" a="1"/>
  <c r="JM96" i="6" s="1"/>
  <c r="IY96" i="6" a="1"/>
  <c r="IY96" i="6" s="1"/>
  <c r="IX96" i="6" a="1"/>
  <c r="IX96" i="6" s="1"/>
  <c r="IW96" i="6" a="1"/>
  <c r="IW96" i="6" s="1"/>
  <c r="IV96" i="6" a="1"/>
  <c r="IV96" i="6" s="1"/>
  <c r="IU96" i="6" a="1"/>
  <c r="IU96" i="6" s="1"/>
  <c r="IG96" i="6" a="1"/>
  <c r="IG96" i="6" s="1"/>
  <c r="IF96" i="6" a="1"/>
  <c r="IF96" i="6" s="1"/>
  <c r="IE96" i="6" a="1"/>
  <c r="IE96" i="6" s="1"/>
  <c r="ID96" i="6" a="1"/>
  <c r="ID96" i="6" s="1"/>
  <c r="IC96" i="6" a="1"/>
  <c r="IC96" i="6" s="1"/>
  <c r="HO96" i="6" a="1"/>
  <c r="HO96" i="6" s="1"/>
  <c r="HN96" i="6" a="1"/>
  <c r="HN96" i="6" s="1"/>
  <c r="HM96" i="6" a="1"/>
  <c r="HM96" i="6" s="1"/>
  <c r="HL96" i="6" a="1"/>
  <c r="HL96" i="6" s="1"/>
  <c r="HK96" i="6" a="1"/>
  <c r="HK96" i="6" s="1"/>
  <c r="GX96" i="6" a="1"/>
  <c r="GX96" i="6" s="1"/>
  <c r="GW96" i="6" a="1"/>
  <c r="GW96" i="6" s="1"/>
  <c r="GV96" i="6" a="1"/>
  <c r="GV96" i="6" s="1"/>
  <c r="GU96" i="6" a="1"/>
  <c r="GU96" i="6" s="1"/>
  <c r="GT96" i="6" a="1"/>
  <c r="GT96" i="6" s="1"/>
  <c r="GG96" i="6" a="1"/>
  <c r="GG96" i="6" s="1"/>
  <c r="GF96" i="6" a="1"/>
  <c r="GF96" i="6" s="1"/>
  <c r="GE96" i="6" a="1"/>
  <c r="GE96" i="6" s="1"/>
  <c r="GD96" i="6" a="1"/>
  <c r="GD96" i="6" s="1"/>
  <c r="GC96" i="6" a="1"/>
  <c r="GC96" i="6" s="1"/>
  <c r="FP96" i="6" a="1"/>
  <c r="FP96" i="6" s="1"/>
  <c r="FO96" i="6" a="1"/>
  <c r="FO96" i="6" s="1"/>
  <c r="FN96" i="6" a="1"/>
  <c r="FN96" i="6" s="1"/>
  <c r="FM96" i="6" a="1"/>
  <c r="FM96" i="6" s="1"/>
  <c r="FL96" i="6" a="1"/>
  <c r="FL96" i="6" s="1"/>
  <c r="EY96" i="6" a="1"/>
  <c r="EY96" i="6" s="1"/>
  <c r="EX96" i="6" a="1"/>
  <c r="EX96" i="6" s="1"/>
  <c r="EW96" i="6" a="1"/>
  <c r="EW96" i="6" s="1"/>
  <c r="EV96" i="6" a="1"/>
  <c r="EV96" i="6" s="1"/>
  <c r="EU96" i="6" a="1"/>
  <c r="EU96" i="6" s="1"/>
  <c r="EH96" i="6" a="1"/>
  <c r="EH96" i="6" s="1"/>
  <c r="EG96" i="6" a="1"/>
  <c r="EG96" i="6" s="1"/>
  <c r="EF96" i="6" a="1"/>
  <c r="EF96" i="6" s="1"/>
  <c r="EE96" i="6" a="1"/>
  <c r="EE96" i="6" s="1"/>
  <c r="ED96" i="6" a="1"/>
  <c r="ED96" i="6" s="1"/>
  <c r="DQ96" i="6" a="1"/>
  <c r="DQ96" i="6" s="1"/>
  <c r="DP96" i="6" a="1"/>
  <c r="DP96" i="6" s="1"/>
  <c r="DO96" i="6" a="1"/>
  <c r="DO96" i="6" s="1"/>
  <c r="DN96" i="6" a="1"/>
  <c r="DN96" i="6" s="1"/>
  <c r="DM96" i="6" a="1"/>
  <c r="DM96" i="6" s="1"/>
  <c r="DD96" i="6" a="1"/>
  <c r="DD96" i="6" s="1"/>
  <c r="CU96" i="6" a="1"/>
  <c r="CU96" i="6" s="1"/>
  <c r="CL96" i="6" a="1"/>
  <c r="CL96" i="6" s="1"/>
  <c r="BX96" i="6" a="1"/>
  <c r="BX96" i="6" s="1"/>
  <c r="BW96" i="6" a="1"/>
  <c r="BW96" i="6" s="1"/>
  <c r="BV96" i="6" a="1"/>
  <c r="BV96" i="6" s="1"/>
  <c r="BU96" i="6" a="1"/>
  <c r="BU96" i="6" s="1"/>
  <c r="BT96" i="6" a="1"/>
  <c r="BT96" i="6" s="1"/>
  <c r="BS96" i="6" a="1"/>
  <c r="BS96" i="6" s="1"/>
  <c r="BA96" i="6" a="1"/>
  <c r="BA96" i="6" s="1"/>
  <c r="AZ96" i="6" a="1"/>
  <c r="AZ96" i="6" s="1"/>
  <c r="AY96" i="6" a="1"/>
  <c r="AY96" i="6" s="1"/>
  <c r="AX96" i="6" a="1"/>
  <c r="AX96" i="6" s="1"/>
  <c r="AW96" i="6" a="1"/>
  <c r="AW96" i="6" s="1"/>
  <c r="AV96" i="6" a="1"/>
  <c r="AV96" i="6" s="1"/>
  <c r="AU96" i="6" a="1"/>
  <c r="AU96" i="6" s="1"/>
  <c r="AT96" i="6" a="1"/>
  <c r="AT96" i="6" s="1"/>
  <c r="AS96" i="6" a="1"/>
  <c r="AS96" i="6" s="1"/>
  <c r="AR96" i="6" a="1"/>
  <c r="AR96" i="6" s="1"/>
  <c r="AH96" i="6" a="1"/>
  <c r="AH96" i="6" s="1"/>
  <c r="AG96" i="6" a="1"/>
  <c r="AG96" i="6" s="1"/>
  <c r="V96" i="6" a="1"/>
  <c r="V96" i="6" s="1"/>
  <c r="U96" i="6" a="1"/>
  <c r="U96" i="6" s="1"/>
  <c r="J96" i="6" a="1"/>
  <c r="J96" i="6" s="1"/>
  <c r="I96" i="6" a="1"/>
  <c r="I96" i="6" s="1"/>
  <c r="ADA95" i="6" a="1"/>
  <c r="ADA95" i="6" s="1"/>
  <c r="ACZ95" i="6" a="1"/>
  <c r="ACZ95" i="6" s="1"/>
  <c r="ACY95" i="6" a="1"/>
  <c r="ACY95" i="6" s="1"/>
  <c r="ACN95" i="6" a="1"/>
  <c r="ACN95" i="6" s="1"/>
  <c r="ACM95" i="6" a="1"/>
  <c r="ACM95" i="6" s="1"/>
  <c r="ABU95" i="6" a="1"/>
  <c r="ABU95" i="6" s="1"/>
  <c r="ABX95" i="6" a="1"/>
  <c r="ABX95" i="6" s="1"/>
  <c r="ABV95" i="6" a="1"/>
  <c r="ABV95" i="6" s="1"/>
  <c r="ABH95" i="6" a="1"/>
  <c r="ABH95" i="6" s="1"/>
  <c r="ABG95" i="6" a="1"/>
  <c r="ABG95" i="6" s="1"/>
  <c r="ABF95" i="6" a="1"/>
  <c r="ABF95" i="6" s="1"/>
  <c r="ABE95" i="6" a="1"/>
  <c r="ABE95" i="6" s="1"/>
  <c r="ABD95" i="6" a="1"/>
  <c r="ABD95" i="6" s="1"/>
  <c r="ZR95" i="6" a="1"/>
  <c r="ZR95" i="6" s="1"/>
  <c r="ZE95" i="6" a="1"/>
  <c r="ZE95" i="6" s="1"/>
  <c r="ZD95" i="6" a="1"/>
  <c r="ZD95" i="6" s="1"/>
  <c r="ZC95" i="6" a="1"/>
  <c r="ZC95" i="6" s="1"/>
  <c r="ZB95" i="6" a="1"/>
  <c r="ZB95" i="6" s="1"/>
  <c r="ZA95" i="6" a="1"/>
  <c r="ZA95" i="6" s="1"/>
  <c r="YP95" i="6" a="1"/>
  <c r="YP95" i="6" s="1"/>
  <c r="YO95" i="6" a="1"/>
  <c r="YO95" i="6" s="1"/>
  <c r="YE95" i="6" a="1"/>
  <c r="YE95" i="6" s="1"/>
  <c r="YD95" i="6" a="1"/>
  <c r="YD95" i="6" s="1"/>
  <c r="XT95" i="6" a="1"/>
  <c r="XT95" i="6" s="1"/>
  <c r="XS95" i="6" a="1"/>
  <c r="XS95" i="6" s="1"/>
  <c r="XI95" i="6" a="1"/>
  <c r="XI95" i="6" s="1"/>
  <c r="XH95" i="6" a="1"/>
  <c r="XH95" i="6" s="1"/>
  <c r="WX95" i="6" a="1"/>
  <c r="WX95" i="6" s="1"/>
  <c r="WW95" i="6" a="1"/>
  <c r="WW95" i="6" s="1"/>
  <c r="WM95" i="6" a="1"/>
  <c r="WM95" i="6" s="1"/>
  <c r="WL95" i="6" a="1"/>
  <c r="WL95" i="6" s="1"/>
  <c r="WC95" i="6" a="1"/>
  <c r="WC95" i="6" s="1"/>
  <c r="VQ95" i="6" a="1"/>
  <c r="VQ95" i="6" s="1"/>
  <c r="VP95" i="6" a="1"/>
  <c r="VP95" i="6" s="1"/>
  <c r="VO95" i="6" a="1"/>
  <c r="VO95" i="6" s="1"/>
  <c r="VN95" i="6" a="1"/>
  <c r="VN95" i="6" s="1"/>
  <c r="VA95" i="6" a="1"/>
  <c r="VA95" i="6" s="1"/>
  <c r="UZ95" i="6" a="1"/>
  <c r="UZ95" i="6" s="1"/>
  <c r="UY95" i="6" a="1"/>
  <c r="UY95" i="6" s="1"/>
  <c r="UX95" i="6" a="1"/>
  <c r="UX95" i="6" s="1"/>
  <c r="UW95" i="6" a="1"/>
  <c r="UW95" i="6" s="1"/>
  <c r="UM95" i="6" a="1"/>
  <c r="UM95" i="6" s="1"/>
  <c r="TZ95" i="6" a="1"/>
  <c r="TZ95" i="6" s="1"/>
  <c r="TY95" i="6" a="1"/>
  <c r="TY95" i="6" s="1"/>
  <c r="TX95" i="6" a="1"/>
  <c r="TX95" i="6" s="1"/>
  <c r="TW95" i="6" a="1"/>
  <c r="TW95" i="6" s="1"/>
  <c r="TV95" i="6" a="1"/>
  <c r="TV95" i="6" s="1"/>
  <c r="TH95" i="6" a="1"/>
  <c r="TH95" i="6" s="1"/>
  <c r="TG95" i="6" a="1"/>
  <c r="TG95" i="6" s="1"/>
  <c r="TF95" i="6" a="1"/>
  <c r="TF95" i="6" s="1"/>
  <c r="TE95" i="6" a="1"/>
  <c r="TE95" i="6" s="1"/>
  <c r="TD95" i="6" a="1"/>
  <c r="TD95" i="6" s="1"/>
  <c r="SP95" i="6" a="1"/>
  <c r="SP95" i="6" s="1"/>
  <c r="SO95" i="6" a="1"/>
  <c r="SO95" i="6" s="1"/>
  <c r="SN95" i="6" a="1"/>
  <c r="SN95" i="6" s="1"/>
  <c r="SM95" i="6" a="1"/>
  <c r="SM95" i="6" s="1"/>
  <c r="SL95" i="6" a="1"/>
  <c r="SL95" i="6" s="1"/>
  <c r="RX95" i="6" a="1"/>
  <c r="RX95" i="6" s="1"/>
  <c r="RW95" i="6" a="1"/>
  <c r="RW95" i="6" s="1"/>
  <c r="RV95" i="6" a="1"/>
  <c r="RV95" i="6" s="1"/>
  <c r="RU95" i="6" a="1"/>
  <c r="RU95" i="6" s="1"/>
  <c r="RT95" i="6" a="1"/>
  <c r="RT95" i="6" s="1"/>
  <c r="RF95" i="6" a="1"/>
  <c r="RF95" i="6" s="1"/>
  <c r="RE95" i="6" a="1"/>
  <c r="RE95" i="6" s="1"/>
  <c r="RD95" i="6" a="1"/>
  <c r="RD95" i="6" s="1"/>
  <c r="RC95" i="6" a="1"/>
  <c r="RC95" i="6" s="1"/>
  <c r="RB95" i="6" a="1"/>
  <c r="RB95" i="6" s="1"/>
  <c r="QN95" i="6" a="1"/>
  <c r="QN95" i="6" s="1"/>
  <c r="QM95" i="6" a="1"/>
  <c r="QM95" i="6" s="1"/>
  <c r="QL95" i="6" a="1"/>
  <c r="QL95" i="6" s="1"/>
  <c r="QK95" i="6" a="1"/>
  <c r="QK95" i="6" s="1"/>
  <c r="QJ95" i="6" a="1"/>
  <c r="QJ95" i="6" s="1"/>
  <c r="PV95" i="6" a="1"/>
  <c r="PV95" i="6" s="1"/>
  <c r="PU95" i="6" a="1"/>
  <c r="PU95" i="6" s="1"/>
  <c r="PT95" i="6" a="1"/>
  <c r="PT95" i="6" s="1"/>
  <c r="PS95" i="6" a="1"/>
  <c r="PS95" i="6" s="1"/>
  <c r="PR95" i="6" a="1"/>
  <c r="PR95" i="6" s="1"/>
  <c r="PD95" i="6" a="1"/>
  <c r="PD95" i="6" s="1"/>
  <c r="PC95" i="6" a="1"/>
  <c r="PC95" i="6" s="1"/>
  <c r="PB95" i="6" a="1"/>
  <c r="PB95" i="6" s="1"/>
  <c r="PA95" i="6" a="1"/>
  <c r="PA95" i="6" s="1"/>
  <c r="OZ95" i="6" a="1"/>
  <c r="OZ95" i="6" s="1"/>
  <c r="OL95" i="6" a="1"/>
  <c r="OL95" i="6" s="1"/>
  <c r="OK95" i="6" a="1"/>
  <c r="OK95" i="6" s="1"/>
  <c r="OJ95" i="6" a="1"/>
  <c r="OJ95" i="6" s="1"/>
  <c r="OI95" i="6" a="1"/>
  <c r="OI95" i="6" s="1"/>
  <c r="OH95" i="6" a="1"/>
  <c r="OH95" i="6" s="1"/>
  <c r="NT95" i="6" a="1"/>
  <c r="NT95" i="6" s="1"/>
  <c r="NS95" i="6" a="1"/>
  <c r="NS95" i="6" s="1"/>
  <c r="NR95" i="6" a="1"/>
  <c r="NR95" i="6" s="1"/>
  <c r="NQ95" i="6" a="1"/>
  <c r="NQ95" i="6" s="1"/>
  <c r="NP95" i="6" a="1"/>
  <c r="NP95" i="6" s="1"/>
  <c r="NC95" i="6" a="1"/>
  <c r="NC95" i="6" s="1"/>
  <c r="NB95" i="6" a="1"/>
  <c r="NB95" i="6" s="1"/>
  <c r="NA95" i="6" a="1"/>
  <c r="NA95" i="6" s="1"/>
  <c r="MZ95" i="6" a="1"/>
  <c r="MZ95" i="6" s="1"/>
  <c r="MY95" i="6" a="1"/>
  <c r="MY95" i="6" s="1"/>
  <c r="MK95" i="6" a="1"/>
  <c r="MK95" i="6" s="1"/>
  <c r="MJ95" i="6" a="1"/>
  <c r="MJ95" i="6" s="1"/>
  <c r="MI95" i="6" a="1"/>
  <c r="MI95" i="6" s="1"/>
  <c r="MH95" i="6" a="1"/>
  <c r="MH95" i="6" s="1"/>
  <c r="MG95" i="6" a="1"/>
  <c r="MG95" i="6" s="1"/>
  <c r="LS95" i="6" a="1"/>
  <c r="LS95" i="6" s="1"/>
  <c r="LR95" i="6" a="1"/>
  <c r="LR95" i="6" s="1"/>
  <c r="LQ95" i="6" a="1"/>
  <c r="LQ95" i="6" s="1"/>
  <c r="LP95" i="6" a="1"/>
  <c r="LP95" i="6" s="1"/>
  <c r="LO95" i="6" a="1"/>
  <c r="LO95" i="6" s="1"/>
  <c r="LA95" i="6" a="1"/>
  <c r="LA95" i="6" s="1"/>
  <c r="KZ95" i="6" a="1"/>
  <c r="KZ95" i="6" s="1"/>
  <c r="KY95" i="6" a="1"/>
  <c r="KY95" i="6" s="1"/>
  <c r="KX95" i="6" a="1"/>
  <c r="KX95" i="6" s="1"/>
  <c r="KW95" i="6" a="1"/>
  <c r="KW95" i="6" s="1"/>
  <c r="KI95" i="6" a="1"/>
  <c r="KI95" i="6" s="1"/>
  <c r="KH95" i="6" a="1"/>
  <c r="KH95" i="6" s="1"/>
  <c r="KG95" i="6" a="1"/>
  <c r="KG95" i="6" s="1"/>
  <c r="KF95" i="6" a="1"/>
  <c r="KF95" i="6" s="1"/>
  <c r="KE95" i="6" a="1"/>
  <c r="KE95" i="6" s="1"/>
  <c r="JQ95" i="6" a="1"/>
  <c r="JQ95" i="6" s="1"/>
  <c r="JP95" i="6" a="1"/>
  <c r="JP95" i="6" s="1"/>
  <c r="JO95" i="6" a="1"/>
  <c r="JO95" i="6" s="1"/>
  <c r="JN95" i="6" a="1"/>
  <c r="JN95" i="6" s="1"/>
  <c r="JM95" i="6" a="1"/>
  <c r="JM95" i="6" s="1"/>
  <c r="IY95" i="6" a="1"/>
  <c r="IY95" i="6" s="1"/>
  <c r="IX95" i="6" a="1"/>
  <c r="IX95" i="6" s="1"/>
  <c r="IW95" i="6" a="1"/>
  <c r="IW95" i="6" s="1"/>
  <c r="IV95" i="6" a="1"/>
  <c r="IV95" i="6" s="1"/>
  <c r="IU95" i="6" a="1"/>
  <c r="IU95" i="6" s="1"/>
  <c r="IG95" i="6" a="1"/>
  <c r="IG95" i="6" s="1"/>
  <c r="IF95" i="6" a="1"/>
  <c r="IF95" i="6" s="1"/>
  <c r="IE95" i="6" a="1"/>
  <c r="IE95" i="6" s="1"/>
  <c r="ID95" i="6" a="1"/>
  <c r="ID95" i="6" s="1"/>
  <c r="IC95" i="6" a="1"/>
  <c r="IC95" i="6" s="1"/>
  <c r="HO95" i="6" a="1"/>
  <c r="HO95" i="6" s="1"/>
  <c r="HN95" i="6" a="1"/>
  <c r="HN95" i="6" s="1"/>
  <c r="HM95" i="6" a="1"/>
  <c r="HM95" i="6" s="1"/>
  <c r="HL95" i="6" a="1"/>
  <c r="HL95" i="6" s="1"/>
  <c r="HK95" i="6" a="1"/>
  <c r="HK95" i="6" s="1"/>
  <c r="GX95" i="6" a="1"/>
  <c r="GX95" i="6" s="1"/>
  <c r="GW95" i="6" a="1"/>
  <c r="GW95" i="6" s="1"/>
  <c r="GV95" i="6" a="1"/>
  <c r="GV95" i="6" s="1"/>
  <c r="GU95" i="6" a="1"/>
  <c r="GU95" i="6" s="1"/>
  <c r="GT95" i="6" a="1"/>
  <c r="GT95" i="6" s="1"/>
  <c r="GG95" i="6" a="1"/>
  <c r="GG95" i="6" s="1"/>
  <c r="GF95" i="6" a="1"/>
  <c r="GF95" i="6" s="1"/>
  <c r="GE95" i="6" a="1"/>
  <c r="GE95" i="6" s="1"/>
  <c r="GD95" i="6" a="1"/>
  <c r="GD95" i="6" s="1"/>
  <c r="GC95" i="6" a="1"/>
  <c r="GC95" i="6" s="1"/>
  <c r="FP95" i="6" a="1"/>
  <c r="FP95" i="6" s="1"/>
  <c r="FO95" i="6" a="1"/>
  <c r="FO95" i="6" s="1"/>
  <c r="FN95" i="6" a="1"/>
  <c r="FN95" i="6" s="1"/>
  <c r="FM95" i="6" a="1"/>
  <c r="FM95" i="6" s="1"/>
  <c r="FL95" i="6" a="1"/>
  <c r="FL95" i="6" s="1"/>
  <c r="EY95" i="6" a="1"/>
  <c r="EY95" i="6" s="1"/>
  <c r="EX95" i="6" a="1"/>
  <c r="EX95" i="6" s="1"/>
  <c r="EW95" i="6" a="1"/>
  <c r="EW95" i="6" s="1"/>
  <c r="EV95" i="6" a="1"/>
  <c r="EV95" i="6" s="1"/>
  <c r="EU95" i="6" a="1"/>
  <c r="EU95" i="6" s="1"/>
  <c r="EH95" i="6" a="1"/>
  <c r="EH95" i="6" s="1"/>
  <c r="EG95" i="6" a="1"/>
  <c r="EG95" i="6" s="1"/>
  <c r="EF95" i="6" a="1"/>
  <c r="EF95" i="6" s="1"/>
  <c r="EE95" i="6" a="1"/>
  <c r="EE95" i="6" s="1"/>
  <c r="ED95" i="6" a="1"/>
  <c r="ED95" i="6" s="1"/>
  <c r="DQ95" i="6" a="1"/>
  <c r="DQ95" i="6" s="1"/>
  <c r="DP95" i="6" a="1"/>
  <c r="DP95" i="6" s="1"/>
  <c r="DO95" i="6" a="1"/>
  <c r="DO95" i="6" s="1"/>
  <c r="DN95" i="6" a="1"/>
  <c r="DN95" i="6" s="1"/>
  <c r="DM95" i="6" a="1"/>
  <c r="DM95" i="6" s="1"/>
  <c r="DD95" i="6" a="1"/>
  <c r="DD95" i="6" s="1"/>
  <c r="CU95" i="6" a="1"/>
  <c r="CU95" i="6" s="1"/>
  <c r="CL95" i="6" a="1"/>
  <c r="CL95" i="6" s="1"/>
  <c r="BX95" i="6" a="1"/>
  <c r="BX95" i="6" s="1"/>
  <c r="BW95" i="6" a="1"/>
  <c r="BW95" i="6" s="1"/>
  <c r="BV95" i="6" a="1"/>
  <c r="BV95" i="6" s="1"/>
  <c r="BU95" i="6" a="1"/>
  <c r="BU95" i="6" s="1"/>
  <c r="BT95" i="6" a="1"/>
  <c r="BT95" i="6" s="1"/>
  <c r="BS95" i="6" a="1"/>
  <c r="BS95" i="6" s="1"/>
  <c r="BA95" i="6" a="1"/>
  <c r="BA95" i="6" s="1"/>
  <c r="AZ95" i="6" a="1"/>
  <c r="AZ95" i="6" s="1"/>
  <c r="AY95" i="6" a="1"/>
  <c r="AY95" i="6" s="1"/>
  <c r="AX95" i="6" a="1"/>
  <c r="AX95" i="6" s="1"/>
  <c r="AW95" i="6" a="1"/>
  <c r="AW95" i="6" s="1"/>
  <c r="AV95" i="6" a="1"/>
  <c r="AV95" i="6" s="1"/>
  <c r="AU95" i="6" a="1"/>
  <c r="AU95" i="6" s="1"/>
  <c r="AT95" i="6" a="1"/>
  <c r="AT95" i="6" s="1"/>
  <c r="AS95" i="6" a="1"/>
  <c r="AS95" i="6" s="1"/>
  <c r="AR95" i="6" a="1"/>
  <c r="AR95" i="6" s="1"/>
  <c r="AH95" i="6" a="1"/>
  <c r="AH95" i="6" s="1"/>
  <c r="AG95" i="6" a="1"/>
  <c r="AG95" i="6" s="1"/>
  <c r="V95" i="6" a="1"/>
  <c r="V95" i="6" s="1"/>
  <c r="U95" i="6" a="1"/>
  <c r="U95" i="6" s="1"/>
  <c r="J95" i="6" a="1"/>
  <c r="J95" i="6" s="1"/>
  <c r="I95" i="6" a="1"/>
  <c r="I95" i="6" s="1"/>
  <c r="H95" i="6" s="1"/>
  <c r="ADA94" i="6" a="1"/>
  <c r="ADA94" i="6" s="1"/>
  <c r="ACZ94" i="6" a="1"/>
  <c r="ACZ94" i="6" s="1"/>
  <c r="ACY94" i="6" a="1"/>
  <c r="ACY94" i="6" s="1"/>
  <c r="ACN94" i="6" a="1"/>
  <c r="ACN94" i="6" s="1"/>
  <c r="ACM94" i="6" a="1"/>
  <c r="ACM94" i="6" s="1"/>
  <c r="ABU94" i="6" a="1"/>
  <c r="ABU94" i="6" s="1"/>
  <c r="ABX94" i="6" a="1"/>
  <c r="ABX94" i="6" s="1"/>
  <c r="ABV94" i="6" a="1"/>
  <c r="ABV94" i="6" s="1"/>
  <c r="ABH94" i="6" a="1"/>
  <c r="ABH94" i="6" s="1"/>
  <c r="ABG94" i="6" a="1"/>
  <c r="ABG94" i="6" s="1"/>
  <c r="ABF94" i="6" a="1"/>
  <c r="ABF94" i="6" s="1"/>
  <c r="ABE94" i="6" a="1"/>
  <c r="ABE94" i="6" s="1"/>
  <c r="ABD94" i="6" a="1"/>
  <c r="ABD94" i="6" s="1"/>
  <c r="ZR94" i="6" a="1"/>
  <c r="ZR94" i="6" s="1"/>
  <c r="ZE94" i="6" a="1"/>
  <c r="ZE94" i="6" s="1"/>
  <c r="ZD94" i="6" a="1"/>
  <c r="ZD94" i="6" s="1"/>
  <c r="ZC94" i="6" a="1"/>
  <c r="ZC94" i="6" s="1"/>
  <c r="ZB94" i="6" a="1"/>
  <c r="ZB94" i="6" s="1"/>
  <c r="ZA94" i="6" a="1"/>
  <c r="ZA94" i="6" s="1"/>
  <c r="YP94" i="6" a="1"/>
  <c r="YP94" i="6" s="1"/>
  <c r="YO94" i="6" a="1"/>
  <c r="YO94" i="6" s="1"/>
  <c r="YE94" i="6" a="1"/>
  <c r="YE94" i="6" s="1"/>
  <c r="YD94" i="6" a="1"/>
  <c r="YD94" i="6" s="1"/>
  <c r="XT94" i="6" a="1"/>
  <c r="XT94" i="6" s="1"/>
  <c r="XS94" i="6" a="1"/>
  <c r="XS94" i="6" s="1"/>
  <c r="XI94" i="6" a="1"/>
  <c r="XI94" i="6" s="1"/>
  <c r="XH94" i="6" a="1"/>
  <c r="XH94" i="6" s="1"/>
  <c r="WX94" i="6" a="1"/>
  <c r="WX94" i="6" s="1"/>
  <c r="WW94" i="6" a="1"/>
  <c r="WW94" i="6" s="1"/>
  <c r="WM94" i="6" a="1"/>
  <c r="WM94" i="6" s="1"/>
  <c r="WL94" i="6" a="1"/>
  <c r="WL94" i="6" s="1"/>
  <c r="WC94" i="6" a="1"/>
  <c r="WC94" i="6" s="1"/>
  <c r="VQ94" i="6" a="1"/>
  <c r="VQ94" i="6" s="1"/>
  <c r="VP94" i="6" a="1"/>
  <c r="VP94" i="6" s="1"/>
  <c r="VO94" i="6" a="1"/>
  <c r="VO94" i="6" s="1"/>
  <c r="VN94" i="6" a="1"/>
  <c r="VN94" i="6" s="1"/>
  <c r="VA94" i="6" a="1"/>
  <c r="VA94" i="6" s="1"/>
  <c r="UZ94" i="6" a="1"/>
  <c r="UZ94" i="6" s="1"/>
  <c r="UY94" i="6" a="1"/>
  <c r="UY94" i="6" s="1"/>
  <c r="UX94" i="6" a="1"/>
  <c r="UX94" i="6" s="1"/>
  <c r="UW94" i="6" a="1"/>
  <c r="UW94" i="6" s="1"/>
  <c r="UM94" i="6" a="1"/>
  <c r="UM94" i="6" s="1"/>
  <c r="TZ94" i="6" a="1"/>
  <c r="TZ94" i="6" s="1"/>
  <c r="TY94" i="6" a="1"/>
  <c r="TY94" i="6" s="1"/>
  <c r="TX94" i="6" a="1"/>
  <c r="TX94" i="6" s="1"/>
  <c r="TW94" i="6" a="1"/>
  <c r="TW94" i="6" s="1"/>
  <c r="TV94" i="6" a="1"/>
  <c r="TV94" i="6" s="1"/>
  <c r="TH94" i="6" a="1"/>
  <c r="TH94" i="6" s="1"/>
  <c r="TG94" i="6" a="1"/>
  <c r="TG94" i="6" s="1"/>
  <c r="TF94" i="6" a="1"/>
  <c r="TF94" i="6" s="1"/>
  <c r="TE94" i="6" a="1"/>
  <c r="TE94" i="6" s="1"/>
  <c r="TD94" i="6" a="1"/>
  <c r="TD94" i="6" s="1"/>
  <c r="SP94" i="6" a="1"/>
  <c r="SP94" i="6" s="1"/>
  <c r="SO94" i="6" a="1"/>
  <c r="SO94" i="6" s="1"/>
  <c r="SN94" i="6" a="1"/>
  <c r="SN94" i="6" s="1"/>
  <c r="SM94" i="6" a="1"/>
  <c r="SM94" i="6" s="1"/>
  <c r="SL94" i="6" a="1"/>
  <c r="SL94" i="6" s="1"/>
  <c r="RX94" i="6" a="1"/>
  <c r="RX94" i="6" s="1"/>
  <c r="RW94" i="6" a="1"/>
  <c r="RW94" i="6" s="1"/>
  <c r="RV94" i="6" a="1"/>
  <c r="RV94" i="6" s="1"/>
  <c r="RU94" i="6" a="1"/>
  <c r="RU94" i="6" s="1"/>
  <c r="RT94" i="6" a="1"/>
  <c r="RT94" i="6" s="1"/>
  <c r="RF94" i="6" a="1"/>
  <c r="RF94" i="6" s="1"/>
  <c r="RE94" i="6" a="1"/>
  <c r="RE94" i="6" s="1"/>
  <c r="RD94" i="6" a="1"/>
  <c r="RD94" i="6" s="1"/>
  <c r="RC94" i="6" a="1"/>
  <c r="RC94" i="6" s="1"/>
  <c r="RB94" i="6" a="1"/>
  <c r="RB94" i="6" s="1"/>
  <c r="QN94" i="6" a="1"/>
  <c r="QN94" i="6" s="1"/>
  <c r="QM94" i="6" a="1"/>
  <c r="QM94" i="6" s="1"/>
  <c r="QL94" i="6" a="1"/>
  <c r="QL94" i="6" s="1"/>
  <c r="QK94" i="6" a="1"/>
  <c r="QK94" i="6" s="1"/>
  <c r="QJ94" i="6" a="1"/>
  <c r="QJ94" i="6" s="1"/>
  <c r="PV94" i="6" a="1"/>
  <c r="PV94" i="6" s="1"/>
  <c r="PU94" i="6" a="1"/>
  <c r="PU94" i="6" s="1"/>
  <c r="PT94" i="6" a="1"/>
  <c r="PT94" i="6" s="1"/>
  <c r="PS94" i="6" a="1"/>
  <c r="PS94" i="6" s="1"/>
  <c r="PR94" i="6" a="1"/>
  <c r="PR94" i="6" s="1"/>
  <c r="PD94" i="6" a="1"/>
  <c r="PD94" i="6" s="1"/>
  <c r="PC94" i="6" a="1"/>
  <c r="PC94" i="6" s="1"/>
  <c r="PB94" i="6" a="1"/>
  <c r="PB94" i="6" s="1"/>
  <c r="PA94" i="6" a="1"/>
  <c r="PA94" i="6" s="1"/>
  <c r="OZ94" i="6" a="1"/>
  <c r="OZ94" i="6" s="1"/>
  <c r="OL94" i="6" a="1"/>
  <c r="OL94" i="6" s="1"/>
  <c r="OK94" i="6" a="1"/>
  <c r="OK94" i="6" s="1"/>
  <c r="OJ94" i="6" a="1"/>
  <c r="OJ94" i="6" s="1"/>
  <c r="OI94" i="6" a="1"/>
  <c r="OI94" i="6" s="1"/>
  <c r="OH94" i="6" a="1"/>
  <c r="OH94" i="6" s="1"/>
  <c r="NT94" i="6" a="1"/>
  <c r="NT94" i="6" s="1"/>
  <c r="NS94" i="6" a="1"/>
  <c r="NS94" i="6" s="1"/>
  <c r="NR94" i="6" a="1"/>
  <c r="NR94" i="6" s="1"/>
  <c r="NQ94" i="6" a="1"/>
  <c r="NQ94" i="6" s="1"/>
  <c r="NP94" i="6" a="1"/>
  <c r="NP94" i="6" s="1"/>
  <c r="NC94" i="6" a="1"/>
  <c r="NC94" i="6" s="1"/>
  <c r="NB94" i="6" a="1"/>
  <c r="NB94" i="6" s="1"/>
  <c r="NA94" i="6" a="1"/>
  <c r="NA94" i="6" s="1"/>
  <c r="MZ94" i="6" a="1"/>
  <c r="MZ94" i="6" s="1"/>
  <c r="MY94" i="6" a="1"/>
  <c r="MY94" i="6" s="1"/>
  <c r="MK94" i="6" a="1"/>
  <c r="MK94" i="6" s="1"/>
  <c r="MJ94" i="6" a="1"/>
  <c r="MJ94" i="6" s="1"/>
  <c r="MI94" i="6" a="1"/>
  <c r="MI94" i="6" s="1"/>
  <c r="MH94" i="6" a="1"/>
  <c r="MH94" i="6" s="1"/>
  <c r="MG94" i="6" a="1"/>
  <c r="MG94" i="6" s="1"/>
  <c r="LS94" i="6" a="1"/>
  <c r="LS94" i="6" s="1"/>
  <c r="LR94" i="6" a="1"/>
  <c r="LR94" i="6" s="1"/>
  <c r="LQ94" i="6" a="1"/>
  <c r="LQ94" i="6" s="1"/>
  <c r="LP94" i="6" a="1"/>
  <c r="LP94" i="6" s="1"/>
  <c r="LO94" i="6" a="1"/>
  <c r="LO94" i="6" s="1"/>
  <c r="LA94" i="6" a="1"/>
  <c r="LA94" i="6" s="1"/>
  <c r="KZ94" i="6" a="1"/>
  <c r="KZ94" i="6" s="1"/>
  <c r="KY94" i="6" a="1"/>
  <c r="KY94" i="6" s="1"/>
  <c r="KX94" i="6" a="1"/>
  <c r="KX94" i="6" s="1"/>
  <c r="KW94" i="6" a="1"/>
  <c r="KW94" i="6" s="1"/>
  <c r="KI94" i="6" a="1"/>
  <c r="KI94" i="6" s="1"/>
  <c r="KH94" i="6" a="1"/>
  <c r="KH94" i="6" s="1"/>
  <c r="KG94" i="6" a="1"/>
  <c r="KG94" i="6" s="1"/>
  <c r="KF94" i="6" a="1"/>
  <c r="KF94" i="6" s="1"/>
  <c r="KE94" i="6" a="1"/>
  <c r="KE94" i="6" s="1"/>
  <c r="JQ94" i="6" a="1"/>
  <c r="JQ94" i="6" s="1"/>
  <c r="JP94" i="6" a="1"/>
  <c r="JP94" i="6" s="1"/>
  <c r="JO94" i="6" a="1"/>
  <c r="JO94" i="6" s="1"/>
  <c r="JN94" i="6" a="1"/>
  <c r="JN94" i="6" s="1"/>
  <c r="JM94" i="6" a="1"/>
  <c r="JM94" i="6" s="1"/>
  <c r="IY94" i="6" a="1"/>
  <c r="IY94" i="6" s="1"/>
  <c r="IX94" i="6" a="1"/>
  <c r="IX94" i="6" s="1"/>
  <c r="IW94" i="6" a="1"/>
  <c r="IW94" i="6" s="1"/>
  <c r="IV94" i="6" a="1"/>
  <c r="IV94" i="6" s="1"/>
  <c r="IU94" i="6" a="1"/>
  <c r="IU94" i="6" s="1"/>
  <c r="IG94" i="6" a="1"/>
  <c r="IG94" i="6" s="1"/>
  <c r="IF94" i="6" a="1"/>
  <c r="IF94" i="6" s="1"/>
  <c r="IE94" i="6" a="1"/>
  <c r="IE94" i="6" s="1"/>
  <c r="ID94" i="6" a="1"/>
  <c r="ID94" i="6" s="1"/>
  <c r="IC94" i="6" a="1"/>
  <c r="IC94" i="6" s="1"/>
  <c r="HO94" i="6" a="1"/>
  <c r="HO94" i="6" s="1"/>
  <c r="HN94" i="6" a="1"/>
  <c r="HN94" i="6" s="1"/>
  <c r="HM94" i="6" a="1"/>
  <c r="HM94" i="6" s="1"/>
  <c r="HL94" i="6" a="1"/>
  <c r="HL94" i="6" s="1"/>
  <c r="HK94" i="6" a="1"/>
  <c r="HK94" i="6" s="1"/>
  <c r="GX94" i="6" a="1"/>
  <c r="GX94" i="6" s="1"/>
  <c r="GW94" i="6" a="1"/>
  <c r="GW94" i="6" s="1"/>
  <c r="GV94" i="6" a="1"/>
  <c r="GV94" i="6" s="1"/>
  <c r="GU94" i="6" a="1"/>
  <c r="GU94" i="6" s="1"/>
  <c r="GT94" i="6" a="1"/>
  <c r="GT94" i="6" s="1"/>
  <c r="GG94" i="6" a="1"/>
  <c r="GG94" i="6" s="1"/>
  <c r="GF94" i="6" a="1"/>
  <c r="GF94" i="6" s="1"/>
  <c r="GE94" i="6" a="1"/>
  <c r="GE94" i="6" s="1"/>
  <c r="GD94" i="6" a="1"/>
  <c r="GD94" i="6" s="1"/>
  <c r="GC94" i="6" a="1"/>
  <c r="GC94" i="6" s="1"/>
  <c r="FP94" i="6" a="1"/>
  <c r="FP94" i="6" s="1"/>
  <c r="FO94" i="6" a="1"/>
  <c r="FO94" i="6" s="1"/>
  <c r="FN94" i="6" a="1"/>
  <c r="FN94" i="6" s="1"/>
  <c r="FM94" i="6" a="1"/>
  <c r="FM94" i="6" s="1"/>
  <c r="FL94" i="6" a="1"/>
  <c r="FL94" i="6" s="1"/>
  <c r="EY94" i="6" a="1"/>
  <c r="EY94" i="6" s="1"/>
  <c r="EX94" i="6" a="1"/>
  <c r="EX94" i="6" s="1"/>
  <c r="EW94" i="6" a="1"/>
  <c r="EW94" i="6" s="1"/>
  <c r="EV94" i="6" a="1"/>
  <c r="EV94" i="6" s="1"/>
  <c r="EU94" i="6" a="1"/>
  <c r="EU94" i="6" s="1"/>
  <c r="EH94" i="6" a="1"/>
  <c r="EH94" i="6" s="1"/>
  <c r="EG94" i="6" a="1"/>
  <c r="EG94" i="6" s="1"/>
  <c r="EF94" i="6" a="1"/>
  <c r="EF94" i="6" s="1"/>
  <c r="EE94" i="6" a="1"/>
  <c r="EE94" i="6" s="1"/>
  <c r="ED94" i="6" a="1"/>
  <c r="ED94" i="6" s="1"/>
  <c r="DQ94" i="6" a="1"/>
  <c r="DQ94" i="6" s="1"/>
  <c r="DP94" i="6" a="1"/>
  <c r="DP94" i="6" s="1"/>
  <c r="DO94" i="6" a="1"/>
  <c r="DO94" i="6" s="1"/>
  <c r="DN94" i="6" a="1"/>
  <c r="DN94" i="6" s="1"/>
  <c r="DM94" i="6" a="1"/>
  <c r="DM94" i="6" s="1"/>
  <c r="DD94" i="6" a="1"/>
  <c r="DD94" i="6" s="1"/>
  <c r="CU94" i="6" a="1"/>
  <c r="CU94" i="6" s="1"/>
  <c r="CL94" i="6" a="1"/>
  <c r="CL94" i="6" s="1"/>
  <c r="BX94" i="6" a="1"/>
  <c r="BX94" i="6" s="1"/>
  <c r="BW94" i="6" a="1"/>
  <c r="BW94" i="6" s="1"/>
  <c r="BV94" i="6" a="1"/>
  <c r="BV94" i="6" s="1"/>
  <c r="BU94" i="6" a="1"/>
  <c r="BU94" i="6" s="1"/>
  <c r="BT94" i="6" a="1"/>
  <c r="BT94" i="6" s="1"/>
  <c r="BS94" i="6" a="1"/>
  <c r="BS94" i="6" s="1"/>
  <c r="BA94" i="6" a="1"/>
  <c r="BA94" i="6" s="1"/>
  <c r="AZ94" i="6" a="1"/>
  <c r="AZ94" i="6" s="1"/>
  <c r="AY94" i="6" a="1"/>
  <c r="AY94" i="6" s="1"/>
  <c r="AX94" i="6" a="1"/>
  <c r="AX94" i="6" s="1"/>
  <c r="AW94" i="6" a="1"/>
  <c r="AW94" i="6" s="1"/>
  <c r="AV94" i="6" a="1"/>
  <c r="AV94" i="6" s="1"/>
  <c r="AU94" i="6" a="1"/>
  <c r="AU94" i="6" s="1"/>
  <c r="AT94" i="6" a="1"/>
  <c r="AT94" i="6" s="1"/>
  <c r="AS94" i="6" a="1"/>
  <c r="AS94" i="6" s="1"/>
  <c r="AR94" i="6" a="1"/>
  <c r="AR94" i="6" s="1"/>
  <c r="AH94" i="6" a="1"/>
  <c r="AH94" i="6" s="1"/>
  <c r="AG94" i="6" a="1"/>
  <c r="AG94" i="6" s="1"/>
  <c r="V94" i="6" a="1"/>
  <c r="V94" i="6" s="1"/>
  <c r="U94" i="6" a="1"/>
  <c r="U94" i="6" s="1"/>
  <c r="J94" i="6" a="1"/>
  <c r="J94" i="6" s="1"/>
  <c r="I94" i="6" a="1"/>
  <c r="I94" i="6" s="1"/>
  <c r="ADA93" i="6" a="1"/>
  <c r="ADA93" i="6" s="1"/>
  <c r="ACZ93" i="6" a="1"/>
  <c r="ACZ93" i="6" s="1"/>
  <c r="ACY93" i="6" a="1"/>
  <c r="ACY93" i="6" s="1"/>
  <c r="ACN93" i="6" a="1"/>
  <c r="ACN93" i="6" s="1"/>
  <c r="ACM93" i="6" a="1"/>
  <c r="ACM93" i="6" s="1"/>
  <c r="ABU93" i="6" a="1"/>
  <c r="ABU93" i="6" s="1"/>
  <c r="ABX93" i="6" a="1"/>
  <c r="ABX93" i="6" s="1"/>
  <c r="ABV93" i="6" a="1"/>
  <c r="ABV93" i="6" s="1"/>
  <c r="ABH93" i="6" a="1"/>
  <c r="ABH93" i="6" s="1"/>
  <c r="ABG93" i="6" a="1"/>
  <c r="ABG93" i="6" s="1"/>
  <c r="ABF93" i="6" a="1"/>
  <c r="ABF93" i="6" s="1"/>
  <c r="ABE93" i="6" a="1"/>
  <c r="ABE93" i="6" s="1"/>
  <c r="ABD93" i="6" a="1"/>
  <c r="ABD93" i="6" s="1"/>
  <c r="ZR93" i="6" a="1"/>
  <c r="ZR93" i="6" s="1"/>
  <c r="ZE93" i="6" a="1"/>
  <c r="ZE93" i="6" s="1"/>
  <c r="ZD93" i="6" a="1"/>
  <c r="ZD93" i="6" s="1"/>
  <c r="ZC93" i="6" a="1"/>
  <c r="ZC93" i="6" s="1"/>
  <c r="ZB93" i="6" a="1"/>
  <c r="ZB93" i="6" s="1"/>
  <c r="ZA93" i="6" a="1"/>
  <c r="ZA93" i="6" s="1"/>
  <c r="YP93" i="6" a="1"/>
  <c r="YP93" i="6" s="1"/>
  <c r="YO93" i="6" a="1"/>
  <c r="YO93" i="6" s="1"/>
  <c r="YE93" i="6" a="1"/>
  <c r="YE93" i="6" s="1"/>
  <c r="YD93" i="6" a="1"/>
  <c r="YD93" i="6" s="1"/>
  <c r="XT93" i="6" a="1"/>
  <c r="XT93" i="6" s="1"/>
  <c r="XS93" i="6" a="1"/>
  <c r="XS93" i="6" s="1"/>
  <c r="XI93" i="6" a="1"/>
  <c r="XI93" i="6" s="1"/>
  <c r="XH93" i="6" a="1"/>
  <c r="XH93" i="6" s="1"/>
  <c r="WX93" i="6" a="1"/>
  <c r="WX93" i="6" s="1"/>
  <c r="WW93" i="6" a="1"/>
  <c r="WW93" i="6" s="1"/>
  <c r="WM93" i="6" a="1"/>
  <c r="WM93" i="6" s="1"/>
  <c r="WL93" i="6" a="1"/>
  <c r="WL93" i="6" s="1"/>
  <c r="WC93" i="6" a="1"/>
  <c r="WC93" i="6" s="1"/>
  <c r="VQ93" i="6" a="1"/>
  <c r="VQ93" i="6" s="1"/>
  <c r="VP93" i="6" a="1"/>
  <c r="VP93" i="6" s="1"/>
  <c r="VO93" i="6" a="1"/>
  <c r="VO93" i="6" s="1"/>
  <c r="VN93" i="6" a="1"/>
  <c r="VN93" i="6" s="1"/>
  <c r="VA93" i="6" a="1"/>
  <c r="VA93" i="6" s="1"/>
  <c r="UZ93" i="6" a="1"/>
  <c r="UZ93" i="6" s="1"/>
  <c r="UY93" i="6" a="1"/>
  <c r="UY93" i="6" s="1"/>
  <c r="UX93" i="6" a="1"/>
  <c r="UX93" i="6" s="1"/>
  <c r="UW93" i="6" a="1"/>
  <c r="UW93" i="6" s="1"/>
  <c r="UM93" i="6" a="1"/>
  <c r="UM93" i="6" s="1"/>
  <c r="TZ93" i="6" a="1"/>
  <c r="TZ93" i="6" s="1"/>
  <c r="TY93" i="6" a="1"/>
  <c r="TY93" i="6" s="1"/>
  <c r="TX93" i="6" a="1"/>
  <c r="TX93" i="6" s="1"/>
  <c r="TW93" i="6" a="1"/>
  <c r="TW93" i="6" s="1"/>
  <c r="TV93" i="6" a="1"/>
  <c r="TV93" i="6" s="1"/>
  <c r="TH93" i="6" a="1"/>
  <c r="TH93" i="6" s="1"/>
  <c r="TG93" i="6" a="1"/>
  <c r="TG93" i="6" s="1"/>
  <c r="TF93" i="6" a="1"/>
  <c r="TF93" i="6" s="1"/>
  <c r="TE93" i="6" a="1"/>
  <c r="TE93" i="6" s="1"/>
  <c r="TD93" i="6" a="1"/>
  <c r="TD93" i="6" s="1"/>
  <c r="SP93" i="6" a="1"/>
  <c r="SP93" i="6" s="1"/>
  <c r="SO93" i="6" a="1"/>
  <c r="SO93" i="6" s="1"/>
  <c r="SN93" i="6" a="1"/>
  <c r="SN93" i="6" s="1"/>
  <c r="SM93" i="6" a="1"/>
  <c r="SM93" i="6" s="1"/>
  <c r="SL93" i="6" a="1"/>
  <c r="SL93" i="6" s="1"/>
  <c r="RX93" i="6" a="1"/>
  <c r="RX93" i="6" s="1"/>
  <c r="RW93" i="6" a="1"/>
  <c r="RW93" i="6" s="1"/>
  <c r="RV93" i="6" a="1"/>
  <c r="RV93" i="6" s="1"/>
  <c r="RU93" i="6" a="1"/>
  <c r="RU93" i="6" s="1"/>
  <c r="RT93" i="6" a="1"/>
  <c r="RT93" i="6" s="1"/>
  <c r="RF93" i="6" a="1"/>
  <c r="RF93" i="6" s="1"/>
  <c r="RE93" i="6" a="1"/>
  <c r="RE93" i="6" s="1"/>
  <c r="RD93" i="6" a="1"/>
  <c r="RD93" i="6" s="1"/>
  <c r="RC93" i="6" a="1"/>
  <c r="RC93" i="6" s="1"/>
  <c r="RB93" i="6" a="1"/>
  <c r="RB93" i="6" s="1"/>
  <c r="QN93" i="6" a="1"/>
  <c r="QN93" i="6" s="1"/>
  <c r="QM93" i="6" a="1"/>
  <c r="QM93" i="6" s="1"/>
  <c r="QL93" i="6" a="1"/>
  <c r="QL93" i="6" s="1"/>
  <c r="QK93" i="6" a="1"/>
  <c r="QK93" i="6" s="1"/>
  <c r="QJ93" i="6" a="1"/>
  <c r="QJ93" i="6" s="1"/>
  <c r="PV93" i="6" a="1"/>
  <c r="PV93" i="6" s="1"/>
  <c r="PU93" i="6" a="1"/>
  <c r="PU93" i="6" s="1"/>
  <c r="PT93" i="6" a="1"/>
  <c r="PT93" i="6" s="1"/>
  <c r="PS93" i="6" a="1"/>
  <c r="PS93" i="6" s="1"/>
  <c r="PR93" i="6" a="1"/>
  <c r="PR93" i="6" s="1"/>
  <c r="PD93" i="6" a="1"/>
  <c r="PD93" i="6" s="1"/>
  <c r="PC93" i="6" a="1"/>
  <c r="PC93" i="6" s="1"/>
  <c r="PB93" i="6" a="1"/>
  <c r="PB93" i="6" s="1"/>
  <c r="PA93" i="6" a="1"/>
  <c r="PA93" i="6" s="1"/>
  <c r="OZ93" i="6" a="1"/>
  <c r="OZ93" i="6" s="1"/>
  <c r="OL93" i="6" a="1"/>
  <c r="OL93" i="6" s="1"/>
  <c r="OK93" i="6" a="1"/>
  <c r="OK93" i="6" s="1"/>
  <c r="OJ93" i="6" a="1"/>
  <c r="OJ93" i="6" s="1"/>
  <c r="OI93" i="6" a="1"/>
  <c r="OI93" i="6" s="1"/>
  <c r="OH93" i="6" a="1"/>
  <c r="OH93" i="6" s="1"/>
  <c r="NT93" i="6" a="1"/>
  <c r="NT93" i="6" s="1"/>
  <c r="NS93" i="6" a="1"/>
  <c r="NS93" i="6" s="1"/>
  <c r="NR93" i="6" a="1"/>
  <c r="NR93" i="6" s="1"/>
  <c r="NQ93" i="6" a="1"/>
  <c r="NQ93" i="6" s="1"/>
  <c r="NP93" i="6" a="1"/>
  <c r="NP93" i="6" s="1"/>
  <c r="NC93" i="6" a="1"/>
  <c r="NC93" i="6" s="1"/>
  <c r="NB93" i="6" a="1"/>
  <c r="NB93" i="6" s="1"/>
  <c r="NA93" i="6" a="1"/>
  <c r="NA93" i="6" s="1"/>
  <c r="MZ93" i="6" a="1"/>
  <c r="MZ93" i="6" s="1"/>
  <c r="MY93" i="6" a="1"/>
  <c r="MY93" i="6" s="1"/>
  <c r="MK93" i="6" a="1"/>
  <c r="MK93" i="6" s="1"/>
  <c r="MJ93" i="6" a="1"/>
  <c r="MJ93" i="6" s="1"/>
  <c r="MI93" i="6" a="1"/>
  <c r="MI93" i="6" s="1"/>
  <c r="MH93" i="6" a="1"/>
  <c r="MH93" i="6" s="1"/>
  <c r="MG93" i="6" a="1"/>
  <c r="MG93" i="6" s="1"/>
  <c r="LS93" i="6" a="1"/>
  <c r="LS93" i="6" s="1"/>
  <c r="LR93" i="6" a="1"/>
  <c r="LR93" i="6" s="1"/>
  <c r="LQ93" i="6" a="1"/>
  <c r="LQ93" i="6" s="1"/>
  <c r="LP93" i="6" a="1"/>
  <c r="LP93" i="6" s="1"/>
  <c r="LO93" i="6" a="1"/>
  <c r="LO93" i="6" s="1"/>
  <c r="LA93" i="6" a="1"/>
  <c r="LA93" i="6" s="1"/>
  <c r="KZ93" i="6" a="1"/>
  <c r="KZ93" i="6" s="1"/>
  <c r="KY93" i="6" a="1"/>
  <c r="KY93" i="6" s="1"/>
  <c r="KX93" i="6" a="1"/>
  <c r="KX93" i="6" s="1"/>
  <c r="KW93" i="6" a="1"/>
  <c r="KW93" i="6" s="1"/>
  <c r="KI93" i="6" a="1"/>
  <c r="KI93" i="6" s="1"/>
  <c r="KH93" i="6" a="1"/>
  <c r="KH93" i="6" s="1"/>
  <c r="KG93" i="6" a="1"/>
  <c r="KG93" i="6" s="1"/>
  <c r="KF93" i="6" a="1"/>
  <c r="KF93" i="6" s="1"/>
  <c r="KE93" i="6" a="1"/>
  <c r="KE93" i="6" s="1"/>
  <c r="JQ93" i="6" a="1"/>
  <c r="JQ93" i="6" s="1"/>
  <c r="JP93" i="6" a="1"/>
  <c r="JP93" i="6" s="1"/>
  <c r="JO93" i="6" a="1"/>
  <c r="JO93" i="6" s="1"/>
  <c r="JN93" i="6" a="1"/>
  <c r="JN93" i="6" s="1"/>
  <c r="JM93" i="6" a="1"/>
  <c r="JM93" i="6" s="1"/>
  <c r="IY93" i="6" a="1"/>
  <c r="IY93" i="6" s="1"/>
  <c r="IX93" i="6" a="1"/>
  <c r="IX93" i="6" s="1"/>
  <c r="IW93" i="6" a="1"/>
  <c r="IW93" i="6" s="1"/>
  <c r="IV93" i="6" a="1"/>
  <c r="IV93" i="6" s="1"/>
  <c r="IU93" i="6" a="1"/>
  <c r="IU93" i="6" s="1"/>
  <c r="IG93" i="6" a="1"/>
  <c r="IG93" i="6" s="1"/>
  <c r="IF93" i="6" a="1"/>
  <c r="IF93" i="6" s="1"/>
  <c r="IE93" i="6" a="1"/>
  <c r="IE93" i="6" s="1"/>
  <c r="ID93" i="6" a="1"/>
  <c r="ID93" i="6" s="1"/>
  <c r="IC93" i="6" a="1"/>
  <c r="IC93" i="6" s="1"/>
  <c r="HO93" i="6" a="1"/>
  <c r="HO93" i="6" s="1"/>
  <c r="HN93" i="6" a="1"/>
  <c r="HN93" i="6" s="1"/>
  <c r="HM93" i="6" a="1"/>
  <c r="HM93" i="6" s="1"/>
  <c r="HL93" i="6" a="1"/>
  <c r="HL93" i="6" s="1"/>
  <c r="HK93" i="6" a="1"/>
  <c r="HK93" i="6" s="1"/>
  <c r="GX93" i="6" a="1"/>
  <c r="GX93" i="6" s="1"/>
  <c r="GW93" i="6" a="1"/>
  <c r="GW93" i="6" s="1"/>
  <c r="GV93" i="6" a="1"/>
  <c r="GV93" i="6" s="1"/>
  <c r="GU93" i="6" a="1"/>
  <c r="GU93" i="6" s="1"/>
  <c r="GT93" i="6" a="1"/>
  <c r="GT93" i="6" s="1"/>
  <c r="GG93" i="6" a="1"/>
  <c r="GG93" i="6" s="1"/>
  <c r="GF93" i="6" a="1"/>
  <c r="GF93" i="6" s="1"/>
  <c r="GE93" i="6" a="1"/>
  <c r="GE93" i="6" s="1"/>
  <c r="GD93" i="6" a="1"/>
  <c r="GD93" i="6" s="1"/>
  <c r="GC93" i="6" a="1"/>
  <c r="GC93" i="6" s="1"/>
  <c r="FP93" i="6" a="1"/>
  <c r="FP93" i="6" s="1"/>
  <c r="FO93" i="6" a="1"/>
  <c r="FO93" i="6" s="1"/>
  <c r="FN93" i="6" a="1"/>
  <c r="FN93" i="6" s="1"/>
  <c r="FM93" i="6" a="1"/>
  <c r="FM93" i="6" s="1"/>
  <c r="FL93" i="6" a="1"/>
  <c r="FL93" i="6" s="1"/>
  <c r="EY93" i="6" a="1"/>
  <c r="EY93" i="6" s="1"/>
  <c r="EX93" i="6" a="1"/>
  <c r="EX93" i="6" s="1"/>
  <c r="EW93" i="6" a="1"/>
  <c r="EW93" i="6" s="1"/>
  <c r="EV93" i="6" a="1"/>
  <c r="EV93" i="6" s="1"/>
  <c r="EU93" i="6" a="1"/>
  <c r="EU93" i="6" s="1"/>
  <c r="EH93" i="6" a="1"/>
  <c r="EH93" i="6" s="1"/>
  <c r="EG93" i="6" a="1"/>
  <c r="EG93" i="6" s="1"/>
  <c r="EF93" i="6" a="1"/>
  <c r="EF93" i="6" s="1"/>
  <c r="EE93" i="6" a="1"/>
  <c r="EE93" i="6" s="1"/>
  <c r="ED93" i="6" a="1"/>
  <c r="ED93" i="6" s="1"/>
  <c r="DQ93" i="6" a="1"/>
  <c r="DQ93" i="6" s="1"/>
  <c r="DP93" i="6" a="1"/>
  <c r="DP93" i="6" s="1"/>
  <c r="DO93" i="6" a="1"/>
  <c r="DO93" i="6" s="1"/>
  <c r="DN93" i="6" a="1"/>
  <c r="DN93" i="6" s="1"/>
  <c r="DM93" i="6" a="1"/>
  <c r="DM93" i="6" s="1"/>
  <c r="DD93" i="6" a="1"/>
  <c r="DD93" i="6" s="1"/>
  <c r="CU93" i="6" a="1"/>
  <c r="CU93" i="6" s="1"/>
  <c r="CL93" i="6" a="1"/>
  <c r="CL93" i="6" s="1"/>
  <c r="BX93" i="6" a="1"/>
  <c r="BX93" i="6" s="1"/>
  <c r="BW93" i="6" a="1"/>
  <c r="BW93" i="6" s="1"/>
  <c r="BV93" i="6" a="1"/>
  <c r="BV93" i="6" s="1"/>
  <c r="BU93" i="6" a="1"/>
  <c r="BU93" i="6" s="1"/>
  <c r="BT93" i="6" a="1"/>
  <c r="BT93" i="6" s="1"/>
  <c r="BS93" i="6" a="1"/>
  <c r="BS93" i="6" s="1"/>
  <c r="BA93" i="6" a="1"/>
  <c r="BA93" i="6" s="1"/>
  <c r="AZ93" i="6" a="1"/>
  <c r="AZ93" i="6" s="1"/>
  <c r="AY93" i="6" a="1"/>
  <c r="AY93" i="6" s="1"/>
  <c r="AX93" i="6" a="1"/>
  <c r="AX93" i="6" s="1"/>
  <c r="AW93" i="6" a="1"/>
  <c r="AW93" i="6" s="1"/>
  <c r="AV93" i="6" a="1"/>
  <c r="AV93" i="6" s="1"/>
  <c r="AU93" i="6" a="1"/>
  <c r="AU93" i="6" s="1"/>
  <c r="AT93" i="6" a="1"/>
  <c r="AT93" i="6" s="1"/>
  <c r="AS93" i="6" a="1"/>
  <c r="AS93" i="6" s="1"/>
  <c r="AR93" i="6" a="1"/>
  <c r="AR93" i="6" s="1"/>
  <c r="AH93" i="6" a="1"/>
  <c r="AH93" i="6" s="1"/>
  <c r="AG93" i="6" a="1"/>
  <c r="AG93" i="6" s="1"/>
  <c r="V93" i="6" a="1"/>
  <c r="V93" i="6" s="1"/>
  <c r="U93" i="6" a="1"/>
  <c r="U93" i="6" s="1"/>
  <c r="J93" i="6" a="1"/>
  <c r="J93" i="6" s="1"/>
  <c r="I93" i="6" a="1"/>
  <c r="I93" i="6" s="1"/>
  <c r="H93" i="6" s="1"/>
  <c r="ADA92" i="6" a="1"/>
  <c r="ADA92" i="6" s="1"/>
  <c r="ACZ92" i="6" a="1"/>
  <c r="ACZ92" i="6" s="1"/>
  <c r="ACY92" i="6" a="1"/>
  <c r="ACY92" i="6" s="1"/>
  <c r="ACN92" i="6" a="1"/>
  <c r="ACN92" i="6" s="1"/>
  <c r="ACM92" i="6" a="1"/>
  <c r="ACM92" i="6" s="1"/>
  <c r="ABU92" i="6" a="1"/>
  <c r="ABU92" i="6" s="1"/>
  <c r="ABX92" i="6" a="1"/>
  <c r="ABX92" i="6" s="1"/>
  <c r="ABV92" i="6" a="1"/>
  <c r="ABV92" i="6" s="1"/>
  <c r="ABH92" i="6" a="1"/>
  <c r="ABH92" i="6" s="1"/>
  <c r="ABG92" i="6" a="1"/>
  <c r="ABG92" i="6" s="1"/>
  <c r="ABF92" i="6" a="1"/>
  <c r="ABF92" i="6" s="1"/>
  <c r="ABE92" i="6" a="1"/>
  <c r="ABE92" i="6" s="1"/>
  <c r="ABD92" i="6" a="1"/>
  <c r="ABD92" i="6" s="1"/>
  <c r="ZR92" i="6" a="1"/>
  <c r="ZR92" i="6" s="1"/>
  <c r="ZE92" i="6" a="1"/>
  <c r="ZE92" i="6" s="1"/>
  <c r="ZD92" i="6" a="1"/>
  <c r="ZD92" i="6" s="1"/>
  <c r="ZC92" i="6" a="1"/>
  <c r="ZC92" i="6" s="1"/>
  <c r="ZB92" i="6" a="1"/>
  <c r="ZB92" i="6" s="1"/>
  <c r="ZA92" i="6" a="1"/>
  <c r="ZA92" i="6" s="1"/>
  <c r="YP92" i="6" a="1"/>
  <c r="YP92" i="6" s="1"/>
  <c r="YO92" i="6" a="1"/>
  <c r="YO92" i="6" s="1"/>
  <c r="YE92" i="6" a="1"/>
  <c r="YE92" i="6" s="1"/>
  <c r="YD92" i="6" a="1"/>
  <c r="YD92" i="6" s="1"/>
  <c r="XT92" i="6" a="1"/>
  <c r="XT92" i="6" s="1"/>
  <c r="XS92" i="6" a="1"/>
  <c r="XS92" i="6" s="1"/>
  <c r="XI92" i="6" a="1"/>
  <c r="XI92" i="6" s="1"/>
  <c r="XH92" i="6" a="1"/>
  <c r="XH92" i="6" s="1"/>
  <c r="WX92" i="6" a="1"/>
  <c r="WX92" i="6" s="1"/>
  <c r="WW92" i="6" a="1"/>
  <c r="WW92" i="6" s="1"/>
  <c r="WM92" i="6" a="1"/>
  <c r="WM92" i="6" s="1"/>
  <c r="WL92" i="6" a="1"/>
  <c r="WL92" i="6" s="1"/>
  <c r="WC92" i="6" a="1"/>
  <c r="WC92" i="6" s="1"/>
  <c r="VQ92" i="6" a="1"/>
  <c r="VQ92" i="6" s="1"/>
  <c r="VP92" i="6" a="1"/>
  <c r="VP92" i="6" s="1"/>
  <c r="VO92" i="6" a="1"/>
  <c r="VO92" i="6" s="1"/>
  <c r="VN92" i="6" a="1"/>
  <c r="VN92" i="6" s="1"/>
  <c r="VA92" i="6" a="1"/>
  <c r="VA92" i="6" s="1"/>
  <c r="UZ92" i="6" a="1"/>
  <c r="UZ92" i="6" s="1"/>
  <c r="UY92" i="6" a="1"/>
  <c r="UY92" i="6" s="1"/>
  <c r="UX92" i="6" a="1"/>
  <c r="UX92" i="6" s="1"/>
  <c r="UW92" i="6" a="1"/>
  <c r="UW92" i="6" s="1"/>
  <c r="UM92" i="6" a="1"/>
  <c r="UM92" i="6" s="1"/>
  <c r="TZ92" i="6" a="1"/>
  <c r="TZ92" i="6" s="1"/>
  <c r="TY92" i="6" a="1"/>
  <c r="TY92" i="6" s="1"/>
  <c r="TX92" i="6" a="1"/>
  <c r="TX92" i="6" s="1"/>
  <c r="TW92" i="6" a="1"/>
  <c r="TW92" i="6" s="1"/>
  <c r="TV92" i="6" a="1"/>
  <c r="TV92" i="6" s="1"/>
  <c r="TH92" i="6" a="1"/>
  <c r="TH92" i="6" s="1"/>
  <c r="TG92" i="6" a="1"/>
  <c r="TG92" i="6" s="1"/>
  <c r="TF92" i="6" a="1"/>
  <c r="TF92" i="6" s="1"/>
  <c r="TE92" i="6" a="1"/>
  <c r="TE92" i="6" s="1"/>
  <c r="TD92" i="6" a="1"/>
  <c r="TD92" i="6" s="1"/>
  <c r="SP92" i="6" a="1"/>
  <c r="SP92" i="6" s="1"/>
  <c r="SO92" i="6" a="1"/>
  <c r="SO92" i="6" s="1"/>
  <c r="SN92" i="6" a="1"/>
  <c r="SN92" i="6" s="1"/>
  <c r="SM92" i="6" a="1"/>
  <c r="SM92" i="6" s="1"/>
  <c r="SL92" i="6" a="1"/>
  <c r="SL92" i="6" s="1"/>
  <c r="RX92" i="6" a="1"/>
  <c r="RX92" i="6" s="1"/>
  <c r="RW92" i="6" a="1"/>
  <c r="RW92" i="6" s="1"/>
  <c r="RV92" i="6" a="1"/>
  <c r="RV92" i="6" s="1"/>
  <c r="RU92" i="6" a="1"/>
  <c r="RU92" i="6" s="1"/>
  <c r="RT92" i="6" a="1"/>
  <c r="RT92" i="6" s="1"/>
  <c r="RF92" i="6" a="1"/>
  <c r="RF92" i="6" s="1"/>
  <c r="RE92" i="6" a="1"/>
  <c r="RE92" i="6" s="1"/>
  <c r="RD92" i="6" a="1"/>
  <c r="RD92" i="6" s="1"/>
  <c r="RC92" i="6" a="1"/>
  <c r="RC92" i="6" s="1"/>
  <c r="RB92" i="6" a="1"/>
  <c r="RB92" i="6" s="1"/>
  <c r="QN92" i="6" a="1"/>
  <c r="QN92" i="6" s="1"/>
  <c r="QM92" i="6" a="1"/>
  <c r="QM92" i="6" s="1"/>
  <c r="QL92" i="6" a="1"/>
  <c r="QL92" i="6" s="1"/>
  <c r="QK92" i="6" a="1"/>
  <c r="QK92" i="6" s="1"/>
  <c r="QJ92" i="6" a="1"/>
  <c r="QJ92" i="6" s="1"/>
  <c r="PV92" i="6" a="1"/>
  <c r="PV92" i="6" s="1"/>
  <c r="PU92" i="6" a="1"/>
  <c r="PU92" i="6" s="1"/>
  <c r="PT92" i="6" a="1"/>
  <c r="PT92" i="6" s="1"/>
  <c r="PS92" i="6" a="1"/>
  <c r="PS92" i="6" s="1"/>
  <c r="PR92" i="6" a="1"/>
  <c r="PR92" i="6" s="1"/>
  <c r="PD92" i="6" a="1"/>
  <c r="PD92" i="6" s="1"/>
  <c r="PC92" i="6" a="1"/>
  <c r="PC92" i="6" s="1"/>
  <c r="PB92" i="6" a="1"/>
  <c r="PB92" i="6" s="1"/>
  <c r="PA92" i="6" a="1"/>
  <c r="PA92" i="6" s="1"/>
  <c r="OZ92" i="6" a="1"/>
  <c r="OZ92" i="6" s="1"/>
  <c r="OL92" i="6" a="1"/>
  <c r="OL92" i="6" s="1"/>
  <c r="OK92" i="6" a="1"/>
  <c r="OK92" i="6" s="1"/>
  <c r="OJ92" i="6" a="1"/>
  <c r="OJ92" i="6" s="1"/>
  <c r="OI92" i="6" a="1"/>
  <c r="OI92" i="6" s="1"/>
  <c r="OH92" i="6" a="1"/>
  <c r="OH92" i="6" s="1"/>
  <c r="NT92" i="6" a="1"/>
  <c r="NT92" i="6" s="1"/>
  <c r="NS92" i="6" a="1"/>
  <c r="NS92" i="6" s="1"/>
  <c r="NR92" i="6" a="1"/>
  <c r="NR92" i="6" s="1"/>
  <c r="NQ92" i="6" a="1"/>
  <c r="NQ92" i="6" s="1"/>
  <c r="NP92" i="6" a="1"/>
  <c r="NP92" i="6" s="1"/>
  <c r="NC92" i="6" a="1"/>
  <c r="NC92" i="6" s="1"/>
  <c r="NB92" i="6" a="1"/>
  <c r="NB92" i="6" s="1"/>
  <c r="NA92" i="6" a="1"/>
  <c r="NA92" i="6" s="1"/>
  <c r="MZ92" i="6" a="1"/>
  <c r="MZ92" i="6" s="1"/>
  <c r="MY92" i="6" a="1"/>
  <c r="MY92" i="6" s="1"/>
  <c r="MK92" i="6" a="1"/>
  <c r="MK92" i="6" s="1"/>
  <c r="MJ92" i="6" a="1"/>
  <c r="MJ92" i="6" s="1"/>
  <c r="MI92" i="6" a="1"/>
  <c r="MI92" i="6" s="1"/>
  <c r="MH92" i="6" a="1"/>
  <c r="MH92" i="6" s="1"/>
  <c r="MG92" i="6" a="1"/>
  <c r="MG92" i="6" s="1"/>
  <c r="LS92" i="6" a="1"/>
  <c r="LS92" i="6" s="1"/>
  <c r="LR92" i="6" a="1"/>
  <c r="LR92" i="6" s="1"/>
  <c r="LQ92" i="6" a="1"/>
  <c r="LQ92" i="6" s="1"/>
  <c r="LP92" i="6" a="1"/>
  <c r="LP92" i="6" s="1"/>
  <c r="LO92" i="6" a="1"/>
  <c r="LO92" i="6" s="1"/>
  <c r="LA92" i="6" a="1"/>
  <c r="LA92" i="6" s="1"/>
  <c r="KZ92" i="6" a="1"/>
  <c r="KZ92" i="6" s="1"/>
  <c r="KY92" i="6" a="1"/>
  <c r="KY92" i="6" s="1"/>
  <c r="KX92" i="6" a="1"/>
  <c r="KX92" i="6" s="1"/>
  <c r="KW92" i="6" a="1"/>
  <c r="KW92" i="6" s="1"/>
  <c r="KI92" i="6" a="1"/>
  <c r="KI92" i="6" s="1"/>
  <c r="KH92" i="6" a="1"/>
  <c r="KH92" i="6" s="1"/>
  <c r="KG92" i="6" a="1"/>
  <c r="KG92" i="6" s="1"/>
  <c r="KF92" i="6" a="1"/>
  <c r="KF92" i="6" s="1"/>
  <c r="KE92" i="6" a="1"/>
  <c r="KE92" i="6" s="1"/>
  <c r="JQ92" i="6" a="1"/>
  <c r="JQ92" i="6" s="1"/>
  <c r="JP92" i="6" a="1"/>
  <c r="JP92" i="6" s="1"/>
  <c r="JO92" i="6" a="1"/>
  <c r="JO92" i="6" s="1"/>
  <c r="JN92" i="6" a="1"/>
  <c r="JN92" i="6" s="1"/>
  <c r="JM92" i="6" a="1"/>
  <c r="JM92" i="6" s="1"/>
  <c r="IY92" i="6" a="1"/>
  <c r="IY92" i="6" s="1"/>
  <c r="IX92" i="6" a="1"/>
  <c r="IX92" i="6" s="1"/>
  <c r="IW92" i="6" a="1"/>
  <c r="IW92" i="6" s="1"/>
  <c r="IV92" i="6" a="1"/>
  <c r="IV92" i="6" s="1"/>
  <c r="IU92" i="6" a="1"/>
  <c r="IU92" i="6" s="1"/>
  <c r="IG92" i="6" a="1"/>
  <c r="IG92" i="6" s="1"/>
  <c r="IF92" i="6" a="1"/>
  <c r="IF92" i="6" s="1"/>
  <c r="IE92" i="6" a="1"/>
  <c r="IE92" i="6" s="1"/>
  <c r="ID92" i="6" a="1"/>
  <c r="ID92" i="6" s="1"/>
  <c r="IC92" i="6" a="1"/>
  <c r="IC92" i="6" s="1"/>
  <c r="HO92" i="6" a="1"/>
  <c r="HO92" i="6" s="1"/>
  <c r="HN92" i="6" a="1"/>
  <c r="HN92" i="6" s="1"/>
  <c r="HM92" i="6" a="1"/>
  <c r="HM92" i="6" s="1"/>
  <c r="HL92" i="6" a="1"/>
  <c r="HL92" i="6" s="1"/>
  <c r="HK92" i="6" a="1"/>
  <c r="HK92" i="6" s="1"/>
  <c r="GX92" i="6" a="1"/>
  <c r="GX92" i="6" s="1"/>
  <c r="GW92" i="6" a="1"/>
  <c r="GW92" i="6" s="1"/>
  <c r="GV92" i="6" a="1"/>
  <c r="GV92" i="6" s="1"/>
  <c r="GU92" i="6" a="1"/>
  <c r="GU92" i="6" s="1"/>
  <c r="GT92" i="6" a="1"/>
  <c r="GT92" i="6" s="1"/>
  <c r="GG92" i="6" a="1"/>
  <c r="GG92" i="6" s="1"/>
  <c r="GF92" i="6" a="1"/>
  <c r="GF92" i="6" s="1"/>
  <c r="GE92" i="6" a="1"/>
  <c r="GE92" i="6" s="1"/>
  <c r="GD92" i="6" a="1"/>
  <c r="GD92" i="6" s="1"/>
  <c r="GC92" i="6" a="1"/>
  <c r="GC92" i="6" s="1"/>
  <c r="FP92" i="6" a="1"/>
  <c r="FP92" i="6" s="1"/>
  <c r="FO92" i="6" a="1"/>
  <c r="FO92" i="6" s="1"/>
  <c r="FN92" i="6" a="1"/>
  <c r="FN92" i="6" s="1"/>
  <c r="FM92" i="6" a="1"/>
  <c r="FM92" i="6" s="1"/>
  <c r="FL92" i="6" a="1"/>
  <c r="FL92" i="6" s="1"/>
  <c r="EY92" i="6" a="1"/>
  <c r="EY92" i="6" s="1"/>
  <c r="EX92" i="6" a="1"/>
  <c r="EX92" i="6" s="1"/>
  <c r="EW92" i="6" a="1"/>
  <c r="EW92" i="6" s="1"/>
  <c r="EV92" i="6" a="1"/>
  <c r="EV92" i="6" s="1"/>
  <c r="EU92" i="6" a="1"/>
  <c r="EU92" i="6" s="1"/>
  <c r="EH92" i="6" a="1"/>
  <c r="EH92" i="6" s="1"/>
  <c r="EG92" i="6" a="1"/>
  <c r="EG92" i="6" s="1"/>
  <c r="EF92" i="6" a="1"/>
  <c r="EF92" i="6" s="1"/>
  <c r="EE92" i="6" a="1"/>
  <c r="EE92" i="6" s="1"/>
  <c r="ED92" i="6" a="1"/>
  <c r="ED92" i="6" s="1"/>
  <c r="DQ92" i="6" a="1"/>
  <c r="DQ92" i="6" s="1"/>
  <c r="DP92" i="6" a="1"/>
  <c r="DP92" i="6" s="1"/>
  <c r="DO92" i="6" a="1"/>
  <c r="DO92" i="6" s="1"/>
  <c r="DN92" i="6" a="1"/>
  <c r="DN92" i="6" s="1"/>
  <c r="DM92" i="6" a="1"/>
  <c r="DM92" i="6" s="1"/>
  <c r="DD92" i="6" a="1"/>
  <c r="DD92" i="6" s="1"/>
  <c r="CU92" i="6" a="1"/>
  <c r="CU92" i="6" s="1"/>
  <c r="CL92" i="6" a="1"/>
  <c r="CL92" i="6" s="1"/>
  <c r="BX92" i="6" a="1"/>
  <c r="BX92" i="6" s="1"/>
  <c r="BW92" i="6" a="1"/>
  <c r="BW92" i="6" s="1"/>
  <c r="BV92" i="6" a="1"/>
  <c r="BV92" i="6" s="1"/>
  <c r="BU92" i="6" a="1"/>
  <c r="BU92" i="6" s="1"/>
  <c r="BT92" i="6" a="1"/>
  <c r="BT92" i="6" s="1"/>
  <c r="BS92" i="6" a="1"/>
  <c r="BS92" i="6" s="1"/>
  <c r="BA92" i="6" a="1"/>
  <c r="BA92" i="6" s="1"/>
  <c r="AZ92" i="6" a="1"/>
  <c r="AZ92" i="6" s="1"/>
  <c r="AY92" i="6" a="1"/>
  <c r="AY92" i="6" s="1"/>
  <c r="AX92" i="6" a="1"/>
  <c r="AX92" i="6" s="1"/>
  <c r="AW92" i="6" a="1"/>
  <c r="AW92" i="6" s="1"/>
  <c r="AV92" i="6" a="1"/>
  <c r="AV92" i="6" s="1"/>
  <c r="AU92" i="6" a="1"/>
  <c r="AU92" i="6" s="1"/>
  <c r="AT92" i="6" a="1"/>
  <c r="AT92" i="6" s="1"/>
  <c r="AS92" i="6" a="1"/>
  <c r="AS92" i="6" s="1"/>
  <c r="AR92" i="6" a="1"/>
  <c r="AR92" i="6" s="1"/>
  <c r="AH92" i="6" a="1"/>
  <c r="AH92" i="6" s="1"/>
  <c r="AG92" i="6" a="1"/>
  <c r="AG92" i="6" s="1"/>
  <c r="V92" i="6" a="1"/>
  <c r="V92" i="6" s="1"/>
  <c r="U92" i="6" a="1"/>
  <c r="U92" i="6" s="1"/>
  <c r="T92" i="6" s="1"/>
  <c r="J92" i="6" a="1"/>
  <c r="J92" i="6" s="1"/>
  <c r="I92" i="6" a="1"/>
  <c r="I92" i="6" s="1"/>
  <c r="ADA91" i="6" a="1"/>
  <c r="ADA91" i="6" s="1"/>
  <c r="ACZ91" i="6" a="1"/>
  <c r="ACZ91" i="6" s="1"/>
  <c r="ACY91" i="6" a="1"/>
  <c r="ACY91" i="6" s="1"/>
  <c r="ACN91" i="6" a="1"/>
  <c r="ACN91" i="6" s="1"/>
  <c r="ACM91" i="6" a="1"/>
  <c r="ACM91" i="6" s="1"/>
  <c r="ABU91" i="6" a="1"/>
  <c r="ABU91" i="6" s="1"/>
  <c r="ABX91" i="6" a="1"/>
  <c r="ABX91" i="6" s="1"/>
  <c r="ABV91" i="6" a="1"/>
  <c r="ABV91" i="6" s="1"/>
  <c r="ABH91" i="6" a="1"/>
  <c r="ABH91" i="6" s="1"/>
  <c r="ABG91" i="6" a="1"/>
  <c r="ABG91" i="6" s="1"/>
  <c r="ABF91" i="6" a="1"/>
  <c r="ABF91" i="6" s="1"/>
  <c r="ABE91" i="6" a="1"/>
  <c r="ABE91" i="6" s="1"/>
  <c r="ABD91" i="6" a="1"/>
  <c r="ABD91" i="6" s="1"/>
  <c r="ZR91" i="6" a="1"/>
  <c r="ZR91" i="6" s="1"/>
  <c r="ZE91" i="6" a="1"/>
  <c r="ZE91" i="6" s="1"/>
  <c r="ZD91" i="6" a="1"/>
  <c r="ZD91" i="6" s="1"/>
  <c r="ZC91" i="6" a="1"/>
  <c r="ZC91" i="6" s="1"/>
  <c r="ZB91" i="6" a="1"/>
  <c r="ZB91" i="6" s="1"/>
  <c r="ZA91" i="6" a="1"/>
  <c r="ZA91" i="6" s="1"/>
  <c r="YP91" i="6" a="1"/>
  <c r="YP91" i="6" s="1"/>
  <c r="YO91" i="6" a="1"/>
  <c r="YO91" i="6" s="1"/>
  <c r="YE91" i="6" a="1"/>
  <c r="YE91" i="6" s="1"/>
  <c r="YD91" i="6" a="1"/>
  <c r="YD91" i="6" s="1"/>
  <c r="XT91" i="6" a="1"/>
  <c r="XT91" i="6" s="1"/>
  <c r="XS91" i="6" a="1"/>
  <c r="XS91" i="6" s="1"/>
  <c r="XI91" i="6" a="1"/>
  <c r="XI91" i="6" s="1"/>
  <c r="XH91" i="6" a="1"/>
  <c r="XH91" i="6" s="1"/>
  <c r="WX91" i="6" a="1"/>
  <c r="WX91" i="6" s="1"/>
  <c r="WW91" i="6" a="1"/>
  <c r="WW91" i="6" s="1"/>
  <c r="WM91" i="6" a="1"/>
  <c r="WM91" i="6" s="1"/>
  <c r="WL91" i="6" a="1"/>
  <c r="WL91" i="6" s="1"/>
  <c r="WC91" i="6" a="1"/>
  <c r="WC91" i="6" s="1"/>
  <c r="VQ91" i="6" a="1"/>
  <c r="VQ91" i="6" s="1"/>
  <c r="VP91" i="6" a="1"/>
  <c r="VP91" i="6" s="1"/>
  <c r="VO91" i="6" a="1"/>
  <c r="VO91" i="6" s="1"/>
  <c r="VN91" i="6" a="1"/>
  <c r="VN91" i="6" s="1"/>
  <c r="VA91" i="6" a="1"/>
  <c r="VA91" i="6" s="1"/>
  <c r="UZ91" i="6" a="1"/>
  <c r="UZ91" i="6" s="1"/>
  <c r="UY91" i="6" a="1"/>
  <c r="UY91" i="6" s="1"/>
  <c r="UX91" i="6" a="1"/>
  <c r="UX91" i="6" s="1"/>
  <c r="UW91" i="6" a="1"/>
  <c r="UW91" i="6" s="1"/>
  <c r="UM91" i="6" a="1"/>
  <c r="UM91" i="6" s="1"/>
  <c r="TZ91" i="6" a="1"/>
  <c r="TZ91" i="6" s="1"/>
  <c r="TY91" i="6" a="1"/>
  <c r="TY91" i="6" s="1"/>
  <c r="TX91" i="6" a="1"/>
  <c r="TX91" i="6" s="1"/>
  <c r="TW91" i="6" a="1"/>
  <c r="TW91" i="6" s="1"/>
  <c r="TV91" i="6" a="1"/>
  <c r="TV91" i="6" s="1"/>
  <c r="TH91" i="6" a="1"/>
  <c r="TH91" i="6" s="1"/>
  <c r="TG91" i="6" a="1"/>
  <c r="TG91" i="6" s="1"/>
  <c r="TF91" i="6" a="1"/>
  <c r="TF91" i="6" s="1"/>
  <c r="TE91" i="6" a="1"/>
  <c r="TE91" i="6" s="1"/>
  <c r="TD91" i="6" a="1"/>
  <c r="TD91" i="6" s="1"/>
  <c r="SP91" i="6" a="1"/>
  <c r="SP91" i="6" s="1"/>
  <c r="SO91" i="6" a="1"/>
  <c r="SO91" i="6" s="1"/>
  <c r="SN91" i="6" a="1"/>
  <c r="SN91" i="6" s="1"/>
  <c r="SM91" i="6" a="1"/>
  <c r="SM91" i="6" s="1"/>
  <c r="SL91" i="6" a="1"/>
  <c r="SL91" i="6" s="1"/>
  <c r="RX91" i="6" a="1"/>
  <c r="RX91" i="6" s="1"/>
  <c r="RW91" i="6" a="1"/>
  <c r="RW91" i="6" s="1"/>
  <c r="RV91" i="6" a="1"/>
  <c r="RV91" i="6" s="1"/>
  <c r="RU91" i="6" a="1"/>
  <c r="RU91" i="6" s="1"/>
  <c r="RT91" i="6" a="1"/>
  <c r="RT91" i="6" s="1"/>
  <c r="RF91" i="6" a="1"/>
  <c r="RF91" i="6" s="1"/>
  <c r="RE91" i="6" a="1"/>
  <c r="RE91" i="6" s="1"/>
  <c r="RD91" i="6" a="1"/>
  <c r="RD91" i="6" s="1"/>
  <c r="RC91" i="6" a="1"/>
  <c r="RC91" i="6" s="1"/>
  <c r="RB91" i="6" a="1"/>
  <c r="RB91" i="6" s="1"/>
  <c r="QN91" i="6" a="1"/>
  <c r="QN91" i="6" s="1"/>
  <c r="QM91" i="6" a="1"/>
  <c r="QM91" i="6" s="1"/>
  <c r="QL91" i="6" a="1"/>
  <c r="QL91" i="6" s="1"/>
  <c r="QK91" i="6" a="1"/>
  <c r="QK91" i="6" s="1"/>
  <c r="QJ91" i="6" a="1"/>
  <c r="QJ91" i="6" s="1"/>
  <c r="PV91" i="6" a="1"/>
  <c r="PV91" i="6" s="1"/>
  <c r="PU91" i="6" a="1"/>
  <c r="PU91" i="6" s="1"/>
  <c r="PT91" i="6" a="1"/>
  <c r="PT91" i="6" s="1"/>
  <c r="PS91" i="6" a="1"/>
  <c r="PS91" i="6" s="1"/>
  <c r="PR91" i="6" a="1"/>
  <c r="PR91" i="6" s="1"/>
  <c r="PD91" i="6" a="1"/>
  <c r="PD91" i="6" s="1"/>
  <c r="PC91" i="6" a="1"/>
  <c r="PC91" i="6" s="1"/>
  <c r="PB91" i="6" a="1"/>
  <c r="PB91" i="6" s="1"/>
  <c r="PA91" i="6" a="1"/>
  <c r="PA91" i="6" s="1"/>
  <c r="OZ91" i="6" a="1"/>
  <c r="OZ91" i="6" s="1"/>
  <c r="OL91" i="6" a="1"/>
  <c r="OL91" i="6" s="1"/>
  <c r="OK91" i="6" a="1"/>
  <c r="OK91" i="6" s="1"/>
  <c r="OJ91" i="6" a="1"/>
  <c r="OJ91" i="6" s="1"/>
  <c r="OI91" i="6" a="1"/>
  <c r="OI91" i="6" s="1"/>
  <c r="OH91" i="6" a="1"/>
  <c r="OH91" i="6" s="1"/>
  <c r="NT91" i="6" a="1"/>
  <c r="NT91" i="6" s="1"/>
  <c r="NS91" i="6" a="1"/>
  <c r="NS91" i="6" s="1"/>
  <c r="NR91" i="6" a="1"/>
  <c r="NR91" i="6" s="1"/>
  <c r="NQ91" i="6" a="1"/>
  <c r="NQ91" i="6" s="1"/>
  <c r="NP91" i="6" a="1"/>
  <c r="NP91" i="6" s="1"/>
  <c r="NC91" i="6" a="1"/>
  <c r="NC91" i="6" s="1"/>
  <c r="NB91" i="6" a="1"/>
  <c r="NB91" i="6" s="1"/>
  <c r="NA91" i="6" a="1"/>
  <c r="NA91" i="6" s="1"/>
  <c r="MZ91" i="6" a="1"/>
  <c r="MZ91" i="6" s="1"/>
  <c r="MY91" i="6" a="1"/>
  <c r="MY91" i="6" s="1"/>
  <c r="MK91" i="6" a="1"/>
  <c r="MK91" i="6" s="1"/>
  <c r="MJ91" i="6" a="1"/>
  <c r="MJ91" i="6" s="1"/>
  <c r="MI91" i="6" a="1"/>
  <c r="MI91" i="6" s="1"/>
  <c r="MH91" i="6" a="1"/>
  <c r="MH91" i="6" s="1"/>
  <c r="MG91" i="6" a="1"/>
  <c r="MG91" i="6" s="1"/>
  <c r="LS91" i="6" a="1"/>
  <c r="LS91" i="6" s="1"/>
  <c r="LR91" i="6" a="1"/>
  <c r="LR91" i="6" s="1"/>
  <c r="LQ91" i="6" a="1"/>
  <c r="LQ91" i="6" s="1"/>
  <c r="LP91" i="6" a="1"/>
  <c r="LP91" i="6" s="1"/>
  <c r="LO91" i="6" a="1"/>
  <c r="LO91" i="6" s="1"/>
  <c r="LA91" i="6" a="1"/>
  <c r="LA91" i="6" s="1"/>
  <c r="KZ91" i="6" a="1"/>
  <c r="KZ91" i="6" s="1"/>
  <c r="KY91" i="6" a="1"/>
  <c r="KY91" i="6" s="1"/>
  <c r="KX91" i="6" a="1"/>
  <c r="KX91" i="6" s="1"/>
  <c r="KW91" i="6" a="1"/>
  <c r="KW91" i="6" s="1"/>
  <c r="KI91" i="6" a="1"/>
  <c r="KI91" i="6" s="1"/>
  <c r="KH91" i="6" a="1"/>
  <c r="KH91" i="6" s="1"/>
  <c r="KG91" i="6" a="1"/>
  <c r="KG91" i="6" s="1"/>
  <c r="KF91" i="6" a="1"/>
  <c r="KF91" i="6" s="1"/>
  <c r="KE91" i="6" a="1"/>
  <c r="KE91" i="6" s="1"/>
  <c r="JQ91" i="6" a="1"/>
  <c r="JQ91" i="6" s="1"/>
  <c r="JP91" i="6" a="1"/>
  <c r="JP91" i="6" s="1"/>
  <c r="JO91" i="6" a="1"/>
  <c r="JO91" i="6" s="1"/>
  <c r="JN91" i="6" a="1"/>
  <c r="JN91" i="6" s="1"/>
  <c r="JM91" i="6" a="1"/>
  <c r="JM91" i="6" s="1"/>
  <c r="IY91" i="6" a="1"/>
  <c r="IY91" i="6" s="1"/>
  <c r="IX91" i="6" a="1"/>
  <c r="IX91" i="6" s="1"/>
  <c r="IW91" i="6" a="1"/>
  <c r="IW91" i="6" s="1"/>
  <c r="IV91" i="6" a="1"/>
  <c r="IV91" i="6" s="1"/>
  <c r="IU91" i="6" a="1"/>
  <c r="IU91" i="6" s="1"/>
  <c r="IG91" i="6" a="1"/>
  <c r="IG91" i="6" s="1"/>
  <c r="IF91" i="6" a="1"/>
  <c r="IF91" i="6" s="1"/>
  <c r="IE91" i="6" a="1"/>
  <c r="IE91" i="6" s="1"/>
  <c r="ID91" i="6" a="1"/>
  <c r="ID91" i="6" s="1"/>
  <c r="IC91" i="6" a="1"/>
  <c r="IC91" i="6" s="1"/>
  <c r="HO91" i="6" a="1"/>
  <c r="HO91" i="6" s="1"/>
  <c r="HN91" i="6" a="1"/>
  <c r="HN91" i="6" s="1"/>
  <c r="HM91" i="6" a="1"/>
  <c r="HM91" i="6" s="1"/>
  <c r="HL91" i="6" a="1"/>
  <c r="HL91" i="6" s="1"/>
  <c r="HK91" i="6" a="1"/>
  <c r="HK91" i="6" s="1"/>
  <c r="GX91" i="6" a="1"/>
  <c r="GX91" i="6" s="1"/>
  <c r="GW91" i="6" a="1"/>
  <c r="GW91" i="6" s="1"/>
  <c r="GV91" i="6" a="1"/>
  <c r="GV91" i="6" s="1"/>
  <c r="GU91" i="6" a="1"/>
  <c r="GU91" i="6" s="1"/>
  <c r="GT91" i="6" a="1"/>
  <c r="GT91" i="6" s="1"/>
  <c r="GG91" i="6" a="1"/>
  <c r="GG91" i="6" s="1"/>
  <c r="GF91" i="6" a="1"/>
  <c r="GF91" i="6" s="1"/>
  <c r="GE91" i="6" a="1"/>
  <c r="GE91" i="6" s="1"/>
  <c r="GD91" i="6" a="1"/>
  <c r="GD91" i="6" s="1"/>
  <c r="GC91" i="6" a="1"/>
  <c r="GC91" i="6" s="1"/>
  <c r="FP91" i="6" a="1"/>
  <c r="FP91" i="6" s="1"/>
  <c r="FO91" i="6" a="1"/>
  <c r="FO91" i="6" s="1"/>
  <c r="FN91" i="6" a="1"/>
  <c r="FN91" i="6" s="1"/>
  <c r="FM91" i="6" a="1"/>
  <c r="FM91" i="6" s="1"/>
  <c r="FL91" i="6" a="1"/>
  <c r="FL91" i="6" s="1"/>
  <c r="EY91" i="6" a="1"/>
  <c r="EY91" i="6" s="1"/>
  <c r="EX91" i="6" a="1"/>
  <c r="EX91" i="6" s="1"/>
  <c r="EW91" i="6" a="1"/>
  <c r="EW91" i="6" s="1"/>
  <c r="EV91" i="6" a="1"/>
  <c r="EV91" i="6" s="1"/>
  <c r="EU91" i="6" a="1"/>
  <c r="EU91" i="6" s="1"/>
  <c r="EH91" i="6" a="1"/>
  <c r="EH91" i="6" s="1"/>
  <c r="EG91" i="6" a="1"/>
  <c r="EG91" i="6" s="1"/>
  <c r="EF91" i="6" a="1"/>
  <c r="EF91" i="6" s="1"/>
  <c r="EE91" i="6" a="1"/>
  <c r="EE91" i="6" s="1"/>
  <c r="ED91" i="6" a="1"/>
  <c r="ED91" i="6" s="1"/>
  <c r="DQ91" i="6" a="1"/>
  <c r="DQ91" i="6" s="1"/>
  <c r="DP91" i="6" a="1"/>
  <c r="DP91" i="6" s="1"/>
  <c r="DO91" i="6" a="1"/>
  <c r="DO91" i="6" s="1"/>
  <c r="DN91" i="6" a="1"/>
  <c r="DN91" i="6" s="1"/>
  <c r="DM91" i="6" a="1"/>
  <c r="DM91" i="6" s="1"/>
  <c r="DD91" i="6" a="1"/>
  <c r="DD91" i="6" s="1"/>
  <c r="CU91" i="6" a="1"/>
  <c r="CU91" i="6" s="1"/>
  <c r="CL91" i="6" a="1"/>
  <c r="CL91" i="6" s="1"/>
  <c r="BX91" i="6" a="1"/>
  <c r="BX91" i="6" s="1"/>
  <c r="BW91" i="6" a="1"/>
  <c r="BW91" i="6" s="1"/>
  <c r="BV91" i="6" a="1"/>
  <c r="BV91" i="6" s="1"/>
  <c r="BU91" i="6" a="1"/>
  <c r="BU91" i="6" s="1"/>
  <c r="BT91" i="6" a="1"/>
  <c r="BT91" i="6" s="1"/>
  <c r="BS91" i="6" a="1"/>
  <c r="BS91" i="6" s="1"/>
  <c r="BA91" i="6" a="1"/>
  <c r="BA91" i="6" s="1"/>
  <c r="AZ91" i="6" a="1"/>
  <c r="AZ91" i="6" s="1"/>
  <c r="AY91" i="6" a="1"/>
  <c r="AY91" i="6" s="1"/>
  <c r="AX91" i="6" a="1"/>
  <c r="AX91" i="6" s="1"/>
  <c r="AW91" i="6" a="1"/>
  <c r="AW91" i="6" s="1"/>
  <c r="AV91" i="6" a="1"/>
  <c r="AV91" i="6" s="1"/>
  <c r="AU91" i="6" a="1"/>
  <c r="AU91" i="6" s="1"/>
  <c r="AT91" i="6" a="1"/>
  <c r="AT91" i="6" s="1"/>
  <c r="AS91" i="6" a="1"/>
  <c r="AS91" i="6" s="1"/>
  <c r="AR91" i="6" a="1"/>
  <c r="AR91" i="6" s="1"/>
  <c r="AH91" i="6" a="1"/>
  <c r="AH91" i="6" s="1"/>
  <c r="AG91" i="6" a="1"/>
  <c r="AG91" i="6" s="1"/>
  <c r="V91" i="6" a="1"/>
  <c r="V91" i="6" s="1"/>
  <c r="U91" i="6" a="1"/>
  <c r="U91" i="6" s="1"/>
  <c r="J91" i="6" a="1"/>
  <c r="J91" i="6" s="1"/>
  <c r="I91" i="6" a="1"/>
  <c r="I91" i="6" s="1"/>
  <c r="H91" i="6" s="1"/>
  <c r="ADA90" i="6" a="1"/>
  <c r="ADA90" i="6" s="1"/>
  <c r="ACZ90" i="6" a="1"/>
  <c r="ACZ90" i="6" s="1"/>
  <c r="ACY90" i="6" a="1"/>
  <c r="ACY90" i="6" s="1"/>
  <c r="ACN90" i="6" a="1"/>
  <c r="ACN90" i="6" s="1"/>
  <c r="ACM90" i="6" a="1"/>
  <c r="ACM90" i="6" s="1"/>
  <c r="ABU90" i="6" a="1"/>
  <c r="ABU90" i="6" s="1"/>
  <c r="ABX90" i="6" a="1"/>
  <c r="ABX90" i="6" s="1"/>
  <c r="ABV90" i="6" a="1"/>
  <c r="ABV90" i="6" s="1"/>
  <c r="ABH90" i="6" a="1"/>
  <c r="ABH90" i="6" s="1"/>
  <c r="ABG90" i="6" a="1"/>
  <c r="ABG90" i="6" s="1"/>
  <c r="ABF90" i="6" a="1"/>
  <c r="ABF90" i="6" s="1"/>
  <c r="ABE90" i="6" a="1"/>
  <c r="ABE90" i="6" s="1"/>
  <c r="ABD90" i="6" a="1"/>
  <c r="ABD90" i="6" s="1"/>
  <c r="ZR90" i="6" a="1"/>
  <c r="ZR90" i="6" s="1"/>
  <c r="ZE90" i="6" a="1"/>
  <c r="ZE90" i="6" s="1"/>
  <c r="ZD90" i="6" a="1"/>
  <c r="ZD90" i="6" s="1"/>
  <c r="ZC90" i="6" a="1"/>
  <c r="ZC90" i="6" s="1"/>
  <c r="ZB90" i="6" a="1"/>
  <c r="ZB90" i="6" s="1"/>
  <c r="ZA90" i="6" a="1"/>
  <c r="ZA90" i="6" s="1"/>
  <c r="YP90" i="6" a="1"/>
  <c r="YP90" i="6" s="1"/>
  <c r="YO90" i="6" a="1"/>
  <c r="YO90" i="6" s="1"/>
  <c r="YE90" i="6" a="1"/>
  <c r="YE90" i="6" s="1"/>
  <c r="YD90" i="6" a="1"/>
  <c r="YD90" i="6" s="1"/>
  <c r="XT90" i="6" a="1"/>
  <c r="XT90" i="6" s="1"/>
  <c r="XS90" i="6" a="1"/>
  <c r="XS90" i="6" s="1"/>
  <c r="XI90" i="6" a="1"/>
  <c r="XI90" i="6" s="1"/>
  <c r="XH90" i="6" a="1"/>
  <c r="XH90" i="6" s="1"/>
  <c r="WX90" i="6" a="1"/>
  <c r="WX90" i="6" s="1"/>
  <c r="WW90" i="6" a="1"/>
  <c r="WW90" i="6" s="1"/>
  <c r="WM90" i="6" a="1"/>
  <c r="WM90" i="6" s="1"/>
  <c r="WL90" i="6" a="1"/>
  <c r="WL90" i="6" s="1"/>
  <c r="WC90" i="6" a="1"/>
  <c r="WC90" i="6" s="1"/>
  <c r="VQ90" i="6" a="1"/>
  <c r="VQ90" i="6" s="1"/>
  <c r="VP90" i="6" a="1"/>
  <c r="VP90" i="6" s="1"/>
  <c r="VO90" i="6" a="1"/>
  <c r="VO90" i="6" s="1"/>
  <c r="VN90" i="6" a="1"/>
  <c r="VN90" i="6" s="1"/>
  <c r="VA90" i="6" a="1"/>
  <c r="VA90" i="6" s="1"/>
  <c r="UZ90" i="6" a="1"/>
  <c r="UZ90" i="6" s="1"/>
  <c r="UY90" i="6" a="1"/>
  <c r="UY90" i="6" s="1"/>
  <c r="UX90" i="6" a="1"/>
  <c r="UX90" i="6" s="1"/>
  <c r="UW90" i="6" a="1"/>
  <c r="UW90" i="6" s="1"/>
  <c r="UM90" i="6" a="1"/>
  <c r="UM90" i="6" s="1"/>
  <c r="TZ90" i="6" a="1"/>
  <c r="TZ90" i="6" s="1"/>
  <c r="TY90" i="6" a="1"/>
  <c r="TY90" i="6" s="1"/>
  <c r="TX90" i="6" a="1"/>
  <c r="TX90" i="6" s="1"/>
  <c r="TW90" i="6" a="1"/>
  <c r="TW90" i="6" s="1"/>
  <c r="TV90" i="6" a="1"/>
  <c r="TV90" i="6" s="1"/>
  <c r="TH90" i="6" a="1"/>
  <c r="TH90" i="6" s="1"/>
  <c r="TG90" i="6" a="1"/>
  <c r="TG90" i="6" s="1"/>
  <c r="TF90" i="6" a="1"/>
  <c r="TF90" i="6" s="1"/>
  <c r="TE90" i="6" a="1"/>
  <c r="TE90" i="6" s="1"/>
  <c r="TD90" i="6" a="1"/>
  <c r="TD90" i="6" s="1"/>
  <c r="SP90" i="6" a="1"/>
  <c r="SP90" i="6" s="1"/>
  <c r="SO90" i="6" a="1"/>
  <c r="SO90" i="6" s="1"/>
  <c r="SN90" i="6" a="1"/>
  <c r="SN90" i="6" s="1"/>
  <c r="SM90" i="6" a="1"/>
  <c r="SM90" i="6" s="1"/>
  <c r="SL90" i="6" a="1"/>
  <c r="SL90" i="6" s="1"/>
  <c r="RX90" i="6" a="1"/>
  <c r="RX90" i="6" s="1"/>
  <c r="RW90" i="6" a="1"/>
  <c r="RW90" i="6" s="1"/>
  <c r="RV90" i="6" a="1"/>
  <c r="RV90" i="6" s="1"/>
  <c r="RU90" i="6" a="1"/>
  <c r="RU90" i="6" s="1"/>
  <c r="RT90" i="6" a="1"/>
  <c r="RT90" i="6" s="1"/>
  <c r="RF90" i="6" a="1"/>
  <c r="RF90" i="6" s="1"/>
  <c r="RE90" i="6" a="1"/>
  <c r="RE90" i="6" s="1"/>
  <c r="RD90" i="6" a="1"/>
  <c r="RD90" i="6" s="1"/>
  <c r="RC90" i="6" a="1"/>
  <c r="RC90" i="6" s="1"/>
  <c r="RB90" i="6" a="1"/>
  <c r="RB90" i="6" s="1"/>
  <c r="QN90" i="6" a="1"/>
  <c r="QN90" i="6" s="1"/>
  <c r="QM90" i="6" a="1"/>
  <c r="QM90" i="6" s="1"/>
  <c r="QL90" i="6" a="1"/>
  <c r="QL90" i="6" s="1"/>
  <c r="QK90" i="6" a="1"/>
  <c r="QK90" i="6" s="1"/>
  <c r="QJ90" i="6" a="1"/>
  <c r="QJ90" i="6" s="1"/>
  <c r="PV90" i="6" a="1"/>
  <c r="PV90" i="6" s="1"/>
  <c r="PU90" i="6" a="1"/>
  <c r="PU90" i="6" s="1"/>
  <c r="PT90" i="6" a="1"/>
  <c r="PT90" i="6" s="1"/>
  <c r="PS90" i="6" a="1"/>
  <c r="PS90" i="6" s="1"/>
  <c r="PR90" i="6" a="1"/>
  <c r="PR90" i="6" s="1"/>
  <c r="PD90" i="6" a="1"/>
  <c r="PD90" i="6" s="1"/>
  <c r="PC90" i="6" a="1"/>
  <c r="PC90" i="6" s="1"/>
  <c r="PB90" i="6" a="1"/>
  <c r="PB90" i="6" s="1"/>
  <c r="PA90" i="6" a="1"/>
  <c r="PA90" i="6" s="1"/>
  <c r="OZ90" i="6" a="1"/>
  <c r="OZ90" i="6" s="1"/>
  <c r="OL90" i="6" a="1"/>
  <c r="OL90" i="6" s="1"/>
  <c r="OK90" i="6" a="1"/>
  <c r="OK90" i="6" s="1"/>
  <c r="OJ90" i="6" a="1"/>
  <c r="OJ90" i="6" s="1"/>
  <c r="OI90" i="6" a="1"/>
  <c r="OI90" i="6" s="1"/>
  <c r="OH90" i="6" a="1"/>
  <c r="OH90" i="6" s="1"/>
  <c r="NT90" i="6" a="1"/>
  <c r="NT90" i="6" s="1"/>
  <c r="NS90" i="6" a="1"/>
  <c r="NS90" i="6" s="1"/>
  <c r="NR90" i="6" a="1"/>
  <c r="NR90" i="6" s="1"/>
  <c r="NQ90" i="6" a="1"/>
  <c r="NQ90" i="6" s="1"/>
  <c r="NP90" i="6" a="1"/>
  <c r="NP90" i="6" s="1"/>
  <c r="NC90" i="6" a="1"/>
  <c r="NC90" i="6" s="1"/>
  <c r="NB90" i="6" a="1"/>
  <c r="NB90" i="6" s="1"/>
  <c r="NA90" i="6" a="1"/>
  <c r="NA90" i="6" s="1"/>
  <c r="MZ90" i="6" a="1"/>
  <c r="MZ90" i="6" s="1"/>
  <c r="MY90" i="6" a="1"/>
  <c r="MY90" i="6" s="1"/>
  <c r="MK90" i="6" a="1"/>
  <c r="MK90" i="6" s="1"/>
  <c r="MJ90" i="6" a="1"/>
  <c r="MJ90" i="6" s="1"/>
  <c r="MI90" i="6" a="1"/>
  <c r="MI90" i="6" s="1"/>
  <c r="MH90" i="6" a="1"/>
  <c r="MH90" i="6" s="1"/>
  <c r="MG90" i="6" a="1"/>
  <c r="MG90" i="6" s="1"/>
  <c r="LS90" i="6" a="1"/>
  <c r="LS90" i="6" s="1"/>
  <c r="LR90" i="6" a="1"/>
  <c r="LR90" i="6" s="1"/>
  <c r="LQ90" i="6" a="1"/>
  <c r="LQ90" i="6" s="1"/>
  <c r="LP90" i="6" a="1"/>
  <c r="LP90" i="6" s="1"/>
  <c r="LO90" i="6" a="1"/>
  <c r="LO90" i="6" s="1"/>
  <c r="LA90" i="6" a="1"/>
  <c r="LA90" i="6" s="1"/>
  <c r="KZ90" i="6" a="1"/>
  <c r="KZ90" i="6" s="1"/>
  <c r="KY90" i="6" a="1"/>
  <c r="KY90" i="6" s="1"/>
  <c r="KX90" i="6" a="1"/>
  <c r="KX90" i="6" s="1"/>
  <c r="KW90" i="6" a="1"/>
  <c r="KW90" i="6" s="1"/>
  <c r="KI90" i="6" a="1"/>
  <c r="KI90" i="6" s="1"/>
  <c r="KH90" i="6" a="1"/>
  <c r="KH90" i="6" s="1"/>
  <c r="KG90" i="6" a="1"/>
  <c r="KG90" i="6" s="1"/>
  <c r="KF90" i="6" a="1"/>
  <c r="KF90" i="6" s="1"/>
  <c r="KE90" i="6" a="1"/>
  <c r="KE90" i="6" s="1"/>
  <c r="JQ90" i="6" a="1"/>
  <c r="JQ90" i="6" s="1"/>
  <c r="JP90" i="6" a="1"/>
  <c r="JP90" i="6" s="1"/>
  <c r="JO90" i="6" a="1"/>
  <c r="JO90" i="6" s="1"/>
  <c r="JN90" i="6" a="1"/>
  <c r="JN90" i="6" s="1"/>
  <c r="JM90" i="6" a="1"/>
  <c r="JM90" i="6" s="1"/>
  <c r="IY90" i="6" a="1"/>
  <c r="IY90" i="6" s="1"/>
  <c r="IX90" i="6" a="1"/>
  <c r="IX90" i="6" s="1"/>
  <c r="IW90" i="6" a="1"/>
  <c r="IW90" i="6" s="1"/>
  <c r="IV90" i="6" a="1"/>
  <c r="IV90" i="6" s="1"/>
  <c r="IU90" i="6" a="1"/>
  <c r="IU90" i="6" s="1"/>
  <c r="IG90" i="6" a="1"/>
  <c r="IG90" i="6" s="1"/>
  <c r="IF90" i="6" a="1"/>
  <c r="IF90" i="6" s="1"/>
  <c r="IE90" i="6" a="1"/>
  <c r="IE90" i="6" s="1"/>
  <c r="ID90" i="6" a="1"/>
  <c r="ID90" i="6" s="1"/>
  <c r="IC90" i="6" a="1"/>
  <c r="IC90" i="6" s="1"/>
  <c r="HO90" i="6" a="1"/>
  <c r="HO90" i="6" s="1"/>
  <c r="HN90" i="6" a="1"/>
  <c r="HN90" i="6" s="1"/>
  <c r="HM90" i="6" a="1"/>
  <c r="HM90" i="6" s="1"/>
  <c r="HL90" i="6" a="1"/>
  <c r="HL90" i="6" s="1"/>
  <c r="HK90" i="6" a="1"/>
  <c r="HK90" i="6" s="1"/>
  <c r="GX90" i="6" a="1"/>
  <c r="GX90" i="6" s="1"/>
  <c r="GW90" i="6" a="1"/>
  <c r="GW90" i="6" s="1"/>
  <c r="GV90" i="6" a="1"/>
  <c r="GV90" i="6" s="1"/>
  <c r="GU90" i="6" a="1"/>
  <c r="GU90" i="6" s="1"/>
  <c r="GT90" i="6" a="1"/>
  <c r="GT90" i="6" s="1"/>
  <c r="GG90" i="6" a="1"/>
  <c r="GG90" i="6" s="1"/>
  <c r="GF90" i="6" a="1"/>
  <c r="GF90" i="6" s="1"/>
  <c r="GE90" i="6" a="1"/>
  <c r="GE90" i="6" s="1"/>
  <c r="GD90" i="6" a="1"/>
  <c r="GD90" i="6" s="1"/>
  <c r="GC90" i="6" a="1"/>
  <c r="GC90" i="6" s="1"/>
  <c r="FP90" i="6" a="1"/>
  <c r="FP90" i="6" s="1"/>
  <c r="FO90" i="6" a="1"/>
  <c r="FO90" i="6" s="1"/>
  <c r="FN90" i="6" a="1"/>
  <c r="FN90" i="6" s="1"/>
  <c r="FM90" i="6" a="1"/>
  <c r="FM90" i="6" s="1"/>
  <c r="FL90" i="6" a="1"/>
  <c r="FL90" i="6" s="1"/>
  <c r="EY90" i="6" a="1"/>
  <c r="EY90" i="6" s="1"/>
  <c r="EX90" i="6" a="1"/>
  <c r="EX90" i="6" s="1"/>
  <c r="EW90" i="6" a="1"/>
  <c r="EW90" i="6" s="1"/>
  <c r="EV90" i="6" a="1"/>
  <c r="EV90" i="6" s="1"/>
  <c r="EU90" i="6" a="1"/>
  <c r="EU90" i="6" s="1"/>
  <c r="EH90" i="6" a="1"/>
  <c r="EH90" i="6" s="1"/>
  <c r="EG90" i="6" a="1"/>
  <c r="EG90" i="6" s="1"/>
  <c r="EF90" i="6" a="1"/>
  <c r="EF90" i="6" s="1"/>
  <c r="EE90" i="6" a="1"/>
  <c r="EE90" i="6" s="1"/>
  <c r="ED90" i="6" a="1"/>
  <c r="ED90" i="6" s="1"/>
  <c r="DQ90" i="6" a="1"/>
  <c r="DQ90" i="6" s="1"/>
  <c r="DP90" i="6" a="1"/>
  <c r="DP90" i="6" s="1"/>
  <c r="DO90" i="6" a="1"/>
  <c r="DO90" i="6" s="1"/>
  <c r="DN90" i="6" a="1"/>
  <c r="DN90" i="6" s="1"/>
  <c r="DM90" i="6" a="1"/>
  <c r="DM90" i="6" s="1"/>
  <c r="DD90" i="6" a="1"/>
  <c r="DD90" i="6" s="1"/>
  <c r="CU90" i="6" a="1"/>
  <c r="CU90" i="6" s="1"/>
  <c r="CL90" i="6" a="1"/>
  <c r="CL90" i="6" s="1"/>
  <c r="BX90" i="6" a="1"/>
  <c r="BX90" i="6" s="1"/>
  <c r="BW90" i="6" a="1"/>
  <c r="BW90" i="6" s="1"/>
  <c r="BV90" i="6" a="1"/>
  <c r="BV90" i="6" s="1"/>
  <c r="BU90" i="6" a="1"/>
  <c r="BU90" i="6" s="1"/>
  <c r="BT90" i="6" a="1"/>
  <c r="BT90" i="6" s="1"/>
  <c r="BS90" i="6" a="1"/>
  <c r="BS90" i="6" s="1"/>
  <c r="BA90" i="6" a="1"/>
  <c r="BA90" i="6" s="1"/>
  <c r="AZ90" i="6" a="1"/>
  <c r="AZ90" i="6" s="1"/>
  <c r="AY90" i="6" a="1"/>
  <c r="AY90" i="6" s="1"/>
  <c r="AX90" i="6" a="1"/>
  <c r="AX90" i="6" s="1"/>
  <c r="AW90" i="6" a="1"/>
  <c r="AW90" i="6" s="1"/>
  <c r="AV90" i="6" a="1"/>
  <c r="AV90" i="6" s="1"/>
  <c r="AU90" i="6" a="1"/>
  <c r="AU90" i="6" s="1"/>
  <c r="AT90" i="6" a="1"/>
  <c r="AT90" i="6" s="1"/>
  <c r="AS90" i="6" a="1"/>
  <c r="AS90" i="6" s="1"/>
  <c r="AR90" i="6" a="1"/>
  <c r="AR90" i="6" s="1"/>
  <c r="AH90" i="6" a="1"/>
  <c r="AH90" i="6" s="1"/>
  <c r="AG90" i="6" a="1"/>
  <c r="AG90" i="6" s="1"/>
  <c r="V90" i="6" a="1"/>
  <c r="V90" i="6" s="1"/>
  <c r="U90" i="6" a="1"/>
  <c r="U90" i="6" s="1"/>
  <c r="T90" i="6" s="1"/>
  <c r="J90" i="6" a="1"/>
  <c r="J90" i="6" s="1"/>
  <c r="I90" i="6" a="1"/>
  <c r="I90" i="6" s="1"/>
  <c r="ADA89" i="6" a="1"/>
  <c r="ADA89" i="6" s="1"/>
  <c r="ACZ89" i="6" a="1"/>
  <c r="ACZ89" i="6" s="1"/>
  <c r="ACY89" i="6" a="1"/>
  <c r="ACY89" i="6" s="1"/>
  <c r="ACN89" i="6" a="1"/>
  <c r="ACN89" i="6" s="1"/>
  <c r="ACM89" i="6" a="1"/>
  <c r="ACM89" i="6" s="1"/>
  <c r="ABU89" i="6" a="1"/>
  <c r="ABU89" i="6" s="1"/>
  <c r="ABX89" i="6" a="1"/>
  <c r="ABX89" i="6" s="1"/>
  <c r="ABV89" i="6" a="1"/>
  <c r="ABV89" i="6" s="1"/>
  <c r="ABH89" i="6" a="1"/>
  <c r="ABH89" i="6" s="1"/>
  <c r="ABG89" i="6" a="1"/>
  <c r="ABG89" i="6" s="1"/>
  <c r="ABF89" i="6" a="1"/>
  <c r="ABF89" i="6" s="1"/>
  <c r="ABE89" i="6" a="1"/>
  <c r="ABE89" i="6" s="1"/>
  <c r="ABD89" i="6" a="1"/>
  <c r="ABD89" i="6" s="1"/>
  <c r="ZR89" i="6" a="1"/>
  <c r="ZR89" i="6" s="1"/>
  <c r="ZE89" i="6" a="1"/>
  <c r="ZE89" i="6" s="1"/>
  <c r="ZD89" i="6" a="1"/>
  <c r="ZD89" i="6" s="1"/>
  <c r="ZC89" i="6" a="1"/>
  <c r="ZC89" i="6" s="1"/>
  <c r="ZB89" i="6" a="1"/>
  <c r="ZB89" i="6" s="1"/>
  <c r="ZA89" i="6" a="1"/>
  <c r="ZA89" i="6" s="1"/>
  <c r="YP89" i="6" a="1"/>
  <c r="YP89" i="6" s="1"/>
  <c r="YO89" i="6" a="1"/>
  <c r="YO89" i="6" s="1"/>
  <c r="YE89" i="6" a="1"/>
  <c r="YE89" i="6" s="1"/>
  <c r="YD89" i="6" a="1"/>
  <c r="YD89" i="6" s="1"/>
  <c r="XT89" i="6" a="1"/>
  <c r="XT89" i="6" s="1"/>
  <c r="XS89" i="6" a="1"/>
  <c r="XS89" i="6" s="1"/>
  <c r="XI89" i="6" a="1"/>
  <c r="XI89" i="6" s="1"/>
  <c r="XH89" i="6" a="1"/>
  <c r="XH89" i="6" s="1"/>
  <c r="WX89" i="6" a="1"/>
  <c r="WX89" i="6" s="1"/>
  <c r="WW89" i="6" a="1"/>
  <c r="WW89" i="6" s="1"/>
  <c r="WM89" i="6" a="1"/>
  <c r="WM89" i="6" s="1"/>
  <c r="WL89" i="6" a="1"/>
  <c r="WL89" i="6" s="1"/>
  <c r="WC89" i="6" a="1"/>
  <c r="WC89" i="6" s="1"/>
  <c r="VQ89" i="6" a="1"/>
  <c r="VQ89" i="6" s="1"/>
  <c r="VP89" i="6" a="1"/>
  <c r="VP89" i="6" s="1"/>
  <c r="VO89" i="6" a="1"/>
  <c r="VO89" i="6" s="1"/>
  <c r="VN89" i="6" a="1"/>
  <c r="VN89" i="6" s="1"/>
  <c r="VA89" i="6" a="1"/>
  <c r="VA89" i="6" s="1"/>
  <c r="UZ89" i="6" a="1"/>
  <c r="UZ89" i="6" s="1"/>
  <c r="UY89" i="6" a="1"/>
  <c r="UY89" i="6" s="1"/>
  <c r="UX89" i="6" a="1"/>
  <c r="UX89" i="6" s="1"/>
  <c r="UW89" i="6" a="1"/>
  <c r="UW89" i="6" s="1"/>
  <c r="UM89" i="6" a="1"/>
  <c r="UM89" i="6" s="1"/>
  <c r="TZ89" i="6" a="1"/>
  <c r="TZ89" i="6" s="1"/>
  <c r="TY89" i="6" a="1"/>
  <c r="TY89" i="6" s="1"/>
  <c r="TX89" i="6" a="1"/>
  <c r="TX89" i="6" s="1"/>
  <c r="TW89" i="6" a="1"/>
  <c r="TW89" i="6" s="1"/>
  <c r="TV89" i="6" a="1"/>
  <c r="TV89" i="6" s="1"/>
  <c r="TH89" i="6" a="1"/>
  <c r="TH89" i="6" s="1"/>
  <c r="TG89" i="6" a="1"/>
  <c r="TG89" i="6" s="1"/>
  <c r="TF89" i="6" a="1"/>
  <c r="TF89" i="6" s="1"/>
  <c r="TE89" i="6" a="1"/>
  <c r="TE89" i="6" s="1"/>
  <c r="TD89" i="6" a="1"/>
  <c r="TD89" i="6" s="1"/>
  <c r="SP89" i="6" a="1"/>
  <c r="SP89" i="6" s="1"/>
  <c r="SO89" i="6" a="1"/>
  <c r="SO89" i="6" s="1"/>
  <c r="SN89" i="6" a="1"/>
  <c r="SN89" i="6" s="1"/>
  <c r="SM89" i="6" a="1"/>
  <c r="SM89" i="6" s="1"/>
  <c r="SL89" i="6" a="1"/>
  <c r="SL89" i="6" s="1"/>
  <c r="RX89" i="6" a="1"/>
  <c r="RX89" i="6" s="1"/>
  <c r="RW89" i="6" a="1"/>
  <c r="RW89" i="6" s="1"/>
  <c r="RV89" i="6" a="1"/>
  <c r="RV89" i="6" s="1"/>
  <c r="RU89" i="6" a="1"/>
  <c r="RU89" i="6" s="1"/>
  <c r="RT89" i="6" a="1"/>
  <c r="RT89" i="6" s="1"/>
  <c r="RF89" i="6" a="1"/>
  <c r="RF89" i="6" s="1"/>
  <c r="RE89" i="6" a="1"/>
  <c r="RE89" i="6" s="1"/>
  <c r="RD89" i="6" a="1"/>
  <c r="RD89" i="6" s="1"/>
  <c r="RC89" i="6" a="1"/>
  <c r="RC89" i="6" s="1"/>
  <c r="RB89" i="6" a="1"/>
  <c r="RB89" i="6" s="1"/>
  <c r="QN89" i="6" a="1"/>
  <c r="QN89" i="6" s="1"/>
  <c r="QM89" i="6" a="1"/>
  <c r="QM89" i="6" s="1"/>
  <c r="QL89" i="6" a="1"/>
  <c r="QL89" i="6" s="1"/>
  <c r="QK89" i="6" a="1"/>
  <c r="QK89" i="6" s="1"/>
  <c r="QJ89" i="6" a="1"/>
  <c r="QJ89" i="6" s="1"/>
  <c r="PV89" i="6" a="1"/>
  <c r="PV89" i="6" s="1"/>
  <c r="PU89" i="6" a="1"/>
  <c r="PU89" i="6" s="1"/>
  <c r="PT89" i="6" a="1"/>
  <c r="PT89" i="6" s="1"/>
  <c r="PS89" i="6" a="1"/>
  <c r="PS89" i="6" s="1"/>
  <c r="PR89" i="6" a="1"/>
  <c r="PR89" i="6" s="1"/>
  <c r="PD89" i="6" a="1"/>
  <c r="PD89" i="6" s="1"/>
  <c r="PC89" i="6" a="1"/>
  <c r="PC89" i="6" s="1"/>
  <c r="PB89" i="6" a="1"/>
  <c r="PB89" i="6" s="1"/>
  <c r="PA89" i="6" a="1"/>
  <c r="PA89" i="6" s="1"/>
  <c r="OZ89" i="6" a="1"/>
  <c r="OZ89" i="6" s="1"/>
  <c r="OL89" i="6" a="1"/>
  <c r="OL89" i="6" s="1"/>
  <c r="OK89" i="6" a="1"/>
  <c r="OK89" i="6" s="1"/>
  <c r="OJ89" i="6" a="1"/>
  <c r="OJ89" i="6" s="1"/>
  <c r="OI89" i="6" a="1"/>
  <c r="OI89" i="6" s="1"/>
  <c r="OH89" i="6" a="1"/>
  <c r="OH89" i="6" s="1"/>
  <c r="NT89" i="6" a="1"/>
  <c r="NT89" i="6" s="1"/>
  <c r="NS89" i="6" a="1"/>
  <c r="NS89" i="6" s="1"/>
  <c r="NR89" i="6" a="1"/>
  <c r="NR89" i="6" s="1"/>
  <c r="NQ89" i="6" a="1"/>
  <c r="NQ89" i="6" s="1"/>
  <c r="NP89" i="6" a="1"/>
  <c r="NP89" i="6" s="1"/>
  <c r="NC89" i="6" a="1"/>
  <c r="NC89" i="6" s="1"/>
  <c r="NB89" i="6" a="1"/>
  <c r="NB89" i="6" s="1"/>
  <c r="NA89" i="6" a="1"/>
  <c r="NA89" i="6" s="1"/>
  <c r="MZ89" i="6" a="1"/>
  <c r="MZ89" i="6" s="1"/>
  <c r="MY89" i="6" a="1"/>
  <c r="MY89" i="6" s="1"/>
  <c r="MK89" i="6" a="1"/>
  <c r="MK89" i="6" s="1"/>
  <c r="MJ89" i="6" a="1"/>
  <c r="MJ89" i="6" s="1"/>
  <c r="MI89" i="6" a="1"/>
  <c r="MI89" i="6" s="1"/>
  <c r="MH89" i="6" a="1"/>
  <c r="MH89" i="6" s="1"/>
  <c r="MG89" i="6" a="1"/>
  <c r="MG89" i="6" s="1"/>
  <c r="LS89" i="6" a="1"/>
  <c r="LS89" i="6" s="1"/>
  <c r="LR89" i="6" a="1"/>
  <c r="LR89" i="6" s="1"/>
  <c r="LQ89" i="6" a="1"/>
  <c r="LQ89" i="6" s="1"/>
  <c r="LP89" i="6" a="1"/>
  <c r="LP89" i="6" s="1"/>
  <c r="LO89" i="6" a="1"/>
  <c r="LO89" i="6" s="1"/>
  <c r="LA89" i="6" a="1"/>
  <c r="LA89" i="6" s="1"/>
  <c r="KZ89" i="6" a="1"/>
  <c r="KZ89" i="6" s="1"/>
  <c r="KY89" i="6" a="1"/>
  <c r="KY89" i="6" s="1"/>
  <c r="KX89" i="6" a="1"/>
  <c r="KX89" i="6" s="1"/>
  <c r="KW89" i="6" a="1"/>
  <c r="KW89" i="6" s="1"/>
  <c r="KI89" i="6" a="1"/>
  <c r="KI89" i="6" s="1"/>
  <c r="KH89" i="6" a="1"/>
  <c r="KH89" i="6" s="1"/>
  <c r="KG89" i="6" a="1"/>
  <c r="KG89" i="6" s="1"/>
  <c r="KF89" i="6" a="1"/>
  <c r="KF89" i="6" s="1"/>
  <c r="KE89" i="6" a="1"/>
  <c r="KE89" i="6" s="1"/>
  <c r="JQ89" i="6" a="1"/>
  <c r="JQ89" i="6" s="1"/>
  <c r="JP89" i="6" a="1"/>
  <c r="JP89" i="6" s="1"/>
  <c r="JO89" i="6" a="1"/>
  <c r="JO89" i="6" s="1"/>
  <c r="JN89" i="6" a="1"/>
  <c r="JN89" i="6" s="1"/>
  <c r="JM89" i="6" a="1"/>
  <c r="JM89" i="6" s="1"/>
  <c r="IY89" i="6" a="1"/>
  <c r="IY89" i="6" s="1"/>
  <c r="IX89" i="6" a="1"/>
  <c r="IX89" i="6" s="1"/>
  <c r="IW89" i="6" a="1"/>
  <c r="IW89" i="6" s="1"/>
  <c r="IV89" i="6" a="1"/>
  <c r="IV89" i="6" s="1"/>
  <c r="IU89" i="6" a="1"/>
  <c r="IU89" i="6" s="1"/>
  <c r="IG89" i="6" a="1"/>
  <c r="IG89" i="6" s="1"/>
  <c r="IF89" i="6" a="1"/>
  <c r="IF89" i="6" s="1"/>
  <c r="IE89" i="6" a="1"/>
  <c r="IE89" i="6" s="1"/>
  <c r="ID89" i="6" a="1"/>
  <c r="ID89" i="6" s="1"/>
  <c r="IC89" i="6" a="1"/>
  <c r="IC89" i="6" s="1"/>
  <c r="HO89" i="6" a="1"/>
  <c r="HO89" i="6" s="1"/>
  <c r="HN89" i="6" a="1"/>
  <c r="HN89" i="6" s="1"/>
  <c r="HM89" i="6" a="1"/>
  <c r="HM89" i="6" s="1"/>
  <c r="HL89" i="6" a="1"/>
  <c r="HL89" i="6" s="1"/>
  <c r="HK89" i="6" a="1"/>
  <c r="HK89" i="6" s="1"/>
  <c r="GX89" i="6" a="1"/>
  <c r="GX89" i="6" s="1"/>
  <c r="GW89" i="6" a="1"/>
  <c r="GW89" i="6" s="1"/>
  <c r="GV89" i="6" a="1"/>
  <c r="GV89" i="6" s="1"/>
  <c r="GU89" i="6" a="1"/>
  <c r="GU89" i="6" s="1"/>
  <c r="GT89" i="6" a="1"/>
  <c r="GT89" i="6" s="1"/>
  <c r="GG89" i="6" a="1"/>
  <c r="GG89" i="6" s="1"/>
  <c r="GF89" i="6" a="1"/>
  <c r="GF89" i="6" s="1"/>
  <c r="GE89" i="6" a="1"/>
  <c r="GE89" i="6" s="1"/>
  <c r="GD89" i="6" a="1"/>
  <c r="GD89" i="6" s="1"/>
  <c r="GC89" i="6" a="1"/>
  <c r="GC89" i="6" s="1"/>
  <c r="FP89" i="6" a="1"/>
  <c r="FP89" i="6" s="1"/>
  <c r="FO89" i="6" a="1"/>
  <c r="FO89" i="6" s="1"/>
  <c r="FN89" i="6" a="1"/>
  <c r="FN89" i="6" s="1"/>
  <c r="FM89" i="6" a="1"/>
  <c r="FM89" i="6" s="1"/>
  <c r="FL89" i="6" a="1"/>
  <c r="FL89" i="6" s="1"/>
  <c r="EY89" i="6" a="1"/>
  <c r="EY89" i="6" s="1"/>
  <c r="EX89" i="6" a="1"/>
  <c r="EX89" i="6" s="1"/>
  <c r="EW89" i="6" a="1"/>
  <c r="EW89" i="6" s="1"/>
  <c r="EV89" i="6" a="1"/>
  <c r="EV89" i="6" s="1"/>
  <c r="EU89" i="6" a="1"/>
  <c r="EU89" i="6" s="1"/>
  <c r="EH89" i="6" a="1"/>
  <c r="EH89" i="6" s="1"/>
  <c r="EG89" i="6" a="1"/>
  <c r="EG89" i="6" s="1"/>
  <c r="EF89" i="6" a="1"/>
  <c r="EF89" i="6" s="1"/>
  <c r="EE89" i="6" a="1"/>
  <c r="EE89" i="6" s="1"/>
  <c r="ED89" i="6" a="1"/>
  <c r="ED89" i="6" s="1"/>
  <c r="DQ89" i="6" a="1"/>
  <c r="DQ89" i="6" s="1"/>
  <c r="DP89" i="6" a="1"/>
  <c r="DP89" i="6" s="1"/>
  <c r="DO89" i="6" a="1"/>
  <c r="DO89" i="6" s="1"/>
  <c r="DN89" i="6" a="1"/>
  <c r="DN89" i="6" s="1"/>
  <c r="DM89" i="6" a="1"/>
  <c r="DM89" i="6" s="1"/>
  <c r="DD89" i="6" a="1"/>
  <c r="DD89" i="6" s="1"/>
  <c r="CU89" i="6" a="1"/>
  <c r="CU89" i="6" s="1"/>
  <c r="CL89" i="6" a="1"/>
  <c r="CL89" i="6" s="1"/>
  <c r="BX89" i="6" a="1"/>
  <c r="BX89" i="6" s="1"/>
  <c r="BW89" i="6" a="1"/>
  <c r="BW89" i="6" s="1"/>
  <c r="BV89" i="6" a="1"/>
  <c r="BV89" i="6" s="1"/>
  <c r="BU89" i="6" a="1"/>
  <c r="BU89" i="6" s="1"/>
  <c r="BT89" i="6" a="1"/>
  <c r="BT89" i="6" s="1"/>
  <c r="BS89" i="6" a="1"/>
  <c r="BS89" i="6" s="1"/>
  <c r="BA89" i="6" a="1"/>
  <c r="BA89" i="6" s="1"/>
  <c r="AZ89" i="6" a="1"/>
  <c r="AZ89" i="6" s="1"/>
  <c r="AY89" i="6" a="1"/>
  <c r="AY89" i="6" s="1"/>
  <c r="AX89" i="6" a="1"/>
  <c r="AX89" i="6" s="1"/>
  <c r="AW89" i="6" a="1"/>
  <c r="AW89" i="6" s="1"/>
  <c r="AV89" i="6" a="1"/>
  <c r="AV89" i="6" s="1"/>
  <c r="AU89" i="6" a="1"/>
  <c r="AU89" i="6" s="1"/>
  <c r="AT89" i="6" a="1"/>
  <c r="AT89" i="6" s="1"/>
  <c r="AS89" i="6" a="1"/>
  <c r="AS89" i="6" s="1"/>
  <c r="AR89" i="6" a="1"/>
  <c r="AR89" i="6" s="1"/>
  <c r="AH89" i="6" a="1"/>
  <c r="AH89" i="6" s="1"/>
  <c r="AG89" i="6" a="1"/>
  <c r="AG89" i="6" s="1"/>
  <c r="V89" i="6" a="1"/>
  <c r="V89" i="6" s="1"/>
  <c r="U89" i="6" a="1"/>
  <c r="U89" i="6" s="1"/>
  <c r="T89" i="6" s="1"/>
  <c r="J89" i="6" a="1"/>
  <c r="J89" i="6" s="1"/>
  <c r="I89" i="6" a="1"/>
  <c r="I89" i="6" s="1"/>
  <c r="ADA88" i="6" a="1"/>
  <c r="ADA88" i="6" s="1"/>
  <c r="ACZ88" i="6" a="1"/>
  <c r="ACZ88" i="6" s="1"/>
  <c r="ACY88" i="6" a="1"/>
  <c r="ACY88" i="6" s="1"/>
  <c r="ACN88" i="6" a="1"/>
  <c r="ACN88" i="6" s="1"/>
  <c r="ACM88" i="6" a="1"/>
  <c r="ACM88" i="6" s="1"/>
  <c r="ABU88" i="6" a="1"/>
  <c r="ABU88" i="6" s="1"/>
  <c r="ABX88" i="6" a="1"/>
  <c r="ABX88" i="6" s="1"/>
  <c r="ABV88" i="6" a="1"/>
  <c r="ABV88" i="6" s="1"/>
  <c r="ABH88" i="6" a="1"/>
  <c r="ABH88" i="6" s="1"/>
  <c r="ABG88" i="6" a="1"/>
  <c r="ABG88" i="6" s="1"/>
  <c r="ABF88" i="6" a="1"/>
  <c r="ABF88" i="6" s="1"/>
  <c r="ABE88" i="6" a="1"/>
  <c r="ABE88" i="6" s="1"/>
  <c r="ABD88" i="6" a="1"/>
  <c r="ABD88" i="6" s="1"/>
  <c r="ZR88" i="6" a="1"/>
  <c r="ZR88" i="6" s="1"/>
  <c r="ZE88" i="6" a="1"/>
  <c r="ZE88" i="6" s="1"/>
  <c r="ZD88" i="6" a="1"/>
  <c r="ZD88" i="6" s="1"/>
  <c r="ZC88" i="6" a="1"/>
  <c r="ZC88" i="6" s="1"/>
  <c r="ZB88" i="6" a="1"/>
  <c r="ZB88" i="6" s="1"/>
  <c r="ZA88" i="6" a="1"/>
  <c r="ZA88" i="6" s="1"/>
  <c r="YP88" i="6" a="1"/>
  <c r="YP88" i="6" s="1"/>
  <c r="YO88" i="6" a="1"/>
  <c r="YO88" i="6" s="1"/>
  <c r="YE88" i="6" a="1"/>
  <c r="YE88" i="6" s="1"/>
  <c r="YD88" i="6" a="1"/>
  <c r="YD88" i="6" s="1"/>
  <c r="XT88" i="6" a="1"/>
  <c r="XT88" i="6" s="1"/>
  <c r="XS88" i="6" a="1"/>
  <c r="XS88" i="6" s="1"/>
  <c r="XI88" i="6" a="1"/>
  <c r="XI88" i="6" s="1"/>
  <c r="XH88" i="6" a="1"/>
  <c r="XH88" i="6" s="1"/>
  <c r="WX88" i="6" a="1"/>
  <c r="WX88" i="6" s="1"/>
  <c r="WW88" i="6" a="1"/>
  <c r="WW88" i="6" s="1"/>
  <c r="WM88" i="6" a="1"/>
  <c r="WM88" i="6" s="1"/>
  <c r="WL88" i="6" a="1"/>
  <c r="WL88" i="6" s="1"/>
  <c r="WC88" i="6" a="1"/>
  <c r="WC88" i="6" s="1"/>
  <c r="VQ88" i="6" a="1"/>
  <c r="VQ88" i="6" s="1"/>
  <c r="VP88" i="6" a="1"/>
  <c r="VP88" i="6" s="1"/>
  <c r="VO88" i="6" a="1"/>
  <c r="VO88" i="6" s="1"/>
  <c r="VN88" i="6" a="1"/>
  <c r="VN88" i="6" s="1"/>
  <c r="VA88" i="6" a="1"/>
  <c r="VA88" i="6" s="1"/>
  <c r="UZ88" i="6" a="1"/>
  <c r="UZ88" i="6" s="1"/>
  <c r="UY88" i="6" a="1"/>
  <c r="UY88" i="6" s="1"/>
  <c r="UX88" i="6" a="1"/>
  <c r="UX88" i="6" s="1"/>
  <c r="UW88" i="6" a="1"/>
  <c r="UW88" i="6" s="1"/>
  <c r="UM88" i="6" a="1"/>
  <c r="UM88" i="6" s="1"/>
  <c r="TZ88" i="6" a="1"/>
  <c r="TZ88" i="6" s="1"/>
  <c r="TY88" i="6" a="1"/>
  <c r="TY88" i="6" s="1"/>
  <c r="TX88" i="6" a="1"/>
  <c r="TX88" i="6" s="1"/>
  <c r="TW88" i="6" a="1"/>
  <c r="TW88" i="6" s="1"/>
  <c r="TV88" i="6" a="1"/>
  <c r="TV88" i="6" s="1"/>
  <c r="TH88" i="6" a="1"/>
  <c r="TH88" i="6" s="1"/>
  <c r="TG88" i="6" a="1"/>
  <c r="TG88" i="6" s="1"/>
  <c r="TF88" i="6" a="1"/>
  <c r="TF88" i="6" s="1"/>
  <c r="TE88" i="6" a="1"/>
  <c r="TE88" i="6" s="1"/>
  <c r="TD88" i="6" a="1"/>
  <c r="TD88" i="6" s="1"/>
  <c r="SP88" i="6" a="1"/>
  <c r="SP88" i="6" s="1"/>
  <c r="SO88" i="6" a="1"/>
  <c r="SO88" i="6" s="1"/>
  <c r="SN88" i="6" a="1"/>
  <c r="SN88" i="6" s="1"/>
  <c r="SM88" i="6" a="1"/>
  <c r="SM88" i="6" s="1"/>
  <c r="SL88" i="6" a="1"/>
  <c r="SL88" i="6" s="1"/>
  <c r="RX88" i="6" a="1"/>
  <c r="RX88" i="6" s="1"/>
  <c r="RW88" i="6" a="1"/>
  <c r="RW88" i="6" s="1"/>
  <c r="RV88" i="6" a="1"/>
  <c r="RV88" i="6" s="1"/>
  <c r="RU88" i="6" a="1"/>
  <c r="RU88" i="6" s="1"/>
  <c r="RT88" i="6" a="1"/>
  <c r="RT88" i="6" s="1"/>
  <c r="RF88" i="6" a="1"/>
  <c r="RF88" i="6" s="1"/>
  <c r="RE88" i="6" a="1"/>
  <c r="RE88" i="6" s="1"/>
  <c r="RD88" i="6" a="1"/>
  <c r="RD88" i="6" s="1"/>
  <c r="RC88" i="6" a="1"/>
  <c r="RC88" i="6" s="1"/>
  <c r="RB88" i="6" a="1"/>
  <c r="RB88" i="6" s="1"/>
  <c r="QN88" i="6" a="1"/>
  <c r="QN88" i="6" s="1"/>
  <c r="QM88" i="6" a="1"/>
  <c r="QM88" i="6" s="1"/>
  <c r="QL88" i="6" a="1"/>
  <c r="QL88" i="6" s="1"/>
  <c r="QK88" i="6" a="1"/>
  <c r="QK88" i="6" s="1"/>
  <c r="QJ88" i="6" a="1"/>
  <c r="QJ88" i="6" s="1"/>
  <c r="PV88" i="6" a="1"/>
  <c r="PV88" i="6" s="1"/>
  <c r="PU88" i="6" a="1"/>
  <c r="PU88" i="6" s="1"/>
  <c r="PT88" i="6" a="1"/>
  <c r="PT88" i="6" s="1"/>
  <c r="PS88" i="6" a="1"/>
  <c r="PS88" i="6" s="1"/>
  <c r="PR88" i="6" a="1"/>
  <c r="PR88" i="6" s="1"/>
  <c r="PD88" i="6" a="1"/>
  <c r="PD88" i="6" s="1"/>
  <c r="PC88" i="6" a="1"/>
  <c r="PC88" i="6" s="1"/>
  <c r="PB88" i="6" a="1"/>
  <c r="PB88" i="6" s="1"/>
  <c r="PA88" i="6" a="1"/>
  <c r="PA88" i="6" s="1"/>
  <c r="OZ88" i="6" a="1"/>
  <c r="OZ88" i="6" s="1"/>
  <c r="OL88" i="6" a="1"/>
  <c r="OL88" i="6" s="1"/>
  <c r="OK88" i="6" a="1"/>
  <c r="OK88" i="6" s="1"/>
  <c r="OJ88" i="6" a="1"/>
  <c r="OJ88" i="6" s="1"/>
  <c r="OI88" i="6" a="1"/>
  <c r="OI88" i="6" s="1"/>
  <c r="OH88" i="6" a="1"/>
  <c r="OH88" i="6" s="1"/>
  <c r="NT88" i="6" a="1"/>
  <c r="NT88" i="6" s="1"/>
  <c r="NS88" i="6" a="1"/>
  <c r="NS88" i="6" s="1"/>
  <c r="NR88" i="6" a="1"/>
  <c r="NR88" i="6" s="1"/>
  <c r="NQ88" i="6" a="1"/>
  <c r="NQ88" i="6" s="1"/>
  <c r="NP88" i="6" a="1"/>
  <c r="NP88" i="6" s="1"/>
  <c r="NC88" i="6" a="1"/>
  <c r="NC88" i="6" s="1"/>
  <c r="NB88" i="6" a="1"/>
  <c r="NB88" i="6" s="1"/>
  <c r="NA88" i="6" a="1"/>
  <c r="NA88" i="6" s="1"/>
  <c r="MZ88" i="6" a="1"/>
  <c r="MZ88" i="6" s="1"/>
  <c r="MY88" i="6" a="1"/>
  <c r="MY88" i="6" s="1"/>
  <c r="MK88" i="6" a="1"/>
  <c r="MK88" i="6" s="1"/>
  <c r="MJ88" i="6" a="1"/>
  <c r="MJ88" i="6" s="1"/>
  <c r="MI88" i="6" a="1"/>
  <c r="MI88" i="6" s="1"/>
  <c r="MH88" i="6" a="1"/>
  <c r="MH88" i="6" s="1"/>
  <c r="MG88" i="6" a="1"/>
  <c r="MG88" i="6" s="1"/>
  <c r="LS88" i="6" a="1"/>
  <c r="LS88" i="6" s="1"/>
  <c r="LR88" i="6" a="1"/>
  <c r="LR88" i="6" s="1"/>
  <c r="LQ88" i="6" a="1"/>
  <c r="LQ88" i="6" s="1"/>
  <c r="LP88" i="6" a="1"/>
  <c r="LP88" i="6" s="1"/>
  <c r="LO88" i="6" a="1"/>
  <c r="LO88" i="6" s="1"/>
  <c r="LA88" i="6" a="1"/>
  <c r="LA88" i="6" s="1"/>
  <c r="KZ88" i="6" a="1"/>
  <c r="KZ88" i="6" s="1"/>
  <c r="KY88" i="6" a="1"/>
  <c r="KY88" i="6" s="1"/>
  <c r="KX88" i="6" a="1"/>
  <c r="KX88" i="6" s="1"/>
  <c r="KW88" i="6" a="1"/>
  <c r="KW88" i="6" s="1"/>
  <c r="KI88" i="6" a="1"/>
  <c r="KI88" i="6" s="1"/>
  <c r="KH88" i="6" a="1"/>
  <c r="KH88" i="6" s="1"/>
  <c r="KG88" i="6" a="1"/>
  <c r="KG88" i="6" s="1"/>
  <c r="KF88" i="6" a="1"/>
  <c r="KF88" i="6" s="1"/>
  <c r="KE88" i="6" a="1"/>
  <c r="KE88" i="6" s="1"/>
  <c r="JQ88" i="6" a="1"/>
  <c r="JQ88" i="6" s="1"/>
  <c r="JP88" i="6" a="1"/>
  <c r="JP88" i="6" s="1"/>
  <c r="JO88" i="6" a="1"/>
  <c r="JO88" i="6" s="1"/>
  <c r="JN88" i="6" a="1"/>
  <c r="JN88" i="6" s="1"/>
  <c r="JM88" i="6" a="1"/>
  <c r="JM88" i="6" s="1"/>
  <c r="IY88" i="6" a="1"/>
  <c r="IY88" i="6" s="1"/>
  <c r="IX88" i="6" a="1"/>
  <c r="IX88" i="6" s="1"/>
  <c r="IW88" i="6" a="1"/>
  <c r="IW88" i="6" s="1"/>
  <c r="IV88" i="6" a="1"/>
  <c r="IV88" i="6" s="1"/>
  <c r="IU88" i="6" a="1"/>
  <c r="IU88" i="6" s="1"/>
  <c r="IG88" i="6" a="1"/>
  <c r="IG88" i="6" s="1"/>
  <c r="IF88" i="6" a="1"/>
  <c r="IF88" i="6" s="1"/>
  <c r="IE88" i="6" a="1"/>
  <c r="IE88" i="6" s="1"/>
  <c r="ID88" i="6" a="1"/>
  <c r="ID88" i="6" s="1"/>
  <c r="IC88" i="6" a="1"/>
  <c r="IC88" i="6" s="1"/>
  <c r="HO88" i="6" a="1"/>
  <c r="HO88" i="6" s="1"/>
  <c r="HN88" i="6" a="1"/>
  <c r="HN88" i="6" s="1"/>
  <c r="HM88" i="6" a="1"/>
  <c r="HM88" i="6" s="1"/>
  <c r="HL88" i="6" a="1"/>
  <c r="HL88" i="6" s="1"/>
  <c r="HK88" i="6" a="1"/>
  <c r="HK88" i="6" s="1"/>
  <c r="GX88" i="6" a="1"/>
  <c r="GX88" i="6" s="1"/>
  <c r="GW88" i="6" a="1"/>
  <c r="GW88" i="6" s="1"/>
  <c r="GV88" i="6" a="1"/>
  <c r="GV88" i="6" s="1"/>
  <c r="GU88" i="6" a="1"/>
  <c r="GU88" i="6" s="1"/>
  <c r="GT88" i="6" a="1"/>
  <c r="GT88" i="6" s="1"/>
  <c r="GG88" i="6" a="1"/>
  <c r="GG88" i="6" s="1"/>
  <c r="GF88" i="6" a="1"/>
  <c r="GF88" i="6" s="1"/>
  <c r="GE88" i="6" a="1"/>
  <c r="GE88" i="6" s="1"/>
  <c r="GD88" i="6" a="1"/>
  <c r="GD88" i="6" s="1"/>
  <c r="GC88" i="6" a="1"/>
  <c r="GC88" i="6" s="1"/>
  <c r="FP88" i="6" a="1"/>
  <c r="FP88" i="6" s="1"/>
  <c r="FO88" i="6" a="1"/>
  <c r="FO88" i="6" s="1"/>
  <c r="FN88" i="6" a="1"/>
  <c r="FN88" i="6" s="1"/>
  <c r="FM88" i="6" a="1"/>
  <c r="FM88" i="6" s="1"/>
  <c r="FL88" i="6" a="1"/>
  <c r="FL88" i="6" s="1"/>
  <c r="EY88" i="6" a="1"/>
  <c r="EY88" i="6" s="1"/>
  <c r="EX88" i="6" a="1"/>
  <c r="EX88" i="6" s="1"/>
  <c r="EW88" i="6" a="1"/>
  <c r="EW88" i="6" s="1"/>
  <c r="EV88" i="6" a="1"/>
  <c r="EV88" i="6" s="1"/>
  <c r="EU88" i="6" a="1"/>
  <c r="EU88" i="6" s="1"/>
  <c r="EH88" i="6" a="1"/>
  <c r="EH88" i="6" s="1"/>
  <c r="EG88" i="6" a="1"/>
  <c r="EG88" i="6" s="1"/>
  <c r="EF88" i="6" a="1"/>
  <c r="EF88" i="6" s="1"/>
  <c r="EE88" i="6" a="1"/>
  <c r="EE88" i="6" s="1"/>
  <c r="ED88" i="6" a="1"/>
  <c r="ED88" i="6" s="1"/>
  <c r="DQ88" i="6" a="1"/>
  <c r="DQ88" i="6" s="1"/>
  <c r="DP88" i="6" a="1"/>
  <c r="DP88" i="6" s="1"/>
  <c r="DO88" i="6" a="1"/>
  <c r="DO88" i="6" s="1"/>
  <c r="DN88" i="6" a="1"/>
  <c r="DN88" i="6" s="1"/>
  <c r="DM88" i="6" a="1"/>
  <c r="DM88" i="6" s="1"/>
  <c r="DD88" i="6" a="1"/>
  <c r="DD88" i="6" s="1"/>
  <c r="CU88" i="6" a="1"/>
  <c r="CU88" i="6" s="1"/>
  <c r="CL88" i="6" a="1"/>
  <c r="CL88" i="6" s="1"/>
  <c r="BX88" i="6" a="1"/>
  <c r="BX88" i="6" s="1"/>
  <c r="BW88" i="6" a="1"/>
  <c r="BW88" i="6" s="1"/>
  <c r="BV88" i="6" a="1"/>
  <c r="BV88" i="6" s="1"/>
  <c r="BU88" i="6" a="1"/>
  <c r="BU88" i="6" s="1"/>
  <c r="BT88" i="6" a="1"/>
  <c r="BT88" i="6" s="1"/>
  <c r="BS88" i="6" a="1"/>
  <c r="BS88" i="6" s="1"/>
  <c r="BA88" i="6" a="1"/>
  <c r="BA88" i="6" s="1"/>
  <c r="AZ88" i="6" a="1"/>
  <c r="AZ88" i="6" s="1"/>
  <c r="AY88" i="6" a="1"/>
  <c r="AY88" i="6" s="1"/>
  <c r="AX88" i="6" a="1"/>
  <c r="AX88" i="6" s="1"/>
  <c r="AW88" i="6" a="1"/>
  <c r="AW88" i="6" s="1"/>
  <c r="AV88" i="6" a="1"/>
  <c r="AV88" i="6" s="1"/>
  <c r="AU88" i="6" a="1"/>
  <c r="AU88" i="6" s="1"/>
  <c r="AT88" i="6" a="1"/>
  <c r="AT88" i="6" s="1"/>
  <c r="AS88" i="6" a="1"/>
  <c r="AS88" i="6" s="1"/>
  <c r="AR88" i="6" a="1"/>
  <c r="AR88" i="6" s="1"/>
  <c r="AH88" i="6" a="1"/>
  <c r="AH88" i="6" s="1"/>
  <c r="AG88" i="6" a="1"/>
  <c r="AG88" i="6" s="1"/>
  <c r="V88" i="6" a="1"/>
  <c r="V88" i="6" s="1"/>
  <c r="U88" i="6" a="1"/>
  <c r="U88" i="6" s="1"/>
  <c r="J88" i="6" a="1"/>
  <c r="J88" i="6" s="1"/>
  <c r="I88" i="6" a="1"/>
  <c r="I88" i="6" s="1"/>
  <c r="ADA87" i="6" a="1"/>
  <c r="ADA87" i="6" s="1"/>
  <c r="ACZ87" i="6" a="1"/>
  <c r="ACZ87" i="6" s="1"/>
  <c r="ACY87" i="6" a="1"/>
  <c r="ACY87" i="6" s="1"/>
  <c r="ACN87" i="6" a="1"/>
  <c r="ACN87" i="6" s="1"/>
  <c r="ACM87" i="6" a="1"/>
  <c r="ACM87" i="6" s="1"/>
  <c r="ABU87" i="6" a="1"/>
  <c r="ABU87" i="6" s="1"/>
  <c r="ABX87" i="6" a="1"/>
  <c r="ABX87" i="6" s="1"/>
  <c r="ABV87" i="6" a="1"/>
  <c r="ABV87" i="6" s="1"/>
  <c r="ABH87" i="6" a="1"/>
  <c r="ABH87" i="6" s="1"/>
  <c r="ABG87" i="6" a="1"/>
  <c r="ABG87" i="6" s="1"/>
  <c r="ABF87" i="6" a="1"/>
  <c r="ABF87" i="6" s="1"/>
  <c r="ABE87" i="6" a="1"/>
  <c r="ABE87" i="6" s="1"/>
  <c r="ABD87" i="6" a="1"/>
  <c r="ABD87" i="6" s="1"/>
  <c r="ZR87" i="6" a="1"/>
  <c r="ZR87" i="6" s="1"/>
  <c r="ZE87" i="6" a="1"/>
  <c r="ZE87" i="6" s="1"/>
  <c r="ZD87" i="6" a="1"/>
  <c r="ZD87" i="6" s="1"/>
  <c r="ZC87" i="6" a="1"/>
  <c r="ZC87" i="6" s="1"/>
  <c r="ZB87" i="6" a="1"/>
  <c r="ZB87" i="6" s="1"/>
  <c r="ZA87" i="6" a="1"/>
  <c r="ZA87" i="6" s="1"/>
  <c r="YP87" i="6" a="1"/>
  <c r="YP87" i="6" s="1"/>
  <c r="YO87" i="6" a="1"/>
  <c r="YO87" i="6" s="1"/>
  <c r="YE87" i="6" a="1"/>
  <c r="YE87" i="6" s="1"/>
  <c r="YD87" i="6" a="1"/>
  <c r="YD87" i="6" s="1"/>
  <c r="XT87" i="6" a="1"/>
  <c r="XT87" i="6" s="1"/>
  <c r="XS87" i="6" a="1"/>
  <c r="XS87" i="6" s="1"/>
  <c r="XI87" i="6" a="1"/>
  <c r="XI87" i="6" s="1"/>
  <c r="XH87" i="6" a="1"/>
  <c r="XH87" i="6" s="1"/>
  <c r="WX87" i="6" a="1"/>
  <c r="WX87" i="6" s="1"/>
  <c r="WW87" i="6" a="1"/>
  <c r="WW87" i="6" s="1"/>
  <c r="WM87" i="6" a="1"/>
  <c r="WM87" i="6" s="1"/>
  <c r="WL87" i="6" a="1"/>
  <c r="WL87" i="6" s="1"/>
  <c r="WC87" i="6" a="1"/>
  <c r="WC87" i="6" s="1"/>
  <c r="VQ87" i="6" a="1"/>
  <c r="VQ87" i="6" s="1"/>
  <c r="VP87" i="6" a="1"/>
  <c r="VP87" i="6" s="1"/>
  <c r="VO87" i="6" a="1"/>
  <c r="VO87" i="6" s="1"/>
  <c r="VN87" i="6" a="1"/>
  <c r="VN87" i="6" s="1"/>
  <c r="VA87" i="6" a="1"/>
  <c r="VA87" i="6" s="1"/>
  <c r="UZ87" i="6" a="1"/>
  <c r="UZ87" i="6" s="1"/>
  <c r="UY87" i="6" a="1"/>
  <c r="UY87" i="6" s="1"/>
  <c r="UX87" i="6" a="1"/>
  <c r="UX87" i="6" s="1"/>
  <c r="UW87" i="6" a="1"/>
  <c r="UW87" i="6" s="1"/>
  <c r="UM87" i="6" a="1"/>
  <c r="UM87" i="6" s="1"/>
  <c r="TZ87" i="6" a="1"/>
  <c r="TZ87" i="6" s="1"/>
  <c r="TY87" i="6" a="1"/>
  <c r="TY87" i="6" s="1"/>
  <c r="TX87" i="6" a="1"/>
  <c r="TX87" i="6" s="1"/>
  <c r="TW87" i="6" a="1"/>
  <c r="TW87" i="6" s="1"/>
  <c r="TV87" i="6" a="1"/>
  <c r="TV87" i="6" s="1"/>
  <c r="TH87" i="6" a="1"/>
  <c r="TH87" i="6" s="1"/>
  <c r="TG87" i="6" a="1"/>
  <c r="TG87" i="6" s="1"/>
  <c r="TF87" i="6" a="1"/>
  <c r="TF87" i="6" s="1"/>
  <c r="TE87" i="6" a="1"/>
  <c r="TE87" i="6" s="1"/>
  <c r="TD87" i="6" a="1"/>
  <c r="TD87" i="6" s="1"/>
  <c r="SP87" i="6" a="1"/>
  <c r="SP87" i="6" s="1"/>
  <c r="SO87" i="6" a="1"/>
  <c r="SO87" i="6" s="1"/>
  <c r="SN87" i="6" a="1"/>
  <c r="SN87" i="6" s="1"/>
  <c r="SM87" i="6" a="1"/>
  <c r="SM87" i="6" s="1"/>
  <c r="SL87" i="6" a="1"/>
  <c r="SL87" i="6" s="1"/>
  <c r="RX87" i="6" a="1"/>
  <c r="RX87" i="6" s="1"/>
  <c r="RW87" i="6" a="1"/>
  <c r="RW87" i="6" s="1"/>
  <c r="RV87" i="6" a="1"/>
  <c r="RV87" i="6" s="1"/>
  <c r="RU87" i="6" a="1"/>
  <c r="RU87" i="6" s="1"/>
  <c r="RT87" i="6" a="1"/>
  <c r="RT87" i="6" s="1"/>
  <c r="RF87" i="6" a="1"/>
  <c r="RF87" i="6" s="1"/>
  <c r="RE87" i="6" a="1"/>
  <c r="RE87" i="6" s="1"/>
  <c r="RD87" i="6" a="1"/>
  <c r="RD87" i="6" s="1"/>
  <c r="RC87" i="6" a="1"/>
  <c r="RC87" i="6" s="1"/>
  <c r="RB87" i="6" a="1"/>
  <c r="RB87" i="6" s="1"/>
  <c r="QN87" i="6" a="1"/>
  <c r="QN87" i="6" s="1"/>
  <c r="QM87" i="6" a="1"/>
  <c r="QM87" i="6" s="1"/>
  <c r="QL87" i="6" a="1"/>
  <c r="QL87" i="6" s="1"/>
  <c r="QK87" i="6" a="1"/>
  <c r="QK87" i="6" s="1"/>
  <c r="QJ87" i="6" a="1"/>
  <c r="QJ87" i="6" s="1"/>
  <c r="PV87" i="6" a="1"/>
  <c r="PV87" i="6" s="1"/>
  <c r="PU87" i="6" a="1"/>
  <c r="PU87" i="6" s="1"/>
  <c r="PT87" i="6" a="1"/>
  <c r="PT87" i="6" s="1"/>
  <c r="PS87" i="6" a="1"/>
  <c r="PS87" i="6" s="1"/>
  <c r="PR87" i="6" a="1"/>
  <c r="PR87" i="6" s="1"/>
  <c r="PD87" i="6" a="1"/>
  <c r="PD87" i="6" s="1"/>
  <c r="PC87" i="6" a="1"/>
  <c r="PC87" i="6" s="1"/>
  <c r="PB87" i="6" a="1"/>
  <c r="PB87" i="6" s="1"/>
  <c r="PA87" i="6" a="1"/>
  <c r="PA87" i="6" s="1"/>
  <c r="OZ87" i="6" a="1"/>
  <c r="OZ87" i="6" s="1"/>
  <c r="OL87" i="6" a="1"/>
  <c r="OL87" i="6" s="1"/>
  <c r="OK87" i="6" a="1"/>
  <c r="OK87" i="6" s="1"/>
  <c r="OJ87" i="6" a="1"/>
  <c r="OJ87" i="6" s="1"/>
  <c r="OI87" i="6" a="1"/>
  <c r="OI87" i="6" s="1"/>
  <c r="OH87" i="6" a="1"/>
  <c r="OH87" i="6" s="1"/>
  <c r="NT87" i="6" a="1"/>
  <c r="NT87" i="6" s="1"/>
  <c r="NS87" i="6" a="1"/>
  <c r="NS87" i="6" s="1"/>
  <c r="NR87" i="6" a="1"/>
  <c r="NR87" i="6" s="1"/>
  <c r="NQ87" i="6" a="1"/>
  <c r="NQ87" i="6" s="1"/>
  <c r="NP87" i="6" a="1"/>
  <c r="NP87" i="6" s="1"/>
  <c r="NC87" i="6" a="1"/>
  <c r="NC87" i="6" s="1"/>
  <c r="NB87" i="6" a="1"/>
  <c r="NB87" i="6" s="1"/>
  <c r="NA87" i="6" a="1"/>
  <c r="NA87" i="6" s="1"/>
  <c r="MZ87" i="6" a="1"/>
  <c r="MZ87" i="6" s="1"/>
  <c r="MY87" i="6" a="1"/>
  <c r="MY87" i="6" s="1"/>
  <c r="MK87" i="6" a="1"/>
  <c r="MK87" i="6" s="1"/>
  <c r="MJ87" i="6" a="1"/>
  <c r="MJ87" i="6" s="1"/>
  <c r="MI87" i="6" a="1"/>
  <c r="MI87" i="6" s="1"/>
  <c r="MH87" i="6" a="1"/>
  <c r="MH87" i="6" s="1"/>
  <c r="MG87" i="6" a="1"/>
  <c r="MG87" i="6" s="1"/>
  <c r="LS87" i="6" a="1"/>
  <c r="LS87" i="6" s="1"/>
  <c r="LR87" i="6" a="1"/>
  <c r="LR87" i="6" s="1"/>
  <c r="LQ87" i="6" a="1"/>
  <c r="LQ87" i="6" s="1"/>
  <c r="LP87" i="6" a="1"/>
  <c r="LP87" i="6" s="1"/>
  <c r="LO87" i="6" a="1"/>
  <c r="LO87" i="6" s="1"/>
  <c r="LA87" i="6" a="1"/>
  <c r="LA87" i="6" s="1"/>
  <c r="KZ87" i="6" a="1"/>
  <c r="KZ87" i="6" s="1"/>
  <c r="KY87" i="6" a="1"/>
  <c r="KY87" i="6" s="1"/>
  <c r="KX87" i="6" a="1"/>
  <c r="KX87" i="6" s="1"/>
  <c r="KW87" i="6" a="1"/>
  <c r="KW87" i="6" s="1"/>
  <c r="KI87" i="6" a="1"/>
  <c r="KI87" i="6" s="1"/>
  <c r="KH87" i="6" a="1"/>
  <c r="KH87" i="6" s="1"/>
  <c r="KG87" i="6" a="1"/>
  <c r="KG87" i="6" s="1"/>
  <c r="KF87" i="6" a="1"/>
  <c r="KF87" i="6" s="1"/>
  <c r="KE87" i="6" a="1"/>
  <c r="KE87" i="6" s="1"/>
  <c r="JQ87" i="6" a="1"/>
  <c r="JQ87" i="6" s="1"/>
  <c r="JP87" i="6" a="1"/>
  <c r="JP87" i="6" s="1"/>
  <c r="JO87" i="6" a="1"/>
  <c r="JO87" i="6" s="1"/>
  <c r="JN87" i="6" a="1"/>
  <c r="JN87" i="6" s="1"/>
  <c r="JM87" i="6" a="1"/>
  <c r="JM87" i="6" s="1"/>
  <c r="IY87" i="6" a="1"/>
  <c r="IY87" i="6" s="1"/>
  <c r="IX87" i="6" a="1"/>
  <c r="IX87" i="6" s="1"/>
  <c r="IW87" i="6" a="1"/>
  <c r="IW87" i="6" s="1"/>
  <c r="IV87" i="6" a="1"/>
  <c r="IV87" i="6" s="1"/>
  <c r="IU87" i="6" a="1"/>
  <c r="IU87" i="6" s="1"/>
  <c r="IG87" i="6" a="1"/>
  <c r="IG87" i="6" s="1"/>
  <c r="IF87" i="6" a="1"/>
  <c r="IF87" i="6" s="1"/>
  <c r="IE87" i="6" a="1"/>
  <c r="IE87" i="6" s="1"/>
  <c r="ID87" i="6" a="1"/>
  <c r="ID87" i="6" s="1"/>
  <c r="IC87" i="6" a="1"/>
  <c r="IC87" i="6" s="1"/>
  <c r="HO87" i="6" a="1"/>
  <c r="HO87" i="6" s="1"/>
  <c r="HN87" i="6" a="1"/>
  <c r="HN87" i="6" s="1"/>
  <c r="HM87" i="6" a="1"/>
  <c r="HM87" i="6" s="1"/>
  <c r="HL87" i="6" a="1"/>
  <c r="HL87" i="6" s="1"/>
  <c r="HK87" i="6" a="1"/>
  <c r="HK87" i="6" s="1"/>
  <c r="GX87" i="6" a="1"/>
  <c r="GX87" i="6" s="1"/>
  <c r="GW87" i="6" a="1"/>
  <c r="GW87" i="6" s="1"/>
  <c r="GV87" i="6" a="1"/>
  <c r="GV87" i="6" s="1"/>
  <c r="GU87" i="6" a="1"/>
  <c r="GU87" i="6" s="1"/>
  <c r="GT87" i="6" a="1"/>
  <c r="GT87" i="6" s="1"/>
  <c r="GG87" i="6" a="1"/>
  <c r="GG87" i="6" s="1"/>
  <c r="GF87" i="6" a="1"/>
  <c r="GF87" i="6" s="1"/>
  <c r="GE87" i="6" a="1"/>
  <c r="GE87" i="6" s="1"/>
  <c r="GD87" i="6" a="1"/>
  <c r="GD87" i="6" s="1"/>
  <c r="GC87" i="6" a="1"/>
  <c r="GC87" i="6" s="1"/>
  <c r="FP87" i="6" a="1"/>
  <c r="FP87" i="6" s="1"/>
  <c r="FO87" i="6" a="1"/>
  <c r="FO87" i="6" s="1"/>
  <c r="FN87" i="6" a="1"/>
  <c r="FN87" i="6" s="1"/>
  <c r="FM87" i="6" a="1"/>
  <c r="FM87" i="6" s="1"/>
  <c r="FL87" i="6" a="1"/>
  <c r="FL87" i="6" s="1"/>
  <c r="EY87" i="6" a="1"/>
  <c r="EY87" i="6" s="1"/>
  <c r="EX87" i="6" a="1"/>
  <c r="EX87" i="6" s="1"/>
  <c r="EW87" i="6" a="1"/>
  <c r="EW87" i="6" s="1"/>
  <c r="EV87" i="6" a="1"/>
  <c r="EV87" i="6" s="1"/>
  <c r="EU87" i="6" a="1"/>
  <c r="EU87" i="6" s="1"/>
  <c r="EH87" i="6" a="1"/>
  <c r="EH87" i="6" s="1"/>
  <c r="EG87" i="6" a="1"/>
  <c r="EG87" i="6" s="1"/>
  <c r="EF87" i="6" a="1"/>
  <c r="EF87" i="6" s="1"/>
  <c r="EE87" i="6" a="1"/>
  <c r="EE87" i="6" s="1"/>
  <c r="ED87" i="6" a="1"/>
  <c r="ED87" i="6" s="1"/>
  <c r="DQ87" i="6" a="1"/>
  <c r="DQ87" i="6" s="1"/>
  <c r="DP87" i="6" a="1"/>
  <c r="DP87" i="6" s="1"/>
  <c r="DO87" i="6" a="1"/>
  <c r="DO87" i="6" s="1"/>
  <c r="DN87" i="6" a="1"/>
  <c r="DN87" i="6" s="1"/>
  <c r="DM87" i="6" a="1"/>
  <c r="DM87" i="6" s="1"/>
  <c r="DD87" i="6" a="1"/>
  <c r="DD87" i="6" s="1"/>
  <c r="CU87" i="6" a="1"/>
  <c r="CU87" i="6" s="1"/>
  <c r="CL87" i="6" a="1"/>
  <c r="CL87" i="6" s="1"/>
  <c r="BX87" i="6" a="1"/>
  <c r="BX87" i="6" s="1"/>
  <c r="BW87" i="6" a="1"/>
  <c r="BW87" i="6" s="1"/>
  <c r="BV87" i="6" a="1"/>
  <c r="BV87" i="6" s="1"/>
  <c r="BU87" i="6" a="1"/>
  <c r="BU87" i="6" s="1"/>
  <c r="BT87" i="6" a="1"/>
  <c r="BT87" i="6" s="1"/>
  <c r="BS87" i="6" a="1"/>
  <c r="BS87" i="6" s="1"/>
  <c r="BA87" i="6" a="1"/>
  <c r="BA87" i="6" s="1"/>
  <c r="AZ87" i="6" a="1"/>
  <c r="AZ87" i="6" s="1"/>
  <c r="AY87" i="6" a="1"/>
  <c r="AY87" i="6" s="1"/>
  <c r="AX87" i="6" a="1"/>
  <c r="AX87" i="6" s="1"/>
  <c r="AW87" i="6" a="1"/>
  <c r="AW87" i="6" s="1"/>
  <c r="AV87" i="6" a="1"/>
  <c r="AV87" i="6" s="1"/>
  <c r="AU87" i="6" a="1"/>
  <c r="AU87" i="6" s="1"/>
  <c r="AT87" i="6" a="1"/>
  <c r="AT87" i="6" s="1"/>
  <c r="AS87" i="6" a="1"/>
  <c r="AS87" i="6" s="1"/>
  <c r="AR87" i="6" a="1"/>
  <c r="AR87" i="6" s="1"/>
  <c r="AH87" i="6" a="1"/>
  <c r="AH87" i="6" s="1"/>
  <c r="AG87" i="6" a="1"/>
  <c r="AG87" i="6" s="1"/>
  <c r="V87" i="6" a="1"/>
  <c r="V87" i="6" s="1"/>
  <c r="U87" i="6" a="1"/>
  <c r="U87" i="6" s="1"/>
  <c r="J87" i="6" a="1"/>
  <c r="J87" i="6" s="1"/>
  <c r="I87" i="6" a="1"/>
  <c r="I87" i="6" s="1"/>
  <c r="ADA86" i="6" a="1"/>
  <c r="ADA86" i="6" s="1"/>
  <c r="ACZ86" i="6" a="1"/>
  <c r="ACZ86" i="6" s="1"/>
  <c r="ACY86" i="6" a="1"/>
  <c r="ACY86" i="6" s="1"/>
  <c r="ACN86" i="6" a="1"/>
  <c r="ACN86" i="6" s="1"/>
  <c r="ACM86" i="6" a="1"/>
  <c r="ACM86" i="6" s="1"/>
  <c r="ABU86" i="6" a="1"/>
  <c r="ABU86" i="6" s="1"/>
  <c r="ABX86" i="6" a="1"/>
  <c r="ABX86" i="6" s="1"/>
  <c r="ABV86" i="6" a="1"/>
  <c r="ABV86" i="6" s="1"/>
  <c r="ABH86" i="6" a="1"/>
  <c r="ABH86" i="6" s="1"/>
  <c r="ABG86" i="6" a="1"/>
  <c r="ABG86" i="6" s="1"/>
  <c r="ABF86" i="6" a="1"/>
  <c r="ABF86" i="6" s="1"/>
  <c r="ABE86" i="6" a="1"/>
  <c r="ABE86" i="6" s="1"/>
  <c r="ABD86" i="6" a="1"/>
  <c r="ABD86" i="6" s="1"/>
  <c r="ZR86" i="6" a="1"/>
  <c r="ZR86" i="6" s="1"/>
  <c r="ZE86" i="6" a="1"/>
  <c r="ZE86" i="6" s="1"/>
  <c r="ZD86" i="6" a="1"/>
  <c r="ZD86" i="6" s="1"/>
  <c r="ZC86" i="6" a="1"/>
  <c r="ZC86" i="6" s="1"/>
  <c r="ZB86" i="6" a="1"/>
  <c r="ZB86" i="6" s="1"/>
  <c r="ZA86" i="6" a="1"/>
  <c r="ZA86" i="6" s="1"/>
  <c r="YP86" i="6" a="1"/>
  <c r="YP86" i="6" s="1"/>
  <c r="YO86" i="6" a="1"/>
  <c r="YO86" i="6" s="1"/>
  <c r="YE86" i="6" a="1"/>
  <c r="YE86" i="6" s="1"/>
  <c r="YD86" i="6" a="1"/>
  <c r="YD86" i="6" s="1"/>
  <c r="XT86" i="6" a="1"/>
  <c r="XT86" i="6" s="1"/>
  <c r="XS86" i="6" a="1"/>
  <c r="XS86" i="6" s="1"/>
  <c r="XI86" i="6" a="1"/>
  <c r="XI86" i="6" s="1"/>
  <c r="XH86" i="6" a="1"/>
  <c r="XH86" i="6" s="1"/>
  <c r="WX86" i="6" a="1"/>
  <c r="WX86" i="6" s="1"/>
  <c r="WW86" i="6" a="1"/>
  <c r="WW86" i="6" s="1"/>
  <c r="WM86" i="6" a="1"/>
  <c r="WM86" i="6" s="1"/>
  <c r="WL86" i="6" a="1"/>
  <c r="WL86" i="6" s="1"/>
  <c r="WC86" i="6" a="1"/>
  <c r="WC86" i="6" s="1"/>
  <c r="VQ86" i="6" a="1"/>
  <c r="VQ86" i="6" s="1"/>
  <c r="VP86" i="6" a="1"/>
  <c r="VP86" i="6" s="1"/>
  <c r="VO86" i="6" a="1"/>
  <c r="VO86" i="6" s="1"/>
  <c r="VN86" i="6" a="1"/>
  <c r="VN86" i="6" s="1"/>
  <c r="VA86" i="6" a="1"/>
  <c r="VA86" i="6" s="1"/>
  <c r="UZ86" i="6" a="1"/>
  <c r="UZ86" i="6" s="1"/>
  <c r="UY86" i="6" a="1"/>
  <c r="UY86" i="6" s="1"/>
  <c r="UX86" i="6" a="1"/>
  <c r="UX86" i="6" s="1"/>
  <c r="UW86" i="6" a="1"/>
  <c r="UW86" i="6" s="1"/>
  <c r="UM86" i="6" a="1"/>
  <c r="UM86" i="6" s="1"/>
  <c r="TZ86" i="6" a="1"/>
  <c r="TZ86" i="6" s="1"/>
  <c r="TY86" i="6" a="1"/>
  <c r="TY86" i="6" s="1"/>
  <c r="TX86" i="6" a="1"/>
  <c r="TX86" i="6" s="1"/>
  <c r="TW86" i="6" a="1"/>
  <c r="TW86" i="6" s="1"/>
  <c r="TV86" i="6" a="1"/>
  <c r="TV86" i="6" s="1"/>
  <c r="TH86" i="6" a="1"/>
  <c r="TH86" i="6" s="1"/>
  <c r="TG86" i="6" a="1"/>
  <c r="TG86" i="6" s="1"/>
  <c r="TF86" i="6" a="1"/>
  <c r="TF86" i="6" s="1"/>
  <c r="TE86" i="6" a="1"/>
  <c r="TE86" i="6" s="1"/>
  <c r="TD86" i="6" a="1"/>
  <c r="TD86" i="6" s="1"/>
  <c r="SP86" i="6" a="1"/>
  <c r="SP86" i="6" s="1"/>
  <c r="SO86" i="6" a="1"/>
  <c r="SO86" i="6" s="1"/>
  <c r="SN86" i="6" a="1"/>
  <c r="SN86" i="6" s="1"/>
  <c r="SM86" i="6" a="1"/>
  <c r="SM86" i="6" s="1"/>
  <c r="SL86" i="6" a="1"/>
  <c r="SL86" i="6" s="1"/>
  <c r="RX86" i="6" a="1"/>
  <c r="RX86" i="6" s="1"/>
  <c r="RW86" i="6" a="1"/>
  <c r="RW86" i="6" s="1"/>
  <c r="RV86" i="6" a="1"/>
  <c r="RV86" i="6" s="1"/>
  <c r="RU86" i="6" a="1"/>
  <c r="RU86" i="6" s="1"/>
  <c r="RT86" i="6" a="1"/>
  <c r="RT86" i="6" s="1"/>
  <c r="RF86" i="6" a="1"/>
  <c r="RF86" i="6" s="1"/>
  <c r="RE86" i="6" a="1"/>
  <c r="RE86" i="6" s="1"/>
  <c r="RD86" i="6" a="1"/>
  <c r="RD86" i="6" s="1"/>
  <c r="RC86" i="6" a="1"/>
  <c r="RC86" i="6" s="1"/>
  <c r="RB86" i="6" a="1"/>
  <c r="RB86" i="6" s="1"/>
  <c r="QN86" i="6" a="1"/>
  <c r="QN86" i="6" s="1"/>
  <c r="QM86" i="6" a="1"/>
  <c r="QM86" i="6" s="1"/>
  <c r="QL86" i="6" a="1"/>
  <c r="QL86" i="6" s="1"/>
  <c r="QK86" i="6" a="1"/>
  <c r="QK86" i="6" s="1"/>
  <c r="QJ86" i="6" a="1"/>
  <c r="QJ86" i="6" s="1"/>
  <c r="PV86" i="6" a="1"/>
  <c r="PV86" i="6" s="1"/>
  <c r="PU86" i="6" a="1"/>
  <c r="PU86" i="6" s="1"/>
  <c r="PT86" i="6" a="1"/>
  <c r="PT86" i="6" s="1"/>
  <c r="PS86" i="6" a="1"/>
  <c r="PS86" i="6" s="1"/>
  <c r="PR86" i="6" a="1"/>
  <c r="PR86" i="6" s="1"/>
  <c r="PD86" i="6" a="1"/>
  <c r="PD86" i="6" s="1"/>
  <c r="PC86" i="6" a="1"/>
  <c r="PC86" i="6" s="1"/>
  <c r="PB86" i="6" a="1"/>
  <c r="PB86" i="6" s="1"/>
  <c r="PA86" i="6" a="1"/>
  <c r="PA86" i="6" s="1"/>
  <c r="OZ86" i="6" a="1"/>
  <c r="OZ86" i="6" s="1"/>
  <c r="OL86" i="6" a="1"/>
  <c r="OL86" i="6" s="1"/>
  <c r="OK86" i="6" a="1"/>
  <c r="OK86" i="6" s="1"/>
  <c r="OJ86" i="6" a="1"/>
  <c r="OJ86" i="6" s="1"/>
  <c r="OI86" i="6" a="1"/>
  <c r="OI86" i="6" s="1"/>
  <c r="OH86" i="6" a="1"/>
  <c r="OH86" i="6" s="1"/>
  <c r="NT86" i="6" a="1"/>
  <c r="NT86" i="6" s="1"/>
  <c r="NS86" i="6" a="1"/>
  <c r="NS86" i="6" s="1"/>
  <c r="NR86" i="6" a="1"/>
  <c r="NR86" i="6" s="1"/>
  <c r="NQ86" i="6" a="1"/>
  <c r="NQ86" i="6" s="1"/>
  <c r="NP86" i="6" a="1"/>
  <c r="NP86" i="6" s="1"/>
  <c r="NC86" i="6" a="1"/>
  <c r="NC86" i="6" s="1"/>
  <c r="NB86" i="6" a="1"/>
  <c r="NB86" i="6" s="1"/>
  <c r="NA86" i="6" a="1"/>
  <c r="NA86" i="6" s="1"/>
  <c r="MZ86" i="6" a="1"/>
  <c r="MZ86" i="6" s="1"/>
  <c r="MY86" i="6" a="1"/>
  <c r="MY86" i="6" s="1"/>
  <c r="MK86" i="6" a="1"/>
  <c r="MK86" i="6" s="1"/>
  <c r="MJ86" i="6" a="1"/>
  <c r="MJ86" i="6" s="1"/>
  <c r="MI86" i="6" a="1"/>
  <c r="MI86" i="6" s="1"/>
  <c r="MH86" i="6" a="1"/>
  <c r="MH86" i="6" s="1"/>
  <c r="MG86" i="6" a="1"/>
  <c r="MG86" i="6" s="1"/>
  <c r="LS86" i="6" a="1"/>
  <c r="LS86" i="6" s="1"/>
  <c r="LR86" i="6" a="1"/>
  <c r="LR86" i="6" s="1"/>
  <c r="LQ86" i="6" a="1"/>
  <c r="LQ86" i="6" s="1"/>
  <c r="LP86" i="6" a="1"/>
  <c r="LP86" i="6" s="1"/>
  <c r="LO86" i="6" a="1"/>
  <c r="LO86" i="6" s="1"/>
  <c r="LA86" i="6" a="1"/>
  <c r="LA86" i="6" s="1"/>
  <c r="KZ86" i="6" a="1"/>
  <c r="KZ86" i="6" s="1"/>
  <c r="KY86" i="6" a="1"/>
  <c r="KY86" i="6" s="1"/>
  <c r="KX86" i="6" a="1"/>
  <c r="KX86" i="6" s="1"/>
  <c r="KW86" i="6" a="1"/>
  <c r="KW86" i="6" s="1"/>
  <c r="KI86" i="6" a="1"/>
  <c r="KI86" i="6" s="1"/>
  <c r="KH86" i="6" a="1"/>
  <c r="KH86" i="6" s="1"/>
  <c r="KG86" i="6" a="1"/>
  <c r="KG86" i="6" s="1"/>
  <c r="KF86" i="6" a="1"/>
  <c r="KF86" i="6" s="1"/>
  <c r="KE86" i="6" a="1"/>
  <c r="KE86" i="6" s="1"/>
  <c r="JQ86" i="6" a="1"/>
  <c r="JQ86" i="6" s="1"/>
  <c r="JP86" i="6" a="1"/>
  <c r="JP86" i="6" s="1"/>
  <c r="JO86" i="6" a="1"/>
  <c r="JO86" i="6" s="1"/>
  <c r="JN86" i="6" a="1"/>
  <c r="JN86" i="6" s="1"/>
  <c r="JM86" i="6" a="1"/>
  <c r="JM86" i="6" s="1"/>
  <c r="IY86" i="6" a="1"/>
  <c r="IY86" i="6" s="1"/>
  <c r="IX86" i="6" a="1"/>
  <c r="IX86" i="6" s="1"/>
  <c r="IW86" i="6" a="1"/>
  <c r="IW86" i="6" s="1"/>
  <c r="IV86" i="6" a="1"/>
  <c r="IV86" i="6" s="1"/>
  <c r="IU86" i="6" a="1"/>
  <c r="IU86" i="6" s="1"/>
  <c r="IG86" i="6" a="1"/>
  <c r="IG86" i="6" s="1"/>
  <c r="IF86" i="6" a="1"/>
  <c r="IF86" i="6" s="1"/>
  <c r="IE86" i="6" a="1"/>
  <c r="IE86" i="6" s="1"/>
  <c r="ID86" i="6" a="1"/>
  <c r="ID86" i="6" s="1"/>
  <c r="IC86" i="6" a="1"/>
  <c r="IC86" i="6" s="1"/>
  <c r="HO86" i="6" a="1"/>
  <c r="HO86" i="6" s="1"/>
  <c r="HN86" i="6" a="1"/>
  <c r="HN86" i="6" s="1"/>
  <c r="HM86" i="6" a="1"/>
  <c r="HM86" i="6" s="1"/>
  <c r="HL86" i="6" a="1"/>
  <c r="HL86" i="6" s="1"/>
  <c r="HK86" i="6" a="1"/>
  <c r="HK86" i="6" s="1"/>
  <c r="GX86" i="6" a="1"/>
  <c r="GX86" i="6" s="1"/>
  <c r="GW86" i="6" a="1"/>
  <c r="GW86" i="6" s="1"/>
  <c r="GV86" i="6" a="1"/>
  <c r="GV86" i="6" s="1"/>
  <c r="GU86" i="6" a="1"/>
  <c r="GU86" i="6" s="1"/>
  <c r="GT86" i="6" a="1"/>
  <c r="GT86" i="6" s="1"/>
  <c r="GG86" i="6" a="1"/>
  <c r="GG86" i="6" s="1"/>
  <c r="GF86" i="6" a="1"/>
  <c r="GF86" i="6" s="1"/>
  <c r="GE86" i="6" a="1"/>
  <c r="GE86" i="6" s="1"/>
  <c r="GD86" i="6" a="1"/>
  <c r="GD86" i="6" s="1"/>
  <c r="GC86" i="6" a="1"/>
  <c r="GC86" i="6" s="1"/>
  <c r="FP86" i="6" a="1"/>
  <c r="FP86" i="6" s="1"/>
  <c r="FO86" i="6" a="1"/>
  <c r="FO86" i="6" s="1"/>
  <c r="FN86" i="6" a="1"/>
  <c r="FN86" i="6" s="1"/>
  <c r="FM86" i="6" a="1"/>
  <c r="FM86" i="6" s="1"/>
  <c r="FL86" i="6" a="1"/>
  <c r="FL86" i="6" s="1"/>
  <c r="EY86" i="6" a="1"/>
  <c r="EY86" i="6" s="1"/>
  <c r="EX86" i="6" a="1"/>
  <c r="EX86" i="6" s="1"/>
  <c r="EW86" i="6" a="1"/>
  <c r="EW86" i="6" s="1"/>
  <c r="EV86" i="6" a="1"/>
  <c r="EV86" i="6" s="1"/>
  <c r="EU86" i="6" a="1"/>
  <c r="EU86" i="6" s="1"/>
  <c r="EH86" i="6" a="1"/>
  <c r="EH86" i="6" s="1"/>
  <c r="EG86" i="6" a="1"/>
  <c r="EG86" i="6" s="1"/>
  <c r="EF86" i="6" a="1"/>
  <c r="EF86" i="6" s="1"/>
  <c r="EE86" i="6" a="1"/>
  <c r="EE86" i="6" s="1"/>
  <c r="ED86" i="6" a="1"/>
  <c r="ED86" i="6" s="1"/>
  <c r="DQ86" i="6" a="1"/>
  <c r="DQ86" i="6" s="1"/>
  <c r="DP86" i="6" a="1"/>
  <c r="DP86" i="6" s="1"/>
  <c r="DO86" i="6" a="1"/>
  <c r="DO86" i="6" s="1"/>
  <c r="DN86" i="6" a="1"/>
  <c r="DN86" i="6" s="1"/>
  <c r="DM86" i="6" a="1"/>
  <c r="DM86" i="6" s="1"/>
  <c r="DD86" i="6" a="1"/>
  <c r="DD86" i="6" s="1"/>
  <c r="CU86" i="6" a="1"/>
  <c r="CU86" i="6" s="1"/>
  <c r="CL86" i="6" a="1"/>
  <c r="CL86" i="6" s="1"/>
  <c r="BX86" i="6" a="1"/>
  <c r="BX86" i="6" s="1"/>
  <c r="BW86" i="6" a="1"/>
  <c r="BW86" i="6" s="1"/>
  <c r="BV86" i="6" a="1"/>
  <c r="BV86" i="6" s="1"/>
  <c r="BU86" i="6" a="1"/>
  <c r="BU86" i="6" s="1"/>
  <c r="BT86" i="6" a="1"/>
  <c r="BT86" i="6" s="1"/>
  <c r="BS86" i="6" a="1"/>
  <c r="BS86" i="6" s="1"/>
  <c r="BA86" i="6" a="1"/>
  <c r="BA86" i="6" s="1"/>
  <c r="AZ86" i="6" a="1"/>
  <c r="AZ86" i="6" s="1"/>
  <c r="AY86" i="6" a="1"/>
  <c r="AY86" i="6" s="1"/>
  <c r="AX86" i="6" a="1"/>
  <c r="AX86" i="6" s="1"/>
  <c r="AW86" i="6" a="1"/>
  <c r="AW86" i="6" s="1"/>
  <c r="AV86" i="6" a="1"/>
  <c r="AV86" i="6" s="1"/>
  <c r="AU86" i="6" a="1"/>
  <c r="AU86" i="6" s="1"/>
  <c r="AT86" i="6" a="1"/>
  <c r="AT86" i="6" s="1"/>
  <c r="AS86" i="6" a="1"/>
  <c r="AS86" i="6" s="1"/>
  <c r="AR86" i="6" a="1"/>
  <c r="AR86" i="6" s="1"/>
  <c r="AH86" i="6" a="1"/>
  <c r="AH86" i="6" s="1"/>
  <c r="AG86" i="6" a="1"/>
  <c r="AG86" i="6" s="1"/>
  <c r="V86" i="6" a="1"/>
  <c r="V86" i="6" s="1"/>
  <c r="U86" i="6" a="1"/>
  <c r="U86" i="6" s="1"/>
  <c r="J86" i="6" a="1"/>
  <c r="J86" i="6" s="1"/>
  <c r="I86" i="6" a="1"/>
  <c r="I86" i="6" s="1"/>
  <c r="ADA85" i="6" a="1"/>
  <c r="ADA85" i="6" s="1"/>
  <c r="ACZ85" i="6" a="1"/>
  <c r="ACZ85" i="6" s="1"/>
  <c r="ACY85" i="6" a="1"/>
  <c r="ACY85" i="6" s="1"/>
  <c r="ACN85" i="6" a="1"/>
  <c r="ACN85" i="6" s="1"/>
  <c r="ACM85" i="6" a="1"/>
  <c r="ACM85" i="6" s="1"/>
  <c r="ABU85" i="6" a="1"/>
  <c r="ABU85" i="6" s="1"/>
  <c r="ABX85" i="6" a="1"/>
  <c r="ABX85" i="6" s="1"/>
  <c r="ABV85" i="6" a="1"/>
  <c r="ABV85" i="6" s="1"/>
  <c r="ABH85" i="6" a="1"/>
  <c r="ABH85" i="6" s="1"/>
  <c r="ABG85" i="6" a="1"/>
  <c r="ABG85" i="6" s="1"/>
  <c r="ABF85" i="6" a="1"/>
  <c r="ABF85" i="6" s="1"/>
  <c r="ABE85" i="6" a="1"/>
  <c r="ABE85" i="6" s="1"/>
  <c r="ABD85" i="6" a="1"/>
  <c r="ABD85" i="6" s="1"/>
  <c r="ZR85" i="6" a="1"/>
  <c r="ZR85" i="6" s="1"/>
  <c r="ZE85" i="6" a="1"/>
  <c r="ZE85" i="6" s="1"/>
  <c r="ZD85" i="6" a="1"/>
  <c r="ZD85" i="6" s="1"/>
  <c r="ZC85" i="6" a="1"/>
  <c r="ZC85" i="6" s="1"/>
  <c r="ZB85" i="6" a="1"/>
  <c r="ZB85" i="6" s="1"/>
  <c r="ZA85" i="6" a="1"/>
  <c r="ZA85" i="6" s="1"/>
  <c r="YP85" i="6" a="1"/>
  <c r="YP85" i="6" s="1"/>
  <c r="YO85" i="6" a="1"/>
  <c r="YO85" i="6" s="1"/>
  <c r="YE85" i="6" a="1"/>
  <c r="YE85" i="6" s="1"/>
  <c r="YD85" i="6" a="1"/>
  <c r="YD85" i="6" s="1"/>
  <c r="XT85" i="6" a="1"/>
  <c r="XT85" i="6" s="1"/>
  <c r="XS85" i="6" a="1"/>
  <c r="XS85" i="6" s="1"/>
  <c r="XI85" i="6" a="1"/>
  <c r="XI85" i="6" s="1"/>
  <c r="XH85" i="6" a="1"/>
  <c r="XH85" i="6" s="1"/>
  <c r="WX85" i="6" a="1"/>
  <c r="WX85" i="6" s="1"/>
  <c r="WW85" i="6" a="1"/>
  <c r="WW85" i="6" s="1"/>
  <c r="WM85" i="6" a="1"/>
  <c r="WM85" i="6" s="1"/>
  <c r="WL85" i="6" a="1"/>
  <c r="WL85" i="6" s="1"/>
  <c r="WC85" i="6" a="1"/>
  <c r="WC85" i="6" s="1"/>
  <c r="VQ85" i="6" a="1"/>
  <c r="VQ85" i="6" s="1"/>
  <c r="VP85" i="6" a="1"/>
  <c r="VP85" i="6" s="1"/>
  <c r="VO85" i="6" a="1"/>
  <c r="VO85" i="6" s="1"/>
  <c r="VN85" i="6" a="1"/>
  <c r="VN85" i="6" s="1"/>
  <c r="VA85" i="6" a="1"/>
  <c r="VA85" i="6" s="1"/>
  <c r="UZ85" i="6" a="1"/>
  <c r="UZ85" i="6" s="1"/>
  <c r="UY85" i="6" a="1"/>
  <c r="UY85" i="6" s="1"/>
  <c r="UX85" i="6" a="1"/>
  <c r="UX85" i="6" s="1"/>
  <c r="UW85" i="6" a="1"/>
  <c r="UW85" i="6" s="1"/>
  <c r="UM85" i="6" a="1"/>
  <c r="UM85" i="6" s="1"/>
  <c r="TZ85" i="6" a="1"/>
  <c r="TZ85" i="6" s="1"/>
  <c r="TY85" i="6" a="1"/>
  <c r="TY85" i="6" s="1"/>
  <c r="TX85" i="6" a="1"/>
  <c r="TX85" i="6" s="1"/>
  <c r="TW85" i="6" a="1"/>
  <c r="TW85" i="6" s="1"/>
  <c r="TV85" i="6" a="1"/>
  <c r="TV85" i="6" s="1"/>
  <c r="TH85" i="6" a="1"/>
  <c r="TH85" i="6" s="1"/>
  <c r="TG85" i="6" a="1"/>
  <c r="TG85" i="6" s="1"/>
  <c r="TF85" i="6" a="1"/>
  <c r="TF85" i="6" s="1"/>
  <c r="TE85" i="6" a="1"/>
  <c r="TE85" i="6" s="1"/>
  <c r="TD85" i="6" a="1"/>
  <c r="TD85" i="6" s="1"/>
  <c r="SP85" i="6" a="1"/>
  <c r="SP85" i="6" s="1"/>
  <c r="SO85" i="6" a="1"/>
  <c r="SO85" i="6" s="1"/>
  <c r="SN85" i="6" a="1"/>
  <c r="SN85" i="6" s="1"/>
  <c r="SM85" i="6" a="1"/>
  <c r="SM85" i="6" s="1"/>
  <c r="SL85" i="6" a="1"/>
  <c r="SL85" i="6" s="1"/>
  <c r="RX85" i="6" a="1"/>
  <c r="RX85" i="6" s="1"/>
  <c r="RW85" i="6" a="1"/>
  <c r="RW85" i="6" s="1"/>
  <c r="RV85" i="6" a="1"/>
  <c r="RV85" i="6" s="1"/>
  <c r="RU85" i="6" a="1"/>
  <c r="RU85" i="6" s="1"/>
  <c r="RT85" i="6" a="1"/>
  <c r="RT85" i="6" s="1"/>
  <c r="RF85" i="6" a="1"/>
  <c r="RF85" i="6" s="1"/>
  <c r="RE85" i="6" a="1"/>
  <c r="RE85" i="6" s="1"/>
  <c r="RD85" i="6" a="1"/>
  <c r="RD85" i="6" s="1"/>
  <c r="RC85" i="6" a="1"/>
  <c r="RC85" i="6" s="1"/>
  <c r="RB85" i="6" a="1"/>
  <c r="RB85" i="6" s="1"/>
  <c r="QN85" i="6" a="1"/>
  <c r="QN85" i="6" s="1"/>
  <c r="QM85" i="6" a="1"/>
  <c r="QM85" i="6" s="1"/>
  <c r="QL85" i="6" a="1"/>
  <c r="QL85" i="6" s="1"/>
  <c r="QK85" i="6" a="1"/>
  <c r="QK85" i="6" s="1"/>
  <c r="QJ85" i="6" a="1"/>
  <c r="QJ85" i="6" s="1"/>
  <c r="PV85" i="6" a="1"/>
  <c r="PV85" i="6" s="1"/>
  <c r="PU85" i="6" a="1"/>
  <c r="PU85" i="6" s="1"/>
  <c r="PT85" i="6" a="1"/>
  <c r="PT85" i="6" s="1"/>
  <c r="PS85" i="6" a="1"/>
  <c r="PS85" i="6" s="1"/>
  <c r="PR85" i="6" a="1"/>
  <c r="PR85" i="6" s="1"/>
  <c r="PD85" i="6" a="1"/>
  <c r="PD85" i="6" s="1"/>
  <c r="PC85" i="6" a="1"/>
  <c r="PC85" i="6" s="1"/>
  <c r="PB85" i="6" a="1"/>
  <c r="PB85" i="6" s="1"/>
  <c r="PA85" i="6" a="1"/>
  <c r="PA85" i="6" s="1"/>
  <c r="OZ85" i="6" a="1"/>
  <c r="OZ85" i="6" s="1"/>
  <c r="OL85" i="6" a="1"/>
  <c r="OL85" i="6" s="1"/>
  <c r="OK85" i="6" a="1"/>
  <c r="OK85" i="6" s="1"/>
  <c r="OJ85" i="6" a="1"/>
  <c r="OJ85" i="6" s="1"/>
  <c r="OI85" i="6" a="1"/>
  <c r="OI85" i="6" s="1"/>
  <c r="OH85" i="6" a="1"/>
  <c r="OH85" i="6" s="1"/>
  <c r="NT85" i="6" a="1"/>
  <c r="NT85" i="6" s="1"/>
  <c r="NS85" i="6" a="1"/>
  <c r="NS85" i="6" s="1"/>
  <c r="NR85" i="6" a="1"/>
  <c r="NR85" i="6" s="1"/>
  <c r="NQ85" i="6" a="1"/>
  <c r="NQ85" i="6" s="1"/>
  <c r="NP85" i="6" a="1"/>
  <c r="NP85" i="6" s="1"/>
  <c r="NC85" i="6" a="1"/>
  <c r="NC85" i="6" s="1"/>
  <c r="NB85" i="6" a="1"/>
  <c r="NB85" i="6" s="1"/>
  <c r="NA85" i="6" a="1"/>
  <c r="NA85" i="6" s="1"/>
  <c r="MZ85" i="6" a="1"/>
  <c r="MZ85" i="6" s="1"/>
  <c r="MY85" i="6" a="1"/>
  <c r="MY85" i="6" s="1"/>
  <c r="MK85" i="6" a="1"/>
  <c r="MK85" i="6" s="1"/>
  <c r="MJ85" i="6" a="1"/>
  <c r="MJ85" i="6" s="1"/>
  <c r="MI85" i="6" a="1"/>
  <c r="MI85" i="6" s="1"/>
  <c r="MH85" i="6" a="1"/>
  <c r="MH85" i="6" s="1"/>
  <c r="MG85" i="6" a="1"/>
  <c r="MG85" i="6" s="1"/>
  <c r="LS85" i="6" a="1"/>
  <c r="LS85" i="6" s="1"/>
  <c r="LR85" i="6" a="1"/>
  <c r="LR85" i="6" s="1"/>
  <c r="LQ85" i="6" a="1"/>
  <c r="LQ85" i="6" s="1"/>
  <c r="LP85" i="6" a="1"/>
  <c r="LP85" i="6" s="1"/>
  <c r="LO85" i="6" a="1"/>
  <c r="LO85" i="6" s="1"/>
  <c r="LA85" i="6" a="1"/>
  <c r="LA85" i="6" s="1"/>
  <c r="KZ85" i="6" a="1"/>
  <c r="KZ85" i="6" s="1"/>
  <c r="KY85" i="6" a="1"/>
  <c r="KY85" i="6" s="1"/>
  <c r="KX85" i="6" a="1"/>
  <c r="KX85" i="6" s="1"/>
  <c r="KW85" i="6" a="1"/>
  <c r="KW85" i="6" s="1"/>
  <c r="KI85" i="6" a="1"/>
  <c r="KI85" i="6" s="1"/>
  <c r="KH85" i="6" a="1"/>
  <c r="KH85" i="6" s="1"/>
  <c r="KG85" i="6" a="1"/>
  <c r="KG85" i="6" s="1"/>
  <c r="KF85" i="6" a="1"/>
  <c r="KF85" i="6" s="1"/>
  <c r="KE85" i="6" a="1"/>
  <c r="KE85" i="6" s="1"/>
  <c r="JQ85" i="6" a="1"/>
  <c r="JQ85" i="6" s="1"/>
  <c r="JP85" i="6" a="1"/>
  <c r="JP85" i="6" s="1"/>
  <c r="JO85" i="6" a="1"/>
  <c r="JO85" i="6" s="1"/>
  <c r="JN85" i="6" a="1"/>
  <c r="JN85" i="6" s="1"/>
  <c r="JM85" i="6" a="1"/>
  <c r="JM85" i="6" s="1"/>
  <c r="IY85" i="6" a="1"/>
  <c r="IY85" i="6" s="1"/>
  <c r="IX85" i="6" a="1"/>
  <c r="IX85" i="6" s="1"/>
  <c r="IW85" i="6" a="1"/>
  <c r="IW85" i="6" s="1"/>
  <c r="IV85" i="6" a="1"/>
  <c r="IV85" i="6" s="1"/>
  <c r="IU85" i="6" a="1"/>
  <c r="IU85" i="6" s="1"/>
  <c r="IG85" i="6" a="1"/>
  <c r="IG85" i="6" s="1"/>
  <c r="IF85" i="6" a="1"/>
  <c r="IF85" i="6" s="1"/>
  <c r="IE85" i="6" a="1"/>
  <c r="IE85" i="6" s="1"/>
  <c r="ID85" i="6" a="1"/>
  <c r="ID85" i="6" s="1"/>
  <c r="IC85" i="6" a="1"/>
  <c r="IC85" i="6" s="1"/>
  <c r="HO85" i="6" a="1"/>
  <c r="HO85" i="6" s="1"/>
  <c r="HN85" i="6" a="1"/>
  <c r="HN85" i="6" s="1"/>
  <c r="HM85" i="6" a="1"/>
  <c r="HM85" i="6" s="1"/>
  <c r="HL85" i="6" a="1"/>
  <c r="HL85" i="6" s="1"/>
  <c r="HK85" i="6" a="1"/>
  <c r="HK85" i="6" s="1"/>
  <c r="GX85" i="6" a="1"/>
  <c r="GX85" i="6" s="1"/>
  <c r="GW85" i="6" a="1"/>
  <c r="GW85" i="6" s="1"/>
  <c r="GV85" i="6" a="1"/>
  <c r="GV85" i="6" s="1"/>
  <c r="GU85" i="6" a="1"/>
  <c r="GU85" i="6" s="1"/>
  <c r="GT85" i="6" a="1"/>
  <c r="GT85" i="6" s="1"/>
  <c r="GG85" i="6" a="1"/>
  <c r="GG85" i="6" s="1"/>
  <c r="GF85" i="6" a="1"/>
  <c r="GF85" i="6" s="1"/>
  <c r="GE85" i="6" a="1"/>
  <c r="GE85" i="6" s="1"/>
  <c r="GD85" i="6" a="1"/>
  <c r="GD85" i="6" s="1"/>
  <c r="GC85" i="6" a="1"/>
  <c r="GC85" i="6" s="1"/>
  <c r="FP85" i="6" a="1"/>
  <c r="FP85" i="6" s="1"/>
  <c r="FO85" i="6" a="1"/>
  <c r="FO85" i="6" s="1"/>
  <c r="FN85" i="6" a="1"/>
  <c r="FN85" i="6" s="1"/>
  <c r="FM85" i="6" a="1"/>
  <c r="FM85" i="6" s="1"/>
  <c r="FL85" i="6" a="1"/>
  <c r="FL85" i="6" s="1"/>
  <c r="EY85" i="6" a="1"/>
  <c r="EY85" i="6" s="1"/>
  <c r="EX85" i="6" a="1"/>
  <c r="EX85" i="6" s="1"/>
  <c r="EW85" i="6" a="1"/>
  <c r="EW85" i="6" s="1"/>
  <c r="EV85" i="6" a="1"/>
  <c r="EV85" i="6" s="1"/>
  <c r="EU85" i="6" a="1"/>
  <c r="EU85" i="6" s="1"/>
  <c r="EH85" i="6" a="1"/>
  <c r="EH85" i="6" s="1"/>
  <c r="EG85" i="6" a="1"/>
  <c r="EG85" i="6" s="1"/>
  <c r="EF85" i="6" a="1"/>
  <c r="EF85" i="6" s="1"/>
  <c r="EE85" i="6" a="1"/>
  <c r="EE85" i="6" s="1"/>
  <c r="ED85" i="6" a="1"/>
  <c r="ED85" i="6" s="1"/>
  <c r="DQ85" i="6" a="1"/>
  <c r="DQ85" i="6" s="1"/>
  <c r="DP85" i="6" a="1"/>
  <c r="DP85" i="6" s="1"/>
  <c r="DO85" i="6" a="1"/>
  <c r="DO85" i="6" s="1"/>
  <c r="DN85" i="6" a="1"/>
  <c r="DN85" i="6" s="1"/>
  <c r="DM85" i="6" a="1"/>
  <c r="DM85" i="6" s="1"/>
  <c r="DD85" i="6" a="1"/>
  <c r="DD85" i="6" s="1"/>
  <c r="CU85" i="6" a="1"/>
  <c r="CU85" i="6" s="1"/>
  <c r="CL85" i="6" a="1"/>
  <c r="CL85" i="6" s="1"/>
  <c r="BX85" i="6" a="1"/>
  <c r="BX85" i="6" s="1"/>
  <c r="BW85" i="6" a="1"/>
  <c r="BW85" i="6" s="1"/>
  <c r="BV85" i="6" a="1"/>
  <c r="BV85" i="6" s="1"/>
  <c r="BU85" i="6" a="1"/>
  <c r="BU85" i="6" s="1"/>
  <c r="BT85" i="6" a="1"/>
  <c r="BT85" i="6" s="1"/>
  <c r="BS85" i="6" a="1"/>
  <c r="BS85" i="6" s="1"/>
  <c r="BA85" i="6" a="1"/>
  <c r="BA85" i="6" s="1"/>
  <c r="AZ85" i="6" a="1"/>
  <c r="AZ85" i="6" s="1"/>
  <c r="AY85" i="6" a="1"/>
  <c r="AY85" i="6" s="1"/>
  <c r="AX85" i="6" a="1"/>
  <c r="AX85" i="6" s="1"/>
  <c r="AW85" i="6" a="1"/>
  <c r="AW85" i="6" s="1"/>
  <c r="AV85" i="6" a="1"/>
  <c r="AV85" i="6" s="1"/>
  <c r="AU85" i="6" a="1"/>
  <c r="AU85" i="6" s="1"/>
  <c r="AT85" i="6" a="1"/>
  <c r="AT85" i="6" s="1"/>
  <c r="AS85" i="6" a="1"/>
  <c r="AS85" i="6" s="1"/>
  <c r="AR85" i="6" a="1"/>
  <c r="AR85" i="6" s="1"/>
  <c r="AH85" i="6" a="1"/>
  <c r="AH85" i="6" s="1"/>
  <c r="AG85" i="6" a="1"/>
  <c r="AG85" i="6" s="1"/>
  <c r="V85" i="6" a="1"/>
  <c r="V85" i="6" s="1"/>
  <c r="U85" i="6" a="1"/>
  <c r="U85" i="6" s="1"/>
  <c r="T85" i="6" s="1"/>
  <c r="J85" i="6" a="1"/>
  <c r="J85" i="6" s="1"/>
  <c r="I85" i="6" a="1"/>
  <c r="I85" i="6" s="1"/>
  <c r="ADA84" i="6" a="1"/>
  <c r="ADA84" i="6" s="1"/>
  <c r="ACZ84" i="6" a="1"/>
  <c r="ACZ84" i="6" s="1"/>
  <c r="ACY84" i="6" a="1"/>
  <c r="ACY84" i="6" s="1"/>
  <c r="ACN84" i="6" a="1"/>
  <c r="ACN84" i="6" s="1"/>
  <c r="ACM84" i="6" a="1"/>
  <c r="ACM84" i="6" s="1"/>
  <c r="ABU84" i="6" a="1"/>
  <c r="ABU84" i="6" s="1"/>
  <c r="ABX84" i="6" a="1"/>
  <c r="ABX84" i="6" s="1"/>
  <c r="ABV84" i="6" a="1"/>
  <c r="ABV84" i="6" s="1"/>
  <c r="ABH84" i="6" a="1"/>
  <c r="ABH84" i="6" s="1"/>
  <c r="ABG84" i="6" a="1"/>
  <c r="ABG84" i="6" s="1"/>
  <c r="ABF84" i="6" a="1"/>
  <c r="ABF84" i="6" s="1"/>
  <c r="ABE84" i="6" a="1"/>
  <c r="ABE84" i="6" s="1"/>
  <c r="ABD84" i="6" a="1"/>
  <c r="ABD84" i="6" s="1"/>
  <c r="ZR84" i="6" a="1"/>
  <c r="ZR84" i="6" s="1"/>
  <c r="ZE84" i="6" a="1"/>
  <c r="ZE84" i="6" s="1"/>
  <c r="ZD84" i="6" a="1"/>
  <c r="ZD84" i="6" s="1"/>
  <c r="ZC84" i="6" a="1"/>
  <c r="ZC84" i="6" s="1"/>
  <c r="ZB84" i="6" a="1"/>
  <c r="ZB84" i="6" s="1"/>
  <c r="ZA84" i="6" a="1"/>
  <c r="ZA84" i="6" s="1"/>
  <c r="YP84" i="6" a="1"/>
  <c r="YP84" i="6" s="1"/>
  <c r="YO84" i="6" a="1"/>
  <c r="YO84" i="6" s="1"/>
  <c r="YE84" i="6" a="1"/>
  <c r="YE84" i="6" s="1"/>
  <c r="YD84" i="6" a="1"/>
  <c r="YD84" i="6" s="1"/>
  <c r="XT84" i="6" a="1"/>
  <c r="XT84" i="6" s="1"/>
  <c r="XS84" i="6" a="1"/>
  <c r="XS84" i="6" s="1"/>
  <c r="XI84" i="6" a="1"/>
  <c r="XI84" i="6" s="1"/>
  <c r="XH84" i="6" a="1"/>
  <c r="XH84" i="6" s="1"/>
  <c r="WX84" i="6" a="1"/>
  <c r="WX84" i="6" s="1"/>
  <c r="WW84" i="6" a="1"/>
  <c r="WW84" i="6" s="1"/>
  <c r="WM84" i="6" a="1"/>
  <c r="WM84" i="6" s="1"/>
  <c r="WL84" i="6" a="1"/>
  <c r="WL84" i="6" s="1"/>
  <c r="WC84" i="6" a="1"/>
  <c r="WC84" i="6" s="1"/>
  <c r="VQ84" i="6" a="1"/>
  <c r="VQ84" i="6" s="1"/>
  <c r="VP84" i="6" a="1"/>
  <c r="VP84" i="6" s="1"/>
  <c r="VO84" i="6" a="1"/>
  <c r="VO84" i="6" s="1"/>
  <c r="VN84" i="6" a="1"/>
  <c r="VN84" i="6" s="1"/>
  <c r="VA84" i="6" a="1"/>
  <c r="VA84" i="6" s="1"/>
  <c r="UZ84" i="6" a="1"/>
  <c r="UZ84" i="6" s="1"/>
  <c r="UY84" i="6" a="1"/>
  <c r="UY84" i="6" s="1"/>
  <c r="UX84" i="6" a="1"/>
  <c r="UX84" i="6" s="1"/>
  <c r="UW84" i="6" a="1"/>
  <c r="UW84" i="6" s="1"/>
  <c r="UM84" i="6" a="1"/>
  <c r="UM84" i="6" s="1"/>
  <c r="TZ84" i="6" a="1"/>
  <c r="TZ84" i="6" s="1"/>
  <c r="TY84" i="6" a="1"/>
  <c r="TY84" i="6" s="1"/>
  <c r="TX84" i="6" a="1"/>
  <c r="TX84" i="6" s="1"/>
  <c r="TW84" i="6" a="1"/>
  <c r="TW84" i="6" s="1"/>
  <c r="TV84" i="6" a="1"/>
  <c r="TV84" i="6" s="1"/>
  <c r="TH84" i="6" a="1"/>
  <c r="TH84" i="6" s="1"/>
  <c r="TG84" i="6" a="1"/>
  <c r="TG84" i="6" s="1"/>
  <c r="TF84" i="6" a="1"/>
  <c r="TF84" i="6" s="1"/>
  <c r="TE84" i="6" a="1"/>
  <c r="TE84" i="6" s="1"/>
  <c r="TD84" i="6" a="1"/>
  <c r="TD84" i="6" s="1"/>
  <c r="SP84" i="6" a="1"/>
  <c r="SP84" i="6" s="1"/>
  <c r="SO84" i="6" a="1"/>
  <c r="SO84" i="6" s="1"/>
  <c r="SN84" i="6" a="1"/>
  <c r="SN84" i="6" s="1"/>
  <c r="SM84" i="6" a="1"/>
  <c r="SM84" i="6" s="1"/>
  <c r="SL84" i="6" a="1"/>
  <c r="SL84" i="6" s="1"/>
  <c r="RX84" i="6" a="1"/>
  <c r="RX84" i="6" s="1"/>
  <c r="RW84" i="6" a="1"/>
  <c r="RW84" i="6" s="1"/>
  <c r="RV84" i="6" a="1"/>
  <c r="RV84" i="6" s="1"/>
  <c r="RU84" i="6" a="1"/>
  <c r="RU84" i="6" s="1"/>
  <c r="RT84" i="6" a="1"/>
  <c r="RT84" i="6" s="1"/>
  <c r="RF84" i="6" a="1"/>
  <c r="RF84" i="6" s="1"/>
  <c r="RE84" i="6" a="1"/>
  <c r="RE84" i="6" s="1"/>
  <c r="RD84" i="6" a="1"/>
  <c r="RD84" i="6" s="1"/>
  <c r="RC84" i="6" a="1"/>
  <c r="RC84" i="6" s="1"/>
  <c r="RB84" i="6" a="1"/>
  <c r="RB84" i="6" s="1"/>
  <c r="QN84" i="6" a="1"/>
  <c r="QN84" i="6" s="1"/>
  <c r="QM84" i="6" a="1"/>
  <c r="QM84" i="6" s="1"/>
  <c r="QL84" i="6" a="1"/>
  <c r="QL84" i="6" s="1"/>
  <c r="QK84" i="6" a="1"/>
  <c r="QK84" i="6" s="1"/>
  <c r="QJ84" i="6" a="1"/>
  <c r="QJ84" i="6" s="1"/>
  <c r="PV84" i="6" a="1"/>
  <c r="PV84" i="6" s="1"/>
  <c r="PU84" i="6" a="1"/>
  <c r="PU84" i="6" s="1"/>
  <c r="PT84" i="6" a="1"/>
  <c r="PT84" i="6" s="1"/>
  <c r="PS84" i="6" a="1"/>
  <c r="PS84" i="6" s="1"/>
  <c r="PR84" i="6" a="1"/>
  <c r="PR84" i="6" s="1"/>
  <c r="PD84" i="6" a="1"/>
  <c r="PD84" i="6" s="1"/>
  <c r="PC84" i="6" a="1"/>
  <c r="PC84" i="6" s="1"/>
  <c r="PB84" i="6" a="1"/>
  <c r="PB84" i="6" s="1"/>
  <c r="PA84" i="6" a="1"/>
  <c r="PA84" i="6" s="1"/>
  <c r="OZ84" i="6" a="1"/>
  <c r="OZ84" i="6" s="1"/>
  <c r="OL84" i="6" a="1"/>
  <c r="OL84" i="6" s="1"/>
  <c r="OK84" i="6" a="1"/>
  <c r="OK84" i="6" s="1"/>
  <c r="OJ84" i="6" a="1"/>
  <c r="OJ84" i="6" s="1"/>
  <c r="OI84" i="6" a="1"/>
  <c r="OI84" i="6" s="1"/>
  <c r="OH84" i="6" a="1"/>
  <c r="OH84" i="6" s="1"/>
  <c r="NT84" i="6" a="1"/>
  <c r="NT84" i="6" s="1"/>
  <c r="NS84" i="6" a="1"/>
  <c r="NS84" i="6" s="1"/>
  <c r="NR84" i="6" a="1"/>
  <c r="NR84" i="6" s="1"/>
  <c r="NQ84" i="6" a="1"/>
  <c r="NQ84" i="6" s="1"/>
  <c r="NP84" i="6" a="1"/>
  <c r="NP84" i="6" s="1"/>
  <c r="NC84" i="6" a="1"/>
  <c r="NC84" i="6" s="1"/>
  <c r="NB84" i="6" a="1"/>
  <c r="NB84" i="6" s="1"/>
  <c r="NA84" i="6" a="1"/>
  <c r="NA84" i="6" s="1"/>
  <c r="MZ84" i="6" a="1"/>
  <c r="MZ84" i="6" s="1"/>
  <c r="MY84" i="6" a="1"/>
  <c r="MY84" i="6" s="1"/>
  <c r="MK84" i="6" a="1"/>
  <c r="MK84" i="6" s="1"/>
  <c r="MJ84" i="6" a="1"/>
  <c r="MJ84" i="6" s="1"/>
  <c r="MI84" i="6" a="1"/>
  <c r="MI84" i="6" s="1"/>
  <c r="MH84" i="6" a="1"/>
  <c r="MH84" i="6" s="1"/>
  <c r="MG84" i="6" a="1"/>
  <c r="MG84" i="6" s="1"/>
  <c r="LS84" i="6" a="1"/>
  <c r="LS84" i="6" s="1"/>
  <c r="LR84" i="6" a="1"/>
  <c r="LR84" i="6" s="1"/>
  <c r="LQ84" i="6" a="1"/>
  <c r="LQ84" i="6" s="1"/>
  <c r="LP84" i="6" a="1"/>
  <c r="LP84" i="6" s="1"/>
  <c r="LO84" i="6" a="1"/>
  <c r="LO84" i="6" s="1"/>
  <c r="LA84" i="6" a="1"/>
  <c r="LA84" i="6" s="1"/>
  <c r="KZ84" i="6" a="1"/>
  <c r="KZ84" i="6" s="1"/>
  <c r="KY84" i="6" a="1"/>
  <c r="KY84" i="6" s="1"/>
  <c r="KX84" i="6" a="1"/>
  <c r="KX84" i="6" s="1"/>
  <c r="KW84" i="6" a="1"/>
  <c r="KW84" i="6" s="1"/>
  <c r="KI84" i="6" a="1"/>
  <c r="KI84" i="6" s="1"/>
  <c r="KH84" i="6" a="1"/>
  <c r="KH84" i="6" s="1"/>
  <c r="KG84" i="6" a="1"/>
  <c r="KG84" i="6" s="1"/>
  <c r="KF84" i="6" a="1"/>
  <c r="KF84" i="6" s="1"/>
  <c r="KE84" i="6" a="1"/>
  <c r="KE84" i="6" s="1"/>
  <c r="JQ84" i="6" a="1"/>
  <c r="JQ84" i="6" s="1"/>
  <c r="JP84" i="6" a="1"/>
  <c r="JP84" i="6" s="1"/>
  <c r="JO84" i="6" a="1"/>
  <c r="JO84" i="6" s="1"/>
  <c r="JN84" i="6" a="1"/>
  <c r="JN84" i="6" s="1"/>
  <c r="JM84" i="6" a="1"/>
  <c r="JM84" i="6" s="1"/>
  <c r="IY84" i="6" a="1"/>
  <c r="IY84" i="6" s="1"/>
  <c r="IX84" i="6" a="1"/>
  <c r="IX84" i="6" s="1"/>
  <c r="IW84" i="6" a="1"/>
  <c r="IW84" i="6" s="1"/>
  <c r="IV84" i="6" a="1"/>
  <c r="IV84" i="6" s="1"/>
  <c r="IU84" i="6" a="1"/>
  <c r="IU84" i="6" s="1"/>
  <c r="IG84" i="6" a="1"/>
  <c r="IG84" i="6" s="1"/>
  <c r="IF84" i="6" a="1"/>
  <c r="IF84" i="6" s="1"/>
  <c r="IE84" i="6" a="1"/>
  <c r="IE84" i="6" s="1"/>
  <c r="ID84" i="6" a="1"/>
  <c r="ID84" i="6" s="1"/>
  <c r="IC84" i="6" a="1"/>
  <c r="IC84" i="6" s="1"/>
  <c r="HO84" i="6" a="1"/>
  <c r="HO84" i="6" s="1"/>
  <c r="HN84" i="6" a="1"/>
  <c r="HN84" i="6" s="1"/>
  <c r="HM84" i="6" a="1"/>
  <c r="HM84" i="6" s="1"/>
  <c r="HL84" i="6" a="1"/>
  <c r="HL84" i="6" s="1"/>
  <c r="HK84" i="6" a="1"/>
  <c r="HK84" i="6" s="1"/>
  <c r="GX84" i="6" a="1"/>
  <c r="GX84" i="6" s="1"/>
  <c r="GW84" i="6" a="1"/>
  <c r="GW84" i="6" s="1"/>
  <c r="GV84" i="6" a="1"/>
  <c r="GV84" i="6" s="1"/>
  <c r="GU84" i="6" a="1"/>
  <c r="GU84" i="6" s="1"/>
  <c r="GT84" i="6" a="1"/>
  <c r="GT84" i="6" s="1"/>
  <c r="GG84" i="6" a="1"/>
  <c r="GG84" i="6" s="1"/>
  <c r="GF84" i="6" a="1"/>
  <c r="GF84" i="6" s="1"/>
  <c r="GE84" i="6" a="1"/>
  <c r="GE84" i="6" s="1"/>
  <c r="GD84" i="6" a="1"/>
  <c r="GD84" i="6" s="1"/>
  <c r="GC84" i="6" a="1"/>
  <c r="GC84" i="6" s="1"/>
  <c r="FP84" i="6" a="1"/>
  <c r="FP84" i="6" s="1"/>
  <c r="FO84" i="6" a="1"/>
  <c r="FO84" i="6" s="1"/>
  <c r="FN84" i="6" a="1"/>
  <c r="FN84" i="6" s="1"/>
  <c r="FM84" i="6" a="1"/>
  <c r="FM84" i="6" s="1"/>
  <c r="FL84" i="6" a="1"/>
  <c r="FL84" i="6" s="1"/>
  <c r="EY84" i="6" a="1"/>
  <c r="EY84" i="6" s="1"/>
  <c r="EX84" i="6" a="1"/>
  <c r="EX84" i="6" s="1"/>
  <c r="EW84" i="6" a="1"/>
  <c r="EW84" i="6" s="1"/>
  <c r="EV84" i="6" a="1"/>
  <c r="EV84" i="6" s="1"/>
  <c r="EU84" i="6" a="1"/>
  <c r="EU84" i="6" s="1"/>
  <c r="EH84" i="6" a="1"/>
  <c r="EH84" i="6" s="1"/>
  <c r="EG84" i="6" a="1"/>
  <c r="EG84" i="6" s="1"/>
  <c r="EF84" i="6" a="1"/>
  <c r="EF84" i="6" s="1"/>
  <c r="EE84" i="6" a="1"/>
  <c r="EE84" i="6" s="1"/>
  <c r="ED84" i="6" a="1"/>
  <c r="ED84" i="6" s="1"/>
  <c r="DQ84" i="6" a="1"/>
  <c r="DQ84" i="6" s="1"/>
  <c r="DP84" i="6" a="1"/>
  <c r="DP84" i="6" s="1"/>
  <c r="DO84" i="6" a="1"/>
  <c r="DO84" i="6" s="1"/>
  <c r="DN84" i="6" a="1"/>
  <c r="DN84" i="6" s="1"/>
  <c r="DM84" i="6" a="1"/>
  <c r="DM84" i="6" s="1"/>
  <c r="DD84" i="6" a="1"/>
  <c r="DD84" i="6" s="1"/>
  <c r="CU84" i="6" a="1"/>
  <c r="CU84" i="6" s="1"/>
  <c r="CL84" i="6" a="1"/>
  <c r="CL84" i="6" s="1"/>
  <c r="BX84" i="6" a="1"/>
  <c r="BX84" i="6" s="1"/>
  <c r="BW84" i="6" a="1"/>
  <c r="BW84" i="6" s="1"/>
  <c r="BV84" i="6" a="1"/>
  <c r="BV84" i="6" s="1"/>
  <c r="BU84" i="6" a="1"/>
  <c r="BU84" i="6" s="1"/>
  <c r="BT84" i="6" a="1"/>
  <c r="BT84" i="6" s="1"/>
  <c r="BS84" i="6" a="1"/>
  <c r="BS84" i="6" s="1"/>
  <c r="BA84" i="6" a="1"/>
  <c r="BA84" i="6" s="1"/>
  <c r="AZ84" i="6" a="1"/>
  <c r="AZ84" i="6" s="1"/>
  <c r="AY84" i="6" a="1"/>
  <c r="AY84" i="6" s="1"/>
  <c r="AX84" i="6" a="1"/>
  <c r="AX84" i="6" s="1"/>
  <c r="AW84" i="6" a="1"/>
  <c r="AW84" i="6" s="1"/>
  <c r="AV84" i="6" a="1"/>
  <c r="AV84" i="6" s="1"/>
  <c r="AU84" i="6" a="1"/>
  <c r="AU84" i="6" s="1"/>
  <c r="AT84" i="6" a="1"/>
  <c r="AT84" i="6" s="1"/>
  <c r="AS84" i="6" a="1"/>
  <c r="AS84" i="6" s="1"/>
  <c r="AR84" i="6" a="1"/>
  <c r="AR84" i="6" s="1"/>
  <c r="AH84" i="6" a="1"/>
  <c r="AH84" i="6" s="1"/>
  <c r="AG84" i="6" a="1"/>
  <c r="AG84" i="6" s="1"/>
  <c r="V84" i="6" a="1"/>
  <c r="V84" i="6" s="1"/>
  <c r="U84" i="6" a="1"/>
  <c r="U84" i="6" s="1"/>
  <c r="J84" i="6" a="1"/>
  <c r="J84" i="6" s="1"/>
  <c r="I84" i="6" a="1"/>
  <c r="I84" i="6" s="1"/>
  <c r="ADA83" i="6" a="1"/>
  <c r="ADA83" i="6" s="1"/>
  <c r="ACZ83" i="6" a="1"/>
  <c r="ACZ83" i="6" s="1"/>
  <c r="ACY83" i="6" a="1"/>
  <c r="ACY83" i="6" s="1"/>
  <c r="ACN83" i="6" a="1"/>
  <c r="ACN83" i="6" s="1"/>
  <c r="ACM83" i="6" a="1"/>
  <c r="ACM83" i="6" s="1"/>
  <c r="ABU83" i="6" a="1"/>
  <c r="ABU83" i="6" s="1"/>
  <c r="ABX83" i="6" a="1"/>
  <c r="ABX83" i="6" s="1"/>
  <c r="ABV83" i="6" a="1"/>
  <c r="ABV83" i="6" s="1"/>
  <c r="ABH83" i="6" a="1"/>
  <c r="ABH83" i="6" s="1"/>
  <c r="ABG83" i="6" a="1"/>
  <c r="ABG83" i="6" s="1"/>
  <c r="ABF83" i="6" a="1"/>
  <c r="ABF83" i="6" s="1"/>
  <c r="ABE83" i="6" a="1"/>
  <c r="ABE83" i="6" s="1"/>
  <c r="ABD83" i="6" a="1"/>
  <c r="ABD83" i="6" s="1"/>
  <c r="ZR83" i="6" a="1"/>
  <c r="ZR83" i="6" s="1"/>
  <c r="ZE83" i="6" a="1"/>
  <c r="ZE83" i="6" s="1"/>
  <c r="ZD83" i="6" a="1"/>
  <c r="ZD83" i="6" s="1"/>
  <c r="ZC83" i="6" a="1"/>
  <c r="ZC83" i="6" s="1"/>
  <c r="ZB83" i="6" a="1"/>
  <c r="ZB83" i="6" s="1"/>
  <c r="ZA83" i="6" a="1"/>
  <c r="ZA83" i="6" s="1"/>
  <c r="YP83" i="6" a="1"/>
  <c r="YP83" i="6" s="1"/>
  <c r="YO83" i="6" a="1"/>
  <c r="YO83" i="6" s="1"/>
  <c r="YE83" i="6" a="1"/>
  <c r="YE83" i="6" s="1"/>
  <c r="YD83" i="6" a="1"/>
  <c r="YD83" i="6" s="1"/>
  <c r="XT83" i="6" a="1"/>
  <c r="XT83" i="6" s="1"/>
  <c r="XS83" i="6" a="1"/>
  <c r="XS83" i="6" s="1"/>
  <c r="XI83" i="6" a="1"/>
  <c r="XI83" i="6" s="1"/>
  <c r="XH83" i="6" a="1"/>
  <c r="XH83" i="6" s="1"/>
  <c r="WX83" i="6" a="1"/>
  <c r="WX83" i="6" s="1"/>
  <c r="WW83" i="6" a="1"/>
  <c r="WW83" i="6" s="1"/>
  <c r="WM83" i="6" a="1"/>
  <c r="WM83" i="6" s="1"/>
  <c r="WL83" i="6" a="1"/>
  <c r="WL83" i="6" s="1"/>
  <c r="WC83" i="6" a="1"/>
  <c r="WC83" i="6" s="1"/>
  <c r="VQ83" i="6" a="1"/>
  <c r="VQ83" i="6" s="1"/>
  <c r="VP83" i="6" a="1"/>
  <c r="VP83" i="6" s="1"/>
  <c r="VO83" i="6" a="1"/>
  <c r="VO83" i="6" s="1"/>
  <c r="VN83" i="6" a="1"/>
  <c r="VN83" i="6" s="1"/>
  <c r="VA83" i="6" a="1"/>
  <c r="VA83" i="6" s="1"/>
  <c r="UZ83" i="6" a="1"/>
  <c r="UZ83" i="6" s="1"/>
  <c r="UY83" i="6" a="1"/>
  <c r="UY83" i="6" s="1"/>
  <c r="UX83" i="6" a="1"/>
  <c r="UX83" i="6" s="1"/>
  <c r="UW83" i="6" a="1"/>
  <c r="UW83" i="6" s="1"/>
  <c r="UM83" i="6" a="1"/>
  <c r="UM83" i="6" s="1"/>
  <c r="TZ83" i="6" a="1"/>
  <c r="TZ83" i="6" s="1"/>
  <c r="TY83" i="6" a="1"/>
  <c r="TY83" i="6" s="1"/>
  <c r="TX83" i="6" a="1"/>
  <c r="TX83" i="6" s="1"/>
  <c r="TW83" i="6" a="1"/>
  <c r="TW83" i="6" s="1"/>
  <c r="TV83" i="6" a="1"/>
  <c r="TV83" i="6" s="1"/>
  <c r="TH83" i="6" a="1"/>
  <c r="TH83" i="6" s="1"/>
  <c r="TG83" i="6" a="1"/>
  <c r="TG83" i="6" s="1"/>
  <c r="TF83" i="6" a="1"/>
  <c r="TF83" i="6" s="1"/>
  <c r="TE83" i="6" a="1"/>
  <c r="TE83" i="6" s="1"/>
  <c r="TD83" i="6" a="1"/>
  <c r="TD83" i="6" s="1"/>
  <c r="SP83" i="6" a="1"/>
  <c r="SP83" i="6" s="1"/>
  <c r="SO83" i="6" a="1"/>
  <c r="SO83" i="6" s="1"/>
  <c r="SN83" i="6" a="1"/>
  <c r="SN83" i="6" s="1"/>
  <c r="SM83" i="6" a="1"/>
  <c r="SM83" i="6" s="1"/>
  <c r="SL83" i="6" a="1"/>
  <c r="SL83" i="6" s="1"/>
  <c r="RX83" i="6" a="1"/>
  <c r="RX83" i="6" s="1"/>
  <c r="RW83" i="6" a="1"/>
  <c r="RW83" i="6" s="1"/>
  <c r="RV83" i="6" a="1"/>
  <c r="RV83" i="6" s="1"/>
  <c r="RU83" i="6" a="1"/>
  <c r="RU83" i="6" s="1"/>
  <c r="RT83" i="6" a="1"/>
  <c r="RT83" i="6" s="1"/>
  <c r="RF83" i="6" a="1"/>
  <c r="RF83" i="6" s="1"/>
  <c r="RE83" i="6" a="1"/>
  <c r="RE83" i="6" s="1"/>
  <c r="RD83" i="6" a="1"/>
  <c r="RD83" i="6" s="1"/>
  <c r="RC83" i="6" a="1"/>
  <c r="RC83" i="6" s="1"/>
  <c r="RB83" i="6" a="1"/>
  <c r="RB83" i="6" s="1"/>
  <c r="QN83" i="6" a="1"/>
  <c r="QN83" i="6" s="1"/>
  <c r="QM83" i="6" a="1"/>
  <c r="QM83" i="6" s="1"/>
  <c r="QL83" i="6" a="1"/>
  <c r="QL83" i="6" s="1"/>
  <c r="QK83" i="6" a="1"/>
  <c r="QK83" i="6" s="1"/>
  <c r="QJ83" i="6" a="1"/>
  <c r="QJ83" i="6" s="1"/>
  <c r="PV83" i="6" a="1"/>
  <c r="PV83" i="6" s="1"/>
  <c r="PU83" i="6" a="1"/>
  <c r="PU83" i="6" s="1"/>
  <c r="PT83" i="6" a="1"/>
  <c r="PT83" i="6" s="1"/>
  <c r="PS83" i="6" a="1"/>
  <c r="PS83" i="6" s="1"/>
  <c r="PR83" i="6" a="1"/>
  <c r="PR83" i="6" s="1"/>
  <c r="PD83" i="6" a="1"/>
  <c r="PD83" i="6" s="1"/>
  <c r="PC83" i="6" a="1"/>
  <c r="PC83" i="6" s="1"/>
  <c r="PB83" i="6" a="1"/>
  <c r="PB83" i="6" s="1"/>
  <c r="PA83" i="6" a="1"/>
  <c r="PA83" i="6" s="1"/>
  <c r="OZ83" i="6" a="1"/>
  <c r="OZ83" i="6" s="1"/>
  <c r="OL83" i="6" a="1"/>
  <c r="OL83" i="6" s="1"/>
  <c r="OK83" i="6" a="1"/>
  <c r="OK83" i="6" s="1"/>
  <c r="OJ83" i="6" a="1"/>
  <c r="OJ83" i="6" s="1"/>
  <c r="OI83" i="6" a="1"/>
  <c r="OI83" i="6" s="1"/>
  <c r="OH83" i="6" a="1"/>
  <c r="OH83" i="6" s="1"/>
  <c r="NT83" i="6" a="1"/>
  <c r="NT83" i="6" s="1"/>
  <c r="NS83" i="6" a="1"/>
  <c r="NS83" i="6" s="1"/>
  <c r="NR83" i="6" a="1"/>
  <c r="NR83" i="6" s="1"/>
  <c r="NQ83" i="6" a="1"/>
  <c r="NQ83" i="6" s="1"/>
  <c r="NP83" i="6" a="1"/>
  <c r="NP83" i="6" s="1"/>
  <c r="NC83" i="6" a="1"/>
  <c r="NC83" i="6" s="1"/>
  <c r="NB83" i="6" a="1"/>
  <c r="NB83" i="6" s="1"/>
  <c r="NA83" i="6" a="1"/>
  <c r="NA83" i="6" s="1"/>
  <c r="MZ83" i="6" a="1"/>
  <c r="MZ83" i="6" s="1"/>
  <c r="MY83" i="6" a="1"/>
  <c r="MY83" i="6" s="1"/>
  <c r="MK83" i="6" a="1"/>
  <c r="MK83" i="6" s="1"/>
  <c r="MJ83" i="6" a="1"/>
  <c r="MJ83" i="6" s="1"/>
  <c r="MI83" i="6" a="1"/>
  <c r="MI83" i="6" s="1"/>
  <c r="MH83" i="6" a="1"/>
  <c r="MH83" i="6" s="1"/>
  <c r="MG83" i="6" a="1"/>
  <c r="MG83" i="6" s="1"/>
  <c r="LS83" i="6" a="1"/>
  <c r="LS83" i="6" s="1"/>
  <c r="LR83" i="6" a="1"/>
  <c r="LR83" i="6" s="1"/>
  <c r="LQ83" i="6" a="1"/>
  <c r="LQ83" i="6" s="1"/>
  <c r="LP83" i="6" a="1"/>
  <c r="LP83" i="6" s="1"/>
  <c r="LO83" i="6" a="1"/>
  <c r="LO83" i="6" s="1"/>
  <c r="LA83" i="6" a="1"/>
  <c r="LA83" i="6" s="1"/>
  <c r="KZ83" i="6" a="1"/>
  <c r="KZ83" i="6" s="1"/>
  <c r="KY83" i="6" a="1"/>
  <c r="KY83" i="6" s="1"/>
  <c r="KX83" i="6" a="1"/>
  <c r="KX83" i="6" s="1"/>
  <c r="KW83" i="6" a="1"/>
  <c r="KW83" i="6" s="1"/>
  <c r="KI83" i="6" a="1"/>
  <c r="KI83" i="6" s="1"/>
  <c r="KH83" i="6" a="1"/>
  <c r="KH83" i="6" s="1"/>
  <c r="KG83" i="6" a="1"/>
  <c r="KG83" i="6" s="1"/>
  <c r="KF83" i="6" a="1"/>
  <c r="KF83" i="6" s="1"/>
  <c r="KE83" i="6" a="1"/>
  <c r="KE83" i="6" s="1"/>
  <c r="JQ83" i="6" a="1"/>
  <c r="JQ83" i="6" s="1"/>
  <c r="JP83" i="6" a="1"/>
  <c r="JP83" i="6" s="1"/>
  <c r="JO83" i="6" a="1"/>
  <c r="JO83" i="6" s="1"/>
  <c r="JN83" i="6" a="1"/>
  <c r="JN83" i="6" s="1"/>
  <c r="JM83" i="6" a="1"/>
  <c r="JM83" i="6" s="1"/>
  <c r="IY83" i="6" a="1"/>
  <c r="IY83" i="6" s="1"/>
  <c r="IX83" i="6" a="1"/>
  <c r="IX83" i="6" s="1"/>
  <c r="IW83" i="6" a="1"/>
  <c r="IW83" i="6" s="1"/>
  <c r="IV83" i="6" a="1"/>
  <c r="IV83" i="6" s="1"/>
  <c r="IU83" i="6" a="1"/>
  <c r="IU83" i="6" s="1"/>
  <c r="IG83" i="6" a="1"/>
  <c r="IG83" i="6" s="1"/>
  <c r="IF83" i="6" a="1"/>
  <c r="IF83" i="6" s="1"/>
  <c r="IE83" i="6" a="1"/>
  <c r="IE83" i="6" s="1"/>
  <c r="ID83" i="6" a="1"/>
  <c r="ID83" i="6" s="1"/>
  <c r="IC83" i="6" a="1"/>
  <c r="IC83" i="6" s="1"/>
  <c r="HO83" i="6" a="1"/>
  <c r="HO83" i="6" s="1"/>
  <c r="HN83" i="6" a="1"/>
  <c r="HN83" i="6" s="1"/>
  <c r="HM83" i="6" a="1"/>
  <c r="HM83" i="6" s="1"/>
  <c r="HL83" i="6" a="1"/>
  <c r="HL83" i="6" s="1"/>
  <c r="HK83" i="6" a="1"/>
  <c r="HK83" i="6" s="1"/>
  <c r="GX83" i="6" a="1"/>
  <c r="GX83" i="6" s="1"/>
  <c r="GW83" i="6" a="1"/>
  <c r="GW83" i="6" s="1"/>
  <c r="GV83" i="6" a="1"/>
  <c r="GV83" i="6" s="1"/>
  <c r="GU83" i="6" a="1"/>
  <c r="GU83" i="6" s="1"/>
  <c r="GT83" i="6" a="1"/>
  <c r="GT83" i="6" s="1"/>
  <c r="GG83" i="6" a="1"/>
  <c r="GG83" i="6" s="1"/>
  <c r="GF83" i="6" a="1"/>
  <c r="GF83" i="6" s="1"/>
  <c r="GE83" i="6" a="1"/>
  <c r="GE83" i="6" s="1"/>
  <c r="GD83" i="6" a="1"/>
  <c r="GD83" i="6" s="1"/>
  <c r="GC83" i="6" a="1"/>
  <c r="GC83" i="6" s="1"/>
  <c r="FP83" i="6" a="1"/>
  <c r="FP83" i="6" s="1"/>
  <c r="FO83" i="6" a="1"/>
  <c r="FO83" i="6" s="1"/>
  <c r="FN83" i="6" a="1"/>
  <c r="FN83" i="6" s="1"/>
  <c r="FM83" i="6" a="1"/>
  <c r="FM83" i="6" s="1"/>
  <c r="FL83" i="6" a="1"/>
  <c r="FL83" i="6" s="1"/>
  <c r="EY83" i="6" a="1"/>
  <c r="EY83" i="6" s="1"/>
  <c r="EX83" i="6" a="1"/>
  <c r="EX83" i="6" s="1"/>
  <c r="EW83" i="6" a="1"/>
  <c r="EW83" i="6" s="1"/>
  <c r="EV83" i="6" a="1"/>
  <c r="EV83" i="6" s="1"/>
  <c r="EU83" i="6" a="1"/>
  <c r="EU83" i="6" s="1"/>
  <c r="EH83" i="6" a="1"/>
  <c r="EH83" i="6" s="1"/>
  <c r="EG83" i="6" a="1"/>
  <c r="EG83" i="6" s="1"/>
  <c r="EF83" i="6" a="1"/>
  <c r="EF83" i="6" s="1"/>
  <c r="EE83" i="6" a="1"/>
  <c r="EE83" i="6" s="1"/>
  <c r="ED83" i="6" a="1"/>
  <c r="ED83" i="6" s="1"/>
  <c r="DQ83" i="6" a="1"/>
  <c r="DQ83" i="6" s="1"/>
  <c r="DP83" i="6" a="1"/>
  <c r="DP83" i="6" s="1"/>
  <c r="DO83" i="6" a="1"/>
  <c r="DO83" i="6" s="1"/>
  <c r="DN83" i="6" a="1"/>
  <c r="DN83" i="6" s="1"/>
  <c r="DM83" i="6" a="1"/>
  <c r="DM83" i="6" s="1"/>
  <c r="DD83" i="6" a="1"/>
  <c r="DD83" i="6" s="1"/>
  <c r="CU83" i="6" a="1"/>
  <c r="CU83" i="6" s="1"/>
  <c r="CL83" i="6" a="1"/>
  <c r="CL83" i="6" s="1"/>
  <c r="BX83" i="6" a="1"/>
  <c r="BX83" i="6" s="1"/>
  <c r="BW83" i="6" a="1"/>
  <c r="BW83" i="6" s="1"/>
  <c r="BV83" i="6" a="1"/>
  <c r="BV83" i="6" s="1"/>
  <c r="BU83" i="6" a="1"/>
  <c r="BU83" i="6" s="1"/>
  <c r="BT83" i="6" a="1"/>
  <c r="BT83" i="6" s="1"/>
  <c r="BS83" i="6" a="1"/>
  <c r="BS83" i="6" s="1"/>
  <c r="BA83" i="6" a="1"/>
  <c r="BA83" i="6" s="1"/>
  <c r="AZ83" i="6" a="1"/>
  <c r="AZ83" i="6" s="1"/>
  <c r="AY83" i="6" a="1"/>
  <c r="AY83" i="6" s="1"/>
  <c r="AX83" i="6" a="1"/>
  <c r="AX83" i="6" s="1"/>
  <c r="AW83" i="6" a="1"/>
  <c r="AW83" i="6" s="1"/>
  <c r="AV83" i="6" a="1"/>
  <c r="AV83" i="6" s="1"/>
  <c r="AU83" i="6" a="1"/>
  <c r="AU83" i="6" s="1"/>
  <c r="AT83" i="6" a="1"/>
  <c r="AT83" i="6" s="1"/>
  <c r="AS83" i="6" a="1"/>
  <c r="AS83" i="6" s="1"/>
  <c r="AR83" i="6" a="1"/>
  <c r="AR83" i="6" s="1"/>
  <c r="AH83" i="6" a="1"/>
  <c r="AH83" i="6" s="1"/>
  <c r="AG83" i="6" a="1"/>
  <c r="AG83" i="6" s="1"/>
  <c r="V83" i="6" a="1"/>
  <c r="V83" i="6" s="1"/>
  <c r="U83" i="6" a="1"/>
  <c r="U83" i="6" s="1"/>
  <c r="J83" i="6" a="1"/>
  <c r="J83" i="6" s="1"/>
  <c r="I83" i="6" a="1"/>
  <c r="I83" i="6" s="1"/>
  <c r="ADA82" i="6" a="1"/>
  <c r="ADA82" i="6" s="1"/>
  <c r="ACZ82" i="6" a="1"/>
  <c r="ACZ82" i="6" s="1"/>
  <c r="ACY82" i="6" a="1"/>
  <c r="ACY82" i="6" s="1"/>
  <c r="ACN82" i="6" a="1"/>
  <c r="ACN82" i="6" s="1"/>
  <c r="ACM82" i="6" a="1"/>
  <c r="ACM82" i="6" s="1"/>
  <c r="ABU82" i="6" a="1"/>
  <c r="ABU82" i="6" s="1"/>
  <c r="ABX82" i="6" a="1"/>
  <c r="ABX82" i="6" s="1"/>
  <c r="ABV82" i="6" a="1"/>
  <c r="ABV82" i="6" s="1"/>
  <c r="ABH82" i="6" a="1"/>
  <c r="ABH82" i="6" s="1"/>
  <c r="ABG82" i="6" a="1"/>
  <c r="ABG82" i="6" s="1"/>
  <c r="ABF82" i="6" a="1"/>
  <c r="ABF82" i="6" s="1"/>
  <c r="ABE82" i="6" a="1"/>
  <c r="ABE82" i="6" s="1"/>
  <c r="ABD82" i="6" a="1"/>
  <c r="ABD82" i="6" s="1"/>
  <c r="ZR82" i="6" a="1"/>
  <c r="ZR82" i="6" s="1"/>
  <c r="ZE82" i="6" a="1"/>
  <c r="ZE82" i="6" s="1"/>
  <c r="ZD82" i="6" a="1"/>
  <c r="ZD82" i="6" s="1"/>
  <c r="ZC82" i="6" a="1"/>
  <c r="ZC82" i="6" s="1"/>
  <c r="ZB82" i="6" a="1"/>
  <c r="ZB82" i="6" s="1"/>
  <c r="ZA82" i="6" a="1"/>
  <c r="ZA82" i="6" s="1"/>
  <c r="YP82" i="6" a="1"/>
  <c r="YP82" i="6" s="1"/>
  <c r="YO82" i="6" a="1"/>
  <c r="YO82" i="6" s="1"/>
  <c r="YE82" i="6" a="1"/>
  <c r="YE82" i="6" s="1"/>
  <c r="YD82" i="6" a="1"/>
  <c r="YD82" i="6" s="1"/>
  <c r="XT82" i="6" a="1"/>
  <c r="XT82" i="6" s="1"/>
  <c r="XS82" i="6" a="1"/>
  <c r="XS82" i="6" s="1"/>
  <c r="XI82" i="6" a="1"/>
  <c r="XI82" i="6" s="1"/>
  <c r="XH82" i="6" a="1"/>
  <c r="XH82" i="6" s="1"/>
  <c r="WX82" i="6" a="1"/>
  <c r="WX82" i="6" s="1"/>
  <c r="WW82" i="6" a="1"/>
  <c r="WW82" i="6" s="1"/>
  <c r="WM82" i="6" a="1"/>
  <c r="WM82" i="6" s="1"/>
  <c r="WL82" i="6" a="1"/>
  <c r="WL82" i="6" s="1"/>
  <c r="WC82" i="6" a="1"/>
  <c r="WC82" i="6" s="1"/>
  <c r="VQ82" i="6" a="1"/>
  <c r="VQ82" i="6" s="1"/>
  <c r="VP82" i="6" a="1"/>
  <c r="VP82" i="6" s="1"/>
  <c r="VO82" i="6" a="1"/>
  <c r="VO82" i="6" s="1"/>
  <c r="VN82" i="6" a="1"/>
  <c r="VN82" i="6" s="1"/>
  <c r="VA82" i="6" a="1"/>
  <c r="VA82" i="6" s="1"/>
  <c r="UZ82" i="6" a="1"/>
  <c r="UZ82" i="6" s="1"/>
  <c r="UY82" i="6" a="1"/>
  <c r="UY82" i="6" s="1"/>
  <c r="UX82" i="6" a="1"/>
  <c r="UX82" i="6" s="1"/>
  <c r="UW82" i="6" a="1"/>
  <c r="UW82" i="6" s="1"/>
  <c r="UM82" i="6" a="1"/>
  <c r="UM82" i="6" s="1"/>
  <c r="TZ82" i="6" a="1"/>
  <c r="TZ82" i="6" s="1"/>
  <c r="TY82" i="6" a="1"/>
  <c r="TY82" i="6" s="1"/>
  <c r="TX82" i="6" a="1"/>
  <c r="TX82" i="6" s="1"/>
  <c r="TW82" i="6" a="1"/>
  <c r="TW82" i="6" s="1"/>
  <c r="TV82" i="6" a="1"/>
  <c r="TV82" i="6" s="1"/>
  <c r="TH82" i="6" a="1"/>
  <c r="TH82" i="6" s="1"/>
  <c r="TG82" i="6" a="1"/>
  <c r="TG82" i="6" s="1"/>
  <c r="TF82" i="6" a="1"/>
  <c r="TF82" i="6" s="1"/>
  <c r="TE82" i="6" a="1"/>
  <c r="TE82" i="6" s="1"/>
  <c r="TD82" i="6" a="1"/>
  <c r="TD82" i="6" s="1"/>
  <c r="SP82" i="6" a="1"/>
  <c r="SP82" i="6" s="1"/>
  <c r="SO82" i="6" a="1"/>
  <c r="SO82" i="6" s="1"/>
  <c r="SN82" i="6" a="1"/>
  <c r="SN82" i="6" s="1"/>
  <c r="SM82" i="6" a="1"/>
  <c r="SM82" i="6" s="1"/>
  <c r="SL82" i="6" a="1"/>
  <c r="SL82" i="6" s="1"/>
  <c r="RX82" i="6" a="1"/>
  <c r="RX82" i="6" s="1"/>
  <c r="RW82" i="6" a="1"/>
  <c r="RW82" i="6" s="1"/>
  <c r="RV82" i="6" a="1"/>
  <c r="RV82" i="6" s="1"/>
  <c r="RU82" i="6" a="1"/>
  <c r="RU82" i="6" s="1"/>
  <c r="RT82" i="6" a="1"/>
  <c r="RT82" i="6" s="1"/>
  <c r="RF82" i="6" a="1"/>
  <c r="RF82" i="6" s="1"/>
  <c r="RE82" i="6" a="1"/>
  <c r="RE82" i="6" s="1"/>
  <c r="RD82" i="6" a="1"/>
  <c r="RD82" i="6" s="1"/>
  <c r="RC82" i="6" a="1"/>
  <c r="RC82" i="6" s="1"/>
  <c r="RB82" i="6" a="1"/>
  <c r="RB82" i="6" s="1"/>
  <c r="QN82" i="6" a="1"/>
  <c r="QN82" i="6" s="1"/>
  <c r="QM82" i="6" a="1"/>
  <c r="QM82" i="6" s="1"/>
  <c r="QL82" i="6" a="1"/>
  <c r="QL82" i="6" s="1"/>
  <c r="QK82" i="6" a="1"/>
  <c r="QK82" i="6" s="1"/>
  <c r="QJ82" i="6" a="1"/>
  <c r="QJ82" i="6" s="1"/>
  <c r="PV82" i="6" a="1"/>
  <c r="PV82" i="6" s="1"/>
  <c r="PU82" i="6" a="1"/>
  <c r="PU82" i="6" s="1"/>
  <c r="PT82" i="6" a="1"/>
  <c r="PT82" i="6" s="1"/>
  <c r="PS82" i="6" a="1"/>
  <c r="PS82" i="6" s="1"/>
  <c r="PR82" i="6" a="1"/>
  <c r="PR82" i="6" s="1"/>
  <c r="PD82" i="6" a="1"/>
  <c r="PD82" i="6" s="1"/>
  <c r="PC82" i="6" a="1"/>
  <c r="PC82" i="6" s="1"/>
  <c r="PB82" i="6" a="1"/>
  <c r="PB82" i="6" s="1"/>
  <c r="PA82" i="6" a="1"/>
  <c r="PA82" i="6" s="1"/>
  <c r="OZ82" i="6" a="1"/>
  <c r="OZ82" i="6" s="1"/>
  <c r="OL82" i="6" a="1"/>
  <c r="OL82" i="6" s="1"/>
  <c r="OK82" i="6" a="1"/>
  <c r="OK82" i="6" s="1"/>
  <c r="OJ82" i="6" a="1"/>
  <c r="OJ82" i="6" s="1"/>
  <c r="OI82" i="6" a="1"/>
  <c r="OI82" i="6" s="1"/>
  <c r="OH82" i="6" a="1"/>
  <c r="OH82" i="6" s="1"/>
  <c r="NT82" i="6" a="1"/>
  <c r="NT82" i="6" s="1"/>
  <c r="NS82" i="6" a="1"/>
  <c r="NS82" i="6" s="1"/>
  <c r="NR82" i="6" a="1"/>
  <c r="NR82" i="6" s="1"/>
  <c r="NQ82" i="6" a="1"/>
  <c r="NQ82" i="6" s="1"/>
  <c r="NP82" i="6" a="1"/>
  <c r="NP82" i="6" s="1"/>
  <c r="NC82" i="6" a="1"/>
  <c r="NC82" i="6" s="1"/>
  <c r="NB82" i="6" a="1"/>
  <c r="NB82" i="6" s="1"/>
  <c r="NA82" i="6" a="1"/>
  <c r="NA82" i="6" s="1"/>
  <c r="MZ82" i="6" a="1"/>
  <c r="MZ82" i="6" s="1"/>
  <c r="MY82" i="6" a="1"/>
  <c r="MY82" i="6" s="1"/>
  <c r="MK82" i="6" a="1"/>
  <c r="MK82" i="6" s="1"/>
  <c r="MJ82" i="6" a="1"/>
  <c r="MJ82" i="6" s="1"/>
  <c r="MI82" i="6" a="1"/>
  <c r="MI82" i="6" s="1"/>
  <c r="MH82" i="6" a="1"/>
  <c r="MH82" i="6" s="1"/>
  <c r="MG82" i="6" a="1"/>
  <c r="MG82" i="6" s="1"/>
  <c r="LS82" i="6" a="1"/>
  <c r="LS82" i="6" s="1"/>
  <c r="LR82" i="6" a="1"/>
  <c r="LR82" i="6" s="1"/>
  <c r="LQ82" i="6" a="1"/>
  <c r="LQ82" i="6" s="1"/>
  <c r="LP82" i="6" a="1"/>
  <c r="LP82" i="6" s="1"/>
  <c r="LO82" i="6" a="1"/>
  <c r="LO82" i="6" s="1"/>
  <c r="LA82" i="6" a="1"/>
  <c r="LA82" i="6" s="1"/>
  <c r="KZ82" i="6" a="1"/>
  <c r="KZ82" i="6" s="1"/>
  <c r="KY82" i="6" a="1"/>
  <c r="KY82" i="6" s="1"/>
  <c r="KX82" i="6" a="1"/>
  <c r="KX82" i="6" s="1"/>
  <c r="KW82" i="6" a="1"/>
  <c r="KW82" i="6" s="1"/>
  <c r="KI82" i="6" a="1"/>
  <c r="KI82" i="6" s="1"/>
  <c r="KH82" i="6" a="1"/>
  <c r="KH82" i="6" s="1"/>
  <c r="KG82" i="6" a="1"/>
  <c r="KG82" i="6" s="1"/>
  <c r="KF82" i="6" a="1"/>
  <c r="KF82" i="6" s="1"/>
  <c r="KE82" i="6" a="1"/>
  <c r="KE82" i="6" s="1"/>
  <c r="JQ82" i="6" a="1"/>
  <c r="JQ82" i="6" s="1"/>
  <c r="JP82" i="6" a="1"/>
  <c r="JP82" i="6" s="1"/>
  <c r="JO82" i="6" a="1"/>
  <c r="JO82" i="6" s="1"/>
  <c r="JN82" i="6" a="1"/>
  <c r="JN82" i="6" s="1"/>
  <c r="JM82" i="6" a="1"/>
  <c r="JM82" i="6" s="1"/>
  <c r="IY82" i="6" a="1"/>
  <c r="IY82" i="6" s="1"/>
  <c r="IX82" i="6" a="1"/>
  <c r="IX82" i="6" s="1"/>
  <c r="IW82" i="6" a="1"/>
  <c r="IW82" i="6" s="1"/>
  <c r="IV82" i="6" a="1"/>
  <c r="IV82" i="6" s="1"/>
  <c r="IU82" i="6" a="1"/>
  <c r="IU82" i="6" s="1"/>
  <c r="IG82" i="6" a="1"/>
  <c r="IG82" i="6" s="1"/>
  <c r="IF82" i="6" a="1"/>
  <c r="IF82" i="6" s="1"/>
  <c r="IE82" i="6" a="1"/>
  <c r="IE82" i="6" s="1"/>
  <c r="ID82" i="6" a="1"/>
  <c r="ID82" i="6" s="1"/>
  <c r="IC82" i="6" a="1"/>
  <c r="IC82" i="6" s="1"/>
  <c r="HO82" i="6" a="1"/>
  <c r="HO82" i="6" s="1"/>
  <c r="HN82" i="6" a="1"/>
  <c r="HN82" i="6" s="1"/>
  <c r="HM82" i="6" a="1"/>
  <c r="HM82" i="6" s="1"/>
  <c r="HL82" i="6" a="1"/>
  <c r="HL82" i="6" s="1"/>
  <c r="HK82" i="6" a="1"/>
  <c r="HK82" i="6" s="1"/>
  <c r="GX82" i="6" a="1"/>
  <c r="GX82" i="6" s="1"/>
  <c r="GW82" i="6" a="1"/>
  <c r="GW82" i="6" s="1"/>
  <c r="GV82" i="6" a="1"/>
  <c r="GV82" i="6" s="1"/>
  <c r="GU82" i="6" a="1"/>
  <c r="GU82" i="6" s="1"/>
  <c r="GT82" i="6" a="1"/>
  <c r="GT82" i="6" s="1"/>
  <c r="GG82" i="6" a="1"/>
  <c r="GG82" i="6" s="1"/>
  <c r="GF82" i="6" a="1"/>
  <c r="GF82" i="6" s="1"/>
  <c r="GE82" i="6" a="1"/>
  <c r="GE82" i="6" s="1"/>
  <c r="GD82" i="6" a="1"/>
  <c r="GD82" i="6" s="1"/>
  <c r="GC82" i="6" a="1"/>
  <c r="GC82" i="6" s="1"/>
  <c r="FP82" i="6" a="1"/>
  <c r="FP82" i="6" s="1"/>
  <c r="FO82" i="6" a="1"/>
  <c r="FO82" i="6" s="1"/>
  <c r="FN82" i="6" a="1"/>
  <c r="FN82" i="6" s="1"/>
  <c r="FM82" i="6" a="1"/>
  <c r="FM82" i="6" s="1"/>
  <c r="FL82" i="6" a="1"/>
  <c r="FL82" i="6" s="1"/>
  <c r="EY82" i="6" a="1"/>
  <c r="EY82" i="6" s="1"/>
  <c r="EX82" i="6" a="1"/>
  <c r="EX82" i="6" s="1"/>
  <c r="EW82" i="6" a="1"/>
  <c r="EW82" i="6" s="1"/>
  <c r="EV82" i="6" a="1"/>
  <c r="EV82" i="6" s="1"/>
  <c r="EU82" i="6" a="1"/>
  <c r="EU82" i="6" s="1"/>
  <c r="EH82" i="6" a="1"/>
  <c r="EH82" i="6" s="1"/>
  <c r="EG82" i="6" a="1"/>
  <c r="EG82" i="6" s="1"/>
  <c r="EF82" i="6" a="1"/>
  <c r="EF82" i="6" s="1"/>
  <c r="EE82" i="6" a="1"/>
  <c r="EE82" i="6" s="1"/>
  <c r="ED82" i="6" a="1"/>
  <c r="ED82" i="6" s="1"/>
  <c r="DQ82" i="6" a="1"/>
  <c r="DQ82" i="6" s="1"/>
  <c r="DP82" i="6" a="1"/>
  <c r="DP82" i="6" s="1"/>
  <c r="DO82" i="6" a="1"/>
  <c r="DO82" i="6" s="1"/>
  <c r="DN82" i="6" a="1"/>
  <c r="DN82" i="6" s="1"/>
  <c r="DM82" i="6" a="1"/>
  <c r="DM82" i="6" s="1"/>
  <c r="DD82" i="6" a="1"/>
  <c r="DD82" i="6" s="1"/>
  <c r="CU82" i="6" a="1"/>
  <c r="CU82" i="6" s="1"/>
  <c r="CL82" i="6" a="1"/>
  <c r="CL82" i="6" s="1"/>
  <c r="BX82" i="6" a="1"/>
  <c r="BX82" i="6" s="1"/>
  <c r="BW82" i="6" a="1"/>
  <c r="BW82" i="6" s="1"/>
  <c r="BV82" i="6" a="1"/>
  <c r="BV82" i="6" s="1"/>
  <c r="BU82" i="6" a="1"/>
  <c r="BU82" i="6" s="1"/>
  <c r="BT82" i="6" a="1"/>
  <c r="BT82" i="6" s="1"/>
  <c r="BS82" i="6" a="1"/>
  <c r="BS82" i="6" s="1"/>
  <c r="BA82" i="6" a="1"/>
  <c r="BA82" i="6" s="1"/>
  <c r="AZ82" i="6" a="1"/>
  <c r="AZ82" i="6" s="1"/>
  <c r="AY82" i="6" a="1"/>
  <c r="AY82" i="6" s="1"/>
  <c r="AX82" i="6" a="1"/>
  <c r="AX82" i="6" s="1"/>
  <c r="AW82" i="6" a="1"/>
  <c r="AW82" i="6" s="1"/>
  <c r="AV82" i="6" a="1"/>
  <c r="AV82" i="6" s="1"/>
  <c r="AU82" i="6" a="1"/>
  <c r="AU82" i="6" s="1"/>
  <c r="AT82" i="6" a="1"/>
  <c r="AT82" i="6" s="1"/>
  <c r="AS82" i="6" a="1"/>
  <c r="AS82" i="6" s="1"/>
  <c r="AR82" i="6" a="1"/>
  <c r="AR82" i="6" s="1"/>
  <c r="AH82" i="6" a="1"/>
  <c r="AH82" i="6" s="1"/>
  <c r="AG82" i="6" a="1"/>
  <c r="AG82" i="6" s="1"/>
  <c r="V82" i="6" a="1"/>
  <c r="V82" i="6" s="1"/>
  <c r="U82" i="6" a="1"/>
  <c r="U82" i="6" s="1"/>
  <c r="J82" i="6" a="1"/>
  <c r="J82" i="6" s="1"/>
  <c r="I82" i="6" a="1"/>
  <c r="I82" i="6" s="1"/>
  <c r="ADA81" i="6" a="1"/>
  <c r="ADA81" i="6" s="1"/>
  <c r="ACZ81" i="6" a="1"/>
  <c r="ACZ81" i="6" s="1"/>
  <c r="ACY81" i="6" a="1"/>
  <c r="ACY81" i="6" s="1"/>
  <c r="ACN81" i="6" a="1"/>
  <c r="ACN81" i="6" s="1"/>
  <c r="ACM81" i="6" a="1"/>
  <c r="ACM81" i="6" s="1"/>
  <c r="ABU81" i="6" a="1"/>
  <c r="ABU81" i="6" s="1"/>
  <c r="ABX81" i="6" a="1"/>
  <c r="ABX81" i="6" s="1"/>
  <c r="ABV81" i="6" a="1"/>
  <c r="ABV81" i="6" s="1"/>
  <c r="ABH81" i="6" a="1"/>
  <c r="ABH81" i="6" s="1"/>
  <c r="ABG81" i="6" a="1"/>
  <c r="ABG81" i="6" s="1"/>
  <c r="ABF81" i="6" a="1"/>
  <c r="ABF81" i="6" s="1"/>
  <c r="ABE81" i="6" a="1"/>
  <c r="ABE81" i="6" s="1"/>
  <c r="ABD81" i="6" a="1"/>
  <c r="ABD81" i="6" s="1"/>
  <c r="ZR81" i="6" a="1"/>
  <c r="ZR81" i="6" s="1"/>
  <c r="ZE81" i="6" a="1"/>
  <c r="ZE81" i="6" s="1"/>
  <c r="ZD81" i="6" a="1"/>
  <c r="ZD81" i="6" s="1"/>
  <c r="ZC81" i="6" a="1"/>
  <c r="ZC81" i="6" s="1"/>
  <c r="ZB81" i="6" a="1"/>
  <c r="ZB81" i="6" s="1"/>
  <c r="ZA81" i="6" a="1"/>
  <c r="ZA81" i="6" s="1"/>
  <c r="YP81" i="6" a="1"/>
  <c r="YP81" i="6" s="1"/>
  <c r="YO81" i="6" a="1"/>
  <c r="YO81" i="6" s="1"/>
  <c r="YE81" i="6" a="1"/>
  <c r="YE81" i="6" s="1"/>
  <c r="YD81" i="6" a="1"/>
  <c r="YD81" i="6" s="1"/>
  <c r="XT81" i="6" a="1"/>
  <c r="XT81" i="6" s="1"/>
  <c r="XS81" i="6" a="1"/>
  <c r="XS81" i="6" s="1"/>
  <c r="XI81" i="6" a="1"/>
  <c r="XI81" i="6" s="1"/>
  <c r="XH81" i="6" a="1"/>
  <c r="XH81" i="6" s="1"/>
  <c r="WX81" i="6" a="1"/>
  <c r="WX81" i="6" s="1"/>
  <c r="WW81" i="6" a="1"/>
  <c r="WW81" i="6" s="1"/>
  <c r="WM81" i="6" a="1"/>
  <c r="WM81" i="6" s="1"/>
  <c r="WL81" i="6" a="1"/>
  <c r="WL81" i="6" s="1"/>
  <c r="WC81" i="6" a="1"/>
  <c r="WC81" i="6" s="1"/>
  <c r="VQ81" i="6" a="1"/>
  <c r="VQ81" i="6" s="1"/>
  <c r="VP81" i="6" a="1"/>
  <c r="VP81" i="6" s="1"/>
  <c r="VO81" i="6" a="1"/>
  <c r="VO81" i="6" s="1"/>
  <c r="VN81" i="6" a="1"/>
  <c r="VN81" i="6" s="1"/>
  <c r="VA81" i="6" a="1"/>
  <c r="VA81" i="6" s="1"/>
  <c r="UZ81" i="6" a="1"/>
  <c r="UZ81" i="6" s="1"/>
  <c r="UY81" i="6" a="1"/>
  <c r="UY81" i="6" s="1"/>
  <c r="UX81" i="6" a="1"/>
  <c r="UX81" i="6" s="1"/>
  <c r="UW81" i="6" a="1"/>
  <c r="UW81" i="6" s="1"/>
  <c r="UM81" i="6" a="1"/>
  <c r="UM81" i="6" s="1"/>
  <c r="TZ81" i="6" a="1"/>
  <c r="TZ81" i="6" s="1"/>
  <c r="TY81" i="6" a="1"/>
  <c r="TY81" i="6" s="1"/>
  <c r="TX81" i="6" a="1"/>
  <c r="TX81" i="6" s="1"/>
  <c r="TW81" i="6" a="1"/>
  <c r="TW81" i="6" s="1"/>
  <c r="TV81" i="6" a="1"/>
  <c r="TV81" i="6" s="1"/>
  <c r="TH81" i="6" a="1"/>
  <c r="TH81" i="6" s="1"/>
  <c r="TG81" i="6" a="1"/>
  <c r="TG81" i="6" s="1"/>
  <c r="TF81" i="6" a="1"/>
  <c r="TF81" i="6" s="1"/>
  <c r="TE81" i="6" a="1"/>
  <c r="TE81" i="6" s="1"/>
  <c r="TD81" i="6" a="1"/>
  <c r="TD81" i="6" s="1"/>
  <c r="SP81" i="6" a="1"/>
  <c r="SP81" i="6" s="1"/>
  <c r="SO81" i="6" a="1"/>
  <c r="SO81" i="6" s="1"/>
  <c r="SN81" i="6" a="1"/>
  <c r="SN81" i="6" s="1"/>
  <c r="SM81" i="6" a="1"/>
  <c r="SM81" i="6" s="1"/>
  <c r="SL81" i="6" a="1"/>
  <c r="SL81" i="6" s="1"/>
  <c r="RX81" i="6" a="1"/>
  <c r="RX81" i="6" s="1"/>
  <c r="RW81" i="6" a="1"/>
  <c r="RW81" i="6" s="1"/>
  <c r="RV81" i="6" a="1"/>
  <c r="RV81" i="6" s="1"/>
  <c r="RU81" i="6" a="1"/>
  <c r="RU81" i="6" s="1"/>
  <c r="RT81" i="6" a="1"/>
  <c r="RT81" i="6" s="1"/>
  <c r="RF81" i="6" a="1"/>
  <c r="RF81" i="6" s="1"/>
  <c r="RE81" i="6" a="1"/>
  <c r="RE81" i="6" s="1"/>
  <c r="RD81" i="6" a="1"/>
  <c r="RD81" i="6" s="1"/>
  <c r="RC81" i="6" a="1"/>
  <c r="RC81" i="6" s="1"/>
  <c r="RB81" i="6" a="1"/>
  <c r="RB81" i="6" s="1"/>
  <c r="QN81" i="6" a="1"/>
  <c r="QN81" i="6" s="1"/>
  <c r="QM81" i="6" a="1"/>
  <c r="QM81" i="6" s="1"/>
  <c r="QL81" i="6" a="1"/>
  <c r="QL81" i="6" s="1"/>
  <c r="QK81" i="6" a="1"/>
  <c r="QK81" i="6" s="1"/>
  <c r="QJ81" i="6" a="1"/>
  <c r="QJ81" i="6" s="1"/>
  <c r="PV81" i="6" a="1"/>
  <c r="PV81" i="6" s="1"/>
  <c r="PU81" i="6" a="1"/>
  <c r="PU81" i="6" s="1"/>
  <c r="PT81" i="6" a="1"/>
  <c r="PT81" i="6" s="1"/>
  <c r="PS81" i="6" a="1"/>
  <c r="PS81" i="6" s="1"/>
  <c r="PR81" i="6" a="1"/>
  <c r="PR81" i="6" s="1"/>
  <c r="PD81" i="6" a="1"/>
  <c r="PD81" i="6" s="1"/>
  <c r="PC81" i="6" a="1"/>
  <c r="PC81" i="6" s="1"/>
  <c r="PB81" i="6" a="1"/>
  <c r="PB81" i="6" s="1"/>
  <c r="PA81" i="6" a="1"/>
  <c r="PA81" i="6" s="1"/>
  <c r="OZ81" i="6" a="1"/>
  <c r="OZ81" i="6" s="1"/>
  <c r="OL81" i="6" a="1"/>
  <c r="OL81" i="6" s="1"/>
  <c r="OK81" i="6" a="1"/>
  <c r="OK81" i="6" s="1"/>
  <c r="OJ81" i="6" a="1"/>
  <c r="OJ81" i="6" s="1"/>
  <c r="OI81" i="6" a="1"/>
  <c r="OI81" i="6" s="1"/>
  <c r="OH81" i="6" a="1"/>
  <c r="OH81" i="6" s="1"/>
  <c r="NT81" i="6" a="1"/>
  <c r="NT81" i="6" s="1"/>
  <c r="NS81" i="6" a="1"/>
  <c r="NS81" i="6" s="1"/>
  <c r="NR81" i="6" a="1"/>
  <c r="NR81" i="6" s="1"/>
  <c r="NQ81" i="6" a="1"/>
  <c r="NQ81" i="6" s="1"/>
  <c r="NP81" i="6" a="1"/>
  <c r="NP81" i="6" s="1"/>
  <c r="NC81" i="6" a="1"/>
  <c r="NC81" i="6" s="1"/>
  <c r="NB81" i="6" a="1"/>
  <c r="NB81" i="6" s="1"/>
  <c r="NA81" i="6" a="1"/>
  <c r="NA81" i="6" s="1"/>
  <c r="MZ81" i="6" a="1"/>
  <c r="MZ81" i="6" s="1"/>
  <c r="MY81" i="6" a="1"/>
  <c r="MY81" i="6" s="1"/>
  <c r="MK81" i="6" a="1"/>
  <c r="MK81" i="6" s="1"/>
  <c r="MJ81" i="6" a="1"/>
  <c r="MJ81" i="6" s="1"/>
  <c r="MI81" i="6" a="1"/>
  <c r="MI81" i="6" s="1"/>
  <c r="MH81" i="6" a="1"/>
  <c r="MH81" i="6" s="1"/>
  <c r="MG81" i="6" a="1"/>
  <c r="MG81" i="6" s="1"/>
  <c r="LS81" i="6" a="1"/>
  <c r="LS81" i="6" s="1"/>
  <c r="LR81" i="6" a="1"/>
  <c r="LR81" i="6" s="1"/>
  <c r="LQ81" i="6" a="1"/>
  <c r="LQ81" i="6" s="1"/>
  <c r="LP81" i="6" a="1"/>
  <c r="LP81" i="6" s="1"/>
  <c r="LO81" i="6" a="1"/>
  <c r="LO81" i="6" s="1"/>
  <c r="LA81" i="6" a="1"/>
  <c r="LA81" i="6" s="1"/>
  <c r="KZ81" i="6" a="1"/>
  <c r="KZ81" i="6" s="1"/>
  <c r="KY81" i="6" a="1"/>
  <c r="KY81" i="6" s="1"/>
  <c r="KX81" i="6" a="1"/>
  <c r="KX81" i="6" s="1"/>
  <c r="KW81" i="6" a="1"/>
  <c r="KW81" i="6" s="1"/>
  <c r="KI81" i="6" a="1"/>
  <c r="KI81" i="6" s="1"/>
  <c r="KH81" i="6" a="1"/>
  <c r="KH81" i="6" s="1"/>
  <c r="KG81" i="6" a="1"/>
  <c r="KG81" i="6" s="1"/>
  <c r="KF81" i="6" a="1"/>
  <c r="KF81" i="6" s="1"/>
  <c r="KE81" i="6" a="1"/>
  <c r="KE81" i="6" s="1"/>
  <c r="JQ81" i="6" a="1"/>
  <c r="JQ81" i="6" s="1"/>
  <c r="JP81" i="6" a="1"/>
  <c r="JP81" i="6" s="1"/>
  <c r="JO81" i="6" a="1"/>
  <c r="JO81" i="6" s="1"/>
  <c r="JN81" i="6" a="1"/>
  <c r="JN81" i="6" s="1"/>
  <c r="JM81" i="6" a="1"/>
  <c r="JM81" i="6" s="1"/>
  <c r="IY81" i="6" a="1"/>
  <c r="IY81" i="6" s="1"/>
  <c r="IX81" i="6" a="1"/>
  <c r="IX81" i="6" s="1"/>
  <c r="IW81" i="6" a="1"/>
  <c r="IW81" i="6" s="1"/>
  <c r="IV81" i="6" a="1"/>
  <c r="IV81" i="6" s="1"/>
  <c r="IU81" i="6" a="1"/>
  <c r="IU81" i="6" s="1"/>
  <c r="IG81" i="6" a="1"/>
  <c r="IG81" i="6" s="1"/>
  <c r="IF81" i="6" a="1"/>
  <c r="IF81" i="6" s="1"/>
  <c r="IE81" i="6" a="1"/>
  <c r="IE81" i="6" s="1"/>
  <c r="ID81" i="6" a="1"/>
  <c r="ID81" i="6" s="1"/>
  <c r="IC81" i="6" a="1"/>
  <c r="IC81" i="6" s="1"/>
  <c r="HO81" i="6" a="1"/>
  <c r="HO81" i="6" s="1"/>
  <c r="HN81" i="6" a="1"/>
  <c r="HN81" i="6" s="1"/>
  <c r="HM81" i="6" a="1"/>
  <c r="HM81" i="6" s="1"/>
  <c r="HL81" i="6" a="1"/>
  <c r="HL81" i="6" s="1"/>
  <c r="HK81" i="6" a="1"/>
  <c r="HK81" i="6" s="1"/>
  <c r="GX81" i="6" a="1"/>
  <c r="GX81" i="6" s="1"/>
  <c r="GW81" i="6" a="1"/>
  <c r="GW81" i="6" s="1"/>
  <c r="GV81" i="6" a="1"/>
  <c r="GV81" i="6" s="1"/>
  <c r="GU81" i="6" a="1"/>
  <c r="GU81" i="6" s="1"/>
  <c r="GT81" i="6" a="1"/>
  <c r="GT81" i="6" s="1"/>
  <c r="GG81" i="6" a="1"/>
  <c r="GG81" i="6" s="1"/>
  <c r="GF81" i="6" a="1"/>
  <c r="GF81" i="6" s="1"/>
  <c r="GE81" i="6" a="1"/>
  <c r="GE81" i="6" s="1"/>
  <c r="GD81" i="6" a="1"/>
  <c r="GD81" i="6" s="1"/>
  <c r="GC81" i="6" a="1"/>
  <c r="GC81" i="6" s="1"/>
  <c r="FP81" i="6" a="1"/>
  <c r="FP81" i="6" s="1"/>
  <c r="FO81" i="6" a="1"/>
  <c r="FO81" i="6" s="1"/>
  <c r="FN81" i="6" a="1"/>
  <c r="FN81" i="6" s="1"/>
  <c r="FM81" i="6" a="1"/>
  <c r="FM81" i="6" s="1"/>
  <c r="FL81" i="6" a="1"/>
  <c r="FL81" i="6" s="1"/>
  <c r="EY81" i="6" a="1"/>
  <c r="EY81" i="6" s="1"/>
  <c r="EX81" i="6" a="1"/>
  <c r="EX81" i="6" s="1"/>
  <c r="EW81" i="6" a="1"/>
  <c r="EW81" i="6" s="1"/>
  <c r="EV81" i="6" a="1"/>
  <c r="EV81" i="6" s="1"/>
  <c r="EU81" i="6" a="1"/>
  <c r="EU81" i="6" s="1"/>
  <c r="EH81" i="6" a="1"/>
  <c r="EH81" i="6" s="1"/>
  <c r="EG81" i="6" a="1"/>
  <c r="EG81" i="6" s="1"/>
  <c r="EF81" i="6" a="1"/>
  <c r="EF81" i="6" s="1"/>
  <c r="EE81" i="6" a="1"/>
  <c r="EE81" i="6" s="1"/>
  <c r="ED81" i="6" a="1"/>
  <c r="ED81" i="6" s="1"/>
  <c r="DQ81" i="6" a="1"/>
  <c r="DQ81" i="6" s="1"/>
  <c r="DP81" i="6" a="1"/>
  <c r="DP81" i="6" s="1"/>
  <c r="DO81" i="6" a="1"/>
  <c r="DO81" i="6" s="1"/>
  <c r="DN81" i="6" a="1"/>
  <c r="DN81" i="6" s="1"/>
  <c r="DM81" i="6" a="1"/>
  <c r="DM81" i="6" s="1"/>
  <c r="DD81" i="6" a="1"/>
  <c r="DD81" i="6" s="1"/>
  <c r="CU81" i="6" a="1"/>
  <c r="CU81" i="6" s="1"/>
  <c r="CL81" i="6" a="1"/>
  <c r="CL81" i="6" s="1"/>
  <c r="BX81" i="6" a="1"/>
  <c r="BX81" i="6" s="1"/>
  <c r="BW81" i="6" a="1"/>
  <c r="BW81" i="6" s="1"/>
  <c r="BV81" i="6" a="1"/>
  <c r="BV81" i="6" s="1"/>
  <c r="BU81" i="6" a="1"/>
  <c r="BU81" i="6" s="1"/>
  <c r="BT81" i="6" a="1"/>
  <c r="BT81" i="6" s="1"/>
  <c r="BS81" i="6" a="1"/>
  <c r="BS81" i="6" s="1"/>
  <c r="BA81" i="6" a="1"/>
  <c r="BA81" i="6" s="1"/>
  <c r="AZ81" i="6" a="1"/>
  <c r="AZ81" i="6" s="1"/>
  <c r="AY81" i="6" a="1"/>
  <c r="AY81" i="6" s="1"/>
  <c r="AX81" i="6" a="1"/>
  <c r="AX81" i="6" s="1"/>
  <c r="AW81" i="6" a="1"/>
  <c r="AW81" i="6" s="1"/>
  <c r="AV81" i="6" a="1"/>
  <c r="AV81" i="6" s="1"/>
  <c r="AU81" i="6" a="1"/>
  <c r="AU81" i="6" s="1"/>
  <c r="AT81" i="6" a="1"/>
  <c r="AT81" i="6" s="1"/>
  <c r="AS81" i="6" a="1"/>
  <c r="AS81" i="6" s="1"/>
  <c r="AR81" i="6" a="1"/>
  <c r="AR81" i="6" s="1"/>
  <c r="AH81" i="6" a="1"/>
  <c r="AH81" i="6" s="1"/>
  <c r="AG81" i="6" a="1"/>
  <c r="AG81" i="6" s="1"/>
  <c r="V81" i="6" a="1"/>
  <c r="V81" i="6" s="1"/>
  <c r="U81" i="6" a="1"/>
  <c r="U81" i="6" s="1"/>
  <c r="J81" i="6" a="1"/>
  <c r="J81" i="6" s="1"/>
  <c r="I81" i="6" a="1"/>
  <c r="I81" i="6" s="1"/>
  <c r="ADA80" i="6" a="1"/>
  <c r="ADA80" i="6" s="1"/>
  <c r="ACZ80" i="6" a="1"/>
  <c r="ACZ80" i="6" s="1"/>
  <c r="ACY80" i="6" a="1"/>
  <c r="ACY80" i="6" s="1"/>
  <c r="ACN80" i="6" a="1"/>
  <c r="ACN80" i="6" s="1"/>
  <c r="ACM80" i="6" a="1"/>
  <c r="ACM80" i="6" s="1"/>
  <c r="ACL80" i="6" s="1"/>
  <c r="ABU80" i="6" a="1"/>
  <c r="ABU80" i="6" s="1"/>
  <c r="ABX80" i="6" a="1"/>
  <c r="ABX80" i="6" s="1"/>
  <c r="ABV80" i="6" a="1"/>
  <c r="ABV80" i="6" s="1"/>
  <c r="ABH80" i="6" a="1"/>
  <c r="ABH80" i="6" s="1"/>
  <c r="ABG80" i="6" a="1"/>
  <c r="ABG80" i="6" s="1"/>
  <c r="ABF80" i="6" a="1"/>
  <c r="ABF80" i="6" s="1"/>
  <c r="ABE80" i="6" a="1"/>
  <c r="ABE80" i="6" s="1"/>
  <c r="ABD80" i="6" a="1"/>
  <c r="ABD80" i="6" s="1"/>
  <c r="ZR80" i="6" a="1"/>
  <c r="ZR80" i="6" s="1"/>
  <c r="ZE80" i="6" a="1"/>
  <c r="ZE80" i="6" s="1"/>
  <c r="ZD80" i="6" a="1"/>
  <c r="ZD80" i="6" s="1"/>
  <c r="ZC80" i="6" a="1"/>
  <c r="ZC80" i="6" s="1"/>
  <c r="ZB80" i="6" a="1"/>
  <c r="ZB80" i="6" s="1"/>
  <c r="ZA80" i="6" a="1"/>
  <c r="ZA80" i="6" s="1"/>
  <c r="YP80" i="6" a="1"/>
  <c r="YP80" i="6" s="1"/>
  <c r="YO80" i="6" a="1"/>
  <c r="YO80" i="6" s="1"/>
  <c r="YE80" i="6" a="1"/>
  <c r="YE80" i="6" s="1"/>
  <c r="YD80" i="6" a="1"/>
  <c r="YD80" i="6" s="1"/>
  <c r="XT80" i="6" a="1"/>
  <c r="XT80" i="6" s="1"/>
  <c r="XS80" i="6" a="1"/>
  <c r="XS80" i="6" s="1"/>
  <c r="XI80" i="6" a="1"/>
  <c r="XI80" i="6" s="1"/>
  <c r="XH80" i="6" a="1"/>
  <c r="XH80" i="6" s="1"/>
  <c r="WX80" i="6" a="1"/>
  <c r="WX80" i="6" s="1"/>
  <c r="WW80" i="6" a="1"/>
  <c r="WW80" i="6" s="1"/>
  <c r="WM80" i="6" a="1"/>
  <c r="WM80" i="6" s="1"/>
  <c r="WL80" i="6" a="1"/>
  <c r="WL80" i="6" s="1"/>
  <c r="WC80" i="6" a="1"/>
  <c r="WC80" i="6" s="1"/>
  <c r="VQ80" i="6" a="1"/>
  <c r="VQ80" i="6" s="1"/>
  <c r="VP80" i="6" a="1"/>
  <c r="VP80" i="6" s="1"/>
  <c r="VO80" i="6" a="1"/>
  <c r="VO80" i="6" s="1"/>
  <c r="VN80" i="6" a="1"/>
  <c r="VN80" i="6" s="1"/>
  <c r="VA80" i="6" a="1"/>
  <c r="VA80" i="6" s="1"/>
  <c r="UZ80" i="6" a="1"/>
  <c r="UZ80" i="6" s="1"/>
  <c r="UY80" i="6" a="1"/>
  <c r="UY80" i="6" s="1"/>
  <c r="UX80" i="6" a="1"/>
  <c r="UX80" i="6" s="1"/>
  <c r="UW80" i="6" a="1"/>
  <c r="UW80" i="6" s="1"/>
  <c r="UM80" i="6" a="1"/>
  <c r="UM80" i="6" s="1"/>
  <c r="TZ80" i="6" a="1"/>
  <c r="TZ80" i="6" s="1"/>
  <c r="TY80" i="6" a="1"/>
  <c r="TY80" i="6" s="1"/>
  <c r="TX80" i="6" a="1"/>
  <c r="TX80" i="6" s="1"/>
  <c r="TW80" i="6" a="1"/>
  <c r="TW80" i="6" s="1"/>
  <c r="TV80" i="6" a="1"/>
  <c r="TV80" i="6" s="1"/>
  <c r="TH80" i="6" a="1"/>
  <c r="TH80" i="6" s="1"/>
  <c r="TG80" i="6" a="1"/>
  <c r="TG80" i="6" s="1"/>
  <c r="TF80" i="6" a="1"/>
  <c r="TF80" i="6" s="1"/>
  <c r="TE80" i="6" a="1"/>
  <c r="TE80" i="6" s="1"/>
  <c r="TD80" i="6" a="1"/>
  <c r="TD80" i="6" s="1"/>
  <c r="SP80" i="6" a="1"/>
  <c r="SP80" i="6" s="1"/>
  <c r="SO80" i="6" a="1"/>
  <c r="SO80" i="6" s="1"/>
  <c r="SN80" i="6" a="1"/>
  <c r="SN80" i="6" s="1"/>
  <c r="SM80" i="6" a="1"/>
  <c r="SM80" i="6" s="1"/>
  <c r="SL80" i="6" a="1"/>
  <c r="SL80" i="6" s="1"/>
  <c r="RX80" i="6" a="1"/>
  <c r="RX80" i="6" s="1"/>
  <c r="RW80" i="6" a="1"/>
  <c r="RW80" i="6" s="1"/>
  <c r="RV80" i="6" a="1"/>
  <c r="RV80" i="6" s="1"/>
  <c r="RU80" i="6" a="1"/>
  <c r="RU80" i="6" s="1"/>
  <c r="RT80" i="6" a="1"/>
  <c r="RT80" i="6" s="1"/>
  <c r="RF80" i="6" a="1"/>
  <c r="RF80" i="6" s="1"/>
  <c r="RE80" i="6" a="1"/>
  <c r="RE80" i="6" s="1"/>
  <c r="RD80" i="6" a="1"/>
  <c r="RD80" i="6" s="1"/>
  <c r="RC80" i="6" a="1"/>
  <c r="RC80" i="6" s="1"/>
  <c r="RB80" i="6" a="1"/>
  <c r="RB80" i="6" s="1"/>
  <c r="QN80" i="6" a="1"/>
  <c r="QN80" i="6" s="1"/>
  <c r="QM80" i="6" a="1"/>
  <c r="QM80" i="6" s="1"/>
  <c r="QL80" i="6" a="1"/>
  <c r="QL80" i="6" s="1"/>
  <c r="QK80" i="6" a="1"/>
  <c r="QK80" i="6" s="1"/>
  <c r="QJ80" i="6" a="1"/>
  <c r="QJ80" i="6" s="1"/>
  <c r="PV80" i="6" a="1"/>
  <c r="PV80" i="6" s="1"/>
  <c r="PU80" i="6" a="1"/>
  <c r="PU80" i="6" s="1"/>
  <c r="PT80" i="6" a="1"/>
  <c r="PT80" i="6" s="1"/>
  <c r="PS80" i="6" a="1"/>
  <c r="PS80" i="6" s="1"/>
  <c r="PR80" i="6" a="1"/>
  <c r="PR80" i="6" s="1"/>
  <c r="PD80" i="6" a="1"/>
  <c r="PD80" i="6" s="1"/>
  <c r="PC80" i="6" a="1"/>
  <c r="PC80" i="6" s="1"/>
  <c r="PB80" i="6" a="1"/>
  <c r="PB80" i="6" s="1"/>
  <c r="PA80" i="6" a="1"/>
  <c r="PA80" i="6" s="1"/>
  <c r="OZ80" i="6" a="1"/>
  <c r="OZ80" i="6" s="1"/>
  <c r="OL80" i="6" a="1"/>
  <c r="OL80" i="6" s="1"/>
  <c r="OK80" i="6" a="1"/>
  <c r="OK80" i="6" s="1"/>
  <c r="OJ80" i="6" a="1"/>
  <c r="OJ80" i="6" s="1"/>
  <c r="OI80" i="6" a="1"/>
  <c r="OI80" i="6" s="1"/>
  <c r="OH80" i="6" a="1"/>
  <c r="OH80" i="6" s="1"/>
  <c r="NT80" i="6" a="1"/>
  <c r="NT80" i="6" s="1"/>
  <c r="NS80" i="6" a="1"/>
  <c r="NS80" i="6" s="1"/>
  <c r="NR80" i="6" a="1"/>
  <c r="NR80" i="6" s="1"/>
  <c r="NQ80" i="6" a="1"/>
  <c r="NQ80" i="6" s="1"/>
  <c r="NP80" i="6" a="1"/>
  <c r="NP80" i="6" s="1"/>
  <c r="NC80" i="6" a="1"/>
  <c r="NC80" i="6" s="1"/>
  <c r="NB80" i="6" a="1"/>
  <c r="NB80" i="6" s="1"/>
  <c r="NA80" i="6" a="1"/>
  <c r="NA80" i="6" s="1"/>
  <c r="MZ80" i="6" a="1"/>
  <c r="MZ80" i="6" s="1"/>
  <c r="MY80" i="6" a="1"/>
  <c r="MY80" i="6" s="1"/>
  <c r="MK80" i="6" a="1"/>
  <c r="MK80" i="6" s="1"/>
  <c r="MJ80" i="6" a="1"/>
  <c r="MJ80" i="6" s="1"/>
  <c r="MI80" i="6" a="1"/>
  <c r="MI80" i="6" s="1"/>
  <c r="MH80" i="6" a="1"/>
  <c r="MH80" i="6" s="1"/>
  <c r="MG80" i="6" a="1"/>
  <c r="MG80" i="6" s="1"/>
  <c r="LS80" i="6" a="1"/>
  <c r="LS80" i="6" s="1"/>
  <c r="LR80" i="6" a="1"/>
  <c r="LR80" i="6" s="1"/>
  <c r="LQ80" i="6" a="1"/>
  <c r="LQ80" i="6" s="1"/>
  <c r="LP80" i="6" a="1"/>
  <c r="LP80" i="6" s="1"/>
  <c r="LO80" i="6" a="1"/>
  <c r="LO80" i="6" s="1"/>
  <c r="LA80" i="6" a="1"/>
  <c r="LA80" i="6" s="1"/>
  <c r="KZ80" i="6" a="1"/>
  <c r="KZ80" i="6" s="1"/>
  <c r="KY80" i="6" a="1"/>
  <c r="KY80" i="6" s="1"/>
  <c r="KX80" i="6" a="1"/>
  <c r="KX80" i="6" s="1"/>
  <c r="KW80" i="6" a="1"/>
  <c r="KW80" i="6" s="1"/>
  <c r="KI80" i="6" a="1"/>
  <c r="KI80" i="6" s="1"/>
  <c r="KH80" i="6" a="1"/>
  <c r="KH80" i="6" s="1"/>
  <c r="KG80" i="6" a="1"/>
  <c r="KG80" i="6" s="1"/>
  <c r="KF80" i="6" a="1"/>
  <c r="KF80" i="6" s="1"/>
  <c r="KE80" i="6" a="1"/>
  <c r="KE80" i="6" s="1"/>
  <c r="JQ80" i="6" a="1"/>
  <c r="JQ80" i="6" s="1"/>
  <c r="JP80" i="6" a="1"/>
  <c r="JP80" i="6" s="1"/>
  <c r="JO80" i="6" a="1"/>
  <c r="JO80" i="6" s="1"/>
  <c r="JN80" i="6" a="1"/>
  <c r="JN80" i="6" s="1"/>
  <c r="JM80" i="6" a="1"/>
  <c r="JM80" i="6" s="1"/>
  <c r="IY80" i="6" a="1"/>
  <c r="IY80" i="6" s="1"/>
  <c r="IX80" i="6" a="1"/>
  <c r="IX80" i="6" s="1"/>
  <c r="IW80" i="6" a="1"/>
  <c r="IW80" i="6" s="1"/>
  <c r="IV80" i="6" a="1"/>
  <c r="IV80" i="6" s="1"/>
  <c r="IU80" i="6" a="1"/>
  <c r="IU80" i="6" s="1"/>
  <c r="IG80" i="6" a="1"/>
  <c r="IG80" i="6" s="1"/>
  <c r="IF80" i="6" a="1"/>
  <c r="IF80" i="6" s="1"/>
  <c r="IE80" i="6" a="1"/>
  <c r="IE80" i="6" s="1"/>
  <c r="ID80" i="6" a="1"/>
  <c r="ID80" i="6" s="1"/>
  <c r="IC80" i="6" a="1"/>
  <c r="IC80" i="6" s="1"/>
  <c r="HO80" i="6" a="1"/>
  <c r="HO80" i="6" s="1"/>
  <c r="HN80" i="6" a="1"/>
  <c r="HN80" i="6" s="1"/>
  <c r="HM80" i="6" a="1"/>
  <c r="HM80" i="6" s="1"/>
  <c r="HL80" i="6" a="1"/>
  <c r="HL80" i="6" s="1"/>
  <c r="HK80" i="6" a="1"/>
  <c r="HK80" i="6" s="1"/>
  <c r="GX80" i="6" a="1"/>
  <c r="GX80" i="6" s="1"/>
  <c r="GW80" i="6" a="1"/>
  <c r="GW80" i="6" s="1"/>
  <c r="GV80" i="6" a="1"/>
  <c r="GV80" i="6" s="1"/>
  <c r="GU80" i="6" a="1"/>
  <c r="GU80" i="6" s="1"/>
  <c r="GT80" i="6" a="1"/>
  <c r="GT80" i="6" s="1"/>
  <c r="GG80" i="6" a="1"/>
  <c r="GG80" i="6" s="1"/>
  <c r="GF80" i="6" a="1"/>
  <c r="GF80" i="6" s="1"/>
  <c r="GE80" i="6" a="1"/>
  <c r="GE80" i="6" s="1"/>
  <c r="GD80" i="6" a="1"/>
  <c r="GD80" i="6" s="1"/>
  <c r="GC80" i="6" a="1"/>
  <c r="GC80" i="6" s="1"/>
  <c r="FP80" i="6" a="1"/>
  <c r="FP80" i="6" s="1"/>
  <c r="FO80" i="6" a="1"/>
  <c r="FO80" i="6" s="1"/>
  <c r="FN80" i="6" a="1"/>
  <c r="FN80" i="6" s="1"/>
  <c r="FM80" i="6" a="1"/>
  <c r="FM80" i="6" s="1"/>
  <c r="FL80" i="6" a="1"/>
  <c r="FL80" i="6" s="1"/>
  <c r="EY80" i="6" a="1"/>
  <c r="EY80" i="6" s="1"/>
  <c r="EX80" i="6" a="1"/>
  <c r="EX80" i="6" s="1"/>
  <c r="EW80" i="6" a="1"/>
  <c r="EW80" i="6" s="1"/>
  <c r="EV80" i="6" a="1"/>
  <c r="EV80" i="6" s="1"/>
  <c r="EU80" i="6" a="1"/>
  <c r="EU80" i="6" s="1"/>
  <c r="EH80" i="6" a="1"/>
  <c r="EH80" i="6" s="1"/>
  <c r="EG80" i="6" a="1"/>
  <c r="EG80" i="6" s="1"/>
  <c r="EF80" i="6" a="1"/>
  <c r="EF80" i="6" s="1"/>
  <c r="EE80" i="6" a="1"/>
  <c r="EE80" i="6" s="1"/>
  <c r="ED80" i="6" a="1"/>
  <c r="ED80" i="6" s="1"/>
  <c r="DQ80" i="6" a="1"/>
  <c r="DQ80" i="6" s="1"/>
  <c r="DP80" i="6" a="1"/>
  <c r="DP80" i="6" s="1"/>
  <c r="DO80" i="6" a="1"/>
  <c r="DO80" i="6" s="1"/>
  <c r="DN80" i="6" a="1"/>
  <c r="DN80" i="6" s="1"/>
  <c r="DM80" i="6" a="1"/>
  <c r="DM80" i="6" s="1"/>
  <c r="DD80" i="6" a="1"/>
  <c r="DD80" i="6" s="1"/>
  <c r="CU80" i="6" a="1"/>
  <c r="CU80" i="6" s="1"/>
  <c r="CL80" i="6" a="1"/>
  <c r="CL80" i="6" s="1"/>
  <c r="BX80" i="6" a="1"/>
  <c r="BX80" i="6" s="1"/>
  <c r="BW80" i="6" a="1"/>
  <c r="BW80" i="6" s="1"/>
  <c r="BV80" i="6" a="1"/>
  <c r="BV80" i="6" s="1"/>
  <c r="BU80" i="6" a="1"/>
  <c r="BU80" i="6" s="1"/>
  <c r="BT80" i="6" a="1"/>
  <c r="BT80" i="6" s="1"/>
  <c r="BS80" i="6" a="1"/>
  <c r="BS80" i="6" s="1"/>
  <c r="BA80" i="6" a="1"/>
  <c r="BA80" i="6" s="1"/>
  <c r="AZ80" i="6" a="1"/>
  <c r="AZ80" i="6" s="1"/>
  <c r="AY80" i="6" a="1"/>
  <c r="AY80" i="6" s="1"/>
  <c r="AX80" i="6" a="1"/>
  <c r="AX80" i="6" s="1"/>
  <c r="AW80" i="6" a="1"/>
  <c r="AW80" i="6" s="1"/>
  <c r="AV80" i="6" a="1"/>
  <c r="AV80" i="6" s="1"/>
  <c r="AU80" i="6" a="1"/>
  <c r="AU80" i="6" s="1"/>
  <c r="AT80" i="6" a="1"/>
  <c r="AT80" i="6" s="1"/>
  <c r="AS80" i="6" a="1"/>
  <c r="AS80" i="6" s="1"/>
  <c r="AR80" i="6" a="1"/>
  <c r="AR80" i="6" s="1"/>
  <c r="AH80" i="6" a="1"/>
  <c r="AH80" i="6" s="1"/>
  <c r="AG80" i="6" a="1"/>
  <c r="AG80" i="6" s="1"/>
  <c r="V80" i="6" a="1"/>
  <c r="V80" i="6" s="1"/>
  <c r="U80" i="6" a="1"/>
  <c r="U80" i="6" s="1"/>
  <c r="J80" i="6" a="1"/>
  <c r="J80" i="6" s="1"/>
  <c r="I80" i="6" a="1"/>
  <c r="I80" i="6" s="1"/>
  <c r="ADA79" i="6" a="1"/>
  <c r="ADA79" i="6" s="1"/>
  <c r="ACZ79" i="6" a="1"/>
  <c r="ACZ79" i="6" s="1"/>
  <c r="ACY79" i="6" a="1"/>
  <c r="ACY79" i="6" s="1"/>
  <c r="ACN79" i="6" a="1"/>
  <c r="ACN79" i="6" s="1"/>
  <c r="ACM79" i="6" a="1"/>
  <c r="ACM79" i="6" s="1"/>
  <c r="ABU79" i="6" a="1"/>
  <c r="ABU79" i="6" s="1"/>
  <c r="ABX79" i="6" a="1"/>
  <c r="ABX79" i="6" s="1"/>
  <c r="ABV79" i="6" a="1"/>
  <c r="ABV79" i="6" s="1"/>
  <c r="ABH79" i="6" a="1"/>
  <c r="ABH79" i="6" s="1"/>
  <c r="ABG79" i="6" a="1"/>
  <c r="ABG79" i="6" s="1"/>
  <c r="ABF79" i="6" a="1"/>
  <c r="ABF79" i="6" s="1"/>
  <c r="ABE79" i="6" a="1"/>
  <c r="ABE79" i="6" s="1"/>
  <c r="ABD79" i="6" a="1"/>
  <c r="ABD79" i="6" s="1"/>
  <c r="ZR79" i="6" a="1"/>
  <c r="ZR79" i="6" s="1"/>
  <c r="ZE79" i="6" a="1"/>
  <c r="ZE79" i="6" s="1"/>
  <c r="ZD79" i="6" a="1"/>
  <c r="ZD79" i="6" s="1"/>
  <c r="ZC79" i="6" a="1"/>
  <c r="ZC79" i="6" s="1"/>
  <c r="ZB79" i="6" a="1"/>
  <c r="ZB79" i="6" s="1"/>
  <c r="ZA79" i="6" a="1"/>
  <c r="ZA79" i="6" s="1"/>
  <c r="YP79" i="6" a="1"/>
  <c r="YP79" i="6" s="1"/>
  <c r="YO79" i="6" a="1"/>
  <c r="YO79" i="6" s="1"/>
  <c r="YE79" i="6" a="1"/>
  <c r="YE79" i="6" s="1"/>
  <c r="YD79" i="6" a="1"/>
  <c r="YD79" i="6" s="1"/>
  <c r="XT79" i="6" a="1"/>
  <c r="XT79" i="6" s="1"/>
  <c r="XS79" i="6" a="1"/>
  <c r="XS79" i="6" s="1"/>
  <c r="XI79" i="6" a="1"/>
  <c r="XI79" i="6" s="1"/>
  <c r="XH79" i="6" a="1"/>
  <c r="XH79" i="6" s="1"/>
  <c r="WX79" i="6" a="1"/>
  <c r="WX79" i="6" s="1"/>
  <c r="WW79" i="6" a="1"/>
  <c r="WW79" i="6" s="1"/>
  <c r="WM79" i="6" a="1"/>
  <c r="WM79" i="6" s="1"/>
  <c r="WL79" i="6" a="1"/>
  <c r="WL79" i="6" s="1"/>
  <c r="WC79" i="6" a="1"/>
  <c r="WC79" i="6" s="1"/>
  <c r="VQ79" i="6" a="1"/>
  <c r="VQ79" i="6" s="1"/>
  <c r="VP79" i="6" a="1"/>
  <c r="VP79" i="6" s="1"/>
  <c r="VO79" i="6" a="1"/>
  <c r="VO79" i="6" s="1"/>
  <c r="VN79" i="6" a="1"/>
  <c r="VN79" i="6" s="1"/>
  <c r="VA79" i="6" a="1"/>
  <c r="VA79" i="6" s="1"/>
  <c r="UZ79" i="6" a="1"/>
  <c r="UZ79" i="6" s="1"/>
  <c r="UY79" i="6" a="1"/>
  <c r="UY79" i="6" s="1"/>
  <c r="UX79" i="6" a="1"/>
  <c r="UX79" i="6" s="1"/>
  <c r="UW79" i="6" a="1"/>
  <c r="UW79" i="6" s="1"/>
  <c r="UM79" i="6" a="1"/>
  <c r="UM79" i="6" s="1"/>
  <c r="TZ79" i="6" a="1"/>
  <c r="TZ79" i="6" s="1"/>
  <c r="TY79" i="6" a="1"/>
  <c r="TY79" i="6" s="1"/>
  <c r="TX79" i="6" a="1"/>
  <c r="TX79" i="6" s="1"/>
  <c r="TW79" i="6" a="1"/>
  <c r="TW79" i="6" s="1"/>
  <c r="TV79" i="6" a="1"/>
  <c r="TV79" i="6" s="1"/>
  <c r="TH79" i="6" a="1"/>
  <c r="TH79" i="6" s="1"/>
  <c r="TG79" i="6" a="1"/>
  <c r="TG79" i="6" s="1"/>
  <c r="TF79" i="6" a="1"/>
  <c r="TF79" i="6" s="1"/>
  <c r="TE79" i="6" a="1"/>
  <c r="TE79" i="6" s="1"/>
  <c r="TD79" i="6" a="1"/>
  <c r="TD79" i="6" s="1"/>
  <c r="SP79" i="6" a="1"/>
  <c r="SP79" i="6" s="1"/>
  <c r="SO79" i="6" a="1"/>
  <c r="SO79" i="6" s="1"/>
  <c r="SN79" i="6" a="1"/>
  <c r="SN79" i="6" s="1"/>
  <c r="SM79" i="6" a="1"/>
  <c r="SM79" i="6" s="1"/>
  <c r="SL79" i="6" a="1"/>
  <c r="SL79" i="6" s="1"/>
  <c r="RX79" i="6" a="1"/>
  <c r="RX79" i="6" s="1"/>
  <c r="RW79" i="6" a="1"/>
  <c r="RW79" i="6" s="1"/>
  <c r="RV79" i="6" a="1"/>
  <c r="RV79" i="6" s="1"/>
  <c r="RU79" i="6" a="1"/>
  <c r="RU79" i="6" s="1"/>
  <c r="RT79" i="6" a="1"/>
  <c r="RT79" i="6" s="1"/>
  <c r="RF79" i="6" a="1"/>
  <c r="RF79" i="6" s="1"/>
  <c r="RE79" i="6" a="1"/>
  <c r="RE79" i="6" s="1"/>
  <c r="RD79" i="6" a="1"/>
  <c r="RD79" i="6" s="1"/>
  <c r="RC79" i="6" a="1"/>
  <c r="RC79" i="6" s="1"/>
  <c r="RB79" i="6" a="1"/>
  <c r="RB79" i="6" s="1"/>
  <c r="QN79" i="6" a="1"/>
  <c r="QN79" i="6" s="1"/>
  <c r="QM79" i="6" a="1"/>
  <c r="QM79" i="6" s="1"/>
  <c r="QL79" i="6" a="1"/>
  <c r="QL79" i="6" s="1"/>
  <c r="QK79" i="6" a="1"/>
  <c r="QK79" i="6" s="1"/>
  <c r="QJ79" i="6" a="1"/>
  <c r="QJ79" i="6" s="1"/>
  <c r="PV79" i="6" a="1"/>
  <c r="PV79" i="6" s="1"/>
  <c r="PU79" i="6" a="1"/>
  <c r="PU79" i="6" s="1"/>
  <c r="PT79" i="6" a="1"/>
  <c r="PT79" i="6" s="1"/>
  <c r="PS79" i="6" a="1"/>
  <c r="PS79" i="6" s="1"/>
  <c r="PR79" i="6" a="1"/>
  <c r="PR79" i="6" s="1"/>
  <c r="PD79" i="6" a="1"/>
  <c r="PD79" i="6" s="1"/>
  <c r="PC79" i="6" a="1"/>
  <c r="PC79" i="6" s="1"/>
  <c r="PB79" i="6" a="1"/>
  <c r="PB79" i="6" s="1"/>
  <c r="PA79" i="6" a="1"/>
  <c r="PA79" i="6" s="1"/>
  <c r="OZ79" i="6" a="1"/>
  <c r="OZ79" i="6" s="1"/>
  <c r="OL79" i="6" a="1"/>
  <c r="OL79" i="6" s="1"/>
  <c r="OK79" i="6" a="1"/>
  <c r="OK79" i="6" s="1"/>
  <c r="OJ79" i="6" a="1"/>
  <c r="OJ79" i="6" s="1"/>
  <c r="OI79" i="6" a="1"/>
  <c r="OI79" i="6" s="1"/>
  <c r="OH79" i="6" a="1"/>
  <c r="OH79" i="6" s="1"/>
  <c r="NT79" i="6" a="1"/>
  <c r="NT79" i="6" s="1"/>
  <c r="NS79" i="6" a="1"/>
  <c r="NS79" i="6" s="1"/>
  <c r="NR79" i="6" a="1"/>
  <c r="NR79" i="6" s="1"/>
  <c r="NQ79" i="6" a="1"/>
  <c r="NQ79" i="6" s="1"/>
  <c r="NP79" i="6" a="1"/>
  <c r="NP79" i="6" s="1"/>
  <c r="NC79" i="6" a="1"/>
  <c r="NC79" i="6" s="1"/>
  <c r="NB79" i="6" a="1"/>
  <c r="NB79" i="6" s="1"/>
  <c r="NA79" i="6" a="1"/>
  <c r="NA79" i="6" s="1"/>
  <c r="MZ79" i="6" a="1"/>
  <c r="MZ79" i="6" s="1"/>
  <c r="MY79" i="6" a="1"/>
  <c r="MY79" i="6" s="1"/>
  <c r="MK79" i="6" a="1"/>
  <c r="MK79" i="6" s="1"/>
  <c r="MJ79" i="6" a="1"/>
  <c r="MJ79" i="6" s="1"/>
  <c r="MI79" i="6" a="1"/>
  <c r="MI79" i="6" s="1"/>
  <c r="MH79" i="6" a="1"/>
  <c r="MH79" i="6" s="1"/>
  <c r="MG79" i="6" a="1"/>
  <c r="MG79" i="6" s="1"/>
  <c r="LS79" i="6" a="1"/>
  <c r="LS79" i="6" s="1"/>
  <c r="LR79" i="6" a="1"/>
  <c r="LR79" i="6" s="1"/>
  <c r="LQ79" i="6" a="1"/>
  <c r="LQ79" i="6" s="1"/>
  <c r="LP79" i="6" a="1"/>
  <c r="LP79" i="6" s="1"/>
  <c r="LO79" i="6" a="1"/>
  <c r="LO79" i="6" s="1"/>
  <c r="LA79" i="6" a="1"/>
  <c r="LA79" i="6" s="1"/>
  <c r="KZ79" i="6" a="1"/>
  <c r="KZ79" i="6" s="1"/>
  <c r="KY79" i="6" a="1"/>
  <c r="KY79" i="6" s="1"/>
  <c r="KX79" i="6" a="1"/>
  <c r="KX79" i="6" s="1"/>
  <c r="KW79" i="6" a="1"/>
  <c r="KW79" i="6" s="1"/>
  <c r="KI79" i="6" a="1"/>
  <c r="KI79" i="6" s="1"/>
  <c r="KH79" i="6" a="1"/>
  <c r="KH79" i="6" s="1"/>
  <c r="KG79" i="6" a="1"/>
  <c r="KG79" i="6" s="1"/>
  <c r="KF79" i="6" a="1"/>
  <c r="KF79" i="6" s="1"/>
  <c r="KE79" i="6" a="1"/>
  <c r="KE79" i="6" s="1"/>
  <c r="JQ79" i="6" a="1"/>
  <c r="JQ79" i="6" s="1"/>
  <c r="JP79" i="6" a="1"/>
  <c r="JP79" i="6" s="1"/>
  <c r="JO79" i="6" a="1"/>
  <c r="JO79" i="6" s="1"/>
  <c r="JN79" i="6" a="1"/>
  <c r="JN79" i="6" s="1"/>
  <c r="JM79" i="6" a="1"/>
  <c r="JM79" i="6" s="1"/>
  <c r="IY79" i="6" a="1"/>
  <c r="IY79" i="6" s="1"/>
  <c r="IX79" i="6" a="1"/>
  <c r="IX79" i="6" s="1"/>
  <c r="IW79" i="6" a="1"/>
  <c r="IW79" i="6" s="1"/>
  <c r="IV79" i="6" a="1"/>
  <c r="IV79" i="6" s="1"/>
  <c r="IU79" i="6" a="1"/>
  <c r="IU79" i="6" s="1"/>
  <c r="IG79" i="6" a="1"/>
  <c r="IG79" i="6" s="1"/>
  <c r="IF79" i="6" a="1"/>
  <c r="IF79" i="6" s="1"/>
  <c r="IE79" i="6" a="1"/>
  <c r="IE79" i="6" s="1"/>
  <c r="ID79" i="6" a="1"/>
  <c r="ID79" i="6" s="1"/>
  <c r="IC79" i="6" a="1"/>
  <c r="IC79" i="6" s="1"/>
  <c r="HO79" i="6" a="1"/>
  <c r="HO79" i="6" s="1"/>
  <c r="HN79" i="6" a="1"/>
  <c r="HN79" i="6" s="1"/>
  <c r="HM79" i="6" a="1"/>
  <c r="HM79" i="6" s="1"/>
  <c r="HL79" i="6" a="1"/>
  <c r="HL79" i="6" s="1"/>
  <c r="HK79" i="6" a="1"/>
  <c r="HK79" i="6" s="1"/>
  <c r="GX79" i="6" a="1"/>
  <c r="GX79" i="6" s="1"/>
  <c r="GW79" i="6" a="1"/>
  <c r="GW79" i="6" s="1"/>
  <c r="GV79" i="6" a="1"/>
  <c r="GV79" i="6" s="1"/>
  <c r="GU79" i="6" a="1"/>
  <c r="GU79" i="6" s="1"/>
  <c r="GT79" i="6" a="1"/>
  <c r="GT79" i="6" s="1"/>
  <c r="GG79" i="6" a="1"/>
  <c r="GG79" i="6" s="1"/>
  <c r="GF79" i="6" a="1"/>
  <c r="GF79" i="6" s="1"/>
  <c r="GE79" i="6" a="1"/>
  <c r="GE79" i="6" s="1"/>
  <c r="GD79" i="6" a="1"/>
  <c r="GD79" i="6" s="1"/>
  <c r="GC79" i="6" a="1"/>
  <c r="GC79" i="6" s="1"/>
  <c r="FP79" i="6" a="1"/>
  <c r="FP79" i="6" s="1"/>
  <c r="FO79" i="6" a="1"/>
  <c r="FO79" i="6" s="1"/>
  <c r="FN79" i="6" a="1"/>
  <c r="FN79" i="6" s="1"/>
  <c r="FM79" i="6" a="1"/>
  <c r="FM79" i="6" s="1"/>
  <c r="FL79" i="6" a="1"/>
  <c r="FL79" i="6" s="1"/>
  <c r="EY79" i="6" a="1"/>
  <c r="EY79" i="6" s="1"/>
  <c r="EX79" i="6" a="1"/>
  <c r="EX79" i="6" s="1"/>
  <c r="EW79" i="6" a="1"/>
  <c r="EW79" i="6" s="1"/>
  <c r="EV79" i="6" a="1"/>
  <c r="EV79" i="6" s="1"/>
  <c r="EU79" i="6" a="1"/>
  <c r="EU79" i="6" s="1"/>
  <c r="EH79" i="6" a="1"/>
  <c r="EH79" i="6" s="1"/>
  <c r="EG79" i="6" a="1"/>
  <c r="EG79" i="6" s="1"/>
  <c r="EF79" i="6" a="1"/>
  <c r="EF79" i="6" s="1"/>
  <c r="EE79" i="6" a="1"/>
  <c r="EE79" i="6" s="1"/>
  <c r="ED79" i="6" a="1"/>
  <c r="ED79" i="6" s="1"/>
  <c r="DQ79" i="6" a="1"/>
  <c r="DQ79" i="6" s="1"/>
  <c r="DP79" i="6" a="1"/>
  <c r="DP79" i="6" s="1"/>
  <c r="DO79" i="6" a="1"/>
  <c r="DO79" i="6" s="1"/>
  <c r="DN79" i="6" a="1"/>
  <c r="DN79" i="6" s="1"/>
  <c r="DM79" i="6" a="1"/>
  <c r="DM79" i="6" s="1"/>
  <c r="DD79" i="6" a="1"/>
  <c r="DD79" i="6" s="1"/>
  <c r="CU79" i="6" a="1"/>
  <c r="CU79" i="6" s="1"/>
  <c r="CL79" i="6" a="1"/>
  <c r="CL79" i="6" s="1"/>
  <c r="BX79" i="6" a="1"/>
  <c r="BX79" i="6" s="1"/>
  <c r="BW79" i="6" a="1"/>
  <c r="BW79" i="6" s="1"/>
  <c r="BV79" i="6" a="1"/>
  <c r="BV79" i="6" s="1"/>
  <c r="BU79" i="6" a="1"/>
  <c r="BU79" i="6" s="1"/>
  <c r="BT79" i="6" a="1"/>
  <c r="BT79" i="6" s="1"/>
  <c r="BS79" i="6" a="1"/>
  <c r="BS79" i="6" s="1"/>
  <c r="BA79" i="6" a="1"/>
  <c r="BA79" i="6" s="1"/>
  <c r="AZ79" i="6" a="1"/>
  <c r="AZ79" i="6" s="1"/>
  <c r="AY79" i="6" a="1"/>
  <c r="AY79" i="6" s="1"/>
  <c r="AX79" i="6" a="1"/>
  <c r="AX79" i="6" s="1"/>
  <c r="AW79" i="6" a="1"/>
  <c r="AW79" i="6" s="1"/>
  <c r="AV79" i="6" a="1"/>
  <c r="AV79" i="6" s="1"/>
  <c r="AU79" i="6" a="1"/>
  <c r="AU79" i="6" s="1"/>
  <c r="AT79" i="6" a="1"/>
  <c r="AT79" i="6" s="1"/>
  <c r="AS79" i="6" a="1"/>
  <c r="AS79" i="6" s="1"/>
  <c r="AR79" i="6" a="1"/>
  <c r="AR79" i="6" s="1"/>
  <c r="AH79" i="6" a="1"/>
  <c r="AH79" i="6" s="1"/>
  <c r="AG79" i="6" a="1"/>
  <c r="AG79" i="6" s="1"/>
  <c r="V79" i="6" a="1"/>
  <c r="V79" i="6" s="1"/>
  <c r="U79" i="6" a="1"/>
  <c r="U79" i="6" s="1"/>
  <c r="J79" i="6" a="1"/>
  <c r="J79" i="6" s="1"/>
  <c r="I79" i="6" a="1"/>
  <c r="I79" i="6" s="1"/>
  <c r="ADA78" i="6" a="1"/>
  <c r="ADA78" i="6" s="1"/>
  <c r="ACZ78" i="6" a="1"/>
  <c r="ACZ78" i="6" s="1"/>
  <c r="ACY78" i="6" a="1"/>
  <c r="ACY78" i="6" s="1"/>
  <c r="ACN78" i="6" a="1"/>
  <c r="ACN78" i="6" s="1"/>
  <c r="ACM78" i="6" a="1"/>
  <c r="ACM78" i="6" s="1"/>
  <c r="ABU78" i="6" a="1"/>
  <c r="ABU78" i="6" s="1"/>
  <c r="ABX78" i="6" a="1"/>
  <c r="ABX78" i="6" s="1"/>
  <c r="ABV78" i="6" a="1"/>
  <c r="ABV78" i="6" s="1"/>
  <c r="ABH78" i="6" a="1"/>
  <c r="ABH78" i="6" s="1"/>
  <c r="ABG78" i="6" a="1"/>
  <c r="ABG78" i="6" s="1"/>
  <c r="ABF78" i="6" a="1"/>
  <c r="ABF78" i="6" s="1"/>
  <c r="ABE78" i="6" a="1"/>
  <c r="ABE78" i="6" s="1"/>
  <c r="ABD78" i="6" a="1"/>
  <c r="ABD78" i="6" s="1"/>
  <c r="ZR78" i="6" a="1"/>
  <c r="ZR78" i="6" s="1"/>
  <c r="ZE78" i="6" a="1"/>
  <c r="ZE78" i="6" s="1"/>
  <c r="ZD78" i="6" a="1"/>
  <c r="ZD78" i="6" s="1"/>
  <c r="ZC78" i="6" a="1"/>
  <c r="ZC78" i="6" s="1"/>
  <c r="ZB78" i="6" a="1"/>
  <c r="ZB78" i="6" s="1"/>
  <c r="ZA78" i="6" a="1"/>
  <c r="ZA78" i="6" s="1"/>
  <c r="YP78" i="6" a="1"/>
  <c r="YP78" i="6" s="1"/>
  <c r="YO78" i="6" a="1"/>
  <c r="YO78" i="6" s="1"/>
  <c r="YE78" i="6" a="1"/>
  <c r="YE78" i="6" s="1"/>
  <c r="YD78" i="6" a="1"/>
  <c r="YD78" i="6" s="1"/>
  <c r="XT78" i="6" a="1"/>
  <c r="XT78" i="6" s="1"/>
  <c r="XS78" i="6" a="1"/>
  <c r="XS78" i="6" s="1"/>
  <c r="XI78" i="6" a="1"/>
  <c r="XI78" i="6" s="1"/>
  <c r="XH78" i="6" a="1"/>
  <c r="XH78" i="6" s="1"/>
  <c r="WX78" i="6" a="1"/>
  <c r="WX78" i="6" s="1"/>
  <c r="WW78" i="6" a="1"/>
  <c r="WW78" i="6" s="1"/>
  <c r="WM78" i="6" a="1"/>
  <c r="WM78" i="6" s="1"/>
  <c r="WL78" i="6" a="1"/>
  <c r="WL78" i="6" s="1"/>
  <c r="WC78" i="6" a="1"/>
  <c r="WC78" i="6" s="1"/>
  <c r="VQ78" i="6" a="1"/>
  <c r="VQ78" i="6" s="1"/>
  <c r="VP78" i="6" a="1"/>
  <c r="VP78" i="6" s="1"/>
  <c r="VO78" i="6" a="1"/>
  <c r="VO78" i="6" s="1"/>
  <c r="VN78" i="6" a="1"/>
  <c r="VN78" i="6" s="1"/>
  <c r="VA78" i="6" a="1"/>
  <c r="VA78" i="6" s="1"/>
  <c r="UZ78" i="6" a="1"/>
  <c r="UZ78" i="6" s="1"/>
  <c r="UY78" i="6" a="1"/>
  <c r="UY78" i="6" s="1"/>
  <c r="UX78" i="6" a="1"/>
  <c r="UX78" i="6" s="1"/>
  <c r="UW78" i="6" a="1"/>
  <c r="UW78" i="6" s="1"/>
  <c r="UM78" i="6" a="1"/>
  <c r="UM78" i="6" s="1"/>
  <c r="TZ78" i="6" a="1"/>
  <c r="TZ78" i="6" s="1"/>
  <c r="TY78" i="6" a="1"/>
  <c r="TY78" i="6" s="1"/>
  <c r="TX78" i="6" a="1"/>
  <c r="TX78" i="6" s="1"/>
  <c r="TW78" i="6" a="1"/>
  <c r="TW78" i="6" s="1"/>
  <c r="TV78" i="6" a="1"/>
  <c r="TV78" i="6" s="1"/>
  <c r="TH78" i="6" a="1"/>
  <c r="TH78" i="6" s="1"/>
  <c r="TG78" i="6" a="1"/>
  <c r="TG78" i="6" s="1"/>
  <c r="TF78" i="6" a="1"/>
  <c r="TF78" i="6" s="1"/>
  <c r="TE78" i="6" a="1"/>
  <c r="TE78" i="6" s="1"/>
  <c r="TD78" i="6" a="1"/>
  <c r="TD78" i="6" s="1"/>
  <c r="SP78" i="6" a="1"/>
  <c r="SP78" i="6" s="1"/>
  <c r="SO78" i="6" a="1"/>
  <c r="SO78" i="6" s="1"/>
  <c r="SN78" i="6" a="1"/>
  <c r="SN78" i="6" s="1"/>
  <c r="SM78" i="6" a="1"/>
  <c r="SM78" i="6" s="1"/>
  <c r="SL78" i="6" a="1"/>
  <c r="SL78" i="6" s="1"/>
  <c r="RX78" i="6" a="1"/>
  <c r="RX78" i="6" s="1"/>
  <c r="RW78" i="6" a="1"/>
  <c r="RW78" i="6" s="1"/>
  <c r="RV78" i="6" a="1"/>
  <c r="RV78" i="6" s="1"/>
  <c r="RU78" i="6" a="1"/>
  <c r="RU78" i="6" s="1"/>
  <c r="RT78" i="6" a="1"/>
  <c r="RT78" i="6" s="1"/>
  <c r="RF78" i="6" a="1"/>
  <c r="RF78" i="6" s="1"/>
  <c r="RE78" i="6" a="1"/>
  <c r="RE78" i="6" s="1"/>
  <c r="RD78" i="6" a="1"/>
  <c r="RD78" i="6" s="1"/>
  <c r="RC78" i="6" a="1"/>
  <c r="RC78" i="6" s="1"/>
  <c r="RB78" i="6" a="1"/>
  <c r="RB78" i="6" s="1"/>
  <c r="QN78" i="6" a="1"/>
  <c r="QN78" i="6" s="1"/>
  <c r="QM78" i="6" a="1"/>
  <c r="QM78" i="6" s="1"/>
  <c r="QL78" i="6" a="1"/>
  <c r="QL78" i="6" s="1"/>
  <c r="QK78" i="6" a="1"/>
  <c r="QK78" i="6" s="1"/>
  <c r="QJ78" i="6" a="1"/>
  <c r="QJ78" i="6" s="1"/>
  <c r="PV78" i="6" a="1"/>
  <c r="PV78" i="6" s="1"/>
  <c r="PU78" i="6" a="1"/>
  <c r="PU78" i="6" s="1"/>
  <c r="PT78" i="6" a="1"/>
  <c r="PT78" i="6" s="1"/>
  <c r="PS78" i="6" a="1"/>
  <c r="PS78" i="6" s="1"/>
  <c r="PR78" i="6" a="1"/>
  <c r="PR78" i="6" s="1"/>
  <c r="PD78" i="6" a="1"/>
  <c r="PD78" i="6" s="1"/>
  <c r="PC78" i="6" a="1"/>
  <c r="PC78" i="6" s="1"/>
  <c r="PB78" i="6" a="1"/>
  <c r="PB78" i="6" s="1"/>
  <c r="PA78" i="6" a="1"/>
  <c r="PA78" i="6" s="1"/>
  <c r="OZ78" i="6" a="1"/>
  <c r="OZ78" i="6" s="1"/>
  <c r="OL78" i="6" a="1"/>
  <c r="OL78" i="6" s="1"/>
  <c r="OK78" i="6" a="1"/>
  <c r="OK78" i="6" s="1"/>
  <c r="OJ78" i="6" a="1"/>
  <c r="OJ78" i="6" s="1"/>
  <c r="OI78" i="6" a="1"/>
  <c r="OI78" i="6" s="1"/>
  <c r="OH78" i="6" a="1"/>
  <c r="OH78" i="6" s="1"/>
  <c r="NT78" i="6" a="1"/>
  <c r="NT78" i="6" s="1"/>
  <c r="NS78" i="6" a="1"/>
  <c r="NS78" i="6" s="1"/>
  <c r="NR78" i="6" a="1"/>
  <c r="NR78" i="6" s="1"/>
  <c r="NQ78" i="6" a="1"/>
  <c r="NQ78" i="6" s="1"/>
  <c r="NP78" i="6" a="1"/>
  <c r="NP78" i="6" s="1"/>
  <c r="NC78" i="6" a="1"/>
  <c r="NC78" i="6" s="1"/>
  <c r="NB78" i="6" a="1"/>
  <c r="NB78" i="6" s="1"/>
  <c r="NA78" i="6" a="1"/>
  <c r="NA78" i="6" s="1"/>
  <c r="MZ78" i="6" a="1"/>
  <c r="MZ78" i="6" s="1"/>
  <c r="MY78" i="6" a="1"/>
  <c r="MY78" i="6" s="1"/>
  <c r="MK78" i="6" a="1"/>
  <c r="MK78" i="6" s="1"/>
  <c r="MJ78" i="6" a="1"/>
  <c r="MJ78" i="6" s="1"/>
  <c r="MI78" i="6" a="1"/>
  <c r="MI78" i="6" s="1"/>
  <c r="MH78" i="6" a="1"/>
  <c r="MH78" i="6" s="1"/>
  <c r="MG78" i="6" a="1"/>
  <c r="MG78" i="6" s="1"/>
  <c r="LS78" i="6" a="1"/>
  <c r="LS78" i="6" s="1"/>
  <c r="LR78" i="6" a="1"/>
  <c r="LR78" i="6" s="1"/>
  <c r="LQ78" i="6" a="1"/>
  <c r="LQ78" i="6" s="1"/>
  <c r="LP78" i="6" a="1"/>
  <c r="LP78" i="6" s="1"/>
  <c r="LO78" i="6" a="1"/>
  <c r="LO78" i="6" s="1"/>
  <c r="LA78" i="6" a="1"/>
  <c r="LA78" i="6" s="1"/>
  <c r="KZ78" i="6" a="1"/>
  <c r="KZ78" i="6" s="1"/>
  <c r="KY78" i="6" a="1"/>
  <c r="KY78" i="6" s="1"/>
  <c r="KX78" i="6" a="1"/>
  <c r="KX78" i="6" s="1"/>
  <c r="KW78" i="6" a="1"/>
  <c r="KW78" i="6" s="1"/>
  <c r="KI78" i="6" a="1"/>
  <c r="KI78" i="6" s="1"/>
  <c r="KH78" i="6" a="1"/>
  <c r="KH78" i="6" s="1"/>
  <c r="KG78" i="6" a="1"/>
  <c r="KG78" i="6" s="1"/>
  <c r="KF78" i="6" a="1"/>
  <c r="KF78" i="6" s="1"/>
  <c r="KE78" i="6" a="1"/>
  <c r="KE78" i="6" s="1"/>
  <c r="JQ78" i="6" a="1"/>
  <c r="JQ78" i="6" s="1"/>
  <c r="JP78" i="6" a="1"/>
  <c r="JP78" i="6" s="1"/>
  <c r="JO78" i="6" a="1"/>
  <c r="JO78" i="6" s="1"/>
  <c r="JN78" i="6" a="1"/>
  <c r="JN78" i="6" s="1"/>
  <c r="JM78" i="6" a="1"/>
  <c r="JM78" i="6" s="1"/>
  <c r="IY78" i="6" a="1"/>
  <c r="IY78" i="6" s="1"/>
  <c r="IX78" i="6" a="1"/>
  <c r="IX78" i="6" s="1"/>
  <c r="IW78" i="6" a="1"/>
  <c r="IW78" i="6" s="1"/>
  <c r="IV78" i="6" a="1"/>
  <c r="IV78" i="6" s="1"/>
  <c r="IU78" i="6" a="1"/>
  <c r="IU78" i="6" s="1"/>
  <c r="IG78" i="6" a="1"/>
  <c r="IG78" i="6" s="1"/>
  <c r="IF78" i="6" a="1"/>
  <c r="IF78" i="6" s="1"/>
  <c r="IE78" i="6" a="1"/>
  <c r="IE78" i="6" s="1"/>
  <c r="ID78" i="6" a="1"/>
  <c r="ID78" i="6" s="1"/>
  <c r="IC78" i="6" a="1"/>
  <c r="IC78" i="6" s="1"/>
  <c r="HO78" i="6" a="1"/>
  <c r="HO78" i="6" s="1"/>
  <c r="HN78" i="6" a="1"/>
  <c r="HN78" i="6" s="1"/>
  <c r="HM78" i="6" a="1"/>
  <c r="HM78" i="6" s="1"/>
  <c r="HL78" i="6" a="1"/>
  <c r="HL78" i="6" s="1"/>
  <c r="HK78" i="6" a="1"/>
  <c r="HK78" i="6" s="1"/>
  <c r="GX78" i="6" a="1"/>
  <c r="GX78" i="6" s="1"/>
  <c r="GW78" i="6" a="1"/>
  <c r="GW78" i="6" s="1"/>
  <c r="GV78" i="6" a="1"/>
  <c r="GV78" i="6" s="1"/>
  <c r="GU78" i="6" a="1"/>
  <c r="GU78" i="6" s="1"/>
  <c r="GT78" i="6" a="1"/>
  <c r="GT78" i="6" s="1"/>
  <c r="GG78" i="6" a="1"/>
  <c r="GG78" i="6" s="1"/>
  <c r="GF78" i="6" a="1"/>
  <c r="GF78" i="6" s="1"/>
  <c r="GE78" i="6" a="1"/>
  <c r="GE78" i="6" s="1"/>
  <c r="GD78" i="6" a="1"/>
  <c r="GD78" i="6" s="1"/>
  <c r="GC78" i="6" a="1"/>
  <c r="GC78" i="6" s="1"/>
  <c r="FP78" i="6" a="1"/>
  <c r="FP78" i="6" s="1"/>
  <c r="FO78" i="6" a="1"/>
  <c r="FO78" i="6" s="1"/>
  <c r="FN78" i="6" a="1"/>
  <c r="FN78" i="6" s="1"/>
  <c r="FM78" i="6" a="1"/>
  <c r="FM78" i="6" s="1"/>
  <c r="FL78" i="6" a="1"/>
  <c r="FL78" i="6" s="1"/>
  <c r="EY78" i="6" a="1"/>
  <c r="EY78" i="6" s="1"/>
  <c r="EX78" i="6" a="1"/>
  <c r="EX78" i="6" s="1"/>
  <c r="EW78" i="6" a="1"/>
  <c r="EW78" i="6" s="1"/>
  <c r="EV78" i="6" a="1"/>
  <c r="EV78" i="6" s="1"/>
  <c r="EU78" i="6" a="1"/>
  <c r="EU78" i="6" s="1"/>
  <c r="EH78" i="6" a="1"/>
  <c r="EH78" i="6" s="1"/>
  <c r="EG78" i="6" a="1"/>
  <c r="EG78" i="6" s="1"/>
  <c r="EF78" i="6" a="1"/>
  <c r="EF78" i="6" s="1"/>
  <c r="EE78" i="6" a="1"/>
  <c r="EE78" i="6" s="1"/>
  <c r="ED78" i="6" a="1"/>
  <c r="ED78" i="6" s="1"/>
  <c r="DQ78" i="6" a="1"/>
  <c r="DQ78" i="6" s="1"/>
  <c r="DP78" i="6" a="1"/>
  <c r="DP78" i="6" s="1"/>
  <c r="DO78" i="6" a="1"/>
  <c r="DO78" i="6" s="1"/>
  <c r="DN78" i="6" a="1"/>
  <c r="DN78" i="6" s="1"/>
  <c r="DM78" i="6" a="1"/>
  <c r="DM78" i="6" s="1"/>
  <c r="DD78" i="6" a="1"/>
  <c r="DD78" i="6" s="1"/>
  <c r="CU78" i="6" a="1"/>
  <c r="CU78" i="6" s="1"/>
  <c r="CL78" i="6" a="1"/>
  <c r="CL78" i="6" s="1"/>
  <c r="BX78" i="6" a="1"/>
  <c r="BX78" i="6" s="1"/>
  <c r="BW78" i="6" a="1"/>
  <c r="BW78" i="6" s="1"/>
  <c r="BV78" i="6" a="1"/>
  <c r="BV78" i="6" s="1"/>
  <c r="BU78" i="6" a="1"/>
  <c r="BU78" i="6" s="1"/>
  <c r="BT78" i="6" a="1"/>
  <c r="BT78" i="6" s="1"/>
  <c r="BS78" i="6" a="1"/>
  <c r="BS78" i="6" s="1"/>
  <c r="BA78" i="6" a="1"/>
  <c r="BA78" i="6" s="1"/>
  <c r="AZ78" i="6" a="1"/>
  <c r="AZ78" i="6" s="1"/>
  <c r="AY78" i="6" a="1"/>
  <c r="AY78" i="6" s="1"/>
  <c r="AX78" i="6" a="1"/>
  <c r="AX78" i="6" s="1"/>
  <c r="AW78" i="6" a="1"/>
  <c r="AW78" i="6" s="1"/>
  <c r="AV78" i="6" a="1"/>
  <c r="AV78" i="6" s="1"/>
  <c r="AU78" i="6" a="1"/>
  <c r="AU78" i="6" s="1"/>
  <c r="AT78" i="6" a="1"/>
  <c r="AT78" i="6" s="1"/>
  <c r="AS78" i="6" a="1"/>
  <c r="AS78" i="6" s="1"/>
  <c r="AR78" i="6" a="1"/>
  <c r="AR78" i="6" s="1"/>
  <c r="AH78" i="6" a="1"/>
  <c r="AH78" i="6" s="1"/>
  <c r="AG78" i="6" a="1"/>
  <c r="AG78" i="6" s="1"/>
  <c r="V78" i="6" a="1"/>
  <c r="V78" i="6" s="1"/>
  <c r="U78" i="6" a="1"/>
  <c r="U78" i="6" s="1"/>
  <c r="J78" i="6" a="1"/>
  <c r="J78" i="6" s="1"/>
  <c r="I78" i="6" a="1"/>
  <c r="I78" i="6" s="1"/>
  <c r="ADA77" i="6" a="1"/>
  <c r="ADA77" i="6" s="1"/>
  <c r="ACZ77" i="6" a="1"/>
  <c r="ACZ77" i="6" s="1"/>
  <c r="ACY77" i="6" a="1"/>
  <c r="ACY77" i="6" s="1"/>
  <c r="ACN77" i="6" a="1"/>
  <c r="ACN77" i="6" s="1"/>
  <c r="ACM77" i="6" a="1"/>
  <c r="ACM77" i="6" s="1"/>
  <c r="ACL77" i="6" s="1"/>
  <c r="ABU77" i="6" a="1"/>
  <c r="ABU77" i="6" s="1"/>
  <c r="ABX77" i="6" a="1"/>
  <c r="ABX77" i="6" s="1"/>
  <c r="ABV77" i="6" a="1"/>
  <c r="ABV77" i="6" s="1"/>
  <c r="ABH77" i="6" a="1"/>
  <c r="ABH77" i="6" s="1"/>
  <c r="ABG77" i="6" a="1"/>
  <c r="ABG77" i="6" s="1"/>
  <c r="ABF77" i="6" a="1"/>
  <c r="ABF77" i="6" s="1"/>
  <c r="ABE77" i="6" a="1"/>
  <c r="ABE77" i="6" s="1"/>
  <c r="ABD77" i="6" a="1"/>
  <c r="ABD77" i="6" s="1"/>
  <c r="ZR77" i="6" a="1"/>
  <c r="ZR77" i="6" s="1"/>
  <c r="ZE77" i="6" a="1"/>
  <c r="ZE77" i="6" s="1"/>
  <c r="ZD77" i="6" a="1"/>
  <c r="ZD77" i="6" s="1"/>
  <c r="ZC77" i="6" a="1"/>
  <c r="ZC77" i="6" s="1"/>
  <c r="ZB77" i="6" a="1"/>
  <c r="ZB77" i="6" s="1"/>
  <c r="ZA77" i="6" a="1"/>
  <c r="ZA77" i="6" s="1"/>
  <c r="YP77" i="6" a="1"/>
  <c r="YP77" i="6" s="1"/>
  <c r="YO77" i="6" a="1"/>
  <c r="YO77" i="6" s="1"/>
  <c r="YE77" i="6" a="1"/>
  <c r="YE77" i="6" s="1"/>
  <c r="YD77" i="6" a="1"/>
  <c r="YD77" i="6" s="1"/>
  <c r="XT77" i="6" a="1"/>
  <c r="XT77" i="6" s="1"/>
  <c r="XS77" i="6" a="1"/>
  <c r="XS77" i="6" s="1"/>
  <c r="XI77" i="6" a="1"/>
  <c r="XI77" i="6" s="1"/>
  <c r="XH77" i="6" a="1"/>
  <c r="XH77" i="6" s="1"/>
  <c r="WX77" i="6" a="1"/>
  <c r="WX77" i="6" s="1"/>
  <c r="WW77" i="6" a="1"/>
  <c r="WW77" i="6" s="1"/>
  <c r="WM77" i="6" a="1"/>
  <c r="WM77" i="6" s="1"/>
  <c r="WL77" i="6" a="1"/>
  <c r="WL77" i="6" s="1"/>
  <c r="WC77" i="6" a="1"/>
  <c r="WC77" i="6" s="1"/>
  <c r="VQ77" i="6" a="1"/>
  <c r="VQ77" i="6" s="1"/>
  <c r="VP77" i="6" a="1"/>
  <c r="VP77" i="6" s="1"/>
  <c r="VO77" i="6" a="1"/>
  <c r="VO77" i="6" s="1"/>
  <c r="VN77" i="6" a="1"/>
  <c r="VN77" i="6" s="1"/>
  <c r="VA77" i="6" a="1"/>
  <c r="VA77" i="6" s="1"/>
  <c r="UZ77" i="6" a="1"/>
  <c r="UZ77" i="6" s="1"/>
  <c r="UY77" i="6" a="1"/>
  <c r="UY77" i="6" s="1"/>
  <c r="UX77" i="6" a="1"/>
  <c r="UX77" i="6" s="1"/>
  <c r="UW77" i="6" a="1"/>
  <c r="UW77" i="6" s="1"/>
  <c r="UM77" i="6" a="1"/>
  <c r="UM77" i="6" s="1"/>
  <c r="TZ77" i="6" a="1"/>
  <c r="TZ77" i="6" s="1"/>
  <c r="TY77" i="6" a="1"/>
  <c r="TY77" i="6" s="1"/>
  <c r="TX77" i="6" a="1"/>
  <c r="TX77" i="6" s="1"/>
  <c r="TW77" i="6" a="1"/>
  <c r="TW77" i="6" s="1"/>
  <c r="TV77" i="6" a="1"/>
  <c r="TV77" i="6" s="1"/>
  <c r="TH77" i="6" a="1"/>
  <c r="TH77" i="6" s="1"/>
  <c r="TG77" i="6" a="1"/>
  <c r="TG77" i="6" s="1"/>
  <c r="TF77" i="6" a="1"/>
  <c r="TF77" i="6" s="1"/>
  <c r="TE77" i="6" a="1"/>
  <c r="TE77" i="6" s="1"/>
  <c r="TD77" i="6" a="1"/>
  <c r="TD77" i="6" s="1"/>
  <c r="SP77" i="6" a="1"/>
  <c r="SP77" i="6" s="1"/>
  <c r="SO77" i="6" a="1"/>
  <c r="SO77" i="6" s="1"/>
  <c r="SN77" i="6" a="1"/>
  <c r="SN77" i="6" s="1"/>
  <c r="SM77" i="6" a="1"/>
  <c r="SM77" i="6" s="1"/>
  <c r="SL77" i="6" a="1"/>
  <c r="SL77" i="6" s="1"/>
  <c r="RX77" i="6" a="1"/>
  <c r="RX77" i="6" s="1"/>
  <c r="RW77" i="6" a="1"/>
  <c r="RW77" i="6" s="1"/>
  <c r="RV77" i="6" a="1"/>
  <c r="RV77" i="6" s="1"/>
  <c r="RU77" i="6" a="1"/>
  <c r="RU77" i="6" s="1"/>
  <c r="RT77" i="6" a="1"/>
  <c r="RT77" i="6" s="1"/>
  <c r="RF77" i="6" a="1"/>
  <c r="RF77" i="6" s="1"/>
  <c r="RE77" i="6" a="1"/>
  <c r="RE77" i="6" s="1"/>
  <c r="RD77" i="6" a="1"/>
  <c r="RD77" i="6" s="1"/>
  <c r="RC77" i="6" a="1"/>
  <c r="RC77" i="6" s="1"/>
  <c r="RB77" i="6" a="1"/>
  <c r="RB77" i="6" s="1"/>
  <c r="QN77" i="6" a="1"/>
  <c r="QN77" i="6" s="1"/>
  <c r="QM77" i="6" a="1"/>
  <c r="QM77" i="6" s="1"/>
  <c r="QL77" i="6" a="1"/>
  <c r="QL77" i="6" s="1"/>
  <c r="QK77" i="6" a="1"/>
  <c r="QK77" i="6" s="1"/>
  <c r="QJ77" i="6" a="1"/>
  <c r="QJ77" i="6" s="1"/>
  <c r="PV77" i="6" a="1"/>
  <c r="PV77" i="6" s="1"/>
  <c r="PU77" i="6" a="1"/>
  <c r="PU77" i="6" s="1"/>
  <c r="PT77" i="6" a="1"/>
  <c r="PT77" i="6" s="1"/>
  <c r="PS77" i="6" a="1"/>
  <c r="PS77" i="6" s="1"/>
  <c r="PR77" i="6" a="1"/>
  <c r="PR77" i="6" s="1"/>
  <c r="PD77" i="6" a="1"/>
  <c r="PD77" i="6" s="1"/>
  <c r="PC77" i="6" a="1"/>
  <c r="PC77" i="6" s="1"/>
  <c r="PB77" i="6" a="1"/>
  <c r="PB77" i="6" s="1"/>
  <c r="PA77" i="6" a="1"/>
  <c r="PA77" i="6" s="1"/>
  <c r="OZ77" i="6" a="1"/>
  <c r="OZ77" i="6" s="1"/>
  <c r="OL77" i="6" a="1"/>
  <c r="OL77" i="6" s="1"/>
  <c r="OK77" i="6" a="1"/>
  <c r="OK77" i="6" s="1"/>
  <c r="OJ77" i="6" a="1"/>
  <c r="OJ77" i="6" s="1"/>
  <c r="OI77" i="6" a="1"/>
  <c r="OI77" i="6" s="1"/>
  <c r="OH77" i="6" a="1"/>
  <c r="OH77" i="6" s="1"/>
  <c r="NT77" i="6" a="1"/>
  <c r="NT77" i="6" s="1"/>
  <c r="NS77" i="6" a="1"/>
  <c r="NS77" i="6" s="1"/>
  <c r="NR77" i="6" a="1"/>
  <c r="NR77" i="6" s="1"/>
  <c r="NQ77" i="6" a="1"/>
  <c r="NQ77" i="6" s="1"/>
  <c r="NP77" i="6" a="1"/>
  <c r="NP77" i="6" s="1"/>
  <c r="NC77" i="6" a="1"/>
  <c r="NC77" i="6" s="1"/>
  <c r="NB77" i="6" a="1"/>
  <c r="NB77" i="6" s="1"/>
  <c r="NA77" i="6" a="1"/>
  <c r="NA77" i="6" s="1"/>
  <c r="MZ77" i="6" a="1"/>
  <c r="MZ77" i="6" s="1"/>
  <c r="MY77" i="6" a="1"/>
  <c r="MY77" i="6" s="1"/>
  <c r="MK77" i="6" a="1"/>
  <c r="MK77" i="6" s="1"/>
  <c r="MJ77" i="6" a="1"/>
  <c r="MJ77" i="6" s="1"/>
  <c r="MI77" i="6" a="1"/>
  <c r="MI77" i="6" s="1"/>
  <c r="MH77" i="6" a="1"/>
  <c r="MH77" i="6" s="1"/>
  <c r="MG77" i="6" a="1"/>
  <c r="MG77" i="6" s="1"/>
  <c r="LS77" i="6" a="1"/>
  <c r="LS77" i="6" s="1"/>
  <c r="LR77" i="6" a="1"/>
  <c r="LR77" i="6" s="1"/>
  <c r="LQ77" i="6" a="1"/>
  <c r="LQ77" i="6" s="1"/>
  <c r="LP77" i="6" a="1"/>
  <c r="LP77" i="6" s="1"/>
  <c r="LO77" i="6" a="1"/>
  <c r="LO77" i="6" s="1"/>
  <c r="LA77" i="6" a="1"/>
  <c r="LA77" i="6" s="1"/>
  <c r="KZ77" i="6" a="1"/>
  <c r="KZ77" i="6" s="1"/>
  <c r="KY77" i="6" a="1"/>
  <c r="KY77" i="6" s="1"/>
  <c r="KX77" i="6" a="1"/>
  <c r="KX77" i="6" s="1"/>
  <c r="KW77" i="6" a="1"/>
  <c r="KW77" i="6" s="1"/>
  <c r="KI77" i="6" a="1"/>
  <c r="KI77" i="6" s="1"/>
  <c r="KH77" i="6" a="1"/>
  <c r="KH77" i="6" s="1"/>
  <c r="KG77" i="6" a="1"/>
  <c r="KG77" i="6" s="1"/>
  <c r="KF77" i="6" a="1"/>
  <c r="KF77" i="6" s="1"/>
  <c r="KE77" i="6" a="1"/>
  <c r="KE77" i="6" s="1"/>
  <c r="JQ77" i="6" a="1"/>
  <c r="JQ77" i="6" s="1"/>
  <c r="JP77" i="6" a="1"/>
  <c r="JP77" i="6" s="1"/>
  <c r="JO77" i="6" a="1"/>
  <c r="JO77" i="6" s="1"/>
  <c r="JN77" i="6" a="1"/>
  <c r="JN77" i="6" s="1"/>
  <c r="JM77" i="6" a="1"/>
  <c r="JM77" i="6" s="1"/>
  <c r="IY77" i="6" a="1"/>
  <c r="IY77" i="6" s="1"/>
  <c r="IX77" i="6" a="1"/>
  <c r="IX77" i="6" s="1"/>
  <c r="IW77" i="6" a="1"/>
  <c r="IW77" i="6" s="1"/>
  <c r="IV77" i="6" a="1"/>
  <c r="IV77" i="6" s="1"/>
  <c r="IU77" i="6" a="1"/>
  <c r="IU77" i="6" s="1"/>
  <c r="IG77" i="6" a="1"/>
  <c r="IG77" i="6" s="1"/>
  <c r="IF77" i="6" a="1"/>
  <c r="IF77" i="6" s="1"/>
  <c r="IE77" i="6" a="1"/>
  <c r="IE77" i="6" s="1"/>
  <c r="ID77" i="6" a="1"/>
  <c r="ID77" i="6" s="1"/>
  <c r="IC77" i="6" a="1"/>
  <c r="IC77" i="6" s="1"/>
  <c r="HO77" i="6" a="1"/>
  <c r="HO77" i="6" s="1"/>
  <c r="HN77" i="6" a="1"/>
  <c r="HN77" i="6" s="1"/>
  <c r="HM77" i="6" a="1"/>
  <c r="HM77" i="6" s="1"/>
  <c r="HL77" i="6" a="1"/>
  <c r="HL77" i="6" s="1"/>
  <c r="HK77" i="6" a="1"/>
  <c r="HK77" i="6" s="1"/>
  <c r="GX77" i="6" a="1"/>
  <c r="GX77" i="6" s="1"/>
  <c r="GW77" i="6" a="1"/>
  <c r="GW77" i="6" s="1"/>
  <c r="GV77" i="6" a="1"/>
  <c r="GV77" i="6" s="1"/>
  <c r="GU77" i="6" a="1"/>
  <c r="GU77" i="6" s="1"/>
  <c r="GT77" i="6" a="1"/>
  <c r="GT77" i="6" s="1"/>
  <c r="GG77" i="6" a="1"/>
  <c r="GG77" i="6" s="1"/>
  <c r="GF77" i="6" a="1"/>
  <c r="GF77" i="6" s="1"/>
  <c r="GE77" i="6" a="1"/>
  <c r="GE77" i="6" s="1"/>
  <c r="GD77" i="6" a="1"/>
  <c r="GD77" i="6" s="1"/>
  <c r="GC77" i="6" a="1"/>
  <c r="GC77" i="6" s="1"/>
  <c r="FP77" i="6" a="1"/>
  <c r="FP77" i="6" s="1"/>
  <c r="FO77" i="6" a="1"/>
  <c r="FO77" i="6" s="1"/>
  <c r="FN77" i="6" a="1"/>
  <c r="FN77" i="6" s="1"/>
  <c r="FM77" i="6" a="1"/>
  <c r="FM77" i="6" s="1"/>
  <c r="FL77" i="6" a="1"/>
  <c r="FL77" i="6" s="1"/>
  <c r="EY77" i="6" a="1"/>
  <c r="EY77" i="6" s="1"/>
  <c r="EX77" i="6" a="1"/>
  <c r="EX77" i="6" s="1"/>
  <c r="EW77" i="6" a="1"/>
  <c r="EW77" i="6" s="1"/>
  <c r="EV77" i="6" a="1"/>
  <c r="EV77" i="6" s="1"/>
  <c r="EU77" i="6" a="1"/>
  <c r="EU77" i="6" s="1"/>
  <c r="EH77" i="6" a="1"/>
  <c r="EH77" i="6" s="1"/>
  <c r="EG77" i="6" a="1"/>
  <c r="EG77" i="6" s="1"/>
  <c r="EF77" i="6" a="1"/>
  <c r="EF77" i="6" s="1"/>
  <c r="EE77" i="6" a="1"/>
  <c r="EE77" i="6" s="1"/>
  <c r="ED77" i="6" a="1"/>
  <c r="ED77" i="6" s="1"/>
  <c r="DQ77" i="6" a="1"/>
  <c r="DQ77" i="6" s="1"/>
  <c r="DP77" i="6" a="1"/>
  <c r="DP77" i="6" s="1"/>
  <c r="DO77" i="6" a="1"/>
  <c r="DO77" i="6" s="1"/>
  <c r="DN77" i="6" a="1"/>
  <c r="DN77" i="6" s="1"/>
  <c r="DM77" i="6" a="1"/>
  <c r="DM77" i="6" s="1"/>
  <c r="DD77" i="6" a="1"/>
  <c r="DD77" i="6" s="1"/>
  <c r="CU77" i="6" a="1"/>
  <c r="CU77" i="6" s="1"/>
  <c r="CL77" i="6" a="1"/>
  <c r="CL77" i="6" s="1"/>
  <c r="BX77" i="6" a="1"/>
  <c r="BX77" i="6" s="1"/>
  <c r="BW77" i="6" a="1"/>
  <c r="BW77" i="6" s="1"/>
  <c r="BV77" i="6" a="1"/>
  <c r="BV77" i="6" s="1"/>
  <c r="BU77" i="6" a="1"/>
  <c r="BU77" i="6" s="1"/>
  <c r="BT77" i="6" a="1"/>
  <c r="BT77" i="6" s="1"/>
  <c r="BS77" i="6" a="1"/>
  <c r="BS77" i="6" s="1"/>
  <c r="BA77" i="6" a="1"/>
  <c r="BA77" i="6" s="1"/>
  <c r="AZ77" i="6" a="1"/>
  <c r="AZ77" i="6" s="1"/>
  <c r="AY77" i="6" a="1"/>
  <c r="AY77" i="6" s="1"/>
  <c r="AX77" i="6" a="1"/>
  <c r="AX77" i="6" s="1"/>
  <c r="AW77" i="6" a="1"/>
  <c r="AW77" i="6" s="1"/>
  <c r="AV77" i="6" a="1"/>
  <c r="AV77" i="6" s="1"/>
  <c r="AU77" i="6" a="1"/>
  <c r="AU77" i="6" s="1"/>
  <c r="AT77" i="6" a="1"/>
  <c r="AT77" i="6" s="1"/>
  <c r="AS77" i="6" a="1"/>
  <c r="AS77" i="6" s="1"/>
  <c r="AR77" i="6" a="1"/>
  <c r="AR77" i="6" s="1"/>
  <c r="AH77" i="6" a="1"/>
  <c r="AH77" i="6" s="1"/>
  <c r="AG77" i="6" a="1"/>
  <c r="AG77" i="6" s="1"/>
  <c r="V77" i="6" a="1"/>
  <c r="V77" i="6" s="1"/>
  <c r="U77" i="6" a="1"/>
  <c r="U77" i="6" s="1"/>
  <c r="J77" i="6" a="1"/>
  <c r="J77" i="6" s="1"/>
  <c r="I77" i="6" a="1"/>
  <c r="I77" i="6" s="1"/>
  <c r="ADA76" i="6" a="1"/>
  <c r="ADA76" i="6" s="1"/>
  <c r="ACZ76" i="6" a="1"/>
  <c r="ACZ76" i="6" s="1"/>
  <c r="ACY76" i="6" a="1"/>
  <c r="ACY76" i="6" s="1"/>
  <c r="ACN76" i="6" a="1"/>
  <c r="ACN76" i="6" s="1"/>
  <c r="ACM76" i="6" a="1"/>
  <c r="ACM76" i="6" s="1"/>
  <c r="ABU76" i="6" a="1"/>
  <c r="ABU76" i="6" s="1"/>
  <c r="ABX76" i="6" a="1"/>
  <c r="ABX76" i="6" s="1"/>
  <c r="ABV76" i="6" a="1"/>
  <c r="ABV76" i="6" s="1"/>
  <c r="ABH76" i="6" a="1"/>
  <c r="ABH76" i="6" s="1"/>
  <c r="ABG76" i="6" a="1"/>
  <c r="ABG76" i="6" s="1"/>
  <c r="ABF76" i="6" a="1"/>
  <c r="ABF76" i="6" s="1"/>
  <c r="ABE76" i="6" a="1"/>
  <c r="ABE76" i="6" s="1"/>
  <c r="ABD76" i="6" a="1"/>
  <c r="ABD76" i="6" s="1"/>
  <c r="ZR76" i="6" a="1"/>
  <c r="ZR76" i="6" s="1"/>
  <c r="ZE76" i="6" a="1"/>
  <c r="ZE76" i="6" s="1"/>
  <c r="ZD76" i="6" a="1"/>
  <c r="ZD76" i="6" s="1"/>
  <c r="ZC76" i="6" a="1"/>
  <c r="ZC76" i="6" s="1"/>
  <c r="ZB76" i="6" a="1"/>
  <c r="ZB76" i="6" s="1"/>
  <c r="ZA76" i="6" a="1"/>
  <c r="ZA76" i="6" s="1"/>
  <c r="YP76" i="6" a="1"/>
  <c r="YP76" i="6" s="1"/>
  <c r="YO76" i="6" a="1"/>
  <c r="YO76" i="6" s="1"/>
  <c r="YE76" i="6" a="1"/>
  <c r="YE76" i="6" s="1"/>
  <c r="YD76" i="6" a="1"/>
  <c r="YD76" i="6" s="1"/>
  <c r="XT76" i="6" a="1"/>
  <c r="XT76" i="6" s="1"/>
  <c r="XS76" i="6" a="1"/>
  <c r="XS76" i="6" s="1"/>
  <c r="XI76" i="6" a="1"/>
  <c r="XI76" i="6" s="1"/>
  <c r="XH76" i="6" a="1"/>
  <c r="XH76" i="6" s="1"/>
  <c r="WX76" i="6" a="1"/>
  <c r="WX76" i="6" s="1"/>
  <c r="WW76" i="6" a="1"/>
  <c r="WW76" i="6" s="1"/>
  <c r="WM76" i="6" a="1"/>
  <c r="WM76" i="6" s="1"/>
  <c r="WL76" i="6" a="1"/>
  <c r="WL76" i="6" s="1"/>
  <c r="WC76" i="6" a="1"/>
  <c r="WC76" i="6" s="1"/>
  <c r="VQ76" i="6" a="1"/>
  <c r="VQ76" i="6" s="1"/>
  <c r="VP76" i="6" a="1"/>
  <c r="VP76" i="6" s="1"/>
  <c r="VO76" i="6" a="1"/>
  <c r="VO76" i="6" s="1"/>
  <c r="VN76" i="6" a="1"/>
  <c r="VN76" i="6" s="1"/>
  <c r="VA76" i="6" a="1"/>
  <c r="VA76" i="6" s="1"/>
  <c r="UZ76" i="6" a="1"/>
  <c r="UZ76" i="6" s="1"/>
  <c r="UY76" i="6" a="1"/>
  <c r="UY76" i="6" s="1"/>
  <c r="UX76" i="6" a="1"/>
  <c r="UX76" i="6" s="1"/>
  <c r="UW76" i="6" a="1"/>
  <c r="UW76" i="6" s="1"/>
  <c r="UM76" i="6" a="1"/>
  <c r="UM76" i="6" s="1"/>
  <c r="TZ76" i="6" a="1"/>
  <c r="TZ76" i="6" s="1"/>
  <c r="TY76" i="6" a="1"/>
  <c r="TY76" i="6" s="1"/>
  <c r="TX76" i="6" a="1"/>
  <c r="TX76" i="6" s="1"/>
  <c r="TW76" i="6" a="1"/>
  <c r="TW76" i="6" s="1"/>
  <c r="TV76" i="6" a="1"/>
  <c r="TV76" i="6" s="1"/>
  <c r="TH76" i="6" a="1"/>
  <c r="TH76" i="6" s="1"/>
  <c r="TG76" i="6" a="1"/>
  <c r="TG76" i="6" s="1"/>
  <c r="TF76" i="6" a="1"/>
  <c r="TF76" i="6" s="1"/>
  <c r="TE76" i="6" a="1"/>
  <c r="TE76" i="6" s="1"/>
  <c r="TD76" i="6" a="1"/>
  <c r="TD76" i="6" s="1"/>
  <c r="SP76" i="6" a="1"/>
  <c r="SP76" i="6" s="1"/>
  <c r="SO76" i="6" a="1"/>
  <c r="SO76" i="6" s="1"/>
  <c r="SN76" i="6" a="1"/>
  <c r="SN76" i="6" s="1"/>
  <c r="SM76" i="6" a="1"/>
  <c r="SM76" i="6" s="1"/>
  <c r="SL76" i="6" a="1"/>
  <c r="SL76" i="6" s="1"/>
  <c r="RX76" i="6" a="1"/>
  <c r="RX76" i="6" s="1"/>
  <c r="RW76" i="6" a="1"/>
  <c r="RW76" i="6" s="1"/>
  <c r="RV76" i="6" a="1"/>
  <c r="RV76" i="6" s="1"/>
  <c r="RU76" i="6" a="1"/>
  <c r="RU76" i="6" s="1"/>
  <c r="RT76" i="6" a="1"/>
  <c r="RT76" i="6" s="1"/>
  <c r="RF76" i="6" a="1"/>
  <c r="RF76" i="6" s="1"/>
  <c r="RE76" i="6" a="1"/>
  <c r="RE76" i="6" s="1"/>
  <c r="RD76" i="6" a="1"/>
  <c r="RD76" i="6" s="1"/>
  <c r="RC76" i="6" a="1"/>
  <c r="RC76" i="6" s="1"/>
  <c r="RB76" i="6" a="1"/>
  <c r="RB76" i="6" s="1"/>
  <c r="QN76" i="6" a="1"/>
  <c r="QN76" i="6" s="1"/>
  <c r="QM76" i="6" a="1"/>
  <c r="QM76" i="6" s="1"/>
  <c r="QL76" i="6" a="1"/>
  <c r="QL76" i="6" s="1"/>
  <c r="QK76" i="6" a="1"/>
  <c r="QK76" i="6" s="1"/>
  <c r="QJ76" i="6" a="1"/>
  <c r="QJ76" i="6" s="1"/>
  <c r="PV76" i="6" a="1"/>
  <c r="PV76" i="6" s="1"/>
  <c r="PU76" i="6" a="1"/>
  <c r="PU76" i="6" s="1"/>
  <c r="PT76" i="6" a="1"/>
  <c r="PT76" i="6" s="1"/>
  <c r="PS76" i="6" a="1"/>
  <c r="PS76" i="6" s="1"/>
  <c r="PR76" i="6" a="1"/>
  <c r="PR76" i="6" s="1"/>
  <c r="PD76" i="6" a="1"/>
  <c r="PD76" i="6" s="1"/>
  <c r="PC76" i="6" a="1"/>
  <c r="PC76" i="6" s="1"/>
  <c r="PB76" i="6" a="1"/>
  <c r="PB76" i="6" s="1"/>
  <c r="PA76" i="6" a="1"/>
  <c r="PA76" i="6" s="1"/>
  <c r="OZ76" i="6" a="1"/>
  <c r="OZ76" i="6" s="1"/>
  <c r="OL76" i="6" a="1"/>
  <c r="OL76" i="6" s="1"/>
  <c r="OK76" i="6" a="1"/>
  <c r="OK76" i="6" s="1"/>
  <c r="OJ76" i="6" a="1"/>
  <c r="OJ76" i="6" s="1"/>
  <c r="OI76" i="6" a="1"/>
  <c r="OI76" i="6" s="1"/>
  <c r="OH76" i="6" a="1"/>
  <c r="OH76" i="6" s="1"/>
  <c r="NT76" i="6" a="1"/>
  <c r="NT76" i="6" s="1"/>
  <c r="NS76" i="6" a="1"/>
  <c r="NS76" i="6" s="1"/>
  <c r="NR76" i="6" a="1"/>
  <c r="NR76" i="6" s="1"/>
  <c r="NQ76" i="6" a="1"/>
  <c r="NQ76" i="6" s="1"/>
  <c r="NP76" i="6" a="1"/>
  <c r="NP76" i="6" s="1"/>
  <c r="NC76" i="6" a="1"/>
  <c r="NC76" i="6" s="1"/>
  <c r="NB76" i="6" a="1"/>
  <c r="NB76" i="6" s="1"/>
  <c r="NA76" i="6" a="1"/>
  <c r="NA76" i="6" s="1"/>
  <c r="MZ76" i="6" a="1"/>
  <c r="MZ76" i="6" s="1"/>
  <c r="MY76" i="6" a="1"/>
  <c r="MY76" i="6" s="1"/>
  <c r="MK76" i="6" a="1"/>
  <c r="MK76" i="6" s="1"/>
  <c r="MJ76" i="6" a="1"/>
  <c r="MJ76" i="6" s="1"/>
  <c r="MI76" i="6" a="1"/>
  <c r="MI76" i="6" s="1"/>
  <c r="MH76" i="6" a="1"/>
  <c r="MH76" i="6" s="1"/>
  <c r="MG76" i="6" a="1"/>
  <c r="MG76" i="6" s="1"/>
  <c r="LS76" i="6" a="1"/>
  <c r="LS76" i="6" s="1"/>
  <c r="LR76" i="6" a="1"/>
  <c r="LR76" i="6" s="1"/>
  <c r="LQ76" i="6" a="1"/>
  <c r="LQ76" i="6" s="1"/>
  <c r="LP76" i="6" a="1"/>
  <c r="LP76" i="6" s="1"/>
  <c r="LO76" i="6" a="1"/>
  <c r="LO76" i="6" s="1"/>
  <c r="LA76" i="6" a="1"/>
  <c r="LA76" i="6" s="1"/>
  <c r="KZ76" i="6" a="1"/>
  <c r="KZ76" i="6" s="1"/>
  <c r="KY76" i="6" a="1"/>
  <c r="KY76" i="6" s="1"/>
  <c r="KX76" i="6" a="1"/>
  <c r="KX76" i="6" s="1"/>
  <c r="KW76" i="6" a="1"/>
  <c r="KW76" i="6" s="1"/>
  <c r="KI76" i="6" a="1"/>
  <c r="KI76" i="6" s="1"/>
  <c r="KH76" i="6" a="1"/>
  <c r="KH76" i="6" s="1"/>
  <c r="KG76" i="6" a="1"/>
  <c r="KG76" i="6" s="1"/>
  <c r="KF76" i="6" a="1"/>
  <c r="KF76" i="6" s="1"/>
  <c r="KE76" i="6" a="1"/>
  <c r="KE76" i="6" s="1"/>
  <c r="JQ76" i="6" a="1"/>
  <c r="JQ76" i="6" s="1"/>
  <c r="JP76" i="6" a="1"/>
  <c r="JP76" i="6" s="1"/>
  <c r="JO76" i="6" a="1"/>
  <c r="JO76" i="6" s="1"/>
  <c r="JN76" i="6" a="1"/>
  <c r="JN76" i="6" s="1"/>
  <c r="JM76" i="6" a="1"/>
  <c r="JM76" i="6" s="1"/>
  <c r="IY76" i="6" a="1"/>
  <c r="IY76" i="6" s="1"/>
  <c r="IX76" i="6" a="1"/>
  <c r="IX76" i="6" s="1"/>
  <c r="IW76" i="6" a="1"/>
  <c r="IW76" i="6" s="1"/>
  <c r="IV76" i="6" a="1"/>
  <c r="IV76" i="6" s="1"/>
  <c r="IU76" i="6" a="1"/>
  <c r="IU76" i="6" s="1"/>
  <c r="IG76" i="6" a="1"/>
  <c r="IG76" i="6" s="1"/>
  <c r="IF76" i="6" a="1"/>
  <c r="IF76" i="6" s="1"/>
  <c r="IE76" i="6" a="1"/>
  <c r="IE76" i="6" s="1"/>
  <c r="ID76" i="6" a="1"/>
  <c r="ID76" i="6" s="1"/>
  <c r="IC76" i="6" a="1"/>
  <c r="IC76" i="6" s="1"/>
  <c r="HO76" i="6" a="1"/>
  <c r="HO76" i="6" s="1"/>
  <c r="HN76" i="6" a="1"/>
  <c r="HN76" i="6" s="1"/>
  <c r="HM76" i="6" a="1"/>
  <c r="HM76" i="6" s="1"/>
  <c r="HL76" i="6" a="1"/>
  <c r="HL76" i="6" s="1"/>
  <c r="HK76" i="6" a="1"/>
  <c r="HK76" i="6" s="1"/>
  <c r="GX76" i="6" a="1"/>
  <c r="GX76" i="6" s="1"/>
  <c r="GW76" i="6" a="1"/>
  <c r="GW76" i="6" s="1"/>
  <c r="GV76" i="6" a="1"/>
  <c r="GV76" i="6" s="1"/>
  <c r="GU76" i="6" a="1"/>
  <c r="GU76" i="6" s="1"/>
  <c r="GT76" i="6" a="1"/>
  <c r="GT76" i="6" s="1"/>
  <c r="GG76" i="6" a="1"/>
  <c r="GG76" i="6" s="1"/>
  <c r="GF76" i="6" a="1"/>
  <c r="GF76" i="6" s="1"/>
  <c r="GE76" i="6" a="1"/>
  <c r="GE76" i="6" s="1"/>
  <c r="GD76" i="6" a="1"/>
  <c r="GD76" i="6" s="1"/>
  <c r="GC76" i="6" a="1"/>
  <c r="GC76" i="6" s="1"/>
  <c r="FP76" i="6" a="1"/>
  <c r="FP76" i="6" s="1"/>
  <c r="FO76" i="6" a="1"/>
  <c r="FO76" i="6" s="1"/>
  <c r="FN76" i="6" a="1"/>
  <c r="FN76" i="6" s="1"/>
  <c r="FM76" i="6" a="1"/>
  <c r="FM76" i="6" s="1"/>
  <c r="FL76" i="6" a="1"/>
  <c r="FL76" i="6" s="1"/>
  <c r="EY76" i="6" a="1"/>
  <c r="EY76" i="6" s="1"/>
  <c r="EX76" i="6" a="1"/>
  <c r="EX76" i="6" s="1"/>
  <c r="EW76" i="6" a="1"/>
  <c r="EW76" i="6" s="1"/>
  <c r="EV76" i="6" a="1"/>
  <c r="EV76" i="6" s="1"/>
  <c r="EU76" i="6" a="1"/>
  <c r="EU76" i="6" s="1"/>
  <c r="EH76" i="6" a="1"/>
  <c r="EH76" i="6" s="1"/>
  <c r="EG76" i="6" a="1"/>
  <c r="EG76" i="6" s="1"/>
  <c r="EF76" i="6" a="1"/>
  <c r="EF76" i="6" s="1"/>
  <c r="EE76" i="6" a="1"/>
  <c r="EE76" i="6" s="1"/>
  <c r="ED76" i="6" a="1"/>
  <c r="ED76" i="6" s="1"/>
  <c r="DQ76" i="6" a="1"/>
  <c r="DQ76" i="6" s="1"/>
  <c r="DP76" i="6" a="1"/>
  <c r="DP76" i="6" s="1"/>
  <c r="DO76" i="6" a="1"/>
  <c r="DO76" i="6" s="1"/>
  <c r="DN76" i="6" a="1"/>
  <c r="DN76" i="6" s="1"/>
  <c r="DM76" i="6" a="1"/>
  <c r="DM76" i="6" s="1"/>
  <c r="DD76" i="6" a="1"/>
  <c r="DD76" i="6" s="1"/>
  <c r="CU76" i="6" a="1"/>
  <c r="CU76" i="6" s="1"/>
  <c r="CL76" i="6" a="1"/>
  <c r="CL76" i="6" s="1"/>
  <c r="BX76" i="6" a="1"/>
  <c r="BX76" i="6" s="1"/>
  <c r="BW76" i="6" a="1"/>
  <c r="BW76" i="6" s="1"/>
  <c r="BV76" i="6" a="1"/>
  <c r="BV76" i="6" s="1"/>
  <c r="BU76" i="6" a="1"/>
  <c r="BU76" i="6" s="1"/>
  <c r="BT76" i="6" a="1"/>
  <c r="BT76" i="6" s="1"/>
  <c r="BS76" i="6" a="1"/>
  <c r="BS76" i="6" s="1"/>
  <c r="BA76" i="6" a="1"/>
  <c r="BA76" i="6" s="1"/>
  <c r="AZ76" i="6" a="1"/>
  <c r="AZ76" i="6" s="1"/>
  <c r="AY76" i="6" a="1"/>
  <c r="AY76" i="6" s="1"/>
  <c r="AX76" i="6" a="1"/>
  <c r="AX76" i="6" s="1"/>
  <c r="AW76" i="6" a="1"/>
  <c r="AW76" i="6" s="1"/>
  <c r="AV76" i="6" a="1"/>
  <c r="AV76" i="6" s="1"/>
  <c r="AU76" i="6" a="1"/>
  <c r="AU76" i="6" s="1"/>
  <c r="AT76" i="6" a="1"/>
  <c r="AT76" i="6" s="1"/>
  <c r="AS76" i="6" a="1"/>
  <c r="AS76" i="6" s="1"/>
  <c r="AR76" i="6" a="1"/>
  <c r="AR76" i="6" s="1"/>
  <c r="AH76" i="6" a="1"/>
  <c r="AH76" i="6" s="1"/>
  <c r="AG76" i="6" a="1"/>
  <c r="AG76" i="6" s="1"/>
  <c r="V76" i="6" a="1"/>
  <c r="V76" i="6" s="1"/>
  <c r="U76" i="6" a="1"/>
  <c r="U76" i="6" s="1"/>
  <c r="J76" i="6" a="1"/>
  <c r="J76" i="6" s="1"/>
  <c r="I76" i="6" a="1"/>
  <c r="I76" i="6" s="1"/>
  <c r="ADA75" i="6" a="1"/>
  <c r="ADA75" i="6" s="1"/>
  <c r="ACZ75" i="6" a="1"/>
  <c r="ACZ75" i="6" s="1"/>
  <c r="ACY75" i="6" a="1"/>
  <c r="ACY75" i="6" s="1"/>
  <c r="ACN75" i="6" a="1"/>
  <c r="ACN75" i="6" s="1"/>
  <c r="ACM75" i="6" a="1"/>
  <c r="ACM75" i="6" s="1"/>
  <c r="ABU75" i="6" a="1"/>
  <c r="ABU75" i="6" s="1"/>
  <c r="ABX75" i="6" a="1"/>
  <c r="ABX75" i="6" s="1"/>
  <c r="ABV75" i="6" a="1"/>
  <c r="ABV75" i="6" s="1"/>
  <c r="ABH75" i="6" a="1"/>
  <c r="ABH75" i="6" s="1"/>
  <c r="ABG75" i="6" a="1"/>
  <c r="ABG75" i="6" s="1"/>
  <c r="ABF75" i="6" a="1"/>
  <c r="ABF75" i="6" s="1"/>
  <c r="ABE75" i="6" a="1"/>
  <c r="ABE75" i="6" s="1"/>
  <c r="ABD75" i="6" a="1"/>
  <c r="ABD75" i="6" s="1"/>
  <c r="ZR75" i="6" a="1"/>
  <c r="ZR75" i="6" s="1"/>
  <c r="ZE75" i="6" a="1"/>
  <c r="ZE75" i="6" s="1"/>
  <c r="ZD75" i="6" a="1"/>
  <c r="ZD75" i="6" s="1"/>
  <c r="ZC75" i="6" a="1"/>
  <c r="ZC75" i="6" s="1"/>
  <c r="ZB75" i="6" a="1"/>
  <c r="ZB75" i="6" s="1"/>
  <c r="ZA75" i="6" a="1"/>
  <c r="ZA75" i="6" s="1"/>
  <c r="YP75" i="6" a="1"/>
  <c r="YP75" i="6" s="1"/>
  <c r="YO75" i="6" a="1"/>
  <c r="YO75" i="6" s="1"/>
  <c r="YE75" i="6" a="1"/>
  <c r="YE75" i="6" s="1"/>
  <c r="YD75" i="6" a="1"/>
  <c r="YD75" i="6" s="1"/>
  <c r="XT75" i="6" a="1"/>
  <c r="XT75" i="6" s="1"/>
  <c r="XS75" i="6" a="1"/>
  <c r="XS75" i="6" s="1"/>
  <c r="XI75" i="6" a="1"/>
  <c r="XI75" i="6" s="1"/>
  <c r="XH75" i="6" a="1"/>
  <c r="XH75" i="6" s="1"/>
  <c r="WX75" i="6" a="1"/>
  <c r="WX75" i="6" s="1"/>
  <c r="WW75" i="6" a="1"/>
  <c r="WW75" i="6" s="1"/>
  <c r="WM75" i="6" a="1"/>
  <c r="WM75" i="6" s="1"/>
  <c r="WL75" i="6" a="1"/>
  <c r="WL75" i="6" s="1"/>
  <c r="WC75" i="6" a="1"/>
  <c r="WC75" i="6" s="1"/>
  <c r="VQ75" i="6" a="1"/>
  <c r="VQ75" i="6" s="1"/>
  <c r="VP75" i="6" a="1"/>
  <c r="VP75" i="6" s="1"/>
  <c r="VO75" i="6" a="1"/>
  <c r="VO75" i="6" s="1"/>
  <c r="VN75" i="6" a="1"/>
  <c r="VN75" i="6" s="1"/>
  <c r="VA75" i="6" a="1"/>
  <c r="VA75" i="6" s="1"/>
  <c r="UZ75" i="6" a="1"/>
  <c r="UZ75" i="6" s="1"/>
  <c r="UY75" i="6" a="1"/>
  <c r="UY75" i="6" s="1"/>
  <c r="UX75" i="6" a="1"/>
  <c r="UX75" i="6" s="1"/>
  <c r="UW75" i="6" a="1"/>
  <c r="UW75" i="6" s="1"/>
  <c r="UM75" i="6" a="1"/>
  <c r="UM75" i="6" s="1"/>
  <c r="TZ75" i="6" a="1"/>
  <c r="TZ75" i="6" s="1"/>
  <c r="TY75" i="6" a="1"/>
  <c r="TY75" i="6" s="1"/>
  <c r="TX75" i="6" a="1"/>
  <c r="TX75" i="6" s="1"/>
  <c r="TW75" i="6" a="1"/>
  <c r="TW75" i="6" s="1"/>
  <c r="TV75" i="6" a="1"/>
  <c r="TV75" i="6" s="1"/>
  <c r="TH75" i="6" a="1"/>
  <c r="TH75" i="6" s="1"/>
  <c r="TG75" i="6" a="1"/>
  <c r="TG75" i="6" s="1"/>
  <c r="TF75" i="6" a="1"/>
  <c r="TF75" i="6" s="1"/>
  <c r="TE75" i="6" a="1"/>
  <c r="TE75" i="6" s="1"/>
  <c r="TD75" i="6" a="1"/>
  <c r="TD75" i="6" s="1"/>
  <c r="SP75" i="6" a="1"/>
  <c r="SP75" i="6" s="1"/>
  <c r="SO75" i="6" a="1"/>
  <c r="SO75" i="6" s="1"/>
  <c r="SN75" i="6" a="1"/>
  <c r="SN75" i="6" s="1"/>
  <c r="SM75" i="6" a="1"/>
  <c r="SM75" i="6" s="1"/>
  <c r="SL75" i="6" a="1"/>
  <c r="SL75" i="6" s="1"/>
  <c r="RX75" i="6" a="1"/>
  <c r="RX75" i="6" s="1"/>
  <c r="RW75" i="6" a="1"/>
  <c r="RW75" i="6" s="1"/>
  <c r="RV75" i="6" a="1"/>
  <c r="RV75" i="6" s="1"/>
  <c r="RU75" i="6" a="1"/>
  <c r="RU75" i="6" s="1"/>
  <c r="RT75" i="6" a="1"/>
  <c r="RT75" i="6" s="1"/>
  <c r="RF75" i="6" a="1"/>
  <c r="RF75" i="6" s="1"/>
  <c r="RE75" i="6" a="1"/>
  <c r="RE75" i="6" s="1"/>
  <c r="RD75" i="6" a="1"/>
  <c r="RD75" i="6" s="1"/>
  <c r="RC75" i="6" a="1"/>
  <c r="RC75" i="6" s="1"/>
  <c r="RB75" i="6" a="1"/>
  <c r="RB75" i="6" s="1"/>
  <c r="QN75" i="6" a="1"/>
  <c r="QN75" i="6" s="1"/>
  <c r="QM75" i="6" a="1"/>
  <c r="QM75" i="6" s="1"/>
  <c r="QL75" i="6" a="1"/>
  <c r="QL75" i="6" s="1"/>
  <c r="QK75" i="6" a="1"/>
  <c r="QK75" i="6" s="1"/>
  <c r="QJ75" i="6" a="1"/>
  <c r="QJ75" i="6" s="1"/>
  <c r="PV75" i="6" a="1"/>
  <c r="PV75" i="6" s="1"/>
  <c r="PU75" i="6" a="1"/>
  <c r="PU75" i="6" s="1"/>
  <c r="PT75" i="6" a="1"/>
  <c r="PT75" i="6" s="1"/>
  <c r="PS75" i="6" a="1"/>
  <c r="PS75" i="6" s="1"/>
  <c r="PR75" i="6" a="1"/>
  <c r="PR75" i="6" s="1"/>
  <c r="PD75" i="6" a="1"/>
  <c r="PD75" i="6" s="1"/>
  <c r="PC75" i="6" a="1"/>
  <c r="PC75" i="6" s="1"/>
  <c r="PB75" i="6" a="1"/>
  <c r="PB75" i="6" s="1"/>
  <c r="PA75" i="6" a="1"/>
  <c r="PA75" i="6" s="1"/>
  <c r="OZ75" i="6" a="1"/>
  <c r="OZ75" i="6" s="1"/>
  <c r="OL75" i="6" a="1"/>
  <c r="OL75" i="6" s="1"/>
  <c r="OK75" i="6" a="1"/>
  <c r="OK75" i="6" s="1"/>
  <c r="OJ75" i="6" a="1"/>
  <c r="OJ75" i="6" s="1"/>
  <c r="OI75" i="6" a="1"/>
  <c r="OI75" i="6" s="1"/>
  <c r="OH75" i="6" a="1"/>
  <c r="OH75" i="6" s="1"/>
  <c r="NT75" i="6" a="1"/>
  <c r="NT75" i="6" s="1"/>
  <c r="NS75" i="6" a="1"/>
  <c r="NS75" i="6" s="1"/>
  <c r="NR75" i="6" a="1"/>
  <c r="NR75" i="6" s="1"/>
  <c r="NQ75" i="6" a="1"/>
  <c r="NQ75" i="6" s="1"/>
  <c r="NP75" i="6" a="1"/>
  <c r="NP75" i="6" s="1"/>
  <c r="NC75" i="6" a="1"/>
  <c r="NC75" i="6" s="1"/>
  <c r="NB75" i="6" a="1"/>
  <c r="NB75" i="6" s="1"/>
  <c r="NA75" i="6" a="1"/>
  <c r="NA75" i="6" s="1"/>
  <c r="MZ75" i="6" a="1"/>
  <c r="MZ75" i="6" s="1"/>
  <c r="MY75" i="6" a="1"/>
  <c r="MY75" i="6" s="1"/>
  <c r="MK75" i="6" a="1"/>
  <c r="MK75" i="6" s="1"/>
  <c r="MJ75" i="6" a="1"/>
  <c r="MJ75" i="6" s="1"/>
  <c r="MI75" i="6" a="1"/>
  <c r="MI75" i="6" s="1"/>
  <c r="MH75" i="6" a="1"/>
  <c r="MH75" i="6" s="1"/>
  <c r="MG75" i="6" a="1"/>
  <c r="MG75" i="6" s="1"/>
  <c r="LS75" i="6" a="1"/>
  <c r="LS75" i="6" s="1"/>
  <c r="LR75" i="6" a="1"/>
  <c r="LR75" i="6" s="1"/>
  <c r="LQ75" i="6" a="1"/>
  <c r="LQ75" i="6" s="1"/>
  <c r="LP75" i="6" a="1"/>
  <c r="LP75" i="6" s="1"/>
  <c r="LO75" i="6" a="1"/>
  <c r="LO75" i="6" s="1"/>
  <c r="LA75" i="6" a="1"/>
  <c r="LA75" i="6" s="1"/>
  <c r="KZ75" i="6" a="1"/>
  <c r="KZ75" i="6" s="1"/>
  <c r="KY75" i="6" a="1"/>
  <c r="KY75" i="6" s="1"/>
  <c r="KX75" i="6" a="1"/>
  <c r="KX75" i="6" s="1"/>
  <c r="KW75" i="6" a="1"/>
  <c r="KW75" i="6" s="1"/>
  <c r="KI75" i="6" a="1"/>
  <c r="KI75" i="6" s="1"/>
  <c r="KH75" i="6" a="1"/>
  <c r="KH75" i="6" s="1"/>
  <c r="KG75" i="6" a="1"/>
  <c r="KG75" i="6" s="1"/>
  <c r="KF75" i="6" a="1"/>
  <c r="KF75" i="6" s="1"/>
  <c r="KE75" i="6" a="1"/>
  <c r="KE75" i="6" s="1"/>
  <c r="JQ75" i="6" a="1"/>
  <c r="JQ75" i="6" s="1"/>
  <c r="JP75" i="6" a="1"/>
  <c r="JP75" i="6" s="1"/>
  <c r="JO75" i="6" a="1"/>
  <c r="JO75" i="6" s="1"/>
  <c r="JN75" i="6" a="1"/>
  <c r="JN75" i="6" s="1"/>
  <c r="JM75" i="6" a="1"/>
  <c r="JM75" i="6" s="1"/>
  <c r="IY75" i="6" a="1"/>
  <c r="IY75" i="6" s="1"/>
  <c r="IX75" i="6" a="1"/>
  <c r="IX75" i="6" s="1"/>
  <c r="IW75" i="6" a="1"/>
  <c r="IW75" i="6" s="1"/>
  <c r="IV75" i="6" a="1"/>
  <c r="IV75" i="6" s="1"/>
  <c r="IU75" i="6" a="1"/>
  <c r="IU75" i="6" s="1"/>
  <c r="IG75" i="6" a="1"/>
  <c r="IG75" i="6" s="1"/>
  <c r="IF75" i="6" a="1"/>
  <c r="IF75" i="6" s="1"/>
  <c r="IE75" i="6" a="1"/>
  <c r="IE75" i="6" s="1"/>
  <c r="ID75" i="6" a="1"/>
  <c r="ID75" i="6" s="1"/>
  <c r="IC75" i="6" a="1"/>
  <c r="IC75" i="6" s="1"/>
  <c r="HO75" i="6" a="1"/>
  <c r="HO75" i="6" s="1"/>
  <c r="HN75" i="6" a="1"/>
  <c r="HN75" i="6" s="1"/>
  <c r="HM75" i="6" a="1"/>
  <c r="HM75" i="6" s="1"/>
  <c r="HL75" i="6" a="1"/>
  <c r="HL75" i="6" s="1"/>
  <c r="HK75" i="6" a="1"/>
  <c r="HK75" i="6" s="1"/>
  <c r="GX75" i="6" a="1"/>
  <c r="GX75" i="6" s="1"/>
  <c r="GW75" i="6" a="1"/>
  <c r="GW75" i="6" s="1"/>
  <c r="GV75" i="6" a="1"/>
  <c r="GV75" i="6" s="1"/>
  <c r="GU75" i="6" a="1"/>
  <c r="GU75" i="6" s="1"/>
  <c r="GT75" i="6" a="1"/>
  <c r="GT75" i="6" s="1"/>
  <c r="GG75" i="6" a="1"/>
  <c r="GG75" i="6" s="1"/>
  <c r="GF75" i="6" a="1"/>
  <c r="GF75" i="6" s="1"/>
  <c r="GE75" i="6" a="1"/>
  <c r="GE75" i="6" s="1"/>
  <c r="GD75" i="6" a="1"/>
  <c r="GD75" i="6" s="1"/>
  <c r="GC75" i="6" a="1"/>
  <c r="GC75" i="6" s="1"/>
  <c r="FP75" i="6" a="1"/>
  <c r="FP75" i="6" s="1"/>
  <c r="FO75" i="6" a="1"/>
  <c r="FO75" i="6" s="1"/>
  <c r="FN75" i="6" a="1"/>
  <c r="FN75" i="6" s="1"/>
  <c r="FM75" i="6" a="1"/>
  <c r="FM75" i="6" s="1"/>
  <c r="FL75" i="6" a="1"/>
  <c r="FL75" i="6" s="1"/>
  <c r="EY75" i="6" a="1"/>
  <c r="EY75" i="6" s="1"/>
  <c r="EX75" i="6" a="1"/>
  <c r="EX75" i="6" s="1"/>
  <c r="EW75" i="6" a="1"/>
  <c r="EW75" i="6" s="1"/>
  <c r="EV75" i="6" a="1"/>
  <c r="EV75" i="6" s="1"/>
  <c r="EU75" i="6" a="1"/>
  <c r="EU75" i="6" s="1"/>
  <c r="EH75" i="6" a="1"/>
  <c r="EH75" i="6" s="1"/>
  <c r="EG75" i="6" a="1"/>
  <c r="EG75" i="6" s="1"/>
  <c r="EF75" i="6" a="1"/>
  <c r="EF75" i="6" s="1"/>
  <c r="EE75" i="6" a="1"/>
  <c r="EE75" i="6" s="1"/>
  <c r="ED75" i="6" a="1"/>
  <c r="ED75" i="6" s="1"/>
  <c r="DQ75" i="6" a="1"/>
  <c r="DQ75" i="6" s="1"/>
  <c r="DP75" i="6" a="1"/>
  <c r="DP75" i="6" s="1"/>
  <c r="DO75" i="6" a="1"/>
  <c r="DO75" i="6" s="1"/>
  <c r="DN75" i="6" a="1"/>
  <c r="DN75" i="6" s="1"/>
  <c r="DM75" i="6" a="1"/>
  <c r="DM75" i="6" s="1"/>
  <c r="DD75" i="6" a="1"/>
  <c r="DD75" i="6" s="1"/>
  <c r="CU75" i="6" a="1"/>
  <c r="CU75" i="6" s="1"/>
  <c r="CL75" i="6" a="1"/>
  <c r="CL75" i="6" s="1"/>
  <c r="BX75" i="6" a="1"/>
  <c r="BX75" i="6" s="1"/>
  <c r="BW75" i="6" a="1"/>
  <c r="BW75" i="6" s="1"/>
  <c r="BV75" i="6" a="1"/>
  <c r="BV75" i="6" s="1"/>
  <c r="BU75" i="6" a="1"/>
  <c r="BU75" i="6" s="1"/>
  <c r="BT75" i="6" a="1"/>
  <c r="BT75" i="6" s="1"/>
  <c r="BS75" i="6" a="1"/>
  <c r="BS75" i="6" s="1"/>
  <c r="BA75" i="6" a="1"/>
  <c r="BA75" i="6" s="1"/>
  <c r="AZ75" i="6" a="1"/>
  <c r="AZ75" i="6" s="1"/>
  <c r="AY75" i="6" a="1"/>
  <c r="AY75" i="6" s="1"/>
  <c r="AX75" i="6" a="1"/>
  <c r="AX75" i="6" s="1"/>
  <c r="AW75" i="6" a="1"/>
  <c r="AW75" i="6" s="1"/>
  <c r="AV75" i="6" a="1"/>
  <c r="AV75" i="6" s="1"/>
  <c r="AU75" i="6" a="1"/>
  <c r="AU75" i="6" s="1"/>
  <c r="AT75" i="6" a="1"/>
  <c r="AT75" i="6" s="1"/>
  <c r="AS75" i="6" a="1"/>
  <c r="AS75" i="6" s="1"/>
  <c r="AR75" i="6" a="1"/>
  <c r="AR75" i="6" s="1"/>
  <c r="AH75" i="6" a="1"/>
  <c r="AH75" i="6" s="1"/>
  <c r="AG75" i="6" a="1"/>
  <c r="AG75" i="6" s="1"/>
  <c r="V75" i="6" a="1"/>
  <c r="V75" i="6" s="1"/>
  <c r="U75" i="6" a="1"/>
  <c r="U75" i="6" s="1"/>
  <c r="J75" i="6" a="1"/>
  <c r="J75" i="6" s="1"/>
  <c r="I75" i="6" a="1"/>
  <c r="I75" i="6" s="1"/>
  <c r="ADA74" i="6" a="1"/>
  <c r="ADA74" i="6" s="1"/>
  <c r="ACZ74" i="6" a="1"/>
  <c r="ACZ74" i="6" s="1"/>
  <c r="ACY74" i="6" a="1"/>
  <c r="ACY74" i="6" s="1"/>
  <c r="ACN74" i="6" a="1"/>
  <c r="ACN74" i="6" s="1"/>
  <c r="ACM74" i="6" a="1"/>
  <c r="ACM74" i="6" s="1"/>
  <c r="ABU74" i="6" a="1"/>
  <c r="ABU74" i="6" s="1"/>
  <c r="ABX74" i="6" a="1"/>
  <c r="ABX74" i="6" s="1"/>
  <c r="ABV74" i="6" a="1"/>
  <c r="ABV74" i="6" s="1"/>
  <c r="ABH74" i="6" a="1"/>
  <c r="ABH74" i="6" s="1"/>
  <c r="ABG74" i="6" a="1"/>
  <c r="ABG74" i="6" s="1"/>
  <c r="ABF74" i="6" a="1"/>
  <c r="ABF74" i="6" s="1"/>
  <c r="ABE74" i="6" a="1"/>
  <c r="ABE74" i="6" s="1"/>
  <c r="ABD74" i="6" a="1"/>
  <c r="ABD74" i="6" s="1"/>
  <c r="ZR74" i="6" a="1"/>
  <c r="ZR74" i="6" s="1"/>
  <c r="ZE74" i="6" a="1"/>
  <c r="ZE74" i="6" s="1"/>
  <c r="ZD74" i="6" a="1"/>
  <c r="ZD74" i="6" s="1"/>
  <c r="ZC74" i="6" a="1"/>
  <c r="ZC74" i="6" s="1"/>
  <c r="ZB74" i="6" a="1"/>
  <c r="ZB74" i="6" s="1"/>
  <c r="ZA74" i="6" a="1"/>
  <c r="ZA74" i="6" s="1"/>
  <c r="YP74" i="6" a="1"/>
  <c r="YP74" i="6" s="1"/>
  <c r="YO74" i="6" a="1"/>
  <c r="YO74" i="6" s="1"/>
  <c r="YE74" i="6" a="1"/>
  <c r="YE74" i="6" s="1"/>
  <c r="YD74" i="6" a="1"/>
  <c r="YD74" i="6" s="1"/>
  <c r="XT74" i="6" a="1"/>
  <c r="XT74" i="6" s="1"/>
  <c r="XS74" i="6" a="1"/>
  <c r="XS74" i="6" s="1"/>
  <c r="XI74" i="6" a="1"/>
  <c r="XI74" i="6" s="1"/>
  <c r="XH74" i="6" a="1"/>
  <c r="XH74" i="6" s="1"/>
  <c r="WX74" i="6" a="1"/>
  <c r="WX74" i="6" s="1"/>
  <c r="WW74" i="6" a="1"/>
  <c r="WW74" i="6" s="1"/>
  <c r="WM74" i="6" a="1"/>
  <c r="WM74" i="6" s="1"/>
  <c r="WL74" i="6" a="1"/>
  <c r="WL74" i="6" s="1"/>
  <c r="WC74" i="6" a="1"/>
  <c r="WC74" i="6" s="1"/>
  <c r="VQ74" i="6" a="1"/>
  <c r="VQ74" i="6" s="1"/>
  <c r="VP74" i="6" a="1"/>
  <c r="VP74" i="6" s="1"/>
  <c r="VO74" i="6" a="1"/>
  <c r="VO74" i="6" s="1"/>
  <c r="VN74" i="6" a="1"/>
  <c r="VN74" i="6" s="1"/>
  <c r="VA74" i="6" a="1"/>
  <c r="VA74" i="6" s="1"/>
  <c r="UZ74" i="6" a="1"/>
  <c r="UZ74" i="6" s="1"/>
  <c r="UY74" i="6" a="1"/>
  <c r="UY74" i="6" s="1"/>
  <c r="UX74" i="6" a="1"/>
  <c r="UX74" i="6" s="1"/>
  <c r="UW74" i="6" a="1"/>
  <c r="UW74" i="6" s="1"/>
  <c r="UM74" i="6" a="1"/>
  <c r="UM74" i="6" s="1"/>
  <c r="TZ74" i="6" a="1"/>
  <c r="TZ74" i="6" s="1"/>
  <c r="TY74" i="6" a="1"/>
  <c r="TY74" i="6" s="1"/>
  <c r="TX74" i="6" a="1"/>
  <c r="TX74" i="6" s="1"/>
  <c r="TW74" i="6" a="1"/>
  <c r="TW74" i="6" s="1"/>
  <c r="TV74" i="6" a="1"/>
  <c r="TV74" i="6" s="1"/>
  <c r="TH74" i="6" a="1"/>
  <c r="TH74" i="6" s="1"/>
  <c r="TG74" i="6" a="1"/>
  <c r="TG74" i="6" s="1"/>
  <c r="TF74" i="6" a="1"/>
  <c r="TF74" i="6" s="1"/>
  <c r="TE74" i="6" a="1"/>
  <c r="TE74" i="6" s="1"/>
  <c r="TD74" i="6" a="1"/>
  <c r="TD74" i="6" s="1"/>
  <c r="SP74" i="6" a="1"/>
  <c r="SP74" i="6" s="1"/>
  <c r="SO74" i="6" a="1"/>
  <c r="SO74" i="6" s="1"/>
  <c r="SN74" i="6" a="1"/>
  <c r="SN74" i="6" s="1"/>
  <c r="SM74" i="6" a="1"/>
  <c r="SM74" i="6" s="1"/>
  <c r="SL74" i="6" a="1"/>
  <c r="SL74" i="6" s="1"/>
  <c r="RX74" i="6" a="1"/>
  <c r="RX74" i="6" s="1"/>
  <c r="RW74" i="6" a="1"/>
  <c r="RW74" i="6" s="1"/>
  <c r="RV74" i="6" a="1"/>
  <c r="RV74" i="6" s="1"/>
  <c r="RU74" i="6" a="1"/>
  <c r="RU74" i="6" s="1"/>
  <c r="RT74" i="6" a="1"/>
  <c r="RT74" i="6" s="1"/>
  <c r="RF74" i="6" a="1"/>
  <c r="RF74" i="6" s="1"/>
  <c r="RE74" i="6" a="1"/>
  <c r="RE74" i="6" s="1"/>
  <c r="RD74" i="6" a="1"/>
  <c r="RD74" i="6" s="1"/>
  <c r="RC74" i="6" a="1"/>
  <c r="RC74" i="6" s="1"/>
  <c r="RB74" i="6" a="1"/>
  <c r="RB74" i="6" s="1"/>
  <c r="QN74" i="6" a="1"/>
  <c r="QN74" i="6" s="1"/>
  <c r="QM74" i="6" a="1"/>
  <c r="QM74" i="6" s="1"/>
  <c r="QL74" i="6" a="1"/>
  <c r="QL74" i="6" s="1"/>
  <c r="QK74" i="6" a="1"/>
  <c r="QK74" i="6" s="1"/>
  <c r="QJ74" i="6" a="1"/>
  <c r="QJ74" i="6" s="1"/>
  <c r="PV74" i="6" a="1"/>
  <c r="PV74" i="6" s="1"/>
  <c r="PU74" i="6" a="1"/>
  <c r="PU74" i="6" s="1"/>
  <c r="PT74" i="6" a="1"/>
  <c r="PT74" i="6" s="1"/>
  <c r="PS74" i="6" a="1"/>
  <c r="PS74" i="6" s="1"/>
  <c r="PR74" i="6" a="1"/>
  <c r="PR74" i="6" s="1"/>
  <c r="PD74" i="6" a="1"/>
  <c r="PD74" i="6" s="1"/>
  <c r="PC74" i="6" a="1"/>
  <c r="PC74" i="6" s="1"/>
  <c r="PB74" i="6" a="1"/>
  <c r="PB74" i="6" s="1"/>
  <c r="PA74" i="6" a="1"/>
  <c r="PA74" i="6" s="1"/>
  <c r="OZ74" i="6" a="1"/>
  <c r="OZ74" i="6" s="1"/>
  <c r="OL74" i="6" a="1"/>
  <c r="OL74" i="6" s="1"/>
  <c r="OK74" i="6" a="1"/>
  <c r="OK74" i="6" s="1"/>
  <c r="OJ74" i="6" a="1"/>
  <c r="OJ74" i="6" s="1"/>
  <c r="OI74" i="6" a="1"/>
  <c r="OI74" i="6" s="1"/>
  <c r="OH74" i="6" a="1"/>
  <c r="OH74" i="6" s="1"/>
  <c r="NT74" i="6" a="1"/>
  <c r="NT74" i="6" s="1"/>
  <c r="NS74" i="6" a="1"/>
  <c r="NS74" i="6" s="1"/>
  <c r="NR74" i="6" a="1"/>
  <c r="NR74" i="6" s="1"/>
  <c r="NQ74" i="6" a="1"/>
  <c r="NQ74" i="6" s="1"/>
  <c r="NP74" i="6" a="1"/>
  <c r="NP74" i="6" s="1"/>
  <c r="NC74" i="6" a="1"/>
  <c r="NC74" i="6" s="1"/>
  <c r="NB74" i="6" a="1"/>
  <c r="NB74" i="6" s="1"/>
  <c r="NA74" i="6" a="1"/>
  <c r="NA74" i="6" s="1"/>
  <c r="MZ74" i="6" a="1"/>
  <c r="MZ74" i="6" s="1"/>
  <c r="MY74" i="6" a="1"/>
  <c r="MY74" i="6" s="1"/>
  <c r="MK74" i="6" a="1"/>
  <c r="MK74" i="6" s="1"/>
  <c r="MJ74" i="6" a="1"/>
  <c r="MJ74" i="6" s="1"/>
  <c r="MI74" i="6" a="1"/>
  <c r="MI74" i="6" s="1"/>
  <c r="MH74" i="6" a="1"/>
  <c r="MH74" i="6" s="1"/>
  <c r="MG74" i="6" a="1"/>
  <c r="MG74" i="6" s="1"/>
  <c r="LS74" i="6" a="1"/>
  <c r="LS74" i="6" s="1"/>
  <c r="LR74" i="6" a="1"/>
  <c r="LR74" i="6" s="1"/>
  <c r="LQ74" i="6" a="1"/>
  <c r="LQ74" i="6" s="1"/>
  <c r="LP74" i="6" a="1"/>
  <c r="LP74" i="6" s="1"/>
  <c r="LO74" i="6" a="1"/>
  <c r="LO74" i="6" s="1"/>
  <c r="LA74" i="6" a="1"/>
  <c r="LA74" i="6" s="1"/>
  <c r="KZ74" i="6" a="1"/>
  <c r="KZ74" i="6" s="1"/>
  <c r="KY74" i="6" a="1"/>
  <c r="KY74" i="6" s="1"/>
  <c r="KX74" i="6" a="1"/>
  <c r="KX74" i="6" s="1"/>
  <c r="KW74" i="6" a="1"/>
  <c r="KW74" i="6" s="1"/>
  <c r="KI74" i="6" a="1"/>
  <c r="KI74" i="6" s="1"/>
  <c r="KH74" i="6" a="1"/>
  <c r="KH74" i="6" s="1"/>
  <c r="KG74" i="6" a="1"/>
  <c r="KG74" i="6" s="1"/>
  <c r="KF74" i="6" a="1"/>
  <c r="KF74" i="6" s="1"/>
  <c r="KE74" i="6" a="1"/>
  <c r="KE74" i="6" s="1"/>
  <c r="JQ74" i="6" a="1"/>
  <c r="JQ74" i="6" s="1"/>
  <c r="JP74" i="6" a="1"/>
  <c r="JP74" i="6" s="1"/>
  <c r="JO74" i="6" a="1"/>
  <c r="JO74" i="6" s="1"/>
  <c r="JN74" i="6" a="1"/>
  <c r="JN74" i="6" s="1"/>
  <c r="JM74" i="6" a="1"/>
  <c r="JM74" i="6" s="1"/>
  <c r="IY74" i="6" a="1"/>
  <c r="IY74" i="6" s="1"/>
  <c r="IX74" i="6" a="1"/>
  <c r="IX74" i="6" s="1"/>
  <c r="IW74" i="6" a="1"/>
  <c r="IW74" i="6" s="1"/>
  <c r="IV74" i="6" a="1"/>
  <c r="IV74" i="6" s="1"/>
  <c r="IU74" i="6" a="1"/>
  <c r="IU74" i="6" s="1"/>
  <c r="IG74" i="6" a="1"/>
  <c r="IG74" i="6" s="1"/>
  <c r="IF74" i="6" a="1"/>
  <c r="IF74" i="6" s="1"/>
  <c r="IE74" i="6" a="1"/>
  <c r="IE74" i="6" s="1"/>
  <c r="ID74" i="6" a="1"/>
  <c r="ID74" i="6" s="1"/>
  <c r="IC74" i="6" a="1"/>
  <c r="IC74" i="6" s="1"/>
  <c r="HO74" i="6" a="1"/>
  <c r="HO74" i="6" s="1"/>
  <c r="HN74" i="6" a="1"/>
  <c r="HN74" i="6" s="1"/>
  <c r="HM74" i="6" a="1"/>
  <c r="HM74" i="6" s="1"/>
  <c r="HL74" i="6" a="1"/>
  <c r="HL74" i="6" s="1"/>
  <c r="HK74" i="6" a="1"/>
  <c r="HK74" i="6" s="1"/>
  <c r="GX74" i="6" a="1"/>
  <c r="GX74" i="6" s="1"/>
  <c r="GW74" i="6" a="1"/>
  <c r="GW74" i="6" s="1"/>
  <c r="GV74" i="6" a="1"/>
  <c r="GV74" i="6" s="1"/>
  <c r="GU74" i="6" a="1"/>
  <c r="GU74" i="6" s="1"/>
  <c r="GT74" i="6" a="1"/>
  <c r="GT74" i="6" s="1"/>
  <c r="GG74" i="6" a="1"/>
  <c r="GG74" i="6" s="1"/>
  <c r="GF74" i="6" a="1"/>
  <c r="GF74" i="6" s="1"/>
  <c r="GE74" i="6" a="1"/>
  <c r="GE74" i="6" s="1"/>
  <c r="GD74" i="6" a="1"/>
  <c r="GD74" i="6" s="1"/>
  <c r="GC74" i="6" a="1"/>
  <c r="GC74" i="6" s="1"/>
  <c r="FP74" i="6" a="1"/>
  <c r="FP74" i="6" s="1"/>
  <c r="FO74" i="6" a="1"/>
  <c r="FO74" i="6" s="1"/>
  <c r="FN74" i="6" a="1"/>
  <c r="FN74" i="6" s="1"/>
  <c r="FM74" i="6" a="1"/>
  <c r="FM74" i="6" s="1"/>
  <c r="FL74" i="6" a="1"/>
  <c r="FL74" i="6" s="1"/>
  <c r="EY74" i="6" a="1"/>
  <c r="EY74" i="6" s="1"/>
  <c r="EX74" i="6" a="1"/>
  <c r="EX74" i="6" s="1"/>
  <c r="EW74" i="6" a="1"/>
  <c r="EW74" i="6" s="1"/>
  <c r="EV74" i="6" a="1"/>
  <c r="EV74" i="6" s="1"/>
  <c r="EU74" i="6" a="1"/>
  <c r="EU74" i="6" s="1"/>
  <c r="EH74" i="6" a="1"/>
  <c r="EH74" i="6" s="1"/>
  <c r="EG74" i="6" a="1"/>
  <c r="EG74" i="6" s="1"/>
  <c r="EF74" i="6" a="1"/>
  <c r="EF74" i="6" s="1"/>
  <c r="EE74" i="6" a="1"/>
  <c r="EE74" i="6" s="1"/>
  <c r="ED74" i="6" a="1"/>
  <c r="ED74" i="6" s="1"/>
  <c r="DQ74" i="6" a="1"/>
  <c r="DQ74" i="6" s="1"/>
  <c r="DP74" i="6" a="1"/>
  <c r="DP74" i="6" s="1"/>
  <c r="DO74" i="6" a="1"/>
  <c r="DO74" i="6" s="1"/>
  <c r="DN74" i="6" a="1"/>
  <c r="DN74" i="6" s="1"/>
  <c r="DM74" i="6" a="1"/>
  <c r="DM74" i="6" s="1"/>
  <c r="DD74" i="6" a="1"/>
  <c r="DD74" i="6" s="1"/>
  <c r="CU74" i="6" a="1"/>
  <c r="CU74" i="6" s="1"/>
  <c r="CL74" i="6" a="1"/>
  <c r="CL74" i="6" s="1"/>
  <c r="BX74" i="6" a="1"/>
  <c r="BX74" i="6" s="1"/>
  <c r="BW74" i="6" a="1"/>
  <c r="BW74" i="6" s="1"/>
  <c r="BV74" i="6" a="1"/>
  <c r="BV74" i="6" s="1"/>
  <c r="BU74" i="6" a="1"/>
  <c r="BU74" i="6" s="1"/>
  <c r="BT74" i="6" a="1"/>
  <c r="BT74" i="6" s="1"/>
  <c r="BS74" i="6" a="1"/>
  <c r="BS74" i="6" s="1"/>
  <c r="BA74" i="6" a="1"/>
  <c r="BA74" i="6" s="1"/>
  <c r="AZ74" i="6" a="1"/>
  <c r="AZ74" i="6" s="1"/>
  <c r="AY74" i="6" a="1"/>
  <c r="AY74" i="6" s="1"/>
  <c r="AX74" i="6" a="1"/>
  <c r="AX74" i="6" s="1"/>
  <c r="AW74" i="6" a="1"/>
  <c r="AW74" i="6" s="1"/>
  <c r="AV74" i="6" a="1"/>
  <c r="AV74" i="6" s="1"/>
  <c r="AU74" i="6" a="1"/>
  <c r="AU74" i="6" s="1"/>
  <c r="AT74" i="6" a="1"/>
  <c r="AT74" i="6" s="1"/>
  <c r="AS74" i="6" a="1"/>
  <c r="AS74" i="6" s="1"/>
  <c r="AR74" i="6" a="1"/>
  <c r="AR74" i="6" s="1"/>
  <c r="AH74" i="6" a="1"/>
  <c r="AH74" i="6" s="1"/>
  <c r="AG74" i="6" a="1"/>
  <c r="AG74" i="6" s="1"/>
  <c r="V74" i="6" a="1"/>
  <c r="V74" i="6" s="1"/>
  <c r="U74" i="6" a="1"/>
  <c r="U74" i="6" s="1"/>
  <c r="J74" i="6" a="1"/>
  <c r="J74" i="6" s="1"/>
  <c r="I74" i="6" a="1"/>
  <c r="I74" i="6" s="1"/>
  <c r="ADA73" i="6" a="1"/>
  <c r="ADA73" i="6" s="1"/>
  <c r="ACZ73" i="6" a="1"/>
  <c r="ACZ73" i="6" s="1"/>
  <c r="ACY73" i="6" a="1"/>
  <c r="ACY73" i="6" s="1"/>
  <c r="ACN73" i="6" a="1"/>
  <c r="ACN73" i="6" s="1"/>
  <c r="ACM73" i="6" a="1"/>
  <c r="ACM73" i="6" s="1"/>
  <c r="ABU73" i="6" a="1"/>
  <c r="ABU73" i="6" s="1"/>
  <c r="ABX73" i="6" a="1"/>
  <c r="ABX73" i="6" s="1"/>
  <c r="ABV73" i="6" a="1"/>
  <c r="ABV73" i="6" s="1"/>
  <c r="ABH73" i="6" a="1"/>
  <c r="ABH73" i="6" s="1"/>
  <c r="ABG73" i="6" a="1"/>
  <c r="ABG73" i="6" s="1"/>
  <c r="ABF73" i="6" a="1"/>
  <c r="ABF73" i="6" s="1"/>
  <c r="ABE73" i="6" a="1"/>
  <c r="ABE73" i="6" s="1"/>
  <c r="ABD73" i="6" a="1"/>
  <c r="ABD73" i="6" s="1"/>
  <c r="ZR73" i="6" a="1"/>
  <c r="ZR73" i="6" s="1"/>
  <c r="ZE73" i="6" a="1"/>
  <c r="ZE73" i="6" s="1"/>
  <c r="ZD73" i="6" a="1"/>
  <c r="ZD73" i="6" s="1"/>
  <c r="ZC73" i="6" a="1"/>
  <c r="ZC73" i="6" s="1"/>
  <c r="ZB73" i="6" a="1"/>
  <c r="ZB73" i="6" s="1"/>
  <c r="ZA73" i="6" a="1"/>
  <c r="ZA73" i="6" s="1"/>
  <c r="YP73" i="6" a="1"/>
  <c r="YP73" i="6" s="1"/>
  <c r="YO73" i="6" a="1"/>
  <c r="YO73" i="6" s="1"/>
  <c r="YE73" i="6" a="1"/>
  <c r="YE73" i="6" s="1"/>
  <c r="YD73" i="6" a="1"/>
  <c r="YD73" i="6" s="1"/>
  <c r="XT73" i="6" a="1"/>
  <c r="XT73" i="6" s="1"/>
  <c r="XS73" i="6" a="1"/>
  <c r="XS73" i="6" s="1"/>
  <c r="XI73" i="6" a="1"/>
  <c r="XI73" i="6" s="1"/>
  <c r="XH73" i="6" a="1"/>
  <c r="XH73" i="6" s="1"/>
  <c r="WX73" i="6" a="1"/>
  <c r="WX73" i="6" s="1"/>
  <c r="WW73" i="6" a="1"/>
  <c r="WW73" i="6" s="1"/>
  <c r="WM73" i="6" a="1"/>
  <c r="WM73" i="6" s="1"/>
  <c r="WL73" i="6" a="1"/>
  <c r="WL73" i="6" s="1"/>
  <c r="WC73" i="6" a="1"/>
  <c r="WC73" i="6" s="1"/>
  <c r="VQ73" i="6" a="1"/>
  <c r="VQ73" i="6" s="1"/>
  <c r="VP73" i="6" a="1"/>
  <c r="VP73" i="6" s="1"/>
  <c r="VO73" i="6" a="1"/>
  <c r="VO73" i="6" s="1"/>
  <c r="VN73" i="6" a="1"/>
  <c r="VN73" i="6" s="1"/>
  <c r="VA73" i="6" a="1"/>
  <c r="VA73" i="6" s="1"/>
  <c r="UZ73" i="6" a="1"/>
  <c r="UZ73" i="6" s="1"/>
  <c r="UY73" i="6" a="1"/>
  <c r="UY73" i="6" s="1"/>
  <c r="UX73" i="6" a="1"/>
  <c r="UX73" i="6" s="1"/>
  <c r="UW73" i="6" a="1"/>
  <c r="UW73" i="6" s="1"/>
  <c r="UM73" i="6" a="1"/>
  <c r="UM73" i="6" s="1"/>
  <c r="TZ73" i="6" a="1"/>
  <c r="TZ73" i="6" s="1"/>
  <c r="TY73" i="6" a="1"/>
  <c r="TY73" i="6" s="1"/>
  <c r="TX73" i="6" a="1"/>
  <c r="TX73" i="6" s="1"/>
  <c r="TW73" i="6" a="1"/>
  <c r="TW73" i="6" s="1"/>
  <c r="TV73" i="6" a="1"/>
  <c r="TV73" i="6" s="1"/>
  <c r="TH73" i="6" a="1"/>
  <c r="TH73" i="6" s="1"/>
  <c r="TG73" i="6" a="1"/>
  <c r="TG73" i="6" s="1"/>
  <c r="TF73" i="6" a="1"/>
  <c r="TF73" i="6" s="1"/>
  <c r="TE73" i="6" a="1"/>
  <c r="TE73" i="6" s="1"/>
  <c r="TD73" i="6" a="1"/>
  <c r="TD73" i="6" s="1"/>
  <c r="SP73" i="6" a="1"/>
  <c r="SP73" i="6" s="1"/>
  <c r="SO73" i="6" a="1"/>
  <c r="SO73" i="6" s="1"/>
  <c r="SN73" i="6" a="1"/>
  <c r="SN73" i="6" s="1"/>
  <c r="SM73" i="6" a="1"/>
  <c r="SM73" i="6" s="1"/>
  <c r="SL73" i="6" a="1"/>
  <c r="SL73" i="6" s="1"/>
  <c r="RX73" i="6" a="1"/>
  <c r="RX73" i="6" s="1"/>
  <c r="RW73" i="6" a="1"/>
  <c r="RW73" i="6" s="1"/>
  <c r="RV73" i="6" a="1"/>
  <c r="RV73" i="6" s="1"/>
  <c r="RU73" i="6" a="1"/>
  <c r="RU73" i="6" s="1"/>
  <c r="RT73" i="6" a="1"/>
  <c r="RT73" i="6" s="1"/>
  <c r="RF73" i="6" a="1"/>
  <c r="RF73" i="6" s="1"/>
  <c r="RE73" i="6" a="1"/>
  <c r="RE73" i="6" s="1"/>
  <c r="RD73" i="6" a="1"/>
  <c r="RD73" i="6" s="1"/>
  <c r="RC73" i="6" a="1"/>
  <c r="RC73" i="6" s="1"/>
  <c r="RB73" i="6" a="1"/>
  <c r="RB73" i="6" s="1"/>
  <c r="QN73" i="6" a="1"/>
  <c r="QN73" i="6" s="1"/>
  <c r="QM73" i="6" a="1"/>
  <c r="QM73" i="6" s="1"/>
  <c r="QL73" i="6" a="1"/>
  <c r="QL73" i="6" s="1"/>
  <c r="QK73" i="6" a="1"/>
  <c r="QK73" i="6" s="1"/>
  <c r="QJ73" i="6" a="1"/>
  <c r="QJ73" i="6" s="1"/>
  <c r="PV73" i="6" a="1"/>
  <c r="PV73" i="6" s="1"/>
  <c r="PU73" i="6" a="1"/>
  <c r="PU73" i="6" s="1"/>
  <c r="PT73" i="6" a="1"/>
  <c r="PT73" i="6" s="1"/>
  <c r="PS73" i="6" a="1"/>
  <c r="PS73" i="6" s="1"/>
  <c r="PR73" i="6" a="1"/>
  <c r="PR73" i="6" s="1"/>
  <c r="PD73" i="6" a="1"/>
  <c r="PD73" i="6" s="1"/>
  <c r="PC73" i="6" a="1"/>
  <c r="PC73" i="6" s="1"/>
  <c r="PB73" i="6" a="1"/>
  <c r="PB73" i="6" s="1"/>
  <c r="PA73" i="6" a="1"/>
  <c r="PA73" i="6" s="1"/>
  <c r="OZ73" i="6" a="1"/>
  <c r="OZ73" i="6" s="1"/>
  <c r="OL73" i="6" a="1"/>
  <c r="OL73" i="6" s="1"/>
  <c r="OK73" i="6" a="1"/>
  <c r="OK73" i="6" s="1"/>
  <c r="OJ73" i="6" a="1"/>
  <c r="OJ73" i="6" s="1"/>
  <c r="OI73" i="6" a="1"/>
  <c r="OI73" i="6" s="1"/>
  <c r="OH73" i="6" a="1"/>
  <c r="OH73" i="6" s="1"/>
  <c r="NT73" i="6" a="1"/>
  <c r="NT73" i="6" s="1"/>
  <c r="NS73" i="6" a="1"/>
  <c r="NS73" i="6" s="1"/>
  <c r="NR73" i="6" a="1"/>
  <c r="NR73" i="6" s="1"/>
  <c r="NQ73" i="6" a="1"/>
  <c r="NQ73" i="6" s="1"/>
  <c r="NP73" i="6" a="1"/>
  <c r="NP73" i="6" s="1"/>
  <c r="NC73" i="6" a="1"/>
  <c r="NC73" i="6" s="1"/>
  <c r="NB73" i="6" a="1"/>
  <c r="NB73" i="6" s="1"/>
  <c r="NA73" i="6" a="1"/>
  <c r="NA73" i="6" s="1"/>
  <c r="MZ73" i="6" a="1"/>
  <c r="MZ73" i="6" s="1"/>
  <c r="MY73" i="6" a="1"/>
  <c r="MY73" i="6" s="1"/>
  <c r="MK73" i="6" a="1"/>
  <c r="MK73" i="6" s="1"/>
  <c r="MJ73" i="6" a="1"/>
  <c r="MJ73" i="6" s="1"/>
  <c r="MI73" i="6" a="1"/>
  <c r="MI73" i="6" s="1"/>
  <c r="MH73" i="6" a="1"/>
  <c r="MH73" i="6" s="1"/>
  <c r="MG73" i="6" a="1"/>
  <c r="MG73" i="6" s="1"/>
  <c r="LS73" i="6" a="1"/>
  <c r="LS73" i="6" s="1"/>
  <c r="LR73" i="6" a="1"/>
  <c r="LR73" i="6" s="1"/>
  <c r="LQ73" i="6" a="1"/>
  <c r="LQ73" i="6" s="1"/>
  <c r="LP73" i="6" a="1"/>
  <c r="LP73" i="6" s="1"/>
  <c r="LO73" i="6" a="1"/>
  <c r="LO73" i="6" s="1"/>
  <c r="LA73" i="6" a="1"/>
  <c r="LA73" i="6" s="1"/>
  <c r="KZ73" i="6" a="1"/>
  <c r="KZ73" i="6" s="1"/>
  <c r="KY73" i="6" a="1"/>
  <c r="KY73" i="6" s="1"/>
  <c r="KX73" i="6" a="1"/>
  <c r="KX73" i="6" s="1"/>
  <c r="KW73" i="6" a="1"/>
  <c r="KW73" i="6" s="1"/>
  <c r="KI73" i="6" a="1"/>
  <c r="KI73" i="6" s="1"/>
  <c r="KH73" i="6" a="1"/>
  <c r="KH73" i="6" s="1"/>
  <c r="KG73" i="6" a="1"/>
  <c r="KG73" i="6" s="1"/>
  <c r="KF73" i="6" a="1"/>
  <c r="KF73" i="6" s="1"/>
  <c r="KE73" i="6" a="1"/>
  <c r="KE73" i="6" s="1"/>
  <c r="JQ73" i="6" a="1"/>
  <c r="JQ73" i="6" s="1"/>
  <c r="JP73" i="6" a="1"/>
  <c r="JP73" i="6" s="1"/>
  <c r="JO73" i="6" a="1"/>
  <c r="JO73" i="6" s="1"/>
  <c r="JN73" i="6" a="1"/>
  <c r="JN73" i="6" s="1"/>
  <c r="JM73" i="6" a="1"/>
  <c r="JM73" i="6" s="1"/>
  <c r="IY73" i="6" a="1"/>
  <c r="IY73" i="6" s="1"/>
  <c r="IX73" i="6" a="1"/>
  <c r="IX73" i="6" s="1"/>
  <c r="IW73" i="6" a="1"/>
  <c r="IW73" i="6" s="1"/>
  <c r="IV73" i="6" a="1"/>
  <c r="IV73" i="6" s="1"/>
  <c r="IU73" i="6" a="1"/>
  <c r="IU73" i="6" s="1"/>
  <c r="IG73" i="6" a="1"/>
  <c r="IG73" i="6" s="1"/>
  <c r="IF73" i="6" a="1"/>
  <c r="IF73" i="6" s="1"/>
  <c r="IE73" i="6" a="1"/>
  <c r="IE73" i="6" s="1"/>
  <c r="ID73" i="6" a="1"/>
  <c r="ID73" i="6" s="1"/>
  <c r="IC73" i="6" a="1"/>
  <c r="IC73" i="6" s="1"/>
  <c r="HO73" i="6" a="1"/>
  <c r="HO73" i="6" s="1"/>
  <c r="HN73" i="6" a="1"/>
  <c r="HN73" i="6" s="1"/>
  <c r="HM73" i="6" a="1"/>
  <c r="HM73" i="6" s="1"/>
  <c r="HL73" i="6" a="1"/>
  <c r="HL73" i="6" s="1"/>
  <c r="HK73" i="6" a="1"/>
  <c r="HK73" i="6" s="1"/>
  <c r="GX73" i="6" a="1"/>
  <c r="GX73" i="6" s="1"/>
  <c r="GW73" i="6" a="1"/>
  <c r="GW73" i="6" s="1"/>
  <c r="GV73" i="6" a="1"/>
  <c r="GV73" i="6" s="1"/>
  <c r="GU73" i="6" a="1"/>
  <c r="GU73" i="6" s="1"/>
  <c r="GT73" i="6" a="1"/>
  <c r="GT73" i="6" s="1"/>
  <c r="GG73" i="6" a="1"/>
  <c r="GG73" i="6" s="1"/>
  <c r="GF73" i="6" a="1"/>
  <c r="GF73" i="6" s="1"/>
  <c r="GE73" i="6" a="1"/>
  <c r="GE73" i="6" s="1"/>
  <c r="GD73" i="6" a="1"/>
  <c r="GD73" i="6" s="1"/>
  <c r="GC73" i="6" a="1"/>
  <c r="GC73" i="6" s="1"/>
  <c r="FP73" i="6" a="1"/>
  <c r="FP73" i="6" s="1"/>
  <c r="FO73" i="6" a="1"/>
  <c r="FO73" i="6" s="1"/>
  <c r="FN73" i="6" a="1"/>
  <c r="FN73" i="6" s="1"/>
  <c r="FM73" i="6" a="1"/>
  <c r="FM73" i="6" s="1"/>
  <c r="FL73" i="6" a="1"/>
  <c r="FL73" i="6" s="1"/>
  <c r="EY73" i="6" a="1"/>
  <c r="EY73" i="6" s="1"/>
  <c r="EX73" i="6" a="1"/>
  <c r="EX73" i="6" s="1"/>
  <c r="EW73" i="6" a="1"/>
  <c r="EW73" i="6" s="1"/>
  <c r="EV73" i="6" a="1"/>
  <c r="EV73" i="6" s="1"/>
  <c r="EU73" i="6" a="1"/>
  <c r="EU73" i="6" s="1"/>
  <c r="EH73" i="6" a="1"/>
  <c r="EH73" i="6" s="1"/>
  <c r="EG73" i="6" a="1"/>
  <c r="EG73" i="6" s="1"/>
  <c r="EF73" i="6" a="1"/>
  <c r="EF73" i="6" s="1"/>
  <c r="EE73" i="6" a="1"/>
  <c r="EE73" i="6" s="1"/>
  <c r="ED73" i="6" a="1"/>
  <c r="ED73" i="6" s="1"/>
  <c r="DQ73" i="6" a="1"/>
  <c r="DQ73" i="6" s="1"/>
  <c r="DP73" i="6" a="1"/>
  <c r="DP73" i="6" s="1"/>
  <c r="DO73" i="6" a="1"/>
  <c r="DO73" i="6" s="1"/>
  <c r="DN73" i="6" a="1"/>
  <c r="DN73" i="6" s="1"/>
  <c r="DM73" i="6" a="1"/>
  <c r="DM73" i="6" s="1"/>
  <c r="DD73" i="6" a="1"/>
  <c r="DD73" i="6" s="1"/>
  <c r="CU73" i="6" a="1"/>
  <c r="CU73" i="6" s="1"/>
  <c r="CL73" i="6" a="1"/>
  <c r="CL73" i="6" s="1"/>
  <c r="BX73" i="6" a="1"/>
  <c r="BX73" i="6" s="1"/>
  <c r="BW73" i="6" a="1"/>
  <c r="BW73" i="6" s="1"/>
  <c r="BV73" i="6" a="1"/>
  <c r="BV73" i="6" s="1"/>
  <c r="BU73" i="6" a="1"/>
  <c r="BU73" i="6" s="1"/>
  <c r="BT73" i="6" a="1"/>
  <c r="BT73" i="6" s="1"/>
  <c r="BS73" i="6" a="1"/>
  <c r="BS73" i="6" s="1"/>
  <c r="BA73" i="6" a="1"/>
  <c r="BA73" i="6" s="1"/>
  <c r="AZ73" i="6" a="1"/>
  <c r="AZ73" i="6" s="1"/>
  <c r="AY73" i="6" a="1"/>
  <c r="AY73" i="6" s="1"/>
  <c r="AX73" i="6" a="1"/>
  <c r="AX73" i="6" s="1"/>
  <c r="AW73" i="6" a="1"/>
  <c r="AW73" i="6" s="1"/>
  <c r="AV73" i="6" a="1"/>
  <c r="AV73" i="6" s="1"/>
  <c r="AU73" i="6" a="1"/>
  <c r="AU73" i="6" s="1"/>
  <c r="AT73" i="6" a="1"/>
  <c r="AT73" i="6" s="1"/>
  <c r="AS73" i="6" a="1"/>
  <c r="AS73" i="6" s="1"/>
  <c r="AR73" i="6" a="1"/>
  <c r="AR73" i="6" s="1"/>
  <c r="AH73" i="6" a="1"/>
  <c r="AH73" i="6" s="1"/>
  <c r="AG73" i="6" a="1"/>
  <c r="AG73" i="6" s="1"/>
  <c r="V73" i="6" a="1"/>
  <c r="V73" i="6" s="1"/>
  <c r="U73" i="6" a="1"/>
  <c r="U73" i="6" s="1"/>
  <c r="J73" i="6" a="1"/>
  <c r="J73" i="6" s="1"/>
  <c r="I73" i="6" a="1"/>
  <c r="I73" i="6" s="1"/>
  <c r="ADA72" i="6" a="1"/>
  <c r="ADA72" i="6" s="1"/>
  <c r="ACZ72" i="6" a="1"/>
  <c r="ACZ72" i="6" s="1"/>
  <c r="ACY72" i="6" a="1"/>
  <c r="ACY72" i="6" s="1"/>
  <c r="ACN72" i="6" a="1"/>
  <c r="ACN72" i="6" s="1"/>
  <c r="ACM72" i="6" a="1"/>
  <c r="ACM72" i="6" s="1"/>
  <c r="ABU72" i="6" a="1"/>
  <c r="ABU72" i="6" s="1"/>
  <c r="ABX72" i="6" a="1"/>
  <c r="ABX72" i="6" s="1"/>
  <c r="ABV72" i="6" a="1"/>
  <c r="ABV72" i="6" s="1"/>
  <c r="ABH72" i="6" a="1"/>
  <c r="ABH72" i="6" s="1"/>
  <c r="ABG72" i="6" a="1"/>
  <c r="ABG72" i="6" s="1"/>
  <c r="ABF72" i="6" a="1"/>
  <c r="ABF72" i="6" s="1"/>
  <c r="ABE72" i="6" a="1"/>
  <c r="ABE72" i="6" s="1"/>
  <c r="ABD72" i="6" a="1"/>
  <c r="ABD72" i="6" s="1"/>
  <c r="ZR72" i="6" a="1"/>
  <c r="ZR72" i="6" s="1"/>
  <c r="ZE72" i="6" a="1"/>
  <c r="ZE72" i="6" s="1"/>
  <c r="ZD72" i="6" a="1"/>
  <c r="ZD72" i="6" s="1"/>
  <c r="ZC72" i="6" a="1"/>
  <c r="ZC72" i="6" s="1"/>
  <c r="ZB72" i="6" a="1"/>
  <c r="ZB72" i="6" s="1"/>
  <c r="ZA72" i="6" a="1"/>
  <c r="ZA72" i="6" s="1"/>
  <c r="YP72" i="6" a="1"/>
  <c r="YP72" i="6" s="1"/>
  <c r="YO72" i="6" a="1"/>
  <c r="YO72" i="6" s="1"/>
  <c r="YE72" i="6" a="1"/>
  <c r="YE72" i="6" s="1"/>
  <c r="YD72" i="6" a="1"/>
  <c r="YD72" i="6" s="1"/>
  <c r="XT72" i="6" a="1"/>
  <c r="XT72" i="6" s="1"/>
  <c r="XS72" i="6" a="1"/>
  <c r="XS72" i="6" s="1"/>
  <c r="XI72" i="6" a="1"/>
  <c r="XI72" i="6" s="1"/>
  <c r="XH72" i="6" a="1"/>
  <c r="XH72" i="6" s="1"/>
  <c r="WX72" i="6" a="1"/>
  <c r="WX72" i="6" s="1"/>
  <c r="WW72" i="6" a="1"/>
  <c r="WW72" i="6" s="1"/>
  <c r="WM72" i="6" a="1"/>
  <c r="WM72" i="6" s="1"/>
  <c r="WL72" i="6" a="1"/>
  <c r="WL72" i="6" s="1"/>
  <c r="WC72" i="6" a="1"/>
  <c r="WC72" i="6" s="1"/>
  <c r="VQ72" i="6" a="1"/>
  <c r="VQ72" i="6" s="1"/>
  <c r="VP72" i="6" a="1"/>
  <c r="VP72" i="6" s="1"/>
  <c r="VO72" i="6" a="1"/>
  <c r="VO72" i="6" s="1"/>
  <c r="VN72" i="6" a="1"/>
  <c r="VN72" i="6" s="1"/>
  <c r="VA72" i="6" a="1"/>
  <c r="VA72" i="6" s="1"/>
  <c r="UZ72" i="6" a="1"/>
  <c r="UZ72" i="6" s="1"/>
  <c r="UY72" i="6" a="1"/>
  <c r="UY72" i="6" s="1"/>
  <c r="UX72" i="6" a="1"/>
  <c r="UX72" i="6" s="1"/>
  <c r="UW72" i="6" a="1"/>
  <c r="UW72" i="6" s="1"/>
  <c r="UM72" i="6" a="1"/>
  <c r="UM72" i="6" s="1"/>
  <c r="TZ72" i="6" a="1"/>
  <c r="TZ72" i="6" s="1"/>
  <c r="TY72" i="6" a="1"/>
  <c r="TY72" i="6" s="1"/>
  <c r="TX72" i="6" a="1"/>
  <c r="TX72" i="6" s="1"/>
  <c r="TW72" i="6" a="1"/>
  <c r="TW72" i="6" s="1"/>
  <c r="TV72" i="6" a="1"/>
  <c r="TV72" i="6" s="1"/>
  <c r="TH72" i="6" a="1"/>
  <c r="TH72" i="6" s="1"/>
  <c r="TG72" i="6" a="1"/>
  <c r="TG72" i="6" s="1"/>
  <c r="TF72" i="6" a="1"/>
  <c r="TF72" i="6" s="1"/>
  <c r="TE72" i="6" a="1"/>
  <c r="TE72" i="6" s="1"/>
  <c r="TD72" i="6" a="1"/>
  <c r="TD72" i="6" s="1"/>
  <c r="SP72" i="6" a="1"/>
  <c r="SP72" i="6" s="1"/>
  <c r="SO72" i="6" a="1"/>
  <c r="SO72" i="6" s="1"/>
  <c r="SN72" i="6" a="1"/>
  <c r="SN72" i="6" s="1"/>
  <c r="SM72" i="6" a="1"/>
  <c r="SM72" i="6" s="1"/>
  <c r="SL72" i="6" a="1"/>
  <c r="SL72" i="6" s="1"/>
  <c r="RX72" i="6" a="1"/>
  <c r="RX72" i="6" s="1"/>
  <c r="RW72" i="6" a="1"/>
  <c r="RW72" i="6" s="1"/>
  <c r="RV72" i="6" a="1"/>
  <c r="RV72" i="6" s="1"/>
  <c r="RU72" i="6" a="1"/>
  <c r="RU72" i="6" s="1"/>
  <c r="RT72" i="6" a="1"/>
  <c r="RT72" i="6" s="1"/>
  <c r="RF72" i="6" a="1"/>
  <c r="RF72" i="6" s="1"/>
  <c r="RE72" i="6" a="1"/>
  <c r="RE72" i="6" s="1"/>
  <c r="RD72" i="6" a="1"/>
  <c r="RD72" i="6" s="1"/>
  <c r="RC72" i="6" a="1"/>
  <c r="RC72" i="6" s="1"/>
  <c r="RB72" i="6" a="1"/>
  <c r="RB72" i="6" s="1"/>
  <c r="QN72" i="6" a="1"/>
  <c r="QN72" i="6" s="1"/>
  <c r="QM72" i="6" a="1"/>
  <c r="QM72" i="6" s="1"/>
  <c r="QL72" i="6" a="1"/>
  <c r="QL72" i="6" s="1"/>
  <c r="QK72" i="6" a="1"/>
  <c r="QK72" i="6" s="1"/>
  <c r="QJ72" i="6" a="1"/>
  <c r="QJ72" i="6" s="1"/>
  <c r="PV72" i="6" a="1"/>
  <c r="PV72" i="6" s="1"/>
  <c r="PU72" i="6" a="1"/>
  <c r="PU72" i="6" s="1"/>
  <c r="PT72" i="6" a="1"/>
  <c r="PT72" i="6" s="1"/>
  <c r="PS72" i="6" a="1"/>
  <c r="PS72" i="6" s="1"/>
  <c r="PR72" i="6" a="1"/>
  <c r="PR72" i="6" s="1"/>
  <c r="PD72" i="6" a="1"/>
  <c r="PD72" i="6" s="1"/>
  <c r="PC72" i="6" a="1"/>
  <c r="PC72" i="6" s="1"/>
  <c r="PB72" i="6" a="1"/>
  <c r="PB72" i="6" s="1"/>
  <c r="PA72" i="6" a="1"/>
  <c r="PA72" i="6" s="1"/>
  <c r="OZ72" i="6" a="1"/>
  <c r="OZ72" i="6" s="1"/>
  <c r="OL72" i="6" a="1"/>
  <c r="OL72" i="6" s="1"/>
  <c r="OK72" i="6" a="1"/>
  <c r="OK72" i="6" s="1"/>
  <c r="OJ72" i="6" a="1"/>
  <c r="OJ72" i="6" s="1"/>
  <c r="OI72" i="6" a="1"/>
  <c r="OI72" i="6" s="1"/>
  <c r="OH72" i="6" a="1"/>
  <c r="OH72" i="6" s="1"/>
  <c r="NT72" i="6" a="1"/>
  <c r="NT72" i="6" s="1"/>
  <c r="NS72" i="6" a="1"/>
  <c r="NS72" i="6" s="1"/>
  <c r="NR72" i="6" a="1"/>
  <c r="NR72" i="6" s="1"/>
  <c r="NQ72" i="6" a="1"/>
  <c r="NQ72" i="6" s="1"/>
  <c r="NP72" i="6" a="1"/>
  <c r="NP72" i="6" s="1"/>
  <c r="NC72" i="6" a="1"/>
  <c r="NC72" i="6" s="1"/>
  <c r="NB72" i="6" a="1"/>
  <c r="NB72" i="6" s="1"/>
  <c r="NA72" i="6" a="1"/>
  <c r="NA72" i="6" s="1"/>
  <c r="MZ72" i="6" a="1"/>
  <c r="MZ72" i="6" s="1"/>
  <c r="MY72" i="6" a="1"/>
  <c r="MY72" i="6" s="1"/>
  <c r="MK72" i="6" a="1"/>
  <c r="MK72" i="6" s="1"/>
  <c r="MJ72" i="6" a="1"/>
  <c r="MJ72" i="6" s="1"/>
  <c r="MI72" i="6" a="1"/>
  <c r="MI72" i="6" s="1"/>
  <c r="MH72" i="6" a="1"/>
  <c r="MH72" i="6" s="1"/>
  <c r="MG72" i="6" a="1"/>
  <c r="MG72" i="6" s="1"/>
  <c r="LS72" i="6" a="1"/>
  <c r="LS72" i="6" s="1"/>
  <c r="LR72" i="6" a="1"/>
  <c r="LR72" i="6" s="1"/>
  <c r="LQ72" i="6" a="1"/>
  <c r="LQ72" i="6" s="1"/>
  <c r="LP72" i="6" a="1"/>
  <c r="LP72" i="6" s="1"/>
  <c r="LO72" i="6" a="1"/>
  <c r="LO72" i="6" s="1"/>
  <c r="LA72" i="6" a="1"/>
  <c r="LA72" i="6" s="1"/>
  <c r="KZ72" i="6" a="1"/>
  <c r="KZ72" i="6" s="1"/>
  <c r="KY72" i="6" a="1"/>
  <c r="KY72" i="6" s="1"/>
  <c r="KX72" i="6" a="1"/>
  <c r="KX72" i="6" s="1"/>
  <c r="KW72" i="6" a="1"/>
  <c r="KW72" i="6" s="1"/>
  <c r="KI72" i="6" a="1"/>
  <c r="KI72" i="6" s="1"/>
  <c r="KH72" i="6" a="1"/>
  <c r="KH72" i="6" s="1"/>
  <c r="KG72" i="6" a="1"/>
  <c r="KG72" i="6" s="1"/>
  <c r="KF72" i="6" a="1"/>
  <c r="KF72" i="6" s="1"/>
  <c r="KE72" i="6" a="1"/>
  <c r="KE72" i="6" s="1"/>
  <c r="JQ72" i="6" a="1"/>
  <c r="JQ72" i="6" s="1"/>
  <c r="JP72" i="6" a="1"/>
  <c r="JP72" i="6" s="1"/>
  <c r="JO72" i="6" a="1"/>
  <c r="JO72" i="6" s="1"/>
  <c r="JN72" i="6" a="1"/>
  <c r="JN72" i="6" s="1"/>
  <c r="JM72" i="6" a="1"/>
  <c r="JM72" i="6" s="1"/>
  <c r="IY72" i="6" a="1"/>
  <c r="IY72" i="6" s="1"/>
  <c r="IX72" i="6" a="1"/>
  <c r="IX72" i="6" s="1"/>
  <c r="IW72" i="6" a="1"/>
  <c r="IW72" i="6" s="1"/>
  <c r="IV72" i="6" a="1"/>
  <c r="IV72" i="6" s="1"/>
  <c r="IU72" i="6" a="1"/>
  <c r="IU72" i="6" s="1"/>
  <c r="IG72" i="6" a="1"/>
  <c r="IG72" i="6" s="1"/>
  <c r="IF72" i="6" a="1"/>
  <c r="IF72" i="6" s="1"/>
  <c r="IE72" i="6" a="1"/>
  <c r="IE72" i="6" s="1"/>
  <c r="ID72" i="6" a="1"/>
  <c r="ID72" i="6" s="1"/>
  <c r="IC72" i="6" a="1"/>
  <c r="IC72" i="6" s="1"/>
  <c r="HO72" i="6" a="1"/>
  <c r="HO72" i="6" s="1"/>
  <c r="HN72" i="6" a="1"/>
  <c r="HN72" i="6" s="1"/>
  <c r="HM72" i="6" a="1"/>
  <c r="HM72" i="6" s="1"/>
  <c r="HL72" i="6" a="1"/>
  <c r="HL72" i="6" s="1"/>
  <c r="HK72" i="6" a="1"/>
  <c r="HK72" i="6" s="1"/>
  <c r="GX72" i="6" a="1"/>
  <c r="GX72" i="6" s="1"/>
  <c r="GW72" i="6" a="1"/>
  <c r="GW72" i="6" s="1"/>
  <c r="GV72" i="6" a="1"/>
  <c r="GV72" i="6" s="1"/>
  <c r="GU72" i="6" a="1"/>
  <c r="GU72" i="6" s="1"/>
  <c r="GT72" i="6" a="1"/>
  <c r="GT72" i="6" s="1"/>
  <c r="GG72" i="6" a="1"/>
  <c r="GG72" i="6" s="1"/>
  <c r="GF72" i="6" a="1"/>
  <c r="GF72" i="6" s="1"/>
  <c r="GE72" i="6" a="1"/>
  <c r="GE72" i="6" s="1"/>
  <c r="GD72" i="6" a="1"/>
  <c r="GD72" i="6" s="1"/>
  <c r="GC72" i="6" a="1"/>
  <c r="GC72" i="6" s="1"/>
  <c r="FP72" i="6" a="1"/>
  <c r="FP72" i="6" s="1"/>
  <c r="FO72" i="6" a="1"/>
  <c r="FO72" i="6" s="1"/>
  <c r="FN72" i="6" a="1"/>
  <c r="FN72" i="6" s="1"/>
  <c r="FM72" i="6" a="1"/>
  <c r="FM72" i="6" s="1"/>
  <c r="FL72" i="6" a="1"/>
  <c r="FL72" i="6" s="1"/>
  <c r="EY72" i="6" a="1"/>
  <c r="EY72" i="6" s="1"/>
  <c r="EX72" i="6" a="1"/>
  <c r="EX72" i="6" s="1"/>
  <c r="EW72" i="6" a="1"/>
  <c r="EW72" i="6" s="1"/>
  <c r="EV72" i="6" a="1"/>
  <c r="EV72" i="6" s="1"/>
  <c r="EU72" i="6" a="1"/>
  <c r="EU72" i="6" s="1"/>
  <c r="EH72" i="6" a="1"/>
  <c r="EH72" i="6" s="1"/>
  <c r="EG72" i="6" a="1"/>
  <c r="EG72" i="6" s="1"/>
  <c r="EF72" i="6" a="1"/>
  <c r="EF72" i="6" s="1"/>
  <c r="EE72" i="6" a="1"/>
  <c r="EE72" i="6" s="1"/>
  <c r="ED72" i="6" a="1"/>
  <c r="ED72" i="6" s="1"/>
  <c r="DQ72" i="6" a="1"/>
  <c r="DQ72" i="6" s="1"/>
  <c r="DP72" i="6" a="1"/>
  <c r="DP72" i="6" s="1"/>
  <c r="DO72" i="6" a="1"/>
  <c r="DO72" i="6" s="1"/>
  <c r="DN72" i="6" a="1"/>
  <c r="DN72" i="6" s="1"/>
  <c r="DM72" i="6" a="1"/>
  <c r="DM72" i="6" s="1"/>
  <c r="DD72" i="6" a="1"/>
  <c r="DD72" i="6" s="1"/>
  <c r="CU72" i="6" a="1"/>
  <c r="CU72" i="6" s="1"/>
  <c r="CL72" i="6" a="1"/>
  <c r="CL72" i="6" s="1"/>
  <c r="BX72" i="6" a="1"/>
  <c r="BX72" i="6" s="1"/>
  <c r="BW72" i="6" a="1"/>
  <c r="BW72" i="6" s="1"/>
  <c r="BV72" i="6" a="1"/>
  <c r="BV72" i="6" s="1"/>
  <c r="BU72" i="6" a="1"/>
  <c r="BU72" i="6" s="1"/>
  <c r="BT72" i="6" a="1"/>
  <c r="BT72" i="6" s="1"/>
  <c r="BS72" i="6" a="1"/>
  <c r="BS72" i="6" s="1"/>
  <c r="BA72" i="6" a="1"/>
  <c r="BA72" i="6" s="1"/>
  <c r="AZ72" i="6" a="1"/>
  <c r="AZ72" i="6" s="1"/>
  <c r="AY72" i="6" a="1"/>
  <c r="AY72" i="6" s="1"/>
  <c r="AX72" i="6" a="1"/>
  <c r="AX72" i="6" s="1"/>
  <c r="AW72" i="6" a="1"/>
  <c r="AW72" i="6" s="1"/>
  <c r="AV72" i="6" a="1"/>
  <c r="AV72" i="6" s="1"/>
  <c r="AU72" i="6" a="1"/>
  <c r="AU72" i="6" s="1"/>
  <c r="AT72" i="6" a="1"/>
  <c r="AT72" i="6" s="1"/>
  <c r="AS72" i="6" a="1"/>
  <c r="AS72" i="6" s="1"/>
  <c r="AR72" i="6" a="1"/>
  <c r="AR72" i="6" s="1"/>
  <c r="AH72" i="6" a="1"/>
  <c r="AH72" i="6" s="1"/>
  <c r="AG72" i="6" a="1"/>
  <c r="AG72" i="6" s="1"/>
  <c r="V72" i="6" a="1"/>
  <c r="V72" i="6" s="1"/>
  <c r="U72" i="6" a="1"/>
  <c r="U72" i="6" s="1"/>
  <c r="J72" i="6" a="1"/>
  <c r="J72" i="6" s="1"/>
  <c r="I72" i="6" a="1"/>
  <c r="I72" i="6" s="1"/>
  <c r="ADA71" i="6" a="1"/>
  <c r="ADA71" i="6" s="1"/>
  <c r="ACZ71" i="6" a="1"/>
  <c r="ACZ71" i="6" s="1"/>
  <c r="ACY71" i="6" a="1"/>
  <c r="ACY71" i="6" s="1"/>
  <c r="ACN71" i="6" a="1"/>
  <c r="ACN71" i="6" s="1"/>
  <c r="ACM71" i="6" a="1"/>
  <c r="ACM71" i="6" s="1"/>
  <c r="ABU71" i="6" a="1"/>
  <c r="ABU71" i="6" s="1"/>
  <c r="ABX71" i="6" a="1"/>
  <c r="ABX71" i="6" s="1"/>
  <c r="ABV71" i="6" a="1"/>
  <c r="ABV71" i="6" s="1"/>
  <c r="ABH71" i="6" a="1"/>
  <c r="ABH71" i="6" s="1"/>
  <c r="ABG71" i="6" a="1"/>
  <c r="ABG71" i="6" s="1"/>
  <c r="ABF71" i="6" a="1"/>
  <c r="ABF71" i="6" s="1"/>
  <c r="ABE71" i="6" a="1"/>
  <c r="ABE71" i="6" s="1"/>
  <c r="ABD71" i="6" a="1"/>
  <c r="ABD71" i="6" s="1"/>
  <c r="ZR71" i="6" a="1"/>
  <c r="ZR71" i="6" s="1"/>
  <c r="ZE71" i="6" a="1"/>
  <c r="ZE71" i="6" s="1"/>
  <c r="ZD71" i="6" a="1"/>
  <c r="ZD71" i="6" s="1"/>
  <c r="ZC71" i="6" a="1"/>
  <c r="ZC71" i="6" s="1"/>
  <c r="ZB71" i="6" a="1"/>
  <c r="ZB71" i="6" s="1"/>
  <c r="ZA71" i="6" a="1"/>
  <c r="ZA71" i="6" s="1"/>
  <c r="YP71" i="6" a="1"/>
  <c r="YP71" i="6" s="1"/>
  <c r="YO71" i="6" a="1"/>
  <c r="YO71" i="6" s="1"/>
  <c r="YE71" i="6" a="1"/>
  <c r="YE71" i="6" s="1"/>
  <c r="YD71" i="6" a="1"/>
  <c r="YD71" i="6" s="1"/>
  <c r="XT71" i="6" a="1"/>
  <c r="XT71" i="6" s="1"/>
  <c r="XS71" i="6" a="1"/>
  <c r="XS71" i="6" s="1"/>
  <c r="XI71" i="6" a="1"/>
  <c r="XI71" i="6" s="1"/>
  <c r="XH71" i="6" a="1"/>
  <c r="XH71" i="6" s="1"/>
  <c r="WX71" i="6" a="1"/>
  <c r="WX71" i="6" s="1"/>
  <c r="WW71" i="6" a="1"/>
  <c r="WW71" i="6" s="1"/>
  <c r="WM71" i="6" a="1"/>
  <c r="WM71" i="6" s="1"/>
  <c r="WL71" i="6" a="1"/>
  <c r="WL71" i="6" s="1"/>
  <c r="WC71" i="6" a="1"/>
  <c r="WC71" i="6" s="1"/>
  <c r="VQ71" i="6" a="1"/>
  <c r="VQ71" i="6" s="1"/>
  <c r="VP71" i="6" a="1"/>
  <c r="VP71" i="6" s="1"/>
  <c r="VO71" i="6" a="1"/>
  <c r="VO71" i="6" s="1"/>
  <c r="VN71" i="6" a="1"/>
  <c r="VN71" i="6" s="1"/>
  <c r="VA71" i="6" a="1"/>
  <c r="VA71" i="6" s="1"/>
  <c r="UZ71" i="6" a="1"/>
  <c r="UZ71" i="6" s="1"/>
  <c r="UY71" i="6" a="1"/>
  <c r="UY71" i="6" s="1"/>
  <c r="UX71" i="6" a="1"/>
  <c r="UX71" i="6" s="1"/>
  <c r="UW71" i="6" a="1"/>
  <c r="UW71" i="6" s="1"/>
  <c r="UM71" i="6" a="1"/>
  <c r="UM71" i="6" s="1"/>
  <c r="TZ71" i="6" a="1"/>
  <c r="TZ71" i="6" s="1"/>
  <c r="TY71" i="6" a="1"/>
  <c r="TY71" i="6" s="1"/>
  <c r="TX71" i="6" a="1"/>
  <c r="TX71" i="6" s="1"/>
  <c r="TW71" i="6" a="1"/>
  <c r="TW71" i="6" s="1"/>
  <c r="TV71" i="6" a="1"/>
  <c r="TV71" i="6" s="1"/>
  <c r="TH71" i="6" a="1"/>
  <c r="TH71" i="6" s="1"/>
  <c r="TG71" i="6" a="1"/>
  <c r="TG71" i="6" s="1"/>
  <c r="TF71" i="6" a="1"/>
  <c r="TF71" i="6" s="1"/>
  <c r="TE71" i="6" a="1"/>
  <c r="TE71" i="6" s="1"/>
  <c r="TD71" i="6" a="1"/>
  <c r="TD71" i="6" s="1"/>
  <c r="SP71" i="6" a="1"/>
  <c r="SP71" i="6" s="1"/>
  <c r="SO71" i="6" a="1"/>
  <c r="SO71" i="6" s="1"/>
  <c r="SN71" i="6" a="1"/>
  <c r="SN71" i="6" s="1"/>
  <c r="SM71" i="6" a="1"/>
  <c r="SM71" i="6" s="1"/>
  <c r="SL71" i="6" a="1"/>
  <c r="SL71" i="6" s="1"/>
  <c r="RX71" i="6" a="1"/>
  <c r="RX71" i="6" s="1"/>
  <c r="RW71" i="6" a="1"/>
  <c r="RW71" i="6" s="1"/>
  <c r="RV71" i="6" a="1"/>
  <c r="RV71" i="6" s="1"/>
  <c r="RU71" i="6" a="1"/>
  <c r="RU71" i="6" s="1"/>
  <c r="RT71" i="6" a="1"/>
  <c r="RT71" i="6" s="1"/>
  <c r="RF71" i="6" a="1"/>
  <c r="RF71" i="6" s="1"/>
  <c r="RE71" i="6" a="1"/>
  <c r="RE71" i="6" s="1"/>
  <c r="RD71" i="6" a="1"/>
  <c r="RD71" i="6" s="1"/>
  <c r="RC71" i="6" a="1"/>
  <c r="RC71" i="6" s="1"/>
  <c r="RB71" i="6" a="1"/>
  <c r="RB71" i="6" s="1"/>
  <c r="QN71" i="6" a="1"/>
  <c r="QN71" i="6" s="1"/>
  <c r="QM71" i="6" a="1"/>
  <c r="QM71" i="6" s="1"/>
  <c r="QL71" i="6" a="1"/>
  <c r="QL71" i="6" s="1"/>
  <c r="QK71" i="6" a="1"/>
  <c r="QK71" i="6" s="1"/>
  <c r="QJ71" i="6" a="1"/>
  <c r="QJ71" i="6" s="1"/>
  <c r="PV71" i="6" a="1"/>
  <c r="PV71" i="6" s="1"/>
  <c r="PU71" i="6" a="1"/>
  <c r="PU71" i="6" s="1"/>
  <c r="PT71" i="6" a="1"/>
  <c r="PT71" i="6" s="1"/>
  <c r="PS71" i="6" a="1"/>
  <c r="PS71" i="6" s="1"/>
  <c r="PR71" i="6" a="1"/>
  <c r="PR71" i="6" s="1"/>
  <c r="PD71" i="6" a="1"/>
  <c r="PD71" i="6" s="1"/>
  <c r="PC71" i="6" a="1"/>
  <c r="PC71" i="6" s="1"/>
  <c r="PB71" i="6" a="1"/>
  <c r="PB71" i="6" s="1"/>
  <c r="PA71" i="6" a="1"/>
  <c r="PA71" i="6" s="1"/>
  <c r="OZ71" i="6" a="1"/>
  <c r="OZ71" i="6" s="1"/>
  <c r="OL71" i="6" a="1"/>
  <c r="OL71" i="6" s="1"/>
  <c r="OK71" i="6" a="1"/>
  <c r="OK71" i="6" s="1"/>
  <c r="OJ71" i="6" a="1"/>
  <c r="OJ71" i="6" s="1"/>
  <c r="OI71" i="6" a="1"/>
  <c r="OI71" i="6" s="1"/>
  <c r="OH71" i="6" a="1"/>
  <c r="OH71" i="6" s="1"/>
  <c r="NT71" i="6" a="1"/>
  <c r="NT71" i="6" s="1"/>
  <c r="NS71" i="6" a="1"/>
  <c r="NS71" i="6" s="1"/>
  <c r="NR71" i="6" a="1"/>
  <c r="NR71" i="6" s="1"/>
  <c r="NQ71" i="6" a="1"/>
  <c r="NQ71" i="6" s="1"/>
  <c r="NP71" i="6" a="1"/>
  <c r="NP71" i="6" s="1"/>
  <c r="NC71" i="6" a="1"/>
  <c r="NC71" i="6" s="1"/>
  <c r="NB71" i="6" a="1"/>
  <c r="NB71" i="6" s="1"/>
  <c r="NA71" i="6" a="1"/>
  <c r="NA71" i="6" s="1"/>
  <c r="MZ71" i="6" a="1"/>
  <c r="MZ71" i="6" s="1"/>
  <c r="MY71" i="6" a="1"/>
  <c r="MY71" i="6" s="1"/>
  <c r="MK71" i="6" a="1"/>
  <c r="MK71" i="6" s="1"/>
  <c r="MJ71" i="6" a="1"/>
  <c r="MJ71" i="6" s="1"/>
  <c r="MI71" i="6" a="1"/>
  <c r="MI71" i="6" s="1"/>
  <c r="MH71" i="6" a="1"/>
  <c r="MH71" i="6" s="1"/>
  <c r="MG71" i="6" a="1"/>
  <c r="MG71" i="6" s="1"/>
  <c r="LS71" i="6" a="1"/>
  <c r="LS71" i="6" s="1"/>
  <c r="LR71" i="6" a="1"/>
  <c r="LR71" i="6" s="1"/>
  <c r="LQ71" i="6" a="1"/>
  <c r="LQ71" i="6" s="1"/>
  <c r="LP71" i="6" a="1"/>
  <c r="LP71" i="6" s="1"/>
  <c r="LO71" i="6" a="1"/>
  <c r="LO71" i="6" s="1"/>
  <c r="LA71" i="6" a="1"/>
  <c r="LA71" i="6" s="1"/>
  <c r="KZ71" i="6" a="1"/>
  <c r="KZ71" i="6" s="1"/>
  <c r="KY71" i="6" a="1"/>
  <c r="KY71" i="6" s="1"/>
  <c r="KX71" i="6" a="1"/>
  <c r="KX71" i="6" s="1"/>
  <c r="KW71" i="6" a="1"/>
  <c r="KW71" i="6" s="1"/>
  <c r="KI71" i="6" a="1"/>
  <c r="KI71" i="6" s="1"/>
  <c r="KH71" i="6" a="1"/>
  <c r="KH71" i="6" s="1"/>
  <c r="KG71" i="6" a="1"/>
  <c r="KG71" i="6" s="1"/>
  <c r="KF71" i="6" a="1"/>
  <c r="KF71" i="6" s="1"/>
  <c r="KE71" i="6" a="1"/>
  <c r="KE71" i="6" s="1"/>
  <c r="JQ71" i="6" a="1"/>
  <c r="JQ71" i="6" s="1"/>
  <c r="JP71" i="6" a="1"/>
  <c r="JP71" i="6" s="1"/>
  <c r="JO71" i="6" a="1"/>
  <c r="JO71" i="6" s="1"/>
  <c r="JN71" i="6" a="1"/>
  <c r="JN71" i="6" s="1"/>
  <c r="JM71" i="6" a="1"/>
  <c r="JM71" i="6" s="1"/>
  <c r="IY71" i="6" a="1"/>
  <c r="IY71" i="6" s="1"/>
  <c r="IX71" i="6" a="1"/>
  <c r="IX71" i="6" s="1"/>
  <c r="IW71" i="6" a="1"/>
  <c r="IW71" i="6" s="1"/>
  <c r="IV71" i="6" a="1"/>
  <c r="IV71" i="6" s="1"/>
  <c r="IU71" i="6" a="1"/>
  <c r="IU71" i="6" s="1"/>
  <c r="IG71" i="6" a="1"/>
  <c r="IG71" i="6" s="1"/>
  <c r="IF71" i="6" a="1"/>
  <c r="IF71" i="6" s="1"/>
  <c r="IE71" i="6" a="1"/>
  <c r="IE71" i="6" s="1"/>
  <c r="ID71" i="6" a="1"/>
  <c r="ID71" i="6" s="1"/>
  <c r="IC71" i="6" a="1"/>
  <c r="IC71" i="6" s="1"/>
  <c r="HO71" i="6" a="1"/>
  <c r="HO71" i="6" s="1"/>
  <c r="HN71" i="6" a="1"/>
  <c r="HN71" i="6" s="1"/>
  <c r="HM71" i="6" a="1"/>
  <c r="HM71" i="6" s="1"/>
  <c r="HL71" i="6" a="1"/>
  <c r="HL71" i="6" s="1"/>
  <c r="HK71" i="6" a="1"/>
  <c r="HK71" i="6" s="1"/>
  <c r="GX71" i="6" a="1"/>
  <c r="GX71" i="6" s="1"/>
  <c r="GW71" i="6" a="1"/>
  <c r="GW71" i="6" s="1"/>
  <c r="GV71" i="6" a="1"/>
  <c r="GV71" i="6" s="1"/>
  <c r="GU71" i="6" a="1"/>
  <c r="GU71" i="6" s="1"/>
  <c r="GT71" i="6" a="1"/>
  <c r="GT71" i="6" s="1"/>
  <c r="GG71" i="6" a="1"/>
  <c r="GG71" i="6" s="1"/>
  <c r="GF71" i="6" a="1"/>
  <c r="GF71" i="6" s="1"/>
  <c r="GE71" i="6" a="1"/>
  <c r="GE71" i="6" s="1"/>
  <c r="GD71" i="6" a="1"/>
  <c r="GD71" i="6" s="1"/>
  <c r="GC71" i="6" a="1"/>
  <c r="GC71" i="6" s="1"/>
  <c r="FP71" i="6" a="1"/>
  <c r="FP71" i="6" s="1"/>
  <c r="FO71" i="6" a="1"/>
  <c r="FO71" i="6" s="1"/>
  <c r="FN71" i="6" a="1"/>
  <c r="FN71" i="6" s="1"/>
  <c r="FM71" i="6" a="1"/>
  <c r="FM71" i="6" s="1"/>
  <c r="FL71" i="6" a="1"/>
  <c r="FL71" i="6" s="1"/>
  <c r="EY71" i="6" a="1"/>
  <c r="EY71" i="6" s="1"/>
  <c r="EX71" i="6" a="1"/>
  <c r="EX71" i="6" s="1"/>
  <c r="EW71" i="6" a="1"/>
  <c r="EW71" i="6" s="1"/>
  <c r="EV71" i="6" a="1"/>
  <c r="EV71" i="6" s="1"/>
  <c r="EU71" i="6" a="1"/>
  <c r="EU71" i="6" s="1"/>
  <c r="EH71" i="6" a="1"/>
  <c r="EH71" i="6" s="1"/>
  <c r="EG71" i="6" a="1"/>
  <c r="EG71" i="6" s="1"/>
  <c r="EF71" i="6" a="1"/>
  <c r="EF71" i="6" s="1"/>
  <c r="EE71" i="6" a="1"/>
  <c r="EE71" i="6" s="1"/>
  <c r="ED71" i="6" a="1"/>
  <c r="ED71" i="6" s="1"/>
  <c r="DQ71" i="6" a="1"/>
  <c r="DQ71" i="6" s="1"/>
  <c r="DP71" i="6" a="1"/>
  <c r="DP71" i="6" s="1"/>
  <c r="DO71" i="6" a="1"/>
  <c r="DO71" i="6" s="1"/>
  <c r="DN71" i="6" a="1"/>
  <c r="DN71" i="6" s="1"/>
  <c r="DM71" i="6" a="1"/>
  <c r="DM71" i="6" s="1"/>
  <c r="DD71" i="6" a="1"/>
  <c r="DD71" i="6" s="1"/>
  <c r="CU71" i="6" a="1"/>
  <c r="CU71" i="6" s="1"/>
  <c r="CL71" i="6" a="1"/>
  <c r="CL71" i="6" s="1"/>
  <c r="BX71" i="6" a="1"/>
  <c r="BX71" i="6" s="1"/>
  <c r="BW71" i="6" a="1"/>
  <c r="BW71" i="6" s="1"/>
  <c r="BV71" i="6" a="1"/>
  <c r="BV71" i="6" s="1"/>
  <c r="BU71" i="6" a="1"/>
  <c r="BU71" i="6" s="1"/>
  <c r="BT71" i="6" a="1"/>
  <c r="BT71" i="6" s="1"/>
  <c r="BS71" i="6" a="1"/>
  <c r="BS71" i="6" s="1"/>
  <c r="BA71" i="6" a="1"/>
  <c r="BA71" i="6" s="1"/>
  <c r="AZ71" i="6" a="1"/>
  <c r="AZ71" i="6" s="1"/>
  <c r="AY71" i="6" a="1"/>
  <c r="AY71" i="6" s="1"/>
  <c r="AX71" i="6" a="1"/>
  <c r="AX71" i="6" s="1"/>
  <c r="AW71" i="6" a="1"/>
  <c r="AW71" i="6" s="1"/>
  <c r="AV71" i="6" a="1"/>
  <c r="AV71" i="6" s="1"/>
  <c r="AU71" i="6" a="1"/>
  <c r="AU71" i="6" s="1"/>
  <c r="AT71" i="6" a="1"/>
  <c r="AT71" i="6" s="1"/>
  <c r="AS71" i="6" a="1"/>
  <c r="AS71" i="6" s="1"/>
  <c r="AR71" i="6" a="1"/>
  <c r="AR71" i="6" s="1"/>
  <c r="AH71" i="6" a="1"/>
  <c r="AH71" i="6" s="1"/>
  <c r="AG71" i="6" a="1"/>
  <c r="AG71" i="6" s="1"/>
  <c r="V71" i="6" a="1"/>
  <c r="V71" i="6" s="1"/>
  <c r="U71" i="6" a="1"/>
  <c r="U71" i="6" s="1"/>
  <c r="J71" i="6" a="1"/>
  <c r="J71" i="6" s="1"/>
  <c r="I71" i="6" a="1"/>
  <c r="I71" i="6" s="1"/>
  <c r="ADA70" i="6" a="1"/>
  <c r="ADA70" i="6" s="1"/>
  <c r="ACZ70" i="6" a="1"/>
  <c r="ACZ70" i="6" s="1"/>
  <c r="ACY70" i="6" a="1"/>
  <c r="ACY70" i="6" s="1"/>
  <c r="ACN70" i="6" a="1"/>
  <c r="ACN70" i="6" s="1"/>
  <c r="ACM70" i="6" a="1"/>
  <c r="ACM70" i="6" s="1"/>
  <c r="ACL70" i="6" s="1"/>
  <c r="ABU70" i="6" a="1"/>
  <c r="ABU70" i="6" s="1"/>
  <c r="ABX70" i="6" a="1"/>
  <c r="ABX70" i="6" s="1"/>
  <c r="ABV70" i="6" a="1"/>
  <c r="ABV70" i="6" s="1"/>
  <c r="ABH70" i="6" a="1"/>
  <c r="ABH70" i="6" s="1"/>
  <c r="ABG70" i="6" a="1"/>
  <c r="ABG70" i="6" s="1"/>
  <c r="ABF70" i="6" a="1"/>
  <c r="ABF70" i="6" s="1"/>
  <c r="ABE70" i="6" a="1"/>
  <c r="ABE70" i="6" s="1"/>
  <c r="ABD70" i="6" a="1"/>
  <c r="ABD70" i="6" s="1"/>
  <c r="ZR70" i="6" a="1"/>
  <c r="ZR70" i="6" s="1"/>
  <c r="ZE70" i="6" a="1"/>
  <c r="ZE70" i="6" s="1"/>
  <c r="ZD70" i="6" a="1"/>
  <c r="ZD70" i="6" s="1"/>
  <c r="ZC70" i="6" a="1"/>
  <c r="ZC70" i="6" s="1"/>
  <c r="ZB70" i="6" a="1"/>
  <c r="ZB70" i="6" s="1"/>
  <c r="ZA70" i="6" a="1"/>
  <c r="ZA70" i="6" s="1"/>
  <c r="YP70" i="6" a="1"/>
  <c r="YP70" i="6" s="1"/>
  <c r="YO70" i="6" a="1"/>
  <c r="YO70" i="6" s="1"/>
  <c r="YE70" i="6" a="1"/>
  <c r="YE70" i="6" s="1"/>
  <c r="YD70" i="6" a="1"/>
  <c r="YD70" i="6" s="1"/>
  <c r="XT70" i="6" a="1"/>
  <c r="XT70" i="6" s="1"/>
  <c r="XS70" i="6" a="1"/>
  <c r="XS70" i="6" s="1"/>
  <c r="XI70" i="6" a="1"/>
  <c r="XI70" i="6" s="1"/>
  <c r="XH70" i="6" a="1"/>
  <c r="XH70" i="6" s="1"/>
  <c r="WX70" i="6" a="1"/>
  <c r="WX70" i="6" s="1"/>
  <c r="WW70" i="6" a="1"/>
  <c r="WW70" i="6" s="1"/>
  <c r="WM70" i="6" a="1"/>
  <c r="WM70" i="6" s="1"/>
  <c r="WL70" i="6" a="1"/>
  <c r="WL70" i="6" s="1"/>
  <c r="WC70" i="6" a="1"/>
  <c r="WC70" i="6" s="1"/>
  <c r="VQ70" i="6" a="1"/>
  <c r="VQ70" i="6" s="1"/>
  <c r="VP70" i="6" a="1"/>
  <c r="VP70" i="6" s="1"/>
  <c r="VO70" i="6" a="1"/>
  <c r="VO70" i="6" s="1"/>
  <c r="VN70" i="6" a="1"/>
  <c r="VN70" i="6" s="1"/>
  <c r="VA70" i="6" a="1"/>
  <c r="VA70" i="6" s="1"/>
  <c r="UZ70" i="6" a="1"/>
  <c r="UZ70" i="6" s="1"/>
  <c r="UY70" i="6" a="1"/>
  <c r="UY70" i="6" s="1"/>
  <c r="UX70" i="6" a="1"/>
  <c r="UX70" i="6" s="1"/>
  <c r="UW70" i="6" a="1"/>
  <c r="UW70" i="6" s="1"/>
  <c r="UM70" i="6" a="1"/>
  <c r="UM70" i="6" s="1"/>
  <c r="TZ70" i="6" a="1"/>
  <c r="TZ70" i="6" s="1"/>
  <c r="TY70" i="6" a="1"/>
  <c r="TY70" i="6" s="1"/>
  <c r="TX70" i="6" a="1"/>
  <c r="TX70" i="6" s="1"/>
  <c r="TW70" i="6" a="1"/>
  <c r="TW70" i="6" s="1"/>
  <c r="TV70" i="6" a="1"/>
  <c r="TV70" i="6" s="1"/>
  <c r="TH70" i="6" a="1"/>
  <c r="TH70" i="6" s="1"/>
  <c r="TG70" i="6" a="1"/>
  <c r="TG70" i="6" s="1"/>
  <c r="TF70" i="6" a="1"/>
  <c r="TF70" i="6" s="1"/>
  <c r="TE70" i="6" a="1"/>
  <c r="TE70" i="6" s="1"/>
  <c r="TD70" i="6" a="1"/>
  <c r="TD70" i="6" s="1"/>
  <c r="SP70" i="6" a="1"/>
  <c r="SP70" i="6" s="1"/>
  <c r="SO70" i="6" a="1"/>
  <c r="SO70" i="6" s="1"/>
  <c r="SN70" i="6" a="1"/>
  <c r="SN70" i="6" s="1"/>
  <c r="SM70" i="6" a="1"/>
  <c r="SM70" i="6" s="1"/>
  <c r="SL70" i="6" a="1"/>
  <c r="SL70" i="6" s="1"/>
  <c r="RX70" i="6" a="1"/>
  <c r="RX70" i="6" s="1"/>
  <c r="RW70" i="6" a="1"/>
  <c r="RW70" i="6" s="1"/>
  <c r="RV70" i="6" a="1"/>
  <c r="RV70" i="6" s="1"/>
  <c r="RU70" i="6" a="1"/>
  <c r="RU70" i="6" s="1"/>
  <c r="RT70" i="6" a="1"/>
  <c r="RT70" i="6" s="1"/>
  <c r="RF70" i="6" a="1"/>
  <c r="RF70" i="6" s="1"/>
  <c r="RE70" i="6" a="1"/>
  <c r="RE70" i="6" s="1"/>
  <c r="RD70" i="6" a="1"/>
  <c r="RD70" i="6" s="1"/>
  <c r="RC70" i="6" a="1"/>
  <c r="RC70" i="6" s="1"/>
  <c r="RB70" i="6" a="1"/>
  <c r="RB70" i="6" s="1"/>
  <c r="QN70" i="6" a="1"/>
  <c r="QN70" i="6" s="1"/>
  <c r="QM70" i="6" a="1"/>
  <c r="QM70" i="6" s="1"/>
  <c r="QL70" i="6" a="1"/>
  <c r="QL70" i="6" s="1"/>
  <c r="QK70" i="6" a="1"/>
  <c r="QK70" i="6" s="1"/>
  <c r="QJ70" i="6" a="1"/>
  <c r="QJ70" i="6" s="1"/>
  <c r="PV70" i="6" a="1"/>
  <c r="PV70" i="6" s="1"/>
  <c r="PU70" i="6" a="1"/>
  <c r="PU70" i="6" s="1"/>
  <c r="PT70" i="6" a="1"/>
  <c r="PT70" i="6" s="1"/>
  <c r="PS70" i="6" a="1"/>
  <c r="PS70" i="6" s="1"/>
  <c r="PR70" i="6" a="1"/>
  <c r="PR70" i="6" s="1"/>
  <c r="PD70" i="6" a="1"/>
  <c r="PD70" i="6" s="1"/>
  <c r="PC70" i="6" a="1"/>
  <c r="PC70" i="6" s="1"/>
  <c r="PB70" i="6" a="1"/>
  <c r="PB70" i="6" s="1"/>
  <c r="PA70" i="6" a="1"/>
  <c r="PA70" i="6" s="1"/>
  <c r="OZ70" i="6" a="1"/>
  <c r="OZ70" i="6" s="1"/>
  <c r="OL70" i="6" a="1"/>
  <c r="OL70" i="6" s="1"/>
  <c r="OK70" i="6" a="1"/>
  <c r="OK70" i="6" s="1"/>
  <c r="OJ70" i="6" a="1"/>
  <c r="OJ70" i="6" s="1"/>
  <c r="OI70" i="6" a="1"/>
  <c r="OI70" i="6" s="1"/>
  <c r="OH70" i="6" a="1"/>
  <c r="OH70" i="6" s="1"/>
  <c r="NT70" i="6" a="1"/>
  <c r="NT70" i="6" s="1"/>
  <c r="NS70" i="6" a="1"/>
  <c r="NS70" i="6" s="1"/>
  <c r="NR70" i="6" a="1"/>
  <c r="NR70" i="6" s="1"/>
  <c r="NQ70" i="6" a="1"/>
  <c r="NQ70" i="6" s="1"/>
  <c r="NP70" i="6" a="1"/>
  <c r="NP70" i="6" s="1"/>
  <c r="NC70" i="6" a="1"/>
  <c r="NC70" i="6" s="1"/>
  <c r="NB70" i="6" a="1"/>
  <c r="NB70" i="6" s="1"/>
  <c r="NA70" i="6" a="1"/>
  <c r="NA70" i="6" s="1"/>
  <c r="MZ70" i="6" a="1"/>
  <c r="MZ70" i="6" s="1"/>
  <c r="MY70" i="6" a="1"/>
  <c r="MY70" i="6" s="1"/>
  <c r="MK70" i="6" a="1"/>
  <c r="MK70" i="6" s="1"/>
  <c r="MJ70" i="6" a="1"/>
  <c r="MJ70" i="6" s="1"/>
  <c r="MI70" i="6" a="1"/>
  <c r="MI70" i="6" s="1"/>
  <c r="MH70" i="6" a="1"/>
  <c r="MH70" i="6" s="1"/>
  <c r="MG70" i="6" a="1"/>
  <c r="MG70" i="6" s="1"/>
  <c r="LS70" i="6" a="1"/>
  <c r="LS70" i="6" s="1"/>
  <c r="LR70" i="6" a="1"/>
  <c r="LR70" i="6" s="1"/>
  <c r="LQ70" i="6" a="1"/>
  <c r="LQ70" i="6" s="1"/>
  <c r="LP70" i="6" a="1"/>
  <c r="LP70" i="6" s="1"/>
  <c r="LO70" i="6" a="1"/>
  <c r="LO70" i="6" s="1"/>
  <c r="LA70" i="6" a="1"/>
  <c r="LA70" i="6" s="1"/>
  <c r="KZ70" i="6" a="1"/>
  <c r="KZ70" i="6" s="1"/>
  <c r="KY70" i="6" a="1"/>
  <c r="KY70" i="6" s="1"/>
  <c r="KX70" i="6" a="1"/>
  <c r="KX70" i="6" s="1"/>
  <c r="KW70" i="6" a="1"/>
  <c r="KW70" i="6" s="1"/>
  <c r="KI70" i="6" a="1"/>
  <c r="KI70" i="6" s="1"/>
  <c r="KH70" i="6" a="1"/>
  <c r="KH70" i="6" s="1"/>
  <c r="KG70" i="6" a="1"/>
  <c r="KG70" i="6" s="1"/>
  <c r="KF70" i="6" a="1"/>
  <c r="KF70" i="6" s="1"/>
  <c r="KE70" i="6" a="1"/>
  <c r="KE70" i="6" s="1"/>
  <c r="JQ70" i="6" a="1"/>
  <c r="JQ70" i="6" s="1"/>
  <c r="JP70" i="6" a="1"/>
  <c r="JP70" i="6" s="1"/>
  <c r="JO70" i="6" a="1"/>
  <c r="JO70" i="6" s="1"/>
  <c r="JN70" i="6" a="1"/>
  <c r="JN70" i="6" s="1"/>
  <c r="JM70" i="6" a="1"/>
  <c r="JM70" i="6" s="1"/>
  <c r="IY70" i="6" a="1"/>
  <c r="IY70" i="6" s="1"/>
  <c r="IX70" i="6" a="1"/>
  <c r="IX70" i="6" s="1"/>
  <c r="IW70" i="6" a="1"/>
  <c r="IW70" i="6" s="1"/>
  <c r="IV70" i="6" a="1"/>
  <c r="IV70" i="6" s="1"/>
  <c r="IU70" i="6" a="1"/>
  <c r="IU70" i="6" s="1"/>
  <c r="IG70" i="6" a="1"/>
  <c r="IG70" i="6" s="1"/>
  <c r="IF70" i="6" a="1"/>
  <c r="IF70" i="6" s="1"/>
  <c r="IE70" i="6" a="1"/>
  <c r="IE70" i="6" s="1"/>
  <c r="ID70" i="6" a="1"/>
  <c r="ID70" i="6" s="1"/>
  <c r="IC70" i="6" a="1"/>
  <c r="IC70" i="6" s="1"/>
  <c r="HO70" i="6" a="1"/>
  <c r="HO70" i="6" s="1"/>
  <c r="HN70" i="6" a="1"/>
  <c r="HN70" i="6" s="1"/>
  <c r="HM70" i="6" a="1"/>
  <c r="HM70" i="6" s="1"/>
  <c r="HL70" i="6" a="1"/>
  <c r="HL70" i="6" s="1"/>
  <c r="HK70" i="6" a="1"/>
  <c r="HK70" i="6" s="1"/>
  <c r="GX70" i="6" a="1"/>
  <c r="GX70" i="6" s="1"/>
  <c r="GW70" i="6" a="1"/>
  <c r="GW70" i="6" s="1"/>
  <c r="GV70" i="6" a="1"/>
  <c r="GV70" i="6" s="1"/>
  <c r="GU70" i="6" a="1"/>
  <c r="GU70" i="6" s="1"/>
  <c r="GT70" i="6" a="1"/>
  <c r="GT70" i="6" s="1"/>
  <c r="GG70" i="6" a="1"/>
  <c r="GG70" i="6" s="1"/>
  <c r="GF70" i="6" a="1"/>
  <c r="GF70" i="6" s="1"/>
  <c r="GE70" i="6" a="1"/>
  <c r="GE70" i="6" s="1"/>
  <c r="GD70" i="6" a="1"/>
  <c r="GD70" i="6" s="1"/>
  <c r="GC70" i="6" a="1"/>
  <c r="GC70" i="6" s="1"/>
  <c r="FP70" i="6" a="1"/>
  <c r="FP70" i="6" s="1"/>
  <c r="FO70" i="6" a="1"/>
  <c r="FO70" i="6" s="1"/>
  <c r="FN70" i="6" a="1"/>
  <c r="FN70" i="6" s="1"/>
  <c r="FM70" i="6" a="1"/>
  <c r="FM70" i="6" s="1"/>
  <c r="FL70" i="6" a="1"/>
  <c r="FL70" i="6" s="1"/>
  <c r="EY70" i="6" a="1"/>
  <c r="EY70" i="6" s="1"/>
  <c r="EX70" i="6" a="1"/>
  <c r="EX70" i="6" s="1"/>
  <c r="EW70" i="6" a="1"/>
  <c r="EW70" i="6" s="1"/>
  <c r="EV70" i="6" a="1"/>
  <c r="EV70" i="6" s="1"/>
  <c r="EU70" i="6" a="1"/>
  <c r="EU70" i="6" s="1"/>
  <c r="EH70" i="6" a="1"/>
  <c r="EH70" i="6" s="1"/>
  <c r="EG70" i="6" a="1"/>
  <c r="EG70" i="6" s="1"/>
  <c r="EF70" i="6" a="1"/>
  <c r="EF70" i="6" s="1"/>
  <c r="EE70" i="6" a="1"/>
  <c r="EE70" i="6" s="1"/>
  <c r="ED70" i="6" a="1"/>
  <c r="ED70" i="6" s="1"/>
  <c r="DQ70" i="6" a="1"/>
  <c r="DQ70" i="6" s="1"/>
  <c r="DP70" i="6" a="1"/>
  <c r="DP70" i="6" s="1"/>
  <c r="DO70" i="6" a="1"/>
  <c r="DO70" i="6" s="1"/>
  <c r="DN70" i="6" a="1"/>
  <c r="DN70" i="6" s="1"/>
  <c r="DM70" i="6" a="1"/>
  <c r="DM70" i="6" s="1"/>
  <c r="DD70" i="6" a="1"/>
  <c r="DD70" i="6" s="1"/>
  <c r="CU70" i="6" a="1"/>
  <c r="CU70" i="6" s="1"/>
  <c r="CL70" i="6" a="1"/>
  <c r="CL70" i="6" s="1"/>
  <c r="BX70" i="6" a="1"/>
  <c r="BX70" i="6" s="1"/>
  <c r="BW70" i="6" a="1"/>
  <c r="BW70" i="6" s="1"/>
  <c r="BV70" i="6" a="1"/>
  <c r="BV70" i="6" s="1"/>
  <c r="BU70" i="6" a="1"/>
  <c r="BU70" i="6" s="1"/>
  <c r="BT70" i="6" a="1"/>
  <c r="BT70" i="6" s="1"/>
  <c r="BS70" i="6" a="1"/>
  <c r="BS70" i="6" s="1"/>
  <c r="BA70" i="6" a="1"/>
  <c r="BA70" i="6" s="1"/>
  <c r="AZ70" i="6" a="1"/>
  <c r="AZ70" i="6" s="1"/>
  <c r="AY70" i="6" a="1"/>
  <c r="AY70" i="6" s="1"/>
  <c r="AX70" i="6" a="1"/>
  <c r="AX70" i="6" s="1"/>
  <c r="AW70" i="6" a="1"/>
  <c r="AW70" i="6" s="1"/>
  <c r="AV70" i="6" a="1"/>
  <c r="AV70" i="6" s="1"/>
  <c r="AU70" i="6" a="1"/>
  <c r="AU70" i="6" s="1"/>
  <c r="AT70" i="6" a="1"/>
  <c r="AT70" i="6" s="1"/>
  <c r="AS70" i="6" a="1"/>
  <c r="AS70" i="6" s="1"/>
  <c r="AR70" i="6" a="1"/>
  <c r="AR70" i="6" s="1"/>
  <c r="AH70" i="6" a="1"/>
  <c r="AH70" i="6" s="1"/>
  <c r="AG70" i="6" a="1"/>
  <c r="AG70" i="6" s="1"/>
  <c r="V70" i="6" a="1"/>
  <c r="V70" i="6" s="1"/>
  <c r="U70" i="6" a="1"/>
  <c r="U70" i="6" s="1"/>
  <c r="T70" i="6" s="1"/>
  <c r="J70" i="6" a="1"/>
  <c r="J70" i="6" s="1"/>
  <c r="I70" i="6" a="1"/>
  <c r="I70" i="6" s="1"/>
  <c r="ADA69" i="6" a="1"/>
  <c r="ADA69" i="6" s="1"/>
  <c r="ACZ69" i="6" a="1"/>
  <c r="ACZ69" i="6" s="1"/>
  <c r="ACY69" i="6" a="1"/>
  <c r="ACY69" i="6" s="1"/>
  <c r="ACN69" i="6" a="1"/>
  <c r="ACN69" i="6" s="1"/>
  <c r="ACM69" i="6" a="1"/>
  <c r="ACM69" i="6" s="1"/>
  <c r="ABU69" i="6" a="1"/>
  <c r="ABU69" i="6" s="1"/>
  <c r="ABX69" i="6" a="1"/>
  <c r="ABX69" i="6" s="1"/>
  <c r="ABV69" i="6" a="1"/>
  <c r="ABV69" i="6" s="1"/>
  <c r="ABH69" i="6" a="1"/>
  <c r="ABH69" i="6" s="1"/>
  <c r="ABG69" i="6" a="1"/>
  <c r="ABG69" i="6" s="1"/>
  <c r="ABF69" i="6" a="1"/>
  <c r="ABF69" i="6" s="1"/>
  <c r="ABE69" i="6" a="1"/>
  <c r="ABE69" i="6" s="1"/>
  <c r="ABD69" i="6" a="1"/>
  <c r="ABD69" i="6" s="1"/>
  <c r="ZR69" i="6" a="1"/>
  <c r="ZR69" i="6" s="1"/>
  <c r="ZE69" i="6" a="1"/>
  <c r="ZE69" i="6" s="1"/>
  <c r="ZD69" i="6" a="1"/>
  <c r="ZD69" i="6" s="1"/>
  <c r="ZC69" i="6" a="1"/>
  <c r="ZC69" i="6" s="1"/>
  <c r="ZB69" i="6" a="1"/>
  <c r="ZB69" i="6" s="1"/>
  <c r="ZA69" i="6" a="1"/>
  <c r="ZA69" i="6" s="1"/>
  <c r="YP69" i="6" a="1"/>
  <c r="YP69" i="6" s="1"/>
  <c r="YO69" i="6" a="1"/>
  <c r="YO69" i="6" s="1"/>
  <c r="YE69" i="6" a="1"/>
  <c r="YE69" i="6" s="1"/>
  <c r="YD69" i="6" a="1"/>
  <c r="YD69" i="6" s="1"/>
  <c r="XT69" i="6" a="1"/>
  <c r="XT69" i="6" s="1"/>
  <c r="XS69" i="6" a="1"/>
  <c r="XS69" i="6" s="1"/>
  <c r="XI69" i="6" a="1"/>
  <c r="XI69" i="6" s="1"/>
  <c r="XH69" i="6" a="1"/>
  <c r="XH69" i="6" s="1"/>
  <c r="WX69" i="6" a="1"/>
  <c r="WX69" i="6" s="1"/>
  <c r="WW69" i="6" a="1"/>
  <c r="WW69" i="6" s="1"/>
  <c r="WM69" i="6" a="1"/>
  <c r="WM69" i="6" s="1"/>
  <c r="WL69" i="6" a="1"/>
  <c r="WL69" i="6" s="1"/>
  <c r="WC69" i="6" a="1"/>
  <c r="WC69" i="6" s="1"/>
  <c r="VQ69" i="6" a="1"/>
  <c r="VQ69" i="6" s="1"/>
  <c r="VP69" i="6" a="1"/>
  <c r="VP69" i="6" s="1"/>
  <c r="VO69" i="6" a="1"/>
  <c r="VO69" i="6" s="1"/>
  <c r="VN69" i="6" a="1"/>
  <c r="VN69" i="6" s="1"/>
  <c r="VA69" i="6" a="1"/>
  <c r="VA69" i="6" s="1"/>
  <c r="UZ69" i="6" a="1"/>
  <c r="UZ69" i="6" s="1"/>
  <c r="UY69" i="6" a="1"/>
  <c r="UY69" i="6" s="1"/>
  <c r="UX69" i="6" a="1"/>
  <c r="UX69" i="6" s="1"/>
  <c r="UW69" i="6" a="1"/>
  <c r="UW69" i="6" s="1"/>
  <c r="UM69" i="6" a="1"/>
  <c r="UM69" i="6" s="1"/>
  <c r="TZ69" i="6" a="1"/>
  <c r="TZ69" i="6" s="1"/>
  <c r="TY69" i="6" a="1"/>
  <c r="TY69" i="6" s="1"/>
  <c r="TX69" i="6" a="1"/>
  <c r="TX69" i="6" s="1"/>
  <c r="TW69" i="6" a="1"/>
  <c r="TW69" i="6" s="1"/>
  <c r="TV69" i="6" a="1"/>
  <c r="TV69" i="6" s="1"/>
  <c r="TH69" i="6" a="1"/>
  <c r="TH69" i="6" s="1"/>
  <c r="TG69" i="6" a="1"/>
  <c r="TG69" i="6" s="1"/>
  <c r="TF69" i="6" a="1"/>
  <c r="TF69" i="6" s="1"/>
  <c r="TE69" i="6" a="1"/>
  <c r="TE69" i="6" s="1"/>
  <c r="TD69" i="6" a="1"/>
  <c r="TD69" i="6" s="1"/>
  <c r="SP69" i="6" a="1"/>
  <c r="SP69" i="6" s="1"/>
  <c r="SO69" i="6" a="1"/>
  <c r="SO69" i="6" s="1"/>
  <c r="SN69" i="6" a="1"/>
  <c r="SN69" i="6" s="1"/>
  <c r="SM69" i="6" a="1"/>
  <c r="SM69" i="6" s="1"/>
  <c r="SL69" i="6" a="1"/>
  <c r="SL69" i="6" s="1"/>
  <c r="RX69" i="6" a="1"/>
  <c r="RX69" i="6" s="1"/>
  <c r="RW69" i="6" a="1"/>
  <c r="RW69" i="6" s="1"/>
  <c r="RV69" i="6" a="1"/>
  <c r="RV69" i="6" s="1"/>
  <c r="RU69" i="6" a="1"/>
  <c r="RU69" i="6" s="1"/>
  <c r="RT69" i="6" a="1"/>
  <c r="RT69" i="6" s="1"/>
  <c r="RF69" i="6" a="1"/>
  <c r="RF69" i="6" s="1"/>
  <c r="RE69" i="6" a="1"/>
  <c r="RE69" i="6" s="1"/>
  <c r="RD69" i="6" a="1"/>
  <c r="RD69" i="6" s="1"/>
  <c r="RC69" i="6" a="1"/>
  <c r="RC69" i="6" s="1"/>
  <c r="RB69" i="6" a="1"/>
  <c r="RB69" i="6" s="1"/>
  <c r="QN69" i="6" a="1"/>
  <c r="QN69" i="6" s="1"/>
  <c r="QM69" i="6" a="1"/>
  <c r="QM69" i="6" s="1"/>
  <c r="QL69" i="6" a="1"/>
  <c r="QL69" i="6" s="1"/>
  <c r="QK69" i="6" a="1"/>
  <c r="QK69" i="6" s="1"/>
  <c r="QJ69" i="6" a="1"/>
  <c r="QJ69" i="6" s="1"/>
  <c r="PV69" i="6" a="1"/>
  <c r="PV69" i="6" s="1"/>
  <c r="PU69" i="6" a="1"/>
  <c r="PU69" i="6" s="1"/>
  <c r="PT69" i="6" a="1"/>
  <c r="PT69" i="6" s="1"/>
  <c r="PS69" i="6" a="1"/>
  <c r="PS69" i="6" s="1"/>
  <c r="PR69" i="6" a="1"/>
  <c r="PR69" i="6" s="1"/>
  <c r="PD69" i="6" a="1"/>
  <c r="PD69" i="6" s="1"/>
  <c r="PC69" i="6" a="1"/>
  <c r="PC69" i="6" s="1"/>
  <c r="PB69" i="6" a="1"/>
  <c r="PB69" i="6" s="1"/>
  <c r="PA69" i="6" a="1"/>
  <c r="PA69" i="6" s="1"/>
  <c r="OZ69" i="6" a="1"/>
  <c r="OZ69" i="6" s="1"/>
  <c r="OL69" i="6" a="1"/>
  <c r="OL69" i="6" s="1"/>
  <c r="OK69" i="6" a="1"/>
  <c r="OK69" i="6" s="1"/>
  <c r="OJ69" i="6" a="1"/>
  <c r="OJ69" i="6" s="1"/>
  <c r="OI69" i="6" a="1"/>
  <c r="OI69" i="6" s="1"/>
  <c r="OH69" i="6" a="1"/>
  <c r="OH69" i="6" s="1"/>
  <c r="NT69" i="6" a="1"/>
  <c r="NT69" i="6" s="1"/>
  <c r="NS69" i="6" a="1"/>
  <c r="NS69" i="6" s="1"/>
  <c r="NR69" i="6" a="1"/>
  <c r="NR69" i="6" s="1"/>
  <c r="NQ69" i="6" a="1"/>
  <c r="NQ69" i="6" s="1"/>
  <c r="NP69" i="6" a="1"/>
  <c r="NP69" i="6" s="1"/>
  <c r="NC69" i="6" a="1"/>
  <c r="NC69" i="6" s="1"/>
  <c r="NB69" i="6" a="1"/>
  <c r="NB69" i="6" s="1"/>
  <c r="NA69" i="6" a="1"/>
  <c r="NA69" i="6" s="1"/>
  <c r="MZ69" i="6" a="1"/>
  <c r="MZ69" i="6" s="1"/>
  <c r="MY69" i="6" a="1"/>
  <c r="MY69" i="6" s="1"/>
  <c r="MK69" i="6" a="1"/>
  <c r="MK69" i="6" s="1"/>
  <c r="MJ69" i="6" a="1"/>
  <c r="MJ69" i="6" s="1"/>
  <c r="MI69" i="6" a="1"/>
  <c r="MI69" i="6" s="1"/>
  <c r="MH69" i="6" a="1"/>
  <c r="MH69" i="6" s="1"/>
  <c r="MG69" i="6" a="1"/>
  <c r="MG69" i="6" s="1"/>
  <c r="LS69" i="6" a="1"/>
  <c r="LS69" i="6" s="1"/>
  <c r="LR69" i="6" a="1"/>
  <c r="LR69" i="6" s="1"/>
  <c r="LQ69" i="6" a="1"/>
  <c r="LQ69" i="6" s="1"/>
  <c r="LP69" i="6" a="1"/>
  <c r="LP69" i="6" s="1"/>
  <c r="LO69" i="6" a="1"/>
  <c r="LO69" i="6" s="1"/>
  <c r="LA69" i="6" a="1"/>
  <c r="LA69" i="6" s="1"/>
  <c r="KZ69" i="6" a="1"/>
  <c r="KZ69" i="6" s="1"/>
  <c r="KY69" i="6" a="1"/>
  <c r="KY69" i="6" s="1"/>
  <c r="KX69" i="6" a="1"/>
  <c r="KX69" i="6" s="1"/>
  <c r="KW69" i="6" a="1"/>
  <c r="KW69" i="6" s="1"/>
  <c r="KI69" i="6" a="1"/>
  <c r="KI69" i="6" s="1"/>
  <c r="KH69" i="6" a="1"/>
  <c r="KH69" i="6" s="1"/>
  <c r="KG69" i="6" a="1"/>
  <c r="KG69" i="6" s="1"/>
  <c r="KF69" i="6" a="1"/>
  <c r="KF69" i="6" s="1"/>
  <c r="KE69" i="6" a="1"/>
  <c r="KE69" i="6" s="1"/>
  <c r="JQ69" i="6" a="1"/>
  <c r="JQ69" i="6" s="1"/>
  <c r="JP69" i="6" a="1"/>
  <c r="JP69" i="6" s="1"/>
  <c r="JO69" i="6" a="1"/>
  <c r="JO69" i="6" s="1"/>
  <c r="JN69" i="6" a="1"/>
  <c r="JN69" i="6" s="1"/>
  <c r="JM69" i="6" a="1"/>
  <c r="JM69" i="6" s="1"/>
  <c r="IY69" i="6" a="1"/>
  <c r="IY69" i="6" s="1"/>
  <c r="IX69" i="6" a="1"/>
  <c r="IX69" i="6" s="1"/>
  <c r="IW69" i="6" a="1"/>
  <c r="IW69" i="6" s="1"/>
  <c r="IV69" i="6" a="1"/>
  <c r="IV69" i="6" s="1"/>
  <c r="IU69" i="6" a="1"/>
  <c r="IU69" i="6" s="1"/>
  <c r="IG69" i="6" a="1"/>
  <c r="IG69" i="6" s="1"/>
  <c r="IF69" i="6" a="1"/>
  <c r="IF69" i="6" s="1"/>
  <c r="IE69" i="6" a="1"/>
  <c r="IE69" i="6" s="1"/>
  <c r="ID69" i="6" a="1"/>
  <c r="ID69" i="6" s="1"/>
  <c r="IC69" i="6" a="1"/>
  <c r="IC69" i="6" s="1"/>
  <c r="HO69" i="6" a="1"/>
  <c r="HO69" i="6" s="1"/>
  <c r="HN69" i="6" a="1"/>
  <c r="HN69" i="6" s="1"/>
  <c r="HM69" i="6" a="1"/>
  <c r="HM69" i="6" s="1"/>
  <c r="HL69" i="6" a="1"/>
  <c r="HL69" i="6" s="1"/>
  <c r="HK69" i="6" a="1"/>
  <c r="HK69" i="6" s="1"/>
  <c r="GX69" i="6" a="1"/>
  <c r="GX69" i="6" s="1"/>
  <c r="GW69" i="6" a="1"/>
  <c r="GW69" i="6" s="1"/>
  <c r="GV69" i="6" a="1"/>
  <c r="GV69" i="6" s="1"/>
  <c r="GU69" i="6" a="1"/>
  <c r="GU69" i="6" s="1"/>
  <c r="GT69" i="6" a="1"/>
  <c r="GT69" i="6" s="1"/>
  <c r="GG69" i="6" a="1"/>
  <c r="GG69" i="6" s="1"/>
  <c r="GF69" i="6" a="1"/>
  <c r="GF69" i="6" s="1"/>
  <c r="GE69" i="6" a="1"/>
  <c r="GE69" i="6" s="1"/>
  <c r="GD69" i="6" a="1"/>
  <c r="GD69" i="6" s="1"/>
  <c r="GC69" i="6" a="1"/>
  <c r="GC69" i="6" s="1"/>
  <c r="FP69" i="6" a="1"/>
  <c r="FP69" i="6" s="1"/>
  <c r="FO69" i="6" a="1"/>
  <c r="FO69" i="6" s="1"/>
  <c r="FN69" i="6" a="1"/>
  <c r="FN69" i="6" s="1"/>
  <c r="FM69" i="6" a="1"/>
  <c r="FM69" i="6" s="1"/>
  <c r="FL69" i="6" a="1"/>
  <c r="FL69" i="6" s="1"/>
  <c r="EY69" i="6" a="1"/>
  <c r="EY69" i="6" s="1"/>
  <c r="EX69" i="6" a="1"/>
  <c r="EX69" i="6" s="1"/>
  <c r="EW69" i="6" a="1"/>
  <c r="EW69" i="6" s="1"/>
  <c r="EV69" i="6" a="1"/>
  <c r="EV69" i="6" s="1"/>
  <c r="EU69" i="6" a="1"/>
  <c r="EU69" i="6" s="1"/>
  <c r="EH69" i="6" a="1"/>
  <c r="EH69" i="6" s="1"/>
  <c r="EG69" i="6" a="1"/>
  <c r="EG69" i="6" s="1"/>
  <c r="EF69" i="6" a="1"/>
  <c r="EF69" i="6" s="1"/>
  <c r="EE69" i="6" a="1"/>
  <c r="EE69" i="6" s="1"/>
  <c r="ED69" i="6" a="1"/>
  <c r="ED69" i="6" s="1"/>
  <c r="DQ69" i="6" a="1"/>
  <c r="DQ69" i="6" s="1"/>
  <c r="DP69" i="6" a="1"/>
  <c r="DP69" i="6" s="1"/>
  <c r="DO69" i="6" a="1"/>
  <c r="DO69" i="6" s="1"/>
  <c r="DN69" i="6" a="1"/>
  <c r="DN69" i="6" s="1"/>
  <c r="DM69" i="6" a="1"/>
  <c r="DM69" i="6" s="1"/>
  <c r="DD69" i="6" a="1"/>
  <c r="DD69" i="6" s="1"/>
  <c r="CU69" i="6" a="1"/>
  <c r="CU69" i="6" s="1"/>
  <c r="CL69" i="6" a="1"/>
  <c r="CL69" i="6" s="1"/>
  <c r="BX69" i="6" a="1"/>
  <c r="BX69" i="6" s="1"/>
  <c r="BW69" i="6" a="1"/>
  <c r="BW69" i="6" s="1"/>
  <c r="BV69" i="6" a="1"/>
  <c r="BV69" i="6" s="1"/>
  <c r="BU69" i="6" a="1"/>
  <c r="BU69" i="6" s="1"/>
  <c r="BT69" i="6" a="1"/>
  <c r="BT69" i="6" s="1"/>
  <c r="BS69" i="6" a="1"/>
  <c r="BS69" i="6" s="1"/>
  <c r="BA69" i="6" a="1"/>
  <c r="BA69" i="6" s="1"/>
  <c r="AZ69" i="6" a="1"/>
  <c r="AZ69" i="6" s="1"/>
  <c r="AY69" i="6" a="1"/>
  <c r="AY69" i="6" s="1"/>
  <c r="AX69" i="6" a="1"/>
  <c r="AX69" i="6" s="1"/>
  <c r="AW69" i="6" a="1"/>
  <c r="AW69" i="6" s="1"/>
  <c r="AV69" i="6" a="1"/>
  <c r="AV69" i="6" s="1"/>
  <c r="AU69" i="6" a="1"/>
  <c r="AU69" i="6" s="1"/>
  <c r="AT69" i="6" a="1"/>
  <c r="AT69" i="6" s="1"/>
  <c r="AS69" i="6" a="1"/>
  <c r="AS69" i="6" s="1"/>
  <c r="AR69" i="6" a="1"/>
  <c r="AR69" i="6" s="1"/>
  <c r="AH69" i="6" a="1"/>
  <c r="AH69" i="6" s="1"/>
  <c r="AG69" i="6" a="1"/>
  <c r="AG69" i="6" s="1"/>
  <c r="V69" i="6" a="1"/>
  <c r="V69" i="6" s="1"/>
  <c r="U69" i="6" a="1"/>
  <c r="U69" i="6" s="1"/>
  <c r="J69" i="6" a="1"/>
  <c r="J69" i="6" s="1"/>
  <c r="I69" i="6" a="1"/>
  <c r="I69" i="6" s="1"/>
  <c r="ADA68" i="6" a="1"/>
  <c r="ADA68" i="6" s="1"/>
  <c r="ACZ68" i="6" a="1"/>
  <c r="ACZ68" i="6" s="1"/>
  <c r="ACY68" i="6" a="1"/>
  <c r="ACY68" i="6" s="1"/>
  <c r="ACN68" i="6" a="1"/>
  <c r="ACN68" i="6" s="1"/>
  <c r="ACM68" i="6" a="1"/>
  <c r="ACM68" i="6" s="1"/>
  <c r="ABU68" i="6" a="1"/>
  <c r="ABU68" i="6" s="1"/>
  <c r="ABX68" i="6" a="1"/>
  <c r="ABX68" i="6" s="1"/>
  <c r="ABV68" i="6" a="1"/>
  <c r="ABV68" i="6" s="1"/>
  <c r="ABH68" i="6" a="1"/>
  <c r="ABH68" i="6" s="1"/>
  <c r="ABG68" i="6" a="1"/>
  <c r="ABG68" i="6" s="1"/>
  <c r="ABF68" i="6" a="1"/>
  <c r="ABF68" i="6" s="1"/>
  <c r="ABE68" i="6" a="1"/>
  <c r="ABE68" i="6" s="1"/>
  <c r="ABD68" i="6" a="1"/>
  <c r="ABD68" i="6" s="1"/>
  <c r="ZR68" i="6" a="1"/>
  <c r="ZR68" i="6" s="1"/>
  <c r="ZE68" i="6" a="1"/>
  <c r="ZE68" i="6" s="1"/>
  <c r="ZD68" i="6" a="1"/>
  <c r="ZD68" i="6" s="1"/>
  <c r="ZC68" i="6" a="1"/>
  <c r="ZC68" i="6" s="1"/>
  <c r="ZB68" i="6" a="1"/>
  <c r="ZB68" i="6" s="1"/>
  <c r="ZA68" i="6" a="1"/>
  <c r="ZA68" i="6" s="1"/>
  <c r="YP68" i="6" a="1"/>
  <c r="YP68" i="6" s="1"/>
  <c r="YO68" i="6" a="1"/>
  <c r="YO68" i="6" s="1"/>
  <c r="YE68" i="6" a="1"/>
  <c r="YE68" i="6" s="1"/>
  <c r="YD68" i="6" a="1"/>
  <c r="YD68" i="6" s="1"/>
  <c r="XT68" i="6" a="1"/>
  <c r="XT68" i="6" s="1"/>
  <c r="XS68" i="6" a="1"/>
  <c r="XS68" i="6" s="1"/>
  <c r="XI68" i="6" a="1"/>
  <c r="XI68" i="6" s="1"/>
  <c r="XH68" i="6" a="1"/>
  <c r="XH68" i="6" s="1"/>
  <c r="WX68" i="6" a="1"/>
  <c r="WX68" i="6" s="1"/>
  <c r="WW68" i="6" a="1"/>
  <c r="WW68" i="6" s="1"/>
  <c r="WM68" i="6" a="1"/>
  <c r="WM68" i="6" s="1"/>
  <c r="WL68" i="6" a="1"/>
  <c r="WL68" i="6" s="1"/>
  <c r="WC68" i="6" a="1"/>
  <c r="WC68" i="6" s="1"/>
  <c r="VQ68" i="6" a="1"/>
  <c r="VQ68" i="6" s="1"/>
  <c r="VP68" i="6" a="1"/>
  <c r="VP68" i="6" s="1"/>
  <c r="VO68" i="6" a="1"/>
  <c r="VO68" i="6" s="1"/>
  <c r="VN68" i="6" a="1"/>
  <c r="VN68" i="6" s="1"/>
  <c r="VA68" i="6" a="1"/>
  <c r="VA68" i="6" s="1"/>
  <c r="UZ68" i="6" a="1"/>
  <c r="UZ68" i="6" s="1"/>
  <c r="UY68" i="6" a="1"/>
  <c r="UY68" i="6" s="1"/>
  <c r="UX68" i="6" a="1"/>
  <c r="UX68" i="6" s="1"/>
  <c r="UW68" i="6" a="1"/>
  <c r="UW68" i="6" s="1"/>
  <c r="UM68" i="6" a="1"/>
  <c r="UM68" i="6" s="1"/>
  <c r="TZ68" i="6" a="1"/>
  <c r="TZ68" i="6" s="1"/>
  <c r="TY68" i="6" a="1"/>
  <c r="TY68" i="6" s="1"/>
  <c r="TX68" i="6" a="1"/>
  <c r="TX68" i="6" s="1"/>
  <c r="TW68" i="6" a="1"/>
  <c r="TW68" i="6" s="1"/>
  <c r="TV68" i="6" a="1"/>
  <c r="TV68" i="6" s="1"/>
  <c r="TH68" i="6" a="1"/>
  <c r="TH68" i="6" s="1"/>
  <c r="TG68" i="6" a="1"/>
  <c r="TG68" i="6" s="1"/>
  <c r="TF68" i="6" a="1"/>
  <c r="TF68" i="6" s="1"/>
  <c r="TE68" i="6" a="1"/>
  <c r="TE68" i="6" s="1"/>
  <c r="TD68" i="6" a="1"/>
  <c r="TD68" i="6" s="1"/>
  <c r="SP68" i="6" a="1"/>
  <c r="SP68" i="6" s="1"/>
  <c r="SO68" i="6" a="1"/>
  <c r="SO68" i="6" s="1"/>
  <c r="SN68" i="6" a="1"/>
  <c r="SN68" i="6" s="1"/>
  <c r="SM68" i="6" a="1"/>
  <c r="SM68" i="6" s="1"/>
  <c r="SL68" i="6" a="1"/>
  <c r="SL68" i="6" s="1"/>
  <c r="RX68" i="6" a="1"/>
  <c r="RX68" i="6" s="1"/>
  <c r="RW68" i="6" a="1"/>
  <c r="RW68" i="6" s="1"/>
  <c r="RV68" i="6" a="1"/>
  <c r="RV68" i="6" s="1"/>
  <c r="RU68" i="6" a="1"/>
  <c r="RU68" i="6" s="1"/>
  <c r="RT68" i="6" a="1"/>
  <c r="RT68" i="6" s="1"/>
  <c r="RF68" i="6" a="1"/>
  <c r="RF68" i="6" s="1"/>
  <c r="RE68" i="6" a="1"/>
  <c r="RE68" i="6" s="1"/>
  <c r="RD68" i="6" a="1"/>
  <c r="RD68" i="6" s="1"/>
  <c r="RC68" i="6" a="1"/>
  <c r="RC68" i="6" s="1"/>
  <c r="RB68" i="6" a="1"/>
  <c r="RB68" i="6" s="1"/>
  <c r="QN68" i="6" a="1"/>
  <c r="QN68" i="6" s="1"/>
  <c r="QM68" i="6" a="1"/>
  <c r="QM68" i="6" s="1"/>
  <c r="QL68" i="6" a="1"/>
  <c r="QL68" i="6" s="1"/>
  <c r="QK68" i="6" a="1"/>
  <c r="QK68" i="6" s="1"/>
  <c r="QJ68" i="6" a="1"/>
  <c r="QJ68" i="6" s="1"/>
  <c r="PV68" i="6" a="1"/>
  <c r="PV68" i="6" s="1"/>
  <c r="PU68" i="6" a="1"/>
  <c r="PU68" i="6" s="1"/>
  <c r="PT68" i="6" a="1"/>
  <c r="PT68" i="6" s="1"/>
  <c r="PS68" i="6" a="1"/>
  <c r="PS68" i="6" s="1"/>
  <c r="PR68" i="6" a="1"/>
  <c r="PR68" i="6" s="1"/>
  <c r="PD68" i="6" a="1"/>
  <c r="PD68" i="6" s="1"/>
  <c r="PC68" i="6" a="1"/>
  <c r="PC68" i="6" s="1"/>
  <c r="PB68" i="6" a="1"/>
  <c r="PB68" i="6" s="1"/>
  <c r="PA68" i="6" a="1"/>
  <c r="PA68" i="6" s="1"/>
  <c r="OZ68" i="6" a="1"/>
  <c r="OZ68" i="6" s="1"/>
  <c r="OL68" i="6" a="1"/>
  <c r="OL68" i="6" s="1"/>
  <c r="OK68" i="6" a="1"/>
  <c r="OK68" i="6" s="1"/>
  <c r="OJ68" i="6" a="1"/>
  <c r="OJ68" i="6" s="1"/>
  <c r="OI68" i="6" a="1"/>
  <c r="OI68" i="6" s="1"/>
  <c r="OH68" i="6" a="1"/>
  <c r="OH68" i="6" s="1"/>
  <c r="NT68" i="6" a="1"/>
  <c r="NT68" i="6" s="1"/>
  <c r="NS68" i="6" a="1"/>
  <c r="NS68" i="6" s="1"/>
  <c r="NR68" i="6" a="1"/>
  <c r="NR68" i="6" s="1"/>
  <c r="NQ68" i="6" a="1"/>
  <c r="NQ68" i="6" s="1"/>
  <c r="NP68" i="6" a="1"/>
  <c r="NP68" i="6" s="1"/>
  <c r="NC68" i="6" a="1"/>
  <c r="NC68" i="6" s="1"/>
  <c r="NB68" i="6" a="1"/>
  <c r="NB68" i="6" s="1"/>
  <c r="NA68" i="6" a="1"/>
  <c r="NA68" i="6" s="1"/>
  <c r="MZ68" i="6" a="1"/>
  <c r="MZ68" i="6" s="1"/>
  <c r="MY68" i="6" a="1"/>
  <c r="MY68" i="6" s="1"/>
  <c r="MK68" i="6" a="1"/>
  <c r="MK68" i="6" s="1"/>
  <c r="MJ68" i="6" a="1"/>
  <c r="MJ68" i="6" s="1"/>
  <c r="MI68" i="6" a="1"/>
  <c r="MI68" i="6" s="1"/>
  <c r="MH68" i="6" a="1"/>
  <c r="MH68" i="6" s="1"/>
  <c r="MG68" i="6" a="1"/>
  <c r="MG68" i="6" s="1"/>
  <c r="LS68" i="6" a="1"/>
  <c r="LS68" i="6" s="1"/>
  <c r="LR68" i="6" a="1"/>
  <c r="LR68" i="6" s="1"/>
  <c r="LQ68" i="6" a="1"/>
  <c r="LQ68" i="6" s="1"/>
  <c r="LP68" i="6" a="1"/>
  <c r="LP68" i="6" s="1"/>
  <c r="LO68" i="6" a="1"/>
  <c r="LO68" i="6" s="1"/>
  <c r="LA68" i="6" a="1"/>
  <c r="LA68" i="6" s="1"/>
  <c r="KZ68" i="6" a="1"/>
  <c r="KZ68" i="6" s="1"/>
  <c r="KY68" i="6" a="1"/>
  <c r="KY68" i="6" s="1"/>
  <c r="KX68" i="6" a="1"/>
  <c r="KX68" i="6" s="1"/>
  <c r="KW68" i="6" a="1"/>
  <c r="KW68" i="6" s="1"/>
  <c r="KI68" i="6" a="1"/>
  <c r="KI68" i="6" s="1"/>
  <c r="KH68" i="6" a="1"/>
  <c r="KH68" i="6" s="1"/>
  <c r="KG68" i="6" a="1"/>
  <c r="KG68" i="6" s="1"/>
  <c r="KF68" i="6" a="1"/>
  <c r="KF68" i="6" s="1"/>
  <c r="KE68" i="6" a="1"/>
  <c r="KE68" i="6" s="1"/>
  <c r="JQ68" i="6" a="1"/>
  <c r="JQ68" i="6" s="1"/>
  <c r="JP68" i="6" a="1"/>
  <c r="JP68" i="6" s="1"/>
  <c r="JO68" i="6" a="1"/>
  <c r="JO68" i="6" s="1"/>
  <c r="JN68" i="6" a="1"/>
  <c r="JN68" i="6" s="1"/>
  <c r="JM68" i="6" a="1"/>
  <c r="JM68" i="6" s="1"/>
  <c r="IY68" i="6" a="1"/>
  <c r="IY68" i="6" s="1"/>
  <c r="IX68" i="6" a="1"/>
  <c r="IX68" i="6" s="1"/>
  <c r="IW68" i="6" a="1"/>
  <c r="IW68" i="6" s="1"/>
  <c r="IV68" i="6" a="1"/>
  <c r="IV68" i="6" s="1"/>
  <c r="IU68" i="6" a="1"/>
  <c r="IU68" i="6" s="1"/>
  <c r="IG68" i="6" a="1"/>
  <c r="IG68" i="6" s="1"/>
  <c r="IF68" i="6" a="1"/>
  <c r="IF68" i="6" s="1"/>
  <c r="IE68" i="6" a="1"/>
  <c r="IE68" i="6" s="1"/>
  <c r="ID68" i="6" a="1"/>
  <c r="ID68" i="6" s="1"/>
  <c r="IC68" i="6" a="1"/>
  <c r="IC68" i="6" s="1"/>
  <c r="HO68" i="6" a="1"/>
  <c r="HO68" i="6" s="1"/>
  <c r="HN68" i="6" a="1"/>
  <c r="HN68" i="6" s="1"/>
  <c r="HM68" i="6" a="1"/>
  <c r="HM68" i="6" s="1"/>
  <c r="HL68" i="6" a="1"/>
  <c r="HL68" i="6" s="1"/>
  <c r="HK68" i="6" a="1"/>
  <c r="HK68" i="6" s="1"/>
  <c r="GX68" i="6" a="1"/>
  <c r="GX68" i="6" s="1"/>
  <c r="GW68" i="6" a="1"/>
  <c r="GW68" i="6" s="1"/>
  <c r="GV68" i="6" a="1"/>
  <c r="GV68" i="6" s="1"/>
  <c r="GU68" i="6" a="1"/>
  <c r="GU68" i="6" s="1"/>
  <c r="GT68" i="6" a="1"/>
  <c r="GT68" i="6" s="1"/>
  <c r="GG68" i="6" a="1"/>
  <c r="GG68" i="6" s="1"/>
  <c r="GF68" i="6" a="1"/>
  <c r="GF68" i="6" s="1"/>
  <c r="GE68" i="6" a="1"/>
  <c r="GE68" i="6" s="1"/>
  <c r="GD68" i="6" a="1"/>
  <c r="GD68" i="6" s="1"/>
  <c r="GC68" i="6" a="1"/>
  <c r="GC68" i="6" s="1"/>
  <c r="FP68" i="6" a="1"/>
  <c r="FP68" i="6" s="1"/>
  <c r="FO68" i="6" a="1"/>
  <c r="FO68" i="6" s="1"/>
  <c r="FN68" i="6" a="1"/>
  <c r="FN68" i="6" s="1"/>
  <c r="FM68" i="6" a="1"/>
  <c r="FM68" i="6" s="1"/>
  <c r="FL68" i="6" a="1"/>
  <c r="FL68" i="6" s="1"/>
  <c r="EY68" i="6" a="1"/>
  <c r="EY68" i="6" s="1"/>
  <c r="EX68" i="6" a="1"/>
  <c r="EX68" i="6" s="1"/>
  <c r="EW68" i="6" a="1"/>
  <c r="EW68" i="6" s="1"/>
  <c r="EV68" i="6" a="1"/>
  <c r="EV68" i="6" s="1"/>
  <c r="EU68" i="6" a="1"/>
  <c r="EU68" i="6" s="1"/>
  <c r="EH68" i="6" a="1"/>
  <c r="EH68" i="6" s="1"/>
  <c r="EG68" i="6" a="1"/>
  <c r="EG68" i="6" s="1"/>
  <c r="EF68" i="6" a="1"/>
  <c r="EF68" i="6" s="1"/>
  <c r="EE68" i="6" a="1"/>
  <c r="EE68" i="6" s="1"/>
  <c r="ED68" i="6" a="1"/>
  <c r="ED68" i="6" s="1"/>
  <c r="DQ68" i="6" a="1"/>
  <c r="DQ68" i="6" s="1"/>
  <c r="DP68" i="6" a="1"/>
  <c r="DP68" i="6" s="1"/>
  <c r="DO68" i="6" a="1"/>
  <c r="DO68" i="6" s="1"/>
  <c r="DN68" i="6" a="1"/>
  <c r="DN68" i="6" s="1"/>
  <c r="DM68" i="6" a="1"/>
  <c r="DM68" i="6" s="1"/>
  <c r="DD68" i="6" a="1"/>
  <c r="DD68" i="6" s="1"/>
  <c r="CU68" i="6" a="1"/>
  <c r="CU68" i="6" s="1"/>
  <c r="CL68" i="6" a="1"/>
  <c r="CL68" i="6" s="1"/>
  <c r="BX68" i="6" a="1"/>
  <c r="BX68" i="6" s="1"/>
  <c r="BW68" i="6" a="1"/>
  <c r="BW68" i="6" s="1"/>
  <c r="BV68" i="6" a="1"/>
  <c r="BV68" i="6" s="1"/>
  <c r="BU68" i="6" a="1"/>
  <c r="BU68" i="6" s="1"/>
  <c r="BT68" i="6" a="1"/>
  <c r="BT68" i="6" s="1"/>
  <c r="BS68" i="6" a="1"/>
  <c r="BS68" i="6" s="1"/>
  <c r="BA68" i="6" a="1"/>
  <c r="BA68" i="6" s="1"/>
  <c r="AZ68" i="6" a="1"/>
  <c r="AZ68" i="6" s="1"/>
  <c r="AY68" i="6" a="1"/>
  <c r="AY68" i="6" s="1"/>
  <c r="AX68" i="6" a="1"/>
  <c r="AX68" i="6" s="1"/>
  <c r="AW68" i="6" a="1"/>
  <c r="AW68" i="6" s="1"/>
  <c r="AV68" i="6" a="1"/>
  <c r="AV68" i="6" s="1"/>
  <c r="AU68" i="6" a="1"/>
  <c r="AU68" i="6" s="1"/>
  <c r="AT68" i="6" a="1"/>
  <c r="AT68" i="6" s="1"/>
  <c r="AS68" i="6" a="1"/>
  <c r="AS68" i="6" s="1"/>
  <c r="AR68" i="6" a="1"/>
  <c r="AR68" i="6" s="1"/>
  <c r="AH68" i="6" a="1"/>
  <c r="AH68" i="6" s="1"/>
  <c r="AG68" i="6" a="1"/>
  <c r="AG68" i="6" s="1"/>
  <c r="V68" i="6" a="1"/>
  <c r="V68" i="6" s="1"/>
  <c r="U68" i="6" a="1"/>
  <c r="U68" i="6" s="1"/>
  <c r="J68" i="6" a="1"/>
  <c r="J68" i="6" s="1"/>
  <c r="I68" i="6" a="1"/>
  <c r="I68" i="6" s="1"/>
  <c r="ADA67" i="6" a="1"/>
  <c r="ADA67" i="6" s="1"/>
  <c r="ACZ67" i="6" a="1"/>
  <c r="ACZ67" i="6" s="1"/>
  <c r="ACY67" i="6" a="1"/>
  <c r="ACY67" i="6" s="1"/>
  <c r="ACN67" i="6" a="1"/>
  <c r="ACN67" i="6" s="1"/>
  <c r="ACM67" i="6" a="1"/>
  <c r="ACM67" i="6" s="1"/>
  <c r="ABU67" i="6" a="1"/>
  <c r="ABU67" i="6" s="1"/>
  <c r="ABX67" i="6" a="1"/>
  <c r="ABX67" i="6" s="1"/>
  <c r="ABV67" i="6" a="1"/>
  <c r="ABV67" i="6" s="1"/>
  <c r="ABH67" i="6" a="1"/>
  <c r="ABH67" i="6" s="1"/>
  <c r="ABG67" i="6" a="1"/>
  <c r="ABG67" i="6" s="1"/>
  <c r="ABF67" i="6" a="1"/>
  <c r="ABF67" i="6" s="1"/>
  <c r="ABE67" i="6" a="1"/>
  <c r="ABE67" i="6" s="1"/>
  <c r="ABD67" i="6" a="1"/>
  <c r="ABD67" i="6" s="1"/>
  <c r="ZR67" i="6" a="1"/>
  <c r="ZR67" i="6" s="1"/>
  <c r="ZE67" i="6" a="1"/>
  <c r="ZE67" i="6" s="1"/>
  <c r="ZD67" i="6" a="1"/>
  <c r="ZD67" i="6" s="1"/>
  <c r="ZC67" i="6" a="1"/>
  <c r="ZC67" i="6" s="1"/>
  <c r="ZB67" i="6" a="1"/>
  <c r="ZB67" i="6" s="1"/>
  <c r="ZA67" i="6" a="1"/>
  <c r="ZA67" i="6" s="1"/>
  <c r="YP67" i="6" a="1"/>
  <c r="YP67" i="6" s="1"/>
  <c r="YO67" i="6" a="1"/>
  <c r="YO67" i="6" s="1"/>
  <c r="YE67" i="6" a="1"/>
  <c r="YE67" i="6" s="1"/>
  <c r="YD67" i="6" a="1"/>
  <c r="YD67" i="6" s="1"/>
  <c r="XT67" i="6" a="1"/>
  <c r="XT67" i="6" s="1"/>
  <c r="XS67" i="6" a="1"/>
  <c r="XS67" i="6" s="1"/>
  <c r="XI67" i="6" a="1"/>
  <c r="XI67" i="6" s="1"/>
  <c r="XH67" i="6" a="1"/>
  <c r="XH67" i="6" s="1"/>
  <c r="WX67" i="6" a="1"/>
  <c r="WX67" i="6" s="1"/>
  <c r="WW67" i="6" a="1"/>
  <c r="WW67" i="6" s="1"/>
  <c r="WM67" i="6" a="1"/>
  <c r="WM67" i="6" s="1"/>
  <c r="WL67" i="6" a="1"/>
  <c r="WL67" i="6" s="1"/>
  <c r="WC67" i="6" a="1"/>
  <c r="WC67" i="6" s="1"/>
  <c r="VQ67" i="6" a="1"/>
  <c r="VQ67" i="6" s="1"/>
  <c r="VP67" i="6" a="1"/>
  <c r="VP67" i="6" s="1"/>
  <c r="VO67" i="6" a="1"/>
  <c r="VO67" i="6" s="1"/>
  <c r="VN67" i="6" a="1"/>
  <c r="VN67" i="6" s="1"/>
  <c r="VA67" i="6" a="1"/>
  <c r="VA67" i="6" s="1"/>
  <c r="UZ67" i="6" a="1"/>
  <c r="UZ67" i="6" s="1"/>
  <c r="UY67" i="6" a="1"/>
  <c r="UY67" i="6" s="1"/>
  <c r="UX67" i="6" a="1"/>
  <c r="UX67" i="6" s="1"/>
  <c r="UW67" i="6" a="1"/>
  <c r="UW67" i="6" s="1"/>
  <c r="UM67" i="6" a="1"/>
  <c r="UM67" i="6" s="1"/>
  <c r="TZ67" i="6" a="1"/>
  <c r="TZ67" i="6" s="1"/>
  <c r="TY67" i="6" a="1"/>
  <c r="TY67" i="6" s="1"/>
  <c r="TX67" i="6" a="1"/>
  <c r="TX67" i="6" s="1"/>
  <c r="TW67" i="6" a="1"/>
  <c r="TW67" i="6" s="1"/>
  <c r="TV67" i="6" a="1"/>
  <c r="TV67" i="6" s="1"/>
  <c r="TH67" i="6" a="1"/>
  <c r="TH67" i="6" s="1"/>
  <c r="TG67" i="6" a="1"/>
  <c r="TG67" i="6" s="1"/>
  <c r="TF67" i="6" a="1"/>
  <c r="TF67" i="6" s="1"/>
  <c r="TE67" i="6" a="1"/>
  <c r="TE67" i="6" s="1"/>
  <c r="TD67" i="6" a="1"/>
  <c r="TD67" i="6" s="1"/>
  <c r="SP67" i="6" a="1"/>
  <c r="SP67" i="6" s="1"/>
  <c r="SO67" i="6" a="1"/>
  <c r="SO67" i="6" s="1"/>
  <c r="SN67" i="6" a="1"/>
  <c r="SN67" i="6" s="1"/>
  <c r="SM67" i="6" a="1"/>
  <c r="SM67" i="6" s="1"/>
  <c r="SL67" i="6" a="1"/>
  <c r="SL67" i="6" s="1"/>
  <c r="RX67" i="6" a="1"/>
  <c r="RX67" i="6" s="1"/>
  <c r="RW67" i="6" a="1"/>
  <c r="RW67" i="6" s="1"/>
  <c r="RV67" i="6" a="1"/>
  <c r="RV67" i="6" s="1"/>
  <c r="RU67" i="6" a="1"/>
  <c r="RU67" i="6" s="1"/>
  <c r="RT67" i="6" a="1"/>
  <c r="RT67" i="6" s="1"/>
  <c r="RF67" i="6" a="1"/>
  <c r="RF67" i="6" s="1"/>
  <c r="RE67" i="6" a="1"/>
  <c r="RE67" i="6" s="1"/>
  <c r="RD67" i="6" a="1"/>
  <c r="RD67" i="6" s="1"/>
  <c r="RC67" i="6" a="1"/>
  <c r="RC67" i="6" s="1"/>
  <c r="RB67" i="6" a="1"/>
  <c r="RB67" i="6" s="1"/>
  <c r="QN67" i="6" a="1"/>
  <c r="QN67" i="6" s="1"/>
  <c r="QM67" i="6" a="1"/>
  <c r="QM67" i="6" s="1"/>
  <c r="QL67" i="6" a="1"/>
  <c r="QL67" i="6" s="1"/>
  <c r="QK67" i="6" a="1"/>
  <c r="QK67" i="6" s="1"/>
  <c r="QJ67" i="6" a="1"/>
  <c r="QJ67" i="6" s="1"/>
  <c r="PV67" i="6" a="1"/>
  <c r="PV67" i="6" s="1"/>
  <c r="PU67" i="6" a="1"/>
  <c r="PU67" i="6" s="1"/>
  <c r="PT67" i="6" a="1"/>
  <c r="PT67" i="6" s="1"/>
  <c r="PS67" i="6" a="1"/>
  <c r="PS67" i="6" s="1"/>
  <c r="PR67" i="6" a="1"/>
  <c r="PR67" i="6" s="1"/>
  <c r="PD67" i="6" a="1"/>
  <c r="PD67" i="6" s="1"/>
  <c r="PC67" i="6" a="1"/>
  <c r="PC67" i="6" s="1"/>
  <c r="PB67" i="6" a="1"/>
  <c r="PB67" i="6" s="1"/>
  <c r="PA67" i="6" a="1"/>
  <c r="PA67" i="6" s="1"/>
  <c r="OZ67" i="6" a="1"/>
  <c r="OZ67" i="6" s="1"/>
  <c r="OL67" i="6" a="1"/>
  <c r="OL67" i="6" s="1"/>
  <c r="OK67" i="6" a="1"/>
  <c r="OK67" i="6" s="1"/>
  <c r="OJ67" i="6" a="1"/>
  <c r="OJ67" i="6" s="1"/>
  <c r="OI67" i="6" a="1"/>
  <c r="OI67" i="6" s="1"/>
  <c r="OH67" i="6" a="1"/>
  <c r="OH67" i="6" s="1"/>
  <c r="NT67" i="6" a="1"/>
  <c r="NT67" i="6" s="1"/>
  <c r="NS67" i="6" a="1"/>
  <c r="NS67" i="6" s="1"/>
  <c r="NR67" i="6" a="1"/>
  <c r="NR67" i="6" s="1"/>
  <c r="NQ67" i="6" a="1"/>
  <c r="NQ67" i="6" s="1"/>
  <c r="NP67" i="6" a="1"/>
  <c r="NP67" i="6" s="1"/>
  <c r="NC67" i="6" a="1"/>
  <c r="NC67" i="6" s="1"/>
  <c r="NB67" i="6" a="1"/>
  <c r="NB67" i="6" s="1"/>
  <c r="NA67" i="6" a="1"/>
  <c r="NA67" i="6" s="1"/>
  <c r="MZ67" i="6" a="1"/>
  <c r="MZ67" i="6" s="1"/>
  <c r="MY67" i="6" a="1"/>
  <c r="MY67" i="6" s="1"/>
  <c r="MK67" i="6" a="1"/>
  <c r="MK67" i="6" s="1"/>
  <c r="MJ67" i="6" a="1"/>
  <c r="MJ67" i="6" s="1"/>
  <c r="MI67" i="6" a="1"/>
  <c r="MI67" i="6" s="1"/>
  <c r="MH67" i="6" a="1"/>
  <c r="MH67" i="6" s="1"/>
  <c r="MG67" i="6" a="1"/>
  <c r="MG67" i="6" s="1"/>
  <c r="LS67" i="6" a="1"/>
  <c r="LS67" i="6" s="1"/>
  <c r="LR67" i="6" a="1"/>
  <c r="LR67" i="6" s="1"/>
  <c r="LQ67" i="6" a="1"/>
  <c r="LQ67" i="6" s="1"/>
  <c r="LP67" i="6" a="1"/>
  <c r="LP67" i="6" s="1"/>
  <c r="LO67" i="6" a="1"/>
  <c r="LO67" i="6" s="1"/>
  <c r="LA67" i="6" a="1"/>
  <c r="LA67" i="6" s="1"/>
  <c r="KZ67" i="6" a="1"/>
  <c r="KZ67" i="6" s="1"/>
  <c r="KY67" i="6" a="1"/>
  <c r="KY67" i="6" s="1"/>
  <c r="KX67" i="6" a="1"/>
  <c r="KX67" i="6" s="1"/>
  <c r="KW67" i="6" a="1"/>
  <c r="KW67" i="6" s="1"/>
  <c r="KI67" i="6" a="1"/>
  <c r="KI67" i="6" s="1"/>
  <c r="KH67" i="6" a="1"/>
  <c r="KH67" i="6" s="1"/>
  <c r="KG67" i="6" a="1"/>
  <c r="KG67" i="6" s="1"/>
  <c r="KF67" i="6" a="1"/>
  <c r="KF67" i="6" s="1"/>
  <c r="KE67" i="6" a="1"/>
  <c r="KE67" i="6" s="1"/>
  <c r="JQ67" i="6" a="1"/>
  <c r="JQ67" i="6" s="1"/>
  <c r="JP67" i="6" a="1"/>
  <c r="JP67" i="6" s="1"/>
  <c r="JO67" i="6" a="1"/>
  <c r="JO67" i="6" s="1"/>
  <c r="JN67" i="6" a="1"/>
  <c r="JN67" i="6" s="1"/>
  <c r="JM67" i="6" a="1"/>
  <c r="JM67" i="6" s="1"/>
  <c r="IY67" i="6" a="1"/>
  <c r="IY67" i="6" s="1"/>
  <c r="IX67" i="6" a="1"/>
  <c r="IX67" i="6" s="1"/>
  <c r="IW67" i="6" a="1"/>
  <c r="IW67" i="6" s="1"/>
  <c r="IV67" i="6" a="1"/>
  <c r="IV67" i="6" s="1"/>
  <c r="IU67" i="6" a="1"/>
  <c r="IU67" i="6" s="1"/>
  <c r="IG67" i="6" a="1"/>
  <c r="IG67" i="6" s="1"/>
  <c r="IF67" i="6" a="1"/>
  <c r="IF67" i="6" s="1"/>
  <c r="IE67" i="6" a="1"/>
  <c r="IE67" i="6" s="1"/>
  <c r="ID67" i="6" a="1"/>
  <c r="ID67" i="6" s="1"/>
  <c r="IC67" i="6" a="1"/>
  <c r="IC67" i="6" s="1"/>
  <c r="HO67" i="6" a="1"/>
  <c r="HO67" i="6" s="1"/>
  <c r="HN67" i="6" a="1"/>
  <c r="HN67" i="6" s="1"/>
  <c r="HM67" i="6" a="1"/>
  <c r="HM67" i="6" s="1"/>
  <c r="HL67" i="6" a="1"/>
  <c r="HL67" i="6" s="1"/>
  <c r="HK67" i="6" a="1"/>
  <c r="HK67" i="6" s="1"/>
  <c r="GX67" i="6" a="1"/>
  <c r="GX67" i="6" s="1"/>
  <c r="GW67" i="6" a="1"/>
  <c r="GW67" i="6" s="1"/>
  <c r="GV67" i="6" a="1"/>
  <c r="GV67" i="6" s="1"/>
  <c r="GU67" i="6" a="1"/>
  <c r="GU67" i="6" s="1"/>
  <c r="GT67" i="6" a="1"/>
  <c r="GT67" i="6" s="1"/>
  <c r="GG67" i="6" a="1"/>
  <c r="GG67" i="6" s="1"/>
  <c r="GF67" i="6" a="1"/>
  <c r="GF67" i="6" s="1"/>
  <c r="GE67" i="6" a="1"/>
  <c r="GE67" i="6" s="1"/>
  <c r="GD67" i="6" a="1"/>
  <c r="GD67" i="6" s="1"/>
  <c r="GC67" i="6" a="1"/>
  <c r="GC67" i="6" s="1"/>
  <c r="FP67" i="6" a="1"/>
  <c r="FP67" i="6" s="1"/>
  <c r="FO67" i="6" a="1"/>
  <c r="FO67" i="6" s="1"/>
  <c r="FN67" i="6" a="1"/>
  <c r="FN67" i="6" s="1"/>
  <c r="FM67" i="6" a="1"/>
  <c r="FM67" i="6" s="1"/>
  <c r="FL67" i="6" a="1"/>
  <c r="FL67" i="6" s="1"/>
  <c r="EY67" i="6" a="1"/>
  <c r="EY67" i="6" s="1"/>
  <c r="EX67" i="6" a="1"/>
  <c r="EX67" i="6" s="1"/>
  <c r="EW67" i="6" a="1"/>
  <c r="EW67" i="6" s="1"/>
  <c r="EV67" i="6" a="1"/>
  <c r="EV67" i="6" s="1"/>
  <c r="EU67" i="6" a="1"/>
  <c r="EU67" i="6" s="1"/>
  <c r="EH67" i="6" a="1"/>
  <c r="EH67" i="6" s="1"/>
  <c r="EG67" i="6" a="1"/>
  <c r="EG67" i="6" s="1"/>
  <c r="EF67" i="6" a="1"/>
  <c r="EF67" i="6" s="1"/>
  <c r="EE67" i="6" a="1"/>
  <c r="EE67" i="6" s="1"/>
  <c r="ED67" i="6" a="1"/>
  <c r="ED67" i="6" s="1"/>
  <c r="DQ67" i="6" a="1"/>
  <c r="DQ67" i="6" s="1"/>
  <c r="DP67" i="6" a="1"/>
  <c r="DP67" i="6" s="1"/>
  <c r="DO67" i="6" a="1"/>
  <c r="DO67" i="6" s="1"/>
  <c r="DN67" i="6" a="1"/>
  <c r="DN67" i="6" s="1"/>
  <c r="DM67" i="6" a="1"/>
  <c r="DM67" i="6" s="1"/>
  <c r="DD67" i="6" a="1"/>
  <c r="DD67" i="6" s="1"/>
  <c r="CU67" i="6" a="1"/>
  <c r="CU67" i="6" s="1"/>
  <c r="CL67" i="6" a="1"/>
  <c r="CL67" i="6" s="1"/>
  <c r="BX67" i="6" a="1"/>
  <c r="BX67" i="6" s="1"/>
  <c r="BW67" i="6" a="1"/>
  <c r="BW67" i="6" s="1"/>
  <c r="BV67" i="6" a="1"/>
  <c r="BV67" i="6" s="1"/>
  <c r="BU67" i="6" a="1"/>
  <c r="BU67" i="6" s="1"/>
  <c r="BT67" i="6" a="1"/>
  <c r="BT67" i="6" s="1"/>
  <c r="BS67" i="6" a="1"/>
  <c r="BS67" i="6" s="1"/>
  <c r="BA67" i="6" a="1"/>
  <c r="BA67" i="6" s="1"/>
  <c r="AZ67" i="6" a="1"/>
  <c r="AZ67" i="6" s="1"/>
  <c r="AY67" i="6" a="1"/>
  <c r="AY67" i="6" s="1"/>
  <c r="AX67" i="6" a="1"/>
  <c r="AX67" i="6" s="1"/>
  <c r="AW67" i="6" a="1"/>
  <c r="AW67" i="6" s="1"/>
  <c r="AV67" i="6" a="1"/>
  <c r="AV67" i="6" s="1"/>
  <c r="AU67" i="6" a="1"/>
  <c r="AU67" i="6" s="1"/>
  <c r="AT67" i="6" a="1"/>
  <c r="AT67" i="6" s="1"/>
  <c r="AS67" i="6" a="1"/>
  <c r="AS67" i="6" s="1"/>
  <c r="AR67" i="6" a="1"/>
  <c r="AR67" i="6" s="1"/>
  <c r="AH67" i="6" a="1"/>
  <c r="AH67" i="6" s="1"/>
  <c r="AG67" i="6" a="1"/>
  <c r="AG67" i="6" s="1"/>
  <c r="V67" i="6" a="1"/>
  <c r="V67" i="6" s="1"/>
  <c r="U67" i="6" a="1"/>
  <c r="U67" i="6" s="1"/>
  <c r="J67" i="6" a="1"/>
  <c r="J67" i="6" s="1"/>
  <c r="I67" i="6" a="1"/>
  <c r="I67" i="6" s="1"/>
  <c r="ADA66" i="6" a="1"/>
  <c r="ADA66" i="6" s="1"/>
  <c r="ACZ66" i="6" a="1"/>
  <c r="ACZ66" i="6" s="1"/>
  <c r="ACY66" i="6" a="1"/>
  <c r="ACY66" i="6" s="1"/>
  <c r="ACN66" i="6" a="1"/>
  <c r="ACN66" i="6" s="1"/>
  <c r="ACM66" i="6" a="1"/>
  <c r="ACM66" i="6" s="1"/>
  <c r="ABU66" i="6" a="1"/>
  <c r="ABU66" i="6" s="1"/>
  <c r="ABX66" i="6" a="1"/>
  <c r="ABX66" i="6" s="1"/>
  <c r="ABV66" i="6" a="1"/>
  <c r="ABV66" i="6" s="1"/>
  <c r="ABH66" i="6" a="1"/>
  <c r="ABH66" i="6" s="1"/>
  <c r="ABG66" i="6" a="1"/>
  <c r="ABG66" i="6" s="1"/>
  <c r="ABF66" i="6" a="1"/>
  <c r="ABF66" i="6" s="1"/>
  <c r="ABE66" i="6" a="1"/>
  <c r="ABE66" i="6" s="1"/>
  <c r="ABD66" i="6" a="1"/>
  <c r="ABD66" i="6" s="1"/>
  <c r="ZR66" i="6" a="1"/>
  <c r="ZR66" i="6" s="1"/>
  <c r="ZE66" i="6" a="1"/>
  <c r="ZE66" i="6" s="1"/>
  <c r="ZD66" i="6" a="1"/>
  <c r="ZD66" i="6" s="1"/>
  <c r="ZC66" i="6" a="1"/>
  <c r="ZC66" i="6" s="1"/>
  <c r="ZB66" i="6" a="1"/>
  <c r="ZB66" i="6" s="1"/>
  <c r="ZA66" i="6" a="1"/>
  <c r="ZA66" i="6" s="1"/>
  <c r="YP66" i="6" a="1"/>
  <c r="YP66" i="6" s="1"/>
  <c r="YO66" i="6" a="1"/>
  <c r="YO66" i="6" s="1"/>
  <c r="YE66" i="6" a="1"/>
  <c r="YE66" i="6" s="1"/>
  <c r="YD66" i="6" a="1"/>
  <c r="YD66" i="6" s="1"/>
  <c r="XT66" i="6" a="1"/>
  <c r="XT66" i="6" s="1"/>
  <c r="XS66" i="6" a="1"/>
  <c r="XS66" i="6" s="1"/>
  <c r="XI66" i="6" a="1"/>
  <c r="XI66" i="6" s="1"/>
  <c r="XH66" i="6" a="1"/>
  <c r="XH66" i="6" s="1"/>
  <c r="WX66" i="6" a="1"/>
  <c r="WX66" i="6" s="1"/>
  <c r="WW66" i="6" a="1"/>
  <c r="WW66" i="6" s="1"/>
  <c r="WM66" i="6" a="1"/>
  <c r="WM66" i="6" s="1"/>
  <c r="WL66" i="6" a="1"/>
  <c r="WL66" i="6" s="1"/>
  <c r="WC66" i="6" a="1"/>
  <c r="WC66" i="6" s="1"/>
  <c r="VQ66" i="6" a="1"/>
  <c r="VQ66" i="6" s="1"/>
  <c r="VP66" i="6" a="1"/>
  <c r="VP66" i="6" s="1"/>
  <c r="VO66" i="6" a="1"/>
  <c r="VO66" i="6" s="1"/>
  <c r="VN66" i="6" a="1"/>
  <c r="VN66" i="6" s="1"/>
  <c r="VA66" i="6" a="1"/>
  <c r="VA66" i="6" s="1"/>
  <c r="UZ66" i="6" a="1"/>
  <c r="UZ66" i="6" s="1"/>
  <c r="UY66" i="6" a="1"/>
  <c r="UY66" i="6" s="1"/>
  <c r="UX66" i="6" a="1"/>
  <c r="UX66" i="6" s="1"/>
  <c r="UW66" i="6" a="1"/>
  <c r="UW66" i="6" s="1"/>
  <c r="UM66" i="6" a="1"/>
  <c r="UM66" i="6" s="1"/>
  <c r="TZ66" i="6" a="1"/>
  <c r="TZ66" i="6" s="1"/>
  <c r="TY66" i="6" a="1"/>
  <c r="TY66" i="6" s="1"/>
  <c r="TX66" i="6" a="1"/>
  <c r="TX66" i="6" s="1"/>
  <c r="TW66" i="6" a="1"/>
  <c r="TW66" i="6" s="1"/>
  <c r="TV66" i="6" a="1"/>
  <c r="TV66" i="6" s="1"/>
  <c r="TH66" i="6" a="1"/>
  <c r="TH66" i="6" s="1"/>
  <c r="TG66" i="6" a="1"/>
  <c r="TG66" i="6" s="1"/>
  <c r="TF66" i="6" a="1"/>
  <c r="TF66" i="6" s="1"/>
  <c r="TE66" i="6" a="1"/>
  <c r="TE66" i="6" s="1"/>
  <c r="TD66" i="6" a="1"/>
  <c r="TD66" i="6" s="1"/>
  <c r="SP66" i="6" a="1"/>
  <c r="SP66" i="6" s="1"/>
  <c r="SO66" i="6" a="1"/>
  <c r="SO66" i="6" s="1"/>
  <c r="SN66" i="6" a="1"/>
  <c r="SN66" i="6" s="1"/>
  <c r="SM66" i="6" a="1"/>
  <c r="SM66" i="6" s="1"/>
  <c r="SL66" i="6" a="1"/>
  <c r="SL66" i="6" s="1"/>
  <c r="RX66" i="6" a="1"/>
  <c r="RX66" i="6" s="1"/>
  <c r="RW66" i="6" a="1"/>
  <c r="RW66" i="6" s="1"/>
  <c r="RV66" i="6" a="1"/>
  <c r="RV66" i="6" s="1"/>
  <c r="RU66" i="6" a="1"/>
  <c r="RU66" i="6" s="1"/>
  <c r="RT66" i="6" a="1"/>
  <c r="RT66" i="6" s="1"/>
  <c r="RF66" i="6" a="1"/>
  <c r="RF66" i="6" s="1"/>
  <c r="RE66" i="6" a="1"/>
  <c r="RE66" i="6" s="1"/>
  <c r="RD66" i="6" a="1"/>
  <c r="RD66" i="6" s="1"/>
  <c r="RC66" i="6" a="1"/>
  <c r="RC66" i="6" s="1"/>
  <c r="RB66" i="6" a="1"/>
  <c r="RB66" i="6" s="1"/>
  <c r="QN66" i="6" a="1"/>
  <c r="QN66" i="6" s="1"/>
  <c r="QM66" i="6" a="1"/>
  <c r="QM66" i="6" s="1"/>
  <c r="QL66" i="6" a="1"/>
  <c r="QL66" i="6" s="1"/>
  <c r="QK66" i="6" a="1"/>
  <c r="QK66" i="6" s="1"/>
  <c r="QJ66" i="6" a="1"/>
  <c r="QJ66" i="6" s="1"/>
  <c r="PV66" i="6" a="1"/>
  <c r="PV66" i="6" s="1"/>
  <c r="PU66" i="6" a="1"/>
  <c r="PU66" i="6" s="1"/>
  <c r="PT66" i="6" a="1"/>
  <c r="PT66" i="6" s="1"/>
  <c r="PS66" i="6" a="1"/>
  <c r="PS66" i="6" s="1"/>
  <c r="PR66" i="6" a="1"/>
  <c r="PR66" i="6" s="1"/>
  <c r="PD66" i="6" a="1"/>
  <c r="PD66" i="6" s="1"/>
  <c r="PC66" i="6" a="1"/>
  <c r="PC66" i="6" s="1"/>
  <c r="PB66" i="6" a="1"/>
  <c r="PB66" i="6" s="1"/>
  <c r="PA66" i="6" a="1"/>
  <c r="PA66" i="6" s="1"/>
  <c r="OZ66" i="6" a="1"/>
  <c r="OZ66" i="6" s="1"/>
  <c r="OL66" i="6" a="1"/>
  <c r="OL66" i="6" s="1"/>
  <c r="OK66" i="6" a="1"/>
  <c r="OK66" i="6" s="1"/>
  <c r="OJ66" i="6" a="1"/>
  <c r="OJ66" i="6" s="1"/>
  <c r="OI66" i="6" a="1"/>
  <c r="OI66" i="6" s="1"/>
  <c r="OH66" i="6" a="1"/>
  <c r="OH66" i="6" s="1"/>
  <c r="NT66" i="6" a="1"/>
  <c r="NT66" i="6" s="1"/>
  <c r="NS66" i="6" a="1"/>
  <c r="NS66" i="6" s="1"/>
  <c r="NR66" i="6" a="1"/>
  <c r="NR66" i="6" s="1"/>
  <c r="NQ66" i="6" a="1"/>
  <c r="NQ66" i="6" s="1"/>
  <c r="NP66" i="6" a="1"/>
  <c r="NP66" i="6" s="1"/>
  <c r="NC66" i="6" a="1"/>
  <c r="NC66" i="6" s="1"/>
  <c r="NB66" i="6" a="1"/>
  <c r="NB66" i="6" s="1"/>
  <c r="NA66" i="6" a="1"/>
  <c r="NA66" i="6" s="1"/>
  <c r="MZ66" i="6" a="1"/>
  <c r="MZ66" i="6" s="1"/>
  <c r="MY66" i="6" a="1"/>
  <c r="MY66" i="6" s="1"/>
  <c r="MK66" i="6" a="1"/>
  <c r="MK66" i="6" s="1"/>
  <c r="MJ66" i="6" a="1"/>
  <c r="MJ66" i="6" s="1"/>
  <c r="MI66" i="6" a="1"/>
  <c r="MI66" i="6" s="1"/>
  <c r="MH66" i="6" a="1"/>
  <c r="MH66" i="6" s="1"/>
  <c r="MG66" i="6" a="1"/>
  <c r="MG66" i="6" s="1"/>
  <c r="LS66" i="6" a="1"/>
  <c r="LS66" i="6" s="1"/>
  <c r="LR66" i="6" a="1"/>
  <c r="LR66" i="6" s="1"/>
  <c r="LQ66" i="6" a="1"/>
  <c r="LQ66" i="6" s="1"/>
  <c r="LP66" i="6" a="1"/>
  <c r="LP66" i="6" s="1"/>
  <c r="LO66" i="6" a="1"/>
  <c r="LO66" i="6" s="1"/>
  <c r="LA66" i="6" a="1"/>
  <c r="LA66" i="6" s="1"/>
  <c r="KZ66" i="6" a="1"/>
  <c r="KZ66" i="6" s="1"/>
  <c r="KY66" i="6" a="1"/>
  <c r="KY66" i="6" s="1"/>
  <c r="KX66" i="6" a="1"/>
  <c r="KX66" i="6" s="1"/>
  <c r="KW66" i="6" a="1"/>
  <c r="KW66" i="6" s="1"/>
  <c r="KI66" i="6" a="1"/>
  <c r="KI66" i="6" s="1"/>
  <c r="KH66" i="6" a="1"/>
  <c r="KH66" i="6" s="1"/>
  <c r="KG66" i="6" a="1"/>
  <c r="KG66" i="6" s="1"/>
  <c r="KF66" i="6" a="1"/>
  <c r="KF66" i="6" s="1"/>
  <c r="KE66" i="6" a="1"/>
  <c r="KE66" i="6" s="1"/>
  <c r="JQ66" i="6" a="1"/>
  <c r="JQ66" i="6" s="1"/>
  <c r="JP66" i="6" a="1"/>
  <c r="JP66" i="6" s="1"/>
  <c r="JO66" i="6" a="1"/>
  <c r="JO66" i="6" s="1"/>
  <c r="JN66" i="6" a="1"/>
  <c r="JN66" i="6" s="1"/>
  <c r="JM66" i="6" a="1"/>
  <c r="JM66" i="6" s="1"/>
  <c r="IY66" i="6" a="1"/>
  <c r="IY66" i="6" s="1"/>
  <c r="IX66" i="6" a="1"/>
  <c r="IX66" i="6" s="1"/>
  <c r="IW66" i="6" a="1"/>
  <c r="IW66" i="6" s="1"/>
  <c r="IV66" i="6" a="1"/>
  <c r="IV66" i="6" s="1"/>
  <c r="IU66" i="6" a="1"/>
  <c r="IU66" i="6" s="1"/>
  <c r="IG66" i="6" a="1"/>
  <c r="IG66" i="6" s="1"/>
  <c r="IF66" i="6" a="1"/>
  <c r="IF66" i="6" s="1"/>
  <c r="IE66" i="6" a="1"/>
  <c r="IE66" i="6" s="1"/>
  <c r="ID66" i="6" a="1"/>
  <c r="ID66" i="6" s="1"/>
  <c r="IC66" i="6" a="1"/>
  <c r="IC66" i="6" s="1"/>
  <c r="HO66" i="6" a="1"/>
  <c r="HO66" i="6" s="1"/>
  <c r="HN66" i="6" a="1"/>
  <c r="HN66" i="6" s="1"/>
  <c r="HM66" i="6" a="1"/>
  <c r="HM66" i="6" s="1"/>
  <c r="HL66" i="6" a="1"/>
  <c r="HL66" i="6" s="1"/>
  <c r="HK66" i="6" a="1"/>
  <c r="HK66" i="6" s="1"/>
  <c r="GX66" i="6" a="1"/>
  <c r="GX66" i="6" s="1"/>
  <c r="GW66" i="6" a="1"/>
  <c r="GW66" i="6" s="1"/>
  <c r="GV66" i="6" a="1"/>
  <c r="GV66" i="6" s="1"/>
  <c r="GU66" i="6" a="1"/>
  <c r="GU66" i="6" s="1"/>
  <c r="GT66" i="6" a="1"/>
  <c r="GT66" i="6" s="1"/>
  <c r="GG66" i="6" a="1"/>
  <c r="GG66" i="6" s="1"/>
  <c r="GF66" i="6" a="1"/>
  <c r="GF66" i="6" s="1"/>
  <c r="GE66" i="6" a="1"/>
  <c r="GE66" i="6" s="1"/>
  <c r="GD66" i="6" a="1"/>
  <c r="GD66" i="6" s="1"/>
  <c r="GC66" i="6" a="1"/>
  <c r="GC66" i="6" s="1"/>
  <c r="FP66" i="6" a="1"/>
  <c r="FP66" i="6" s="1"/>
  <c r="FO66" i="6" a="1"/>
  <c r="FO66" i="6" s="1"/>
  <c r="FN66" i="6" a="1"/>
  <c r="FN66" i="6" s="1"/>
  <c r="FM66" i="6" a="1"/>
  <c r="FM66" i="6" s="1"/>
  <c r="FL66" i="6" a="1"/>
  <c r="FL66" i="6" s="1"/>
  <c r="EY66" i="6" a="1"/>
  <c r="EY66" i="6" s="1"/>
  <c r="EX66" i="6" a="1"/>
  <c r="EX66" i="6" s="1"/>
  <c r="EW66" i="6" a="1"/>
  <c r="EW66" i="6" s="1"/>
  <c r="EV66" i="6" a="1"/>
  <c r="EV66" i="6" s="1"/>
  <c r="EU66" i="6" a="1"/>
  <c r="EU66" i="6" s="1"/>
  <c r="EH66" i="6" a="1"/>
  <c r="EH66" i="6" s="1"/>
  <c r="EG66" i="6" a="1"/>
  <c r="EG66" i="6" s="1"/>
  <c r="EF66" i="6" a="1"/>
  <c r="EF66" i="6" s="1"/>
  <c r="EE66" i="6" a="1"/>
  <c r="EE66" i="6" s="1"/>
  <c r="ED66" i="6" a="1"/>
  <c r="ED66" i="6" s="1"/>
  <c r="DQ66" i="6" a="1"/>
  <c r="DQ66" i="6" s="1"/>
  <c r="DP66" i="6" a="1"/>
  <c r="DP66" i="6" s="1"/>
  <c r="DO66" i="6" a="1"/>
  <c r="DO66" i="6" s="1"/>
  <c r="DN66" i="6" a="1"/>
  <c r="DN66" i="6" s="1"/>
  <c r="DM66" i="6" a="1"/>
  <c r="DM66" i="6" s="1"/>
  <c r="DD66" i="6" a="1"/>
  <c r="DD66" i="6" s="1"/>
  <c r="CU66" i="6" a="1"/>
  <c r="CU66" i="6" s="1"/>
  <c r="CL66" i="6" a="1"/>
  <c r="CL66" i="6" s="1"/>
  <c r="BX66" i="6" a="1"/>
  <c r="BX66" i="6" s="1"/>
  <c r="BW66" i="6" a="1"/>
  <c r="BW66" i="6" s="1"/>
  <c r="BV66" i="6" a="1"/>
  <c r="BV66" i="6" s="1"/>
  <c r="BU66" i="6" a="1"/>
  <c r="BU66" i="6" s="1"/>
  <c r="BT66" i="6" a="1"/>
  <c r="BT66" i="6" s="1"/>
  <c r="BS66" i="6" a="1"/>
  <c r="BS66" i="6" s="1"/>
  <c r="BA66" i="6" a="1"/>
  <c r="BA66" i="6" s="1"/>
  <c r="AZ66" i="6" a="1"/>
  <c r="AZ66" i="6" s="1"/>
  <c r="AY66" i="6" a="1"/>
  <c r="AY66" i="6" s="1"/>
  <c r="AX66" i="6" a="1"/>
  <c r="AX66" i="6" s="1"/>
  <c r="AW66" i="6" a="1"/>
  <c r="AW66" i="6" s="1"/>
  <c r="AV66" i="6" a="1"/>
  <c r="AV66" i="6" s="1"/>
  <c r="AU66" i="6" a="1"/>
  <c r="AU66" i="6" s="1"/>
  <c r="AT66" i="6" a="1"/>
  <c r="AT66" i="6" s="1"/>
  <c r="AS66" i="6" a="1"/>
  <c r="AS66" i="6" s="1"/>
  <c r="AR66" i="6" a="1"/>
  <c r="AR66" i="6" s="1"/>
  <c r="AH66" i="6" a="1"/>
  <c r="AH66" i="6" s="1"/>
  <c r="AG66" i="6" a="1"/>
  <c r="AG66" i="6" s="1"/>
  <c r="V66" i="6" a="1"/>
  <c r="V66" i="6" s="1"/>
  <c r="U66" i="6" a="1"/>
  <c r="U66" i="6" s="1"/>
  <c r="J66" i="6" a="1"/>
  <c r="J66" i="6" s="1"/>
  <c r="I66" i="6" a="1"/>
  <c r="I66" i="6" s="1"/>
  <c r="ADA65" i="6" a="1"/>
  <c r="ADA65" i="6" s="1"/>
  <c r="ACZ65" i="6" a="1"/>
  <c r="ACZ65" i="6" s="1"/>
  <c r="ACY65" i="6" a="1"/>
  <c r="ACY65" i="6" s="1"/>
  <c r="ACN65" i="6" a="1"/>
  <c r="ACN65" i="6" s="1"/>
  <c r="ACM65" i="6" a="1"/>
  <c r="ACM65" i="6" s="1"/>
  <c r="ABU65" i="6" a="1"/>
  <c r="ABU65" i="6" s="1"/>
  <c r="ABX65" i="6" a="1"/>
  <c r="ABX65" i="6" s="1"/>
  <c r="ABV65" i="6" a="1"/>
  <c r="ABV65" i="6" s="1"/>
  <c r="ABH65" i="6" a="1"/>
  <c r="ABH65" i="6" s="1"/>
  <c r="ABG65" i="6" a="1"/>
  <c r="ABG65" i="6" s="1"/>
  <c r="ABF65" i="6" a="1"/>
  <c r="ABF65" i="6" s="1"/>
  <c r="ABE65" i="6" a="1"/>
  <c r="ABE65" i="6" s="1"/>
  <c r="ABD65" i="6" a="1"/>
  <c r="ABD65" i="6" s="1"/>
  <c r="ZR65" i="6" a="1"/>
  <c r="ZR65" i="6" s="1"/>
  <c r="ZE65" i="6" a="1"/>
  <c r="ZE65" i="6" s="1"/>
  <c r="ZD65" i="6" a="1"/>
  <c r="ZD65" i="6" s="1"/>
  <c r="ZC65" i="6" a="1"/>
  <c r="ZC65" i="6" s="1"/>
  <c r="ZB65" i="6" a="1"/>
  <c r="ZB65" i="6" s="1"/>
  <c r="ZA65" i="6" a="1"/>
  <c r="ZA65" i="6" s="1"/>
  <c r="YP65" i="6" a="1"/>
  <c r="YP65" i="6" s="1"/>
  <c r="YO65" i="6" a="1"/>
  <c r="YO65" i="6" s="1"/>
  <c r="YE65" i="6" a="1"/>
  <c r="YE65" i="6" s="1"/>
  <c r="YD65" i="6" a="1"/>
  <c r="YD65" i="6" s="1"/>
  <c r="XT65" i="6" a="1"/>
  <c r="XT65" i="6" s="1"/>
  <c r="XS65" i="6" a="1"/>
  <c r="XS65" i="6" s="1"/>
  <c r="XI65" i="6" a="1"/>
  <c r="XI65" i="6" s="1"/>
  <c r="XH65" i="6" a="1"/>
  <c r="XH65" i="6" s="1"/>
  <c r="WX65" i="6" a="1"/>
  <c r="WX65" i="6" s="1"/>
  <c r="WW65" i="6" a="1"/>
  <c r="WW65" i="6" s="1"/>
  <c r="WM65" i="6" a="1"/>
  <c r="WM65" i="6" s="1"/>
  <c r="WL65" i="6" a="1"/>
  <c r="WL65" i="6" s="1"/>
  <c r="WC65" i="6" a="1"/>
  <c r="WC65" i="6" s="1"/>
  <c r="VQ65" i="6" a="1"/>
  <c r="VQ65" i="6" s="1"/>
  <c r="VP65" i="6" a="1"/>
  <c r="VP65" i="6" s="1"/>
  <c r="VO65" i="6" a="1"/>
  <c r="VO65" i="6" s="1"/>
  <c r="VN65" i="6" a="1"/>
  <c r="VN65" i="6" s="1"/>
  <c r="VA65" i="6" a="1"/>
  <c r="VA65" i="6" s="1"/>
  <c r="UZ65" i="6" a="1"/>
  <c r="UZ65" i="6" s="1"/>
  <c r="UY65" i="6" a="1"/>
  <c r="UY65" i="6" s="1"/>
  <c r="UX65" i="6" a="1"/>
  <c r="UX65" i="6" s="1"/>
  <c r="UW65" i="6" a="1"/>
  <c r="UW65" i="6" s="1"/>
  <c r="UM65" i="6" a="1"/>
  <c r="UM65" i="6" s="1"/>
  <c r="TZ65" i="6" a="1"/>
  <c r="TZ65" i="6" s="1"/>
  <c r="TY65" i="6" a="1"/>
  <c r="TY65" i="6" s="1"/>
  <c r="TX65" i="6" a="1"/>
  <c r="TX65" i="6" s="1"/>
  <c r="TW65" i="6" a="1"/>
  <c r="TW65" i="6" s="1"/>
  <c r="TV65" i="6" a="1"/>
  <c r="TV65" i="6" s="1"/>
  <c r="TH65" i="6" a="1"/>
  <c r="TH65" i="6" s="1"/>
  <c r="TG65" i="6" a="1"/>
  <c r="TG65" i="6" s="1"/>
  <c r="TF65" i="6" a="1"/>
  <c r="TF65" i="6" s="1"/>
  <c r="TE65" i="6" a="1"/>
  <c r="TE65" i="6" s="1"/>
  <c r="TD65" i="6" a="1"/>
  <c r="TD65" i="6" s="1"/>
  <c r="SP65" i="6" a="1"/>
  <c r="SP65" i="6" s="1"/>
  <c r="SO65" i="6" a="1"/>
  <c r="SO65" i="6" s="1"/>
  <c r="SN65" i="6" a="1"/>
  <c r="SN65" i="6" s="1"/>
  <c r="SM65" i="6" a="1"/>
  <c r="SM65" i="6" s="1"/>
  <c r="SL65" i="6" a="1"/>
  <c r="SL65" i="6" s="1"/>
  <c r="RX65" i="6" a="1"/>
  <c r="RX65" i="6" s="1"/>
  <c r="RW65" i="6" a="1"/>
  <c r="RW65" i="6" s="1"/>
  <c r="RV65" i="6" a="1"/>
  <c r="RV65" i="6" s="1"/>
  <c r="RU65" i="6" a="1"/>
  <c r="RU65" i="6" s="1"/>
  <c r="RT65" i="6" a="1"/>
  <c r="RT65" i="6" s="1"/>
  <c r="RF65" i="6" a="1"/>
  <c r="RF65" i="6" s="1"/>
  <c r="RE65" i="6" a="1"/>
  <c r="RE65" i="6" s="1"/>
  <c r="RD65" i="6" a="1"/>
  <c r="RD65" i="6" s="1"/>
  <c r="RC65" i="6" a="1"/>
  <c r="RC65" i="6" s="1"/>
  <c r="RB65" i="6" a="1"/>
  <c r="RB65" i="6" s="1"/>
  <c r="QN65" i="6" a="1"/>
  <c r="QN65" i="6" s="1"/>
  <c r="QM65" i="6" a="1"/>
  <c r="QM65" i="6" s="1"/>
  <c r="QL65" i="6" a="1"/>
  <c r="QL65" i="6" s="1"/>
  <c r="QK65" i="6" a="1"/>
  <c r="QK65" i="6" s="1"/>
  <c r="QJ65" i="6" a="1"/>
  <c r="QJ65" i="6" s="1"/>
  <c r="PV65" i="6" a="1"/>
  <c r="PV65" i="6" s="1"/>
  <c r="PU65" i="6" a="1"/>
  <c r="PU65" i="6" s="1"/>
  <c r="PT65" i="6" a="1"/>
  <c r="PT65" i="6" s="1"/>
  <c r="PS65" i="6" a="1"/>
  <c r="PS65" i="6" s="1"/>
  <c r="PR65" i="6" a="1"/>
  <c r="PR65" i="6" s="1"/>
  <c r="PD65" i="6" a="1"/>
  <c r="PD65" i="6" s="1"/>
  <c r="PC65" i="6" a="1"/>
  <c r="PC65" i="6" s="1"/>
  <c r="PB65" i="6" a="1"/>
  <c r="PB65" i="6" s="1"/>
  <c r="PA65" i="6" a="1"/>
  <c r="PA65" i="6" s="1"/>
  <c r="OZ65" i="6" a="1"/>
  <c r="OZ65" i="6" s="1"/>
  <c r="OL65" i="6" a="1"/>
  <c r="OL65" i="6" s="1"/>
  <c r="OK65" i="6" a="1"/>
  <c r="OK65" i="6" s="1"/>
  <c r="OJ65" i="6" a="1"/>
  <c r="OJ65" i="6" s="1"/>
  <c r="OI65" i="6" a="1"/>
  <c r="OI65" i="6" s="1"/>
  <c r="OH65" i="6" a="1"/>
  <c r="OH65" i="6" s="1"/>
  <c r="NT65" i="6" a="1"/>
  <c r="NT65" i="6" s="1"/>
  <c r="NS65" i="6" a="1"/>
  <c r="NS65" i="6" s="1"/>
  <c r="NR65" i="6" a="1"/>
  <c r="NR65" i="6" s="1"/>
  <c r="NQ65" i="6" a="1"/>
  <c r="NQ65" i="6" s="1"/>
  <c r="NP65" i="6" a="1"/>
  <c r="NP65" i="6" s="1"/>
  <c r="NC65" i="6" a="1"/>
  <c r="NC65" i="6" s="1"/>
  <c r="NB65" i="6" a="1"/>
  <c r="NB65" i="6" s="1"/>
  <c r="NA65" i="6" a="1"/>
  <c r="NA65" i="6" s="1"/>
  <c r="MZ65" i="6" a="1"/>
  <c r="MZ65" i="6" s="1"/>
  <c r="MY65" i="6" a="1"/>
  <c r="MY65" i="6" s="1"/>
  <c r="MK65" i="6" a="1"/>
  <c r="MK65" i="6" s="1"/>
  <c r="MJ65" i="6" a="1"/>
  <c r="MJ65" i="6" s="1"/>
  <c r="MI65" i="6" a="1"/>
  <c r="MI65" i="6" s="1"/>
  <c r="MH65" i="6" a="1"/>
  <c r="MH65" i="6" s="1"/>
  <c r="MG65" i="6" a="1"/>
  <c r="MG65" i="6" s="1"/>
  <c r="LS65" i="6" a="1"/>
  <c r="LS65" i="6" s="1"/>
  <c r="LR65" i="6" a="1"/>
  <c r="LR65" i="6" s="1"/>
  <c r="LQ65" i="6" a="1"/>
  <c r="LQ65" i="6" s="1"/>
  <c r="LP65" i="6" a="1"/>
  <c r="LP65" i="6" s="1"/>
  <c r="LO65" i="6" a="1"/>
  <c r="LO65" i="6" s="1"/>
  <c r="LA65" i="6" a="1"/>
  <c r="LA65" i="6" s="1"/>
  <c r="KZ65" i="6" a="1"/>
  <c r="KZ65" i="6" s="1"/>
  <c r="KY65" i="6" a="1"/>
  <c r="KY65" i="6" s="1"/>
  <c r="KX65" i="6" a="1"/>
  <c r="KX65" i="6" s="1"/>
  <c r="KW65" i="6" a="1"/>
  <c r="KW65" i="6" s="1"/>
  <c r="KI65" i="6" a="1"/>
  <c r="KI65" i="6" s="1"/>
  <c r="KH65" i="6" a="1"/>
  <c r="KH65" i="6" s="1"/>
  <c r="KG65" i="6" a="1"/>
  <c r="KG65" i="6" s="1"/>
  <c r="KF65" i="6" a="1"/>
  <c r="KF65" i="6" s="1"/>
  <c r="KE65" i="6" a="1"/>
  <c r="KE65" i="6" s="1"/>
  <c r="JQ65" i="6" a="1"/>
  <c r="JQ65" i="6" s="1"/>
  <c r="JP65" i="6" a="1"/>
  <c r="JP65" i="6" s="1"/>
  <c r="JO65" i="6" a="1"/>
  <c r="JO65" i="6" s="1"/>
  <c r="JN65" i="6" a="1"/>
  <c r="JN65" i="6" s="1"/>
  <c r="JM65" i="6" a="1"/>
  <c r="JM65" i="6" s="1"/>
  <c r="IY65" i="6" a="1"/>
  <c r="IY65" i="6" s="1"/>
  <c r="IX65" i="6" a="1"/>
  <c r="IX65" i="6" s="1"/>
  <c r="IW65" i="6" a="1"/>
  <c r="IW65" i="6" s="1"/>
  <c r="IV65" i="6" a="1"/>
  <c r="IV65" i="6" s="1"/>
  <c r="IU65" i="6" a="1"/>
  <c r="IU65" i="6" s="1"/>
  <c r="IG65" i="6" a="1"/>
  <c r="IG65" i="6" s="1"/>
  <c r="IF65" i="6" a="1"/>
  <c r="IF65" i="6" s="1"/>
  <c r="IE65" i="6" a="1"/>
  <c r="IE65" i="6" s="1"/>
  <c r="ID65" i="6" a="1"/>
  <c r="ID65" i="6" s="1"/>
  <c r="IC65" i="6" a="1"/>
  <c r="IC65" i="6" s="1"/>
  <c r="HO65" i="6" a="1"/>
  <c r="HO65" i="6" s="1"/>
  <c r="HN65" i="6" a="1"/>
  <c r="HN65" i="6" s="1"/>
  <c r="HM65" i="6" a="1"/>
  <c r="HM65" i="6" s="1"/>
  <c r="HL65" i="6" a="1"/>
  <c r="HL65" i="6" s="1"/>
  <c r="HK65" i="6" a="1"/>
  <c r="HK65" i="6" s="1"/>
  <c r="GX65" i="6" a="1"/>
  <c r="GX65" i="6" s="1"/>
  <c r="GW65" i="6" a="1"/>
  <c r="GW65" i="6" s="1"/>
  <c r="GV65" i="6" a="1"/>
  <c r="GV65" i="6" s="1"/>
  <c r="GU65" i="6" a="1"/>
  <c r="GU65" i="6" s="1"/>
  <c r="GT65" i="6" a="1"/>
  <c r="GT65" i="6" s="1"/>
  <c r="GG65" i="6" a="1"/>
  <c r="GG65" i="6" s="1"/>
  <c r="GF65" i="6" a="1"/>
  <c r="GF65" i="6" s="1"/>
  <c r="GE65" i="6" a="1"/>
  <c r="GE65" i="6" s="1"/>
  <c r="GD65" i="6" a="1"/>
  <c r="GD65" i="6" s="1"/>
  <c r="GC65" i="6" a="1"/>
  <c r="GC65" i="6" s="1"/>
  <c r="FP65" i="6" a="1"/>
  <c r="FP65" i="6" s="1"/>
  <c r="FO65" i="6" a="1"/>
  <c r="FO65" i="6" s="1"/>
  <c r="FN65" i="6" a="1"/>
  <c r="FN65" i="6" s="1"/>
  <c r="FM65" i="6" a="1"/>
  <c r="FM65" i="6" s="1"/>
  <c r="FL65" i="6" a="1"/>
  <c r="FL65" i="6" s="1"/>
  <c r="EY65" i="6" a="1"/>
  <c r="EY65" i="6" s="1"/>
  <c r="EX65" i="6" a="1"/>
  <c r="EX65" i="6" s="1"/>
  <c r="EW65" i="6" a="1"/>
  <c r="EW65" i="6" s="1"/>
  <c r="EV65" i="6" a="1"/>
  <c r="EV65" i="6" s="1"/>
  <c r="EU65" i="6" a="1"/>
  <c r="EU65" i="6" s="1"/>
  <c r="EH65" i="6" a="1"/>
  <c r="EH65" i="6" s="1"/>
  <c r="EG65" i="6" a="1"/>
  <c r="EG65" i="6" s="1"/>
  <c r="EF65" i="6" a="1"/>
  <c r="EF65" i="6" s="1"/>
  <c r="EE65" i="6" a="1"/>
  <c r="EE65" i="6" s="1"/>
  <c r="ED65" i="6" a="1"/>
  <c r="ED65" i="6" s="1"/>
  <c r="DQ65" i="6" a="1"/>
  <c r="DQ65" i="6" s="1"/>
  <c r="DP65" i="6" a="1"/>
  <c r="DP65" i="6" s="1"/>
  <c r="DO65" i="6" a="1"/>
  <c r="DO65" i="6" s="1"/>
  <c r="DN65" i="6" a="1"/>
  <c r="DN65" i="6" s="1"/>
  <c r="DM65" i="6" a="1"/>
  <c r="DM65" i="6" s="1"/>
  <c r="DD65" i="6" a="1"/>
  <c r="DD65" i="6" s="1"/>
  <c r="CU65" i="6" a="1"/>
  <c r="CU65" i="6" s="1"/>
  <c r="CL65" i="6" a="1"/>
  <c r="CL65" i="6" s="1"/>
  <c r="BX65" i="6" a="1"/>
  <c r="BX65" i="6" s="1"/>
  <c r="BW65" i="6" a="1"/>
  <c r="BW65" i="6" s="1"/>
  <c r="BV65" i="6" a="1"/>
  <c r="BV65" i="6" s="1"/>
  <c r="BU65" i="6" a="1"/>
  <c r="BU65" i="6" s="1"/>
  <c r="BT65" i="6" a="1"/>
  <c r="BT65" i="6" s="1"/>
  <c r="BS65" i="6" a="1"/>
  <c r="BS65" i="6" s="1"/>
  <c r="BA65" i="6" a="1"/>
  <c r="BA65" i="6" s="1"/>
  <c r="AZ65" i="6" a="1"/>
  <c r="AZ65" i="6" s="1"/>
  <c r="AY65" i="6" a="1"/>
  <c r="AY65" i="6" s="1"/>
  <c r="AX65" i="6" a="1"/>
  <c r="AX65" i="6" s="1"/>
  <c r="AW65" i="6" a="1"/>
  <c r="AW65" i="6" s="1"/>
  <c r="AV65" i="6" a="1"/>
  <c r="AV65" i="6" s="1"/>
  <c r="AU65" i="6" a="1"/>
  <c r="AU65" i="6" s="1"/>
  <c r="AT65" i="6" a="1"/>
  <c r="AT65" i="6" s="1"/>
  <c r="AS65" i="6" a="1"/>
  <c r="AS65" i="6" s="1"/>
  <c r="AR65" i="6" a="1"/>
  <c r="AR65" i="6" s="1"/>
  <c r="AH65" i="6" a="1"/>
  <c r="AH65" i="6" s="1"/>
  <c r="AG65" i="6" a="1"/>
  <c r="AG65" i="6" s="1"/>
  <c r="V65" i="6" a="1"/>
  <c r="V65" i="6" s="1"/>
  <c r="U65" i="6" a="1"/>
  <c r="U65" i="6" s="1"/>
  <c r="J65" i="6" a="1"/>
  <c r="J65" i="6" s="1"/>
  <c r="I65" i="6" a="1"/>
  <c r="I65" i="6" s="1"/>
  <c r="ADA64" i="6" a="1"/>
  <c r="ADA64" i="6" s="1"/>
  <c r="ACZ64" i="6" a="1"/>
  <c r="ACZ64" i="6" s="1"/>
  <c r="ACY64" i="6" a="1"/>
  <c r="ACY64" i="6" s="1"/>
  <c r="ACN64" i="6" a="1"/>
  <c r="ACN64" i="6" s="1"/>
  <c r="ACM64" i="6" a="1"/>
  <c r="ACM64" i="6" s="1"/>
  <c r="ABU64" i="6" a="1"/>
  <c r="ABU64" i="6" s="1"/>
  <c r="ABX64" i="6" a="1"/>
  <c r="ABX64" i="6" s="1"/>
  <c r="ABV64" i="6" a="1"/>
  <c r="ABV64" i="6" s="1"/>
  <c r="ABH64" i="6" a="1"/>
  <c r="ABH64" i="6" s="1"/>
  <c r="ABG64" i="6" a="1"/>
  <c r="ABG64" i="6" s="1"/>
  <c r="ABF64" i="6" a="1"/>
  <c r="ABF64" i="6" s="1"/>
  <c r="ABE64" i="6" a="1"/>
  <c r="ABE64" i="6" s="1"/>
  <c r="ABD64" i="6" a="1"/>
  <c r="ABD64" i="6" s="1"/>
  <c r="ZR64" i="6" a="1"/>
  <c r="ZR64" i="6" s="1"/>
  <c r="ZE64" i="6" a="1"/>
  <c r="ZE64" i="6" s="1"/>
  <c r="ZD64" i="6" a="1"/>
  <c r="ZD64" i="6" s="1"/>
  <c r="ZC64" i="6" a="1"/>
  <c r="ZC64" i="6" s="1"/>
  <c r="ZB64" i="6" a="1"/>
  <c r="ZB64" i="6" s="1"/>
  <c r="ZA64" i="6" a="1"/>
  <c r="ZA64" i="6" s="1"/>
  <c r="YP64" i="6" a="1"/>
  <c r="YP64" i="6" s="1"/>
  <c r="YO64" i="6" a="1"/>
  <c r="YO64" i="6" s="1"/>
  <c r="YE64" i="6" a="1"/>
  <c r="YE64" i="6" s="1"/>
  <c r="YD64" i="6" a="1"/>
  <c r="YD64" i="6" s="1"/>
  <c r="XT64" i="6" a="1"/>
  <c r="XT64" i="6" s="1"/>
  <c r="XS64" i="6" a="1"/>
  <c r="XS64" i="6" s="1"/>
  <c r="XI64" i="6" a="1"/>
  <c r="XI64" i="6" s="1"/>
  <c r="XH64" i="6" a="1"/>
  <c r="XH64" i="6" s="1"/>
  <c r="WX64" i="6" a="1"/>
  <c r="WX64" i="6" s="1"/>
  <c r="WW64" i="6" a="1"/>
  <c r="WW64" i="6" s="1"/>
  <c r="WM64" i="6" a="1"/>
  <c r="WM64" i="6" s="1"/>
  <c r="WL64" i="6" a="1"/>
  <c r="WL64" i="6" s="1"/>
  <c r="WC64" i="6" a="1"/>
  <c r="WC64" i="6" s="1"/>
  <c r="VQ64" i="6" a="1"/>
  <c r="VQ64" i="6" s="1"/>
  <c r="VP64" i="6" a="1"/>
  <c r="VP64" i="6" s="1"/>
  <c r="VO64" i="6" a="1"/>
  <c r="VO64" i="6" s="1"/>
  <c r="VN64" i="6" a="1"/>
  <c r="VN64" i="6" s="1"/>
  <c r="VA64" i="6" a="1"/>
  <c r="VA64" i="6" s="1"/>
  <c r="UZ64" i="6" a="1"/>
  <c r="UZ64" i="6" s="1"/>
  <c r="UY64" i="6" a="1"/>
  <c r="UY64" i="6" s="1"/>
  <c r="UX64" i="6" a="1"/>
  <c r="UX64" i="6" s="1"/>
  <c r="UW64" i="6" a="1"/>
  <c r="UW64" i="6" s="1"/>
  <c r="UM64" i="6" a="1"/>
  <c r="UM64" i="6" s="1"/>
  <c r="TZ64" i="6" a="1"/>
  <c r="TZ64" i="6" s="1"/>
  <c r="TY64" i="6" a="1"/>
  <c r="TY64" i="6" s="1"/>
  <c r="TX64" i="6" a="1"/>
  <c r="TX64" i="6" s="1"/>
  <c r="TW64" i="6" a="1"/>
  <c r="TW64" i="6" s="1"/>
  <c r="TV64" i="6" a="1"/>
  <c r="TV64" i="6" s="1"/>
  <c r="TH64" i="6" a="1"/>
  <c r="TH64" i="6" s="1"/>
  <c r="TG64" i="6" a="1"/>
  <c r="TG64" i="6" s="1"/>
  <c r="TF64" i="6" a="1"/>
  <c r="TF64" i="6" s="1"/>
  <c r="TE64" i="6" a="1"/>
  <c r="TE64" i="6" s="1"/>
  <c r="TD64" i="6" a="1"/>
  <c r="TD64" i="6" s="1"/>
  <c r="SP64" i="6" a="1"/>
  <c r="SP64" i="6" s="1"/>
  <c r="SO64" i="6" a="1"/>
  <c r="SO64" i="6" s="1"/>
  <c r="SN64" i="6" a="1"/>
  <c r="SN64" i="6" s="1"/>
  <c r="SM64" i="6" a="1"/>
  <c r="SM64" i="6" s="1"/>
  <c r="SL64" i="6" a="1"/>
  <c r="SL64" i="6" s="1"/>
  <c r="RX64" i="6" a="1"/>
  <c r="RX64" i="6" s="1"/>
  <c r="RW64" i="6" a="1"/>
  <c r="RW64" i="6" s="1"/>
  <c r="RV64" i="6" a="1"/>
  <c r="RV64" i="6" s="1"/>
  <c r="RU64" i="6" a="1"/>
  <c r="RU64" i="6" s="1"/>
  <c r="RT64" i="6" a="1"/>
  <c r="RT64" i="6" s="1"/>
  <c r="RF64" i="6" a="1"/>
  <c r="RF64" i="6" s="1"/>
  <c r="RE64" i="6" a="1"/>
  <c r="RE64" i="6" s="1"/>
  <c r="RD64" i="6" a="1"/>
  <c r="RD64" i="6" s="1"/>
  <c r="RC64" i="6" a="1"/>
  <c r="RC64" i="6" s="1"/>
  <c r="RB64" i="6" a="1"/>
  <c r="RB64" i="6" s="1"/>
  <c r="QN64" i="6" a="1"/>
  <c r="QN64" i="6" s="1"/>
  <c r="QM64" i="6" a="1"/>
  <c r="QM64" i="6" s="1"/>
  <c r="QL64" i="6" a="1"/>
  <c r="QL64" i="6" s="1"/>
  <c r="QK64" i="6" a="1"/>
  <c r="QK64" i="6" s="1"/>
  <c r="QJ64" i="6" a="1"/>
  <c r="QJ64" i="6" s="1"/>
  <c r="PV64" i="6" a="1"/>
  <c r="PV64" i="6" s="1"/>
  <c r="PU64" i="6" a="1"/>
  <c r="PU64" i="6" s="1"/>
  <c r="PT64" i="6" a="1"/>
  <c r="PT64" i="6" s="1"/>
  <c r="PS64" i="6" a="1"/>
  <c r="PS64" i="6" s="1"/>
  <c r="PR64" i="6" a="1"/>
  <c r="PR64" i="6" s="1"/>
  <c r="PD64" i="6" a="1"/>
  <c r="PD64" i="6" s="1"/>
  <c r="PC64" i="6" a="1"/>
  <c r="PC64" i="6" s="1"/>
  <c r="PB64" i="6" a="1"/>
  <c r="PB64" i="6" s="1"/>
  <c r="PA64" i="6" a="1"/>
  <c r="PA64" i="6" s="1"/>
  <c r="OZ64" i="6" a="1"/>
  <c r="OZ64" i="6" s="1"/>
  <c r="OL64" i="6" a="1"/>
  <c r="OL64" i="6" s="1"/>
  <c r="OK64" i="6" a="1"/>
  <c r="OK64" i="6" s="1"/>
  <c r="OJ64" i="6" a="1"/>
  <c r="OJ64" i="6" s="1"/>
  <c r="OI64" i="6" a="1"/>
  <c r="OI64" i="6" s="1"/>
  <c r="OH64" i="6" a="1"/>
  <c r="OH64" i="6" s="1"/>
  <c r="NT64" i="6" a="1"/>
  <c r="NT64" i="6" s="1"/>
  <c r="NS64" i="6" a="1"/>
  <c r="NS64" i="6" s="1"/>
  <c r="NR64" i="6" a="1"/>
  <c r="NR64" i="6" s="1"/>
  <c r="NQ64" i="6" a="1"/>
  <c r="NQ64" i="6" s="1"/>
  <c r="NP64" i="6" a="1"/>
  <c r="NP64" i="6" s="1"/>
  <c r="NC64" i="6" a="1"/>
  <c r="NC64" i="6" s="1"/>
  <c r="NB64" i="6" a="1"/>
  <c r="NB64" i="6" s="1"/>
  <c r="NA64" i="6" a="1"/>
  <c r="NA64" i="6" s="1"/>
  <c r="MZ64" i="6" a="1"/>
  <c r="MZ64" i="6" s="1"/>
  <c r="MY64" i="6" a="1"/>
  <c r="MY64" i="6" s="1"/>
  <c r="MK64" i="6" a="1"/>
  <c r="MK64" i="6" s="1"/>
  <c r="MJ64" i="6" a="1"/>
  <c r="MJ64" i="6" s="1"/>
  <c r="MI64" i="6" a="1"/>
  <c r="MI64" i="6" s="1"/>
  <c r="MH64" i="6" a="1"/>
  <c r="MH64" i="6" s="1"/>
  <c r="MG64" i="6" a="1"/>
  <c r="MG64" i="6" s="1"/>
  <c r="LS64" i="6" a="1"/>
  <c r="LS64" i="6" s="1"/>
  <c r="LR64" i="6" a="1"/>
  <c r="LR64" i="6" s="1"/>
  <c r="LQ64" i="6" a="1"/>
  <c r="LQ64" i="6" s="1"/>
  <c r="LP64" i="6" a="1"/>
  <c r="LP64" i="6" s="1"/>
  <c r="LO64" i="6" a="1"/>
  <c r="LO64" i="6" s="1"/>
  <c r="LA64" i="6" a="1"/>
  <c r="LA64" i="6" s="1"/>
  <c r="KZ64" i="6" a="1"/>
  <c r="KZ64" i="6" s="1"/>
  <c r="KY64" i="6" a="1"/>
  <c r="KY64" i="6" s="1"/>
  <c r="KX64" i="6" a="1"/>
  <c r="KX64" i="6" s="1"/>
  <c r="KW64" i="6" a="1"/>
  <c r="KW64" i="6" s="1"/>
  <c r="KI64" i="6" a="1"/>
  <c r="KI64" i="6" s="1"/>
  <c r="KH64" i="6" a="1"/>
  <c r="KH64" i="6" s="1"/>
  <c r="KG64" i="6" a="1"/>
  <c r="KG64" i="6" s="1"/>
  <c r="KF64" i="6" a="1"/>
  <c r="KF64" i="6" s="1"/>
  <c r="KE64" i="6" a="1"/>
  <c r="KE64" i="6" s="1"/>
  <c r="JQ64" i="6" a="1"/>
  <c r="JQ64" i="6" s="1"/>
  <c r="JP64" i="6" a="1"/>
  <c r="JP64" i="6" s="1"/>
  <c r="JO64" i="6" a="1"/>
  <c r="JO64" i="6" s="1"/>
  <c r="JN64" i="6" a="1"/>
  <c r="JN64" i="6" s="1"/>
  <c r="JM64" i="6" a="1"/>
  <c r="JM64" i="6" s="1"/>
  <c r="IY64" i="6" a="1"/>
  <c r="IY64" i="6" s="1"/>
  <c r="IX64" i="6" a="1"/>
  <c r="IX64" i="6" s="1"/>
  <c r="IW64" i="6" a="1"/>
  <c r="IW64" i="6" s="1"/>
  <c r="IV64" i="6" a="1"/>
  <c r="IV64" i="6" s="1"/>
  <c r="IU64" i="6" a="1"/>
  <c r="IU64" i="6" s="1"/>
  <c r="IG64" i="6" a="1"/>
  <c r="IG64" i="6" s="1"/>
  <c r="IF64" i="6" a="1"/>
  <c r="IF64" i="6" s="1"/>
  <c r="IE64" i="6" a="1"/>
  <c r="IE64" i="6" s="1"/>
  <c r="ID64" i="6" a="1"/>
  <c r="ID64" i="6" s="1"/>
  <c r="IC64" i="6" a="1"/>
  <c r="IC64" i="6" s="1"/>
  <c r="HO64" i="6" a="1"/>
  <c r="HO64" i="6" s="1"/>
  <c r="HN64" i="6" a="1"/>
  <c r="HN64" i="6" s="1"/>
  <c r="HM64" i="6" a="1"/>
  <c r="HM64" i="6" s="1"/>
  <c r="HL64" i="6" a="1"/>
  <c r="HL64" i="6" s="1"/>
  <c r="HK64" i="6" a="1"/>
  <c r="HK64" i="6" s="1"/>
  <c r="GX64" i="6" a="1"/>
  <c r="GX64" i="6" s="1"/>
  <c r="GW64" i="6" a="1"/>
  <c r="GW64" i="6" s="1"/>
  <c r="GV64" i="6" a="1"/>
  <c r="GV64" i="6" s="1"/>
  <c r="GU64" i="6" a="1"/>
  <c r="GU64" i="6" s="1"/>
  <c r="GT64" i="6" a="1"/>
  <c r="GT64" i="6" s="1"/>
  <c r="GG64" i="6" a="1"/>
  <c r="GG64" i="6" s="1"/>
  <c r="GF64" i="6" a="1"/>
  <c r="GF64" i="6" s="1"/>
  <c r="GE64" i="6" a="1"/>
  <c r="GE64" i="6" s="1"/>
  <c r="GD64" i="6" a="1"/>
  <c r="GD64" i="6" s="1"/>
  <c r="GC64" i="6" a="1"/>
  <c r="GC64" i="6" s="1"/>
  <c r="FP64" i="6" a="1"/>
  <c r="FP64" i="6" s="1"/>
  <c r="FO64" i="6" a="1"/>
  <c r="FO64" i="6" s="1"/>
  <c r="FN64" i="6" a="1"/>
  <c r="FN64" i="6" s="1"/>
  <c r="FM64" i="6" a="1"/>
  <c r="FM64" i="6" s="1"/>
  <c r="FL64" i="6" a="1"/>
  <c r="FL64" i="6" s="1"/>
  <c r="EY64" i="6" a="1"/>
  <c r="EY64" i="6" s="1"/>
  <c r="EX64" i="6" a="1"/>
  <c r="EX64" i="6" s="1"/>
  <c r="EW64" i="6" a="1"/>
  <c r="EW64" i="6" s="1"/>
  <c r="EV64" i="6" a="1"/>
  <c r="EV64" i="6" s="1"/>
  <c r="EU64" i="6" a="1"/>
  <c r="EU64" i="6" s="1"/>
  <c r="EH64" i="6" a="1"/>
  <c r="EH64" i="6" s="1"/>
  <c r="EG64" i="6" a="1"/>
  <c r="EG64" i="6" s="1"/>
  <c r="EF64" i="6" a="1"/>
  <c r="EF64" i="6" s="1"/>
  <c r="EE64" i="6" a="1"/>
  <c r="EE64" i="6" s="1"/>
  <c r="ED64" i="6" a="1"/>
  <c r="ED64" i="6" s="1"/>
  <c r="DQ64" i="6" a="1"/>
  <c r="DQ64" i="6" s="1"/>
  <c r="DP64" i="6" a="1"/>
  <c r="DP64" i="6" s="1"/>
  <c r="DO64" i="6" a="1"/>
  <c r="DO64" i="6" s="1"/>
  <c r="DN64" i="6" a="1"/>
  <c r="DN64" i="6" s="1"/>
  <c r="DM64" i="6" a="1"/>
  <c r="DM64" i="6" s="1"/>
  <c r="DD64" i="6" a="1"/>
  <c r="DD64" i="6" s="1"/>
  <c r="CU64" i="6" a="1"/>
  <c r="CU64" i="6" s="1"/>
  <c r="CL64" i="6" a="1"/>
  <c r="CL64" i="6" s="1"/>
  <c r="BX64" i="6" a="1"/>
  <c r="BX64" i="6" s="1"/>
  <c r="BW64" i="6" a="1"/>
  <c r="BW64" i="6" s="1"/>
  <c r="BV64" i="6" a="1"/>
  <c r="BV64" i="6" s="1"/>
  <c r="BU64" i="6" a="1"/>
  <c r="BU64" i="6" s="1"/>
  <c r="BT64" i="6" a="1"/>
  <c r="BT64" i="6" s="1"/>
  <c r="BS64" i="6" a="1"/>
  <c r="BS64" i="6" s="1"/>
  <c r="BA64" i="6" a="1"/>
  <c r="BA64" i="6" s="1"/>
  <c r="AZ64" i="6" a="1"/>
  <c r="AZ64" i="6" s="1"/>
  <c r="AY64" i="6" a="1"/>
  <c r="AY64" i="6" s="1"/>
  <c r="AX64" i="6" a="1"/>
  <c r="AX64" i="6" s="1"/>
  <c r="AW64" i="6" a="1"/>
  <c r="AW64" i="6" s="1"/>
  <c r="AV64" i="6" a="1"/>
  <c r="AV64" i="6" s="1"/>
  <c r="AU64" i="6" a="1"/>
  <c r="AU64" i="6" s="1"/>
  <c r="AT64" i="6" a="1"/>
  <c r="AT64" i="6" s="1"/>
  <c r="AS64" i="6" a="1"/>
  <c r="AS64" i="6" s="1"/>
  <c r="AR64" i="6" a="1"/>
  <c r="AR64" i="6" s="1"/>
  <c r="AH64" i="6" a="1"/>
  <c r="AH64" i="6" s="1"/>
  <c r="AG64" i="6" a="1"/>
  <c r="AG64" i="6" s="1"/>
  <c r="V64" i="6" a="1"/>
  <c r="V64" i="6" s="1"/>
  <c r="U64" i="6" a="1"/>
  <c r="U64" i="6" s="1"/>
  <c r="J64" i="6" a="1"/>
  <c r="J64" i="6" s="1"/>
  <c r="I64" i="6" a="1"/>
  <c r="I64" i="6" s="1"/>
  <c r="ADA63" i="6" a="1"/>
  <c r="ADA63" i="6" s="1"/>
  <c r="ACZ63" i="6" a="1"/>
  <c r="ACZ63" i="6" s="1"/>
  <c r="ACY63" i="6" a="1"/>
  <c r="ACY63" i="6" s="1"/>
  <c r="ACN63" i="6" a="1"/>
  <c r="ACN63" i="6" s="1"/>
  <c r="ACM63" i="6" a="1"/>
  <c r="ACM63" i="6" s="1"/>
  <c r="ABU63" i="6" a="1"/>
  <c r="ABU63" i="6" s="1"/>
  <c r="ABX63" i="6" a="1"/>
  <c r="ABX63" i="6" s="1"/>
  <c r="ABV63" i="6" a="1"/>
  <c r="ABV63" i="6" s="1"/>
  <c r="ABH63" i="6" a="1"/>
  <c r="ABH63" i="6" s="1"/>
  <c r="ABG63" i="6" a="1"/>
  <c r="ABG63" i="6" s="1"/>
  <c r="ABF63" i="6" a="1"/>
  <c r="ABF63" i="6" s="1"/>
  <c r="ABE63" i="6" a="1"/>
  <c r="ABE63" i="6" s="1"/>
  <c r="ABD63" i="6" a="1"/>
  <c r="ABD63" i="6" s="1"/>
  <c r="ZR63" i="6" a="1"/>
  <c r="ZR63" i="6" s="1"/>
  <c r="ZE63" i="6" a="1"/>
  <c r="ZE63" i="6" s="1"/>
  <c r="ZD63" i="6" a="1"/>
  <c r="ZD63" i="6" s="1"/>
  <c r="ZC63" i="6" a="1"/>
  <c r="ZC63" i="6" s="1"/>
  <c r="ZB63" i="6" a="1"/>
  <c r="ZB63" i="6" s="1"/>
  <c r="ZA63" i="6" a="1"/>
  <c r="ZA63" i="6" s="1"/>
  <c r="YP63" i="6" a="1"/>
  <c r="YP63" i="6" s="1"/>
  <c r="YO63" i="6" a="1"/>
  <c r="YO63" i="6" s="1"/>
  <c r="YE63" i="6" a="1"/>
  <c r="YE63" i="6" s="1"/>
  <c r="YD63" i="6" a="1"/>
  <c r="YD63" i="6" s="1"/>
  <c r="XT63" i="6" a="1"/>
  <c r="XT63" i="6" s="1"/>
  <c r="XS63" i="6" a="1"/>
  <c r="XS63" i="6" s="1"/>
  <c r="XI63" i="6" a="1"/>
  <c r="XI63" i="6" s="1"/>
  <c r="XH63" i="6" a="1"/>
  <c r="XH63" i="6" s="1"/>
  <c r="WX63" i="6" a="1"/>
  <c r="WX63" i="6" s="1"/>
  <c r="WW63" i="6" a="1"/>
  <c r="WW63" i="6" s="1"/>
  <c r="WM63" i="6" a="1"/>
  <c r="WM63" i="6" s="1"/>
  <c r="WL63" i="6" a="1"/>
  <c r="WL63" i="6" s="1"/>
  <c r="WC63" i="6" a="1"/>
  <c r="WC63" i="6" s="1"/>
  <c r="VQ63" i="6" a="1"/>
  <c r="VQ63" i="6" s="1"/>
  <c r="VP63" i="6" a="1"/>
  <c r="VP63" i="6" s="1"/>
  <c r="VO63" i="6" a="1"/>
  <c r="VO63" i="6" s="1"/>
  <c r="VN63" i="6" a="1"/>
  <c r="VN63" i="6" s="1"/>
  <c r="VA63" i="6" a="1"/>
  <c r="VA63" i="6" s="1"/>
  <c r="UZ63" i="6" a="1"/>
  <c r="UZ63" i="6" s="1"/>
  <c r="UY63" i="6" a="1"/>
  <c r="UY63" i="6" s="1"/>
  <c r="UX63" i="6" a="1"/>
  <c r="UX63" i="6" s="1"/>
  <c r="UW63" i="6" a="1"/>
  <c r="UW63" i="6" s="1"/>
  <c r="UM63" i="6" a="1"/>
  <c r="UM63" i="6" s="1"/>
  <c r="TZ63" i="6" a="1"/>
  <c r="TZ63" i="6" s="1"/>
  <c r="TY63" i="6" a="1"/>
  <c r="TY63" i="6" s="1"/>
  <c r="TX63" i="6" a="1"/>
  <c r="TX63" i="6" s="1"/>
  <c r="TW63" i="6" a="1"/>
  <c r="TW63" i="6" s="1"/>
  <c r="TV63" i="6" a="1"/>
  <c r="TV63" i="6" s="1"/>
  <c r="TH63" i="6" a="1"/>
  <c r="TH63" i="6" s="1"/>
  <c r="TG63" i="6" a="1"/>
  <c r="TG63" i="6" s="1"/>
  <c r="TF63" i="6" a="1"/>
  <c r="TF63" i="6" s="1"/>
  <c r="TE63" i="6" a="1"/>
  <c r="TE63" i="6" s="1"/>
  <c r="TD63" i="6" a="1"/>
  <c r="TD63" i="6" s="1"/>
  <c r="SP63" i="6" a="1"/>
  <c r="SP63" i="6" s="1"/>
  <c r="SO63" i="6" a="1"/>
  <c r="SO63" i="6" s="1"/>
  <c r="SN63" i="6" a="1"/>
  <c r="SN63" i="6" s="1"/>
  <c r="SM63" i="6" a="1"/>
  <c r="SM63" i="6" s="1"/>
  <c r="SL63" i="6" a="1"/>
  <c r="SL63" i="6" s="1"/>
  <c r="RX63" i="6" a="1"/>
  <c r="RX63" i="6" s="1"/>
  <c r="RW63" i="6" a="1"/>
  <c r="RW63" i="6" s="1"/>
  <c r="RV63" i="6" a="1"/>
  <c r="RV63" i="6" s="1"/>
  <c r="RU63" i="6" a="1"/>
  <c r="RU63" i="6" s="1"/>
  <c r="RT63" i="6" a="1"/>
  <c r="RT63" i="6" s="1"/>
  <c r="RF63" i="6" a="1"/>
  <c r="RF63" i="6" s="1"/>
  <c r="RE63" i="6" a="1"/>
  <c r="RE63" i="6" s="1"/>
  <c r="RD63" i="6" a="1"/>
  <c r="RD63" i="6" s="1"/>
  <c r="RC63" i="6" a="1"/>
  <c r="RC63" i="6" s="1"/>
  <c r="RB63" i="6" a="1"/>
  <c r="RB63" i="6" s="1"/>
  <c r="QN63" i="6" a="1"/>
  <c r="QN63" i="6" s="1"/>
  <c r="QM63" i="6" a="1"/>
  <c r="QM63" i="6" s="1"/>
  <c r="QL63" i="6" a="1"/>
  <c r="QL63" i="6" s="1"/>
  <c r="QK63" i="6" a="1"/>
  <c r="QK63" i="6" s="1"/>
  <c r="QJ63" i="6" a="1"/>
  <c r="QJ63" i="6" s="1"/>
  <c r="PV63" i="6" a="1"/>
  <c r="PV63" i="6" s="1"/>
  <c r="PU63" i="6" a="1"/>
  <c r="PU63" i="6" s="1"/>
  <c r="PT63" i="6" a="1"/>
  <c r="PT63" i="6" s="1"/>
  <c r="PS63" i="6" a="1"/>
  <c r="PS63" i="6" s="1"/>
  <c r="PR63" i="6" a="1"/>
  <c r="PR63" i="6" s="1"/>
  <c r="PD63" i="6" a="1"/>
  <c r="PD63" i="6" s="1"/>
  <c r="PC63" i="6" a="1"/>
  <c r="PC63" i="6" s="1"/>
  <c r="PB63" i="6" a="1"/>
  <c r="PB63" i="6" s="1"/>
  <c r="PA63" i="6" a="1"/>
  <c r="PA63" i="6" s="1"/>
  <c r="OZ63" i="6" a="1"/>
  <c r="OZ63" i="6" s="1"/>
  <c r="OL63" i="6" a="1"/>
  <c r="OL63" i="6" s="1"/>
  <c r="OK63" i="6" a="1"/>
  <c r="OK63" i="6" s="1"/>
  <c r="OJ63" i="6" a="1"/>
  <c r="OJ63" i="6" s="1"/>
  <c r="OI63" i="6" a="1"/>
  <c r="OI63" i="6" s="1"/>
  <c r="OH63" i="6" a="1"/>
  <c r="OH63" i="6" s="1"/>
  <c r="NT63" i="6" a="1"/>
  <c r="NT63" i="6" s="1"/>
  <c r="NS63" i="6" a="1"/>
  <c r="NS63" i="6" s="1"/>
  <c r="NR63" i="6" a="1"/>
  <c r="NR63" i="6" s="1"/>
  <c r="NQ63" i="6" a="1"/>
  <c r="NQ63" i="6" s="1"/>
  <c r="NP63" i="6" a="1"/>
  <c r="NP63" i="6" s="1"/>
  <c r="NC63" i="6" a="1"/>
  <c r="NC63" i="6" s="1"/>
  <c r="NB63" i="6" a="1"/>
  <c r="NB63" i="6" s="1"/>
  <c r="NA63" i="6" a="1"/>
  <c r="NA63" i="6" s="1"/>
  <c r="MZ63" i="6" a="1"/>
  <c r="MZ63" i="6" s="1"/>
  <c r="MY63" i="6" a="1"/>
  <c r="MY63" i="6" s="1"/>
  <c r="MK63" i="6" a="1"/>
  <c r="MK63" i="6" s="1"/>
  <c r="MJ63" i="6" a="1"/>
  <c r="MJ63" i="6" s="1"/>
  <c r="MI63" i="6" a="1"/>
  <c r="MI63" i="6" s="1"/>
  <c r="MH63" i="6" a="1"/>
  <c r="MH63" i="6" s="1"/>
  <c r="MG63" i="6" a="1"/>
  <c r="MG63" i="6" s="1"/>
  <c r="LS63" i="6" a="1"/>
  <c r="LS63" i="6" s="1"/>
  <c r="LR63" i="6" a="1"/>
  <c r="LR63" i="6" s="1"/>
  <c r="LQ63" i="6" a="1"/>
  <c r="LQ63" i="6" s="1"/>
  <c r="LP63" i="6" a="1"/>
  <c r="LP63" i="6" s="1"/>
  <c r="LO63" i="6" a="1"/>
  <c r="LO63" i="6" s="1"/>
  <c r="LA63" i="6" a="1"/>
  <c r="LA63" i="6" s="1"/>
  <c r="KZ63" i="6" a="1"/>
  <c r="KZ63" i="6" s="1"/>
  <c r="KY63" i="6" a="1"/>
  <c r="KY63" i="6" s="1"/>
  <c r="KX63" i="6" a="1"/>
  <c r="KX63" i="6" s="1"/>
  <c r="KW63" i="6" a="1"/>
  <c r="KW63" i="6" s="1"/>
  <c r="KI63" i="6" a="1"/>
  <c r="KI63" i="6" s="1"/>
  <c r="KH63" i="6" a="1"/>
  <c r="KH63" i="6" s="1"/>
  <c r="KG63" i="6" a="1"/>
  <c r="KG63" i="6" s="1"/>
  <c r="KF63" i="6" a="1"/>
  <c r="KF63" i="6" s="1"/>
  <c r="KE63" i="6" a="1"/>
  <c r="KE63" i="6" s="1"/>
  <c r="JQ63" i="6" a="1"/>
  <c r="JQ63" i="6" s="1"/>
  <c r="JP63" i="6" a="1"/>
  <c r="JP63" i="6" s="1"/>
  <c r="JO63" i="6" a="1"/>
  <c r="JO63" i="6" s="1"/>
  <c r="JN63" i="6" a="1"/>
  <c r="JN63" i="6" s="1"/>
  <c r="JM63" i="6" a="1"/>
  <c r="JM63" i="6" s="1"/>
  <c r="IY63" i="6" a="1"/>
  <c r="IY63" i="6" s="1"/>
  <c r="IX63" i="6" a="1"/>
  <c r="IX63" i="6" s="1"/>
  <c r="IW63" i="6" a="1"/>
  <c r="IW63" i="6" s="1"/>
  <c r="IV63" i="6" a="1"/>
  <c r="IV63" i="6" s="1"/>
  <c r="IU63" i="6" a="1"/>
  <c r="IU63" i="6" s="1"/>
  <c r="IG63" i="6" a="1"/>
  <c r="IG63" i="6" s="1"/>
  <c r="IF63" i="6" a="1"/>
  <c r="IF63" i="6" s="1"/>
  <c r="IE63" i="6" a="1"/>
  <c r="IE63" i="6" s="1"/>
  <c r="ID63" i="6" a="1"/>
  <c r="ID63" i="6" s="1"/>
  <c r="IC63" i="6" a="1"/>
  <c r="IC63" i="6" s="1"/>
  <c r="HO63" i="6" a="1"/>
  <c r="HO63" i="6" s="1"/>
  <c r="HN63" i="6" a="1"/>
  <c r="HN63" i="6" s="1"/>
  <c r="HM63" i="6" a="1"/>
  <c r="HM63" i="6" s="1"/>
  <c r="HL63" i="6" a="1"/>
  <c r="HL63" i="6" s="1"/>
  <c r="HK63" i="6" a="1"/>
  <c r="HK63" i="6" s="1"/>
  <c r="GX63" i="6" a="1"/>
  <c r="GX63" i="6" s="1"/>
  <c r="GW63" i="6" a="1"/>
  <c r="GW63" i="6" s="1"/>
  <c r="GV63" i="6" a="1"/>
  <c r="GV63" i="6" s="1"/>
  <c r="GU63" i="6" a="1"/>
  <c r="GU63" i="6" s="1"/>
  <c r="GT63" i="6" a="1"/>
  <c r="GT63" i="6" s="1"/>
  <c r="GG63" i="6" a="1"/>
  <c r="GG63" i="6" s="1"/>
  <c r="GF63" i="6" a="1"/>
  <c r="GF63" i="6" s="1"/>
  <c r="GE63" i="6" a="1"/>
  <c r="GE63" i="6" s="1"/>
  <c r="GD63" i="6" a="1"/>
  <c r="GD63" i="6" s="1"/>
  <c r="GC63" i="6" a="1"/>
  <c r="GC63" i="6" s="1"/>
  <c r="FP63" i="6" a="1"/>
  <c r="FP63" i="6" s="1"/>
  <c r="FO63" i="6" a="1"/>
  <c r="FO63" i="6" s="1"/>
  <c r="FN63" i="6" a="1"/>
  <c r="FN63" i="6" s="1"/>
  <c r="FM63" i="6" a="1"/>
  <c r="FM63" i="6" s="1"/>
  <c r="FL63" i="6" a="1"/>
  <c r="FL63" i="6" s="1"/>
  <c r="EY63" i="6" a="1"/>
  <c r="EY63" i="6" s="1"/>
  <c r="EX63" i="6" a="1"/>
  <c r="EX63" i="6" s="1"/>
  <c r="EW63" i="6" a="1"/>
  <c r="EW63" i="6" s="1"/>
  <c r="EV63" i="6" a="1"/>
  <c r="EV63" i="6" s="1"/>
  <c r="EU63" i="6" a="1"/>
  <c r="EU63" i="6" s="1"/>
  <c r="EH63" i="6" a="1"/>
  <c r="EH63" i="6" s="1"/>
  <c r="EG63" i="6" a="1"/>
  <c r="EG63" i="6" s="1"/>
  <c r="EF63" i="6" a="1"/>
  <c r="EF63" i="6" s="1"/>
  <c r="EE63" i="6" a="1"/>
  <c r="EE63" i="6" s="1"/>
  <c r="ED63" i="6" a="1"/>
  <c r="ED63" i="6" s="1"/>
  <c r="DQ63" i="6" a="1"/>
  <c r="DQ63" i="6" s="1"/>
  <c r="DP63" i="6" a="1"/>
  <c r="DP63" i="6" s="1"/>
  <c r="DO63" i="6" a="1"/>
  <c r="DO63" i="6" s="1"/>
  <c r="DN63" i="6" a="1"/>
  <c r="DN63" i="6" s="1"/>
  <c r="DM63" i="6" a="1"/>
  <c r="DM63" i="6" s="1"/>
  <c r="DD63" i="6" a="1"/>
  <c r="DD63" i="6" s="1"/>
  <c r="CU63" i="6" a="1"/>
  <c r="CU63" i="6" s="1"/>
  <c r="CL63" i="6" a="1"/>
  <c r="CL63" i="6" s="1"/>
  <c r="BX63" i="6" a="1"/>
  <c r="BX63" i="6" s="1"/>
  <c r="BW63" i="6" a="1"/>
  <c r="BW63" i="6" s="1"/>
  <c r="BV63" i="6" a="1"/>
  <c r="BV63" i="6" s="1"/>
  <c r="BU63" i="6" a="1"/>
  <c r="BU63" i="6" s="1"/>
  <c r="BT63" i="6" a="1"/>
  <c r="BT63" i="6" s="1"/>
  <c r="BS63" i="6" a="1"/>
  <c r="BS63" i="6" s="1"/>
  <c r="BA63" i="6" a="1"/>
  <c r="BA63" i="6" s="1"/>
  <c r="AZ63" i="6" a="1"/>
  <c r="AZ63" i="6" s="1"/>
  <c r="AY63" i="6" a="1"/>
  <c r="AY63" i="6" s="1"/>
  <c r="AX63" i="6" a="1"/>
  <c r="AX63" i="6" s="1"/>
  <c r="AW63" i="6" a="1"/>
  <c r="AW63" i="6" s="1"/>
  <c r="AV63" i="6" a="1"/>
  <c r="AV63" i="6" s="1"/>
  <c r="AU63" i="6" a="1"/>
  <c r="AU63" i="6" s="1"/>
  <c r="AT63" i="6" a="1"/>
  <c r="AT63" i="6" s="1"/>
  <c r="AS63" i="6" a="1"/>
  <c r="AS63" i="6" s="1"/>
  <c r="AR63" i="6" a="1"/>
  <c r="AR63" i="6" s="1"/>
  <c r="AH63" i="6" a="1"/>
  <c r="AH63" i="6" s="1"/>
  <c r="AG63" i="6" a="1"/>
  <c r="AG63" i="6" s="1"/>
  <c r="V63" i="6" a="1"/>
  <c r="V63" i="6" s="1"/>
  <c r="U63" i="6" a="1"/>
  <c r="U63" i="6" s="1"/>
  <c r="J63" i="6" a="1"/>
  <c r="J63" i="6" s="1"/>
  <c r="I63" i="6" a="1"/>
  <c r="I63" i="6" s="1"/>
  <c r="ADA62" i="6" a="1"/>
  <c r="ADA62" i="6" s="1"/>
  <c r="ACZ62" i="6" a="1"/>
  <c r="ACZ62" i="6" s="1"/>
  <c r="ACY62" i="6" a="1"/>
  <c r="ACY62" i="6" s="1"/>
  <c r="ACN62" i="6" a="1"/>
  <c r="ACN62" i="6" s="1"/>
  <c r="ACM62" i="6" a="1"/>
  <c r="ACM62" i="6" s="1"/>
  <c r="ABU62" i="6" a="1"/>
  <c r="ABU62" i="6" s="1"/>
  <c r="ABX62" i="6" a="1"/>
  <c r="ABX62" i="6" s="1"/>
  <c r="ABV62" i="6" a="1"/>
  <c r="ABV62" i="6" s="1"/>
  <c r="ABH62" i="6" a="1"/>
  <c r="ABH62" i="6" s="1"/>
  <c r="ABG62" i="6" a="1"/>
  <c r="ABG62" i="6" s="1"/>
  <c r="ABF62" i="6" a="1"/>
  <c r="ABF62" i="6" s="1"/>
  <c r="ABE62" i="6" a="1"/>
  <c r="ABE62" i="6" s="1"/>
  <c r="ABD62" i="6" a="1"/>
  <c r="ABD62" i="6" s="1"/>
  <c r="ZR62" i="6" a="1"/>
  <c r="ZR62" i="6" s="1"/>
  <c r="ZE62" i="6" a="1"/>
  <c r="ZE62" i="6" s="1"/>
  <c r="ZD62" i="6" a="1"/>
  <c r="ZD62" i="6" s="1"/>
  <c r="ZC62" i="6" a="1"/>
  <c r="ZC62" i="6" s="1"/>
  <c r="ZB62" i="6" a="1"/>
  <c r="ZB62" i="6" s="1"/>
  <c r="ZA62" i="6" a="1"/>
  <c r="ZA62" i="6" s="1"/>
  <c r="YP62" i="6" a="1"/>
  <c r="YP62" i="6" s="1"/>
  <c r="YO62" i="6" a="1"/>
  <c r="YO62" i="6" s="1"/>
  <c r="YE62" i="6" a="1"/>
  <c r="YE62" i="6" s="1"/>
  <c r="YD62" i="6" a="1"/>
  <c r="YD62" i="6" s="1"/>
  <c r="XT62" i="6" a="1"/>
  <c r="XT62" i="6" s="1"/>
  <c r="XS62" i="6" a="1"/>
  <c r="XS62" i="6" s="1"/>
  <c r="XI62" i="6" a="1"/>
  <c r="XI62" i="6" s="1"/>
  <c r="XH62" i="6" a="1"/>
  <c r="XH62" i="6" s="1"/>
  <c r="WX62" i="6" a="1"/>
  <c r="WX62" i="6" s="1"/>
  <c r="WW62" i="6" a="1"/>
  <c r="WW62" i="6" s="1"/>
  <c r="WM62" i="6" a="1"/>
  <c r="WM62" i="6" s="1"/>
  <c r="WL62" i="6" a="1"/>
  <c r="WL62" i="6" s="1"/>
  <c r="WC62" i="6" a="1"/>
  <c r="WC62" i="6" s="1"/>
  <c r="VQ62" i="6" a="1"/>
  <c r="VQ62" i="6" s="1"/>
  <c r="VP62" i="6" a="1"/>
  <c r="VP62" i="6" s="1"/>
  <c r="VO62" i="6" a="1"/>
  <c r="VO62" i="6" s="1"/>
  <c r="VN62" i="6" a="1"/>
  <c r="VN62" i="6" s="1"/>
  <c r="VA62" i="6" a="1"/>
  <c r="VA62" i="6" s="1"/>
  <c r="UZ62" i="6" a="1"/>
  <c r="UZ62" i="6" s="1"/>
  <c r="UY62" i="6" a="1"/>
  <c r="UY62" i="6" s="1"/>
  <c r="UX62" i="6" a="1"/>
  <c r="UX62" i="6" s="1"/>
  <c r="UW62" i="6" a="1"/>
  <c r="UW62" i="6" s="1"/>
  <c r="UM62" i="6" a="1"/>
  <c r="UM62" i="6" s="1"/>
  <c r="TZ62" i="6" a="1"/>
  <c r="TZ62" i="6" s="1"/>
  <c r="TY62" i="6" a="1"/>
  <c r="TY62" i="6" s="1"/>
  <c r="TX62" i="6" a="1"/>
  <c r="TX62" i="6" s="1"/>
  <c r="TW62" i="6" a="1"/>
  <c r="TW62" i="6" s="1"/>
  <c r="TV62" i="6" a="1"/>
  <c r="TV62" i="6" s="1"/>
  <c r="TH62" i="6" a="1"/>
  <c r="TH62" i="6" s="1"/>
  <c r="TG62" i="6" a="1"/>
  <c r="TG62" i="6" s="1"/>
  <c r="TF62" i="6" a="1"/>
  <c r="TF62" i="6" s="1"/>
  <c r="TE62" i="6" a="1"/>
  <c r="TE62" i="6" s="1"/>
  <c r="TD62" i="6" a="1"/>
  <c r="TD62" i="6" s="1"/>
  <c r="SP62" i="6" a="1"/>
  <c r="SP62" i="6" s="1"/>
  <c r="SO62" i="6" a="1"/>
  <c r="SO62" i="6" s="1"/>
  <c r="SN62" i="6" a="1"/>
  <c r="SN62" i="6" s="1"/>
  <c r="SM62" i="6" a="1"/>
  <c r="SM62" i="6" s="1"/>
  <c r="SL62" i="6" a="1"/>
  <c r="SL62" i="6" s="1"/>
  <c r="RX62" i="6" a="1"/>
  <c r="RX62" i="6" s="1"/>
  <c r="RW62" i="6" a="1"/>
  <c r="RW62" i="6" s="1"/>
  <c r="RV62" i="6" a="1"/>
  <c r="RV62" i="6" s="1"/>
  <c r="RU62" i="6" a="1"/>
  <c r="RU62" i="6" s="1"/>
  <c r="RT62" i="6" a="1"/>
  <c r="RT62" i="6" s="1"/>
  <c r="RF62" i="6" a="1"/>
  <c r="RF62" i="6" s="1"/>
  <c r="RE62" i="6" a="1"/>
  <c r="RE62" i="6" s="1"/>
  <c r="RD62" i="6" a="1"/>
  <c r="RD62" i="6" s="1"/>
  <c r="RC62" i="6" a="1"/>
  <c r="RC62" i="6" s="1"/>
  <c r="RB62" i="6" a="1"/>
  <c r="RB62" i="6" s="1"/>
  <c r="QN62" i="6" a="1"/>
  <c r="QN62" i="6" s="1"/>
  <c r="QM62" i="6" a="1"/>
  <c r="QM62" i="6" s="1"/>
  <c r="QL62" i="6" a="1"/>
  <c r="QL62" i="6" s="1"/>
  <c r="QK62" i="6" a="1"/>
  <c r="QK62" i="6" s="1"/>
  <c r="QJ62" i="6" a="1"/>
  <c r="QJ62" i="6" s="1"/>
  <c r="PV62" i="6" a="1"/>
  <c r="PV62" i="6" s="1"/>
  <c r="PU62" i="6" a="1"/>
  <c r="PU62" i="6" s="1"/>
  <c r="PT62" i="6" a="1"/>
  <c r="PT62" i="6" s="1"/>
  <c r="PS62" i="6" a="1"/>
  <c r="PS62" i="6" s="1"/>
  <c r="PR62" i="6" a="1"/>
  <c r="PR62" i="6" s="1"/>
  <c r="PD62" i="6" a="1"/>
  <c r="PD62" i="6" s="1"/>
  <c r="PC62" i="6" a="1"/>
  <c r="PC62" i="6" s="1"/>
  <c r="PB62" i="6" a="1"/>
  <c r="PB62" i="6" s="1"/>
  <c r="PA62" i="6" a="1"/>
  <c r="PA62" i="6" s="1"/>
  <c r="OZ62" i="6" a="1"/>
  <c r="OZ62" i="6" s="1"/>
  <c r="OL62" i="6" a="1"/>
  <c r="OL62" i="6" s="1"/>
  <c r="OK62" i="6" a="1"/>
  <c r="OK62" i="6" s="1"/>
  <c r="OJ62" i="6" a="1"/>
  <c r="OJ62" i="6" s="1"/>
  <c r="OI62" i="6" a="1"/>
  <c r="OI62" i="6" s="1"/>
  <c r="OH62" i="6" a="1"/>
  <c r="OH62" i="6" s="1"/>
  <c r="NT62" i="6" a="1"/>
  <c r="NT62" i="6" s="1"/>
  <c r="NS62" i="6" a="1"/>
  <c r="NS62" i="6" s="1"/>
  <c r="NR62" i="6" a="1"/>
  <c r="NR62" i="6" s="1"/>
  <c r="NQ62" i="6" a="1"/>
  <c r="NQ62" i="6" s="1"/>
  <c r="NP62" i="6" a="1"/>
  <c r="NP62" i="6" s="1"/>
  <c r="NC62" i="6" a="1"/>
  <c r="NC62" i="6" s="1"/>
  <c r="NB62" i="6" a="1"/>
  <c r="NB62" i="6" s="1"/>
  <c r="NA62" i="6" a="1"/>
  <c r="NA62" i="6" s="1"/>
  <c r="MZ62" i="6" a="1"/>
  <c r="MZ62" i="6" s="1"/>
  <c r="MY62" i="6" a="1"/>
  <c r="MY62" i="6" s="1"/>
  <c r="MK62" i="6" a="1"/>
  <c r="MK62" i="6" s="1"/>
  <c r="MJ62" i="6" a="1"/>
  <c r="MJ62" i="6" s="1"/>
  <c r="MI62" i="6" a="1"/>
  <c r="MI62" i="6" s="1"/>
  <c r="MH62" i="6" a="1"/>
  <c r="MH62" i="6" s="1"/>
  <c r="MG62" i="6" a="1"/>
  <c r="MG62" i="6" s="1"/>
  <c r="LS62" i="6" a="1"/>
  <c r="LS62" i="6" s="1"/>
  <c r="LR62" i="6" a="1"/>
  <c r="LR62" i="6" s="1"/>
  <c r="LQ62" i="6" a="1"/>
  <c r="LQ62" i="6" s="1"/>
  <c r="LP62" i="6" a="1"/>
  <c r="LP62" i="6" s="1"/>
  <c r="LO62" i="6" a="1"/>
  <c r="LO62" i="6" s="1"/>
  <c r="LA62" i="6" a="1"/>
  <c r="LA62" i="6" s="1"/>
  <c r="KZ62" i="6" a="1"/>
  <c r="KZ62" i="6" s="1"/>
  <c r="KY62" i="6" a="1"/>
  <c r="KY62" i="6" s="1"/>
  <c r="KX62" i="6" a="1"/>
  <c r="KX62" i="6" s="1"/>
  <c r="KW62" i="6" a="1"/>
  <c r="KW62" i="6" s="1"/>
  <c r="KI62" i="6" a="1"/>
  <c r="KI62" i="6" s="1"/>
  <c r="KH62" i="6" a="1"/>
  <c r="KH62" i="6" s="1"/>
  <c r="KG62" i="6" a="1"/>
  <c r="KG62" i="6" s="1"/>
  <c r="KF62" i="6" a="1"/>
  <c r="KF62" i="6" s="1"/>
  <c r="KE62" i="6" a="1"/>
  <c r="KE62" i="6" s="1"/>
  <c r="JQ62" i="6" a="1"/>
  <c r="JQ62" i="6" s="1"/>
  <c r="JP62" i="6" a="1"/>
  <c r="JP62" i="6" s="1"/>
  <c r="JO62" i="6" a="1"/>
  <c r="JO62" i="6" s="1"/>
  <c r="JN62" i="6" a="1"/>
  <c r="JN62" i="6" s="1"/>
  <c r="JM62" i="6" a="1"/>
  <c r="JM62" i="6" s="1"/>
  <c r="IY62" i="6" a="1"/>
  <c r="IY62" i="6" s="1"/>
  <c r="IX62" i="6" a="1"/>
  <c r="IX62" i="6" s="1"/>
  <c r="IW62" i="6" a="1"/>
  <c r="IW62" i="6" s="1"/>
  <c r="IV62" i="6" a="1"/>
  <c r="IV62" i="6" s="1"/>
  <c r="IU62" i="6" a="1"/>
  <c r="IU62" i="6" s="1"/>
  <c r="IG62" i="6" a="1"/>
  <c r="IG62" i="6" s="1"/>
  <c r="IF62" i="6" a="1"/>
  <c r="IF62" i="6" s="1"/>
  <c r="IE62" i="6" a="1"/>
  <c r="IE62" i="6" s="1"/>
  <c r="ID62" i="6" a="1"/>
  <c r="ID62" i="6" s="1"/>
  <c r="IC62" i="6" a="1"/>
  <c r="IC62" i="6" s="1"/>
  <c r="HO62" i="6" a="1"/>
  <c r="HO62" i="6" s="1"/>
  <c r="HN62" i="6" a="1"/>
  <c r="HN62" i="6" s="1"/>
  <c r="HM62" i="6" a="1"/>
  <c r="HM62" i="6" s="1"/>
  <c r="HL62" i="6" a="1"/>
  <c r="HL62" i="6" s="1"/>
  <c r="HK62" i="6" a="1"/>
  <c r="HK62" i="6" s="1"/>
  <c r="GX62" i="6" a="1"/>
  <c r="GX62" i="6" s="1"/>
  <c r="GW62" i="6" a="1"/>
  <c r="GW62" i="6" s="1"/>
  <c r="GV62" i="6" a="1"/>
  <c r="GV62" i="6" s="1"/>
  <c r="GU62" i="6" a="1"/>
  <c r="GU62" i="6" s="1"/>
  <c r="GT62" i="6" a="1"/>
  <c r="GT62" i="6" s="1"/>
  <c r="GG62" i="6" a="1"/>
  <c r="GG62" i="6" s="1"/>
  <c r="GF62" i="6" a="1"/>
  <c r="GF62" i="6" s="1"/>
  <c r="GE62" i="6" a="1"/>
  <c r="GE62" i="6" s="1"/>
  <c r="GD62" i="6" a="1"/>
  <c r="GD62" i="6" s="1"/>
  <c r="GC62" i="6" a="1"/>
  <c r="GC62" i="6" s="1"/>
  <c r="FP62" i="6" a="1"/>
  <c r="FP62" i="6" s="1"/>
  <c r="FO62" i="6" a="1"/>
  <c r="FO62" i="6" s="1"/>
  <c r="FN62" i="6" a="1"/>
  <c r="FN62" i="6" s="1"/>
  <c r="FM62" i="6" a="1"/>
  <c r="FM62" i="6" s="1"/>
  <c r="FL62" i="6" a="1"/>
  <c r="FL62" i="6" s="1"/>
  <c r="EY62" i="6" a="1"/>
  <c r="EY62" i="6" s="1"/>
  <c r="EX62" i="6" a="1"/>
  <c r="EX62" i="6" s="1"/>
  <c r="EW62" i="6" a="1"/>
  <c r="EW62" i="6" s="1"/>
  <c r="EV62" i="6" a="1"/>
  <c r="EV62" i="6" s="1"/>
  <c r="EU62" i="6" a="1"/>
  <c r="EU62" i="6" s="1"/>
  <c r="EH62" i="6" a="1"/>
  <c r="EH62" i="6" s="1"/>
  <c r="EG62" i="6" a="1"/>
  <c r="EG62" i="6" s="1"/>
  <c r="EF62" i="6" a="1"/>
  <c r="EF62" i="6" s="1"/>
  <c r="EE62" i="6" a="1"/>
  <c r="EE62" i="6" s="1"/>
  <c r="ED62" i="6" a="1"/>
  <c r="ED62" i="6" s="1"/>
  <c r="DQ62" i="6" a="1"/>
  <c r="DQ62" i="6" s="1"/>
  <c r="DP62" i="6" a="1"/>
  <c r="DP62" i="6" s="1"/>
  <c r="DO62" i="6" a="1"/>
  <c r="DO62" i="6" s="1"/>
  <c r="DN62" i="6" a="1"/>
  <c r="DN62" i="6" s="1"/>
  <c r="DM62" i="6" a="1"/>
  <c r="DM62" i="6" s="1"/>
  <c r="DD62" i="6" a="1"/>
  <c r="DD62" i="6" s="1"/>
  <c r="CU62" i="6" a="1"/>
  <c r="CU62" i="6" s="1"/>
  <c r="CL62" i="6" a="1"/>
  <c r="CL62" i="6" s="1"/>
  <c r="BX62" i="6" a="1"/>
  <c r="BX62" i="6" s="1"/>
  <c r="BW62" i="6" a="1"/>
  <c r="BW62" i="6" s="1"/>
  <c r="BV62" i="6" a="1"/>
  <c r="BV62" i="6" s="1"/>
  <c r="BU62" i="6" a="1"/>
  <c r="BU62" i="6" s="1"/>
  <c r="BT62" i="6" a="1"/>
  <c r="BT62" i="6" s="1"/>
  <c r="BS62" i="6" a="1"/>
  <c r="BS62" i="6" s="1"/>
  <c r="BA62" i="6" a="1"/>
  <c r="BA62" i="6" s="1"/>
  <c r="AZ62" i="6" a="1"/>
  <c r="AZ62" i="6" s="1"/>
  <c r="AY62" i="6" a="1"/>
  <c r="AY62" i="6" s="1"/>
  <c r="AX62" i="6" a="1"/>
  <c r="AX62" i="6" s="1"/>
  <c r="AW62" i="6" a="1"/>
  <c r="AW62" i="6" s="1"/>
  <c r="AV62" i="6" a="1"/>
  <c r="AV62" i="6" s="1"/>
  <c r="AU62" i="6" a="1"/>
  <c r="AU62" i="6" s="1"/>
  <c r="AT62" i="6" a="1"/>
  <c r="AT62" i="6" s="1"/>
  <c r="AS62" i="6" a="1"/>
  <c r="AS62" i="6" s="1"/>
  <c r="AR62" i="6" a="1"/>
  <c r="AR62" i="6" s="1"/>
  <c r="AH62" i="6" a="1"/>
  <c r="AH62" i="6" s="1"/>
  <c r="AG62" i="6" a="1"/>
  <c r="AG62" i="6" s="1"/>
  <c r="V62" i="6" a="1"/>
  <c r="V62" i="6" s="1"/>
  <c r="U62" i="6" a="1"/>
  <c r="U62" i="6" s="1"/>
  <c r="J62" i="6" a="1"/>
  <c r="J62" i="6" s="1"/>
  <c r="I62" i="6" a="1"/>
  <c r="I62" i="6" s="1"/>
  <c r="ADA61" i="6" a="1"/>
  <c r="ADA61" i="6" s="1"/>
  <c r="ACZ61" i="6" a="1"/>
  <c r="ACZ61" i="6" s="1"/>
  <c r="ACY61" i="6" a="1"/>
  <c r="ACY61" i="6" s="1"/>
  <c r="ACN61" i="6" a="1"/>
  <c r="ACN61" i="6" s="1"/>
  <c r="ACM61" i="6" a="1"/>
  <c r="ACM61" i="6" s="1"/>
  <c r="ABU61" i="6" a="1"/>
  <c r="ABU61" i="6" s="1"/>
  <c r="ABX61" i="6" a="1"/>
  <c r="ABX61" i="6" s="1"/>
  <c r="ABV61" i="6" a="1"/>
  <c r="ABV61" i="6" s="1"/>
  <c r="ABH61" i="6" a="1"/>
  <c r="ABH61" i="6" s="1"/>
  <c r="ABG61" i="6" a="1"/>
  <c r="ABG61" i="6" s="1"/>
  <c r="ABF61" i="6" a="1"/>
  <c r="ABF61" i="6" s="1"/>
  <c r="ABE61" i="6" a="1"/>
  <c r="ABE61" i="6" s="1"/>
  <c r="ABD61" i="6" a="1"/>
  <c r="ABD61" i="6" s="1"/>
  <c r="ZR61" i="6" a="1"/>
  <c r="ZR61" i="6" s="1"/>
  <c r="ZE61" i="6" a="1"/>
  <c r="ZE61" i="6" s="1"/>
  <c r="ZD61" i="6" a="1"/>
  <c r="ZD61" i="6" s="1"/>
  <c r="ZC61" i="6" a="1"/>
  <c r="ZC61" i="6" s="1"/>
  <c r="ZB61" i="6" a="1"/>
  <c r="ZB61" i="6" s="1"/>
  <c r="ZA61" i="6" a="1"/>
  <c r="ZA61" i="6" s="1"/>
  <c r="YP61" i="6" a="1"/>
  <c r="YP61" i="6" s="1"/>
  <c r="YO61" i="6" a="1"/>
  <c r="YO61" i="6" s="1"/>
  <c r="YE61" i="6" a="1"/>
  <c r="YE61" i="6" s="1"/>
  <c r="YD61" i="6" a="1"/>
  <c r="YD61" i="6" s="1"/>
  <c r="XT61" i="6" a="1"/>
  <c r="XT61" i="6" s="1"/>
  <c r="XS61" i="6" a="1"/>
  <c r="XS61" i="6" s="1"/>
  <c r="XI61" i="6" a="1"/>
  <c r="XI61" i="6" s="1"/>
  <c r="XH61" i="6" a="1"/>
  <c r="XH61" i="6" s="1"/>
  <c r="WX61" i="6" a="1"/>
  <c r="WX61" i="6" s="1"/>
  <c r="WW61" i="6" a="1"/>
  <c r="WW61" i="6" s="1"/>
  <c r="WM61" i="6" a="1"/>
  <c r="WM61" i="6" s="1"/>
  <c r="WL61" i="6" a="1"/>
  <c r="WL61" i="6" s="1"/>
  <c r="WC61" i="6" a="1"/>
  <c r="WC61" i="6" s="1"/>
  <c r="VQ61" i="6" a="1"/>
  <c r="VQ61" i="6" s="1"/>
  <c r="VP61" i="6" a="1"/>
  <c r="VP61" i="6" s="1"/>
  <c r="VO61" i="6" a="1"/>
  <c r="VO61" i="6" s="1"/>
  <c r="VN61" i="6" a="1"/>
  <c r="VN61" i="6" s="1"/>
  <c r="VA61" i="6" a="1"/>
  <c r="VA61" i="6" s="1"/>
  <c r="UZ61" i="6" a="1"/>
  <c r="UZ61" i="6" s="1"/>
  <c r="UY61" i="6" a="1"/>
  <c r="UY61" i="6" s="1"/>
  <c r="UX61" i="6" a="1"/>
  <c r="UX61" i="6" s="1"/>
  <c r="UW61" i="6" a="1"/>
  <c r="UW61" i="6" s="1"/>
  <c r="UM61" i="6" a="1"/>
  <c r="UM61" i="6" s="1"/>
  <c r="TZ61" i="6" a="1"/>
  <c r="TZ61" i="6" s="1"/>
  <c r="TY61" i="6" a="1"/>
  <c r="TY61" i="6" s="1"/>
  <c r="TX61" i="6" a="1"/>
  <c r="TX61" i="6" s="1"/>
  <c r="TW61" i="6" a="1"/>
  <c r="TW61" i="6" s="1"/>
  <c r="TV61" i="6" a="1"/>
  <c r="TV61" i="6" s="1"/>
  <c r="TH61" i="6" a="1"/>
  <c r="TH61" i="6" s="1"/>
  <c r="TG61" i="6" a="1"/>
  <c r="TG61" i="6" s="1"/>
  <c r="TF61" i="6" a="1"/>
  <c r="TF61" i="6" s="1"/>
  <c r="TE61" i="6" a="1"/>
  <c r="TE61" i="6" s="1"/>
  <c r="TD61" i="6" a="1"/>
  <c r="TD61" i="6" s="1"/>
  <c r="SP61" i="6" a="1"/>
  <c r="SP61" i="6" s="1"/>
  <c r="SO61" i="6" a="1"/>
  <c r="SO61" i="6" s="1"/>
  <c r="SN61" i="6" a="1"/>
  <c r="SN61" i="6" s="1"/>
  <c r="SM61" i="6" a="1"/>
  <c r="SM61" i="6" s="1"/>
  <c r="SL61" i="6" a="1"/>
  <c r="SL61" i="6" s="1"/>
  <c r="RX61" i="6" a="1"/>
  <c r="RX61" i="6" s="1"/>
  <c r="RW61" i="6" a="1"/>
  <c r="RW61" i="6" s="1"/>
  <c r="RV61" i="6" a="1"/>
  <c r="RV61" i="6" s="1"/>
  <c r="RU61" i="6" a="1"/>
  <c r="RU61" i="6" s="1"/>
  <c r="RT61" i="6" a="1"/>
  <c r="RT61" i="6" s="1"/>
  <c r="RF61" i="6" a="1"/>
  <c r="RF61" i="6" s="1"/>
  <c r="RE61" i="6" a="1"/>
  <c r="RE61" i="6" s="1"/>
  <c r="RD61" i="6" a="1"/>
  <c r="RD61" i="6" s="1"/>
  <c r="RC61" i="6" a="1"/>
  <c r="RC61" i="6" s="1"/>
  <c r="RB61" i="6" a="1"/>
  <c r="RB61" i="6" s="1"/>
  <c r="QN61" i="6" a="1"/>
  <c r="QN61" i="6" s="1"/>
  <c r="QM61" i="6" a="1"/>
  <c r="QM61" i="6" s="1"/>
  <c r="QL61" i="6" a="1"/>
  <c r="QL61" i="6" s="1"/>
  <c r="QK61" i="6" a="1"/>
  <c r="QK61" i="6" s="1"/>
  <c r="QJ61" i="6" a="1"/>
  <c r="QJ61" i="6" s="1"/>
  <c r="PV61" i="6" a="1"/>
  <c r="PV61" i="6" s="1"/>
  <c r="PU61" i="6" a="1"/>
  <c r="PU61" i="6" s="1"/>
  <c r="PT61" i="6" a="1"/>
  <c r="PT61" i="6" s="1"/>
  <c r="PS61" i="6" a="1"/>
  <c r="PS61" i="6" s="1"/>
  <c r="PR61" i="6" a="1"/>
  <c r="PR61" i="6" s="1"/>
  <c r="PD61" i="6" a="1"/>
  <c r="PD61" i="6" s="1"/>
  <c r="PC61" i="6" a="1"/>
  <c r="PC61" i="6" s="1"/>
  <c r="PB61" i="6" a="1"/>
  <c r="PB61" i="6" s="1"/>
  <c r="PA61" i="6" a="1"/>
  <c r="PA61" i="6" s="1"/>
  <c r="OZ61" i="6" a="1"/>
  <c r="OZ61" i="6" s="1"/>
  <c r="OL61" i="6" a="1"/>
  <c r="OL61" i="6" s="1"/>
  <c r="OK61" i="6" a="1"/>
  <c r="OK61" i="6" s="1"/>
  <c r="OJ61" i="6" a="1"/>
  <c r="OJ61" i="6" s="1"/>
  <c r="OI61" i="6" a="1"/>
  <c r="OI61" i="6" s="1"/>
  <c r="OH61" i="6" a="1"/>
  <c r="OH61" i="6" s="1"/>
  <c r="NT61" i="6" a="1"/>
  <c r="NT61" i="6" s="1"/>
  <c r="NS61" i="6" a="1"/>
  <c r="NS61" i="6" s="1"/>
  <c r="NR61" i="6" a="1"/>
  <c r="NR61" i="6" s="1"/>
  <c r="NQ61" i="6" a="1"/>
  <c r="NQ61" i="6" s="1"/>
  <c r="NP61" i="6" a="1"/>
  <c r="NP61" i="6" s="1"/>
  <c r="NC61" i="6" a="1"/>
  <c r="NC61" i="6" s="1"/>
  <c r="NB61" i="6" a="1"/>
  <c r="NB61" i="6" s="1"/>
  <c r="NA61" i="6" a="1"/>
  <c r="NA61" i="6" s="1"/>
  <c r="MZ61" i="6" a="1"/>
  <c r="MZ61" i="6" s="1"/>
  <c r="MY61" i="6" a="1"/>
  <c r="MY61" i="6" s="1"/>
  <c r="MK61" i="6" a="1"/>
  <c r="MK61" i="6" s="1"/>
  <c r="MJ61" i="6" a="1"/>
  <c r="MJ61" i="6" s="1"/>
  <c r="MI61" i="6" a="1"/>
  <c r="MI61" i="6" s="1"/>
  <c r="MH61" i="6" a="1"/>
  <c r="MH61" i="6" s="1"/>
  <c r="MG61" i="6" a="1"/>
  <c r="MG61" i="6" s="1"/>
  <c r="LS61" i="6" a="1"/>
  <c r="LS61" i="6" s="1"/>
  <c r="LR61" i="6" a="1"/>
  <c r="LR61" i="6" s="1"/>
  <c r="LQ61" i="6" a="1"/>
  <c r="LQ61" i="6" s="1"/>
  <c r="LP61" i="6" a="1"/>
  <c r="LP61" i="6" s="1"/>
  <c r="LO61" i="6" a="1"/>
  <c r="LO61" i="6" s="1"/>
  <c r="LA61" i="6" a="1"/>
  <c r="LA61" i="6" s="1"/>
  <c r="KZ61" i="6" a="1"/>
  <c r="KZ61" i="6" s="1"/>
  <c r="KY61" i="6" a="1"/>
  <c r="KY61" i="6" s="1"/>
  <c r="KX61" i="6" a="1"/>
  <c r="KX61" i="6" s="1"/>
  <c r="KW61" i="6" a="1"/>
  <c r="KW61" i="6" s="1"/>
  <c r="KI61" i="6" a="1"/>
  <c r="KI61" i="6" s="1"/>
  <c r="KH61" i="6" a="1"/>
  <c r="KH61" i="6" s="1"/>
  <c r="KG61" i="6" a="1"/>
  <c r="KG61" i="6" s="1"/>
  <c r="KF61" i="6" a="1"/>
  <c r="KF61" i="6" s="1"/>
  <c r="KE61" i="6" a="1"/>
  <c r="KE61" i="6" s="1"/>
  <c r="JQ61" i="6" a="1"/>
  <c r="JQ61" i="6" s="1"/>
  <c r="JP61" i="6" a="1"/>
  <c r="JP61" i="6" s="1"/>
  <c r="JO61" i="6" a="1"/>
  <c r="JO61" i="6" s="1"/>
  <c r="JN61" i="6" a="1"/>
  <c r="JN61" i="6" s="1"/>
  <c r="JM61" i="6" a="1"/>
  <c r="JM61" i="6" s="1"/>
  <c r="IY61" i="6" a="1"/>
  <c r="IY61" i="6" s="1"/>
  <c r="IX61" i="6" a="1"/>
  <c r="IX61" i="6" s="1"/>
  <c r="IW61" i="6" a="1"/>
  <c r="IW61" i="6" s="1"/>
  <c r="IV61" i="6" a="1"/>
  <c r="IV61" i="6" s="1"/>
  <c r="IU61" i="6" a="1"/>
  <c r="IU61" i="6" s="1"/>
  <c r="IG61" i="6" a="1"/>
  <c r="IG61" i="6" s="1"/>
  <c r="IF61" i="6" a="1"/>
  <c r="IF61" i="6" s="1"/>
  <c r="IE61" i="6" a="1"/>
  <c r="IE61" i="6" s="1"/>
  <c r="ID61" i="6" a="1"/>
  <c r="ID61" i="6" s="1"/>
  <c r="IC61" i="6" a="1"/>
  <c r="IC61" i="6" s="1"/>
  <c r="HO61" i="6" a="1"/>
  <c r="HO61" i="6" s="1"/>
  <c r="HN61" i="6" a="1"/>
  <c r="HN61" i="6" s="1"/>
  <c r="HM61" i="6" a="1"/>
  <c r="HM61" i="6" s="1"/>
  <c r="HL61" i="6" a="1"/>
  <c r="HL61" i="6" s="1"/>
  <c r="HK61" i="6" a="1"/>
  <c r="HK61" i="6" s="1"/>
  <c r="GX61" i="6" a="1"/>
  <c r="GX61" i="6" s="1"/>
  <c r="GW61" i="6" a="1"/>
  <c r="GW61" i="6" s="1"/>
  <c r="GV61" i="6" a="1"/>
  <c r="GV61" i="6" s="1"/>
  <c r="GU61" i="6" a="1"/>
  <c r="GU61" i="6" s="1"/>
  <c r="GT61" i="6" a="1"/>
  <c r="GT61" i="6" s="1"/>
  <c r="GG61" i="6" a="1"/>
  <c r="GG61" i="6" s="1"/>
  <c r="GF61" i="6" a="1"/>
  <c r="GF61" i="6" s="1"/>
  <c r="GE61" i="6" a="1"/>
  <c r="GE61" i="6" s="1"/>
  <c r="GD61" i="6" a="1"/>
  <c r="GD61" i="6" s="1"/>
  <c r="GC61" i="6" a="1"/>
  <c r="GC61" i="6" s="1"/>
  <c r="FP61" i="6" a="1"/>
  <c r="FP61" i="6" s="1"/>
  <c r="FO61" i="6" a="1"/>
  <c r="FO61" i="6" s="1"/>
  <c r="FN61" i="6" a="1"/>
  <c r="FN61" i="6" s="1"/>
  <c r="FM61" i="6" a="1"/>
  <c r="FM61" i="6" s="1"/>
  <c r="FL61" i="6" a="1"/>
  <c r="FL61" i="6" s="1"/>
  <c r="EY61" i="6" a="1"/>
  <c r="EY61" i="6" s="1"/>
  <c r="EX61" i="6" a="1"/>
  <c r="EX61" i="6" s="1"/>
  <c r="EW61" i="6" a="1"/>
  <c r="EW61" i="6" s="1"/>
  <c r="EV61" i="6" a="1"/>
  <c r="EV61" i="6" s="1"/>
  <c r="EU61" i="6" a="1"/>
  <c r="EU61" i="6" s="1"/>
  <c r="EH61" i="6" a="1"/>
  <c r="EH61" i="6" s="1"/>
  <c r="EG61" i="6" a="1"/>
  <c r="EG61" i="6" s="1"/>
  <c r="EF61" i="6" a="1"/>
  <c r="EF61" i="6" s="1"/>
  <c r="EE61" i="6" a="1"/>
  <c r="EE61" i="6" s="1"/>
  <c r="ED61" i="6" a="1"/>
  <c r="ED61" i="6" s="1"/>
  <c r="DQ61" i="6" a="1"/>
  <c r="DQ61" i="6" s="1"/>
  <c r="DP61" i="6" a="1"/>
  <c r="DP61" i="6" s="1"/>
  <c r="DO61" i="6" a="1"/>
  <c r="DO61" i="6" s="1"/>
  <c r="DN61" i="6" a="1"/>
  <c r="DN61" i="6" s="1"/>
  <c r="DM61" i="6" a="1"/>
  <c r="DM61" i="6" s="1"/>
  <c r="DD61" i="6" a="1"/>
  <c r="DD61" i="6" s="1"/>
  <c r="CU61" i="6" a="1"/>
  <c r="CU61" i="6" s="1"/>
  <c r="CL61" i="6" a="1"/>
  <c r="CL61" i="6" s="1"/>
  <c r="BX61" i="6" a="1"/>
  <c r="BX61" i="6" s="1"/>
  <c r="BW61" i="6" a="1"/>
  <c r="BW61" i="6" s="1"/>
  <c r="BV61" i="6" a="1"/>
  <c r="BV61" i="6" s="1"/>
  <c r="BU61" i="6" a="1"/>
  <c r="BU61" i="6" s="1"/>
  <c r="BT61" i="6" a="1"/>
  <c r="BT61" i="6" s="1"/>
  <c r="BS61" i="6" a="1"/>
  <c r="BS61" i="6" s="1"/>
  <c r="BA61" i="6" a="1"/>
  <c r="BA61" i="6" s="1"/>
  <c r="AZ61" i="6" a="1"/>
  <c r="AZ61" i="6" s="1"/>
  <c r="AY61" i="6" a="1"/>
  <c r="AY61" i="6" s="1"/>
  <c r="AX61" i="6" a="1"/>
  <c r="AX61" i="6" s="1"/>
  <c r="AW61" i="6" a="1"/>
  <c r="AW61" i="6" s="1"/>
  <c r="AV61" i="6" a="1"/>
  <c r="AV61" i="6" s="1"/>
  <c r="AU61" i="6" a="1"/>
  <c r="AU61" i="6" s="1"/>
  <c r="AT61" i="6" a="1"/>
  <c r="AT61" i="6" s="1"/>
  <c r="AS61" i="6" a="1"/>
  <c r="AS61" i="6" s="1"/>
  <c r="AR61" i="6" a="1"/>
  <c r="AR61" i="6" s="1"/>
  <c r="AH61" i="6" a="1"/>
  <c r="AH61" i="6" s="1"/>
  <c r="AG61" i="6" a="1"/>
  <c r="AG61" i="6" s="1"/>
  <c r="V61" i="6" a="1"/>
  <c r="V61" i="6" s="1"/>
  <c r="U61" i="6" a="1"/>
  <c r="U61" i="6" s="1"/>
  <c r="J61" i="6" a="1"/>
  <c r="J61" i="6" s="1"/>
  <c r="I61" i="6" a="1"/>
  <c r="I61" i="6" s="1"/>
  <c r="H61" i="6" s="1"/>
  <c r="ADA60" i="6" a="1"/>
  <c r="ADA60" i="6" s="1"/>
  <c r="ACZ60" i="6" a="1"/>
  <c r="ACZ60" i="6" s="1"/>
  <c r="ACY60" i="6" a="1"/>
  <c r="ACY60" i="6" s="1"/>
  <c r="ACN60" i="6" a="1"/>
  <c r="ACN60" i="6" s="1"/>
  <c r="ACM60" i="6" a="1"/>
  <c r="ACM60" i="6" s="1"/>
  <c r="ABU60" i="6" a="1"/>
  <c r="ABU60" i="6" s="1"/>
  <c r="ABX60" i="6" a="1"/>
  <c r="ABX60" i="6" s="1"/>
  <c r="ABV60" i="6" a="1"/>
  <c r="ABV60" i="6" s="1"/>
  <c r="ABH60" i="6" a="1"/>
  <c r="ABH60" i="6" s="1"/>
  <c r="ABG60" i="6" a="1"/>
  <c r="ABG60" i="6" s="1"/>
  <c r="ABF60" i="6" a="1"/>
  <c r="ABF60" i="6" s="1"/>
  <c r="ABE60" i="6" a="1"/>
  <c r="ABE60" i="6" s="1"/>
  <c r="ABD60" i="6" a="1"/>
  <c r="ABD60" i="6" s="1"/>
  <c r="ZR60" i="6" a="1"/>
  <c r="ZR60" i="6" s="1"/>
  <c r="ZE60" i="6" a="1"/>
  <c r="ZE60" i="6" s="1"/>
  <c r="ZD60" i="6" a="1"/>
  <c r="ZD60" i="6" s="1"/>
  <c r="ZC60" i="6" a="1"/>
  <c r="ZC60" i="6" s="1"/>
  <c r="ZB60" i="6" a="1"/>
  <c r="ZB60" i="6" s="1"/>
  <c r="ZA60" i="6" a="1"/>
  <c r="ZA60" i="6" s="1"/>
  <c r="YP60" i="6" a="1"/>
  <c r="YP60" i="6" s="1"/>
  <c r="YO60" i="6" a="1"/>
  <c r="YO60" i="6" s="1"/>
  <c r="YE60" i="6" a="1"/>
  <c r="YE60" i="6" s="1"/>
  <c r="YD60" i="6" a="1"/>
  <c r="YD60" i="6" s="1"/>
  <c r="XT60" i="6" a="1"/>
  <c r="XT60" i="6" s="1"/>
  <c r="XS60" i="6" a="1"/>
  <c r="XS60" i="6" s="1"/>
  <c r="XI60" i="6" a="1"/>
  <c r="XI60" i="6" s="1"/>
  <c r="XH60" i="6" a="1"/>
  <c r="XH60" i="6" s="1"/>
  <c r="WX60" i="6" a="1"/>
  <c r="WX60" i="6" s="1"/>
  <c r="WW60" i="6" a="1"/>
  <c r="WW60" i="6" s="1"/>
  <c r="WM60" i="6" a="1"/>
  <c r="WM60" i="6" s="1"/>
  <c r="WL60" i="6" a="1"/>
  <c r="WL60" i="6" s="1"/>
  <c r="WC60" i="6" a="1"/>
  <c r="WC60" i="6" s="1"/>
  <c r="VQ60" i="6" a="1"/>
  <c r="VQ60" i="6" s="1"/>
  <c r="VP60" i="6" a="1"/>
  <c r="VP60" i="6" s="1"/>
  <c r="VO60" i="6" a="1"/>
  <c r="VO60" i="6" s="1"/>
  <c r="VN60" i="6" a="1"/>
  <c r="VN60" i="6" s="1"/>
  <c r="VA60" i="6" a="1"/>
  <c r="VA60" i="6" s="1"/>
  <c r="UZ60" i="6" a="1"/>
  <c r="UZ60" i="6" s="1"/>
  <c r="UY60" i="6" a="1"/>
  <c r="UY60" i="6" s="1"/>
  <c r="UX60" i="6" a="1"/>
  <c r="UX60" i="6" s="1"/>
  <c r="UW60" i="6" a="1"/>
  <c r="UW60" i="6" s="1"/>
  <c r="UM60" i="6" a="1"/>
  <c r="UM60" i="6" s="1"/>
  <c r="TZ60" i="6" a="1"/>
  <c r="TZ60" i="6" s="1"/>
  <c r="TY60" i="6" a="1"/>
  <c r="TY60" i="6" s="1"/>
  <c r="TX60" i="6" a="1"/>
  <c r="TX60" i="6" s="1"/>
  <c r="TW60" i="6" a="1"/>
  <c r="TW60" i="6" s="1"/>
  <c r="TV60" i="6" a="1"/>
  <c r="TV60" i="6" s="1"/>
  <c r="TH60" i="6" a="1"/>
  <c r="TH60" i="6" s="1"/>
  <c r="TG60" i="6" a="1"/>
  <c r="TG60" i="6" s="1"/>
  <c r="TF60" i="6" a="1"/>
  <c r="TF60" i="6" s="1"/>
  <c r="TE60" i="6" a="1"/>
  <c r="TE60" i="6" s="1"/>
  <c r="TD60" i="6" a="1"/>
  <c r="TD60" i="6" s="1"/>
  <c r="SP60" i="6" a="1"/>
  <c r="SP60" i="6" s="1"/>
  <c r="SO60" i="6" a="1"/>
  <c r="SO60" i="6" s="1"/>
  <c r="SN60" i="6" a="1"/>
  <c r="SN60" i="6" s="1"/>
  <c r="SM60" i="6" a="1"/>
  <c r="SM60" i="6" s="1"/>
  <c r="SL60" i="6" a="1"/>
  <c r="SL60" i="6" s="1"/>
  <c r="RX60" i="6" a="1"/>
  <c r="RX60" i="6" s="1"/>
  <c r="RW60" i="6" a="1"/>
  <c r="RW60" i="6" s="1"/>
  <c r="RV60" i="6" a="1"/>
  <c r="RV60" i="6" s="1"/>
  <c r="RU60" i="6" a="1"/>
  <c r="RU60" i="6" s="1"/>
  <c r="RT60" i="6" a="1"/>
  <c r="RT60" i="6" s="1"/>
  <c r="RF60" i="6" a="1"/>
  <c r="RF60" i="6" s="1"/>
  <c r="RE60" i="6" a="1"/>
  <c r="RE60" i="6" s="1"/>
  <c r="RD60" i="6" a="1"/>
  <c r="RD60" i="6" s="1"/>
  <c r="RC60" i="6" a="1"/>
  <c r="RC60" i="6" s="1"/>
  <c r="RB60" i="6" a="1"/>
  <c r="RB60" i="6" s="1"/>
  <c r="QN60" i="6" a="1"/>
  <c r="QN60" i="6" s="1"/>
  <c r="QM60" i="6" a="1"/>
  <c r="QM60" i="6" s="1"/>
  <c r="QL60" i="6" a="1"/>
  <c r="QL60" i="6" s="1"/>
  <c r="QK60" i="6" a="1"/>
  <c r="QK60" i="6" s="1"/>
  <c r="QJ60" i="6" a="1"/>
  <c r="QJ60" i="6" s="1"/>
  <c r="PV60" i="6" a="1"/>
  <c r="PV60" i="6" s="1"/>
  <c r="PU60" i="6" a="1"/>
  <c r="PU60" i="6" s="1"/>
  <c r="PT60" i="6" a="1"/>
  <c r="PT60" i="6" s="1"/>
  <c r="PS60" i="6" a="1"/>
  <c r="PS60" i="6" s="1"/>
  <c r="PR60" i="6" a="1"/>
  <c r="PR60" i="6" s="1"/>
  <c r="PD60" i="6" a="1"/>
  <c r="PD60" i="6" s="1"/>
  <c r="PC60" i="6" a="1"/>
  <c r="PC60" i="6" s="1"/>
  <c r="PB60" i="6" a="1"/>
  <c r="PB60" i="6" s="1"/>
  <c r="PA60" i="6" a="1"/>
  <c r="PA60" i="6" s="1"/>
  <c r="OZ60" i="6" a="1"/>
  <c r="OZ60" i="6" s="1"/>
  <c r="OL60" i="6" a="1"/>
  <c r="OL60" i="6" s="1"/>
  <c r="OK60" i="6" a="1"/>
  <c r="OK60" i="6" s="1"/>
  <c r="OJ60" i="6" a="1"/>
  <c r="OJ60" i="6" s="1"/>
  <c r="OI60" i="6" a="1"/>
  <c r="OI60" i="6" s="1"/>
  <c r="OH60" i="6" a="1"/>
  <c r="OH60" i="6" s="1"/>
  <c r="NT60" i="6" a="1"/>
  <c r="NT60" i="6" s="1"/>
  <c r="NS60" i="6" a="1"/>
  <c r="NS60" i="6" s="1"/>
  <c r="NR60" i="6" a="1"/>
  <c r="NR60" i="6" s="1"/>
  <c r="NQ60" i="6" a="1"/>
  <c r="NQ60" i="6" s="1"/>
  <c r="NP60" i="6" a="1"/>
  <c r="NP60" i="6" s="1"/>
  <c r="NC60" i="6" a="1"/>
  <c r="NC60" i="6" s="1"/>
  <c r="NB60" i="6" a="1"/>
  <c r="NB60" i="6" s="1"/>
  <c r="NA60" i="6" a="1"/>
  <c r="NA60" i="6" s="1"/>
  <c r="MZ60" i="6" a="1"/>
  <c r="MZ60" i="6" s="1"/>
  <c r="MY60" i="6" a="1"/>
  <c r="MY60" i="6" s="1"/>
  <c r="MK60" i="6" a="1"/>
  <c r="MK60" i="6" s="1"/>
  <c r="MJ60" i="6" a="1"/>
  <c r="MJ60" i="6" s="1"/>
  <c r="MI60" i="6" a="1"/>
  <c r="MI60" i="6" s="1"/>
  <c r="MH60" i="6" a="1"/>
  <c r="MH60" i="6" s="1"/>
  <c r="MG60" i="6" a="1"/>
  <c r="MG60" i="6" s="1"/>
  <c r="LS60" i="6" a="1"/>
  <c r="LS60" i="6" s="1"/>
  <c r="LR60" i="6" a="1"/>
  <c r="LR60" i="6" s="1"/>
  <c r="LQ60" i="6" a="1"/>
  <c r="LQ60" i="6" s="1"/>
  <c r="LP60" i="6" a="1"/>
  <c r="LP60" i="6" s="1"/>
  <c r="LO60" i="6" a="1"/>
  <c r="LO60" i="6" s="1"/>
  <c r="LA60" i="6" a="1"/>
  <c r="LA60" i="6" s="1"/>
  <c r="KZ60" i="6" a="1"/>
  <c r="KZ60" i="6" s="1"/>
  <c r="KY60" i="6" a="1"/>
  <c r="KY60" i="6" s="1"/>
  <c r="KX60" i="6" a="1"/>
  <c r="KX60" i="6" s="1"/>
  <c r="KW60" i="6" a="1"/>
  <c r="KW60" i="6" s="1"/>
  <c r="KI60" i="6" a="1"/>
  <c r="KI60" i="6" s="1"/>
  <c r="KH60" i="6" a="1"/>
  <c r="KH60" i="6" s="1"/>
  <c r="KG60" i="6" a="1"/>
  <c r="KG60" i="6" s="1"/>
  <c r="KF60" i="6" a="1"/>
  <c r="KF60" i="6" s="1"/>
  <c r="KE60" i="6" a="1"/>
  <c r="KE60" i="6" s="1"/>
  <c r="JQ60" i="6" a="1"/>
  <c r="JQ60" i="6" s="1"/>
  <c r="JP60" i="6" a="1"/>
  <c r="JP60" i="6" s="1"/>
  <c r="JO60" i="6" a="1"/>
  <c r="JO60" i="6" s="1"/>
  <c r="JN60" i="6" a="1"/>
  <c r="JN60" i="6" s="1"/>
  <c r="JM60" i="6" a="1"/>
  <c r="JM60" i="6" s="1"/>
  <c r="IY60" i="6" a="1"/>
  <c r="IY60" i="6" s="1"/>
  <c r="IX60" i="6" a="1"/>
  <c r="IX60" i="6" s="1"/>
  <c r="IW60" i="6" a="1"/>
  <c r="IW60" i="6" s="1"/>
  <c r="IV60" i="6" a="1"/>
  <c r="IV60" i="6" s="1"/>
  <c r="IU60" i="6" a="1"/>
  <c r="IU60" i="6" s="1"/>
  <c r="IG60" i="6" a="1"/>
  <c r="IG60" i="6" s="1"/>
  <c r="IF60" i="6" a="1"/>
  <c r="IF60" i="6" s="1"/>
  <c r="IE60" i="6" a="1"/>
  <c r="IE60" i="6" s="1"/>
  <c r="ID60" i="6" a="1"/>
  <c r="ID60" i="6" s="1"/>
  <c r="IC60" i="6" a="1"/>
  <c r="IC60" i="6" s="1"/>
  <c r="HO60" i="6" a="1"/>
  <c r="HO60" i="6" s="1"/>
  <c r="HN60" i="6" a="1"/>
  <c r="HN60" i="6" s="1"/>
  <c r="HM60" i="6" a="1"/>
  <c r="HM60" i="6" s="1"/>
  <c r="HL60" i="6" a="1"/>
  <c r="HL60" i="6" s="1"/>
  <c r="HK60" i="6" a="1"/>
  <c r="HK60" i="6" s="1"/>
  <c r="GX60" i="6" a="1"/>
  <c r="GX60" i="6" s="1"/>
  <c r="GW60" i="6" a="1"/>
  <c r="GW60" i="6" s="1"/>
  <c r="GV60" i="6" a="1"/>
  <c r="GV60" i="6" s="1"/>
  <c r="GU60" i="6" a="1"/>
  <c r="GU60" i="6" s="1"/>
  <c r="GT60" i="6" a="1"/>
  <c r="GT60" i="6" s="1"/>
  <c r="GG60" i="6" a="1"/>
  <c r="GG60" i="6" s="1"/>
  <c r="GF60" i="6" a="1"/>
  <c r="GF60" i="6" s="1"/>
  <c r="GE60" i="6" a="1"/>
  <c r="GE60" i="6" s="1"/>
  <c r="GD60" i="6" a="1"/>
  <c r="GD60" i="6" s="1"/>
  <c r="GC60" i="6" a="1"/>
  <c r="GC60" i="6" s="1"/>
  <c r="FP60" i="6" a="1"/>
  <c r="FP60" i="6" s="1"/>
  <c r="FO60" i="6" a="1"/>
  <c r="FO60" i="6" s="1"/>
  <c r="FN60" i="6" a="1"/>
  <c r="FN60" i="6" s="1"/>
  <c r="FM60" i="6" a="1"/>
  <c r="FM60" i="6" s="1"/>
  <c r="FL60" i="6" a="1"/>
  <c r="FL60" i="6" s="1"/>
  <c r="EY60" i="6" a="1"/>
  <c r="EY60" i="6" s="1"/>
  <c r="EX60" i="6" a="1"/>
  <c r="EX60" i="6" s="1"/>
  <c r="EW60" i="6" a="1"/>
  <c r="EW60" i="6" s="1"/>
  <c r="EV60" i="6" a="1"/>
  <c r="EV60" i="6" s="1"/>
  <c r="EU60" i="6" a="1"/>
  <c r="EU60" i="6" s="1"/>
  <c r="EH60" i="6" a="1"/>
  <c r="EH60" i="6" s="1"/>
  <c r="EG60" i="6" a="1"/>
  <c r="EG60" i="6" s="1"/>
  <c r="EF60" i="6" a="1"/>
  <c r="EF60" i="6" s="1"/>
  <c r="EE60" i="6" a="1"/>
  <c r="EE60" i="6" s="1"/>
  <c r="ED60" i="6" a="1"/>
  <c r="ED60" i="6" s="1"/>
  <c r="DQ60" i="6" a="1"/>
  <c r="DQ60" i="6" s="1"/>
  <c r="DP60" i="6" a="1"/>
  <c r="DP60" i="6" s="1"/>
  <c r="DO60" i="6" a="1"/>
  <c r="DO60" i="6" s="1"/>
  <c r="DN60" i="6" a="1"/>
  <c r="DN60" i="6" s="1"/>
  <c r="DM60" i="6" a="1"/>
  <c r="DM60" i="6" s="1"/>
  <c r="DD60" i="6" a="1"/>
  <c r="DD60" i="6" s="1"/>
  <c r="CU60" i="6" a="1"/>
  <c r="CU60" i="6" s="1"/>
  <c r="CL60" i="6" a="1"/>
  <c r="CL60" i="6" s="1"/>
  <c r="BX60" i="6" a="1"/>
  <c r="BX60" i="6" s="1"/>
  <c r="BW60" i="6" a="1"/>
  <c r="BW60" i="6" s="1"/>
  <c r="BV60" i="6" a="1"/>
  <c r="BV60" i="6" s="1"/>
  <c r="BU60" i="6" a="1"/>
  <c r="BU60" i="6" s="1"/>
  <c r="BT60" i="6" a="1"/>
  <c r="BT60" i="6" s="1"/>
  <c r="BS60" i="6" a="1"/>
  <c r="BS60" i="6" s="1"/>
  <c r="BA60" i="6" a="1"/>
  <c r="BA60" i="6" s="1"/>
  <c r="AZ60" i="6" a="1"/>
  <c r="AZ60" i="6" s="1"/>
  <c r="AY60" i="6" a="1"/>
  <c r="AY60" i="6" s="1"/>
  <c r="AX60" i="6" a="1"/>
  <c r="AX60" i="6" s="1"/>
  <c r="AW60" i="6" a="1"/>
  <c r="AW60" i="6" s="1"/>
  <c r="AV60" i="6" a="1"/>
  <c r="AV60" i="6" s="1"/>
  <c r="AU60" i="6" a="1"/>
  <c r="AU60" i="6" s="1"/>
  <c r="AT60" i="6" a="1"/>
  <c r="AT60" i="6" s="1"/>
  <c r="AS60" i="6" a="1"/>
  <c r="AS60" i="6" s="1"/>
  <c r="AR60" i="6" a="1"/>
  <c r="AR60" i="6" s="1"/>
  <c r="AH60" i="6" a="1"/>
  <c r="AH60" i="6" s="1"/>
  <c r="AG60" i="6" a="1"/>
  <c r="AG60" i="6" s="1"/>
  <c r="V60" i="6" a="1"/>
  <c r="V60" i="6" s="1"/>
  <c r="U60" i="6" a="1"/>
  <c r="U60" i="6" s="1"/>
  <c r="J60" i="6" a="1"/>
  <c r="J60" i="6" s="1"/>
  <c r="I60" i="6" a="1"/>
  <c r="I60" i="6" s="1"/>
  <c r="ADA59" i="6" a="1"/>
  <c r="ADA59" i="6" s="1"/>
  <c r="ACZ59" i="6" a="1"/>
  <c r="ACZ59" i="6" s="1"/>
  <c r="ACY59" i="6" a="1"/>
  <c r="ACY59" i="6" s="1"/>
  <c r="ACN59" i="6" a="1"/>
  <c r="ACN59" i="6" s="1"/>
  <c r="ACM59" i="6" a="1"/>
  <c r="ACM59" i="6" s="1"/>
  <c r="ABU59" i="6" a="1"/>
  <c r="ABU59" i="6" s="1"/>
  <c r="ABX59" i="6" a="1"/>
  <c r="ABX59" i="6" s="1"/>
  <c r="ABV59" i="6" a="1"/>
  <c r="ABV59" i="6" s="1"/>
  <c r="ABH59" i="6" a="1"/>
  <c r="ABH59" i="6" s="1"/>
  <c r="ABG59" i="6" a="1"/>
  <c r="ABG59" i="6" s="1"/>
  <c r="ABF59" i="6" a="1"/>
  <c r="ABF59" i="6" s="1"/>
  <c r="ABE59" i="6" a="1"/>
  <c r="ABE59" i="6" s="1"/>
  <c r="ABD59" i="6" a="1"/>
  <c r="ABD59" i="6" s="1"/>
  <c r="ZR59" i="6" a="1"/>
  <c r="ZR59" i="6" s="1"/>
  <c r="ZE59" i="6" a="1"/>
  <c r="ZE59" i="6" s="1"/>
  <c r="ZD59" i="6" a="1"/>
  <c r="ZD59" i="6" s="1"/>
  <c r="ZC59" i="6" a="1"/>
  <c r="ZC59" i="6" s="1"/>
  <c r="ZB59" i="6" a="1"/>
  <c r="ZB59" i="6" s="1"/>
  <c r="ZA59" i="6" a="1"/>
  <c r="ZA59" i="6" s="1"/>
  <c r="YP59" i="6" a="1"/>
  <c r="YP59" i="6" s="1"/>
  <c r="YO59" i="6" a="1"/>
  <c r="YO59" i="6" s="1"/>
  <c r="YE59" i="6" a="1"/>
  <c r="YE59" i="6" s="1"/>
  <c r="YD59" i="6" a="1"/>
  <c r="YD59" i="6" s="1"/>
  <c r="XT59" i="6" a="1"/>
  <c r="XT59" i="6" s="1"/>
  <c r="XS59" i="6" a="1"/>
  <c r="XS59" i="6" s="1"/>
  <c r="XI59" i="6" a="1"/>
  <c r="XI59" i="6" s="1"/>
  <c r="XH59" i="6" a="1"/>
  <c r="XH59" i="6" s="1"/>
  <c r="WX59" i="6" a="1"/>
  <c r="WX59" i="6" s="1"/>
  <c r="WW59" i="6" a="1"/>
  <c r="WW59" i="6" s="1"/>
  <c r="WM59" i="6" a="1"/>
  <c r="WM59" i="6" s="1"/>
  <c r="WL59" i="6" a="1"/>
  <c r="WL59" i="6" s="1"/>
  <c r="WC59" i="6" a="1"/>
  <c r="WC59" i="6" s="1"/>
  <c r="VQ59" i="6" a="1"/>
  <c r="VQ59" i="6" s="1"/>
  <c r="VP59" i="6" a="1"/>
  <c r="VP59" i="6" s="1"/>
  <c r="VO59" i="6" a="1"/>
  <c r="VO59" i="6" s="1"/>
  <c r="VN59" i="6" a="1"/>
  <c r="VN59" i="6" s="1"/>
  <c r="VA59" i="6" a="1"/>
  <c r="VA59" i="6" s="1"/>
  <c r="UZ59" i="6" a="1"/>
  <c r="UZ59" i="6" s="1"/>
  <c r="UY59" i="6" a="1"/>
  <c r="UY59" i="6" s="1"/>
  <c r="UX59" i="6" a="1"/>
  <c r="UX59" i="6" s="1"/>
  <c r="UW59" i="6" a="1"/>
  <c r="UW59" i="6" s="1"/>
  <c r="UM59" i="6" a="1"/>
  <c r="UM59" i="6" s="1"/>
  <c r="TZ59" i="6" a="1"/>
  <c r="TZ59" i="6" s="1"/>
  <c r="TY59" i="6" a="1"/>
  <c r="TY59" i="6" s="1"/>
  <c r="TX59" i="6" a="1"/>
  <c r="TX59" i="6" s="1"/>
  <c r="TW59" i="6" a="1"/>
  <c r="TW59" i="6" s="1"/>
  <c r="TV59" i="6" a="1"/>
  <c r="TV59" i="6" s="1"/>
  <c r="TH59" i="6" a="1"/>
  <c r="TH59" i="6" s="1"/>
  <c r="TG59" i="6" a="1"/>
  <c r="TG59" i="6" s="1"/>
  <c r="TF59" i="6" a="1"/>
  <c r="TF59" i="6" s="1"/>
  <c r="TE59" i="6" a="1"/>
  <c r="TE59" i="6" s="1"/>
  <c r="TD59" i="6" a="1"/>
  <c r="TD59" i="6" s="1"/>
  <c r="SP59" i="6" a="1"/>
  <c r="SP59" i="6" s="1"/>
  <c r="SO59" i="6" a="1"/>
  <c r="SO59" i="6" s="1"/>
  <c r="SN59" i="6" a="1"/>
  <c r="SN59" i="6" s="1"/>
  <c r="SM59" i="6" a="1"/>
  <c r="SM59" i="6" s="1"/>
  <c r="SL59" i="6" a="1"/>
  <c r="SL59" i="6" s="1"/>
  <c r="RX59" i="6" a="1"/>
  <c r="RX59" i="6" s="1"/>
  <c r="RW59" i="6" a="1"/>
  <c r="RW59" i="6" s="1"/>
  <c r="RV59" i="6" a="1"/>
  <c r="RV59" i="6" s="1"/>
  <c r="RU59" i="6" a="1"/>
  <c r="RU59" i="6" s="1"/>
  <c r="RT59" i="6" a="1"/>
  <c r="RT59" i="6" s="1"/>
  <c r="RF59" i="6" a="1"/>
  <c r="RF59" i="6" s="1"/>
  <c r="RE59" i="6" a="1"/>
  <c r="RE59" i="6" s="1"/>
  <c r="RD59" i="6" a="1"/>
  <c r="RD59" i="6" s="1"/>
  <c r="RC59" i="6" a="1"/>
  <c r="RC59" i="6" s="1"/>
  <c r="RB59" i="6" a="1"/>
  <c r="RB59" i="6" s="1"/>
  <c r="QN59" i="6" a="1"/>
  <c r="QN59" i="6" s="1"/>
  <c r="QM59" i="6" a="1"/>
  <c r="QM59" i="6" s="1"/>
  <c r="QL59" i="6" a="1"/>
  <c r="QL59" i="6" s="1"/>
  <c r="QK59" i="6" a="1"/>
  <c r="QK59" i="6" s="1"/>
  <c r="QJ59" i="6" a="1"/>
  <c r="QJ59" i="6" s="1"/>
  <c r="PV59" i="6" a="1"/>
  <c r="PV59" i="6" s="1"/>
  <c r="PU59" i="6" a="1"/>
  <c r="PU59" i="6" s="1"/>
  <c r="PT59" i="6" a="1"/>
  <c r="PT59" i="6" s="1"/>
  <c r="PS59" i="6" a="1"/>
  <c r="PS59" i="6" s="1"/>
  <c r="PR59" i="6" a="1"/>
  <c r="PR59" i="6" s="1"/>
  <c r="PD59" i="6" a="1"/>
  <c r="PD59" i="6" s="1"/>
  <c r="PC59" i="6" a="1"/>
  <c r="PC59" i="6" s="1"/>
  <c r="PB59" i="6" a="1"/>
  <c r="PB59" i="6" s="1"/>
  <c r="PA59" i="6" a="1"/>
  <c r="PA59" i="6" s="1"/>
  <c r="OZ59" i="6" a="1"/>
  <c r="OZ59" i="6" s="1"/>
  <c r="OL59" i="6" a="1"/>
  <c r="OL59" i="6" s="1"/>
  <c r="OK59" i="6" a="1"/>
  <c r="OK59" i="6" s="1"/>
  <c r="OJ59" i="6" a="1"/>
  <c r="OJ59" i="6" s="1"/>
  <c r="OI59" i="6" a="1"/>
  <c r="OI59" i="6" s="1"/>
  <c r="OH59" i="6" a="1"/>
  <c r="OH59" i="6" s="1"/>
  <c r="NT59" i="6" a="1"/>
  <c r="NT59" i="6" s="1"/>
  <c r="NS59" i="6" a="1"/>
  <c r="NS59" i="6" s="1"/>
  <c r="NR59" i="6" a="1"/>
  <c r="NR59" i="6" s="1"/>
  <c r="NQ59" i="6" a="1"/>
  <c r="NQ59" i="6" s="1"/>
  <c r="NP59" i="6" a="1"/>
  <c r="NP59" i="6" s="1"/>
  <c r="NC59" i="6" a="1"/>
  <c r="NC59" i="6" s="1"/>
  <c r="NB59" i="6" a="1"/>
  <c r="NB59" i="6" s="1"/>
  <c r="NA59" i="6" a="1"/>
  <c r="NA59" i="6" s="1"/>
  <c r="MZ59" i="6" a="1"/>
  <c r="MZ59" i="6" s="1"/>
  <c r="MY59" i="6" a="1"/>
  <c r="MY59" i="6" s="1"/>
  <c r="MK59" i="6" a="1"/>
  <c r="MK59" i="6" s="1"/>
  <c r="MJ59" i="6" a="1"/>
  <c r="MJ59" i="6" s="1"/>
  <c r="MI59" i="6" a="1"/>
  <c r="MI59" i="6" s="1"/>
  <c r="MH59" i="6" a="1"/>
  <c r="MH59" i="6" s="1"/>
  <c r="MG59" i="6" a="1"/>
  <c r="MG59" i="6" s="1"/>
  <c r="LS59" i="6" a="1"/>
  <c r="LS59" i="6" s="1"/>
  <c r="LR59" i="6" a="1"/>
  <c r="LR59" i="6" s="1"/>
  <c r="LQ59" i="6" a="1"/>
  <c r="LQ59" i="6" s="1"/>
  <c r="LP59" i="6" a="1"/>
  <c r="LP59" i="6" s="1"/>
  <c r="LO59" i="6" a="1"/>
  <c r="LO59" i="6" s="1"/>
  <c r="LA59" i="6" a="1"/>
  <c r="LA59" i="6" s="1"/>
  <c r="KZ59" i="6" a="1"/>
  <c r="KZ59" i="6" s="1"/>
  <c r="KY59" i="6" a="1"/>
  <c r="KY59" i="6" s="1"/>
  <c r="KX59" i="6" a="1"/>
  <c r="KX59" i="6" s="1"/>
  <c r="KW59" i="6" a="1"/>
  <c r="KW59" i="6" s="1"/>
  <c r="KI59" i="6" a="1"/>
  <c r="KI59" i="6" s="1"/>
  <c r="KH59" i="6" a="1"/>
  <c r="KH59" i="6" s="1"/>
  <c r="KG59" i="6" a="1"/>
  <c r="KG59" i="6" s="1"/>
  <c r="KF59" i="6" a="1"/>
  <c r="KF59" i="6" s="1"/>
  <c r="KE59" i="6" a="1"/>
  <c r="KE59" i="6" s="1"/>
  <c r="JQ59" i="6" a="1"/>
  <c r="JQ59" i="6" s="1"/>
  <c r="JP59" i="6" a="1"/>
  <c r="JP59" i="6" s="1"/>
  <c r="JO59" i="6" a="1"/>
  <c r="JO59" i="6" s="1"/>
  <c r="JN59" i="6" a="1"/>
  <c r="JN59" i="6" s="1"/>
  <c r="JM59" i="6" a="1"/>
  <c r="JM59" i="6" s="1"/>
  <c r="IY59" i="6" a="1"/>
  <c r="IY59" i="6" s="1"/>
  <c r="IX59" i="6" a="1"/>
  <c r="IX59" i="6" s="1"/>
  <c r="IW59" i="6" a="1"/>
  <c r="IW59" i="6" s="1"/>
  <c r="IV59" i="6" a="1"/>
  <c r="IV59" i="6" s="1"/>
  <c r="IU59" i="6" a="1"/>
  <c r="IU59" i="6" s="1"/>
  <c r="IG59" i="6" a="1"/>
  <c r="IG59" i="6" s="1"/>
  <c r="IF59" i="6" a="1"/>
  <c r="IF59" i="6" s="1"/>
  <c r="IE59" i="6" a="1"/>
  <c r="IE59" i="6" s="1"/>
  <c r="ID59" i="6" a="1"/>
  <c r="ID59" i="6" s="1"/>
  <c r="IC59" i="6" a="1"/>
  <c r="IC59" i="6" s="1"/>
  <c r="HO59" i="6" a="1"/>
  <c r="HO59" i="6" s="1"/>
  <c r="HN59" i="6" a="1"/>
  <c r="HN59" i="6" s="1"/>
  <c r="HM59" i="6" a="1"/>
  <c r="HM59" i="6" s="1"/>
  <c r="HL59" i="6" a="1"/>
  <c r="HL59" i="6" s="1"/>
  <c r="HK59" i="6" a="1"/>
  <c r="HK59" i="6" s="1"/>
  <c r="GX59" i="6" a="1"/>
  <c r="GX59" i="6" s="1"/>
  <c r="GW59" i="6" a="1"/>
  <c r="GW59" i="6" s="1"/>
  <c r="GV59" i="6" a="1"/>
  <c r="GV59" i="6" s="1"/>
  <c r="GU59" i="6" a="1"/>
  <c r="GU59" i="6" s="1"/>
  <c r="GT59" i="6" a="1"/>
  <c r="GT59" i="6" s="1"/>
  <c r="GG59" i="6" a="1"/>
  <c r="GG59" i="6" s="1"/>
  <c r="GF59" i="6" a="1"/>
  <c r="GF59" i="6" s="1"/>
  <c r="GE59" i="6" a="1"/>
  <c r="GE59" i="6" s="1"/>
  <c r="GD59" i="6" a="1"/>
  <c r="GD59" i="6" s="1"/>
  <c r="GC59" i="6" a="1"/>
  <c r="GC59" i="6" s="1"/>
  <c r="FP59" i="6" a="1"/>
  <c r="FP59" i="6" s="1"/>
  <c r="FO59" i="6" a="1"/>
  <c r="FO59" i="6" s="1"/>
  <c r="FN59" i="6" a="1"/>
  <c r="FN59" i="6" s="1"/>
  <c r="FM59" i="6" a="1"/>
  <c r="FM59" i="6" s="1"/>
  <c r="FL59" i="6" a="1"/>
  <c r="FL59" i="6" s="1"/>
  <c r="EY59" i="6" a="1"/>
  <c r="EY59" i="6" s="1"/>
  <c r="EX59" i="6" a="1"/>
  <c r="EX59" i="6" s="1"/>
  <c r="EW59" i="6" a="1"/>
  <c r="EW59" i="6" s="1"/>
  <c r="EV59" i="6" a="1"/>
  <c r="EV59" i="6" s="1"/>
  <c r="EU59" i="6" a="1"/>
  <c r="EU59" i="6" s="1"/>
  <c r="EH59" i="6" a="1"/>
  <c r="EH59" i="6" s="1"/>
  <c r="EG59" i="6" a="1"/>
  <c r="EG59" i="6" s="1"/>
  <c r="EF59" i="6" a="1"/>
  <c r="EF59" i="6" s="1"/>
  <c r="EE59" i="6" a="1"/>
  <c r="EE59" i="6" s="1"/>
  <c r="ED59" i="6" a="1"/>
  <c r="ED59" i="6" s="1"/>
  <c r="DQ59" i="6" a="1"/>
  <c r="DQ59" i="6" s="1"/>
  <c r="DP59" i="6" a="1"/>
  <c r="DP59" i="6" s="1"/>
  <c r="DO59" i="6" a="1"/>
  <c r="DO59" i="6" s="1"/>
  <c r="DN59" i="6" a="1"/>
  <c r="DN59" i="6" s="1"/>
  <c r="DM59" i="6" a="1"/>
  <c r="DM59" i="6" s="1"/>
  <c r="DD59" i="6" a="1"/>
  <c r="DD59" i="6" s="1"/>
  <c r="CU59" i="6" a="1"/>
  <c r="CU59" i="6" s="1"/>
  <c r="CL59" i="6" a="1"/>
  <c r="CL59" i="6" s="1"/>
  <c r="BX59" i="6" a="1"/>
  <c r="BX59" i="6" s="1"/>
  <c r="BW59" i="6" a="1"/>
  <c r="BW59" i="6" s="1"/>
  <c r="BV59" i="6" a="1"/>
  <c r="BV59" i="6" s="1"/>
  <c r="BU59" i="6" a="1"/>
  <c r="BU59" i="6" s="1"/>
  <c r="BT59" i="6" a="1"/>
  <c r="BT59" i="6" s="1"/>
  <c r="BS59" i="6" a="1"/>
  <c r="BS59" i="6" s="1"/>
  <c r="BA59" i="6" a="1"/>
  <c r="BA59" i="6" s="1"/>
  <c r="AZ59" i="6" a="1"/>
  <c r="AZ59" i="6" s="1"/>
  <c r="AY59" i="6" a="1"/>
  <c r="AY59" i="6" s="1"/>
  <c r="AX59" i="6" a="1"/>
  <c r="AX59" i="6" s="1"/>
  <c r="AW59" i="6" a="1"/>
  <c r="AW59" i="6" s="1"/>
  <c r="AV59" i="6" a="1"/>
  <c r="AV59" i="6" s="1"/>
  <c r="AU59" i="6" a="1"/>
  <c r="AU59" i="6" s="1"/>
  <c r="AT59" i="6" a="1"/>
  <c r="AT59" i="6" s="1"/>
  <c r="AS59" i="6" a="1"/>
  <c r="AS59" i="6" s="1"/>
  <c r="AR59" i="6" a="1"/>
  <c r="AR59" i="6" s="1"/>
  <c r="AH59" i="6" a="1"/>
  <c r="AH59" i="6" s="1"/>
  <c r="AG59" i="6" a="1"/>
  <c r="AG59" i="6" s="1"/>
  <c r="V59" i="6" a="1"/>
  <c r="V59" i="6" s="1"/>
  <c r="U59" i="6" a="1"/>
  <c r="U59" i="6" s="1"/>
  <c r="J59" i="6" a="1"/>
  <c r="J59" i="6" s="1"/>
  <c r="I59" i="6" a="1"/>
  <c r="I59" i="6" s="1"/>
  <c r="ADA58" i="6" a="1"/>
  <c r="ADA58" i="6" s="1"/>
  <c r="ACZ58" i="6" a="1"/>
  <c r="ACZ58" i="6" s="1"/>
  <c r="ACY58" i="6" a="1"/>
  <c r="ACY58" i="6" s="1"/>
  <c r="ACN58" i="6" a="1"/>
  <c r="ACN58" i="6" s="1"/>
  <c r="ACM58" i="6" a="1"/>
  <c r="ACM58" i="6" s="1"/>
  <c r="ABU58" i="6" a="1"/>
  <c r="ABU58" i="6" s="1"/>
  <c r="ABX58" i="6" a="1"/>
  <c r="ABX58" i="6" s="1"/>
  <c r="ABV58" i="6" a="1"/>
  <c r="ABV58" i="6" s="1"/>
  <c r="ABH58" i="6" a="1"/>
  <c r="ABH58" i="6" s="1"/>
  <c r="ABG58" i="6" a="1"/>
  <c r="ABG58" i="6" s="1"/>
  <c r="ABF58" i="6" a="1"/>
  <c r="ABF58" i="6" s="1"/>
  <c r="ABE58" i="6" a="1"/>
  <c r="ABE58" i="6" s="1"/>
  <c r="ABD58" i="6" a="1"/>
  <c r="ABD58" i="6" s="1"/>
  <c r="ZR58" i="6" a="1"/>
  <c r="ZR58" i="6" s="1"/>
  <c r="ZE58" i="6" a="1"/>
  <c r="ZE58" i="6" s="1"/>
  <c r="ZD58" i="6" a="1"/>
  <c r="ZD58" i="6" s="1"/>
  <c r="ZC58" i="6" a="1"/>
  <c r="ZC58" i="6" s="1"/>
  <c r="ZB58" i="6" a="1"/>
  <c r="ZB58" i="6" s="1"/>
  <c r="ZA58" i="6" a="1"/>
  <c r="ZA58" i="6" s="1"/>
  <c r="YP58" i="6" a="1"/>
  <c r="YP58" i="6" s="1"/>
  <c r="YO58" i="6" a="1"/>
  <c r="YO58" i="6" s="1"/>
  <c r="YE58" i="6" a="1"/>
  <c r="YE58" i="6" s="1"/>
  <c r="YD58" i="6" a="1"/>
  <c r="YD58" i="6" s="1"/>
  <c r="XT58" i="6" a="1"/>
  <c r="XT58" i="6" s="1"/>
  <c r="XS58" i="6" a="1"/>
  <c r="XS58" i="6" s="1"/>
  <c r="XI58" i="6" a="1"/>
  <c r="XI58" i="6" s="1"/>
  <c r="XH58" i="6" a="1"/>
  <c r="XH58" i="6" s="1"/>
  <c r="WX58" i="6" a="1"/>
  <c r="WX58" i="6" s="1"/>
  <c r="WW58" i="6" a="1"/>
  <c r="WW58" i="6" s="1"/>
  <c r="WM58" i="6" a="1"/>
  <c r="WM58" i="6" s="1"/>
  <c r="WL58" i="6" a="1"/>
  <c r="WL58" i="6" s="1"/>
  <c r="WC58" i="6" a="1"/>
  <c r="WC58" i="6" s="1"/>
  <c r="VQ58" i="6" a="1"/>
  <c r="VQ58" i="6" s="1"/>
  <c r="VP58" i="6" a="1"/>
  <c r="VP58" i="6" s="1"/>
  <c r="VO58" i="6" a="1"/>
  <c r="VO58" i="6" s="1"/>
  <c r="VN58" i="6" a="1"/>
  <c r="VN58" i="6" s="1"/>
  <c r="VA58" i="6" a="1"/>
  <c r="VA58" i="6" s="1"/>
  <c r="UZ58" i="6" a="1"/>
  <c r="UZ58" i="6" s="1"/>
  <c r="UY58" i="6" a="1"/>
  <c r="UY58" i="6" s="1"/>
  <c r="UX58" i="6" a="1"/>
  <c r="UX58" i="6" s="1"/>
  <c r="UW58" i="6" a="1"/>
  <c r="UW58" i="6" s="1"/>
  <c r="UM58" i="6" a="1"/>
  <c r="UM58" i="6" s="1"/>
  <c r="TZ58" i="6" a="1"/>
  <c r="TZ58" i="6" s="1"/>
  <c r="TY58" i="6" a="1"/>
  <c r="TY58" i="6" s="1"/>
  <c r="TX58" i="6" a="1"/>
  <c r="TX58" i="6" s="1"/>
  <c r="TW58" i="6" a="1"/>
  <c r="TW58" i="6" s="1"/>
  <c r="TV58" i="6" a="1"/>
  <c r="TV58" i="6" s="1"/>
  <c r="TH58" i="6" a="1"/>
  <c r="TH58" i="6" s="1"/>
  <c r="TG58" i="6" a="1"/>
  <c r="TG58" i="6" s="1"/>
  <c r="TF58" i="6" a="1"/>
  <c r="TF58" i="6" s="1"/>
  <c r="TE58" i="6" a="1"/>
  <c r="TE58" i="6" s="1"/>
  <c r="TD58" i="6" a="1"/>
  <c r="TD58" i="6" s="1"/>
  <c r="SP58" i="6" a="1"/>
  <c r="SP58" i="6" s="1"/>
  <c r="SO58" i="6" a="1"/>
  <c r="SO58" i="6" s="1"/>
  <c r="SN58" i="6" a="1"/>
  <c r="SN58" i="6" s="1"/>
  <c r="SM58" i="6" a="1"/>
  <c r="SM58" i="6" s="1"/>
  <c r="SL58" i="6" a="1"/>
  <c r="SL58" i="6" s="1"/>
  <c r="RX58" i="6" a="1"/>
  <c r="RX58" i="6" s="1"/>
  <c r="RW58" i="6" a="1"/>
  <c r="RW58" i="6" s="1"/>
  <c r="RV58" i="6" a="1"/>
  <c r="RV58" i="6" s="1"/>
  <c r="RU58" i="6" a="1"/>
  <c r="RU58" i="6" s="1"/>
  <c r="RT58" i="6" a="1"/>
  <c r="RT58" i="6" s="1"/>
  <c r="RF58" i="6" a="1"/>
  <c r="RF58" i="6" s="1"/>
  <c r="RE58" i="6" a="1"/>
  <c r="RE58" i="6" s="1"/>
  <c r="RD58" i="6" a="1"/>
  <c r="RD58" i="6" s="1"/>
  <c r="RC58" i="6" a="1"/>
  <c r="RC58" i="6" s="1"/>
  <c r="RB58" i="6" a="1"/>
  <c r="RB58" i="6" s="1"/>
  <c r="QN58" i="6" a="1"/>
  <c r="QN58" i="6" s="1"/>
  <c r="QM58" i="6" a="1"/>
  <c r="QM58" i="6" s="1"/>
  <c r="QL58" i="6" a="1"/>
  <c r="QL58" i="6" s="1"/>
  <c r="QK58" i="6" a="1"/>
  <c r="QK58" i="6" s="1"/>
  <c r="QJ58" i="6" a="1"/>
  <c r="QJ58" i="6" s="1"/>
  <c r="PV58" i="6" a="1"/>
  <c r="PV58" i="6" s="1"/>
  <c r="PU58" i="6" a="1"/>
  <c r="PU58" i="6" s="1"/>
  <c r="PT58" i="6" a="1"/>
  <c r="PT58" i="6" s="1"/>
  <c r="PS58" i="6" a="1"/>
  <c r="PS58" i="6" s="1"/>
  <c r="PR58" i="6" a="1"/>
  <c r="PR58" i="6" s="1"/>
  <c r="PD58" i="6" a="1"/>
  <c r="PD58" i="6" s="1"/>
  <c r="PC58" i="6" a="1"/>
  <c r="PC58" i="6" s="1"/>
  <c r="PB58" i="6" a="1"/>
  <c r="PB58" i="6" s="1"/>
  <c r="PA58" i="6" a="1"/>
  <c r="PA58" i="6" s="1"/>
  <c r="OZ58" i="6" a="1"/>
  <c r="OZ58" i="6" s="1"/>
  <c r="OL58" i="6" a="1"/>
  <c r="OL58" i="6" s="1"/>
  <c r="OK58" i="6" a="1"/>
  <c r="OK58" i="6" s="1"/>
  <c r="OJ58" i="6" a="1"/>
  <c r="OJ58" i="6" s="1"/>
  <c r="OI58" i="6" a="1"/>
  <c r="OI58" i="6" s="1"/>
  <c r="OH58" i="6" a="1"/>
  <c r="OH58" i="6" s="1"/>
  <c r="NT58" i="6" a="1"/>
  <c r="NT58" i="6" s="1"/>
  <c r="NS58" i="6" a="1"/>
  <c r="NS58" i="6" s="1"/>
  <c r="NR58" i="6" a="1"/>
  <c r="NR58" i="6" s="1"/>
  <c r="NQ58" i="6" a="1"/>
  <c r="NQ58" i="6" s="1"/>
  <c r="NP58" i="6" a="1"/>
  <c r="NP58" i="6" s="1"/>
  <c r="NC58" i="6" a="1"/>
  <c r="NC58" i="6" s="1"/>
  <c r="NB58" i="6" a="1"/>
  <c r="NB58" i="6" s="1"/>
  <c r="NA58" i="6" a="1"/>
  <c r="NA58" i="6" s="1"/>
  <c r="MZ58" i="6" a="1"/>
  <c r="MZ58" i="6" s="1"/>
  <c r="MY58" i="6" a="1"/>
  <c r="MY58" i="6" s="1"/>
  <c r="MK58" i="6" a="1"/>
  <c r="MK58" i="6" s="1"/>
  <c r="MJ58" i="6" a="1"/>
  <c r="MJ58" i="6" s="1"/>
  <c r="MI58" i="6" a="1"/>
  <c r="MI58" i="6" s="1"/>
  <c r="MH58" i="6" a="1"/>
  <c r="MH58" i="6" s="1"/>
  <c r="MG58" i="6" a="1"/>
  <c r="MG58" i="6" s="1"/>
  <c r="LS58" i="6" a="1"/>
  <c r="LS58" i="6" s="1"/>
  <c r="LR58" i="6" a="1"/>
  <c r="LR58" i="6" s="1"/>
  <c r="LQ58" i="6" a="1"/>
  <c r="LQ58" i="6" s="1"/>
  <c r="LP58" i="6" a="1"/>
  <c r="LP58" i="6" s="1"/>
  <c r="LO58" i="6" a="1"/>
  <c r="LO58" i="6" s="1"/>
  <c r="LA58" i="6" a="1"/>
  <c r="LA58" i="6" s="1"/>
  <c r="KZ58" i="6" a="1"/>
  <c r="KZ58" i="6" s="1"/>
  <c r="KY58" i="6" a="1"/>
  <c r="KY58" i="6" s="1"/>
  <c r="KX58" i="6" a="1"/>
  <c r="KX58" i="6" s="1"/>
  <c r="KW58" i="6" a="1"/>
  <c r="KW58" i="6" s="1"/>
  <c r="KI58" i="6" a="1"/>
  <c r="KI58" i="6" s="1"/>
  <c r="KH58" i="6" a="1"/>
  <c r="KH58" i="6" s="1"/>
  <c r="KG58" i="6" a="1"/>
  <c r="KG58" i="6" s="1"/>
  <c r="KF58" i="6" a="1"/>
  <c r="KF58" i="6" s="1"/>
  <c r="KE58" i="6" a="1"/>
  <c r="KE58" i="6" s="1"/>
  <c r="JQ58" i="6" a="1"/>
  <c r="JQ58" i="6" s="1"/>
  <c r="JP58" i="6" a="1"/>
  <c r="JP58" i="6" s="1"/>
  <c r="JO58" i="6" a="1"/>
  <c r="JO58" i="6" s="1"/>
  <c r="JN58" i="6" a="1"/>
  <c r="JN58" i="6" s="1"/>
  <c r="JM58" i="6" a="1"/>
  <c r="JM58" i="6" s="1"/>
  <c r="IY58" i="6" a="1"/>
  <c r="IY58" i="6" s="1"/>
  <c r="IX58" i="6" a="1"/>
  <c r="IX58" i="6" s="1"/>
  <c r="IW58" i="6" a="1"/>
  <c r="IW58" i="6" s="1"/>
  <c r="IV58" i="6" a="1"/>
  <c r="IV58" i="6" s="1"/>
  <c r="IU58" i="6" a="1"/>
  <c r="IU58" i="6" s="1"/>
  <c r="IG58" i="6" a="1"/>
  <c r="IG58" i="6" s="1"/>
  <c r="IF58" i="6" a="1"/>
  <c r="IF58" i="6" s="1"/>
  <c r="IE58" i="6" a="1"/>
  <c r="IE58" i="6" s="1"/>
  <c r="ID58" i="6" a="1"/>
  <c r="ID58" i="6" s="1"/>
  <c r="IC58" i="6" a="1"/>
  <c r="IC58" i="6" s="1"/>
  <c r="HO58" i="6" a="1"/>
  <c r="HO58" i="6" s="1"/>
  <c r="HN58" i="6" a="1"/>
  <c r="HN58" i="6" s="1"/>
  <c r="HM58" i="6" a="1"/>
  <c r="HM58" i="6" s="1"/>
  <c r="HL58" i="6" a="1"/>
  <c r="HL58" i="6" s="1"/>
  <c r="HK58" i="6" a="1"/>
  <c r="HK58" i="6" s="1"/>
  <c r="GX58" i="6" a="1"/>
  <c r="GX58" i="6" s="1"/>
  <c r="GW58" i="6" a="1"/>
  <c r="GW58" i="6" s="1"/>
  <c r="GV58" i="6" a="1"/>
  <c r="GV58" i="6" s="1"/>
  <c r="GU58" i="6" a="1"/>
  <c r="GU58" i="6" s="1"/>
  <c r="GT58" i="6" a="1"/>
  <c r="GT58" i="6" s="1"/>
  <c r="GG58" i="6" a="1"/>
  <c r="GG58" i="6" s="1"/>
  <c r="GF58" i="6" a="1"/>
  <c r="GF58" i="6" s="1"/>
  <c r="GE58" i="6" a="1"/>
  <c r="GE58" i="6" s="1"/>
  <c r="GD58" i="6" a="1"/>
  <c r="GD58" i="6" s="1"/>
  <c r="GC58" i="6" a="1"/>
  <c r="GC58" i="6" s="1"/>
  <c r="FP58" i="6" a="1"/>
  <c r="FP58" i="6" s="1"/>
  <c r="FO58" i="6" a="1"/>
  <c r="FO58" i="6" s="1"/>
  <c r="FN58" i="6" a="1"/>
  <c r="FN58" i="6" s="1"/>
  <c r="FM58" i="6" a="1"/>
  <c r="FM58" i="6" s="1"/>
  <c r="FL58" i="6" a="1"/>
  <c r="FL58" i="6" s="1"/>
  <c r="EY58" i="6" a="1"/>
  <c r="EY58" i="6" s="1"/>
  <c r="EX58" i="6" a="1"/>
  <c r="EX58" i="6" s="1"/>
  <c r="EW58" i="6" a="1"/>
  <c r="EW58" i="6" s="1"/>
  <c r="EV58" i="6" a="1"/>
  <c r="EV58" i="6" s="1"/>
  <c r="EU58" i="6" a="1"/>
  <c r="EU58" i="6" s="1"/>
  <c r="EH58" i="6" a="1"/>
  <c r="EH58" i="6" s="1"/>
  <c r="EG58" i="6" a="1"/>
  <c r="EG58" i="6" s="1"/>
  <c r="EF58" i="6" a="1"/>
  <c r="EF58" i="6" s="1"/>
  <c r="EE58" i="6" a="1"/>
  <c r="EE58" i="6" s="1"/>
  <c r="ED58" i="6" a="1"/>
  <c r="ED58" i="6" s="1"/>
  <c r="DQ58" i="6" a="1"/>
  <c r="DQ58" i="6" s="1"/>
  <c r="DP58" i="6" a="1"/>
  <c r="DP58" i="6" s="1"/>
  <c r="DO58" i="6" a="1"/>
  <c r="DO58" i="6" s="1"/>
  <c r="DN58" i="6" a="1"/>
  <c r="DN58" i="6" s="1"/>
  <c r="DM58" i="6" a="1"/>
  <c r="DM58" i="6" s="1"/>
  <c r="DD58" i="6" a="1"/>
  <c r="DD58" i="6" s="1"/>
  <c r="CU58" i="6" a="1"/>
  <c r="CU58" i="6" s="1"/>
  <c r="CL58" i="6" a="1"/>
  <c r="CL58" i="6" s="1"/>
  <c r="BX58" i="6" a="1"/>
  <c r="BX58" i="6" s="1"/>
  <c r="BW58" i="6" a="1"/>
  <c r="BW58" i="6" s="1"/>
  <c r="BV58" i="6" a="1"/>
  <c r="BV58" i="6" s="1"/>
  <c r="BU58" i="6" a="1"/>
  <c r="BU58" i="6" s="1"/>
  <c r="BT58" i="6" a="1"/>
  <c r="BT58" i="6" s="1"/>
  <c r="BS58" i="6" a="1"/>
  <c r="BS58" i="6" s="1"/>
  <c r="BA58" i="6" a="1"/>
  <c r="BA58" i="6" s="1"/>
  <c r="AZ58" i="6" a="1"/>
  <c r="AZ58" i="6" s="1"/>
  <c r="AY58" i="6" a="1"/>
  <c r="AY58" i="6" s="1"/>
  <c r="AX58" i="6" a="1"/>
  <c r="AX58" i="6" s="1"/>
  <c r="AW58" i="6" a="1"/>
  <c r="AW58" i="6" s="1"/>
  <c r="AV58" i="6" a="1"/>
  <c r="AV58" i="6" s="1"/>
  <c r="AU58" i="6" a="1"/>
  <c r="AU58" i="6" s="1"/>
  <c r="AT58" i="6" a="1"/>
  <c r="AT58" i="6" s="1"/>
  <c r="AS58" i="6" a="1"/>
  <c r="AS58" i="6" s="1"/>
  <c r="AR58" i="6" a="1"/>
  <c r="AR58" i="6" s="1"/>
  <c r="AH58" i="6" a="1"/>
  <c r="AH58" i="6" s="1"/>
  <c r="AG58" i="6" a="1"/>
  <c r="AG58" i="6" s="1"/>
  <c r="V58" i="6" a="1"/>
  <c r="V58" i="6" s="1"/>
  <c r="U58" i="6" a="1"/>
  <c r="U58" i="6" s="1"/>
  <c r="J58" i="6" a="1"/>
  <c r="J58" i="6" s="1"/>
  <c r="I58" i="6" a="1"/>
  <c r="I58" i="6" s="1"/>
  <c r="ADA57" i="6" a="1"/>
  <c r="ADA57" i="6" s="1"/>
  <c r="ACZ57" i="6" a="1"/>
  <c r="ACZ57" i="6" s="1"/>
  <c r="ACY57" i="6" a="1"/>
  <c r="ACY57" i="6" s="1"/>
  <c r="ACN57" i="6" a="1"/>
  <c r="ACN57" i="6" s="1"/>
  <c r="ACM57" i="6" a="1"/>
  <c r="ACM57" i="6" s="1"/>
  <c r="ABU57" i="6" a="1"/>
  <c r="ABU57" i="6" s="1"/>
  <c r="ABX57" i="6" a="1"/>
  <c r="ABX57" i="6" s="1"/>
  <c r="ABV57" i="6" a="1"/>
  <c r="ABV57" i="6" s="1"/>
  <c r="ABH57" i="6" a="1"/>
  <c r="ABH57" i="6" s="1"/>
  <c r="ABG57" i="6" a="1"/>
  <c r="ABG57" i="6" s="1"/>
  <c r="ABF57" i="6" a="1"/>
  <c r="ABF57" i="6" s="1"/>
  <c r="ABE57" i="6" a="1"/>
  <c r="ABE57" i="6" s="1"/>
  <c r="ABD57" i="6" a="1"/>
  <c r="ABD57" i="6" s="1"/>
  <c r="ZR57" i="6" a="1"/>
  <c r="ZR57" i="6" s="1"/>
  <c r="ZE57" i="6" a="1"/>
  <c r="ZE57" i="6" s="1"/>
  <c r="ZD57" i="6" a="1"/>
  <c r="ZD57" i="6" s="1"/>
  <c r="ZC57" i="6" a="1"/>
  <c r="ZC57" i="6" s="1"/>
  <c r="ZB57" i="6" a="1"/>
  <c r="ZB57" i="6" s="1"/>
  <c r="ZA57" i="6" a="1"/>
  <c r="ZA57" i="6" s="1"/>
  <c r="YP57" i="6" a="1"/>
  <c r="YP57" i="6" s="1"/>
  <c r="YO57" i="6" a="1"/>
  <c r="YO57" i="6" s="1"/>
  <c r="YE57" i="6" a="1"/>
  <c r="YE57" i="6" s="1"/>
  <c r="YD57" i="6" a="1"/>
  <c r="YD57" i="6" s="1"/>
  <c r="XT57" i="6" a="1"/>
  <c r="XT57" i="6" s="1"/>
  <c r="XS57" i="6" a="1"/>
  <c r="XS57" i="6" s="1"/>
  <c r="XI57" i="6" a="1"/>
  <c r="XI57" i="6" s="1"/>
  <c r="XH57" i="6" a="1"/>
  <c r="XH57" i="6" s="1"/>
  <c r="WX57" i="6" a="1"/>
  <c r="WX57" i="6" s="1"/>
  <c r="WW57" i="6" a="1"/>
  <c r="WW57" i="6" s="1"/>
  <c r="WM57" i="6" a="1"/>
  <c r="WM57" i="6" s="1"/>
  <c r="WL57" i="6" a="1"/>
  <c r="WL57" i="6" s="1"/>
  <c r="WC57" i="6" a="1"/>
  <c r="WC57" i="6" s="1"/>
  <c r="VQ57" i="6" a="1"/>
  <c r="VQ57" i="6" s="1"/>
  <c r="VP57" i="6" a="1"/>
  <c r="VP57" i="6" s="1"/>
  <c r="VO57" i="6" a="1"/>
  <c r="VO57" i="6" s="1"/>
  <c r="VN57" i="6" a="1"/>
  <c r="VN57" i="6" s="1"/>
  <c r="VA57" i="6" a="1"/>
  <c r="VA57" i="6" s="1"/>
  <c r="UZ57" i="6" a="1"/>
  <c r="UZ57" i="6" s="1"/>
  <c r="UY57" i="6" a="1"/>
  <c r="UY57" i="6" s="1"/>
  <c r="UX57" i="6" a="1"/>
  <c r="UX57" i="6" s="1"/>
  <c r="UW57" i="6" a="1"/>
  <c r="UW57" i="6" s="1"/>
  <c r="UM57" i="6" a="1"/>
  <c r="UM57" i="6" s="1"/>
  <c r="TZ57" i="6" a="1"/>
  <c r="TZ57" i="6" s="1"/>
  <c r="TY57" i="6" a="1"/>
  <c r="TY57" i="6" s="1"/>
  <c r="TX57" i="6" a="1"/>
  <c r="TX57" i="6" s="1"/>
  <c r="TW57" i="6" a="1"/>
  <c r="TW57" i="6" s="1"/>
  <c r="TV57" i="6" a="1"/>
  <c r="TV57" i="6" s="1"/>
  <c r="TH57" i="6" a="1"/>
  <c r="TH57" i="6" s="1"/>
  <c r="TG57" i="6" a="1"/>
  <c r="TG57" i="6" s="1"/>
  <c r="TF57" i="6" a="1"/>
  <c r="TF57" i="6" s="1"/>
  <c r="TE57" i="6" a="1"/>
  <c r="TE57" i="6" s="1"/>
  <c r="TD57" i="6" a="1"/>
  <c r="TD57" i="6" s="1"/>
  <c r="SP57" i="6" a="1"/>
  <c r="SP57" i="6" s="1"/>
  <c r="SO57" i="6" a="1"/>
  <c r="SO57" i="6" s="1"/>
  <c r="SN57" i="6" a="1"/>
  <c r="SN57" i="6" s="1"/>
  <c r="SM57" i="6" a="1"/>
  <c r="SM57" i="6" s="1"/>
  <c r="SL57" i="6" a="1"/>
  <c r="SL57" i="6" s="1"/>
  <c r="RX57" i="6" a="1"/>
  <c r="RX57" i="6" s="1"/>
  <c r="RW57" i="6" a="1"/>
  <c r="RW57" i="6" s="1"/>
  <c r="RV57" i="6" a="1"/>
  <c r="RV57" i="6" s="1"/>
  <c r="RU57" i="6" a="1"/>
  <c r="RU57" i="6" s="1"/>
  <c r="RT57" i="6" a="1"/>
  <c r="RT57" i="6" s="1"/>
  <c r="RF57" i="6" a="1"/>
  <c r="RF57" i="6" s="1"/>
  <c r="RE57" i="6" a="1"/>
  <c r="RE57" i="6" s="1"/>
  <c r="RD57" i="6" a="1"/>
  <c r="RD57" i="6" s="1"/>
  <c r="RC57" i="6" a="1"/>
  <c r="RC57" i="6" s="1"/>
  <c r="RB57" i="6" a="1"/>
  <c r="RB57" i="6" s="1"/>
  <c r="QN57" i="6" a="1"/>
  <c r="QN57" i="6" s="1"/>
  <c r="QM57" i="6" a="1"/>
  <c r="QM57" i="6" s="1"/>
  <c r="QL57" i="6" a="1"/>
  <c r="QL57" i="6" s="1"/>
  <c r="QK57" i="6" a="1"/>
  <c r="QK57" i="6" s="1"/>
  <c r="QJ57" i="6" a="1"/>
  <c r="QJ57" i="6" s="1"/>
  <c r="PV57" i="6" a="1"/>
  <c r="PV57" i="6" s="1"/>
  <c r="PU57" i="6" a="1"/>
  <c r="PU57" i="6" s="1"/>
  <c r="PT57" i="6" a="1"/>
  <c r="PT57" i="6" s="1"/>
  <c r="PS57" i="6" a="1"/>
  <c r="PS57" i="6" s="1"/>
  <c r="PR57" i="6" a="1"/>
  <c r="PR57" i="6" s="1"/>
  <c r="PD57" i="6" a="1"/>
  <c r="PD57" i="6" s="1"/>
  <c r="PC57" i="6" a="1"/>
  <c r="PC57" i="6" s="1"/>
  <c r="PB57" i="6" a="1"/>
  <c r="PB57" i="6" s="1"/>
  <c r="PA57" i="6" a="1"/>
  <c r="PA57" i="6" s="1"/>
  <c r="OZ57" i="6" a="1"/>
  <c r="OZ57" i="6" s="1"/>
  <c r="OL57" i="6" a="1"/>
  <c r="OL57" i="6" s="1"/>
  <c r="OK57" i="6" a="1"/>
  <c r="OK57" i="6" s="1"/>
  <c r="OJ57" i="6" a="1"/>
  <c r="OJ57" i="6" s="1"/>
  <c r="OI57" i="6" a="1"/>
  <c r="OI57" i="6" s="1"/>
  <c r="OH57" i="6" a="1"/>
  <c r="OH57" i="6" s="1"/>
  <c r="NT57" i="6" a="1"/>
  <c r="NT57" i="6" s="1"/>
  <c r="NS57" i="6" a="1"/>
  <c r="NS57" i="6" s="1"/>
  <c r="NR57" i="6" a="1"/>
  <c r="NR57" i="6" s="1"/>
  <c r="NQ57" i="6" a="1"/>
  <c r="NQ57" i="6" s="1"/>
  <c r="NP57" i="6" a="1"/>
  <c r="NP57" i="6" s="1"/>
  <c r="NC57" i="6" a="1"/>
  <c r="NC57" i="6" s="1"/>
  <c r="NB57" i="6" a="1"/>
  <c r="NB57" i="6" s="1"/>
  <c r="NA57" i="6" a="1"/>
  <c r="NA57" i="6" s="1"/>
  <c r="MZ57" i="6" a="1"/>
  <c r="MZ57" i="6" s="1"/>
  <c r="MY57" i="6" a="1"/>
  <c r="MY57" i="6" s="1"/>
  <c r="MK57" i="6" a="1"/>
  <c r="MK57" i="6" s="1"/>
  <c r="MJ57" i="6" a="1"/>
  <c r="MJ57" i="6" s="1"/>
  <c r="MI57" i="6" a="1"/>
  <c r="MI57" i="6" s="1"/>
  <c r="MH57" i="6" a="1"/>
  <c r="MH57" i="6" s="1"/>
  <c r="MG57" i="6" a="1"/>
  <c r="MG57" i="6" s="1"/>
  <c r="LS57" i="6" a="1"/>
  <c r="LS57" i="6" s="1"/>
  <c r="LR57" i="6" a="1"/>
  <c r="LR57" i="6" s="1"/>
  <c r="LQ57" i="6" a="1"/>
  <c r="LQ57" i="6" s="1"/>
  <c r="LP57" i="6" a="1"/>
  <c r="LP57" i="6" s="1"/>
  <c r="LO57" i="6" a="1"/>
  <c r="LO57" i="6" s="1"/>
  <c r="LA57" i="6" a="1"/>
  <c r="LA57" i="6" s="1"/>
  <c r="KZ57" i="6" a="1"/>
  <c r="KZ57" i="6" s="1"/>
  <c r="KY57" i="6" a="1"/>
  <c r="KY57" i="6" s="1"/>
  <c r="KX57" i="6" a="1"/>
  <c r="KX57" i="6" s="1"/>
  <c r="KW57" i="6" a="1"/>
  <c r="KW57" i="6" s="1"/>
  <c r="KI57" i="6" a="1"/>
  <c r="KI57" i="6" s="1"/>
  <c r="KH57" i="6" a="1"/>
  <c r="KH57" i="6" s="1"/>
  <c r="KG57" i="6" a="1"/>
  <c r="KG57" i="6" s="1"/>
  <c r="KF57" i="6" a="1"/>
  <c r="KF57" i="6" s="1"/>
  <c r="KE57" i="6" a="1"/>
  <c r="KE57" i="6" s="1"/>
  <c r="JQ57" i="6" a="1"/>
  <c r="JQ57" i="6" s="1"/>
  <c r="JP57" i="6" a="1"/>
  <c r="JP57" i="6" s="1"/>
  <c r="JO57" i="6" a="1"/>
  <c r="JO57" i="6" s="1"/>
  <c r="JN57" i="6" a="1"/>
  <c r="JN57" i="6" s="1"/>
  <c r="JM57" i="6" a="1"/>
  <c r="JM57" i="6" s="1"/>
  <c r="IY57" i="6" a="1"/>
  <c r="IY57" i="6" s="1"/>
  <c r="IX57" i="6" a="1"/>
  <c r="IX57" i="6" s="1"/>
  <c r="IW57" i="6" a="1"/>
  <c r="IW57" i="6" s="1"/>
  <c r="IV57" i="6" a="1"/>
  <c r="IV57" i="6" s="1"/>
  <c r="IU57" i="6" a="1"/>
  <c r="IU57" i="6" s="1"/>
  <c r="IG57" i="6" a="1"/>
  <c r="IG57" i="6" s="1"/>
  <c r="IF57" i="6" a="1"/>
  <c r="IF57" i="6" s="1"/>
  <c r="IE57" i="6" a="1"/>
  <c r="IE57" i="6" s="1"/>
  <c r="ID57" i="6" a="1"/>
  <c r="ID57" i="6" s="1"/>
  <c r="IC57" i="6" a="1"/>
  <c r="IC57" i="6" s="1"/>
  <c r="HO57" i="6" a="1"/>
  <c r="HO57" i="6" s="1"/>
  <c r="HN57" i="6" a="1"/>
  <c r="HN57" i="6" s="1"/>
  <c r="HM57" i="6" a="1"/>
  <c r="HM57" i="6" s="1"/>
  <c r="HL57" i="6" a="1"/>
  <c r="HL57" i="6" s="1"/>
  <c r="HK57" i="6" a="1"/>
  <c r="HK57" i="6" s="1"/>
  <c r="GX57" i="6" a="1"/>
  <c r="GX57" i="6" s="1"/>
  <c r="GW57" i="6" a="1"/>
  <c r="GW57" i="6" s="1"/>
  <c r="GV57" i="6" a="1"/>
  <c r="GV57" i="6" s="1"/>
  <c r="GU57" i="6" a="1"/>
  <c r="GU57" i="6" s="1"/>
  <c r="GT57" i="6" a="1"/>
  <c r="GT57" i="6" s="1"/>
  <c r="GG57" i="6" a="1"/>
  <c r="GG57" i="6" s="1"/>
  <c r="GF57" i="6" a="1"/>
  <c r="GF57" i="6" s="1"/>
  <c r="GE57" i="6" a="1"/>
  <c r="GE57" i="6" s="1"/>
  <c r="GD57" i="6" a="1"/>
  <c r="GD57" i="6" s="1"/>
  <c r="GC57" i="6" a="1"/>
  <c r="GC57" i="6" s="1"/>
  <c r="FP57" i="6" a="1"/>
  <c r="FP57" i="6" s="1"/>
  <c r="FO57" i="6" a="1"/>
  <c r="FO57" i="6" s="1"/>
  <c r="FN57" i="6" a="1"/>
  <c r="FN57" i="6" s="1"/>
  <c r="FM57" i="6" a="1"/>
  <c r="FM57" i="6" s="1"/>
  <c r="FL57" i="6" a="1"/>
  <c r="FL57" i="6" s="1"/>
  <c r="EY57" i="6" a="1"/>
  <c r="EY57" i="6" s="1"/>
  <c r="EX57" i="6" a="1"/>
  <c r="EX57" i="6" s="1"/>
  <c r="EW57" i="6" a="1"/>
  <c r="EW57" i="6" s="1"/>
  <c r="EV57" i="6" a="1"/>
  <c r="EV57" i="6" s="1"/>
  <c r="EU57" i="6" a="1"/>
  <c r="EU57" i="6" s="1"/>
  <c r="EH57" i="6" a="1"/>
  <c r="EH57" i="6" s="1"/>
  <c r="EG57" i="6" a="1"/>
  <c r="EG57" i="6" s="1"/>
  <c r="EF57" i="6" a="1"/>
  <c r="EF57" i="6" s="1"/>
  <c r="EE57" i="6" a="1"/>
  <c r="EE57" i="6" s="1"/>
  <c r="ED57" i="6" a="1"/>
  <c r="ED57" i="6" s="1"/>
  <c r="DQ57" i="6" a="1"/>
  <c r="DQ57" i="6" s="1"/>
  <c r="DP57" i="6" a="1"/>
  <c r="DP57" i="6" s="1"/>
  <c r="DO57" i="6" a="1"/>
  <c r="DO57" i="6" s="1"/>
  <c r="DN57" i="6" a="1"/>
  <c r="DN57" i="6" s="1"/>
  <c r="DM57" i="6" a="1"/>
  <c r="DM57" i="6" s="1"/>
  <c r="DD57" i="6" a="1"/>
  <c r="DD57" i="6" s="1"/>
  <c r="CU57" i="6" a="1"/>
  <c r="CU57" i="6" s="1"/>
  <c r="CL57" i="6" a="1"/>
  <c r="CL57" i="6" s="1"/>
  <c r="BX57" i="6" a="1"/>
  <c r="BX57" i="6" s="1"/>
  <c r="BW57" i="6" a="1"/>
  <c r="BW57" i="6" s="1"/>
  <c r="BV57" i="6" a="1"/>
  <c r="BV57" i="6" s="1"/>
  <c r="BU57" i="6" a="1"/>
  <c r="BU57" i="6" s="1"/>
  <c r="BT57" i="6" a="1"/>
  <c r="BT57" i="6" s="1"/>
  <c r="BS57" i="6" a="1"/>
  <c r="BS57" i="6" s="1"/>
  <c r="BA57" i="6" a="1"/>
  <c r="BA57" i="6" s="1"/>
  <c r="AZ57" i="6" a="1"/>
  <c r="AZ57" i="6" s="1"/>
  <c r="AY57" i="6" a="1"/>
  <c r="AY57" i="6" s="1"/>
  <c r="AX57" i="6" a="1"/>
  <c r="AX57" i="6" s="1"/>
  <c r="AW57" i="6" a="1"/>
  <c r="AW57" i="6" s="1"/>
  <c r="AV57" i="6" a="1"/>
  <c r="AV57" i="6" s="1"/>
  <c r="AU57" i="6" a="1"/>
  <c r="AU57" i="6" s="1"/>
  <c r="AT57" i="6" a="1"/>
  <c r="AT57" i="6" s="1"/>
  <c r="AS57" i="6" a="1"/>
  <c r="AS57" i="6" s="1"/>
  <c r="AR57" i="6" a="1"/>
  <c r="AR57" i="6" s="1"/>
  <c r="AH57" i="6" a="1"/>
  <c r="AH57" i="6" s="1"/>
  <c r="AG57" i="6" a="1"/>
  <c r="AG57" i="6" s="1"/>
  <c r="V57" i="6" a="1"/>
  <c r="V57" i="6" s="1"/>
  <c r="U57" i="6" a="1"/>
  <c r="U57" i="6" s="1"/>
  <c r="J57" i="6" a="1"/>
  <c r="J57" i="6" s="1"/>
  <c r="I57" i="6" a="1"/>
  <c r="I57" i="6" s="1"/>
  <c r="ADA56" i="6" a="1"/>
  <c r="ADA56" i="6" s="1"/>
  <c r="ACZ56" i="6" a="1"/>
  <c r="ACZ56" i="6" s="1"/>
  <c r="ACY56" i="6" a="1"/>
  <c r="ACY56" i="6" s="1"/>
  <c r="ACN56" i="6" a="1"/>
  <c r="ACN56" i="6" s="1"/>
  <c r="ACM56" i="6" a="1"/>
  <c r="ACM56" i="6" s="1"/>
  <c r="ABU56" i="6" a="1"/>
  <c r="ABU56" i="6" s="1"/>
  <c r="ABX56" i="6" a="1"/>
  <c r="ABX56" i="6" s="1"/>
  <c r="ABV56" i="6" a="1"/>
  <c r="ABV56" i="6" s="1"/>
  <c r="ABH56" i="6" a="1"/>
  <c r="ABH56" i="6" s="1"/>
  <c r="ABG56" i="6" a="1"/>
  <c r="ABG56" i="6" s="1"/>
  <c r="ABF56" i="6" a="1"/>
  <c r="ABF56" i="6" s="1"/>
  <c r="ABE56" i="6" a="1"/>
  <c r="ABE56" i="6" s="1"/>
  <c r="ABD56" i="6" a="1"/>
  <c r="ABD56" i="6" s="1"/>
  <c r="ZR56" i="6" a="1"/>
  <c r="ZR56" i="6" s="1"/>
  <c r="ZE56" i="6" a="1"/>
  <c r="ZE56" i="6" s="1"/>
  <c r="ZD56" i="6" a="1"/>
  <c r="ZD56" i="6" s="1"/>
  <c r="ZC56" i="6" a="1"/>
  <c r="ZC56" i="6" s="1"/>
  <c r="ZB56" i="6" a="1"/>
  <c r="ZB56" i="6" s="1"/>
  <c r="ZA56" i="6" a="1"/>
  <c r="ZA56" i="6" s="1"/>
  <c r="YP56" i="6" a="1"/>
  <c r="YP56" i="6" s="1"/>
  <c r="YO56" i="6" a="1"/>
  <c r="YO56" i="6" s="1"/>
  <c r="YE56" i="6" a="1"/>
  <c r="YE56" i="6" s="1"/>
  <c r="YD56" i="6" a="1"/>
  <c r="YD56" i="6" s="1"/>
  <c r="XT56" i="6" a="1"/>
  <c r="XT56" i="6" s="1"/>
  <c r="XS56" i="6" a="1"/>
  <c r="XS56" i="6" s="1"/>
  <c r="XI56" i="6" a="1"/>
  <c r="XI56" i="6" s="1"/>
  <c r="XH56" i="6" a="1"/>
  <c r="XH56" i="6" s="1"/>
  <c r="WX56" i="6" a="1"/>
  <c r="WX56" i="6" s="1"/>
  <c r="WW56" i="6" a="1"/>
  <c r="WW56" i="6" s="1"/>
  <c r="WM56" i="6" a="1"/>
  <c r="WM56" i="6" s="1"/>
  <c r="WL56" i="6" a="1"/>
  <c r="WL56" i="6" s="1"/>
  <c r="WC56" i="6" a="1"/>
  <c r="WC56" i="6" s="1"/>
  <c r="VQ56" i="6" a="1"/>
  <c r="VQ56" i="6" s="1"/>
  <c r="VP56" i="6" a="1"/>
  <c r="VP56" i="6" s="1"/>
  <c r="VO56" i="6" a="1"/>
  <c r="VO56" i="6" s="1"/>
  <c r="VN56" i="6" a="1"/>
  <c r="VN56" i="6" s="1"/>
  <c r="VA56" i="6" a="1"/>
  <c r="VA56" i="6" s="1"/>
  <c r="UZ56" i="6" a="1"/>
  <c r="UZ56" i="6" s="1"/>
  <c r="UY56" i="6" a="1"/>
  <c r="UY56" i="6" s="1"/>
  <c r="UX56" i="6" a="1"/>
  <c r="UX56" i="6" s="1"/>
  <c r="UW56" i="6" a="1"/>
  <c r="UW56" i="6" s="1"/>
  <c r="UM56" i="6" a="1"/>
  <c r="UM56" i="6" s="1"/>
  <c r="TZ56" i="6" a="1"/>
  <c r="TZ56" i="6" s="1"/>
  <c r="TY56" i="6" a="1"/>
  <c r="TY56" i="6" s="1"/>
  <c r="TX56" i="6" a="1"/>
  <c r="TX56" i="6" s="1"/>
  <c r="TW56" i="6" a="1"/>
  <c r="TW56" i="6" s="1"/>
  <c r="TV56" i="6" a="1"/>
  <c r="TV56" i="6" s="1"/>
  <c r="TH56" i="6" a="1"/>
  <c r="TH56" i="6" s="1"/>
  <c r="TG56" i="6" a="1"/>
  <c r="TG56" i="6" s="1"/>
  <c r="TF56" i="6" a="1"/>
  <c r="TF56" i="6" s="1"/>
  <c r="TE56" i="6" a="1"/>
  <c r="TE56" i="6" s="1"/>
  <c r="TD56" i="6" a="1"/>
  <c r="TD56" i="6" s="1"/>
  <c r="SP56" i="6" a="1"/>
  <c r="SP56" i="6" s="1"/>
  <c r="SO56" i="6" a="1"/>
  <c r="SO56" i="6" s="1"/>
  <c r="SN56" i="6" a="1"/>
  <c r="SN56" i="6" s="1"/>
  <c r="SM56" i="6" a="1"/>
  <c r="SM56" i="6" s="1"/>
  <c r="SL56" i="6" a="1"/>
  <c r="SL56" i="6" s="1"/>
  <c r="RX56" i="6" a="1"/>
  <c r="RX56" i="6" s="1"/>
  <c r="RW56" i="6" a="1"/>
  <c r="RW56" i="6" s="1"/>
  <c r="RV56" i="6" a="1"/>
  <c r="RV56" i="6" s="1"/>
  <c r="RU56" i="6" a="1"/>
  <c r="RU56" i="6" s="1"/>
  <c r="RT56" i="6" a="1"/>
  <c r="RT56" i="6" s="1"/>
  <c r="RF56" i="6" a="1"/>
  <c r="RF56" i="6" s="1"/>
  <c r="RE56" i="6" a="1"/>
  <c r="RE56" i="6" s="1"/>
  <c r="RD56" i="6" a="1"/>
  <c r="RD56" i="6" s="1"/>
  <c r="RC56" i="6" a="1"/>
  <c r="RC56" i="6" s="1"/>
  <c r="RB56" i="6" a="1"/>
  <c r="RB56" i="6" s="1"/>
  <c r="QN56" i="6" a="1"/>
  <c r="QN56" i="6" s="1"/>
  <c r="QM56" i="6" a="1"/>
  <c r="QM56" i="6" s="1"/>
  <c r="QL56" i="6" a="1"/>
  <c r="QL56" i="6" s="1"/>
  <c r="QK56" i="6" a="1"/>
  <c r="QK56" i="6" s="1"/>
  <c r="QJ56" i="6" a="1"/>
  <c r="QJ56" i="6" s="1"/>
  <c r="PV56" i="6" a="1"/>
  <c r="PV56" i="6" s="1"/>
  <c r="PU56" i="6" a="1"/>
  <c r="PU56" i="6" s="1"/>
  <c r="PT56" i="6" a="1"/>
  <c r="PT56" i="6" s="1"/>
  <c r="PS56" i="6" a="1"/>
  <c r="PS56" i="6" s="1"/>
  <c r="PR56" i="6" a="1"/>
  <c r="PR56" i="6" s="1"/>
  <c r="PD56" i="6" a="1"/>
  <c r="PD56" i="6" s="1"/>
  <c r="PC56" i="6" a="1"/>
  <c r="PC56" i="6" s="1"/>
  <c r="PB56" i="6" a="1"/>
  <c r="PB56" i="6" s="1"/>
  <c r="PA56" i="6" a="1"/>
  <c r="PA56" i="6" s="1"/>
  <c r="OZ56" i="6" a="1"/>
  <c r="OZ56" i="6" s="1"/>
  <c r="OL56" i="6" a="1"/>
  <c r="OL56" i="6" s="1"/>
  <c r="OK56" i="6" a="1"/>
  <c r="OK56" i="6" s="1"/>
  <c r="OJ56" i="6" a="1"/>
  <c r="OJ56" i="6" s="1"/>
  <c r="OI56" i="6" a="1"/>
  <c r="OI56" i="6" s="1"/>
  <c r="OH56" i="6" a="1"/>
  <c r="OH56" i="6" s="1"/>
  <c r="NT56" i="6" a="1"/>
  <c r="NT56" i="6" s="1"/>
  <c r="NS56" i="6" a="1"/>
  <c r="NS56" i="6" s="1"/>
  <c r="NR56" i="6" a="1"/>
  <c r="NR56" i="6" s="1"/>
  <c r="NQ56" i="6" a="1"/>
  <c r="NQ56" i="6" s="1"/>
  <c r="NP56" i="6" a="1"/>
  <c r="NP56" i="6" s="1"/>
  <c r="NC56" i="6" a="1"/>
  <c r="NC56" i="6" s="1"/>
  <c r="NB56" i="6" a="1"/>
  <c r="NB56" i="6" s="1"/>
  <c r="NA56" i="6" a="1"/>
  <c r="NA56" i="6" s="1"/>
  <c r="MZ56" i="6" a="1"/>
  <c r="MZ56" i="6" s="1"/>
  <c r="MY56" i="6" a="1"/>
  <c r="MY56" i="6" s="1"/>
  <c r="MK56" i="6" a="1"/>
  <c r="MK56" i="6" s="1"/>
  <c r="MJ56" i="6" a="1"/>
  <c r="MJ56" i="6" s="1"/>
  <c r="MI56" i="6" a="1"/>
  <c r="MI56" i="6" s="1"/>
  <c r="MH56" i="6" a="1"/>
  <c r="MH56" i="6" s="1"/>
  <c r="MG56" i="6" a="1"/>
  <c r="MG56" i="6" s="1"/>
  <c r="LS56" i="6" a="1"/>
  <c r="LS56" i="6" s="1"/>
  <c r="LR56" i="6" a="1"/>
  <c r="LR56" i="6" s="1"/>
  <c r="LQ56" i="6" a="1"/>
  <c r="LQ56" i="6" s="1"/>
  <c r="LP56" i="6" a="1"/>
  <c r="LP56" i="6" s="1"/>
  <c r="LO56" i="6" a="1"/>
  <c r="LO56" i="6" s="1"/>
  <c r="LA56" i="6" a="1"/>
  <c r="LA56" i="6" s="1"/>
  <c r="KZ56" i="6" a="1"/>
  <c r="KZ56" i="6" s="1"/>
  <c r="KY56" i="6" a="1"/>
  <c r="KY56" i="6" s="1"/>
  <c r="KX56" i="6" a="1"/>
  <c r="KX56" i="6" s="1"/>
  <c r="KW56" i="6" a="1"/>
  <c r="KW56" i="6" s="1"/>
  <c r="KI56" i="6" a="1"/>
  <c r="KI56" i="6" s="1"/>
  <c r="KH56" i="6" a="1"/>
  <c r="KH56" i="6" s="1"/>
  <c r="KG56" i="6" a="1"/>
  <c r="KG56" i="6" s="1"/>
  <c r="KF56" i="6" a="1"/>
  <c r="KF56" i="6" s="1"/>
  <c r="KE56" i="6" a="1"/>
  <c r="KE56" i="6" s="1"/>
  <c r="JQ56" i="6" a="1"/>
  <c r="JQ56" i="6" s="1"/>
  <c r="JP56" i="6" a="1"/>
  <c r="JP56" i="6" s="1"/>
  <c r="JO56" i="6" a="1"/>
  <c r="JO56" i="6" s="1"/>
  <c r="JN56" i="6" a="1"/>
  <c r="JN56" i="6" s="1"/>
  <c r="JM56" i="6" a="1"/>
  <c r="JM56" i="6" s="1"/>
  <c r="IY56" i="6" a="1"/>
  <c r="IY56" i="6" s="1"/>
  <c r="IX56" i="6" a="1"/>
  <c r="IX56" i="6" s="1"/>
  <c r="IW56" i="6" a="1"/>
  <c r="IW56" i="6" s="1"/>
  <c r="IV56" i="6" a="1"/>
  <c r="IV56" i="6" s="1"/>
  <c r="IU56" i="6" a="1"/>
  <c r="IU56" i="6" s="1"/>
  <c r="IG56" i="6" a="1"/>
  <c r="IG56" i="6" s="1"/>
  <c r="IF56" i="6" a="1"/>
  <c r="IF56" i="6" s="1"/>
  <c r="IE56" i="6" a="1"/>
  <c r="IE56" i="6" s="1"/>
  <c r="ID56" i="6" a="1"/>
  <c r="ID56" i="6" s="1"/>
  <c r="IC56" i="6" a="1"/>
  <c r="IC56" i="6" s="1"/>
  <c r="HO56" i="6" a="1"/>
  <c r="HO56" i="6" s="1"/>
  <c r="HN56" i="6" a="1"/>
  <c r="HN56" i="6" s="1"/>
  <c r="HM56" i="6" a="1"/>
  <c r="HM56" i="6" s="1"/>
  <c r="HL56" i="6" a="1"/>
  <c r="HL56" i="6" s="1"/>
  <c r="HK56" i="6" a="1"/>
  <c r="HK56" i="6" s="1"/>
  <c r="GX56" i="6" a="1"/>
  <c r="GX56" i="6" s="1"/>
  <c r="GW56" i="6" a="1"/>
  <c r="GW56" i="6" s="1"/>
  <c r="GV56" i="6" a="1"/>
  <c r="GV56" i="6" s="1"/>
  <c r="GU56" i="6" a="1"/>
  <c r="GU56" i="6" s="1"/>
  <c r="GT56" i="6" a="1"/>
  <c r="GT56" i="6" s="1"/>
  <c r="GG56" i="6" a="1"/>
  <c r="GG56" i="6" s="1"/>
  <c r="GF56" i="6" a="1"/>
  <c r="GF56" i="6" s="1"/>
  <c r="GE56" i="6" a="1"/>
  <c r="GE56" i="6" s="1"/>
  <c r="GD56" i="6" a="1"/>
  <c r="GD56" i="6" s="1"/>
  <c r="GC56" i="6" a="1"/>
  <c r="GC56" i="6" s="1"/>
  <c r="FP56" i="6" a="1"/>
  <c r="FP56" i="6" s="1"/>
  <c r="FO56" i="6" a="1"/>
  <c r="FO56" i="6" s="1"/>
  <c r="FN56" i="6" a="1"/>
  <c r="FN56" i="6" s="1"/>
  <c r="FM56" i="6" a="1"/>
  <c r="FM56" i="6" s="1"/>
  <c r="FL56" i="6" a="1"/>
  <c r="FL56" i="6" s="1"/>
  <c r="EY56" i="6" a="1"/>
  <c r="EY56" i="6" s="1"/>
  <c r="EX56" i="6" a="1"/>
  <c r="EX56" i="6" s="1"/>
  <c r="EW56" i="6" a="1"/>
  <c r="EW56" i="6" s="1"/>
  <c r="EV56" i="6" a="1"/>
  <c r="EV56" i="6" s="1"/>
  <c r="EU56" i="6" a="1"/>
  <c r="EU56" i="6" s="1"/>
  <c r="EH56" i="6" a="1"/>
  <c r="EH56" i="6" s="1"/>
  <c r="EG56" i="6" a="1"/>
  <c r="EG56" i="6" s="1"/>
  <c r="EF56" i="6" a="1"/>
  <c r="EF56" i="6" s="1"/>
  <c r="EE56" i="6" a="1"/>
  <c r="EE56" i="6" s="1"/>
  <c r="ED56" i="6" a="1"/>
  <c r="ED56" i="6" s="1"/>
  <c r="DQ56" i="6" a="1"/>
  <c r="DQ56" i="6" s="1"/>
  <c r="DP56" i="6" a="1"/>
  <c r="DP56" i="6" s="1"/>
  <c r="DO56" i="6" a="1"/>
  <c r="DO56" i="6" s="1"/>
  <c r="DN56" i="6" a="1"/>
  <c r="DN56" i="6" s="1"/>
  <c r="DM56" i="6" a="1"/>
  <c r="DM56" i="6" s="1"/>
  <c r="DD56" i="6" a="1"/>
  <c r="DD56" i="6" s="1"/>
  <c r="CU56" i="6" a="1"/>
  <c r="CU56" i="6" s="1"/>
  <c r="CL56" i="6" a="1"/>
  <c r="CL56" i="6" s="1"/>
  <c r="BX56" i="6" a="1"/>
  <c r="BX56" i="6" s="1"/>
  <c r="BW56" i="6" a="1"/>
  <c r="BW56" i="6" s="1"/>
  <c r="BV56" i="6" a="1"/>
  <c r="BV56" i="6" s="1"/>
  <c r="BU56" i="6" a="1"/>
  <c r="BU56" i="6" s="1"/>
  <c r="BT56" i="6" a="1"/>
  <c r="BT56" i="6" s="1"/>
  <c r="BS56" i="6" a="1"/>
  <c r="BS56" i="6" s="1"/>
  <c r="BA56" i="6" a="1"/>
  <c r="BA56" i="6" s="1"/>
  <c r="AZ56" i="6" a="1"/>
  <c r="AZ56" i="6" s="1"/>
  <c r="AY56" i="6" a="1"/>
  <c r="AY56" i="6" s="1"/>
  <c r="AX56" i="6" a="1"/>
  <c r="AX56" i="6" s="1"/>
  <c r="AW56" i="6" a="1"/>
  <c r="AW56" i="6" s="1"/>
  <c r="AV56" i="6" a="1"/>
  <c r="AV56" i="6" s="1"/>
  <c r="AU56" i="6" a="1"/>
  <c r="AU56" i="6" s="1"/>
  <c r="AT56" i="6" a="1"/>
  <c r="AT56" i="6" s="1"/>
  <c r="AS56" i="6" a="1"/>
  <c r="AS56" i="6" s="1"/>
  <c r="AR56" i="6" a="1"/>
  <c r="AR56" i="6" s="1"/>
  <c r="AH56" i="6" a="1"/>
  <c r="AH56" i="6" s="1"/>
  <c r="AG56" i="6" a="1"/>
  <c r="AG56" i="6" s="1"/>
  <c r="V56" i="6" a="1"/>
  <c r="V56" i="6" s="1"/>
  <c r="U56" i="6" a="1"/>
  <c r="U56" i="6" s="1"/>
  <c r="J56" i="6" a="1"/>
  <c r="J56" i="6" s="1"/>
  <c r="I56" i="6" a="1"/>
  <c r="I56" i="6" s="1"/>
  <c r="ADA55" i="6" a="1"/>
  <c r="ADA55" i="6" s="1"/>
  <c r="ACZ55" i="6" a="1"/>
  <c r="ACZ55" i="6" s="1"/>
  <c r="ACY55" i="6" a="1"/>
  <c r="ACY55" i="6" s="1"/>
  <c r="ACN55" i="6" a="1"/>
  <c r="ACN55" i="6" s="1"/>
  <c r="ACM55" i="6" a="1"/>
  <c r="ACM55" i="6" s="1"/>
  <c r="ABU55" i="6" a="1"/>
  <c r="ABU55" i="6" s="1"/>
  <c r="ABX55" i="6" a="1"/>
  <c r="ABX55" i="6" s="1"/>
  <c r="ABV55" i="6" a="1"/>
  <c r="ABV55" i="6" s="1"/>
  <c r="ABH55" i="6" a="1"/>
  <c r="ABH55" i="6" s="1"/>
  <c r="ABG55" i="6" a="1"/>
  <c r="ABG55" i="6" s="1"/>
  <c r="ABF55" i="6" a="1"/>
  <c r="ABF55" i="6" s="1"/>
  <c r="ABE55" i="6" a="1"/>
  <c r="ABE55" i="6" s="1"/>
  <c r="ABD55" i="6" a="1"/>
  <c r="ABD55" i="6" s="1"/>
  <c r="ZR55" i="6" a="1"/>
  <c r="ZR55" i="6" s="1"/>
  <c r="ZE55" i="6" a="1"/>
  <c r="ZE55" i="6" s="1"/>
  <c r="ZD55" i="6" a="1"/>
  <c r="ZD55" i="6" s="1"/>
  <c r="ZC55" i="6" a="1"/>
  <c r="ZC55" i="6" s="1"/>
  <c r="ZB55" i="6" a="1"/>
  <c r="ZB55" i="6" s="1"/>
  <c r="ZA55" i="6" a="1"/>
  <c r="ZA55" i="6" s="1"/>
  <c r="YP55" i="6" a="1"/>
  <c r="YP55" i="6" s="1"/>
  <c r="YO55" i="6" a="1"/>
  <c r="YO55" i="6" s="1"/>
  <c r="YE55" i="6" a="1"/>
  <c r="YE55" i="6" s="1"/>
  <c r="YD55" i="6" a="1"/>
  <c r="YD55" i="6" s="1"/>
  <c r="XT55" i="6" a="1"/>
  <c r="XT55" i="6" s="1"/>
  <c r="XS55" i="6" a="1"/>
  <c r="XS55" i="6" s="1"/>
  <c r="XI55" i="6" a="1"/>
  <c r="XI55" i="6" s="1"/>
  <c r="XH55" i="6" a="1"/>
  <c r="XH55" i="6" s="1"/>
  <c r="WX55" i="6" a="1"/>
  <c r="WX55" i="6" s="1"/>
  <c r="WW55" i="6" a="1"/>
  <c r="WW55" i="6" s="1"/>
  <c r="WM55" i="6" a="1"/>
  <c r="WM55" i="6" s="1"/>
  <c r="WL55" i="6" a="1"/>
  <c r="WL55" i="6" s="1"/>
  <c r="WC55" i="6" a="1"/>
  <c r="WC55" i="6" s="1"/>
  <c r="VQ55" i="6" a="1"/>
  <c r="VQ55" i="6" s="1"/>
  <c r="VP55" i="6" a="1"/>
  <c r="VP55" i="6" s="1"/>
  <c r="VO55" i="6" a="1"/>
  <c r="VO55" i="6" s="1"/>
  <c r="VN55" i="6" a="1"/>
  <c r="VN55" i="6" s="1"/>
  <c r="VA55" i="6" a="1"/>
  <c r="VA55" i="6" s="1"/>
  <c r="UZ55" i="6" a="1"/>
  <c r="UZ55" i="6" s="1"/>
  <c r="UY55" i="6" a="1"/>
  <c r="UY55" i="6" s="1"/>
  <c r="UX55" i="6" a="1"/>
  <c r="UX55" i="6" s="1"/>
  <c r="UW55" i="6" a="1"/>
  <c r="UW55" i="6" s="1"/>
  <c r="UM55" i="6" a="1"/>
  <c r="UM55" i="6" s="1"/>
  <c r="TZ55" i="6" a="1"/>
  <c r="TZ55" i="6" s="1"/>
  <c r="TY55" i="6" a="1"/>
  <c r="TY55" i="6" s="1"/>
  <c r="TX55" i="6" a="1"/>
  <c r="TX55" i="6" s="1"/>
  <c r="TW55" i="6" a="1"/>
  <c r="TW55" i="6" s="1"/>
  <c r="TV55" i="6" a="1"/>
  <c r="TV55" i="6" s="1"/>
  <c r="TH55" i="6" a="1"/>
  <c r="TH55" i="6" s="1"/>
  <c r="TG55" i="6" a="1"/>
  <c r="TG55" i="6" s="1"/>
  <c r="TF55" i="6" a="1"/>
  <c r="TF55" i="6" s="1"/>
  <c r="TE55" i="6" a="1"/>
  <c r="TE55" i="6" s="1"/>
  <c r="TD55" i="6" a="1"/>
  <c r="TD55" i="6" s="1"/>
  <c r="SP55" i="6" a="1"/>
  <c r="SP55" i="6" s="1"/>
  <c r="SO55" i="6" a="1"/>
  <c r="SO55" i="6" s="1"/>
  <c r="SN55" i="6" a="1"/>
  <c r="SN55" i="6" s="1"/>
  <c r="SM55" i="6" a="1"/>
  <c r="SM55" i="6" s="1"/>
  <c r="SL55" i="6" a="1"/>
  <c r="SL55" i="6" s="1"/>
  <c r="RX55" i="6" a="1"/>
  <c r="RX55" i="6" s="1"/>
  <c r="RW55" i="6" a="1"/>
  <c r="RW55" i="6" s="1"/>
  <c r="RV55" i="6" a="1"/>
  <c r="RV55" i="6" s="1"/>
  <c r="RU55" i="6" a="1"/>
  <c r="RU55" i="6" s="1"/>
  <c r="RT55" i="6" a="1"/>
  <c r="RT55" i="6" s="1"/>
  <c r="RF55" i="6" a="1"/>
  <c r="RF55" i="6" s="1"/>
  <c r="RE55" i="6" a="1"/>
  <c r="RE55" i="6" s="1"/>
  <c r="RD55" i="6" a="1"/>
  <c r="RD55" i="6" s="1"/>
  <c r="RC55" i="6" a="1"/>
  <c r="RC55" i="6" s="1"/>
  <c r="RB55" i="6" a="1"/>
  <c r="RB55" i="6" s="1"/>
  <c r="QN55" i="6" a="1"/>
  <c r="QN55" i="6" s="1"/>
  <c r="QM55" i="6" a="1"/>
  <c r="QM55" i="6" s="1"/>
  <c r="QL55" i="6" a="1"/>
  <c r="QL55" i="6" s="1"/>
  <c r="QK55" i="6" a="1"/>
  <c r="QK55" i="6" s="1"/>
  <c r="QJ55" i="6" a="1"/>
  <c r="QJ55" i="6" s="1"/>
  <c r="PV55" i="6" a="1"/>
  <c r="PV55" i="6" s="1"/>
  <c r="PU55" i="6" a="1"/>
  <c r="PU55" i="6" s="1"/>
  <c r="PT55" i="6" a="1"/>
  <c r="PT55" i="6" s="1"/>
  <c r="PS55" i="6" a="1"/>
  <c r="PS55" i="6" s="1"/>
  <c r="PR55" i="6" a="1"/>
  <c r="PR55" i="6" s="1"/>
  <c r="PD55" i="6" a="1"/>
  <c r="PD55" i="6" s="1"/>
  <c r="PC55" i="6" a="1"/>
  <c r="PC55" i="6" s="1"/>
  <c r="PB55" i="6" a="1"/>
  <c r="PB55" i="6" s="1"/>
  <c r="PA55" i="6" a="1"/>
  <c r="PA55" i="6" s="1"/>
  <c r="OZ55" i="6" a="1"/>
  <c r="OZ55" i="6" s="1"/>
  <c r="OL55" i="6" a="1"/>
  <c r="OL55" i="6" s="1"/>
  <c r="OK55" i="6" a="1"/>
  <c r="OK55" i="6" s="1"/>
  <c r="OJ55" i="6" a="1"/>
  <c r="OJ55" i="6" s="1"/>
  <c r="OI55" i="6" a="1"/>
  <c r="OI55" i="6" s="1"/>
  <c r="OH55" i="6" a="1"/>
  <c r="OH55" i="6" s="1"/>
  <c r="NT55" i="6" a="1"/>
  <c r="NT55" i="6" s="1"/>
  <c r="NS55" i="6" a="1"/>
  <c r="NS55" i="6" s="1"/>
  <c r="NR55" i="6" a="1"/>
  <c r="NR55" i="6" s="1"/>
  <c r="NQ55" i="6" a="1"/>
  <c r="NQ55" i="6" s="1"/>
  <c r="NP55" i="6" a="1"/>
  <c r="NP55" i="6" s="1"/>
  <c r="NC55" i="6" a="1"/>
  <c r="NC55" i="6" s="1"/>
  <c r="NB55" i="6" a="1"/>
  <c r="NB55" i="6" s="1"/>
  <c r="NA55" i="6" a="1"/>
  <c r="NA55" i="6" s="1"/>
  <c r="MZ55" i="6" a="1"/>
  <c r="MZ55" i="6" s="1"/>
  <c r="MY55" i="6" a="1"/>
  <c r="MY55" i="6" s="1"/>
  <c r="MK55" i="6" a="1"/>
  <c r="MK55" i="6" s="1"/>
  <c r="MJ55" i="6" a="1"/>
  <c r="MJ55" i="6" s="1"/>
  <c r="MI55" i="6" a="1"/>
  <c r="MI55" i="6" s="1"/>
  <c r="MH55" i="6" a="1"/>
  <c r="MH55" i="6" s="1"/>
  <c r="MG55" i="6" a="1"/>
  <c r="MG55" i="6" s="1"/>
  <c r="LS55" i="6" a="1"/>
  <c r="LS55" i="6" s="1"/>
  <c r="LR55" i="6" a="1"/>
  <c r="LR55" i="6" s="1"/>
  <c r="LQ55" i="6" a="1"/>
  <c r="LQ55" i="6" s="1"/>
  <c r="LP55" i="6" a="1"/>
  <c r="LP55" i="6" s="1"/>
  <c r="LO55" i="6" a="1"/>
  <c r="LO55" i="6" s="1"/>
  <c r="LA55" i="6" a="1"/>
  <c r="LA55" i="6" s="1"/>
  <c r="KZ55" i="6" a="1"/>
  <c r="KZ55" i="6" s="1"/>
  <c r="KY55" i="6" a="1"/>
  <c r="KY55" i="6" s="1"/>
  <c r="KX55" i="6" a="1"/>
  <c r="KX55" i="6" s="1"/>
  <c r="KW55" i="6" a="1"/>
  <c r="KW55" i="6" s="1"/>
  <c r="KI55" i="6" a="1"/>
  <c r="KI55" i="6" s="1"/>
  <c r="KH55" i="6" a="1"/>
  <c r="KH55" i="6" s="1"/>
  <c r="KG55" i="6" a="1"/>
  <c r="KG55" i="6" s="1"/>
  <c r="KF55" i="6" a="1"/>
  <c r="KF55" i="6" s="1"/>
  <c r="KE55" i="6" a="1"/>
  <c r="KE55" i="6" s="1"/>
  <c r="JQ55" i="6" a="1"/>
  <c r="JQ55" i="6" s="1"/>
  <c r="JP55" i="6" a="1"/>
  <c r="JP55" i="6" s="1"/>
  <c r="JO55" i="6" a="1"/>
  <c r="JO55" i="6" s="1"/>
  <c r="JN55" i="6" a="1"/>
  <c r="JN55" i="6" s="1"/>
  <c r="JM55" i="6" a="1"/>
  <c r="JM55" i="6" s="1"/>
  <c r="IY55" i="6" a="1"/>
  <c r="IY55" i="6" s="1"/>
  <c r="IX55" i="6" a="1"/>
  <c r="IX55" i="6" s="1"/>
  <c r="IW55" i="6" a="1"/>
  <c r="IW55" i="6" s="1"/>
  <c r="IV55" i="6" a="1"/>
  <c r="IV55" i="6" s="1"/>
  <c r="IU55" i="6" a="1"/>
  <c r="IU55" i="6" s="1"/>
  <c r="IG55" i="6" a="1"/>
  <c r="IG55" i="6" s="1"/>
  <c r="IF55" i="6" a="1"/>
  <c r="IF55" i="6" s="1"/>
  <c r="IE55" i="6" a="1"/>
  <c r="IE55" i="6" s="1"/>
  <c r="ID55" i="6" a="1"/>
  <c r="ID55" i="6" s="1"/>
  <c r="IC55" i="6" a="1"/>
  <c r="IC55" i="6" s="1"/>
  <c r="HO55" i="6" a="1"/>
  <c r="HO55" i="6" s="1"/>
  <c r="HN55" i="6" a="1"/>
  <c r="HN55" i="6" s="1"/>
  <c r="HM55" i="6" a="1"/>
  <c r="HM55" i="6" s="1"/>
  <c r="HL55" i="6" a="1"/>
  <c r="HL55" i="6" s="1"/>
  <c r="HK55" i="6" a="1"/>
  <c r="HK55" i="6" s="1"/>
  <c r="GX55" i="6" a="1"/>
  <c r="GX55" i="6" s="1"/>
  <c r="GW55" i="6" a="1"/>
  <c r="GW55" i="6" s="1"/>
  <c r="GV55" i="6" a="1"/>
  <c r="GV55" i="6" s="1"/>
  <c r="GU55" i="6" a="1"/>
  <c r="GU55" i="6" s="1"/>
  <c r="GT55" i="6" a="1"/>
  <c r="GT55" i="6" s="1"/>
  <c r="GG55" i="6" a="1"/>
  <c r="GG55" i="6" s="1"/>
  <c r="GF55" i="6" a="1"/>
  <c r="GF55" i="6" s="1"/>
  <c r="GE55" i="6" a="1"/>
  <c r="GE55" i="6" s="1"/>
  <c r="GD55" i="6" a="1"/>
  <c r="GD55" i="6" s="1"/>
  <c r="GC55" i="6" a="1"/>
  <c r="GC55" i="6" s="1"/>
  <c r="FP55" i="6" a="1"/>
  <c r="FP55" i="6" s="1"/>
  <c r="FO55" i="6" a="1"/>
  <c r="FO55" i="6" s="1"/>
  <c r="FN55" i="6" a="1"/>
  <c r="FN55" i="6" s="1"/>
  <c r="FM55" i="6" a="1"/>
  <c r="FM55" i="6" s="1"/>
  <c r="FL55" i="6" a="1"/>
  <c r="FL55" i="6" s="1"/>
  <c r="EY55" i="6" a="1"/>
  <c r="EY55" i="6" s="1"/>
  <c r="EX55" i="6" a="1"/>
  <c r="EX55" i="6" s="1"/>
  <c r="EW55" i="6" a="1"/>
  <c r="EW55" i="6" s="1"/>
  <c r="EV55" i="6" a="1"/>
  <c r="EV55" i="6" s="1"/>
  <c r="EU55" i="6" a="1"/>
  <c r="EU55" i="6" s="1"/>
  <c r="EH55" i="6" a="1"/>
  <c r="EH55" i="6" s="1"/>
  <c r="EG55" i="6" a="1"/>
  <c r="EG55" i="6" s="1"/>
  <c r="EF55" i="6" a="1"/>
  <c r="EF55" i="6" s="1"/>
  <c r="EE55" i="6" a="1"/>
  <c r="EE55" i="6" s="1"/>
  <c r="ED55" i="6" a="1"/>
  <c r="ED55" i="6" s="1"/>
  <c r="DQ55" i="6" a="1"/>
  <c r="DQ55" i="6" s="1"/>
  <c r="DP55" i="6" a="1"/>
  <c r="DP55" i="6" s="1"/>
  <c r="DO55" i="6" a="1"/>
  <c r="DO55" i="6" s="1"/>
  <c r="DN55" i="6" a="1"/>
  <c r="DN55" i="6" s="1"/>
  <c r="DM55" i="6" a="1"/>
  <c r="DM55" i="6" s="1"/>
  <c r="DD55" i="6" a="1"/>
  <c r="DD55" i="6" s="1"/>
  <c r="CU55" i="6" a="1"/>
  <c r="CU55" i="6" s="1"/>
  <c r="CL55" i="6" a="1"/>
  <c r="CL55" i="6" s="1"/>
  <c r="BX55" i="6" a="1"/>
  <c r="BX55" i="6" s="1"/>
  <c r="BW55" i="6" a="1"/>
  <c r="BW55" i="6" s="1"/>
  <c r="BV55" i="6" a="1"/>
  <c r="BV55" i="6" s="1"/>
  <c r="BU55" i="6" a="1"/>
  <c r="BU55" i="6" s="1"/>
  <c r="BT55" i="6" a="1"/>
  <c r="BT55" i="6" s="1"/>
  <c r="BS55" i="6" a="1"/>
  <c r="BS55" i="6" s="1"/>
  <c r="BA55" i="6" a="1"/>
  <c r="BA55" i="6" s="1"/>
  <c r="AZ55" i="6" a="1"/>
  <c r="AZ55" i="6" s="1"/>
  <c r="AY55" i="6" a="1"/>
  <c r="AY55" i="6" s="1"/>
  <c r="AX55" i="6" a="1"/>
  <c r="AX55" i="6" s="1"/>
  <c r="AW55" i="6" a="1"/>
  <c r="AW55" i="6" s="1"/>
  <c r="AV55" i="6" a="1"/>
  <c r="AV55" i="6" s="1"/>
  <c r="AU55" i="6" a="1"/>
  <c r="AU55" i="6" s="1"/>
  <c r="AT55" i="6" a="1"/>
  <c r="AT55" i="6" s="1"/>
  <c r="AS55" i="6" a="1"/>
  <c r="AS55" i="6" s="1"/>
  <c r="AR55" i="6" a="1"/>
  <c r="AR55" i="6" s="1"/>
  <c r="AH55" i="6" a="1"/>
  <c r="AH55" i="6" s="1"/>
  <c r="AG55" i="6" a="1"/>
  <c r="AG55" i="6" s="1"/>
  <c r="V55" i="6" a="1"/>
  <c r="V55" i="6" s="1"/>
  <c r="U55" i="6" a="1"/>
  <c r="U55" i="6" s="1"/>
  <c r="J55" i="6" a="1"/>
  <c r="J55" i="6" s="1"/>
  <c r="I55" i="6" a="1"/>
  <c r="I55" i="6" s="1"/>
  <c r="ADA54" i="6" a="1"/>
  <c r="ADA54" i="6" s="1"/>
  <c r="ACZ54" i="6" a="1"/>
  <c r="ACZ54" i="6" s="1"/>
  <c r="ACY54" i="6" a="1"/>
  <c r="ACY54" i="6" s="1"/>
  <c r="ACN54" i="6" a="1"/>
  <c r="ACN54" i="6" s="1"/>
  <c r="ACM54" i="6" a="1"/>
  <c r="ACM54" i="6" s="1"/>
  <c r="ABU54" i="6" a="1"/>
  <c r="ABU54" i="6" s="1"/>
  <c r="ABX54" i="6" a="1"/>
  <c r="ABX54" i="6" s="1"/>
  <c r="ABV54" i="6" a="1"/>
  <c r="ABV54" i="6" s="1"/>
  <c r="ABH54" i="6" a="1"/>
  <c r="ABH54" i="6" s="1"/>
  <c r="ABG54" i="6" a="1"/>
  <c r="ABG54" i="6" s="1"/>
  <c r="ABF54" i="6" a="1"/>
  <c r="ABF54" i="6" s="1"/>
  <c r="ABE54" i="6" a="1"/>
  <c r="ABE54" i="6" s="1"/>
  <c r="ABD54" i="6" a="1"/>
  <c r="ABD54" i="6" s="1"/>
  <c r="ZR54" i="6" a="1"/>
  <c r="ZR54" i="6" s="1"/>
  <c r="ZE54" i="6" a="1"/>
  <c r="ZE54" i="6" s="1"/>
  <c r="ZD54" i="6" a="1"/>
  <c r="ZD54" i="6" s="1"/>
  <c r="ZC54" i="6" a="1"/>
  <c r="ZC54" i="6" s="1"/>
  <c r="ZB54" i="6" a="1"/>
  <c r="ZB54" i="6" s="1"/>
  <c r="ZA54" i="6" a="1"/>
  <c r="ZA54" i="6" s="1"/>
  <c r="YP54" i="6" a="1"/>
  <c r="YP54" i="6" s="1"/>
  <c r="YO54" i="6" a="1"/>
  <c r="YO54" i="6" s="1"/>
  <c r="YE54" i="6" a="1"/>
  <c r="YE54" i="6" s="1"/>
  <c r="YD54" i="6" a="1"/>
  <c r="YD54" i="6" s="1"/>
  <c r="XT54" i="6" a="1"/>
  <c r="XT54" i="6" s="1"/>
  <c r="XS54" i="6" a="1"/>
  <c r="XS54" i="6" s="1"/>
  <c r="XI54" i="6" a="1"/>
  <c r="XI54" i="6" s="1"/>
  <c r="XH54" i="6" a="1"/>
  <c r="XH54" i="6" s="1"/>
  <c r="WX54" i="6" a="1"/>
  <c r="WX54" i="6" s="1"/>
  <c r="WW54" i="6" a="1"/>
  <c r="WW54" i="6" s="1"/>
  <c r="WM54" i="6" a="1"/>
  <c r="WM54" i="6" s="1"/>
  <c r="WL54" i="6" a="1"/>
  <c r="WL54" i="6" s="1"/>
  <c r="WC54" i="6" a="1"/>
  <c r="WC54" i="6" s="1"/>
  <c r="VQ54" i="6" a="1"/>
  <c r="VQ54" i="6" s="1"/>
  <c r="VP54" i="6" a="1"/>
  <c r="VP54" i="6" s="1"/>
  <c r="VO54" i="6" a="1"/>
  <c r="VO54" i="6" s="1"/>
  <c r="VN54" i="6" a="1"/>
  <c r="VN54" i="6" s="1"/>
  <c r="VA54" i="6" a="1"/>
  <c r="VA54" i="6" s="1"/>
  <c r="UZ54" i="6" a="1"/>
  <c r="UZ54" i="6" s="1"/>
  <c r="UY54" i="6" a="1"/>
  <c r="UY54" i="6" s="1"/>
  <c r="UX54" i="6" a="1"/>
  <c r="UX54" i="6" s="1"/>
  <c r="UW54" i="6" a="1"/>
  <c r="UW54" i="6" s="1"/>
  <c r="UM54" i="6" a="1"/>
  <c r="UM54" i="6" s="1"/>
  <c r="TZ54" i="6" a="1"/>
  <c r="TZ54" i="6" s="1"/>
  <c r="TY54" i="6" a="1"/>
  <c r="TY54" i="6" s="1"/>
  <c r="TX54" i="6" a="1"/>
  <c r="TX54" i="6" s="1"/>
  <c r="TW54" i="6" a="1"/>
  <c r="TW54" i="6" s="1"/>
  <c r="TV54" i="6" a="1"/>
  <c r="TV54" i="6" s="1"/>
  <c r="TH54" i="6" a="1"/>
  <c r="TH54" i="6" s="1"/>
  <c r="TG54" i="6" a="1"/>
  <c r="TG54" i="6" s="1"/>
  <c r="TF54" i="6" a="1"/>
  <c r="TF54" i="6" s="1"/>
  <c r="TE54" i="6" a="1"/>
  <c r="TE54" i="6" s="1"/>
  <c r="TD54" i="6" a="1"/>
  <c r="TD54" i="6" s="1"/>
  <c r="SP54" i="6" a="1"/>
  <c r="SP54" i="6" s="1"/>
  <c r="SO54" i="6" a="1"/>
  <c r="SO54" i="6" s="1"/>
  <c r="SN54" i="6" a="1"/>
  <c r="SN54" i="6" s="1"/>
  <c r="SM54" i="6" a="1"/>
  <c r="SM54" i="6" s="1"/>
  <c r="SL54" i="6" a="1"/>
  <c r="SL54" i="6" s="1"/>
  <c r="RX54" i="6" a="1"/>
  <c r="RX54" i="6" s="1"/>
  <c r="RW54" i="6" a="1"/>
  <c r="RW54" i="6" s="1"/>
  <c r="RV54" i="6" a="1"/>
  <c r="RV54" i="6" s="1"/>
  <c r="RU54" i="6" a="1"/>
  <c r="RU54" i="6" s="1"/>
  <c r="RT54" i="6" a="1"/>
  <c r="RT54" i="6" s="1"/>
  <c r="RF54" i="6" a="1"/>
  <c r="RF54" i="6" s="1"/>
  <c r="RE54" i="6" a="1"/>
  <c r="RE54" i="6" s="1"/>
  <c r="RD54" i="6" a="1"/>
  <c r="RD54" i="6" s="1"/>
  <c r="RC54" i="6" a="1"/>
  <c r="RC54" i="6" s="1"/>
  <c r="RB54" i="6" a="1"/>
  <c r="RB54" i="6" s="1"/>
  <c r="QN54" i="6" a="1"/>
  <c r="QN54" i="6" s="1"/>
  <c r="QM54" i="6" a="1"/>
  <c r="QM54" i="6" s="1"/>
  <c r="QL54" i="6" a="1"/>
  <c r="QL54" i="6" s="1"/>
  <c r="QK54" i="6" a="1"/>
  <c r="QK54" i="6" s="1"/>
  <c r="QJ54" i="6" a="1"/>
  <c r="QJ54" i="6" s="1"/>
  <c r="PV54" i="6" a="1"/>
  <c r="PV54" i="6" s="1"/>
  <c r="PU54" i="6" a="1"/>
  <c r="PU54" i="6" s="1"/>
  <c r="PT54" i="6" a="1"/>
  <c r="PT54" i="6" s="1"/>
  <c r="PS54" i="6" a="1"/>
  <c r="PS54" i="6" s="1"/>
  <c r="PR54" i="6" a="1"/>
  <c r="PR54" i="6" s="1"/>
  <c r="PD54" i="6" a="1"/>
  <c r="PD54" i="6" s="1"/>
  <c r="PC54" i="6" a="1"/>
  <c r="PC54" i="6" s="1"/>
  <c r="PB54" i="6" a="1"/>
  <c r="PB54" i="6" s="1"/>
  <c r="PA54" i="6" a="1"/>
  <c r="PA54" i="6" s="1"/>
  <c r="OZ54" i="6" a="1"/>
  <c r="OZ54" i="6" s="1"/>
  <c r="OL54" i="6" a="1"/>
  <c r="OL54" i="6" s="1"/>
  <c r="OK54" i="6" a="1"/>
  <c r="OK54" i="6" s="1"/>
  <c r="OJ54" i="6" a="1"/>
  <c r="OJ54" i="6" s="1"/>
  <c r="OI54" i="6" a="1"/>
  <c r="OI54" i="6" s="1"/>
  <c r="OH54" i="6" a="1"/>
  <c r="OH54" i="6" s="1"/>
  <c r="NT54" i="6" a="1"/>
  <c r="NT54" i="6" s="1"/>
  <c r="NS54" i="6" a="1"/>
  <c r="NS54" i="6" s="1"/>
  <c r="NR54" i="6" a="1"/>
  <c r="NR54" i="6" s="1"/>
  <c r="NQ54" i="6" a="1"/>
  <c r="NQ54" i="6" s="1"/>
  <c r="NP54" i="6" a="1"/>
  <c r="NP54" i="6" s="1"/>
  <c r="NC54" i="6" a="1"/>
  <c r="NC54" i="6" s="1"/>
  <c r="NB54" i="6" a="1"/>
  <c r="NB54" i="6" s="1"/>
  <c r="NA54" i="6" a="1"/>
  <c r="NA54" i="6" s="1"/>
  <c r="MZ54" i="6" a="1"/>
  <c r="MZ54" i="6" s="1"/>
  <c r="MY54" i="6" a="1"/>
  <c r="MY54" i="6" s="1"/>
  <c r="MK54" i="6" a="1"/>
  <c r="MK54" i="6" s="1"/>
  <c r="MJ54" i="6" a="1"/>
  <c r="MJ54" i="6" s="1"/>
  <c r="MI54" i="6" a="1"/>
  <c r="MI54" i="6" s="1"/>
  <c r="MH54" i="6" a="1"/>
  <c r="MH54" i="6" s="1"/>
  <c r="MG54" i="6" a="1"/>
  <c r="MG54" i="6" s="1"/>
  <c r="LS54" i="6" a="1"/>
  <c r="LS54" i="6" s="1"/>
  <c r="LR54" i="6" a="1"/>
  <c r="LR54" i="6" s="1"/>
  <c r="LQ54" i="6" a="1"/>
  <c r="LQ54" i="6" s="1"/>
  <c r="LP54" i="6" a="1"/>
  <c r="LP54" i="6" s="1"/>
  <c r="LO54" i="6" a="1"/>
  <c r="LO54" i="6" s="1"/>
  <c r="LA54" i="6" a="1"/>
  <c r="LA54" i="6" s="1"/>
  <c r="KZ54" i="6" a="1"/>
  <c r="KZ54" i="6" s="1"/>
  <c r="KY54" i="6" a="1"/>
  <c r="KY54" i="6" s="1"/>
  <c r="KX54" i="6" a="1"/>
  <c r="KX54" i="6" s="1"/>
  <c r="KW54" i="6" a="1"/>
  <c r="KW54" i="6" s="1"/>
  <c r="KI54" i="6" a="1"/>
  <c r="KI54" i="6" s="1"/>
  <c r="KH54" i="6" a="1"/>
  <c r="KH54" i="6" s="1"/>
  <c r="KG54" i="6" a="1"/>
  <c r="KG54" i="6" s="1"/>
  <c r="KF54" i="6" a="1"/>
  <c r="KF54" i="6" s="1"/>
  <c r="KE54" i="6" a="1"/>
  <c r="KE54" i="6" s="1"/>
  <c r="JQ54" i="6" a="1"/>
  <c r="JQ54" i="6" s="1"/>
  <c r="JP54" i="6" a="1"/>
  <c r="JP54" i="6" s="1"/>
  <c r="JO54" i="6" a="1"/>
  <c r="JO54" i="6" s="1"/>
  <c r="JN54" i="6" a="1"/>
  <c r="JN54" i="6" s="1"/>
  <c r="JM54" i="6" a="1"/>
  <c r="JM54" i="6" s="1"/>
  <c r="IY54" i="6" a="1"/>
  <c r="IY54" i="6" s="1"/>
  <c r="IX54" i="6" a="1"/>
  <c r="IX54" i="6" s="1"/>
  <c r="IW54" i="6" a="1"/>
  <c r="IW54" i="6" s="1"/>
  <c r="IV54" i="6" a="1"/>
  <c r="IV54" i="6" s="1"/>
  <c r="IU54" i="6" a="1"/>
  <c r="IU54" i="6" s="1"/>
  <c r="IG54" i="6" a="1"/>
  <c r="IG54" i="6" s="1"/>
  <c r="IF54" i="6" a="1"/>
  <c r="IF54" i="6" s="1"/>
  <c r="IE54" i="6" a="1"/>
  <c r="IE54" i="6" s="1"/>
  <c r="ID54" i="6" a="1"/>
  <c r="ID54" i="6" s="1"/>
  <c r="IC54" i="6" a="1"/>
  <c r="IC54" i="6" s="1"/>
  <c r="HO54" i="6" a="1"/>
  <c r="HO54" i="6" s="1"/>
  <c r="HN54" i="6" a="1"/>
  <c r="HN54" i="6" s="1"/>
  <c r="HM54" i="6" a="1"/>
  <c r="HM54" i="6" s="1"/>
  <c r="HL54" i="6" a="1"/>
  <c r="HL54" i="6" s="1"/>
  <c r="HK54" i="6" a="1"/>
  <c r="HK54" i="6" s="1"/>
  <c r="GX54" i="6" a="1"/>
  <c r="GX54" i="6" s="1"/>
  <c r="GW54" i="6" a="1"/>
  <c r="GW54" i="6" s="1"/>
  <c r="GV54" i="6" a="1"/>
  <c r="GV54" i="6" s="1"/>
  <c r="GU54" i="6" a="1"/>
  <c r="GU54" i="6" s="1"/>
  <c r="GT54" i="6" a="1"/>
  <c r="GT54" i="6" s="1"/>
  <c r="GG54" i="6" a="1"/>
  <c r="GG54" i="6" s="1"/>
  <c r="GF54" i="6" a="1"/>
  <c r="GF54" i="6" s="1"/>
  <c r="GE54" i="6" a="1"/>
  <c r="GE54" i="6" s="1"/>
  <c r="GD54" i="6" a="1"/>
  <c r="GD54" i="6" s="1"/>
  <c r="GC54" i="6" a="1"/>
  <c r="GC54" i="6" s="1"/>
  <c r="FP54" i="6" a="1"/>
  <c r="FP54" i="6" s="1"/>
  <c r="FO54" i="6" a="1"/>
  <c r="FO54" i="6" s="1"/>
  <c r="FN54" i="6" a="1"/>
  <c r="FN54" i="6" s="1"/>
  <c r="FM54" i="6" a="1"/>
  <c r="FM54" i="6" s="1"/>
  <c r="FL54" i="6" a="1"/>
  <c r="FL54" i="6" s="1"/>
  <c r="EY54" i="6" a="1"/>
  <c r="EY54" i="6" s="1"/>
  <c r="EX54" i="6" a="1"/>
  <c r="EX54" i="6" s="1"/>
  <c r="EW54" i="6" a="1"/>
  <c r="EW54" i="6" s="1"/>
  <c r="EV54" i="6" a="1"/>
  <c r="EV54" i="6" s="1"/>
  <c r="EU54" i="6" a="1"/>
  <c r="EU54" i="6" s="1"/>
  <c r="EH54" i="6" a="1"/>
  <c r="EH54" i="6" s="1"/>
  <c r="EG54" i="6" a="1"/>
  <c r="EG54" i="6" s="1"/>
  <c r="EF54" i="6" a="1"/>
  <c r="EF54" i="6" s="1"/>
  <c r="EE54" i="6" a="1"/>
  <c r="EE54" i="6" s="1"/>
  <c r="ED54" i="6" a="1"/>
  <c r="ED54" i="6" s="1"/>
  <c r="DQ54" i="6" a="1"/>
  <c r="DQ54" i="6" s="1"/>
  <c r="DP54" i="6" a="1"/>
  <c r="DP54" i="6" s="1"/>
  <c r="DO54" i="6" a="1"/>
  <c r="DO54" i="6" s="1"/>
  <c r="DN54" i="6" a="1"/>
  <c r="DN54" i="6" s="1"/>
  <c r="DM54" i="6" a="1"/>
  <c r="DM54" i="6" s="1"/>
  <c r="DD54" i="6" a="1"/>
  <c r="DD54" i="6" s="1"/>
  <c r="CU54" i="6" a="1"/>
  <c r="CU54" i="6" s="1"/>
  <c r="CL54" i="6" a="1"/>
  <c r="CL54" i="6" s="1"/>
  <c r="BX54" i="6" a="1"/>
  <c r="BX54" i="6" s="1"/>
  <c r="BW54" i="6" a="1"/>
  <c r="BW54" i="6" s="1"/>
  <c r="BV54" i="6" a="1"/>
  <c r="BV54" i="6" s="1"/>
  <c r="BU54" i="6" a="1"/>
  <c r="BU54" i="6" s="1"/>
  <c r="BT54" i="6" a="1"/>
  <c r="BT54" i="6" s="1"/>
  <c r="BS54" i="6" a="1"/>
  <c r="BS54" i="6" s="1"/>
  <c r="BA54" i="6" a="1"/>
  <c r="BA54" i="6" s="1"/>
  <c r="AZ54" i="6" a="1"/>
  <c r="AZ54" i="6" s="1"/>
  <c r="AY54" i="6" a="1"/>
  <c r="AY54" i="6" s="1"/>
  <c r="AX54" i="6" a="1"/>
  <c r="AX54" i="6" s="1"/>
  <c r="AW54" i="6" a="1"/>
  <c r="AW54" i="6" s="1"/>
  <c r="AV54" i="6" a="1"/>
  <c r="AV54" i="6" s="1"/>
  <c r="AU54" i="6" a="1"/>
  <c r="AU54" i="6" s="1"/>
  <c r="AT54" i="6" a="1"/>
  <c r="AT54" i="6" s="1"/>
  <c r="AS54" i="6" a="1"/>
  <c r="AS54" i="6" s="1"/>
  <c r="AR54" i="6" a="1"/>
  <c r="AR54" i="6" s="1"/>
  <c r="AH54" i="6" a="1"/>
  <c r="AH54" i="6" s="1"/>
  <c r="AG54" i="6" a="1"/>
  <c r="AG54" i="6" s="1"/>
  <c r="V54" i="6" a="1"/>
  <c r="V54" i="6" s="1"/>
  <c r="U54" i="6" a="1"/>
  <c r="U54" i="6" s="1"/>
  <c r="J54" i="6" a="1"/>
  <c r="J54" i="6" s="1"/>
  <c r="I54" i="6" a="1"/>
  <c r="I54" i="6" s="1"/>
  <c r="ADA53" i="6" a="1"/>
  <c r="ADA53" i="6" s="1"/>
  <c r="ACZ53" i="6" a="1"/>
  <c r="ACZ53" i="6" s="1"/>
  <c r="ACY53" i="6" a="1"/>
  <c r="ACY53" i="6" s="1"/>
  <c r="ACN53" i="6" a="1"/>
  <c r="ACN53" i="6" s="1"/>
  <c r="ACM53" i="6" a="1"/>
  <c r="ACM53" i="6" s="1"/>
  <c r="ABU53" i="6" a="1"/>
  <c r="ABU53" i="6" s="1"/>
  <c r="ABX53" i="6" a="1"/>
  <c r="ABX53" i="6" s="1"/>
  <c r="ABV53" i="6" a="1"/>
  <c r="ABV53" i="6" s="1"/>
  <c r="ABH53" i="6" a="1"/>
  <c r="ABH53" i="6" s="1"/>
  <c r="ABG53" i="6" a="1"/>
  <c r="ABG53" i="6" s="1"/>
  <c r="ABF53" i="6" a="1"/>
  <c r="ABF53" i="6" s="1"/>
  <c r="ABE53" i="6" a="1"/>
  <c r="ABE53" i="6" s="1"/>
  <c r="ABD53" i="6" a="1"/>
  <c r="ABD53" i="6" s="1"/>
  <c r="ZR53" i="6" a="1"/>
  <c r="ZR53" i="6" s="1"/>
  <c r="ZE53" i="6" a="1"/>
  <c r="ZE53" i="6" s="1"/>
  <c r="ZD53" i="6" a="1"/>
  <c r="ZD53" i="6" s="1"/>
  <c r="ZC53" i="6" a="1"/>
  <c r="ZC53" i="6" s="1"/>
  <c r="ZB53" i="6" a="1"/>
  <c r="ZB53" i="6" s="1"/>
  <c r="ZA53" i="6" a="1"/>
  <c r="ZA53" i="6" s="1"/>
  <c r="YP53" i="6" a="1"/>
  <c r="YP53" i="6" s="1"/>
  <c r="YO53" i="6" a="1"/>
  <c r="YO53" i="6" s="1"/>
  <c r="YE53" i="6" a="1"/>
  <c r="YE53" i="6" s="1"/>
  <c r="YD53" i="6" a="1"/>
  <c r="YD53" i="6" s="1"/>
  <c r="XT53" i="6" a="1"/>
  <c r="XT53" i="6" s="1"/>
  <c r="XS53" i="6" a="1"/>
  <c r="XS53" i="6" s="1"/>
  <c r="XI53" i="6" a="1"/>
  <c r="XI53" i="6" s="1"/>
  <c r="XH53" i="6" a="1"/>
  <c r="XH53" i="6" s="1"/>
  <c r="WX53" i="6" a="1"/>
  <c r="WX53" i="6" s="1"/>
  <c r="WW53" i="6" a="1"/>
  <c r="WW53" i="6" s="1"/>
  <c r="WM53" i="6" a="1"/>
  <c r="WM53" i="6" s="1"/>
  <c r="WL53" i="6" a="1"/>
  <c r="WL53" i="6" s="1"/>
  <c r="WC53" i="6" a="1"/>
  <c r="WC53" i="6" s="1"/>
  <c r="VQ53" i="6" a="1"/>
  <c r="VQ53" i="6" s="1"/>
  <c r="VP53" i="6" a="1"/>
  <c r="VP53" i="6" s="1"/>
  <c r="VO53" i="6" a="1"/>
  <c r="VO53" i="6" s="1"/>
  <c r="VN53" i="6" a="1"/>
  <c r="VN53" i="6" s="1"/>
  <c r="VA53" i="6" a="1"/>
  <c r="VA53" i="6" s="1"/>
  <c r="UZ53" i="6" a="1"/>
  <c r="UZ53" i="6" s="1"/>
  <c r="UY53" i="6" a="1"/>
  <c r="UY53" i="6" s="1"/>
  <c r="UX53" i="6" a="1"/>
  <c r="UX53" i="6" s="1"/>
  <c r="UW53" i="6" a="1"/>
  <c r="UW53" i="6" s="1"/>
  <c r="UM53" i="6" a="1"/>
  <c r="UM53" i="6" s="1"/>
  <c r="TZ53" i="6" a="1"/>
  <c r="TZ53" i="6" s="1"/>
  <c r="TY53" i="6" a="1"/>
  <c r="TY53" i="6" s="1"/>
  <c r="TX53" i="6" a="1"/>
  <c r="TX53" i="6" s="1"/>
  <c r="TW53" i="6" a="1"/>
  <c r="TW53" i="6" s="1"/>
  <c r="TV53" i="6" a="1"/>
  <c r="TV53" i="6" s="1"/>
  <c r="TH53" i="6" a="1"/>
  <c r="TH53" i="6" s="1"/>
  <c r="TG53" i="6" a="1"/>
  <c r="TG53" i="6" s="1"/>
  <c r="TF53" i="6" a="1"/>
  <c r="TF53" i="6" s="1"/>
  <c r="TE53" i="6" a="1"/>
  <c r="TE53" i="6" s="1"/>
  <c r="TD53" i="6" a="1"/>
  <c r="TD53" i="6" s="1"/>
  <c r="SP53" i="6" a="1"/>
  <c r="SP53" i="6" s="1"/>
  <c r="SO53" i="6" a="1"/>
  <c r="SO53" i="6" s="1"/>
  <c r="SN53" i="6" a="1"/>
  <c r="SN53" i="6" s="1"/>
  <c r="SM53" i="6" a="1"/>
  <c r="SM53" i="6" s="1"/>
  <c r="SL53" i="6" a="1"/>
  <c r="SL53" i="6" s="1"/>
  <c r="RX53" i="6" a="1"/>
  <c r="RX53" i="6" s="1"/>
  <c r="RW53" i="6" a="1"/>
  <c r="RW53" i="6" s="1"/>
  <c r="RV53" i="6" a="1"/>
  <c r="RV53" i="6" s="1"/>
  <c r="RU53" i="6" a="1"/>
  <c r="RU53" i="6" s="1"/>
  <c r="RT53" i="6" a="1"/>
  <c r="RT53" i="6" s="1"/>
  <c r="RF53" i="6" a="1"/>
  <c r="RF53" i="6" s="1"/>
  <c r="RE53" i="6" a="1"/>
  <c r="RE53" i="6" s="1"/>
  <c r="RD53" i="6" a="1"/>
  <c r="RD53" i="6" s="1"/>
  <c r="RC53" i="6" a="1"/>
  <c r="RC53" i="6" s="1"/>
  <c r="RB53" i="6" a="1"/>
  <c r="RB53" i="6" s="1"/>
  <c r="QN53" i="6" a="1"/>
  <c r="QN53" i="6" s="1"/>
  <c r="QM53" i="6" a="1"/>
  <c r="QM53" i="6" s="1"/>
  <c r="QL53" i="6" a="1"/>
  <c r="QL53" i="6" s="1"/>
  <c r="QK53" i="6" a="1"/>
  <c r="QK53" i="6" s="1"/>
  <c r="QJ53" i="6" a="1"/>
  <c r="QJ53" i="6" s="1"/>
  <c r="PV53" i="6" a="1"/>
  <c r="PV53" i="6" s="1"/>
  <c r="PU53" i="6" a="1"/>
  <c r="PU53" i="6" s="1"/>
  <c r="PT53" i="6" a="1"/>
  <c r="PT53" i="6" s="1"/>
  <c r="PS53" i="6" a="1"/>
  <c r="PS53" i="6" s="1"/>
  <c r="PR53" i="6" a="1"/>
  <c r="PR53" i="6" s="1"/>
  <c r="PD53" i="6" a="1"/>
  <c r="PD53" i="6" s="1"/>
  <c r="PC53" i="6" a="1"/>
  <c r="PC53" i="6" s="1"/>
  <c r="PB53" i="6" a="1"/>
  <c r="PB53" i="6" s="1"/>
  <c r="PA53" i="6" a="1"/>
  <c r="PA53" i="6" s="1"/>
  <c r="OZ53" i="6" a="1"/>
  <c r="OZ53" i="6" s="1"/>
  <c r="OL53" i="6" a="1"/>
  <c r="OL53" i="6" s="1"/>
  <c r="OK53" i="6" a="1"/>
  <c r="OK53" i="6" s="1"/>
  <c r="OJ53" i="6" a="1"/>
  <c r="OJ53" i="6" s="1"/>
  <c r="OI53" i="6" a="1"/>
  <c r="OI53" i="6" s="1"/>
  <c r="OH53" i="6" a="1"/>
  <c r="OH53" i="6" s="1"/>
  <c r="NT53" i="6" a="1"/>
  <c r="NT53" i="6" s="1"/>
  <c r="NS53" i="6" a="1"/>
  <c r="NS53" i="6" s="1"/>
  <c r="NR53" i="6" a="1"/>
  <c r="NR53" i="6" s="1"/>
  <c r="NQ53" i="6" a="1"/>
  <c r="NQ53" i="6" s="1"/>
  <c r="NP53" i="6" a="1"/>
  <c r="NP53" i="6" s="1"/>
  <c r="NC53" i="6" a="1"/>
  <c r="NC53" i="6" s="1"/>
  <c r="NB53" i="6" a="1"/>
  <c r="NB53" i="6" s="1"/>
  <c r="NA53" i="6" a="1"/>
  <c r="NA53" i="6" s="1"/>
  <c r="MZ53" i="6" a="1"/>
  <c r="MZ53" i="6" s="1"/>
  <c r="MY53" i="6" a="1"/>
  <c r="MY53" i="6" s="1"/>
  <c r="MK53" i="6" a="1"/>
  <c r="MK53" i="6" s="1"/>
  <c r="MJ53" i="6" a="1"/>
  <c r="MJ53" i="6" s="1"/>
  <c r="MI53" i="6" a="1"/>
  <c r="MI53" i="6" s="1"/>
  <c r="MH53" i="6" a="1"/>
  <c r="MH53" i="6" s="1"/>
  <c r="MG53" i="6" a="1"/>
  <c r="MG53" i="6" s="1"/>
  <c r="LS53" i="6" a="1"/>
  <c r="LS53" i="6" s="1"/>
  <c r="LR53" i="6" a="1"/>
  <c r="LR53" i="6" s="1"/>
  <c r="LQ53" i="6" a="1"/>
  <c r="LQ53" i="6" s="1"/>
  <c r="LP53" i="6" a="1"/>
  <c r="LP53" i="6" s="1"/>
  <c r="LO53" i="6" a="1"/>
  <c r="LO53" i="6" s="1"/>
  <c r="LA53" i="6" a="1"/>
  <c r="LA53" i="6" s="1"/>
  <c r="KZ53" i="6" a="1"/>
  <c r="KZ53" i="6" s="1"/>
  <c r="KY53" i="6" a="1"/>
  <c r="KY53" i="6" s="1"/>
  <c r="KX53" i="6" a="1"/>
  <c r="KX53" i="6" s="1"/>
  <c r="KW53" i="6" a="1"/>
  <c r="KW53" i="6" s="1"/>
  <c r="KI53" i="6" a="1"/>
  <c r="KI53" i="6" s="1"/>
  <c r="KH53" i="6" a="1"/>
  <c r="KH53" i="6" s="1"/>
  <c r="KG53" i="6" a="1"/>
  <c r="KG53" i="6" s="1"/>
  <c r="KF53" i="6" a="1"/>
  <c r="KF53" i="6" s="1"/>
  <c r="KE53" i="6" a="1"/>
  <c r="KE53" i="6" s="1"/>
  <c r="JQ53" i="6" a="1"/>
  <c r="JQ53" i="6" s="1"/>
  <c r="JP53" i="6" a="1"/>
  <c r="JP53" i="6" s="1"/>
  <c r="JO53" i="6" a="1"/>
  <c r="JO53" i="6" s="1"/>
  <c r="JN53" i="6" a="1"/>
  <c r="JN53" i="6" s="1"/>
  <c r="JM53" i="6" a="1"/>
  <c r="JM53" i="6" s="1"/>
  <c r="IY53" i="6" a="1"/>
  <c r="IY53" i="6" s="1"/>
  <c r="IX53" i="6" a="1"/>
  <c r="IX53" i="6" s="1"/>
  <c r="IW53" i="6" a="1"/>
  <c r="IW53" i="6" s="1"/>
  <c r="IV53" i="6" a="1"/>
  <c r="IV53" i="6" s="1"/>
  <c r="IU53" i="6" a="1"/>
  <c r="IU53" i="6" s="1"/>
  <c r="IG53" i="6" a="1"/>
  <c r="IG53" i="6" s="1"/>
  <c r="IF53" i="6" a="1"/>
  <c r="IF53" i="6" s="1"/>
  <c r="IE53" i="6" a="1"/>
  <c r="IE53" i="6" s="1"/>
  <c r="ID53" i="6" a="1"/>
  <c r="ID53" i="6" s="1"/>
  <c r="IC53" i="6" a="1"/>
  <c r="IC53" i="6" s="1"/>
  <c r="HO53" i="6" a="1"/>
  <c r="HO53" i="6" s="1"/>
  <c r="HN53" i="6" a="1"/>
  <c r="HN53" i="6" s="1"/>
  <c r="HM53" i="6" a="1"/>
  <c r="HM53" i="6" s="1"/>
  <c r="HL53" i="6" a="1"/>
  <c r="HL53" i="6" s="1"/>
  <c r="HK53" i="6" a="1"/>
  <c r="HK53" i="6" s="1"/>
  <c r="GX53" i="6" a="1"/>
  <c r="GX53" i="6" s="1"/>
  <c r="GW53" i="6" a="1"/>
  <c r="GW53" i="6" s="1"/>
  <c r="GV53" i="6" a="1"/>
  <c r="GV53" i="6" s="1"/>
  <c r="GU53" i="6" a="1"/>
  <c r="GU53" i="6" s="1"/>
  <c r="GT53" i="6" a="1"/>
  <c r="GT53" i="6" s="1"/>
  <c r="GG53" i="6" a="1"/>
  <c r="GG53" i="6" s="1"/>
  <c r="GF53" i="6" a="1"/>
  <c r="GF53" i="6" s="1"/>
  <c r="GE53" i="6" a="1"/>
  <c r="GE53" i="6" s="1"/>
  <c r="GD53" i="6" a="1"/>
  <c r="GD53" i="6" s="1"/>
  <c r="GC53" i="6" a="1"/>
  <c r="GC53" i="6" s="1"/>
  <c r="FP53" i="6" a="1"/>
  <c r="FP53" i="6" s="1"/>
  <c r="FO53" i="6" a="1"/>
  <c r="FO53" i="6" s="1"/>
  <c r="FN53" i="6" a="1"/>
  <c r="FN53" i="6" s="1"/>
  <c r="FM53" i="6" a="1"/>
  <c r="FM53" i="6" s="1"/>
  <c r="FL53" i="6" a="1"/>
  <c r="FL53" i="6" s="1"/>
  <c r="EY53" i="6" a="1"/>
  <c r="EY53" i="6" s="1"/>
  <c r="EX53" i="6" a="1"/>
  <c r="EX53" i="6" s="1"/>
  <c r="EW53" i="6" a="1"/>
  <c r="EW53" i="6" s="1"/>
  <c r="EV53" i="6" a="1"/>
  <c r="EV53" i="6" s="1"/>
  <c r="EU53" i="6" a="1"/>
  <c r="EU53" i="6" s="1"/>
  <c r="EH53" i="6" a="1"/>
  <c r="EH53" i="6" s="1"/>
  <c r="EG53" i="6" a="1"/>
  <c r="EG53" i="6" s="1"/>
  <c r="EF53" i="6" a="1"/>
  <c r="EF53" i="6" s="1"/>
  <c r="EE53" i="6" a="1"/>
  <c r="EE53" i="6" s="1"/>
  <c r="ED53" i="6" a="1"/>
  <c r="ED53" i="6" s="1"/>
  <c r="DQ53" i="6" a="1"/>
  <c r="DQ53" i="6" s="1"/>
  <c r="DP53" i="6" a="1"/>
  <c r="DP53" i="6" s="1"/>
  <c r="DO53" i="6" a="1"/>
  <c r="DO53" i="6" s="1"/>
  <c r="DN53" i="6" a="1"/>
  <c r="DN53" i="6" s="1"/>
  <c r="DM53" i="6" a="1"/>
  <c r="DM53" i="6" s="1"/>
  <c r="DD53" i="6" a="1"/>
  <c r="DD53" i="6" s="1"/>
  <c r="CU53" i="6" a="1"/>
  <c r="CU53" i="6" s="1"/>
  <c r="CL53" i="6" a="1"/>
  <c r="CL53" i="6" s="1"/>
  <c r="BX53" i="6" a="1"/>
  <c r="BX53" i="6" s="1"/>
  <c r="BW53" i="6" a="1"/>
  <c r="BW53" i="6" s="1"/>
  <c r="BV53" i="6" a="1"/>
  <c r="BV53" i="6" s="1"/>
  <c r="BU53" i="6" a="1"/>
  <c r="BU53" i="6" s="1"/>
  <c r="BT53" i="6" a="1"/>
  <c r="BT53" i="6" s="1"/>
  <c r="BS53" i="6" a="1"/>
  <c r="BS53" i="6" s="1"/>
  <c r="BA53" i="6" a="1"/>
  <c r="BA53" i="6" s="1"/>
  <c r="AZ53" i="6" a="1"/>
  <c r="AZ53" i="6" s="1"/>
  <c r="AY53" i="6" a="1"/>
  <c r="AY53" i="6" s="1"/>
  <c r="AX53" i="6" a="1"/>
  <c r="AX53" i="6" s="1"/>
  <c r="AW53" i="6" a="1"/>
  <c r="AW53" i="6" s="1"/>
  <c r="AV53" i="6" a="1"/>
  <c r="AV53" i="6" s="1"/>
  <c r="AU53" i="6" a="1"/>
  <c r="AU53" i="6" s="1"/>
  <c r="AT53" i="6" a="1"/>
  <c r="AT53" i="6" s="1"/>
  <c r="AS53" i="6" a="1"/>
  <c r="AS53" i="6" s="1"/>
  <c r="AR53" i="6" a="1"/>
  <c r="AR53" i="6" s="1"/>
  <c r="AH53" i="6" a="1"/>
  <c r="AH53" i="6" s="1"/>
  <c r="AG53" i="6" a="1"/>
  <c r="AG53" i="6" s="1"/>
  <c r="V53" i="6" a="1"/>
  <c r="V53" i="6" s="1"/>
  <c r="U53" i="6" a="1"/>
  <c r="U53" i="6" s="1"/>
  <c r="J53" i="6" a="1"/>
  <c r="J53" i="6" s="1"/>
  <c r="I53" i="6" a="1"/>
  <c r="I53" i="6" s="1"/>
  <c r="H53" i="6" s="1"/>
  <c r="ADA52" i="6" a="1"/>
  <c r="ADA52" i="6" s="1"/>
  <c r="ACZ52" i="6" a="1"/>
  <c r="ACZ52" i="6" s="1"/>
  <c r="ACY52" i="6" a="1"/>
  <c r="ACY52" i="6" s="1"/>
  <c r="ACN52" i="6" a="1"/>
  <c r="ACN52" i="6" s="1"/>
  <c r="ACM52" i="6" a="1"/>
  <c r="ACM52" i="6" s="1"/>
  <c r="ACL52" i="6" s="1"/>
  <c r="ABU52" i="6" a="1"/>
  <c r="ABU52" i="6" s="1"/>
  <c r="ABX52" i="6" a="1"/>
  <c r="ABX52" i="6" s="1"/>
  <c r="ABV52" i="6" a="1"/>
  <c r="ABV52" i="6" s="1"/>
  <c r="ABH52" i="6" a="1"/>
  <c r="ABH52" i="6" s="1"/>
  <c r="ABG52" i="6" a="1"/>
  <c r="ABG52" i="6" s="1"/>
  <c r="ABF52" i="6" a="1"/>
  <c r="ABF52" i="6" s="1"/>
  <c r="ABE52" i="6" a="1"/>
  <c r="ABE52" i="6" s="1"/>
  <c r="ABD52" i="6" a="1"/>
  <c r="ABD52" i="6" s="1"/>
  <c r="ZR52" i="6" a="1"/>
  <c r="ZR52" i="6" s="1"/>
  <c r="ZE52" i="6" a="1"/>
  <c r="ZE52" i="6" s="1"/>
  <c r="ZD52" i="6" a="1"/>
  <c r="ZD52" i="6" s="1"/>
  <c r="ZC52" i="6" a="1"/>
  <c r="ZC52" i="6" s="1"/>
  <c r="ZB52" i="6" a="1"/>
  <c r="ZB52" i="6" s="1"/>
  <c r="ZA52" i="6" a="1"/>
  <c r="ZA52" i="6" s="1"/>
  <c r="YP52" i="6" a="1"/>
  <c r="YP52" i="6" s="1"/>
  <c r="YO52" i="6" a="1"/>
  <c r="YO52" i="6" s="1"/>
  <c r="YE52" i="6" a="1"/>
  <c r="YE52" i="6" s="1"/>
  <c r="YD52" i="6" a="1"/>
  <c r="YD52" i="6" s="1"/>
  <c r="XT52" i="6" a="1"/>
  <c r="XT52" i="6" s="1"/>
  <c r="XS52" i="6" a="1"/>
  <c r="XS52" i="6" s="1"/>
  <c r="XI52" i="6" a="1"/>
  <c r="XI52" i="6" s="1"/>
  <c r="XH52" i="6" a="1"/>
  <c r="XH52" i="6" s="1"/>
  <c r="WX52" i="6" a="1"/>
  <c r="WX52" i="6" s="1"/>
  <c r="WW52" i="6" a="1"/>
  <c r="WW52" i="6" s="1"/>
  <c r="WM52" i="6" a="1"/>
  <c r="WM52" i="6" s="1"/>
  <c r="WL52" i="6" a="1"/>
  <c r="WL52" i="6" s="1"/>
  <c r="WC52" i="6" a="1"/>
  <c r="WC52" i="6" s="1"/>
  <c r="VQ52" i="6" a="1"/>
  <c r="VQ52" i="6" s="1"/>
  <c r="VP52" i="6" a="1"/>
  <c r="VP52" i="6" s="1"/>
  <c r="VO52" i="6" a="1"/>
  <c r="VO52" i="6" s="1"/>
  <c r="VN52" i="6" a="1"/>
  <c r="VN52" i="6" s="1"/>
  <c r="VA52" i="6" a="1"/>
  <c r="VA52" i="6" s="1"/>
  <c r="UZ52" i="6" a="1"/>
  <c r="UZ52" i="6" s="1"/>
  <c r="UY52" i="6" a="1"/>
  <c r="UY52" i="6" s="1"/>
  <c r="UX52" i="6" a="1"/>
  <c r="UX52" i="6" s="1"/>
  <c r="UW52" i="6" a="1"/>
  <c r="UW52" i="6" s="1"/>
  <c r="UM52" i="6" a="1"/>
  <c r="UM52" i="6" s="1"/>
  <c r="TZ52" i="6" a="1"/>
  <c r="TZ52" i="6" s="1"/>
  <c r="TY52" i="6" a="1"/>
  <c r="TY52" i="6" s="1"/>
  <c r="TX52" i="6" a="1"/>
  <c r="TX52" i="6" s="1"/>
  <c r="TW52" i="6" a="1"/>
  <c r="TW52" i="6" s="1"/>
  <c r="TV52" i="6" a="1"/>
  <c r="TV52" i="6" s="1"/>
  <c r="TH52" i="6" a="1"/>
  <c r="TH52" i="6" s="1"/>
  <c r="TG52" i="6" a="1"/>
  <c r="TG52" i="6" s="1"/>
  <c r="TF52" i="6" a="1"/>
  <c r="TF52" i="6" s="1"/>
  <c r="TE52" i="6" a="1"/>
  <c r="TE52" i="6" s="1"/>
  <c r="TD52" i="6" a="1"/>
  <c r="TD52" i="6" s="1"/>
  <c r="SP52" i="6" a="1"/>
  <c r="SP52" i="6" s="1"/>
  <c r="SO52" i="6" a="1"/>
  <c r="SO52" i="6" s="1"/>
  <c r="SN52" i="6" a="1"/>
  <c r="SN52" i="6" s="1"/>
  <c r="SM52" i="6" a="1"/>
  <c r="SM52" i="6" s="1"/>
  <c r="SL52" i="6" a="1"/>
  <c r="SL52" i="6" s="1"/>
  <c r="RX52" i="6" a="1"/>
  <c r="RX52" i="6" s="1"/>
  <c r="RW52" i="6" a="1"/>
  <c r="RW52" i="6" s="1"/>
  <c r="RV52" i="6" a="1"/>
  <c r="RV52" i="6" s="1"/>
  <c r="RU52" i="6" a="1"/>
  <c r="RU52" i="6" s="1"/>
  <c r="RT52" i="6" a="1"/>
  <c r="RT52" i="6" s="1"/>
  <c r="RF52" i="6" a="1"/>
  <c r="RF52" i="6" s="1"/>
  <c r="RE52" i="6" a="1"/>
  <c r="RE52" i="6" s="1"/>
  <c r="RD52" i="6" a="1"/>
  <c r="RD52" i="6" s="1"/>
  <c r="RC52" i="6" a="1"/>
  <c r="RC52" i="6" s="1"/>
  <c r="RB52" i="6" a="1"/>
  <c r="RB52" i="6" s="1"/>
  <c r="QN52" i="6" a="1"/>
  <c r="QN52" i="6" s="1"/>
  <c r="QM52" i="6" a="1"/>
  <c r="QM52" i="6" s="1"/>
  <c r="QL52" i="6" a="1"/>
  <c r="QL52" i="6" s="1"/>
  <c r="QK52" i="6" a="1"/>
  <c r="QK52" i="6" s="1"/>
  <c r="QJ52" i="6" a="1"/>
  <c r="QJ52" i="6" s="1"/>
  <c r="PV52" i="6" a="1"/>
  <c r="PV52" i="6" s="1"/>
  <c r="PU52" i="6" a="1"/>
  <c r="PU52" i="6" s="1"/>
  <c r="PT52" i="6" a="1"/>
  <c r="PT52" i="6" s="1"/>
  <c r="PS52" i="6" a="1"/>
  <c r="PS52" i="6" s="1"/>
  <c r="PR52" i="6" a="1"/>
  <c r="PR52" i="6" s="1"/>
  <c r="PD52" i="6" a="1"/>
  <c r="PD52" i="6" s="1"/>
  <c r="PC52" i="6" a="1"/>
  <c r="PC52" i="6" s="1"/>
  <c r="PB52" i="6" a="1"/>
  <c r="PB52" i="6" s="1"/>
  <c r="PA52" i="6" a="1"/>
  <c r="PA52" i="6" s="1"/>
  <c r="OZ52" i="6" a="1"/>
  <c r="OZ52" i="6" s="1"/>
  <c r="OL52" i="6" a="1"/>
  <c r="OL52" i="6" s="1"/>
  <c r="OK52" i="6" a="1"/>
  <c r="OK52" i="6" s="1"/>
  <c r="OJ52" i="6" a="1"/>
  <c r="OJ52" i="6" s="1"/>
  <c r="OI52" i="6" a="1"/>
  <c r="OI52" i="6" s="1"/>
  <c r="OH52" i="6" a="1"/>
  <c r="OH52" i="6" s="1"/>
  <c r="NT52" i="6" a="1"/>
  <c r="NT52" i="6" s="1"/>
  <c r="NS52" i="6" a="1"/>
  <c r="NS52" i="6" s="1"/>
  <c r="NR52" i="6" a="1"/>
  <c r="NR52" i="6" s="1"/>
  <c r="NQ52" i="6" a="1"/>
  <c r="NQ52" i="6" s="1"/>
  <c r="NP52" i="6" a="1"/>
  <c r="NP52" i="6" s="1"/>
  <c r="NC52" i="6" a="1"/>
  <c r="NC52" i="6" s="1"/>
  <c r="NB52" i="6" a="1"/>
  <c r="NB52" i="6" s="1"/>
  <c r="NA52" i="6" a="1"/>
  <c r="NA52" i="6" s="1"/>
  <c r="MZ52" i="6" a="1"/>
  <c r="MZ52" i="6" s="1"/>
  <c r="MY52" i="6" a="1"/>
  <c r="MY52" i="6" s="1"/>
  <c r="MK52" i="6" a="1"/>
  <c r="MK52" i="6" s="1"/>
  <c r="MJ52" i="6" a="1"/>
  <c r="MJ52" i="6" s="1"/>
  <c r="MI52" i="6" a="1"/>
  <c r="MI52" i="6" s="1"/>
  <c r="MH52" i="6" a="1"/>
  <c r="MH52" i="6" s="1"/>
  <c r="MG52" i="6" a="1"/>
  <c r="MG52" i="6" s="1"/>
  <c r="LS52" i="6" a="1"/>
  <c r="LS52" i="6" s="1"/>
  <c r="LR52" i="6" a="1"/>
  <c r="LR52" i="6" s="1"/>
  <c r="LQ52" i="6" a="1"/>
  <c r="LQ52" i="6" s="1"/>
  <c r="LP52" i="6" a="1"/>
  <c r="LP52" i="6" s="1"/>
  <c r="LO52" i="6" a="1"/>
  <c r="LO52" i="6" s="1"/>
  <c r="LA52" i="6" a="1"/>
  <c r="LA52" i="6" s="1"/>
  <c r="KZ52" i="6" a="1"/>
  <c r="KZ52" i="6" s="1"/>
  <c r="KY52" i="6" a="1"/>
  <c r="KY52" i="6" s="1"/>
  <c r="KX52" i="6" a="1"/>
  <c r="KX52" i="6" s="1"/>
  <c r="KW52" i="6" a="1"/>
  <c r="KW52" i="6" s="1"/>
  <c r="KI52" i="6" a="1"/>
  <c r="KI52" i="6" s="1"/>
  <c r="KH52" i="6" a="1"/>
  <c r="KH52" i="6" s="1"/>
  <c r="KG52" i="6" a="1"/>
  <c r="KG52" i="6" s="1"/>
  <c r="KF52" i="6" a="1"/>
  <c r="KF52" i="6" s="1"/>
  <c r="KE52" i="6" a="1"/>
  <c r="KE52" i="6" s="1"/>
  <c r="JQ52" i="6" a="1"/>
  <c r="JQ52" i="6" s="1"/>
  <c r="JP52" i="6" a="1"/>
  <c r="JP52" i="6" s="1"/>
  <c r="JO52" i="6" a="1"/>
  <c r="JO52" i="6" s="1"/>
  <c r="JN52" i="6" a="1"/>
  <c r="JN52" i="6" s="1"/>
  <c r="JM52" i="6" a="1"/>
  <c r="JM52" i="6" s="1"/>
  <c r="IY52" i="6" a="1"/>
  <c r="IY52" i="6" s="1"/>
  <c r="IX52" i="6" a="1"/>
  <c r="IX52" i="6" s="1"/>
  <c r="IW52" i="6" a="1"/>
  <c r="IW52" i="6" s="1"/>
  <c r="IV52" i="6" a="1"/>
  <c r="IV52" i="6" s="1"/>
  <c r="IU52" i="6" a="1"/>
  <c r="IU52" i="6" s="1"/>
  <c r="IG52" i="6" a="1"/>
  <c r="IG52" i="6" s="1"/>
  <c r="IF52" i="6" a="1"/>
  <c r="IF52" i="6" s="1"/>
  <c r="IE52" i="6" a="1"/>
  <c r="IE52" i="6" s="1"/>
  <c r="ID52" i="6" a="1"/>
  <c r="ID52" i="6" s="1"/>
  <c r="IC52" i="6" a="1"/>
  <c r="IC52" i="6" s="1"/>
  <c r="HO52" i="6" a="1"/>
  <c r="HO52" i="6" s="1"/>
  <c r="HN52" i="6" a="1"/>
  <c r="HN52" i="6" s="1"/>
  <c r="HM52" i="6" a="1"/>
  <c r="HM52" i="6" s="1"/>
  <c r="HL52" i="6" a="1"/>
  <c r="HL52" i="6" s="1"/>
  <c r="HK52" i="6" a="1"/>
  <c r="HK52" i="6" s="1"/>
  <c r="GX52" i="6" a="1"/>
  <c r="GX52" i="6" s="1"/>
  <c r="GW52" i="6" a="1"/>
  <c r="GW52" i="6" s="1"/>
  <c r="GV52" i="6" a="1"/>
  <c r="GV52" i="6" s="1"/>
  <c r="GU52" i="6" a="1"/>
  <c r="GU52" i="6" s="1"/>
  <c r="GT52" i="6" a="1"/>
  <c r="GT52" i="6" s="1"/>
  <c r="GG52" i="6" a="1"/>
  <c r="GG52" i="6" s="1"/>
  <c r="GF52" i="6" a="1"/>
  <c r="GF52" i="6" s="1"/>
  <c r="GE52" i="6" a="1"/>
  <c r="GE52" i="6" s="1"/>
  <c r="GD52" i="6" a="1"/>
  <c r="GD52" i="6" s="1"/>
  <c r="GC52" i="6" a="1"/>
  <c r="GC52" i="6" s="1"/>
  <c r="FP52" i="6" a="1"/>
  <c r="FP52" i="6" s="1"/>
  <c r="FO52" i="6" a="1"/>
  <c r="FO52" i="6" s="1"/>
  <c r="FN52" i="6" a="1"/>
  <c r="FN52" i="6" s="1"/>
  <c r="FM52" i="6" a="1"/>
  <c r="FM52" i="6" s="1"/>
  <c r="FL52" i="6" a="1"/>
  <c r="FL52" i="6" s="1"/>
  <c r="EY52" i="6" a="1"/>
  <c r="EY52" i="6" s="1"/>
  <c r="EX52" i="6" a="1"/>
  <c r="EX52" i="6" s="1"/>
  <c r="EW52" i="6" a="1"/>
  <c r="EW52" i="6" s="1"/>
  <c r="EV52" i="6" a="1"/>
  <c r="EV52" i="6" s="1"/>
  <c r="EU52" i="6" a="1"/>
  <c r="EU52" i="6" s="1"/>
  <c r="EH52" i="6" a="1"/>
  <c r="EH52" i="6" s="1"/>
  <c r="EG52" i="6" a="1"/>
  <c r="EG52" i="6" s="1"/>
  <c r="EF52" i="6" a="1"/>
  <c r="EF52" i="6" s="1"/>
  <c r="EE52" i="6" a="1"/>
  <c r="EE52" i="6" s="1"/>
  <c r="ED52" i="6" a="1"/>
  <c r="ED52" i="6" s="1"/>
  <c r="DQ52" i="6" a="1"/>
  <c r="DQ52" i="6" s="1"/>
  <c r="DP52" i="6" a="1"/>
  <c r="DP52" i="6" s="1"/>
  <c r="DO52" i="6" a="1"/>
  <c r="DO52" i="6" s="1"/>
  <c r="DN52" i="6" a="1"/>
  <c r="DN52" i="6" s="1"/>
  <c r="DM52" i="6" a="1"/>
  <c r="DM52" i="6" s="1"/>
  <c r="DD52" i="6" a="1"/>
  <c r="DD52" i="6" s="1"/>
  <c r="CU52" i="6" a="1"/>
  <c r="CU52" i="6" s="1"/>
  <c r="CL52" i="6" a="1"/>
  <c r="CL52" i="6" s="1"/>
  <c r="BX52" i="6" a="1"/>
  <c r="BX52" i="6" s="1"/>
  <c r="BW52" i="6" a="1"/>
  <c r="BW52" i="6" s="1"/>
  <c r="BV52" i="6" a="1"/>
  <c r="BV52" i="6" s="1"/>
  <c r="BU52" i="6" a="1"/>
  <c r="BU52" i="6" s="1"/>
  <c r="BT52" i="6" a="1"/>
  <c r="BT52" i="6" s="1"/>
  <c r="BS52" i="6" a="1"/>
  <c r="BS52" i="6" s="1"/>
  <c r="BA52" i="6" a="1"/>
  <c r="BA52" i="6" s="1"/>
  <c r="AZ52" i="6" a="1"/>
  <c r="AZ52" i="6" s="1"/>
  <c r="AY52" i="6" a="1"/>
  <c r="AY52" i="6" s="1"/>
  <c r="AX52" i="6" a="1"/>
  <c r="AX52" i="6" s="1"/>
  <c r="AW52" i="6" a="1"/>
  <c r="AW52" i="6" s="1"/>
  <c r="AV52" i="6" a="1"/>
  <c r="AV52" i="6" s="1"/>
  <c r="AU52" i="6" a="1"/>
  <c r="AU52" i="6" s="1"/>
  <c r="AT52" i="6" a="1"/>
  <c r="AT52" i="6" s="1"/>
  <c r="AS52" i="6" a="1"/>
  <c r="AS52" i="6" s="1"/>
  <c r="AR52" i="6" a="1"/>
  <c r="AR52" i="6" s="1"/>
  <c r="AH52" i="6" a="1"/>
  <c r="AH52" i="6" s="1"/>
  <c r="AG52" i="6" a="1"/>
  <c r="AG52" i="6" s="1"/>
  <c r="V52" i="6" a="1"/>
  <c r="V52" i="6" s="1"/>
  <c r="U52" i="6" a="1"/>
  <c r="U52" i="6" s="1"/>
  <c r="J52" i="6" a="1"/>
  <c r="J52" i="6" s="1"/>
  <c r="I52" i="6" a="1"/>
  <c r="I52" i="6" s="1"/>
  <c r="ADA51" i="6" a="1"/>
  <c r="ADA51" i="6" s="1"/>
  <c r="ACZ51" i="6" a="1"/>
  <c r="ACZ51" i="6" s="1"/>
  <c r="ACY51" i="6" a="1"/>
  <c r="ACY51" i="6" s="1"/>
  <c r="ACN51" i="6" a="1"/>
  <c r="ACN51" i="6" s="1"/>
  <c r="ACM51" i="6" a="1"/>
  <c r="ACM51" i="6" s="1"/>
  <c r="ACL51" i="6" s="1"/>
  <c r="ABU51" i="6" a="1"/>
  <c r="ABU51" i="6" s="1"/>
  <c r="ABX51" i="6" a="1"/>
  <c r="ABX51" i="6" s="1"/>
  <c r="ABV51" i="6" a="1"/>
  <c r="ABV51" i="6" s="1"/>
  <c r="ABH51" i="6" a="1"/>
  <c r="ABH51" i="6" s="1"/>
  <c r="ABG51" i="6" a="1"/>
  <c r="ABG51" i="6" s="1"/>
  <c r="ABF51" i="6" a="1"/>
  <c r="ABF51" i="6" s="1"/>
  <c r="ABE51" i="6" a="1"/>
  <c r="ABE51" i="6" s="1"/>
  <c r="ABD51" i="6" a="1"/>
  <c r="ABD51" i="6" s="1"/>
  <c r="ZR51" i="6" a="1"/>
  <c r="ZR51" i="6" s="1"/>
  <c r="ZE51" i="6" a="1"/>
  <c r="ZE51" i="6" s="1"/>
  <c r="ZD51" i="6" a="1"/>
  <c r="ZD51" i="6" s="1"/>
  <c r="ZC51" i="6" a="1"/>
  <c r="ZC51" i="6" s="1"/>
  <c r="ZB51" i="6" a="1"/>
  <c r="ZB51" i="6" s="1"/>
  <c r="ZA51" i="6" a="1"/>
  <c r="ZA51" i="6" s="1"/>
  <c r="YP51" i="6" a="1"/>
  <c r="YP51" i="6" s="1"/>
  <c r="YO51" i="6" a="1"/>
  <c r="YO51" i="6" s="1"/>
  <c r="YE51" i="6" a="1"/>
  <c r="YE51" i="6" s="1"/>
  <c r="YD51" i="6" a="1"/>
  <c r="YD51" i="6" s="1"/>
  <c r="XT51" i="6" a="1"/>
  <c r="XT51" i="6" s="1"/>
  <c r="XS51" i="6" a="1"/>
  <c r="XS51" i="6" s="1"/>
  <c r="XI51" i="6" a="1"/>
  <c r="XI51" i="6" s="1"/>
  <c r="XH51" i="6" a="1"/>
  <c r="XH51" i="6" s="1"/>
  <c r="WX51" i="6" a="1"/>
  <c r="WX51" i="6" s="1"/>
  <c r="WW51" i="6" a="1"/>
  <c r="WW51" i="6" s="1"/>
  <c r="WM51" i="6" a="1"/>
  <c r="WM51" i="6" s="1"/>
  <c r="WL51" i="6" a="1"/>
  <c r="WL51" i="6" s="1"/>
  <c r="WC51" i="6" a="1"/>
  <c r="WC51" i="6" s="1"/>
  <c r="VQ51" i="6" a="1"/>
  <c r="VQ51" i="6" s="1"/>
  <c r="VP51" i="6" a="1"/>
  <c r="VP51" i="6" s="1"/>
  <c r="VO51" i="6" a="1"/>
  <c r="VO51" i="6" s="1"/>
  <c r="VN51" i="6" a="1"/>
  <c r="VN51" i="6" s="1"/>
  <c r="VA51" i="6" a="1"/>
  <c r="VA51" i="6" s="1"/>
  <c r="UZ51" i="6" a="1"/>
  <c r="UZ51" i="6" s="1"/>
  <c r="UY51" i="6" a="1"/>
  <c r="UY51" i="6" s="1"/>
  <c r="UX51" i="6" a="1"/>
  <c r="UX51" i="6" s="1"/>
  <c r="UW51" i="6" a="1"/>
  <c r="UW51" i="6" s="1"/>
  <c r="UM51" i="6" a="1"/>
  <c r="UM51" i="6" s="1"/>
  <c r="TZ51" i="6" a="1"/>
  <c r="TZ51" i="6" s="1"/>
  <c r="TY51" i="6" a="1"/>
  <c r="TY51" i="6" s="1"/>
  <c r="TX51" i="6" a="1"/>
  <c r="TX51" i="6" s="1"/>
  <c r="TW51" i="6" a="1"/>
  <c r="TW51" i="6" s="1"/>
  <c r="TV51" i="6" a="1"/>
  <c r="TV51" i="6" s="1"/>
  <c r="TH51" i="6" a="1"/>
  <c r="TH51" i="6" s="1"/>
  <c r="TG51" i="6" a="1"/>
  <c r="TG51" i="6" s="1"/>
  <c r="TF51" i="6" a="1"/>
  <c r="TF51" i="6" s="1"/>
  <c r="TE51" i="6" a="1"/>
  <c r="TE51" i="6" s="1"/>
  <c r="TD51" i="6" a="1"/>
  <c r="TD51" i="6" s="1"/>
  <c r="SP51" i="6" a="1"/>
  <c r="SP51" i="6" s="1"/>
  <c r="SO51" i="6" a="1"/>
  <c r="SO51" i="6" s="1"/>
  <c r="SN51" i="6" a="1"/>
  <c r="SN51" i="6" s="1"/>
  <c r="SM51" i="6" a="1"/>
  <c r="SM51" i="6" s="1"/>
  <c r="SL51" i="6" a="1"/>
  <c r="SL51" i="6" s="1"/>
  <c r="RX51" i="6" a="1"/>
  <c r="RX51" i="6" s="1"/>
  <c r="RW51" i="6" a="1"/>
  <c r="RW51" i="6" s="1"/>
  <c r="RV51" i="6" a="1"/>
  <c r="RV51" i="6" s="1"/>
  <c r="RU51" i="6" a="1"/>
  <c r="RU51" i="6" s="1"/>
  <c r="RT51" i="6" a="1"/>
  <c r="RT51" i="6" s="1"/>
  <c r="RF51" i="6" a="1"/>
  <c r="RF51" i="6" s="1"/>
  <c r="RE51" i="6" a="1"/>
  <c r="RE51" i="6" s="1"/>
  <c r="RD51" i="6" a="1"/>
  <c r="RD51" i="6" s="1"/>
  <c r="RC51" i="6" a="1"/>
  <c r="RC51" i="6" s="1"/>
  <c r="RB51" i="6" a="1"/>
  <c r="RB51" i="6" s="1"/>
  <c r="QN51" i="6" a="1"/>
  <c r="QN51" i="6" s="1"/>
  <c r="QM51" i="6" a="1"/>
  <c r="QM51" i="6" s="1"/>
  <c r="QL51" i="6" a="1"/>
  <c r="QL51" i="6" s="1"/>
  <c r="QK51" i="6" a="1"/>
  <c r="QK51" i="6" s="1"/>
  <c r="QJ51" i="6" a="1"/>
  <c r="QJ51" i="6" s="1"/>
  <c r="PV51" i="6" a="1"/>
  <c r="PV51" i="6" s="1"/>
  <c r="PU51" i="6" a="1"/>
  <c r="PU51" i="6" s="1"/>
  <c r="PT51" i="6" a="1"/>
  <c r="PT51" i="6" s="1"/>
  <c r="PS51" i="6" a="1"/>
  <c r="PS51" i="6" s="1"/>
  <c r="PR51" i="6" a="1"/>
  <c r="PR51" i="6" s="1"/>
  <c r="PD51" i="6" a="1"/>
  <c r="PD51" i="6" s="1"/>
  <c r="PC51" i="6" a="1"/>
  <c r="PC51" i="6" s="1"/>
  <c r="PB51" i="6" a="1"/>
  <c r="PB51" i="6" s="1"/>
  <c r="PA51" i="6" a="1"/>
  <c r="PA51" i="6" s="1"/>
  <c r="OZ51" i="6" a="1"/>
  <c r="OZ51" i="6" s="1"/>
  <c r="OL51" i="6" a="1"/>
  <c r="OL51" i="6" s="1"/>
  <c r="OK51" i="6" a="1"/>
  <c r="OK51" i="6" s="1"/>
  <c r="OJ51" i="6" a="1"/>
  <c r="OJ51" i="6" s="1"/>
  <c r="OI51" i="6" a="1"/>
  <c r="OI51" i="6" s="1"/>
  <c r="OH51" i="6" a="1"/>
  <c r="OH51" i="6" s="1"/>
  <c r="NT51" i="6" a="1"/>
  <c r="NT51" i="6" s="1"/>
  <c r="NS51" i="6" a="1"/>
  <c r="NS51" i="6" s="1"/>
  <c r="NR51" i="6" a="1"/>
  <c r="NR51" i="6" s="1"/>
  <c r="NQ51" i="6" a="1"/>
  <c r="NQ51" i="6" s="1"/>
  <c r="NP51" i="6" a="1"/>
  <c r="NP51" i="6" s="1"/>
  <c r="NC51" i="6" a="1"/>
  <c r="NC51" i="6" s="1"/>
  <c r="NB51" i="6" a="1"/>
  <c r="NB51" i="6" s="1"/>
  <c r="NA51" i="6" a="1"/>
  <c r="NA51" i="6" s="1"/>
  <c r="MZ51" i="6" a="1"/>
  <c r="MZ51" i="6" s="1"/>
  <c r="MY51" i="6" a="1"/>
  <c r="MY51" i="6" s="1"/>
  <c r="MK51" i="6" a="1"/>
  <c r="MK51" i="6" s="1"/>
  <c r="MJ51" i="6" a="1"/>
  <c r="MJ51" i="6" s="1"/>
  <c r="MI51" i="6" a="1"/>
  <c r="MI51" i="6" s="1"/>
  <c r="MH51" i="6" a="1"/>
  <c r="MH51" i="6" s="1"/>
  <c r="MG51" i="6" a="1"/>
  <c r="MG51" i="6" s="1"/>
  <c r="LS51" i="6" a="1"/>
  <c r="LS51" i="6" s="1"/>
  <c r="LR51" i="6" a="1"/>
  <c r="LR51" i="6" s="1"/>
  <c r="LQ51" i="6" a="1"/>
  <c r="LQ51" i="6" s="1"/>
  <c r="LP51" i="6" a="1"/>
  <c r="LP51" i="6" s="1"/>
  <c r="LO51" i="6" a="1"/>
  <c r="LO51" i="6" s="1"/>
  <c r="LA51" i="6" a="1"/>
  <c r="LA51" i="6" s="1"/>
  <c r="KZ51" i="6" a="1"/>
  <c r="KZ51" i="6" s="1"/>
  <c r="KY51" i="6" a="1"/>
  <c r="KY51" i="6" s="1"/>
  <c r="KX51" i="6" a="1"/>
  <c r="KX51" i="6" s="1"/>
  <c r="KW51" i="6" a="1"/>
  <c r="KW51" i="6" s="1"/>
  <c r="KI51" i="6" a="1"/>
  <c r="KI51" i="6" s="1"/>
  <c r="KH51" i="6" a="1"/>
  <c r="KH51" i="6" s="1"/>
  <c r="KG51" i="6" a="1"/>
  <c r="KG51" i="6" s="1"/>
  <c r="KF51" i="6" a="1"/>
  <c r="KF51" i="6" s="1"/>
  <c r="KE51" i="6" a="1"/>
  <c r="KE51" i="6" s="1"/>
  <c r="JQ51" i="6" a="1"/>
  <c r="JQ51" i="6" s="1"/>
  <c r="JP51" i="6" a="1"/>
  <c r="JP51" i="6" s="1"/>
  <c r="JO51" i="6" a="1"/>
  <c r="JO51" i="6" s="1"/>
  <c r="JN51" i="6" a="1"/>
  <c r="JN51" i="6" s="1"/>
  <c r="JM51" i="6" a="1"/>
  <c r="JM51" i="6" s="1"/>
  <c r="IY51" i="6" a="1"/>
  <c r="IY51" i="6" s="1"/>
  <c r="IX51" i="6" a="1"/>
  <c r="IX51" i="6" s="1"/>
  <c r="IW51" i="6" a="1"/>
  <c r="IW51" i="6" s="1"/>
  <c r="IV51" i="6" a="1"/>
  <c r="IV51" i="6" s="1"/>
  <c r="IU51" i="6" a="1"/>
  <c r="IU51" i="6" s="1"/>
  <c r="IG51" i="6" a="1"/>
  <c r="IG51" i="6" s="1"/>
  <c r="IF51" i="6" a="1"/>
  <c r="IF51" i="6" s="1"/>
  <c r="IE51" i="6" a="1"/>
  <c r="IE51" i="6" s="1"/>
  <c r="ID51" i="6" a="1"/>
  <c r="ID51" i="6" s="1"/>
  <c r="IC51" i="6" a="1"/>
  <c r="IC51" i="6" s="1"/>
  <c r="HO51" i="6" a="1"/>
  <c r="HO51" i="6" s="1"/>
  <c r="HN51" i="6" a="1"/>
  <c r="HN51" i="6" s="1"/>
  <c r="HM51" i="6" a="1"/>
  <c r="HM51" i="6" s="1"/>
  <c r="HL51" i="6" a="1"/>
  <c r="HL51" i="6" s="1"/>
  <c r="HK51" i="6" a="1"/>
  <c r="HK51" i="6" s="1"/>
  <c r="GX51" i="6" a="1"/>
  <c r="GX51" i="6" s="1"/>
  <c r="GW51" i="6" a="1"/>
  <c r="GW51" i="6" s="1"/>
  <c r="GV51" i="6" a="1"/>
  <c r="GV51" i="6" s="1"/>
  <c r="GU51" i="6" a="1"/>
  <c r="GU51" i="6" s="1"/>
  <c r="GT51" i="6" a="1"/>
  <c r="GT51" i="6" s="1"/>
  <c r="GG51" i="6" a="1"/>
  <c r="GG51" i="6" s="1"/>
  <c r="GF51" i="6" a="1"/>
  <c r="GF51" i="6" s="1"/>
  <c r="GE51" i="6" a="1"/>
  <c r="GE51" i="6" s="1"/>
  <c r="GD51" i="6" a="1"/>
  <c r="GD51" i="6" s="1"/>
  <c r="GC51" i="6" a="1"/>
  <c r="GC51" i="6" s="1"/>
  <c r="FP51" i="6" a="1"/>
  <c r="FP51" i="6" s="1"/>
  <c r="FO51" i="6" a="1"/>
  <c r="FO51" i="6" s="1"/>
  <c r="FN51" i="6" a="1"/>
  <c r="FN51" i="6" s="1"/>
  <c r="FM51" i="6" a="1"/>
  <c r="FM51" i="6" s="1"/>
  <c r="FL51" i="6" a="1"/>
  <c r="FL51" i="6" s="1"/>
  <c r="EY51" i="6" a="1"/>
  <c r="EY51" i="6" s="1"/>
  <c r="EX51" i="6" a="1"/>
  <c r="EX51" i="6" s="1"/>
  <c r="EW51" i="6" a="1"/>
  <c r="EW51" i="6" s="1"/>
  <c r="EV51" i="6" a="1"/>
  <c r="EV51" i="6" s="1"/>
  <c r="EU51" i="6" a="1"/>
  <c r="EU51" i="6" s="1"/>
  <c r="EH51" i="6" a="1"/>
  <c r="EH51" i="6" s="1"/>
  <c r="EG51" i="6" a="1"/>
  <c r="EG51" i="6" s="1"/>
  <c r="EF51" i="6" a="1"/>
  <c r="EF51" i="6" s="1"/>
  <c r="EE51" i="6" a="1"/>
  <c r="EE51" i="6" s="1"/>
  <c r="ED51" i="6" a="1"/>
  <c r="ED51" i="6" s="1"/>
  <c r="DQ51" i="6" a="1"/>
  <c r="DQ51" i="6" s="1"/>
  <c r="DP51" i="6" a="1"/>
  <c r="DP51" i="6" s="1"/>
  <c r="DO51" i="6" a="1"/>
  <c r="DO51" i="6" s="1"/>
  <c r="DN51" i="6" a="1"/>
  <c r="DN51" i="6" s="1"/>
  <c r="DM51" i="6" a="1"/>
  <c r="DM51" i="6" s="1"/>
  <c r="DD51" i="6" a="1"/>
  <c r="DD51" i="6" s="1"/>
  <c r="CU51" i="6" a="1"/>
  <c r="CU51" i="6" s="1"/>
  <c r="CL51" i="6" a="1"/>
  <c r="CL51" i="6" s="1"/>
  <c r="BX51" i="6" a="1"/>
  <c r="BX51" i="6" s="1"/>
  <c r="BW51" i="6" a="1"/>
  <c r="BW51" i="6" s="1"/>
  <c r="BV51" i="6" a="1"/>
  <c r="BV51" i="6" s="1"/>
  <c r="BU51" i="6" a="1"/>
  <c r="BU51" i="6" s="1"/>
  <c r="BT51" i="6" a="1"/>
  <c r="BT51" i="6" s="1"/>
  <c r="BS51" i="6" a="1"/>
  <c r="BS51" i="6" s="1"/>
  <c r="BA51" i="6" a="1"/>
  <c r="BA51" i="6" s="1"/>
  <c r="AZ51" i="6" a="1"/>
  <c r="AZ51" i="6" s="1"/>
  <c r="AY51" i="6" a="1"/>
  <c r="AY51" i="6" s="1"/>
  <c r="AX51" i="6" a="1"/>
  <c r="AX51" i="6" s="1"/>
  <c r="AW51" i="6" a="1"/>
  <c r="AW51" i="6" s="1"/>
  <c r="AV51" i="6" a="1"/>
  <c r="AV51" i="6" s="1"/>
  <c r="AU51" i="6" a="1"/>
  <c r="AU51" i="6" s="1"/>
  <c r="AT51" i="6" a="1"/>
  <c r="AT51" i="6" s="1"/>
  <c r="AS51" i="6" a="1"/>
  <c r="AS51" i="6" s="1"/>
  <c r="AR51" i="6" a="1"/>
  <c r="AR51" i="6" s="1"/>
  <c r="AH51" i="6" a="1"/>
  <c r="AH51" i="6" s="1"/>
  <c r="AG51" i="6" a="1"/>
  <c r="AG51" i="6" s="1"/>
  <c r="V51" i="6" a="1"/>
  <c r="V51" i="6" s="1"/>
  <c r="U51" i="6" a="1"/>
  <c r="U51" i="6" s="1"/>
  <c r="J51" i="6" a="1"/>
  <c r="J51" i="6" s="1"/>
  <c r="I51" i="6" a="1"/>
  <c r="I51" i="6" s="1"/>
  <c r="ADA50" i="6" a="1"/>
  <c r="ADA50" i="6" s="1"/>
  <c r="ACZ50" i="6" a="1"/>
  <c r="ACZ50" i="6" s="1"/>
  <c r="ACY50" i="6" a="1"/>
  <c r="ACY50" i="6" s="1"/>
  <c r="ACN50" i="6" a="1"/>
  <c r="ACN50" i="6" s="1"/>
  <c r="ACM50" i="6" a="1"/>
  <c r="ACM50" i="6" s="1"/>
  <c r="ACL50" i="6" s="1"/>
  <c r="ABU50" i="6" a="1"/>
  <c r="ABU50" i="6" s="1"/>
  <c r="ABX50" i="6" a="1"/>
  <c r="ABX50" i="6" s="1"/>
  <c r="ABV50" i="6" a="1"/>
  <c r="ABV50" i="6" s="1"/>
  <c r="ABH50" i="6" a="1"/>
  <c r="ABH50" i="6" s="1"/>
  <c r="ABG50" i="6" a="1"/>
  <c r="ABG50" i="6" s="1"/>
  <c r="ABF50" i="6" a="1"/>
  <c r="ABF50" i="6" s="1"/>
  <c r="ABE50" i="6" a="1"/>
  <c r="ABE50" i="6" s="1"/>
  <c r="ABD50" i="6" a="1"/>
  <c r="ABD50" i="6" s="1"/>
  <c r="ZR50" i="6" a="1"/>
  <c r="ZR50" i="6" s="1"/>
  <c r="ZE50" i="6" a="1"/>
  <c r="ZE50" i="6" s="1"/>
  <c r="ZD50" i="6" a="1"/>
  <c r="ZD50" i="6" s="1"/>
  <c r="ZC50" i="6" a="1"/>
  <c r="ZC50" i="6" s="1"/>
  <c r="ZB50" i="6" a="1"/>
  <c r="ZB50" i="6" s="1"/>
  <c r="ZA50" i="6" a="1"/>
  <c r="ZA50" i="6" s="1"/>
  <c r="YP50" i="6" a="1"/>
  <c r="YP50" i="6" s="1"/>
  <c r="YO50" i="6" a="1"/>
  <c r="YO50" i="6" s="1"/>
  <c r="YE50" i="6" a="1"/>
  <c r="YE50" i="6" s="1"/>
  <c r="YD50" i="6" a="1"/>
  <c r="YD50" i="6" s="1"/>
  <c r="XT50" i="6" a="1"/>
  <c r="XT50" i="6" s="1"/>
  <c r="XS50" i="6" a="1"/>
  <c r="XS50" i="6" s="1"/>
  <c r="XI50" i="6" a="1"/>
  <c r="XI50" i="6" s="1"/>
  <c r="XH50" i="6" a="1"/>
  <c r="XH50" i="6" s="1"/>
  <c r="WX50" i="6" a="1"/>
  <c r="WX50" i="6" s="1"/>
  <c r="WW50" i="6" a="1"/>
  <c r="WW50" i="6" s="1"/>
  <c r="WM50" i="6" a="1"/>
  <c r="WM50" i="6" s="1"/>
  <c r="WL50" i="6" a="1"/>
  <c r="WL50" i="6" s="1"/>
  <c r="WC50" i="6" a="1"/>
  <c r="WC50" i="6" s="1"/>
  <c r="VQ50" i="6" a="1"/>
  <c r="VQ50" i="6" s="1"/>
  <c r="VP50" i="6" a="1"/>
  <c r="VP50" i="6" s="1"/>
  <c r="VO50" i="6" a="1"/>
  <c r="VO50" i="6" s="1"/>
  <c r="VN50" i="6" a="1"/>
  <c r="VN50" i="6" s="1"/>
  <c r="VA50" i="6" a="1"/>
  <c r="VA50" i="6" s="1"/>
  <c r="UZ50" i="6" a="1"/>
  <c r="UZ50" i="6" s="1"/>
  <c r="UY50" i="6" a="1"/>
  <c r="UY50" i="6" s="1"/>
  <c r="UX50" i="6" a="1"/>
  <c r="UX50" i="6" s="1"/>
  <c r="UW50" i="6" a="1"/>
  <c r="UW50" i="6" s="1"/>
  <c r="UM50" i="6" a="1"/>
  <c r="UM50" i="6" s="1"/>
  <c r="TZ50" i="6" a="1"/>
  <c r="TZ50" i="6" s="1"/>
  <c r="TY50" i="6" a="1"/>
  <c r="TY50" i="6" s="1"/>
  <c r="TX50" i="6" a="1"/>
  <c r="TX50" i="6" s="1"/>
  <c r="TW50" i="6" a="1"/>
  <c r="TW50" i="6" s="1"/>
  <c r="TV50" i="6" a="1"/>
  <c r="TV50" i="6" s="1"/>
  <c r="TH50" i="6" a="1"/>
  <c r="TH50" i="6" s="1"/>
  <c r="TG50" i="6" a="1"/>
  <c r="TG50" i="6" s="1"/>
  <c r="TF50" i="6" a="1"/>
  <c r="TF50" i="6" s="1"/>
  <c r="TE50" i="6" a="1"/>
  <c r="TE50" i="6" s="1"/>
  <c r="TD50" i="6" a="1"/>
  <c r="TD50" i="6" s="1"/>
  <c r="SP50" i="6" a="1"/>
  <c r="SP50" i="6" s="1"/>
  <c r="SO50" i="6" a="1"/>
  <c r="SO50" i="6" s="1"/>
  <c r="SN50" i="6" a="1"/>
  <c r="SN50" i="6" s="1"/>
  <c r="SM50" i="6" a="1"/>
  <c r="SM50" i="6" s="1"/>
  <c r="SL50" i="6" a="1"/>
  <c r="SL50" i="6" s="1"/>
  <c r="RX50" i="6" a="1"/>
  <c r="RX50" i="6" s="1"/>
  <c r="RW50" i="6" a="1"/>
  <c r="RW50" i="6" s="1"/>
  <c r="RV50" i="6" a="1"/>
  <c r="RV50" i="6" s="1"/>
  <c r="RU50" i="6" a="1"/>
  <c r="RU50" i="6" s="1"/>
  <c r="RT50" i="6" a="1"/>
  <c r="RT50" i="6" s="1"/>
  <c r="RF50" i="6" a="1"/>
  <c r="RF50" i="6" s="1"/>
  <c r="RE50" i="6" a="1"/>
  <c r="RE50" i="6" s="1"/>
  <c r="RD50" i="6" a="1"/>
  <c r="RD50" i="6" s="1"/>
  <c r="RC50" i="6" a="1"/>
  <c r="RC50" i="6" s="1"/>
  <c r="RB50" i="6" a="1"/>
  <c r="RB50" i="6" s="1"/>
  <c r="QN50" i="6" a="1"/>
  <c r="QN50" i="6" s="1"/>
  <c r="QM50" i="6" a="1"/>
  <c r="QM50" i="6" s="1"/>
  <c r="QL50" i="6" a="1"/>
  <c r="QL50" i="6" s="1"/>
  <c r="QK50" i="6" a="1"/>
  <c r="QK50" i="6" s="1"/>
  <c r="QJ50" i="6" a="1"/>
  <c r="QJ50" i="6" s="1"/>
  <c r="PV50" i="6" a="1"/>
  <c r="PV50" i="6" s="1"/>
  <c r="PU50" i="6" a="1"/>
  <c r="PU50" i="6" s="1"/>
  <c r="PT50" i="6" a="1"/>
  <c r="PT50" i="6" s="1"/>
  <c r="PS50" i="6" a="1"/>
  <c r="PS50" i="6" s="1"/>
  <c r="PR50" i="6" a="1"/>
  <c r="PR50" i="6" s="1"/>
  <c r="PD50" i="6" a="1"/>
  <c r="PD50" i="6" s="1"/>
  <c r="PC50" i="6" a="1"/>
  <c r="PC50" i="6" s="1"/>
  <c r="PB50" i="6" a="1"/>
  <c r="PB50" i="6" s="1"/>
  <c r="PA50" i="6" a="1"/>
  <c r="PA50" i="6" s="1"/>
  <c r="OZ50" i="6" a="1"/>
  <c r="OZ50" i="6" s="1"/>
  <c r="OL50" i="6" a="1"/>
  <c r="OL50" i="6" s="1"/>
  <c r="OK50" i="6" a="1"/>
  <c r="OK50" i="6" s="1"/>
  <c r="OJ50" i="6" a="1"/>
  <c r="OJ50" i="6" s="1"/>
  <c r="OI50" i="6" a="1"/>
  <c r="OI50" i="6" s="1"/>
  <c r="OH50" i="6" a="1"/>
  <c r="OH50" i="6" s="1"/>
  <c r="NT50" i="6" a="1"/>
  <c r="NT50" i="6" s="1"/>
  <c r="NS50" i="6" a="1"/>
  <c r="NS50" i="6" s="1"/>
  <c r="NR50" i="6" a="1"/>
  <c r="NR50" i="6" s="1"/>
  <c r="NQ50" i="6" a="1"/>
  <c r="NQ50" i="6" s="1"/>
  <c r="NP50" i="6" a="1"/>
  <c r="NP50" i="6" s="1"/>
  <c r="NC50" i="6" a="1"/>
  <c r="NC50" i="6" s="1"/>
  <c r="NB50" i="6" a="1"/>
  <c r="NB50" i="6" s="1"/>
  <c r="NA50" i="6" a="1"/>
  <c r="NA50" i="6" s="1"/>
  <c r="MZ50" i="6" a="1"/>
  <c r="MZ50" i="6" s="1"/>
  <c r="MY50" i="6" a="1"/>
  <c r="MY50" i="6" s="1"/>
  <c r="MK50" i="6" a="1"/>
  <c r="MK50" i="6" s="1"/>
  <c r="MJ50" i="6" a="1"/>
  <c r="MJ50" i="6" s="1"/>
  <c r="MI50" i="6" a="1"/>
  <c r="MI50" i="6" s="1"/>
  <c r="MH50" i="6" a="1"/>
  <c r="MH50" i="6" s="1"/>
  <c r="MG50" i="6" a="1"/>
  <c r="MG50" i="6" s="1"/>
  <c r="LS50" i="6" a="1"/>
  <c r="LS50" i="6" s="1"/>
  <c r="LR50" i="6" a="1"/>
  <c r="LR50" i="6" s="1"/>
  <c r="LQ50" i="6" a="1"/>
  <c r="LQ50" i="6" s="1"/>
  <c r="LP50" i="6" a="1"/>
  <c r="LP50" i="6" s="1"/>
  <c r="LO50" i="6" a="1"/>
  <c r="LO50" i="6" s="1"/>
  <c r="LA50" i="6" a="1"/>
  <c r="LA50" i="6" s="1"/>
  <c r="KZ50" i="6" a="1"/>
  <c r="KZ50" i="6" s="1"/>
  <c r="KY50" i="6" a="1"/>
  <c r="KY50" i="6" s="1"/>
  <c r="KX50" i="6" a="1"/>
  <c r="KX50" i="6" s="1"/>
  <c r="KW50" i="6" a="1"/>
  <c r="KW50" i="6" s="1"/>
  <c r="KI50" i="6" a="1"/>
  <c r="KI50" i="6" s="1"/>
  <c r="KH50" i="6" a="1"/>
  <c r="KH50" i="6" s="1"/>
  <c r="KG50" i="6" a="1"/>
  <c r="KG50" i="6" s="1"/>
  <c r="KF50" i="6" a="1"/>
  <c r="KF50" i="6" s="1"/>
  <c r="KE50" i="6" a="1"/>
  <c r="KE50" i="6" s="1"/>
  <c r="JQ50" i="6" a="1"/>
  <c r="JQ50" i="6" s="1"/>
  <c r="JP50" i="6" a="1"/>
  <c r="JP50" i="6" s="1"/>
  <c r="JO50" i="6" a="1"/>
  <c r="JO50" i="6" s="1"/>
  <c r="JN50" i="6" a="1"/>
  <c r="JN50" i="6" s="1"/>
  <c r="JM50" i="6" a="1"/>
  <c r="JM50" i="6" s="1"/>
  <c r="IY50" i="6" a="1"/>
  <c r="IY50" i="6" s="1"/>
  <c r="IX50" i="6" a="1"/>
  <c r="IX50" i="6" s="1"/>
  <c r="IW50" i="6" a="1"/>
  <c r="IW50" i="6" s="1"/>
  <c r="IV50" i="6" a="1"/>
  <c r="IV50" i="6" s="1"/>
  <c r="IU50" i="6" a="1"/>
  <c r="IU50" i="6" s="1"/>
  <c r="IG50" i="6" a="1"/>
  <c r="IG50" i="6" s="1"/>
  <c r="IF50" i="6" a="1"/>
  <c r="IF50" i="6" s="1"/>
  <c r="IE50" i="6" a="1"/>
  <c r="IE50" i="6" s="1"/>
  <c r="ID50" i="6" a="1"/>
  <c r="ID50" i="6" s="1"/>
  <c r="IC50" i="6" a="1"/>
  <c r="IC50" i="6" s="1"/>
  <c r="HO50" i="6" a="1"/>
  <c r="HO50" i="6" s="1"/>
  <c r="HN50" i="6" a="1"/>
  <c r="HN50" i="6" s="1"/>
  <c r="HM50" i="6" a="1"/>
  <c r="HM50" i="6" s="1"/>
  <c r="HL50" i="6" a="1"/>
  <c r="HL50" i="6" s="1"/>
  <c r="HK50" i="6" a="1"/>
  <c r="HK50" i="6" s="1"/>
  <c r="GX50" i="6" a="1"/>
  <c r="GX50" i="6" s="1"/>
  <c r="GW50" i="6" a="1"/>
  <c r="GW50" i="6" s="1"/>
  <c r="GV50" i="6" a="1"/>
  <c r="GV50" i="6" s="1"/>
  <c r="GU50" i="6" a="1"/>
  <c r="GU50" i="6" s="1"/>
  <c r="GT50" i="6" a="1"/>
  <c r="GT50" i="6" s="1"/>
  <c r="GG50" i="6" a="1"/>
  <c r="GG50" i="6" s="1"/>
  <c r="GF50" i="6" a="1"/>
  <c r="GF50" i="6" s="1"/>
  <c r="GE50" i="6" a="1"/>
  <c r="GE50" i="6" s="1"/>
  <c r="GD50" i="6" a="1"/>
  <c r="GD50" i="6" s="1"/>
  <c r="GC50" i="6" a="1"/>
  <c r="GC50" i="6" s="1"/>
  <c r="FP50" i="6" a="1"/>
  <c r="FP50" i="6" s="1"/>
  <c r="FO50" i="6" a="1"/>
  <c r="FO50" i="6" s="1"/>
  <c r="FN50" i="6" a="1"/>
  <c r="FN50" i="6" s="1"/>
  <c r="FM50" i="6" a="1"/>
  <c r="FM50" i="6" s="1"/>
  <c r="FL50" i="6" a="1"/>
  <c r="FL50" i="6" s="1"/>
  <c r="EY50" i="6" a="1"/>
  <c r="EY50" i="6" s="1"/>
  <c r="EX50" i="6" a="1"/>
  <c r="EX50" i="6" s="1"/>
  <c r="EW50" i="6" a="1"/>
  <c r="EW50" i="6" s="1"/>
  <c r="EV50" i="6" a="1"/>
  <c r="EV50" i="6" s="1"/>
  <c r="EU50" i="6" a="1"/>
  <c r="EU50" i="6" s="1"/>
  <c r="EH50" i="6" a="1"/>
  <c r="EH50" i="6" s="1"/>
  <c r="EG50" i="6" a="1"/>
  <c r="EG50" i="6" s="1"/>
  <c r="EF50" i="6" a="1"/>
  <c r="EF50" i="6" s="1"/>
  <c r="EE50" i="6" a="1"/>
  <c r="EE50" i="6" s="1"/>
  <c r="ED50" i="6" a="1"/>
  <c r="ED50" i="6" s="1"/>
  <c r="DQ50" i="6" a="1"/>
  <c r="DQ50" i="6" s="1"/>
  <c r="DP50" i="6" a="1"/>
  <c r="DP50" i="6" s="1"/>
  <c r="DO50" i="6" a="1"/>
  <c r="DO50" i="6" s="1"/>
  <c r="DN50" i="6" a="1"/>
  <c r="DN50" i="6" s="1"/>
  <c r="DM50" i="6" a="1"/>
  <c r="DM50" i="6" s="1"/>
  <c r="DD50" i="6" a="1"/>
  <c r="DD50" i="6" s="1"/>
  <c r="CU50" i="6" a="1"/>
  <c r="CU50" i="6" s="1"/>
  <c r="CL50" i="6" a="1"/>
  <c r="CL50" i="6" s="1"/>
  <c r="BX50" i="6" a="1"/>
  <c r="BX50" i="6" s="1"/>
  <c r="BW50" i="6" a="1"/>
  <c r="BW50" i="6" s="1"/>
  <c r="BV50" i="6" a="1"/>
  <c r="BV50" i="6" s="1"/>
  <c r="BU50" i="6" a="1"/>
  <c r="BU50" i="6" s="1"/>
  <c r="BT50" i="6" a="1"/>
  <c r="BT50" i="6" s="1"/>
  <c r="BS50" i="6" a="1"/>
  <c r="BS50" i="6" s="1"/>
  <c r="BA50" i="6" a="1"/>
  <c r="BA50" i="6" s="1"/>
  <c r="AZ50" i="6" a="1"/>
  <c r="AZ50" i="6" s="1"/>
  <c r="AY50" i="6" a="1"/>
  <c r="AY50" i="6" s="1"/>
  <c r="AX50" i="6" a="1"/>
  <c r="AX50" i="6" s="1"/>
  <c r="AW50" i="6" a="1"/>
  <c r="AW50" i="6" s="1"/>
  <c r="AV50" i="6" a="1"/>
  <c r="AV50" i="6" s="1"/>
  <c r="AU50" i="6" a="1"/>
  <c r="AU50" i="6" s="1"/>
  <c r="AT50" i="6" a="1"/>
  <c r="AT50" i="6" s="1"/>
  <c r="AS50" i="6" a="1"/>
  <c r="AS50" i="6" s="1"/>
  <c r="AR50" i="6" a="1"/>
  <c r="AR50" i="6" s="1"/>
  <c r="AH50" i="6" a="1"/>
  <c r="AH50" i="6" s="1"/>
  <c r="AG50" i="6" a="1"/>
  <c r="AG50" i="6" s="1"/>
  <c r="V50" i="6" a="1"/>
  <c r="V50" i="6" s="1"/>
  <c r="U50" i="6" a="1"/>
  <c r="U50" i="6" s="1"/>
  <c r="J50" i="6" a="1"/>
  <c r="J50" i="6" s="1"/>
  <c r="I50" i="6" a="1"/>
  <c r="I50" i="6" s="1"/>
  <c r="H50" i="6" s="1"/>
  <c r="ADA49" i="6" a="1"/>
  <c r="ADA49" i="6" s="1"/>
  <c r="ACZ49" i="6" a="1"/>
  <c r="ACZ49" i="6" s="1"/>
  <c r="ACY49" i="6" a="1"/>
  <c r="ACY49" i="6" s="1"/>
  <c r="ACN49" i="6" a="1"/>
  <c r="ACN49" i="6" s="1"/>
  <c r="ACM49" i="6" a="1"/>
  <c r="ACM49" i="6" s="1"/>
  <c r="ABU49" i="6" a="1"/>
  <c r="ABU49" i="6" s="1"/>
  <c r="ABX49" i="6" a="1"/>
  <c r="ABX49" i="6" s="1"/>
  <c r="ABV49" i="6" a="1"/>
  <c r="ABV49" i="6" s="1"/>
  <c r="ABH49" i="6" a="1"/>
  <c r="ABH49" i="6" s="1"/>
  <c r="ABG49" i="6" a="1"/>
  <c r="ABG49" i="6" s="1"/>
  <c r="ABF49" i="6" a="1"/>
  <c r="ABF49" i="6" s="1"/>
  <c r="ABE49" i="6" a="1"/>
  <c r="ABE49" i="6" s="1"/>
  <c r="ABD49" i="6" a="1"/>
  <c r="ABD49" i="6" s="1"/>
  <c r="ZR49" i="6" a="1"/>
  <c r="ZR49" i="6" s="1"/>
  <c r="ZE49" i="6" a="1"/>
  <c r="ZE49" i="6" s="1"/>
  <c r="ZD49" i="6" a="1"/>
  <c r="ZD49" i="6" s="1"/>
  <c r="ZC49" i="6" a="1"/>
  <c r="ZC49" i="6" s="1"/>
  <c r="ZB49" i="6" a="1"/>
  <c r="ZB49" i="6" s="1"/>
  <c r="ZA49" i="6" a="1"/>
  <c r="ZA49" i="6" s="1"/>
  <c r="YP49" i="6" a="1"/>
  <c r="YP49" i="6" s="1"/>
  <c r="YO49" i="6" a="1"/>
  <c r="YO49" i="6" s="1"/>
  <c r="YE49" i="6" a="1"/>
  <c r="YE49" i="6" s="1"/>
  <c r="YD49" i="6" a="1"/>
  <c r="YD49" i="6" s="1"/>
  <c r="XT49" i="6" a="1"/>
  <c r="XT49" i="6" s="1"/>
  <c r="XS49" i="6" a="1"/>
  <c r="XS49" i="6" s="1"/>
  <c r="XI49" i="6" a="1"/>
  <c r="XI49" i="6" s="1"/>
  <c r="XH49" i="6" a="1"/>
  <c r="XH49" i="6" s="1"/>
  <c r="WX49" i="6" a="1"/>
  <c r="WX49" i="6" s="1"/>
  <c r="WW49" i="6" a="1"/>
  <c r="WW49" i="6" s="1"/>
  <c r="WM49" i="6" a="1"/>
  <c r="WM49" i="6" s="1"/>
  <c r="WL49" i="6" a="1"/>
  <c r="WL49" i="6" s="1"/>
  <c r="WC49" i="6" a="1"/>
  <c r="WC49" i="6" s="1"/>
  <c r="VQ49" i="6" a="1"/>
  <c r="VQ49" i="6" s="1"/>
  <c r="VP49" i="6" a="1"/>
  <c r="VP49" i="6" s="1"/>
  <c r="VO49" i="6" a="1"/>
  <c r="VO49" i="6" s="1"/>
  <c r="VN49" i="6" a="1"/>
  <c r="VN49" i="6" s="1"/>
  <c r="VA49" i="6" a="1"/>
  <c r="VA49" i="6" s="1"/>
  <c r="UZ49" i="6" a="1"/>
  <c r="UZ49" i="6" s="1"/>
  <c r="UY49" i="6" a="1"/>
  <c r="UY49" i="6" s="1"/>
  <c r="UX49" i="6" a="1"/>
  <c r="UX49" i="6" s="1"/>
  <c r="UW49" i="6" a="1"/>
  <c r="UW49" i="6" s="1"/>
  <c r="UM49" i="6" a="1"/>
  <c r="UM49" i="6" s="1"/>
  <c r="TZ49" i="6" a="1"/>
  <c r="TZ49" i="6" s="1"/>
  <c r="TY49" i="6" a="1"/>
  <c r="TY49" i="6" s="1"/>
  <c r="TX49" i="6" a="1"/>
  <c r="TX49" i="6" s="1"/>
  <c r="TW49" i="6" a="1"/>
  <c r="TW49" i="6" s="1"/>
  <c r="TV49" i="6" a="1"/>
  <c r="TV49" i="6" s="1"/>
  <c r="TH49" i="6" a="1"/>
  <c r="TH49" i="6" s="1"/>
  <c r="TG49" i="6" a="1"/>
  <c r="TG49" i="6" s="1"/>
  <c r="TF49" i="6" a="1"/>
  <c r="TF49" i="6" s="1"/>
  <c r="TE49" i="6" a="1"/>
  <c r="TE49" i="6" s="1"/>
  <c r="TD49" i="6" a="1"/>
  <c r="TD49" i="6" s="1"/>
  <c r="SP49" i="6" a="1"/>
  <c r="SP49" i="6" s="1"/>
  <c r="SO49" i="6" a="1"/>
  <c r="SO49" i="6" s="1"/>
  <c r="SN49" i="6" a="1"/>
  <c r="SN49" i="6" s="1"/>
  <c r="SM49" i="6" a="1"/>
  <c r="SM49" i="6" s="1"/>
  <c r="SL49" i="6" a="1"/>
  <c r="SL49" i="6" s="1"/>
  <c r="RX49" i="6" a="1"/>
  <c r="RX49" i="6" s="1"/>
  <c r="RW49" i="6" a="1"/>
  <c r="RW49" i="6" s="1"/>
  <c r="RV49" i="6" a="1"/>
  <c r="RV49" i="6" s="1"/>
  <c r="RU49" i="6" a="1"/>
  <c r="RU49" i="6" s="1"/>
  <c r="RT49" i="6" a="1"/>
  <c r="RT49" i="6" s="1"/>
  <c r="RF49" i="6" a="1"/>
  <c r="RF49" i="6" s="1"/>
  <c r="RE49" i="6" a="1"/>
  <c r="RE49" i="6" s="1"/>
  <c r="RD49" i="6" a="1"/>
  <c r="RD49" i="6" s="1"/>
  <c r="RC49" i="6" a="1"/>
  <c r="RC49" i="6" s="1"/>
  <c r="RB49" i="6" a="1"/>
  <c r="RB49" i="6" s="1"/>
  <c r="QN49" i="6" a="1"/>
  <c r="QN49" i="6" s="1"/>
  <c r="QM49" i="6" a="1"/>
  <c r="QM49" i="6" s="1"/>
  <c r="QL49" i="6" a="1"/>
  <c r="QL49" i="6" s="1"/>
  <c r="QK49" i="6" a="1"/>
  <c r="QK49" i="6" s="1"/>
  <c r="QJ49" i="6" a="1"/>
  <c r="QJ49" i="6" s="1"/>
  <c r="PV49" i="6" a="1"/>
  <c r="PV49" i="6" s="1"/>
  <c r="PU49" i="6" a="1"/>
  <c r="PU49" i="6" s="1"/>
  <c r="PT49" i="6" a="1"/>
  <c r="PT49" i="6" s="1"/>
  <c r="PS49" i="6" a="1"/>
  <c r="PS49" i="6" s="1"/>
  <c r="PR49" i="6" a="1"/>
  <c r="PR49" i="6" s="1"/>
  <c r="PD49" i="6" a="1"/>
  <c r="PD49" i="6" s="1"/>
  <c r="PC49" i="6" a="1"/>
  <c r="PC49" i="6" s="1"/>
  <c r="PB49" i="6" a="1"/>
  <c r="PB49" i="6" s="1"/>
  <c r="PA49" i="6" a="1"/>
  <c r="PA49" i="6" s="1"/>
  <c r="OZ49" i="6" a="1"/>
  <c r="OZ49" i="6" s="1"/>
  <c r="OL49" i="6" a="1"/>
  <c r="OL49" i="6" s="1"/>
  <c r="OK49" i="6" a="1"/>
  <c r="OK49" i="6" s="1"/>
  <c r="OJ49" i="6" a="1"/>
  <c r="OJ49" i="6" s="1"/>
  <c r="OI49" i="6" a="1"/>
  <c r="OI49" i="6" s="1"/>
  <c r="OH49" i="6" a="1"/>
  <c r="OH49" i="6" s="1"/>
  <c r="NT49" i="6" a="1"/>
  <c r="NT49" i="6" s="1"/>
  <c r="NS49" i="6" a="1"/>
  <c r="NS49" i="6" s="1"/>
  <c r="NR49" i="6" a="1"/>
  <c r="NR49" i="6" s="1"/>
  <c r="NQ49" i="6" a="1"/>
  <c r="NQ49" i="6" s="1"/>
  <c r="NP49" i="6" a="1"/>
  <c r="NP49" i="6" s="1"/>
  <c r="NC49" i="6" a="1"/>
  <c r="NC49" i="6" s="1"/>
  <c r="NB49" i="6" a="1"/>
  <c r="NB49" i="6" s="1"/>
  <c r="NA49" i="6" a="1"/>
  <c r="NA49" i="6" s="1"/>
  <c r="MZ49" i="6" a="1"/>
  <c r="MZ49" i="6" s="1"/>
  <c r="MY49" i="6" a="1"/>
  <c r="MY49" i="6" s="1"/>
  <c r="MK49" i="6" a="1"/>
  <c r="MK49" i="6" s="1"/>
  <c r="MJ49" i="6" a="1"/>
  <c r="MJ49" i="6" s="1"/>
  <c r="MI49" i="6" a="1"/>
  <c r="MI49" i="6" s="1"/>
  <c r="MH49" i="6" a="1"/>
  <c r="MH49" i="6" s="1"/>
  <c r="MG49" i="6" a="1"/>
  <c r="MG49" i="6" s="1"/>
  <c r="LS49" i="6" a="1"/>
  <c r="LS49" i="6" s="1"/>
  <c r="LR49" i="6" a="1"/>
  <c r="LR49" i="6" s="1"/>
  <c r="LQ49" i="6" a="1"/>
  <c r="LQ49" i="6" s="1"/>
  <c r="LP49" i="6" a="1"/>
  <c r="LP49" i="6" s="1"/>
  <c r="LO49" i="6" a="1"/>
  <c r="LO49" i="6" s="1"/>
  <c r="LA49" i="6" a="1"/>
  <c r="LA49" i="6" s="1"/>
  <c r="KZ49" i="6" a="1"/>
  <c r="KZ49" i="6" s="1"/>
  <c r="KY49" i="6" a="1"/>
  <c r="KY49" i="6" s="1"/>
  <c r="KX49" i="6" a="1"/>
  <c r="KX49" i="6" s="1"/>
  <c r="KW49" i="6" a="1"/>
  <c r="KW49" i="6" s="1"/>
  <c r="KI49" i="6" a="1"/>
  <c r="KI49" i="6" s="1"/>
  <c r="KH49" i="6" a="1"/>
  <c r="KH49" i="6" s="1"/>
  <c r="KG49" i="6" a="1"/>
  <c r="KG49" i="6" s="1"/>
  <c r="KF49" i="6" a="1"/>
  <c r="KF49" i="6" s="1"/>
  <c r="KE49" i="6" a="1"/>
  <c r="KE49" i="6" s="1"/>
  <c r="JQ49" i="6" a="1"/>
  <c r="JQ49" i="6" s="1"/>
  <c r="JP49" i="6" a="1"/>
  <c r="JP49" i="6" s="1"/>
  <c r="JO49" i="6" a="1"/>
  <c r="JO49" i="6" s="1"/>
  <c r="JN49" i="6" a="1"/>
  <c r="JN49" i="6" s="1"/>
  <c r="JM49" i="6" a="1"/>
  <c r="JM49" i="6" s="1"/>
  <c r="IY49" i="6" a="1"/>
  <c r="IY49" i="6" s="1"/>
  <c r="IX49" i="6" a="1"/>
  <c r="IX49" i="6" s="1"/>
  <c r="IW49" i="6" a="1"/>
  <c r="IW49" i="6" s="1"/>
  <c r="IV49" i="6" a="1"/>
  <c r="IV49" i="6" s="1"/>
  <c r="IU49" i="6" a="1"/>
  <c r="IU49" i="6" s="1"/>
  <c r="IG49" i="6" a="1"/>
  <c r="IG49" i="6" s="1"/>
  <c r="IF49" i="6" a="1"/>
  <c r="IF49" i="6" s="1"/>
  <c r="IE49" i="6" a="1"/>
  <c r="IE49" i="6" s="1"/>
  <c r="ID49" i="6" a="1"/>
  <c r="ID49" i="6" s="1"/>
  <c r="IC49" i="6" a="1"/>
  <c r="IC49" i="6" s="1"/>
  <c r="HO49" i="6" a="1"/>
  <c r="HO49" i="6" s="1"/>
  <c r="HN49" i="6" a="1"/>
  <c r="HN49" i="6" s="1"/>
  <c r="HM49" i="6" a="1"/>
  <c r="HM49" i="6" s="1"/>
  <c r="HL49" i="6" a="1"/>
  <c r="HL49" i="6" s="1"/>
  <c r="HK49" i="6" a="1"/>
  <c r="HK49" i="6" s="1"/>
  <c r="GX49" i="6" a="1"/>
  <c r="GX49" i="6" s="1"/>
  <c r="GW49" i="6" a="1"/>
  <c r="GW49" i="6" s="1"/>
  <c r="GV49" i="6" a="1"/>
  <c r="GV49" i="6" s="1"/>
  <c r="GU49" i="6" a="1"/>
  <c r="GU49" i="6" s="1"/>
  <c r="GT49" i="6" a="1"/>
  <c r="GT49" i="6" s="1"/>
  <c r="GG49" i="6" a="1"/>
  <c r="GG49" i="6" s="1"/>
  <c r="GF49" i="6" a="1"/>
  <c r="GF49" i="6" s="1"/>
  <c r="GE49" i="6" a="1"/>
  <c r="GE49" i="6" s="1"/>
  <c r="GD49" i="6" a="1"/>
  <c r="GD49" i="6" s="1"/>
  <c r="GC49" i="6" a="1"/>
  <c r="GC49" i="6" s="1"/>
  <c r="FP49" i="6" a="1"/>
  <c r="FP49" i="6" s="1"/>
  <c r="FO49" i="6" a="1"/>
  <c r="FO49" i="6" s="1"/>
  <c r="FN49" i="6" a="1"/>
  <c r="FN49" i="6" s="1"/>
  <c r="FM49" i="6" a="1"/>
  <c r="FM49" i="6" s="1"/>
  <c r="FL49" i="6" a="1"/>
  <c r="FL49" i="6" s="1"/>
  <c r="EY49" i="6" a="1"/>
  <c r="EY49" i="6" s="1"/>
  <c r="EX49" i="6" a="1"/>
  <c r="EX49" i="6" s="1"/>
  <c r="EW49" i="6" a="1"/>
  <c r="EW49" i="6" s="1"/>
  <c r="EV49" i="6" a="1"/>
  <c r="EV49" i="6" s="1"/>
  <c r="EU49" i="6" a="1"/>
  <c r="EU49" i="6" s="1"/>
  <c r="EH49" i="6" a="1"/>
  <c r="EH49" i="6" s="1"/>
  <c r="EG49" i="6" a="1"/>
  <c r="EG49" i="6" s="1"/>
  <c r="EF49" i="6" a="1"/>
  <c r="EF49" i="6" s="1"/>
  <c r="EE49" i="6" a="1"/>
  <c r="EE49" i="6" s="1"/>
  <c r="ED49" i="6" a="1"/>
  <c r="ED49" i="6" s="1"/>
  <c r="DQ49" i="6" a="1"/>
  <c r="DQ49" i="6" s="1"/>
  <c r="DP49" i="6" a="1"/>
  <c r="DP49" i="6" s="1"/>
  <c r="DO49" i="6" a="1"/>
  <c r="DO49" i="6" s="1"/>
  <c r="DN49" i="6" a="1"/>
  <c r="DN49" i="6" s="1"/>
  <c r="DM49" i="6" a="1"/>
  <c r="DM49" i="6" s="1"/>
  <c r="DD49" i="6" a="1"/>
  <c r="DD49" i="6" s="1"/>
  <c r="CU49" i="6" a="1"/>
  <c r="CU49" i="6" s="1"/>
  <c r="CL49" i="6" a="1"/>
  <c r="CL49" i="6" s="1"/>
  <c r="BX49" i="6" a="1"/>
  <c r="BX49" i="6" s="1"/>
  <c r="BW49" i="6" a="1"/>
  <c r="BW49" i="6" s="1"/>
  <c r="BV49" i="6" a="1"/>
  <c r="BV49" i="6" s="1"/>
  <c r="BU49" i="6" a="1"/>
  <c r="BU49" i="6" s="1"/>
  <c r="BT49" i="6" a="1"/>
  <c r="BT49" i="6" s="1"/>
  <c r="BS49" i="6" a="1"/>
  <c r="BS49" i="6" s="1"/>
  <c r="BA49" i="6" a="1"/>
  <c r="BA49" i="6" s="1"/>
  <c r="AZ49" i="6" a="1"/>
  <c r="AZ49" i="6" s="1"/>
  <c r="AY49" i="6" a="1"/>
  <c r="AY49" i="6" s="1"/>
  <c r="AX49" i="6" a="1"/>
  <c r="AX49" i="6" s="1"/>
  <c r="AW49" i="6" a="1"/>
  <c r="AW49" i="6" s="1"/>
  <c r="AV49" i="6" a="1"/>
  <c r="AV49" i="6" s="1"/>
  <c r="AU49" i="6" a="1"/>
  <c r="AU49" i="6" s="1"/>
  <c r="AT49" i="6" a="1"/>
  <c r="AT49" i="6" s="1"/>
  <c r="AS49" i="6" a="1"/>
  <c r="AS49" i="6" s="1"/>
  <c r="AR49" i="6" a="1"/>
  <c r="AR49" i="6" s="1"/>
  <c r="AH49" i="6" a="1"/>
  <c r="AH49" i="6" s="1"/>
  <c r="AG49" i="6" a="1"/>
  <c r="AG49" i="6" s="1"/>
  <c r="V49" i="6" a="1"/>
  <c r="V49" i="6" s="1"/>
  <c r="U49" i="6" a="1"/>
  <c r="U49" i="6" s="1"/>
  <c r="J49" i="6" a="1"/>
  <c r="J49" i="6" s="1"/>
  <c r="I49" i="6" a="1"/>
  <c r="I49" i="6" s="1"/>
  <c r="ADA48" i="6" a="1"/>
  <c r="ADA48" i="6" s="1"/>
  <c r="ACZ48" i="6" a="1"/>
  <c r="ACZ48" i="6" s="1"/>
  <c r="ACY48" i="6" a="1"/>
  <c r="ACY48" i="6" s="1"/>
  <c r="ACN48" i="6" a="1"/>
  <c r="ACN48" i="6" s="1"/>
  <c r="ACM48" i="6" a="1"/>
  <c r="ACM48" i="6" s="1"/>
  <c r="ACL48" i="6" s="1"/>
  <c r="ABU48" i="6" a="1"/>
  <c r="ABU48" i="6" s="1"/>
  <c r="ABX48" i="6" a="1"/>
  <c r="ABX48" i="6" s="1"/>
  <c r="ABV48" i="6" a="1"/>
  <c r="ABV48" i="6" s="1"/>
  <c r="ABH48" i="6" a="1"/>
  <c r="ABH48" i="6" s="1"/>
  <c r="ABG48" i="6" a="1"/>
  <c r="ABG48" i="6" s="1"/>
  <c r="ABF48" i="6" a="1"/>
  <c r="ABF48" i="6" s="1"/>
  <c r="ABE48" i="6" a="1"/>
  <c r="ABE48" i="6" s="1"/>
  <c r="ABD48" i="6" a="1"/>
  <c r="ABD48" i="6" s="1"/>
  <c r="ZR48" i="6" a="1"/>
  <c r="ZR48" i="6" s="1"/>
  <c r="ZE48" i="6" a="1"/>
  <c r="ZE48" i="6" s="1"/>
  <c r="ZD48" i="6" a="1"/>
  <c r="ZD48" i="6" s="1"/>
  <c r="ZC48" i="6" a="1"/>
  <c r="ZC48" i="6" s="1"/>
  <c r="ZB48" i="6" a="1"/>
  <c r="ZB48" i="6" s="1"/>
  <c r="ZA48" i="6" a="1"/>
  <c r="ZA48" i="6" s="1"/>
  <c r="YP48" i="6" a="1"/>
  <c r="YP48" i="6" s="1"/>
  <c r="YO48" i="6" a="1"/>
  <c r="YO48" i="6" s="1"/>
  <c r="YE48" i="6" a="1"/>
  <c r="YE48" i="6" s="1"/>
  <c r="YD48" i="6" a="1"/>
  <c r="YD48" i="6" s="1"/>
  <c r="XT48" i="6" a="1"/>
  <c r="XT48" i="6" s="1"/>
  <c r="XS48" i="6" a="1"/>
  <c r="XS48" i="6" s="1"/>
  <c r="XI48" i="6" a="1"/>
  <c r="XI48" i="6" s="1"/>
  <c r="XH48" i="6" a="1"/>
  <c r="XH48" i="6" s="1"/>
  <c r="WX48" i="6" a="1"/>
  <c r="WX48" i="6" s="1"/>
  <c r="WW48" i="6" a="1"/>
  <c r="WW48" i="6" s="1"/>
  <c r="WM48" i="6" a="1"/>
  <c r="WM48" i="6" s="1"/>
  <c r="WL48" i="6" a="1"/>
  <c r="WL48" i="6" s="1"/>
  <c r="WC48" i="6" a="1"/>
  <c r="WC48" i="6" s="1"/>
  <c r="VQ48" i="6" a="1"/>
  <c r="VQ48" i="6" s="1"/>
  <c r="VP48" i="6" a="1"/>
  <c r="VP48" i="6" s="1"/>
  <c r="VO48" i="6" a="1"/>
  <c r="VO48" i="6" s="1"/>
  <c r="VN48" i="6" a="1"/>
  <c r="VN48" i="6" s="1"/>
  <c r="VA48" i="6" a="1"/>
  <c r="VA48" i="6" s="1"/>
  <c r="UZ48" i="6" a="1"/>
  <c r="UZ48" i="6" s="1"/>
  <c r="UY48" i="6" a="1"/>
  <c r="UY48" i="6" s="1"/>
  <c r="UX48" i="6" a="1"/>
  <c r="UX48" i="6" s="1"/>
  <c r="UW48" i="6" a="1"/>
  <c r="UW48" i="6" s="1"/>
  <c r="UM48" i="6" a="1"/>
  <c r="UM48" i="6" s="1"/>
  <c r="TZ48" i="6" a="1"/>
  <c r="TZ48" i="6" s="1"/>
  <c r="TY48" i="6" a="1"/>
  <c r="TY48" i="6" s="1"/>
  <c r="TX48" i="6" a="1"/>
  <c r="TX48" i="6" s="1"/>
  <c r="TW48" i="6" a="1"/>
  <c r="TW48" i="6" s="1"/>
  <c r="TV48" i="6" a="1"/>
  <c r="TV48" i="6" s="1"/>
  <c r="TH48" i="6" a="1"/>
  <c r="TH48" i="6" s="1"/>
  <c r="TG48" i="6" a="1"/>
  <c r="TG48" i="6" s="1"/>
  <c r="TF48" i="6" a="1"/>
  <c r="TF48" i="6" s="1"/>
  <c r="TE48" i="6" a="1"/>
  <c r="TE48" i="6" s="1"/>
  <c r="TD48" i="6" a="1"/>
  <c r="TD48" i="6" s="1"/>
  <c r="SP48" i="6" a="1"/>
  <c r="SP48" i="6" s="1"/>
  <c r="SO48" i="6" a="1"/>
  <c r="SO48" i="6" s="1"/>
  <c r="SN48" i="6" a="1"/>
  <c r="SN48" i="6" s="1"/>
  <c r="SM48" i="6" a="1"/>
  <c r="SM48" i="6" s="1"/>
  <c r="SL48" i="6" a="1"/>
  <c r="SL48" i="6" s="1"/>
  <c r="RX48" i="6" a="1"/>
  <c r="RX48" i="6" s="1"/>
  <c r="RW48" i="6" a="1"/>
  <c r="RW48" i="6" s="1"/>
  <c r="RV48" i="6" a="1"/>
  <c r="RV48" i="6" s="1"/>
  <c r="RU48" i="6" a="1"/>
  <c r="RU48" i="6" s="1"/>
  <c r="RT48" i="6" a="1"/>
  <c r="RT48" i="6" s="1"/>
  <c r="RF48" i="6" a="1"/>
  <c r="RF48" i="6" s="1"/>
  <c r="RE48" i="6" a="1"/>
  <c r="RE48" i="6" s="1"/>
  <c r="RD48" i="6" a="1"/>
  <c r="RD48" i="6" s="1"/>
  <c r="RC48" i="6" a="1"/>
  <c r="RC48" i="6" s="1"/>
  <c r="RB48" i="6" a="1"/>
  <c r="RB48" i="6" s="1"/>
  <c r="QN48" i="6" a="1"/>
  <c r="QN48" i="6" s="1"/>
  <c r="QM48" i="6" a="1"/>
  <c r="QM48" i="6" s="1"/>
  <c r="QL48" i="6" a="1"/>
  <c r="QL48" i="6" s="1"/>
  <c r="QK48" i="6" a="1"/>
  <c r="QK48" i="6" s="1"/>
  <c r="QJ48" i="6" a="1"/>
  <c r="QJ48" i="6" s="1"/>
  <c r="PV48" i="6" a="1"/>
  <c r="PV48" i="6" s="1"/>
  <c r="PU48" i="6" a="1"/>
  <c r="PU48" i="6" s="1"/>
  <c r="PT48" i="6" a="1"/>
  <c r="PT48" i="6" s="1"/>
  <c r="PS48" i="6" a="1"/>
  <c r="PS48" i="6" s="1"/>
  <c r="PR48" i="6" a="1"/>
  <c r="PR48" i="6" s="1"/>
  <c r="PD48" i="6" a="1"/>
  <c r="PD48" i="6" s="1"/>
  <c r="PC48" i="6" a="1"/>
  <c r="PC48" i="6" s="1"/>
  <c r="PB48" i="6" a="1"/>
  <c r="PB48" i="6" s="1"/>
  <c r="PA48" i="6" a="1"/>
  <c r="PA48" i="6" s="1"/>
  <c r="OZ48" i="6" a="1"/>
  <c r="OZ48" i="6" s="1"/>
  <c r="OL48" i="6" a="1"/>
  <c r="OL48" i="6" s="1"/>
  <c r="OK48" i="6" a="1"/>
  <c r="OK48" i="6" s="1"/>
  <c r="OJ48" i="6" a="1"/>
  <c r="OJ48" i="6" s="1"/>
  <c r="OI48" i="6" a="1"/>
  <c r="OI48" i="6" s="1"/>
  <c r="OH48" i="6" a="1"/>
  <c r="OH48" i="6" s="1"/>
  <c r="NT48" i="6" a="1"/>
  <c r="NT48" i="6" s="1"/>
  <c r="NS48" i="6" a="1"/>
  <c r="NS48" i="6" s="1"/>
  <c r="NR48" i="6" a="1"/>
  <c r="NR48" i="6" s="1"/>
  <c r="NQ48" i="6" a="1"/>
  <c r="NQ48" i="6" s="1"/>
  <c r="NP48" i="6" a="1"/>
  <c r="NP48" i="6" s="1"/>
  <c r="NC48" i="6" a="1"/>
  <c r="NC48" i="6" s="1"/>
  <c r="NB48" i="6" a="1"/>
  <c r="NB48" i="6" s="1"/>
  <c r="NA48" i="6" a="1"/>
  <c r="NA48" i="6" s="1"/>
  <c r="MZ48" i="6" a="1"/>
  <c r="MZ48" i="6" s="1"/>
  <c r="MY48" i="6" a="1"/>
  <c r="MY48" i="6" s="1"/>
  <c r="MK48" i="6" a="1"/>
  <c r="MK48" i="6" s="1"/>
  <c r="MJ48" i="6" a="1"/>
  <c r="MJ48" i="6" s="1"/>
  <c r="MI48" i="6" a="1"/>
  <c r="MI48" i="6" s="1"/>
  <c r="MH48" i="6" a="1"/>
  <c r="MH48" i="6" s="1"/>
  <c r="MG48" i="6" a="1"/>
  <c r="MG48" i="6" s="1"/>
  <c r="LS48" i="6" a="1"/>
  <c r="LS48" i="6" s="1"/>
  <c r="LR48" i="6" a="1"/>
  <c r="LR48" i="6" s="1"/>
  <c r="LQ48" i="6" a="1"/>
  <c r="LQ48" i="6" s="1"/>
  <c r="LP48" i="6" a="1"/>
  <c r="LP48" i="6" s="1"/>
  <c r="LO48" i="6" a="1"/>
  <c r="LO48" i="6" s="1"/>
  <c r="LA48" i="6" a="1"/>
  <c r="LA48" i="6" s="1"/>
  <c r="KZ48" i="6" a="1"/>
  <c r="KZ48" i="6" s="1"/>
  <c r="KY48" i="6" a="1"/>
  <c r="KY48" i="6" s="1"/>
  <c r="KX48" i="6" a="1"/>
  <c r="KX48" i="6" s="1"/>
  <c r="KW48" i="6" a="1"/>
  <c r="KW48" i="6" s="1"/>
  <c r="KI48" i="6" a="1"/>
  <c r="KI48" i="6" s="1"/>
  <c r="KH48" i="6" a="1"/>
  <c r="KH48" i="6" s="1"/>
  <c r="KG48" i="6" a="1"/>
  <c r="KG48" i="6" s="1"/>
  <c r="KF48" i="6" a="1"/>
  <c r="KF48" i="6" s="1"/>
  <c r="KE48" i="6" a="1"/>
  <c r="KE48" i="6" s="1"/>
  <c r="JQ48" i="6" a="1"/>
  <c r="JQ48" i="6" s="1"/>
  <c r="JP48" i="6" a="1"/>
  <c r="JP48" i="6" s="1"/>
  <c r="JO48" i="6" a="1"/>
  <c r="JO48" i="6" s="1"/>
  <c r="JN48" i="6" a="1"/>
  <c r="JN48" i="6" s="1"/>
  <c r="JM48" i="6" a="1"/>
  <c r="JM48" i="6" s="1"/>
  <c r="IY48" i="6" a="1"/>
  <c r="IY48" i="6" s="1"/>
  <c r="IX48" i="6" a="1"/>
  <c r="IX48" i="6" s="1"/>
  <c r="IW48" i="6" a="1"/>
  <c r="IW48" i="6" s="1"/>
  <c r="IV48" i="6" a="1"/>
  <c r="IV48" i="6" s="1"/>
  <c r="IU48" i="6" a="1"/>
  <c r="IU48" i="6" s="1"/>
  <c r="IG48" i="6" a="1"/>
  <c r="IG48" i="6" s="1"/>
  <c r="IF48" i="6" a="1"/>
  <c r="IF48" i="6" s="1"/>
  <c r="IE48" i="6" a="1"/>
  <c r="IE48" i="6" s="1"/>
  <c r="ID48" i="6" a="1"/>
  <c r="ID48" i="6" s="1"/>
  <c r="IC48" i="6" a="1"/>
  <c r="IC48" i="6" s="1"/>
  <c r="HO48" i="6" a="1"/>
  <c r="HO48" i="6" s="1"/>
  <c r="HN48" i="6" a="1"/>
  <c r="HN48" i="6" s="1"/>
  <c r="HM48" i="6" a="1"/>
  <c r="HM48" i="6" s="1"/>
  <c r="HL48" i="6" a="1"/>
  <c r="HL48" i="6" s="1"/>
  <c r="HK48" i="6" a="1"/>
  <c r="HK48" i="6" s="1"/>
  <c r="GX48" i="6" a="1"/>
  <c r="GX48" i="6" s="1"/>
  <c r="GW48" i="6" a="1"/>
  <c r="GW48" i="6" s="1"/>
  <c r="GV48" i="6" a="1"/>
  <c r="GV48" i="6" s="1"/>
  <c r="GU48" i="6" a="1"/>
  <c r="GU48" i="6" s="1"/>
  <c r="GT48" i="6" a="1"/>
  <c r="GT48" i="6" s="1"/>
  <c r="GG48" i="6" a="1"/>
  <c r="GG48" i="6" s="1"/>
  <c r="GF48" i="6" a="1"/>
  <c r="GF48" i="6" s="1"/>
  <c r="GE48" i="6" a="1"/>
  <c r="GE48" i="6" s="1"/>
  <c r="GD48" i="6" a="1"/>
  <c r="GD48" i="6" s="1"/>
  <c r="GC48" i="6" a="1"/>
  <c r="GC48" i="6" s="1"/>
  <c r="FP48" i="6" a="1"/>
  <c r="FP48" i="6" s="1"/>
  <c r="FO48" i="6" a="1"/>
  <c r="FO48" i="6" s="1"/>
  <c r="FN48" i="6" a="1"/>
  <c r="FN48" i="6" s="1"/>
  <c r="FM48" i="6" a="1"/>
  <c r="FM48" i="6" s="1"/>
  <c r="FL48" i="6" a="1"/>
  <c r="FL48" i="6" s="1"/>
  <c r="EY48" i="6" a="1"/>
  <c r="EY48" i="6" s="1"/>
  <c r="EX48" i="6" a="1"/>
  <c r="EX48" i="6" s="1"/>
  <c r="EW48" i="6" a="1"/>
  <c r="EW48" i="6" s="1"/>
  <c r="EV48" i="6" a="1"/>
  <c r="EV48" i="6" s="1"/>
  <c r="EU48" i="6" a="1"/>
  <c r="EU48" i="6" s="1"/>
  <c r="EH48" i="6" a="1"/>
  <c r="EH48" i="6" s="1"/>
  <c r="EG48" i="6" a="1"/>
  <c r="EG48" i="6" s="1"/>
  <c r="EF48" i="6" a="1"/>
  <c r="EF48" i="6" s="1"/>
  <c r="EE48" i="6" a="1"/>
  <c r="EE48" i="6" s="1"/>
  <c r="ED48" i="6" a="1"/>
  <c r="ED48" i="6" s="1"/>
  <c r="DQ48" i="6" a="1"/>
  <c r="DQ48" i="6" s="1"/>
  <c r="DP48" i="6" a="1"/>
  <c r="DP48" i="6" s="1"/>
  <c r="DO48" i="6" a="1"/>
  <c r="DO48" i="6" s="1"/>
  <c r="DN48" i="6" a="1"/>
  <c r="DN48" i="6" s="1"/>
  <c r="DM48" i="6" a="1"/>
  <c r="DM48" i="6" s="1"/>
  <c r="DD48" i="6" a="1"/>
  <c r="DD48" i="6" s="1"/>
  <c r="CU48" i="6" a="1"/>
  <c r="CU48" i="6" s="1"/>
  <c r="CL48" i="6" a="1"/>
  <c r="CL48" i="6" s="1"/>
  <c r="BX48" i="6" a="1"/>
  <c r="BX48" i="6" s="1"/>
  <c r="BW48" i="6" a="1"/>
  <c r="BW48" i="6" s="1"/>
  <c r="BV48" i="6" a="1"/>
  <c r="BV48" i="6" s="1"/>
  <c r="BU48" i="6" a="1"/>
  <c r="BU48" i="6" s="1"/>
  <c r="BT48" i="6" a="1"/>
  <c r="BT48" i="6" s="1"/>
  <c r="BS48" i="6" a="1"/>
  <c r="BS48" i="6" s="1"/>
  <c r="BA48" i="6" a="1"/>
  <c r="BA48" i="6" s="1"/>
  <c r="AZ48" i="6" a="1"/>
  <c r="AZ48" i="6" s="1"/>
  <c r="AY48" i="6" a="1"/>
  <c r="AY48" i="6" s="1"/>
  <c r="AX48" i="6" a="1"/>
  <c r="AX48" i="6" s="1"/>
  <c r="AW48" i="6" a="1"/>
  <c r="AW48" i="6" s="1"/>
  <c r="AV48" i="6" a="1"/>
  <c r="AV48" i="6" s="1"/>
  <c r="AU48" i="6" a="1"/>
  <c r="AU48" i="6" s="1"/>
  <c r="AT48" i="6" a="1"/>
  <c r="AT48" i="6" s="1"/>
  <c r="AS48" i="6" a="1"/>
  <c r="AS48" i="6" s="1"/>
  <c r="AR48" i="6" a="1"/>
  <c r="AR48" i="6" s="1"/>
  <c r="AH48" i="6" a="1"/>
  <c r="AH48" i="6" s="1"/>
  <c r="AG48" i="6" a="1"/>
  <c r="AG48" i="6" s="1"/>
  <c r="V48" i="6" a="1"/>
  <c r="V48" i="6" s="1"/>
  <c r="U48" i="6" a="1"/>
  <c r="U48" i="6" s="1"/>
  <c r="J48" i="6" a="1"/>
  <c r="J48" i="6" s="1"/>
  <c r="I48" i="6" a="1"/>
  <c r="I48" i="6" s="1"/>
  <c r="H48" i="6" s="1"/>
  <c r="ADA47" i="6" a="1"/>
  <c r="ADA47" i="6" s="1"/>
  <c r="ACZ47" i="6" a="1"/>
  <c r="ACZ47" i="6" s="1"/>
  <c r="ACY47" i="6" a="1"/>
  <c r="ACY47" i="6" s="1"/>
  <c r="ACN47" i="6" a="1"/>
  <c r="ACN47" i="6" s="1"/>
  <c r="ACM47" i="6" a="1"/>
  <c r="ACM47" i="6" s="1"/>
  <c r="ABU47" i="6" a="1"/>
  <c r="ABU47" i="6" s="1"/>
  <c r="ABX47" i="6" a="1"/>
  <c r="ABX47" i="6" s="1"/>
  <c r="ABV47" i="6" a="1"/>
  <c r="ABV47" i="6" s="1"/>
  <c r="ABH47" i="6" a="1"/>
  <c r="ABH47" i="6" s="1"/>
  <c r="ABG47" i="6" a="1"/>
  <c r="ABG47" i="6" s="1"/>
  <c r="ABF47" i="6" a="1"/>
  <c r="ABF47" i="6" s="1"/>
  <c r="ABE47" i="6" a="1"/>
  <c r="ABE47" i="6" s="1"/>
  <c r="ABD47" i="6" a="1"/>
  <c r="ABD47" i="6" s="1"/>
  <c r="ZR47" i="6" a="1"/>
  <c r="ZR47" i="6" s="1"/>
  <c r="ZE47" i="6" a="1"/>
  <c r="ZE47" i="6" s="1"/>
  <c r="ZD47" i="6" a="1"/>
  <c r="ZD47" i="6" s="1"/>
  <c r="ZC47" i="6" a="1"/>
  <c r="ZC47" i="6" s="1"/>
  <c r="ZB47" i="6" a="1"/>
  <c r="ZB47" i="6" s="1"/>
  <c r="ZA47" i="6" a="1"/>
  <c r="ZA47" i="6" s="1"/>
  <c r="YP47" i="6" a="1"/>
  <c r="YP47" i="6" s="1"/>
  <c r="YO47" i="6" a="1"/>
  <c r="YO47" i="6" s="1"/>
  <c r="YE47" i="6" a="1"/>
  <c r="YE47" i="6" s="1"/>
  <c r="YD47" i="6" a="1"/>
  <c r="YD47" i="6" s="1"/>
  <c r="XT47" i="6" a="1"/>
  <c r="XT47" i="6" s="1"/>
  <c r="XS47" i="6" a="1"/>
  <c r="XS47" i="6" s="1"/>
  <c r="XI47" i="6" a="1"/>
  <c r="XI47" i="6" s="1"/>
  <c r="XH47" i="6" a="1"/>
  <c r="XH47" i="6" s="1"/>
  <c r="WX47" i="6" a="1"/>
  <c r="WX47" i="6" s="1"/>
  <c r="WW47" i="6" a="1"/>
  <c r="WW47" i="6" s="1"/>
  <c r="WM47" i="6" a="1"/>
  <c r="WM47" i="6" s="1"/>
  <c r="WL47" i="6" a="1"/>
  <c r="WL47" i="6" s="1"/>
  <c r="WC47" i="6" a="1"/>
  <c r="WC47" i="6" s="1"/>
  <c r="VQ47" i="6" a="1"/>
  <c r="VQ47" i="6" s="1"/>
  <c r="VP47" i="6" a="1"/>
  <c r="VP47" i="6" s="1"/>
  <c r="VO47" i="6" a="1"/>
  <c r="VO47" i="6" s="1"/>
  <c r="VN47" i="6" a="1"/>
  <c r="VN47" i="6" s="1"/>
  <c r="VA47" i="6" a="1"/>
  <c r="VA47" i="6" s="1"/>
  <c r="UZ47" i="6" a="1"/>
  <c r="UZ47" i="6" s="1"/>
  <c r="UY47" i="6" a="1"/>
  <c r="UY47" i="6" s="1"/>
  <c r="UX47" i="6" a="1"/>
  <c r="UX47" i="6" s="1"/>
  <c r="UW47" i="6" a="1"/>
  <c r="UW47" i="6" s="1"/>
  <c r="UM47" i="6" a="1"/>
  <c r="UM47" i="6" s="1"/>
  <c r="TZ47" i="6" a="1"/>
  <c r="TZ47" i="6" s="1"/>
  <c r="TY47" i="6" a="1"/>
  <c r="TY47" i="6" s="1"/>
  <c r="TX47" i="6" a="1"/>
  <c r="TX47" i="6" s="1"/>
  <c r="TW47" i="6" a="1"/>
  <c r="TW47" i="6" s="1"/>
  <c r="TV47" i="6" a="1"/>
  <c r="TV47" i="6" s="1"/>
  <c r="TH47" i="6" a="1"/>
  <c r="TH47" i="6" s="1"/>
  <c r="TG47" i="6" a="1"/>
  <c r="TG47" i="6" s="1"/>
  <c r="TF47" i="6" a="1"/>
  <c r="TF47" i="6" s="1"/>
  <c r="TE47" i="6" a="1"/>
  <c r="TE47" i="6" s="1"/>
  <c r="TD47" i="6" a="1"/>
  <c r="TD47" i="6" s="1"/>
  <c r="SP47" i="6" a="1"/>
  <c r="SP47" i="6" s="1"/>
  <c r="SO47" i="6" a="1"/>
  <c r="SO47" i="6" s="1"/>
  <c r="SN47" i="6" a="1"/>
  <c r="SN47" i="6" s="1"/>
  <c r="SM47" i="6" a="1"/>
  <c r="SM47" i="6" s="1"/>
  <c r="SL47" i="6" a="1"/>
  <c r="SL47" i="6" s="1"/>
  <c r="RX47" i="6" a="1"/>
  <c r="RX47" i="6" s="1"/>
  <c r="RW47" i="6" a="1"/>
  <c r="RW47" i="6" s="1"/>
  <c r="RV47" i="6" a="1"/>
  <c r="RV47" i="6" s="1"/>
  <c r="RU47" i="6" a="1"/>
  <c r="RU47" i="6" s="1"/>
  <c r="RT47" i="6" a="1"/>
  <c r="RT47" i="6" s="1"/>
  <c r="RF47" i="6" a="1"/>
  <c r="RF47" i="6" s="1"/>
  <c r="RE47" i="6" a="1"/>
  <c r="RE47" i="6" s="1"/>
  <c r="RD47" i="6" a="1"/>
  <c r="RD47" i="6" s="1"/>
  <c r="RC47" i="6" a="1"/>
  <c r="RC47" i="6" s="1"/>
  <c r="RB47" i="6" a="1"/>
  <c r="RB47" i="6" s="1"/>
  <c r="QN47" i="6" a="1"/>
  <c r="QN47" i="6" s="1"/>
  <c r="QM47" i="6" a="1"/>
  <c r="QM47" i="6" s="1"/>
  <c r="QL47" i="6" a="1"/>
  <c r="QL47" i="6" s="1"/>
  <c r="QK47" i="6" a="1"/>
  <c r="QK47" i="6" s="1"/>
  <c r="QJ47" i="6" a="1"/>
  <c r="QJ47" i="6" s="1"/>
  <c r="PV47" i="6" a="1"/>
  <c r="PV47" i="6" s="1"/>
  <c r="PU47" i="6" a="1"/>
  <c r="PU47" i="6" s="1"/>
  <c r="PT47" i="6" a="1"/>
  <c r="PT47" i="6" s="1"/>
  <c r="PS47" i="6" a="1"/>
  <c r="PS47" i="6" s="1"/>
  <c r="PR47" i="6" a="1"/>
  <c r="PR47" i="6" s="1"/>
  <c r="PD47" i="6" a="1"/>
  <c r="PD47" i="6" s="1"/>
  <c r="PC47" i="6" a="1"/>
  <c r="PC47" i="6" s="1"/>
  <c r="PB47" i="6" a="1"/>
  <c r="PB47" i="6" s="1"/>
  <c r="PA47" i="6" a="1"/>
  <c r="PA47" i="6" s="1"/>
  <c r="OZ47" i="6" a="1"/>
  <c r="OZ47" i="6" s="1"/>
  <c r="OL47" i="6" a="1"/>
  <c r="OL47" i="6" s="1"/>
  <c r="OK47" i="6" a="1"/>
  <c r="OK47" i="6" s="1"/>
  <c r="OJ47" i="6" a="1"/>
  <c r="OJ47" i="6" s="1"/>
  <c r="OI47" i="6" a="1"/>
  <c r="OI47" i="6" s="1"/>
  <c r="OH47" i="6" a="1"/>
  <c r="OH47" i="6" s="1"/>
  <c r="NT47" i="6" a="1"/>
  <c r="NT47" i="6" s="1"/>
  <c r="NS47" i="6" a="1"/>
  <c r="NS47" i="6" s="1"/>
  <c r="NR47" i="6" a="1"/>
  <c r="NR47" i="6" s="1"/>
  <c r="NQ47" i="6" a="1"/>
  <c r="NQ47" i="6" s="1"/>
  <c r="NP47" i="6" a="1"/>
  <c r="NP47" i="6" s="1"/>
  <c r="NC47" i="6" a="1"/>
  <c r="NC47" i="6" s="1"/>
  <c r="NB47" i="6" a="1"/>
  <c r="NB47" i="6" s="1"/>
  <c r="NA47" i="6" a="1"/>
  <c r="NA47" i="6" s="1"/>
  <c r="MZ47" i="6" a="1"/>
  <c r="MZ47" i="6" s="1"/>
  <c r="MY47" i="6" a="1"/>
  <c r="MY47" i="6" s="1"/>
  <c r="MK47" i="6" a="1"/>
  <c r="MK47" i="6" s="1"/>
  <c r="MJ47" i="6" a="1"/>
  <c r="MJ47" i="6" s="1"/>
  <c r="MI47" i="6" a="1"/>
  <c r="MI47" i="6" s="1"/>
  <c r="MH47" i="6" a="1"/>
  <c r="MH47" i="6" s="1"/>
  <c r="MG47" i="6" a="1"/>
  <c r="MG47" i="6" s="1"/>
  <c r="LS47" i="6" a="1"/>
  <c r="LS47" i="6" s="1"/>
  <c r="LR47" i="6" a="1"/>
  <c r="LR47" i="6" s="1"/>
  <c r="LQ47" i="6" a="1"/>
  <c r="LQ47" i="6" s="1"/>
  <c r="LP47" i="6" a="1"/>
  <c r="LP47" i="6" s="1"/>
  <c r="LO47" i="6" a="1"/>
  <c r="LO47" i="6" s="1"/>
  <c r="LA47" i="6" a="1"/>
  <c r="LA47" i="6" s="1"/>
  <c r="KZ47" i="6" a="1"/>
  <c r="KZ47" i="6" s="1"/>
  <c r="KY47" i="6" a="1"/>
  <c r="KY47" i="6" s="1"/>
  <c r="KX47" i="6" a="1"/>
  <c r="KX47" i="6" s="1"/>
  <c r="KW47" i="6" a="1"/>
  <c r="KW47" i="6" s="1"/>
  <c r="KI47" i="6" a="1"/>
  <c r="KI47" i="6" s="1"/>
  <c r="KH47" i="6" a="1"/>
  <c r="KH47" i="6" s="1"/>
  <c r="KG47" i="6" a="1"/>
  <c r="KG47" i="6" s="1"/>
  <c r="KF47" i="6" a="1"/>
  <c r="KF47" i="6" s="1"/>
  <c r="KE47" i="6" a="1"/>
  <c r="KE47" i="6" s="1"/>
  <c r="JQ47" i="6" a="1"/>
  <c r="JQ47" i="6" s="1"/>
  <c r="JP47" i="6" a="1"/>
  <c r="JP47" i="6" s="1"/>
  <c r="JO47" i="6" a="1"/>
  <c r="JO47" i="6" s="1"/>
  <c r="JN47" i="6" a="1"/>
  <c r="JN47" i="6" s="1"/>
  <c r="JM47" i="6" a="1"/>
  <c r="JM47" i="6" s="1"/>
  <c r="IY47" i="6" a="1"/>
  <c r="IY47" i="6" s="1"/>
  <c r="IX47" i="6" a="1"/>
  <c r="IX47" i="6" s="1"/>
  <c r="IW47" i="6" a="1"/>
  <c r="IW47" i="6" s="1"/>
  <c r="IV47" i="6" a="1"/>
  <c r="IV47" i="6" s="1"/>
  <c r="IU47" i="6" a="1"/>
  <c r="IU47" i="6" s="1"/>
  <c r="IG47" i="6" a="1"/>
  <c r="IG47" i="6" s="1"/>
  <c r="IF47" i="6" a="1"/>
  <c r="IF47" i="6" s="1"/>
  <c r="IE47" i="6" a="1"/>
  <c r="IE47" i="6" s="1"/>
  <c r="ID47" i="6" a="1"/>
  <c r="ID47" i="6" s="1"/>
  <c r="IC47" i="6" a="1"/>
  <c r="IC47" i="6" s="1"/>
  <c r="HO47" i="6" a="1"/>
  <c r="HO47" i="6" s="1"/>
  <c r="HN47" i="6" a="1"/>
  <c r="HN47" i="6" s="1"/>
  <c r="HM47" i="6" a="1"/>
  <c r="HM47" i="6" s="1"/>
  <c r="HL47" i="6" a="1"/>
  <c r="HL47" i="6" s="1"/>
  <c r="HK47" i="6" a="1"/>
  <c r="HK47" i="6" s="1"/>
  <c r="GX47" i="6" a="1"/>
  <c r="GX47" i="6" s="1"/>
  <c r="GW47" i="6" a="1"/>
  <c r="GW47" i="6" s="1"/>
  <c r="GV47" i="6" a="1"/>
  <c r="GV47" i="6" s="1"/>
  <c r="GU47" i="6" a="1"/>
  <c r="GU47" i="6" s="1"/>
  <c r="GT47" i="6" a="1"/>
  <c r="GT47" i="6" s="1"/>
  <c r="GG47" i="6" a="1"/>
  <c r="GG47" i="6" s="1"/>
  <c r="GF47" i="6" a="1"/>
  <c r="GF47" i="6" s="1"/>
  <c r="GE47" i="6" a="1"/>
  <c r="GE47" i="6" s="1"/>
  <c r="GD47" i="6" a="1"/>
  <c r="GD47" i="6" s="1"/>
  <c r="GC47" i="6" a="1"/>
  <c r="GC47" i="6" s="1"/>
  <c r="FP47" i="6" a="1"/>
  <c r="FP47" i="6" s="1"/>
  <c r="FO47" i="6" a="1"/>
  <c r="FO47" i="6" s="1"/>
  <c r="FN47" i="6" a="1"/>
  <c r="FN47" i="6" s="1"/>
  <c r="FM47" i="6" a="1"/>
  <c r="FM47" i="6" s="1"/>
  <c r="FL47" i="6" a="1"/>
  <c r="FL47" i="6" s="1"/>
  <c r="EY47" i="6" a="1"/>
  <c r="EY47" i="6" s="1"/>
  <c r="EX47" i="6" a="1"/>
  <c r="EX47" i="6" s="1"/>
  <c r="EW47" i="6" a="1"/>
  <c r="EW47" i="6" s="1"/>
  <c r="EV47" i="6" a="1"/>
  <c r="EV47" i="6" s="1"/>
  <c r="EU47" i="6" a="1"/>
  <c r="EU47" i="6" s="1"/>
  <c r="EH47" i="6" a="1"/>
  <c r="EH47" i="6" s="1"/>
  <c r="EG47" i="6" a="1"/>
  <c r="EG47" i="6" s="1"/>
  <c r="EF47" i="6" a="1"/>
  <c r="EF47" i="6" s="1"/>
  <c r="EE47" i="6" a="1"/>
  <c r="EE47" i="6" s="1"/>
  <c r="ED47" i="6" a="1"/>
  <c r="ED47" i="6" s="1"/>
  <c r="DQ47" i="6" a="1"/>
  <c r="DQ47" i="6" s="1"/>
  <c r="DP47" i="6" a="1"/>
  <c r="DP47" i="6" s="1"/>
  <c r="DO47" i="6" a="1"/>
  <c r="DO47" i="6" s="1"/>
  <c r="DN47" i="6" a="1"/>
  <c r="DN47" i="6" s="1"/>
  <c r="DM47" i="6" a="1"/>
  <c r="DM47" i="6" s="1"/>
  <c r="DD47" i="6" a="1"/>
  <c r="DD47" i="6" s="1"/>
  <c r="CU47" i="6" a="1"/>
  <c r="CU47" i="6" s="1"/>
  <c r="CL47" i="6" a="1"/>
  <c r="CL47" i="6" s="1"/>
  <c r="BX47" i="6" a="1"/>
  <c r="BX47" i="6" s="1"/>
  <c r="BW47" i="6" a="1"/>
  <c r="BW47" i="6" s="1"/>
  <c r="BV47" i="6" a="1"/>
  <c r="BV47" i="6" s="1"/>
  <c r="BU47" i="6" a="1"/>
  <c r="BU47" i="6" s="1"/>
  <c r="BT47" i="6" a="1"/>
  <c r="BT47" i="6" s="1"/>
  <c r="BS47" i="6" a="1"/>
  <c r="BS47" i="6" s="1"/>
  <c r="BA47" i="6" a="1"/>
  <c r="BA47" i="6" s="1"/>
  <c r="AZ47" i="6" a="1"/>
  <c r="AZ47" i="6" s="1"/>
  <c r="AY47" i="6" a="1"/>
  <c r="AY47" i="6" s="1"/>
  <c r="AX47" i="6" a="1"/>
  <c r="AX47" i="6" s="1"/>
  <c r="AW47" i="6" a="1"/>
  <c r="AW47" i="6" s="1"/>
  <c r="AV47" i="6" a="1"/>
  <c r="AV47" i="6" s="1"/>
  <c r="AU47" i="6" a="1"/>
  <c r="AU47" i="6" s="1"/>
  <c r="AT47" i="6" a="1"/>
  <c r="AT47" i="6" s="1"/>
  <c r="AS47" i="6" a="1"/>
  <c r="AS47" i="6" s="1"/>
  <c r="AR47" i="6" a="1"/>
  <c r="AR47" i="6" s="1"/>
  <c r="AH47" i="6" a="1"/>
  <c r="AH47" i="6" s="1"/>
  <c r="AG47" i="6" a="1"/>
  <c r="AG47" i="6" s="1"/>
  <c r="V47" i="6" a="1"/>
  <c r="V47" i="6" s="1"/>
  <c r="U47" i="6" a="1"/>
  <c r="U47" i="6" s="1"/>
  <c r="J47" i="6" a="1"/>
  <c r="J47" i="6" s="1"/>
  <c r="I47" i="6" a="1"/>
  <c r="I47" i="6" s="1"/>
  <c r="ADA46" i="6" a="1"/>
  <c r="ADA46" i="6" s="1"/>
  <c r="ACZ46" i="6" a="1"/>
  <c r="ACZ46" i="6" s="1"/>
  <c r="ACY46" i="6" a="1"/>
  <c r="ACY46" i="6" s="1"/>
  <c r="ACN46" i="6" a="1"/>
  <c r="ACN46" i="6" s="1"/>
  <c r="ACM46" i="6" a="1"/>
  <c r="ACM46" i="6" s="1"/>
  <c r="ABU46" i="6" a="1"/>
  <c r="ABU46" i="6" s="1"/>
  <c r="ABX46" i="6" a="1"/>
  <c r="ABX46" i="6" s="1"/>
  <c r="ABV46" i="6" a="1"/>
  <c r="ABV46" i="6" s="1"/>
  <c r="ABH46" i="6" a="1"/>
  <c r="ABH46" i="6" s="1"/>
  <c r="ABG46" i="6" a="1"/>
  <c r="ABG46" i="6" s="1"/>
  <c r="ABF46" i="6" a="1"/>
  <c r="ABF46" i="6" s="1"/>
  <c r="ABE46" i="6" a="1"/>
  <c r="ABE46" i="6" s="1"/>
  <c r="ABD46" i="6" a="1"/>
  <c r="ABD46" i="6" s="1"/>
  <c r="ZR46" i="6" a="1"/>
  <c r="ZR46" i="6" s="1"/>
  <c r="ZE46" i="6" a="1"/>
  <c r="ZE46" i="6" s="1"/>
  <c r="ZD46" i="6" a="1"/>
  <c r="ZD46" i="6" s="1"/>
  <c r="ZC46" i="6" a="1"/>
  <c r="ZC46" i="6" s="1"/>
  <c r="ZB46" i="6" a="1"/>
  <c r="ZB46" i="6" s="1"/>
  <c r="ZA46" i="6" a="1"/>
  <c r="ZA46" i="6" s="1"/>
  <c r="YP46" i="6" a="1"/>
  <c r="YP46" i="6" s="1"/>
  <c r="YO46" i="6" a="1"/>
  <c r="YO46" i="6" s="1"/>
  <c r="YE46" i="6" a="1"/>
  <c r="YE46" i="6" s="1"/>
  <c r="YD46" i="6" a="1"/>
  <c r="YD46" i="6" s="1"/>
  <c r="XT46" i="6" a="1"/>
  <c r="XT46" i="6" s="1"/>
  <c r="XS46" i="6" a="1"/>
  <c r="XS46" i="6" s="1"/>
  <c r="XI46" i="6" a="1"/>
  <c r="XI46" i="6" s="1"/>
  <c r="XH46" i="6" a="1"/>
  <c r="XH46" i="6" s="1"/>
  <c r="WX46" i="6" a="1"/>
  <c r="WX46" i="6" s="1"/>
  <c r="WW46" i="6" a="1"/>
  <c r="WW46" i="6" s="1"/>
  <c r="WM46" i="6" a="1"/>
  <c r="WM46" i="6" s="1"/>
  <c r="WL46" i="6" a="1"/>
  <c r="WL46" i="6" s="1"/>
  <c r="WC46" i="6" a="1"/>
  <c r="WC46" i="6" s="1"/>
  <c r="VQ46" i="6" a="1"/>
  <c r="VQ46" i="6" s="1"/>
  <c r="VP46" i="6" a="1"/>
  <c r="VP46" i="6" s="1"/>
  <c r="VO46" i="6" a="1"/>
  <c r="VO46" i="6" s="1"/>
  <c r="VN46" i="6" a="1"/>
  <c r="VN46" i="6" s="1"/>
  <c r="VA46" i="6" a="1"/>
  <c r="VA46" i="6" s="1"/>
  <c r="UZ46" i="6" a="1"/>
  <c r="UZ46" i="6" s="1"/>
  <c r="UY46" i="6" a="1"/>
  <c r="UY46" i="6" s="1"/>
  <c r="UX46" i="6" a="1"/>
  <c r="UX46" i="6" s="1"/>
  <c r="UW46" i="6" a="1"/>
  <c r="UW46" i="6" s="1"/>
  <c r="UM46" i="6" a="1"/>
  <c r="UM46" i="6" s="1"/>
  <c r="TZ46" i="6" a="1"/>
  <c r="TZ46" i="6" s="1"/>
  <c r="TY46" i="6" a="1"/>
  <c r="TY46" i="6" s="1"/>
  <c r="TX46" i="6" a="1"/>
  <c r="TX46" i="6" s="1"/>
  <c r="TW46" i="6" a="1"/>
  <c r="TW46" i="6" s="1"/>
  <c r="TV46" i="6" a="1"/>
  <c r="TV46" i="6" s="1"/>
  <c r="TH46" i="6" a="1"/>
  <c r="TH46" i="6" s="1"/>
  <c r="TG46" i="6" a="1"/>
  <c r="TG46" i="6" s="1"/>
  <c r="TF46" i="6" a="1"/>
  <c r="TF46" i="6" s="1"/>
  <c r="TE46" i="6" a="1"/>
  <c r="TE46" i="6" s="1"/>
  <c r="TD46" i="6" a="1"/>
  <c r="TD46" i="6" s="1"/>
  <c r="SP46" i="6" a="1"/>
  <c r="SP46" i="6" s="1"/>
  <c r="SO46" i="6" a="1"/>
  <c r="SO46" i="6" s="1"/>
  <c r="SN46" i="6" a="1"/>
  <c r="SN46" i="6" s="1"/>
  <c r="SM46" i="6" a="1"/>
  <c r="SM46" i="6" s="1"/>
  <c r="SL46" i="6" a="1"/>
  <c r="SL46" i="6" s="1"/>
  <c r="RX46" i="6" a="1"/>
  <c r="RX46" i="6" s="1"/>
  <c r="RW46" i="6" a="1"/>
  <c r="RW46" i="6" s="1"/>
  <c r="RV46" i="6" a="1"/>
  <c r="RV46" i="6" s="1"/>
  <c r="RU46" i="6" a="1"/>
  <c r="RU46" i="6" s="1"/>
  <c r="RT46" i="6" a="1"/>
  <c r="RT46" i="6" s="1"/>
  <c r="RF46" i="6" a="1"/>
  <c r="RF46" i="6" s="1"/>
  <c r="RE46" i="6" a="1"/>
  <c r="RE46" i="6" s="1"/>
  <c r="RD46" i="6" a="1"/>
  <c r="RD46" i="6" s="1"/>
  <c r="RC46" i="6" a="1"/>
  <c r="RC46" i="6" s="1"/>
  <c r="RB46" i="6" a="1"/>
  <c r="RB46" i="6" s="1"/>
  <c r="QN46" i="6" a="1"/>
  <c r="QN46" i="6" s="1"/>
  <c r="QM46" i="6" a="1"/>
  <c r="QM46" i="6" s="1"/>
  <c r="QL46" i="6" a="1"/>
  <c r="QL46" i="6" s="1"/>
  <c r="QK46" i="6" a="1"/>
  <c r="QK46" i="6" s="1"/>
  <c r="QJ46" i="6" a="1"/>
  <c r="QJ46" i="6" s="1"/>
  <c r="PV46" i="6" a="1"/>
  <c r="PV46" i="6" s="1"/>
  <c r="PU46" i="6" a="1"/>
  <c r="PU46" i="6" s="1"/>
  <c r="PT46" i="6" a="1"/>
  <c r="PT46" i="6" s="1"/>
  <c r="PS46" i="6" a="1"/>
  <c r="PS46" i="6" s="1"/>
  <c r="PR46" i="6" a="1"/>
  <c r="PR46" i="6" s="1"/>
  <c r="PD46" i="6" a="1"/>
  <c r="PD46" i="6" s="1"/>
  <c r="PC46" i="6" a="1"/>
  <c r="PC46" i="6" s="1"/>
  <c r="PB46" i="6" a="1"/>
  <c r="PB46" i="6" s="1"/>
  <c r="PA46" i="6" a="1"/>
  <c r="PA46" i="6" s="1"/>
  <c r="OZ46" i="6" a="1"/>
  <c r="OZ46" i="6" s="1"/>
  <c r="OL46" i="6" a="1"/>
  <c r="OL46" i="6" s="1"/>
  <c r="OK46" i="6" a="1"/>
  <c r="OK46" i="6" s="1"/>
  <c r="OJ46" i="6" a="1"/>
  <c r="OJ46" i="6" s="1"/>
  <c r="OI46" i="6" a="1"/>
  <c r="OI46" i="6" s="1"/>
  <c r="OH46" i="6" a="1"/>
  <c r="OH46" i="6" s="1"/>
  <c r="NT46" i="6" a="1"/>
  <c r="NT46" i="6" s="1"/>
  <c r="NS46" i="6" a="1"/>
  <c r="NS46" i="6" s="1"/>
  <c r="NR46" i="6" a="1"/>
  <c r="NR46" i="6" s="1"/>
  <c r="NQ46" i="6" a="1"/>
  <c r="NQ46" i="6" s="1"/>
  <c r="NP46" i="6" a="1"/>
  <c r="NP46" i="6" s="1"/>
  <c r="NC46" i="6" a="1"/>
  <c r="NC46" i="6" s="1"/>
  <c r="NB46" i="6" a="1"/>
  <c r="NB46" i="6" s="1"/>
  <c r="NA46" i="6" a="1"/>
  <c r="NA46" i="6" s="1"/>
  <c r="MZ46" i="6" a="1"/>
  <c r="MZ46" i="6" s="1"/>
  <c r="MY46" i="6" a="1"/>
  <c r="MY46" i="6" s="1"/>
  <c r="MK46" i="6" a="1"/>
  <c r="MK46" i="6" s="1"/>
  <c r="MJ46" i="6" a="1"/>
  <c r="MJ46" i="6" s="1"/>
  <c r="MI46" i="6" a="1"/>
  <c r="MI46" i="6" s="1"/>
  <c r="MH46" i="6" a="1"/>
  <c r="MH46" i="6" s="1"/>
  <c r="MG46" i="6" a="1"/>
  <c r="MG46" i="6" s="1"/>
  <c r="LS46" i="6" a="1"/>
  <c r="LS46" i="6" s="1"/>
  <c r="LR46" i="6" a="1"/>
  <c r="LR46" i="6" s="1"/>
  <c r="LQ46" i="6" a="1"/>
  <c r="LQ46" i="6" s="1"/>
  <c r="LP46" i="6" a="1"/>
  <c r="LP46" i="6" s="1"/>
  <c r="LO46" i="6" a="1"/>
  <c r="LO46" i="6" s="1"/>
  <c r="LA46" i="6" a="1"/>
  <c r="LA46" i="6" s="1"/>
  <c r="KZ46" i="6" a="1"/>
  <c r="KZ46" i="6" s="1"/>
  <c r="KY46" i="6" a="1"/>
  <c r="KY46" i="6" s="1"/>
  <c r="KX46" i="6" a="1"/>
  <c r="KX46" i="6" s="1"/>
  <c r="KW46" i="6" a="1"/>
  <c r="KW46" i="6" s="1"/>
  <c r="KI46" i="6" a="1"/>
  <c r="KI46" i="6" s="1"/>
  <c r="KH46" i="6" a="1"/>
  <c r="KH46" i="6" s="1"/>
  <c r="KG46" i="6" a="1"/>
  <c r="KG46" i="6" s="1"/>
  <c r="KF46" i="6" a="1"/>
  <c r="KF46" i="6" s="1"/>
  <c r="KE46" i="6" a="1"/>
  <c r="KE46" i="6" s="1"/>
  <c r="JQ46" i="6" a="1"/>
  <c r="JQ46" i="6" s="1"/>
  <c r="JP46" i="6" a="1"/>
  <c r="JP46" i="6" s="1"/>
  <c r="JO46" i="6" a="1"/>
  <c r="JO46" i="6" s="1"/>
  <c r="JN46" i="6" a="1"/>
  <c r="JN46" i="6" s="1"/>
  <c r="JM46" i="6" a="1"/>
  <c r="JM46" i="6" s="1"/>
  <c r="IY46" i="6" a="1"/>
  <c r="IY46" i="6" s="1"/>
  <c r="IX46" i="6" a="1"/>
  <c r="IX46" i="6" s="1"/>
  <c r="IW46" i="6" a="1"/>
  <c r="IW46" i="6" s="1"/>
  <c r="IV46" i="6" a="1"/>
  <c r="IV46" i="6" s="1"/>
  <c r="IU46" i="6" a="1"/>
  <c r="IU46" i="6" s="1"/>
  <c r="IG46" i="6" a="1"/>
  <c r="IG46" i="6" s="1"/>
  <c r="IF46" i="6" a="1"/>
  <c r="IF46" i="6" s="1"/>
  <c r="IE46" i="6" a="1"/>
  <c r="IE46" i="6" s="1"/>
  <c r="ID46" i="6" a="1"/>
  <c r="ID46" i="6" s="1"/>
  <c r="IC46" i="6" a="1"/>
  <c r="IC46" i="6" s="1"/>
  <c r="HO46" i="6" a="1"/>
  <c r="HO46" i="6" s="1"/>
  <c r="HN46" i="6" a="1"/>
  <c r="HN46" i="6" s="1"/>
  <c r="HM46" i="6" a="1"/>
  <c r="HM46" i="6" s="1"/>
  <c r="HL46" i="6" a="1"/>
  <c r="HL46" i="6" s="1"/>
  <c r="HK46" i="6" a="1"/>
  <c r="HK46" i="6" s="1"/>
  <c r="GX46" i="6" a="1"/>
  <c r="GX46" i="6" s="1"/>
  <c r="GW46" i="6" a="1"/>
  <c r="GW46" i="6" s="1"/>
  <c r="GV46" i="6" a="1"/>
  <c r="GV46" i="6" s="1"/>
  <c r="GU46" i="6" a="1"/>
  <c r="GU46" i="6" s="1"/>
  <c r="GT46" i="6" a="1"/>
  <c r="GT46" i="6" s="1"/>
  <c r="GG46" i="6" a="1"/>
  <c r="GG46" i="6" s="1"/>
  <c r="GF46" i="6" a="1"/>
  <c r="GF46" i="6" s="1"/>
  <c r="GE46" i="6" a="1"/>
  <c r="GE46" i="6" s="1"/>
  <c r="GD46" i="6" a="1"/>
  <c r="GD46" i="6" s="1"/>
  <c r="GC46" i="6" a="1"/>
  <c r="GC46" i="6" s="1"/>
  <c r="FP46" i="6" a="1"/>
  <c r="FP46" i="6" s="1"/>
  <c r="FO46" i="6" a="1"/>
  <c r="FO46" i="6" s="1"/>
  <c r="FN46" i="6" a="1"/>
  <c r="FN46" i="6" s="1"/>
  <c r="FM46" i="6" a="1"/>
  <c r="FM46" i="6" s="1"/>
  <c r="FL46" i="6" a="1"/>
  <c r="FL46" i="6" s="1"/>
  <c r="EY46" i="6" a="1"/>
  <c r="EY46" i="6" s="1"/>
  <c r="EX46" i="6" a="1"/>
  <c r="EX46" i="6" s="1"/>
  <c r="EW46" i="6" a="1"/>
  <c r="EW46" i="6" s="1"/>
  <c r="EV46" i="6" a="1"/>
  <c r="EV46" i="6" s="1"/>
  <c r="EU46" i="6" a="1"/>
  <c r="EU46" i="6" s="1"/>
  <c r="EH46" i="6" a="1"/>
  <c r="EH46" i="6" s="1"/>
  <c r="EG46" i="6" a="1"/>
  <c r="EG46" i="6" s="1"/>
  <c r="EF46" i="6" a="1"/>
  <c r="EF46" i="6" s="1"/>
  <c r="EE46" i="6" a="1"/>
  <c r="EE46" i="6" s="1"/>
  <c r="ED46" i="6" a="1"/>
  <c r="ED46" i="6" s="1"/>
  <c r="DQ46" i="6" a="1"/>
  <c r="DQ46" i="6" s="1"/>
  <c r="DP46" i="6" a="1"/>
  <c r="DP46" i="6" s="1"/>
  <c r="DO46" i="6" a="1"/>
  <c r="DO46" i="6" s="1"/>
  <c r="DN46" i="6" a="1"/>
  <c r="DN46" i="6" s="1"/>
  <c r="DM46" i="6" a="1"/>
  <c r="DM46" i="6" s="1"/>
  <c r="DD46" i="6" a="1"/>
  <c r="DD46" i="6" s="1"/>
  <c r="CU46" i="6" a="1"/>
  <c r="CU46" i="6" s="1"/>
  <c r="CL46" i="6" a="1"/>
  <c r="CL46" i="6" s="1"/>
  <c r="BX46" i="6" a="1"/>
  <c r="BX46" i="6" s="1"/>
  <c r="BW46" i="6" a="1"/>
  <c r="BW46" i="6" s="1"/>
  <c r="BV46" i="6" a="1"/>
  <c r="BV46" i="6" s="1"/>
  <c r="BU46" i="6" a="1"/>
  <c r="BU46" i="6" s="1"/>
  <c r="BT46" i="6" a="1"/>
  <c r="BT46" i="6" s="1"/>
  <c r="BS46" i="6" a="1"/>
  <c r="BS46" i="6" s="1"/>
  <c r="BA46" i="6" a="1"/>
  <c r="BA46" i="6" s="1"/>
  <c r="AZ46" i="6" a="1"/>
  <c r="AZ46" i="6" s="1"/>
  <c r="AY46" i="6" a="1"/>
  <c r="AY46" i="6" s="1"/>
  <c r="AX46" i="6" a="1"/>
  <c r="AX46" i="6" s="1"/>
  <c r="AW46" i="6" a="1"/>
  <c r="AW46" i="6" s="1"/>
  <c r="AV46" i="6" a="1"/>
  <c r="AV46" i="6" s="1"/>
  <c r="AU46" i="6" a="1"/>
  <c r="AU46" i="6" s="1"/>
  <c r="AT46" i="6" a="1"/>
  <c r="AT46" i="6" s="1"/>
  <c r="AS46" i="6" a="1"/>
  <c r="AS46" i="6" s="1"/>
  <c r="AR46" i="6" a="1"/>
  <c r="AR46" i="6" s="1"/>
  <c r="AH46" i="6" a="1"/>
  <c r="AH46" i="6" s="1"/>
  <c r="AG46" i="6" a="1"/>
  <c r="AG46" i="6" s="1"/>
  <c r="V46" i="6" a="1"/>
  <c r="V46" i="6" s="1"/>
  <c r="U46" i="6" a="1"/>
  <c r="U46" i="6" s="1"/>
  <c r="J46" i="6" a="1"/>
  <c r="J46" i="6" s="1"/>
  <c r="I46" i="6" a="1"/>
  <c r="I46" i="6" s="1"/>
  <c r="ADA45" i="6" a="1"/>
  <c r="ADA45" i="6" s="1"/>
  <c r="ACZ45" i="6" a="1"/>
  <c r="ACZ45" i="6" s="1"/>
  <c r="ACY45" i="6" a="1"/>
  <c r="ACY45" i="6" s="1"/>
  <c r="ACN45" i="6" a="1"/>
  <c r="ACN45" i="6" s="1"/>
  <c r="ACM45" i="6" a="1"/>
  <c r="ACM45" i="6" s="1"/>
  <c r="ACL45" i="6" s="1"/>
  <c r="ABU45" i="6" a="1"/>
  <c r="ABU45" i="6" s="1"/>
  <c r="ABX45" i="6" a="1"/>
  <c r="ABX45" i="6" s="1"/>
  <c r="ABV45" i="6" a="1"/>
  <c r="ABV45" i="6" s="1"/>
  <c r="ABH45" i="6" a="1"/>
  <c r="ABH45" i="6" s="1"/>
  <c r="ABG45" i="6" a="1"/>
  <c r="ABG45" i="6" s="1"/>
  <c r="ABF45" i="6" a="1"/>
  <c r="ABF45" i="6" s="1"/>
  <c r="ABE45" i="6" a="1"/>
  <c r="ABE45" i="6" s="1"/>
  <c r="ABD45" i="6" a="1"/>
  <c r="ABD45" i="6" s="1"/>
  <c r="ZR45" i="6" a="1"/>
  <c r="ZR45" i="6" s="1"/>
  <c r="ZE45" i="6" a="1"/>
  <c r="ZE45" i="6" s="1"/>
  <c r="ZD45" i="6" a="1"/>
  <c r="ZD45" i="6" s="1"/>
  <c r="ZC45" i="6" a="1"/>
  <c r="ZC45" i="6" s="1"/>
  <c r="ZB45" i="6" a="1"/>
  <c r="ZB45" i="6" s="1"/>
  <c r="ZA45" i="6" a="1"/>
  <c r="ZA45" i="6" s="1"/>
  <c r="YP45" i="6" a="1"/>
  <c r="YP45" i="6" s="1"/>
  <c r="YO45" i="6" a="1"/>
  <c r="YO45" i="6" s="1"/>
  <c r="YE45" i="6" a="1"/>
  <c r="YE45" i="6" s="1"/>
  <c r="YD45" i="6" a="1"/>
  <c r="YD45" i="6" s="1"/>
  <c r="XT45" i="6" a="1"/>
  <c r="XT45" i="6" s="1"/>
  <c r="XS45" i="6" a="1"/>
  <c r="XS45" i="6" s="1"/>
  <c r="XI45" i="6" a="1"/>
  <c r="XI45" i="6" s="1"/>
  <c r="XH45" i="6" a="1"/>
  <c r="XH45" i="6" s="1"/>
  <c r="WX45" i="6" a="1"/>
  <c r="WX45" i="6" s="1"/>
  <c r="WW45" i="6" a="1"/>
  <c r="WW45" i="6" s="1"/>
  <c r="WM45" i="6" a="1"/>
  <c r="WM45" i="6" s="1"/>
  <c r="WL45" i="6" a="1"/>
  <c r="WL45" i="6" s="1"/>
  <c r="WC45" i="6" a="1"/>
  <c r="WC45" i="6" s="1"/>
  <c r="VQ45" i="6" a="1"/>
  <c r="VQ45" i="6" s="1"/>
  <c r="VP45" i="6" a="1"/>
  <c r="VP45" i="6" s="1"/>
  <c r="VO45" i="6" a="1"/>
  <c r="VO45" i="6" s="1"/>
  <c r="VN45" i="6" a="1"/>
  <c r="VN45" i="6" s="1"/>
  <c r="VA45" i="6" a="1"/>
  <c r="VA45" i="6" s="1"/>
  <c r="UZ45" i="6" a="1"/>
  <c r="UZ45" i="6" s="1"/>
  <c r="UY45" i="6" a="1"/>
  <c r="UY45" i="6" s="1"/>
  <c r="UX45" i="6" a="1"/>
  <c r="UX45" i="6" s="1"/>
  <c r="UW45" i="6" a="1"/>
  <c r="UW45" i="6" s="1"/>
  <c r="UM45" i="6" a="1"/>
  <c r="UM45" i="6" s="1"/>
  <c r="TZ45" i="6" a="1"/>
  <c r="TZ45" i="6" s="1"/>
  <c r="TY45" i="6" a="1"/>
  <c r="TY45" i="6" s="1"/>
  <c r="TX45" i="6" a="1"/>
  <c r="TX45" i="6" s="1"/>
  <c r="TW45" i="6" a="1"/>
  <c r="TW45" i="6" s="1"/>
  <c r="TV45" i="6" a="1"/>
  <c r="TV45" i="6" s="1"/>
  <c r="TH45" i="6" a="1"/>
  <c r="TH45" i="6" s="1"/>
  <c r="TG45" i="6" a="1"/>
  <c r="TG45" i="6" s="1"/>
  <c r="TF45" i="6" a="1"/>
  <c r="TF45" i="6" s="1"/>
  <c r="TE45" i="6" a="1"/>
  <c r="TE45" i="6" s="1"/>
  <c r="TD45" i="6" a="1"/>
  <c r="TD45" i="6" s="1"/>
  <c r="SP45" i="6" a="1"/>
  <c r="SP45" i="6" s="1"/>
  <c r="SO45" i="6" a="1"/>
  <c r="SO45" i="6" s="1"/>
  <c r="SN45" i="6" a="1"/>
  <c r="SN45" i="6" s="1"/>
  <c r="SM45" i="6" a="1"/>
  <c r="SM45" i="6" s="1"/>
  <c r="SL45" i="6" a="1"/>
  <c r="SL45" i="6" s="1"/>
  <c r="RX45" i="6" a="1"/>
  <c r="RX45" i="6" s="1"/>
  <c r="RW45" i="6" a="1"/>
  <c r="RW45" i="6" s="1"/>
  <c r="RV45" i="6" a="1"/>
  <c r="RV45" i="6" s="1"/>
  <c r="RU45" i="6" a="1"/>
  <c r="RU45" i="6" s="1"/>
  <c r="RT45" i="6" a="1"/>
  <c r="RT45" i="6" s="1"/>
  <c r="RF45" i="6" a="1"/>
  <c r="RF45" i="6" s="1"/>
  <c r="RE45" i="6" a="1"/>
  <c r="RE45" i="6" s="1"/>
  <c r="RD45" i="6" a="1"/>
  <c r="RD45" i="6" s="1"/>
  <c r="RC45" i="6" a="1"/>
  <c r="RC45" i="6" s="1"/>
  <c r="RB45" i="6" a="1"/>
  <c r="RB45" i="6" s="1"/>
  <c r="QN45" i="6" a="1"/>
  <c r="QN45" i="6" s="1"/>
  <c r="QM45" i="6" a="1"/>
  <c r="QM45" i="6" s="1"/>
  <c r="QL45" i="6" a="1"/>
  <c r="QL45" i="6" s="1"/>
  <c r="QK45" i="6" a="1"/>
  <c r="QK45" i="6" s="1"/>
  <c r="QJ45" i="6" a="1"/>
  <c r="QJ45" i="6" s="1"/>
  <c r="PV45" i="6" a="1"/>
  <c r="PV45" i="6" s="1"/>
  <c r="PU45" i="6" a="1"/>
  <c r="PU45" i="6" s="1"/>
  <c r="PT45" i="6" a="1"/>
  <c r="PT45" i="6" s="1"/>
  <c r="PS45" i="6" a="1"/>
  <c r="PS45" i="6" s="1"/>
  <c r="PR45" i="6" a="1"/>
  <c r="PR45" i="6" s="1"/>
  <c r="PD45" i="6" a="1"/>
  <c r="PD45" i="6" s="1"/>
  <c r="PC45" i="6" a="1"/>
  <c r="PC45" i="6" s="1"/>
  <c r="PB45" i="6" a="1"/>
  <c r="PB45" i="6" s="1"/>
  <c r="PA45" i="6" a="1"/>
  <c r="PA45" i="6" s="1"/>
  <c r="OZ45" i="6" a="1"/>
  <c r="OZ45" i="6" s="1"/>
  <c r="OL45" i="6" a="1"/>
  <c r="OL45" i="6" s="1"/>
  <c r="OK45" i="6" a="1"/>
  <c r="OK45" i="6" s="1"/>
  <c r="OJ45" i="6" a="1"/>
  <c r="OJ45" i="6" s="1"/>
  <c r="OI45" i="6" a="1"/>
  <c r="OI45" i="6" s="1"/>
  <c r="OH45" i="6" a="1"/>
  <c r="OH45" i="6" s="1"/>
  <c r="NT45" i="6" a="1"/>
  <c r="NT45" i="6" s="1"/>
  <c r="NS45" i="6" a="1"/>
  <c r="NS45" i="6" s="1"/>
  <c r="NR45" i="6" a="1"/>
  <c r="NR45" i="6" s="1"/>
  <c r="NQ45" i="6" a="1"/>
  <c r="NQ45" i="6" s="1"/>
  <c r="NP45" i="6" a="1"/>
  <c r="NP45" i="6" s="1"/>
  <c r="NC45" i="6" a="1"/>
  <c r="NC45" i="6" s="1"/>
  <c r="NB45" i="6" a="1"/>
  <c r="NB45" i="6" s="1"/>
  <c r="NA45" i="6" a="1"/>
  <c r="NA45" i="6" s="1"/>
  <c r="MZ45" i="6" a="1"/>
  <c r="MZ45" i="6" s="1"/>
  <c r="MY45" i="6" a="1"/>
  <c r="MY45" i="6" s="1"/>
  <c r="MK45" i="6" a="1"/>
  <c r="MK45" i="6" s="1"/>
  <c r="MJ45" i="6" a="1"/>
  <c r="MJ45" i="6" s="1"/>
  <c r="MI45" i="6" a="1"/>
  <c r="MI45" i="6" s="1"/>
  <c r="MH45" i="6" a="1"/>
  <c r="MH45" i="6" s="1"/>
  <c r="MG45" i="6" a="1"/>
  <c r="MG45" i="6" s="1"/>
  <c r="LS45" i="6" a="1"/>
  <c r="LS45" i="6" s="1"/>
  <c r="LR45" i="6" a="1"/>
  <c r="LR45" i="6" s="1"/>
  <c r="LQ45" i="6" a="1"/>
  <c r="LQ45" i="6" s="1"/>
  <c r="LP45" i="6" a="1"/>
  <c r="LP45" i="6" s="1"/>
  <c r="LO45" i="6" a="1"/>
  <c r="LO45" i="6" s="1"/>
  <c r="LA45" i="6" a="1"/>
  <c r="LA45" i="6" s="1"/>
  <c r="KZ45" i="6" a="1"/>
  <c r="KZ45" i="6" s="1"/>
  <c r="KY45" i="6" a="1"/>
  <c r="KY45" i="6" s="1"/>
  <c r="KX45" i="6" a="1"/>
  <c r="KX45" i="6" s="1"/>
  <c r="KW45" i="6" a="1"/>
  <c r="KW45" i="6" s="1"/>
  <c r="KI45" i="6" a="1"/>
  <c r="KI45" i="6" s="1"/>
  <c r="KH45" i="6" a="1"/>
  <c r="KH45" i="6" s="1"/>
  <c r="KG45" i="6" a="1"/>
  <c r="KG45" i="6" s="1"/>
  <c r="KF45" i="6" a="1"/>
  <c r="KF45" i="6" s="1"/>
  <c r="KE45" i="6" a="1"/>
  <c r="KE45" i="6" s="1"/>
  <c r="JQ45" i="6" a="1"/>
  <c r="JQ45" i="6" s="1"/>
  <c r="JP45" i="6" a="1"/>
  <c r="JP45" i="6" s="1"/>
  <c r="JO45" i="6" a="1"/>
  <c r="JO45" i="6" s="1"/>
  <c r="JN45" i="6" a="1"/>
  <c r="JN45" i="6" s="1"/>
  <c r="JM45" i="6" a="1"/>
  <c r="JM45" i="6" s="1"/>
  <c r="IY45" i="6" a="1"/>
  <c r="IY45" i="6" s="1"/>
  <c r="IX45" i="6" a="1"/>
  <c r="IX45" i="6" s="1"/>
  <c r="IW45" i="6" a="1"/>
  <c r="IW45" i="6" s="1"/>
  <c r="IV45" i="6" a="1"/>
  <c r="IV45" i="6" s="1"/>
  <c r="IU45" i="6" a="1"/>
  <c r="IU45" i="6" s="1"/>
  <c r="IG45" i="6" a="1"/>
  <c r="IG45" i="6" s="1"/>
  <c r="IF45" i="6" a="1"/>
  <c r="IF45" i="6" s="1"/>
  <c r="IE45" i="6" a="1"/>
  <c r="IE45" i="6" s="1"/>
  <c r="ID45" i="6" a="1"/>
  <c r="ID45" i="6" s="1"/>
  <c r="IC45" i="6" a="1"/>
  <c r="IC45" i="6" s="1"/>
  <c r="HO45" i="6" a="1"/>
  <c r="HO45" i="6" s="1"/>
  <c r="HN45" i="6" a="1"/>
  <c r="HN45" i="6" s="1"/>
  <c r="HM45" i="6" a="1"/>
  <c r="HM45" i="6" s="1"/>
  <c r="HL45" i="6" a="1"/>
  <c r="HL45" i="6" s="1"/>
  <c r="HK45" i="6" a="1"/>
  <c r="HK45" i="6" s="1"/>
  <c r="GX45" i="6" a="1"/>
  <c r="GX45" i="6" s="1"/>
  <c r="GW45" i="6" a="1"/>
  <c r="GW45" i="6" s="1"/>
  <c r="GV45" i="6" a="1"/>
  <c r="GV45" i="6" s="1"/>
  <c r="GU45" i="6" a="1"/>
  <c r="GU45" i="6" s="1"/>
  <c r="GT45" i="6" a="1"/>
  <c r="GT45" i="6" s="1"/>
  <c r="GG45" i="6" a="1"/>
  <c r="GG45" i="6" s="1"/>
  <c r="GF45" i="6" a="1"/>
  <c r="GF45" i="6" s="1"/>
  <c r="GE45" i="6" a="1"/>
  <c r="GE45" i="6" s="1"/>
  <c r="GD45" i="6" a="1"/>
  <c r="GD45" i="6" s="1"/>
  <c r="GC45" i="6" a="1"/>
  <c r="GC45" i="6" s="1"/>
  <c r="FP45" i="6" a="1"/>
  <c r="FP45" i="6" s="1"/>
  <c r="FO45" i="6" a="1"/>
  <c r="FO45" i="6" s="1"/>
  <c r="FN45" i="6" a="1"/>
  <c r="FN45" i="6" s="1"/>
  <c r="FM45" i="6" a="1"/>
  <c r="FM45" i="6" s="1"/>
  <c r="FL45" i="6" a="1"/>
  <c r="FL45" i="6" s="1"/>
  <c r="EY45" i="6" a="1"/>
  <c r="EY45" i="6" s="1"/>
  <c r="EX45" i="6" a="1"/>
  <c r="EX45" i="6" s="1"/>
  <c r="EW45" i="6" a="1"/>
  <c r="EW45" i="6" s="1"/>
  <c r="EV45" i="6" a="1"/>
  <c r="EV45" i="6" s="1"/>
  <c r="EU45" i="6" a="1"/>
  <c r="EU45" i="6" s="1"/>
  <c r="EH45" i="6" a="1"/>
  <c r="EH45" i="6" s="1"/>
  <c r="EG45" i="6" a="1"/>
  <c r="EG45" i="6" s="1"/>
  <c r="EF45" i="6" a="1"/>
  <c r="EF45" i="6" s="1"/>
  <c r="EE45" i="6" a="1"/>
  <c r="EE45" i="6" s="1"/>
  <c r="ED45" i="6" a="1"/>
  <c r="ED45" i="6" s="1"/>
  <c r="DQ45" i="6" a="1"/>
  <c r="DQ45" i="6" s="1"/>
  <c r="DP45" i="6" a="1"/>
  <c r="DP45" i="6" s="1"/>
  <c r="DO45" i="6" a="1"/>
  <c r="DO45" i="6" s="1"/>
  <c r="DN45" i="6" a="1"/>
  <c r="DN45" i="6" s="1"/>
  <c r="DM45" i="6" a="1"/>
  <c r="DM45" i="6" s="1"/>
  <c r="DD45" i="6" a="1"/>
  <c r="DD45" i="6" s="1"/>
  <c r="CU45" i="6" a="1"/>
  <c r="CU45" i="6" s="1"/>
  <c r="CL45" i="6" a="1"/>
  <c r="CL45" i="6" s="1"/>
  <c r="BX45" i="6" a="1"/>
  <c r="BX45" i="6" s="1"/>
  <c r="BW45" i="6" a="1"/>
  <c r="BW45" i="6" s="1"/>
  <c r="BV45" i="6" a="1"/>
  <c r="BV45" i="6" s="1"/>
  <c r="BU45" i="6" a="1"/>
  <c r="BU45" i="6" s="1"/>
  <c r="BT45" i="6" a="1"/>
  <c r="BT45" i="6" s="1"/>
  <c r="BS45" i="6" a="1"/>
  <c r="BS45" i="6" s="1"/>
  <c r="BA45" i="6" a="1"/>
  <c r="BA45" i="6" s="1"/>
  <c r="AZ45" i="6" a="1"/>
  <c r="AZ45" i="6" s="1"/>
  <c r="AY45" i="6" a="1"/>
  <c r="AY45" i="6" s="1"/>
  <c r="AX45" i="6" a="1"/>
  <c r="AX45" i="6" s="1"/>
  <c r="AW45" i="6" a="1"/>
  <c r="AW45" i="6" s="1"/>
  <c r="AV45" i="6" a="1"/>
  <c r="AV45" i="6" s="1"/>
  <c r="AU45" i="6" a="1"/>
  <c r="AU45" i="6" s="1"/>
  <c r="AT45" i="6" a="1"/>
  <c r="AT45" i="6" s="1"/>
  <c r="AS45" i="6" a="1"/>
  <c r="AS45" i="6" s="1"/>
  <c r="AR45" i="6" a="1"/>
  <c r="AR45" i="6" s="1"/>
  <c r="AH45" i="6" a="1"/>
  <c r="AH45" i="6" s="1"/>
  <c r="AG45" i="6" a="1"/>
  <c r="AG45" i="6" s="1"/>
  <c r="V45" i="6" a="1"/>
  <c r="V45" i="6" s="1"/>
  <c r="U45" i="6" a="1"/>
  <c r="U45" i="6" s="1"/>
  <c r="J45" i="6" a="1"/>
  <c r="J45" i="6" s="1"/>
  <c r="I45" i="6" a="1"/>
  <c r="I45" i="6" s="1"/>
  <c r="H45" i="6" s="1"/>
  <c r="ADA44" i="6" a="1"/>
  <c r="ADA44" i="6" s="1"/>
  <c r="ACZ44" i="6" a="1"/>
  <c r="ACZ44" i="6" s="1"/>
  <c r="ACY44" i="6" a="1"/>
  <c r="ACY44" i="6" s="1"/>
  <c r="ACN44" i="6" a="1"/>
  <c r="ACN44" i="6" s="1"/>
  <c r="ACM44" i="6" a="1"/>
  <c r="ACM44" i="6" s="1"/>
  <c r="ABU44" i="6" a="1"/>
  <c r="ABU44" i="6" s="1"/>
  <c r="ABX44" i="6" a="1"/>
  <c r="ABX44" i="6" s="1"/>
  <c r="ABV44" i="6" a="1"/>
  <c r="ABV44" i="6" s="1"/>
  <c r="ABH44" i="6" a="1"/>
  <c r="ABH44" i="6" s="1"/>
  <c r="ABG44" i="6" a="1"/>
  <c r="ABG44" i="6" s="1"/>
  <c r="ABF44" i="6" a="1"/>
  <c r="ABF44" i="6" s="1"/>
  <c r="ABE44" i="6" a="1"/>
  <c r="ABE44" i="6" s="1"/>
  <c r="ABD44" i="6" a="1"/>
  <c r="ABD44" i="6" s="1"/>
  <c r="ZR44" i="6" a="1"/>
  <c r="ZR44" i="6" s="1"/>
  <c r="ZE44" i="6" a="1"/>
  <c r="ZE44" i="6" s="1"/>
  <c r="ZD44" i="6" a="1"/>
  <c r="ZD44" i="6" s="1"/>
  <c r="ZC44" i="6" a="1"/>
  <c r="ZC44" i="6" s="1"/>
  <c r="ZB44" i="6" a="1"/>
  <c r="ZB44" i="6" s="1"/>
  <c r="ZA44" i="6" a="1"/>
  <c r="ZA44" i="6" s="1"/>
  <c r="YP44" i="6" a="1"/>
  <c r="YP44" i="6" s="1"/>
  <c r="YO44" i="6" a="1"/>
  <c r="YO44" i="6" s="1"/>
  <c r="YE44" i="6" a="1"/>
  <c r="YE44" i="6" s="1"/>
  <c r="YD44" i="6" a="1"/>
  <c r="YD44" i="6" s="1"/>
  <c r="XT44" i="6" a="1"/>
  <c r="XT44" i="6" s="1"/>
  <c r="XS44" i="6" a="1"/>
  <c r="XS44" i="6" s="1"/>
  <c r="XI44" i="6" a="1"/>
  <c r="XI44" i="6" s="1"/>
  <c r="XH44" i="6" a="1"/>
  <c r="XH44" i="6" s="1"/>
  <c r="WX44" i="6" a="1"/>
  <c r="WX44" i="6" s="1"/>
  <c r="WW44" i="6" a="1"/>
  <c r="WW44" i="6" s="1"/>
  <c r="WM44" i="6" a="1"/>
  <c r="WM44" i="6" s="1"/>
  <c r="WL44" i="6" a="1"/>
  <c r="WL44" i="6" s="1"/>
  <c r="WC44" i="6" a="1"/>
  <c r="WC44" i="6" s="1"/>
  <c r="VQ44" i="6" a="1"/>
  <c r="VQ44" i="6" s="1"/>
  <c r="VP44" i="6" a="1"/>
  <c r="VP44" i="6" s="1"/>
  <c r="VO44" i="6" a="1"/>
  <c r="VO44" i="6" s="1"/>
  <c r="VN44" i="6" a="1"/>
  <c r="VN44" i="6" s="1"/>
  <c r="VA44" i="6" a="1"/>
  <c r="VA44" i="6" s="1"/>
  <c r="UZ44" i="6" a="1"/>
  <c r="UZ44" i="6" s="1"/>
  <c r="UY44" i="6" a="1"/>
  <c r="UY44" i="6" s="1"/>
  <c r="UX44" i="6" a="1"/>
  <c r="UX44" i="6" s="1"/>
  <c r="UW44" i="6" a="1"/>
  <c r="UW44" i="6" s="1"/>
  <c r="UM44" i="6" a="1"/>
  <c r="UM44" i="6" s="1"/>
  <c r="TZ44" i="6" a="1"/>
  <c r="TZ44" i="6" s="1"/>
  <c r="TY44" i="6" a="1"/>
  <c r="TY44" i="6" s="1"/>
  <c r="TX44" i="6" a="1"/>
  <c r="TX44" i="6" s="1"/>
  <c r="TW44" i="6" a="1"/>
  <c r="TW44" i="6" s="1"/>
  <c r="TV44" i="6" a="1"/>
  <c r="TV44" i="6" s="1"/>
  <c r="TH44" i="6" a="1"/>
  <c r="TH44" i="6" s="1"/>
  <c r="TG44" i="6" a="1"/>
  <c r="TG44" i="6" s="1"/>
  <c r="TF44" i="6" a="1"/>
  <c r="TF44" i="6" s="1"/>
  <c r="TE44" i="6" a="1"/>
  <c r="TE44" i="6" s="1"/>
  <c r="TD44" i="6" a="1"/>
  <c r="TD44" i="6" s="1"/>
  <c r="SP44" i="6" a="1"/>
  <c r="SP44" i="6" s="1"/>
  <c r="SO44" i="6" a="1"/>
  <c r="SO44" i="6" s="1"/>
  <c r="SN44" i="6" a="1"/>
  <c r="SN44" i="6" s="1"/>
  <c r="SM44" i="6" a="1"/>
  <c r="SM44" i="6" s="1"/>
  <c r="SL44" i="6" a="1"/>
  <c r="SL44" i="6" s="1"/>
  <c r="RX44" i="6" a="1"/>
  <c r="RX44" i="6" s="1"/>
  <c r="RW44" i="6" a="1"/>
  <c r="RW44" i="6" s="1"/>
  <c r="RV44" i="6" a="1"/>
  <c r="RV44" i="6" s="1"/>
  <c r="RU44" i="6" a="1"/>
  <c r="RU44" i="6" s="1"/>
  <c r="RT44" i="6" a="1"/>
  <c r="RT44" i="6" s="1"/>
  <c r="RF44" i="6" a="1"/>
  <c r="RF44" i="6" s="1"/>
  <c r="RE44" i="6" a="1"/>
  <c r="RE44" i="6" s="1"/>
  <c r="RD44" i="6" a="1"/>
  <c r="RD44" i="6" s="1"/>
  <c r="RC44" i="6" a="1"/>
  <c r="RC44" i="6" s="1"/>
  <c r="RB44" i="6" a="1"/>
  <c r="RB44" i="6" s="1"/>
  <c r="QN44" i="6" a="1"/>
  <c r="QN44" i="6" s="1"/>
  <c r="QM44" i="6" a="1"/>
  <c r="QM44" i="6" s="1"/>
  <c r="QL44" i="6" a="1"/>
  <c r="QL44" i="6" s="1"/>
  <c r="QK44" i="6" a="1"/>
  <c r="QK44" i="6" s="1"/>
  <c r="QJ44" i="6" a="1"/>
  <c r="QJ44" i="6" s="1"/>
  <c r="PV44" i="6" a="1"/>
  <c r="PV44" i="6" s="1"/>
  <c r="PU44" i="6" a="1"/>
  <c r="PU44" i="6" s="1"/>
  <c r="PT44" i="6" a="1"/>
  <c r="PT44" i="6" s="1"/>
  <c r="PS44" i="6" a="1"/>
  <c r="PS44" i="6" s="1"/>
  <c r="PR44" i="6" a="1"/>
  <c r="PR44" i="6" s="1"/>
  <c r="PD44" i="6" a="1"/>
  <c r="PD44" i="6" s="1"/>
  <c r="PC44" i="6" a="1"/>
  <c r="PC44" i="6" s="1"/>
  <c r="PB44" i="6" a="1"/>
  <c r="PB44" i="6" s="1"/>
  <c r="PA44" i="6" a="1"/>
  <c r="PA44" i="6" s="1"/>
  <c r="OZ44" i="6" a="1"/>
  <c r="OZ44" i="6" s="1"/>
  <c r="OL44" i="6" a="1"/>
  <c r="OL44" i="6" s="1"/>
  <c r="OK44" i="6" a="1"/>
  <c r="OK44" i="6" s="1"/>
  <c r="OJ44" i="6" a="1"/>
  <c r="OJ44" i="6" s="1"/>
  <c r="OI44" i="6" a="1"/>
  <c r="OI44" i="6" s="1"/>
  <c r="OH44" i="6" a="1"/>
  <c r="OH44" i="6" s="1"/>
  <c r="NT44" i="6" a="1"/>
  <c r="NT44" i="6" s="1"/>
  <c r="NS44" i="6" a="1"/>
  <c r="NS44" i="6" s="1"/>
  <c r="NR44" i="6" a="1"/>
  <c r="NR44" i="6" s="1"/>
  <c r="NQ44" i="6" a="1"/>
  <c r="NQ44" i="6" s="1"/>
  <c r="NP44" i="6" a="1"/>
  <c r="NP44" i="6" s="1"/>
  <c r="NC44" i="6" a="1"/>
  <c r="NC44" i="6" s="1"/>
  <c r="NB44" i="6" a="1"/>
  <c r="NB44" i="6" s="1"/>
  <c r="NA44" i="6" a="1"/>
  <c r="NA44" i="6" s="1"/>
  <c r="MZ44" i="6" a="1"/>
  <c r="MZ44" i="6" s="1"/>
  <c r="MY44" i="6" a="1"/>
  <c r="MY44" i="6" s="1"/>
  <c r="MK44" i="6" a="1"/>
  <c r="MK44" i="6" s="1"/>
  <c r="MJ44" i="6" a="1"/>
  <c r="MJ44" i="6" s="1"/>
  <c r="MI44" i="6" a="1"/>
  <c r="MI44" i="6" s="1"/>
  <c r="MH44" i="6" a="1"/>
  <c r="MH44" i="6" s="1"/>
  <c r="MG44" i="6" a="1"/>
  <c r="MG44" i="6" s="1"/>
  <c r="LS44" i="6" a="1"/>
  <c r="LS44" i="6" s="1"/>
  <c r="LR44" i="6" a="1"/>
  <c r="LR44" i="6" s="1"/>
  <c r="LQ44" i="6" a="1"/>
  <c r="LQ44" i="6" s="1"/>
  <c r="LP44" i="6" a="1"/>
  <c r="LP44" i="6" s="1"/>
  <c r="LO44" i="6" a="1"/>
  <c r="LO44" i="6" s="1"/>
  <c r="LA44" i="6" a="1"/>
  <c r="LA44" i="6" s="1"/>
  <c r="KZ44" i="6" a="1"/>
  <c r="KZ44" i="6" s="1"/>
  <c r="KY44" i="6" a="1"/>
  <c r="KY44" i="6" s="1"/>
  <c r="KX44" i="6" a="1"/>
  <c r="KX44" i="6" s="1"/>
  <c r="KW44" i="6" a="1"/>
  <c r="KW44" i="6" s="1"/>
  <c r="KI44" i="6" a="1"/>
  <c r="KI44" i="6" s="1"/>
  <c r="KH44" i="6" a="1"/>
  <c r="KH44" i="6" s="1"/>
  <c r="KG44" i="6" a="1"/>
  <c r="KG44" i="6" s="1"/>
  <c r="KF44" i="6" a="1"/>
  <c r="KF44" i="6" s="1"/>
  <c r="KE44" i="6" a="1"/>
  <c r="KE44" i="6" s="1"/>
  <c r="JQ44" i="6" a="1"/>
  <c r="JQ44" i="6" s="1"/>
  <c r="JP44" i="6" a="1"/>
  <c r="JP44" i="6" s="1"/>
  <c r="JO44" i="6" a="1"/>
  <c r="JO44" i="6" s="1"/>
  <c r="JN44" i="6" a="1"/>
  <c r="JN44" i="6" s="1"/>
  <c r="JM44" i="6" a="1"/>
  <c r="JM44" i="6" s="1"/>
  <c r="IY44" i="6" a="1"/>
  <c r="IY44" i="6" s="1"/>
  <c r="IX44" i="6" a="1"/>
  <c r="IX44" i="6" s="1"/>
  <c r="IW44" i="6" a="1"/>
  <c r="IW44" i="6" s="1"/>
  <c r="IV44" i="6" a="1"/>
  <c r="IV44" i="6" s="1"/>
  <c r="IU44" i="6" a="1"/>
  <c r="IU44" i="6" s="1"/>
  <c r="IG44" i="6" a="1"/>
  <c r="IG44" i="6" s="1"/>
  <c r="IF44" i="6" a="1"/>
  <c r="IF44" i="6" s="1"/>
  <c r="IE44" i="6" a="1"/>
  <c r="IE44" i="6" s="1"/>
  <c r="ID44" i="6" a="1"/>
  <c r="ID44" i="6" s="1"/>
  <c r="IC44" i="6" a="1"/>
  <c r="IC44" i="6" s="1"/>
  <c r="HO44" i="6" a="1"/>
  <c r="HO44" i="6" s="1"/>
  <c r="HN44" i="6" a="1"/>
  <c r="HN44" i="6" s="1"/>
  <c r="HM44" i="6" a="1"/>
  <c r="HM44" i="6" s="1"/>
  <c r="HL44" i="6" a="1"/>
  <c r="HL44" i="6" s="1"/>
  <c r="HK44" i="6" a="1"/>
  <c r="HK44" i="6" s="1"/>
  <c r="GX44" i="6" a="1"/>
  <c r="GX44" i="6" s="1"/>
  <c r="GW44" i="6" a="1"/>
  <c r="GW44" i="6" s="1"/>
  <c r="GV44" i="6" a="1"/>
  <c r="GV44" i="6" s="1"/>
  <c r="GU44" i="6" a="1"/>
  <c r="GU44" i="6" s="1"/>
  <c r="GT44" i="6" a="1"/>
  <c r="GT44" i="6" s="1"/>
  <c r="GG44" i="6" a="1"/>
  <c r="GG44" i="6" s="1"/>
  <c r="GF44" i="6" a="1"/>
  <c r="GF44" i="6" s="1"/>
  <c r="GE44" i="6" a="1"/>
  <c r="GE44" i="6" s="1"/>
  <c r="GD44" i="6" a="1"/>
  <c r="GD44" i="6" s="1"/>
  <c r="GC44" i="6" a="1"/>
  <c r="GC44" i="6" s="1"/>
  <c r="FP44" i="6" a="1"/>
  <c r="FP44" i="6" s="1"/>
  <c r="FO44" i="6" a="1"/>
  <c r="FO44" i="6" s="1"/>
  <c r="FN44" i="6" a="1"/>
  <c r="FN44" i="6" s="1"/>
  <c r="FM44" i="6" a="1"/>
  <c r="FM44" i="6" s="1"/>
  <c r="FL44" i="6" a="1"/>
  <c r="FL44" i="6" s="1"/>
  <c r="EY44" i="6" a="1"/>
  <c r="EY44" i="6" s="1"/>
  <c r="EX44" i="6" a="1"/>
  <c r="EX44" i="6" s="1"/>
  <c r="EW44" i="6" a="1"/>
  <c r="EW44" i="6" s="1"/>
  <c r="EV44" i="6" a="1"/>
  <c r="EV44" i="6" s="1"/>
  <c r="EU44" i="6" a="1"/>
  <c r="EU44" i="6" s="1"/>
  <c r="EH44" i="6" a="1"/>
  <c r="EH44" i="6" s="1"/>
  <c r="EG44" i="6" a="1"/>
  <c r="EG44" i="6" s="1"/>
  <c r="EF44" i="6" a="1"/>
  <c r="EF44" i="6" s="1"/>
  <c r="EE44" i="6" a="1"/>
  <c r="EE44" i="6" s="1"/>
  <c r="ED44" i="6" a="1"/>
  <c r="ED44" i="6" s="1"/>
  <c r="DQ44" i="6" a="1"/>
  <c r="DQ44" i="6" s="1"/>
  <c r="DP44" i="6" a="1"/>
  <c r="DP44" i="6" s="1"/>
  <c r="DO44" i="6" a="1"/>
  <c r="DO44" i="6" s="1"/>
  <c r="DN44" i="6" a="1"/>
  <c r="DN44" i="6" s="1"/>
  <c r="DM44" i="6" a="1"/>
  <c r="DM44" i="6" s="1"/>
  <c r="DD44" i="6" a="1"/>
  <c r="DD44" i="6" s="1"/>
  <c r="CU44" i="6" a="1"/>
  <c r="CU44" i="6" s="1"/>
  <c r="CL44" i="6" a="1"/>
  <c r="CL44" i="6" s="1"/>
  <c r="BX44" i="6" a="1"/>
  <c r="BX44" i="6" s="1"/>
  <c r="BW44" i="6" a="1"/>
  <c r="BW44" i="6" s="1"/>
  <c r="BV44" i="6" a="1"/>
  <c r="BV44" i="6" s="1"/>
  <c r="BU44" i="6" a="1"/>
  <c r="BU44" i="6" s="1"/>
  <c r="BT44" i="6" a="1"/>
  <c r="BT44" i="6" s="1"/>
  <c r="BS44" i="6" a="1"/>
  <c r="BS44" i="6" s="1"/>
  <c r="BA44" i="6" a="1"/>
  <c r="BA44" i="6" s="1"/>
  <c r="AZ44" i="6" a="1"/>
  <c r="AZ44" i="6" s="1"/>
  <c r="AY44" i="6" a="1"/>
  <c r="AY44" i="6" s="1"/>
  <c r="AX44" i="6" a="1"/>
  <c r="AX44" i="6" s="1"/>
  <c r="AW44" i="6" a="1"/>
  <c r="AW44" i="6" s="1"/>
  <c r="AV44" i="6" a="1"/>
  <c r="AV44" i="6" s="1"/>
  <c r="AU44" i="6" a="1"/>
  <c r="AU44" i="6" s="1"/>
  <c r="AT44" i="6" a="1"/>
  <c r="AT44" i="6" s="1"/>
  <c r="AS44" i="6" a="1"/>
  <c r="AS44" i="6" s="1"/>
  <c r="AR44" i="6" a="1"/>
  <c r="AR44" i="6" s="1"/>
  <c r="AH44" i="6" a="1"/>
  <c r="AH44" i="6" s="1"/>
  <c r="AG44" i="6" a="1"/>
  <c r="AG44" i="6" s="1"/>
  <c r="V44" i="6" a="1"/>
  <c r="V44" i="6" s="1"/>
  <c r="U44" i="6" a="1"/>
  <c r="U44" i="6" s="1"/>
  <c r="J44" i="6" a="1"/>
  <c r="J44" i="6" s="1"/>
  <c r="I44" i="6" a="1"/>
  <c r="I44" i="6" s="1"/>
  <c r="H44" i="6" s="1"/>
  <c r="ADA43" i="6" a="1"/>
  <c r="ADA43" i="6" s="1"/>
  <c r="ACZ43" i="6" a="1"/>
  <c r="ACZ43" i="6" s="1"/>
  <c r="ACY43" i="6" a="1"/>
  <c r="ACY43" i="6" s="1"/>
  <c r="ACN43" i="6" a="1"/>
  <c r="ACN43" i="6" s="1"/>
  <c r="ACM43" i="6" a="1"/>
  <c r="ACM43" i="6" s="1"/>
  <c r="ABU43" i="6" a="1"/>
  <c r="ABU43" i="6" s="1"/>
  <c r="ABX43" i="6" a="1"/>
  <c r="ABX43" i="6" s="1"/>
  <c r="ABV43" i="6" a="1"/>
  <c r="ABV43" i="6" s="1"/>
  <c r="ABH43" i="6" a="1"/>
  <c r="ABH43" i="6" s="1"/>
  <c r="ABG43" i="6" a="1"/>
  <c r="ABG43" i="6" s="1"/>
  <c r="ABF43" i="6" a="1"/>
  <c r="ABF43" i="6" s="1"/>
  <c r="ABE43" i="6" a="1"/>
  <c r="ABE43" i="6" s="1"/>
  <c r="ABD43" i="6" a="1"/>
  <c r="ABD43" i="6" s="1"/>
  <c r="ZR43" i="6" a="1"/>
  <c r="ZR43" i="6" s="1"/>
  <c r="ZE43" i="6" a="1"/>
  <c r="ZE43" i="6" s="1"/>
  <c r="ZD43" i="6" a="1"/>
  <c r="ZD43" i="6" s="1"/>
  <c r="ZC43" i="6" a="1"/>
  <c r="ZC43" i="6" s="1"/>
  <c r="ZB43" i="6" a="1"/>
  <c r="ZB43" i="6" s="1"/>
  <c r="ZA43" i="6" a="1"/>
  <c r="ZA43" i="6" s="1"/>
  <c r="YP43" i="6" a="1"/>
  <c r="YP43" i="6" s="1"/>
  <c r="YO43" i="6" a="1"/>
  <c r="YO43" i="6" s="1"/>
  <c r="YE43" i="6" a="1"/>
  <c r="YE43" i="6" s="1"/>
  <c r="YD43" i="6" a="1"/>
  <c r="YD43" i="6" s="1"/>
  <c r="XT43" i="6" a="1"/>
  <c r="XT43" i="6" s="1"/>
  <c r="XS43" i="6" a="1"/>
  <c r="XS43" i="6" s="1"/>
  <c r="XI43" i="6" a="1"/>
  <c r="XI43" i="6" s="1"/>
  <c r="XH43" i="6" a="1"/>
  <c r="XH43" i="6" s="1"/>
  <c r="WX43" i="6" a="1"/>
  <c r="WX43" i="6" s="1"/>
  <c r="WW43" i="6" a="1"/>
  <c r="WW43" i="6" s="1"/>
  <c r="WM43" i="6" a="1"/>
  <c r="WM43" i="6" s="1"/>
  <c r="WL43" i="6" a="1"/>
  <c r="WL43" i="6" s="1"/>
  <c r="WC43" i="6" a="1"/>
  <c r="WC43" i="6" s="1"/>
  <c r="VQ43" i="6" a="1"/>
  <c r="VQ43" i="6" s="1"/>
  <c r="VP43" i="6" a="1"/>
  <c r="VP43" i="6" s="1"/>
  <c r="VO43" i="6" a="1"/>
  <c r="VO43" i="6" s="1"/>
  <c r="VN43" i="6" a="1"/>
  <c r="VN43" i="6" s="1"/>
  <c r="VA43" i="6" a="1"/>
  <c r="VA43" i="6" s="1"/>
  <c r="UZ43" i="6" a="1"/>
  <c r="UZ43" i="6" s="1"/>
  <c r="UY43" i="6" a="1"/>
  <c r="UY43" i="6" s="1"/>
  <c r="UX43" i="6" a="1"/>
  <c r="UX43" i="6" s="1"/>
  <c r="UW43" i="6" a="1"/>
  <c r="UW43" i="6" s="1"/>
  <c r="UM43" i="6" a="1"/>
  <c r="UM43" i="6" s="1"/>
  <c r="TZ43" i="6" a="1"/>
  <c r="TZ43" i="6" s="1"/>
  <c r="TY43" i="6" a="1"/>
  <c r="TY43" i="6" s="1"/>
  <c r="TX43" i="6" a="1"/>
  <c r="TX43" i="6" s="1"/>
  <c r="TW43" i="6" a="1"/>
  <c r="TW43" i="6" s="1"/>
  <c r="TV43" i="6" a="1"/>
  <c r="TV43" i="6" s="1"/>
  <c r="TH43" i="6" a="1"/>
  <c r="TH43" i="6" s="1"/>
  <c r="TG43" i="6" a="1"/>
  <c r="TG43" i="6" s="1"/>
  <c r="TF43" i="6" a="1"/>
  <c r="TF43" i="6" s="1"/>
  <c r="TE43" i="6" a="1"/>
  <c r="TE43" i="6" s="1"/>
  <c r="TD43" i="6" a="1"/>
  <c r="TD43" i="6" s="1"/>
  <c r="SP43" i="6" a="1"/>
  <c r="SP43" i="6" s="1"/>
  <c r="SO43" i="6" a="1"/>
  <c r="SO43" i="6" s="1"/>
  <c r="SN43" i="6" a="1"/>
  <c r="SN43" i="6" s="1"/>
  <c r="SM43" i="6" a="1"/>
  <c r="SM43" i="6" s="1"/>
  <c r="SL43" i="6" a="1"/>
  <c r="SL43" i="6" s="1"/>
  <c r="RX43" i="6" a="1"/>
  <c r="RX43" i="6" s="1"/>
  <c r="RW43" i="6" a="1"/>
  <c r="RW43" i="6" s="1"/>
  <c r="RV43" i="6" a="1"/>
  <c r="RV43" i="6" s="1"/>
  <c r="RU43" i="6" a="1"/>
  <c r="RU43" i="6" s="1"/>
  <c r="RT43" i="6" a="1"/>
  <c r="RT43" i="6" s="1"/>
  <c r="RF43" i="6" a="1"/>
  <c r="RF43" i="6" s="1"/>
  <c r="RE43" i="6" a="1"/>
  <c r="RE43" i="6" s="1"/>
  <c r="RD43" i="6" a="1"/>
  <c r="RD43" i="6" s="1"/>
  <c r="RC43" i="6" a="1"/>
  <c r="RC43" i="6" s="1"/>
  <c r="RB43" i="6" a="1"/>
  <c r="RB43" i="6" s="1"/>
  <c r="QN43" i="6" a="1"/>
  <c r="QN43" i="6" s="1"/>
  <c r="QM43" i="6" a="1"/>
  <c r="QM43" i="6" s="1"/>
  <c r="QL43" i="6" a="1"/>
  <c r="QL43" i="6" s="1"/>
  <c r="QK43" i="6" a="1"/>
  <c r="QK43" i="6" s="1"/>
  <c r="QJ43" i="6" a="1"/>
  <c r="QJ43" i="6" s="1"/>
  <c r="PV43" i="6" a="1"/>
  <c r="PV43" i="6" s="1"/>
  <c r="PU43" i="6" a="1"/>
  <c r="PU43" i="6" s="1"/>
  <c r="PT43" i="6" a="1"/>
  <c r="PT43" i="6" s="1"/>
  <c r="PS43" i="6" a="1"/>
  <c r="PS43" i="6" s="1"/>
  <c r="PR43" i="6" a="1"/>
  <c r="PR43" i="6" s="1"/>
  <c r="PD43" i="6" a="1"/>
  <c r="PD43" i="6" s="1"/>
  <c r="PC43" i="6" a="1"/>
  <c r="PC43" i="6" s="1"/>
  <c r="PB43" i="6" a="1"/>
  <c r="PB43" i="6" s="1"/>
  <c r="PA43" i="6" a="1"/>
  <c r="PA43" i="6" s="1"/>
  <c r="OZ43" i="6" a="1"/>
  <c r="OZ43" i="6" s="1"/>
  <c r="OL43" i="6" a="1"/>
  <c r="OL43" i="6" s="1"/>
  <c r="OK43" i="6" a="1"/>
  <c r="OK43" i="6" s="1"/>
  <c r="OJ43" i="6" a="1"/>
  <c r="OJ43" i="6" s="1"/>
  <c r="OI43" i="6" a="1"/>
  <c r="OI43" i="6" s="1"/>
  <c r="OH43" i="6" a="1"/>
  <c r="OH43" i="6" s="1"/>
  <c r="NT43" i="6" a="1"/>
  <c r="NT43" i="6" s="1"/>
  <c r="NS43" i="6" a="1"/>
  <c r="NS43" i="6" s="1"/>
  <c r="NR43" i="6" a="1"/>
  <c r="NR43" i="6" s="1"/>
  <c r="NQ43" i="6" a="1"/>
  <c r="NQ43" i="6" s="1"/>
  <c r="NP43" i="6" a="1"/>
  <c r="NP43" i="6" s="1"/>
  <c r="NC43" i="6" a="1"/>
  <c r="NC43" i="6" s="1"/>
  <c r="NB43" i="6" a="1"/>
  <c r="NB43" i="6" s="1"/>
  <c r="NA43" i="6" a="1"/>
  <c r="NA43" i="6" s="1"/>
  <c r="MZ43" i="6" a="1"/>
  <c r="MZ43" i="6" s="1"/>
  <c r="MY43" i="6" a="1"/>
  <c r="MY43" i="6" s="1"/>
  <c r="MK43" i="6" a="1"/>
  <c r="MK43" i="6" s="1"/>
  <c r="MJ43" i="6" a="1"/>
  <c r="MJ43" i="6" s="1"/>
  <c r="MI43" i="6" a="1"/>
  <c r="MI43" i="6" s="1"/>
  <c r="MH43" i="6" a="1"/>
  <c r="MH43" i="6" s="1"/>
  <c r="MG43" i="6" a="1"/>
  <c r="MG43" i="6" s="1"/>
  <c r="LS43" i="6" a="1"/>
  <c r="LS43" i="6" s="1"/>
  <c r="LR43" i="6" a="1"/>
  <c r="LR43" i="6" s="1"/>
  <c r="LQ43" i="6" a="1"/>
  <c r="LQ43" i="6" s="1"/>
  <c r="LP43" i="6" a="1"/>
  <c r="LP43" i="6" s="1"/>
  <c r="LO43" i="6" a="1"/>
  <c r="LO43" i="6" s="1"/>
  <c r="LA43" i="6" a="1"/>
  <c r="LA43" i="6" s="1"/>
  <c r="KZ43" i="6" a="1"/>
  <c r="KZ43" i="6" s="1"/>
  <c r="KY43" i="6" a="1"/>
  <c r="KY43" i="6" s="1"/>
  <c r="KX43" i="6" a="1"/>
  <c r="KX43" i="6" s="1"/>
  <c r="KW43" i="6" a="1"/>
  <c r="KW43" i="6" s="1"/>
  <c r="KI43" i="6" a="1"/>
  <c r="KI43" i="6" s="1"/>
  <c r="KH43" i="6" a="1"/>
  <c r="KH43" i="6" s="1"/>
  <c r="KG43" i="6" a="1"/>
  <c r="KG43" i="6" s="1"/>
  <c r="KF43" i="6" a="1"/>
  <c r="KF43" i="6" s="1"/>
  <c r="KE43" i="6" a="1"/>
  <c r="KE43" i="6" s="1"/>
  <c r="JQ43" i="6" a="1"/>
  <c r="JQ43" i="6" s="1"/>
  <c r="JP43" i="6" a="1"/>
  <c r="JP43" i="6" s="1"/>
  <c r="JO43" i="6" a="1"/>
  <c r="JO43" i="6" s="1"/>
  <c r="JN43" i="6" a="1"/>
  <c r="JN43" i="6" s="1"/>
  <c r="JM43" i="6" a="1"/>
  <c r="JM43" i="6" s="1"/>
  <c r="IY43" i="6" a="1"/>
  <c r="IY43" i="6" s="1"/>
  <c r="IX43" i="6" a="1"/>
  <c r="IX43" i="6" s="1"/>
  <c r="IW43" i="6" a="1"/>
  <c r="IW43" i="6" s="1"/>
  <c r="IV43" i="6" a="1"/>
  <c r="IV43" i="6" s="1"/>
  <c r="IU43" i="6" a="1"/>
  <c r="IU43" i="6" s="1"/>
  <c r="IG43" i="6" a="1"/>
  <c r="IG43" i="6" s="1"/>
  <c r="IF43" i="6" a="1"/>
  <c r="IF43" i="6" s="1"/>
  <c r="IE43" i="6" a="1"/>
  <c r="IE43" i="6" s="1"/>
  <c r="ID43" i="6" a="1"/>
  <c r="ID43" i="6" s="1"/>
  <c r="IC43" i="6" a="1"/>
  <c r="IC43" i="6" s="1"/>
  <c r="HO43" i="6" a="1"/>
  <c r="HO43" i="6" s="1"/>
  <c r="HN43" i="6" a="1"/>
  <c r="HN43" i="6" s="1"/>
  <c r="HM43" i="6" a="1"/>
  <c r="HM43" i="6" s="1"/>
  <c r="HL43" i="6" a="1"/>
  <c r="HL43" i="6" s="1"/>
  <c r="HK43" i="6" a="1"/>
  <c r="HK43" i="6" s="1"/>
  <c r="GX43" i="6" a="1"/>
  <c r="GX43" i="6" s="1"/>
  <c r="GW43" i="6" a="1"/>
  <c r="GW43" i="6" s="1"/>
  <c r="GV43" i="6" a="1"/>
  <c r="GV43" i="6" s="1"/>
  <c r="GU43" i="6" a="1"/>
  <c r="GU43" i="6" s="1"/>
  <c r="GT43" i="6" a="1"/>
  <c r="GT43" i="6" s="1"/>
  <c r="GG43" i="6" a="1"/>
  <c r="GG43" i="6" s="1"/>
  <c r="GF43" i="6" a="1"/>
  <c r="GF43" i="6" s="1"/>
  <c r="GE43" i="6" a="1"/>
  <c r="GE43" i="6" s="1"/>
  <c r="GD43" i="6" a="1"/>
  <c r="GD43" i="6" s="1"/>
  <c r="GC43" i="6" a="1"/>
  <c r="GC43" i="6" s="1"/>
  <c r="FP43" i="6" a="1"/>
  <c r="FP43" i="6" s="1"/>
  <c r="FO43" i="6" a="1"/>
  <c r="FO43" i="6" s="1"/>
  <c r="FN43" i="6" a="1"/>
  <c r="FN43" i="6" s="1"/>
  <c r="FM43" i="6" a="1"/>
  <c r="FM43" i="6" s="1"/>
  <c r="FL43" i="6" a="1"/>
  <c r="FL43" i="6" s="1"/>
  <c r="EY43" i="6" a="1"/>
  <c r="EY43" i="6" s="1"/>
  <c r="EX43" i="6" a="1"/>
  <c r="EX43" i="6" s="1"/>
  <c r="EW43" i="6" a="1"/>
  <c r="EW43" i="6" s="1"/>
  <c r="EV43" i="6" a="1"/>
  <c r="EV43" i="6" s="1"/>
  <c r="EU43" i="6" a="1"/>
  <c r="EU43" i="6" s="1"/>
  <c r="EH43" i="6" a="1"/>
  <c r="EH43" i="6" s="1"/>
  <c r="EG43" i="6" a="1"/>
  <c r="EG43" i="6" s="1"/>
  <c r="EF43" i="6" a="1"/>
  <c r="EF43" i="6" s="1"/>
  <c r="EE43" i="6" a="1"/>
  <c r="EE43" i="6" s="1"/>
  <c r="ED43" i="6" a="1"/>
  <c r="ED43" i="6" s="1"/>
  <c r="DQ43" i="6" a="1"/>
  <c r="DQ43" i="6" s="1"/>
  <c r="DP43" i="6" a="1"/>
  <c r="DP43" i="6" s="1"/>
  <c r="DO43" i="6" a="1"/>
  <c r="DO43" i="6" s="1"/>
  <c r="DN43" i="6" a="1"/>
  <c r="DN43" i="6" s="1"/>
  <c r="DM43" i="6" a="1"/>
  <c r="DM43" i="6" s="1"/>
  <c r="DD43" i="6" a="1"/>
  <c r="DD43" i="6" s="1"/>
  <c r="CU43" i="6" a="1"/>
  <c r="CU43" i="6" s="1"/>
  <c r="CL43" i="6" a="1"/>
  <c r="CL43" i="6" s="1"/>
  <c r="BX43" i="6" a="1"/>
  <c r="BX43" i="6" s="1"/>
  <c r="BW43" i="6" a="1"/>
  <c r="BW43" i="6" s="1"/>
  <c r="BV43" i="6" a="1"/>
  <c r="BV43" i="6" s="1"/>
  <c r="BU43" i="6" a="1"/>
  <c r="BU43" i="6" s="1"/>
  <c r="BT43" i="6" a="1"/>
  <c r="BT43" i="6" s="1"/>
  <c r="BS43" i="6" a="1"/>
  <c r="BS43" i="6" s="1"/>
  <c r="BA43" i="6" a="1"/>
  <c r="BA43" i="6" s="1"/>
  <c r="AZ43" i="6" a="1"/>
  <c r="AZ43" i="6" s="1"/>
  <c r="AY43" i="6" a="1"/>
  <c r="AY43" i="6" s="1"/>
  <c r="AX43" i="6" a="1"/>
  <c r="AX43" i="6" s="1"/>
  <c r="AW43" i="6" a="1"/>
  <c r="AW43" i="6" s="1"/>
  <c r="AV43" i="6" a="1"/>
  <c r="AV43" i="6" s="1"/>
  <c r="AU43" i="6" a="1"/>
  <c r="AU43" i="6" s="1"/>
  <c r="AT43" i="6" a="1"/>
  <c r="AT43" i="6" s="1"/>
  <c r="AS43" i="6" a="1"/>
  <c r="AS43" i="6" s="1"/>
  <c r="AR43" i="6" a="1"/>
  <c r="AR43" i="6" s="1"/>
  <c r="AH43" i="6" a="1"/>
  <c r="AH43" i="6" s="1"/>
  <c r="AG43" i="6" a="1"/>
  <c r="AG43" i="6" s="1"/>
  <c r="V43" i="6" a="1"/>
  <c r="V43" i="6" s="1"/>
  <c r="U43" i="6" a="1"/>
  <c r="U43" i="6" s="1"/>
  <c r="J43" i="6" a="1"/>
  <c r="J43" i="6" s="1"/>
  <c r="I43" i="6" a="1"/>
  <c r="I43" i="6" s="1"/>
  <c r="H43" i="6" s="1"/>
  <c r="ADA42" i="6" a="1"/>
  <c r="ADA42" i="6" s="1"/>
  <c r="ACZ42" i="6" a="1"/>
  <c r="ACZ42" i="6" s="1"/>
  <c r="ACY42" i="6" a="1"/>
  <c r="ACY42" i="6" s="1"/>
  <c r="ACN42" i="6" a="1"/>
  <c r="ACN42" i="6" s="1"/>
  <c r="ACM42" i="6" a="1"/>
  <c r="ACM42" i="6" s="1"/>
  <c r="ABU42" i="6" a="1"/>
  <c r="ABU42" i="6" s="1"/>
  <c r="ABX42" i="6" a="1"/>
  <c r="ABX42" i="6" s="1"/>
  <c r="ABV42" i="6" a="1"/>
  <c r="ABV42" i="6" s="1"/>
  <c r="ABH42" i="6" a="1"/>
  <c r="ABH42" i="6" s="1"/>
  <c r="ABG42" i="6" a="1"/>
  <c r="ABG42" i="6" s="1"/>
  <c r="ABF42" i="6" a="1"/>
  <c r="ABF42" i="6" s="1"/>
  <c r="ABE42" i="6" a="1"/>
  <c r="ABE42" i="6" s="1"/>
  <c r="ABD42" i="6" a="1"/>
  <c r="ABD42" i="6" s="1"/>
  <c r="ZR42" i="6" a="1"/>
  <c r="ZR42" i="6" s="1"/>
  <c r="ZE42" i="6" a="1"/>
  <c r="ZE42" i="6" s="1"/>
  <c r="ZD42" i="6" a="1"/>
  <c r="ZD42" i="6" s="1"/>
  <c r="ZC42" i="6" a="1"/>
  <c r="ZC42" i="6" s="1"/>
  <c r="ZB42" i="6" a="1"/>
  <c r="ZB42" i="6" s="1"/>
  <c r="ZA42" i="6" a="1"/>
  <c r="ZA42" i="6" s="1"/>
  <c r="YP42" i="6" a="1"/>
  <c r="YP42" i="6" s="1"/>
  <c r="YO42" i="6" a="1"/>
  <c r="YO42" i="6" s="1"/>
  <c r="YE42" i="6" a="1"/>
  <c r="YE42" i="6" s="1"/>
  <c r="YD42" i="6" a="1"/>
  <c r="YD42" i="6" s="1"/>
  <c r="XT42" i="6" a="1"/>
  <c r="XT42" i="6" s="1"/>
  <c r="XS42" i="6" a="1"/>
  <c r="XS42" i="6" s="1"/>
  <c r="XI42" i="6" a="1"/>
  <c r="XI42" i="6" s="1"/>
  <c r="XH42" i="6" a="1"/>
  <c r="XH42" i="6" s="1"/>
  <c r="WX42" i="6" a="1"/>
  <c r="WX42" i="6" s="1"/>
  <c r="WW42" i="6" a="1"/>
  <c r="WW42" i="6" s="1"/>
  <c r="WM42" i="6" a="1"/>
  <c r="WM42" i="6" s="1"/>
  <c r="WL42" i="6" a="1"/>
  <c r="WL42" i="6" s="1"/>
  <c r="WC42" i="6" a="1"/>
  <c r="WC42" i="6" s="1"/>
  <c r="VQ42" i="6" a="1"/>
  <c r="VQ42" i="6" s="1"/>
  <c r="VP42" i="6" a="1"/>
  <c r="VP42" i="6" s="1"/>
  <c r="VO42" i="6" a="1"/>
  <c r="VO42" i="6" s="1"/>
  <c r="VN42" i="6" a="1"/>
  <c r="VN42" i="6" s="1"/>
  <c r="VA42" i="6" a="1"/>
  <c r="VA42" i="6" s="1"/>
  <c r="UZ42" i="6" a="1"/>
  <c r="UZ42" i="6" s="1"/>
  <c r="UY42" i="6" a="1"/>
  <c r="UY42" i="6" s="1"/>
  <c r="UX42" i="6" a="1"/>
  <c r="UX42" i="6" s="1"/>
  <c r="UW42" i="6" a="1"/>
  <c r="UW42" i="6" s="1"/>
  <c r="UM42" i="6" a="1"/>
  <c r="UM42" i="6" s="1"/>
  <c r="TZ42" i="6" a="1"/>
  <c r="TZ42" i="6" s="1"/>
  <c r="TY42" i="6" a="1"/>
  <c r="TY42" i="6" s="1"/>
  <c r="TX42" i="6" a="1"/>
  <c r="TX42" i="6" s="1"/>
  <c r="TW42" i="6" a="1"/>
  <c r="TW42" i="6" s="1"/>
  <c r="TV42" i="6" a="1"/>
  <c r="TV42" i="6" s="1"/>
  <c r="TH42" i="6" a="1"/>
  <c r="TH42" i="6" s="1"/>
  <c r="TG42" i="6" a="1"/>
  <c r="TG42" i="6" s="1"/>
  <c r="TF42" i="6" a="1"/>
  <c r="TF42" i="6" s="1"/>
  <c r="TE42" i="6" a="1"/>
  <c r="TE42" i="6" s="1"/>
  <c r="TD42" i="6" a="1"/>
  <c r="TD42" i="6" s="1"/>
  <c r="SP42" i="6" a="1"/>
  <c r="SP42" i="6" s="1"/>
  <c r="SO42" i="6" a="1"/>
  <c r="SO42" i="6" s="1"/>
  <c r="SN42" i="6" a="1"/>
  <c r="SN42" i="6" s="1"/>
  <c r="SM42" i="6" a="1"/>
  <c r="SM42" i="6" s="1"/>
  <c r="SL42" i="6" a="1"/>
  <c r="SL42" i="6" s="1"/>
  <c r="RX42" i="6" a="1"/>
  <c r="RX42" i="6" s="1"/>
  <c r="RW42" i="6" a="1"/>
  <c r="RW42" i="6" s="1"/>
  <c r="RV42" i="6" a="1"/>
  <c r="RV42" i="6" s="1"/>
  <c r="RU42" i="6" a="1"/>
  <c r="RU42" i="6" s="1"/>
  <c r="RT42" i="6" a="1"/>
  <c r="RT42" i="6" s="1"/>
  <c r="RF42" i="6" a="1"/>
  <c r="RF42" i="6" s="1"/>
  <c r="RE42" i="6" a="1"/>
  <c r="RE42" i="6" s="1"/>
  <c r="RD42" i="6" a="1"/>
  <c r="RD42" i="6" s="1"/>
  <c r="RC42" i="6" a="1"/>
  <c r="RC42" i="6" s="1"/>
  <c r="RB42" i="6" a="1"/>
  <c r="RB42" i="6" s="1"/>
  <c r="QN42" i="6" a="1"/>
  <c r="QN42" i="6" s="1"/>
  <c r="QM42" i="6" a="1"/>
  <c r="QM42" i="6" s="1"/>
  <c r="QL42" i="6" a="1"/>
  <c r="QL42" i="6" s="1"/>
  <c r="QK42" i="6" a="1"/>
  <c r="QK42" i="6" s="1"/>
  <c r="QJ42" i="6" a="1"/>
  <c r="QJ42" i="6" s="1"/>
  <c r="PV42" i="6" a="1"/>
  <c r="PV42" i="6" s="1"/>
  <c r="PU42" i="6" a="1"/>
  <c r="PU42" i="6" s="1"/>
  <c r="PT42" i="6" a="1"/>
  <c r="PT42" i="6" s="1"/>
  <c r="PS42" i="6" a="1"/>
  <c r="PS42" i="6" s="1"/>
  <c r="PR42" i="6" a="1"/>
  <c r="PR42" i="6" s="1"/>
  <c r="PD42" i="6" a="1"/>
  <c r="PD42" i="6" s="1"/>
  <c r="PC42" i="6" a="1"/>
  <c r="PC42" i="6" s="1"/>
  <c r="PB42" i="6" a="1"/>
  <c r="PB42" i="6" s="1"/>
  <c r="PA42" i="6" a="1"/>
  <c r="PA42" i="6" s="1"/>
  <c r="OZ42" i="6" a="1"/>
  <c r="OZ42" i="6" s="1"/>
  <c r="OL42" i="6" a="1"/>
  <c r="OL42" i="6" s="1"/>
  <c r="OK42" i="6" a="1"/>
  <c r="OK42" i="6" s="1"/>
  <c r="OJ42" i="6" a="1"/>
  <c r="OJ42" i="6" s="1"/>
  <c r="OI42" i="6" a="1"/>
  <c r="OI42" i="6" s="1"/>
  <c r="OH42" i="6" a="1"/>
  <c r="OH42" i="6" s="1"/>
  <c r="NT42" i="6" a="1"/>
  <c r="NT42" i="6" s="1"/>
  <c r="NS42" i="6" a="1"/>
  <c r="NS42" i="6" s="1"/>
  <c r="NR42" i="6" a="1"/>
  <c r="NR42" i="6" s="1"/>
  <c r="NQ42" i="6" a="1"/>
  <c r="NQ42" i="6" s="1"/>
  <c r="NP42" i="6" a="1"/>
  <c r="NP42" i="6" s="1"/>
  <c r="NC42" i="6" a="1"/>
  <c r="NC42" i="6" s="1"/>
  <c r="NB42" i="6" a="1"/>
  <c r="NB42" i="6" s="1"/>
  <c r="NA42" i="6" a="1"/>
  <c r="NA42" i="6" s="1"/>
  <c r="MZ42" i="6" a="1"/>
  <c r="MZ42" i="6" s="1"/>
  <c r="MY42" i="6" a="1"/>
  <c r="MY42" i="6" s="1"/>
  <c r="MK42" i="6" a="1"/>
  <c r="MK42" i="6" s="1"/>
  <c r="MJ42" i="6" a="1"/>
  <c r="MJ42" i="6" s="1"/>
  <c r="MI42" i="6" a="1"/>
  <c r="MI42" i="6" s="1"/>
  <c r="MH42" i="6" a="1"/>
  <c r="MH42" i="6" s="1"/>
  <c r="MG42" i="6" a="1"/>
  <c r="MG42" i="6" s="1"/>
  <c r="LS42" i="6" a="1"/>
  <c r="LS42" i="6" s="1"/>
  <c r="LR42" i="6" a="1"/>
  <c r="LR42" i="6" s="1"/>
  <c r="LQ42" i="6" a="1"/>
  <c r="LQ42" i="6" s="1"/>
  <c r="LP42" i="6" a="1"/>
  <c r="LP42" i="6" s="1"/>
  <c r="LO42" i="6" a="1"/>
  <c r="LO42" i="6" s="1"/>
  <c r="LA42" i="6" a="1"/>
  <c r="LA42" i="6" s="1"/>
  <c r="KZ42" i="6" a="1"/>
  <c r="KZ42" i="6" s="1"/>
  <c r="KY42" i="6" a="1"/>
  <c r="KY42" i="6" s="1"/>
  <c r="KX42" i="6" a="1"/>
  <c r="KX42" i="6" s="1"/>
  <c r="KW42" i="6" a="1"/>
  <c r="KW42" i="6" s="1"/>
  <c r="KI42" i="6" a="1"/>
  <c r="KI42" i="6" s="1"/>
  <c r="KH42" i="6" a="1"/>
  <c r="KH42" i="6" s="1"/>
  <c r="KG42" i="6" a="1"/>
  <c r="KG42" i="6" s="1"/>
  <c r="KF42" i="6" a="1"/>
  <c r="KF42" i="6" s="1"/>
  <c r="KE42" i="6" a="1"/>
  <c r="KE42" i="6" s="1"/>
  <c r="JQ42" i="6" a="1"/>
  <c r="JQ42" i="6" s="1"/>
  <c r="JP42" i="6" a="1"/>
  <c r="JP42" i="6" s="1"/>
  <c r="JO42" i="6" a="1"/>
  <c r="JO42" i="6" s="1"/>
  <c r="JN42" i="6" a="1"/>
  <c r="JN42" i="6" s="1"/>
  <c r="JM42" i="6" a="1"/>
  <c r="JM42" i="6" s="1"/>
  <c r="IY42" i="6" a="1"/>
  <c r="IY42" i="6" s="1"/>
  <c r="IX42" i="6" a="1"/>
  <c r="IX42" i="6" s="1"/>
  <c r="IW42" i="6" a="1"/>
  <c r="IW42" i="6" s="1"/>
  <c r="IV42" i="6" a="1"/>
  <c r="IV42" i="6" s="1"/>
  <c r="IU42" i="6" a="1"/>
  <c r="IU42" i="6" s="1"/>
  <c r="IG42" i="6" a="1"/>
  <c r="IG42" i="6" s="1"/>
  <c r="IF42" i="6" a="1"/>
  <c r="IF42" i="6" s="1"/>
  <c r="IE42" i="6" a="1"/>
  <c r="IE42" i="6" s="1"/>
  <c r="ID42" i="6" a="1"/>
  <c r="ID42" i="6" s="1"/>
  <c r="IC42" i="6" a="1"/>
  <c r="IC42" i="6" s="1"/>
  <c r="HO42" i="6" a="1"/>
  <c r="HO42" i="6" s="1"/>
  <c r="HN42" i="6" a="1"/>
  <c r="HN42" i="6" s="1"/>
  <c r="HM42" i="6" a="1"/>
  <c r="HM42" i="6" s="1"/>
  <c r="HL42" i="6" a="1"/>
  <c r="HL42" i="6" s="1"/>
  <c r="HK42" i="6" a="1"/>
  <c r="HK42" i="6" s="1"/>
  <c r="GX42" i="6" a="1"/>
  <c r="GX42" i="6" s="1"/>
  <c r="GW42" i="6" a="1"/>
  <c r="GW42" i="6" s="1"/>
  <c r="GV42" i="6" a="1"/>
  <c r="GV42" i="6" s="1"/>
  <c r="GU42" i="6" a="1"/>
  <c r="GU42" i="6" s="1"/>
  <c r="GT42" i="6" a="1"/>
  <c r="GT42" i="6" s="1"/>
  <c r="GG42" i="6" a="1"/>
  <c r="GG42" i="6" s="1"/>
  <c r="GF42" i="6" a="1"/>
  <c r="GF42" i="6" s="1"/>
  <c r="GE42" i="6" a="1"/>
  <c r="GE42" i="6" s="1"/>
  <c r="GD42" i="6" a="1"/>
  <c r="GD42" i="6" s="1"/>
  <c r="GC42" i="6" a="1"/>
  <c r="GC42" i="6" s="1"/>
  <c r="FP42" i="6" a="1"/>
  <c r="FP42" i="6" s="1"/>
  <c r="FO42" i="6" a="1"/>
  <c r="FO42" i="6" s="1"/>
  <c r="FN42" i="6" a="1"/>
  <c r="FN42" i="6" s="1"/>
  <c r="FM42" i="6" a="1"/>
  <c r="FM42" i="6" s="1"/>
  <c r="FL42" i="6" a="1"/>
  <c r="FL42" i="6" s="1"/>
  <c r="EY42" i="6" a="1"/>
  <c r="EY42" i="6" s="1"/>
  <c r="EX42" i="6" a="1"/>
  <c r="EX42" i="6" s="1"/>
  <c r="EW42" i="6" a="1"/>
  <c r="EW42" i="6" s="1"/>
  <c r="EV42" i="6" a="1"/>
  <c r="EV42" i="6" s="1"/>
  <c r="EU42" i="6" a="1"/>
  <c r="EU42" i="6" s="1"/>
  <c r="EH42" i="6" a="1"/>
  <c r="EH42" i="6" s="1"/>
  <c r="EG42" i="6" a="1"/>
  <c r="EG42" i="6" s="1"/>
  <c r="EF42" i="6" a="1"/>
  <c r="EF42" i="6" s="1"/>
  <c r="EE42" i="6" a="1"/>
  <c r="EE42" i="6" s="1"/>
  <c r="ED42" i="6" a="1"/>
  <c r="ED42" i="6" s="1"/>
  <c r="DQ42" i="6" a="1"/>
  <c r="DQ42" i="6" s="1"/>
  <c r="DP42" i="6" a="1"/>
  <c r="DP42" i="6" s="1"/>
  <c r="DO42" i="6" a="1"/>
  <c r="DO42" i="6" s="1"/>
  <c r="DN42" i="6" a="1"/>
  <c r="DN42" i="6" s="1"/>
  <c r="DM42" i="6" a="1"/>
  <c r="DM42" i="6" s="1"/>
  <c r="DD42" i="6" a="1"/>
  <c r="DD42" i="6" s="1"/>
  <c r="CU42" i="6" a="1"/>
  <c r="CU42" i="6" s="1"/>
  <c r="CL42" i="6" a="1"/>
  <c r="CL42" i="6" s="1"/>
  <c r="BX42" i="6" a="1"/>
  <c r="BX42" i="6" s="1"/>
  <c r="BW42" i="6" a="1"/>
  <c r="BW42" i="6" s="1"/>
  <c r="BV42" i="6" a="1"/>
  <c r="BV42" i="6" s="1"/>
  <c r="BU42" i="6" a="1"/>
  <c r="BU42" i="6" s="1"/>
  <c r="BT42" i="6" a="1"/>
  <c r="BT42" i="6" s="1"/>
  <c r="BS42" i="6" a="1"/>
  <c r="BS42" i="6" s="1"/>
  <c r="BA42" i="6" a="1"/>
  <c r="BA42" i="6" s="1"/>
  <c r="AZ42" i="6" a="1"/>
  <c r="AZ42" i="6" s="1"/>
  <c r="AY42" i="6" a="1"/>
  <c r="AY42" i="6" s="1"/>
  <c r="AX42" i="6" a="1"/>
  <c r="AX42" i="6" s="1"/>
  <c r="AW42" i="6" a="1"/>
  <c r="AW42" i="6" s="1"/>
  <c r="AV42" i="6" a="1"/>
  <c r="AV42" i="6" s="1"/>
  <c r="AU42" i="6" a="1"/>
  <c r="AU42" i="6" s="1"/>
  <c r="AT42" i="6" a="1"/>
  <c r="AT42" i="6" s="1"/>
  <c r="AS42" i="6" a="1"/>
  <c r="AS42" i="6" s="1"/>
  <c r="AR42" i="6" a="1"/>
  <c r="AR42" i="6" s="1"/>
  <c r="AH42" i="6" a="1"/>
  <c r="AH42" i="6" s="1"/>
  <c r="AG42" i="6" a="1"/>
  <c r="AG42" i="6" s="1"/>
  <c r="V42" i="6" a="1"/>
  <c r="V42" i="6" s="1"/>
  <c r="U42" i="6" a="1"/>
  <c r="U42" i="6" s="1"/>
  <c r="J42" i="6" a="1"/>
  <c r="J42" i="6" s="1"/>
  <c r="I42" i="6" a="1"/>
  <c r="I42" i="6" s="1"/>
  <c r="H42" i="6" s="1"/>
  <c r="ADA41" i="6" a="1"/>
  <c r="ADA41" i="6" s="1"/>
  <c r="ACZ41" i="6" a="1"/>
  <c r="ACZ41" i="6" s="1"/>
  <c r="ACY41" i="6" a="1"/>
  <c r="ACY41" i="6" s="1"/>
  <c r="ACN41" i="6" a="1"/>
  <c r="ACN41" i="6" s="1"/>
  <c r="ACM41" i="6" a="1"/>
  <c r="ACM41" i="6" s="1"/>
  <c r="ABU41" i="6" a="1"/>
  <c r="ABU41" i="6" s="1"/>
  <c r="ABX41" i="6" a="1"/>
  <c r="ABX41" i="6" s="1"/>
  <c r="ABV41" i="6" a="1"/>
  <c r="ABV41" i="6" s="1"/>
  <c r="ABH41" i="6" a="1"/>
  <c r="ABH41" i="6" s="1"/>
  <c r="ABG41" i="6" a="1"/>
  <c r="ABG41" i="6" s="1"/>
  <c r="ABF41" i="6" a="1"/>
  <c r="ABF41" i="6" s="1"/>
  <c r="ABE41" i="6" a="1"/>
  <c r="ABE41" i="6" s="1"/>
  <c r="ABD41" i="6" a="1"/>
  <c r="ABD41" i="6" s="1"/>
  <c r="ZR41" i="6" a="1"/>
  <c r="ZR41" i="6" s="1"/>
  <c r="ZE41" i="6" a="1"/>
  <c r="ZE41" i="6" s="1"/>
  <c r="ZD41" i="6" a="1"/>
  <c r="ZD41" i="6" s="1"/>
  <c r="ZC41" i="6" a="1"/>
  <c r="ZC41" i="6" s="1"/>
  <c r="ZB41" i="6" a="1"/>
  <c r="ZB41" i="6" s="1"/>
  <c r="ZA41" i="6" a="1"/>
  <c r="ZA41" i="6" s="1"/>
  <c r="YP41" i="6" a="1"/>
  <c r="YP41" i="6" s="1"/>
  <c r="YO41" i="6" a="1"/>
  <c r="YO41" i="6" s="1"/>
  <c r="YE41" i="6" a="1"/>
  <c r="YE41" i="6" s="1"/>
  <c r="YD41" i="6" a="1"/>
  <c r="YD41" i="6" s="1"/>
  <c r="XT41" i="6" a="1"/>
  <c r="XT41" i="6" s="1"/>
  <c r="XS41" i="6" a="1"/>
  <c r="XS41" i="6" s="1"/>
  <c r="XI41" i="6" a="1"/>
  <c r="XI41" i="6" s="1"/>
  <c r="XH41" i="6" a="1"/>
  <c r="XH41" i="6" s="1"/>
  <c r="WX41" i="6" a="1"/>
  <c r="WX41" i="6" s="1"/>
  <c r="WW41" i="6" a="1"/>
  <c r="WW41" i="6" s="1"/>
  <c r="WM41" i="6" a="1"/>
  <c r="WM41" i="6" s="1"/>
  <c r="WL41" i="6" a="1"/>
  <c r="WL41" i="6" s="1"/>
  <c r="WC41" i="6" a="1"/>
  <c r="WC41" i="6" s="1"/>
  <c r="VQ41" i="6" a="1"/>
  <c r="VQ41" i="6" s="1"/>
  <c r="VP41" i="6" a="1"/>
  <c r="VP41" i="6" s="1"/>
  <c r="VO41" i="6" a="1"/>
  <c r="VO41" i="6" s="1"/>
  <c r="VN41" i="6" a="1"/>
  <c r="VN41" i="6" s="1"/>
  <c r="VA41" i="6" a="1"/>
  <c r="VA41" i="6" s="1"/>
  <c r="UZ41" i="6" a="1"/>
  <c r="UZ41" i="6" s="1"/>
  <c r="UY41" i="6" a="1"/>
  <c r="UY41" i="6" s="1"/>
  <c r="UX41" i="6" a="1"/>
  <c r="UX41" i="6" s="1"/>
  <c r="UW41" i="6" a="1"/>
  <c r="UW41" i="6" s="1"/>
  <c r="UM41" i="6" a="1"/>
  <c r="UM41" i="6" s="1"/>
  <c r="TZ41" i="6" a="1"/>
  <c r="TZ41" i="6" s="1"/>
  <c r="TY41" i="6" a="1"/>
  <c r="TY41" i="6" s="1"/>
  <c r="TX41" i="6" a="1"/>
  <c r="TX41" i="6" s="1"/>
  <c r="TW41" i="6" a="1"/>
  <c r="TW41" i="6" s="1"/>
  <c r="TV41" i="6" a="1"/>
  <c r="TV41" i="6" s="1"/>
  <c r="TH41" i="6" a="1"/>
  <c r="TH41" i="6" s="1"/>
  <c r="TG41" i="6" a="1"/>
  <c r="TG41" i="6" s="1"/>
  <c r="TF41" i="6" a="1"/>
  <c r="TF41" i="6" s="1"/>
  <c r="TE41" i="6" a="1"/>
  <c r="TE41" i="6" s="1"/>
  <c r="TD41" i="6" a="1"/>
  <c r="TD41" i="6" s="1"/>
  <c r="SP41" i="6" a="1"/>
  <c r="SP41" i="6" s="1"/>
  <c r="SO41" i="6" a="1"/>
  <c r="SO41" i="6" s="1"/>
  <c r="SN41" i="6" a="1"/>
  <c r="SN41" i="6" s="1"/>
  <c r="SM41" i="6" a="1"/>
  <c r="SM41" i="6" s="1"/>
  <c r="SL41" i="6" a="1"/>
  <c r="SL41" i="6" s="1"/>
  <c r="RX41" i="6" a="1"/>
  <c r="RX41" i="6" s="1"/>
  <c r="RW41" i="6" a="1"/>
  <c r="RW41" i="6" s="1"/>
  <c r="RV41" i="6" a="1"/>
  <c r="RV41" i="6" s="1"/>
  <c r="RU41" i="6" a="1"/>
  <c r="RU41" i="6" s="1"/>
  <c r="RT41" i="6" a="1"/>
  <c r="RT41" i="6" s="1"/>
  <c r="RF41" i="6" a="1"/>
  <c r="RF41" i="6" s="1"/>
  <c r="RE41" i="6" a="1"/>
  <c r="RE41" i="6" s="1"/>
  <c r="RD41" i="6" a="1"/>
  <c r="RD41" i="6" s="1"/>
  <c r="RC41" i="6" a="1"/>
  <c r="RC41" i="6" s="1"/>
  <c r="RB41" i="6" a="1"/>
  <c r="RB41" i="6" s="1"/>
  <c r="QN41" i="6" a="1"/>
  <c r="QN41" i="6" s="1"/>
  <c r="QM41" i="6" a="1"/>
  <c r="QM41" i="6" s="1"/>
  <c r="QL41" i="6" a="1"/>
  <c r="QL41" i="6" s="1"/>
  <c r="QK41" i="6" a="1"/>
  <c r="QK41" i="6" s="1"/>
  <c r="QJ41" i="6" a="1"/>
  <c r="QJ41" i="6" s="1"/>
  <c r="PV41" i="6" a="1"/>
  <c r="PV41" i="6" s="1"/>
  <c r="PU41" i="6" a="1"/>
  <c r="PU41" i="6" s="1"/>
  <c r="PT41" i="6" a="1"/>
  <c r="PT41" i="6" s="1"/>
  <c r="PS41" i="6" a="1"/>
  <c r="PS41" i="6" s="1"/>
  <c r="PR41" i="6" a="1"/>
  <c r="PR41" i="6" s="1"/>
  <c r="PD41" i="6" a="1"/>
  <c r="PD41" i="6" s="1"/>
  <c r="PC41" i="6" a="1"/>
  <c r="PC41" i="6" s="1"/>
  <c r="PB41" i="6" a="1"/>
  <c r="PB41" i="6" s="1"/>
  <c r="PA41" i="6" a="1"/>
  <c r="PA41" i="6" s="1"/>
  <c r="OZ41" i="6" a="1"/>
  <c r="OZ41" i="6" s="1"/>
  <c r="OL41" i="6" a="1"/>
  <c r="OL41" i="6" s="1"/>
  <c r="OK41" i="6" a="1"/>
  <c r="OK41" i="6" s="1"/>
  <c r="OJ41" i="6" a="1"/>
  <c r="OJ41" i="6" s="1"/>
  <c r="OI41" i="6" a="1"/>
  <c r="OI41" i="6" s="1"/>
  <c r="OH41" i="6" a="1"/>
  <c r="OH41" i="6" s="1"/>
  <c r="NT41" i="6" a="1"/>
  <c r="NT41" i="6" s="1"/>
  <c r="NS41" i="6" a="1"/>
  <c r="NS41" i="6" s="1"/>
  <c r="NR41" i="6" a="1"/>
  <c r="NR41" i="6" s="1"/>
  <c r="NQ41" i="6" a="1"/>
  <c r="NQ41" i="6" s="1"/>
  <c r="NP41" i="6" a="1"/>
  <c r="NP41" i="6" s="1"/>
  <c r="NC41" i="6" a="1"/>
  <c r="NC41" i="6" s="1"/>
  <c r="NB41" i="6" a="1"/>
  <c r="NB41" i="6" s="1"/>
  <c r="NA41" i="6" a="1"/>
  <c r="NA41" i="6" s="1"/>
  <c r="MZ41" i="6" a="1"/>
  <c r="MZ41" i="6" s="1"/>
  <c r="MY41" i="6" a="1"/>
  <c r="MY41" i="6" s="1"/>
  <c r="MK41" i="6" a="1"/>
  <c r="MK41" i="6" s="1"/>
  <c r="MJ41" i="6" a="1"/>
  <c r="MJ41" i="6" s="1"/>
  <c r="MI41" i="6" a="1"/>
  <c r="MI41" i="6" s="1"/>
  <c r="MH41" i="6" a="1"/>
  <c r="MH41" i="6" s="1"/>
  <c r="MG41" i="6" a="1"/>
  <c r="MG41" i="6" s="1"/>
  <c r="LS41" i="6" a="1"/>
  <c r="LS41" i="6" s="1"/>
  <c r="LR41" i="6" a="1"/>
  <c r="LR41" i="6" s="1"/>
  <c r="LQ41" i="6" a="1"/>
  <c r="LQ41" i="6" s="1"/>
  <c r="LP41" i="6" a="1"/>
  <c r="LP41" i="6" s="1"/>
  <c r="LO41" i="6" a="1"/>
  <c r="LO41" i="6" s="1"/>
  <c r="LA41" i="6" a="1"/>
  <c r="LA41" i="6" s="1"/>
  <c r="KZ41" i="6" a="1"/>
  <c r="KZ41" i="6" s="1"/>
  <c r="KY41" i="6" a="1"/>
  <c r="KY41" i="6" s="1"/>
  <c r="KX41" i="6" a="1"/>
  <c r="KX41" i="6" s="1"/>
  <c r="KW41" i="6" a="1"/>
  <c r="KW41" i="6" s="1"/>
  <c r="KI41" i="6" a="1"/>
  <c r="KI41" i="6" s="1"/>
  <c r="KH41" i="6" a="1"/>
  <c r="KH41" i="6" s="1"/>
  <c r="KG41" i="6" a="1"/>
  <c r="KG41" i="6" s="1"/>
  <c r="KF41" i="6" a="1"/>
  <c r="KF41" i="6" s="1"/>
  <c r="KE41" i="6" a="1"/>
  <c r="KE41" i="6" s="1"/>
  <c r="JQ41" i="6" a="1"/>
  <c r="JQ41" i="6" s="1"/>
  <c r="JP41" i="6" a="1"/>
  <c r="JP41" i="6" s="1"/>
  <c r="JO41" i="6" a="1"/>
  <c r="JO41" i="6" s="1"/>
  <c r="JN41" i="6" a="1"/>
  <c r="JN41" i="6" s="1"/>
  <c r="JM41" i="6" a="1"/>
  <c r="JM41" i="6" s="1"/>
  <c r="IY41" i="6" a="1"/>
  <c r="IY41" i="6" s="1"/>
  <c r="IX41" i="6" a="1"/>
  <c r="IX41" i="6" s="1"/>
  <c r="IW41" i="6" a="1"/>
  <c r="IW41" i="6" s="1"/>
  <c r="IV41" i="6" a="1"/>
  <c r="IV41" i="6" s="1"/>
  <c r="IU41" i="6" a="1"/>
  <c r="IU41" i="6" s="1"/>
  <c r="IG41" i="6" a="1"/>
  <c r="IG41" i="6" s="1"/>
  <c r="IF41" i="6" a="1"/>
  <c r="IF41" i="6" s="1"/>
  <c r="IE41" i="6" a="1"/>
  <c r="IE41" i="6" s="1"/>
  <c r="ID41" i="6" a="1"/>
  <c r="ID41" i="6" s="1"/>
  <c r="IC41" i="6" a="1"/>
  <c r="IC41" i="6" s="1"/>
  <c r="HO41" i="6" a="1"/>
  <c r="HO41" i="6" s="1"/>
  <c r="HN41" i="6" a="1"/>
  <c r="HN41" i="6" s="1"/>
  <c r="HM41" i="6" a="1"/>
  <c r="HM41" i="6" s="1"/>
  <c r="HL41" i="6" a="1"/>
  <c r="HL41" i="6" s="1"/>
  <c r="HK41" i="6" a="1"/>
  <c r="HK41" i="6" s="1"/>
  <c r="GX41" i="6" a="1"/>
  <c r="GX41" i="6" s="1"/>
  <c r="GW41" i="6" a="1"/>
  <c r="GW41" i="6" s="1"/>
  <c r="GV41" i="6" a="1"/>
  <c r="GV41" i="6" s="1"/>
  <c r="GU41" i="6" a="1"/>
  <c r="GU41" i="6" s="1"/>
  <c r="GT41" i="6" a="1"/>
  <c r="GT41" i="6" s="1"/>
  <c r="GG41" i="6" a="1"/>
  <c r="GG41" i="6" s="1"/>
  <c r="GF41" i="6" a="1"/>
  <c r="GF41" i="6" s="1"/>
  <c r="GE41" i="6" a="1"/>
  <c r="GE41" i="6" s="1"/>
  <c r="GD41" i="6" a="1"/>
  <c r="GD41" i="6" s="1"/>
  <c r="GC41" i="6" a="1"/>
  <c r="GC41" i="6" s="1"/>
  <c r="FP41" i="6" a="1"/>
  <c r="FP41" i="6" s="1"/>
  <c r="FO41" i="6" a="1"/>
  <c r="FO41" i="6" s="1"/>
  <c r="FN41" i="6" a="1"/>
  <c r="FN41" i="6" s="1"/>
  <c r="FM41" i="6" a="1"/>
  <c r="FM41" i="6" s="1"/>
  <c r="FL41" i="6" a="1"/>
  <c r="FL41" i="6" s="1"/>
  <c r="EY41" i="6" a="1"/>
  <c r="EY41" i="6" s="1"/>
  <c r="EX41" i="6" a="1"/>
  <c r="EX41" i="6" s="1"/>
  <c r="EW41" i="6" a="1"/>
  <c r="EW41" i="6" s="1"/>
  <c r="EV41" i="6" a="1"/>
  <c r="EV41" i="6" s="1"/>
  <c r="EU41" i="6" a="1"/>
  <c r="EU41" i="6" s="1"/>
  <c r="EH41" i="6" a="1"/>
  <c r="EH41" i="6" s="1"/>
  <c r="EG41" i="6" a="1"/>
  <c r="EG41" i="6" s="1"/>
  <c r="EF41" i="6" a="1"/>
  <c r="EF41" i="6" s="1"/>
  <c r="EE41" i="6" a="1"/>
  <c r="EE41" i="6" s="1"/>
  <c r="ED41" i="6" a="1"/>
  <c r="ED41" i="6" s="1"/>
  <c r="DQ41" i="6" a="1"/>
  <c r="DQ41" i="6" s="1"/>
  <c r="DP41" i="6" a="1"/>
  <c r="DP41" i="6" s="1"/>
  <c r="DO41" i="6" a="1"/>
  <c r="DO41" i="6" s="1"/>
  <c r="DN41" i="6" a="1"/>
  <c r="DN41" i="6" s="1"/>
  <c r="DM41" i="6" a="1"/>
  <c r="DM41" i="6" s="1"/>
  <c r="DD41" i="6" a="1"/>
  <c r="DD41" i="6" s="1"/>
  <c r="CU41" i="6" a="1"/>
  <c r="CU41" i="6" s="1"/>
  <c r="CL41" i="6" a="1"/>
  <c r="CL41" i="6" s="1"/>
  <c r="BX41" i="6" a="1"/>
  <c r="BX41" i="6" s="1"/>
  <c r="BW41" i="6" a="1"/>
  <c r="BW41" i="6" s="1"/>
  <c r="BV41" i="6" a="1"/>
  <c r="BV41" i="6" s="1"/>
  <c r="BU41" i="6" a="1"/>
  <c r="BU41" i="6" s="1"/>
  <c r="BT41" i="6" a="1"/>
  <c r="BT41" i="6" s="1"/>
  <c r="BS41" i="6" a="1"/>
  <c r="BS41" i="6" s="1"/>
  <c r="BA41" i="6" a="1"/>
  <c r="BA41" i="6" s="1"/>
  <c r="AZ41" i="6" a="1"/>
  <c r="AZ41" i="6" s="1"/>
  <c r="AY41" i="6" a="1"/>
  <c r="AY41" i="6" s="1"/>
  <c r="AX41" i="6" a="1"/>
  <c r="AX41" i="6" s="1"/>
  <c r="AW41" i="6" a="1"/>
  <c r="AW41" i="6" s="1"/>
  <c r="AV41" i="6" a="1"/>
  <c r="AV41" i="6" s="1"/>
  <c r="AU41" i="6" a="1"/>
  <c r="AU41" i="6" s="1"/>
  <c r="AT41" i="6" a="1"/>
  <c r="AT41" i="6" s="1"/>
  <c r="AS41" i="6" a="1"/>
  <c r="AS41" i="6" s="1"/>
  <c r="AR41" i="6" a="1"/>
  <c r="AR41" i="6" s="1"/>
  <c r="AH41" i="6" a="1"/>
  <c r="AH41" i="6" s="1"/>
  <c r="AG41" i="6" a="1"/>
  <c r="AG41" i="6" s="1"/>
  <c r="V41" i="6" a="1"/>
  <c r="V41" i="6" s="1"/>
  <c r="U41" i="6" a="1"/>
  <c r="U41" i="6" s="1"/>
  <c r="J41" i="6" a="1"/>
  <c r="J41" i="6" s="1"/>
  <c r="I41" i="6" a="1"/>
  <c r="I41" i="6" s="1"/>
  <c r="H41" i="6" s="1"/>
  <c r="ADA40" i="6" a="1"/>
  <c r="ADA40" i="6" s="1"/>
  <c r="ACZ40" i="6" a="1"/>
  <c r="ACZ40" i="6" s="1"/>
  <c r="ACY40" i="6" a="1"/>
  <c r="ACY40" i="6" s="1"/>
  <c r="ACN40" i="6" a="1"/>
  <c r="ACN40" i="6" s="1"/>
  <c r="ACM40" i="6" a="1"/>
  <c r="ACM40" i="6" s="1"/>
  <c r="ABU40" i="6" a="1"/>
  <c r="ABU40" i="6" s="1"/>
  <c r="ABX40" i="6" a="1"/>
  <c r="ABX40" i="6" s="1"/>
  <c r="ABV40" i="6" a="1"/>
  <c r="ABV40" i="6" s="1"/>
  <c r="ABH40" i="6" a="1"/>
  <c r="ABH40" i="6" s="1"/>
  <c r="ABG40" i="6" a="1"/>
  <c r="ABG40" i="6" s="1"/>
  <c r="ABF40" i="6" a="1"/>
  <c r="ABF40" i="6" s="1"/>
  <c r="ABE40" i="6" a="1"/>
  <c r="ABE40" i="6" s="1"/>
  <c r="ABD40" i="6" a="1"/>
  <c r="ABD40" i="6" s="1"/>
  <c r="ZR40" i="6" a="1"/>
  <c r="ZR40" i="6" s="1"/>
  <c r="ZE40" i="6" a="1"/>
  <c r="ZE40" i="6" s="1"/>
  <c r="ZD40" i="6" a="1"/>
  <c r="ZD40" i="6" s="1"/>
  <c r="ZC40" i="6" a="1"/>
  <c r="ZC40" i="6" s="1"/>
  <c r="ZB40" i="6" a="1"/>
  <c r="ZB40" i="6" s="1"/>
  <c r="ZA40" i="6" a="1"/>
  <c r="ZA40" i="6" s="1"/>
  <c r="YP40" i="6" a="1"/>
  <c r="YP40" i="6" s="1"/>
  <c r="YO40" i="6" a="1"/>
  <c r="YO40" i="6" s="1"/>
  <c r="YE40" i="6" a="1"/>
  <c r="YE40" i="6" s="1"/>
  <c r="YD40" i="6" a="1"/>
  <c r="YD40" i="6" s="1"/>
  <c r="XT40" i="6" a="1"/>
  <c r="XT40" i="6" s="1"/>
  <c r="XS40" i="6" a="1"/>
  <c r="XS40" i="6" s="1"/>
  <c r="XI40" i="6" a="1"/>
  <c r="XI40" i="6" s="1"/>
  <c r="XH40" i="6" a="1"/>
  <c r="XH40" i="6" s="1"/>
  <c r="WX40" i="6" a="1"/>
  <c r="WX40" i="6" s="1"/>
  <c r="WW40" i="6" a="1"/>
  <c r="WW40" i="6" s="1"/>
  <c r="WM40" i="6" a="1"/>
  <c r="WM40" i="6" s="1"/>
  <c r="WL40" i="6" a="1"/>
  <c r="WL40" i="6" s="1"/>
  <c r="WC40" i="6" a="1"/>
  <c r="WC40" i="6" s="1"/>
  <c r="VQ40" i="6" a="1"/>
  <c r="VQ40" i="6" s="1"/>
  <c r="VP40" i="6" a="1"/>
  <c r="VP40" i="6" s="1"/>
  <c r="VO40" i="6" a="1"/>
  <c r="VO40" i="6" s="1"/>
  <c r="VN40" i="6" a="1"/>
  <c r="VN40" i="6" s="1"/>
  <c r="VA40" i="6" a="1"/>
  <c r="VA40" i="6" s="1"/>
  <c r="UZ40" i="6" a="1"/>
  <c r="UZ40" i="6" s="1"/>
  <c r="UY40" i="6" a="1"/>
  <c r="UY40" i="6" s="1"/>
  <c r="UX40" i="6" a="1"/>
  <c r="UX40" i="6" s="1"/>
  <c r="UW40" i="6" a="1"/>
  <c r="UW40" i="6" s="1"/>
  <c r="UM40" i="6" a="1"/>
  <c r="UM40" i="6" s="1"/>
  <c r="TZ40" i="6" a="1"/>
  <c r="TZ40" i="6" s="1"/>
  <c r="TY40" i="6" a="1"/>
  <c r="TY40" i="6" s="1"/>
  <c r="TX40" i="6" a="1"/>
  <c r="TX40" i="6" s="1"/>
  <c r="TW40" i="6" a="1"/>
  <c r="TW40" i="6" s="1"/>
  <c r="TV40" i="6" a="1"/>
  <c r="TV40" i="6" s="1"/>
  <c r="TH40" i="6" a="1"/>
  <c r="TH40" i="6" s="1"/>
  <c r="TG40" i="6" a="1"/>
  <c r="TG40" i="6" s="1"/>
  <c r="TF40" i="6" a="1"/>
  <c r="TF40" i="6" s="1"/>
  <c r="TE40" i="6" a="1"/>
  <c r="TE40" i="6" s="1"/>
  <c r="TD40" i="6" a="1"/>
  <c r="TD40" i="6" s="1"/>
  <c r="SP40" i="6" a="1"/>
  <c r="SP40" i="6" s="1"/>
  <c r="SO40" i="6" a="1"/>
  <c r="SO40" i="6" s="1"/>
  <c r="SN40" i="6" a="1"/>
  <c r="SN40" i="6" s="1"/>
  <c r="SM40" i="6" a="1"/>
  <c r="SM40" i="6" s="1"/>
  <c r="SL40" i="6" a="1"/>
  <c r="SL40" i="6" s="1"/>
  <c r="RX40" i="6" a="1"/>
  <c r="RX40" i="6" s="1"/>
  <c r="RW40" i="6" a="1"/>
  <c r="RW40" i="6" s="1"/>
  <c r="RV40" i="6" a="1"/>
  <c r="RV40" i="6" s="1"/>
  <c r="RU40" i="6" a="1"/>
  <c r="RU40" i="6" s="1"/>
  <c r="RT40" i="6" a="1"/>
  <c r="RT40" i="6" s="1"/>
  <c r="RF40" i="6" a="1"/>
  <c r="RF40" i="6" s="1"/>
  <c r="RE40" i="6" a="1"/>
  <c r="RE40" i="6" s="1"/>
  <c r="RD40" i="6" a="1"/>
  <c r="RD40" i="6" s="1"/>
  <c r="RC40" i="6" a="1"/>
  <c r="RC40" i="6" s="1"/>
  <c r="RB40" i="6" a="1"/>
  <c r="RB40" i="6" s="1"/>
  <c r="QN40" i="6" a="1"/>
  <c r="QN40" i="6" s="1"/>
  <c r="QM40" i="6" a="1"/>
  <c r="QM40" i="6" s="1"/>
  <c r="QL40" i="6" a="1"/>
  <c r="QL40" i="6" s="1"/>
  <c r="QK40" i="6" a="1"/>
  <c r="QK40" i="6" s="1"/>
  <c r="QJ40" i="6" a="1"/>
  <c r="QJ40" i="6" s="1"/>
  <c r="PV40" i="6" a="1"/>
  <c r="PV40" i="6" s="1"/>
  <c r="PU40" i="6" a="1"/>
  <c r="PU40" i="6" s="1"/>
  <c r="PT40" i="6" a="1"/>
  <c r="PT40" i="6" s="1"/>
  <c r="PS40" i="6" a="1"/>
  <c r="PS40" i="6" s="1"/>
  <c r="PR40" i="6" a="1"/>
  <c r="PR40" i="6" s="1"/>
  <c r="PD40" i="6" a="1"/>
  <c r="PD40" i="6" s="1"/>
  <c r="PC40" i="6" a="1"/>
  <c r="PC40" i="6" s="1"/>
  <c r="PB40" i="6" a="1"/>
  <c r="PB40" i="6" s="1"/>
  <c r="PA40" i="6" a="1"/>
  <c r="PA40" i="6" s="1"/>
  <c r="OZ40" i="6" a="1"/>
  <c r="OZ40" i="6" s="1"/>
  <c r="OL40" i="6" a="1"/>
  <c r="OL40" i="6" s="1"/>
  <c r="OK40" i="6" a="1"/>
  <c r="OK40" i="6" s="1"/>
  <c r="OJ40" i="6" a="1"/>
  <c r="OJ40" i="6" s="1"/>
  <c r="OI40" i="6" a="1"/>
  <c r="OI40" i="6" s="1"/>
  <c r="OH40" i="6" a="1"/>
  <c r="OH40" i="6" s="1"/>
  <c r="NT40" i="6" a="1"/>
  <c r="NT40" i="6" s="1"/>
  <c r="NS40" i="6" a="1"/>
  <c r="NS40" i="6" s="1"/>
  <c r="NR40" i="6" a="1"/>
  <c r="NR40" i="6" s="1"/>
  <c r="NQ40" i="6" a="1"/>
  <c r="NQ40" i="6" s="1"/>
  <c r="NP40" i="6" a="1"/>
  <c r="NP40" i="6" s="1"/>
  <c r="NC40" i="6" a="1"/>
  <c r="NC40" i="6" s="1"/>
  <c r="NB40" i="6" a="1"/>
  <c r="NB40" i="6" s="1"/>
  <c r="NA40" i="6" a="1"/>
  <c r="NA40" i="6" s="1"/>
  <c r="MZ40" i="6" a="1"/>
  <c r="MZ40" i="6" s="1"/>
  <c r="MY40" i="6" a="1"/>
  <c r="MY40" i="6" s="1"/>
  <c r="MK40" i="6" a="1"/>
  <c r="MK40" i="6" s="1"/>
  <c r="MJ40" i="6" a="1"/>
  <c r="MJ40" i="6" s="1"/>
  <c r="MI40" i="6" a="1"/>
  <c r="MI40" i="6" s="1"/>
  <c r="MH40" i="6" a="1"/>
  <c r="MH40" i="6" s="1"/>
  <c r="MG40" i="6" a="1"/>
  <c r="MG40" i="6" s="1"/>
  <c r="LS40" i="6" a="1"/>
  <c r="LS40" i="6" s="1"/>
  <c r="LR40" i="6" a="1"/>
  <c r="LR40" i="6" s="1"/>
  <c r="LQ40" i="6" a="1"/>
  <c r="LQ40" i="6" s="1"/>
  <c r="LP40" i="6" a="1"/>
  <c r="LP40" i="6" s="1"/>
  <c r="LO40" i="6" a="1"/>
  <c r="LO40" i="6" s="1"/>
  <c r="LA40" i="6" a="1"/>
  <c r="LA40" i="6" s="1"/>
  <c r="KZ40" i="6" a="1"/>
  <c r="KZ40" i="6" s="1"/>
  <c r="KY40" i="6" a="1"/>
  <c r="KY40" i="6" s="1"/>
  <c r="KX40" i="6" a="1"/>
  <c r="KX40" i="6" s="1"/>
  <c r="KW40" i="6" a="1"/>
  <c r="KW40" i="6" s="1"/>
  <c r="KI40" i="6" a="1"/>
  <c r="KI40" i="6" s="1"/>
  <c r="KH40" i="6" a="1"/>
  <c r="KH40" i="6" s="1"/>
  <c r="KG40" i="6" a="1"/>
  <c r="KG40" i="6" s="1"/>
  <c r="KF40" i="6" a="1"/>
  <c r="KF40" i="6" s="1"/>
  <c r="KE40" i="6" a="1"/>
  <c r="KE40" i="6" s="1"/>
  <c r="JQ40" i="6" a="1"/>
  <c r="JQ40" i="6" s="1"/>
  <c r="JP40" i="6" a="1"/>
  <c r="JP40" i="6" s="1"/>
  <c r="JO40" i="6" a="1"/>
  <c r="JO40" i="6" s="1"/>
  <c r="JN40" i="6" a="1"/>
  <c r="JN40" i="6" s="1"/>
  <c r="JM40" i="6" a="1"/>
  <c r="JM40" i="6" s="1"/>
  <c r="IY40" i="6" a="1"/>
  <c r="IY40" i="6" s="1"/>
  <c r="IX40" i="6" a="1"/>
  <c r="IX40" i="6" s="1"/>
  <c r="IW40" i="6" a="1"/>
  <c r="IW40" i="6" s="1"/>
  <c r="IV40" i="6" a="1"/>
  <c r="IV40" i="6" s="1"/>
  <c r="IU40" i="6" a="1"/>
  <c r="IU40" i="6" s="1"/>
  <c r="IG40" i="6" a="1"/>
  <c r="IG40" i="6" s="1"/>
  <c r="IF40" i="6" a="1"/>
  <c r="IF40" i="6" s="1"/>
  <c r="IE40" i="6" a="1"/>
  <c r="IE40" i="6" s="1"/>
  <c r="ID40" i="6" a="1"/>
  <c r="ID40" i="6" s="1"/>
  <c r="IC40" i="6" a="1"/>
  <c r="IC40" i="6" s="1"/>
  <c r="HO40" i="6" a="1"/>
  <c r="HO40" i="6" s="1"/>
  <c r="HN40" i="6" a="1"/>
  <c r="HN40" i="6" s="1"/>
  <c r="HM40" i="6" a="1"/>
  <c r="HM40" i="6" s="1"/>
  <c r="HL40" i="6" a="1"/>
  <c r="HL40" i="6" s="1"/>
  <c r="HK40" i="6" a="1"/>
  <c r="HK40" i="6" s="1"/>
  <c r="GX40" i="6" a="1"/>
  <c r="GX40" i="6" s="1"/>
  <c r="GW40" i="6" a="1"/>
  <c r="GW40" i="6" s="1"/>
  <c r="GV40" i="6" a="1"/>
  <c r="GV40" i="6" s="1"/>
  <c r="GU40" i="6" a="1"/>
  <c r="GU40" i="6" s="1"/>
  <c r="GT40" i="6" a="1"/>
  <c r="GT40" i="6" s="1"/>
  <c r="GG40" i="6" a="1"/>
  <c r="GG40" i="6" s="1"/>
  <c r="GF40" i="6" a="1"/>
  <c r="GF40" i="6" s="1"/>
  <c r="GE40" i="6" a="1"/>
  <c r="GE40" i="6" s="1"/>
  <c r="GD40" i="6" a="1"/>
  <c r="GD40" i="6" s="1"/>
  <c r="GC40" i="6" a="1"/>
  <c r="GC40" i="6" s="1"/>
  <c r="FP40" i="6" a="1"/>
  <c r="FP40" i="6" s="1"/>
  <c r="FO40" i="6" a="1"/>
  <c r="FO40" i="6" s="1"/>
  <c r="FN40" i="6" a="1"/>
  <c r="FN40" i="6" s="1"/>
  <c r="FM40" i="6" a="1"/>
  <c r="FM40" i="6" s="1"/>
  <c r="FL40" i="6" a="1"/>
  <c r="FL40" i="6" s="1"/>
  <c r="EY40" i="6" a="1"/>
  <c r="EY40" i="6" s="1"/>
  <c r="EX40" i="6" a="1"/>
  <c r="EX40" i="6" s="1"/>
  <c r="EW40" i="6" a="1"/>
  <c r="EW40" i="6" s="1"/>
  <c r="EV40" i="6" a="1"/>
  <c r="EV40" i="6" s="1"/>
  <c r="EU40" i="6" a="1"/>
  <c r="EU40" i="6" s="1"/>
  <c r="EH40" i="6" a="1"/>
  <c r="EH40" i="6" s="1"/>
  <c r="EG40" i="6" a="1"/>
  <c r="EG40" i="6" s="1"/>
  <c r="EF40" i="6" a="1"/>
  <c r="EF40" i="6" s="1"/>
  <c r="EE40" i="6" a="1"/>
  <c r="EE40" i="6" s="1"/>
  <c r="ED40" i="6" a="1"/>
  <c r="ED40" i="6" s="1"/>
  <c r="DQ40" i="6" a="1"/>
  <c r="DQ40" i="6" s="1"/>
  <c r="DP40" i="6" a="1"/>
  <c r="DP40" i="6" s="1"/>
  <c r="DO40" i="6" a="1"/>
  <c r="DO40" i="6" s="1"/>
  <c r="DN40" i="6" a="1"/>
  <c r="DN40" i="6" s="1"/>
  <c r="DM40" i="6" a="1"/>
  <c r="DM40" i="6" s="1"/>
  <c r="DD40" i="6" a="1"/>
  <c r="DD40" i="6" s="1"/>
  <c r="CU40" i="6" a="1"/>
  <c r="CU40" i="6" s="1"/>
  <c r="CL40" i="6" a="1"/>
  <c r="CL40" i="6" s="1"/>
  <c r="BX40" i="6" a="1"/>
  <c r="BX40" i="6" s="1"/>
  <c r="BW40" i="6" a="1"/>
  <c r="BW40" i="6" s="1"/>
  <c r="BV40" i="6" a="1"/>
  <c r="BV40" i="6" s="1"/>
  <c r="BU40" i="6" a="1"/>
  <c r="BU40" i="6" s="1"/>
  <c r="BT40" i="6" a="1"/>
  <c r="BT40" i="6" s="1"/>
  <c r="BS40" i="6" a="1"/>
  <c r="BS40" i="6" s="1"/>
  <c r="BA40" i="6" a="1"/>
  <c r="BA40" i="6" s="1"/>
  <c r="AZ40" i="6" a="1"/>
  <c r="AZ40" i="6" s="1"/>
  <c r="AY40" i="6" a="1"/>
  <c r="AY40" i="6" s="1"/>
  <c r="AX40" i="6" a="1"/>
  <c r="AX40" i="6" s="1"/>
  <c r="AW40" i="6" a="1"/>
  <c r="AW40" i="6" s="1"/>
  <c r="AV40" i="6" a="1"/>
  <c r="AV40" i="6" s="1"/>
  <c r="AU40" i="6" a="1"/>
  <c r="AU40" i="6" s="1"/>
  <c r="AT40" i="6" a="1"/>
  <c r="AT40" i="6" s="1"/>
  <c r="AS40" i="6" a="1"/>
  <c r="AS40" i="6" s="1"/>
  <c r="AR40" i="6" a="1"/>
  <c r="AR40" i="6" s="1"/>
  <c r="AH40" i="6" a="1"/>
  <c r="AH40" i="6" s="1"/>
  <c r="AG40" i="6" a="1"/>
  <c r="AG40" i="6" s="1"/>
  <c r="V40" i="6" a="1"/>
  <c r="V40" i="6" s="1"/>
  <c r="U40" i="6" a="1"/>
  <c r="U40" i="6" s="1"/>
  <c r="J40" i="6" a="1"/>
  <c r="J40" i="6" s="1"/>
  <c r="I40" i="6" a="1"/>
  <c r="I40" i="6" s="1"/>
  <c r="ADA39" i="6" a="1"/>
  <c r="ADA39" i="6" s="1"/>
  <c r="ACZ39" i="6" a="1"/>
  <c r="ACZ39" i="6" s="1"/>
  <c r="ACY39" i="6" a="1"/>
  <c r="ACY39" i="6" s="1"/>
  <c r="ACN39" i="6" a="1"/>
  <c r="ACN39" i="6" s="1"/>
  <c r="ACM39" i="6" a="1"/>
  <c r="ACM39" i="6" s="1"/>
  <c r="ABU39" i="6" a="1"/>
  <c r="ABU39" i="6" s="1"/>
  <c r="ABX39" i="6" a="1"/>
  <c r="ABX39" i="6" s="1"/>
  <c r="ABV39" i="6" a="1"/>
  <c r="ABV39" i="6" s="1"/>
  <c r="ABH39" i="6" a="1"/>
  <c r="ABH39" i="6" s="1"/>
  <c r="ABG39" i="6" a="1"/>
  <c r="ABG39" i="6" s="1"/>
  <c r="ABF39" i="6" a="1"/>
  <c r="ABF39" i="6" s="1"/>
  <c r="ABE39" i="6" a="1"/>
  <c r="ABE39" i="6" s="1"/>
  <c r="ABD39" i="6" a="1"/>
  <c r="ABD39" i="6" s="1"/>
  <c r="ZR39" i="6" a="1"/>
  <c r="ZR39" i="6" s="1"/>
  <c r="ZE39" i="6" a="1"/>
  <c r="ZE39" i="6" s="1"/>
  <c r="ZD39" i="6" a="1"/>
  <c r="ZD39" i="6" s="1"/>
  <c r="ZC39" i="6" a="1"/>
  <c r="ZC39" i="6" s="1"/>
  <c r="ZB39" i="6" a="1"/>
  <c r="ZB39" i="6" s="1"/>
  <c r="ZA39" i="6" a="1"/>
  <c r="ZA39" i="6" s="1"/>
  <c r="YP39" i="6" a="1"/>
  <c r="YP39" i="6" s="1"/>
  <c r="YO39" i="6" a="1"/>
  <c r="YO39" i="6" s="1"/>
  <c r="YE39" i="6" a="1"/>
  <c r="YE39" i="6" s="1"/>
  <c r="YD39" i="6" a="1"/>
  <c r="YD39" i="6" s="1"/>
  <c r="XT39" i="6" a="1"/>
  <c r="XT39" i="6" s="1"/>
  <c r="XS39" i="6" a="1"/>
  <c r="XS39" i="6" s="1"/>
  <c r="XI39" i="6" a="1"/>
  <c r="XI39" i="6" s="1"/>
  <c r="XH39" i="6" a="1"/>
  <c r="XH39" i="6" s="1"/>
  <c r="WX39" i="6" a="1"/>
  <c r="WX39" i="6" s="1"/>
  <c r="WW39" i="6" a="1"/>
  <c r="WW39" i="6" s="1"/>
  <c r="WM39" i="6" a="1"/>
  <c r="WM39" i="6" s="1"/>
  <c r="WL39" i="6" a="1"/>
  <c r="WL39" i="6" s="1"/>
  <c r="WC39" i="6" a="1"/>
  <c r="WC39" i="6" s="1"/>
  <c r="VQ39" i="6" a="1"/>
  <c r="VQ39" i="6" s="1"/>
  <c r="VP39" i="6" a="1"/>
  <c r="VP39" i="6" s="1"/>
  <c r="VO39" i="6" a="1"/>
  <c r="VO39" i="6" s="1"/>
  <c r="VN39" i="6" a="1"/>
  <c r="VN39" i="6" s="1"/>
  <c r="VA39" i="6" a="1"/>
  <c r="VA39" i="6" s="1"/>
  <c r="UZ39" i="6" a="1"/>
  <c r="UZ39" i="6" s="1"/>
  <c r="UY39" i="6" a="1"/>
  <c r="UY39" i="6" s="1"/>
  <c r="UX39" i="6" a="1"/>
  <c r="UX39" i="6" s="1"/>
  <c r="UW39" i="6" a="1"/>
  <c r="UW39" i="6" s="1"/>
  <c r="UM39" i="6" a="1"/>
  <c r="UM39" i="6" s="1"/>
  <c r="TZ39" i="6" a="1"/>
  <c r="TZ39" i="6" s="1"/>
  <c r="TY39" i="6" a="1"/>
  <c r="TY39" i="6" s="1"/>
  <c r="TX39" i="6" a="1"/>
  <c r="TX39" i="6" s="1"/>
  <c r="TW39" i="6" a="1"/>
  <c r="TW39" i="6" s="1"/>
  <c r="TV39" i="6" a="1"/>
  <c r="TV39" i="6" s="1"/>
  <c r="TH39" i="6" a="1"/>
  <c r="TH39" i="6" s="1"/>
  <c r="TG39" i="6" a="1"/>
  <c r="TG39" i="6" s="1"/>
  <c r="TF39" i="6" a="1"/>
  <c r="TF39" i="6" s="1"/>
  <c r="TE39" i="6" a="1"/>
  <c r="TE39" i="6" s="1"/>
  <c r="TD39" i="6" a="1"/>
  <c r="TD39" i="6" s="1"/>
  <c r="SP39" i="6" a="1"/>
  <c r="SP39" i="6" s="1"/>
  <c r="SO39" i="6" a="1"/>
  <c r="SO39" i="6" s="1"/>
  <c r="SN39" i="6" a="1"/>
  <c r="SN39" i="6" s="1"/>
  <c r="SM39" i="6" a="1"/>
  <c r="SM39" i="6" s="1"/>
  <c r="SL39" i="6" a="1"/>
  <c r="SL39" i="6" s="1"/>
  <c r="RX39" i="6" a="1"/>
  <c r="RX39" i="6" s="1"/>
  <c r="RW39" i="6" a="1"/>
  <c r="RW39" i="6" s="1"/>
  <c r="RV39" i="6" a="1"/>
  <c r="RV39" i="6" s="1"/>
  <c r="RU39" i="6" a="1"/>
  <c r="RU39" i="6" s="1"/>
  <c r="RT39" i="6" a="1"/>
  <c r="RT39" i="6" s="1"/>
  <c r="RF39" i="6" a="1"/>
  <c r="RF39" i="6" s="1"/>
  <c r="RE39" i="6" a="1"/>
  <c r="RE39" i="6" s="1"/>
  <c r="RD39" i="6" a="1"/>
  <c r="RD39" i="6" s="1"/>
  <c r="RC39" i="6" a="1"/>
  <c r="RC39" i="6" s="1"/>
  <c r="RB39" i="6" a="1"/>
  <c r="RB39" i="6" s="1"/>
  <c r="QN39" i="6" a="1"/>
  <c r="QN39" i="6" s="1"/>
  <c r="QM39" i="6" a="1"/>
  <c r="QM39" i="6" s="1"/>
  <c r="QL39" i="6" a="1"/>
  <c r="QL39" i="6" s="1"/>
  <c r="QK39" i="6" a="1"/>
  <c r="QK39" i="6" s="1"/>
  <c r="QJ39" i="6" a="1"/>
  <c r="QJ39" i="6" s="1"/>
  <c r="PV39" i="6" a="1"/>
  <c r="PV39" i="6" s="1"/>
  <c r="PU39" i="6" a="1"/>
  <c r="PU39" i="6" s="1"/>
  <c r="PT39" i="6" a="1"/>
  <c r="PT39" i="6" s="1"/>
  <c r="PS39" i="6" a="1"/>
  <c r="PS39" i="6" s="1"/>
  <c r="PR39" i="6" a="1"/>
  <c r="PR39" i="6" s="1"/>
  <c r="PD39" i="6" a="1"/>
  <c r="PD39" i="6" s="1"/>
  <c r="PC39" i="6" a="1"/>
  <c r="PC39" i="6" s="1"/>
  <c r="PB39" i="6" a="1"/>
  <c r="PB39" i="6" s="1"/>
  <c r="PA39" i="6" a="1"/>
  <c r="PA39" i="6" s="1"/>
  <c r="OZ39" i="6" a="1"/>
  <c r="OZ39" i="6" s="1"/>
  <c r="OL39" i="6" a="1"/>
  <c r="OL39" i="6" s="1"/>
  <c r="OK39" i="6" a="1"/>
  <c r="OK39" i="6" s="1"/>
  <c r="OJ39" i="6" a="1"/>
  <c r="OJ39" i="6" s="1"/>
  <c r="OI39" i="6" a="1"/>
  <c r="OI39" i="6" s="1"/>
  <c r="OH39" i="6" a="1"/>
  <c r="OH39" i="6" s="1"/>
  <c r="NT39" i="6" a="1"/>
  <c r="NT39" i="6" s="1"/>
  <c r="NS39" i="6" a="1"/>
  <c r="NS39" i="6" s="1"/>
  <c r="NR39" i="6" a="1"/>
  <c r="NR39" i="6" s="1"/>
  <c r="NQ39" i="6" a="1"/>
  <c r="NQ39" i="6" s="1"/>
  <c r="NP39" i="6" a="1"/>
  <c r="NP39" i="6" s="1"/>
  <c r="NC39" i="6" a="1"/>
  <c r="NC39" i="6" s="1"/>
  <c r="NB39" i="6" a="1"/>
  <c r="NB39" i="6" s="1"/>
  <c r="NA39" i="6" a="1"/>
  <c r="NA39" i="6" s="1"/>
  <c r="MZ39" i="6" a="1"/>
  <c r="MZ39" i="6" s="1"/>
  <c r="MY39" i="6" a="1"/>
  <c r="MY39" i="6" s="1"/>
  <c r="MK39" i="6" a="1"/>
  <c r="MK39" i="6" s="1"/>
  <c r="MJ39" i="6" a="1"/>
  <c r="MJ39" i="6" s="1"/>
  <c r="MI39" i="6" a="1"/>
  <c r="MI39" i="6" s="1"/>
  <c r="MH39" i="6" a="1"/>
  <c r="MH39" i="6" s="1"/>
  <c r="MG39" i="6" a="1"/>
  <c r="MG39" i="6" s="1"/>
  <c r="LS39" i="6" a="1"/>
  <c r="LS39" i="6" s="1"/>
  <c r="LR39" i="6" a="1"/>
  <c r="LR39" i="6" s="1"/>
  <c r="LQ39" i="6" a="1"/>
  <c r="LQ39" i="6" s="1"/>
  <c r="LP39" i="6" a="1"/>
  <c r="LP39" i="6" s="1"/>
  <c r="LO39" i="6" a="1"/>
  <c r="LO39" i="6" s="1"/>
  <c r="LA39" i="6" a="1"/>
  <c r="LA39" i="6" s="1"/>
  <c r="KZ39" i="6" a="1"/>
  <c r="KZ39" i="6" s="1"/>
  <c r="KY39" i="6" a="1"/>
  <c r="KY39" i="6" s="1"/>
  <c r="KX39" i="6" a="1"/>
  <c r="KX39" i="6" s="1"/>
  <c r="KW39" i="6" a="1"/>
  <c r="KW39" i="6" s="1"/>
  <c r="KI39" i="6" a="1"/>
  <c r="KI39" i="6" s="1"/>
  <c r="KH39" i="6" a="1"/>
  <c r="KH39" i="6" s="1"/>
  <c r="KG39" i="6" a="1"/>
  <c r="KG39" i="6" s="1"/>
  <c r="KF39" i="6" a="1"/>
  <c r="KF39" i="6" s="1"/>
  <c r="KE39" i="6" a="1"/>
  <c r="KE39" i="6" s="1"/>
  <c r="JQ39" i="6" a="1"/>
  <c r="JQ39" i="6" s="1"/>
  <c r="JP39" i="6" a="1"/>
  <c r="JP39" i="6" s="1"/>
  <c r="JO39" i="6" a="1"/>
  <c r="JO39" i="6" s="1"/>
  <c r="JN39" i="6" a="1"/>
  <c r="JN39" i="6" s="1"/>
  <c r="JM39" i="6" a="1"/>
  <c r="JM39" i="6" s="1"/>
  <c r="IY39" i="6" a="1"/>
  <c r="IY39" i="6" s="1"/>
  <c r="IX39" i="6" a="1"/>
  <c r="IX39" i="6" s="1"/>
  <c r="IW39" i="6" a="1"/>
  <c r="IW39" i="6" s="1"/>
  <c r="IV39" i="6" a="1"/>
  <c r="IV39" i="6" s="1"/>
  <c r="IU39" i="6" a="1"/>
  <c r="IU39" i="6" s="1"/>
  <c r="IG39" i="6" a="1"/>
  <c r="IG39" i="6" s="1"/>
  <c r="IF39" i="6" a="1"/>
  <c r="IF39" i="6" s="1"/>
  <c r="IE39" i="6" a="1"/>
  <c r="IE39" i="6" s="1"/>
  <c r="ID39" i="6" a="1"/>
  <c r="ID39" i="6" s="1"/>
  <c r="IC39" i="6" a="1"/>
  <c r="IC39" i="6" s="1"/>
  <c r="HO39" i="6" a="1"/>
  <c r="HO39" i="6" s="1"/>
  <c r="HN39" i="6" a="1"/>
  <c r="HN39" i="6" s="1"/>
  <c r="HM39" i="6" a="1"/>
  <c r="HM39" i="6" s="1"/>
  <c r="HL39" i="6" a="1"/>
  <c r="HL39" i="6" s="1"/>
  <c r="HK39" i="6" a="1"/>
  <c r="HK39" i="6" s="1"/>
  <c r="GX39" i="6" a="1"/>
  <c r="GX39" i="6" s="1"/>
  <c r="GW39" i="6" a="1"/>
  <c r="GW39" i="6" s="1"/>
  <c r="GV39" i="6" a="1"/>
  <c r="GV39" i="6" s="1"/>
  <c r="GU39" i="6" a="1"/>
  <c r="GU39" i="6" s="1"/>
  <c r="GT39" i="6" a="1"/>
  <c r="GT39" i="6" s="1"/>
  <c r="GG39" i="6" a="1"/>
  <c r="GG39" i="6" s="1"/>
  <c r="GF39" i="6" a="1"/>
  <c r="GF39" i="6" s="1"/>
  <c r="GE39" i="6" a="1"/>
  <c r="GE39" i="6" s="1"/>
  <c r="GD39" i="6" a="1"/>
  <c r="GD39" i="6" s="1"/>
  <c r="GC39" i="6" a="1"/>
  <c r="GC39" i="6" s="1"/>
  <c r="FP39" i="6" a="1"/>
  <c r="FP39" i="6" s="1"/>
  <c r="FO39" i="6" a="1"/>
  <c r="FO39" i="6" s="1"/>
  <c r="FN39" i="6" a="1"/>
  <c r="FN39" i="6" s="1"/>
  <c r="FM39" i="6" a="1"/>
  <c r="FM39" i="6" s="1"/>
  <c r="FL39" i="6" a="1"/>
  <c r="FL39" i="6" s="1"/>
  <c r="EY39" i="6" a="1"/>
  <c r="EY39" i="6" s="1"/>
  <c r="EX39" i="6" a="1"/>
  <c r="EX39" i="6" s="1"/>
  <c r="EW39" i="6" a="1"/>
  <c r="EW39" i="6" s="1"/>
  <c r="EV39" i="6" a="1"/>
  <c r="EV39" i="6" s="1"/>
  <c r="EU39" i="6" a="1"/>
  <c r="EU39" i="6" s="1"/>
  <c r="EH39" i="6" a="1"/>
  <c r="EH39" i="6" s="1"/>
  <c r="EG39" i="6" a="1"/>
  <c r="EG39" i="6" s="1"/>
  <c r="EF39" i="6" a="1"/>
  <c r="EF39" i="6" s="1"/>
  <c r="EE39" i="6" a="1"/>
  <c r="EE39" i="6" s="1"/>
  <c r="ED39" i="6" a="1"/>
  <c r="ED39" i="6" s="1"/>
  <c r="DQ39" i="6" a="1"/>
  <c r="DQ39" i="6" s="1"/>
  <c r="DP39" i="6" a="1"/>
  <c r="DP39" i="6" s="1"/>
  <c r="DO39" i="6" a="1"/>
  <c r="DO39" i="6" s="1"/>
  <c r="DN39" i="6" a="1"/>
  <c r="DN39" i="6" s="1"/>
  <c r="DM39" i="6" a="1"/>
  <c r="DM39" i="6" s="1"/>
  <c r="DD39" i="6" a="1"/>
  <c r="DD39" i="6" s="1"/>
  <c r="CU39" i="6" a="1"/>
  <c r="CU39" i="6" s="1"/>
  <c r="CL39" i="6" a="1"/>
  <c r="CL39" i="6" s="1"/>
  <c r="BX39" i="6" a="1"/>
  <c r="BX39" i="6" s="1"/>
  <c r="BW39" i="6" a="1"/>
  <c r="BW39" i="6" s="1"/>
  <c r="BV39" i="6" a="1"/>
  <c r="BV39" i="6" s="1"/>
  <c r="BU39" i="6" a="1"/>
  <c r="BU39" i="6" s="1"/>
  <c r="BT39" i="6" a="1"/>
  <c r="BT39" i="6" s="1"/>
  <c r="BS39" i="6" a="1"/>
  <c r="BS39" i="6" s="1"/>
  <c r="BA39" i="6" a="1"/>
  <c r="BA39" i="6" s="1"/>
  <c r="AZ39" i="6" a="1"/>
  <c r="AZ39" i="6" s="1"/>
  <c r="AY39" i="6" a="1"/>
  <c r="AY39" i="6" s="1"/>
  <c r="AX39" i="6" a="1"/>
  <c r="AX39" i="6" s="1"/>
  <c r="AW39" i="6" a="1"/>
  <c r="AW39" i="6" s="1"/>
  <c r="AV39" i="6" a="1"/>
  <c r="AV39" i="6" s="1"/>
  <c r="AU39" i="6" a="1"/>
  <c r="AU39" i="6" s="1"/>
  <c r="AT39" i="6" a="1"/>
  <c r="AT39" i="6" s="1"/>
  <c r="AS39" i="6" a="1"/>
  <c r="AS39" i="6" s="1"/>
  <c r="AR39" i="6" a="1"/>
  <c r="AR39" i="6" s="1"/>
  <c r="AH39" i="6" a="1"/>
  <c r="AH39" i="6" s="1"/>
  <c r="AG39" i="6" a="1"/>
  <c r="AG39" i="6" s="1"/>
  <c r="V39" i="6" a="1"/>
  <c r="V39" i="6" s="1"/>
  <c r="U39" i="6" a="1"/>
  <c r="U39" i="6" s="1"/>
  <c r="J39" i="6" a="1"/>
  <c r="J39" i="6" s="1"/>
  <c r="I39" i="6" a="1"/>
  <c r="I39" i="6" s="1"/>
  <c r="ADA38" i="6" a="1"/>
  <c r="ADA38" i="6" s="1"/>
  <c r="ACZ38" i="6" a="1"/>
  <c r="ACZ38" i="6" s="1"/>
  <c r="ACY38" i="6" a="1"/>
  <c r="ACY38" i="6" s="1"/>
  <c r="ACN38" i="6" a="1"/>
  <c r="ACN38" i="6" s="1"/>
  <c r="ACM38" i="6" a="1"/>
  <c r="ACM38" i="6" s="1"/>
  <c r="ABU38" i="6" a="1"/>
  <c r="ABU38" i="6" s="1"/>
  <c r="ABX38" i="6" a="1"/>
  <c r="ABX38" i="6" s="1"/>
  <c r="ABV38" i="6" a="1"/>
  <c r="ABV38" i="6" s="1"/>
  <c r="ABH38" i="6" a="1"/>
  <c r="ABH38" i="6" s="1"/>
  <c r="ABG38" i="6" a="1"/>
  <c r="ABG38" i="6" s="1"/>
  <c r="ABF38" i="6" a="1"/>
  <c r="ABF38" i="6" s="1"/>
  <c r="ABE38" i="6" a="1"/>
  <c r="ABE38" i="6" s="1"/>
  <c r="ABD38" i="6" a="1"/>
  <c r="ABD38" i="6" s="1"/>
  <c r="ZR38" i="6" a="1"/>
  <c r="ZR38" i="6" s="1"/>
  <c r="ZE38" i="6" a="1"/>
  <c r="ZE38" i="6" s="1"/>
  <c r="ZD38" i="6" a="1"/>
  <c r="ZD38" i="6" s="1"/>
  <c r="ZC38" i="6" a="1"/>
  <c r="ZC38" i="6" s="1"/>
  <c r="ZB38" i="6" a="1"/>
  <c r="ZB38" i="6" s="1"/>
  <c r="ZA38" i="6" a="1"/>
  <c r="ZA38" i="6" s="1"/>
  <c r="YP38" i="6" a="1"/>
  <c r="YP38" i="6" s="1"/>
  <c r="YO38" i="6" a="1"/>
  <c r="YO38" i="6" s="1"/>
  <c r="YE38" i="6" a="1"/>
  <c r="YE38" i="6" s="1"/>
  <c r="YD38" i="6" a="1"/>
  <c r="YD38" i="6" s="1"/>
  <c r="XT38" i="6" a="1"/>
  <c r="XT38" i="6" s="1"/>
  <c r="XS38" i="6" a="1"/>
  <c r="XS38" i="6" s="1"/>
  <c r="XI38" i="6" a="1"/>
  <c r="XI38" i="6" s="1"/>
  <c r="XH38" i="6" a="1"/>
  <c r="XH38" i="6" s="1"/>
  <c r="WX38" i="6" a="1"/>
  <c r="WX38" i="6" s="1"/>
  <c r="WW38" i="6" a="1"/>
  <c r="WW38" i="6" s="1"/>
  <c r="WM38" i="6" a="1"/>
  <c r="WM38" i="6" s="1"/>
  <c r="WL38" i="6" a="1"/>
  <c r="WL38" i="6" s="1"/>
  <c r="WC38" i="6" a="1"/>
  <c r="WC38" i="6" s="1"/>
  <c r="VQ38" i="6" a="1"/>
  <c r="VQ38" i="6" s="1"/>
  <c r="VP38" i="6" a="1"/>
  <c r="VP38" i="6" s="1"/>
  <c r="VO38" i="6" a="1"/>
  <c r="VO38" i="6" s="1"/>
  <c r="VN38" i="6" a="1"/>
  <c r="VN38" i="6" s="1"/>
  <c r="VA38" i="6" a="1"/>
  <c r="VA38" i="6" s="1"/>
  <c r="UZ38" i="6" a="1"/>
  <c r="UZ38" i="6" s="1"/>
  <c r="UY38" i="6" a="1"/>
  <c r="UY38" i="6" s="1"/>
  <c r="UX38" i="6" a="1"/>
  <c r="UX38" i="6" s="1"/>
  <c r="UW38" i="6" a="1"/>
  <c r="UW38" i="6" s="1"/>
  <c r="UM38" i="6" a="1"/>
  <c r="UM38" i="6" s="1"/>
  <c r="TZ38" i="6" a="1"/>
  <c r="TZ38" i="6" s="1"/>
  <c r="TY38" i="6" a="1"/>
  <c r="TY38" i="6" s="1"/>
  <c r="TX38" i="6" a="1"/>
  <c r="TX38" i="6" s="1"/>
  <c r="TW38" i="6" a="1"/>
  <c r="TW38" i="6" s="1"/>
  <c r="TV38" i="6" a="1"/>
  <c r="TV38" i="6" s="1"/>
  <c r="TH38" i="6" a="1"/>
  <c r="TH38" i="6" s="1"/>
  <c r="TG38" i="6" a="1"/>
  <c r="TG38" i="6" s="1"/>
  <c r="TF38" i="6" a="1"/>
  <c r="TF38" i="6" s="1"/>
  <c r="TE38" i="6" a="1"/>
  <c r="TE38" i="6" s="1"/>
  <c r="TD38" i="6" a="1"/>
  <c r="TD38" i="6" s="1"/>
  <c r="SP38" i="6" a="1"/>
  <c r="SP38" i="6" s="1"/>
  <c r="SO38" i="6" a="1"/>
  <c r="SO38" i="6" s="1"/>
  <c r="SN38" i="6" a="1"/>
  <c r="SN38" i="6" s="1"/>
  <c r="SM38" i="6" a="1"/>
  <c r="SM38" i="6" s="1"/>
  <c r="SL38" i="6" a="1"/>
  <c r="SL38" i="6" s="1"/>
  <c r="RX38" i="6" a="1"/>
  <c r="RX38" i="6" s="1"/>
  <c r="RW38" i="6" a="1"/>
  <c r="RW38" i="6" s="1"/>
  <c r="RV38" i="6" a="1"/>
  <c r="RV38" i="6" s="1"/>
  <c r="RU38" i="6" a="1"/>
  <c r="RU38" i="6" s="1"/>
  <c r="RT38" i="6" a="1"/>
  <c r="RT38" i="6" s="1"/>
  <c r="RF38" i="6" a="1"/>
  <c r="RF38" i="6" s="1"/>
  <c r="RE38" i="6" a="1"/>
  <c r="RE38" i="6" s="1"/>
  <c r="RD38" i="6" a="1"/>
  <c r="RD38" i="6" s="1"/>
  <c r="RC38" i="6" a="1"/>
  <c r="RC38" i="6" s="1"/>
  <c r="RB38" i="6" a="1"/>
  <c r="RB38" i="6" s="1"/>
  <c r="QN38" i="6" a="1"/>
  <c r="QN38" i="6" s="1"/>
  <c r="QM38" i="6" a="1"/>
  <c r="QM38" i="6" s="1"/>
  <c r="QL38" i="6" a="1"/>
  <c r="QL38" i="6" s="1"/>
  <c r="QK38" i="6" a="1"/>
  <c r="QK38" i="6" s="1"/>
  <c r="QJ38" i="6" a="1"/>
  <c r="QJ38" i="6" s="1"/>
  <c r="PV38" i="6" a="1"/>
  <c r="PV38" i="6" s="1"/>
  <c r="PU38" i="6" a="1"/>
  <c r="PU38" i="6" s="1"/>
  <c r="PT38" i="6" a="1"/>
  <c r="PT38" i="6" s="1"/>
  <c r="PS38" i="6" a="1"/>
  <c r="PS38" i="6" s="1"/>
  <c r="PR38" i="6" a="1"/>
  <c r="PR38" i="6" s="1"/>
  <c r="PD38" i="6" a="1"/>
  <c r="PD38" i="6" s="1"/>
  <c r="PC38" i="6" a="1"/>
  <c r="PC38" i="6" s="1"/>
  <c r="PB38" i="6" a="1"/>
  <c r="PB38" i="6" s="1"/>
  <c r="PA38" i="6" a="1"/>
  <c r="PA38" i="6" s="1"/>
  <c r="OZ38" i="6" a="1"/>
  <c r="OZ38" i="6" s="1"/>
  <c r="OL38" i="6" a="1"/>
  <c r="OL38" i="6" s="1"/>
  <c r="OK38" i="6" a="1"/>
  <c r="OK38" i="6" s="1"/>
  <c r="OJ38" i="6" a="1"/>
  <c r="OJ38" i="6" s="1"/>
  <c r="OI38" i="6" a="1"/>
  <c r="OI38" i="6" s="1"/>
  <c r="OH38" i="6" a="1"/>
  <c r="OH38" i="6" s="1"/>
  <c r="NT38" i="6" a="1"/>
  <c r="NT38" i="6" s="1"/>
  <c r="NS38" i="6" a="1"/>
  <c r="NS38" i="6" s="1"/>
  <c r="NR38" i="6" a="1"/>
  <c r="NR38" i="6" s="1"/>
  <c r="NQ38" i="6" a="1"/>
  <c r="NQ38" i="6" s="1"/>
  <c r="NP38" i="6" a="1"/>
  <c r="NP38" i="6" s="1"/>
  <c r="NC38" i="6" a="1"/>
  <c r="NC38" i="6" s="1"/>
  <c r="NB38" i="6" a="1"/>
  <c r="NB38" i="6" s="1"/>
  <c r="NA38" i="6" a="1"/>
  <c r="NA38" i="6" s="1"/>
  <c r="MZ38" i="6" a="1"/>
  <c r="MZ38" i="6" s="1"/>
  <c r="MY38" i="6" a="1"/>
  <c r="MY38" i="6" s="1"/>
  <c r="MK38" i="6" a="1"/>
  <c r="MK38" i="6" s="1"/>
  <c r="MJ38" i="6" a="1"/>
  <c r="MJ38" i="6" s="1"/>
  <c r="MI38" i="6" a="1"/>
  <c r="MI38" i="6" s="1"/>
  <c r="MH38" i="6" a="1"/>
  <c r="MH38" i="6" s="1"/>
  <c r="MG38" i="6" a="1"/>
  <c r="MG38" i="6" s="1"/>
  <c r="LS38" i="6" a="1"/>
  <c r="LS38" i="6" s="1"/>
  <c r="LR38" i="6" a="1"/>
  <c r="LR38" i="6" s="1"/>
  <c r="LQ38" i="6" a="1"/>
  <c r="LQ38" i="6" s="1"/>
  <c r="LP38" i="6" a="1"/>
  <c r="LP38" i="6" s="1"/>
  <c r="LO38" i="6" a="1"/>
  <c r="LO38" i="6" s="1"/>
  <c r="LA38" i="6" a="1"/>
  <c r="LA38" i="6" s="1"/>
  <c r="KZ38" i="6" a="1"/>
  <c r="KZ38" i="6" s="1"/>
  <c r="KY38" i="6" a="1"/>
  <c r="KY38" i="6" s="1"/>
  <c r="KX38" i="6" a="1"/>
  <c r="KX38" i="6" s="1"/>
  <c r="KW38" i="6" a="1"/>
  <c r="KW38" i="6" s="1"/>
  <c r="KI38" i="6" a="1"/>
  <c r="KI38" i="6" s="1"/>
  <c r="KH38" i="6" a="1"/>
  <c r="KH38" i="6" s="1"/>
  <c r="KG38" i="6" a="1"/>
  <c r="KG38" i="6" s="1"/>
  <c r="KF38" i="6" a="1"/>
  <c r="KF38" i="6" s="1"/>
  <c r="KE38" i="6" a="1"/>
  <c r="KE38" i="6" s="1"/>
  <c r="JQ38" i="6" a="1"/>
  <c r="JQ38" i="6" s="1"/>
  <c r="JP38" i="6" a="1"/>
  <c r="JP38" i="6" s="1"/>
  <c r="JO38" i="6" a="1"/>
  <c r="JO38" i="6" s="1"/>
  <c r="JN38" i="6" a="1"/>
  <c r="JN38" i="6" s="1"/>
  <c r="JM38" i="6" a="1"/>
  <c r="JM38" i="6" s="1"/>
  <c r="IY38" i="6" a="1"/>
  <c r="IY38" i="6" s="1"/>
  <c r="IX38" i="6" a="1"/>
  <c r="IX38" i="6" s="1"/>
  <c r="IW38" i="6" a="1"/>
  <c r="IW38" i="6" s="1"/>
  <c r="IV38" i="6" a="1"/>
  <c r="IV38" i="6" s="1"/>
  <c r="IU38" i="6" a="1"/>
  <c r="IU38" i="6" s="1"/>
  <c r="IG38" i="6" a="1"/>
  <c r="IG38" i="6" s="1"/>
  <c r="IF38" i="6" a="1"/>
  <c r="IF38" i="6" s="1"/>
  <c r="IE38" i="6" a="1"/>
  <c r="IE38" i="6" s="1"/>
  <c r="ID38" i="6" a="1"/>
  <c r="ID38" i="6" s="1"/>
  <c r="IC38" i="6" a="1"/>
  <c r="IC38" i="6" s="1"/>
  <c r="HO38" i="6" a="1"/>
  <c r="HO38" i="6" s="1"/>
  <c r="HN38" i="6" a="1"/>
  <c r="HN38" i="6" s="1"/>
  <c r="HM38" i="6" a="1"/>
  <c r="HM38" i="6" s="1"/>
  <c r="HL38" i="6" a="1"/>
  <c r="HL38" i="6" s="1"/>
  <c r="HK38" i="6" a="1"/>
  <c r="HK38" i="6" s="1"/>
  <c r="GX38" i="6" a="1"/>
  <c r="GX38" i="6" s="1"/>
  <c r="GW38" i="6" a="1"/>
  <c r="GW38" i="6" s="1"/>
  <c r="GV38" i="6" a="1"/>
  <c r="GV38" i="6" s="1"/>
  <c r="GU38" i="6" a="1"/>
  <c r="GU38" i="6" s="1"/>
  <c r="GT38" i="6" a="1"/>
  <c r="GT38" i="6" s="1"/>
  <c r="GG38" i="6" a="1"/>
  <c r="GG38" i="6" s="1"/>
  <c r="GF38" i="6" a="1"/>
  <c r="GF38" i="6" s="1"/>
  <c r="GE38" i="6" a="1"/>
  <c r="GE38" i="6" s="1"/>
  <c r="GD38" i="6" a="1"/>
  <c r="GD38" i="6" s="1"/>
  <c r="GC38" i="6" a="1"/>
  <c r="GC38" i="6" s="1"/>
  <c r="FP38" i="6" a="1"/>
  <c r="FP38" i="6" s="1"/>
  <c r="FO38" i="6" a="1"/>
  <c r="FO38" i="6" s="1"/>
  <c r="FN38" i="6" a="1"/>
  <c r="FN38" i="6" s="1"/>
  <c r="FM38" i="6" a="1"/>
  <c r="FM38" i="6" s="1"/>
  <c r="FL38" i="6" a="1"/>
  <c r="FL38" i="6" s="1"/>
  <c r="EY38" i="6" a="1"/>
  <c r="EY38" i="6" s="1"/>
  <c r="EX38" i="6" a="1"/>
  <c r="EX38" i="6" s="1"/>
  <c r="EW38" i="6" a="1"/>
  <c r="EW38" i="6" s="1"/>
  <c r="EV38" i="6" a="1"/>
  <c r="EV38" i="6" s="1"/>
  <c r="EU38" i="6" a="1"/>
  <c r="EU38" i="6" s="1"/>
  <c r="EH38" i="6" a="1"/>
  <c r="EH38" i="6" s="1"/>
  <c r="EG38" i="6" a="1"/>
  <c r="EG38" i="6" s="1"/>
  <c r="EF38" i="6" a="1"/>
  <c r="EF38" i="6" s="1"/>
  <c r="EE38" i="6" a="1"/>
  <c r="EE38" i="6" s="1"/>
  <c r="ED38" i="6" a="1"/>
  <c r="ED38" i="6" s="1"/>
  <c r="DQ38" i="6" a="1"/>
  <c r="DQ38" i="6" s="1"/>
  <c r="DP38" i="6" a="1"/>
  <c r="DP38" i="6" s="1"/>
  <c r="DO38" i="6" a="1"/>
  <c r="DO38" i="6" s="1"/>
  <c r="DN38" i="6" a="1"/>
  <c r="DN38" i="6" s="1"/>
  <c r="DM38" i="6" a="1"/>
  <c r="DM38" i="6" s="1"/>
  <c r="DD38" i="6" a="1"/>
  <c r="DD38" i="6" s="1"/>
  <c r="CU38" i="6" a="1"/>
  <c r="CU38" i="6" s="1"/>
  <c r="CL38" i="6" a="1"/>
  <c r="CL38" i="6" s="1"/>
  <c r="BX38" i="6" a="1"/>
  <c r="BX38" i="6" s="1"/>
  <c r="BW38" i="6" a="1"/>
  <c r="BW38" i="6" s="1"/>
  <c r="BV38" i="6" a="1"/>
  <c r="BV38" i="6" s="1"/>
  <c r="BU38" i="6" a="1"/>
  <c r="BU38" i="6" s="1"/>
  <c r="BT38" i="6" a="1"/>
  <c r="BT38" i="6" s="1"/>
  <c r="BS38" i="6" a="1"/>
  <c r="BS38" i="6" s="1"/>
  <c r="BA38" i="6" a="1"/>
  <c r="BA38" i="6" s="1"/>
  <c r="AZ38" i="6" a="1"/>
  <c r="AZ38" i="6" s="1"/>
  <c r="AY38" i="6" a="1"/>
  <c r="AY38" i="6" s="1"/>
  <c r="AX38" i="6" a="1"/>
  <c r="AX38" i="6" s="1"/>
  <c r="AW38" i="6" a="1"/>
  <c r="AW38" i="6" s="1"/>
  <c r="AV38" i="6" a="1"/>
  <c r="AV38" i="6" s="1"/>
  <c r="AU38" i="6" a="1"/>
  <c r="AU38" i="6" s="1"/>
  <c r="AT38" i="6" a="1"/>
  <c r="AT38" i="6" s="1"/>
  <c r="AS38" i="6" a="1"/>
  <c r="AS38" i="6" s="1"/>
  <c r="AR38" i="6" a="1"/>
  <c r="AR38" i="6" s="1"/>
  <c r="AH38" i="6" a="1"/>
  <c r="AH38" i="6" s="1"/>
  <c r="AG38" i="6" a="1"/>
  <c r="AG38" i="6" s="1"/>
  <c r="V38" i="6" a="1"/>
  <c r="V38" i="6" s="1"/>
  <c r="U38" i="6" a="1"/>
  <c r="U38" i="6" s="1"/>
  <c r="J38" i="6" a="1"/>
  <c r="J38" i="6" s="1"/>
  <c r="I38" i="6" a="1"/>
  <c r="I38" i="6" s="1"/>
  <c r="ADA37" i="6" a="1"/>
  <c r="ADA37" i="6" s="1"/>
  <c r="ACZ37" i="6" a="1"/>
  <c r="ACZ37" i="6" s="1"/>
  <c r="ACY37" i="6" a="1"/>
  <c r="ACY37" i="6" s="1"/>
  <c r="ACN37" i="6" a="1"/>
  <c r="ACN37" i="6" s="1"/>
  <c r="ACM37" i="6" a="1"/>
  <c r="ACM37" i="6" s="1"/>
  <c r="ACL37" i="6" s="1"/>
  <c r="ABU37" i="6" a="1"/>
  <c r="ABU37" i="6" s="1"/>
  <c r="ABX37" i="6" a="1"/>
  <c r="ABX37" i="6" s="1"/>
  <c r="ABV37" i="6" a="1"/>
  <c r="ABV37" i="6" s="1"/>
  <c r="ABH37" i="6" a="1"/>
  <c r="ABH37" i="6" s="1"/>
  <c r="ABG37" i="6" a="1"/>
  <c r="ABG37" i="6" s="1"/>
  <c r="ABF37" i="6" a="1"/>
  <c r="ABF37" i="6" s="1"/>
  <c r="ABE37" i="6" a="1"/>
  <c r="ABE37" i="6" s="1"/>
  <c r="ABD37" i="6" a="1"/>
  <c r="ABD37" i="6" s="1"/>
  <c r="ZR37" i="6" a="1"/>
  <c r="ZR37" i="6" s="1"/>
  <c r="ZE37" i="6" a="1"/>
  <c r="ZE37" i="6" s="1"/>
  <c r="ZD37" i="6" a="1"/>
  <c r="ZD37" i="6" s="1"/>
  <c r="ZC37" i="6" a="1"/>
  <c r="ZC37" i="6" s="1"/>
  <c r="ZB37" i="6" a="1"/>
  <c r="ZB37" i="6" s="1"/>
  <c r="ZA37" i="6" a="1"/>
  <c r="ZA37" i="6" s="1"/>
  <c r="YP37" i="6" a="1"/>
  <c r="YP37" i="6" s="1"/>
  <c r="YO37" i="6" a="1"/>
  <c r="YO37" i="6" s="1"/>
  <c r="YE37" i="6" a="1"/>
  <c r="YE37" i="6" s="1"/>
  <c r="YD37" i="6" a="1"/>
  <c r="YD37" i="6" s="1"/>
  <c r="XT37" i="6" a="1"/>
  <c r="XT37" i="6" s="1"/>
  <c r="XS37" i="6" a="1"/>
  <c r="XS37" i="6" s="1"/>
  <c r="XI37" i="6" a="1"/>
  <c r="XI37" i="6" s="1"/>
  <c r="XH37" i="6" a="1"/>
  <c r="XH37" i="6" s="1"/>
  <c r="WX37" i="6" a="1"/>
  <c r="WX37" i="6" s="1"/>
  <c r="WW37" i="6" a="1"/>
  <c r="WW37" i="6" s="1"/>
  <c r="WM37" i="6" a="1"/>
  <c r="WM37" i="6" s="1"/>
  <c r="WL37" i="6" a="1"/>
  <c r="WL37" i="6" s="1"/>
  <c r="WC37" i="6" a="1"/>
  <c r="WC37" i="6" s="1"/>
  <c r="VQ37" i="6" a="1"/>
  <c r="VQ37" i="6" s="1"/>
  <c r="VP37" i="6" a="1"/>
  <c r="VP37" i="6" s="1"/>
  <c r="VO37" i="6" a="1"/>
  <c r="VO37" i="6" s="1"/>
  <c r="VN37" i="6" a="1"/>
  <c r="VN37" i="6" s="1"/>
  <c r="VA37" i="6" a="1"/>
  <c r="VA37" i="6" s="1"/>
  <c r="UZ37" i="6" a="1"/>
  <c r="UZ37" i="6" s="1"/>
  <c r="UY37" i="6" a="1"/>
  <c r="UY37" i="6" s="1"/>
  <c r="UX37" i="6" a="1"/>
  <c r="UX37" i="6" s="1"/>
  <c r="UW37" i="6" a="1"/>
  <c r="UW37" i="6" s="1"/>
  <c r="UM37" i="6" a="1"/>
  <c r="UM37" i="6" s="1"/>
  <c r="TZ37" i="6" a="1"/>
  <c r="TZ37" i="6" s="1"/>
  <c r="TY37" i="6" a="1"/>
  <c r="TY37" i="6" s="1"/>
  <c r="TX37" i="6" a="1"/>
  <c r="TX37" i="6" s="1"/>
  <c r="TW37" i="6" a="1"/>
  <c r="TW37" i="6" s="1"/>
  <c r="TV37" i="6" a="1"/>
  <c r="TV37" i="6" s="1"/>
  <c r="TH37" i="6" a="1"/>
  <c r="TH37" i="6" s="1"/>
  <c r="TG37" i="6" a="1"/>
  <c r="TG37" i="6" s="1"/>
  <c r="TF37" i="6" a="1"/>
  <c r="TF37" i="6" s="1"/>
  <c r="TE37" i="6" a="1"/>
  <c r="TE37" i="6" s="1"/>
  <c r="TD37" i="6" a="1"/>
  <c r="TD37" i="6" s="1"/>
  <c r="SP37" i="6" a="1"/>
  <c r="SP37" i="6" s="1"/>
  <c r="SO37" i="6" a="1"/>
  <c r="SO37" i="6" s="1"/>
  <c r="SN37" i="6" a="1"/>
  <c r="SN37" i="6" s="1"/>
  <c r="SM37" i="6" a="1"/>
  <c r="SM37" i="6" s="1"/>
  <c r="SL37" i="6" a="1"/>
  <c r="SL37" i="6" s="1"/>
  <c r="RX37" i="6" a="1"/>
  <c r="RX37" i="6" s="1"/>
  <c r="RW37" i="6" a="1"/>
  <c r="RW37" i="6" s="1"/>
  <c r="RV37" i="6" a="1"/>
  <c r="RV37" i="6" s="1"/>
  <c r="RU37" i="6" a="1"/>
  <c r="RU37" i="6" s="1"/>
  <c r="RT37" i="6" a="1"/>
  <c r="RT37" i="6" s="1"/>
  <c r="RF37" i="6" a="1"/>
  <c r="RF37" i="6" s="1"/>
  <c r="RE37" i="6" a="1"/>
  <c r="RE37" i="6" s="1"/>
  <c r="RD37" i="6" a="1"/>
  <c r="RD37" i="6" s="1"/>
  <c r="RC37" i="6" a="1"/>
  <c r="RC37" i="6" s="1"/>
  <c r="RB37" i="6" a="1"/>
  <c r="RB37" i="6" s="1"/>
  <c r="QN37" i="6" a="1"/>
  <c r="QN37" i="6" s="1"/>
  <c r="QM37" i="6" a="1"/>
  <c r="QM37" i="6" s="1"/>
  <c r="QL37" i="6" a="1"/>
  <c r="QL37" i="6" s="1"/>
  <c r="QK37" i="6" a="1"/>
  <c r="QK37" i="6" s="1"/>
  <c r="QJ37" i="6" a="1"/>
  <c r="QJ37" i="6" s="1"/>
  <c r="PV37" i="6" a="1"/>
  <c r="PV37" i="6" s="1"/>
  <c r="PU37" i="6" a="1"/>
  <c r="PU37" i="6" s="1"/>
  <c r="PT37" i="6" a="1"/>
  <c r="PT37" i="6" s="1"/>
  <c r="PS37" i="6" a="1"/>
  <c r="PS37" i="6" s="1"/>
  <c r="PR37" i="6" a="1"/>
  <c r="PR37" i="6" s="1"/>
  <c r="PD37" i="6" a="1"/>
  <c r="PD37" i="6" s="1"/>
  <c r="PC37" i="6" a="1"/>
  <c r="PC37" i="6" s="1"/>
  <c r="PB37" i="6" a="1"/>
  <c r="PB37" i="6" s="1"/>
  <c r="PA37" i="6" a="1"/>
  <c r="PA37" i="6" s="1"/>
  <c r="OZ37" i="6" a="1"/>
  <c r="OZ37" i="6" s="1"/>
  <c r="OL37" i="6" a="1"/>
  <c r="OL37" i="6" s="1"/>
  <c r="OK37" i="6" a="1"/>
  <c r="OK37" i="6" s="1"/>
  <c r="OJ37" i="6" a="1"/>
  <c r="OJ37" i="6" s="1"/>
  <c r="OI37" i="6" a="1"/>
  <c r="OI37" i="6" s="1"/>
  <c r="OH37" i="6" a="1"/>
  <c r="OH37" i="6" s="1"/>
  <c r="NT37" i="6" a="1"/>
  <c r="NT37" i="6" s="1"/>
  <c r="NS37" i="6" a="1"/>
  <c r="NS37" i="6" s="1"/>
  <c r="NR37" i="6" a="1"/>
  <c r="NR37" i="6" s="1"/>
  <c r="NQ37" i="6" a="1"/>
  <c r="NQ37" i="6" s="1"/>
  <c r="NP37" i="6" a="1"/>
  <c r="NP37" i="6" s="1"/>
  <c r="NC37" i="6" a="1"/>
  <c r="NC37" i="6" s="1"/>
  <c r="NB37" i="6" a="1"/>
  <c r="NB37" i="6" s="1"/>
  <c r="NA37" i="6" a="1"/>
  <c r="NA37" i="6" s="1"/>
  <c r="MZ37" i="6" a="1"/>
  <c r="MZ37" i="6" s="1"/>
  <c r="MY37" i="6" a="1"/>
  <c r="MY37" i="6" s="1"/>
  <c r="MK37" i="6" a="1"/>
  <c r="MK37" i="6" s="1"/>
  <c r="MJ37" i="6" a="1"/>
  <c r="MJ37" i="6" s="1"/>
  <c r="MI37" i="6" a="1"/>
  <c r="MI37" i="6" s="1"/>
  <c r="MH37" i="6" a="1"/>
  <c r="MH37" i="6" s="1"/>
  <c r="MG37" i="6" a="1"/>
  <c r="MG37" i="6" s="1"/>
  <c r="LS37" i="6" a="1"/>
  <c r="LS37" i="6" s="1"/>
  <c r="LR37" i="6" a="1"/>
  <c r="LR37" i="6" s="1"/>
  <c r="LQ37" i="6" a="1"/>
  <c r="LQ37" i="6" s="1"/>
  <c r="LP37" i="6" a="1"/>
  <c r="LP37" i="6" s="1"/>
  <c r="LO37" i="6" a="1"/>
  <c r="LO37" i="6" s="1"/>
  <c r="LA37" i="6" a="1"/>
  <c r="LA37" i="6" s="1"/>
  <c r="KZ37" i="6" a="1"/>
  <c r="KZ37" i="6" s="1"/>
  <c r="KY37" i="6" a="1"/>
  <c r="KY37" i="6" s="1"/>
  <c r="KX37" i="6" a="1"/>
  <c r="KX37" i="6" s="1"/>
  <c r="KW37" i="6" a="1"/>
  <c r="KW37" i="6" s="1"/>
  <c r="KI37" i="6" a="1"/>
  <c r="KI37" i="6" s="1"/>
  <c r="KH37" i="6" a="1"/>
  <c r="KH37" i="6" s="1"/>
  <c r="KG37" i="6" a="1"/>
  <c r="KG37" i="6" s="1"/>
  <c r="KF37" i="6" a="1"/>
  <c r="KF37" i="6" s="1"/>
  <c r="KE37" i="6" a="1"/>
  <c r="KE37" i="6" s="1"/>
  <c r="JQ37" i="6" a="1"/>
  <c r="JQ37" i="6" s="1"/>
  <c r="JP37" i="6" a="1"/>
  <c r="JP37" i="6" s="1"/>
  <c r="JO37" i="6" a="1"/>
  <c r="JO37" i="6" s="1"/>
  <c r="JN37" i="6" a="1"/>
  <c r="JN37" i="6" s="1"/>
  <c r="JM37" i="6" a="1"/>
  <c r="JM37" i="6" s="1"/>
  <c r="IY37" i="6" a="1"/>
  <c r="IY37" i="6" s="1"/>
  <c r="IX37" i="6" a="1"/>
  <c r="IX37" i="6" s="1"/>
  <c r="IW37" i="6" a="1"/>
  <c r="IW37" i="6" s="1"/>
  <c r="IV37" i="6" a="1"/>
  <c r="IV37" i="6" s="1"/>
  <c r="IU37" i="6" a="1"/>
  <c r="IU37" i="6" s="1"/>
  <c r="IG37" i="6" a="1"/>
  <c r="IG37" i="6" s="1"/>
  <c r="IF37" i="6" a="1"/>
  <c r="IF37" i="6" s="1"/>
  <c r="IE37" i="6" a="1"/>
  <c r="IE37" i="6" s="1"/>
  <c r="ID37" i="6" a="1"/>
  <c r="ID37" i="6" s="1"/>
  <c r="IC37" i="6" a="1"/>
  <c r="IC37" i="6" s="1"/>
  <c r="HO37" i="6" a="1"/>
  <c r="HO37" i="6" s="1"/>
  <c r="HN37" i="6" a="1"/>
  <c r="HN37" i="6" s="1"/>
  <c r="HM37" i="6" a="1"/>
  <c r="HM37" i="6" s="1"/>
  <c r="HL37" i="6" a="1"/>
  <c r="HL37" i="6" s="1"/>
  <c r="HK37" i="6" a="1"/>
  <c r="HK37" i="6" s="1"/>
  <c r="GX37" i="6" a="1"/>
  <c r="GX37" i="6" s="1"/>
  <c r="GW37" i="6" a="1"/>
  <c r="GW37" i="6" s="1"/>
  <c r="GV37" i="6" a="1"/>
  <c r="GV37" i="6" s="1"/>
  <c r="GU37" i="6" a="1"/>
  <c r="GU37" i="6" s="1"/>
  <c r="GT37" i="6" a="1"/>
  <c r="GT37" i="6" s="1"/>
  <c r="GG37" i="6" a="1"/>
  <c r="GG37" i="6" s="1"/>
  <c r="GF37" i="6" a="1"/>
  <c r="GF37" i="6" s="1"/>
  <c r="GE37" i="6" a="1"/>
  <c r="GE37" i="6" s="1"/>
  <c r="GD37" i="6" a="1"/>
  <c r="GD37" i="6" s="1"/>
  <c r="GC37" i="6" a="1"/>
  <c r="GC37" i="6" s="1"/>
  <c r="FP37" i="6" a="1"/>
  <c r="FP37" i="6" s="1"/>
  <c r="FO37" i="6" a="1"/>
  <c r="FO37" i="6" s="1"/>
  <c r="FN37" i="6" a="1"/>
  <c r="FN37" i="6" s="1"/>
  <c r="FM37" i="6" a="1"/>
  <c r="FM37" i="6" s="1"/>
  <c r="FL37" i="6" a="1"/>
  <c r="FL37" i="6" s="1"/>
  <c r="EY37" i="6" a="1"/>
  <c r="EY37" i="6" s="1"/>
  <c r="EX37" i="6" a="1"/>
  <c r="EX37" i="6" s="1"/>
  <c r="EW37" i="6" a="1"/>
  <c r="EW37" i="6" s="1"/>
  <c r="EV37" i="6" a="1"/>
  <c r="EV37" i="6" s="1"/>
  <c r="EU37" i="6" a="1"/>
  <c r="EU37" i="6" s="1"/>
  <c r="EH37" i="6" a="1"/>
  <c r="EH37" i="6" s="1"/>
  <c r="EG37" i="6" a="1"/>
  <c r="EG37" i="6" s="1"/>
  <c r="EF37" i="6" a="1"/>
  <c r="EF37" i="6" s="1"/>
  <c r="EE37" i="6" a="1"/>
  <c r="EE37" i="6" s="1"/>
  <c r="ED37" i="6" a="1"/>
  <c r="ED37" i="6" s="1"/>
  <c r="DQ37" i="6" a="1"/>
  <c r="DQ37" i="6" s="1"/>
  <c r="DP37" i="6" a="1"/>
  <c r="DP37" i="6" s="1"/>
  <c r="DO37" i="6" a="1"/>
  <c r="DO37" i="6" s="1"/>
  <c r="DN37" i="6" a="1"/>
  <c r="DN37" i="6" s="1"/>
  <c r="DM37" i="6" a="1"/>
  <c r="DM37" i="6" s="1"/>
  <c r="DD37" i="6" a="1"/>
  <c r="DD37" i="6" s="1"/>
  <c r="CU37" i="6" a="1"/>
  <c r="CU37" i="6" s="1"/>
  <c r="CL37" i="6" a="1"/>
  <c r="CL37" i="6" s="1"/>
  <c r="BX37" i="6" a="1"/>
  <c r="BX37" i="6" s="1"/>
  <c r="BW37" i="6" a="1"/>
  <c r="BW37" i="6" s="1"/>
  <c r="BV37" i="6" a="1"/>
  <c r="BV37" i="6" s="1"/>
  <c r="BU37" i="6" a="1"/>
  <c r="BU37" i="6" s="1"/>
  <c r="BT37" i="6" a="1"/>
  <c r="BT37" i="6" s="1"/>
  <c r="BS37" i="6" a="1"/>
  <c r="BS37" i="6" s="1"/>
  <c r="BA37" i="6" a="1"/>
  <c r="BA37" i="6" s="1"/>
  <c r="AZ37" i="6" a="1"/>
  <c r="AZ37" i="6" s="1"/>
  <c r="AY37" i="6" a="1"/>
  <c r="AY37" i="6" s="1"/>
  <c r="AX37" i="6" a="1"/>
  <c r="AX37" i="6" s="1"/>
  <c r="AW37" i="6" a="1"/>
  <c r="AW37" i="6" s="1"/>
  <c r="AV37" i="6" a="1"/>
  <c r="AV37" i="6" s="1"/>
  <c r="AU37" i="6" a="1"/>
  <c r="AU37" i="6" s="1"/>
  <c r="AT37" i="6" a="1"/>
  <c r="AT37" i="6" s="1"/>
  <c r="AS37" i="6" a="1"/>
  <c r="AS37" i="6" s="1"/>
  <c r="AR37" i="6" a="1"/>
  <c r="AR37" i="6" s="1"/>
  <c r="AH37" i="6" a="1"/>
  <c r="AH37" i="6" s="1"/>
  <c r="AG37" i="6" a="1"/>
  <c r="AG37" i="6" s="1"/>
  <c r="V37" i="6" a="1"/>
  <c r="V37" i="6" s="1"/>
  <c r="U37" i="6" a="1"/>
  <c r="U37" i="6" s="1"/>
  <c r="J37" i="6" a="1"/>
  <c r="J37" i="6" s="1"/>
  <c r="I37" i="6" a="1"/>
  <c r="I37" i="6" s="1"/>
  <c r="ADA36" i="6" a="1"/>
  <c r="ADA36" i="6" s="1"/>
  <c r="ACZ36" i="6" a="1"/>
  <c r="ACZ36" i="6" s="1"/>
  <c r="ACY36" i="6" a="1"/>
  <c r="ACY36" i="6" s="1"/>
  <c r="ACN36" i="6" a="1"/>
  <c r="ACN36" i="6" s="1"/>
  <c r="ACM36" i="6" a="1"/>
  <c r="ACM36" i="6" s="1"/>
  <c r="ABU36" i="6" a="1"/>
  <c r="ABU36" i="6" s="1"/>
  <c r="ABX36" i="6" a="1"/>
  <c r="ABX36" i="6" s="1"/>
  <c r="ABV36" i="6" a="1"/>
  <c r="ABV36" i="6" s="1"/>
  <c r="ABH36" i="6" a="1"/>
  <c r="ABH36" i="6" s="1"/>
  <c r="ABG36" i="6" a="1"/>
  <c r="ABG36" i="6" s="1"/>
  <c r="ABF36" i="6" a="1"/>
  <c r="ABF36" i="6" s="1"/>
  <c r="ABE36" i="6" a="1"/>
  <c r="ABE36" i="6" s="1"/>
  <c r="ABD36" i="6" a="1"/>
  <c r="ABD36" i="6" s="1"/>
  <c r="ZR36" i="6" a="1"/>
  <c r="ZR36" i="6" s="1"/>
  <c r="ZE36" i="6" a="1"/>
  <c r="ZE36" i="6" s="1"/>
  <c r="ZD36" i="6" a="1"/>
  <c r="ZD36" i="6" s="1"/>
  <c r="ZC36" i="6" a="1"/>
  <c r="ZC36" i="6" s="1"/>
  <c r="ZB36" i="6" a="1"/>
  <c r="ZB36" i="6" s="1"/>
  <c r="ZA36" i="6" a="1"/>
  <c r="ZA36" i="6" s="1"/>
  <c r="YP36" i="6" a="1"/>
  <c r="YP36" i="6" s="1"/>
  <c r="YO36" i="6" a="1"/>
  <c r="YO36" i="6" s="1"/>
  <c r="YE36" i="6" a="1"/>
  <c r="YE36" i="6" s="1"/>
  <c r="YD36" i="6" a="1"/>
  <c r="YD36" i="6" s="1"/>
  <c r="XT36" i="6" a="1"/>
  <c r="XT36" i="6" s="1"/>
  <c r="XS36" i="6" a="1"/>
  <c r="XS36" i="6" s="1"/>
  <c r="XI36" i="6" a="1"/>
  <c r="XI36" i="6" s="1"/>
  <c r="XH36" i="6" a="1"/>
  <c r="XH36" i="6" s="1"/>
  <c r="WX36" i="6" a="1"/>
  <c r="WX36" i="6" s="1"/>
  <c r="WW36" i="6" a="1"/>
  <c r="WW36" i="6" s="1"/>
  <c r="WM36" i="6" a="1"/>
  <c r="WM36" i="6" s="1"/>
  <c r="WL36" i="6" a="1"/>
  <c r="WL36" i="6" s="1"/>
  <c r="WC36" i="6" a="1"/>
  <c r="WC36" i="6" s="1"/>
  <c r="VQ36" i="6" a="1"/>
  <c r="VQ36" i="6" s="1"/>
  <c r="VP36" i="6" a="1"/>
  <c r="VP36" i="6" s="1"/>
  <c r="VO36" i="6" a="1"/>
  <c r="VO36" i="6" s="1"/>
  <c r="VN36" i="6" a="1"/>
  <c r="VN36" i="6" s="1"/>
  <c r="VA36" i="6" a="1"/>
  <c r="VA36" i="6" s="1"/>
  <c r="UZ36" i="6" a="1"/>
  <c r="UZ36" i="6" s="1"/>
  <c r="UY36" i="6" a="1"/>
  <c r="UY36" i="6" s="1"/>
  <c r="UX36" i="6" a="1"/>
  <c r="UX36" i="6" s="1"/>
  <c r="UW36" i="6" a="1"/>
  <c r="UW36" i="6" s="1"/>
  <c r="UM36" i="6" a="1"/>
  <c r="UM36" i="6" s="1"/>
  <c r="TZ36" i="6" a="1"/>
  <c r="TZ36" i="6" s="1"/>
  <c r="TY36" i="6" a="1"/>
  <c r="TY36" i="6" s="1"/>
  <c r="TX36" i="6" a="1"/>
  <c r="TX36" i="6" s="1"/>
  <c r="TW36" i="6" a="1"/>
  <c r="TW36" i="6" s="1"/>
  <c r="TV36" i="6" a="1"/>
  <c r="TV36" i="6" s="1"/>
  <c r="TH36" i="6" a="1"/>
  <c r="TH36" i="6" s="1"/>
  <c r="TG36" i="6" a="1"/>
  <c r="TG36" i="6" s="1"/>
  <c r="TF36" i="6" a="1"/>
  <c r="TF36" i="6" s="1"/>
  <c r="TE36" i="6" a="1"/>
  <c r="TE36" i="6" s="1"/>
  <c r="TD36" i="6" a="1"/>
  <c r="TD36" i="6" s="1"/>
  <c r="SP36" i="6" a="1"/>
  <c r="SP36" i="6" s="1"/>
  <c r="SO36" i="6" a="1"/>
  <c r="SO36" i="6" s="1"/>
  <c r="SN36" i="6" a="1"/>
  <c r="SN36" i="6" s="1"/>
  <c r="SM36" i="6" a="1"/>
  <c r="SM36" i="6" s="1"/>
  <c r="SL36" i="6" a="1"/>
  <c r="SL36" i="6" s="1"/>
  <c r="RX36" i="6" a="1"/>
  <c r="RX36" i="6" s="1"/>
  <c r="RW36" i="6" a="1"/>
  <c r="RW36" i="6" s="1"/>
  <c r="RV36" i="6" a="1"/>
  <c r="RV36" i="6" s="1"/>
  <c r="RU36" i="6" a="1"/>
  <c r="RU36" i="6" s="1"/>
  <c r="RT36" i="6" a="1"/>
  <c r="RT36" i="6" s="1"/>
  <c r="RF36" i="6" a="1"/>
  <c r="RF36" i="6" s="1"/>
  <c r="RE36" i="6" a="1"/>
  <c r="RE36" i="6" s="1"/>
  <c r="RD36" i="6" a="1"/>
  <c r="RD36" i="6" s="1"/>
  <c r="RC36" i="6" a="1"/>
  <c r="RC36" i="6" s="1"/>
  <c r="RB36" i="6" a="1"/>
  <c r="RB36" i="6" s="1"/>
  <c r="QN36" i="6" a="1"/>
  <c r="QN36" i="6" s="1"/>
  <c r="QM36" i="6" a="1"/>
  <c r="QM36" i="6" s="1"/>
  <c r="QL36" i="6" a="1"/>
  <c r="QL36" i="6" s="1"/>
  <c r="QK36" i="6" a="1"/>
  <c r="QK36" i="6" s="1"/>
  <c r="QJ36" i="6" a="1"/>
  <c r="QJ36" i="6" s="1"/>
  <c r="PV36" i="6" a="1"/>
  <c r="PV36" i="6" s="1"/>
  <c r="PU36" i="6" a="1"/>
  <c r="PU36" i="6" s="1"/>
  <c r="PT36" i="6" a="1"/>
  <c r="PT36" i="6" s="1"/>
  <c r="PS36" i="6" a="1"/>
  <c r="PS36" i="6" s="1"/>
  <c r="PR36" i="6" a="1"/>
  <c r="PR36" i="6" s="1"/>
  <c r="PD36" i="6" a="1"/>
  <c r="PD36" i="6" s="1"/>
  <c r="PC36" i="6" a="1"/>
  <c r="PC36" i="6" s="1"/>
  <c r="PB36" i="6" a="1"/>
  <c r="PB36" i="6" s="1"/>
  <c r="PA36" i="6" a="1"/>
  <c r="PA36" i="6" s="1"/>
  <c r="OZ36" i="6" a="1"/>
  <c r="OZ36" i="6" s="1"/>
  <c r="OL36" i="6" a="1"/>
  <c r="OL36" i="6" s="1"/>
  <c r="OK36" i="6" a="1"/>
  <c r="OK36" i="6" s="1"/>
  <c r="OJ36" i="6" a="1"/>
  <c r="OJ36" i="6" s="1"/>
  <c r="OI36" i="6" a="1"/>
  <c r="OI36" i="6" s="1"/>
  <c r="OH36" i="6" a="1"/>
  <c r="OH36" i="6" s="1"/>
  <c r="NT36" i="6" a="1"/>
  <c r="NT36" i="6" s="1"/>
  <c r="NS36" i="6" a="1"/>
  <c r="NS36" i="6" s="1"/>
  <c r="NR36" i="6" a="1"/>
  <c r="NR36" i="6" s="1"/>
  <c r="NQ36" i="6" a="1"/>
  <c r="NQ36" i="6" s="1"/>
  <c r="NP36" i="6" a="1"/>
  <c r="NP36" i="6" s="1"/>
  <c r="NC36" i="6" a="1"/>
  <c r="NC36" i="6" s="1"/>
  <c r="NB36" i="6" a="1"/>
  <c r="NB36" i="6" s="1"/>
  <c r="NA36" i="6" a="1"/>
  <c r="NA36" i="6" s="1"/>
  <c r="MZ36" i="6" a="1"/>
  <c r="MZ36" i="6" s="1"/>
  <c r="MY36" i="6" a="1"/>
  <c r="MY36" i="6" s="1"/>
  <c r="MK36" i="6" a="1"/>
  <c r="MK36" i="6" s="1"/>
  <c r="MJ36" i="6" a="1"/>
  <c r="MJ36" i="6" s="1"/>
  <c r="MI36" i="6" a="1"/>
  <c r="MI36" i="6" s="1"/>
  <c r="MH36" i="6" a="1"/>
  <c r="MH36" i="6" s="1"/>
  <c r="MG36" i="6" a="1"/>
  <c r="MG36" i="6" s="1"/>
  <c r="LS36" i="6" a="1"/>
  <c r="LS36" i="6" s="1"/>
  <c r="LR36" i="6" a="1"/>
  <c r="LR36" i="6" s="1"/>
  <c r="LQ36" i="6" a="1"/>
  <c r="LQ36" i="6" s="1"/>
  <c r="LP36" i="6" a="1"/>
  <c r="LP36" i="6" s="1"/>
  <c r="LO36" i="6" a="1"/>
  <c r="LO36" i="6" s="1"/>
  <c r="LA36" i="6" a="1"/>
  <c r="LA36" i="6" s="1"/>
  <c r="KZ36" i="6" a="1"/>
  <c r="KZ36" i="6" s="1"/>
  <c r="KY36" i="6" a="1"/>
  <c r="KY36" i="6" s="1"/>
  <c r="KX36" i="6" a="1"/>
  <c r="KX36" i="6" s="1"/>
  <c r="KW36" i="6" a="1"/>
  <c r="KW36" i="6" s="1"/>
  <c r="KI36" i="6" a="1"/>
  <c r="KI36" i="6" s="1"/>
  <c r="KH36" i="6" a="1"/>
  <c r="KH36" i="6" s="1"/>
  <c r="KG36" i="6" a="1"/>
  <c r="KG36" i="6" s="1"/>
  <c r="KF36" i="6" a="1"/>
  <c r="KF36" i="6" s="1"/>
  <c r="KE36" i="6" a="1"/>
  <c r="KE36" i="6" s="1"/>
  <c r="JQ36" i="6" a="1"/>
  <c r="JQ36" i="6" s="1"/>
  <c r="JP36" i="6" a="1"/>
  <c r="JP36" i="6" s="1"/>
  <c r="JO36" i="6" a="1"/>
  <c r="JO36" i="6" s="1"/>
  <c r="JN36" i="6" a="1"/>
  <c r="JN36" i="6" s="1"/>
  <c r="JM36" i="6" a="1"/>
  <c r="JM36" i="6" s="1"/>
  <c r="IY36" i="6" a="1"/>
  <c r="IY36" i="6" s="1"/>
  <c r="IX36" i="6" a="1"/>
  <c r="IX36" i="6" s="1"/>
  <c r="IW36" i="6" a="1"/>
  <c r="IW36" i="6" s="1"/>
  <c r="IV36" i="6" a="1"/>
  <c r="IV36" i="6" s="1"/>
  <c r="IU36" i="6" a="1"/>
  <c r="IU36" i="6" s="1"/>
  <c r="IG36" i="6" a="1"/>
  <c r="IG36" i="6" s="1"/>
  <c r="IF36" i="6" a="1"/>
  <c r="IF36" i="6" s="1"/>
  <c r="IE36" i="6" a="1"/>
  <c r="IE36" i="6" s="1"/>
  <c r="ID36" i="6" a="1"/>
  <c r="ID36" i="6" s="1"/>
  <c r="IC36" i="6" a="1"/>
  <c r="IC36" i="6" s="1"/>
  <c r="HO36" i="6" a="1"/>
  <c r="HO36" i="6" s="1"/>
  <c r="HN36" i="6" a="1"/>
  <c r="HN36" i="6" s="1"/>
  <c r="HM36" i="6" a="1"/>
  <c r="HM36" i="6" s="1"/>
  <c r="HL36" i="6" a="1"/>
  <c r="HL36" i="6" s="1"/>
  <c r="HK36" i="6" a="1"/>
  <c r="HK36" i="6" s="1"/>
  <c r="GX36" i="6" a="1"/>
  <c r="GX36" i="6" s="1"/>
  <c r="GW36" i="6" a="1"/>
  <c r="GW36" i="6" s="1"/>
  <c r="GV36" i="6" a="1"/>
  <c r="GV36" i="6" s="1"/>
  <c r="GU36" i="6" a="1"/>
  <c r="GU36" i="6" s="1"/>
  <c r="GT36" i="6" a="1"/>
  <c r="GT36" i="6" s="1"/>
  <c r="GG36" i="6" a="1"/>
  <c r="GG36" i="6" s="1"/>
  <c r="GF36" i="6" a="1"/>
  <c r="GF36" i="6" s="1"/>
  <c r="GE36" i="6" a="1"/>
  <c r="GE36" i="6" s="1"/>
  <c r="GD36" i="6" a="1"/>
  <c r="GD36" i="6" s="1"/>
  <c r="GC36" i="6" a="1"/>
  <c r="GC36" i="6" s="1"/>
  <c r="FP36" i="6" a="1"/>
  <c r="FP36" i="6" s="1"/>
  <c r="FO36" i="6" a="1"/>
  <c r="FO36" i="6" s="1"/>
  <c r="FN36" i="6" a="1"/>
  <c r="FN36" i="6" s="1"/>
  <c r="FM36" i="6" a="1"/>
  <c r="FM36" i="6" s="1"/>
  <c r="FL36" i="6" a="1"/>
  <c r="FL36" i="6" s="1"/>
  <c r="EY36" i="6" a="1"/>
  <c r="EY36" i="6" s="1"/>
  <c r="EX36" i="6" a="1"/>
  <c r="EX36" i="6" s="1"/>
  <c r="EW36" i="6" a="1"/>
  <c r="EW36" i="6" s="1"/>
  <c r="EV36" i="6" a="1"/>
  <c r="EV36" i="6" s="1"/>
  <c r="EU36" i="6" a="1"/>
  <c r="EU36" i="6" s="1"/>
  <c r="EH36" i="6" a="1"/>
  <c r="EH36" i="6" s="1"/>
  <c r="EG36" i="6" a="1"/>
  <c r="EG36" i="6" s="1"/>
  <c r="EF36" i="6" a="1"/>
  <c r="EF36" i="6" s="1"/>
  <c r="EE36" i="6" a="1"/>
  <c r="EE36" i="6" s="1"/>
  <c r="ED36" i="6" a="1"/>
  <c r="ED36" i="6" s="1"/>
  <c r="DQ36" i="6" a="1"/>
  <c r="DQ36" i="6" s="1"/>
  <c r="DP36" i="6" a="1"/>
  <c r="DP36" i="6" s="1"/>
  <c r="DO36" i="6" a="1"/>
  <c r="DO36" i="6" s="1"/>
  <c r="DN36" i="6" a="1"/>
  <c r="DN36" i="6" s="1"/>
  <c r="DM36" i="6" a="1"/>
  <c r="DM36" i="6" s="1"/>
  <c r="DD36" i="6" a="1"/>
  <c r="DD36" i="6" s="1"/>
  <c r="CU36" i="6" a="1"/>
  <c r="CU36" i="6" s="1"/>
  <c r="CL36" i="6" a="1"/>
  <c r="CL36" i="6" s="1"/>
  <c r="BX36" i="6" a="1"/>
  <c r="BX36" i="6" s="1"/>
  <c r="BW36" i="6" a="1"/>
  <c r="BW36" i="6" s="1"/>
  <c r="BV36" i="6" a="1"/>
  <c r="BV36" i="6" s="1"/>
  <c r="BU36" i="6" a="1"/>
  <c r="BU36" i="6" s="1"/>
  <c r="BT36" i="6" a="1"/>
  <c r="BT36" i="6" s="1"/>
  <c r="BS36" i="6" a="1"/>
  <c r="BS36" i="6" s="1"/>
  <c r="BA36" i="6" a="1"/>
  <c r="BA36" i="6" s="1"/>
  <c r="AZ36" i="6" a="1"/>
  <c r="AZ36" i="6" s="1"/>
  <c r="AY36" i="6" a="1"/>
  <c r="AY36" i="6" s="1"/>
  <c r="AX36" i="6" a="1"/>
  <c r="AX36" i="6" s="1"/>
  <c r="AW36" i="6" a="1"/>
  <c r="AW36" i="6" s="1"/>
  <c r="AV36" i="6" a="1"/>
  <c r="AV36" i="6" s="1"/>
  <c r="AU36" i="6" a="1"/>
  <c r="AU36" i="6" s="1"/>
  <c r="AT36" i="6" a="1"/>
  <c r="AT36" i="6" s="1"/>
  <c r="AS36" i="6" a="1"/>
  <c r="AS36" i="6" s="1"/>
  <c r="AR36" i="6" a="1"/>
  <c r="AR36" i="6" s="1"/>
  <c r="AH36" i="6" a="1"/>
  <c r="AH36" i="6" s="1"/>
  <c r="AG36" i="6" a="1"/>
  <c r="AG36" i="6" s="1"/>
  <c r="V36" i="6" a="1"/>
  <c r="V36" i="6" s="1"/>
  <c r="U36" i="6" a="1"/>
  <c r="U36" i="6" s="1"/>
  <c r="J36" i="6" a="1"/>
  <c r="J36" i="6" s="1"/>
  <c r="I36" i="6" a="1"/>
  <c r="I36" i="6" s="1"/>
  <c r="ADA35" i="6" a="1"/>
  <c r="ADA35" i="6" s="1"/>
  <c r="ACZ35" i="6" a="1"/>
  <c r="ACZ35" i="6" s="1"/>
  <c r="ACY35" i="6" a="1"/>
  <c r="ACY35" i="6" s="1"/>
  <c r="ACN35" i="6" a="1"/>
  <c r="ACN35" i="6" s="1"/>
  <c r="ACM35" i="6" a="1"/>
  <c r="ACM35" i="6" s="1"/>
  <c r="ABU35" i="6" a="1"/>
  <c r="ABU35" i="6" s="1"/>
  <c r="ABX35" i="6" a="1"/>
  <c r="ABX35" i="6" s="1"/>
  <c r="ABV35" i="6" a="1"/>
  <c r="ABV35" i="6" s="1"/>
  <c r="ABH35" i="6" a="1"/>
  <c r="ABH35" i="6" s="1"/>
  <c r="ABG35" i="6" a="1"/>
  <c r="ABG35" i="6" s="1"/>
  <c r="ABF35" i="6" a="1"/>
  <c r="ABF35" i="6" s="1"/>
  <c r="ABE35" i="6" a="1"/>
  <c r="ABE35" i="6" s="1"/>
  <c r="ABD35" i="6" a="1"/>
  <c r="ABD35" i="6" s="1"/>
  <c r="ZR35" i="6" a="1"/>
  <c r="ZR35" i="6" s="1"/>
  <c r="ZE35" i="6" a="1"/>
  <c r="ZE35" i="6" s="1"/>
  <c r="ZD35" i="6" a="1"/>
  <c r="ZD35" i="6" s="1"/>
  <c r="ZC35" i="6" a="1"/>
  <c r="ZC35" i="6" s="1"/>
  <c r="ZB35" i="6" a="1"/>
  <c r="ZB35" i="6" s="1"/>
  <c r="ZA35" i="6" a="1"/>
  <c r="ZA35" i="6" s="1"/>
  <c r="YP35" i="6" a="1"/>
  <c r="YP35" i="6" s="1"/>
  <c r="YO35" i="6" a="1"/>
  <c r="YO35" i="6" s="1"/>
  <c r="YE35" i="6" a="1"/>
  <c r="YE35" i="6" s="1"/>
  <c r="YD35" i="6" a="1"/>
  <c r="YD35" i="6" s="1"/>
  <c r="XT35" i="6" a="1"/>
  <c r="XT35" i="6" s="1"/>
  <c r="XS35" i="6" a="1"/>
  <c r="XS35" i="6" s="1"/>
  <c r="XI35" i="6" a="1"/>
  <c r="XI35" i="6" s="1"/>
  <c r="XH35" i="6" a="1"/>
  <c r="XH35" i="6" s="1"/>
  <c r="WX35" i="6" a="1"/>
  <c r="WX35" i="6" s="1"/>
  <c r="WW35" i="6" a="1"/>
  <c r="WW35" i="6" s="1"/>
  <c r="WM35" i="6" a="1"/>
  <c r="WM35" i="6" s="1"/>
  <c r="WL35" i="6" a="1"/>
  <c r="WL35" i="6" s="1"/>
  <c r="WC35" i="6" a="1"/>
  <c r="WC35" i="6" s="1"/>
  <c r="VQ35" i="6" a="1"/>
  <c r="VQ35" i="6" s="1"/>
  <c r="VP35" i="6" a="1"/>
  <c r="VP35" i="6" s="1"/>
  <c r="VO35" i="6" a="1"/>
  <c r="VO35" i="6" s="1"/>
  <c r="VN35" i="6" a="1"/>
  <c r="VN35" i="6" s="1"/>
  <c r="VA35" i="6" a="1"/>
  <c r="VA35" i="6" s="1"/>
  <c r="UZ35" i="6" a="1"/>
  <c r="UZ35" i="6" s="1"/>
  <c r="UY35" i="6" a="1"/>
  <c r="UY35" i="6" s="1"/>
  <c r="UX35" i="6" a="1"/>
  <c r="UX35" i="6" s="1"/>
  <c r="UW35" i="6" a="1"/>
  <c r="UW35" i="6" s="1"/>
  <c r="UM35" i="6" a="1"/>
  <c r="UM35" i="6" s="1"/>
  <c r="TZ35" i="6" a="1"/>
  <c r="TZ35" i="6" s="1"/>
  <c r="TY35" i="6" a="1"/>
  <c r="TY35" i="6" s="1"/>
  <c r="TX35" i="6" a="1"/>
  <c r="TX35" i="6" s="1"/>
  <c r="TW35" i="6" a="1"/>
  <c r="TW35" i="6" s="1"/>
  <c r="TV35" i="6" a="1"/>
  <c r="TV35" i="6" s="1"/>
  <c r="TH35" i="6" a="1"/>
  <c r="TH35" i="6" s="1"/>
  <c r="TG35" i="6" a="1"/>
  <c r="TG35" i="6" s="1"/>
  <c r="TF35" i="6" a="1"/>
  <c r="TF35" i="6" s="1"/>
  <c r="TE35" i="6" a="1"/>
  <c r="TE35" i="6" s="1"/>
  <c r="TD35" i="6" a="1"/>
  <c r="TD35" i="6" s="1"/>
  <c r="SP35" i="6" a="1"/>
  <c r="SP35" i="6" s="1"/>
  <c r="SO35" i="6" a="1"/>
  <c r="SO35" i="6" s="1"/>
  <c r="SN35" i="6" a="1"/>
  <c r="SN35" i="6" s="1"/>
  <c r="SM35" i="6" a="1"/>
  <c r="SM35" i="6" s="1"/>
  <c r="SL35" i="6" a="1"/>
  <c r="SL35" i="6" s="1"/>
  <c r="RX35" i="6" a="1"/>
  <c r="RX35" i="6" s="1"/>
  <c r="RW35" i="6" a="1"/>
  <c r="RW35" i="6" s="1"/>
  <c r="RV35" i="6" a="1"/>
  <c r="RV35" i="6" s="1"/>
  <c r="RU35" i="6" a="1"/>
  <c r="RU35" i="6" s="1"/>
  <c r="RT35" i="6" a="1"/>
  <c r="RT35" i="6" s="1"/>
  <c r="RF35" i="6" a="1"/>
  <c r="RF35" i="6" s="1"/>
  <c r="RE35" i="6" a="1"/>
  <c r="RE35" i="6" s="1"/>
  <c r="RD35" i="6" a="1"/>
  <c r="RD35" i="6" s="1"/>
  <c r="RC35" i="6" a="1"/>
  <c r="RC35" i="6" s="1"/>
  <c r="RB35" i="6" a="1"/>
  <c r="RB35" i="6" s="1"/>
  <c r="QN35" i="6" a="1"/>
  <c r="QN35" i="6" s="1"/>
  <c r="QM35" i="6" a="1"/>
  <c r="QM35" i="6" s="1"/>
  <c r="QL35" i="6" a="1"/>
  <c r="QL35" i="6" s="1"/>
  <c r="QK35" i="6" a="1"/>
  <c r="QK35" i="6" s="1"/>
  <c r="QJ35" i="6" a="1"/>
  <c r="QJ35" i="6" s="1"/>
  <c r="PV35" i="6" a="1"/>
  <c r="PV35" i="6" s="1"/>
  <c r="PU35" i="6" a="1"/>
  <c r="PU35" i="6" s="1"/>
  <c r="PT35" i="6" a="1"/>
  <c r="PT35" i="6" s="1"/>
  <c r="PS35" i="6" a="1"/>
  <c r="PS35" i="6" s="1"/>
  <c r="PR35" i="6" a="1"/>
  <c r="PR35" i="6" s="1"/>
  <c r="PD35" i="6" a="1"/>
  <c r="PD35" i="6" s="1"/>
  <c r="PC35" i="6" a="1"/>
  <c r="PC35" i="6" s="1"/>
  <c r="PB35" i="6" a="1"/>
  <c r="PB35" i="6" s="1"/>
  <c r="PA35" i="6" a="1"/>
  <c r="PA35" i="6" s="1"/>
  <c r="OZ35" i="6" a="1"/>
  <c r="OZ35" i="6" s="1"/>
  <c r="OL35" i="6" a="1"/>
  <c r="OL35" i="6" s="1"/>
  <c r="OK35" i="6" a="1"/>
  <c r="OK35" i="6" s="1"/>
  <c r="OJ35" i="6" a="1"/>
  <c r="OJ35" i="6" s="1"/>
  <c r="OI35" i="6" a="1"/>
  <c r="OI35" i="6" s="1"/>
  <c r="OH35" i="6" a="1"/>
  <c r="OH35" i="6" s="1"/>
  <c r="NT35" i="6" a="1"/>
  <c r="NT35" i="6" s="1"/>
  <c r="NS35" i="6" a="1"/>
  <c r="NS35" i="6" s="1"/>
  <c r="NR35" i="6" a="1"/>
  <c r="NR35" i="6" s="1"/>
  <c r="NQ35" i="6" a="1"/>
  <c r="NQ35" i="6" s="1"/>
  <c r="NP35" i="6" a="1"/>
  <c r="NP35" i="6" s="1"/>
  <c r="NC35" i="6" a="1"/>
  <c r="NC35" i="6" s="1"/>
  <c r="NB35" i="6" a="1"/>
  <c r="NB35" i="6" s="1"/>
  <c r="NA35" i="6" a="1"/>
  <c r="NA35" i="6" s="1"/>
  <c r="MZ35" i="6" a="1"/>
  <c r="MZ35" i="6" s="1"/>
  <c r="MY35" i="6" a="1"/>
  <c r="MY35" i="6" s="1"/>
  <c r="MK35" i="6" a="1"/>
  <c r="MK35" i="6" s="1"/>
  <c r="MJ35" i="6" a="1"/>
  <c r="MJ35" i="6" s="1"/>
  <c r="MI35" i="6" a="1"/>
  <c r="MI35" i="6" s="1"/>
  <c r="MH35" i="6" a="1"/>
  <c r="MH35" i="6" s="1"/>
  <c r="MG35" i="6" a="1"/>
  <c r="MG35" i="6" s="1"/>
  <c r="LS35" i="6" a="1"/>
  <c r="LS35" i="6" s="1"/>
  <c r="LR35" i="6" a="1"/>
  <c r="LR35" i="6" s="1"/>
  <c r="LQ35" i="6" a="1"/>
  <c r="LQ35" i="6" s="1"/>
  <c r="LP35" i="6" a="1"/>
  <c r="LP35" i="6" s="1"/>
  <c r="LO35" i="6" a="1"/>
  <c r="LO35" i="6" s="1"/>
  <c r="LA35" i="6" a="1"/>
  <c r="LA35" i="6" s="1"/>
  <c r="KZ35" i="6" a="1"/>
  <c r="KZ35" i="6" s="1"/>
  <c r="KY35" i="6" a="1"/>
  <c r="KY35" i="6" s="1"/>
  <c r="KX35" i="6" a="1"/>
  <c r="KX35" i="6" s="1"/>
  <c r="KW35" i="6" a="1"/>
  <c r="KW35" i="6" s="1"/>
  <c r="KI35" i="6" a="1"/>
  <c r="KI35" i="6" s="1"/>
  <c r="KH35" i="6" a="1"/>
  <c r="KH35" i="6" s="1"/>
  <c r="KG35" i="6" a="1"/>
  <c r="KG35" i="6" s="1"/>
  <c r="KF35" i="6" a="1"/>
  <c r="KF35" i="6" s="1"/>
  <c r="KE35" i="6" a="1"/>
  <c r="KE35" i="6" s="1"/>
  <c r="JQ35" i="6" a="1"/>
  <c r="JQ35" i="6" s="1"/>
  <c r="JP35" i="6" a="1"/>
  <c r="JP35" i="6" s="1"/>
  <c r="JO35" i="6" a="1"/>
  <c r="JO35" i="6" s="1"/>
  <c r="JN35" i="6" a="1"/>
  <c r="JN35" i="6" s="1"/>
  <c r="JM35" i="6" a="1"/>
  <c r="JM35" i="6" s="1"/>
  <c r="IY35" i="6" a="1"/>
  <c r="IY35" i="6" s="1"/>
  <c r="IX35" i="6" a="1"/>
  <c r="IX35" i="6" s="1"/>
  <c r="IW35" i="6" a="1"/>
  <c r="IW35" i="6" s="1"/>
  <c r="IV35" i="6" a="1"/>
  <c r="IV35" i="6" s="1"/>
  <c r="IU35" i="6" a="1"/>
  <c r="IU35" i="6" s="1"/>
  <c r="IG35" i="6" a="1"/>
  <c r="IG35" i="6" s="1"/>
  <c r="IF35" i="6" a="1"/>
  <c r="IF35" i="6" s="1"/>
  <c r="IE35" i="6" a="1"/>
  <c r="IE35" i="6" s="1"/>
  <c r="ID35" i="6" a="1"/>
  <c r="ID35" i="6" s="1"/>
  <c r="IC35" i="6" a="1"/>
  <c r="IC35" i="6" s="1"/>
  <c r="HO35" i="6" a="1"/>
  <c r="HO35" i="6" s="1"/>
  <c r="HN35" i="6" a="1"/>
  <c r="HN35" i="6" s="1"/>
  <c r="HM35" i="6" a="1"/>
  <c r="HM35" i="6" s="1"/>
  <c r="HL35" i="6" a="1"/>
  <c r="HL35" i="6" s="1"/>
  <c r="HK35" i="6" a="1"/>
  <c r="HK35" i="6" s="1"/>
  <c r="GX35" i="6" a="1"/>
  <c r="GX35" i="6" s="1"/>
  <c r="GW35" i="6" a="1"/>
  <c r="GW35" i="6" s="1"/>
  <c r="GV35" i="6" a="1"/>
  <c r="GV35" i="6" s="1"/>
  <c r="GU35" i="6" a="1"/>
  <c r="GU35" i="6" s="1"/>
  <c r="GT35" i="6" a="1"/>
  <c r="GT35" i="6" s="1"/>
  <c r="GG35" i="6" a="1"/>
  <c r="GG35" i="6" s="1"/>
  <c r="GF35" i="6" a="1"/>
  <c r="GF35" i="6" s="1"/>
  <c r="GE35" i="6" a="1"/>
  <c r="GE35" i="6" s="1"/>
  <c r="GD35" i="6" a="1"/>
  <c r="GD35" i="6" s="1"/>
  <c r="GC35" i="6" a="1"/>
  <c r="GC35" i="6" s="1"/>
  <c r="FP35" i="6" a="1"/>
  <c r="FP35" i="6" s="1"/>
  <c r="FO35" i="6" a="1"/>
  <c r="FO35" i="6" s="1"/>
  <c r="FN35" i="6" a="1"/>
  <c r="FN35" i="6" s="1"/>
  <c r="FM35" i="6" a="1"/>
  <c r="FM35" i="6" s="1"/>
  <c r="FL35" i="6" a="1"/>
  <c r="FL35" i="6" s="1"/>
  <c r="EY35" i="6" a="1"/>
  <c r="EY35" i="6" s="1"/>
  <c r="EX35" i="6" a="1"/>
  <c r="EX35" i="6" s="1"/>
  <c r="EW35" i="6" a="1"/>
  <c r="EW35" i="6" s="1"/>
  <c r="EV35" i="6" a="1"/>
  <c r="EV35" i="6" s="1"/>
  <c r="EU35" i="6" a="1"/>
  <c r="EU35" i="6" s="1"/>
  <c r="EH35" i="6" a="1"/>
  <c r="EH35" i="6" s="1"/>
  <c r="EG35" i="6" a="1"/>
  <c r="EG35" i="6" s="1"/>
  <c r="EF35" i="6" a="1"/>
  <c r="EF35" i="6" s="1"/>
  <c r="EE35" i="6" a="1"/>
  <c r="EE35" i="6" s="1"/>
  <c r="ED35" i="6" a="1"/>
  <c r="ED35" i="6" s="1"/>
  <c r="DQ35" i="6" a="1"/>
  <c r="DQ35" i="6" s="1"/>
  <c r="DP35" i="6" a="1"/>
  <c r="DP35" i="6" s="1"/>
  <c r="DO35" i="6" a="1"/>
  <c r="DO35" i="6" s="1"/>
  <c r="DN35" i="6" a="1"/>
  <c r="DN35" i="6" s="1"/>
  <c r="DM35" i="6" a="1"/>
  <c r="DM35" i="6" s="1"/>
  <c r="DD35" i="6" a="1"/>
  <c r="DD35" i="6" s="1"/>
  <c r="CU35" i="6" a="1"/>
  <c r="CU35" i="6" s="1"/>
  <c r="CL35" i="6" a="1"/>
  <c r="CL35" i="6" s="1"/>
  <c r="BX35" i="6" a="1"/>
  <c r="BX35" i="6" s="1"/>
  <c r="BW35" i="6" a="1"/>
  <c r="BW35" i="6" s="1"/>
  <c r="BV35" i="6" a="1"/>
  <c r="BV35" i="6" s="1"/>
  <c r="BU35" i="6" a="1"/>
  <c r="BU35" i="6" s="1"/>
  <c r="BT35" i="6" a="1"/>
  <c r="BT35" i="6" s="1"/>
  <c r="BS35" i="6" a="1"/>
  <c r="BS35" i="6" s="1"/>
  <c r="BA35" i="6" a="1"/>
  <c r="BA35" i="6" s="1"/>
  <c r="AZ35" i="6" a="1"/>
  <c r="AZ35" i="6" s="1"/>
  <c r="AY35" i="6" a="1"/>
  <c r="AY35" i="6" s="1"/>
  <c r="AX35" i="6" a="1"/>
  <c r="AX35" i="6" s="1"/>
  <c r="AW35" i="6" a="1"/>
  <c r="AW35" i="6" s="1"/>
  <c r="AV35" i="6" a="1"/>
  <c r="AV35" i="6" s="1"/>
  <c r="AU35" i="6" a="1"/>
  <c r="AU35" i="6" s="1"/>
  <c r="AT35" i="6" a="1"/>
  <c r="AT35" i="6" s="1"/>
  <c r="AS35" i="6" a="1"/>
  <c r="AS35" i="6" s="1"/>
  <c r="AR35" i="6" a="1"/>
  <c r="AR35" i="6" s="1"/>
  <c r="AH35" i="6" a="1"/>
  <c r="AH35" i="6" s="1"/>
  <c r="AG35" i="6" a="1"/>
  <c r="AG35" i="6" s="1"/>
  <c r="V35" i="6" a="1"/>
  <c r="V35" i="6" s="1"/>
  <c r="U35" i="6" a="1"/>
  <c r="U35" i="6" s="1"/>
  <c r="J35" i="6" a="1"/>
  <c r="J35" i="6" s="1"/>
  <c r="I35" i="6" a="1"/>
  <c r="I35" i="6" s="1"/>
  <c r="ADA34" i="6" a="1"/>
  <c r="ADA34" i="6" s="1"/>
  <c r="ACZ34" i="6" a="1"/>
  <c r="ACZ34" i="6" s="1"/>
  <c r="ACY34" i="6" a="1"/>
  <c r="ACY34" i="6" s="1"/>
  <c r="ACN34" i="6" a="1"/>
  <c r="ACN34" i="6" s="1"/>
  <c r="ACM34" i="6" a="1"/>
  <c r="ACM34" i="6" s="1"/>
  <c r="ABU34" i="6" a="1"/>
  <c r="ABU34" i="6" s="1"/>
  <c r="ABX34" i="6" a="1"/>
  <c r="ABX34" i="6" s="1"/>
  <c r="ABV34" i="6" a="1"/>
  <c r="ABV34" i="6" s="1"/>
  <c r="ABH34" i="6" a="1"/>
  <c r="ABH34" i="6" s="1"/>
  <c r="ABG34" i="6" a="1"/>
  <c r="ABG34" i="6" s="1"/>
  <c r="ABF34" i="6" a="1"/>
  <c r="ABF34" i="6" s="1"/>
  <c r="ABE34" i="6" a="1"/>
  <c r="ABE34" i="6" s="1"/>
  <c r="ABD34" i="6" a="1"/>
  <c r="ABD34" i="6" s="1"/>
  <c r="ZR34" i="6" a="1"/>
  <c r="ZR34" i="6" s="1"/>
  <c r="ZE34" i="6" a="1"/>
  <c r="ZE34" i="6" s="1"/>
  <c r="ZD34" i="6" a="1"/>
  <c r="ZD34" i="6" s="1"/>
  <c r="ZC34" i="6" a="1"/>
  <c r="ZC34" i="6" s="1"/>
  <c r="ZB34" i="6" a="1"/>
  <c r="ZB34" i="6" s="1"/>
  <c r="ZA34" i="6" a="1"/>
  <c r="ZA34" i="6" s="1"/>
  <c r="YP34" i="6" a="1"/>
  <c r="YP34" i="6" s="1"/>
  <c r="YO34" i="6" a="1"/>
  <c r="YO34" i="6" s="1"/>
  <c r="YE34" i="6" a="1"/>
  <c r="YE34" i="6" s="1"/>
  <c r="YD34" i="6" a="1"/>
  <c r="YD34" i="6" s="1"/>
  <c r="XT34" i="6" a="1"/>
  <c r="XT34" i="6" s="1"/>
  <c r="XS34" i="6" a="1"/>
  <c r="XS34" i="6" s="1"/>
  <c r="XI34" i="6" a="1"/>
  <c r="XI34" i="6" s="1"/>
  <c r="XH34" i="6" a="1"/>
  <c r="XH34" i="6" s="1"/>
  <c r="WX34" i="6" a="1"/>
  <c r="WX34" i="6" s="1"/>
  <c r="WW34" i="6" a="1"/>
  <c r="WW34" i="6" s="1"/>
  <c r="WM34" i="6" a="1"/>
  <c r="WM34" i="6" s="1"/>
  <c r="WL34" i="6" a="1"/>
  <c r="WL34" i="6" s="1"/>
  <c r="WC34" i="6" a="1"/>
  <c r="WC34" i="6" s="1"/>
  <c r="VQ34" i="6" a="1"/>
  <c r="VQ34" i="6" s="1"/>
  <c r="VP34" i="6" a="1"/>
  <c r="VP34" i="6" s="1"/>
  <c r="VO34" i="6" a="1"/>
  <c r="VO34" i="6" s="1"/>
  <c r="VN34" i="6" a="1"/>
  <c r="VN34" i="6" s="1"/>
  <c r="VA34" i="6" a="1"/>
  <c r="VA34" i="6" s="1"/>
  <c r="UZ34" i="6" a="1"/>
  <c r="UZ34" i="6" s="1"/>
  <c r="UY34" i="6" a="1"/>
  <c r="UY34" i="6" s="1"/>
  <c r="UX34" i="6" a="1"/>
  <c r="UX34" i="6" s="1"/>
  <c r="UW34" i="6" a="1"/>
  <c r="UW34" i="6" s="1"/>
  <c r="UM34" i="6" a="1"/>
  <c r="UM34" i="6" s="1"/>
  <c r="TZ34" i="6" a="1"/>
  <c r="TZ34" i="6" s="1"/>
  <c r="TY34" i="6" a="1"/>
  <c r="TY34" i="6" s="1"/>
  <c r="TX34" i="6" a="1"/>
  <c r="TX34" i="6" s="1"/>
  <c r="TW34" i="6" a="1"/>
  <c r="TW34" i="6" s="1"/>
  <c r="TV34" i="6" a="1"/>
  <c r="TV34" i="6" s="1"/>
  <c r="TH34" i="6" a="1"/>
  <c r="TH34" i="6" s="1"/>
  <c r="TG34" i="6" a="1"/>
  <c r="TG34" i="6" s="1"/>
  <c r="TF34" i="6" a="1"/>
  <c r="TF34" i="6" s="1"/>
  <c r="TE34" i="6" a="1"/>
  <c r="TE34" i="6" s="1"/>
  <c r="TD34" i="6" a="1"/>
  <c r="TD34" i="6" s="1"/>
  <c r="SP34" i="6" a="1"/>
  <c r="SP34" i="6" s="1"/>
  <c r="SO34" i="6" a="1"/>
  <c r="SO34" i="6" s="1"/>
  <c r="SN34" i="6" a="1"/>
  <c r="SN34" i="6" s="1"/>
  <c r="SM34" i="6" a="1"/>
  <c r="SM34" i="6" s="1"/>
  <c r="SL34" i="6" a="1"/>
  <c r="SL34" i="6" s="1"/>
  <c r="RX34" i="6" a="1"/>
  <c r="RX34" i="6" s="1"/>
  <c r="RW34" i="6" a="1"/>
  <c r="RW34" i="6" s="1"/>
  <c r="RV34" i="6" a="1"/>
  <c r="RV34" i="6" s="1"/>
  <c r="RU34" i="6" a="1"/>
  <c r="RU34" i="6" s="1"/>
  <c r="RT34" i="6" a="1"/>
  <c r="RT34" i="6" s="1"/>
  <c r="RF34" i="6" a="1"/>
  <c r="RF34" i="6" s="1"/>
  <c r="RE34" i="6" a="1"/>
  <c r="RE34" i="6" s="1"/>
  <c r="RD34" i="6" a="1"/>
  <c r="RD34" i="6" s="1"/>
  <c r="RC34" i="6" a="1"/>
  <c r="RC34" i="6" s="1"/>
  <c r="RB34" i="6" a="1"/>
  <c r="RB34" i="6" s="1"/>
  <c r="QN34" i="6" a="1"/>
  <c r="QN34" i="6" s="1"/>
  <c r="QM34" i="6" a="1"/>
  <c r="QM34" i="6" s="1"/>
  <c r="QL34" i="6" a="1"/>
  <c r="QL34" i="6" s="1"/>
  <c r="QK34" i="6" a="1"/>
  <c r="QK34" i="6" s="1"/>
  <c r="QJ34" i="6" a="1"/>
  <c r="QJ34" i="6" s="1"/>
  <c r="PV34" i="6" a="1"/>
  <c r="PV34" i="6" s="1"/>
  <c r="PU34" i="6" a="1"/>
  <c r="PU34" i="6" s="1"/>
  <c r="PT34" i="6" a="1"/>
  <c r="PT34" i="6" s="1"/>
  <c r="PS34" i="6" a="1"/>
  <c r="PS34" i="6" s="1"/>
  <c r="PR34" i="6" a="1"/>
  <c r="PR34" i="6" s="1"/>
  <c r="PD34" i="6" a="1"/>
  <c r="PD34" i="6" s="1"/>
  <c r="PC34" i="6" a="1"/>
  <c r="PC34" i="6" s="1"/>
  <c r="PB34" i="6" a="1"/>
  <c r="PB34" i="6" s="1"/>
  <c r="PA34" i="6" a="1"/>
  <c r="PA34" i="6" s="1"/>
  <c r="OZ34" i="6" a="1"/>
  <c r="OZ34" i="6" s="1"/>
  <c r="OL34" i="6" a="1"/>
  <c r="OL34" i="6" s="1"/>
  <c r="OK34" i="6" a="1"/>
  <c r="OK34" i="6" s="1"/>
  <c r="OJ34" i="6" a="1"/>
  <c r="OJ34" i="6" s="1"/>
  <c r="OI34" i="6" a="1"/>
  <c r="OI34" i="6" s="1"/>
  <c r="OH34" i="6" a="1"/>
  <c r="OH34" i="6" s="1"/>
  <c r="NT34" i="6" a="1"/>
  <c r="NT34" i="6" s="1"/>
  <c r="NS34" i="6" a="1"/>
  <c r="NS34" i="6" s="1"/>
  <c r="NR34" i="6" a="1"/>
  <c r="NR34" i="6" s="1"/>
  <c r="NQ34" i="6" a="1"/>
  <c r="NQ34" i="6" s="1"/>
  <c r="NP34" i="6" a="1"/>
  <c r="NP34" i="6" s="1"/>
  <c r="NC34" i="6" a="1"/>
  <c r="NC34" i="6" s="1"/>
  <c r="NB34" i="6" a="1"/>
  <c r="NB34" i="6" s="1"/>
  <c r="NA34" i="6" a="1"/>
  <c r="NA34" i="6" s="1"/>
  <c r="MZ34" i="6" a="1"/>
  <c r="MZ34" i="6" s="1"/>
  <c r="MY34" i="6" a="1"/>
  <c r="MY34" i="6" s="1"/>
  <c r="MK34" i="6" a="1"/>
  <c r="MK34" i="6" s="1"/>
  <c r="MJ34" i="6" a="1"/>
  <c r="MJ34" i="6" s="1"/>
  <c r="MI34" i="6" a="1"/>
  <c r="MI34" i="6" s="1"/>
  <c r="MH34" i="6" a="1"/>
  <c r="MH34" i="6" s="1"/>
  <c r="MG34" i="6" a="1"/>
  <c r="MG34" i="6" s="1"/>
  <c r="LS34" i="6" a="1"/>
  <c r="LS34" i="6" s="1"/>
  <c r="LR34" i="6" a="1"/>
  <c r="LR34" i="6" s="1"/>
  <c r="LQ34" i="6" a="1"/>
  <c r="LQ34" i="6" s="1"/>
  <c r="LP34" i="6" a="1"/>
  <c r="LP34" i="6" s="1"/>
  <c r="LO34" i="6" a="1"/>
  <c r="LO34" i="6" s="1"/>
  <c r="LA34" i="6" a="1"/>
  <c r="LA34" i="6" s="1"/>
  <c r="KZ34" i="6" a="1"/>
  <c r="KZ34" i="6" s="1"/>
  <c r="KY34" i="6" a="1"/>
  <c r="KY34" i="6" s="1"/>
  <c r="KX34" i="6" a="1"/>
  <c r="KX34" i="6" s="1"/>
  <c r="KW34" i="6" a="1"/>
  <c r="KW34" i="6" s="1"/>
  <c r="KI34" i="6" a="1"/>
  <c r="KI34" i="6" s="1"/>
  <c r="KH34" i="6" a="1"/>
  <c r="KH34" i="6" s="1"/>
  <c r="KG34" i="6" a="1"/>
  <c r="KG34" i="6" s="1"/>
  <c r="KF34" i="6" a="1"/>
  <c r="KF34" i="6" s="1"/>
  <c r="KE34" i="6" a="1"/>
  <c r="KE34" i="6" s="1"/>
  <c r="JQ34" i="6" a="1"/>
  <c r="JQ34" i="6" s="1"/>
  <c r="JP34" i="6" a="1"/>
  <c r="JP34" i="6" s="1"/>
  <c r="JO34" i="6" a="1"/>
  <c r="JO34" i="6" s="1"/>
  <c r="JN34" i="6" a="1"/>
  <c r="JN34" i="6" s="1"/>
  <c r="JM34" i="6" a="1"/>
  <c r="JM34" i="6" s="1"/>
  <c r="IY34" i="6" a="1"/>
  <c r="IY34" i="6" s="1"/>
  <c r="IX34" i="6" a="1"/>
  <c r="IX34" i="6" s="1"/>
  <c r="IW34" i="6" a="1"/>
  <c r="IW34" i="6" s="1"/>
  <c r="IV34" i="6" a="1"/>
  <c r="IV34" i="6" s="1"/>
  <c r="IU34" i="6" a="1"/>
  <c r="IU34" i="6" s="1"/>
  <c r="IG34" i="6" a="1"/>
  <c r="IG34" i="6" s="1"/>
  <c r="IF34" i="6" a="1"/>
  <c r="IF34" i="6" s="1"/>
  <c r="IE34" i="6" a="1"/>
  <c r="IE34" i="6" s="1"/>
  <c r="ID34" i="6" a="1"/>
  <c r="ID34" i="6" s="1"/>
  <c r="IC34" i="6" a="1"/>
  <c r="IC34" i="6" s="1"/>
  <c r="HO34" i="6" a="1"/>
  <c r="HO34" i="6" s="1"/>
  <c r="HN34" i="6" a="1"/>
  <c r="HN34" i="6" s="1"/>
  <c r="HM34" i="6" a="1"/>
  <c r="HM34" i="6" s="1"/>
  <c r="HL34" i="6" a="1"/>
  <c r="HL34" i="6" s="1"/>
  <c r="HK34" i="6" a="1"/>
  <c r="HK34" i="6" s="1"/>
  <c r="GX34" i="6" a="1"/>
  <c r="GX34" i="6" s="1"/>
  <c r="GW34" i="6" a="1"/>
  <c r="GW34" i="6" s="1"/>
  <c r="GV34" i="6" a="1"/>
  <c r="GV34" i="6" s="1"/>
  <c r="GU34" i="6" a="1"/>
  <c r="GU34" i="6" s="1"/>
  <c r="GT34" i="6" a="1"/>
  <c r="GT34" i="6" s="1"/>
  <c r="GG34" i="6" a="1"/>
  <c r="GG34" i="6" s="1"/>
  <c r="GF34" i="6" a="1"/>
  <c r="GF34" i="6" s="1"/>
  <c r="GE34" i="6" a="1"/>
  <c r="GE34" i="6" s="1"/>
  <c r="GD34" i="6" a="1"/>
  <c r="GD34" i="6" s="1"/>
  <c r="GC34" i="6" a="1"/>
  <c r="GC34" i="6" s="1"/>
  <c r="FP34" i="6" a="1"/>
  <c r="FP34" i="6" s="1"/>
  <c r="FO34" i="6" a="1"/>
  <c r="FO34" i="6" s="1"/>
  <c r="FN34" i="6" a="1"/>
  <c r="FN34" i="6" s="1"/>
  <c r="FM34" i="6" a="1"/>
  <c r="FM34" i="6" s="1"/>
  <c r="FL34" i="6" a="1"/>
  <c r="FL34" i="6" s="1"/>
  <c r="EY34" i="6" a="1"/>
  <c r="EY34" i="6" s="1"/>
  <c r="EX34" i="6" a="1"/>
  <c r="EX34" i="6" s="1"/>
  <c r="EW34" i="6" a="1"/>
  <c r="EW34" i="6" s="1"/>
  <c r="EV34" i="6" a="1"/>
  <c r="EV34" i="6" s="1"/>
  <c r="EU34" i="6" a="1"/>
  <c r="EU34" i="6" s="1"/>
  <c r="EH34" i="6" a="1"/>
  <c r="EH34" i="6" s="1"/>
  <c r="EG34" i="6" a="1"/>
  <c r="EG34" i="6" s="1"/>
  <c r="EF34" i="6" a="1"/>
  <c r="EF34" i="6" s="1"/>
  <c r="EE34" i="6" a="1"/>
  <c r="EE34" i="6" s="1"/>
  <c r="ED34" i="6" a="1"/>
  <c r="ED34" i="6" s="1"/>
  <c r="DQ34" i="6" a="1"/>
  <c r="DQ34" i="6" s="1"/>
  <c r="DP34" i="6" a="1"/>
  <c r="DP34" i="6" s="1"/>
  <c r="DO34" i="6" a="1"/>
  <c r="DO34" i="6" s="1"/>
  <c r="DN34" i="6" a="1"/>
  <c r="DN34" i="6" s="1"/>
  <c r="DM34" i="6" a="1"/>
  <c r="DM34" i="6" s="1"/>
  <c r="DD34" i="6" a="1"/>
  <c r="DD34" i="6" s="1"/>
  <c r="CU34" i="6" a="1"/>
  <c r="CU34" i="6" s="1"/>
  <c r="CL34" i="6" a="1"/>
  <c r="CL34" i="6" s="1"/>
  <c r="BX34" i="6" a="1"/>
  <c r="BX34" i="6" s="1"/>
  <c r="BW34" i="6" a="1"/>
  <c r="BW34" i="6" s="1"/>
  <c r="BV34" i="6" a="1"/>
  <c r="BV34" i="6" s="1"/>
  <c r="BU34" i="6" a="1"/>
  <c r="BU34" i="6" s="1"/>
  <c r="BT34" i="6" a="1"/>
  <c r="BT34" i="6" s="1"/>
  <c r="BS34" i="6" a="1"/>
  <c r="BS34" i="6" s="1"/>
  <c r="BA34" i="6" a="1"/>
  <c r="BA34" i="6" s="1"/>
  <c r="AZ34" i="6" a="1"/>
  <c r="AZ34" i="6" s="1"/>
  <c r="AY34" i="6" a="1"/>
  <c r="AY34" i="6" s="1"/>
  <c r="AX34" i="6" a="1"/>
  <c r="AX34" i="6" s="1"/>
  <c r="AW34" i="6" a="1"/>
  <c r="AW34" i="6" s="1"/>
  <c r="AV34" i="6" a="1"/>
  <c r="AV34" i="6" s="1"/>
  <c r="AU34" i="6" a="1"/>
  <c r="AU34" i="6" s="1"/>
  <c r="AT34" i="6" a="1"/>
  <c r="AT34" i="6" s="1"/>
  <c r="AS34" i="6" a="1"/>
  <c r="AS34" i="6" s="1"/>
  <c r="AR34" i="6" a="1"/>
  <c r="AR34" i="6" s="1"/>
  <c r="AH34" i="6" a="1"/>
  <c r="AH34" i="6" s="1"/>
  <c r="AG34" i="6" a="1"/>
  <c r="AG34" i="6" s="1"/>
  <c r="V34" i="6" a="1"/>
  <c r="V34" i="6" s="1"/>
  <c r="U34" i="6" a="1"/>
  <c r="U34" i="6" s="1"/>
  <c r="J34" i="6" a="1"/>
  <c r="J34" i="6" s="1"/>
  <c r="I34" i="6" a="1"/>
  <c r="I34" i="6" s="1"/>
  <c r="ADA33" i="6" a="1"/>
  <c r="ADA33" i="6" s="1"/>
  <c r="ACZ33" i="6" a="1"/>
  <c r="ACZ33" i="6" s="1"/>
  <c r="ACY33" i="6" a="1"/>
  <c r="ACY33" i="6" s="1"/>
  <c r="ACN33" i="6" a="1"/>
  <c r="ACN33" i="6" s="1"/>
  <c r="ACM33" i="6" a="1"/>
  <c r="ACM33" i="6" s="1"/>
  <c r="ACL33" i="6" s="1"/>
  <c r="ABU33" i="6" a="1"/>
  <c r="ABU33" i="6" s="1"/>
  <c r="ABX33" i="6" a="1"/>
  <c r="ABX33" i="6" s="1"/>
  <c r="ABV33" i="6" a="1"/>
  <c r="ABV33" i="6" s="1"/>
  <c r="ABH33" i="6" a="1"/>
  <c r="ABH33" i="6" s="1"/>
  <c r="ABG33" i="6" a="1"/>
  <c r="ABG33" i="6" s="1"/>
  <c r="ABF33" i="6" a="1"/>
  <c r="ABF33" i="6" s="1"/>
  <c r="ABE33" i="6" a="1"/>
  <c r="ABE33" i="6" s="1"/>
  <c r="ABD33" i="6" a="1"/>
  <c r="ABD33" i="6" s="1"/>
  <c r="ZR33" i="6" a="1"/>
  <c r="ZR33" i="6" s="1"/>
  <c r="ZE33" i="6" a="1"/>
  <c r="ZE33" i="6" s="1"/>
  <c r="ZD33" i="6" a="1"/>
  <c r="ZD33" i="6" s="1"/>
  <c r="ZC33" i="6" a="1"/>
  <c r="ZC33" i="6" s="1"/>
  <c r="ZB33" i="6" a="1"/>
  <c r="ZB33" i="6" s="1"/>
  <c r="ZA33" i="6" a="1"/>
  <c r="ZA33" i="6" s="1"/>
  <c r="YP33" i="6" a="1"/>
  <c r="YP33" i="6" s="1"/>
  <c r="YO33" i="6" a="1"/>
  <c r="YO33" i="6" s="1"/>
  <c r="YE33" i="6" a="1"/>
  <c r="YE33" i="6" s="1"/>
  <c r="YD33" i="6" a="1"/>
  <c r="YD33" i="6" s="1"/>
  <c r="XT33" i="6" a="1"/>
  <c r="XT33" i="6" s="1"/>
  <c r="XS33" i="6" a="1"/>
  <c r="XS33" i="6" s="1"/>
  <c r="XI33" i="6" a="1"/>
  <c r="XI33" i="6" s="1"/>
  <c r="XH33" i="6" a="1"/>
  <c r="XH33" i="6" s="1"/>
  <c r="WX33" i="6" a="1"/>
  <c r="WX33" i="6" s="1"/>
  <c r="WW33" i="6" a="1"/>
  <c r="WW33" i="6" s="1"/>
  <c r="WM33" i="6" a="1"/>
  <c r="WM33" i="6" s="1"/>
  <c r="WL33" i="6" a="1"/>
  <c r="WL33" i="6" s="1"/>
  <c r="WC33" i="6" a="1"/>
  <c r="WC33" i="6" s="1"/>
  <c r="VQ33" i="6" a="1"/>
  <c r="VQ33" i="6" s="1"/>
  <c r="VP33" i="6" a="1"/>
  <c r="VP33" i="6" s="1"/>
  <c r="VO33" i="6" a="1"/>
  <c r="VO33" i="6" s="1"/>
  <c r="VN33" i="6" a="1"/>
  <c r="VN33" i="6" s="1"/>
  <c r="VA33" i="6" a="1"/>
  <c r="VA33" i="6" s="1"/>
  <c r="UZ33" i="6" a="1"/>
  <c r="UZ33" i="6" s="1"/>
  <c r="UY33" i="6" a="1"/>
  <c r="UY33" i="6" s="1"/>
  <c r="UX33" i="6" a="1"/>
  <c r="UX33" i="6" s="1"/>
  <c r="UW33" i="6" a="1"/>
  <c r="UW33" i="6" s="1"/>
  <c r="UM33" i="6" a="1"/>
  <c r="UM33" i="6" s="1"/>
  <c r="TZ33" i="6" a="1"/>
  <c r="TZ33" i="6" s="1"/>
  <c r="TY33" i="6" a="1"/>
  <c r="TY33" i="6" s="1"/>
  <c r="TX33" i="6" a="1"/>
  <c r="TX33" i="6" s="1"/>
  <c r="TW33" i="6" a="1"/>
  <c r="TW33" i="6" s="1"/>
  <c r="TV33" i="6" a="1"/>
  <c r="TV33" i="6" s="1"/>
  <c r="TH33" i="6" a="1"/>
  <c r="TH33" i="6" s="1"/>
  <c r="TG33" i="6" a="1"/>
  <c r="TG33" i="6" s="1"/>
  <c r="TF33" i="6" a="1"/>
  <c r="TF33" i="6" s="1"/>
  <c r="TE33" i="6" a="1"/>
  <c r="TE33" i="6" s="1"/>
  <c r="TD33" i="6" a="1"/>
  <c r="TD33" i="6" s="1"/>
  <c r="SP33" i="6" a="1"/>
  <c r="SP33" i="6" s="1"/>
  <c r="SO33" i="6" a="1"/>
  <c r="SO33" i="6" s="1"/>
  <c r="SN33" i="6" a="1"/>
  <c r="SN33" i="6" s="1"/>
  <c r="SM33" i="6" a="1"/>
  <c r="SM33" i="6" s="1"/>
  <c r="SL33" i="6" a="1"/>
  <c r="SL33" i="6" s="1"/>
  <c r="RX33" i="6" a="1"/>
  <c r="RX33" i="6" s="1"/>
  <c r="RW33" i="6" a="1"/>
  <c r="RW33" i="6" s="1"/>
  <c r="RV33" i="6" a="1"/>
  <c r="RV33" i="6" s="1"/>
  <c r="RU33" i="6" a="1"/>
  <c r="RU33" i="6" s="1"/>
  <c r="RT33" i="6" a="1"/>
  <c r="RT33" i="6" s="1"/>
  <c r="RF33" i="6" a="1"/>
  <c r="RF33" i="6" s="1"/>
  <c r="RE33" i="6" a="1"/>
  <c r="RE33" i="6" s="1"/>
  <c r="RD33" i="6" a="1"/>
  <c r="RD33" i="6" s="1"/>
  <c r="RC33" i="6" a="1"/>
  <c r="RC33" i="6" s="1"/>
  <c r="RB33" i="6" a="1"/>
  <c r="RB33" i="6" s="1"/>
  <c r="QN33" i="6" a="1"/>
  <c r="QN33" i="6" s="1"/>
  <c r="QM33" i="6" a="1"/>
  <c r="QM33" i="6" s="1"/>
  <c r="QL33" i="6" a="1"/>
  <c r="QL33" i="6" s="1"/>
  <c r="QK33" i="6" a="1"/>
  <c r="QK33" i="6" s="1"/>
  <c r="QJ33" i="6" a="1"/>
  <c r="QJ33" i="6" s="1"/>
  <c r="PV33" i="6" a="1"/>
  <c r="PV33" i="6" s="1"/>
  <c r="PU33" i="6" a="1"/>
  <c r="PU33" i="6" s="1"/>
  <c r="PT33" i="6" a="1"/>
  <c r="PT33" i="6" s="1"/>
  <c r="PS33" i="6" a="1"/>
  <c r="PS33" i="6" s="1"/>
  <c r="PR33" i="6" a="1"/>
  <c r="PR33" i="6" s="1"/>
  <c r="PD33" i="6" a="1"/>
  <c r="PD33" i="6" s="1"/>
  <c r="PC33" i="6" a="1"/>
  <c r="PC33" i="6" s="1"/>
  <c r="PB33" i="6" a="1"/>
  <c r="PB33" i="6" s="1"/>
  <c r="PA33" i="6" a="1"/>
  <c r="PA33" i="6" s="1"/>
  <c r="OZ33" i="6" a="1"/>
  <c r="OZ33" i="6" s="1"/>
  <c r="OL33" i="6" a="1"/>
  <c r="OL33" i="6" s="1"/>
  <c r="OK33" i="6" a="1"/>
  <c r="OK33" i="6" s="1"/>
  <c r="OJ33" i="6" a="1"/>
  <c r="OJ33" i="6" s="1"/>
  <c r="OI33" i="6" a="1"/>
  <c r="OI33" i="6" s="1"/>
  <c r="OH33" i="6" a="1"/>
  <c r="OH33" i="6" s="1"/>
  <c r="NT33" i="6" a="1"/>
  <c r="NT33" i="6" s="1"/>
  <c r="NS33" i="6" a="1"/>
  <c r="NS33" i="6" s="1"/>
  <c r="NR33" i="6" a="1"/>
  <c r="NR33" i="6" s="1"/>
  <c r="NQ33" i="6" a="1"/>
  <c r="NQ33" i="6" s="1"/>
  <c r="NP33" i="6" a="1"/>
  <c r="NP33" i="6" s="1"/>
  <c r="NC33" i="6" a="1"/>
  <c r="NC33" i="6" s="1"/>
  <c r="NB33" i="6" a="1"/>
  <c r="NB33" i="6" s="1"/>
  <c r="NA33" i="6" a="1"/>
  <c r="NA33" i="6" s="1"/>
  <c r="MZ33" i="6" a="1"/>
  <c r="MZ33" i="6" s="1"/>
  <c r="MY33" i="6" a="1"/>
  <c r="MY33" i="6" s="1"/>
  <c r="MK33" i="6" a="1"/>
  <c r="MK33" i="6" s="1"/>
  <c r="MJ33" i="6" a="1"/>
  <c r="MJ33" i="6" s="1"/>
  <c r="MI33" i="6" a="1"/>
  <c r="MI33" i="6" s="1"/>
  <c r="MH33" i="6" a="1"/>
  <c r="MH33" i="6" s="1"/>
  <c r="MG33" i="6" a="1"/>
  <c r="MG33" i="6" s="1"/>
  <c r="LS33" i="6" a="1"/>
  <c r="LS33" i="6" s="1"/>
  <c r="LR33" i="6" a="1"/>
  <c r="LR33" i="6" s="1"/>
  <c r="LQ33" i="6" a="1"/>
  <c r="LQ33" i="6" s="1"/>
  <c r="LP33" i="6" a="1"/>
  <c r="LP33" i="6" s="1"/>
  <c r="LO33" i="6" a="1"/>
  <c r="LO33" i="6" s="1"/>
  <c r="LA33" i="6" a="1"/>
  <c r="LA33" i="6" s="1"/>
  <c r="KZ33" i="6" a="1"/>
  <c r="KZ33" i="6" s="1"/>
  <c r="KY33" i="6" a="1"/>
  <c r="KY33" i="6" s="1"/>
  <c r="KX33" i="6" a="1"/>
  <c r="KX33" i="6" s="1"/>
  <c r="KW33" i="6" a="1"/>
  <c r="KW33" i="6" s="1"/>
  <c r="KI33" i="6" a="1"/>
  <c r="KI33" i="6" s="1"/>
  <c r="KH33" i="6" a="1"/>
  <c r="KH33" i="6" s="1"/>
  <c r="KG33" i="6" a="1"/>
  <c r="KG33" i="6" s="1"/>
  <c r="KF33" i="6" a="1"/>
  <c r="KF33" i="6" s="1"/>
  <c r="KE33" i="6" a="1"/>
  <c r="KE33" i="6" s="1"/>
  <c r="JQ33" i="6" a="1"/>
  <c r="JQ33" i="6" s="1"/>
  <c r="JP33" i="6" a="1"/>
  <c r="JP33" i="6" s="1"/>
  <c r="JO33" i="6" a="1"/>
  <c r="JO33" i="6" s="1"/>
  <c r="JN33" i="6" a="1"/>
  <c r="JN33" i="6" s="1"/>
  <c r="JM33" i="6" a="1"/>
  <c r="JM33" i="6" s="1"/>
  <c r="IY33" i="6" a="1"/>
  <c r="IY33" i="6" s="1"/>
  <c r="IX33" i="6" a="1"/>
  <c r="IX33" i="6" s="1"/>
  <c r="IW33" i="6" a="1"/>
  <c r="IW33" i="6" s="1"/>
  <c r="IV33" i="6" a="1"/>
  <c r="IV33" i="6" s="1"/>
  <c r="IU33" i="6" a="1"/>
  <c r="IU33" i="6" s="1"/>
  <c r="IG33" i="6" a="1"/>
  <c r="IG33" i="6" s="1"/>
  <c r="IF33" i="6" a="1"/>
  <c r="IF33" i="6" s="1"/>
  <c r="IE33" i="6" a="1"/>
  <c r="IE33" i="6" s="1"/>
  <c r="ID33" i="6" a="1"/>
  <c r="ID33" i="6" s="1"/>
  <c r="IC33" i="6" a="1"/>
  <c r="IC33" i="6" s="1"/>
  <c r="HO33" i="6" a="1"/>
  <c r="HO33" i="6" s="1"/>
  <c r="HN33" i="6" a="1"/>
  <c r="HN33" i="6" s="1"/>
  <c r="HM33" i="6" a="1"/>
  <c r="HM33" i="6" s="1"/>
  <c r="HL33" i="6" a="1"/>
  <c r="HL33" i="6" s="1"/>
  <c r="HK33" i="6" a="1"/>
  <c r="HK33" i="6" s="1"/>
  <c r="GX33" i="6" a="1"/>
  <c r="GX33" i="6" s="1"/>
  <c r="GW33" i="6" a="1"/>
  <c r="GW33" i="6" s="1"/>
  <c r="GV33" i="6" a="1"/>
  <c r="GV33" i="6" s="1"/>
  <c r="GU33" i="6" a="1"/>
  <c r="GU33" i="6" s="1"/>
  <c r="GT33" i="6" a="1"/>
  <c r="GT33" i="6" s="1"/>
  <c r="GG33" i="6" a="1"/>
  <c r="GG33" i="6" s="1"/>
  <c r="GF33" i="6" a="1"/>
  <c r="GF33" i="6" s="1"/>
  <c r="GE33" i="6" a="1"/>
  <c r="GE33" i="6" s="1"/>
  <c r="GD33" i="6" a="1"/>
  <c r="GD33" i="6" s="1"/>
  <c r="GC33" i="6" a="1"/>
  <c r="GC33" i="6" s="1"/>
  <c r="FP33" i="6" a="1"/>
  <c r="FP33" i="6" s="1"/>
  <c r="FO33" i="6" a="1"/>
  <c r="FO33" i="6" s="1"/>
  <c r="FN33" i="6" a="1"/>
  <c r="FN33" i="6" s="1"/>
  <c r="FM33" i="6" a="1"/>
  <c r="FM33" i="6" s="1"/>
  <c r="FL33" i="6" a="1"/>
  <c r="FL33" i="6" s="1"/>
  <c r="EY33" i="6" a="1"/>
  <c r="EY33" i="6" s="1"/>
  <c r="EX33" i="6" a="1"/>
  <c r="EX33" i="6" s="1"/>
  <c r="EW33" i="6" a="1"/>
  <c r="EW33" i="6" s="1"/>
  <c r="EV33" i="6" a="1"/>
  <c r="EV33" i="6" s="1"/>
  <c r="EU33" i="6" a="1"/>
  <c r="EU33" i="6" s="1"/>
  <c r="EH33" i="6" a="1"/>
  <c r="EH33" i="6" s="1"/>
  <c r="EG33" i="6" a="1"/>
  <c r="EG33" i="6" s="1"/>
  <c r="EF33" i="6" a="1"/>
  <c r="EF33" i="6" s="1"/>
  <c r="EE33" i="6" a="1"/>
  <c r="EE33" i="6" s="1"/>
  <c r="ED33" i="6" a="1"/>
  <c r="ED33" i="6" s="1"/>
  <c r="DQ33" i="6" a="1"/>
  <c r="DQ33" i="6" s="1"/>
  <c r="DP33" i="6" a="1"/>
  <c r="DP33" i="6" s="1"/>
  <c r="DO33" i="6" a="1"/>
  <c r="DO33" i="6" s="1"/>
  <c r="DN33" i="6" a="1"/>
  <c r="DN33" i="6" s="1"/>
  <c r="DM33" i="6" a="1"/>
  <c r="DM33" i="6" s="1"/>
  <c r="DD33" i="6" a="1"/>
  <c r="DD33" i="6" s="1"/>
  <c r="CU33" i="6" a="1"/>
  <c r="CU33" i="6" s="1"/>
  <c r="CL33" i="6" a="1"/>
  <c r="CL33" i="6" s="1"/>
  <c r="BX33" i="6" a="1"/>
  <c r="BX33" i="6" s="1"/>
  <c r="BW33" i="6" a="1"/>
  <c r="BW33" i="6" s="1"/>
  <c r="BV33" i="6" a="1"/>
  <c r="BV33" i="6" s="1"/>
  <c r="BU33" i="6" a="1"/>
  <c r="BU33" i="6" s="1"/>
  <c r="BT33" i="6" a="1"/>
  <c r="BT33" i="6" s="1"/>
  <c r="BS33" i="6" a="1"/>
  <c r="BS33" i="6" s="1"/>
  <c r="BA33" i="6" a="1"/>
  <c r="BA33" i="6" s="1"/>
  <c r="AZ33" i="6" a="1"/>
  <c r="AZ33" i="6" s="1"/>
  <c r="AY33" i="6" a="1"/>
  <c r="AY33" i="6" s="1"/>
  <c r="AX33" i="6" a="1"/>
  <c r="AX33" i="6" s="1"/>
  <c r="AW33" i="6" a="1"/>
  <c r="AW33" i="6" s="1"/>
  <c r="AV33" i="6" a="1"/>
  <c r="AV33" i="6" s="1"/>
  <c r="AU33" i="6" a="1"/>
  <c r="AU33" i="6" s="1"/>
  <c r="AT33" i="6" a="1"/>
  <c r="AT33" i="6" s="1"/>
  <c r="AS33" i="6" a="1"/>
  <c r="AS33" i="6" s="1"/>
  <c r="AR33" i="6" a="1"/>
  <c r="AR33" i="6" s="1"/>
  <c r="AH33" i="6" a="1"/>
  <c r="AH33" i="6" s="1"/>
  <c r="AG33" i="6" a="1"/>
  <c r="AG33" i="6" s="1"/>
  <c r="V33" i="6" a="1"/>
  <c r="V33" i="6" s="1"/>
  <c r="U33" i="6" a="1"/>
  <c r="U33" i="6" s="1"/>
  <c r="J33" i="6" a="1"/>
  <c r="J33" i="6" s="1"/>
  <c r="I33" i="6" a="1"/>
  <c r="I33" i="6" s="1"/>
  <c r="H33" i="6" s="1"/>
  <c r="ADA32" i="6" a="1"/>
  <c r="ADA32" i="6" s="1"/>
  <c r="ACZ32" i="6" a="1"/>
  <c r="ACZ32" i="6" s="1"/>
  <c r="ACY32" i="6" a="1"/>
  <c r="ACY32" i="6" s="1"/>
  <c r="ACN32" i="6" a="1"/>
  <c r="ACN32" i="6" s="1"/>
  <c r="ACM32" i="6" a="1"/>
  <c r="ACM32" i="6" s="1"/>
  <c r="ABU32" i="6" a="1"/>
  <c r="ABU32" i="6" s="1"/>
  <c r="ABX32" i="6" a="1"/>
  <c r="ABX32" i="6" s="1"/>
  <c r="ABV32" i="6" a="1"/>
  <c r="ABV32" i="6" s="1"/>
  <c r="ABH32" i="6" a="1"/>
  <c r="ABH32" i="6" s="1"/>
  <c r="ABG32" i="6" a="1"/>
  <c r="ABG32" i="6" s="1"/>
  <c r="ABF32" i="6" a="1"/>
  <c r="ABF32" i="6" s="1"/>
  <c r="ABE32" i="6" a="1"/>
  <c r="ABE32" i="6" s="1"/>
  <c r="ABD32" i="6" a="1"/>
  <c r="ABD32" i="6" s="1"/>
  <c r="ZR32" i="6" a="1"/>
  <c r="ZR32" i="6" s="1"/>
  <c r="ZE32" i="6" a="1"/>
  <c r="ZE32" i="6" s="1"/>
  <c r="ZD32" i="6" a="1"/>
  <c r="ZD32" i="6" s="1"/>
  <c r="ZC32" i="6" a="1"/>
  <c r="ZC32" i="6" s="1"/>
  <c r="ZB32" i="6" a="1"/>
  <c r="ZB32" i="6" s="1"/>
  <c r="ZA32" i="6" a="1"/>
  <c r="ZA32" i="6" s="1"/>
  <c r="YP32" i="6" a="1"/>
  <c r="YP32" i="6" s="1"/>
  <c r="YO32" i="6" a="1"/>
  <c r="YO32" i="6" s="1"/>
  <c r="YE32" i="6" a="1"/>
  <c r="YE32" i="6" s="1"/>
  <c r="YD32" i="6" a="1"/>
  <c r="YD32" i="6" s="1"/>
  <c r="XT32" i="6" a="1"/>
  <c r="XT32" i="6" s="1"/>
  <c r="XS32" i="6" a="1"/>
  <c r="XS32" i="6" s="1"/>
  <c r="XI32" i="6" a="1"/>
  <c r="XI32" i="6" s="1"/>
  <c r="XH32" i="6" a="1"/>
  <c r="XH32" i="6" s="1"/>
  <c r="WX32" i="6" a="1"/>
  <c r="WX32" i="6" s="1"/>
  <c r="WW32" i="6" a="1"/>
  <c r="WW32" i="6" s="1"/>
  <c r="WM32" i="6" a="1"/>
  <c r="WM32" i="6" s="1"/>
  <c r="WL32" i="6" a="1"/>
  <c r="WL32" i="6" s="1"/>
  <c r="WC32" i="6" a="1"/>
  <c r="WC32" i="6" s="1"/>
  <c r="VQ32" i="6" a="1"/>
  <c r="VQ32" i="6" s="1"/>
  <c r="VP32" i="6" a="1"/>
  <c r="VP32" i="6" s="1"/>
  <c r="VO32" i="6" a="1"/>
  <c r="VO32" i="6" s="1"/>
  <c r="VN32" i="6" a="1"/>
  <c r="VN32" i="6" s="1"/>
  <c r="VA32" i="6" a="1"/>
  <c r="VA32" i="6" s="1"/>
  <c r="UZ32" i="6" a="1"/>
  <c r="UZ32" i="6" s="1"/>
  <c r="UY32" i="6" a="1"/>
  <c r="UY32" i="6" s="1"/>
  <c r="UX32" i="6" a="1"/>
  <c r="UX32" i="6" s="1"/>
  <c r="UW32" i="6" a="1"/>
  <c r="UW32" i="6" s="1"/>
  <c r="UM32" i="6" a="1"/>
  <c r="UM32" i="6" s="1"/>
  <c r="TZ32" i="6" a="1"/>
  <c r="TZ32" i="6" s="1"/>
  <c r="TY32" i="6" a="1"/>
  <c r="TY32" i="6" s="1"/>
  <c r="TX32" i="6" a="1"/>
  <c r="TX32" i="6" s="1"/>
  <c r="TW32" i="6" a="1"/>
  <c r="TW32" i="6" s="1"/>
  <c r="TV32" i="6" a="1"/>
  <c r="TV32" i="6" s="1"/>
  <c r="TH32" i="6" a="1"/>
  <c r="TH32" i="6" s="1"/>
  <c r="TG32" i="6" a="1"/>
  <c r="TG32" i="6" s="1"/>
  <c r="TF32" i="6" a="1"/>
  <c r="TF32" i="6" s="1"/>
  <c r="TE32" i="6" a="1"/>
  <c r="TE32" i="6" s="1"/>
  <c r="TD32" i="6" a="1"/>
  <c r="TD32" i="6" s="1"/>
  <c r="SP32" i="6" a="1"/>
  <c r="SP32" i="6" s="1"/>
  <c r="SO32" i="6" a="1"/>
  <c r="SO32" i="6" s="1"/>
  <c r="SN32" i="6" a="1"/>
  <c r="SN32" i="6" s="1"/>
  <c r="SM32" i="6" a="1"/>
  <c r="SM32" i="6" s="1"/>
  <c r="SL32" i="6" a="1"/>
  <c r="SL32" i="6" s="1"/>
  <c r="RX32" i="6" a="1"/>
  <c r="RX32" i="6" s="1"/>
  <c r="RW32" i="6" a="1"/>
  <c r="RW32" i="6" s="1"/>
  <c r="RV32" i="6" a="1"/>
  <c r="RV32" i="6" s="1"/>
  <c r="RU32" i="6" a="1"/>
  <c r="RU32" i="6" s="1"/>
  <c r="RT32" i="6" a="1"/>
  <c r="RT32" i="6" s="1"/>
  <c r="RF32" i="6" a="1"/>
  <c r="RF32" i="6" s="1"/>
  <c r="RE32" i="6" a="1"/>
  <c r="RE32" i="6" s="1"/>
  <c r="RD32" i="6" a="1"/>
  <c r="RD32" i="6" s="1"/>
  <c r="RC32" i="6" a="1"/>
  <c r="RC32" i="6" s="1"/>
  <c r="RB32" i="6" a="1"/>
  <c r="RB32" i="6" s="1"/>
  <c r="QN32" i="6" a="1"/>
  <c r="QN32" i="6" s="1"/>
  <c r="QM32" i="6" a="1"/>
  <c r="QM32" i="6" s="1"/>
  <c r="QL32" i="6" a="1"/>
  <c r="QL32" i="6" s="1"/>
  <c r="QK32" i="6" a="1"/>
  <c r="QK32" i="6" s="1"/>
  <c r="QJ32" i="6" a="1"/>
  <c r="QJ32" i="6" s="1"/>
  <c r="PV32" i="6" a="1"/>
  <c r="PV32" i="6" s="1"/>
  <c r="PU32" i="6" a="1"/>
  <c r="PU32" i="6" s="1"/>
  <c r="PT32" i="6" a="1"/>
  <c r="PT32" i="6" s="1"/>
  <c r="PS32" i="6" a="1"/>
  <c r="PS32" i="6" s="1"/>
  <c r="PR32" i="6" a="1"/>
  <c r="PR32" i="6" s="1"/>
  <c r="PD32" i="6" a="1"/>
  <c r="PD32" i="6" s="1"/>
  <c r="PC32" i="6" a="1"/>
  <c r="PC32" i="6" s="1"/>
  <c r="PB32" i="6" a="1"/>
  <c r="PB32" i="6" s="1"/>
  <c r="PA32" i="6" a="1"/>
  <c r="PA32" i="6" s="1"/>
  <c r="OZ32" i="6" a="1"/>
  <c r="OZ32" i="6" s="1"/>
  <c r="OL32" i="6" a="1"/>
  <c r="OL32" i="6" s="1"/>
  <c r="OK32" i="6" a="1"/>
  <c r="OK32" i="6" s="1"/>
  <c r="OJ32" i="6" a="1"/>
  <c r="OJ32" i="6" s="1"/>
  <c r="OI32" i="6" a="1"/>
  <c r="OI32" i="6" s="1"/>
  <c r="OH32" i="6" a="1"/>
  <c r="OH32" i="6" s="1"/>
  <c r="NT32" i="6" a="1"/>
  <c r="NT32" i="6" s="1"/>
  <c r="NS32" i="6" a="1"/>
  <c r="NS32" i="6" s="1"/>
  <c r="NR32" i="6" a="1"/>
  <c r="NR32" i="6" s="1"/>
  <c r="NQ32" i="6" a="1"/>
  <c r="NQ32" i="6" s="1"/>
  <c r="NP32" i="6" a="1"/>
  <c r="NP32" i="6" s="1"/>
  <c r="NC32" i="6" a="1"/>
  <c r="NC32" i="6" s="1"/>
  <c r="NB32" i="6" a="1"/>
  <c r="NB32" i="6" s="1"/>
  <c r="NA32" i="6" a="1"/>
  <c r="NA32" i="6" s="1"/>
  <c r="MZ32" i="6" a="1"/>
  <c r="MZ32" i="6" s="1"/>
  <c r="MY32" i="6" a="1"/>
  <c r="MY32" i="6" s="1"/>
  <c r="MK32" i="6" a="1"/>
  <c r="MK32" i="6" s="1"/>
  <c r="MJ32" i="6" a="1"/>
  <c r="MJ32" i="6" s="1"/>
  <c r="MI32" i="6" a="1"/>
  <c r="MI32" i="6" s="1"/>
  <c r="MH32" i="6" a="1"/>
  <c r="MH32" i="6" s="1"/>
  <c r="MG32" i="6" a="1"/>
  <c r="MG32" i="6" s="1"/>
  <c r="LS32" i="6" a="1"/>
  <c r="LS32" i="6" s="1"/>
  <c r="LR32" i="6" a="1"/>
  <c r="LR32" i="6" s="1"/>
  <c r="LQ32" i="6" a="1"/>
  <c r="LQ32" i="6" s="1"/>
  <c r="LP32" i="6" a="1"/>
  <c r="LP32" i="6" s="1"/>
  <c r="LO32" i="6" a="1"/>
  <c r="LO32" i="6" s="1"/>
  <c r="LA32" i="6" a="1"/>
  <c r="LA32" i="6" s="1"/>
  <c r="KZ32" i="6" a="1"/>
  <c r="KZ32" i="6" s="1"/>
  <c r="KY32" i="6" a="1"/>
  <c r="KY32" i="6" s="1"/>
  <c r="KX32" i="6" a="1"/>
  <c r="KX32" i="6" s="1"/>
  <c r="KW32" i="6" a="1"/>
  <c r="KW32" i="6" s="1"/>
  <c r="KI32" i="6" a="1"/>
  <c r="KI32" i="6" s="1"/>
  <c r="KH32" i="6" a="1"/>
  <c r="KH32" i="6" s="1"/>
  <c r="KG32" i="6" a="1"/>
  <c r="KG32" i="6" s="1"/>
  <c r="KF32" i="6" a="1"/>
  <c r="KF32" i="6" s="1"/>
  <c r="KE32" i="6" a="1"/>
  <c r="KE32" i="6" s="1"/>
  <c r="JQ32" i="6" a="1"/>
  <c r="JQ32" i="6" s="1"/>
  <c r="JP32" i="6" a="1"/>
  <c r="JP32" i="6" s="1"/>
  <c r="JO32" i="6" a="1"/>
  <c r="JO32" i="6" s="1"/>
  <c r="JN32" i="6" a="1"/>
  <c r="JN32" i="6" s="1"/>
  <c r="JM32" i="6" a="1"/>
  <c r="JM32" i="6" s="1"/>
  <c r="IY32" i="6" a="1"/>
  <c r="IY32" i="6" s="1"/>
  <c r="IX32" i="6" a="1"/>
  <c r="IX32" i="6" s="1"/>
  <c r="IW32" i="6" a="1"/>
  <c r="IW32" i="6" s="1"/>
  <c r="IV32" i="6" a="1"/>
  <c r="IV32" i="6" s="1"/>
  <c r="IU32" i="6" a="1"/>
  <c r="IU32" i="6" s="1"/>
  <c r="IG32" i="6" a="1"/>
  <c r="IG32" i="6" s="1"/>
  <c r="IF32" i="6" a="1"/>
  <c r="IF32" i="6" s="1"/>
  <c r="IE32" i="6" a="1"/>
  <c r="IE32" i="6" s="1"/>
  <c r="ID32" i="6" a="1"/>
  <c r="ID32" i="6" s="1"/>
  <c r="IC32" i="6" a="1"/>
  <c r="IC32" i="6" s="1"/>
  <c r="HO32" i="6" a="1"/>
  <c r="HO32" i="6" s="1"/>
  <c r="HN32" i="6" a="1"/>
  <c r="HN32" i="6" s="1"/>
  <c r="HM32" i="6" a="1"/>
  <c r="HM32" i="6" s="1"/>
  <c r="HL32" i="6" a="1"/>
  <c r="HL32" i="6" s="1"/>
  <c r="HK32" i="6" a="1"/>
  <c r="HK32" i="6" s="1"/>
  <c r="GX32" i="6" a="1"/>
  <c r="GX32" i="6" s="1"/>
  <c r="GW32" i="6" a="1"/>
  <c r="GW32" i="6" s="1"/>
  <c r="GV32" i="6" a="1"/>
  <c r="GV32" i="6" s="1"/>
  <c r="GU32" i="6" a="1"/>
  <c r="GU32" i="6" s="1"/>
  <c r="GT32" i="6" a="1"/>
  <c r="GT32" i="6" s="1"/>
  <c r="GG32" i="6" a="1"/>
  <c r="GG32" i="6" s="1"/>
  <c r="GF32" i="6" a="1"/>
  <c r="GF32" i="6" s="1"/>
  <c r="GE32" i="6" a="1"/>
  <c r="GE32" i="6" s="1"/>
  <c r="GD32" i="6" a="1"/>
  <c r="GD32" i="6" s="1"/>
  <c r="GC32" i="6" a="1"/>
  <c r="GC32" i="6" s="1"/>
  <c r="FP32" i="6" a="1"/>
  <c r="FP32" i="6" s="1"/>
  <c r="FO32" i="6" a="1"/>
  <c r="FO32" i="6" s="1"/>
  <c r="FN32" i="6" a="1"/>
  <c r="FN32" i="6" s="1"/>
  <c r="FM32" i="6" a="1"/>
  <c r="FM32" i="6" s="1"/>
  <c r="FL32" i="6" a="1"/>
  <c r="FL32" i="6" s="1"/>
  <c r="EY32" i="6" a="1"/>
  <c r="EY32" i="6" s="1"/>
  <c r="EX32" i="6" a="1"/>
  <c r="EX32" i="6" s="1"/>
  <c r="EW32" i="6" a="1"/>
  <c r="EW32" i="6" s="1"/>
  <c r="EV32" i="6" a="1"/>
  <c r="EV32" i="6" s="1"/>
  <c r="EU32" i="6" a="1"/>
  <c r="EU32" i="6" s="1"/>
  <c r="EH32" i="6" a="1"/>
  <c r="EH32" i="6" s="1"/>
  <c r="EG32" i="6" a="1"/>
  <c r="EG32" i="6" s="1"/>
  <c r="EF32" i="6" a="1"/>
  <c r="EF32" i="6" s="1"/>
  <c r="EE32" i="6" a="1"/>
  <c r="EE32" i="6" s="1"/>
  <c r="ED32" i="6" a="1"/>
  <c r="ED32" i="6" s="1"/>
  <c r="DQ32" i="6" a="1"/>
  <c r="DQ32" i="6" s="1"/>
  <c r="DP32" i="6" a="1"/>
  <c r="DP32" i="6" s="1"/>
  <c r="DO32" i="6" a="1"/>
  <c r="DO32" i="6" s="1"/>
  <c r="DN32" i="6" a="1"/>
  <c r="DN32" i="6" s="1"/>
  <c r="DM32" i="6" a="1"/>
  <c r="DM32" i="6" s="1"/>
  <c r="DD32" i="6" a="1"/>
  <c r="DD32" i="6" s="1"/>
  <c r="CU32" i="6" a="1"/>
  <c r="CU32" i="6" s="1"/>
  <c r="CL32" i="6" a="1"/>
  <c r="CL32" i="6" s="1"/>
  <c r="BX32" i="6" a="1"/>
  <c r="BX32" i="6" s="1"/>
  <c r="BW32" i="6" a="1"/>
  <c r="BW32" i="6" s="1"/>
  <c r="BV32" i="6" a="1"/>
  <c r="BV32" i="6" s="1"/>
  <c r="BU32" i="6" a="1"/>
  <c r="BU32" i="6" s="1"/>
  <c r="BT32" i="6" a="1"/>
  <c r="BT32" i="6" s="1"/>
  <c r="BS32" i="6" a="1"/>
  <c r="BS32" i="6" s="1"/>
  <c r="BA32" i="6" a="1"/>
  <c r="BA32" i="6" s="1"/>
  <c r="AZ32" i="6" a="1"/>
  <c r="AZ32" i="6" s="1"/>
  <c r="AY32" i="6" a="1"/>
  <c r="AY32" i="6" s="1"/>
  <c r="AX32" i="6" a="1"/>
  <c r="AX32" i="6" s="1"/>
  <c r="AW32" i="6" a="1"/>
  <c r="AW32" i="6" s="1"/>
  <c r="AV32" i="6" a="1"/>
  <c r="AV32" i="6" s="1"/>
  <c r="AU32" i="6" a="1"/>
  <c r="AU32" i="6" s="1"/>
  <c r="AT32" i="6" a="1"/>
  <c r="AT32" i="6" s="1"/>
  <c r="AS32" i="6" a="1"/>
  <c r="AS32" i="6" s="1"/>
  <c r="AR32" i="6" a="1"/>
  <c r="AR32" i="6" s="1"/>
  <c r="AH32" i="6" a="1"/>
  <c r="AH32" i="6" s="1"/>
  <c r="AG32" i="6" a="1"/>
  <c r="AG32" i="6" s="1"/>
  <c r="V32" i="6" a="1"/>
  <c r="V32" i="6" s="1"/>
  <c r="U32" i="6" a="1"/>
  <c r="U32" i="6" s="1"/>
  <c r="J32" i="6" a="1"/>
  <c r="J32" i="6" s="1"/>
  <c r="I32" i="6" a="1"/>
  <c r="I32" i="6" s="1"/>
  <c r="ADA31" i="6" a="1"/>
  <c r="ADA31" i="6" s="1"/>
  <c r="ACZ31" i="6" a="1"/>
  <c r="ACZ31" i="6" s="1"/>
  <c r="ACY31" i="6" a="1"/>
  <c r="ACY31" i="6" s="1"/>
  <c r="ACN31" i="6" a="1"/>
  <c r="ACN31" i="6" s="1"/>
  <c r="ACM31" i="6" a="1"/>
  <c r="ACM31" i="6" s="1"/>
  <c r="ACL31" i="6" s="1"/>
  <c r="ABU31" i="6" a="1"/>
  <c r="ABU31" i="6" s="1"/>
  <c r="ABX31" i="6" a="1"/>
  <c r="ABX31" i="6" s="1"/>
  <c r="ABV31" i="6" a="1"/>
  <c r="ABV31" i="6" s="1"/>
  <c r="ABH31" i="6" a="1"/>
  <c r="ABH31" i="6" s="1"/>
  <c r="ABG31" i="6" a="1"/>
  <c r="ABG31" i="6" s="1"/>
  <c r="ABF31" i="6" a="1"/>
  <c r="ABF31" i="6" s="1"/>
  <c r="ABE31" i="6" a="1"/>
  <c r="ABE31" i="6" s="1"/>
  <c r="ABD31" i="6" a="1"/>
  <c r="ABD31" i="6" s="1"/>
  <c r="ZR31" i="6" a="1"/>
  <c r="ZR31" i="6" s="1"/>
  <c r="ZE31" i="6" a="1"/>
  <c r="ZE31" i="6" s="1"/>
  <c r="ZD31" i="6" a="1"/>
  <c r="ZD31" i="6" s="1"/>
  <c r="ZC31" i="6" a="1"/>
  <c r="ZC31" i="6" s="1"/>
  <c r="ZB31" i="6" a="1"/>
  <c r="ZB31" i="6" s="1"/>
  <c r="ZA31" i="6" a="1"/>
  <c r="ZA31" i="6" s="1"/>
  <c r="YP31" i="6" a="1"/>
  <c r="YP31" i="6" s="1"/>
  <c r="YO31" i="6" a="1"/>
  <c r="YO31" i="6" s="1"/>
  <c r="YE31" i="6" a="1"/>
  <c r="YE31" i="6" s="1"/>
  <c r="YD31" i="6" a="1"/>
  <c r="YD31" i="6" s="1"/>
  <c r="XT31" i="6" a="1"/>
  <c r="XT31" i="6" s="1"/>
  <c r="XS31" i="6" a="1"/>
  <c r="XS31" i="6" s="1"/>
  <c r="XI31" i="6" a="1"/>
  <c r="XI31" i="6" s="1"/>
  <c r="XH31" i="6" a="1"/>
  <c r="XH31" i="6" s="1"/>
  <c r="WX31" i="6" a="1"/>
  <c r="WX31" i="6" s="1"/>
  <c r="WW31" i="6" a="1"/>
  <c r="WW31" i="6" s="1"/>
  <c r="WM31" i="6" a="1"/>
  <c r="WM31" i="6" s="1"/>
  <c r="WL31" i="6" a="1"/>
  <c r="WL31" i="6" s="1"/>
  <c r="WC31" i="6" a="1"/>
  <c r="WC31" i="6" s="1"/>
  <c r="VQ31" i="6" a="1"/>
  <c r="VQ31" i="6" s="1"/>
  <c r="VP31" i="6" a="1"/>
  <c r="VP31" i="6" s="1"/>
  <c r="VO31" i="6" a="1"/>
  <c r="VO31" i="6" s="1"/>
  <c r="VN31" i="6" a="1"/>
  <c r="VN31" i="6" s="1"/>
  <c r="VA31" i="6" a="1"/>
  <c r="VA31" i="6" s="1"/>
  <c r="UZ31" i="6" a="1"/>
  <c r="UZ31" i="6" s="1"/>
  <c r="UY31" i="6" a="1"/>
  <c r="UY31" i="6" s="1"/>
  <c r="UX31" i="6" a="1"/>
  <c r="UX31" i="6" s="1"/>
  <c r="UW31" i="6" a="1"/>
  <c r="UW31" i="6" s="1"/>
  <c r="UM31" i="6" a="1"/>
  <c r="UM31" i="6" s="1"/>
  <c r="TZ31" i="6" a="1"/>
  <c r="TZ31" i="6" s="1"/>
  <c r="TY31" i="6" a="1"/>
  <c r="TY31" i="6" s="1"/>
  <c r="TX31" i="6" a="1"/>
  <c r="TX31" i="6" s="1"/>
  <c r="TW31" i="6" a="1"/>
  <c r="TW31" i="6" s="1"/>
  <c r="TV31" i="6" a="1"/>
  <c r="TV31" i="6" s="1"/>
  <c r="TH31" i="6" a="1"/>
  <c r="TH31" i="6" s="1"/>
  <c r="TG31" i="6" a="1"/>
  <c r="TG31" i="6" s="1"/>
  <c r="TF31" i="6" a="1"/>
  <c r="TF31" i="6" s="1"/>
  <c r="TE31" i="6" a="1"/>
  <c r="TE31" i="6" s="1"/>
  <c r="TD31" i="6" a="1"/>
  <c r="TD31" i="6" s="1"/>
  <c r="SP31" i="6" a="1"/>
  <c r="SP31" i="6" s="1"/>
  <c r="SO31" i="6" a="1"/>
  <c r="SO31" i="6" s="1"/>
  <c r="SN31" i="6" a="1"/>
  <c r="SN31" i="6" s="1"/>
  <c r="SM31" i="6" a="1"/>
  <c r="SM31" i="6" s="1"/>
  <c r="SL31" i="6" a="1"/>
  <c r="SL31" i="6" s="1"/>
  <c r="RX31" i="6" a="1"/>
  <c r="RX31" i="6" s="1"/>
  <c r="RW31" i="6" a="1"/>
  <c r="RW31" i="6" s="1"/>
  <c r="RV31" i="6" a="1"/>
  <c r="RV31" i="6" s="1"/>
  <c r="RU31" i="6" a="1"/>
  <c r="RU31" i="6" s="1"/>
  <c r="RT31" i="6" a="1"/>
  <c r="RT31" i="6" s="1"/>
  <c r="RF31" i="6" a="1"/>
  <c r="RF31" i="6" s="1"/>
  <c r="RE31" i="6" a="1"/>
  <c r="RE31" i="6" s="1"/>
  <c r="RD31" i="6" a="1"/>
  <c r="RD31" i="6" s="1"/>
  <c r="RC31" i="6" a="1"/>
  <c r="RC31" i="6" s="1"/>
  <c r="RB31" i="6" a="1"/>
  <c r="RB31" i="6" s="1"/>
  <c r="QN31" i="6" a="1"/>
  <c r="QN31" i="6" s="1"/>
  <c r="QM31" i="6" a="1"/>
  <c r="QM31" i="6" s="1"/>
  <c r="QL31" i="6" a="1"/>
  <c r="QL31" i="6" s="1"/>
  <c r="QK31" i="6" a="1"/>
  <c r="QK31" i="6" s="1"/>
  <c r="QJ31" i="6" a="1"/>
  <c r="QJ31" i="6" s="1"/>
  <c r="PV31" i="6" a="1"/>
  <c r="PV31" i="6" s="1"/>
  <c r="PU31" i="6" a="1"/>
  <c r="PU31" i="6" s="1"/>
  <c r="PT31" i="6" a="1"/>
  <c r="PT31" i="6" s="1"/>
  <c r="PS31" i="6" a="1"/>
  <c r="PS31" i="6" s="1"/>
  <c r="PR31" i="6" a="1"/>
  <c r="PR31" i="6" s="1"/>
  <c r="PD31" i="6" a="1"/>
  <c r="PD31" i="6" s="1"/>
  <c r="PC31" i="6" a="1"/>
  <c r="PC31" i="6" s="1"/>
  <c r="PB31" i="6" a="1"/>
  <c r="PB31" i="6" s="1"/>
  <c r="PA31" i="6" a="1"/>
  <c r="PA31" i="6" s="1"/>
  <c r="OZ31" i="6" a="1"/>
  <c r="OZ31" i="6" s="1"/>
  <c r="OL31" i="6" a="1"/>
  <c r="OL31" i="6" s="1"/>
  <c r="OK31" i="6" a="1"/>
  <c r="OK31" i="6" s="1"/>
  <c r="OJ31" i="6" a="1"/>
  <c r="OJ31" i="6" s="1"/>
  <c r="OI31" i="6" a="1"/>
  <c r="OI31" i="6" s="1"/>
  <c r="OH31" i="6" a="1"/>
  <c r="OH31" i="6" s="1"/>
  <c r="NT31" i="6" a="1"/>
  <c r="NT31" i="6" s="1"/>
  <c r="NS31" i="6" a="1"/>
  <c r="NS31" i="6" s="1"/>
  <c r="NR31" i="6" a="1"/>
  <c r="NR31" i="6" s="1"/>
  <c r="NQ31" i="6" a="1"/>
  <c r="NQ31" i="6" s="1"/>
  <c r="NP31" i="6" a="1"/>
  <c r="NP31" i="6" s="1"/>
  <c r="NC31" i="6" a="1"/>
  <c r="NC31" i="6" s="1"/>
  <c r="NB31" i="6" a="1"/>
  <c r="NB31" i="6" s="1"/>
  <c r="NA31" i="6" a="1"/>
  <c r="NA31" i="6" s="1"/>
  <c r="MZ31" i="6" a="1"/>
  <c r="MZ31" i="6" s="1"/>
  <c r="MY31" i="6" a="1"/>
  <c r="MY31" i="6" s="1"/>
  <c r="MK31" i="6" a="1"/>
  <c r="MK31" i="6" s="1"/>
  <c r="MJ31" i="6" a="1"/>
  <c r="MJ31" i="6" s="1"/>
  <c r="MI31" i="6" a="1"/>
  <c r="MI31" i="6" s="1"/>
  <c r="MH31" i="6" a="1"/>
  <c r="MH31" i="6" s="1"/>
  <c r="MG31" i="6" a="1"/>
  <c r="MG31" i="6" s="1"/>
  <c r="LS31" i="6" a="1"/>
  <c r="LS31" i="6" s="1"/>
  <c r="LR31" i="6" a="1"/>
  <c r="LR31" i="6" s="1"/>
  <c r="LQ31" i="6" a="1"/>
  <c r="LQ31" i="6" s="1"/>
  <c r="LP31" i="6" a="1"/>
  <c r="LP31" i="6" s="1"/>
  <c r="LO31" i="6" a="1"/>
  <c r="LO31" i="6" s="1"/>
  <c r="LA31" i="6" a="1"/>
  <c r="LA31" i="6" s="1"/>
  <c r="KZ31" i="6" a="1"/>
  <c r="KZ31" i="6" s="1"/>
  <c r="KY31" i="6" a="1"/>
  <c r="KY31" i="6" s="1"/>
  <c r="KX31" i="6" a="1"/>
  <c r="KX31" i="6" s="1"/>
  <c r="KW31" i="6" a="1"/>
  <c r="KW31" i="6" s="1"/>
  <c r="KI31" i="6" a="1"/>
  <c r="KI31" i="6" s="1"/>
  <c r="KH31" i="6" a="1"/>
  <c r="KH31" i="6" s="1"/>
  <c r="KG31" i="6" a="1"/>
  <c r="KG31" i="6" s="1"/>
  <c r="KF31" i="6" a="1"/>
  <c r="KF31" i="6" s="1"/>
  <c r="KE31" i="6" a="1"/>
  <c r="KE31" i="6" s="1"/>
  <c r="JQ31" i="6" a="1"/>
  <c r="JQ31" i="6" s="1"/>
  <c r="JP31" i="6" a="1"/>
  <c r="JP31" i="6" s="1"/>
  <c r="JO31" i="6" a="1"/>
  <c r="JO31" i="6" s="1"/>
  <c r="JN31" i="6" a="1"/>
  <c r="JN31" i="6" s="1"/>
  <c r="JM31" i="6" a="1"/>
  <c r="JM31" i="6" s="1"/>
  <c r="IY31" i="6" a="1"/>
  <c r="IY31" i="6" s="1"/>
  <c r="IX31" i="6" a="1"/>
  <c r="IX31" i="6" s="1"/>
  <c r="IW31" i="6" a="1"/>
  <c r="IW31" i="6" s="1"/>
  <c r="IV31" i="6" a="1"/>
  <c r="IV31" i="6" s="1"/>
  <c r="IU31" i="6" a="1"/>
  <c r="IU31" i="6" s="1"/>
  <c r="IG31" i="6" a="1"/>
  <c r="IG31" i="6" s="1"/>
  <c r="IF31" i="6" a="1"/>
  <c r="IF31" i="6" s="1"/>
  <c r="IE31" i="6" a="1"/>
  <c r="IE31" i="6" s="1"/>
  <c r="ID31" i="6" a="1"/>
  <c r="ID31" i="6" s="1"/>
  <c r="IC31" i="6" a="1"/>
  <c r="IC31" i="6" s="1"/>
  <c r="HO31" i="6" a="1"/>
  <c r="HO31" i="6" s="1"/>
  <c r="HN31" i="6" a="1"/>
  <c r="HN31" i="6" s="1"/>
  <c r="HM31" i="6" a="1"/>
  <c r="HM31" i="6" s="1"/>
  <c r="HL31" i="6" a="1"/>
  <c r="HL31" i="6" s="1"/>
  <c r="HK31" i="6" a="1"/>
  <c r="HK31" i="6" s="1"/>
  <c r="GX31" i="6" a="1"/>
  <c r="GX31" i="6" s="1"/>
  <c r="GW31" i="6" a="1"/>
  <c r="GW31" i="6" s="1"/>
  <c r="GV31" i="6" a="1"/>
  <c r="GV31" i="6" s="1"/>
  <c r="GU31" i="6" a="1"/>
  <c r="GU31" i="6" s="1"/>
  <c r="GT31" i="6" a="1"/>
  <c r="GT31" i="6" s="1"/>
  <c r="GG31" i="6" a="1"/>
  <c r="GG31" i="6" s="1"/>
  <c r="GF31" i="6" a="1"/>
  <c r="GF31" i="6" s="1"/>
  <c r="GE31" i="6" a="1"/>
  <c r="GE31" i="6" s="1"/>
  <c r="GD31" i="6" a="1"/>
  <c r="GD31" i="6" s="1"/>
  <c r="GC31" i="6" a="1"/>
  <c r="GC31" i="6" s="1"/>
  <c r="FP31" i="6" a="1"/>
  <c r="FP31" i="6" s="1"/>
  <c r="FO31" i="6" a="1"/>
  <c r="FO31" i="6" s="1"/>
  <c r="FN31" i="6" a="1"/>
  <c r="FN31" i="6" s="1"/>
  <c r="FM31" i="6" a="1"/>
  <c r="FM31" i="6" s="1"/>
  <c r="FL31" i="6" a="1"/>
  <c r="FL31" i="6" s="1"/>
  <c r="EY31" i="6" a="1"/>
  <c r="EY31" i="6" s="1"/>
  <c r="EX31" i="6" a="1"/>
  <c r="EX31" i="6" s="1"/>
  <c r="EW31" i="6" a="1"/>
  <c r="EW31" i="6" s="1"/>
  <c r="EV31" i="6" a="1"/>
  <c r="EV31" i="6" s="1"/>
  <c r="EU31" i="6" a="1"/>
  <c r="EU31" i="6" s="1"/>
  <c r="EH31" i="6" a="1"/>
  <c r="EH31" i="6" s="1"/>
  <c r="EG31" i="6" a="1"/>
  <c r="EG31" i="6" s="1"/>
  <c r="EF31" i="6" a="1"/>
  <c r="EF31" i="6" s="1"/>
  <c r="EE31" i="6" a="1"/>
  <c r="EE31" i="6" s="1"/>
  <c r="ED31" i="6" a="1"/>
  <c r="ED31" i="6" s="1"/>
  <c r="DQ31" i="6" a="1"/>
  <c r="DQ31" i="6" s="1"/>
  <c r="DP31" i="6" a="1"/>
  <c r="DP31" i="6" s="1"/>
  <c r="DO31" i="6" a="1"/>
  <c r="DO31" i="6" s="1"/>
  <c r="DN31" i="6" a="1"/>
  <c r="DN31" i="6" s="1"/>
  <c r="DM31" i="6" a="1"/>
  <c r="DM31" i="6" s="1"/>
  <c r="DD31" i="6" a="1"/>
  <c r="DD31" i="6" s="1"/>
  <c r="CU31" i="6" a="1"/>
  <c r="CU31" i="6" s="1"/>
  <c r="CL31" i="6" a="1"/>
  <c r="CL31" i="6" s="1"/>
  <c r="BX31" i="6" a="1"/>
  <c r="BX31" i="6" s="1"/>
  <c r="BW31" i="6" a="1"/>
  <c r="BW31" i="6" s="1"/>
  <c r="BV31" i="6" a="1"/>
  <c r="BV31" i="6" s="1"/>
  <c r="BU31" i="6" a="1"/>
  <c r="BU31" i="6" s="1"/>
  <c r="BT31" i="6" a="1"/>
  <c r="BT31" i="6" s="1"/>
  <c r="BS31" i="6" a="1"/>
  <c r="BS31" i="6" s="1"/>
  <c r="BA31" i="6" a="1"/>
  <c r="BA31" i="6" s="1"/>
  <c r="AZ31" i="6" a="1"/>
  <c r="AZ31" i="6" s="1"/>
  <c r="AY31" i="6" a="1"/>
  <c r="AY31" i="6" s="1"/>
  <c r="AX31" i="6" a="1"/>
  <c r="AX31" i="6" s="1"/>
  <c r="AW31" i="6" a="1"/>
  <c r="AW31" i="6" s="1"/>
  <c r="AV31" i="6" a="1"/>
  <c r="AV31" i="6" s="1"/>
  <c r="AU31" i="6" a="1"/>
  <c r="AU31" i="6" s="1"/>
  <c r="AT31" i="6" a="1"/>
  <c r="AT31" i="6" s="1"/>
  <c r="AS31" i="6" a="1"/>
  <c r="AS31" i="6" s="1"/>
  <c r="AR31" i="6" a="1"/>
  <c r="AR31" i="6" s="1"/>
  <c r="AH31" i="6" a="1"/>
  <c r="AH31" i="6" s="1"/>
  <c r="AG31" i="6" a="1"/>
  <c r="AG31" i="6" s="1"/>
  <c r="V31" i="6" a="1"/>
  <c r="V31" i="6" s="1"/>
  <c r="U31" i="6" a="1"/>
  <c r="U31" i="6" s="1"/>
  <c r="J31" i="6" a="1"/>
  <c r="J31" i="6" s="1"/>
  <c r="I31" i="6" a="1"/>
  <c r="I31" i="6" s="1"/>
  <c r="H31" i="6" s="1"/>
  <c r="ADA30" i="6" a="1"/>
  <c r="ADA30" i="6" s="1"/>
  <c r="ACZ30" i="6" a="1"/>
  <c r="ACZ30" i="6" s="1"/>
  <c r="ACY30" i="6" a="1"/>
  <c r="ACY30" i="6" s="1"/>
  <c r="ACN30" i="6" a="1"/>
  <c r="ACN30" i="6" s="1"/>
  <c r="ACM30" i="6" a="1"/>
  <c r="ACM30" i="6" s="1"/>
  <c r="ACL30" i="6" s="1"/>
  <c r="ABU30" i="6" a="1"/>
  <c r="ABU30" i="6" s="1"/>
  <c r="ABX30" i="6" a="1"/>
  <c r="ABX30" i="6" s="1"/>
  <c r="ABV30" i="6" a="1"/>
  <c r="ABV30" i="6" s="1"/>
  <c r="ABH30" i="6" a="1"/>
  <c r="ABH30" i="6" s="1"/>
  <c r="ABG30" i="6" a="1"/>
  <c r="ABG30" i="6" s="1"/>
  <c r="ABF30" i="6" a="1"/>
  <c r="ABF30" i="6" s="1"/>
  <c r="ABE30" i="6" a="1"/>
  <c r="ABE30" i="6" s="1"/>
  <c r="ABD30" i="6" a="1"/>
  <c r="ABD30" i="6" s="1"/>
  <c r="ZR30" i="6" a="1"/>
  <c r="ZR30" i="6" s="1"/>
  <c r="ZE30" i="6" a="1"/>
  <c r="ZE30" i="6" s="1"/>
  <c r="ZD30" i="6" a="1"/>
  <c r="ZD30" i="6" s="1"/>
  <c r="ZC30" i="6" a="1"/>
  <c r="ZC30" i="6" s="1"/>
  <c r="ZB30" i="6" a="1"/>
  <c r="ZB30" i="6" s="1"/>
  <c r="ZA30" i="6" a="1"/>
  <c r="ZA30" i="6" s="1"/>
  <c r="YP30" i="6" a="1"/>
  <c r="YP30" i="6" s="1"/>
  <c r="YO30" i="6" a="1"/>
  <c r="YO30" i="6" s="1"/>
  <c r="YE30" i="6" a="1"/>
  <c r="YE30" i="6" s="1"/>
  <c r="YD30" i="6" a="1"/>
  <c r="YD30" i="6" s="1"/>
  <c r="XT30" i="6" a="1"/>
  <c r="XT30" i="6" s="1"/>
  <c r="XS30" i="6" a="1"/>
  <c r="XS30" i="6" s="1"/>
  <c r="XI30" i="6" a="1"/>
  <c r="XI30" i="6" s="1"/>
  <c r="XH30" i="6" a="1"/>
  <c r="XH30" i="6" s="1"/>
  <c r="WX30" i="6" a="1"/>
  <c r="WX30" i="6" s="1"/>
  <c r="WW30" i="6" a="1"/>
  <c r="WW30" i="6" s="1"/>
  <c r="WM30" i="6" a="1"/>
  <c r="WM30" i="6" s="1"/>
  <c r="WL30" i="6" a="1"/>
  <c r="WL30" i="6" s="1"/>
  <c r="WC30" i="6" a="1"/>
  <c r="WC30" i="6" s="1"/>
  <c r="VQ30" i="6" a="1"/>
  <c r="VQ30" i="6" s="1"/>
  <c r="VP30" i="6" a="1"/>
  <c r="VP30" i="6" s="1"/>
  <c r="VO30" i="6" a="1"/>
  <c r="VO30" i="6" s="1"/>
  <c r="VN30" i="6" a="1"/>
  <c r="VN30" i="6" s="1"/>
  <c r="VA30" i="6" a="1"/>
  <c r="VA30" i="6" s="1"/>
  <c r="UZ30" i="6" a="1"/>
  <c r="UZ30" i="6" s="1"/>
  <c r="UY30" i="6" a="1"/>
  <c r="UY30" i="6" s="1"/>
  <c r="UX30" i="6" a="1"/>
  <c r="UX30" i="6" s="1"/>
  <c r="UW30" i="6" a="1"/>
  <c r="UW30" i="6" s="1"/>
  <c r="UM30" i="6" a="1"/>
  <c r="UM30" i="6" s="1"/>
  <c r="TZ30" i="6" a="1"/>
  <c r="TZ30" i="6" s="1"/>
  <c r="TY30" i="6" a="1"/>
  <c r="TY30" i="6" s="1"/>
  <c r="TX30" i="6" a="1"/>
  <c r="TX30" i="6" s="1"/>
  <c r="TW30" i="6" a="1"/>
  <c r="TW30" i="6" s="1"/>
  <c r="TV30" i="6" a="1"/>
  <c r="TV30" i="6" s="1"/>
  <c r="TH30" i="6" a="1"/>
  <c r="TH30" i="6" s="1"/>
  <c r="TG30" i="6" a="1"/>
  <c r="TG30" i="6" s="1"/>
  <c r="TF30" i="6" a="1"/>
  <c r="TF30" i="6" s="1"/>
  <c r="TE30" i="6" a="1"/>
  <c r="TE30" i="6" s="1"/>
  <c r="TD30" i="6" a="1"/>
  <c r="TD30" i="6" s="1"/>
  <c r="SP30" i="6" a="1"/>
  <c r="SP30" i="6" s="1"/>
  <c r="SO30" i="6" a="1"/>
  <c r="SO30" i="6" s="1"/>
  <c r="SN30" i="6" a="1"/>
  <c r="SN30" i="6" s="1"/>
  <c r="SM30" i="6" a="1"/>
  <c r="SM30" i="6" s="1"/>
  <c r="SL30" i="6" a="1"/>
  <c r="SL30" i="6" s="1"/>
  <c r="RX30" i="6" a="1"/>
  <c r="RX30" i="6" s="1"/>
  <c r="RW30" i="6" a="1"/>
  <c r="RW30" i="6" s="1"/>
  <c r="RV30" i="6" a="1"/>
  <c r="RV30" i="6" s="1"/>
  <c r="RU30" i="6" a="1"/>
  <c r="RU30" i="6" s="1"/>
  <c r="RT30" i="6" a="1"/>
  <c r="RT30" i="6" s="1"/>
  <c r="RF30" i="6" a="1"/>
  <c r="RF30" i="6" s="1"/>
  <c r="RE30" i="6" a="1"/>
  <c r="RE30" i="6" s="1"/>
  <c r="RD30" i="6" a="1"/>
  <c r="RD30" i="6" s="1"/>
  <c r="RC30" i="6" a="1"/>
  <c r="RC30" i="6" s="1"/>
  <c r="RB30" i="6" a="1"/>
  <c r="RB30" i="6" s="1"/>
  <c r="QN30" i="6" a="1"/>
  <c r="QN30" i="6" s="1"/>
  <c r="QM30" i="6" a="1"/>
  <c r="QM30" i="6" s="1"/>
  <c r="QL30" i="6" a="1"/>
  <c r="QL30" i="6" s="1"/>
  <c r="QK30" i="6" a="1"/>
  <c r="QK30" i="6" s="1"/>
  <c r="QJ30" i="6" a="1"/>
  <c r="QJ30" i="6" s="1"/>
  <c r="PV30" i="6" a="1"/>
  <c r="PV30" i="6" s="1"/>
  <c r="PU30" i="6" a="1"/>
  <c r="PU30" i="6" s="1"/>
  <c r="PT30" i="6" a="1"/>
  <c r="PT30" i="6" s="1"/>
  <c r="PS30" i="6" a="1"/>
  <c r="PS30" i="6" s="1"/>
  <c r="PR30" i="6" a="1"/>
  <c r="PR30" i="6" s="1"/>
  <c r="PD30" i="6" a="1"/>
  <c r="PD30" i="6" s="1"/>
  <c r="PC30" i="6" a="1"/>
  <c r="PC30" i="6" s="1"/>
  <c r="PB30" i="6" a="1"/>
  <c r="PB30" i="6" s="1"/>
  <c r="PA30" i="6" a="1"/>
  <c r="PA30" i="6" s="1"/>
  <c r="OZ30" i="6" a="1"/>
  <c r="OZ30" i="6" s="1"/>
  <c r="OL30" i="6" a="1"/>
  <c r="OL30" i="6" s="1"/>
  <c r="OK30" i="6" a="1"/>
  <c r="OK30" i="6" s="1"/>
  <c r="OJ30" i="6" a="1"/>
  <c r="OJ30" i="6" s="1"/>
  <c r="OI30" i="6" a="1"/>
  <c r="OI30" i="6" s="1"/>
  <c r="OH30" i="6" a="1"/>
  <c r="OH30" i="6" s="1"/>
  <c r="NT30" i="6" a="1"/>
  <c r="NT30" i="6" s="1"/>
  <c r="NS30" i="6" a="1"/>
  <c r="NS30" i="6" s="1"/>
  <c r="NR30" i="6" a="1"/>
  <c r="NR30" i="6" s="1"/>
  <c r="NQ30" i="6" a="1"/>
  <c r="NQ30" i="6" s="1"/>
  <c r="NP30" i="6" a="1"/>
  <c r="NP30" i="6" s="1"/>
  <c r="NC30" i="6" a="1"/>
  <c r="NC30" i="6" s="1"/>
  <c r="NB30" i="6" a="1"/>
  <c r="NB30" i="6" s="1"/>
  <c r="NA30" i="6" a="1"/>
  <c r="NA30" i="6" s="1"/>
  <c r="MZ30" i="6" a="1"/>
  <c r="MZ30" i="6" s="1"/>
  <c r="MY30" i="6" a="1"/>
  <c r="MY30" i="6" s="1"/>
  <c r="MK30" i="6" a="1"/>
  <c r="MK30" i="6" s="1"/>
  <c r="MJ30" i="6" a="1"/>
  <c r="MJ30" i="6" s="1"/>
  <c r="MI30" i="6" a="1"/>
  <c r="MI30" i="6" s="1"/>
  <c r="MH30" i="6" a="1"/>
  <c r="MH30" i="6" s="1"/>
  <c r="MG30" i="6" a="1"/>
  <c r="MG30" i="6" s="1"/>
  <c r="LS30" i="6" a="1"/>
  <c r="LS30" i="6" s="1"/>
  <c r="LR30" i="6" a="1"/>
  <c r="LR30" i="6" s="1"/>
  <c r="LQ30" i="6" a="1"/>
  <c r="LQ30" i="6" s="1"/>
  <c r="LP30" i="6" a="1"/>
  <c r="LP30" i="6" s="1"/>
  <c r="LO30" i="6" a="1"/>
  <c r="LO30" i="6" s="1"/>
  <c r="LA30" i="6" a="1"/>
  <c r="LA30" i="6" s="1"/>
  <c r="KZ30" i="6" a="1"/>
  <c r="KZ30" i="6" s="1"/>
  <c r="KY30" i="6" a="1"/>
  <c r="KY30" i="6" s="1"/>
  <c r="KX30" i="6" a="1"/>
  <c r="KX30" i="6" s="1"/>
  <c r="KW30" i="6" a="1"/>
  <c r="KW30" i="6" s="1"/>
  <c r="KI30" i="6" a="1"/>
  <c r="KI30" i="6" s="1"/>
  <c r="KH30" i="6" a="1"/>
  <c r="KH30" i="6" s="1"/>
  <c r="KG30" i="6" a="1"/>
  <c r="KG30" i="6" s="1"/>
  <c r="KF30" i="6" a="1"/>
  <c r="KF30" i="6" s="1"/>
  <c r="KE30" i="6" a="1"/>
  <c r="KE30" i="6" s="1"/>
  <c r="JQ30" i="6" a="1"/>
  <c r="JQ30" i="6" s="1"/>
  <c r="JP30" i="6" a="1"/>
  <c r="JP30" i="6" s="1"/>
  <c r="JO30" i="6" a="1"/>
  <c r="JO30" i="6" s="1"/>
  <c r="JN30" i="6" a="1"/>
  <c r="JN30" i="6" s="1"/>
  <c r="JM30" i="6" a="1"/>
  <c r="JM30" i="6" s="1"/>
  <c r="IY30" i="6" a="1"/>
  <c r="IY30" i="6" s="1"/>
  <c r="IX30" i="6" a="1"/>
  <c r="IX30" i="6" s="1"/>
  <c r="IW30" i="6" a="1"/>
  <c r="IW30" i="6" s="1"/>
  <c r="IV30" i="6" a="1"/>
  <c r="IV30" i="6" s="1"/>
  <c r="IU30" i="6" a="1"/>
  <c r="IU30" i="6" s="1"/>
  <c r="IG30" i="6" a="1"/>
  <c r="IG30" i="6" s="1"/>
  <c r="IF30" i="6" a="1"/>
  <c r="IF30" i="6" s="1"/>
  <c r="IE30" i="6" a="1"/>
  <c r="IE30" i="6" s="1"/>
  <c r="ID30" i="6" a="1"/>
  <c r="ID30" i="6" s="1"/>
  <c r="IC30" i="6" a="1"/>
  <c r="IC30" i="6" s="1"/>
  <c r="HO30" i="6" a="1"/>
  <c r="HO30" i="6" s="1"/>
  <c r="HN30" i="6" a="1"/>
  <c r="HN30" i="6" s="1"/>
  <c r="HM30" i="6" a="1"/>
  <c r="HM30" i="6" s="1"/>
  <c r="HL30" i="6" a="1"/>
  <c r="HL30" i="6" s="1"/>
  <c r="HK30" i="6" a="1"/>
  <c r="HK30" i="6" s="1"/>
  <c r="GX30" i="6" a="1"/>
  <c r="GX30" i="6" s="1"/>
  <c r="GW30" i="6" a="1"/>
  <c r="GW30" i="6" s="1"/>
  <c r="GV30" i="6" a="1"/>
  <c r="GV30" i="6" s="1"/>
  <c r="GU30" i="6" a="1"/>
  <c r="GU30" i="6" s="1"/>
  <c r="GT30" i="6" a="1"/>
  <c r="GT30" i="6" s="1"/>
  <c r="GG30" i="6" a="1"/>
  <c r="GG30" i="6" s="1"/>
  <c r="GF30" i="6" a="1"/>
  <c r="GF30" i="6" s="1"/>
  <c r="GE30" i="6" a="1"/>
  <c r="GE30" i="6" s="1"/>
  <c r="GD30" i="6" a="1"/>
  <c r="GD30" i="6" s="1"/>
  <c r="GC30" i="6" a="1"/>
  <c r="GC30" i="6" s="1"/>
  <c r="FP30" i="6" a="1"/>
  <c r="FP30" i="6" s="1"/>
  <c r="FO30" i="6" a="1"/>
  <c r="FO30" i="6" s="1"/>
  <c r="FN30" i="6" a="1"/>
  <c r="FN30" i="6" s="1"/>
  <c r="FM30" i="6" a="1"/>
  <c r="FM30" i="6" s="1"/>
  <c r="FL30" i="6" a="1"/>
  <c r="FL30" i="6" s="1"/>
  <c r="EY30" i="6" a="1"/>
  <c r="EY30" i="6" s="1"/>
  <c r="EX30" i="6" a="1"/>
  <c r="EX30" i="6" s="1"/>
  <c r="EW30" i="6" a="1"/>
  <c r="EW30" i="6" s="1"/>
  <c r="EV30" i="6" a="1"/>
  <c r="EV30" i="6" s="1"/>
  <c r="EU30" i="6" a="1"/>
  <c r="EU30" i="6" s="1"/>
  <c r="EH30" i="6" a="1"/>
  <c r="EH30" i="6" s="1"/>
  <c r="EG30" i="6" a="1"/>
  <c r="EG30" i="6" s="1"/>
  <c r="EF30" i="6" a="1"/>
  <c r="EF30" i="6" s="1"/>
  <c r="EE30" i="6" a="1"/>
  <c r="EE30" i="6" s="1"/>
  <c r="ED30" i="6" a="1"/>
  <c r="ED30" i="6" s="1"/>
  <c r="DQ30" i="6" a="1"/>
  <c r="DQ30" i="6" s="1"/>
  <c r="DP30" i="6" a="1"/>
  <c r="DP30" i="6" s="1"/>
  <c r="DO30" i="6" a="1"/>
  <c r="DO30" i="6" s="1"/>
  <c r="DN30" i="6" a="1"/>
  <c r="DN30" i="6" s="1"/>
  <c r="DM30" i="6" a="1"/>
  <c r="DM30" i="6" s="1"/>
  <c r="DD30" i="6" a="1"/>
  <c r="DD30" i="6" s="1"/>
  <c r="CU30" i="6" a="1"/>
  <c r="CU30" i="6" s="1"/>
  <c r="CL30" i="6" a="1"/>
  <c r="CL30" i="6" s="1"/>
  <c r="BX30" i="6" a="1"/>
  <c r="BX30" i="6" s="1"/>
  <c r="BW30" i="6" a="1"/>
  <c r="BW30" i="6" s="1"/>
  <c r="BV30" i="6" a="1"/>
  <c r="BV30" i="6" s="1"/>
  <c r="BU30" i="6" a="1"/>
  <c r="BU30" i="6" s="1"/>
  <c r="BT30" i="6" a="1"/>
  <c r="BT30" i="6" s="1"/>
  <c r="BS30" i="6" a="1"/>
  <c r="BS30" i="6" s="1"/>
  <c r="BA30" i="6" a="1"/>
  <c r="BA30" i="6" s="1"/>
  <c r="AZ30" i="6" a="1"/>
  <c r="AZ30" i="6" s="1"/>
  <c r="AY30" i="6" a="1"/>
  <c r="AY30" i="6" s="1"/>
  <c r="AX30" i="6" a="1"/>
  <c r="AX30" i="6" s="1"/>
  <c r="AW30" i="6" a="1"/>
  <c r="AW30" i="6" s="1"/>
  <c r="AV30" i="6" a="1"/>
  <c r="AV30" i="6" s="1"/>
  <c r="AU30" i="6" a="1"/>
  <c r="AU30" i="6" s="1"/>
  <c r="AT30" i="6" a="1"/>
  <c r="AT30" i="6" s="1"/>
  <c r="AS30" i="6" a="1"/>
  <c r="AS30" i="6" s="1"/>
  <c r="AR30" i="6" a="1"/>
  <c r="AR30" i="6" s="1"/>
  <c r="AH30" i="6" a="1"/>
  <c r="AH30" i="6" s="1"/>
  <c r="AG30" i="6" a="1"/>
  <c r="AG30" i="6" s="1"/>
  <c r="V30" i="6" a="1"/>
  <c r="V30" i="6" s="1"/>
  <c r="U30" i="6" a="1"/>
  <c r="U30" i="6" s="1"/>
  <c r="J30" i="6" a="1"/>
  <c r="J30" i="6" s="1"/>
  <c r="I30" i="6" a="1"/>
  <c r="I30" i="6" s="1"/>
  <c r="ADA29" i="6" a="1"/>
  <c r="ADA29" i="6" s="1"/>
  <c r="ACZ29" i="6" a="1"/>
  <c r="ACZ29" i="6" s="1"/>
  <c r="ACY29" i="6" a="1"/>
  <c r="ACY29" i="6" s="1"/>
  <c r="ACN29" i="6" a="1"/>
  <c r="ACN29" i="6" s="1"/>
  <c r="ACM29" i="6" a="1"/>
  <c r="ACM29" i="6" s="1"/>
  <c r="ABU29" i="6" a="1"/>
  <c r="ABU29" i="6" s="1"/>
  <c r="ABX29" i="6" a="1"/>
  <c r="ABX29" i="6" s="1"/>
  <c r="ABV29" i="6" a="1"/>
  <c r="ABV29" i="6" s="1"/>
  <c r="ABH29" i="6" a="1"/>
  <c r="ABH29" i="6" s="1"/>
  <c r="ABG29" i="6" a="1"/>
  <c r="ABG29" i="6" s="1"/>
  <c r="ABF29" i="6" a="1"/>
  <c r="ABF29" i="6" s="1"/>
  <c r="ABE29" i="6" a="1"/>
  <c r="ABE29" i="6" s="1"/>
  <c r="ABD29" i="6" a="1"/>
  <c r="ABD29" i="6" s="1"/>
  <c r="ZR29" i="6" a="1"/>
  <c r="ZR29" i="6" s="1"/>
  <c r="ZE29" i="6" a="1"/>
  <c r="ZE29" i="6" s="1"/>
  <c r="ZD29" i="6" a="1"/>
  <c r="ZD29" i="6" s="1"/>
  <c r="ZC29" i="6" a="1"/>
  <c r="ZC29" i="6" s="1"/>
  <c r="ZB29" i="6" a="1"/>
  <c r="ZB29" i="6" s="1"/>
  <c r="ZA29" i="6" a="1"/>
  <c r="ZA29" i="6" s="1"/>
  <c r="YP29" i="6" a="1"/>
  <c r="YP29" i="6" s="1"/>
  <c r="YO29" i="6" a="1"/>
  <c r="YO29" i="6" s="1"/>
  <c r="YE29" i="6" a="1"/>
  <c r="YE29" i="6" s="1"/>
  <c r="YD29" i="6" a="1"/>
  <c r="YD29" i="6" s="1"/>
  <c r="XT29" i="6" a="1"/>
  <c r="XT29" i="6" s="1"/>
  <c r="XS29" i="6" a="1"/>
  <c r="XS29" i="6" s="1"/>
  <c r="XI29" i="6" a="1"/>
  <c r="XI29" i="6" s="1"/>
  <c r="XH29" i="6" a="1"/>
  <c r="XH29" i="6" s="1"/>
  <c r="WX29" i="6" a="1"/>
  <c r="WX29" i="6" s="1"/>
  <c r="WW29" i="6" a="1"/>
  <c r="WW29" i="6" s="1"/>
  <c r="WM29" i="6" a="1"/>
  <c r="WM29" i="6" s="1"/>
  <c r="WL29" i="6" a="1"/>
  <c r="WL29" i="6" s="1"/>
  <c r="WC29" i="6" a="1"/>
  <c r="WC29" i="6" s="1"/>
  <c r="VQ29" i="6" a="1"/>
  <c r="VQ29" i="6" s="1"/>
  <c r="VP29" i="6" a="1"/>
  <c r="VP29" i="6" s="1"/>
  <c r="VO29" i="6" a="1"/>
  <c r="VO29" i="6" s="1"/>
  <c r="VN29" i="6" a="1"/>
  <c r="VN29" i="6" s="1"/>
  <c r="VA29" i="6" a="1"/>
  <c r="VA29" i="6" s="1"/>
  <c r="UZ29" i="6" a="1"/>
  <c r="UZ29" i="6" s="1"/>
  <c r="UY29" i="6" a="1"/>
  <c r="UY29" i="6" s="1"/>
  <c r="UX29" i="6" a="1"/>
  <c r="UX29" i="6" s="1"/>
  <c r="UW29" i="6" a="1"/>
  <c r="UW29" i="6" s="1"/>
  <c r="UM29" i="6" a="1"/>
  <c r="UM29" i="6" s="1"/>
  <c r="TZ29" i="6" a="1"/>
  <c r="TZ29" i="6" s="1"/>
  <c r="TY29" i="6" a="1"/>
  <c r="TY29" i="6" s="1"/>
  <c r="TX29" i="6" a="1"/>
  <c r="TX29" i="6" s="1"/>
  <c r="TW29" i="6" a="1"/>
  <c r="TW29" i="6" s="1"/>
  <c r="TV29" i="6" a="1"/>
  <c r="TV29" i="6" s="1"/>
  <c r="TH29" i="6" a="1"/>
  <c r="TH29" i="6" s="1"/>
  <c r="TG29" i="6" a="1"/>
  <c r="TG29" i="6" s="1"/>
  <c r="TF29" i="6" a="1"/>
  <c r="TF29" i="6" s="1"/>
  <c r="TE29" i="6" a="1"/>
  <c r="TE29" i="6" s="1"/>
  <c r="TD29" i="6" a="1"/>
  <c r="TD29" i="6" s="1"/>
  <c r="SP29" i="6" a="1"/>
  <c r="SP29" i="6" s="1"/>
  <c r="SO29" i="6" a="1"/>
  <c r="SO29" i="6" s="1"/>
  <c r="SN29" i="6" a="1"/>
  <c r="SN29" i="6" s="1"/>
  <c r="SM29" i="6" a="1"/>
  <c r="SM29" i="6" s="1"/>
  <c r="SL29" i="6" a="1"/>
  <c r="SL29" i="6" s="1"/>
  <c r="RX29" i="6" a="1"/>
  <c r="RX29" i="6" s="1"/>
  <c r="RW29" i="6" a="1"/>
  <c r="RW29" i="6" s="1"/>
  <c r="RV29" i="6" a="1"/>
  <c r="RV29" i="6" s="1"/>
  <c r="RU29" i="6" a="1"/>
  <c r="RU29" i="6" s="1"/>
  <c r="RT29" i="6" a="1"/>
  <c r="RT29" i="6" s="1"/>
  <c r="RF29" i="6" a="1"/>
  <c r="RF29" i="6" s="1"/>
  <c r="RE29" i="6" a="1"/>
  <c r="RE29" i="6" s="1"/>
  <c r="RD29" i="6" a="1"/>
  <c r="RD29" i="6" s="1"/>
  <c r="RC29" i="6" a="1"/>
  <c r="RC29" i="6" s="1"/>
  <c r="RB29" i="6" a="1"/>
  <c r="RB29" i="6" s="1"/>
  <c r="QN29" i="6" a="1"/>
  <c r="QN29" i="6" s="1"/>
  <c r="QM29" i="6" a="1"/>
  <c r="QM29" i="6" s="1"/>
  <c r="QL29" i="6" a="1"/>
  <c r="QL29" i="6" s="1"/>
  <c r="QK29" i="6" a="1"/>
  <c r="QK29" i="6" s="1"/>
  <c r="QJ29" i="6" a="1"/>
  <c r="QJ29" i="6" s="1"/>
  <c r="PV29" i="6" a="1"/>
  <c r="PV29" i="6" s="1"/>
  <c r="PU29" i="6" a="1"/>
  <c r="PU29" i="6" s="1"/>
  <c r="PT29" i="6" a="1"/>
  <c r="PT29" i="6" s="1"/>
  <c r="PS29" i="6" a="1"/>
  <c r="PS29" i="6" s="1"/>
  <c r="PR29" i="6" a="1"/>
  <c r="PR29" i="6" s="1"/>
  <c r="PD29" i="6" a="1"/>
  <c r="PD29" i="6" s="1"/>
  <c r="PC29" i="6" a="1"/>
  <c r="PC29" i="6" s="1"/>
  <c r="PB29" i="6" a="1"/>
  <c r="PB29" i="6" s="1"/>
  <c r="PA29" i="6" a="1"/>
  <c r="PA29" i="6" s="1"/>
  <c r="OZ29" i="6" a="1"/>
  <c r="OZ29" i="6" s="1"/>
  <c r="OL29" i="6" a="1"/>
  <c r="OL29" i="6" s="1"/>
  <c r="OK29" i="6" a="1"/>
  <c r="OK29" i="6" s="1"/>
  <c r="OJ29" i="6" a="1"/>
  <c r="OJ29" i="6" s="1"/>
  <c r="OI29" i="6" a="1"/>
  <c r="OI29" i="6" s="1"/>
  <c r="OH29" i="6" a="1"/>
  <c r="OH29" i="6" s="1"/>
  <c r="NT29" i="6" a="1"/>
  <c r="NT29" i="6" s="1"/>
  <c r="NS29" i="6" a="1"/>
  <c r="NS29" i="6" s="1"/>
  <c r="NR29" i="6" a="1"/>
  <c r="NR29" i="6" s="1"/>
  <c r="NQ29" i="6" a="1"/>
  <c r="NQ29" i="6" s="1"/>
  <c r="NP29" i="6" a="1"/>
  <c r="NP29" i="6" s="1"/>
  <c r="NC29" i="6" a="1"/>
  <c r="NC29" i="6" s="1"/>
  <c r="NB29" i="6" a="1"/>
  <c r="NB29" i="6" s="1"/>
  <c r="NA29" i="6" a="1"/>
  <c r="NA29" i="6" s="1"/>
  <c r="MZ29" i="6" a="1"/>
  <c r="MZ29" i="6" s="1"/>
  <c r="MY29" i="6" a="1"/>
  <c r="MY29" i="6" s="1"/>
  <c r="MK29" i="6" a="1"/>
  <c r="MK29" i="6" s="1"/>
  <c r="MJ29" i="6" a="1"/>
  <c r="MJ29" i="6" s="1"/>
  <c r="MI29" i="6" a="1"/>
  <c r="MI29" i="6" s="1"/>
  <c r="MH29" i="6" a="1"/>
  <c r="MH29" i="6" s="1"/>
  <c r="MG29" i="6" a="1"/>
  <c r="MG29" i="6" s="1"/>
  <c r="LS29" i="6" a="1"/>
  <c r="LS29" i="6" s="1"/>
  <c r="LR29" i="6" a="1"/>
  <c r="LR29" i="6" s="1"/>
  <c r="LQ29" i="6" a="1"/>
  <c r="LQ29" i="6" s="1"/>
  <c r="LP29" i="6" a="1"/>
  <c r="LP29" i="6" s="1"/>
  <c r="LO29" i="6" a="1"/>
  <c r="LO29" i="6" s="1"/>
  <c r="LA29" i="6" a="1"/>
  <c r="LA29" i="6" s="1"/>
  <c r="KZ29" i="6" a="1"/>
  <c r="KZ29" i="6" s="1"/>
  <c r="KY29" i="6" a="1"/>
  <c r="KY29" i="6" s="1"/>
  <c r="KX29" i="6" a="1"/>
  <c r="KX29" i="6" s="1"/>
  <c r="KW29" i="6" a="1"/>
  <c r="KW29" i="6" s="1"/>
  <c r="KI29" i="6" a="1"/>
  <c r="KI29" i="6" s="1"/>
  <c r="KH29" i="6" a="1"/>
  <c r="KH29" i="6" s="1"/>
  <c r="KG29" i="6" a="1"/>
  <c r="KG29" i="6" s="1"/>
  <c r="KF29" i="6" a="1"/>
  <c r="KF29" i="6" s="1"/>
  <c r="KE29" i="6" a="1"/>
  <c r="KE29" i="6" s="1"/>
  <c r="JQ29" i="6" a="1"/>
  <c r="JQ29" i="6" s="1"/>
  <c r="JP29" i="6" a="1"/>
  <c r="JP29" i="6" s="1"/>
  <c r="JO29" i="6" a="1"/>
  <c r="JO29" i="6" s="1"/>
  <c r="JN29" i="6" a="1"/>
  <c r="JN29" i="6" s="1"/>
  <c r="JM29" i="6" a="1"/>
  <c r="JM29" i="6" s="1"/>
  <c r="IY29" i="6" a="1"/>
  <c r="IY29" i="6" s="1"/>
  <c r="IX29" i="6" a="1"/>
  <c r="IX29" i="6" s="1"/>
  <c r="IW29" i="6" a="1"/>
  <c r="IW29" i="6" s="1"/>
  <c r="IV29" i="6" a="1"/>
  <c r="IV29" i="6" s="1"/>
  <c r="IU29" i="6" a="1"/>
  <c r="IU29" i="6" s="1"/>
  <c r="IG29" i="6" a="1"/>
  <c r="IG29" i="6" s="1"/>
  <c r="IF29" i="6" a="1"/>
  <c r="IF29" i="6" s="1"/>
  <c r="IE29" i="6" a="1"/>
  <c r="IE29" i="6" s="1"/>
  <c r="ID29" i="6" a="1"/>
  <c r="ID29" i="6" s="1"/>
  <c r="IC29" i="6" a="1"/>
  <c r="IC29" i="6" s="1"/>
  <c r="HO29" i="6" a="1"/>
  <c r="HO29" i="6" s="1"/>
  <c r="HN29" i="6" a="1"/>
  <c r="HN29" i="6" s="1"/>
  <c r="HM29" i="6" a="1"/>
  <c r="HM29" i="6" s="1"/>
  <c r="HL29" i="6" a="1"/>
  <c r="HL29" i="6" s="1"/>
  <c r="HK29" i="6" a="1"/>
  <c r="HK29" i="6" s="1"/>
  <c r="GX29" i="6" a="1"/>
  <c r="GX29" i="6" s="1"/>
  <c r="GW29" i="6" a="1"/>
  <c r="GW29" i="6" s="1"/>
  <c r="GV29" i="6" a="1"/>
  <c r="GV29" i="6" s="1"/>
  <c r="GU29" i="6" a="1"/>
  <c r="GU29" i="6" s="1"/>
  <c r="GT29" i="6" a="1"/>
  <c r="GT29" i="6" s="1"/>
  <c r="GG29" i="6" a="1"/>
  <c r="GG29" i="6" s="1"/>
  <c r="GF29" i="6" a="1"/>
  <c r="GF29" i="6" s="1"/>
  <c r="GE29" i="6" a="1"/>
  <c r="GE29" i="6" s="1"/>
  <c r="GD29" i="6" a="1"/>
  <c r="GD29" i="6" s="1"/>
  <c r="GC29" i="6" a="1"/>
  <c r="GC29" i="6" s="1"/>
  <c r="FP29" i="6" a="1"/>
  <c r="FP29" i="6" s="1"/>
  <c r="FO29" i="6" a="1"/>
  <c r="FO29" i="6" s="1"/>
  <c r="FN29" i="6" a="1"/>
  <c r="FN29" i="6" s="1"/>
  <c r="FM29" i="6" a="1"/>
  <c r="FM29" i="6" s="1"/>
  <c r="FL29" i="6" a="1"/>
  <c r="FL29" i="6" s="1"/>
  <c r="EY29" i="6" a="1"/>
  <c r="EY29" i="6" s="1"/>
  <c r="EX29" i="6" a="1"/>
  <c r="EX29" i="6" s="1"/>
  <c r="EW29" i="6" a="1"/>
  <c r="EW29" i="6" s="1"/>
  <c r="EV29" i="6" a="1"/>
  <c r="EV29" i="6" s="1"/>
  <c r="EU29" i="6" a="1"/>
  <c r="EU29" i="6" s="1"/>
  <c r="EH29" i="6" a="1"/>
  <c r="EH29" i="6" s="1"/>
  <c r="EG29" i="6" a="1"/>
  <c r="EG29" i="6" s="1"/>
  <c r="EF29" i="6" a="1"/>
  <c r="EF29" i="6" s="1"/>
  <c r="EE29" i="6" a="1"/>
  <c r="EE29" i="6" s="1"/>
  <c r="ED29" i="6" a="1"/>
  <c r="ED29" i="6" s="1"/>
  <c r="DQ29" i="6" a="1"/>
  <c r="DQ29" i="6" s="1"/>
  <c r="DP29" i="6" a="1"/>
  <c r="DP29" i="6" s="1"/>
  <c r="DO29" i="6" a="1"/>
  <c r="DO29" i="6" s="1"/>
  <c r="DN29" i="6" a="1"/>
  <c r="DN29" i="6" s="1"/>
  <c r="DM29" i="6" a="1"/>
  <c r="DM29" i="6" s="1"/>
  <c r="DD29" i="6" a="1"/>
  <c r="DD29" i="6" s="1"/>
  <c r="CU29" i="6" a="1"/>
  <c r="CU29" i="6" s="1"/>
  <c r="CL29" i="6" a="1"/>
  <c r="CL29" i="6" s="1"/>
  <c r="BX29" i="6" a="1"/>
  <c r="BX29" i="6" s="1"/>
  <c r="BW29" i="6" a="1"/>
  <c r="BW29" i="6" s="1"/>
  <c r="BV29" i="6" a="1"/>
  <c r="BV29" i="6" s="1"/>
  <c r="BU29" i="6" a="1"/>
  <c r="BU29" i="6" s="1"/>
  <c r="BT29" i="6" a="1"/>
  <c r="BT29" i="6" s="1"/>
  <c r="BS29" i="6" a="1"/>
  <c r="BS29" i="6" s="1"/>
  <c r="BA29" i="6" a="1"/>
  <c r="BA29" i="6" s="1"/>
  <c r="AZ29" i="6" a="1"/>
  <c r="AZ29" i="6" s="1"/>
  <c r="AY29" i="6" a="1"/>
  <c r="AY29" i="6" s="1"/>
  <c r="AX29" i="6" a="1"/>
  <c r="AX29" i="6" s="1"/>
  <c r="AW29" i="6" a="1"/>
  <c r="AW29" i="6" s="1"/>
  <c r="AV29" i="6" a="1"/>
  <c r="AV29" i="6" s="1"/>
  <c r="AU29" i="6" a="1"/>
  <c r="AU29" i="6" s="1"/>
  <c r="AT29" i="6" a="1"/>
  <c r="AT29" i="6" s="1"/>
  <c r="AS29" i="6" a="1"/>
  <c r="AS29" i="6" s="1"/>
  <c r="AR29" i="6" a="1"/>
  <c r="AR29" i="6" s="1"/>
  <c r="AH29" i="6" a="1"/>
  <c r="AH29" i="6" s="1"/>
  <c r="AG29" i="6" a="1"/>
  <c r="AG29" i="6" s="1"/>
  <c r="V29" i="6" a="1"/>
  <c r="V29" i="6" s="1"/>
  <c r="U29" i="6" a="1"/>
  <c r="U29" i="6" s="1"/>
  <c r="J29" i="6" a="1"/>
  <c r="J29" i="6" s="1"/>
  <c r="I29" i="6" a="1"/>
  <c r="I29" i="6" s="1"/>
  <c r="H29" i="6" s="1"/>
  <c r="ADA28" i="6" a="1"/>
  <c r="ADA28" i="6" s="1"/>
  <c r="ACZ28" i="6" a="1"/>
  <c r="ACZ28" i="6" s="1"/>
  <c r="ACY28" i="6" a="1"/>
  <c r="ACY28" i="6" s="1"/>
  <c r="ACN28" i="6" a="1"/>
  <c r="ACN28" i="6" s="1"/>
  <c r="ACM28" i="6" a="1"/>
  <c r="ACM28" i="6" s="1"/>
  <c r="ABU28" i="6" a="1"/>
  <c r="ABU28" i="6" s="1"/>
  <c r="ABX28" i="6" a="1"/>
  <c r="ABX28" i="6" s="1"/>
  <c r="ABV28" i="6" a="1"/>
  <c r="ABV28" i="6" s="1"/>
  <c r="ABH28" i="6" a="1"/>
  <c r="ABH28" i="6" s="1"/>
  <c r="ABG28" i="6" a="1"/>
  <c r="ABG28" i="6" s="1"/>
  <c r="ABF28" i="6" a="1"/>
  <c r="ABF28" i="6" s="1"/>
  <c r="ABE28" i="6" a="1"/>
  <c r="ABE28" i="6" s="1"/>
  <c r="ABD28" i="6" a="1"/>
  <c r="ABD28" i="6" s="1"/>
  <c r="ZR28" i="6" a="1"/>
  <c r="ZR28" i="6" s="1"/>
  <c r="ZE28" i="6" a="1"/>
  <c r="ZE28" i="6" s="1"/>
  <c r="ZD28" i="6" a="1"/>
  <c r="ZD28" i="6" s="1"/>
  <c r="ZC28" i="6" a="1"/>
  <c r="ZC28" i="6" s="1"/>
  <c r="ZB28" i="6" a="1"/>
  <c r="ZB28" i="6" s="1"/>
  <c r="ZA28" i="6" a="1"/>
  <c r="ZA28" i="6" s="1"/>
  <c r="YP28" i="6" a="1"/>
  <c r="YP28" i="6" s="1"/>
  <c r="YO28" i="6" a="1"/>
  <c r="YO28" i="6" s="1"/>
  <c r="YE28" i="6" a="1"/>
  <c r="YE28" i="6" s="1"/>
  <c r="YD28" i="6" a="1"/>
  <c r="YD28" i="6" s="1"/>
  <c r="XT28" i="6" a="1"/>
  <c r="XT28" i="6" s="1"/>
  <c r="XS28" i="6" a="1"/>
  <c r="XS28" i="6" s="1"/>
  <c r="XI28" i="6" a="1"/>
  <c r="XI28" i="6" s="1"/>
  <c r="XH28" i="6" a="1"/>
  <c r="XH28" i="6" s="1"/>
  <c r="WX28" i="6" a="1"/>
  <c r="WX28" i="6" s="1"/>
  <c r="WW28" i="6" a="1"/>
  <c r="WW28" i="6" s="1"/>
  <c r="WM28" i="6" a="1"/>
  <c r="WM28" i="6" s="1"/>
  <c r="WL28" i="6" a="1"/>
  <c r="WL28" i="6" s="1"/>
  <c r="WC28" i="6" a="1"/>
  <c r="WC28" i="6" s="1"/>
  <c r="VQ28" i="6" a="1"/>
  <c r="VQ28" i="6" s="1"/>
  <c r="VP28" i="6" a="1"/>
  <c r="VP28" i="6" s="1"/>
  <c r="VO28" i="6" a="1"/>
  <c r="VO28" i="6" s="1"/>
  <c r="VN28" i="6" a="1"/>
  <c r="VN28" i="6" s="1"/>
  <c r="VA28" i="6" a="1"/>
  <c r="VA28" i="6" s="1"/>
  <c r="UZ28" i="6" a="1"/>
  <c r="UZ28" i="6" s="1"/>
  <c r="UY28" i="6" a="1"/>
  <c r="UY28" i="6" s="1"/>
  <c r="UX28" i="6" a="1"/>
  <c r="UX28" i="6" s="1"/>
  <c r="UW28" i="6" a="1"/>
  <c r="UW28" i="6" s="1"/>
  <c r="UM28" i="6" a="1"/>
  <c r="UM28" i="6" s="1"/>
  <c r="TZ28" i="6" a="1"/>
  <c r="TZ28" i="6" s="1"/>
  <c r="TY28" i="6" a="1"/>
  <c r="TY28" i="6" s="1"/>
  <c r="TX28" i="6" a="1"/>
  <c r="TX28" i="6" s="1"/>
  <c r="TW28" i="6" a="1"/>
  <c r="TW28" i="6" s="1"/>
  <c r="TV28" i="6" a="1"/>
  <c r="TV28" i="6" s="1"/>
  <c r="TH28" i="6" a="1"/>
  <c r="TH28" i="6" s="1"/>
  <c r="TG28" i="6" a="1"/>
  <c r="TG28" i="6" s="1"/>
  <c r="TF28" i="6" a="1"/>
  <c r="TF28" i="6" s="1"/>
  <c r="TE28" i="6" a="1"/>
  <c r="TE28" i="6" s="1"/>
  <c r="TD28" i="6" a="1"/>
  <c r="TD28" i="6" s="1"/>
  <c r="SP28" i="6" a="1"/>
  <c r="SP28" i="6" s="1"/>
  <c r="SO28" i="6" a="1"/>
  <c r="SO28" i="6" s="1"/>
  <c r="SN28" i="6" a="1"/>
  <c r="SN28" i="6" s="1"/>
  <c r="SM28" i="6" a="1"/>
  <c r="SM28" i="6" s="1"/>
  <c r="SL28" i="6" a="1"/>
  <c r="SL28" i="6" s="1"/>
  <c r="RX28" i="6" a="1"/>
  <c r="RX28" i="6" s="1"/>
  <c r="RW28" i="6" a="1"/>
  <c r="RW28" i="6" s="1"/>
  <c r="RV28" i="6" a="1"/>
  <c r="RV28" i="6" s="1"/>
  <c r="RU28" i="6" a="1"/>
  <c r="RU28" i="6" s="1"/>
  <c r="RT28" i="6" a="1"/>
  <c r="RT28" i="6" s="1"/>
  <c r="RF28" i="6" a="1"/>
  <c r="RF28" i="6" s="1"/>
  <c r="RE28" i="6" a="1"/>
  <c r="RE28" i="6" s="1"/>
  <c r="RD28" i="6" a="1"/>
  <c r="RD28" i="6" s="1"/>
  <c r="RC28" i="6" a="1"/>
  <c r="RC28" i="6" s="1"/>
  <c r="RB28" i="6" a="1"/>
  <c r="RB28" i="6" s="1"/>
  <c r="QN28" i="6" a="1"/>
  <c r="QN28" i="6" s="1"/>
  <c r="QM28" i="6" a="1"/>
  <c r="QM28" i="6" s="1"/>
  <c r="QL28" i="6" a="1"/>
  <c r="QL28" i="6" s="1"/>
  <c r="QK28" i="6" a="1"/>
  <c r="QK28" i="6" s="1"/>
  <c r="QJ28" i="6" a="1"/>
  <c r="QJ28" i="6" s="1"/>
  <c r="PV28" i="6" a="1"/>
  <c r="PV28" i="6" s="1"/>
  <c r="PU28" i="6" a="1"/>
  <c r="PU28" i="6" s="1"/>
  <c r="PT28" i="6" a="1"/>
  <c r="PT28" i="6" s="1"/>
  <c r="PS28" i="6" a="1"/>
  <c r="PS28" i="6" s="1"/>
  <c r="PR28" i="6" a="1"/>
  <c r="PR28" i="6" s="1"/>
  <c r="PD28" i="6" a="1"/>
  <c r="PD28" i="6" s="1"/>
  <c r="PC28" i="6" a="1"/>
  <c r="PC28" i="6" s="1"/>
  <c r="PB28" i="6" a="1"/>
  <c r="PB28" i="6" s="1"/>
  <c r="PA28" i="6" a="1"/>
  <c r="PA28" i="6" s="1"/>
  <c r="OZ28" i="6" a="1"/>
  <c r="OZ28" i="6" s="1"/>
  <c r="OL28" i="6" a="1"/>
  <c r="OL28" i="6" s="1"/>
  <c r="OK28" i="6" a="1"/>
  <c r="OK28" i="6" s="1"/>
  <c r="OJ28" i="6" a="1"/>
  <c r="OJ28" i="6" s="1"/>
  <c r="OI28" i="6" a="1"/>
  <c r="OI28" i="6" s="1"/>
  <c r="OH28" i="6" a="1"/>
  <c r="OH28" i="6" s="1"/>
  <c r="NT28" i="6" a="1"/>
  <c r="NT28" i="6" s="1"/>
  <c r="NS28" i="6" a="1"/>
  <c r="NS28" i="6" s="1"/>
  <c r="NR28" i="6" a="1"/>
  <c r="NR28" i="6" s="1"/>
  <c r="NQ28" i="6" a="1"/>
  <c r="NQ28" i="6" s="1"/>
  <c r="NP28" i="6" a="1"/>
  <c r="NP28" i="6" s="1"/>
  <c r="NC28" i="6" a="1"/>
  <c r="NC28" i="6" s="1"/>
  <c r="NB28" i="6" a="1"/>
  <c r="NB28" i="6" s="1"/>
  <c r="NA28" i="6" a="1"/>
  <c r="NA28" i="6" s="1"/>
  <c r="MZ28" i="6" a="1"/>
  <c r="MZ28" i="6" s="1"/>
  <c r="MY28" i="6" a="1"/>
  <c r="MY28" i="6" s="1"/>
  <c r="MK28" i="6" a="1"/>
  <c r="MK28" i="6" s="1"/>
  <c r="MJ28" i="6" a="1"/>
  <c r="MJ28" i="6" s="1"/>
  <c r="MI28" i="6" a="1"/>
  <c r="MI28" i="6" s="1"/>
  <c r="MH28" i="6" a="1"/>
  <c r="MH28" i="6" s="1"/>
  <c r="MG28" i="6" a="1"/>
  <c r="MG28" i="6" s="1"/>
  <c r="LS28" i="6" a="1"/>
  <c r="LS28" i="6" s="1"/>
  <c r="LR28" i="6" a="1"/>
  <c r="LR28" i="6" s="1"/>
  <c r="LQ28" i="6" a="1"/>
  <c r="LQ28" i="6" s="1"/>
  <c r="LP28" i="6" a="1"/>
  <c r="LP28" i="6" s="1"/>
  <c r="LO28" i="6" a="1"/>
  <c r="LO28" i="6" s="1"/>
  <c r="LA28" i="6" a="1"/>
  <c r="LA28" i="6" s="1"/>
  <c r="KZ28" i="6" a="1"/>
  <c r="KZ28" i="6" s="1"/>
  <c r="KY28" i="6" a="1"/>
  <c r="KY28" i="6" s="1"/>
  <c r="KX28" i="6" a="1"/>
  <c r="KX28" i="6" s="1"/>
  <c r="KW28" i="6" a="1"/>
  <c r="KW28" i="6" s="1"/>
  <c r="KI28" i="6" a="1"/>
  <c r="KI28" i="6" s="1"/>
  <c r="KH28" i="6" a="1"/>
  <c r="KH28" i="6" s="1"/>
  <c r="KG28" i="6" a="1"/>
  <c r="KG28" i="6" s="1"/>
  <c r="KF28" i="6" a="1"/>
  <c r="KF28" i="6" s="1"/>
  <c r="KE28" i="6" a="1"/>
  <c r="KE28" i="6" s="1"/>
  <c r="JQ28" i="6" a="1"/>
  <c r="JQ28" i="6" s="1"/>
  <c r="JP28" i="6" a="1"/>
  <c r="JP28" i="6" s="1"/>
  <c r="JO28" i="6" a="1"/>
  <c r="JO28" i="6" s="1"/>
  <c r="JN28" i="6" a="1"/>
  <c r="JN28" i="6" s="1"/>
  <c r="JM28" i="6" a="1"/>
  <c r="JM28" i="6" s="1"/>
  <c r="IY28" i="6" a="1"/>
  <c r="IY28" i="6" s="1"/>
  <c r="IX28" i="6" a="1"/>
  <c r="IX28" i="6" s="1"/>
  <c r="IW28" i="6" a="1"/>
  <c r="IW28" i="6" s="1"/>
  <c r="IV28" i="6" a="1"/>
  <c r="IV28" i="6" s="1"/>
  <c r="IU28" i="6" a="1"/>
  <c r="IU28" i="6" s="1"/>
  <c r="IG28" i="6" a="1"/>
  <c r="IG28" i="6" s="1"/>
  <c r="IF28" i="6" a="1"/>
  <c r="IF28" i="6" s="1"/>
  <c r="IE28" i="6" a="1"/>
  <c r="IE28" i="6" s="1"/>
  <c r="ID28" i="6" a="1"/>
  <c r="ID28" i="6" s="1"/>
  <c r="IC28" i="6" a="1"/>
  <c r="IC28" i="6" s="1"/>
  <c r="HO28" i="6" a="1"/>
  <c r="HO28" i="6" s="1"/>
  <c r="HN28" i="6" a="1"/>
  <c r="HN28" i="6" s="1"/>
  <c r="HM28" i="6" a="1"/>
  <c r="HM28" i="6" s="1"/>
  <c r="HL28" i="6" a="1"/>
  <c r="HL28" i="6" s="1"/>
  <c r="HK28" i="6" a="1"/>
  <c r="HK28" i="6" s="1"/>
  <c r="GX28" i="6" a="1"/>
  <c r="GX28" i="6" s="1"/>
  <c r="GW28" i="6" a="1"/>
  <c r="GW28" i="6" s="1"/>
  <c r="GV28" i="6" a="1"/>
  <c r="GV28" i="6" s="1"/>
  <c r="GU28" i="6" a="1"/>
  <c r="GU28" i="6" s="1"/>
  <c r="GT28" i="6" a="1"/>
  <c r="GT28" i="6" s="1"/>
  <c r="GG28" i="6" a="1"/>
  <c r="GG28" i="6" s="1"/>
  <c r="GF28" i="6" a="1"/>
  <c r="GF28" i="6" s="1"/>
  <c r="GE28" i="6" a="1"/>
  <c r="GE28" i="6" s="1"/>
  <c r="GD28" i="6" a="1"/>
  <c r="GD28" i="6" s="1"/>
  <c r="GC28" i="6" a="1"/>
  <c r="GC28" i="6" s="1"/>
  <c r="FP28" i="6" a="1"/>
  <c r="FP28" i="6" s="1"/>
  <c r="FO28" i="6" a="1"/>
  <c r="FO28" i="6" s="1"/>
  <c r="FN28" i="6" a="1"/>
  <c r="FN28" i="6" s="1"/>
  <c r="FM28" i="6" a="1"/>
  <c r="FM28" i="6" s="1"/>
  <c r="FL28" i="6" a="1"/>
  <c r="FL28" i="6" s="1"/>
  <c r="EY28" i="6" a="1"/>
  <c r="EY28" i="6" s="1"/>
  <c r="EX28" i="6" a="1"/>
  <c r="EX28" i="6" s="1"/>
  <c r="EW28" i="6" a="1"/>
  <c r="EW28" i="6" s="1"/>
  <c r="EV28" i="6" a="1"/>
  <c r="EV28" i="6" s="1"/>
  <c r="EU28" i="6" a="1"/>
  <c r="EU28" i="6" s="1"/>
  <c r="EH28" i="6" a="1"/>
  <c r="EH28" i="6" s="1"/>
  <c r="EG28" i="6" a="1"/>
  <c r="EG28" i="6" s="1"/>
  <c r="EF28" i="6" a="1"/>
  <c r="EF28" i="6" s="1"/>
  <c r="EE28" i="6" a="1"/>
  <c r="EE28" i="6" s="1"/>
  <c r="ED28" i="6" a="1"/>
  <c r="ED28" i="6" s="1"/>
  <c r="DQ28" i="6" a="1"/>
  <c r="DQ28" i="6" s="1"/>
  <c r="DP28" i="6" a="1"/>
  <c r="DP28" i="6" s="1"/>
  <c r="DO28" i="6" a="1"/>
  <c r="DO28" i="6" s="1"/>
  <c r="DN28" i="6" a="1"/>
  <c r="DN28" i="6" s="1"/>
  <c r="DM28" i="6" a="1"/>
  <c r="DM28" i="6" s="1"/>
  <c r="DD28" i="6" a="1"/>
  <c r="DD28" i="6" s="1"/>
  <c r="CU28" i="6" a="1"/>
  <c r="CU28" i="6" s="1"/>
  <c r="CL28" i="6" a="1"/>
  <c r="CL28" i="6" s="1"/>
  <c r="BX28" i="6" a="1"/>
  <c r="BX28" i="6" s="1"/>
  <c r="BW28" i="6" a="1"/>
  <c r="BW28" i="6" s="1"/>
  <c r="BV28" i="6" a="1"/>
  <c r="BV28" i="6" s="1"/>
  <c r="BU28" i="6" a="1"/>
  <c r="BU28" i="6" s="1"/>
  <c r="BT28" i="6" a="1"/>
  <c r="BT28" i="6" s="1"/>
  <c r="BS28" i="6" a="1"/>
  <c r="BS28" i="6" s="1"/>
  <c r="BA28" i="6" a="1"/>
  <c r="BA28" i="6" s="1"/>
  <c r="AZ28" i="6" a="1"/>
  <c r="AZ28" i="6" s="1"/>
  <c r="AY28" i="6" a="1"/>
  <c r="AY28" i="6" s="1"/>
  <c r="AX28" i="6" a="1"/>
  <c r="AX28" i="6" s="1"/>
  <c r="AW28" i="6" a="1"/>
  <c r="AW28" i="6" s="1"/>
  <c r="AV28" i="6" a="1"/>
  <c r="AV28" i="6" s="1"/>
  <c r="AU28" i="6" a="1"/>
  <c r="AU28" i="6" s="1"/>
  <c r="AT28" i="6" a="1"/>
  <c r="AT28" i="6" s="1"/>
  <c r="AS28" i="6" a="1"/>
  <c r="AS28" i="6" s="1"/>
  <c r="AR28" i="6" a="1"/>
  <c r="AR28" i="6" s="1"/>
  <c r="AH28" i="6" a="1"/>
  <c r="AH28" i="6" s="1"/>
  <c r="AG28" i="6" a="1"/>
  <c r="AG28" i="6" s="1"/>
  <c r="V28" i="6" a="1"/>
  <c r="V28" i="6" s="1"/>
  <c r="U28" i="6" a="1"/>
  <c r="U28" i="6" s="1"/>
  <c r="J28" i="6" a="1"/>
  <c r="J28" i="6" s="1"/>
  <c r="I28" i="6" a="1"/>
  <c r="I28" i="6" s="1"/>
  <c r="ADA27" i="6" a="1"/>
  <c r="ADA27" i="6" s="1"/>
  <c r="ACZ27" i="6" a="1"/>
  <c r="ACZ27" i="6" s="1"/>
  <c r="ACY27" i="6" a="1"/>
  <c r="ACY27" i="6" s="1"/>
  <c r="ACN27" i="6" a="1"/>
  <c r="ACN27" i="6" s="1"/>
  <c r="ACM27" i="6" a="1"/>
  <c r="ACM27" i="6" s="1"/>
  <c r="ABU27" i="6" a="1"/>
  <c r="ABU27" i="6" s="1"/>
  <c r="ABX27" i="6" a="1"/>
  <c r="ABX27" i="6" s="1"/>
  <c r="ABV27" i="6" a="1"/>
  <c r="ABV27" i="6" s="1"/>
  <c r="ABH27" i="6" a="1"/>
  <c r="ABH27" i="6" s="1"/>
  <c r="ABG27" i="6" a="1"/>
  <c r="ABG27" i="6" s="1"/>
  <c r="ABF27" i="6" a="1"/>
  <c r="ABF27" i="6" s="1"/>
  <c r="ABE27" i="6" a="1"/>
  <c r="ABE27" i="6" s="1"/>
  <c r="ABD27" i="6" a="1"/>
  <c r="ABD27" i="6" s="1"/>
  <c r="ZR27" i="6" a="1"/>
  <c r="ZR27" i="6" s="1"/>
  <c r="ZE27" i="6" a="1"/>
  <c r="ZE27" i="6" s="1"/>
  <c r="ZD27" i="6" a="1"/>
  <c r="ZD27" i="6" s="1"/>
  <c r="ZC27" i="6" a="1"/>
  <c r="ZC27" i="6" s="1"/>
  <c r="ZB27" i="6" a="1"/>
  <c r="ZB27" i="6" s="1"/>
  <c r="ZA27" i="6" a="1"/>
  <c r="ZA27" i="6" s="1"/>
  <c r="YP27" i="6" a="1"/>
  <c r="YP27" i="6" s="1"/>
  <c r="YO27" i="6" a="1"/>
  <c r="YO27" i="6" s="1"/>
  <c r="YE27" i="6" a="1"/>
  <c r="YE27" i="6" s="1"/>
  <c r="YD27" i="6" a="1"/>
  <c r="YD27" i="6" s="1"/>
  <c r="XT27" i="6" a="1"/>
  <c r="XT27" i="6" s="1"/>
  <c r="XS27" i="6" a="1"/>
  <c r="XS27" i="6" s="1"/>
  <c r="XI27" i="6" a="1"/>
  <c r="XI27" i="6" s="1"/>
  <c r="XH27" i="6" a="1"/>
  <c r="XH27" i="6" s="1"/>
  <c r="WX27" i="6" a="1"/>
  <c r="WX27" i="6" s="1"/>
  <c r="WW27" i="6" a="1"/>
  <c r="WW27" i="6" s="1"/>
  <c r="WM27" i="6" a="1"/>
  <c r="WM27" i="6" s="1"/>
  <c r="WL27" i="6" a="1"/>
  <c r="WL27" i="6" s="1"/>
  <c r="WC27" i="6" a="1"/>
  <c r="WC27" i="6" s="1"/>
  <c r="VQ27" i="6" a="1"/>
  <c r="VQ27" i="6" s="1"/>
  <c r="VP27" i="6" a="1"/>
  <c r="VP27" i="6" s="1"/>
  <c r="VO27" i="6" a="1"/>
  <c r="VO27" i="6" s="1"/>
  <c r="VN27" i="6" a="1"/>
  <c r="VN27" i="6" s="1"/>
  <c r="VA27" i="6" a="1"/>
  <c r="VA27" i="6" s="1"/>
  <c r="UZ27" i="6" a="1"/>
  <c r="UZ27" i="6" s="1"/>
  <c r="UY27" i="6" a="1"/>
  <c r="UY27" i="6" s="1"/>
  <c r="UX27" i="6" a="1"/>
  <c r="UX27" i="6" s="1"/>
  <c r="UW27" i="6" a="1"/>
  <c r="UW27" i="6" s="1"/>
  <c r="UM27" i="6" a="1"/>
  <c r="UM27" i="6" s="1"/>
  <c r="TZ27" i="6" a="1"/>
  <c r="TZ27" i="6" s="1"/>
  <c r="TY27" i="6" a="1"/>
  <c r="TY27" i="6" s="1"/>
  <c r="TX27" i="6" a="1"/>
  <c r="TX27" i="6" s="1"/>
  <c r="TW27" i="6" a="1"/>
  <c r="TW27" i="6" s="1"/>
  <c r="TV27" i="6" a="1"/>
  <c r="TV27" i="6" s="1"/>
  <c r="TH27" i="6" a="1"/>
  <c r="TH27" i="6" s="1"/>
  <c r="TG27" i="6" a="1"/>
  <c r="TG27" i="6" s="1"/>
  <c r="TF27" i="6" a="1"/>
  <c r="TF27" i="6" s="1"/>
  <c r="TE27" i="6" a="1"/>
  <c r="TE27" i="6" s="1"/>
  <c r="TD27" i="6" a="1"/>
  <c r="TD27" i="6" s="1"/>
  <c r="SP27" i="6" a="1"/>
  <c r="SP27" i="6" s="1"/>
  <c r="SO27" i="6" a="1"/>
  <c r="SO27" i="6" s="1"/>
  <c r="SN27" i="6" a="1"/>
  <c r="SN27" i="6" s="1"/>
  <c r="SM27" i="6" a="1"/>
  <c r="SM27" i="6" s="1"/>
  <c r="SL27" i="6" a="1"/>
  <c r="SL27" i="6" s="1"/>
  <c r="RX27" i="6" a="1"/>
  <c r="RX27" i="6" s="1"/>
  <c r="RW27" i="6" a="1"/>
  <c r="RW27" i="6" s="1"/>
  <c r="RV27" i="6" a="1"/>
  <c r="RV27" i="6" s="1"/>
  <c r="RU27" i="6" a="1"/>
  <c r="RU27" i="6" s="1"/>
  <c r="RT27" i="6" a="1"/>
  <c r="RT27" i="6" s="1"/>
  <c r="RF27" i="6" a="1"/>
  <c r="RF27" i="6" s="1"/>
  <c r="RE27" i="6" a="1"/>
  <c r="RE27" i="6" s="1"/>
  <c r="RD27" i="6" a="1"/>
  <c r="RD27" i="6" s="1"/>
  <c r="RC27" i="6" a="1"/>
  <c r="RC27" i="6" s="1"/>
  <c r="RB27" i="6" a="1"/>
  <c r="RB27" i="6" s="1"/>
  <c r="QN27" i="6" a="1"/>
  <c r="QN27" i="6" s="1"/>
  <c r="QM27" i="6" a="1"/>
  <c r="QM27" i="6" s="1"/>
  <c r="QL27" i="6" a="1"/>
  <c r="QL27" i="6" s="1"/>
  <c r="QK27" i="6" a="1"/>
  <c r="QK27" i="6" s="1"/>
  <c r="QJ27" i="6" a="1"/>
  <c r="QJ27" i="6" s="1"/>
  <c r="PV27" i="6" a="1"/>
  <c r="PV27" i="6" s="1"/>
  <c r="PU27" i="6" a="1"/>
  <c r="PU27" i="6" s="1"/>
  <c r="PT27" i="6" a="1"/>
  <c r="PT27" i="6" s="1"/>
  <c r="PS27" i="6" a="1"/>
  <c r="PS27" i="6" s="1"/>
  <c r="PR27" i="6" a="1"/>
  <c r="PR27" i="6" s="1"/>
  <c r="PD27" i="6" a="1"/>
  <c r="PD27" i="6" s="1"/>
  <c r="PC27" i="6" a="1"/>
  <c r="PC27" i="6" s="1"/>
  <c r="PB27" i="6" a="1"/>
  <c r="PB27" i="6" s="1"/>
  <c r="PA27" i="6" a="1"/>
  <c r="PA27" i="6" s="1"/>
  <c r="OZ27" i="6" a="1"/>
  <c r="OZ27" i="6" s="1"/>
  <c r="OL27" i="6" a="1"/>
  <c r="OL27" i="6" s="1"/>
  <c r="OK27" i="6" a="1"/>
  <c r="OK27" i="6" s="1"/>
  <c r="OJ27" i="6" a="1"/>
  <c r="OJ27" i="6" s="1"/>
  <c r="OI27" i="6" a="1"/>
  <c r="OI27" i="6" s="1"/>
  <c r="OH27" i="6" a="1"/>
  <c r="OH27" i="6" s="1"/>
  <c r="NT27" i="6" a="1"/>
  <c r="NT27" i="6" s="1"/>
  <c r="NS27" i="6" a="1"/>
  <c r="NS27" i="6" s="1"/>
  <c r="NR27" i="6" a="1"/>
  <c r="NR27" i="6" s="1"/>
  <c r="NQ27" i="6" a="1"/>
  <c r="NQ27" i="6" s="1"/>
  <c r="NP27" i="6" a="1"/>
  <c r="NP27" i="6" s="1"/>
  <c r="NC27" i="6" a="1"/>
  <c r="NC27" i="6" s="1"/>
  <c r="NB27" i="6" a="1"/>
  <c r="NB27" i="6" s="1"/>
  <c r="NA27" i="6" a="1"/>
  <c r="NA27" i="6" s="1"/>
  <c r="MZ27" i="6" a="1"/>
  <c r="MZ27" i="6" s="1"/>
  <c r="MY27" i="6" a="1"/>
  <c r="MY27" i="6" s="1"/>
  <c r="MK27" i="6" a="1"/>
  <c r="MK27" i="6" s="1"/>
  <c r="MJ27" i="6" a="1"/>
  <c r="MJ27" i="6" s="1"/>
  <c r="MI27" i="6" a="1"/>
  <c r="MI27" i="6" s="1"/>
  <c r="MH27" i="6" a="1"/>
  <c r="MH27" i="6" s="1"/>
  <c r="MG27" i="6" a="1"/>
  <c r="MG27" i="6" s="1"/>
  <c r="LS27" i="6" a="1"/>
  <c r="LS27" i="6" s="1"/>
  <c r="LR27" i="6" a="1"/>
  <c r="LR27" i="6" s="1"/>
  <c r="LQ27" i="6" a="1"/>
  <c r="LQ27" i="6" s="1"/>
  <c r="LP27" i="6" a="1"/>
  <c r="LP27" i="6" s="1"/>
  <c r="LO27" i="6" a="1"/>
  <c r="LO27" i="6" s="1"/>
  <c r="LA27" i="6" a="1"/>
  <c r="LA27" i="6" s="1"/>
  <c r="KZ27" i="6" a="1"/>
  <c r="KZ27" i="6" s="1"/>
  <c r="KY27" i="6" a="1"/>
  <c r="KY27" i="6" s="1"/>
  <c r="KX27" i="6" a="1"/>
  <c r="KX27" i="6" s="1"/>
  <c r="KW27" i="6" a="1"/>
  <c r="KW27" i="6" s="1"/>
  <c r="KI27" i="6" a="1"/>
  <c r="KI27" i="6" s="1"/>
  <c r="KH27" i="6" a="1"/>
  <c r="KH27" i="6" s="1"/>
  <c r="KG27" i="6" a="1"/>
  <c r="KG27" i="6" s="1"/>
  <c r="KF27" i="6" a="1"/>
  <c r="KF27" i="6" s="1"/>
  <c r="KE27" i="6" a="1"/>
  <c r="KE27" i="6" s="1"/>
  <c r="JQ27" i="6" a="1"/>
  <c r="JQ27" i="6" s="1"/>
  <c r="JP27" i="6" a="1"/>
  <c r="JP27" i="6" s="1"/>
  <c r="JO27" i="6" a="1"/>
  <c r="JO27" i="6" s="1"/>
  <c r="JN27" i="6" a="1"/>
  <c r="JN27" i="6" s="1"/>
  <c r="JM27" i="6" a="1"/>
  <c r="JM27" i="6" s="1"/>
  <c r="IY27" i="6" a="1"/>
  <c r="IY27" i="6" s="1"/>
  <c r="IX27" i="6" a="1"/>
  <c r="IX27" i="6" s="1"/>
  <c r="IW27" i="6" a="1"/>
  <c r="IW27" i="6" s="1"/>
  <c r="IV27" i="6" a="1"/>
  <c r="IV27" i="6" s="1"/>
  <c r="IU27" i="6" a="1"/>
  <c r="IU27" i="6" s="1"/>
  <c r="IG27" i="6" a="1"/>
  <c r="IG27" i="6" s="1"/>
  <c r="IF27" i="6" a="1"/>
  <c r="IF27" i="6" s="1"/>
  <c r="IE27" i="6" a="1"/>
  <c r="IE27" i="6" s="1"/>
  <c r="ID27" i="6" a="1"/>
  <c r="ID27" i="6" s="1"/>
  <c r="IC27" i="6" a="1"/>
  <c r="IC27" i="6" s="1"/>
  <c r="HO27" i="6" a="1"/>
  <c r="HO27" i="6" s="1"/>
  <c r="HN27" i="6" a="1"/>
  <c r="HN27" i="6" s="1"/>
  <c r="HM27" i="6" a="1"/>
  <c r="HM27" i="6" s="1"/>
  <c r="HL27" i="6" a="1"/>
  <c r="HL27" i="6" s="1"/>
  <c r="HK27" i="6" a="1"/>
  <c r="HK27" i="6" s="1"/>
  <c r="GX27" i="6" a="1"/>
  <c r="GX27" i="6" s="1"/>
  <c r="GW27" i="6" a="1"/>
  <c r="GW27" i="6" s="1"/>
  <c r="GV27" i="6" a="1"/>
  <c r="GV27" i="6" s="1"/>
  <c r="GU27" i="6" a="1"/>
  <c r="GU27" i="6" s="1"/>
  <c r="GT27" i="6" a="1"/>
  <c r="GT27" i="6" s="1"/>
  <c r="GG27" i="6" a="1"/>
  <c r="GG27" i="6" s="1"/>
  <c r="GF27" i="6" a="1"/>
  <c r="GF27" i="6" s="1"/>
  <c r="GE27" i="6" a="1"/>
  <c r="GE27" i="6" s="1"/>
  <c r="GD27" i="6" a="1"/>
  <c r="GD27" i="6" s="1"/>
  <c r="GC27" i="6" a="1"/>
  <c r="GC27" i="6" s="1"/>
  <c r="FP27" i="6" a="1"/>
  <c r="FP27" i="6" s="1"/>
  <c r="FO27" i="6" a="1"/>
  <c r="FO27" i="6" s="1"/>
  <c r="FN27" i="6" a="1"/>
  <c r="FN27" i="6" s="1"/>
  <c r="FM27" i="6" a="1"/>
  <c r="FM27" i="6" s="1"/>
  <c r="FL27" i="6" a="1"/>
  <c r="FL27" i="6" s="1"/>
  <c r="EY27" i="6" a="1"/>
  <c r="EY27" i="6" s="1"/>
  <c r="EX27" i="6" a="1"/>
  <c r="EX27" i="6" s="1"/>
  <c r="EW27" i="6" a="1"/>
  <c r="EW27" i="6" s="1"/>
  <c r="EV27" i="6" a="1"/>
  <c r="EV27" i="6" s="1"/>
  <c r="EU27" i="6" a="1"/>
  <c r="EU27" i="6" s="1"/>
  <c r="EH27" i="6" a="1"/>
  <c r="EH27" i="6" s="1"/>
  <c r="EG27" i="6" a="1"/>
  <c r="EG27" i="6" s="1"/>
  <c r="EF27" i="6" a="1"/>
  <c r="EF27" i="6" s="1"/>
  <c r="EE27" i="6" a="1"/>
  <c r="EE27" i="6" s="1"/>
  <c r="ED27" i="6" a="1"/>
  <c r="ED27" i="6" s="1"/>
  <c r="DQ27" i="6" a="1"/>
  <c r="DQ27" i="6" s="1"/>
  <c r="DP27" i="6" a="1"/>
  <c r="DP27" i="6" s="1"/>
  <c r="DO27" i="6" a="1"/>
  <c r="DO27" i="6" s="1"/>
  <c r="DN27" i="6" a="1"/>
  <c r="DN27" i="6" s="1"/>
  <c r="DM27" i="6" a="1"/>
  <c r="DM27" i="6" s="1"/>
  <c r="DD27" i="6" a="1"/>
  <c r="DD27" i="6" s="1"/>
  <c r="CU27" i="6" a="1"/>
  <c r="CU27" i="6" s="1"/>
  <c r="CL27" i="6" a="1"/>
  <c r="CL27" i="6" s="1"/>
  <c r="BX27" i="6" a="1"/>
  <c r="BX27" i="6" s="1"/>
  <c r="BW27" i="6" a="1"/>
  <c r="BW27" i="6" s="1"/>
  <c r="BV27" i="6" a="1"/>
  <c r="BV27" i="6" s="1"/>
  <c r="BU27" i="6" a="1"/>
  <c r="BU27" i="6" s="1"/>
  <c r="BT27" i="6" a="1"/>
  <c r="BT27" i="6" s="1"/>
  <c r="BS27" i="6" a="1"/>
  <c r="BS27" i="6" s="1"/>
  <c r="BA27" i="6" a="1"/>
  <c r="BA27" i="6" s="1"/>
  <c r="AZ27" i="6" a="1"/>
  <c r="AZ27" i="6" s="1"/>
  <c r="AY27" i="6" a="1"/>
  <c r="AY27" i="6" s="1"/>
  <c r="AX27" i="6" a="1"/>
  <c r="AX27" i="6" s="1"/>
  <c r="AW27" i="6" a="1"/>
  <c r="AW27" i="6" s="1"/>
  <c r="AV27" i="6" a="1"/>
  <c r="AV27" i="6" s="1"/>
  <c r="AU27" i="6" a="1"/>
  <c r="AU27" i="6" s="1"/>
  <c r="AT27" i="6" a="1"/>
  <c r="AT27" i="6" s="1"/>
  <c r="AS27" i="6" a="1"/>
  <c r="AS27" i="6" s="1"/>
  <c r="AR27" i="6" a="1"/>
  <c r="AR27" i="6" s="1"/>
  <c r="AH27" i="6" a="1"/>
  <c r="AH27" i="6" s="1"/>
  <c r="AG27" i="6" a="1"/>
  <c r="AG27" i="6" s="1"/>
  <c r="V27" i="6" a="1"/>
  <c r="V27" i="6" s="1"/>
  <c r="U27" i="6" a="1"/>
  <c r="U27" i="6" s="1"/>
  <c r="J27" i="6" a="1"/>
  <c r="J27" i="6" s="1"/>
  <c r="I27" i="6" a="1"/>
  <c r="I27" i="6" s="1"/>
  <c r="ADA26" i="6" a="1"/>
  <c r="ADA26" i="6" s="1"/>
  <c r="ACZ26" i="6" a="1"/>
  <c r="ACZ26" i="6" s="1"/>
  <c r="ACY26" i="6" a="1"/>
  <c r="ACY26" i="6" s="1"/>
  <c r="ACN26" i="6" a="1"/>
  <c r="ACN26" i="6" s="1"/>
  <c r="ACM26" i="6" a="1"/>
  <c r="ACM26" i="6" s="1"/>
  <c r="ABU26" i="6" a="1"/>
  <c r="ABU26" i="6" s="1"/>
  <c r="ABX26" i="6" a="1"/>
  <c r="ABX26" i="6" s="1"/>
  <c r="ABV26" i="6" a="1"/>
  <c r="ABV26" i="6" s="1"/>
  <c r="ABH26" i="6" a="1"/>
  <c r="ABH26" i="6" s="1"/>
  <c r="ABG26" i="6" a="1"/>
  <c r="ABG26" i="6" s="1"/>
  <c r="ABF26" i="6" a="1"/>
  <c r="ABF26" i="6" s="1"/>
  <c r="ABE26" i="6" a="1"/>
  <c r="ABE26" i="6" s="1"/>
  <c r="ABD26" i="6" a="1"/>
  <c r="ABD26" i="6" s="1"/>
  <c r="ZR26" i="6" a="1"/>
  <c r="ZR26" i="6" s="1"/>
  <c r="ZE26" i="6" a="1"/>
  <c r="ZE26" i="6" s="1"/>
  <c r="ZD26" i="6" a="1"/>
  <c r="ZD26" i="6" s="1"/>
  <c r="ZC26" i="6" a="1"/>
  <c r="ZC26" i="6" s="1"/>
  <c r="ZB26" i="6" a="1"/>
  <c r="ZB26" i="6" s="1"/>
  <c r="ZA26" i="6" a="1"/>
  <c r="ZA26" i="6" s="1"/>
  <c r="YP26" i="6" a="1"/>
  <c r="YP26" i="6" s="1"/>
  <c r="YO26" i="6" a="1"/>
  <c r="YO26" i="6" s="1"/>
  <c r="YE26" i="6" a="1"/>
  <c r="YE26" i="6" s="1"/>
  <c r="YD26" i="6" a="1"/>
  <c r="YD26" i="6" s="1"/>
  <c r="XT26" i="6" a="1"/>
  <c r="XT26" i="6" s="1"/>
  <c r="XS26" i="6" a="1"/>
  <c r="XS26" i="6" s="1"/>
  <c r="XI26" i="6" a="1"/>
  <c r="XI26" i="6" s="1"/>
  <c r="XH26" i="6" a="1"/>
  <c r="XH26" i="6" s="1"/>
  <c r="WX26" i="6" a="1"/>
  <c r="WX26" i="6" s="1"/>
  <c r="WW26" i="6" a="1"/>
  <c r="WW26" i="6" s="1"/>
  <c r="WM26" i="6" a="1"/>
  <c r="WM26" i="6" s="1"/>
  <c r="WL26" i="6" a="1"/>
  <c r="WL26" i="6" s="1"/>
  <c r="WC26" i="6" a="1"/>
  <c r="WC26" i="6" s="1"/>
  <c r="VQ26" i="6" a="1"/>
  <c r="VQ26" i="6" s="1"/>
  <c r="VP26" i="6" a="1"/>
  <c r="VP26" i="6" s="1"/>
  <c r="VO26" i="6" a="1"/>
  <c r="VO26" i="6" s="1"/>
  <c r="VN26" i="6" a="1"/>
  <c r="VN26" i="6" s="1"/>
  <c r="VA26" i="6" a="1"/>
  <c r="VA26" i="6" s="1"/>
  <c r="UZ26" i="6" a="1"/>
  <c r="UZ26" i="6" s="1"/>
  <c r="UY26" i="6" a="1"/>
  <c r="UY26" i="6" s="1"/>
  <c r="UX26" i="6" a="1"/>
  <c r="UX26" i="6" s="1"/>
  <c r="UW26" i="6" a="1"/>
  <c r="UW26" i="6" s="1"/>
  <c r="UM26" i="6" a="1"/>
  <c r="UM26" i="6" s="1"/>
  <c r="TZ26" i="6" a="1"/>
  <c r="TZ26" i="6" s="1"/>
  <c r="TY26" i="6" a="1"/>
  <c r="TY26" i="6" s="1"/>
  <c r="TX26" i="6" a="1"/>
  <c r="TX26" i="6" s="1"/>
  <c r="TW26" i="6" a="1"/>
  <c r="TW26" i="6" s="1"/>
  <c r="TV26" i="6" a="1"/>
  <c r="TV26" i="6" s="1"/>
  <c r="TH26" i="6" a="1"/>
  <c r="TH26" i="6" s="1"/>
  <c r="TG26" i="6" a="1"/>
  <c r="TG26" i="6" s="1"/>
  <c r="TF26" i="6" a="1"/>
  <c r="TF26" i="6" s="1"/>
  <c r="TE26" i="6" a="1"/>
  <c r="TE26" i="6" s="1"/>
  <c r="TD26" i="6" a="1"/>
  <c r="TD26" i="6" s="1"/>
  <c r="SP26" i="6" a="1"/>
  <c r="SP26" i="6" s="1"/>
  <c r="SO26" i="6" a="1"/>
  <c r="SO26" i="6" s="1"/>
  <c r="SN26" i="6" a="1"/>
  <c r="SN26" i="6" s="1"/>
  <c r="SM26" i="6" a="1"/>
  <c r="SM26" i="6" s="1"/>
  <c r="SL26" i="6" a="1"/>
  <c r="SL26" i="6" s="1"/>
  <c r="RX26" i="6" a="1"/>
  <c r="RX26" i="6" s="1"/>
  <c r="RW26" i="6" a="1"/>
  <c r="RW26" i="6" s="1"/>
  <c r="RV26" i="6" a="1"/>
  <c r="RV26" i="6" s="1"/>
  <c r="RU26" i="6" a="1"/>
  <c r="RU26" i="6" s="1"/>
  <c r="RT26" i="6" a="1"/>
  <c r="RT26" i="6" s="1"/>
  <c r="RF26" i="6" a="1"/>
  <c r="RF26" i="6" s="1"/>
  <c r="RE26" i="6" a="1"/>
  <c r="RE26" i="6" s="1"/>
  <c r="RD26" i="6" a="1"/>
  <c r="RD26" i="6" s="1"/>
  <c r="RC26" i="6" a="1"/>
  <c r="RC26" i="6" s="1"/>
  <c r="RB26" i="6" a="1"/>
  <c r="RB26" i="6" s="1"/>
  <c r="QN26" i="6" a="1"/>
  <c r="QN26" i="6" s="1"/>
  <c r="QM26" i="6" a="1"/>
  <c r="QM26" i="6" s="1"/>
  <c r="QL26" i="6" a="1"/>
  <c r="QL26" i="6" s="1"/>
  <c r="QK26" i="6" a="1"/>
  <c r="QK26" i="6" s="1"/>
  <c r="QJ26" i="6" a="1"/>
  <c r="QJ26" i="6" s="1"/>
  <c r="PV26" i="6" a="1"/>
  <c r="PV26" i="6" s="1"/>
  <c r="PU26" i="6" a="1"/>
  <c r="PU26" i="6" s="1"/>
  <c r="PT26" i="6" a="1"/>
  <c r="PT26" i="6" s="1"/>
  <c r="PS26" i="6" a="1"/>
  <c r="PS26" i="6" s="1"/>
  <c r="PR26" i="6" a="1"/>
  <c r="PR26" i="6" s="1"/>
  <c r="PD26" i="6" a="1"/>
  <c r="PD26" i="6" s="1"/>
  <c r="PC26" i="6" a="1"/>
  <c r="PC26" i="6" s="1"/>
  <c r="PB26" i="6" a="1"/>
  <c r="PB26" i="6" s="1"/>
  <c r="PA26" i="6" a="1"/>
  <c r="PA26" i="6" s="1"/>
  <c r="OZ26" i="6" a="1"/>
  <c r="OZ26" i="6" s="1"/>
  <c r="OL26" i="6" a="1"/>
  <c r="OL26" i="6" s="1"/>
  <c r="OK26" i="6" a="1"/>
  <c r="OK26" i="6" s="1"/>
  <c r="OJ26" i="6" a="1"/>
  <c r="OJ26" i="6" s="1"/>
  <c r="OI26" i="6" a="1"/>
  <c r="OI26" i="6" s="1"/>
  <c r="OH26" i="6" a="1"/>
  <c r="OH26" i="6" s="1"/>
  <c r="NT26" i="6" a="1"/>
  <c r="NT26" i="6" s="1"/>
  <c r="NS26" i="6" a="1"/>
  <c r="NS26" i="6" s="1"/>
  <c r="NR26" i="6" a="1"/>
  <c r="NR26" i="6" s="1"/>
  <c r="NQ26" i="6" a="1"/>
  <c r="NQ26" i="6" s="1"/>
  <c r="NP26" i="6" a="1"/>
  <c r="NP26" i="6" s="1"/>
  <c r="NC26" i="6" a="1"/>
  <c r="NC26" i="6" s="1"/>
  <c r="NB26" i="6" a="1"/>
  <c r="NB26" i="6" s="1"/>
  <c r="NA26" i="6" a="1"/>
  <c r="NA26" i="6" s="1"/>
  <c r="MZ26" i="6" a="1"/>
  <c r="MZ26" i="6" s="1"/>
  <c r="MY26" i="6" a="1"/>
  <c r="MY26" i="6" s="1"/>
  <c r="MK26" i="6" a="1"/>
  <c r="MK26" i="6" s="1"/>
  <c r="MJ26" i="6" a="1"/>
  <c r="MJ26" i="6" s="1"/>
  <c r="MI26" i="6" a="1"/>
  <c r="MI26" i="6" s="1"/>
  <c r="MH26" i="6" a="1"/>
  <c r="MH26" i="6" s="1"/>
  <c r="MG26" i="6" a="1"/>
  <c r="MG26" i="6" s="1"/>
  <c r="LS26" i="6" a="1"/>
  <c r="LS26" i="6" s="1"/>
  <c r="LR26" i="6" a="1"/>
  <c r="LR26" i="6" s="1"/>
  <c r="LQ26" i="6" a="1"/>
  <c r="LQ26" i="6" s="1"/>
  <c r="LP26" i="6" a="1"/>
  <c r="LP26" i="6" s="1"/>
  <c r="LO26" i="6" a="1"/>
  <c r="LO26" i="6" s="1"/>
  <c r="LA26" i="6" a="1"/>
  <c r="LA26" i="6" s="1"/>
  <c r="KZ26" i="6" a="1"/>
  <c r="KZ26" i="6" s="1"/>
  <c r="KY26" i="6" a="1"/>
  <c r="KY26" i="6" s="1"/>
  <c r="KX26" i="6" a="1"/>
  <c r="KX26" i="6" s="1"/>
  <c r="KW26" i="6" a="1"/>
  <c r="KW26" i="6" s="1"/>
  <c r="KI26" i="6" a="1"/>
  <c r="KI26" i="6" s="1"/>
  <c r="KH26" i="6" a="1"/>
  <c r="KH26" i="6" s="1"/>
  <c r="KG26" i="6" a="1"/>
  <c r="KG26" i="6" s="1"/>
  <c r="KF26" i="6" a="1"/>
  <c r="KF26" i="6" s="1"/>
  <c r="KE26" i="6" a="1"/>
  <c r="KE26" i="6" s="1"/>
  <c r="JQ26" i="6" a="1"/>
  <c r="JQ26" i="6" s="1"/>
  <c r="JP26" i="6" a="1"/>
  <c r="JP26" i="6" s="1"/>
  <c r="JO26" i="6" a="1"/>
  <c r="JO26" i="6" s="1"/>
  <c r="JN26" i="6" a="1"/>
  <c r="JN26" i="6" s="1"/>
  <c r="JM26" i="6" a="1"/>
  <c r="JM26" i="6" s="1"/>
  <c r="IY26" i="6" a="1"/>
  <c r="IY26" i="6" s="1"/>
  <c r="IX26" i="6" a="1"/>
  <c r="IX26" i="6" s="1"/>
  <c r="IW26" i="6" a="1"/>
  <c r="IW26" i="6" s="1"/>
  <c r="IV26" i="6" a="1"/>
  <c r="IV26" i="6" s="1"/>
  <c r="IU26" i="6" a="1"/>
  <c r="IU26" i="6" s="1"/>
  <c r="IG26" i="6" a="1"/>
  <c r="IG26" i="6" s="1"/>
  <c r="IF26" i="6" a="1"/>
  <c r="IF26" i="6" s="1"/>
  <c r="IE26" i="6" a="1"/>
  <c r="IE26" i="6" s="1"/>
  <c r="ID26" i="6" a="1"/>
  <c r="ID26" i="6" s="1"/>
  <c r="IC26" i="6" a="1"/>
  <c r="IC26" i="6" s="1"/>
  <c r="HO26" i="6" a="1"/>
  <c r="HO26" i="6" s="1"/>
  <c r="HN26" i="6" a="1"/>
  <c r="HN26" i="6" s="1"/>
  <c r="HM26" i="6" a="1"/>
  <c r="HM26" i="6" s="1"/>
  <c r="HL26" i="6" a="1"/>
  <c r="HL26" i="6" s="1"/>
  <c r="HK26" i="6" a="1"/>
  <c r="HK26" i="6" s="1"/>
  <c r="GX26" i="6" a="1"/>
  <c r="GX26" i="6" s="1"/>
  <c r="GW26" i="6" a="1"/>
  <c r="GW26" i="6" s="1"/>
  <c r="GV26" i="6" a="1"/>
  <c r="GV26" i="6" s="1"/>
  <c r="GU26" i="6" a="1"/>
  <c r="GU26" i="6" s="1"/>
  <c r="GT26" i="6" a="1"/>
  <c r="GT26" i="6" s="1"/>
  <c r="GG26" i="6" a="1"/>
  <c r="GG26" i="6" s="1"/>
  <c r="GF26" i="6" a="1"/>
  <c r="GF26" i="6" s="1"/>
  <c r="GE26" i="6" a="1"/>
  <c r="GE26" i="6" s="1"/>
  <c r="GD26" i="6" a="1"/>
  <c r="GD26" i="6" s="1"/>
  <c r="GC26" i="6" a="1"/>
  <c r="GC26" i="6" s="1"/>
  <c r="FP26" i="6" a="1"/>
  <c r="FP26" i="6" s="1"/>
  <c r="FO26" i="6" a="1"/>
  <c r="FO26" i="6" s="1"/>
  <c r="FN26" i="6" a="1"/>
  <c r="FN26" i="6" s="1"/>
  <c r="FM26" i="6" a="1"/>
  <c r="FM26" i="6" s="1"/>
  <c r="FL26" i="6" a="1"/>
  <c r="FL26" i="6" s="1"/>
  <c r="EY26" i="6" a="1"/>
  <c r="EY26" i="6" s="1"/>
  <c r="EX26" i="6" a="1"/>
  <c r="EX26" i="6" s="1"/>
  <c r="EW26" i="6" a="1"/>
  <c r="EW26" i="6" s="1"/>
  <c r="EV26" i="6" a="1"/>
  <c r="EV26" i="6" s="1"/>
  <c r="EU26" i="6" a="1"/>
  <c r="EU26" i="6" s="1"/>
  <c r="EH26" i="6" a="1"/>
  <c r="EH26" i="6" s="1"/>
  <c r="EG26" i="6" a="1"/>
  <c r="EG26" i="6" s="1"/>
  <c r="EF26" i="6" a="1"/>
  <c r="EF26" i="6" s="1"/>
  <c r="EE26" i="6" a="1"/>
  <c r="EE26" i="6" s="1"/>
  <c r="ED26" i="6" a="1"/>
  <c r="ED26" i="6" s="1"/>
  <c r="DQ26" i="6" a="1"/>
  <c r="DQ26" i="6" s="1"/>
  <c r="DP26" i="6" a="1"/>
  <c r="DP26" i="6" s="1"/>
  <c r="DO26" i="6" a="1"/>
  <c r="DO26" i="6" s="1"/>
  <c r="DN26" i="6" a="1"/>
  <c r="DN26" i="6" s="1"/>
  <c r="DM26" i="6" a="1"/>
  <c r="DM26" i="6" s="1"/>
  <c r="DD26" i="6" a="1"/>
  <c r="DD26" i="6" s="1"/>
  <c r="CU26" i="6" a="1"/>
  <c r="CU26" i="6" s="1"/>
  <c r="CL26" i="6" a="1"/>
  <c r="CL26" i="6" s="1"/>
  <c r="BX26" i="6" a="1"/>
  <c r="BX26" i="6" s="1"/>
  <c r="BW26" i="6" a="1"/>
  <c r="BW26" i="6" s="1"/>
  <c r="BV26" i="6" a="1"/>
  <c r="BV26" i="6" s="1"/>
  <c r="BU26" i="6" a="1"/>
  <c r="BU26" i="6" s="1"/>
  <c r="BT26" i="6" a="1"/>
  <c r="BT26" i="6" s="1"/>
  <c r="BS26" i="6" a="1"/>
  <c r="BS26" i="6" s="1"/>
  <c r="BA26" i="6" a="1"/>
  <c r="BA26" i="6" s="1"/>
  <c r="AZ26" i="6" a="1"/>
  <c r="AZ26" i="6" s="1"/>
  <c r="AY26" i="6" a="1"/>
  <c r="AY26" i="6" s="1"/>
  <c r="AX26" i="6" a="1"/>
  <c r="AX26" i="6" s="1"/>
  <c r="AW26" i="6" a="1"/>
  <c r="AW26" i="6" s="1"/>
  <c r="AV26" i="6" a="1"/>
  <c r="AV26" i="6" s="1"/>
  <c r="AU26" i="6" a="1"/>
  <c r="AU26" i="6" s="1"/>
  <c r="AT26" i="6" a="1"/>
  <c r="AT26" i="6" s="1"/>
  <c r="AS26" i="6" a="1"/>
  <c r="AS26" i="6" s="1"/>
  <c r="AR26" i="6" a="1"/>
  <c r="AR26" i="6" s="1"/>
  <c r="AH26" i="6" a="1"/>
  <c r="AH26" i="6" s="1"/>
  <c r="AG26" i="6" a="1"/>
  <c r="AG26" i="6" s="1"/>
  <c r="V26" i="6" a="1"/>
  <c r="V26" i="6" s="1"/>
  <c r="U26" i="6" a="1"/>
  <c r="U26" i="6" s="1"/>
  <c r="J26" i="6" a="1"/>
  <c r="J26" i="6" s="1"/>
  <c r="I26" i="6" a="1"/>
  <c r="I26" i="6" s="1"/>
  <c r="H26" i="6" s="1"/>
  <c r="ADA25" i="6" a="1"/>
  <c r="ADA25" i="6" s="1"/>
  <c r="ACZ25" i="6" a="1"/>
  <c r="ACZ25" i="6" s="1"/>
  <c r="ACY25" i="6" a="1"/>
  <c r="ACY25" i="6" s="1"/>
  <c r="ACN25" i="6" a="1"/>
  <c r="ACN25" i="6" s="1"/>
  <c r="ACM25" i="6" a="1"/>
  <c r="ACM25" i="6" s="1"/>
  <c r="ABU25" i="6" a="1"/>
  <c r="ABU25" i="6" s="1"/>
  <c r="ABX25" i="6" a="1"/>
  <c r="ABX25" i="6" s="1"/>
  <c r="ABV25" i="6" a="1"/>
  <c r="ABV25" i="6" s="1"/>
  <c r="ABH25" i="6" a="1"/>
  <c r="ABH25" i="6" s="1"/>
  <c r="ABG25" i="6" a="1"/>
  <c r="ABG25" i="6" s="1"/>
  <c r="ABF25" i="6" a="1"/>
  <c r="ABF25" i="6" s="1"/>
  <c r="ABE25" i="6" a="1"/>
  <c r="ABE25" i="6" s="1"/>
  <c r="ABD25" i="6" a="1"/>
  <c r="ABD25" i="6" s="1"/>
  <c r="ZR25" i="6" a="1"/>
  <c r="ZR25" i="6" s="1"/>
  <c r="ZE25" i="6" a="1"/>
  <c r="ZE25" i="6" s="1"/>
  <c r="ZD25" i="6" a="1"/>
  <c r="ZD25" i="6" s="1"/>
  <c r="ZC25" i="6" a="1"/>
  <c r="ZC25" i="6" s="1"/>
  <c r="ZB25" i="6" a="1"/>
  <c r="ZB25" i="6" s="1"/>
  <c r="ZA25" i="6" a="1"/>
  <c r="ZA25" i="6" s="1"/>
  <c r="YP25" i="6" a="1"/>
  <c r="YP25" i="6" s="1"/>
  <c r="YO25" i="6" a="1"/>
  <c r="YO25" i="6" s="1"/>
  <c r="YE25" i="6" a="1"/>
  <c r="YE25" i="6" s="1"/>
  <c r="YD25" i="6" a="1"/>
  <c r="YD25" i="6" s="1"/>
  <c r="XT25" i="6" a="1"/>
  <c r="XT25" i="6" s="1"/>
  <c r="XS25" i="6" a="1"/>
  <c r="XS25" i="6" s="1"/>
  <c r="XI25" i="6" a="1"/>
  <c r="XI25" i="6" s="1"/>
  <c r="XH25" i="6" a="1"/>
  <c r="XH25" i="6" s="1"/>
  <c r="WX25" i="6" a="1"/>
  <c r="WX25" i="6" s="1"/>
  <c r="WW25" i="6" a="1"/>
  <c r="WW25" i="6" s="1"/>
  <c r="WM25" i="6" a="1"/>
  <c r="WM25" i="6" s="1"/>
  <c r="WL25" i="6" a="1"/>
  <c r="WL25" i="6" s="1"/>
  <c r="WC25" i="6" a="1"/>
  <c r="WC25" i="6" s="1"/>
  <c r="VQ25" i="6" a="1"/>
  <c r="VQ25" i="6" s="1"/>
  <c r="VP25" i="6" a="1"/>
  <c r="VP25" i="6" s="1"/>
  <c r="VO25" i="6" a="1"/>
  <c r="VO25" i="6" s="1"/>
  <c r="VN25" i="6" a="1"/>
  <c r="VN25" i="6" s="1"/>
  <c r="VA25" i="6" a="1"/>
  <c r="VA25" i="6" s="1"/>
  <c r="UZ25" i="6" a="1"/>
  <c r="UZ25" i="6" s="1"/>
  <c r="UY25" i="6" a="1"/>
  <c r="UY25" i="6" s="1"/>
  <c r="UX25" i="6" a="1"/>
  <c r="UX25" i="6" s="1"/>
  <c r="UW25" i="6" a="1"/>
  <c r="UW25" i="6" s="1"/>
  <c r="UM25" i="6" a="1"/>
  <c r="UM25" i="6" s="1"/>
  <c r="TZ25" i="6" a="1"/>
  <c r="TZ25" i="6" s="1"/>
  <c r="TY25" i="6" a="1"/>
  <c r="TY25" i="6" s="1"/>
  <c r="TX25" i="6" a="1"/>
  <c r="TX25" i="6" s="1"/>
  <c r="TW25" i="6" a="1"/>
  <c r="TW25" i="6" s="1"/>
  <c r="TV25" i="6" a="1"/>
  <c r="TV25" i="6" s="1"/>
  <c r="TH25" i="6" a="1"/>
  <c r="TH25" i="6" s="1"/>
  <c r="TG25" i="6" a="1"/>
  <c r="TG25" i="6" s="1"/>
  <c r="TF25" i="6" a="1"/>
  <c r="TF25" i="6" s="1"/>
  <c r="TE25" i="6" a="1"/>
  <c r="TE25" i="6" s="1"/>
  <c r="TD25" i="6" a="1"/>
  <c r="TD25" i="6" s="1"/>
  <c r="SP25" i="6" a="1"/>
  <c r="SP25" i="6" s="1"/>
  <c r="SO25" i="6" a="1"/>
  <c r="SO25" i="6" s="1"/>
  <c r="SN25" i="6" a="1"/>
  <c r="SN25" i="6" s="1"/>
  <c r="SM25" i="6" a="1"/>
  <c r="SM25" i="6" s="1"/>
  <c r="SL25" i="6" a="1"/>
  <c r="SL25" i="6" s="1"/>
  <c r="RX25" i="6" a="1"/>
  <c r="RX25" i="6" s="1"/>
  <c r="RW25" i="6" a="1"/>
  <c r="RW25" i="6" s="1"/>
  <c r="RV25" i="6" a="1"/>
  <c r="RV25" i="6" s="1"/>
  <c r="RU25" i="6" a="1"/>
  <c r="RU25" i="6" s="1"/>
  <c r="RT25" i="6" a="1"/>
  <c r="RT25" i="6" s="1"/>
  <c r="RF25" i="6" a="1"/>
  <c r="RF25" i="6" s="1"/>
  <c r="RE25" i="6" a="1"/>
  <c r="RE25" i="6" s="1"/>
  <c r="RD25" i="6" a="1"/>
  <c r="RD25" i="6" s="1"/>
  <c r="RC25" i="6" a="1"/>
  <c r="RC25" i="6" s="1"/>
  <c r="RB25" i="6" a="1"/>
  <c r="RB25" i="6" s="1"/>
  <c r="QN25" i="6" a="1"/>
  <c r="QN25" i="6" s="1"/>
  <c r="QM25" i="6" a="1"/>
  <c r="QM25" i="6" s="1"/>
  <c r="QL25" i="6" a="1"/>
  <c r="QL25" i="6" s="1"/>
  <c r="QK25" i="6" a="1"/>
  <c r="QK25" i="6" s="1"/>
  <c r="QJ25" i="6" a="1"/>
  <c r="QJ25" i="6" s="1"/>
  <c r="PV25" i="6" a="1"/>
  <c r="PV25" i="6" s="1"/>
  <c r="PU25" i="6" a="1"/>
  <c r="PU25" i="6" s="1"/>
  <c r="PT25" i="6" a="1"/>
  <c r="PT25" i="6" s="1"/>
  <c r="PS25" i="6" a="1"/>
  <c r="PS25" i="6" s="1"/>
  <c r="PR25" i="6" a="1"/>
  <c r="PR25" i="6" s="1"/>
  <c r="PD25" i="6" a="1"/>
  <c r="PD25" i="6" s="1"/>
  <c r="PC25" i="6" a="1"/>
  <c r="PC25" i="6" s="1"/>
  <c r="PB25" i="6" a="1"/>
  <c r="PB25" i="6" s="1"/>
  <c r="PA25" i="6" a="1"/>
  <c r="PA25" i="6" s="1"/>
  <c r="OZ25" i="6" a="1"/>
  <c r="OZ25" i="6" s="1"/>
  <c r="OL25" i="6" a="1"/>
  <c r="OL25" i="6" s="1"/>
  <c r="OK25" i="6" a="1"/>
  <c r="OK25" i="6" s="1"/>
  <c r="OJ25" i="6" a="1"/>
  <c r="OJ25" i="6" s="1"/>
  <c r="OI25" i="6" a="1"/>
  <c r="OI25" i="6" s="1"/>
  <c r="OH25" i="6" a="1"/>
  <c r="OH25" i="6" s="1"/>
  <c r="NT25" i="6" a="1"/>
  <c r="NT25" i="6" s="1"/>
  <c r="NS25" i="6" a="1"/>
  <c r="NS25" i="6" s="1"/>
  <c r="NR25" i="6" a="1"/>
  <c r="NR25" i="6" s="1"/>
  <c r="NQ25" i="6" a="1"/>
  <c r="NQ25" i="6" s="1"/>
  <c r="NP25" i="6" a="1"/>
  <c r="NP25" i="6" s="1"/>
  <c r="NC25" i="6" a="1"/>
  <c r="NC25" i="6" s="1"/>
  <c r="NB25" i="6" a="1"/>
  <c r="NB25" i="6" s="1"/>
  <c r="NA25" i="6" a="1"/>
  <c r="NA25" i="6" s="1"/>
  <c r="MZ25" i="6" a="1"/>
  <c r="MZ25" i="6" s="1"/>
  <c r="MY25" i="6" a="1"/>
  <c r="MY25" i="6" s="1"/>
  <c r="MK25" i="6" a="1"/>
  <c r="MK25" i="6" s="1"/>
  <c r="MJ25" i="6" a="1"/>
  <c r="MJ25" i="6" s="1"/>
  <c r="MI25" i="6" a="1"/>
  <c r="MI25" i="6" s="1"/>
  <c r="MH25" i="6" a="1"/>
  <c r="MH25" i="6" s="1"/>
  <c r="MG25" i="6" a="1"/>
  <c r="MG25" i="6" s="1"/>
  <c r="LS25" i="6" a="1"/>
  <c r="LS25" i="6" s="1"/>
  <c r="LR25" i="6" a="1"/>
  <c r="LR25" i="6" s="1"/>
  <c r="LQ25" i="6" a="1"/>
  <c r="LQ25" i="6" s="1"/>
  <c r="LP25" i="6" a="1"/>
  <c r="LP25" i="6" s="1"/>
  <c r="LO25" i="6" a="1"/>
  <c r="LO25" i="6" s="1"/>
  <c r="LA25" i="6" a="1"/>
  <c r="LA25" i="6" s="1"/>
  <c r="KZ25" i="6" a="1"/>
  <c r="KZ25" i="6" s="1"/>
  <c r="KY25" i="6" a="1"/>
  <c r="KY25" i="6" s="1"/>
  <c r="KX25" i="6" a="1"/>
  <c r="KX25" i="6" s="1"/>
  <c r="KW25" i="6" a="1"/>
  <c r="KW25" i="6" s="1"/>
  <c r="KI25" i="6" a="1"/>
  <c r="KI25" i="6" s="1"/>
  <c r="KH25" i="6" a="1"/>
  <c r="KH25" i="6" s="1"/>
  <c r="KG25" i="6" a="1"/>
  <c r="KG25" i="6" s="1"/>
  <c r="KF25" i="6" a="1"/>
  <c r="KF25" i="6" s="1"/>
  <c r="KE25" i="6" a="1"/>
  <c r="KE25" i="6" s="1"/>
  <c r="JQ25" i="6" a="1"/>
  <c r="JQ25" i="6" s="1"/>
  <c r="JP25" i="6" a="1"/>
  <c r="JP25" i="6" s="1"/>
  <c r="JO25" i="6" a="1"/>
  <c r="JO25" i="6" s="1"/>
  <c r="JN25" i="6" a="1"/>
  <c r="JN25" i="6" s="1"/>
  <c r="JM25" i="6" a="1"/>
  <c r="JM25" i="6" s="1"/>
  <c r="IY25" i="6" a="1"/>
  <c r="IY25" i="6" s="1"/>
  <c r="IX25" i="6" a="1"/>
  <c r="IX25" i="6" s="1"/>
  <c r="IW25" i="6" a="1"/>
  <c r="IW25" i="6" s="1"/>
  <c r="IV25" i="6" a="1"/>
  <c r="IV25" i="6" s="1"/>
  <c r="IU25" i="6" a="1"/>
  <c r="IU25" i="6" s="1"/>
  <c r="IG25" i="6" a="1"/>
  <c r="IG25" i="6" s="1"/>
  <c r="IF25" i="6" a="1"/>
  <c r="IF25" i="6" s="1"/>
  <c r="IE25" i="6" a="1"/>
  <c r="IE25" i="6" s="1"/>
  <c r="ID25" i="6" a="1"/>
  <c r="ID25" i="6" s="1"/>
  <c r="IC25" i="6" a="1"/>
  <c r="IC25" i="6" s="1"/>
  <c r="HO25" i="6" a="1"/>
  <c r="HO25" i="6" s="1"/>
  <c r="HN25" i="6" a="1"/>
  <c r="HN25" i="6" s="1"/>
  <c r="HM25" i="6" a="1"/>
  <c r="HM25" i="6" s="1"/>
  <c r="HL25" i="6" a="1"/>
  <c r="HL25" i="6" s="1"/>
  <c r="HK25" i="6" a="1"/>
  <c r="HK25" i="6" s="1"/>
  <c r="GX25" i="6" a="1"/>
  <c r="GX25" i="6" s="1"/>
  <c r="GW25" i="6" a="1"/>
  <c r="GW25" i="6" s="1"/>
  <c r="GV25" i="6" a="1"/>
  <c r="GV25" i="6" s="1"/>
  <c r="GU25" i="6" a="1"/>
  <c r="GU25" i="6" s="1"/>
  <c r="GT25" i="6" a="1"/>
  <c r="GT25" i="6" s="1"/>
  <c r="GG25" i="6" a="1"/>
  <c r="GG25" i="6" s="1"/>
  <c r="GF25" i="6" a="1"/>
  <c r="GF25" i="6" s="1"/>
  <c r="GE25" i="6" a="1"/>
  <c r="GE25" i="6" s="1"/>
  <c r="GD25" i="6" a="1"/>
  <c r="GD25" i="6" s="1"/>
  <c r="GC25" i="6" a="1"/>
  <c r="GC25" i="6" s="1"/>
  <c r="FP25" i="6" a="1"/>
  <c r="FP25" i="6" s="1"/>
  <c r="FO25" i="6" a="1"/>
  <c r="FO25" i="6" s="1"/>
  <c r="FN25" i="6" a="1"/>
  <c r="FN25" i="6" s="1"/>
  <c r="FM25" i="6" a="1"/>
  <c r="FM25" i="6" s="1"/>
  <c r="FL25" i="6" a="1"/>
  <c r="FL25" i="6" s="1"/>
  <c r="EY25" i="6" a="1"/>
  <c r="EY25" i="6" s="1"/>
  <c r="EX25" i="6" a="1"/>
  <c r="EX25" i="6" s="1"/>
  <c r="EW25" i="6" a="1"/>
  <c r="EW25" i="6" s="1"/>
  <c r="EV25" i="6" a="1"/>
  <c r="EV25" i="6" s="1"/>
  <c r="EU25" i="6" a="1"/>
  <c r="EU25" i="6" s="1"/>
  <c r="EH25" i="6" a="1"/>
  <c r="EH25" i="6" s="1"/>
  <c r="EG25" i="6" a="1"/>
  <c r="EG25" i="6" s="1"/>
  <c r="EF25" i="6" a="1"/>
  <c r="EF25" i="6" s="1"/>
  <c r="EE25" i="6" a="1"/>
  <c r="EE25" i="6" s="1"/>
  <c r="ED25" i="6" a="1"/>
  <c r="ED25" i="6" s="1"/>
  <c r="DQ25" i="6" a="1"/>
  <c r="DQ25" i="6" s="1"/>
  <c r="DP25" i="6" a="1"/>
  <c r="DP25" i="6" s="1"/>
  <c r="DO25" i="6" a="1"/>
  <c r="DO25" i="6" s="1"/>
  <c r="DN25" i="6" a="1"/>
  <c r="DN25" i="6" s="1"/>
  <c r="DM25" i="6" a="1"/>
  <c r="DM25" i="6" s="1"/>
  <c r="DD25" i="6" a="1"/>
  <c r="DD25" i="6" s="1"/>
  <c r="CU25" i="6" a="1"/>
  <c r="CU25" i="6" s="1"/>
  <c r="CL25" i="6" a="1"/>
  <c r="CL25" i="6" s="1"/>
  <c r="BX25" i="6" a="1"/>
  <c r="BX25" i="6" s="1"/>
  <c r="BW25" i="6" a="1"/>
  <c r="BW25" i="6" s="1"/>
  <c r="BV25" i="6" a="1"/>
  <c r="BV25" i="6" s="1"/>
  <c r="BU25" i="6" a="1"/>
  <c r="BU25" i="6" s="1"/>
  <c r="BT25" i="6" a="1"/>
  <c r="BT25" i="6" s="1"/>
  <c r="BS25" i="6" a="1"/>
  <c r="BS25" i="6" s="1"/>
  <c r="BA25" i="6" a="1"/>
  <c r="BA25" i="6" s="1"/>
  <c r="AZ25" i="6" a="1"/>
  <c r="AZ25" i="6" s="1"/>
  <c r="AY25" i="6" a="1"/>
  <c r="AY25" i="6" s="1"/>
  <c r="AX25" i="6" a="1"/>
  <c r="AX25" i="6" s="1"/>
  <c r="AW25" i="6" a="1"/>
  <c r="AW25" i="6" s="1"/>
  <c r="AV25" i="6" a="1"/>
  <c r="AV25" i="6" s="1"/>
  <c r="AU25" i="6" a="1"/>
  <c r="AU25" i="6" s="1"/>
  <c r="AT25" i="6" a="1"/>
  <c r="AT25" i="6" s="1"/>
  <c r="AS25" i="6" a="1"/>
  <c r="AS25" i="6" s="1"/>
  <c r="AR25" i="6" a="1"/>
  <c r="AR25" i="6" s="1"/>
  <c r="AH25" i="6" a="1"/>
  <c r="AH25" i="6" s="1"/>
  <c r="AG25" i="6" a="1"/>
  <c r="AG25" i="6" s="1"/>
  <c r="V25" i="6" a="1"/>
  <c r="V25" i="6" s="1"/>
  <c r="U25" i="6" a="1"/>
  <c r="U25" i="6" s="1"/>
  <c r="J25" i="6" a="1"/>
  <c r="J25" i="6" s="1"/>
  <c r="I25" i="6" a="1"/>
  <c r="I25" i="6" s="1"/>
  <c r="ADA24" i="6" a="1"/>
  <c r="ADA24" i="6" s="1"/>
  <c r="ACZ24" i="6" a="1"/>
  <c r="ACZ24" i="6" s="1"/>
  <c r="ACY24" i="6" a="1"/>
  <c r="ACY24" i="6" s="1"/>
  <c r="ACN24" i="6" a="1"/>
  <c r="ACN24" i="6" s="1"/>
  <c r="ACM24" i="6" a="1"/>
  <c r="ACM24" i="6" s="1"/>
  <c r="ABU24" i="6" a="1"/>
  <c r="ABU24" i="6" s="1"/>
  <c r="ABX24" i="6" a="1"/>
  <c r="ABX24" i="6" s="1"/>
  <c r="ABV24" i="6" a="1"/>
  <c r="ABV24" i="6" s="1"/>
  <c r="ABH24" i="6" a="1"/>
  <c r="ABH24" i="6" s="1"/>
  <c r="ABG24" i="6" a="1"/>
  <c r="ABG24" i="6" s="1"/>
  <c r="ABF24" i="6" a="1"/>
  <c r="ABF24" i="6" s="1"/>
  <c r="ABE24" i="6" a="1"/>
  <c r="ABE24" i="6" s="1"/>
  <c r="ABD24" i="6" a="1"/>
  <c r="ABD24" i="6" s="1"/>
  <c r="ZR24" i="6" a="1"/>
  <c r="ZR24" i="6" s="1"/>
  <c r="ZE24" i="6" a="1"/>
  <c r="ZE24" i="6" s="1"/>
  <c r="ZD24" i="6" a="1"/>
  <c r="ZD24" i="6" s="1"/>
  <c r="ZC24" i="6" a="1"/>
  <c r="ZC24" i="6" s="1"/>
  <c r="ZB24" i="6" a="1"/>
  <c r="ZB24" i="6" s="1"/>
  <c r="ZA24" i="6" a="1"/>
  <c r="ZA24" i="6" s="1"/>
  <c r="YP24" i="6" a="1"/>
  <c r="YP24" i="6" s="1"/>
  <c r="YO24" i="6" a="1"/>
  <c r="YO24" i="6" s="1"/>
  <c r="YE24" i="6" a="1"/>
  <c r="YE24" i="6" s="1"/>
  <c r="YD24" i="6" a="1"/>
  <c r="YD24" i="6" s="1"/>
  <c r="XT24" i="6" a="1"/>
  <c r="XT24" i="6" s="1"/>
  <c r="XS24" i="6" a="1"/>
  <c r="XS24" i="6" s="1"/>
  <c r="XI24" i="6" a="1"/>
  <c r="XI24" i="6" s="1"/>
  <c r="XH24" i="6" a="1"/>
  <c r="XH24" i="6" s="1"/>
  <c r="WX24" i="6" a="1"/>
  <c r="WX24" i="6" s="1"/>
  <c r="WW24" i="6" a="1"/>
  <c r="WW24" i="6" s="1"/>
  <c r="WM24" i="6" a="1"/>
  <c r="WM24" i="6" s="1"/>
  <c r="WL24" i="6" a="1"/>
  <c r="WL24" i="6" s="1"/>
  <c r="WC24" i="6" a="1"/>
  <c r="WC24" i="6" s="1"/>
  <c r="VQ24" i="6" a="1"/>
  <c r="VQ24" i="6" s="1"/>
  <c r="VP24" i="6" a="1"/>
  <c r="VP24" i="6" s="1"/>
  <c r="VO24" i="6" a="1"/>
  <c r="VO24" i="6" s="1"/>
  <c r="VN24" i="6" a="1"/>
  <c r="VN24" i="6" s="1"/>
  <c r="VA24" i="6" a="1"/>
  <c r="VA24" i="6" s="1"/>
  <c r="UZ24" i="6" a="1"/>
  <c r="UZ24" i="6" s="1"/>
  <c r="UY24" i="6" a="1"/>
  <c r="UY24" i="6" s="1"/>
  <c r="UX24" i="6" a="1"/>
  <c r="UX24" i="6" s="1"/>
  <c r="UW24" i="6" a="1"/>
  <c r="UW24" i="6" s="1"/>
  <c r="UM24" i="6" a="1"/>
  <c r="UM24" i="6" s="1"/>
  <c r="TZ24" i="6" a="1"/>
  <c r="TZ24" i="6" s="1"/>
  <c r="TY24" i="6" a="1"/>
  <c r="TY24" i="6" s="1"/>
  <c r="TX24" i="6" a="1"/>
  <c r="TX24" i="6" s="1"/>
  <c r="TW24" i="6" a="1"/>
  <c r="TW24" i="6" s="1"/>
  <c r="TV24" i="6" a="1"/>
  <c r="TV24" i="6" s="1"/>
  <c r="TH24" i="6" a="1"/>
  <c r="TH24" i="6" s="1"/>
  <c r="TG24" i="6" a="1"/>
  <c r="TG24" i="6" s="1"/>
  <c r="TF24" i="6" a="1"/>
  <c r="TF24" i="6" s="1"/>
  <c r="TE24" i="6" a="1"/>
  <c r="TE24" i="6" s="1"/>
  <c r="TD24" i="6" a="1"/>
  <c r="TD24" i="6" s="1"/>
  <c r="SP24" i="6" a="1"/>
  <c r="SP24" i="6" s="1"/>
  <c r="SO24" i="6" a="1"/>
  <c r="SO24" i="6" s="1"/>
  <c r="SN24" i="6" a="1"/>
  <c r="SN24" i="6" s="1"/>
  <c r="SM24" i="6" a="1"/>
  <c r="SM24" i="6" s="1"/>
  <c r="SL24" i="6" a="1"/>
  <c r="SL24" i="6" s="1"/>
  <c r="RX24" i="6" a="1"/>
  <c r="RX24" i="6" s="1"/>
  <c r="RW24" i="6" a="1"/>
  <c r="RW24" i="6" s="1"/>
  <c r="RV24" i="6" a="1"/>
  <c r="RV24" i="6" s="1"/>
  <c r="RU24" i="6" a="1"/>
  <c r="RU24" i="6" s="1"/>
  <c r="RT24" i="6" a="1"/>
  <c r="RT24" i="6" s="1"/>
  <c r="RF24" i="6" a="1"/>
  <c r="RF24" i="6" s="1"/>
  <c r="RE24" i="6" a="1"/>
  <c r="RE24" i="6" s="1"/>
  <c r="RD24" i="6" a="1"/>
  <c r="RD24" i="6" s="1"/>
  <c r="RC24" i="6" a="1"/>
  <c r="RC24" i="6" s="1"/>
  <c r="RB24" i="6" a="1"/>
  <c r="RB24" i="6" s="1"/>
  <c r="QN24" i="6" a="1"/>
  <c r="QN24" i="6" s="1"/>
  <c r="QM24" i="6" a="1"/>
  <c r="QM24" i="6" s="1"/>
  <c r="QL24" i="6" a="1"/>
  <c r="QL24" i="6" s="1"/>
  <c r="QK24" i="6" a="1"/>
  <c r="QK24" i="6" s="1"/>
  <c r="QJ24" i="6" a="1"/>
  <c r="QJ24" i="6" s="1"/>
  <c r="PV24" i="6" a="1"/>
  <c r="PV24" i="6" s="1"/>
  <c r="PU24" i="6" a="1"/>
  <c r="PU24" i="6" s="1"/>
  <c r="PT24" i="6" a="1"/>
  <c r="PT24" i="6" s="1"/>
  <c r="PS24" i="6" a="1"/>
  <c r="PS24" i="6" s="1"/>
  <c r="PR24" i="6" a="1"/>
  <c r="PR24" i="6" s="1"/>
  <c r="PD24" i="6" a="1"/>
  <c r="PD24" i="6" s="1"/>
  <c r="PC24" i="6" a="1"/>
  <c r="PC24" i="6" s="1"/>
  <c r="PB24" i="6" a="1"/>
  <c r="PB24" i="6" s="1"/>
  <c r="PA24" i="6" a="1"/>
  <c r="PA24" i="6" s="1"/>
  <c r="OZ24" i="6" a="1"/>
  <c r="OZ24" i="6" s="1"/>
  <c r="OL24" i="6" a="1"/>
  <c r="OL24" i="6" s="1"/>
  <c r="OK24" i="6" a="1"/>
  <c r="OK24" i="6" s="1"/>
  <c r="OJ24" i="6" a="1"/>
  <c r="OJ24" i="6" s="1"/>
  <c r="OI24" i="6" a="1"/>
  <c r="OI24" i="6" s="1"/>
  <c r="OH24" i="6" a="1"/>
  <c r="OH24" i="6" s="1"/>
  <c r="NT24" i="6" a="1"/>
  <c r="NT24" i="6" s="1"/>
  <c r="NS24" i="6" a="1"/>
  <c r="NS24" i="6" s="1"/>
  <c r="NR24" i="6" a="1"/>
  <c r="NR24" i="6" s="1"/>
  <c r="NQ24" i="6" a="1"/>
  <c r="NQ24" i="6" s="1"/>
  <c r="NP24" i="6" a="1"/>
  <c r="NP24" i="6" s="1"/>
  <c r="NC24" i="6" a="1"/>
  <c r="NC24" i="6" s="1"/>
  <c r="NB24" i="6" a="1"/>
  <c r="NB24" i="6" s="1"/>
  <c r="NA24" i="6" a="1"/>
  <c r="NA24" i="6" s="1"/>
  <c r="MZ24" i="6" a="1"/>
  <c r="MZ24" i="6" s="1"/>
  <c r="MY24" i="6" a="1"/>
  <c r="MY24" i="6" s="1"/>
  <c r="MK24" i="6" a="1"/>
  <c r="MK24" i="6" s="1"/>
  <c r="MJ24" i="6" a="1"/>
  <c r="MJ24" i="6" s="1"/>
  <c r="MI24" i="6" a="1"/>
  <c r="MI24" i="6" s="1"/>
  <c r="MH24" i="6" a="1"/>
  <c r="MH24" i="6" s="1"/>
  <c r="MG24" i="6" a="1"/>
  <c r="MG24" i="6" s="1"/>
  <c r="LS24" i="6" a="1"/>
  <c r="LS24" i="6" s="1"/>
  <c r="LR24" i="6" a="1"/>
  <c r="LR24" i="6" s="1"/>
  <c r="LQ24" i="6" a="1"/>
  <c r="LQ24" i="6" s="1"/>
  <c r="LP24" i="6" a="1"/>
  <c r="LP24" i="6" s="1"/>
  <c r="LO24" i="6" a="1"/>
  <c r="LO24" i="6" s="1"/>
  <c r="LA24" i="6" a="1"/>
  <c r="LA24" i="6" s="1"/>
  <c r="KZ24" i="6" a="1"/>
  <c r="KZ24" i="6" s="1"/>
  <c r="KY24" i="6" a="1"/>
  <c r="KY24" i="6" s="1"/>
  <c r="KX24" i="6" a="1"/>
  <c r="KX24" i="6" s="1"/>
  <c r="KW24" i="6" a="1"/>
  <c r="KW24" i="6" s="1"/>
  <c r="KI24" i="6" a="1"/>
  <c r="KI24" i="6" s="1"/>
  <c r="KH24" i="6" a="1"/>
  <c r="KH24" i="6" s="1"/>
  <c r="KG24" i="6" a="1"/>
  <c r="KG24" i="6" s="1"/>
  <c r="KF24" i="6" a="1"/>
  <c r="KF24" i="6" s="1"/>
  <c r="KE24" i="6" a="1"/>
  <c r="KE24" i="6" s="1"/>
  <c r="JQ24" i="6" a="1"/>
  <c r="JQ24" i="6" s="1"/>
  <c r="JP24" i="6" a="1"/>
  <c r="JP24" i="6" s="1"/>
  <c r="JO24" i="6" a="1"/>
  <c r="JO24" i="6" s="1"/>
  <c r="JN24" i="6" a="1"/>
  <c r="JN24" i="6" s="1"/>
  <c r="JM24" i="6" a="1"/>
  <c r="JM24" i="6" s="1"/>
  <c r="IY24" i="6" a="1"/>
  <c r="IY24" i="6" s="1"/>
  <c r="IX24" i="6" a="1"/>
  <c r="IX24" i="6" s="1"/>
  <c r="IW24" i="6" a="1"/>
  <c r="IW24" i="6" s="1"/>
  <c r="IV24" i="6" a="1"/>
  <c r="IV24" i="6" s="1"/>
  <c r="IU24" i="6" a="1"/>
  <c r="IU24" i="6" s="1"/>
  <c r="IG24" i="6" a="1"/>
  <c r="IG24" i="6" s="1"/>
  <c r="IF24" i="6" a="1"/>
  <c r="IF24" i="6" s="1"/>
  <c r="IE24" i="6" a="1"/>
  <c r="IE24" i="6" s="1"/>
  <c r="ID24" i="6" a="1"/>
  <c r="ID24" i="6" s="1"/>
  <c r="IC24" i="6" a="1"/>
  <c r="IC24" i="6" s="1"/>
  <c r="HO24" i="6" a="1"/>
  <c r="HO24" i="6" s="1"/>
  <c r="HN24" i="6" a="1"/>
  <c r="HN24" i="6" s="1"/>
  <c r="HM24" i="6" a="1"/>
  <c r="HM24" i="6" s="1"/>
  <c r="HL24" i="6" a="1"/>
  <c r="HL24" i="6" s="1"/>
  <c r="HK24" i="6" a="1"/>
  <c r="HK24" i="6" s="1"/>
  <c r="GX24" i="6" a="1"/>
  <c r="GX24" i="6" s="1"/>
  <c r="GW24" i="6" a="1"/>
  <c r="GW24" i="6" s="1"/>
  <c r="GV24" i="6" a="1"/>
  <c r="GV24" i="6" s="1"/>
  <c r="GU24" i="6" a="1"/>
  <c r="GU24" i="6" s="1"/>
  <c r="GT24" i="6" a="1"/>
  <c r="GT24" i="6" s="1"/>
  <c r="GG24" i="6" a="1"/>
  <c r="GG24" i="6" s="1"/>
  <c r="GF24" i="6" a="1"/>
  <c r="GF24" i="6" s="1"/>
  <c r="GE24" i="6" a="1"/>
  <c r="GE24" i="6" s="1"/>
  <c r="GD24" i="6" a="1"/>
  <c r="GD24" i="6" s="1"/>
  <c r="GC24" i="6" a="1"/>
  <c r="GC24" i="6" s="1"/>
  <c r="FP24" i="6" a="1"/>
  <c r="FP24" i="6" s="1"/>
  <c r="FO24" i="6" a="1"/>
  <c r="FO24" i="6" s="1"/>
  <c r="FN24" i="6" a="1"/>
  <c r="FN24" i="6" s="1"/>
  <c r="FM24" i="6" a="1"/>
  <c r="FM24" i="6" s="1"/>
  <c r="FL24" i="6" a="1"/>
  <c r="FL24" i="6" s="1"/>
  <c r="EY24" i="6" a="1"/>
  <c r="EY24" i="6" s="1"/>
  <c r="EX24" i="6" a="1"/>
  <c r="EX24" i="6" s="1"/>
  <c r="EW24" i="6" a="1"/>
  <c r="EW24" i="6" s="1"/>
  <c r="EV24" i="6" a="1"/>
  <c r="EV24" i="6" s="1"/>
  <c r="EU24" i="6" a="1"/>
  <c r="EU24" i="6" s="1"/>
  <c r="EH24" i="6" a="1"/>
  <c r="EH24" i="6" s="1"/>
  <c r="EG24" i="6" a="1"/>
  <c r="EG24" i="6" s="1"/>
  <c r="EF24" i="6" a="1"/>
  <c r="EF24" i="6" s="1"/>
  <c r="EE24" i="6" a="1"/>
  <c r="EE24" i="6" s="1"/>
  <c r="ED24" i="6" a="1"/>
  <c r="ED24" i="6" s="1"/>
  <c r="DQ24" i="6" a="1"/>
  <c r="DQ24" i="6" s="1"/>
  <c r="DP24" i="6" a="1"/>
  <c r="DP24" i="6" s="1"/>
  <c r="DO24" i="6" a="1"/>
  <c r="DO24" i="6" s="1"/>
  <c r="DN24" i="6" a="1"/>
  <c r="DN24" i="6" s="1"/>
  <c r="DM24" i="6" a="1"/>
  <c r="DM24" i="6" s="1"/>
  <c r="DD24" i="6" a="1"/>
  <c r="DD24" i="6" s="1"/>
  <c r="CU24" i="6" a="1"/>
  <c r="CU24" i="6" s="1"/>
  <c r="CL24" i="6" a="1"/>
  <c r="CL24" i="6" s="1"/>
  <c r="BX24" i="6" a="1"/>
  <c r="BX24" i="6" s="1"/>
  <c r="BW24" i="6" a="1"/>
  <c r="BW24" i="6" s="1"/>
  <c r="BV24" i="6" a="1"/>
  <c r="BV24" i="6" s="1"/>
  <c r="BU24" i="6" a="1"/>
  <c r="BU24" i="6" s="1"/>
  <c r="BT24" i="6" a="1"/>
  <c r="BT24" i="6" s="1"/>
  <c r="BS24" i="6" a="1"/>
  <c r="BS24" i="6" s="1"/>
  <c r="BA24" i="6" a="1"/>
  <c r="BA24" i="6" s="1"/>
  <c r="AZ24" i="6" a="1"/>
  <c r="AZ24" i="6" s="1"/>
  <c r="AY24" i="6" a="1"/>
  <c r="AY24" i="6" s="1"/>
  <c r="AX24" i="6" a="1"/>
  <c r="AX24" i="6" s="1"/>
  <c r="AW24" i="6" a="1"/>
  <c r="AW24" i="6" s="1"/>
  <c r="AV24" i="6" a="1"/>
  <c r="AV24" i="6" s="1"/>
  <c r="AU24" i="6" a="1"/>
  <c r="AU24" i="6" s="1"/>
  <c r="AT24" i="6" a="1"/>
  <c r="AT24" i="6" s="1"/>
  <c r="AS24" i="6" a="1"/>
  <c r="AS24" i="6" s="1"/>
  <c r="AR24" i="6" a="1"/>
  <c r="AR24" i="6" s="1"/>
  <c r="AH24" i="6" a="1"/>
  <c r="AH24" i="6" s="1"/>
  <c r="AG24" i="6" a="1"/>
  <c r="AG24" i="6" s="1"/>
  <c r="V24" i="6" a="1"/>
  <c r="V24" i="6" s="1"/>
  <c r="U24" i="6" a="1"/>
  <c r="U24" i="6" s="1"/>
  <c r="J24" i="6" a="1"/>
  <c r="J24" i="6" s="1"/>
  <c r="I24" i="6" a="1"/>
  <c r="I24" i="6" s="1"/>
  <c r="ADA23" i="6" a="1"/>
  <c r="ADA23" i="6" s="1"/>
  <c r="ACZ23" i="6" a="1"/>
  <c r="ACZ23" i="6" s="1"/>
  <c r="ACY23" i="6" a="1"/>
  <c r="ACY23" i="6" s="1"/>
  <c r="ACN23" i="6" a="1"/>
  <c r="ACN23" i="6" s="1"/>
  <c r="ACM23" i="6" a="1"/>
  <c r="ACM23" i="6" s="1"/>
  <c r="ABU23" i="6" a="1"/>
  <c r="ABU23" i="6" s="1"/>
  <c r="ABX23" i="6" a="1"/>
  <c r="ABX23" i="6" s="1"/>
  <c r="ABV23" i="6" a="1"/>
  <c r="ABV23" i="6" s="1"/>
  <c r="ABH23" i="6" a="1"/>
  <c r="ABH23" i="6" s="1"/>
  <c r="ABG23" i="6" a="1"/>
  <c r="ABG23" i="6" s="1"/>
  <c r="ABF23" i="6" a="1"/>
  <c r="ABF23" i="6" s="1"/>
  <c r="ABE23" i="6" a="1"/>
  <c r="ABE23" i="6" s="1"/>
  <c r="ABD23" i="6" a="1"/>
  <c r="ABD23" i="6" s="1"/>
  <c r="ZR23" i="6" a="1"/>
  <c r="ZR23" i="6" s="1"/>
  <c r="ZE23" i="6" a="1"/>
  <c r="ZE23" i="6" s="1"/>
  <c r="ZD23" i="6" a="1"/>
  <c r="ZD23" i="6" s="1"/>
  <c r="ZC23" i="6" a="1"/>
  <c r="ZC23" i="6" s="1"/>
  <c r="ZB23" i="6" a="1"/>
  <c r="ZB23" i="6" s="1"/>
  <c r="ZA23" i="6" a="1"/>
  <c r="ZA23" i="6" s="1"/>
  <c r="YP23" i="6" a="1"/>
  <c r="YP23" i="6" s="1"/>
  <c r="YO23" i="6" a="1"/>
  <c r="YO23" i="6" s="1"/>
  <c r="YE23" i="6" a="1"/>
  <c r="YE23" i="6" s="1"/>
  <c r="YD23" i="6" a="1"/>
  <c r="YD23" i="6" s="1"/>
  <c r="XT23" i="6" a="1"/>
  <c r="XT23" i="6" s="1"/>
  <c r="XS23" i="6" a="1"/>
  <c r="XS23" i="6" s="1"/>
  <c r="XI23" i="6" a="1"/>
  <c r="XI23" i="6" s="1"/>
  <c r="XH23" i="6" a="1"/>
  <c r="XH23" i="6" s="1"/>
  <c r="WX23" i="6" a="1"/>
  <c r="WX23" i="6" s="1"/>
  <c r="WW23" i="6" a="1"/>
  <c r="WW23" i="6" s="1"/>
  <c r="WM23" i="6" a="1"/>
  <c r="WM23" i="6" s="1"/>
  <c r="WL23" i="6" a="1"/>
  <c r="WL23" i="6" s="1"/>
  <c r="WC23" i="6" a="1"/>
  <c r="WC23" i="6" s="1"/>
  <c r="VQ23" i="6" a="1"/>
  <c r="VQ23" i="6" s="1"/>
  <c r="VP23" i="6" a="1"/>
  <c r="VP23" i="6" s="1"/>
  <c r="VO23" i="6" a="1"/>
  <c r="VO23" i="6" s="1"/>
  <c r="VN23" i="6" a="1"/>
  <c r="VN23" i="6" s="1"/>
  <c r="VA23" i="6" a="1"/>
  <c r="VA23" i="6" s="1"/>
  <c r="UZ23" i="6" a="1"/>
  <c r="UZ23" i="6" s="1"/>
  <c r="UY23" i="6" a="1"/>
  <c r="UY23" i="6" s="1"/>
  <c r="UX23" i="6" a="1"/>
  <c r="UX23" i="6" s="1"/>
  <c r="UW23" i="6" a="1"/>
  <c r="UW23" i="6" s="1"/>
  <c r="UM23" i="6" a="1"/>
  <c r="UM23" i="6" s="1"/>
  <c r="TZ23" i="6" a="1"/>
  <c r="TZ23" i="6" s="1"/>
  <c r="TY23" i="6" a="1"/>
  <c r="TY23" i="6" s="1"/>
  <c r="TX23" i="6" a="1"/>
  <c r="TX23" i="6" s="1"/>
  <c r="TW23" i="6" a="1"/>
  <c r="TW23" i="6" s="1"/>
  <c r="TV23" i="6" a="1"/>
  <c r="TV23" i="6" s="1"/>
  <c r="TH23" i="6" a="1"/>
  <c r="TH23" i="6" s="1"/>
  <c r="TG23" i="6" a="1"/>
  <c r="TG23" i="6" s="1"/>
  <c r="TF23" i="6" a="1"/>
  <c r="TF23" i="6" s="1"/>
  <c r="TE23" i="6" a="1"/>
  <c r="TE23" i="6" s="1"/>
  <c r="TD23" i="6" a="1"/>
  <c r="TD23" i="6" s="1"/>
  <c r="SP23" i="6" a="1"/>
  <c r="SP23" i="6" s="1"/>
  <c r="SO23" i="6" a="1"/>
  <c r="SO23" i="6" s="1"/>
  <c r="SN23" i="6" a="1"/>
  <c r="SN23" i="6" s="1"/>
  <c r="SM23" i="6" a="1"/>
  <c r="SM23" i="6" s="1"/>
  <c r="SL23" i="6" a="1"/>
  <c r="SL23" i="6" s="1"/>
  <c r="RX23" i="6" a="1"/>
  <c r="RX23" i="6" s="1"/>
  <c r="RW23" i="6" a="1"/>
  <c r="RW23" i="6" s="1"/>
  <c r="RV23" i="6" a="1"/>
  <c r="RV23" i="6" s="1"/>
  <c r="RU23" i="6" a="1"/>
  <c r="RU23" i="6" s="1"/>
  <c r="RT23" i="6" a="1"/>
  <c r="RT23" i="6" s="1"/>
  <c r="RF23" i="6" a="1"/>
  <c r="RF23" i="6" s="1"/>
  <c r="RE23" i="6" a="1"/>
  <c r="RE23" i="6" s="1"/>
  <c r="RD23" i="6" a="1"/>
  <c r="RD23" i="6" s="1"/>
  <c r="RC23" i="6" a="1"/>
  <c r="RC23" i="6" s="1"/>
  <c r="RB23" i="6" a="1"/>
  <c r="RB23" i="6" s="1"/>
  <c r="QN23" i="6" a="1"/>
  <c r="QN23" i="6" s="1"/>
  <c r="QM23" i="6" a="1"/>
  <c r="QM23" i="6" s="1"/>
  <c r="QL23" i="6" a="1"/>
  <c r="QL23" i="6" s="1"/>
  <c r="QK23" i="6" a="1"/>
  <c r="QK23" i="6" s="1"/>
  <c r="QJ23" i="6" a="1"/>
  <c r="QJ23" i="6" s="1"/>
  <c r="PV23" i="6" a="1"/>
  <c r="PV23" i="6" s="1"/>
  <c r="PU23" i="6" a="1"/>
  <c r="PU23" i="6" s="1"/>
  <c r="PT23" i="6" a="1"/>
  <c r="PT23" i="6" s="1"/>
  <c r="PS23" i="6" a="1"/>
  <c r="PS23" i="6" s="1"/>
  <c r="PR23" i="6" a="1"/>
  <c r="PR23" i="6" s="1"/>
  <c r="PD23" i="6" a="1"/>
  <c r="PD23" i="6" s="1"/>
  <c r="PC23" i="6" a="1"/>
  <c r="PC23" i="6" s="1"/>
  <c r="PB23" i="6" a="1"/>
  <c r="PB23" i="6" s="1"/>
  <c r="PA23" i="6" a="1"/>
  <c r="PA23" i="6" s="1"/>
  <c r="OZ23" i="6" a="1"/>
  <c r="OZ23" i="6" s="1"/>
  <c r="OL23" i="6" a="1"/>
  <c r="OL23" i="6" s="1"/>
  <c r="OK23" i="6" a="1"/>
  <c r="OK23" i="6" s="1"/>
  <c r="OJ23" i="6" a="1"/>
  <c r="OJ23" i="6" s="1"/>
  <c r="OI23" i="6" a="1"/>
  <c r="OI23" i="6" s="1"/>
  <c r="OH23" i="6" a="1"/>
  <c r="OH23" i="6" s="1"/>
  <c r="NT23" i="6" a="1"/>
  <c r="NT23" i="6" s="1"/>
  <c r="NS23" i="6" a="1"/>
  <c r="NS23" i="6" s="1"/>
  <c r="NR23" i="6" a="1"/>
  <c r="NR23" i="6" s="1"/>
  <c r="NQ23" i="6" a="1"/>
  <c r="NQ23" i="6" s="1"/>
  <c r="NP23" i="6" a="1"/>
  <c r="NP23" i="6" s="1"/>
  <c r="NC23" i="6" a="1"/>
  <c r="NC23" i="6" s="1"/>
  <c r="NB23" i="6" a="1"/>
  <c r="NB23" i="6" s="1"/>
  <c r="NA23" i="6" a="1"/>
  <c r="NA23" i="6" s="1"/>
  <c r="MZ23" i="6" a="1"/>
  <c r="MZ23" i="6" s="1"/>
  <c r="MY23" i="6" a="1"/>
  <c r="MY23" i="6" s="1"/>
  <c r="MK23" i="6" a="1"/>
  <c r="MK23" i="6" s="1"/>
  <c r="MJ23" i="6" a="1"/>
  <c r="MJ23" i="6" s="1"/>
  <c r="MI23" i="6" a="1"/>
  <c r="MI23" i="6" s="1"/>
  <c r="MH23" i="6" a="1"/>
  <c r="MH23" i="6" s="1"/>
  <c r="MG23" i="6" a="1"/>
  <c r="MG23" i="6" s="1"/>
  <c r="LS23" i="6" a="1"/>
  <c r="LS23" i="6" s="1"/>
  <c r="LR23" i="6" a="1"/>
  <c r="LR23" i="6" s="1"/>
  <c r="LQ23" i="6" a="1"/>
  <c r="LQ23" i="6" s="1"/>
  <c r="LP23" i="6" a="1"/>
  <c r="LP23" i="6" s="1"/>
  <c r="LO23" i="6" a="1"/>
  <c r="LO23" i="6" s="1"/>
  <c r="LA23" i="6" a="1"/>
  <c r="LA23" i="6" s="1"/>
  <c r="KZ23" i="6" a="1"/>
  <c r="KZ23" i="6" s="1"/>
  <c r="KY23" i="6" a="1"/>
  <c r="KY23" i="6" s="1"/>
  <c r="KX23" i="6" a="1"/>
  <c r="KX23" i="6" s="1"/>
  <c r="KW23" i="6" a="1"/>
  <c r="KW23" i="6" s="1"/>
  <c r="KI23" i="6" a="1"/>
  <c r="KI23" i="6" s="1"/>
  <c r="KH23" i="6" a="1"/>
  <c r="KH23" i="6" s="1"/>
  <c r="KG23" i="6" a="1"/>
  <c r="KG23" i="6" s="1"/>
  <c r="KF23" i="6" a="1"/>
  <c r="KF23" i="6" s="1"/>
  <c r="KE23" i="6" a="1"/>
  <c r="KE23" i="6" s="1"/>
  <c r="JQ23" i="6" a="1"/>
  <c r="JQ23" i="6" s="1"/>
  <c r="JP23" i="6" a="1"/>
  <c r="JP23" i="6" s="1"/>
  <c r="JO23" i="6" a="1"/>
  <c r="JO23" i="6" s="1"/>
  <c r="JN23" i="6" a="1"/>
  <c r="JN23" i="6" s="1"/>
  <c r="JM23" i="6" a="1"/>
  <c r="JM23" i="6" s="1"/>
  <c r="IY23" i="6" a="1"/>
  <c r="IY23" i="6" s="1"/>
  <c r="IX23" i="6" a="1"/>
  <c r="IX23" i="6" s="1"/>
  <c r="IW23" i="6" a="1"/>
  <c r="IW23" i="6" s="1"/>
  <c r="IV23" i="6" a="1"/>
  <c r="IV23" i="6" s="1"/>
  <c r="IU23" i="6" a="1"/>
  <c r="IU23" i="6" s="1"/>
  <c r="IG23" i="6" a="1"/>
  <c r="IG23" i="6" s="1"/>
  <c r="IF23" i="6" a="1"/>
  <c r="IF23" i="6" s="1"/>
  <c r="IE23" i="6" a="1"/>
  <c r="IE23" i="6" s="1"/>
  <c r="ID23" i="6" a="1"/>
  <c r="ID23" i="6" s="1"/>
  <c r="IC23" i="6" a="1"/>
  <c r="IC23" i="6" s="1"/>
  <c r="HO23" i="6" a="1"/>
  <c r="HO23" i="6" s="1"/>
  <c r="HN23" i="6" a="1"/>
  <c r="HN23" i="6" s="1"/>
  <c r="HM23" i="6" a="1"/>
  <c r="HM23" i="6" s="1"/>
  <c r="HL23" i="6" a="1"/>
  <c r="HL23" i="6" s="1"/>
  <c r="HK23" i="6" a="1"/>
  <c r="HK23" i="6" s="1"/>
  <c r="GX23" i="6" a="1"/>
  <c r="GX23" i="6" s="1"/>
  <c r="GW23" i="6" a="1"/>
  <c r="GW23" i="6" s="1"/>
  <c r="GV23" i="6" a="1"/>
  <c r="GV23" i="6" s="1"/>
  <c r="GU23" i="6" a="1"/>
  <c r="GU23" i="6" s="1"/>
  <c r="GT23" i="6" a="1"/>
  <c r="GT23" i="6" s="1"/>
  <c r="GG23" i="6" a="1"/>
  <c r="GG23" i="6" s="1"/>
  <c r="GF23" i="6" a="1"/>
  <c r="GF23" i="6" s="1"/>
  <c r="GE23" i="6" a="1"/>
  <c r="GE23" i="6" s="1"/>
  <c r="GD23" i="6" a="1"/>
  <c r="GD23" i="6" s="1"/>
  <c r="GC23" i="6" a="1"/>
  <c r="GC23" i="6" s="1"/>
  <c r="FP23" i="6" a="1"/>
  <c r="FP23" i="6" s="1"/>
  <c r="FO23" i="6" a="1"/>
  <c r="FO23" i="6" s="1"/>
  <c r="FN23" i="6" a="1"/>
  <c r="FN23" i="6" s="1"/>
  <c r="FM23" i="6" a="1"/>
  <c r="FM23" i="6" s="1"/>
  <c r="FL23" i="6" a="1"/>
  <c r="FL23" i="6" s="1"/>
  <c r="EY23" i="6" a="1"/>
  <c r="EY23" i="6" s="1"/>
  <c r="EX23" i="6" a="1"/>
  <c r="EX23" i="6" s="1"/>
  <c r="EW23" i="6" a="1"/>
  <c r="EW23" i="6" s="1"/>
  <c r="EV23" i="6" a="1"/>
  <c r="EV23" i="6" s="1"/>
  <c r="EU23" i="6" a="1"/>
  <c r="EU23" i="6" s="1"/>
  <c r="EH23" i="6" a="1"/>
  <c r="EH23" i="6" s="1"/>
  <c r="EG23" i="6" a="1"/>
  <c r="EG23" i="6" s="1"/>
  <c r="EF23" i="6" a="1"/>
  <c r="EF23" i="6" s="1"/>
  <c r="EE23" i="6" a="1"/>
  <c r="EE23" i="6" s="1"/>
  <c r="ED23" i="6" a="1"/>
  <c r="ED23" i="6" s="1"/>
  <c r="DQ23" i="6" a="1"/>
  <c r="DQ23" i="6" s="1"/>
  <c r="DP23" i="6" a="1"/>
  <c r="DP23" i="6" s="1"/>
  <c r="DO23" i="6" a="1"/>
  <c r="DO23" i="6" s="1"/>
  <c r="DN23" i="6" a="1"/>
  <c r="DN23" i="6" s="1"/>
  <c r="DM23" i="6" a="1"/>
  <c r="DM23" i="6" s="1"/>
  <c r="DD23" i="6" a="1"/>
  <c r="DD23" i="6" s="1"/>
  <c r="CU23" i="6" a="1"/>
  <c r="CU23" i="6" s="1"/>
  <c r="CL23" i="6" a="1"/>
  <c r="CL23" i="6" s="1"/>
  <c r="BX23" i="6" a="1"/>
  <c r="BX23" i="6" s="1"/>
  <c r="BW23" i="6" a="1"/>
  <c r="BW23" i="6" s="1"/>
  <c r="BV23" i="6" a="1"/>
  <c r="BV23" i="6" s="1"/>
  <c r="BU23" i="6" a="1"/>
  <c r="BU23" i="6" s="1"/>
  <c r="BT23" i="6" a="1"/>
  <c r="BT23" i="6" s="1"/>
  <c r="BS23" i="6" a="1"/>
  <c r="BS23" i="6" s="1"/>
  <c r="BA23" i="6" a="1"/>
  <c r="BA23" i="6" s="1"/>
  <c r="AZ23" i="6" a="1"/>
  <c r="AZ23" i="6" s="1"/>
  <c r="AY23" i="6" a="1"/>
  <c r="AY23" i="6" s="1"/>
  <c r="AX23" i="6" a="1"/>
  <c r="AX23" i="6" s="1"/>
  <c r="AW23" i="6" a="1"/>
  <c r="AW23" i="6" s="1"/>
  <c r="AV23" i="6" a="1"/>
  <c r="AV23" i="6" s="1"/>
  <c r="AU23" i="6" a="1"/>
  <c r="AU23" i="6" s="1"/>
  <c r="AT23" i="6" a="1"/>
  <c r="AT23" i="6" s="1"/>
  <c r="AS23" i="6" a="1"/>
  <c r="AS23" i="6" s="1"/>
  <c r="AR23" i="6" a="1"/>
  <c r="AR23" i="6" s="1"/>
  <c r="AH23" i="6" a="1"/>
  <c r="AH23" i="6" s="1"/>
  <c r="AG23" i="6" a="1"/>
  <c r="AG23" i="6" s="1"/>
  <c r="V23" i="6" a="1"/>
  <c r="V23" i="6" s="1"/>
  <c r="U23" i="6" a="1"/>
  <c r="U23" i="6" s="1"/>
  <c r="J23" i="6" a="1"/>
  <c r="J23" i="6" s="1"/>
  <c r="I23" i="6" a="1"/>
  <c r="I23" i="6" s="1"/>
  <c r="ADA22" i="6" a="1"/>
  <c r="ADA22" i="6" s="1"/>
  <c r="ACZ22" i="6" a="1"/>
  <c r="ACZ22" i="6" s="1"/>
  <c r="ACY22" i="6" a="1"/>
  <c r="ACY22" i="6" s="1"/>
  <c r="ACN22" i="6" a="1"/>
  <c r="ACN22" i="6" s="1"/>
  <c r="ACM22" i="6" a="1"/>
  <c r="ACM22" i="6" s="1"/>
  <c r="ABU22" i="6" a="1"/>
  <c r="ABU22" i="6" s="1"/>
  <c r="ABX22" i="6" a="1"/>
  <c r="ABX22" i="6" s="1"/>
  <c r="ABV22" i="6" a="1"/>
  <c r="ABV22" i="6" s="1"/>
  <c r="ABH22" i="6" a="1"/>
  <c r="ABH22" i="6" s="1"/>
  <c r="ABG22" i="6" a="1"/>
  <c r="ABG22" i="6" s="1"/>
  <c r="ABF22" i="6" a="1"/>
  <c r="ABF22" i="6" s="1"/>
  <c r="ABE22" i="6" a="1"/>
  <c r="ABE22" i="6" s="1"/>
  <c r="ABD22" i="6" a="1"/>
  <c r="ABD22" i="6" s="1"/>
  <c r="ZR22" i="6" a="1"/>
  <c r="ZR22" i="6" s="1"/>
  <c r="ZE22" i="6" a="1"/>
  <c r="ZE22" i="6" s="1"/>
  <c r="ZD22" i="6" a="1"/>
  <c r="ZD22" i="6" s="1"/>
  <c r="ZC22" i="6" a="1"/>
  <c r="ZC22" i="6" s="1"/>
  <c r="ZB22" i="6" a="1"/>
  <c r="ZB22" i="6" s="1"/>
  <c r="ZA22" i="6" a="1"/>
  <c r="ZA22" i="6" s="1"/>
  <c r="YP22" i="6" a="1"/>
  <c r="YP22" i="6" s="1"/>
  <c r="YO22" i="6" a="1"/>
  <c r="YO22" i="6" s="1"/>
  <c r="YE22" i="6" a="1"/>
  <c r="YE22" i="6" s="1"/>
  <c r="YD22" i="6" a="1"/>
  <c r="YD22" i="6" s="1"/>
  <c r="XT22" i="6" a="1"/>
  <c r="XT22" i="6" s="1"/>
  <c r="XS22" i="6" a="1"/>
  <c r="XS22" i="6" s="1"/>
  <c r="XI22" i="6" a="1"/>
  <c r="XI22" i="6" s="1"/>
  <c r="XH22" i="6" a="1"/>
  <c r="XH22" i="6" s="1"/>
  <c r="WX22" i="6" a="1"/>
  <c r="WX22" i="6" s="1"/>
  <c r="WW22" i="6" a="1"/>
  <c r="WW22" i="6" s="1"/>
  <c r="WM22" i="6" a="1"/>
  <c r="WM22" i="6" s="1"/>
  <c r="WL22" i="6" a="1"/>
  <c r="WL22" i="6" s="1"/>
  <c r="WC22" i="6" a="1"/>
  <c r="WC22" i="6" s="1"/>
  <c r="VQ22" i="6" a="1"/>
  <c r="VQ22" i="6" s="1"/>
  <c r="VP22" i="6" a="1"/>
  <c r="VP22" i="6" s="1"/>
  <c r="VO22" i="6" a="1"/>
  <c r="VO22" i="6" s="1"/>
  <c r="VN22" i="6" a="1"/>
  <c r="VN22" i="6" s="1"/>
  <c r="VA22" i="6" a="1"/>
  <c r="VA22" i="6" s="1"/>
  <c r="UZ22" i="6" a="1"/>
  <c r="UZ22" i="6" s="1"/>
  <c r="UY22" i="6" a="1"/>
  <c r="UY22" i="6" s="1"/>
  <c r="UX22" i="6" a="1"/>
  <c r="UX22" i="6" s="1"/>
  <c r="UW22" i="6" a="1"/>
  <c r="UW22" i="6" s="1"/>
  <c r="UM22" i="6" a="1"/>
  <c r="UM22" i="6" s="1"/>
  <c r="TZ22" i="6" a="1"/>
  <c r="TZ22" i="6" s="1"/>
  <c r="TY22" i="6" a="1"/>
  <c r="TY22" i="6" s="1"/>
  <c r="TX22" i="6" a="1"/>
  <c r="TX22" i="6" s="1"/>
  <c r="TW22" i="6" a="1"/>
  <c r="TW22" i="6" s="1"/>
  <c r="TV22" i="6" a="1"/>
  <c r="TV22" i="6" s="1"/>
  <c r="TH22" i="6" a="1"/>
  <c r="TH22" i="6" s="1"/>
  <c r="TG22" i="6" a="1"/>
  <c r="TG22" i="6" s="1"/>
  <c r="TF22" i="6" a="1"/>
  <c r="TF22" i="6" s="1"/>
  <c r="TE22" i="6" a="1"/>
  <c r="TE22" i="6" s="1"/>
  <c r="TD22" i="6" a="1"/>
  <c r="TD22" i="6" s="1"/>
  <c r="SP22" i="6" a="1"/>
  <c r="SP22" i="6" s="1"/>
  <c r="SO22" i="6" a="1"/>
  <c r="SO22" i="6" s="1"/>
  <c r="SN22" i="6" a="1"/>
  <c r="SN22" i="6" s="1"/>
  <c r="SM22" i="6" a="1"/>
  <c r="SM22" i="6" s="1"/>
  <c r="SL22" i="6" a="1"/>
  <c r="SL22" i="6" s="1"/>
  <c r="RX22" i="6" a="1"/>
  <c r="RX22" i="6" s="1"/>
  <c r="RW22" i="6" a="1"/>
  <c r="RW22" i="6" s="1"/>
  <c r="RV22" i="6" a="1"/>
  <c r="RV22" i="6" s="1"/>
  <c r="RU22" i="6" a="1"/>
  <c r="RU22" i="6" s="1"/>
  <c r="RT22" i="6" a="1"/>
  <c r="RT22" i="6" s="1"/>
  <c r="RF22" i="6" a="1"/>
  <c r="RF22" i="6" s="1"/>
  <c r="RE22" i="6" a="1"/>
  <c r="RE22" i="6" s="1"/>
  <c r="RD22" i="6" a="1"/>
  <c r="RD22" i="6" s="1"/>
  <c r="RC22" i="6" a="1"/>
  <c r="RC22" i="6" s="1"/>
  <c r="RB22" i="6" a="1"/>
  <c r="RB22" i="6" s="1"/>
  <c r="QN22" i="6" a="1"/>
  <c r="QN22" i="6" s="1"/>
  <c r="QM22" i="6" a="1"/>
  <c r="QM22" i="6" s="1"/>
  <c r="QL22" i="6" a="1"/>
  <c r="QL22" i="6" s="1"/>
  <c r="QK22" i="6" a="1"/>
  <c r="QK22" i="6" s="1"/>
  <c r="QJ22" i="6" a="1"/>
  <c r="QJ22" i="6" s="1"/>
  <c r="PV22" i="6" a="1"/>
  <c r="PV22" i="6" s="1"/>
  <c r="PU22" i="6" a="1"/>
  <c r="PU22" i="6" s="1"/>
  <c r="PT22" i="6" a="1"/>
  <c r="PT22" i="6" s="1"/>
  <c r="PS22" i="6" a="1"/>
  <c r="PS22" i="6" s="1"/>
  <c r="PR22" i="6" a="1"/>
  <c r="PR22" i="6" s="1"/>
  <c r="PD22" i="6" a="1"/>
  <c r="PD22" i="6" s="1"/>
  <c r="PC22" i="6" a="1"/>
  <c r="PC22" i="6" s="1"/>
  <c r="PB22" i="6" a="1"/>
  <c r="PB22" i="6" s="1"/>
  <c r="PA22" i="6" a="1"/>
  <c r="PA22" i="6" s="1"/>
  <c r="OZ22" i="6" a="1"/>
  <c r="OZ22" i="6" s="1"/>
  <c r="OL22" i="6" a="1"/>
  <c r="OL22" i="6" s="1"/>
  <c r="OK22" i="6" a="1"/>
  <c r="OK22" i="6" s="1"/>
  <c r="OJ22" i="6" a="1"/>
  <c r="OJ22" i="6" s="1"/>
  <c r="OI22" i="6" a="1"/>
  <c r="OI22" i="6" s="1"/>
  <c r="OH22" i="6" a="1"/>
  <c r="OH22" i="6" s="1"/>
  <c r="NT22" i="6" a="1"/>
  <c r="NT22" i="6" s="1"/>
  <c r="NS22" i="6" a="1"/>
  <c r="NS22" i="6" s="1"/>
  <c r="NR22" i="6" a="1"/>
  <c r="NR22" i="6" s="1"/>
  <c r="NQ22" i="6" a="1"/>
  <c r="NQ22" i="6" s="1"/>
  <c r="NP22" i="6" a="1"/>
  <c r="NP22" i="6" s="1"/>
  <c r="NC22" i="6" a="1"/>
  <c r="NC22" i="6" s="1"/>
  <c r="NB22" i="6" a="1"/>
  <c r="NB22" i="6" s="1"/>
  <c r="NA22" i="6" a="1"/>
  <c r="NA22" i="6" s="1"/>
  <c r="MZ22" i="6" a="1"/>
  <c r="MZ22" i="6" s="1"/>
  <c r="MY22" i="6" a="1"/>
  <c r="MY22" i="6" s="1"/>
  <c r="MK22" i="6" a="1"/>
  <c r="MK22" i="6" s="1"/>
  <c r="MJ22" i="6" a="1"/>
  <c r="MJ22" i="6" s="1"/>
  <c r="MI22" i="6" a="1"/>
  <c r="MI22" i="6" s="1"/>
  <c r="MH22" i="6" a="1"/>
  <c r="MH22" i="6" s="1"/>
  <c r="MG22" i="6" a="1"/>
  <c r="MG22" i="6" s="1"/>
  <c r="LS22" i="6" a="1"/>
  <c r="LS22" i="6" s="1"/>
  <c r="LR22" i="6" a="1"/>
  <c r="LR22" i="6" s="1"/>
  <c r="LQ22" i="6" a="1"/>
  <c r="LQ22" i="6" s="1"/>
  <c r="LP22" i="6" a="1"/>
  <c r="LP22" i="6" s="1"/>
  <c r="LO22" i="6" a="1"/>
  <c r="LO22" i="6" s="1"/>
  <c r="LA22" i="6" a="1"/>
  <c r="LA22" i="6" s="1"/>
  <c r="KZ22" i="6" a="1"/>
  <c r="KZ22" i="6" s="1"/>
  <c r="KY22" i="6" a="1"/>
  <c r="KY22" i="6" s="1"/>
  <c r="KX22" i="6" a="1"/>
  <c r="KX22" i="6" s="1"/>
  <c r="KW22" i="6" a="1"/>
  <c r="KW22" i="6" s="1"/>
  <c r="KI22" i="6" a="1"/>
  <c r="KI22" i="6" s="1"/>
  <c r="KH22" i="6" a="1"/>
  <c r="KH22" i="6" s="1"/>
  <c r="KG22" i="6" a="1"/>
  <c r="KG22" i="6" s="1"/>
  <c r="KF22" i="6" a="1"/>
  <c r="KF22" i="6" s="1"/>
  <c r="KE22" i="6" a="1"/>
  <c r="KE22" i="6" s="1"/>
  <c r="JQ22" i="6" a="1"/>
  <c r="JQ22" i="6" s="1"/>
  <c r="JP22" i="6" a="1"/>
  <c r="JP22" i="6" s="1"/>
  <c r="JO22" i="6" a="1"/>
  <c r="JO22" i="6" s="1"/>
  <c r="JN22" i="6" a="1"/>
  <c r="JN22" i="6" s="1"/>
  <c r="JM22" i="6" a="1"/>
  <c r="JM22" i="6" s="1"/>
  <c r="IY22" i="6" a="1"/>
  <c r="IY22" i="6" s="1"/>
  <c r="IX22" i="6" a="1"/>
  <c r="IX22" i="6" s="1"/>
  <c r="IW22" i="6" a="1"/>
  <c r="IW22" i="6" s="1"/>
  <c r="IV22" i="6" a="1"/>
  <c r="IV22" i="6" s="1"/>
  <c r="IU22" i="6" a="1"/>
  <c r="IU22" i="6" s="1"/>
  <c r="IG22" i="6" a="1"/>
  <c r="IG22" i="6" s="1"/>
  <c r="IF22" i="6" a="1"/>
  <c r="IF22" i="6" s="1"/>
  <c r="IE22" i="6" a="1"/>
  <c r="IE22" i="6" s="1"/>
  <c r="ID22" i="6" a="1"/>
  <c r="ID22" i="6" s="1"/>
  <c r="IC22" i="6" a="1"/>
  <c r="IC22" i="6" s="1"/>
  <c r="HO22" i="6" a="1"/>
  <c r="HO22" i="6" s="1"/>
  <c r="HN22" i="6" a="1"/>
  <c r="HN22" i="6" s="1"/>
  <c r="HM22" i="6" a="1"/>
  <c r="HM22" i="6" s="1"/>
  <c r="HL22" i="6" a="1"/>
  <c r="HL22" i="6" s="1"/>
  <c r="HK22" i="6" a="1"/>
  <c r="HK22" i="6" s="1"/>
  <c r="GX22" i="6" a="1"/>
  <c r="GX22" i="6" s="1"/>
  <c r="GW22" i="6" a="1"/>
  <c r="GW22" i="6" s="1"/>
  <c r="GV22" i="6" a="1"/>
  <c r="GV22" i="6" s="1"/>
  <c r="GU22" i="6" a="1"/>
  <c r="GU22" i="6" s="1"/>
  <c r="GT22" i="6" a="1"/>
  <c r="GT22" i="6" s="1"/>
  <c r="GG22" i="6" a="1"/>
  <c r="GG22" i="6" s="1"/>
  <c r="GF22" i="6" a="1"/>
  <c r="GF22" i="6" s="1"/>
  <c r="GE22" i="6" a="1"/>
  <c r="GE22" i="6" s="1"/>
  <c r="GD22" i="6" a="1"/>
  <c r="GD22" i="6" s="1"/>
  <c r="GC22" i="6" a="1"/>
  <c r="GC22" i="6" s="1"/>
  <c r="FP22" i="6" a="1"/>
  <c r="FP22" i="6" s="1"/>
  <c r="FO22" i="6" a="1"/>
  <c r="FO22" i="6" s="1"/>
  <c r="FN22" i="6" a="1"/>
  <c r="FN22" i="6" s="1"/>
  <c r="FM22" i="6" a="1"/>
  <c r="FM22" i="6" s="1"/>
  <c r="FL22" i="6" a="1"/>
  <c r="FL22" i="6" s="1"/>
  <c r="EY22" i="6" a="1"/>
  <c r="EY22" i="6" s="1"/>
  <c r="EX22" i="6" a="1"/>
  <c r="EX22" i="6" s="1"/>
  <c r="EW22" i="6" a="1"/>
  <c r="EW22" i="6" s="1"/>
  <c r="EV22" i="6" a="1"/>
  <c r="EV22" i="6" s="1"/>
  <c r="EU22" i="6" a="1"/>
  <c r="EU22" i="6" s="1"/>
  <c r="EH22" i="6" a="1"/>
  <c r="EH22" i="6" s="1"/>
  <c r="EG22" i="6" a="1"/>
  <c r="EG22" i="6" s="1"/>
  <c r="EF22" i="6" a="1"/>
  <c r="EF22" i="6" s="1"/>
  <c r="EE22" i="6" a="1"/>
  <c r="EE22" i="6" s="1"/>
  <c r="ED22" i="6" a="1"/>
  <c r="ED22" i="6" s="1"/>
  <c r="DQ22" i="6" a="1"/>
  <c r="DQ22" i="6" s="1"/>
  <c r="DP22" i="6" a="1"/>
  <c r="DP22" i="6" s="1"/>
  <c r="DO22" i="6" a="1"/>
  <c r="DO22" i="6" s="1"/>
  <c r="DN22" i="6" a="1"/>
  <c r="DN22" i="6" s="1"/>
  <c r="DM22" i="6" a="1"/>
  <c r="DM22" i="6" s="1"/>
  <c r="DD22" i="6" a="1"/>
  <c r="DD22" i="6" s="1"/>
  <c r="CU22" i="6" a="1"/>
  <c r="CU22" i="6" s="1"/>
  <c r="CL22" i="6" a="1"/>
  <c r="CL22" i="6" s="1"/>
  <c r="BX22" i="6" a="1"/>
  <c r="BX22" i="6" s="1"/>
  <c r="BW22" i="6" a="1"/>
  <c r="BW22" i="6" s="1"/>
  <c r="BV22" i="6" a="1"/>
  <c r="BV22" i="6" s="1"/>
  <c r="BU22" i="6" a="1"/>
  <c r="BU22" i="6" s="1"/>
  <c r="BT22" i="6" a="1"/>
  <c r="BT22" i="6" s="1"/>
  <c r="BS22" i="6" a="1"/>
  <c r="BS22" i="6" s="1"/>
  <c r="BA22" i="6" a="1"/>
  <c r="BA22" i="6" s="1"/>
  <c r="AZ22" i="6" a="1"/>
  <c r="AZ22" i="6" s="1"/>
  <c r="AY22" i="6" a="1"/>
  <c r="AY22" i="6" s="1"/>
  <c r="AX22" i="6" a="1"/>
  <c r="AX22" i="6" s="1"/>
  <c r="AW22" i="6" a="1"/>
  <c r="AW22" i="6" s="1"/>
  <c r="AV22" i="6" a="1"/>
  <c r="AV22" i="6" s="1"/>
  <c r="AU22" i="6" a="1"/>
  <c r="AU22" i="6" s="1"/>
  <c r="AT22" i="6" a="1"/>
  <c r="AT22" i="6" s="1"/>
  <c r="AS22" i="6" a="1"/>
  <c r="AS22" i="6" s="1"/>
  <c r="AR22" i="6" a="1"/>
  <c r="AR22" i="6" s="1"/>
  <c r="AH22" i="6" a="1"/>
  <c r="AH22" i="6" s="1"/>
  <c r="AG22" i="6" a="1"/>
  <c r="AG22" i="6" s="1"/>
  <c r="V22" i="6" a="1"/>
  <c r="V22" i="6" s="1"/>
  <c r="U22" i="6" a="1"/>
  <c r="U22" i="6" s="1"/>
  <c r="J22" i="6" a="1"/>
  <c r="J22" i="6" s="1"/>
  <c r="I22" i="6" a="1"/>
  <c r="I22" i="6" s="1"/>
  <c r="ADA21" i="6" a="1"/>
  <c r="ADA21" i="6" s="1"/>
  <c r="ACZ21" i="6" a="1"/>
  <c r="ACZ21" i="6" s="1"/>
  <c r="ACY21" i="6" a="1"/>
  <c r="ACY21" i="6" s="1"/>
  <c r="ACN21" i="6" a="1"/>
  <c r="ACN21" i="6" s="1"/>
  <c r="ACM21" i="6" a="1"/>
  <c r="ACM21" i="6" s="1"/>
  <c r="ABU21" i="6" a="1"/>
  <c r="ABU21" i="6" s="1"/>
  <c r="ABX21" i="6" a="1"/>
  <c r="ABX21" i="6" s="1"/>
  <c r="ABV21" i="6" a="1"/>
  <c r="ABV21" i="6" s="1"/>
  <c r="ABH21" i="6" a="1"/>
  <c r="ABH21" i="6" s="1"/>
  <c r="ABG21" i="6" a="1"/>
  <c r="ABG21" i="6" s="1"/>
  <c r="ABF21" i="6" a="1"/>
  <c r="ABF21" i="6" s="1"/>
  <c r="ABE21" i="6" a="1"/>
  <c r="ABE21" i="6" s="1"/>
  <c r="ABD21" i="6" a="1"/>
  <c r="ABD21" i="6" s="1"/>
  <c r="ZR21" i="6" a="1"/>
  <c r="ZR21" i="6" s="1"/>
  <c r="ZE21" i="6" a="1"/>
  <c r="ZE21" i="6" s="1"/>
  <c r="ZD21" i="6" a="1"/>
  <c r="ZD21" i="6" s="1"/>
  <c r="ZC21" i="6" a="1"/>
  <c r="ZC21" i="6" s="1"/>
  <c r="ZB21" i="6" a="1"/>
  <c r="ZB21" i="6" s="1"/>
  <c r="ZA21" i="6" a="1"/>
  <c r="ZA21" i="6" s="1"/>
  <c r="YP21" i="6" a="1"/>
  <c r="YP21" i="6" s="1"/>
  <c r="YO21" i="6" a="1"/>
  <c r="YO21" i="6" s="1"/>
  <c r="YE21" i="6" a="1"/>
  <c r="YE21" i="6" s="1"/>
  <c r="YD21" i="6" a="1"/>
  <c r="YD21" i="6" s="1"/>
  <c r="XT21" i="6" a="1"/>
  <c r="XT21" i="6" s="1"/>
  <c r="XS21" i="6" a="1"/>
  <c r="XS21" i="6" s="1"/>
  <c r="XI21" i="6" a="1"/>
  <c r="XI21" i="6" s="1"/>
  <c r="XH21" i="6" a="1"/>
  <c r="XH21" i="6" s="1"/>
  <c r="WX21" i="6" a="1"/>
  <c r="WX21" i="6" s="1"/>
  <c r="WW21" i="6" a="1"/>
  <c r="WW21" i="6" s="1"/>
  <c r="WM21" i="6" a="1"/>
  <c r="WM21" i="6" s="1"/>
  <c r="WL21" i="6" a="1"/>
  <c r="WL21" i="6" s="1"/>
  <c r="WC21" i="6" a="1"/>
  <c r="WC21" i="6" s="1"/>
  <c r="VQ21" i="6" a="1"/>
  <c r="VQ21" i="6" s="1"/>
  <c r="VP21" i="6" a="1"/>
  <c r="VP21" i="6" s="1"/>
  <c r="VO21" i="6" a="1"/>
  <c r="VO21" i="6" s="1"/>
  <c r="VN21" i="6" a="1"/>
  <c r="VN21" i="6" s="1"/>
  <c r="VA21" i="6" a="1"/>
  <c r="VA21" i="6" s="1"/>
  <c r="UZ21" i="6" a="1"/>
  <c r="UZ21" i="6" s="1"/>
  <c r="UY21" i="6" a="1"/>
  <c r="UY21" i="6" s="1"/>
  <c r="UX21" i="6" a="1"/>
  <c r="UX21" i="6" s="1"/>
  <c r="UW21" i="6" a="1"/>
  <c r="UW21" i="6" s="1"/>
  <c r="UM21" i="6" a="1"/>
  <c r="UM21" i="6" s="1"/>
  <c r="TZ21" i="6" a="1"/>
  <c r="TZ21" i="6" s="1"/>
  <c r="TY21" i="6" a="1"/>
  <c r="TY21" i="6" s="1"/>
  <c r="TX21" i="6" a="1"/>
  <c r="TX21" i="6" s="1"/>
  <c r="TW21" i="6" a="1"/>
  <c r="TW21" i="6" s="1"/>
  <c r="TV21" i="6" a="1"/>
  <c r="TV21" i="6" s="1"/>
  <c r="TH21" i="6" a="1"/>
  <c r="TH21" i="6" s="1"/>
  <c r="TG21" i="6" a="1"/>
  <c r="TG21" i="6" s="1"/>
  <c r="TF21" i="6" a="1"/>
  <c r="TF21" i="6" s="1"/>
  <c r="TE21" i="6" a="1"/>
  <c r="TE21" i="6" s="1"/>
  <c r="TD21" i="6" a="1"/>
  <c r="TD21" i="6" s="1"/>
  <c r="SP21" i="6" a="1"/>
  <c r="SP21" i="6" s="1"/>
  <c r="SO21" i="6" a="1"/>
  <c r="SO21" i="6" s="1"/>
  <c r="SN21" i="6" a="1"/>
  <c r="SN21" i="6" s="1"/>
  <c r="SM21" i="6" a="1"/>
  <c r="SM21" i="6" s="1"/>
  <c r="SL21" i="6" a="1"/>
  <c r="SL21" i="6" s="1"/>
  <c r="RX21" i="6" a="1"/>
  <c r="RX21" i="6" s="1"/>
  <c r="RW21" i="6" a="1"/>
  <c r="RW21" i="6" s="1"/>
  <c r="RV21" i="6" a="1"/>
  <c r="RV21" i="6" s="1"/>
  <c r="RU21" i="6" a="1"/>
  <c r="RU21" i="6" s="1"/>
  <c r="RT21" i="6" a="1"/>
  <c r="RT21" i="6" s="1"/>
  <c r="RF21" i="6" a="1"/>
  <c r="RF21" i="6" s="1"/>
  <c r="RE21" i="6" a="1"/>
  <c r="RE21" i="6" s="1"/>
  <c r="RD21" i="6" a="1"/>
  <c r="RD21" i="6" s="1"/>
  <c r="RC21" i="6" a="1"/>
  <c r="RC21" i="6" s="1"/>
  <c r="RB21" i="6" a="1"/>
  <c r="RB21" i="6" s="1"/>
  <c r="QN21" i="6" a="1"/>
  <c r="QN21" i="6" s="1"/>
  <c r="QM21" i="6" a="1"/>
  <c r="QM21" i="6" s="1"/>
  <c r="QL21" i="6" a="1"/>
  <c r="QL21" i="6" s="1"/>
  <c r="QK21" i="6" a="1"/>
  <c r="QK21" i="6" s="1"/>
  <c r="QJ21" i="6" a="1"/>
  <c r="QJ21" i="6" s="1"/>
  <c r="PV21" i="6" a="1"/>
  <c r="PV21" i="6" s="1"/>
  <c r="PU21" i="6" a="1"/>
  <c r="PU21" i="6" s="1"/>
  <c r="PT21" i="6" a="1"/>
  <c r="PT21" i="6" s="1"/>
  <c r="PS21" i="6" a="1"/>
  <c r="PS21" i="6" s="1"/>
  <c r="PR21" i="6" a="1"/>
  <c r="PR21" i="6" s="1"/>
  <c r="PD21" i="6" a="1"/>
  <c r="PD21" i="6" s="1"/>
  <c r="PC21" i="6" a="1"/>
  <c r="PC21" i="6" s="1"/>
  <c r="PB21" i="6" a="1"/>
  <c r="PB21" i="6" s="1"/>
  <c r="PA21" i="6" a="1"/>
  <c r="PA21" i="6" s="1"/>
  <c r="OZ21" i="6" a="1"/>
  <c r="OZ21" i="6" s="1"/>
  <c r="OL21" i="6" a="1"/>
  <c r="OL21" i="6" s="1"/>
  <c r="OK21" i="6" a="1"/>
  <c r="OK21" i="6" s="1"/>
  <c r="OJ21" i="6" a="1"/>
  <c r="OJ21" i="6" s="1"/>
  <c r="OI21" i="6" a="1"/>
  <c r="OI21" i="6" s="1"/>
  <c r="OH21" i="6" a="1"/>
  <c r="OH21" i="6" s="1"/>
  <c r="NT21" i="6" a="1"/>
  <c r="NT21" i="6" s="1"/>
  <c r="NS21" i="6" a="1"/>
  <c r="NS21" i="6" s="1"/>
  <c r="NR21" i="6" a="1"/>
  <c r="NR21" i="6" s="1"/>
  <c r="NQ21" i="6" a="1"/>
  <c r="NQ21" i="6" s="1"/>
  <c r="NP21" i="6" a="1"/>
  <c r="NP21" i="6" s="1"/>
  <c r="NC21" i="6" a="1"/>
  <c r="NC21" i="6" s="1"/>
  <c r="NB21" i="6" a="1"/>
  <c r="NB21" i="6" s="1"/>
  <c r="NA21" i="6" a="1"/>
  <c r="NA21" i="6" s="1"/>
  <c r="MZ21" i="6" a="1"/>
  <c r="MZ21" i="6" s="1"/>
  <c r="MY21" i="6" a="1"/>
  <c r="MY21" i="6" s="1"/>
  <c r="MK21" i="6" a="1"/>
  <c r="MK21" i="6" s="1"/>
  <c r="MJ21" i="6" a="1"/>
  <c r="MJ21" i="6" s="1"/>
  <c r="MI21" i="6" a="1"/>
  <c r="MI21" i="6" s="1"/>
  <c r="MH21" i="6" a="1"/>
  <c r="MH21" i="6" s="1"/>
  <c r="MG21" i="6" a="1"/>
  <c r="MG21" i="6" s="1"/>
  <c r="LS21" i="6" a="1"/>
  <c r="LS21" i="6" s="1"/>
  <c r="LR21" i="6" a="1"/>
  <c r="LR21" i="6" s="1"/>
  <c r="LQ21" i="6" a="1"/>
  <c r="LQ21" i="6" s="1"/>
  <c r="LP21" i="6" a="1"/>
  <c r="LP21" i="6" s="1"/>
  <c r="LO21" i="6" a="1"/>
  <c r="LO21" i="6" s="1"/>
  <c r="LA21" i="6" a="1"/>
  <c r="LA21" i="6" s="1"/>
  <c r="KZ21" i="6" a="1"/>
  <c r="KZ21" i="6" s="1"/>
  <c r="KY21" i="6" a="1"/>
  <c r="KY21" i="6" s="1"/>
  <c r="KX21" i="6" a="1"/>
  <c r="KX21" i="6" s="1"/>
  <c r="KW21" i="6" a="1"/>
  <c r="KW21" i="6" s="1"/>
  <c r="KI21" i="6" a="1"/>
  <c r="KI21" i="6" s="1"/>
  <c r="KH21" i="6" a="1"/>
  <c r="KH21" i="6" s="1"/>
  <c r="KG21" i="6" a="1"/>
  <c r="KG21" i="6" s="1"/>
  <c r="KF21" i="6" a="1"/>
  <c r="KF21" i="6" s="1"/>
  <c r="KE21" i="6" a="1"/>
  <c r="KE21" i="6" s="1"/>
  <c r="JQ21" i="6" a="1"/>
  <c r="JQ21" i="6" s="1"/>
  <c r="JP21" i="6" a="1"/>
  <c r="JP21" i="6" s="1"/>
  <c r="JO21" i="6" a="1"/>
  <c r="JO21" i="6" s="1"/>
  <c r="JN21" i="6" a="1"/>
  <c r="JN21" i="6" s="1"/>
  <c r="JM21" i="6" a="1"/>
  <c r="JM21" i="6" s="1"/>
  <c r="IY21" i="6" a="1"/>
  <c r="IY21" i="6" s="1"/>
  <c r="IX21" i="6" a="1"/>
  <c r="IX21" i="6" s="1"/>
  <c r="IW21" i="6" a="1"/>
  <c r="IW21" i="6" s="1"/>
  <c r="IV21" i="6" a="1"/>
  <c r="IV21" i="6" s="1"/>
  <c r="IU21" i="6" a="1"/>
  <c r="IU21" i="6" s="1"/>
  <c r="IG21" i="6" a="1"/>
  <c r="IG21" i="6" s="1"/>
  <c r="IF21" i="6" a="1"/>
  <c r="IF21" i="6" s="1"/>
  <c r="IE21" i="6" a="1"/>
  <c r="IE21" i="6" s="1"/>
  <c r="ID21" i="6" a="1"/>
  <c r="ID21" i="6" s="1"/>
  <c r="IC21" i="6" a="1"/>
  <c r="IC21" i="6" s="1"/>
  <c r="HO21" i="6" a="1"/>
  <c r="HO21" i="6" s="1"/>
  <c r="HN21" i="6" a="1"/>
  <c r="HN21" i="6" s="1"/>
  <c r="HM21" i="6" a="1"/>
  <c r="HM21" i="6" s="1"/>
  <c r="HL21" i="6" a="1"/>
  <c r="HL21" i="6" s="1"/>
  <c r="HK21" i="6" a="1"/>
  <c r="HK21" i="6" s="1"/>
  <c r="GX21" i="6" a="1"/>
  <c r="GX21" i="6" s="1"/>
  <c r="GW21" i="6" a="1"/>
  <c r="GW21" i="6" s="1"/>
  <c r="GV21" i="6" a="1"/>
  <c r="GV21" i="6" s="1"/>
  <c r="GU21" i="6" a="1"/>
  <c r="GU21" i="6" s="1"/>
  <c r="GT21" i="6" a="1"/>
  <c r="GT21" i="6" s="1"/>
  <c r="GG21" i="6" a="1"/>
  <c r="GG21" i="6" s="1"/>
  <c r="GF21" i="6" a="1"/>
  <c r="GF21" i="6" s="1"/>
  <c r="GE21" i="6" a="1"/>
  <c r="GE21" i="6" s="1"/>
  <c r="GD21" i="6" a="1"/>
  <c r="GD21" i="6" s="1"/>
  <c r="GC21" i="6" a="1"/>
  <c r="GC21" i="6" s="1"/>
  <c r="FP21" i="6" a="1"/>
  <c r="FP21" i="6" s="1"/>
  <c r="FO21" i="6" a="1"/>
  <c r="FO21" i="6" s="1"/>
  <c r="FN21" i="6" a="1"/>
  <c r="FN21" i="6" s="1"/>
  <c r="FM21" i="6" a="1"/>
  <c r="FM21" i="6" s="1"/>
  <c r="FL21" i="6" a="1"/>
  <c r="FL21" i="6" s="1"/>
  <c r="EY21" i="6" a="1"/>
  <c r="EY21" i="6" s="1"/>
  <c r="EX21" i="6" a="1"/>
  <c r="EX21" i="6" s="1"/>
  <c r="EW21" i="6" a="1"/>
  <c r="EW21" i="6" s="1"/>
  <c r="EV21" i="6" a="1"/>
  <c r="EV21" i="6" s="1"/>
  <c r="EU21" i="6" a="1"/>
  <c r="EU21" i="6" s="1"/>
  <c r="EH21" i="6" a="1"/>
  <c r="EH21" i="6" s="1"/>
  <c r="EG21" i="6" a="1"/>
  <c r="EG21" i="6" s="1"/>
  <c r="EF21" i="6" a="1"/>
  <c r="EF21" i="6" s="1"/>
  <c r="EE21" i="6" a="1"/>
  <c r="EE21" i="6" s="1"/>
  <c r="ED21" i="6" a="1"/>
  <c r="ED21" i="6" s="1"/>
  <c r="DQ21" i="6" a="1"/>
  <c r="DQ21" i="6" s="1"/>
  <c r="DP21" i="6" a="1"/>
  <c r="DP21" i="6" s="1"/>
  <c r="DO21" i="6" a="1"/>
  <c r="DO21" i="6" s="1"/>
  <c r="DN21" i="6" a="1"/>
  <c r="DN21" i="6" s="1"/>
  <c r="DM21" i="6" a="1"/>
  <c r="DM21" i="6" s="1"/>
  <c r="DD21" i="6" a="1"/>
  <c r="DD21" i="6" s="1"/>
  <c r="CU21" i="6" a="1"/>
  <c r="CU21" i="6" s="1"/>
  <c r="CL21" i="6" a="1"/>
  <c r="CL21" i="6" s="1"/>
  <c r="BX21" i="6" a="1"/>
  <c r="BX21" i="6" s="1"/>
  <c r="BW21" i="6" a="1"/>
  <c r="BW21" i="6" s="1"/>
  <c r="BV21" i="6" a="1"/>
  <c r="BV21" i="6" s="1"/>
  <c r="BU21" i="6" a="1"/>
  <c r="BU21" i="6" s="1"/>
  <c r="BT21" i="6" a="1"/>
  <c r="BT21" i="6" s="1"/>
  <c r="BS21" i="6" a="1"/>
  <c r="BS21" i="6" s="1"/>
  <c r="BA21" i="6" a="1"/>
  <c r="BA21" i="6" s="1"/>
  <c r="AZ21" i="6" a="1"/>
  <c r="AZ21" i="6" s="1"/>
  <c r="AY21" i="6" a="1"/>
  <c r="AY21" i="6" s="1"/>
  <c r="AX21" i="6" a="1"/>
  <c r="AX21" i="6" s="1"/>
  <c r="AW21" i="6" a="1"/>
  <c r="AW21" i="6" s="1"/>
  <c r="AV21" i="6" a="1"/>
  <c r="AV21" i="6" s="1"/>
  <c r="AU21" i="6" a="1"/>
  <c r="AU21" i="6" s="1"/>
  <c r="AT21" i="6" a="1"/>
  <c r="AT21" i="6" s="1"/>
  <c r="AS21" i="6" a="1"/>
  <c r="AS21" i="6" s="1"/>
  <c r="AR21" i="6" a="1"/>
  <c r="AR21" i="6" s="1"/>
  <c r="AH21" i="6" a="1"/>
  <c r="AH21" i="6" s="1"/>
  <c r="AG21" i="6" a="1"/>
  <c r="AG21" i="6" s="1"/>
  <c r="V21" i="6" a="1"/>
  <c r="V21" i="6" s="1"/>
  <c r="U21" i="6" a="1"/>
  <c r="U21" i="6" s="1"/>
  <c r="J21" i="6" a="1"/>
  <c r="J21" i="6" s="1"/>
  <c r="I21" i="6" a="1"/>
  <c r="I21" i="6" s="1"/>
  <c r="ADA20" i="6" a="1"/>
  <c r="ADA20" i="6" s="1"/>
  <c r="ACZ20" i="6" a="1"/>
  <c r="ACZ20" i="6" s="1"/>
  <c r="ACY20" i="6" a="1"/>
  <c r="ACY20" i="6" s="1"/>
  <c r="ACN20" i="6" a="1"/>
  <c r="ACN20" i="6" s="1"/>
  <c r="ACM20" i="6" a="1"/>
  <c r="ACM20" i="6" s="1"/>
  <c r="ACL20" i="6" s="1"/>
  <c r="ABU20" i="6" a="1"/>
  <c r="ABU20" i="6" s="1"/>
  <c r="ABX20" i="6" a="1"/>
  <c r="ABX20" i="6" s="1"/>
  <c r="ABV20" i="6" a="1"/>
  <c r="ABV20" i="6" s="1"/>
  <c r="ABH20" i="6" a="1"/>
  <c r="ABH20" i="6" s="1"/>
  <c r="ABG20" i="6" a="1"/>
  <c r="ABG20" i="6" s="1"/>
  <c r="ABF20" i="6" a="1"/>
  <c r="ABF20" i="6" s="1"/>
  <c r="ABE20" i="6" a="1"/>
  <c r="ABE20" i="6" s="1"/>
  <c r="ABD20" i="6" a="1"/>
  <c r="ABD20" i="6" s="1"/>
  <c r="ZR20" i="6" a="1"/>
  <c r="ZR20" i="6" s="1"/>
  <c r="ZE20" i="6" a="1"/>
  <c r="ZE20" i="6" s="1"/>
  <c r="ZD20" i="6" a="1"/>
  <c r="ZD20" i="6" s="1"/>
  <c r="ZC20" i="6" a="1"/>
  <c r="ZC20" i="6" s="1"/>
  <c r="ZB20" i="6" a="1"/>
  <c r="ZB20" i="6" s="1"/>
  <c r="ZA20" i="6" a="1"/>
  <c r="ZA20" i="6" s="1"/>
  <c r="YP20" i="6" a="1"/>
  <c r="YP20" i="6" s="1"/>
  <c r="YO20" i="6" a="1"/>
  <c r="YO20" i="6" s="1"/>
  <c r="YE20" i="6" a="1"/>
  <c r="YE20" i="6" s="1"/>
  <c r="YD20" i="6" a="1"/>
  <c r="YD20" i="6" s="1"/>
  <c r="XT20" i="6" a="1"/>
  <c r="XT20" i="6" s="1"/>
  <c r="XS20" i="6" a="1"/>
  <c r="XS20" i="6" s="1"/>
  <c r="XI20" i="6" a="1"/>
  <c r="XI20" i="6" s="1"/>
  <c r="XH20" i="6" a="1"/>
  <c r="XH20" i="6" s="1"/>
  <c r="WX20" i="6" a="1"/>
  <c r="WX20" i="6" s="1"/>
  <c r="WW20" i="6" a="1"/>
  <c r="WW20" i="6" s="1"/>
  <c r="WM20" i="6" a="1"/>
  <c r="WM20" i="6" s="1"/>
  <c r="WL20" i="6" a="1"/>
  <c r="WL20" i="6" s="1"/>
  <c r="WC20" i="6" a="1"/>
  <c r="WC20" i="6" s="1"/>
  <c r="VQ20" i="6" a="1"/>
  <c r="VQ20" i="6" s="1"/>
  <c r="VP20" i="6" a="1"/>
  <c r="VP20" i="6" s="1"/>
  <c r="VO20" i="6" a="1"/>
  <c r="VO20" i="6" s="1"/>
  <c r="VN20" i="6" a="1"/>
  <c r="VN20" i="6" s="1"/>
  <c r="VA20" i="6" a="1"/>
  <c r="VA20" i="6" s="1"/>
  <c r="UZ20" i="6" a="1"/>
  <c r="UZ20" i="6" s="1"/>
  <c r="UY20" i="6" a="1"/>
  <c r="UY20" i="6" s="1"/>
  <c r="UX20" i="6" a="1"/>
  <c r="UX20" i="6" s="1"/>
  <c r="UW20" i="6" a="1"/>
  <c r="UW20" i="6" s="1"/>
  <c r="UM20" i="6" a="1"/>
  <c r="UM20" i="6" s="1"/>
  <c r="TZ20" i="6" a="1"/>
  <c r="TZ20" i="6" s="1"/>
  <c r="TY20" i="6" a="1"/>
  <c r="TY20" i="6" s="1"/>
  <c r="TX20" i="6" a="1"/>
  <c r="TX20" i="6" s="1"/>
  <c r="TW20" i="6" a="1"/>
  <c r="TW20" i="6" s="1"/>
  <c r="TV20" i="6" a="1"/>
  <c r="TV20" i="6" s="1"/>
  <c r="TH20" i="6" a="1"/>
  <c r="TH20" i="6" s="1"/>
  <c r="TG20" i="6" a="1"/>
  <c r="TG20" i="6" s="1"/>
  <c r="TF20" i="6" a="1"/>
  <c r="TF20" i="6" s="1"/>
  <c r="TE20" i="6" a="1"/>
  <c r="TE20" i="6" s="1"/>
  <c r="TD20" i="6" a="1"/>
  <c r="TD20" i="6" s="1"/>
  <c r="SP20" i="6" a="1"/>
  <c r="SP20" i="6" s="1"/>
  <c r="SO20" i="6" a="1"/>
  <c r="SO20" i="6" s="1"/>
  <c r="SN20" i="6" a="1"/>
  <c r="SN20" i="6" s="1"/>
  <c r="SM20" i="6" a="1"/>
  <c r="SM20" i="6" s="1"/>
  <c r="SL20" i="6" a="1"/>
  <c r="SL20" i="6" s="1"/>
  <c r="RX20" i="6" a="1"/>
  <c r="RX20" i="6" s="1"/>
  <c r="RW20" i="6" a="1"/>
  <c r="RW20" i="6" s="1"/>
  <c r="RV20" i="6" a="1"/>
  <c r="RV20" i="6" s="1"/>
  <c r="RU20" i="6" a="1"/>
  <c r="RU20" i="6" s="1"/>
  <c r="RT20" i="6" a="1"/>
  <c r="RT20" i="6" s="1"/>
  <c r="RF20" i="6" a="1"/>
  <c r="RF20" i="6" s="1"/>
  <c r="RE20" i="6" a="1"/>
  <c r="RE20" i="6" s="1"/>
  <c r="RD20" i="6" a="1"/>
  <c r="RD20" i="6" s="1"/>
  <c r="RC20" i="6" a="1"/>
  <c r="RC20" i="6" s="1"/>
  <c r="RB20" i="6" a="1"/>
  <c r="RB20" i="6" s="1"/>
  <c r="QN20" i="6" a="1"/>
  <c r="QN20" i="6" s="1"/>
  <c r="QM20" i="6" a="1"/>
  <c r="QM20" i="6" s="1"/>
  <c r="QL20" i="6" a="1"/>
  <c r="QL20" i="6" s="1"/>
  <c r="QK20" i="6" a="1"/>
  <c r="QK20" i="6" s="1"/>
  <c r="QJ20" i="6" a="1"/>
  <c r="QJ20" i="6" s="1"/>
  <c r="PV20" i="6" a="1"/>
  <c r="PV20" i="6" s="1"/>
  <c r="PU20" i="6" a="1"/>
  <c r="PU20" i="6" s="1"/>
  <c r="PT20" i="6" a="1"/>
  <c r="PT20" i="6" s="1"/>
  <c r="PS20" i="6" a="1"/>
  <c r="PS20" i="6" s="1"/>
  <c r="PR20" i="6" a="1"/>
  <c r="PR20" i="6" s="1"/>
  <c r="PD20" i="6" a="1"/>
  <c r="PD20" i="6" s="1"/>
  <c r="PC20" i="6" a="1"/>
  <c r="PC20" i="6" s="1"/>
  <c r="PB20" i="6" a="1"/>
  <c r="PB20" i="6" s="1"/>
  <c r="PA20" i="6" a="1"/>
  <c r="PA20" i="6" s="1"/>
  <c r="OZ20" i="6" a="1"/>
  <c r="OZ20" i="6" s="1"/>
  <c r="OL20" i="6" a="1"/>
  <c r="OL20" i="6" s="1"/>
  <c r="OK20" i="6" a="1"/>
  <c r="OK20" i="6" s="1"/>
  <c r="OJ20" i="6" a="1"/>
  <c r="OJ20" i="6" s="1"/>
  <c r="OI20" i="6" a="1"/>
  <c r="OI20" i="6" s="1"/>
  <c r="OH20" i="6" a="1"/>
  <c r="OH20" i="6" s="1"/>
  <c r="NT20" i="6" a="1"/>
  <c r="NT20" i="6" s="1"/>
  <c r="NS20" i="6" a="1"/>
  <c r="NS20" i="6" s="1"/>
  <c r="NR20" i="6" a="1"/>
  <c r="NR20" i="6" s="1"/>
  <c r="NQ20" i="6" a="1"/>
  <c r="NQ20" i="6" s="1"/>
  <c r="NP20" i="6" a="1"/>
  <c r="NP20" i="6" s="1"/>
  <c r="NC20" i="6" a="1"/>
  <c r="NC20" i="6" s="1"/>
  <c r="NB20" i="6" a="1"/>
  <c r="NB20" i="6" s="1"/>
  <c r="NA20" i="6" a="1"/>
  <c r="NA20" i="6" s="1"/>
  <c r="MZ20" i="6" a="1"/>
  <c r="MZ20" i="6" s="1"/>
  <c r="MY20" i="6" a="1"/>
  <c r="MY20" i="6" s="1"/>
  <c r="MK20" i="6" a="1"/>
  <c r="MK20" i="6" s="1"/>
  <c r="MJ20" i="6" a="1"/>
  <c r="MJ20" i="6" s="1"/>
  <c r="MI20" i="6" a="1"/>
  <c r="MI20" i="6" s="1"/>
  <c r="MH20" i="6" a="1"/>
  <c r="MH20" i="6" s="1"/>
  <c r="MG20" i="6" a="1"/>
  <c r="MG20" i="6" s="1"/>
  <c r="LS20" i="6" a="1"/>
  <c r="LS20" i="6" s="1"/>
  <c r="LR20" i="6" a="1"/>
  <c r="LR20" i="6" s="1"/>
  <c r="LQ20" i="6" a="1"/>
  <c r="LQ20" i="6" s="1"/>
  <c r="LP20" i="6" a="1"/>
  <c r="LP20" i="6" s="1"/>
  <c r="LO20" i="6" a="1"/>
  <c r="LO20" i="6" s="1"/>
  <c r="LA20" i="6" a="1"/>
  <c r="LA20" i="6" s="1"/>
  <c r="KZ20" i="6" a="1"/>
  <c r="KZ20" i="6" s="1"/>
  <c r="KY20" i="6" a="1"/>
  <c r="KY20" i="6" s="1"/>
  <c r="KX20" i="6" a="1"/>
  <c r="KX20" i="6" s="1"/>
  <c r="KW20" i="6" a="1"/>
  <c r="KW20" i="6" s="1"/>
  <c r="KI20" i="6" a="1"/>
  <c r="KI20" i="6" s="1"/>
  <c r="KH20" i="6" a="1"/>
  <c r="KH20" i="6" s="1"/>
  <c r="KG20" i="6" a="1"/>
  <c r="KG20" i="6" s="1"/>
  <c r="KF20" i="6" a="1"/>
  <c r="KF20" i="6" s="1"/>
  <c r="KE20" i="6" a="1"/>
  <c r="KE20" i="6" s="1"/>
  <c r="JQ20" i="6" a="1"/>
  <c r="JQ20" i="6" s="1"/>
  <c r="JP20" i="6" a="1"/>
  <c r="JP20" i="6" s="1"/>
  <c r="JO20" i="6" a="1"/>
  <c r="JO20" i="6" s="1"/>
  <c r="JN20" i="6" a="1"/>
  <c r="JN20" i="6" s="1"/>
  <c r="JM20" i="6" a="1"/>
  <c r="JM20" i="6" s="1"/>
  <c r="IY20" i="6" a="1"/>
  <c r="IY20" i="6" s="1"/>
  <c r="IX20" i="6" a="1"/>
  <c r="IX20" i="6" s="1"/>
  <c r="IW20" i="6" a="1"/>
  <c r="IW20" i="6" s="1"/>
  <c r="IV20" i="6" a="1"/>
  <c r="IV20" i="6" s="1"/>
  <c r="IU20" i="6" a="1"/>
  <c r="IU20" i="6" s="1"/>
  <c r="IG20" i="6" a="1"/>
  <c r="IG20" i="6" s="1"/>
  <c r="IF20" i="6" a="1"/>
  <c r="IF20" i="6" s="1"/>
  <c r="IE20" i="6" a="1"/>
  <c r="IE20" i="6" s="1"/>
  <c r="ID20" i="6" a="1"/>
  <c r="ID20" i="6" s="1"/>
  <c r="IC20" i="6" a="1"/>
  <c r="IC20" i="6" s="1"/>
  <c r="HO20" i="6" a="1"/>
  <c r="HO20" i="6" s="1"/>
  <c r="HN20" i="6" a="1"/>
  <c r="HN20" i="6" s="1"/>
  <c r="HM20" i="6" a="1"/>
  <c r="HM20" i="6" s="1"/>
  <c r="HL20" i="6" a="1"/>
  <c r="HL20" i="6" s="1"/>
  <c r="HK20" i="6" a="1"/>
  <c r="HK20" i="6" s="1"/>
  <c r="GX20" i="6" a="1"/>
  <c r="GX20" i="6" s="1"/>
  <c r="GW20" i="6" a="1"/>
  <c r="GW20" i="6" s="1"/>
  <c r="GV20" i="6" a="1"/>
  <c r="GV20" i="6" s="1"/>
  <c r="GU20" i="6" a="1"/>
  <c r="GU20" i="6" s="1"/>
  <c r="GT20" i="6" a="1"/>
  <c r="GT20" i="6" s="1"/>
  <c r="GG20" i="6" a="1"/>
  <c r="GG20" i="6" s="1"/>
  <c r="GF20" i="6" a="1"/>
  <c r="GF20" i="6" s="1"/>
  <c r="GE20" i="6" a="1"/>
  <c r="GE20" i="6" s="1"/>
  <c r="GD20" i="6" a="1"/>
  <c r="GD20" i="6" s="1"/>
  <c r="GC20" i="6" a="1"/>
  <c r="GC20" i="6" s="1"/>
  <c r="FP20" i="6" a="1"/>
  <c r="FP20" i="6" s="1"/>
  <c r="FO20" i="6" a="1"/>
  <c r="FO20" i="6" s="1"/>
  <c r="FN20" i="6" a="1"/>
  <c r="FN20" i="6" s="1"/>
  <c r="FM20" i="6" a="1"/>
  <c r="FM20" i="6" s="1"/>
  <c r="FL20" i="6" a="1"/>
  <c r="FL20" i="6" s="1"/>
  <c r="EY20" i="6" a="1"/>
  <c r="EY20" i="6" s="1"/>
  <c r="EX20" i="6" a="1"/>
  <c r="EX20" i="6" s="1"/>
  <c r="EW20" i="6" a="1"/>
  <c r="EW20" i="6" s="1"/>
  <c r="EV20" i="6" a="1"/>
  <c r="EV20" i="6" s="1"/>
  <c r="EU20" i="6" a="1"/>
  <c r="EU20" i="6" s="1"/>
  <c r="EH20" i="6" a="1"/>
  <c r="EH20" i="6" s="1"/>
  <c r="EG20" i="6" a="1"/>
  <c r="EG20" i="6" s="1"/>
  <c r="EF20" i="6" a="1"/>
  <c r="EF20" i="6" s="1"/>
  <c r="EE20" i="6" a="1"/>
  <c r="EE20" i="6" s="1"/>
  <c r="ED20" i="6" a="1"/>
  <c r="ED20" i="6" s="1"/>
  <c r="DQ20" i="6" a="1"/>
  <c r="DQ20" i="6" s="1"/>
  <c r="DP20" i="6" a="1"/>
  <c r="DP20" i="6" s="1"/>
  <c r="DO20" i="6" a="1"/>
  <c r="DO20" i="6" s="1"/>
  <c r="DN20" i="6" a="1"/>
  <c r="DN20" i="6" s="1"/>
  <c r="DM20" i="6" a="1"/>
  <c r="DM20" i="6" s="1"/>
  <c r="DD20" i="6" a="1"/>
  <c r="DD20" i="6" s="1"/>
  <c r="CU20" i="6" a="1"/>
  <c r="CU20" i="6" s="1"/>
  <c r="CL20" i="6" a="1"/>
  <c r="CL20" i="6" s="1"/>
  <c r="BX20" i="6" a="1"/>
  <c r="BX20" i="6" s="1"/>
  <c r="BW20" i="6" a="1"/>
  <c r="BW20" i="6" s="1"/>
  <c r="BV20" i="6" a="1"/>
  <c r="BV20" i="6" s="1"/>
  <c r="BU20" i="6" a="1"/>
  <c r="BU20" i="6" s="1"/>
  <c r="BT20" i="6" a="1"/>
  <c r="BT20" i="6" s="1"/>
  <c r="BS20" i="6" a="1"/>
  <c r="BS20" i="6" s="1"/>
  <c r="BA20" i="6" a="1"/>
  <c r="BA20" i="6" s="1"/>
  <c r="AZ20" i="6" a="1"/>
  <c r="AZ20" i="6" s="1"/>
  <c r="AY20" i="6" a="1"/>
  <c r="AY20" i="6" s="1"/>
  <c r="AX20" i="6" a="1"/>
  <c r="AX20" i="6" s="1"/>
  <c r="AW20" i="6" a="1"/>
  <c r="AW20" i="6" s="1"/>
  <c r="AV20" i="6" a="1"/>
  <c r="AV20" i="6" s="1"/>
  <c r="AU20" i="6" a="1"/>
  <c r="AU20" i="6" s="1"/>
  <c r="AT20" i="6" a="1"/>
  <c r="AT20" i="6" s="1"/>
  <c r="AS20" i="6" a="1"/>
  <c r="AS20" i="6" s="1"/>
  <c r="AR20" i="6" a="1"/>
  <c r="AR20" i="6" s="1"/>
  <c r="AH20" i="6" a="1"/>
  <c r="AH20" i="6" s="1"/>
  <c r="AG20" i="6" a="1"/>
  <c r="AG20" i="6" s="1"/>
  <c r="V20" i="6" a="1"/>
  <c r="V20" i="6" s="1"/>
  <c r="U20" i="6" a="1"/>
  <c r="U20" i="6" s="1"/>
  <c r="J20" i="6" a="1"/>
  <c r="J20" i="6" s="1"/>
  <c r="I20" i="6" a="1"/>
  <c r="I20" i="6" s="1"/>
  <c r="X9" i="4"/>
  <c r="X8" i="4"/>
  <c r="X7" i="4"/>
  <c r="K2" i="4"/>
  <c r="Q305" i="4" s="1" a="1"/>
  <c r="Q305" i="4" s="1"/>
  <c r="ADA19" i="6" a="1"/>
  <c r="ADA19" i="6" s="1"/>
  <c r="ACZ19" i="6" a="1"/>
  <c r="ACZ19" i="6" s="1"/>
  <c r="ACY19" i="6" a="1"/>
  <c r="ACY19" i="6" s="1"/>
  <c r="ACN19" i="6" a="1"/>
  <c r="ACN19" i="6" s="1"/>
  <c r="ACM19" i="6" a="1"/>
  <c r="ACM19" i="6" s="1"/>
  <c r="ABU19" i="6" a="1"/>
  <c r="ABU19" i="6" s="1"/>
  <c r="ABX19" i="6" a="1"/>
  <c r="ABX19" i="6" s="1"/>
  <c r="ABV19" i="6" a="1"/>
  <c r="ABV19" i="6" s="1"/>
  <c r="ABH19" i="6" a="1"/>
  <c r="ABH19" i="6" s="1"/>
  <c r="ABG19" i="6" a="1"/>
  <c r="ABG19" i="6" s="1"/>
  <c r="ABF19" i="6" a="1"/>
  <c r="ABF19" i="6" s="1"/>
  <c r="ABE19" i="6" a="1"/>
  <c r="ABE19" i="6" s="1"/>
  <c r="ABD19" i="6" a="1"/>
  <c r="ABD19" i="6" s="1"/>
  <c r="ZR19" i="6" a="1"/>
  <c r="ZR19" i="6" s="1"/>
  <c r="ZE19" i="6" a="1"/>
  <c r="ZE19" i="6" s="1"/>
  <c r="ZD19" i="6" a="1"/>
  <c r="ZD19" i="6" s="1"/>
  <c r="ZC19" i="6" a="1"/>
  <c r="ZC19" i="6" s="1"/>
  <c r="ZB19" i="6" a="1"/>
  <c r="ZB19" i="6" s="1"/>
  <c r="ZA19" i="6" a="1"/>
  <c r="ZA19" i="6" s="1"/>
  <c r="YP19" i="6" a="1"/>
  <c r="YP19" i="6" s="1"/>
  <c r="YO19" i="6" a="1"/>
  <c r="YO19" i="6" s="1"/>
  <c r="YE19" i="6" a="1"/>
  <c r="YE19" i="6" s="1"/>
  <c r="YD19" i="6" a="1"/>
  <c r="YD19" i="6" s="1"/>
  <c r="XT19" i="6" a="1"/>
  <c r="XT19" i="6" s="1"/>
  <c r="XS19" i="6" a="1"/>
  <c r="XS19" i="6" s="1"/>
  <c r="XI19" i="6" a="1"/>
  <c r="XI19" i="6" s="1"/>
  <c r="XH19" i="6" a="1"/>
  <c r="XH19" i="6" s="1"/>
  <c r="WX19" i="6" a="1"/>
  <c r="WX19" i="6" s="1"/>
  <c r="WW19" i="6" a="1"/>
  <c r="WW19" i="6" s="1"/>
  <c r="WM19" i="6" a="1"/>
  <c r="WM19" i="6" s="1"/>
  <c r="WL19" i="6" a="1"/>
  <c r="WL19" i="6" s="1"/>
  <c r="WC19" i="6" a="1"/>
  <c r="WC19" i="6" s="1"/>
  <c r="VQ19" i="6" a="1"/>
  <c r="VQ19" i="6" s="1"/>
  <c r="VP19" i="6" a="1"/>
  <c r="VP19" i="6" s="1"/>
  <c r="VO19" i="6" a="1"/>
  <c r="VO19" i="6" s="1"/>
  <c r="VN19" i="6" a="1"/>
  <c r="VN19" i="6" s="1"/>
  <c r="VA19" i="6" a="1"/>
  <c r="VA19" i="6" s="1"/>
  <c r="UZ19" i="6" a="1"/>
  <c r="UZ19" i="6" s="1"/>
  <c r="UY19" i="6" a="1"/>
  <c r="UY19" i="6" s="1"/>
  <c r="UX19" i="6" a="1"/>
  <c r="UX19" i="6" s="1"/>
  <c r="UW19" i="6" a="1"/>
  <c r="UW19" i="6" s="1"/>
  <c r="UM19" i="6" a="1"/>
  <c r="UM19" i="6" s="1"/>
  <c r="TZ19" i="6" a="1"/>
  <c r="TZ19" i="6" s="1"/>
  <c r="TY19" i="6" a="1"/>
  <c r="TY19" i="6" s="1"/>
  <c r="TX19" i="6" a="1"/>
  <c r="TX19" i="6" s="1"/>
  <c r="TW19" i="6" a="1"/>
  <c r="TW19" i="6" s="1"/>
  <c r="TV19" i="6" a="1"/>
  <c r="TV19" i="6" s="1"/>
  <c r="TH19" i="6" a="1"/>
  <c r="TH19" i="6" s="1"/>
  <c r="TG19" i="6" a="1"/>
  <c r="TG19" i="6" s="1"/>
  <c r="TF19" i="6" a="1"/>
  <c r="TF19" i="6" s="1"/>
  <c r="TE19" i="6" a="1"/>
  <c r="TE19" i="6" s="1"/>
  <c r="TD19" i="6" a="1"/>
  <c r="TD19" i="6" s="1"/>
  <c r="SP19" i="6" a="1"/>
  <c r="SP19" i="6" s="1"/>
  <c r="SO19" i="6" a="1"/>
  <c r="SO19" i="6" s="1"/>
  <c r="SN19" i="6" a="1"/>
  <c r="SN19" i="6" s="1"/>
  <c r="SM19" i="6" a="1"/>
  <c r="SM19" i="6" s="1"/>
  <c r="SL19" i="6" a="1"/>
  <c r="SL19" i="6" s="1"/>
  <c r="RX19" i="6" a="1"/>
  <c r="RX19" i="6" s="1"/>
  <c r="RW19" i="6" a="1"/>
  <c r="RW19" i="6" s="1"/>
  <c r="RV19" i="6" a="1"/>
  <c r="RV19" i="6" s="1"/>
  <c r="RU19" i="6" a="1"/>
  <c r="RU19" i="6" s="1"/>
  <c r="RT19" i="6" a="1"/>
  <c r="RT19" i="6" s="1"/>
  <c r="RF19" i="6" a="1"/>
  <c r="RF19" i="6" s="1"/>
  <c r="RE19" i="6" a="1"/>
  <c r="RE19" i="6" s="1"/>
  <c r="RD19" i="6" a="1"/>
  <c r="RD19" i="6" s="1"/>
  <c r="RC19" i="6" a="1"/>
  <c r="RC19" i="6" s="1"/>
  <c r="RB19" i="6" a="1"/>
  <c r="RB19" i="6" s="1"/>
  <c r="QN19" i="6" a="1"/>
  <c r="QN19" i="6" s="1"/>
  <c r="QM19" i="6" a="1"/>
  <c r="QM19" i="6" s="1"/>
  <c r="QL19" i="6" a="1"/>
  <c r="QL19" i="6" s="1"/>
  <c r="QK19" i="6" a="1"/>
  <c r="QK19" i="6" s="1"/>
  <c r="QJ19" i="6" a="1"/>
  <c r="QJ19" i="6" s="1"/>
  <c r="PV19" i="6" a="1"/>
  <c r="PV19" i="6" s="1"/>
  <c r="PU19" i="6" a="1"/>
  <c r="PU19" i="6" s="1"/>
  <c r="PT19" i="6" a="1"/>
  <c r="PT19" i="6" s="1"/>
  <c r="PS19" i="6" a="1"/>
  <c r="PS19" i="6" s="1"/>
  <c r="PR19" i="6" a="1"/>
  <c r="PR19" i="6" s="1"/>
  <c r="PD19" i="6" a="1"/>
  <c r="PD19" i="6" s="1"/>
  <c r="PC19" i="6" a="1"/>
  <c r="PC19" i="6" s="1"/>
  <c r="PB19" i="6" a="1"/>
  <c r="PB19" i="6" s="1"/>
  <c r="PA19" i="6" a="1"/>
  <c r="PA19" i="6" s="1"/>
  <c r="OZ19" i="6" a="1"/>
  <c r="OZ19" i="6" s="1"/>
  <c r="OL19" i="6" a="1"/>
  <c r="OL19" i="6" s="1"/>
  <c r="OK19" i="6" a="1"/>
  <c r="OK19" i="6" s="1"/>
  <c r="OJ19" i="6" a="1"/>
  <c r="OJ19" i="6" s="1"/>
  <c r="OI19" i="6" a="1"/>
  <c r="OI19" i="6" s="1"/>
  <c r="OH19" i="6" a="1"/>
  <c r="OH19" i="6" s="1"/>
  <c r="NT19" i="6" a="1"/>
  <c r="NT19" i="6" s="1"/>
  <c r="NS19" i="6" a="1"/>
  <c r="NS19" i="6" s="1"/>
  <c r="NR19" i="6" a="1"/>
  <c r="NR19" i="6" s="1"/>
  <c r="NQ19" i="6" a="1"/>
  <c r="NQ19" i="6" s="1"/>
  <c r="NP19" i="6" a="1"/>
  <c r="NP19" i="6" s="1"/>
  <c r="NC19" i="6" a="1"/>
  <c r="NC19" i="6" s="1"/>
  <c r="NB19" i="6" a="1"/>
  <c r="NB19" i="6" s="1"/>
  <c r="NA19" i="6" a="1"/>
  <c r="NA19" i="6" s="1"/>
  <c r="MZ19" i="6" a="1"/>
  <c r="MZ19" i="6" s="1"/>
  <c r="MY19" i="6" a="1"/>
  <c r="MY19" i="6" s="1"/>
  <c r="MK19" i="6" a="1"/>
  <c r="MK19" i="6" s="1"/>
  <c r="MJ19" i="6" a="1"/>
  <c r="MJ19" i="6" s="1"/>
  <c r="MI19" i="6" a="1"/>
  <c r="MI19" i="6" s="1"/>
  <c r="MH19" i="6" a="1"/>
  <c r="MH19" i="6" s="1"/>
  <c r="MG19" i="6" a="1"/>
  <c r="MG19" i="6" s="1"/>
  <c r="LS19" i="6" a="1"/>
  <c r="LS19" i="6" s="1"/>
  <c r="LR19" i="6" a="1"/>
  <c r="LR19" i="6" s="1"/>
  <c r="LQ19" i="6" a="1"/>
  <c r="LQ19" i="6" s="1"/>
  <c r="LP19" i="6" a="1"/>
  <c r="LP19" i="6" s="1"/>
  <c r="LO19" i="6" a="1"/>
  <c r="LO19" i="6" s="1"/>
  <c r="LA19" i="6" a="1"/>
  <c r="LA19" i="6" s="1"/>
  <c r="KZ19" i="6" a="1"/>
  <c r="KZ19" i="6" s="1"/>
  <c r="KY19" i="6" a="1"/>
  <c r="KY19" i="6" s="1"/>
  <c r="KX19" i="6" a="1"/>
  <c r="KX19" i="6" s="1"/>
  <c r="KW19" i="6" a="1"/>
  <c r="KW19" i="6" s="1"/>
  <c r="KI19" i="6" a="1"/>
  <c r="KI19" i="6" s="1"/>
  <c r="KH19" i="6" a="1"/>
  <c r="KH19" i="6" s="1"/>
  <c r="KG19" i="6" a="1"/>
  <c r="KG19" i="6" s="1"/>
  <c r="KF19" i="6" a="1"/>
  <c r="KF19" i="6" s="1"/>
  <c r="KE19" i="6" a="1"/>
  <c r="KE19" i="6" s="1"/>
  <c r="JQ19" i="6" a="1"/>
  <c r="JQ19" i="6" s="1"/>
  <c r="JP19" i="6" a="1"/>
  <c r="JP19" i="6" s="1"/>
  <c r="JO19" i="6" a="1"/>
  <c r="JO19" i="6" s="1"/>
  <c r="JN19" i="6" a="1"/>
  <c r="JN19" i="6" s="1"/>
  <c r="JM19" i="6" a="1"/>
  <c r="JM19" i="6" s="1"/>
  <c r="IY19" i="6" a="1"/>
  <c r="IY19" i="6" s="1"/>
  <c r="IX19" i="6" a="1"/>
  <c r="IX19" i="6" s="1"/>
  <c r="IW19" i="6" a="1"/>
  <c r="IW19" i="6" s="1"/>
  <c r="IV19" i="6" a="1"/>
  <c r="IV19" i="6" s="1"/>
  <c r="IU19" i="6" a="1"/>
  <c r="IU19" i="6" s="1"/>
  <c r="IG19" i="6" a="1"/>
  <c r="IG19" i="6" s="1"/>
  <c r="IF19" i="6" a="1"/>
  <c r="IF19" i="6" s="1"/>
  <c r="IE19" i="6" a="1"/>
  <c r="IE19" i="6" s="1"/>
  <c r="ID19" i="6" a="1"/>
  <c r="ID19" i="6" s="1"/>
  <c r="IC19" i="6" a="1"/>
  <c r="IC19" i="6" s="1"/>
  <c r="HO19" i="6" a="1"/>
  <c r="HO19" i="6" s="1"/>
  <c r="HN19" i="6" a="1"/>
  <c r="HN19" i="6" s="1"/>
  <c r="HM19" i="6" a="1"/>
  <c r="HM19" i="6" s="1"/>
  <c r="HL19" i="6" a="1"/>
  <c r="HL19" i="6" s="1"/>
  <c r="HK19" i="6" a="1"/>
  <c r="HK19" i="6" s="1"/>
  <c r="GX19" i="6" a="1"/>
  <c r="GX19" i="6" s="1"/>
  <c r="GW19" i="6" a="1"/>
  <c r="GW19" i="6" s="1"/>
  <c r="GV19" i="6" a="1"/>
  <c r="GV19" i="6" s="1"/>
  <c r="GU19" i="6" a="1"/>
  <c r="GU19" i="6" s="1"/>
  <c r="GT19" i="6" a="1"/>
  <c r="GT19" i="6" s="1"/>
  <c r="GG19" i="6" a="1"/>
  <c r="GG19" i="6" s="1"/>
  <c r="GF19" i="6" a="1"/>
  <c r="GF19" i="6" s="1"/>
  <c r="GE19" i="6" a="1"/>
  <c r="GE19" i="6" s="1"/>
  <c r="GD19" i="6" a="1"/>
  <c r="GD19" i="6" s="1"/>
  <c r="GC19" i="6" a="1"/>
  <c r="GC19" i="6" s="1"/>
  <c r="FP19" i="6" a="1"/>
  <c r="FP19" i="6" s="1"/>
  <c r="FO19" i="6" a="1"/>
  <c r="FO19" i="6" s="1"/>
  <c r="FN19" i="6" a="1"/>
  <c r="FN19" i="6" s="1"/>
  <c r="FM19" i="6" a="1"/>
  <c r="FM19" i="6" s="1"/>
  <c r="FL19" i="6" a="1"/>
  <c r="FL19" i="6" s="1"/>
  <c r="EY19" i="6" a="1"/>
  <c r="EY19" i="6" s="1"/>
  <c r="EX19" i="6" a="1"/>
  <c r="EX19" i="6" s="1"/>
  <c r="EW19" i="6" a="1"/>
  <c r="EW19" i="6" s="1"/>
  <c r="EV19" i="6" a="1"/>
  <c r="EV19" i="6" s="1"/>
  <c r="EU19" i="6" a="1"/>
  <c r="EU19" i="6" s="1"/>
  <c r="EH19" i="6" a="1"/>
  <c r="EH19" i="6" s="1"/>
  <c r="EG19" i="6" a="1"/>
  <c r="EG19" i="6" s="1"/>
  <c r="EF19" i="6" a="1"/>
  <c r="EF19" i="6" s="1"/>
  <c r="EE19" i="6" a="1"/>
  <c r="EE19" i="6" s="1"/>
  <c r="ED19" i="6" a="1"/>
  <c r="ED19" i="6" s="1"/>
  <c r="DQ19" i="6" a="1"/>
  <c r="DQ19" i="6" s="1"/>
  <c r="DP19" i="6" a="1"/>
  <c r="DP19" i="6" s="1"/>
  <c r="DO19" i="6" a="1"/>
  <c r="DO19" i="6" s="1"/>
  <c r="DN19" i="6" a="1"/>
  <c r="DN19" i="6" s="1"/>
  <c r="DM19" i="6" a="1"/>
  <c r="DM19" i="6" s="1"/>
  <c r="DD19" i="6" a="1"/>
  <c r="DD19" i="6" s="1"/>
  <c r="CU19" i="6" a="1"/>
  <c r="CU19" i="6" s="1"/>
  <c r="CL19" i="6" a="1"/>
  <c r="CL19" i="6" s="1"/>
  <c r="BX19" i="6" a="1"/>
  <c r="BX19" i="6" s="1"/>
  <c r="BW19" i="6" a="1"/>
  <c r="BW19" i="6" s="1"/>
  <c r="BV19" i="6" a="1"/>
  <c r="BV19" i="6" s="1"/>
  <c r="BU19" i="6" a="1"/>
  <c r="BU19" i="6" s="1"/>
  <c r="BT19" i="6" a="1"/>
  <c r="BT19" i="6" s="1"/>
  <c r="BS19" i="6" a="1"/>
  <c r="BS19" i="6" s="1"/>
  <c r="BA19" i="6" a="1"/>
  <c r="BA19" i="6" s="1"/>
  <c r="AZ19" i="6" a="1"/>
  <c r="AZ19" i="6" s="1"/>
  <c r="AY19" i="6" a="1"/>
  <c r="AY19" i="6" s="1"/>
  <c r="AX19" i="6" a="1"/>
  <c r="AX19" i="6" s="1"/>
  <c r="AW19" i="6" a="1"/>
  <c r="AW19" i="6" s="1"/>
  <c r="AV19" i="6" a="1"/>
  <c r="AV19" i="6" s="1"/>
  <c r="AU19" i="6" a="1"/>
  <c r="AU19" i="6" s="1"/>
  <c r="AT19" i="6" a="1"/>
  <c r="AT19" i="6" s="1"/>
  <c r="AS19" i="6" a="1"/>
  <c r="AS19" i="6" s="1"/>
  <c r="AR19" i="6" a="1"/>
  <c r="AR19" i="6" s="1"/>
  <c r="AH19" i="6" a="1"/>
  <c r="AH19" i="6" s="1"/>
  <c r="AG19" i="6" a="1"/>
  <c r="AG19" i="6" s="1"/>
  <c r="V19" i="6" a="1"/>
  <c r="V19" i="6" s="1"/>
  <c r="U19" i="6" a="1"/>
  <c r="U19" i="6" s="1"/>
  <c r="J19" i="6" a="1"/>
  <c r="J19" i="6" s="1"/>
  <c r="I19" i="6" a="1"/>
  <c r="I19" i="6" s="1"/>
  <c r="ADA18" i="6" a="1"/>
  <c r="ADA18" i="6" s="1"/>
  <c r="ACZ18" i="6" a="1"/>
  <c r="ACZ18" i="6" s="1"/>
  <c r="ACY18" i="6" a="1"/>
  <c r="ACY18" i="6" s="1"/>
  <c r="ACN18" i="6" a="1"/>
  <c r="ACN18" i="6" s="1"/>
  <c r="ACM18" i="6" a="1"/>
  <c r="ACM18" i="6" s="1"/>
  <c r="ABU18" i="6" a="1"/>
  <c r="ABU18" i="6" s="1"/>
  <c r="ABX18" i="6" a="1"/>
  <c r="ABX18" i="6" s="1"/>
  <c r="ABV18" i="6" a="1"/>
  <c r="ABV18" i="6" s="1"/>
  <c r="ABH18" i="6" a="1"/>
  <c r="ABH18" i="6" s="1"/>
  <c r="ABG18" i="6" a="1"/>
  <c r="ABG18" i="6" s="1"/>
  <c r="ABF18" i="6" a="1"/>
  <c r="ABF18" i="6" s="1"/>
  <c r="ABE18" i="6" a="1"/>
  <c r="ABE18" i="6" s="1"/>
  <c r="ABD18" i="6" a="1"/>
  <c r="ABD18" i="6" s="1"/>
  <c r="ZR18" i="6" a="1"/>
  <c r="ZR18" i="6" s="1"/>
  <c r="ZE18" i="6" a="1"/>
  <c r="ZE18" i="6" s="1"/>
  <c r="ZD18" i="6" a="1"/>
  <c r="ZD18" i="6" s="1"/>
  <c r="ZC18" i="6" a="1"/>
  <c r="ZC18" i="6" s="1"/>
  <c r="ZB18" i="6" a="1"/>
  <c r="ZB18" i="6" s="1"/>
  <c r="ZA18" i="6" a="1"/>
  <c r="ZA18" i="6" s="1"/>
  <c r="YP18" i="6" a="1"/>
  <c r="YP18" i="6" s="1"/>
  <c r="YO18" i="6" a="1"/>
  <c r="YO18" i="6" s="1"/>
  <c r="YE18" i="6" a="1"/>
  <c r="YE18" i="6" s="1"/>
  <c r="YD18" i="6" a="1"/>
  <c r="YD18" i="6" s="1"/>
  <c r="XT18" i="6" a="1"/>
  <c r="XT18" i="6" s="1"/>
  <c r="XS18" i="6" a="1"/>
  <c r="XS18" i="6" s="1"/>
  <c r="XI18" i="6" a="1"/>
  <c r="XI18" i="6" s="1"/>
  <c r="XH18" i="6" a="1"/>
  <c r="XH18" i="6" s="1"/>
  <c r="WX18" i="6" a="1"/>
  <c r="WX18" i="6" s="1"/>
  <c r="WW18" i="6" a="1"/>
  <c r="WW18" i="6" s="1"/>
  <c r="WM18" i="6" a="1"/>
  <c r="WM18" i="6" s="1"/>
  <c r="WL18" i="6" a="1"/>
  <c r="WL18" i="6" s="1"/>
  <c r="WC18" i="6" a="1"/>
  <c r="WC18" i="6" s="1"/>
  <c r="VQ18" i="6" a="1"/>
  <c r="VQ18" i="6" s="1"/>
  <c r="VP18" i="6" a="1"/>
  <c r="VP18" i="6" s="1"/>
  <c r="VO18" i="6" a="1"/>
  <c r="VO18" i="6" s="1"/>
  <c r="VN18" i="6" a="1"/>
  <c r="VN18" i="6" s="1"/>
  <c r="VA18" i="6" a="1"/>
  <c r="VA18" i="6" s="1"/>
  <c r="UZ18" i="6" a="1"/>
  <c r="UZ18" i="6" s="1"/>
  <c r="UY18" i="6" a="1"/>
  <c r="UY18" i="6" s="1"/>
  <c r="UX18" i="6" a="1"/>
  <c r="UX18" i="6" s="1"/>
  <c r="UW18" i="6" a="1"/>
  <c r="UW18" i="6" s="1"/>
  <c r="UM18" i="6" a="1"/>
  <c r="UM18" i="6" s="1"/>
  <c r="TZ18" i="6" a="1"/>
  <c r="TZ18" i="6" s="1"/>
  <c r="TY18" i="6" a="1"/>
  <c r="TY18" i="6" s="1"/>
  <c r="TX18" i="6" a="1"/>
  <c r="TX18" i="6" s="1"/>
  <c r="TW18" i="6" a="1"/>
  <c r="TW18" i="6" s="1"/>
  <c r="TV18" i="6" a="1"/>
  <c r="TV18" i="6" s="1"/>
  <c r="TH18" i="6" a="1"/>
  <c r="TH18" i="6" s="1"/>
  <c r="TG18" i="6" a="1"/>
  <c r="TG18" i="6" s="1"/>
  <c r="TF18" i="6" a="1"/>
  <c r="TF18" i="6" s="1"/>
  <c r="TE18" i="6" a="1"/>
  <c r="TE18" i="6" s="1"/>
  <c r="TD18" i="6" a="1"/>
  <c r="TD18" i="6" s="1"/>
  <c r="SP18" i="6" a="1"/>
  <c r="SP18" i="6" s="1"/>
  <c r="SO18" i="6" a="1"/>
  <c r="SO18" i="6" s="1"/>
  <c r="SN18" i="6" a="1"/>
  <c r="SN18" i="6" s="1"/>
  <c r="SM18" i="6" a="1"/>
  <c r="SM18" i="6" s="1"/>
  <c r="SL18" i="6" a="1"/>
  <c r="SL18" i="6" s="1"/>
  <c r="RX18" i="6" a="1"/>
  <c r="RX18" i="6" s="1"/>
  <c r="RW18" i="6" a="1"/>
  <c r="RW18" i="6" s="1"/>
  <c r="RV18" i="6" a="1"/>
  <c r="RV18" i="6" s="1"/>
  <c r="RU18" i="6" a="1"/>
  <c r="RU18" i="6" s="1"/>
  <c r="RT18" i="6" a="1"/>
  <c r="RT18" i="6" s="1"/>
  <c r="RF18" i="6" a="1"/>
  <c r="RF18" i="6" s="1"/>
  <c r="RE18" i="6" a="1"/>
  <c r="RE18" i="6" s="1"/>
  <c r="RD18" i="6" a="1"/>
  <c r="RD18" i="6" s="1"/>
  <c r="RC18" i="6" a="1"/>
  <c r="RC18" i="6" s="1"/>
  <c r="RB18" i="6" a="1"/>
  <c r="RB18" i="6" s="1"/>
  <c r="QN18" i="6" a="1"/>
  <c r="QN18" i="6" s="1"/>
  <c r="QM18" i="6" a="1"/>
  <c r="QM18" i="6" s="1"/>
  <c r="QL18" i="6" a="1"/>
  <c r="QL18" i="6" s="1"/>
  <c r="QK18" i="6" a="1"/>
  <c r="QK18" i="6" s="1"/>
  <c r="QJ18" i="6" a="1"/>
  <c r="QJ18" i="6" s="1"/>
  <c r="PV18" i="6" a="1"/>
  <c r="PV18" i="6" s="1"/>
  <c r="PU18" i="6" a="1"/>
  <c r="PU18" i="6" s="1"/>
  <c r="PT18" i="6" a="1"/>
  <c r="PT18" i="6" s="1"/>
  <c r="PS18" i="6" a="1"/>
  <c r="PS18" i="6" s="1"/>
  <c r="PR18" i="6" a="1"/>
  <c r="PR18" i="6" s="1"/>
  <c r="PD18" i="6" a="1"/>
  <c r="PD18" i="6" s="1"/>
  <c r="PC18" i="6" a="1"/>
  <c r="PC18" i="6" s="1"/>
  <c r="PB18" i="6" a="1"/>
  <c r="PB18" i="6" s="1"/>
  <c r="PA18" i="6" a="1"/>
  <c r="PA18" i="6" s="1"/>
  <c r="OZ18" i="6" a="1"/>
  <c r="OZ18" i="6" s="1"/>
  <c r="OL18" i="6" a="1"/>
  <c r="OL18" i="6" s="1"/>
  <c r="OK18" i="6" a="1"/>
  <c r="OK18" i="6" s="1"/>
  <c r="OJ18" i="6" a="1"/>
  <c r="OJ18" i="6" s="1"/>
  <c r="OI18" i="6" a="1"/>
  <c r="OI18" i="6" s="1"/>
  <c r="OH18" i="6" a="1"/>
  <c r="OH18" i="6" s="1"/>
  <c r="NT18" i="6" a="1"/>
  <c r="NT18" i="6" s="1"/>
  <c r="NS18" i="6" a="1"/>
  <c r="NS18" i="6" s="1"/>
  <c r="NR18" i="6" a="1"/>
  <c r="NR18" i="6" s="1"/>
  <c r="NQ18" i="6" a="1"/>
  <c r="NQ18" i="6" s="1"/>
  <c r="NP18" i="6" a="1"/>
  <c r="NP18" i="6" s="1"/>
  <c r="NC18" i="6" a="1"/>
  <c r="NC18" i="6" s="1"/>
  <c r="NB18" i="6" a="1"/>
  <c r="NB18" i="6" s="1"/>
  <c r="NA18" i="6" a="1"/>
  <c r="NA18" i="6" s="1"/>
  <c r="MZ18" i="6" a="1"/>
  <c r="MZ18" i="6" s="1"/>
  <c r="MY18" i="6" a="1"/>
  <c r="MY18" i="6" s="1"/>
  <c r="MK18" i="6" a="1"/>
  <c r="MK18" i="6" s="1"/>
  <c r="MJ18" i="6" a="1"/>
  <c r="MJ18" i="6" s="1"/>
  <c r="MI18" i="6" a="1"/>
  <c r="MI18" i="6" s="1"/>
  <c r="MH18" i="6" a="1"/>
  <c r="MH18" i="6" s="1"/>
  <c r="MG18" i="6" a="1"/>
  <c r="MG18" i="6" s="1"/>
  <c r="LS18" i="6" a="1"/>
  <c r="LS18" i="6" s="1"/>
  <c r="LR18" i="6" a="1"/>
  <c r="LR18" i="6" s="1"/>
  <c r="LQ18" i="6" a="1"/>
  <c r="LQ18" i="6" s="1"/>
  <c r="LP18" i="6" a="1"/>
  <c r="LP18" i="6" s="1"/>
  <c r="LO18" i="6" a="1"/>
  <c r="LO18" i="6" s="1"/>
  <c r="LA18" i="6" a="1"/>
  <c r="LA18" i="6" s="1"/>
  <c r="KZ18" i="6" a="1"/>
  <c r="KZ18" i="6" s="1"/>
  <c r="KY18" i="6" a="1"/>
  <c r="KY18" i="6" s="1"/>
  <c r="KX18" i="6" a="1"/>
  <c r="KX18" i="6" s="1"/>
  <c r="KW18" i="6" a="1"/>
  <c r="KW18" i="6" s="1"/>
  <c r="KI18" i="6" a="1"/>
  <c r="KI18" i="6" s="1"/>
  <c r="KH18" i="6" a="1"/>
  <c r="KH18" i="6" s="1"/>
  <c r="KG18" i="6" a="1"/>
  <c r="KG18" i="6" s="1"/>
  <c r="KF18" i="6" a="1"/>
  <c r="KF18" i="6" s="1"/>
  <c r="KE18" i="6" a="1"/>
  <c r="KE18" i="6" s="1"/>
  <c r="JQ18" i="6" a="1"/>
  <c r="JQ18" i="6" s="1"/>
  <c r="JP18" i="6" a="1"/>
  <c r="JP18" i="6" s="1"/>
  <c r="JO18" i="6" a="1"/>
  <c r="JO18" i="6" s="1"/>
  <c r="JN18" i="6" a="1"/>
  <c r="JN18" i="6" s="1"/>
  <c r="JM18" i="6" a="1"/>
  <c r="JM18" i="6" s="1"/>
  <c r="IY18" i="6" a="1"/>
  <c r="IY18" i="6" s="1"/>
  <c r="IX18" i="6" a="1"/>
  <c r="IX18" i="6" s="1"/>
  <c r="IW18" i="6" a="1"/>
  <c r="IW18" i="6" s="1"/>
  <c r="IV18" i="6" a="1"/>
  <c r="IV18" i="6" s="1"/>
  <c r="IU18" i="6" a="1"/>
  <c r="IU18" i="6" s="1"/>
  <c r="IG18" i="6" a="1"/>
  <c r="IG18" i="6" s="1"/>
  <c r="IF18" i="6" a="1"/>
  <c r="IF18" i="6" s="1"/>
  <c r="IE18" i="6" a="1"/>
  <c r="IE18" i="6" s="1"/>
  <c r="ID18" i="6" a="1"/>
  <c r="ID18" i="6" s="1"/>
  <c r="IC18" i="6" a="1"/>
  <c r="IC18" i="6" s="1"/>
  <c r="HO18" i="6" a="1"/>
  <c r="HO18" i="6" s="1"/>
  <c r="HN18" i="6" a="1"/>
  <c r="HN18" i="6" s="1"/>
  <c r="HM18" i="6" a="1"/>
  <c r="HM18" i="6" s="1"/>
  <c r="HL18" i="6" a="1"/>
  <c r="HL18" i="6" s="1"/>
  <c r="HK18" i="6" a="1"/>
  <c r="HK18" i="6" s="1"/>
  <c r="GX18" i="6" a="1"/>
  <c r="GX18" i="6" s="1"/>
  <c r="GW18" i="6" a="1"/>
  <c r="GW18" i="6" s="1"/>
  <c r="GV18" i="6" a="1"/>
  <c r="GV18" i="6" s="1"/>
  <c r="GU18" i="6" a="1"/>
  <c r="GU18" i="6" s="1"/>
  <c r="GT18" i="6" a="1"/>
  <c r="GT18" i="6" s="1"/>
  <c r="GG18" i="6" a="1"/>
  <c r="GG18" i="6" s="1"/>
  <c r="GF18" i="6" a="1"/>
  <c r="GF18" i="6" s="1"/>
  <c r="GE18" i="6" a="1"/>
  <c r="GE18" i="6" s="1"/>
  <c r="GD18" i="6" a="1"/>
  <c r="GD18" i="6" s="1"/>
  <c r="GC18" i="6" a="1"/>
  <c r="GC18" i="6" s="1"/>
  <c r="FP18" i="6" a="1"/>
  <c r="FP18" i="6" s="1"/>
  <c r="FO18" i="6" a="1"/>
  <c r="FO18" i="6" s="1"/>
  <c r="FN18" i="6" a="1"/>
  <c r="FN18" i="6" s="1"/>
  <c r="FM18" i="6" a="1"/>
  <c r="FM18" i="6" s="1"/>
  <c r="FL18" i="6" a="1"/>
  <c r="FL18" i="6" s="1"/>
  <c r="EY18" i="6" a="1"/>
  <c r="EY18" i="6" s="1"/>
  <c r="EX18" i="6" a="1"/>
  <c r="EX18" i="6" s="1"/>
  <c r="EW18" i="6" a="1"/>
  <c r="EW18" i="6" s="1"/>
  <c r="EV18" i="6" a="1"/>
  <c r="EV18" i="6" s="1"/>
  <c r="EU18" i="6" a="1"/>
  <c r="EU18" i="6" s="1"/>
  <c r="EH18" i="6" a="1"/>
  <c r="EH18" i="6" s="1"/>
  <c r="EG18" i="6" a="1"/>
  <c r="EG18" i="6" s="1"/>
  <c r="EF18" i="6" a="1"/>
  <c r="EF18" i="6" s="1"/>
  <c r="EE18" i="6" a="1"/>
  <c r="EE18" i="6" s="1"/>
  <c r="ED18" i="6" a="1"/>
  <c r="ED18" i="6" s="1"/>
  <c r="DQ18" i="6" a="1"/>
  <c r="DQ18" i="6" s="1"/>
  <c r="DP18" i="6" a="1"/>
  <c r="DP18" i="6" s="1"/>
  <c r="DO18" i="6" a="1"/>
  <c r="DO18" i="6" s="1"/>
  <c r="DN18" i="6" a="1"/>
  <c r="DN18" i="6" s="1"/>
  <c r="DM18" i="6" a="1"/>
  <c r="DM18" i="6" s="1"/>
  <c r="DD18" i="6" a="1"/>
  <c r="DD18" i="6" s="1"/>
  <c r="CU18" i="6" a="1"/>
  <c r="CU18" i="6" s="1"/>
  <c r="CL18" i="6" a="1"/>
  <c r="CL18" i="6" s="1"/>
  <c r="BX18" i="6" a="1"/>
  <c r="BX18" i="6" s="1"/>
  <c r="BW18" i="6" a="1"/>
  <c r="BW18" i="6" s="1"/>
  <c r="BV18" i="6" a="1"/>
  <c r="BV18" i="6" s="1"/>
  <c r="BU18" i="6" a="1"/>
  <c r="BU18" i="6" s="1"/>
  <c r="BT18" i="6" a="1"/>
  <c r="BT18" i="6" s="1"/>
  <c r="BS18" i="6" a="1"/>
  <c r="BS18" i="6" s="1"/>
  <c r="BA18" i="6" a="1"/>
  <c r="BA18" i="6" s="1"/>
  <c r="AZ18" i="6" a="1"/>
  <c r="AZ18" i="6" s="1"/>
  <c r="AY18" i="6" a="1"/>
  <c r="AY18" i="6" s="1"/>
  <c r="AX18" i="6" a="1"/>
  <c r="AX18" i="6" s="1"/>
  <c r="AW18" i="6" a="1"/>
  <c r="AW18" i="6" s="1"/>
  <c r="AV18" i="6" a="1"/>
  <c r="AV18" i="6" s="1"/>
  <c r="AU18" i="6" a="1"/>
  <c r="AU18" i="6" s="1"/>
  <c r="AT18" i="6" a="1"/>
  <c r="AT18" i="6" s="1"/>
  <c r="AS18" i="6" a="1"/>
  <c r="AS18" i="6" s="1"/>
  <c r="AR18" i="6" a="1"/>
  <c r="AR18" i="6" s="1"/>
  <c r="AH18" i="6" a="1"/>
  <c r="AH18" i="6" s="1"/>
  <c r="AG18" i="6" a="1"/>
  <c r="AG18" i="6" s="1"/>
  <c r="V18" i="6" a="1"/>
  <c r="V18" i="6" s="1"/>
  <c r="U18" i="6" a="1"/>
  <c r="U18" i="6" s="1"/>
  <c r="J18" i="6" a="1"/>
  <c r="J18" i="6" s="1"/>
  <c r="I18" i="6" a="1"/>
  <c r="I18" i="6" s="1"/>
  <c r="ADA17" i="6" a="1"/>
  <c r="ADA17" i="6" s="1"/>
  <c r="ACZ17" i="6" a="1"/>
  <c r="ACZ17" i="6" s="1"/>
  <c r="ACY17" i="6" a="1"/>
  <c r="ACY17" i="6" s="1"/>
  <c r="ACN17" i="6" a="1"/>
  <c r="ACN17" i="6" s="1"/>
  <c r="ACM17" i="6" a="1"/>
  <c r="ACM17" i="6" s="1"/>
  <c r="ABU17" i="6" a="1"/>
  <c r="ABU17" i="6" s="1"/>
  <c r="ABX17" i="6" a="1"/>
  <c r="ABX17" i="6" s="1"/>
  <c r="ABV17" i="6" a="1"/>
  <c r="ABV17" i="6" s="1"/>
  <c r="ABH17" i="6" a="1"/>
  <c r="ABH17" i="6" s="1"/>
  <c r="ABG17" i="6" a="1"/>
  <c r="ABG17" i="6" s="1"/>
  <c r="ABF17" i="6" a="1"/>
  <c r="ABF17" i="6" s="1"/>
  <c r="ABE17" i="6" a="1"/>
  <c r="ABE17" i="6" s="1"/>
  <c r="ABD17" i="6" a="1"/>
  <c r="ABD17" i="6" s="1"/>
  <c r="ZR17" i="6" a="1"/>
  <c r="ZR17" i="6" s="1"/>
  <c r="ZE17" i="6" a="1"/>
  <c r="ZE17" i="6" s="1"/>
  <c r="ZD17" i="6" a="1"/>
  <c r="ZD17" i="6" s="1"/>
  <c r="ZC17" i="6" a="1"/>
  <c r="ZC17" i="6" s="1"/>
  <c r="ZB17" i="6" a="1"/>
  <c r="ZB17" i="6" s="1"/>
  <c r="ZA17" i="6" a="1"/>
  <c r="ZA17" i="6" s="1"/>
  <c r="YP17" i="6" a="1"/>
  <c r="YP17" i="6" s="1"/>
  <c r="YO17" i="6" a="1"/>
  <c r="YO17" i="6" s="1"/>
  <c r="YE17" i="6" a="1"/>
  <c r="YE17" i="6" s="1"/>
  <c r="YD17" i="6" a="1"/>
  <c r="YD17" i="6" s="1"/>
  <c r="XT17" i="6" a="1"/>
  <c r="XT17" i="6" s="1"/>
  <c r="XS17" i="6" a="1"/>
  <c r="XS17" i="6" s="1"/>
  <c r="XI17" i="6" a="1"/>
  <c r="XI17" i="6" s="1"/>
  <c r="XH17" i="6" a="1"/>
  <c r="XH17" i="6" s="1"/>
  <c r="WX17" i="6" a="1"/>
  <c r="WX17" i="6" s="1"/>
  <c r="WW17" i="6" a="1"/>
  <c r="WW17" i="6" s="1"/>
  <c r="WM17" i="6" a="1"/>
  <c r="WM17" i="6" s="1"/>
  <c r="WL17" i="6" a="1"/>
  <c r="WL17" i="6" s="1"/>
  <c r="WC17" i="6" a="1"/>
  <c r="WC17" i="6" s="1"/>
  <c r="VQ17" i="6" a="1"/>
  <c r="VQ17" i="6" s="1"/>
  <c r="VP17" i="6" a="1"/>
  <c r="VP17" i="6" s="1"/>
  <c r="VO17" i="6" a="1"/>
  <c r="VO17" i="6" s="1"/>
  <c r="VN17" i="6" a="1"/>
  <c r="VN17" i="6" s="1"/>
  <c r="VA17" i="6" a="1"/>
  <c r="VA17" i="6" s="1"/>
  <c r="UZ17" i="6" a="1"/>
  <c r="UZ17" i="6" s="1"/>
  <c r="UY17" i="6" a="1"/>
  <c r="UY17" i="6" s="1"/>
  <c r="UX17" i="6" a="1"/>
  <c r="UX17" i="6" s="1"/>
  <c r="UW17" i="6" a="1"/>
  <c r="UW17" i="6" s="1"/>
  <c r="UM17" i="6" a="1"/>
  <c r="UM17" i="6" s="1"/>
  <c r="TZ17" i="6" a="1"/>
  <c r="TZ17" i="6" s="1"/>
  <c r="TY17" i="6" a="1"/>
  <c r="TY17" i="6" s="1"/>
  <c r="TX17" i="6" a="1"/>
  <c r="TX17" i="6" s="1"/>
  <c r="TW17" i="6" a="1"/>
  <c r="TW17" i="6" s="1"/>
  <c r="TV17" i="6" a="1"/>
  <c r="TV17" i="6" s="1"/>
  <c r="TH17" i="6" a="1"/>
  <c r="TH17" i="6" s="1"/>
  <c r="TG17" i="6" a="1"/>
  <c r="TG17" i="6" s="1"/>
  <c r="TF17" i="6" a="1"/>
  <c r="TF17" i="6" s="1"/>
  <c r="TE17" i="6" a="1"/>
  <c r="TE17" i="6" s="1"/>
  <c r="TD17" i="6" a="1"/>
  <c r="TD17" i="6" s="1"/>
  <c r="SP17" i="6" a="1"/>
  <c r="SP17" i="6" s="1"/>
  <c r="SO17" i="6" a="1"/>
  <c r="SO17" i="6" s="1"/>
  <c r="SN17" i="6" a="1"/>
  <c r="SN17" i="6" s="1"/>
  <c r="SM17" i="6" a="1"/>
  <c r="SM17" i="6" s="1"/>
  <c r="SL17" i="6" a="1"/>
  <c r="SL17" i="6" s="1"/>
  <c r="RX17" i="6" a="1"/>
  <c r="RX17" i="6" s="1"/>
  <c r="RW17" i="6" a="1"/>
  <c r="RW17" i="6" s="1"/>
  <c r="RV17" i="6" a="1"/>
  <c r="RV17" i="6" s="1"/>
  <c r="RU17" i="6" a="1"/>
  <c r="RU17" i="6" s="1"/>
  <c r="RT17" i="6" a="1"/>
  <c r="RT17" i="6" s="1"/>
  <c r="RF17" i="6" a="1"/>
  <c r="RF17" i="6" s="1"/>
  <c r="RE17" i="6" a="1"/>
  <c r="RE17" i="6" s="1"/>
  <c r="RD17" i="6" a="1"/>
  <c r="RD17" i="6" s="1"/>
  <c r="RC17" i="6" a="1"/>
  <c r="RC17" i="6" s="1"/>
  <c r="RB17" i="6" a="1"/>
  <c r="RB17" i="6" s="1"/>
  <c r="QN17" i="6" a="1"/>
  <c r="QN17" i="6" s="1"/>
  <c r="QM17" i="6" a="1"/>
  <c r="QM17" i="6" s="1"/>
  <c r="QL17" i="6" a="1"/>
  <c r="QL17" i="6" s="1"/>
  <c r="QK17" i="6" a="1"/>
  <c r="QK17" i="6" s="1"/>
  <c r="QJ17" i="6" a="1"/>
  <c r="QJ17" i="6" s="1"/>
  <c r="PV17" i="6" a="1"/>
  <c r="PV17" i="6" s="1"/>
  <c r="PU17" i="6" a="1"/>
  <c r="PU17" i="6" s="1"/>
  <c r="PT17" i="6" a="1"/>
  <c r="PT17" i="6" s="1"/>
  <c r="PS17" i="6" a="1"/>
  <c r="PS17" i="6" s="1"/>
  <c r="PR17" i="6" a="1"/>
  <c r="PR17" i="6" s="1"/>
  <c r="PD17" i="6" a="1"/>
  <c r="PD17" i="6" s="1"/>
  <c r="PC17" i="6" a="1"/>
  <c r="PC17" i="6" s="1"/>
  <c r="PB17" i="6" a="1"/>
  <c r="PB17" i="6" s="1"/>
  <c r="PA17" i="6" a="1"/>
  <c r="PA17" i="6" s="1"/>
  <c r="OZ17" i="6" a="1"/>
  <c r="OZ17" i="6" s="1"/>
  <c r="OL17" i="6" a="1"/>
  <c r="OL17" i="6" s="1"/>
  <c r="OK17" i="6" a="1"/>
  <c r="OK17" i="6" s="1"/>
  <c r="OJ17" i="6" a="1"/>
  <c r="OJ17" i="6" s="1"/>
  <c r="OI17" i="6" a="1"/>
  <c r="OI17" i="6" s="1"/>
  <c r="OH17" i="6" a="1"/>
  <c r="OH17" i="6" s="1"/>
  <c r="NT17" i="6" a="1"/>
  <c r="NT17" i="6" s="1"/>
  <c r="NS17" i="6" a="1"/>
  <c r="NS17" i="6" s="1"/>
  <c r="NR17" i="6" a="1"/>
  <c r="NR17" i="6" s="1"/>
  <c r="NQ17" i="6" a="1"/>
  <c r="NQ17" i="6" s="1"/>
  <c r="NP17" i="6" a="1"/>
  <c r="NP17" i="6" s="1"/>
  <c r="NC17" i="6" a="1"/>
  <c r="NC17" i="6" s="1"/>
  <c r="NB17" i="6" a="1"/>
  <c r="NB17" i="6" s="1"/>
  <c r="NA17" i="6" a="1"/>
  <c r="NA17" i="6" s="1"/>
  <c r="MZ17" i="6" a="1"/>
  <c r="MZ17" i="6" s="1"/>
  <c r="MY17" i="6" a="1"/>
  <c r="MY17" i="6" s="1"/>
  <c r="MK17" i="6" a="1"/>
  <c r="MK17" i="6" s="1"/>
  <c r="MJ17" i="6" a="1"/>
  <c r="MJ17" i="6" s="1"/>
  <c r="MI17" i="6" a="1"/>
  <c r="MI17" i="6" s="1"/>
  <c r="MH17" i="6" a="1"/>
  <c r="MH17" i="6" s="1"/>
  <c r="MG17" i="6" a="1"/>
  <c r="MG17" i="6" s="1"/>
  <c r="LS17" i="6" a="1"/>
  <c r="LS17" i="6" s="1"/>
  <c r="LR17" i="6" a="1"/>
  <c r="LR17" i="6" s="1"/>
  <c r="LQ17" i="6" a="1"/>
  <c r="LQ17" i="6" s="1"/>
  <c r="LP17" i="6" a="1"/>
  <c r="LP17" i="6" s="1"/>
  <c r="LO17" i="6" a="1"/>
  <c r="LO17" i="6" s="1"/>
  <c r="LA17" i="6" a="1"/>
  <c r="LA17" i="6" s="1"/>
  <c r="KZ17" i="6" a="1"/>
  <c r="KZ17" i="6" s="1"/>
  <c r="KY17" i="6" a="1"/>
  <c r="KY17" i="6" s="1"/>
  <c r="KX17" i="6" a="1"/>
  <c r="KX17" i="6" s="1"/>
  <c r="KW17" i="6" a="1"/>
  <c r="KW17" i="6" s="1"/>
  <c r="KI17" i="6" a="1"/>
  <c r="KI17" i="6" s="1"/>
  <c r="KH17" i="6" a="1"/>
  <c r="KH17" i="6" s="1"/>
  <c r="KG17" i="6" a="1"/>
  <c r="KG17" i="6" s="1"/>
  <c r="KF17" i="6" a="1"/>
  <c r="KF17" i="6" s="1"/>
  <c r="KE17" i="6" a="1"/>
  <c r="KE17" i="6" s="1"/>
  <c r="JQ17" i="6" a="1"/>
  <c r="JQ17" i="6" s="1"/>
  <c r="JP17" i="6" a="1"/>
  <c r="JP17" i="6" s="1"/>
  <c r="JO17" i="6" a="1"/>
  <c r="JO17" i="6" s="1"/>
  <c r="JN17" i="6" a="1"/>
  <c r="JN17" i="6" s="1"/>
  <c r="JM17" i="6" a="1"/>
  <c r="JM17" i="6" s="1"/>
  <c r="IY17" i="6" a="1"/>
  <c r="IY17" i="6" s="1"/>
  <c r="IX17" i="6" a="1"/>
  <c r="IX17" i="6" s="1"/>
  <c r="IW17" i="6" a="1"/>
  <c r="IW17" i="6" s="1"/>
  <c r="IV17" i="6" a="1"/>
  <c r="IV17" i="6" s="1"/>
  <c r="IU17" i="6" a="1"/>
  <c r="IU17" i="6" s="1"/>
  <c r="IG17" i="6" a="1"/>
  <c r="IG17" i="6" s="1"/>
  <c r="IF17" i="6" a="1"/>
  <c r="IF17" i="6" s="1"/>
  <c r="IE17" i="6" a="1"/>
  <c r="IE17" i="6" s="1"/>
  <c r="ID17" i="6" a="1"/>
  <c r="ID17" i="6" s="1"/>
  <c r="IC17" i="6" a="1"/>
  <c r="IC17" i="6" s="1"/>
  <c r="HO17" i="6" a="1"/>
  <c r="HO17" i="6" s="1"/>
  <c r="HN17" i="6" a="1"/>
  <c r="HN17" i="6" s="1"/>
  <c r="HM17" i="6" a="1"/>
  <c r="HM17" i="6" s="1"/>
  <c r="HL17" i="6" a="1"/>
  <c r="HL17" i="6" s="1"/>
  <c r="HK17" i="6" a="1"/>
  <c r="HK17" i="6" s="1"/>
  <c r="GX17" i="6" a="1"/>
  <c r="GX17" i="6" s="1"/>
  <c r="GW17" i="6" a="1"/>
  <c r="GW17" i="6" s="1"/>
  <c r="GV17" i="6" a="1"/>
  <c r="GV17" i="6" s="1"/>
  <c r="GU17" i="6" a="1"/>
  <c r="GU17" i="6" s="1"/>
  <c r="GT17" i="6" a="1"/>
  <c r="GT17" i="6" s="1"/>
  <c r="GG17" i="6" a="1"/>
  <c r="GG17" i="6" s="1"/>
  <c r="GF17" i="6" a="1"/>
  <c r="GF17" i="6" s="1"/>
  <c r="GE17" i="6" a="1"/>
  <c r="GE17" i="6" s="1"/>
  <c r="GD17" i="6" a="1"/>
  <c r="GD17" i="6" s="1"/>
  <c r="GC17" i="6" a="1"/>
  <c r="GC17" i="6" s="1"/>
  <c r="FP17" i="6" a="1"/>
  <c r="FP17" i="6" s="1"/>
  <c r="FO17" i="6" a="1"/>
  <c r="FO17" i="6" s="1"/>
  <c r="FN17" i="6" a="1"/>
  <c r="FN17" i="6" s="1"/>
  <c r="FM17" i="6" a="1"/>
  <c r="FM17" i="6" s="1"/>
  <c r="FL17" i="6" a="1"/>
  <c r="FL17" i="6" s="1"/>
  <c r="EY17" i="6" a="1"/>
  <c r="EY17" i="6" s="1"/>
  <c r="EX17" i="6" a="1"/>
  <c r="EX17" i="6" s="1"/>
  <c r="EW17" i="6" a="1"/>
  <c r="EW17" i="6" s="1"/>
  <c r="EV17" i="6" a="1"/>
  <c r="EV17" i="6" s="1"/>
  <c r="EU17" i="6" a="1"/>
  <c r="EU17" i="6" s="1"/>
  <c r="EH17" i="6" a="1"/>
  <c r="EH17" i="6" s="1"/>
  <c r="EG17" i="6" a="1"/>
  <c r="EG17" i="6" s="1"/>
  <c r="EF17" i="6" a="1"/>
  <c r="EF17" i="6" s="1"/>
  <c r="EE17" i="6" a="1"/>
  <c r="EE17" i="6" s="1"/>
  <c r="ED17" i="6" a="1"/>
  <c r="ED17" i="6" s="1"/>
  <c r="DQ17" i="6" a="1"/>
  <c r="DQ17" i="6" s="1"/>
  <c r="DP17" i="6" a="1"/>
  <c r="DP17" i="6" s="1"/>
  <c r="DO17" i="6" a="1"/>
  <c r="DO17" i="6" s="1"/>
  <c r="DN17" i="6" a="1"/>
  <c r="DN17" i="6" s="1"/>
  <c r="DM17" i="6" a="1"/>
  <c r="DM17" i="6" s="1"/>
  <c r="DD17" i="6" a="1"/>
  <c r="DD17" i="6" s="1"/>
  <c r="CU17" i="6" a="1"/>
  <c r="CU17" i="6" s="1"/>
  <c r="CL17" i="6" a="1"/>
  <c r="CL17" i="6" s="1"/>
  <c r="BX17" i="6" a="1"/>
  <c r="BX17" i="6" s="1"/>
  <c r="BW17" i="6" a="1"/>
  <c r="BW17" i="6" s="1"/>
  <c r="BV17" i="6" a="1"/>
  <c r="BV17" i="6" s="1"/>
  <c r="BU17" i="6" a="1"/>
  <c r="BU17" i="6" s="1"/>
  <c r="BT17" i="6" a="1"/>
  <c r="BT17" i="6" s="1"/>
  <c r="BS17" i="6" a="1"/>
  <c r="BS17" i="6" s="1"/>
  <c r="BA17" i="6" a="1"/>
  <c r="BA17" i="6" s="1"/>
  <c r="AZ17" i="6" a="1"/>
  <c r="AZ17" i="6" s="1"/>
  <c r="AY17" i="6" a="1"/>
  <c r="AY17" i="6" s="1"/>
  <c r="AX17" i="6" a="1"/>
  <c r="AX17" i="6" s="1"/>
  <c r="AW17" i="6" a="1"/>
  <c r="AW17" i="6" s="1"/>
  <c r="AV17" i="6" a="1"/>
  <c r="AV17" i="6" s="1"/>
  <c r="AU17" i="6" a="1"/>
  <c r="AU17" i="6" s="1"/>
  <c r="AT17" i="6" a="1"/>
  <c r="AT17" i="6" s="1"/>
  <c r="AS17" i="6" a="1"/>
  <c r="AS17" i="6" s="1"/>
  <c r="AR17" i="6" a="1"/>
  <c r="AR17" i="6" s="1"/>
  <c r="AH17" i="6" a="1"/>
  <c r="AH17" i="6" s="1"/>
  <c r="AG17" i="6" a="1"/>
  <c r="AG17" i="6" s="1"/>
  <c r="V17" i="6" a="1"/>
  <c r="V17" i="6" s="1"/>
  <c r="U17" i="6" a="1"/>
  <c r="U17" i="6" s="1"/>
  <c r="J17" i="6" a="1"/>
  <c r="J17" i="6" s="1"/>
  <c r="I17" i="6" a="1"/>
  <c r="I17" i="6" s="1"/>
  <c r="ADA16" i="6" a="1"/>
  <c r="ADA16" i="6" s="1"/>
  <c r="ACZ16" i="6" a="1"/>
  <c r="ACZ16" i="6" s="1"/>
  <c r="ACY16" i="6" a="1"/>
  <c r="ACY16" i="6" s="1"/>
  <c r="ACN16" i="6" a="1"/>
  <c r="ACN16" i="6" s="1"/>
  <c r="ACM16" i="6" a="1"/>
  <c r="ACM16" i="6" s="1"/>
  <c r="ABU16" i="6" a="1"/>
  <c r="ABU16" i="6" s="1"/>
  <c r="ABX16" i="6" a="1"/>
  <c r="ABX16" i="6" s="1"/>
  <c r="ABV16" i="6" a="1"/>
  <c r="ABV16" i="6" s="1"/>
  <c r="ABH16" i="6" a="1"/>
  <c r="ABH16" i="6" s="1"/>
  <c r="ABG16" i="6" a="1"/>
  <c r="ABG16" i="6" s="1"/>
  <c r="ABF16" i="6" a="1"/>
  <c r="ABF16" i="6" s="1"/>
  <c r="ABE16" i="6" a="1"/>
  <c r="ABE16" i="6" s="1"/>
  <c r="ABD16" i="6" a="1"/>
  <c r="ABD16" i="6" s="1"/>
  <c r="ZR16" i="6" a="1"/>
  <c r="ZR16" i="6" s="1"/>
  <c r="ZE16" i="6" a="1"/>
  <c r="ZE16" i="6" s="1"/>
  <c r="ZD16" i="6" a="1"/>
  <c r="ZD16" i="6" s="1"/>
  <c r="ZC16" i="6" a="1"/>
  <c r="ZC16" i="6" s="1"/>
  <c r="ZB16" i="6" a="1"/>
  <c r="ZB16" i="6" s="1"/>
  <c r="ZA16" i="6" a="1"/>
  <c r="ZA16" i="6" s="1"/>
  <c r="YP16" i="6" a="1"/>
  <c r="YP16" i="6" s="1"/>
  <c r="YO16" i="6" a="1"/>
  <c r="YO16" i="6" s="1"/>
  <c r="YE16" i="6" a="1"/>
  <c r="YE16" i="6" s="1"/>
  <c r="YD16" i="6" a="1"/>
  <c r="YD16" i="6" s="1"/>
  <c r="XT16" i="6" a="1"/>
  <c r="XT16" i="6" s="1"/>
  <c r="XS16" i="6" a="1"/>
  <c r="XS16" i="6" s="1"/>
  <c r="XI16" i="6" a="1"/>
  <c r="XI16" i="6" s="1"/>
  <c r="XH16" i="6" a="1"/>
  <c r="XH16" i="6" s="1"/>
  <c r="WX16" i="6" a="1"/>
  <c r="WX16" i="6" s="1"/>
  <c r="WW16" i="6" a="1"/>
  <c r="WW16" i="6" s="1"/>
  <c r="WM16" i="6" a="1"/>
  <c r="WM16" i="6" s="1"/>
  <c r="WL16" i="6" a="1"/>
  <c r="WL16" i="6" s="1"/>
  <c r="WC16" i="6" a="1"/>
  <c r="WC16" i="6" s="1"/>
  <c r="VQ16" i="6" a="1"/>
  <c r="VQ16" i="6" s="1"/>
  <c r="VP16" i="6" a="1"/>
  <c r="VP16" i="6" s="1"/>
  <c r="VO16" i="6" a="1"/>
  <c r="VO16" i="6" s="1"/>
  <c r="VN16" i="6" a="1"/>
  <c r="VN16" i="6" s="1"/>
  <c r="VA16" i="6" a="1"/>
  <c r="VA16" i="6" s="1"/>
  <c r="UZ16" i="6" a="1"/>
  <c r="UZ16" i="6" s="1"/>
  <c r="UY16" i="6" a="1"/>
  <c r="UY16" i="6" s="1"/>
  <c r="UX16" i="6" a="1"/>
  <c r="UX16" i="6" s="1"/>
  <c r="UW16" i="6" a="1"/>
  <c r="UW16" i="6" s="1"/>
  <c r="UM16" i="6" a="1"/>
  <c r="UM16" i="6" s="1"/>
  <c r="TZ16" i="6" a="1"/>
  <c r="TZ16" i="6" s="1"/>
  <c r="TY16" i="6" a="1"/>
  <c r="TY16" i="6" s="1"/>
  <c r="TX16" i="6" a="1"/>
  <c r="TX16" i="6" s="1"/>
  <c r="TW16" i="6" a="1"/>
  <c r="TW16" i="6" s="1"/>
  <c r="TV16" i="6" a="1"/>
  <c r="TV16" i="6" s="1"/>
  <c r="TH16" i="6" a="1"/>
  <c r="TH16" i="6" s="1"/>
  <c r="TG16" i="6" a="1"/>
  <c r="TG16" i="6" s="1"/>
  <c r="TF16" i="6" a="1"/>
  <c r="TF16" i="6" s="1"/>
  <c r="TE16" i="6" a="1"/>
  <c r="TE16" i="6" s="1"/>
  <c r="TD16" i="6" a="1"/>
  <c r="TD16" i="6" s="1"/>
  <c r="SP16" i="6" a="1"/>
  <c r="SP16" i="6" s="1"/>
  <c r="SO16" i="6" a="1"/>
  <c r="SO16" i="6" s="1"/>
  <c r="SN16" i="6" a="1"/>
  <c r="SN16" i="6" s="1"/>
  <c r="SM16" i="6" a="1"/>
  <c r="SM16" i="6" s="1"/>
  <c r="SL16" i="6" a="1"/>
  <c r="SL16" i="6" s="1"/>
  <c r="RX16" i="6" a="1"/>
  <c r="RX16" i="6" s="1"/>
  <c r="RW16" i="6" a="1"/>
  <c r="RW16" i="6" s="1"/>
  <c r="RV16" i="6" a="1"/>
  <c r="RV16" i="6" s="1"/>
  <c r="RU16" i="6" a="1"/>
  <c r="RU16" i="6" s="1"/>
  <c r="RT16" i="6" a="1"/>
  <c r="RT16" i="6" s="1"/>
  <c r="RF16" i="6" a="1"/>
  <c r="RF16" i="6" s="1"/>
  <c r="RE16" i="6" a="1"/>
  <c r="RE16" i="6" s="1"/>
  <c r="RD16" i="6" a="1"/>
  <c r="RD16" i="6" s="1"/>
  <c r="RC16" i="6" a="1"/>
  <c r="RC16" i="6" s="1"/>
  <c r="RB16" i="6" a="1"/>
  <c r="RB16" i="6" s="1"/>
  <c r="QN16" i="6" a="1"/>
  <c r="QN16" i="6" s="1"/>
  <c r="QM16" i="6" a="1"/>
  <c r="QM16" i="6" s="1"/>
  <c r="QL16" i="6" a="1"/>
  <c r="QL16" i="6" s="1"/>
  <c r="QK16" i="6" a="1"/>
  <c r="QK16" i="6" s="1"/>
  <c r="QJ16" i="6" a="1"/>
  <c r="QJ16" i="6" s="1"/>
  <c r="PV16" i="6" a="1"/>
  <c r="PV16" i="6" s="1"/>
  <c r="PU16" i="6" a="1"/>
  <c r="PU16" i="6" s="1"/>
  <c r="PT16" i="6" a="1"/>
  <c r="PT16" i="6" s="1"/>
  <c r="PS16" i="6" a="1"/>
  <c r="PS16" i="6" s="1"/>
  <c r="PR16" i="6" a="1"/>
  <c r="PR16" i="6" s="1"/>
  <c r="PD16" i="6" a="1"/>
  <c r="PD16" i="6" s="1"/>
  <c r="PC16" i="6" a="1"/>
  <c r="PC16" i="6" s="1"/>
  <c r="PB16" i="6" a="1"/>
  <c r="PB16" i="6" s="1"/>
  <c r="PA16" i="6" a="1"/>
  <c r="PA16" i="6" s="1"/>
  <c r="OZ16" i="6" a="1"/>
  <c r="OZ16" i="6" s="1"/>
  <c r="OL16" i="6" a="1"/>
  <c r="OL16" i="6" s="1"/>
  <c r="OK16" i="6" a="1"/>
  <c r="OK16" i="6" s="1"/>
  <c r="OJ16" i="6" a="1"/>
  <c r="OJ16" i="6" s="1"/>
  <c r="OI16" i="6" a="1"/>
  <c r="OI16" i="6" s="1"/>
  <c r="OH16" i="6" a="1"/>
  <c r="OH16" i="6" s="1"/>
  <c r="NT16" i="6" a="1"/>
  <c r="NT16" i="6" s="1"/>
  <c r="NS16" i="6" a="1"/>
  <c r="NS16" i="6" s="1"/>
  <c r="NR16" i="6" a="1"/>
  <c r="NR16" i="6" s="1"/>
  <c r="NQ16" i="6" a="1"/>
  <c r="NQ16" i="6" s="1"/>
  <c r="NP16" i="6" a="1"/>
  <c r="NP16" i="6" s="1"/>
  <c r="NC16" i="6" a="1"/>
  <c r="NC16" i="6" s="1"/>
  <c r="NB16" i="6" a="1"/>
  <c r="NB16" i="6" s="1"/>
  <c r="NA16" i="6" a="1"/>
  <c r="NA16" i="6" s="1"/>
  <c r="MZ16" i="6" a="1"/>
  <c r="MZ16" i="6" s="1"/>
  <c r="MY16" i="6" a="1"/>
  <c r="MY16" i="6" s="1"/>
  <c r="MK16" i="6" a="1"/>
  <c r="MK16" i="6" s="1"/>
  <c r="MJ16" i="6" a="1"/>
  <c r="MJ16" i="6" s="1"/>
  <c r="MI16" i="6" a="1"/>
  <c r="MI16" i="6" s="1"/>
  <c r="MH16" i="6" a="1"/>
  <c r="MH16" i="6" s="1"/>
  <c r="MG16" i="6" a="1"/>
  <c r="MG16" i="6" s="1"/>
  <c r="LS16" i="6" a="1"/>
  <c r="LS16" i="6" s="1"/>
  <c r="LR16" i="6" a="1"/>
  <c r="LR16" i="6" s="1"/>
  <c r="LQ16" i="6" a="1"/>
  <c r="LQ16" i="6" s="1"/>
  <c r="LP16" i="6" a="1"/>
  <c r="LP16" i="6" s="1"/>
  <c r="LO16" i="6" a="1"/>
  <c r="LO16" i="6" s="1"/>
  <c r="LA16" i="6" a="1"/>
  <c r="LA16" i="6" s="1"/>
  <c r="KZ16" i="6" a="1"/>
  <c r="KZ16" i="6" s="1"/>
  <c r="KY16" i="6" a="1"/>
  <c r="KY16" i="6" s="1"/>
  <c r="KX16" i="6" a="1"/>
  <c r="KX16" i="6" s="1"/>
  <c r="KW16" i="6" a="1"/>
  <c r="KW16" i="6" s="1"/>
  <c r="KI16" i="6" a="1"/>
  <c r="KI16" i="6" s="1"/>
  <c r="KH16" i="6" a="1"/>
  <c r="KH16" i="6" s="1"/>
  <c r="KG16" i="6" a="1"/>
  <c r="KG16" i="6" s="1"/>
  <c r="KF16" i="6" a="1"/>
  <c r="KF16" i="6" s="1"/>
  <c r="KE16" i="6" a="1"/>
  <c r="KE16" i="6" s="1"/>
  <c r="JQ16" i="6" a="1"/>
  <c r="JQ16" i="6" s="1"/>
  <c r="JP16" i="6" a="1"/>
  <c r="JP16" i="6" s="1"/>
  <c r="JO16" i="6" a="1"/>
  <c r="JO16" i="6" s="1"/>
  <c r="JN16" i="6" a="1"/>
  <c r="JN16" i="6" s="1"/>
  <c r="JM16" i="6" a="1"/>
  <c r="JM16" i="6" s="1"/>
  <c r="IY16" i="6" a="1"/>
  <c r="IY16" i="6" s="1"/>
  <c r="IX16" i="6" a="1"/>
  <c r="IX16" i="6" s="1"/>
  <c r="IW16" i="6" a="1"/>
  <c r="IW16" i="6" s="1"/>
  <c r="IV16" i="6" a="1"/>
  <c r="IV16" i="6" s="1"/>
  <c r="IU16" i="6" a="1"/>
  <c r="IU16" i="6" s="1"/>
  <c r="IG16" i="6" a="1"/>
  <c r="IG16" i="6" s="1"/>
  <c r="IF16" i="6" a="1"/>
  <c r="IF16" i="6" s="1"/>
  <c r="IE16" i="6" a="1"/>
  <c r="IE16" i="6" s="1"/>
  <c r="ID16" i="6" a="1"/>
  <c r="ID16" i="6" s="1"/>
  <c r="IC16" i="6" a="1"/>
  <c r="IC16" i="6" s="1"/>
  <c r="HO16" i="6" a="1"/>
  <c r="HO16" i="6" s="1"/>
  <c r="HN16" i="6" a="1"/>
  <c r="HN16" i="6" s="1"/>
  <c r="HM16" i="6" a="1"/>
  <c r="HM16" i="6" s="1"/>
  <c r="HL16" i="6" a="1"/>
  <c r="HL16" i="6" s="1"/>
  <c r="HK16" i="6" a="1"/>
  <c r="HK16" i="6" s="1"/>
  <c r="GX16" i="6" a="1"/>
  <c r="GX16" i="6" s="1"/>
  <c r="GW16" i="6" a="1"/>
  <c r="GW16" i="6" s="1"/>
  <c r="GV16" i="6" a="1"/>
  <c r="GV16" i="6" s="1"/>
  <c r="GU16" i="6" a="1"/>
  <c r="GU16" i="6" s="1"/>
  <c r="GT16" i="6" a="1"/>
  <c r="GT16" i="6" s="1"/>
  <c r="GG16" i="6" a="1"/>
  <c r="GG16" i="6" s="1"/>
  <c r="GF16" i="6" a="1"/>
  <c r="GF16" i="6" s="1"/>
  <c r="GE16" i="6" a="1"/>
  <c r="GE16" i="6" s="1"/>
  <c r="GD16" i="6" a="1"/>
  <c r="GD16" i="6" s="1"/>
  <c r="GC16" i="6" a="1"/>
  <c r="GC16" i="6" s="1"/>
  <c r="FP16" i="6" a="1"/>
  <c r="FP16" i="6" s="1"/>
  <c r="FO16" i="6" a="1"/>
  <c r="FO16" i="6" s="1"/>
  <c r="FN16" i="6" a="1"/>
  <c r="FN16" i="6" s="1"/>
  <c r="FM16" i="6" a="1"/>
  <c r="FM16" i="6" s="1"/>
  <c r="FL16" i="6" a="1"/>
  <c r="FL16" i="6" s="1"/>
  <c r="EY16" i="6" a="1"/>
  <c r="EY16" i="6" s="1"/>
  <c r="EX16" i="6" a="1"/>
  <c r="EX16" i="6" s="1"/>
  <c r="EW16" i="6" a="1"/>
  <c r="EW16" i="6" s="1"/>
  <c r="EV16" i="6" a="1"/>
  <c r="EV16" i="6" s="1"/>
  <c r="EU16" i="6" a="1"/>
  <c r="EU16" i="6" s="1"/>
  <c r="EH16" i="6" a="1"/>
  <c r="EH16" i="6" s="1"/>
  <c r="EG16" i="6" a="1"/>
  <c r="EG16" i="6" s="1"/>
  <c r="EF16" i="6" a="1"/>
  <c r="EF16" i="6" s="1"/>
  <c r="EE16" i="6" a="1"/>
  <c r="EE16" i="6" s="1"/>
  <c r="ED16" i="6" a="1"/>
  <c r="ED16" i="6" s="1"/>
  <c r="DQ16" i="6" a="1"/>
  <c r="DQ16" i="6" s="1"/>
  <c r="DP16" i="6" a="1"/>
  <c r="DP16" i="6" s="1"/>
  <c r="DO16" i="6" a="1"/>
  <c r="DO16" i="6" s="1"/>
  <c r="DN16" i="6" a="1"/>
  <c r="DN16" i="6" s="1"/>
  <c r="DM16" i="6" a="1"/>
  <c r="DM16" i="6" s="1"/>
  <c r="DD16" i="6" a="1"/>
  <c r="DD16" i="6" s="1"/>
  <c r="CU16" i="6" a="1"/>
  <c r="CU16" i="6" s="1"/>
  <c r="CL16" i="6" a="1"/>
  <c r="CL16" i="6" s="1"/>
  <c r="BX16" i="6" a="1"/>
  <c r="BX16" i="6" s="1"/>
  <c r="BW16" i="6" a="1"/>
  <c r="BW16" i="6" s="1"/>
  <c r="BV16" i="6" a="1"/>
  <c r="BV16" i="6" s="1"/>
  <c r="BU16" i="6" a="1"/>
  <c r="BU16" i="6" s="1"/>
  <c r="BT16" i="6" a="1"/>
  <c r="BT16" i="6" s="1"/>
  <c r="BS16" i="6" a="1"/>
  <c r="BS16" i="6" s="1"/>
  <c r="BA16" i="6" a="1"/>
  <c r="BA16" i="6" s="1"/>
  <c r="AZ16" i="6" a="1"/>
  <c r="AZ16" i="6" s="1"/>
  <c r="AY16" i="6" a="1"/>
  <c r="AY16" i="6" s="1"/>
  <c r="AX16" i="6" a="1"/>
  <c r="AX16" i="6" s="1"/>
  <c r="AW16" i="6" a="1"/>
  <c r="AW16" i="6" s="1"/>
  <c r="AV16" i="6" a="1"/>
  <c r="AV16" i="6" s="1"/>
  <c r="AU16" i="6" a="1"/>
  <c r="AU16" i="6" s="1"/>
  <c r="AT16" i="6" a="1"/>
  <c r="AT16" i="6" s="1"/>
  <c r="AS16" i="6" a="1"/>
  <c r="AS16" i="6" s="1"/>
  <c r="AR16" i="6" a="1"/>
  <c r="AR16" i="6" s="1"/>
  <c r="AH16" i="6" a="1"/>
  <c r="AH16" i="6" s="1"/>
  <c r="AG16" i="6" a="1"/>
  <c r="AG16" i="6" s="1"/>
  <c r="V16" i="6" a="1"/>
  <c r="V16" i="6" s="1"/>
  <c r="U16" i="6" a="1"/>
  <c r="U16" i="6" s="1"/>
  <c r="J16" i="6" a="1"/>
  <c r="J16" i="6" s="1"/>
  <c r="I16" i="6" a="1"/>
  <c r="I16" i="6" s="1"/>
  <c r="ADA15" i="6" a="1"/>
  <c r="ADA15" i="6" s="1"/>
  <c r="ACZ15" i="6" a="1"/>
  <c r="ACZ15" i="6" s="1"/>
  <c r="ACY15" i="6" a="1"/>
  <c r="ACY15" i="6" s="1"/>
  <c r="ACN15" i="6" a="1"/>
  <c r="ACN15" i="6" s="1"/>
  <c r="ACM15" i="6" a="1"/>
  <c r="ACM15" i="6" s="1"/>
  <c r="ABU15" i="6" a="1"/>
  <c r="ABU15" i="6" s="1"/>
  <c r="ABX15" i="6" a="1"/>
  <c r="ABX15" i="6" s="1"/>
  <c r="ABV15" i="6" a="1"/>
  <c r="ABV15" i="6" s="1"/>
  <c r="ABH15" i="6" a="1"/>
  <c r="ABH15" i="6" s="1"/>
  <c r="ABG15" i="6" a="1"/>
  <c r="ABG15" i="6" s="1"/>
  <c r="ABF15" i="6" a="1"/>
  <c r="ABF15" i="6" s="1"/>
  <c r="ABE15" i="6" a="1"/>
  <c r="ABE15" i="6" s="1"/>
  <c r="ABD15" i="6" a="1"/>
  <c r="ABD15" i="6" s="1"/>
  <c r="ZR15" i="6" a="1"/>
  <c r="ZR15" i="6" s="1"/>
  <c r="ZE15" i="6" a="1"/>
  <c r="ZE15" i="6" s="1"/>
  <c r="ZD15" i="6" a="1"/>
  <c r="ZD15" i="6" s="1"/>
  <c r="ZC15" i="6" a="1"/>
  <c r="ZC15" i="6" s="1"/>
  <c r="ZB15" i="6" a="1"/>
  <c r="ZB15" i="6" s="1"/>
  <c r="ZA15" i="6" a="1"/>
  <c r="ZA15" i="6" s="1"/>
  <c r="YP15" i="6" a="1"/>
  <c r="YP15" i="6" s="1"/>
  <c r="YO15" i="6" a="1"/>
  <c r="YO15" i="6" s="1"/>
  <c r="YE15" i="6" a="1"/>
  <c r="YE15" i="6" s="1"/>
  <c r="YD15" i="6" a="1"/>
  <c r="YD15" i="6" s="1"/>
  <c r="XT15" i="6" a="1"/>
  <c r="XT15" i="6" s="1"/>
  <c r="XS15" i="6" a="1"/>
  <c r="XS15" i="6" s="1"/>
  <c r="XI15" i="6" a="1"/>
  <c r="XI15" i="6" s="1"/>
  <c r="XH15" i="6" a="1"/>
  <c r="XH15" i="6" s="1"/>
  <c r="WX15" i="6" a="1"/>
  <c r="WX15" i="6" s="1"/>
  <c r="WW15" i="6" a="1"/>
  <c r="WW15" i="6" s="1"/>
  <c r="WM15" i="6" a="1"/>
  <c r="WM15" i="6" s="1"/>
  <c r="WL15" i="6" a="1"/>
  <c r="WL15" i="6" s="1"/>
  <c r="WC15" i="6" a="1"/>
  <c r="WC15" i="6" s="1"/>
  <c r="VQ15" i="6" a="1"/>
  <c r="VQ15" i="6" s="1"/>
  <c r="VP15" i="6" a="1"/>
  <c r="VP15" i="6" s="1"/>
  <c r="VO15" i="6" a="1"/>
  <c r="VO15" i="6" s="1"/>
  <c r="VN15" i="6" a="1"/>
  <c r="VN15" i="6" s="1"/>
  <c r="VA15" i="6" a="1"/>
  <c r="VA15" i="6" s="1"/>
  <c r="UZ15" i="6" a="1"/>
  <c r="UZ15" i="6" s="1"/>
  <c r="UY15" i="6" a="1"/>
  <c r="UY15" i="6" s="1"/>
  <c r="UX15" i="6" a="1"/>
  <c r="UX15" i="6" s="1"/>
  <c r="UW15" i="6" a="1"/>
  <c r="UW15" i="6" s="1"/>
  <c r="UM15" i="6" a="1"/>
  <c r="UM15" i="6" s="1"/>
  <c r="TZ15" i="6" a="1"/>
  <c r="TZ15" i="6" s="1"/>
  <c r="TY15" i="6" a="1"/>
  <c r="TY15" i="6" s="1"/>
  <c r="TX15" i="6" a="1"/>
  <c r="TX15" i="6" s="1"/>
  <c r="TW15" i="6" a="1"/>
  <c r="TW15" i="6" s="1"/>
  <c r="TV15" i="6" a="1"/>
  <c r="TV15" i="6" s="1"/>
  <c r="TH15" i="6" a="1"/>
  <c r="TH15" i="6" s="1"/>
  <c r="TG15" i="6" a="1"/>
  <c r="TG15" i="6" s="1"/>
  <c r="TF15" i="6" a="1"/>
  <c r="TF15" i="6" s="1"/>
  <c r="TE15" i="6" a="1"/>
  <c r="TE15" i="6" s="1"/>
  <c r="TD15" i="6" a="1"/>
  <c r="TD15" i="6" s="1"/>
  <c r="SP15" i="6" a="1"/>
  <c r="SP15" i="6" s="1"/>
  <c r="SO15" i="6" a="1"/>
  <c r="SO15" i="6" s="1"/>
  <c r="SN15" i="6" a="1"/>
  <c r="SN15" i="6" s="1"/>
  <c r="SM15" i="6" a="1"/>
  <c r="SM15" i="6" s="1"/>
  <c r="SL15" i="6" a="1"/>
  <c r="SL15" i="6" s="1"/>
  <c r="RX15" i="6" a="1"/>
  <c r="RX15" i="6" s="1"/>
  <c r="RW15" i="6" a="1"/>
  <c r="RW15" i="6" s="1"/>
  <c r="RV15" i="6" a="1"/>
  <c r="RV15" i="6" s="1"/>
  <c r="RU15" i="6" a="1"/>
  <c r="RU15" i="6" s="1"/>
  <c r="RT15" i="6" a="1"/>
  <c r="RT15" i="6" s="1"/>
  <c r="RF15" i="6" a="1"/>
  <c r="RF15" i="6" s="1"/>
  <c r="RE15" i="6" a="1"/>
  <c r="RE15" i="6" s="1"/>
  <c r="RD15" i="6" a="1"/>
  <c r="RD15" i="6" s="1"/>
  <c r="RC15" i="6" a="1"/>
  <c r="RC15" i="6" s="1"/>
  <c r="RB15" i="6" a="1"/>
  <c r="RB15" i="6" s="1"/>
  <c r="QN15" i="6" a="1"/>
  <c r="QN15" i="6" s="1"/>
  <c r="QM15" i="6" a="1"/>
  <c r="QM15" i="6" s="1"/>
  <c r="QL15" i="6" a="1"/>
  <c r="QL15" i="6" s="1"/>
  <c r="QK15" i="6" a="1"/>
  <c r="QK15" i="6" s="1"/>
  <c r="QJ15" i="6" a="1"/>
  <c r="QJ15" i="6" s="1"/>
  <c r="PV15" i="6" a="1"/>
  <c r="PV15" i="6" s="1"/>
  <c r="PU15" i="6" a="1"/>
  <c r="PU15" i="6" s="1"/>
  <c r="PT15" i="6" a="1"/>
  <c r="PT15" i="6" s="1"/>
  <c r="PS15" i="6" a="1"/>
  <c r="PS15" i="6" s="1"/>
  <c r="PR15" i="6" a="1"/>
  <c r="PR15" i="6" s="1"/>
  <c r="PD15" i="6" a="1"/>
  <c r="PD15" i="6" s="1"/>
  <c r="PC15" i="6" a="1"/>
  <c r="PC15" i="6" s="1"/>
  <c r="PB15" i="6" a="1"/>
  <c r="PB15" i="6" s="1"/>
  <c r="PA15" i="6" a="1"/>
  <c r="PA15" i="6" s="1"/>
  <c r="OZ15" i="6" a="1"/>
  <c r="OZ15" i="6" s="1"/>
  <c r="OL15" i="6" a="1"/>
  <c r="OL15" i="6" s="1"/>
  <c r="OK15" i="6" a="1"/>
  <c r="OK15" i="6" s="1"/>
  <c r="OJ15" i="6" a="1"/>
  <c r="OJ15" i="6" s="1"/>
  <c r="OI15" i="6" a="1"/>
  <c r="OI15" i="6" s="1"/>
  <c r="OH15" i="6" a="1"/>
  <c r="OH15" i="6" s="1"/>
  <c r="NT15" i="6" a="1"/>
  <c r="NT15" i="6" s="1"/>
  <c r="NS15" i="6" a="1"/>
  <c r="NS15" i="6" s="1"/>
  <c r="NR15" i="6" a="1"/>
  <c r="NR15" i="6" s="1"/>
  <c r="NQ15" i="6" a="1"/>
  <c r="NQ15" i="6" s="1"/>
  <c r="NP15" i="6" a="1"/>
  <c r="NP15" i="6" s="1"/>
  <c r="NC15" i="6" a="1"/>
  <c r="NC15" i="6" s="1"/>
  <c r="NB15" i="6" a="1"/>
  <c r="NB15" i="6" s="1"/>
  <c r="NA15" i="6" a="1"/>
  <c r="NA15" i="6" s="1"/>
  <c r="MZ15" i="6" a="1"/>
  <c r="MZ15" i="6" s="1"/>
  <c r="MY15" i="6" a="1"/>
  <c r="MY15" i="6" s="1"/>
  <c r="MK15" i="6" a="1"/>
  <c r="MK15" i="6" s="1"/>
  <c r="MJ15" i="6" a="1"/>
  <c r="MJ15" i="6" s="1"/>
  <c r="MI15" i="6" a="1"/>
  <c r="MI15" i="6" s="1"/>
  <c r="MH15" i="6" a="1"/>
  <c r="MH15" i="6" s="1"/>
  <c r="MG15" i="6" a="1"/>
  <c r="MG15" i="6" s="1"/>
  <c r="LS15" i="6" a="1"/>
  <c r="LS15" i="6" s="1"/>
  <c r="LR15" i="6" a="1"/>
  <c r="LR15" i="6" s="1"/>
  <c r="LQ15" i="6" a="1"/>
  <c r="LQ15" i="6" s="1"/>
  <c r="LP15" i="6" a="1"/>
  <c r="LP15" i="6" s="1"/>
  <c r="LO15" i="6" a="1"/>
  <c r="LO15" i="6" s="1"/>
  <c r="LA15" i="6" a="1"/>
  <c r="LA15" i="6" s="1"/>
  <c r="KZ15" i="6" a="1"/>
  <c r="KZ15" i="6" s="1"/>
  <c r="KY15" i="6" a="1"/>
  <c r="KY15" i="6" s="1"/>
  <c r="KX15" i="6" a="1"/>
  <c r="KX15" i="6" s="1"/>
  <c r="KW15" i="6" a="1"/>
  <c r="KW15" i="6" s="1"/>
  <c r="KI15" i="6" a="1"/>
  <c r="KI15" i="6" s="1"/>
  <c r="KH15" i="6" a="1"/>
  <c r="KH15" i="6" s="1"/>
  <c r="KG15" i="6" a="1"/>
  <c r="KG15" i="6" s="1"/>
  <c r="KF15" i="6" a="1"/>
  <c r="KF15" i="6" s="1"/>
  <c r="KE15" i="6" a="1"/>
  <c r="KE15" i="6" s="1"/>
  <c r="JQ15" i="6" a="1"/>
  <c r="JQ15" i="6" s="1"/>
  <c r="JP15" i="6" a="1"/>
  <c r="JP15" i="6" s="1"/>
  <c r="JO15" i="6" a="1"/>
  <c r="JO15" i="6" s="1"/>
  <c r="JN15" i="6" a="1"/>
  <c r="JN15" i="6" s="1"/>
  <c r="JM15" i="6" a="1"/>
  <c r="JM15" i="6" s="1"/>
  <c r="IY15" i="6" a="1"/>
  <c r="IY15" i="6" s="1"/>
  <c r="IX15" i="6" a="1"/>
  <c r="IX15" i="6" s="1"/>
  <c r="IW15" i="6" a="1"/>
  <c r="IW15" i="6" s="1"/>
  <c r="IV15" i="6" a="1"/>
  <c r="IV15" i="6" s="1"/>
  <c r="IU15" i="6" a="1"/>
  <c r="IU15" i="6" s="1"/>
  <c r="IG15" i="6" a="1"/>
  <c r="IG15" i="6" s="1"/>
  <c r="IF15" i="6" a="1"/>
  <c r="IF15" i="6" s="1"/>
  <c r="IE15" i="6" a="1"/>
  <c r="IE15" i="6" s="1"/>
  <c r="ID15" i="6" a="1"/>
  <c r="ID15" i="6" s="1"/>
  <c r="IC15" i="6" a="1"/>
  <c r="IC15" i="6" s="1"/>
  <c r="HO15" i="6" a="1"/>
  <c r="HO15" i="6" s="1"/>
  <c r="HN15" i="6" a="1"/>
  <c r="HN15" i="6" s="1"/>
  <c r="HM15" i="6" a="1"/>
  <c r="HM15" i="6" s="1"/>
  <c r="HL15" i="6" a="1"/>
  <c r="HL15" i="6" s="1"/>
  <c r="HK15" i="6" a="1"/>
  <c r="HK15" i="6" s="1"/>
  <c r="GX15" i="6" a="1"/>
  <c r="GX15" i="6" s="1"/>
  <c r="GW15" i="6" a="1"/>
  <c r="GW15" i="6" s="1"/>
  <c r="GV15" i="6" a="1"/>
  <c r="GV15" i="6" s="1"/>
  <c r="GU15" i="6" a="1"/>
  <c r="GU15" i="6" s="1"/>
  <c r="GT15" i="6" a="1"/>
  <c r="GT15" i="6" s="1"/>
  <c r="GG15" i="6" a="1"/>
  <c r="GG15" i="6" s="1"/>
  <c r="GF15" i="6" a="1"/>
  <c r="GF15" i="6" s="1"/>
  <c r="GE15" i="6" a="1"/>
  <c r="GE15" i="6" s="1"/>
  <c r="GD15" i="6" a="1"/>
  <c r="GD15" i="6" s="1"/>
  <c r="GC15" i="6" a="1"/>
  <c r="GC15" i="6" s="1"/>
  <c r="FP15" i="6" a="1"/>
  <c r="FP15" i="6" s="1"/>
  <c r="FO15" i="6" a="1"/>
  <c r="FO15" i="6" s="1"/>
  <c r="FN15" i="6" a="1"/>
  <c r="FN15" i="6" s="1"/>
  <c r="FM15" i="6" a="1"/>
  <c r="FM15" i="6" s="1"/>
  <c r="FL15" i="6" a="1"/>
  <c r="FL15" i="6" s="1"/>
  <c r="EY15" i="6" a="1"/>
  <c r="EY15" i="6" s="1"/>
  <c r="EX15" i="6" a="1"/>
  <c r="EX15" i="6" s="1"/>
  <c r="EW15" i="6" a="1"/>
  <c r="EW15" i="6" s="1"/>
  <c r="EV15" i="6" a="1"/>
  <c r="EV15" i="6" s="1"/>
  <c r="EU15" i="6" a="1"/>
  <c r="EU15" i="6" s="1"/>
  <c r="EH15" i="6" a="1"/>
  <c r="EH15" i="6" s="1"/>
  <c r="EG15" i="6" a="1"/>
  <c r="EG15" i="6" s="1"/>
  <c r="EF15" i="6" a="1"/>
  <c r="EF15" i="6" s="1"/>
  <c r="EE15" i="6" a="1"/>
  <c r="EE15" i="6" s="1"/>
  <c r="ED15" i="6" a="1"/>
  <c r="ED15" i="6" s="1"/>
  <c r="DQ15" i="6" a="1"/>
  <c r="DQ15" i="6" s="1"/>
  <c r="DP15" i="6" a="1"/>
  <c r="DP15" i="6" s="1"/>
  <c r="DO15" i="6" a="1"/>
  <c r="DO15" i="6" s="1"/>
  <c r="DN15" i="6" a="1"/>
  <c r="DN15" i="6" s="1"/>
  <c r="DM15" i="6" a="1"/>
  <c r="DM15" i="6" s="1"/>
  <c r="DD15" i="6" a="1"/>
  <c r="DD15" i="6" s="1"/>
  <c r="CU15" i="6" a="1"/>
  <c r="CU15" i="6" s="1"/>
  <c r="CL15" i="6" a="1"/>
  <c r="CL15" i="6" s="1"/>
  <c r="BX15" i="6" a="1"/>
  <c r="BX15" i="6" s="1"/>
  <c r="BW15" i="6" a="1"/>
  <c r="BW15" i="6" s="1"/>
  <c r="BV15" i="6" a="1"/>
  <c r="BV15" i="6" s="1"/>
  <c r="BU15" i="6" a="1"/>
  <c r="BU15" i="6" s="1"/>
  <c r="BT15" i="6" a="1"/>
  <c r="BT15" i="6" s="1"/>
  <c r="BS15" i="6" a="1"/>
  <c r="BS15" i="6" s="1"/>
  <c r="BA15" i="6" a="1"/>
  <c r="BA15" i="6" s="1"/>
  <c r="AZ15" i="6" a="1"/>
  <c r="AZ15" i="6" s="1"/>
  <c r="AY15" i="6" a="1"/>
  <c r="AY15" i="6" s="1"/>
  <c r="AX15" i="6" a="1"/>
  <c r="AX15" i="6" s="1"/>
  <c r="AW15" i="6" a="1"/>
  <c r="AW15" i="6" s="1"/>
  <c r="AV15" i="6" a="1"/>
  <c r="AV15" i="6" s="1"/>
  <c r="AU15" i="6" a="1"/>
  <c r="AU15" i="6" s="1"/>
  <c r="AT15" i="6" a="1"/>
  <c r="AT15" i="6" s="1"/>
  <c r="AS15" i="6" a="1"/>
  <c r="AS15" i="6" s="1"/>
  <c r="AR15" i="6" a="1"/>
  <c r="AR15" i="6" s="1"/>
  <c r="AH15" i="6" a="1"/>
  <c r="AH15" i="6" s="1"/>
  <c r="AG15" i="6" a="1"/>
  <c r="AG15" i="6" s="1"/>
  <c r="V15" i="6" a="1"/>
  <c r="V15" i="6" s="1"/>
  <c r="U15" i="6" a="1"/>
  <c r="U15" i="6" s="1"/>
  <c r="J15" i="6" a="1"/>
  <c r="J15" i="6" s="1"/>
  <c r="I15" i="6" a="1"/>
  <c r="I15" i="6" s="1"/>
  <c r="ADA14" i="6" a="1"/>
  <c r="ADA14" i="6" s="1"/>
  <c r="ACZ14" i="6" a="1"/>
  <c r="ACZ14" i="6" s="1"/>
  <c r="ACY14" i="6" a="1"/>
  <c r="ACY14" i="6" s="1"/>
  <c r="ACN14" i="6" a="1"/>
  <c r="ACN14" i="6" s="1"/>
  <c r="ACM14" i="6" a="1"/>
  <c r="ACM14" i="6" s="1"/>
  <c r="ABU14" i="6" a="1"/>
  <c r="ABU14" i="6" s="1"/>
  <c r="ABX14" i="6" a="1"/>
  <c r="ABX14" i="6" s="1"/>
  <c r="ABV14" i="6" a="1"/>
  <c r="ABV14" i="6" s="1"/>
  <c r="ABH14" i="6" a="1"/>
  <c r="ABH14" i="6" s="1"/>
  <c r="ABG14" i="6" a="1"/>
  <c r="ABG14" i="6" s="1"/>
  <c r="ABF14" i="6" a="1"/>
  <c r="ABF14" i="6" s="1"/>
  <c r="ABE14" i="6" a="1"/>
  <c r="ABE14" i="6" s="1"/>
  <c r="ABD14" i="6" a="1"/>
  <c r="ABD14" i="6" s="1"/>
  <c r="ZR14" i="6" a="1"/>
  <c r="ZR14" i="6" s="1"/>
  <c r="ZE14" i="6" a="1"/>
  <c r="ZE14" i="6" s="1"/>
  <c r="ZD14" i="6" a="1"/>
  <c r="ZD14" i="6" s="1"/>
  <c r="ZC14" i="6" a="1"/>
  <c r="ZC14" i="6" s="1"/>
  <c r="ZB14" i="6" a="1"/>
  <c r="ZB14" i="6" s="1"/>
  <c r="ZA14" i="6" a="1"/>
  <c r="ZA14" i="6" s="1"/>
  <c r="YP14" i="6" a="1"/>
  <c r="YP14" i="6" s="1"/>
  <c r="YO14" i="6" a="1"/>
  <c r="YO14" i="6" s="1"/>
  <c r="YE14" i="6" a="1"/>
  <c r="YE14" i="6" s="1"/>
  <c r="YD14" i="6" a="1"/>
  <c r="YD14" i="6" s="1"/>
  <c r="XT14" i="6" a="1"/>
  <c r="XT14" i="6" s="1"/>
  <c r="XS14" i="6" a="1"/>
  <c r="XS14" i="6" s="1"/>
  <c r="XI14" i="6" a="1"/>
  <c r="XI14" i="6" s="1"/>
  <c r="XH14" i="6" a="1"/>
  <c r="XH14" i="6" s="1"/>
  <c r="WX14" i="6" a="1"/>
  <c r="WX14" i="6" s="1"/>
  <c r="WW14" i="6" a="1"/>
  <c r="WW14" i="6" s="1"/>
  <c r="WM14" i="6" a="1"/>
  <c r="WM14" i="6" s="1"/>
  <c r="WL14" i="6" a="1"/>
  <c r="WL14" i="6" s="1"/>
  <c r="WC14" i="6" a="1"/>
  <c r="WC14" i="6" s="1"/>
  <c r="VQ14" i="6" a="1"/>
  <c r="VQ14" i="6" s="1"/>
  <c r="VP14" i="6" a="1"/>
  <c r="VP14" i="6" s="1"/>
  <c r="VO14" i="6" a="1"/>
  <c r="VO14" i="6" s="1"/>
  <c r="VN14" i="6" a="1"/>
  <c r="VN14" i="6" s="1"/>
  <c r="VA14" i="6" a="1"/>
  <c r="VA14" i="6" s="1"/>
  <c r="UZ14" i="6" a="1"/>
  <c r="UZ14" i="6" s="1"/>
  <c r="UY14" i="6" a="1"/>
  <c r="UY14" i="6" s="1"/>
  <c r="UX14" i="6" a="1"/>
  <c r="UX14" i="6" s="1"/>
  <c r="UW14" i="6" a="1"/>
  <c r="UW14" i="6" s="1"/>
  <c r="UM14" i="6" a="1"/>
  <c r="UM14" i="6" s="1"/>
  <c r="TZ14" i="6" a="1"/>
  <c r="TZ14" i="6" s="1"/>
  <c r="TY14" i="6" a="1"/>
  <c r="TY14" i="6" s="1"/>
  <c r="TX14" i="6" a="1"/>
  <c r="TX14" i="6" s="1"/>
  <c r="TW14" i="6" a="1"/>
  <c r="TW14" i="6" s="1"/>
  <c r="TV14" i="6" a="1"/>
  <c r="TV14" i="6" s="1"/>
  <c r="TH14" i="6" a="1"/>
  <c r="TH14" i="6" s="1"/>
  <c r="TG14" i="6" a="1"/>
  <c r="TG14" i="6" s="1"/>
  <c r="TF14" i="6" a="1"/>
  <c r="TF14" i="6" s="1"/>
  <c r="TE14" i="6" a="1"/>
  <c r="TE14" i="6" s="1"/>
  <c r="TD14" i="6" a="1"/>
  <c r="TD14" i="6" s="1"/>
  <c r="SP14" i="6" a="1"/>
  <c r="SP14" i="6" s="1"/>
  <c r="SO14" i="6" a="1"/>
  <c r="SO14" i="6" s="1"/>
  <c r="SN14" i="6" a="1"/>
  <c r="SN14" i="6" s="1"/>
  <c r="SM14" i="6" a="1"/>
  <c r="SM14" i="6" s="1"/>
  <c r="SL14" i="6" a="1"/>
  <c r="SL14" i="6" s="1"/>
  <c r="RX14" i="6" a="1"/>
  <c r="RX14" i="6" s="1"/>
  <c r="RW14" i="6" a="1"/>
  <c r="RW14" i="6" s="1"/>
  <c r="RV14" i="6" a="1"/>
  <c r="RV14" i="6" s="1"/>
  <c r="RU14" i="6" a="1"/>
  <c r="RU14" i="6" s="1"/>
  <c r="RT14" i="6" a="1"/>
  <c r="RT14" i="6" s="1"/>
  <c r="RF14" i="6" a="1"/>
  <c r="RF14" i="6" s="1"/>
  <c r="RE14" i="6" a="1"/>
  <c r="RE14" i="6" s="1"/>
  <c r="RD14" i="6" a="1"/>
  <c r="RD14" i="6" s="1"/>
  <c r="RC14" i="6" a="1"/>
  <c r="RC14" i="6" s="1"/>
  <c r="RB14" i="6" a="1"/>
  <c r="RB14" i="6" s="1"/>
  <c r="QN14" i="6" a="1"/>
  <c r="QN14" i="6" s="1"/>
  <c r="QM14" i="6" a="1"/>
  <c r="QM14" i="6" s="1"/>
  <c r="QL14" i="6" a="1"/>
  <c r="QL14" i="6" s="1"/>
  <c r="QK14" i="6" a="1"/>
  <c r="QK14" i="6" s="1"/>
  <c r="QJ14" i="6" a="1"/>
  <c r="QJ14" i="6" s="1"/>
  <c r="PV14" i="6" a="1"/>
  <c r="PV14" i="6" s="1"/>
  <c r="PU14" i="6" a="1"/>
  <c r="PU14" i="6" s="1"/>
  <c r="PT14" i="6" a="1"/>
  <c r="PT14" i="6" s="1"/>
  <c r="PS14" i="6" a="1"/>
  <c r="PS14" i="6" s="1"/>
  <c r="PR14" i="6" a="1"/>
  <c r="PR14" i="6" s="1"/>
  <c r="PD14" i="6" a="1"/>
  <c r="PD14" i="6" s="1"/>
  <c r="PC14" i="6" a="1"/>
  <c r="PC14" i="6" s="1"/>
  <c r="PB14" i="6" a="1"/>
  <c r="PB14" i="6" s="1"/>
  <c r="PA14" i="6" a="1"/>
  <c r="PA14" i="6" s="1"/>
  <c r="OZ14" i="6" a="1"/>
  <c r="OZ14" i="6" s="1"/>
  <c r="OL14" i="6" a="1"/>
  <c r="OL14" i="6" s="1"/>
  <c r="OK14" i="6" a="1"/>
  <c r="OK14" i="6" s="1"/>
  <c r="OJ14" i="6" a="1"/>
  <c r="OJ14" i="6" s="1"/>
  <c r="OI14" i="6" a="1"/>
  <c r="OI14" i="6" s="1"/>
  <c r="OH14" i="6" a="1"/>
  <c r="OH14" i="6" s="1"/>
  <c r="NT14" i="6" a="1"/>
  <c r="NT14" i="6" s="1"/>
  <c r="NS14" i="6" a="1"/>
  <c r="NS14" i="6" s="1"/>
  <c r="NR14" i="6" a="1"/>
  <c r="NR14" i="6" s="1"/>
  <c r="NQ14" i="6" a="1"/>
  <c r="NQ14" i="6" s="1"/>
  <c r="NP14" i="6" a="1"/>
  <c r="NP14" i="6" s="1"/>
  <c r="NC14" i="6" a="1"/>
  <c r="NC14" i="6" s="1"/>
  <c r="NB14" i="6" a="1"/>
  <c r="NB14" i="6" s="1"/>
  <c r="NA14" i="6" a="1"/>
  <c r="NA14" i="6" s="1"/>
  <c r="MZ14" i="6" a="1"/>
  <c r="MZ14" i="6" s="1"/>
  <c r="MY14" i="6" a="1"/>
  <c r="MY14" i="6" s="1"/>
  <c r="MK14" i="6" a="1"/>
  <c r="MK14" i="6" s="1"/>
  <c r="MJ14" i="6" a="1"/>
  <c r="MJ14" i="6" s="1"/>
  <c r="MI14" i="6" a="1"/>
  <c r="MI14" i="6" s="1"/>
  <c r="MH14" i="6" a="1"/>
  <c r="MH14" i="6" s="1"/>
  <c r="MG14" i="6" a="1"/>
  <c r="MG14" i="6" s="1"/>
  <c r="LS14" i="6" a="1"/>
  <c r="LS14" i="6" s="1"/>
  <c r="LR14" i="6" a="1"/>
  <c r="LR14" i="6" s="1"/>
  <c r="LQ14" i="6" a="1"/>
  <c r="LQ14" i="6" s="1"/>
  <c r="LP14" i="6" a="1"/>
  <c r="LP14" i="6" s="1"/>
  <c r="LO14" i="6" a="1"/>
  <c r="LO14" i="6" s="1"/>
  <c r="LA14" i="6" a="1"/>
  <c r="LA14" i="6" s="1"/>
  <c r="KZ14" i="6" a="1"/>
  <c r="KZ14" i="6" s="1"/>
  <c r="KY14" i="6" a="1"/>
  <c r="KY14" i="6" s="1"/>
  <c r="KX14" i="6" a="1"/>
  <c r="KX14" i="6" s="1"/>
  <c r="KW14" i="6" a="1"/>
  <c r="KW14" i="6" s="1"/>
  <c r="KI14" i="6" a="1"/>
  <c r="KI14" i="6" s="1"/>
  <c r="KH14" i="6" a="1"/>
  <c r="KH14" i="6" s="1"/>
  <c r="KG14" i="6" a="1"/>
  <c r="KG14" i="6" s="1"/>
  <c r="KF14" i="6" a="1"/>
  <c r="KF14" i="6" s="1"/>
  <c r="KE14" i="6" a="1"/>
  <c r="KE14" i="6" s="1"/>
  <c r="JQ14" i="6" a="1"/>
  <c r="JQ14" i="6" s="1"/>
  <c r="JP14" i="6" a="1"/>
  <c r="JP14" i="6" s="1"/>
  <c r="JO14" i="6" a="1"/>
  <c r="JO14" i="6" s="1"/>
  <c r="JN14" i="6" a="1"/>
  <c r="JN14" i="6" s="1"/>
  <c r="JM14" i="6" a="1"/>
  <c r="JM14" i="6" s="1"/>
  <c r="IY14" i="6" a="1"/>
  <c r="IY14" i="6" s="1"/>
  <c r="IX14" i="6" a="1"/>
  <c r="IX14" i="6" s="1"/>
  <c r="IW14" i="6" a="1"/>
  <c r="IW14" i="6" s="1"/>
  <c r="IV14" i="6" a="1"/>
  <c r="IV14" i="6" s="1"/>
  <c r="IU14" i="6" a="1"/>
  <c r="IU14" i="6" s="1"/>
  <c r="IG14" i="6" a="1"/>
  <c r="IG14" i="6" s="1"/>
  <c r="IF14" i="6" a="1"/>
  <c r="IF14" i="6" s="1"/>
  <c r="IE14" i="6" a="1"/>
  <c r="IE14" i="6" s="1"/>
  <c r="ID14" i="6" a="1"/>
  <c r="ID14" i="6" s="1"/>
  <c r="IC14" i="6" a="1"/>
  <c r="IC14" i="6" s="1"/>
  <c r="HO14" i="6" a="1"/>
  <c r="HO14" i="6" s="1"/>
  <c r="HN14" i="6" a="1"/>
  <c r="HN14" i="6" s="1"/>
  <c r="HM14" i="6" a="1"/>
  <c r="HM14" i="6" s="1"/>
  <c r="HL14" i="6" a="1"/>
  <c r="HL14" i="6" s="1"/>
  <c r="HK14" i="6" a="1"/>
  <c r="HK14" i="6" s="1"/>
  <c r="GX14" i="6" a="1"/>
  <c r="GX14" i="6" s="1"/>
  <c r="GW14" i="6" a="1"/>
  <c r="GW14" i="6" s="1"/>
  <c r="GV14" i="6" a="1"/>
  <c r="GV14" i="6" s="1"/>
  <c r="GU14" i="6" a="1"/>
  <c r="GU14" i="6" s="1"/>
  <c r="GT14" i="6" a="1"/>
  <c r="GT14" i="6" s="1"/>
  <c r="GG14" i="6" a="1"/>
  <c r="GG14" i="6" s="1"/>
  <c r="GF14" i="6" a="1"/>
  <c r="GF14" i="6" s="1"/>
  <c r="GE14" i="6" a="1"/>
  <c r="GE14" i="6" s="1"/>
  <c r="GD14" i="6" a="1"/>
  <c r="GD14" i="6" s="1"/>
  <c r="GC14" i="6" a="1"/>
  <c r="GC14" i="6" s="1"/>
  <c r="FP14" i="6" a="1"/>
  <c r="FP14" i="6" s="1"/>
  <c r="FO14" i="6" a="1"/>
  <c r="FO14" i="6" s="1"/>
  <c r="FN14" i="6" a="1"/>
  <c r="FN14" i="6" s="1"/>
  <c r="FM14" i="6" a="1"/>
  <c r="FM14" i="6" s="1"/>
  <c r="FL14" i="6" a="1"/>
  <c r="FL14" i="6" s="1"/>
  <c r="EY14" i="6" a="1"/>
  <c r="EY14" i="6" s="1"/>
  <c r="EX14" i="6" a="1"/>
  <c r="EX14" i="6" s="1"/>
  <c r="EW14" i="6" a="1"/>
  <c r="EW14" i="6" s="1"/>
  <c r="EV14" i="6" a="1"/>
  <c r="EV14" i="6" s="1"/>
  <c r="EU14" i="6" a="1"/>
  <c r="EU14" i="6" s="1"/>
  <c r="EH14" i="6" a="1"/>
  <c r="EH14" i="6" s="1"/>
  <c r="EG14" i="6" a="1"/>
  <c r="EG14" i="6" s="1"/>
  <c r="EF14" i="6" a="1"/>
  <c r="EF14" i="6" s="1"/>
  <c r="EE14" i="6" a="1"/>
  <c r="EE14" i="6" s="1"/>
  <c r="ED14" i="6" a="1"/>
  <c r="ED14" i="6" s="1"/>
  <c r="DQ14" i="6" a="1"/>
  <c r="DQ14" i="6" s="1"/>
  <c r="DP14" i="6" a="1"/>
  <c r="DP14" i="6" s="1"/>
  <c r="DO14" i="6" a="1"/>
  <c r="DO14" i="6" s="1"/>
  <c r="DN14" i="6" a="1"/>
  <c r="DN14" i="6" s="1"/>
  <c r="DM14" i="6" a="1"/>
  <c r="DM14" i="6" s="1"/>
  <c r="DD14" i="6" a="1"/>
  <c r="DD14" i="6" s="1"/>
  <c r="CU14" i="6" a="1"/>
  <c r="CU14" i="6" s="1"/>
  <c r="CL14" i="6" a="1"/>
  <c r="CL14" i="6" s="1"/>
  <c r="BX14" i="6" a="1"/>
  <c r="BX14" i="6" s="1"/>
  <c r="BW14" i="6" a="1"/>
  <c r="BW14" i="6" s="1"/>
  <c r="BV14" i="6" a="1"/>
  <c r="BV14" i="6" s="1"/>
  <c r="BU14" i="6" a="1"/>
  <c r="BU14" i="6" s="1"/>
  <c r="BT14" i="6" a="1"/>
  <c r="BT14" i="6" s="1"/>
  <c r="BS14" i="6" a="1"/>
  <c r="BS14" i="6" s="1"/>
  <c r="BA14" i="6" a="1"/>
  <c r="BA14" i="6" s="1"/>
  <c r="AZ14" i="6" a="1"/>
  <c r="AZ14" i="6" s="1"/>
  <c r="AY14" i="6" a="1"/>
  <c r="AY14" i="6" s="1"/>
  <c r="AX14" i="6" a="1"/>
  <c r="AX14" i="6" s="1"/>
  <c r="AW14" i="6" a="1"/>
  <c r="AW14" i="6" s="1"/>
  <c r="AV14" i="6" a="1"/>
  <c r="AV14" i="6" s="1"/>
  <c r="AU14" i="6" a="1"/>
  <c r="AU14" i="6" s="1"/>
  <c r="AT14" i="6" a="1"/>
  <c r="AT14" i="6" s="1"/>
  <c r="AS14" i="6" a="1"/>
  <c r="AS14" i="6" s="1"/>
  <c r="AR14" i="6" a="1"/>
  <c r="AR14" i="6" s="1"/>
  <c r="AH14" i="6" a="1"/>
  <c r="AH14" i="6" s="1"/>
  <c r="AG14" i="6" a="1"/>
  <c r="AG14" i="6" s="1"/>
  <c r="V14" i="6" a="1"/>
  <c r="V14" i="6" s="1"/>
  <c r="U14" i="6" a="1"/>
  <c r="U14" i="6" s="1"/>
  <c r="J14" i="6" a="1"/>
  <c r="J14" i="6" s="1"/>
  <c r="I14" i="6" a="1"/>
  <c r="I14" i="6" s="1"/>
  <c r="ADA13" i="6" a="1"/>
  <c r="ADA13" i="6" s="1"/>
  <c r="ACZ13" i="6" a="1"/>
  <c r="ACZ13" i="6" s="1"/>
  <c r="ACY13" i="6" a="1"/>
  <c r="ACY13" i="6" s="1"/>
  <c r="ACN13" i="6" a="1"/>
  <c r="ACN13" i="6" s="1"/>
  <c r="ACM13" i="6" a="1"/>
  <c r="ACM13" i="6" s="1"/>
  <c r="ABU13" i="6" a="1"/>
  <c r="ABU13" i="6" s="1"/>
  <c r="ABX13" i="6" a="1"/>
  <c r="ABX13" i="6" s="1"/>
  <c r="ABV13" i="6" a="1"/>
  <c r="ABV13" i="6" s="1"/>
  <c r="ABH13" i="6" a="1"/>
  <c r="ABH13" i="6" s="1"/>
  <c r="ABG13" i="6" a="1"/>
  <c r="ABG13" i="6" s="1"/>
  <c r="ABF13" i="6" a="1"/>
  <c r="ABF13" i="6" s="1"/>
  <c r="ABE13" i="6" a="1"/>
  <c r="ABE13" i="6" s="1"/>
  <c r="ABD13" i="6" a="1"/>
  <c r="ABD13" i="6" s="1"/>
  <c r="ZR13" i="6" a="1"/>
  <c r="ZR13" i="6" s="1"/>
  <c r="ZE13" i="6" a="1"/>
  <c r="ZE13" i="6" s="1"/>
  <c r="ZD13" i="6" a="1"/>
  <c r="ZD13" i="6" s="1"/>
  <c r="ZC13" i="6" a="1"/>
  <c r="ZC13" i="6" s="1"/>
  <c r="ZB13" i="6" a="1"/>
  <c r="ZB13" i="6" s="1"/>
  <c r="ZA13" i="6" a="1"/>
  <c r="ZA13" i="6" s="1"/>
  <c r="YP13" i="6" a="1"/>
  <c r="YP13" i="6" s="1"/>
  <c r="YO13" i="6" a="1"/>
  <c r="YO13" i="6" s="1"/>
  <c r="YE13" i="6" a="1"/>
  <c r="YE13" i="6" s="1"/>
  <c r="YD13" i="6" a="1"/>
  <c r="YD13" i="6" s="1"/>
  <c r="XT13" i="6" a="1"/>
  <c r="XT13" i="6" s="1"/>
  <c r="XS13" i="6" a="1"/>
  <c r="XS13" i="6" s="1"/>
  <c r="XI13" i="6" a="1"/>
  <c r="XI13" i="6" s="1"/>
  <c r="XH13" i="6" a="1"/>
  <c r="XH13" i="6" s="1"/>
  <c r="WX13" i="6" a="1"/>
  <c r="WX13" i="6" s="1"/>
  <c r="WW13" i="6" a="1"/>
  <c r="WW13" i="6" s="1"/>
  <c r="WM13" i="6" a="1"/>
  <c r="WM13" i="6" s="1"/>
  <c r="WL13" i="6" a="1"/>
  <c r="WL13" i="6" s="1"/>
  <c r="WC13" i="6" a="1"/>
  <c r="WC13" i="6" s="1"/>
  <c r="VQ13" i="6" a="1"/>
  <c r="VQ13" i="6" s="1"/>
  <c r="VP13" i="6" a="1"/>
  <c r="VP13" i="6" s="1"/>
  <c r="VO13" i="6" a="1"/>
  <c r="VO13" i="6" s="1"/>
  <c r="VN13" i="6" a="1"/>
  <c r="VN13" i="6" s="1"/>
  <c r="VA13" i="6" a="1"/>
  <c r="VA13" i="6" s="1"/>
  <c r="UZ13" i="6" a="1"/>
  <c r="UZ13" i="6" s="1"/>
  <c r="UY13" i="6" a="1"/>
  <c r="UY13" i="6" s="1"/>
  <c r="UX13" i="6" a="1"/>
  <c r="UX13" i="6" s="1"/>
  <c r="UW13" i="6" a="1"/>
  <c r="UW13" i="6" s="1"/>
  <c r="UM13" i="6" a="1"/>
  <c r="UM13" i="6" s="1"/>
  <c r="TZ13" i="6" a="1"/>
  <c r="TZ13" i="6" s="1"/>
  <c r="TY13" i="6" a="1"/>
  <c r="TY13" i="6" s="1"/>
  <c r="TX13" i="6" a="1"/>
  <c r="TX13" i="6" s="1"/>
  <c r="TW13" i="6" a="1"/>
  <c r="TW13" i="6" s="1"/>
  <c r="TV13" i="6" a="1"/>
  <c r="TV13" i="6" s="1"/>
  <c r="TH13" i="6" a="1"/>
  <c r="TH13" i="6" s="1"/>
  <c r="TG13" i="6" a="1"/>
  <c r="TG13" i="6" s="1"/>
  <c r="TF13" i="6" a="1"/>
  <c r="TF13" i="6" s="1"/>
  <c r="TE13" i="6" a="1"/>
  <c r="TE13" i="6" s="1"/>
  <c r="TD13" i="6" a="1"/>
  <c r="TD13" i="6" s="1"/>
  <c r="SP13" i="6" a="1"/>
  <c r="SP13" i="6" s="1"/>
  <c r="SO13" i="6" a="1"/>
  <c r="SO13" i="6" s="1"/>
  <c r="SN13" i="6" a="1"/>
  <c r="SN13" i="6" s="1"/>
  <c r="SM13" i="6" a="1"/>
  <c r="SM13" i="6" s="1"/>
  <c r="SL13" i="6" a="1"/>
  <c r="SL13" i="6" s="1"/>
  <c r="RX13" i="6" a="1"/>
  <c r="RX13" i="6" s="1"/>
  <c r="RW13" i="6" a="1"/>
  <c r="RW13" i="6" s="1"/>
  <c r="RV13" i="6" a="1"/>
  <c r="RV13" i="6" s="1"/>
  <c r="RU13" i="6" a="1"/>
  <c r="RU13" i="6" s="1"/>
  <c r="RT13" i="6" a="1"/>
  <c r="RT13" i="6" s="1"/>
  <c r="RF13" i="6" a="1"/>
  <c r="RF13" i="6" s="1"/>
  <c r="RE13" i="6" a="1"/>
  <c r="RE13" i="6" s="1"/>
  <c r="RD13" i="6" a="1"/>
  <c r="RD13" i="6" s="1"/>
  <c r="RC13" i="6" a="1"/>
  <c r="RC13" i="6" s="1"/>
  <c r="RB13" i="6" a="1"/>
  <c r="RB13" i="6" s="1"/>
  <c r="QN13" i="6" a="1"/>
  <c r="QN13" i="6" s="1"/>
  <c r="QM13" i="6" a="1"/>
  <c r="QM13" i="6" s="1"/>
  <c r="QL13" i="6" a="1"/>
  <c r="QL13" i="6" s="1"/>
  <c r="QK13" i="6" a="1"/>
  <c r="QK13" i="6" s="1"/>
  <c r="QJ13" i="6" a="1"/>
  <c r="QJ13" i="6" s="1"/>
  <c r="PV13" i="6" a="1"/>
  <c r="PV13" i="6" s="1"/>
  <c r="PU13" i="6" a="1"/>
  <c r="PU13" i="6" s="1"/>
  <c r="PT13" i="6" a="1"/>
  <c r="PT13" i="6" s="1"/>
  <c r="PS13" i="6" a="1"/>
  <c r="PS13" i="6" s="1"/>
  <c r="PR13" i="6" a="1"/>
  <c r="PR13" i="6" s="1"/>
  <c r="PD13" i="6" a="1"/>
  <c r="PD13" i="6" s="1"/>
  <c r="PC13" i="6" a="1"/>
  <c r="PC13" i="6" s="1"/>
  <c r="PB13" i="6" a="1"/>
  <c r="PB13" i="6" s="1"/>
  <c r="PA13" i="6" a="1"/>
  <c r="PA13" i="6" s="1"/>
  <c r="OZ13" i="6" a="1"/>
  <c r="OZ13" i="6" s="1"/>
  <c r="OL13" i="6" a="1"/>
  <c r="OL13" i="6" s="1"/>
  <c r="OK13" i="6" a="1"/>
  <c r="OK13" i="6" s="1"/>
  <c r="OJ13" i="6" a="1"/>
  <c r="OJ13" i="6" s="1"/>
  <c r="OI13" i="6" a="1"/>
  <c r="OI13" i="6" s="1"/>
  <c r="OH13" i="6" a="1"/>
  <c r="OH13" i="6" s="1"/>
  <c r="NT13" i="6" a="1"/>
  <c r="NT13" i="6" s="1"/>
  <c r="NS13" i="6" a="1"/>
  <c r="NS13" i="6" s="1"/>
  <c r="NR13" i="6" a="1"/>
  <c r="NR13" i="6" s="1"/>
  <c r="NQ13" i="6" a="1"/>
  <c r="NQ13" i="6" s="1"/>
  <c r="NP13" i="6" a="1"/>
  <c r="NP13" i="6" s="1"/>
  <c r="NC13" i="6" a="1"/>
  <c r="NC13" i="6" s="1"/>
  <c r="NB13" i="6" a="1"/>
  <c r="NB13" i="6" s="1"/>
  <c r="NA13" i="6" a="1"/>
  <c r="NA13" i="6" s="1"/>
  <c r="MZ13" i="6" a="1"/>
  <c r="MZ13" i="6" s="1"/>
  <c r="MY13" i="6" a="1"/>
  <c r="MY13" i="6" s="1"/>
  <c r="MK13" i="6" a="1"/>
  <c r="MK13" i="6" s="1"/>
  <c r="MJ13" i="6" a="1"/>
  <c r="MJ13" i="6" s="1"/>
  <c r="MI13" i="6" a="1"/>
  <c r="MI13" i="6" s="1"/>
  <c r="MH13" i="6" a="1"/>
  <c r="MH13" i="6" s="1"/>
  <c r="MG13" i="6" a="1"/>
  <c r="MG13" i="6" s="1"/>
  <c r="LS13" i="6" a="1"/>
  <c r="LS13" i="6" s="1"/>
  <c r="LR13" i="6" a="1"/>
  <c r="LR13" i="6" s="1"/>
  <c r="LQ13" i="6" a="1"/>
  <c r="LQ13" i="6" s="1"/>
  <c r="LP13" i="6" a="1"/>
  <c r="LP13" i="6" s="1"/>
  <c r="LO13" i="6" a="1"/>
  <c r="LO13" i="6" s="1"/>
  <c r="LA13" i="6" a="1"/>
  <c r="LA13" i="6" s="1"/>
  <c r="KZ13" i="6" a="1"/>
  <c r="KZ13" i="6" s="1"/>
  <c r="KY13" i="6" a="1"/>
  <c r="KY13" i="6" s="1"/>
  <c r="KX13" i="6" a="1"/>
  <c r="KX13" i="6" s="1"/>
  <c r="KW13" i="6" a="1"/>
  <c r="KW13" i="6" s="1"/>
  <c r="KI13" i="6" a="1"/>
  <c r="KI13" i="6" s="1"/>
  <c r="KH13" i="6" a="1"/>
  <c r="KH13" i="6" s="1"/>
  <c r="KG13" i="6" a="1"/>
  <c r="KG13" i="6" s="1"/>
  <c r="KF13" i="6" a="1"/>
  <c r="KF13" i="6" s="1"/>
  <c r="KE13" i="6" a="1"/>
  <c r="KE13" i="6" s="1"/>
  <c r="JQ13" i="6" a="1"/>
  <c r="JQ13" i="6" s="1"/>
  <c r="JP13" i="6" a="1"/>
  <c r="JP13" i="6" s="1"/>
  <c r="JO13" i="6" a="1"/>
  <c r="JO13" i="6" s="1"/>
  <c r="JN13" i="6" a="1"/>
  <c r="JN13" i="6" s="1"/>
  <c r="JM13" i="6" a="1"/>
  <c r="JM13" i="6" s="1"/>
  <c r="IY13" i="6" a="1"/>
  <c r="IY13" i="6" s="1"/>
  <c r="IX13" i="6" a="1"/>
  <c r="IX13" i="6" s="1"/>
  <c r="IW13" i="6" a="1"/>
  <c r="IW13" i="6" s="1"/>
  <c r="IV13" i="6" a="1"/>
  <c r="IV13" i="6" s="1"/>
  <c r="IU13" i="6" a="1"/>
  <c r="IU13" i="6" s="1"/>
  <c r="IG13" i="6" a="1"/>
  <c r="IG13" i="6" s="1"/>
  <c r="IF13" i="6" a="1"/>
  <c r="IF13" i="6" s="1"/>
  <c r="IE13" i="6" a="1"/>
  <c r="IE13" i="6" s="1"/>
  <c r="ID13" i="6" a="1"/>
  <c r="ID13" i="6" s="1"/>
  <c r="IC13" i="6" a="1"/>
  <c r="IC13" i="6" s="1"/>
  <c r="HO13" i="6" a="1"/>
  <c r="HO13" i="6" s="1"/>
  <c r="HN13" i="6" a="1"/>
  <c r="HN13" i="6" s="1"/>
  <c r="HM13" i="6" a="1"/>
  <c r="HM13" i="6" s="1"/>
  <c r="HL13" i="6" a="1"/>
  <c r="HL13" i="6" s="1"/>
  <c r="HK13" i="6" a="1"/>
  <c r="HK13" i="6" s="1"/>
  <c r="GX13" i="6" a="1"/>
  <c r="GX13" i="6" s="1"/>
  <c r="GW13" i="6" a="1"/>
  <c r="GW13" i="6" s="1"/>
  <c r="GV13" i="6" a="1"/>
  <c r="GV13" i="6" s="1"/>
  <c r="GU13" i="6" a="1"/>
  <c r="GU13" i="6" s="1"/>
  <c r="GT13" i="6" a="1"/>
  <c r="GT13" i="6" s="1"/>
  <c r="GG13" i="6" a="1"/>
  <c r="GG13" i="6" s="1"/>
  <c r="GF13" i="6" a="1"/>
  <c r="GF13" i="6" s="1"/>
  <c r="GE13" i="6" a="1"/>
  <c r="GE13" i="6" s="1"/>
  <c r="GD13" i="6" a="1"/>
  <c r="GD13" i="6" s="1"/>
  <c r="GC13" i="6" a="1"/>
  <c r="GC13" i="6" s="1"/>
  <c r="FP13" i="6" a="1"/>
  <c r="FP13" i="6" s="1"/>
  <c r="FO13" i="6" a="1"/>
  <c r="FO13" i="6" s="1"/>
  <c r="FN13" i="6" a="1"/>
  <c r="FN13" i="6" s="1"/>
  <c r="FM13" i="6" a="1"/>
  <c r="FM13" i="6" s="1"/>
  <c r="FL13" i="6" a="1"/>
  <c r="FL13" i="6" s="1"/>
  <c r="EY13" i="6" a="1"/>
  <c r="EY13" i="6" s="1"/>
  <c r="EX13" i="6" a="1"/>
  <c r="EX13" i="6" s="1"/>
  <c r="EW13" i="6" a="1"/>
  <c r="EW13" i="6" s="1"/>
  <c r="EV13" i="6" a="1"/>
  <c r="EV13" i="6" s="1"/>
  <c r="EU13" i="6" a="1"/>
  <c r="EU13" i="6" s="1"/>
  <c r="EH13" i="6" a="1"/>
  <c r="EH13" i="6" s="1"/>
  <c r="EG13" i="6" a="1"/>
  <c r="EG13" i="6" s="1"/>
  <c r="EF13" i="6" a="1"/>
  <c r="EF13" i="6" s="1"/>
  <c r="EE13" i="6" a="1"/>
  <c r="EE13" i="6" s="1"/>
  <c r="ED13" i="6" a="1"/>
  <c r="ED13" i="6" s="1"/>
  <c r="DQ13" i="6" a="1"/>
  <c r="DQ13" i="6" s="1"/>
  <c r="DP13" i="6" a="1"/>
  <c r="DP13" i="6" s="1"/>
  <c r="DO13" i="6" a="1"/>
  <c r="DO13" i="6" s="1"/>
  <c r="DN13" i="6" a="1"/>
  <c r="DN13" i="6" s="1"/>
  <c r="DM13" i="6" a="1"/>
  <c r="DM13" i="6" s="1"/>
  <c r="DD13" i="6" a="1"/>
  <c r="DD13" i="6" s="1"/>
  <c r="CU13" i="6" a="1"/>
  <c r="CU13" i="6" s="1"/>
  <c r="CL13" i="6" a="1"/>
  <c r="CL13" i="6" s="1"/>
  <c r="BX13" i="6" a="1"/>
  <c r="BX13" i="6" s="1"/>
  <c r="BW13" i="6" a="1"/>
  <c r="BW13" i="6" s="1"/>
  <c r="BV13" i="6" a="1"/>
  <c r="BV13" i="6" s="1"/>
  <c r="BU13" i="6" a="1"/>
  <c r="BU13" i="6" s="1"/>
  <c r="BT13" i="6" a="1"/>
  <c r="BT13" i="6" s="1"/>
  <c r="BS13" i="6" a="1"/>
  <c r="BS13" i="6" s="1"/>
  <c r="BA13" i="6" a="1"/>
  <c r="BA13" i="6" s="1"/>
  <c r="AZ13" i="6" a="1"/>
  <c r="AZ13" i="6" s="1"/>
  <c r="AY13" i="6" a="1"/>
  <c r="AY13" i="6" s="1"/>
  <c r="AX13" i="6" a="1"/>
  <c r="AX13" i="6" s="1"/>
  <c r="AW13" i="6" a="1"/>
  <c r="AW13" i="6" s="1"/>
  <c r="AV13" i="6" a="1"/>
  <c r="AV13" i="6" s="1"/>
  <c r="AU13" i="6" a="1"/>
  <c r="AU13" i="6" s="1"/>
  <c r="AT13" i="6" a="1"/>
  <c r="AT13" i="6" s="1"/>
  <c r="AS13" i="6" a="1"/>
  <c r="AS13" i="6" s="1"/>
  <c r="AR13" i="6" a="1"/>
  <c r="AR13" i="6" s="1"/>
  <c r="AH13" i="6" a="1"/>
  <c r="AH13" i="6" s="1"/>
  <c r="AG13" i="6" a="1"/>
  <c r="AG13" i="6" s="1"/>
  <c r="V13" i="6" a="1"/>
  <c r="V13" i="6" s="1"/>
  <c r="U13" i="6" a="1"/>
  <c r="U13" i="6" s="1"/>
  <c r="J13" i="6" a="1"/>
  <c r="J13" i="6" s="1"/>
  <c r="I13" i="6" a="1"/>
  <c r="I13" i="6" s="1"/>
  <c r="ADA12" i="6" a="1"/>
  <c r="ADA12" i="6" s="1"/>
  <c r="ACZ12" i="6" a="1"/>
  <c r="ACZ12" i="6" s="1"/>
  <c r="ACY12" i="6" a="1"/>
  <c r="ACY12" i="6" s="1"/>
  <c r="ACN12" i="6" a="1"/>
  <c r="ACN12" i="6" s="1"/>
  <c r="ACM12" i="6" a="1"/>
  <c r="ACM12" i="6" s="1"/>
  <c r="ABU12" i="6" a="1"/>
  <c r="ABU12" i="6" s="1"/>
  <c r="ABX12" i="6" a="1"/>
  <c r="ABX12" i="6" s="1"/>
  <c r="ABV12" i="6" a="1"/>
  <c r="ABV12" i="6" s="1"/>
  <c r="ABH12" i="6" a="1"/>
  <c r="ABH12" i="6" s="1"/>
  <c r="ABG12" i="6" a="1"/>
  <c r="ABG12" i="6" s="1"/>
  <c r="ABF12" i="6" a="1"/>
  <c r="ABF12" i="6" s="1"/>
  <c r="ABE12" i="6" a="1"/>
  <c r="ABE12" i="6" s="1"/>
  <c r="ABD12" i="6" a="1"/>
  <c r="ABD12" i="6" s="1"/>
  <c r="ZR12" i="6" a="1"/>
  <c r="ZR12" i="6" s="1"/>
  <c r="ZE12" i="6" a="1"/>
  <c r="ZE12" i="6" s="1"/>
  <c r="ZD12" i="6" a="1"/>
  <c r="ZD12" i="6" s="1"/>
  <c r="ZC12" i="6" a="1"/>
  <c r="ZC12" i="6" s="1"/>
  <c r="ZB12" i="6" a="1"/>
  <c r="ZB12" i="6" s="1"/>
  <c r="ZA12" i="6" a="1"/>
  <c r="ZA12" i="6" s="1"/>
  <c r="YP12" i="6" a="1"/>
  <c r="YP12" i="6" s="1"/>
  <c r="YO12" i="6" a="1"/>
  <c r="YO12" i="6" s="1"/>
  <c r="YE12" i="6" a="1"/>
  <c r="YE12" i="6" s="1"/>
  <c r="YD12" i="6" a="1"/>
  <c r="YD12" i="6" s="1"/>
  <c r="XT12" i="6" a="1"/>
  <c r="XT12" i="6" s="1"/>
  <c r="XS12" i="6" a="1"/>
  <c r="XS12" i="6" s="1"/>
  <c r="XI12" i="6" a="1"/>
  <c r="XI12" i="6" s="1"/>
  <c r="XH12" i="6" a="1"/>
  <c r="XH12" i="6" s="1"/>
  <c r="WX12" i="6" a="1"/>
  <c r="WX12" i="6" s="1"/>
  <c r="WW12" i="6" a="1"/>
  <c r="WW12" i="6" s="1"/>
  <c r="WM12" i="6" a="1"/>
  <c r="WM12" i="6" s="1"/>
  <c r="WL12" i="6" a="1"/>
  <c r="WL12" i="6" s="1"/>
  <c r="WC12" i="6" a="1"/>
  <c r="WC12" i="6" s="1"/>
  <c r="VQ12" i="6" a="1"/>
  <c r="VQ12" i="6" s="1"/>
  <c r="VP12" i="6" a="1"/>
  <c r="VP12" i="6" s="1"/>
  <c r="VO12" i="6" a="1"/>
  <c r="VO12" i="6" s="1"/>
  <c r="VN12" i="6" a="1"/>
  <c r="VN12" i="6" s="1"/>
  <c r="VA12" i="6" a="1"/>
  <c r="VA12" i="6" s="1"/>
  <c r="UZ12" i="6" a="1"/>
  <c r="UZ12" i="6" s="1"/>
  <c r="UY12" i="6" a="1"/>
  <c r="UY12" i="6" s="1"/>
  <c r="UX12" i="6" a="1"/>
  <c r="UX12" i="6" s="1"/>
  <c r="UW12" i="6" a="1"/>
  <c r="UW12" i="6" s="1"/>
  <c r="UM12" i="6" a="1"/>
  <c r="UM12" i="6" s="1"/>
  <c r="TZ12" i="6" a="1"/>
  <c r="TZ12" i="6" s="1"/>
  <c r="TY12" i="6" a="1"/>
  <c r="TY12" i="6" s="1"/>
  <c r="TX12" i="6" a="1"/>
  <c r="TX12" i="6" s="1"/>
  <c r="TW12" i="6" a="1"/>
  <c r="TW12" i="6" s="1"/>
  <c r="TV12" i="6" a="1"/>
  <c r="TV12" i="6" s="1"/>
  <c r="TH12" i="6" a="1"/>
  <c r="TH12" i="6" s="1"/>
  <c r="TG12" i="6" a="1"/>
  <c r="TG12" i="6" s="1"/>
  <c r="TF12" i="6" a="1"/>
  <c r="TF12" i="6" s="1"/>
  <c r="TE12" i="6" a="1"/>
  <c r="TE12" i="6" s="1"/>
  <c r="TD12" i="6" a="1"/>
  <c r="TD12" i="6" s="1"/>
  <c r="SP12" i="6" a="1"/>
  <c r="SP12" i="6" s="1"/>
  <c r="SO12" i="6" a="1"/>
  <c r="SO12" i="6" s="1"/>
  <c r="SN12" i="6" a="1"/>
  <c r="SN12" i="6" s="1"/>
  <c r="SM12" i="6" a="1"/>
  <c r="SM12" i="6" s="1"/>
  <c r="SL12" i="6" a="1"/>
  <c r="SL12" i="6" s="1"/>
  <c r="RX12" i="6" a="1"/>
  <c r="RX12" i="6" s="1"/>
  <c r="RW12" i="6" a="1"/>
  <c r="RW12" i="6" s="1"/>
  <c r="RV12" i="6" a="1"/>
  <c r="RV12" i="6" s="1"/>
  <c r="RU12" i="6" a="1"/>
  <c r="RU12" i="6" s="1"/>
  <c r="RT12" i="6" a="1"/>
  <c r="RT12" i="6" s="1"/>
  <c r="RF12" i="6" a="1"/>
  <c r="RF12" i="6" s="1"/>
  <c r="RE12" i="6" a="1"/>
  <c r="RE12" i="6" s="1"/>
  <c r="RD12" i="6" a="1"/>
  <c r="RD12" i="6" s="1"/>
  <c r="RC12" i="6" a="1"/>
  <c r="RC12" i="6" s="1"/>
  <c r="RB12" i="6" a="1"/>
  <c r="RB12" i="6" s="1"/>
  <c r="QN12" i="6" a="1"/>
  <c r="QN12" i="6" s="1"/>
  <c r="QM12" i="6" a="1"/>
  <c r="QM12" i="6" s="1"/>
  <c r="QL12" i="6" a="1"/>
  <c r="QL12" i="6" s="1"/>
  <c r="QK12" i="6" a="1"/>
  <c r="QK12" i="6" s="1"/>
  <c r="QJ12" i="6" a="1"/>
  <c r="QJ12" i="6" s="1"/>
  <c r="PV12" i="6" a="1"/>
  <c r="PV12" i="6" s="1"/>
  <c r="PU12" i="6" a="1"/>
  <c r="PU12" i="6" s="1"/>
  <c r="PT12" i="6" a="1"/>
  <c r="PT12" i="6" s="1"/>
  <c r="PS12" i="6" a="1"/>
  <c r="PS12" i="6" s="1"/>
  <c r="PR12" i="6" a="1"/>
  <c r="PR12" i="6" s="1"/>
  <c r="PD12" i="6" a="1"/>
  <c r="PD12" i="6" s="1"/>
  <c r="PC12" i="6" a="1"/>
  <c r="PC12" i="6" s="1"/>
  <c r="PB12" i="6" a="1"/>
  <c r="PB12" i="6" s="1"/>
  <c r="PA12" i="6" a="1"/>
  <c r="PA12" i="6" s="1"/>
  <c r="OZ12" i="6" a="1"/>
  <c r="OZ12" i="6" s="1"/>
  <c r="OL12" i="6" a="1"/>
  <c r="OL12" i="6" s="1"/>
  <c r="OK12" i="6" a="1"/>
  <c r="OK12" i="6" s="1"/>
  <c r="OJ12" i="6" a="1"/>
  <c r="OJ12" i="6" s="1"/>
  <c r="OI12" i="6" a="1"/>
  <c r="OI12" i="6" s="1"/>
  <c r="OH12" i="6" a="1"/>
  <c r="OH12" i="6" s="1"/>
  <c r="NT12" i="6" a="1"/>
  <c r="NT12" i="6" s="1"/>
  <c r="NS12" i="6" a="1"/>
  <c r="NS12" i="6" s="1"/>
  <c r="NR12" i="6" a="1"/>
  <c r="NR12" i="6" s="1"/>
  <c r="NQ12" i="6" a="1"/>
  <c r="NQ12" i="6" s="1"/>
  <c r="NP12" i="6" a="1"/>
  <c r="NP12" i="6" s="1"/>
  <c r="NC12" i="6" a="1"/>
  <c r="NC12" i="6" s="1"/>
  <c r="NB12" i="6" a="1"/>
  <c r="NB12" i="6" s="1"/>
  <c r="NA12" i="6" a="1"/>
  <c r="NA12" i="6" s="1"/>
  <c r="MZ12" i="6" a="1"/>
  <c r="MZ12" i="6" s="1"/>
  <c r="MY12" i="6" a="1"/>
  <c r="MY12" i="6" s="1"/>
  <c r="MK12" i="6" a="1"/>
  <c r="MK12" i="6" s="1"/>
  <c r="MJ12" i="6" a="1"/>
  <c r="MJ12" i="6" s="1"/>
  <c r="MI12" i="6" a="1"/>
  <c r="MI12" i="6" s="1"/>
  <c r="MH12" i="6" a="1"/>
  <c r="MH12" i="6" s="1"/>
  <c r="MG12" i="6" a="1"/>
  <c r="MG12" i="6" s="1"/>
  <c r="LS12" i="6" a="1"/>
  <c r="LS12" i="6" s="1"/>
  <c r="LR12" i="6" a="1"/>
  <c r="LR12" i="6" s="1"/>
  <c r="LQ12" i="6" a="1"/>
  <c r="LQ12" i="6" s="1"/>
  <c r="LP12" i="6" a="1"/>
  <c r="LP12" i="6" s="1"/>
  <c r="LO12" i="6" a="1"/>
  <c r="LO12" i="6" s="1"/>
  <c r="LA12" i="6" a="1"/>
  <c r="LA12" i="6" s="1"/>
  <c r="KZ12" i="6" a="1"/>
  <c r="KZ12" i="6" s="1"/>
  <c r="KY12" i="6" a="1"/>
  <c r="KY12" i="6" s="1"/>
  <c r="KX12" i="6" a="1"/>
  <c r="KX12" i="6" s="1"/>
  <c r="KW12" i="6" a="1"/>
  <c r="KW12" i="6" s="1"/>
  <c r="KI12" i="6" a="1"/>
  <c r="KI12" i="6" s="1"/>
  <c r="KH12" i="6" a="1"/>
  <c r="KH12" i="6" s="1"/>
  <c r="KG12" i="6" a="1"/>
  <c r="KG12" i="6" s="1"/>
  <c r="KF12" i="6" a="1"/>
  <c r="KF12" i="6" s="1"/>
  <c r="KE12" i="6" a="1"/>
  <c r="KE12" i="6" s="1"/>
  <c r="JQ12" i="6" a="1"/>
  <c r="JQ12" i="6" s="1"/>
  <c r="JP12" i="6" a="1"/>
  <c r="JP12" i="6" s="1"/>
  <c r="JO12" i="6" a="1"/>
  <c r="JO12" i="6" s="1"/>
  <c r="JN12" i="6" a="1"/>
  <c r="JN12" i="6" s="1"/>
  <c r="JM12" i="6" a="1"/>
  <c r="JM12" i="6" s="1"/>
  <c r="IY12" i="6" a="1"/>
  <c r="IY12" i="6" s="1"/>
  <c r="IX12" i="6" a="1"/>
  <c r="IX12" i="6" s="1"/>
  <c r="IW12" i="6" a="1"/>
  <c r="IW12" i="6" s="1"/>
  <c r="IV12" i="6" a="1"/>
  <c r="IV12" i="6" s="1"/>
  <c r="IU12" i="6" a="1"/>
  <c r="IU12" i="6" s="1"/>
  <c r="IG12" i="6" a="1"/>
  <c r="IG12" i="6" s="1"/>
  <c r="IF12" i="6" a="1"/>
  <c r="IF12" i="6" s="1"/>
  <c r="IE12" i="6" a="1"/>
  <c r="IE12" i="6" s="1"/>
  <c r="ID12" i="6" a="1"/>
  <c r="ID12" i="6" s="1"/>
  <c r="IC12" i="6" a="1"/>
  <c r="IC12" i="6" s="1"/>
  <c r="HO12" i="6" a="1"/>
  <c r="HO12" i="6" s="1"/>
  <c r="HN12" i="6" a="1"/>
  <c r="HN12" i="6" s="1"/>
  <c r="HM12" i="6" a="1"/>
  <c r="HM12" i="6" s="1"/>
  <c r="HL12" i="6" a="1"/>
  <c r="HL12" i="6" s="1"/>
  <c r="HK12" i="6" a="1"/>
  <c r="HK12" i="6" s="1"/>
  <c r="GX12" i="6" a="1"/>
  <c r="GX12" i="6" s="1"/>
  <c r="GW12" i="6" a="1"/>
  <c r="GW12" i="6" s="1"/>
  <c r="GV12" i="6" a="1"/>
  <c r="GV12" i="6" s="1"/>
  <c r="GU12" i="6" a="1"/>
  <c r="GU12" i="6" s="1"/>
  <c r="GT12" i="6" a="1"/>
  <c r="GT12" i="6" s="1"/>
  <c r="GG12" i="6" a="1"/>
  <c r="GG12" i="6" s="1"/>
  <c r="GF12" i="6" a="1"/>
  <c r="GF12" i="6" s="1"/>
  <c r="GE12" i="6" a="1"/>
  <c r="GE12" i="6" s="1"/>
  <c r="GD12" i="6" a="1"/>
  <c r="GD12" i="6" s="1"/>
  <c r="GC12" i="6" a="1"/>
  <c r="GC12" i="6" s="1"/>
  <c r="FP12" i="6" a="1"/>
  <c r="FP12" i="6" s="1"/>
  <c r="FO12" i="6" a="1"/>
  <c r="FO12" i="6" s="1"/>
  <c r="FN12" i="6" a="1"/>
  <c r="FN12" i="6" s="1"/>
  <c r="FM12" i="6" a="1"/>
  <c r="FM12" i="6" s="1"/>
  <c r="FL12" i="6" a="1"/>
  <c r="FL12" i="6" s="1"/>
  <c r="EY12" i="6" a="1"/>
  <c r="EY12" i="6" s="1"/>
  <c r="EX12" i="6" a="1"/>
  <c r="EX12" i="6" s="1"/>
  <c r="EW12" i="6" a="1"/>
  <c r="EW12" i="6" s="1"/>
  <c r="EV12" i="6" a="1"/>
  <c r="EV12" i="6" s="1"/>
  <c r="EU12" i="6" a="1"/>
  <c r="EU12" i="6" s="1"/>
  <c r="EH12" i="6" a="1"/>
  <c r="EH12" i="6" s="1"/>
  <c r="EG12" i="6" a="1"/>
  <c r="EG12" i="6" s="1"/>
  <c r="EF12" i="6" a="1"/>
  <c r="EF12" i="6" s="1"/>
  <c r="EE12" i="6" a="1"/>
  <c r="EE12" i="6" s="1"/>
  <c r="ED12" i="6" a="1"/>
  <c r="ED12" i="6" s="1"/>
  <c r="DQ12" i="6" a="1"/>
  <c r="DQ12" i="6" s="1"/>
  <c r="DP12" i="6" a="1"/>
  <c r="DP12" i="6" s="1"/>
  <c r="DO12" i="6" a="1"/>
  <c r="DO12" i="6" s="1"/>
  <c r="DN12" i="6" a="1"/>
  <c r="DN12" i="6" s="1"/>
  <c r="DM12" i="6" a="1"/>
  <c r="DM12" i="6" s="1"/>
  <c r="DD12" i="6" a="1"/>
  <c r="DD12" i="6" s="1"/>
  <c r="CU12" i="6" a="1"/>
  <c r="CU12" i="6" s="1"/>
  <c r="CL12" i="6" a="1"/>
  <c r="CL12" i="6" s="1"/>
  <c r="BX12" i="6" a="1"/>
  <c r="BX12" i="6" s="1"/>
  <c r="BW12" i="6" a="1"/>
  <c r="BW12" i="6" s="1"/>
  <c r="BV12" i="6" a="1"/>
  <c r="BV12" i="6" s="1"/>
  <c r="BU12" i="6" a="1"/>
  <c r="BU12" i="6" s="1"/>
  <c r="BT12" i="6" a="1"/>
  <c r="BT12" i="6" s="1"/>
  <c r="BS12" i="6" a="1"/>
  <c r="BS12" i="6" s="1"/>
  <c r="BA12" i="6" a="1"/>
  <c r="BA12" i="6" s="1"/>
  <c r="AZ12" i="6" a="1"/>
  <c r="AZ12" i="6" s="1"/>
  <c r="AY12" i="6" a="1"/>
  <c r="AY12" i="6" s="1"/>
  <c r="AX12" i="6" a="1"/>
  <c r="AX12" i="6" s="1"/>
  <c r="AW12" i="6" a="1"/>
  <c r="AW12" i="6" s="1"/>
  <c r="AV12" i="6" a="1"/>
  <c r="AV12" i="6" s="1"/>
  <c r="AU12" i="6" a="1"/>
  <c r="AU12" i="6" s="1"/>
  <c r="AT12" i="6" a="1"/>
  <c r="AT12" i="6" s="1"/>
  <c r="AS12" i="6" a="1"/>
  <c r="AS12" i="6" s="1"/>
  <c r="AR12" i="6" a="1"/>
  <c r="AR12" i="6" s="1"/>
  <c r="AH12" i="6" a="1"/>
  <c r="AH12" i="6" s="1"/>
  <c r="AG12" i="6" a="1"/>
  <c r="AG12" i="6" s="1"/>
  <c r="V12" i="6" a="1"/>
  <c r="V12" i="6" s="1"/>
  <c r="U12" i="6" a="1"/>
  <c r="U12" i="6" s="1"/>
  <c r="J12" i="6" a="1"/>
  <c r="J12" i="6" s="1"/>
  <c r="I12" i="6" a="1"/>
  <c r="I12" i="6" s="1"/>
  <c r="ADA11" i="6" a="1"/>
  <c r="ADA11" i="6" s="1"/>
  <c r="ACZ11" i="6" a="1"/>
  <c r="ACZ11" i="6" s="1"/>
  <c r="ACY11" i="6" a="1"/>
  <c r="ACY11" i="6" s="1"/>
  <c r="ACN11" i="6" a="1"/>
  <c r="ACN11" i="6" s="1"/>
  <c r="ACM11" i="6" a="1"/>
  <c r="ACM11" i="6" s="1"/>
  <c r="ABU11" i="6" a="1"/>
  <c r="ABU11" i="6" s="1"/>
  <c r="ABX11" i="6" a="1"/>
  <c r="ABX11" i="6" s="1"/>
  <c r="ABV11" i="6" a="1"/>
  <c r="ABV11" i="6" s="1"/>
  <c r="ABH11" i="6" a="1"/>
  <c r="ABH11" i="6" s="1"/>
  <c r="ABG11" i="6" a="1"/>
  <c r="ABG11" i="6" s="1"/>
  <c r="ABF11" i="6" a="1"/>
  <c r="ABF11" i="6" s="1"/>
  <c r="ABE11" i="6" a="1"/>
  <c r="ABE11" i="6" s="1"/>
  <c r="ABD11" i="6" a="1"/>
  <c r="ABD11" i="6" s="1"/>
  <c r="ZR11" i="6" a="1"/>
  <c r="ZR11" i="6" s="1"/>
  <c r="ZE11" i="6" a="1"/>
  <c r="ZE11" i="6" s="1"/>
  <c r="ZD11" i="6" a="1"/>
  <c r="ZD11" i="6" s="1"/>
  <c r="ZC11" i="6" a="1"/>
  <c r="ZC11" i="6" s="1"/>
  <c r="ZB11" i="6" a="1"/>
  <c r="ZB11" i="6" s="1"/>
  <c r="ZA11" i="6" a="1"/>
  <c r="ZA11" i="6" s="1"/>
  <c r="YP11" i="6" a="1"/>
  <c r="YP11" i="6" s="1"/>
  <c r="YO11" i="6" a="1"/>
  <c r="YO11" i="6" s="1"/>
  <c r="YE11" i="6" a="1"/>
  <c r="YE11" i="6" s="1"/>
  <c r="YD11" i="6" a="1"/>
  <c r="YD11" i="6" s="1"/>
  <c r="XT11" i="6" a="1"/>
  <c r="XT11" i="6" s="1"/>
  <c r="XS11" i="6" a="1"/>
  <c r="XS11" i="6" s="1"/>
  <c r="XI11" i="6" a="1"/>
  <c r="XI11" i="6" s="1"/>
  <c r="XH11" i="6" a="1"/>
  <c r="XH11" i="6" s="1"/>
  <c r="WX11" i="6" a="1"/>
  <c r="WX11" i="6" s="1"/>
  <c r="WW11" i="6" a="1"/>
  <c r="WW11" i="6" s="1"/>
  <c r="WM11" i="6" a="1"/>
  <c r="WM11" i="6" s="1"/>
  <c r="WL11" i="6" a="1"/>
  <c r="WL11" i="6" s="1"/>
  <c r="WC11" i="6" a="1"/>
  <c r="WC11" i="6" s="1"/>
  <c r="VQ11" i="6" a="1"/>
  <c r="VQ11" i="6" s="1"/>
  <c r="VP11" i="6" a="1"/>
  <c r="VP11" i="6" s="1"/>
  <c r="VO11" i="6" a="1"/>
  <c r="VO11" i="6" s="1"/>
  <c r="VN11" i="6" a="1"/>
  <c r="VN11" i="6" s="1"/>
  <c r="VA11" i="6" a="1"/>
  <c r="VA11" i="6" s="1"/>
  <c r="UZ11" i="6" a="1"/>
  <c r="UZ11" i="6" s="1"/>
  <c r="UY11" i="6" a="1"/>
  <c r="UY11" i="6" s="1"/>
  <c r="UX11" i="6" a="1"/>
  <c r="UX11" i="6" s="1"/>
  <c r="UW11" i="6" a="1"/>
  <c r="UW11" i="6" s="1"/>
  <c r="UM11" i="6" a="1"/>
  <c r="UM11" i="6" s="1"/>
  <c r="TZ11" i="6" a="1"/>
  <c r="TZ11" i="6" s="1"/>
  <c r="TY11" i="6" a="1"/>
  <c r="TY11" i="6" s="1"/>
  <c r="TX11" i="6" a="1"/>
  <c r="TX11" i="6" s="1"/>
  <c r="TW11" i="6" a="1"/>
  <c r="TW11" i="6" s="1"/>
  <c r="TV11" i="6" a="1"/>
  <c r="TV11" i="6" s="1"/>
  <c r="TH11" i="6" a="1"/>
  <c r="TH11" i="6" s="1"/>
  <c r="TG11" i="6" a="1"/>
  <c r="TG11" i="6" s="1"/>
  <c r="TF11" i="6" a="1"/>
  <c r="TF11" i="6" s="1"/>
  <c r="TE11" i="6" a="1"/>
  <c r="TE11" i="6" s="1"/>
  <c r="TD11" i="6" a="1"/>
  <c r="TD11" i="6" s="1"/>
  <c r="SP11" i="6" a="1"/>
  <c r="SP11" i="6" s="1"/>
  <c r="SO11" i="6" a="1"/>
  <c r="SO11" i="6" s="1"/>
  <c r="SN11" i="6" a="1"/>
  <c r="SN11" i="6" s="1"/>
  <c r="SM11" i="6" a="1"/>
  <c r="SM11" i="6" s="1"/>
  <c r="SL11" i="6" a="1"/>
  <c r="SL11" i="6" s="1"/>
  <c r="RX11" i="6" a="1"/>
  <c r="RX11" i="6" s="1"/>
  <c r="RW11" i="6" a="1"/>
  <c r="RW11" i="6" s="1"/>
  <c r="RV11" i="6" a="1"/>
  <c r="RV11" i="6" s="1"/>
  <c r="RU11" i="6" a="1"/>
  <c r="RU11" i="6" s="1"/>
  <c r="RT11" i="6" a="1"/>
  <c r="RT11" i="6" s="1"/>
  <c r="RF11" i="6" a="1"/>
  <c r="RF11" i="6" s="1"/>
  <c r="RE11" i="6" a="1"/>
  <c r="RE11" i="6" s="1"/>
  <c r="RD11" i="6" a="1"/>
  <c r="RD11" i="6" s="1"/>
  <c r="RC11" i="6" a="1"/>
  <c r="RC11" i="6" s="1"/>
  <c r="RB11" i="6" a="1"/>
  <c r="RB11" i="6" s="1"/>
  <c r="QN11" i="6" a="1"/>
  <c r="QN11" i="6" s="1"/>
  <c r="QM11" i="6" a="1"/>
  <c r="QM11" i="6" s="1"/>
  <c r="QL11" i="6" a="1"/>
  <c r="QL11" i="6" s="1"/>
  <c r="QK11" i="6" a="1"/>
  <c r="QK11" i="6" s="1"/>
  <c r="QJ11" i="6" a="1"/>
  <c r="QJ11" i="6" s="1"/>
  <c r="PV11" i="6" a="1"/>
  <c r="PV11" i="6" s="1"/>
  <c r="PU11" i="6" a="1"/>
  <c r="PU11" i="6" s="1"/>
  <c r="PT11" i="6" a="1"/>
  <c r="PT11" i="6" s="1"/>
  <c r="PS11" i="6" a="1"/>
  <c r="PS11" i="6" s="1"/>
  <c r="PR11" i="6" a="1"/>
  <c r="PR11" i="6" s="1"/>
  <c r="PD11" i="6" a="1"/>
  <c r="PD11" i="6" s="1"/>
  <c r="PC11" i="6" a="1"/>
  <c r="PC11" i="6" s="1"/>
  <c r="PB11" i="6" a="1"/>
  <c r="PB11" i="6" s="1"/>
  <c r="PA11" i="6" a="1"/>
  <c r="PA11" i="6" s="1"/>
  <c r="OZ11" i="6" a="1"/>
  <c r="OZ11" i="6" s="1"/>
  <c r="OL11" i="6" a="1"/>
  <c r="OL11" i="6" s="1"/>
  <c r="OK11" i="6" a="1"/>
  <c r="OK11" i="6" s="1"/>
  <c r="OJ11" i="6" a="1"/>
  <c r="OJ11" i="6" s="1"/>
  <c r="OI11" i="6" a="1"/>
  <c r="OI11" i="6" s="1"/>
  <c r="OH11" i="6" a="1"/>
  <c r="OH11" i="6" s="1"/>
  <c r="NT11" i="6" a="1"/>
  <c r="NT11" i="6" s="1"/>
  <c r="NS11" i="6" a="1"/>
  <c r="NS11" i="6" s="1"/>
  <c r="NR11" i="6" a="1"/>
  <c r="NR11" i="6" s="1"/>
  <c r="NQ11" i="6" a="1"/>
  <c r="NQ11" i="6" s="1"/>
  <c r="NP11" i="6" a="1"/>
  <c r="NP11" i="6" s="1"/>
  <c r="NC11" i="6" a="1"/>
  <c r="NC11" i="6" s="1"/>
  <c r="NB11" i="6" a="1"/>
  <c r="NB11" i="6" s="1"/>
  <c r="NA11" i="6" a="1"/>
  <c r="NA11" i="6" s="1"/>
  <c r="MZ11" i="6" a="1"/>
  <c r="MZ11" i="6" s="1"/>
  <c r="MY11" i="6" a="1"/>
  <c r="MY11" i="6" s="1"/>
  <c r="MK11" i="6" a="1"/>
  <c r="MK11" i="6" s="1"/>
  <c r="MJ11" i="6" a="1"/>
  <c r="MJ11" i="6" s="1"/>
  <c r="MI11" i="6" a="1"/>
  <c r="MI11" i="6" s="1"/>
  <c r="MH11" i="6" a="1"/>
  <c r="MH11" i="6" s="1"/>
  <c r="MG11" i="6" a="1"/>
  <c r="MG11" i="6" s="1"/>
  <c r="LS11" i="6" a="1"/>
  <c r="LS11" i="6" s="1"/>
  <c r="LR11" i="6" a="1"/>
  <c r="LR11" i="6" s="1"/>
  <c r="LQ11" i="6" a="1"/>
  <c r="LQ11" i="6" s="1"/>
  <c r="LP11" i="6" a="1"/>
  <c r="LP11" i="6" s="1"/>
  <c r="LO11" i="6" a="1"/>
  <c r="LO11" i="6" s="1"/>
  <c r="LA11" i="6" a="1"/>
  <c r="LA11" i="6" s="1"/>
  <c r="KZ11" i="6" a="1"/>
  <c r="KZ11" i="6" s="1"/>
  <c r="KY11" i="6" a="1"/>
  <c r="KY11" i="6" s="1"/>
  <c r="KX11" i="6" a="1"/>
  <c r="KX11" i="6" s="1"/>
  <c r="KW11" i="6" a="1"/>
  <c r="KW11" i="6" s="1"/>
  <c r="KI11" i="6" a="1"/>
  <c r="KI11" i="6" s="1"/>
  <c r="KH11" i="6" a="1"/>
  <c r="KH11" i="6" s="1"/>
  <c r="KG11" i="6" a="1"/>
  <c r="KG11" i="6" s="1"/>
  <c r="KF11" i="6" a="1"/>
  <c r="KF11" i="6" s="1"/>
  <c r="KE11" i="6" a="1"/>
  <c r="KE11" i="6" s="1"/>
  <c r="JQ11" i="6" a="1"/>
  <c r="JQ11" i="6" s="1"/>
  <c r="JP11" i="6" a="1"/>
  <c r="JP11" i="6" s="1"/>
  <c r="JO11" i="6" a="1"/>
  <c r="JO11" i="6" s="1"/>
  <c r="JN11" i="6" a="1"/>
  <c r="JN11" i="6" s="1"/>
  <c r="JM11" i="6" a="1"/>
  <c r="JM11" i="6" s="1"/>
  <c r="IY11" i="6" a="1"/>
  <c r="IY11" i="6" s="1"/>
  <c r="IX11" i="6" a="1"/>
  <c r="IX11" i="6" s="1"/>
  <c r="IW11" i="6" a="1"/>
  <c r="IW11" i="6" s="1"/>
  <c r="IV11" i="6" a="1"/>
  <c r="IV11" i="6" s="1"/>
  <c r="IU11" i="6" a="1"/>
  <c r="IU11" i="6" s="1"/>
  <c r="IG11" i="6" a="1"/>
  <c r="IG11" i="6" s="1"/>
  <c r="IF11" i="6" a="1"/>
  <c r="IF11" i="6" s="1"/>
  <c r="IE11" i="6" a="1"/>
  <c r="IE11" i="6" s="1"/>
  <c r="ID11" i="6" a="1"/>
  <c r="ID11" i="6" s="1"/>
  <c r="IC11" i="6" a="1"/>
  <c r="IC11" i="6" s="1"/>
  <c r="HO11" i="6" a="1"/>
  <c r="HO11" i="6" s="1"/>
  <c r="HN11" i="6" a="1"/>
  <c r="HN11" i="6" s="1"/>
  <c r="HM11" i="6" a="1"/>
  <c r="HM11" i="6" s="1"/>
  <c r="HL11" i="6" a="1"/>
  <c r="HL11" i="6" s="1"/>
  <c r="HK11" i="6" a="1"/>
  <c r="HK11" i="6" s="1"/>
  <c r="GX11" i="6" a="1"/>
  <c r="GX11" i="6" s="1"/>
  <c r="GW11" i="6" a="1"/>
  <c r="GW11" i="6" s="1"/>
  <c r="GV11" i="6" a="1"/>
  <c r="GV11" i="6" s="1"/>
  <c r="GU11" i="6" a="1"/>
  <c r="GU11" i="6" s="1"/>
  <c r="GT11" i="6" a="1"/>
  <c r="GT11" i="6" s="1"/>
  <c r="GG11" i="6" a="1"/>
  <c r="GG11" i="6" s="1"/>
  <c r="GF11" i="6" a="1"/>
  <c r="GF11" i="6" s="1"/>
  <c r="GE11" i="6" a="1"/>
  <c r="GE11" i="6" s="1"/>
  <c r="GD11" i="6" a="1"/>
  <c r="GD11" i="6" s="1"/>
  <c r="GC11" i="6" a="1"/>
  <c r="GC11" i="6" s="1"/>
  <c r="FP11" i="6" a="1"/>
  <c r="FP11" i="6" s="1"/>
  <c r="FO11" i="6" a="1"/>
  <c r="FO11" i="6" s="1"/>
  <c r="FN11" i="6" a="1"/>
  <c r="FN11" i="6" s="1"/>
  <c r="FM11" i="6" a="1"/>
  <c r="FM11" i="6" s="1"/>
  <c r="FL11" i="6" a="1"/>
  <c r="FL11" i="6" s="1"/>
  <c r="EY11" i="6" a="1"/>
  <c r="EY11" i="6" s="1"/>
  <c r="EX11" i="6" a="1"/>
  <c r="EX11" i="6" s="1"/>
  <c r="EW11" i="6" a="1"/>
  <c r="EW11" i="6" s="1"/>
  <c r="EV11" i="6" a="1"/>
  <c r="EV11" i="6" s="1"/>
  <c r="EU11" i="6" a="1"/>
  <c r="EU11" i="6" s="1"/>
  <c r="EH11" i="6" a="1"/>
  <c r="EH11" i="6" s="1"/>
  <c r="EG11" i="6" a="1"/>
  <c r="EG11" i="6" s="1"/>
  <c r="EF11" i="6" a="1"/>
  <c r="EF11" i="6" s="1"/>
  <c r="EE11" i="6" a="1"/>
  <c r="EE11" i="6" s="1"/>
  <c r="ED11" i="6" a="1"/>
  <c r="ED11" i="6" s="1"/>
  <c r="DQ11" i="6" a="1"/>
  <c r="DQ11" i="6" s="1"/>
  <c r="DP11" i="6" a="1"/>
  <c r="DP11" i="6" s="1"/>
  <c r="DO11" i="6" a="1"/>
  <c r="DO11" i="6" s="1"/>
  <c r="DN11" i="6" a="1"/>
  <c r="DN11" i="6" s="1"/>
  <c r="DM11" i="6" a="1"/>
  <c r="DM11" i="6" s="1"/>
  <c r="DD11" i="6" a="1"/>
  <c r="DD11" i="6" s="1"/>
  <c r="CU11" i="6" a="1"/>
  <c r="CU11" i="6" s="1"/>
  <c r="CL11" i="6" a="1"/>
  <c r="CL11" i="6" s="1"/>
  <c r="BX11" i="6" a="1"/>
  <c r="BX11" i="6" s="1"/>
  <c r="BW11" i="6" a="1"/>
  <c r="BW11" i="6" s="1"/>
  <c r="BV11" i="6" a="1"/>
  <c r="BV11" i="6" s="1"/>
  <c r="BU11" i="6" a="1"/>
  <c r="BU11" i="6" s="1"/>
  <c r="BT11" i="6" a="1"/>
  <c r="BT11" i="6" s="1"/>
  <c r="BS11" i="6" a="1"/>
  <c r="BS11" i="6" s="1"/>
  <c r="BA11" i="6" a="1"/>
  <c r="BA11" i="6" s="1"/>
  <c r="AZ11" i="6" a="1"/>
  <c r="AZ11" i="6" s="1"/>
  <c r="AY11" i="6" a="1"/>
  <c r="AY11" i="6" s="1"/>
  <c r="AX11" i="6" a="1"/>
  <c r="AX11" i="6" s="1"/>
  <c r="AW11" i="6" a="1"/>
  <c r="AW11" i="6" s="1"/>
  <c r="AV11" i="6" a="1"/>
  <c r="AV11" i="6" s="1"/>
  <c r="AU11" i="6" a="1"/>
  <c r="AU11" i="6" s="1"/>
  <c r="AT11" i="6" a="1"/>
  <c r="AT11" i="6" s="1"/>
  <c r="AS11" i="6" a="1"/>
  <c r="AS11" i="6" s="1"/>
  <c r="AR11" i="6" a="1"/>
  <c r="AR11" i="6" s="1"/>
  <c r="AH11" i="6" a="1"/>
  <c r="AH11" i="6" s="1"/>
  <c r="AG11" i="6" a="1"/>
  <c r="AG11" i="6" s="1"/>
  <c r="V11" i="6" a="1"/>
  <c r="V11" i="6" s="1"/>
  <c r="U11" i="6" a="1"/>
  <c r="U11" i="6" s="1"/>
  <c r="J11" i="6" a="1"/>
  <c r="J11" i="6" s="1"/>
  <c r="I11" i="6" a="1"/>
  <c r="I11" i="6" s="1"/>
  <c r="ADA10" i="6" a="1"/>
  <c r="ADA10" i="6" s="1"/>
  <c r="ACZ10" i="6" a="1"/>
  <c r="ACZ10" i="6" s="1"/>
  <c r="ACY10" i="6" a="1"/>
  <c r="ACY10" i="6" s="1"/>
  <c r="ACN10" i="6" a="1"/>
  <c r="ACN10" i="6" s="1"/>
  <c r="ACM10" i="6" a="1"/>
  <c r="ACM10" i="6" s="1"/>
  <c r="ABU10" i="6" a="1"/>
  <c r="ABU10" i="6" s="1"/>
  <c r="ABX10" i="6" a="1"/>
  <c r="ABX10" i="6" s="1"/>
  <c r="ABV10" i="6" a="1"/>
  <c r="ABV10" i="6" s="1"/>
  <c r="ABH10" i="6" a="1"/>
  <c r="ABH10" i="6" s="1"/>
  <c r="ABG10" i="6" a="1"/>
  <c r="ABG10" i="6" s="1"/>
  <c r="ABF10" i="6" a="1"/>
  <c r="ABF10" i="6" s="1"/>
  <c r="ABE10" i="6" a="1"/>
  <c r="ABE10" i="6" s="1"/>
  <c r="ABD10" i="6" a="1"/>
  <c r="ABD10" i="6" s="1"/>
  <c r="ZR10" i="6" a="1"/>
  <c r="ZR10" i="6" s="1"/>
  <c r="ZE10" i="6" a="1"/>
  <c r="ZE10" i="6" s="1"/>
  <c r="ZD10" i="6" a="1"/>
  <c r="ZD10" i="6" s="1"/>
  <c r="ZC10" i="6" a="1"/>
  <c r="ZC10" i="6" s="1"/>
  <c r="ZB10" i="6" a="1"/>
  <c r="ZB10" i="6" s="1"/>
  <c r="ZA10" i="6" a="1"/>
  <c r="ZA10" i="6" s="1"/>
  <c r="YP10" i="6" a="1"/>
  <c r="YP10" i="6" s="1"/>
  <c r="YO10" i="6" a="1"/>
  <c r="YO10" i="6" s="1"/>
  <c r="YE10" i="6" a="1"/>
  <c r="YE10" i="6" s="1"/>
  <c r="YD10" i="6" a="1"/>
  <c r="YD10" i="6" s="1"/>
  <c r="XT10" i="6" a="1"/>
  <c r="XT10" i="6" s="1"/>
  <c r="XS10" i="6" a="1"/>
  <c r="XS10" i="6" s="1"/>
  <c r="XI10" i="6" a="1"/>
  <c r="XI10" i="6" s="1"/>
  <c r="XH10" i="6" a="1"/>
  <c r="XH10" i="6" s="1"/>
  <c r="WX10" i="6" a="1"/>
  <c r="WX10" i="6" s="1"/>
  <c r="WW10" i="6" a="1"/>
  <c r="WW10" i="6" s="1"/>
  <c r="WM10" i="6" a="1"/>
  <c r="WM10" i="6" s="1"/>
  <c r="WL10" i="6" a="1"/>
  <c r="WL10" i="6" s="1"/>
  <c r="WC10" i="6" a="1"/>
  <c r="WC10" i="6" s="1"/>
  <c r="VQ10" i="6" a="1"/>
  <c r="VQ10" i="6" s="1"/>
  <c r="VP10" i="6" a="1"/>
  <c r="VP10" i="6" s="1"/>
  <c r="VO10" i="6" a="1"/>
  <c r="VO10" i="6" s="1"/>
  <c r="VN10" i="6" a="1"/>
  <c r="VN10" i="6" s="1"/>
  <c r="VA10" i="6" a="1"/>
  <c r="VA10" i="6" s="1"/>
  <c r="UZ10" i="6" a="1"/>
  <c r="UZ10" i="6" s="1"/>
  <c r="UY10" i="6" a="1"/>
  <c r="UY10" i="6" s="1"/>
  <c r="UX10" i="6" a="1"/>
  <c r="UX10" i="6" s="1"/>
  <c r="UW10" i="6" a="1"/>
  <c r="UW10" i="6" s="1"/>
  <c r="UM10" i="6" a="1"/>
  <c r="UM10" i="6" s="1"/>
  <c r="TZ10" i="6" a="1"/>
  <c r="TZ10" i="6" s="1"/>
  <c r="TY10" i="6" a="1"/>
  <c r="TY10" i="6" s="1"/>
  <c r="TX10" i="6" a="1"/>
  <c r="TX10" i="6" s="1"/>
  <c r="TW10" i="6" a="1"/>
  <c r="TW10" i="6" s="1"/>
  <c r="TV10" i="6" a="1"/>
  <c r="TV10" i="6" s="1"/>
  <c r="TH10" i="6" a="1"/>
  <c r="TH10" i="6" s="1"/>
  <c r="TG10" i="6" a="1"/>
  <c r="TG10" i="6" s="1"/>
  <c r="TF10" i="6" a="1"/>
  <c r="TF10" i="6" s="1"/>
  <c r="TE10" i="6" a="1"/>
  <c r="TE10" i="6" s="1"/>
  <c r="TD10" i="6" a="1"/>
  <c r="TD10" i="6" s="1"/>
  <c r="SP10" i="6" a="1"/>
  <c r="SP10" i="6" s="1"/>
  <c r="SO10" i="6" a="1"/>
  <c r="SO10" i="6" s="1"/>
  <c r="SN10" i="6" a="1"/>
  <c r="SN10" i="6" s="1"/>
  <c r="SM10" i="6" a="1"/>
  <c r="SM10" i="6" s="1"/>
  <c r="SL10" i="6" a="1"/>
  <c r="SL10" i="6" s="1"/>
  <c r="RX10" i="6" a="1"/>
  <c r="RX10" i="6" s="1"/>
  <c r="RW10" i="6" a="1"/>
  <c r="RW10" i="6" s="1"/>
  <c r="RV10" i="6" a="1"/>
  <c r="RV10" i="6" s="1"/>
  <c r="RU10" i="6" a="1"/>
  <c r="RU10" i="6" s="1"/>
  <c r="RT10" i="6" a="1"/>
  <c r="RT10" i="6" s="1"/>
  <c r="RF10" i="6" a="1"/>
  <c r="RF10" i="6" s="1"/>
  <c r="RE10" i="6" a="1"/>
  <c r="RE10" i="6" s="1"/>
  <c r="RD10" i="6" a="1"/>
  <c r="RD10" i="6" s="1"/>
  <c r="RC10" i="6" a="1"/>
  <c r="RC10" i="6" s="1"/>
  <c r="RB10" i="6" a="1"/>
  <c r="RB10" i="6" s="1"/>
  <c r="QN10" i="6" a="1"/>
  <c r="QN10" i="6" s="1"/>
  <c r="QM10" i="6" a="1"/>
  <c r="QM10" i="6" s="1"/>
  <c r="QL10" i="6" a="1"/>
  <c r="QL10" i="6" s="1"/>
  <c r="QK10" i="6" a="1"/>
  <c r="QK10" i="6" s="1"/>
  <c r="QJ10" i="6" a="1"/>
  <c r="QJ10" i="6" s="1"/>
  <c r="PV10" i="6" a="1"/>
  <c r="PV10" i="6" s="1"/>
  <c r="PU10" i="6" a="1"/>
  <c r="PU10" i="6" s="1"/>
  <c r="PT10" i="6" a="1"/>
  <c r="PT10" i="6" s="1"/>
  <c r="PS10" i="6" a="1"/>
  <c r="PS10" i="6" s="1"/>
  <c r="PR10" i="6" a="1"/>
  <c r="PR10" i="6" s="1"/>
  <c r="PD10" i="6" a="1"/>
  <c r="PD10" i="6" s="1"/>
  <c r="PC10" i="6" a="1"/>
  <c r="PC10" i="6" s="1"/>
  <c r="PB10" i="6" a="1"/>
  <c r="PB10" i="6" s="1"/>
  <c r="PA10" i="6" a="1"/>
  <c r="PA10" i="6" s="1"/>
  <c r="OZ10" i="6" a="1"/>
  <c r="OZ10" i="6" s="1"/>
  <c r="OL10" i="6" a="1"/>
  <c r="OL10" i="6" s="1"/>
  <c r="OK10" i="6" a="1"/>
  <c r="OK10" i="6" s="1"/>
  <c r="OJ10" i="6" a="1"/>
  <c r="OJ10" i="6" s="1"/>
  <c r="OI10" i="6" a="1"/>
  <c r="OI10" i="6" s="1"/>
  <c r="OH10" i="6" a="1"/>
  <c r="OH10" i="6" s="1"/>
  <c r="NT10" i="6" a="1"/>
  <c r="NT10" i="6" s="1"/>
  <c r="NS10" i="6" a="1"/>
  <c r="NS10" i="6" s="1"/>
  <c r="NR10" i="6" a="1"/>
  <c r="NR10" i="6" s="1"/>
  <c r="NQ10" i="6" a="1"/>
  <c r="NQ10" i="6" s="1"/>
  <c r="NP10" i="6" a="1"/>
  <c r="NP10" i="6" s="1"/>
  <c r="NC10" i="6" a="1"/>
  <c r="NC10" i="6" s="1"/>
  <c r="NB10" i="6" a="1"/>
  <c r="NB10" i="6" s="1"/>
  <c r="NA10" i="6" a="1"/>
  <c r="NA10" i="6" s="1"/>
  <c r="MZ10" i="6" a="1"/>
  <c r="MZ10" i="6" s="1"/>
  <c r="MY10" i="6" a="1"/>
  <c r="MY10" i="6" s="1"/>
  <c r="MK10" i="6" a="1"/>
  <c r="MK10" i="6" s="1"/>
  <c r="MJ10" i="6" a="1"/>
  <c r="MJ10" i="6" s="1"/>
  <c r="MI10" i="6" a="1"/>
  <c r="MI10" i="6" s="1"/>
  <c r="MH10" i="6" a="1"/>
  <c r="MH10" i="6" s="1"/>
  <c r="MG10" i="6" a="1"/>
  <c r="MG10" i="6" s="1"/>
  <c r="LS10" i="6" a="1"/>
  <c r="LS10" i="6" s="1"/>
  <c r="LR10" i="6" a="1"/>
  <c r="LR10" i="6" s="1"/>
  <c r="LQ10" i="6" a="1"/>
  <c r="LQ10" i="6" s="1"/>
  <c r="LP10" i="6" a="1"/>
  <c r="LP10" i="6" s="1"/>
  <c r="LO10" i="6" a="1"/>
  <c r="LO10" i="6" s="1"/>
  <c r="LA10" i="6" a="1"/>
  <c r="LA10" i="6" s="1"/>
  <c r="KZ10" i="6" a="1"/>
  <c r="KZ10" i="6" s="1"/>
  <c r="KY10" i="6" a="1"/>
  <c r="KY10" i="6" s="1"/>
  <c r="KX10" i="6" a="1"/>
  <c r="KX10" i="6" s="1"/>
  <c r="KW10" i="6" a="1"/>
  <c r="KW10" i="6" s="1"/>
  <c r="KI10" i="6" a="1"/>
  <c r="KI10" i="6" s="1"/>
  <c r="KH10" i="6" a="1"/>
  <c r="KH10" i="6" s="1"/>
  <c r="KG10" i="6" a="1"/>
  <c r="KG10" i="6" s="1"/>
  <c r="KF10" i="6" a="1"/>
  <c r="KF10" i="6" s="1"/>
  <c r="KE10" i="6" a="1"/>
  <c r="KE10" i="6" s="1"/>
  <c r="JQ10" i="6" a="1"/>
  <c r="JQ10" i="6" s="1"/>
  <c r="JP10" i="6" a="1"/>
  <c r="JP10" i="6" s="1"/>
  <c r="JO10" i="6" a="1"/>
  <c r="JO10" i="6" s="1"/>
  <c r="JN10" i="6" a="1"/>
  <c r="JN10" i="6" s="1"/>
  <c r="JM10" i="6" a="1"/>
  <c r="JM10" i="6" s="1"/>
  <c r="IY10" i="6" a="1"/>
  <c r="IY10" i="6" s="1"/>
  <c r="IX10" i="6" a="1"/>
  <c r="IX10" i="6" s="1"/>
  <c r="IW10" i="6" a="1"/>
  <c r="IW10" i="6" s="1"/>
  <c r="IV10" i="6" a="1"/>
  <c r="IV10" i="6" s="1"/>
  <c r="IU10" i="6" a="1"/>
  <c r="IU10" i="6" s="1"/>
  <c r="IG10" i="6" a="1"/>
  <c r="IG10" i="6" s="1"/>
  <c r="IF10" i="6" a="1"/>
  <c r="IF10" i="6" s="1"/>
  <c r="IE10" i="6" a="1"/>
  <c r="IE10" i="6" s="1"/>
  <c r="ID10" i="6" a="1"/>
  <c r="ID10" i="6" s="1"/>
  <c r="IC10" i="6" a="1"/>
  <c r="IC10" i="6" s="1"/>
  <c r="HO10" i="6" a="1"/>
  <c r="HO10" i="6" s="1"/>
  <c r="HN10" i="6" a="1"/>
  <c r="HN10" i="6" s="1"/>
  <c r="HM10" i="6" a="1"/>
  <c r="HM10" i="6" s="1"/>
  <c r="HL10" i="6" a="1"/>
  <c r="HL10" i="6" s="1"/>
  <c r="HK10" i="6" a="1"/>
  <c r="HK10" i="6" s="1"/>
  <c r="GX10" i="6" a="1"/>
  <c r="GX10" i="6" s="1"/>
  <c r="GW10" i="6" a="1"/>
  <c r="GW10" i="6" s="1"/>
  <c r="GV10" i="6" a="1"/>
  <c r="GV10" i="6" s="1"/>
  <c r="GU10" i="6" a="1"/>
  <c r="GU10" i="6" s="1"/>
  <c r="GT10" i="6" a="1"/>
  <c r="GT10" i="6" s="1"/>
  <c r="GG10" i="6" a="1"/>
  <c r="GG10" i="6" s="1"/>
  <c r="GF10" i="6" a="1"/>
  <c r="GF10" i="6" s="1"/>
  <c r="GE10" i="6" a="1"/>
  <c r="GE10" i="6" s="1"/>
  <c r="GD10" i="6" a="1"/>
  <c r="GD10" i="6" s="1"/>
  <c r="GC10" i="6" a="1"/>
  <c r="GC10" i="6" s="1"/>
  <c r="FP10" i="6" a="1"/>
  <c r="FP10" i="6" s="1"/>
  <c r="FO10" i="6" a="1"/>
  <c r="FO10" i="6" s="1"/>
  <c r="FN10" i="6" a="1"/>
  <c r="FN10" i="6" s="1"/>
  <c r="FM10" i="6" a="1"/>
  <c r="FM10" i="6" s="1"/>
  <c r="FL10" i="6" a="1"/>
  <c r="FL10" i="6" s="1"/>
  <c r="EY10" i="6" a="1"/>
  <c r="EY10" i="6" s="1"/>
  <c r="EX10" i="6" a="1"/>
  <c r="EX10" i="6" s="1"/>
  <c r="EW10" i="6" a="1"/>
  <c r="EW10" i="6" s="1"/>
  <c r="EV10" i="6" a="1"/>
  <c r="EV10" i="6" s="1"/>
  <c r="EU10" i="6" a="1"/>
  <c r="EU10" i="6" s="1"/>
  <c r="EH10" i="6" a="1"/>
  <c r="EH10" i="6" s="1"/>
  <c r="EG10" i="6" a="1"/>
  <c r="EG10" i="6" s="1"/>
  <c r="EF10" i="6" a="1"/>
  <c r="EF10" i="6" s="1"/>
  <c r="EE10" i="6" a="1"/>
  <c r="EE10" i="6" s="1"/>
  <c r="ED10" i="6" a="1"/>
  <c r="ED10" i="6" s="1"/>
  <c r="DQ10" i="6" a="1"/>
  <c r="DQ10" i="6" s="1"/>
  <c r="DP10" i="6" a="1"/>
  <c r="DP10" i="6" s="1"/>
  <c r="DO10" i="6" a="1"/>
  <c r="DO10" i="6" s="1"/>
  <c r="DN10" i="6" a="1"/>
  <c r="DN10" i="6" s="1"/>
  <c r="DM10" i="6" a="1"/>
  <c r="DM10" i="6" s="1"/>
  <c r="DD10" i="6" a="1"/>
  <c r="DD10" i="6" s="1"/>
  <c r="CU10" i="6" a="1"/>
  <c r="CU10" i="6" s="1"/>
  <c r="CL10" i="6" a="1"/>
  <c r="CL10" i="6" s="1"/>
  <c r="BX10" i="6" a="1"/>
  <c r="BX10" i="6" s="1"/>
  <c r="BW10" i="6" a="1"/>
  <c r="BW10" i="6" s="1"/>
  <c r="BV10" i="6" a="1"/>
  <c r="BV10" i="6" s="1"/>
  <c r="BU10" i="6" a="1"/>
  <c r="BU10" i="6" s="1"/>
  <c r="BT10" i="6" a="1"/>
  <c r="BT10" i="6" s="1"/>
  <c r="BS10" i="6" a="1"/>
  <c r="BS10" i="6" s="1"/>
  <c r="BA10" i="6" a="1"/>
  <c r="BA10" i="6" s="1"/>
  <c r="AZ10" i="6" a="1"/>
  <c r="AZ10" i="6" s="1"/>
  <c r="AY10" i="6" a="1"/>
  <c r="AY10" i="6" s="1"/>
  <c r="AX10" i="6" a="1"/>
  <c r="AX10" i="6" s="1"/>
  <c r="AW10" i="6" a="1"/>
  <c r="AW10" i="6" s="1"/>
  <c r="AV10" i="6" a="1"/>
  <c r="AV10" i="6" s="1"/>
  <c r="AU10" i="6" a="1"/>
  <c r="AU10" i="6" s="1"/>
  <c r="AT10" i="6" a="1"/>
  <c r="AT10" i="6" s="1"/>
  <c r="AS10" i="6" a="1"/>
  <c r="AS10" i="6" s="1"/>
  <c r="AR10" i="6" a="1"/>
  <c r="AR10" i="6" s="1"/>
  <c r="AH10" i="6" a="1"/>
  <c r="AH10" i="6" s="1"/>
  <c r="AG10" i="6" a="1"/>
  <c r="AG10" i="6" s="1"/>
  <c r="V10" i="6" a="1"/>
  <c r="V10" i="6" s="1"/>
  <c r="U10" i="6" a="1"/>
  <c r="U10" i="6" s="1"/>
  <c r="J10" i="6" a="1"/>
  <c r="J10" i="6" s="1"/>
  <c r="I10" i="6" a="1"/>
  <c r="I10" i="6" s="1"/>
  <c r="ADA9" i="6" a="1"/>
  <c r="ADA9" i="6" s="1"/>
  <c r="ACZ9" i="6" a="1"/>
  <c r="ACZ9" i="6" s="1"/>
  <c r="ACY9" i="6" a="1"/>
  <c r="ACY9" i="6" s="1"/>
  <c r="ACN9" i="6" a="1"/>
  <c r="ACN9" i="6" s="1"/>
  <c r="ACM9" i="6" a="1"/>
  <c r="ACM9" i="6" s="1"/>
  <c r="ABU9" i="6" a="1"/>
  <c r="ABU9" i="6" s="1"/>
  <c r="ABX9" i="6" a="1"/>
  <c r="ABX9" i="6" s="1"/>
  <c r="ABV9" i="6" a="1"/>
  <c r="ABV9" i="6" s="1"/>
  <c r="ABH9" i="6" a="1"/>
  <c r="ABH9" i="6" s="1"/>
  <c r="ABG9" i="6" a="1"/>
  <c r="ABG9" i="6" s="1"/>
  <c r="ABF9" i="6" a="1"/>
  <c r="ABF9" i="6" s="1"/>
  <c r="ABE9" i="6" a="1"/>
  <c r="ABE9" i="6" s="1"/>
  <c r="ABD9" i="6" a="1"/>
  <c r="ABD9" i="6" s="1"/>
  <c r="ZR9" i="6" a="1"/>
  <c r="ZR9" i="6" s="1"/>
  <c r="ZE9" i="6" a="1"/>
  <c r="ZE9" i="6" s="1"/>
  <c r="ZD9" i="6" a="1"/>
  <c r="ZD9" i="6" s="1"/>
  <c r="ZC9" i="6" a="1"/>
  <c r="ZC9" i="6" s="1"/>
  <c r="ZB9" i="6" a="1"/>
  <c r="ZB9" i="6" s="1"/>
  <c r="ZA9" i="6" a="1"/>
  <c r="ZA9" i="6" s="1"/>
  <c r="YP9" i="6" a="1"/>
  <c r="YP9" i="6" s="1"/>
  <c r="YO9" i="6" a="1"/>
  <c r="YO9" i="6" s="1"/>
  <c r="YE9" i="6" a="1"/>
  <c r="YE9" i="6" s="1"/>
  <c r="YD9" i="6" a="1"/>
  <c r="YD9" i="6" s="1"/>
  <c r="XT9" i="6" a="1"/>
  <c r="XT9" i="6" s="1"/>
  <c r="XS9" i="6" a="1"/>
  <c r="XS9" i="6" s="1"/>
  <c r="XI9" i="6" a="1"/>
  <c r="XI9" i="6" s="1"/>
  <c r="XH9" i="6" a="1"/>
  <c r="XH9" i="6" s="1"/>
  <c r="WX9" i="6" a="1"/>
  <c r="WX9" i="6" s="1"/>
  <c r="WW9" i="6" a="1"/>
  <c r="WW9" i="6" s="1"/>
  <c r="WM9" i="6" a="1"/>
  <c r="WM9" i="6" s="1"/>
  <c r="WL9" i="6" a="1"/>
  <c r="WL9" i="6" s="1"/>
  <c r="WC9" i="6" a="1"/>
  <c r="WC9" i="6" s="1"/>
  <c r="VQ9" i="6" a="1"/>
  <c r="VQ9" i="6" s="1"/>
  <c r="VP9" i="6" a="1"/>
  <c r="VP9" i="6" s="1"/>
  <c r="VO9" i="6" a="1"/>
  <c r="VO9" i="6" s="1"/>
  <c r="VN9" i="6" a="1"/>
  <c r="VN9" i="6" s="1"/>
  <c r="VA9" i="6" a="1"/>
  <c r="VA9" i="6" s="1"/>
  <c r="UZ9" i="6" a="1"/>
  <c r="UZ9" i="6" s="1"/>
  <c r="UY9" i="6" a="1"/>
  <c r="UY9" i="6" s="1"/>
  <c r="UX9" i="6" a="1"/>
  <c r="UX9" i="6" s="1"/>
  <c r="UW9" i="6" a="1"/>
  <c r="UW9" i="6" s="1"/>
  <c r="UM9" i="6" a="1"/>
  <c r="UM9" i="6" s="1"/>
  <c r="TZ9" i="6" a="1"/>
  <c r="TZ9" i="6" s="1"/>
  <c r="TY9" i="6" a="1"/>
  <c r="TY9" i="6" s="1"/>
  <c r="TX9" i="6" a="1"/>
  <c r="TX9" i="6" s="1"/>
  <c r="TW9" i="6" a="1"/>
  <c r="TW9" i="6" s="1"/>
  <c r="TV9" i="6" a="1"/>
  <c r="TV9" i="6" s="1"/>
  <c r="TH9" i="6" a="1"/>
  <c r="TH9" i="6" s="1"/>
  <c r="TG9" i="6" a="1"/>
  <c r="TG9" i="6" s="1"/>
  <c r="TF9" i="6" a="1"/>
  <c r="TF9" i="6" s="1"/>
  <c r="TE9" i="6" a="1"/>
  <c r="TE9" i="6" s="1"/>
  <c r="TD9" i="6" a="1"/>
  <c r="TD9" i="6" s="1"/>
  <c r="SP9" i="6" a="1"/>
  <c r="SP9" i="6" s="1"/>
  <c r="SO9" i="6" a="1"/>
  <c r="SO9" i="6" s="1"/>
  <c r="SN9" i="6" a="1"/>
  <c r="SN9" i="6" s="1"/>
  <c r="SM9" i="6" a="1"/>
  <c r="SM9" i="6" s="1"/>
  <c r="SL9" i="6" a="1"/>
  <c r="SL9" i="6" s="1"/>
  <c r="RX9" i="6" a="1"/>
  <c r="RX9" i="6" s="1"/>
  <c r="RW9" i="6" a="1"/>
  <c r="RW9" i="6" s="1"/>
  <c r="RV9" i="6" a="1"/>
  <c r="RV9" i="6" s="1"/>
  <c r="RU9" i="6" a="1"/>
  <c r="RU9" i="6" s="1"/>
  <c r="RT9" i="6" a="1"/>
  <c r="RT9" i="6" s="1"/>
  <c r="RF9" i="6" a="1"/>
  <c r="RF9" i="6" s="1"/>
  <c r="RE9" i="6" a="1"/>
  <c r="RE9" i="6" s="1"/>
  <c r="RD9" i="6" a="1"/>
  <c r="RD9" i="6" s="1"/>
  <c r="RC9" i="6" a="1"/>
  <c r="RC9" i="6" s="1"/>
  <c r="RB9" i="6" a="1"/>
  <c r="RB9" i="6" s="1"/>
  <c r="QN9" i="6" a="1"/>
  <c r="QN9" i="6" s="1"/>
  <c r="QM9" i="6" a="1"/>
  <c r="QM9" i="6" s="1"/>
  <c r="QL9" i="6" a="1"/>
  <c r="QL9" i="6" s="1"/>
  <c r="QK9" i="6" a="1"/>
  <c r="QK9" i="6" s="1"/>
  <c r="QJ9" i="6" a="1"/>
  <c r="QJ9" i="6" s="1"/>
  <c r="PV9" i="6" a="1"/>
  <c r="PV9" i="6" s="1"/>
  <c r="PU9" i="6" a="1"/>
  <c r="PU9" i="6" s="1"/>
  <c r="PT9" i="6" a="1"/>
  <c r="PT9" i="6" s="1"/>
  <c r="PS9" i="6" a="1"/>
  <c r="PS9" i="6" s="1"/>
  <c r="PR9" i="6" a="1"/>
  <c r="PR9" i="6" s="1"/>
  <c r="PD9" i="6" a="1"/>
  <c r="PD9" i="6" s="1"/>
  <c r="PC9" i="6" a="1"/>
  <c r="PC9" i="6" s="1"/>
  <c r="PB9" i="6" a="1"/>
  <c r="PB9" i="6" s="1"/>
  <c r="PA9" i="6" a="1"/>
  <c r="PA9" i="6" s="1"/>
  <c r="OZ9" i="6" a="1"/>
  <c r="OZ9" i="6" s="1"/>
  <c r="OL9" i="6" a="1"/>
  <c r="OL9" i="6" s="1"/>
  <c r="OK9" i="6" a="1"/>
  <c r="OK9" i="6" s="1"/>
  <c r="OJ9" i="6" a="1"/>
  <c r="OJ9" i="6" s="1"/>
  <c r="OI9" i="6" a="1"/>
  <c r="OI9" i="6" s="1"/>
  <c r="OH9" i="6" a="1"/>
  <c r="OH9" i="6" s="1"/>
  <c r="NT9" i="6" a="1"/>
  <c r="NT9" i="6" s="1"/>
  <c r="NS9" i="6" a="1"/>
  <c r="NS9" i="6" s="1"/>
  <c r="NR9" i="6" a="1"/>
  <c r="NR9" i="6" s="1"/>
  <c r="NQ9" i="6" a="1"/>
  <c r="NQ9" i="6" s="1"/>
  <c r="NP9" i="6" a="1"/>
  <c r="NP9" i="6" s="1"/>
  <c r="NC9" i="6" a="1"/>
  <c r="NC9" i="6" s="1"/>
  <c r="NB9" i="6" a="1"/>
  <c r="NB9" i="6" s="1"/>
  <c r="NA9" i="6" a="1"/>
  <c r="NA9" i="6" s="1"/>
  <c r="MZ9" i="6" a="1"/>
  <c r="MZ9" i="6" s="1"/>
  <c r="MY9" i="6" a="1"/>
  <c r="MY9" i="6" s="1"/>
  <c r="MK9" i="6" a="1"/>
  <c r="MK9" i="6" s="1"/>
  <c r="MJ9" i="6" a="1"/>
  <c r="MJ9" i="6" s="1"/>
  <c r="MI9" i="6" a="1"/>
  <c r="MI9" i="6" s="1"/>
  <c r="MH9" i="6" a="1"/>
  <c r="MH9" i="6" s="1"/>
  <c r="MG9" i="6" a="1"/>
  <c r="MG9" i="6" s="1"/>
  <c r="LS9" i="6" a="1"/>
  <c r="LS9" i="6" s="1"/>
  <c r="LR9" i="6" a="1"/>
  <c r="LR9" i="6" s="1"/>
  <c r="LQ9" i="6" a="1"/>
  <c r="LQ9" i="6" s="1"/>
  <c r="LP9" i="6" a="1"/>
  <c r="LP9" i="6" s="1"/>
  <c r="LO9" i="6" a="1"/>
  <c r="LO9" i="6" s="1"/>
  <c r="LA9" i="6" a="1"/>
  <c r="LA9" i="6" s="1"/>
  <c r="KZ9" i="6" a="1"/>
  <c r="KZ9" i="6" s="1"/>
  <c r="KY9" i="6" a="1"/>
  <c r="KY9" i="6" s="1"/>
  <c r="KX9" i="6" a="1"/>
  <c r="KX9" i="6" s="1"/>
  <c r="KW9" i="6" a="1"/>
  <c r="KW9" i="6" s="1"/>
  <c r="KI9" i="6" a="1"/>
  <c r="KI9" i="6" s="1"/>
  <c r="KH9" i="6" a="1"/>
  <c r="KH9" i="6" s="1"/>
  <c r="KG9" i="6" a="1"/>
  <c r="KG9" i="6" s="1"/>
  <c r="KF9" i="6" a="1"/>
  <c r="KF9" i="6" s="1"/>
  <c r="KE9" i="6" a="1"/>
  <c r="KE9" i="6" s="1"/>
  <c r="JQ9" i="6" a="1"/>
  <c r="JQ9" i="6" s="1"/>
  <c r="JP9" i="6" a="1"/>
  <c r="JP9" i="6" s="1"/>
  <c r="JO9" i="6" a="1"/>
  <c r="JO9" i="6" s="1"/>
  <c r="JN9" i="6" a="1"/>
  <c r="JN9" i="6" s="1"/>
  <c r="JM9" i="6" a="1"/>
  <c r="JM9" i="6" s="1"/>
  <c r="IY9" i="6" a="1"/>
  <c r="IY9" i="6" s="1"/>
  <c r="IX9" i="6" a="1"/>
  <c r="IX9" i="6" s="1"/>
  <c r="IW9" i="6" a="1"/>
  <c r="IW9" i="6" s="1"/>
  <c r="IV9" i="6" a="1"/>
  <c r="IV9" i="6" s="1"/>
  <c r="IU9" i="6" a="1"/>
  <c r="IU9" i="6" s="1"/>
  <c r="IG9" i="6" a="1"/>
  <c r="IG9" i="6" s="1"/>
  <c r="IF9" i="6" a="1"/>
  <c r="IF9" i="6" s="1"/>
  <c r="IE9" i="6" a="1"/>
  <c r="IE9" i="6" s="1"/>
  <c r="ID9" i="6" a="1"/>
  <c r="ID9" i="6" s="1"/>
  <c r="IC9" i="6" a="1"/>
  <c r="IC9" i="6" s="1"/>
  <c r="HO9" i="6" a="1"/>
  <c r="HO9" i="6" s="1"/>
  <c r="HN9" i="6" a="1"/>
  <c r="HN9" i="6" s="1"/>
  <c r="HM9" i="6" a="1"/>
  <c r="HM9" i="6" s="1"/>
  <c r="HL9" i="6" a="1"/>
  <c r="HL9" i="6" s="1"/>
  <c r="HK9" i="6" a="1"/>
  <c r="HK9" i="6" s="1"/>
  <c r="GX9" i="6" a="1"/>
  <c r="GX9" i="6" s="1"/>
  <c r="GW9" i="6" a="1"/>
  <c r="GW9" i="6" s="1"/>
  <c r="GV9" i="6" a="1"/>
  <c r="GV9" i="6" s="1"/>
  <c r="GU9" i="6" a="1"/>
  <c r="GU9" i="6" s="1"/>
  <c r="GT9" i="6" a="1"/>
  <c r="GT9" i="6" s="1"/>
  <c r="GG9" i="6" a="1"/>
  <c r="GG9" i="6" s="1"/>
  <c r="GF9" i="6" a="1"/>
  <c r="GF9" i="6" s="1"/>
  <c r="GE9" i="6" a="1"/>
  <c r="GE9" i="6" s="1"/>
  <c r="GD9" i="6" a="1"/>
  <c r="GD9" i="6" s="1"/>
  <c r="GC9" i="6" a="1"/>
  <c r="GC9" i="6" s="1"/>
  <c r="FP9" i="6" a="1"/>
  <c r="FP9" i="6" s="1"/>
  <c r="FO9" i="6" a="1"/>
  <c r="FO9" i="6" s="1"/>
  <c r="FN9" i="6" a="1"/>
  <c r="FN9" i="6" s="1"/>
  <c r="FM9" i="6" a="1"/>
  <c r="FM9" i="6" s="1"/>
  <c r="FL9" i="6" a="1"/>
  <c r="FL9" i="6" s="1"/>
  <c r="EY9" i="6" a="1"/>
  <c r="EY9" i="6" s="1"/>
  <c r="EX9" i="6" a="1"/>
  <c r="EX9" i="6" s="1"/>
  <c r="EW9" i="6" a="1"/>
  <c r="EW9" i="6" s="1"/>
  <c r="EV9" i="6" a="1"/>
  <c r="EV9" i="6" s="1"/>
  <c r="EU9" i="6" a="1"/>
  <c r="EU9" i="6" s="1"/>
  <c r="EH9" i="6" a="1"/>
  <c r="EH9" i="6" s="1"/>
  <c r="EG9" i="6" a="1"/>
  <c r="EG9" i="6" s="1"/>
  <c r="EF9" i="6" a="1"/>
  <c r="EF9" i="6" s="1"/>
  <c r="EE9" i="6" a="1"/>
  <c r="EE9" i="6" s="1"/>
  <c r="ED9" i="6" a="1"/>
  <c r="ED9" i="6" s="1"/>
  <c r="DQ9" i="6" a="1"/>
  <c r="DQ9" i="6" s="1"/>
  <c r="DP9" i="6" a="1"/>
  <c r="DP9" i="6" s="1"/>
  <c r="DO9" i="6" a="1"/>
  <c r="DO9" i="6" s="1"/>
  <c r="DN9" i="6" a="1"/>
  <c r="DN9" i="6" s="1"/>
  <c r="DM9" i="6" a="1"/>
  <c r="DM9" i="6" s="1"/>
  <c r="DD9" i="6" a="1"/>
  <c r="DD9" i="6" s="1"/>
  <c r="CU9" i="6" a="1"/>
  <c r="CU9" i="6" s="1"/>
  <c r="CL9" i="6" a="1"/>
  <c r="CL9" i="6" s="1"/>
  <c r="BX9" i="6" a="1"/>
  <c r="BX9" i="6" s="1"/>
  <c r="BW9" i="6" a="1"/>
  <c r="BW9" i="6" s="1"/>
  <c r="BV9" i="6" a="1"/>
  <c r="BV9" i="6" s="1"/>
  <c r="BU9" i="6" a="1"/>
  <c r="BU9" i="6" s="1"/>
  <c r="BT9" i="6" a="1"/>
  <c r="BT9" i="6" s="1"/>
  <c r="BS9" i="6" a="1"/>
  <c r="BS9" i="6" s="1"/>
  <c r="BA9" i="6" a="1"/>
  <c r="BA9" i="6" s="1"/>
  <c r="AZ9" i="6" a="1"/>
  <c r="AZ9" i="6" s="1"/>
  <c r="AY9" i="6" a="1"/>
  <c r="AY9" i="6" s="1"/>
  <c r="AX9" i="6" a="1"/>
  <c r="AX9" i="6" s="1"/>
  <c r="AW9" i="6" a="1"/>
  <c r="AW9" i="6" s="1"/>
  <c r="AV9" i="6" a="1"/>
  <c r="AV9" i="6" s="1"/>
  <c r="AU9" i="6" a="1"/>
  <c r="AU9" i="6" s="1"/>
  <c r="AT9" i="6" a="1"/>
  <c r="AT9" i="6" s="1"/>
  <c r="AS9" i="6" a="1"/>
  <c r="AS9" i="6" s="1"/>
  <c r="AR9" i="6" a="1"/>
  <c r="AR9" i="6" s="1"/>
  <c r="AH9" i="6" a="1"/>
  <c r="AH9" i="6" s="1"/>
  <c r="AG9" i="6" a="1"/>
  <c r="AG9" i="6" s="1"/>
  <c r="V9" i="6" a="1"/>
  <c r="V9" i="6" s="1"/>
  <c r="U9" i="6" a="1"/>
  <c r="U9" i="6" s="1"/>
  <c r="J9" i="6" a="1"/>
  <c r="J9" i="6" s="1"/>
  <c r="I9" i="6" a="1"/>
  <c r="I9" i="6" s="1"/>
  <c r="ADA8" i="6" a="1"/>
  <c r="ADA8" i="6" s="1"/>
  <c r="ACZ8" i="6" a="1"/>
  <c r="ACZ8" i="6" s="1"/>
  <c r="ACY8" i="6" a="1"/>
  <c r="ACY8" i="6" s="1"/>
  <c r="ACN8" i="6" a="1"/>
  <c r="ACN8" i="6" s="1"/>
  <c r="ACM8" i="6" a="1"/>
  <c r="ACM8" i="6" s="1"/>
  <c r="ABU8" i="6" a="1"/>
  <c r="ABU8" i="6" s="1"/>
  <c r="ABX8" i="6" a="1"/>
  <c r="ABX8" i="6" s="1"/>
  <c r="ABV8" i="6" a="1"/>
  <c r="ABV8" i="6" s="1"/>
  <c r="ABH8" i="6" a="1"/>
  <c r="ABH8" i="6" s="1"/>
  <c r="ABG8" i="6" a="1"/>
  <c r="ABG8" i="6" s="1"/>
  <c r="ABF8" i="6" a="1"/>
  <c r="ABF8" i="6" s="1"/>
  <c r="ABE8" i="6" a="1"/>
  <c r="ABE8" i="6" s="1"/>
  <c r="ABD8" i="6" a="1"/>
  <c r="ABD8" i="6" s="1"/>
  <c r="ZR8" i="6" a="1"/>
  <c r="ZR8" i="6" s="1"/>
  <c r="ZE8" i="6" a="1"/>
  <c r="ZE8" i="6" s="1"/>
  <c r="ZD8" i="6" a="1"/>
  <c r="ZD8" i="6" s="1"/>
  <c r="ZC8" i="6" a="1"/>
  <c r="ZC8" i="6" s="1"/>
  <c r="ZB8" i="6" a="1"/>
  <c r="ZB8" i="6" s="1"/>
  <c r="ZA8" i="6" a="1"/>
  <c r="ZA8" i="6" s="1"/>
  <c r="YP8" i="6" a="1"/>
  <c r="YP8" i="6" s="1"/>
  <c r="YO8" i="6" a="1"/>
  <c r="YO8" i="6" s="1"/>
  <c r="YE8" i="6" a="1"/>
  <c r="YE8" i="6" s="1"/>
  <c r="YD8" i="6" a="1"/>
  <c r="YD8" i="6" s="1"/>
  <c r="XT8" i="6" a="1"/>
  <c r="XT8" i="6" s="1"/>
  <c r="XS8" i="6" a="1"/>
  <c r="XS8" i="6" s="1"/>
  <c r="XI8" i="6" a="1"/>
  <c r="XI8" i="6" s="1"/>
  <c r="XH8" i="6" a="1"/>
  <c r="XH8" i="6" s="1"/>
  <c r="WX8" i="6" a="1"/>
  <c r="WX8" i="6" s="1"/>
  <c r="WW8" i="6" a="1"/>
  <c r="WW8" i="6" s="1"/>
  <c r="WM8" i="6" a="1"/>
  <c r="WM8" i="6" s="1"/>
  <c r="WL8" i="6" a="1"/>
  <c r="WL8" i="6" s="1"/>
  <c r="WC8" i="6" a="1"/>
  <c r="WC8" i="6" s="1"/>
  <c r="VQ8" i="6" a="1"/>
  <c r="VQ8" i="6" s="1"/>
  <c r="VP8" i="6" a="1"/>
  <c r="VP8" i="6" s="1"/>
  <c r="VO8" i="6" a="1"/>
  <c r="VO8" i="6" s="1"/>
  <c r="VN8" i="6" a="1"/>
  <c r="VN8" i="6" s="1"/>
  <c r="VA8" i="6" a="1"/>
  <c r="VA8" i="6" s="1"/>
  <c r="UZ8" i="6" a="1"/>
  <c r="UZ8" i="6" s="1"/>
  <c r="UY8" i="6" a="1"/>
  <c r="UY8" i="6" s="1"/>
  <c r="UX8" i="6" a="1"/>
  <c r="UX8" i="6" s="1"/>
  <c r="UW8" i="6" a="1"/>
  <c r="UW8" i="6" s="1"/>
  <c r="UM8" i="6" a="1"/>
  <c r="UM8" i="6" s="1"/>
  <c r="TZ8" i="6" a="1"/>
  <c r="TZ8" i="6" s="1"/>
  <c r="TY8" i="6" a="1"/>
  <c r="TY8" i="6" s="1"/>
  <c r="TX8" i="6" a="1"/>
  <c r="TX8" i="6" s="1"/>
  <c r="TW8" i="6" a="1"/>
  <c r="TW8" i="6" s="1"/>
  <c r="TV8" i="6" a="1"/>
  <c r="TV8" i="6" s="1"/>
  <c r="TH8" i="6" a="1"/>
  <c r="TH8" i="6" s="1"/>
  <c r="TG8" i="6" a="1"/>
  <c r="TG8" i="6" s="1"/>
  <c r="TF8" i="6" a="1"/>
  <c r="TF8" i="6" s="1"/>
  <c r="TE8" i="6" a="1"/>
  <c r="TE8" i="6" s="1"/>
  <c r="TD8" i="6" a="1"/>
  <c r="TD8" i="6" s="1"/>
  <c r="SP8" i="6" a="1"/>
  <c r="SP8" i="6" s="1"/>
  <c r="SO8" i="6" a="1"/>
  <c r="SO8" i="6" s="1"/>
  <c r="SN8" i="6" a="1"/>
  <c r="SN8" i="6" s="1"/>
  <c r="SM8" i="6" a="1"/>
  <c r="SM8" i="6" s="1"/>
  <c r="SL8" i="6" a="1"/>
  <c r="SL8" i="6" s="1"/>
  <c r="RX8" i="6" a="1"/>
  <c r="RX8" i="6" s="1"/>
  <c r="RW8" i="6" a="1"/>
  <c r="RW8" i="6" s="1"/>
  <c r="RV8" i="6" a="1"/>
  <c r="RV8" i="6" s="1"/>
  <c r="RU8" i="6" a="1"/>
  <c r="RU8" i="6" s="1"/>
  <c r="RT8" i="6" a="1"/>
  <c r="RT8" i="6" s="1"/>
  <c r="RF8" i="6" a="1"/>
  <c r="RF8" i="6" s="1"/>
  <c r="RE8" i="6" a="1"/>
  <c r="RE8" i="6" s="1"/>
  <c r="RD8" i="6" a="1"/>
  <c r="RD8" i="6" s="1"/>
  <c r="RC8" i="6" a="1"/>
  <c r="RC8" i="6" s="1"/>
  <c r="RB8" i="6" a="1"/>
  <c r="RB8" i="6" s="1"/>
  <c r="QN8" i="6" a="1"/>
  <c r="QN8" i="6" s="1"/>
  <c r="QM8" i="6" a="1"/>
  <c r="QM8" i="6" s="1"/>
  <c r="QL8" i="6" a="1"/>
  <c r="QL8" i="6" s="1"/>
  <c r="QK8" i="6" a="1"/>
  <c r="QK8" i="6" s="1"/>
  <c r="QJ8" i="6" a="1"/>
  <c r="QJ8" i="6" s="1"/>
  <c r="PV8" i="6" a="1"/>
  <c r="PV8" i="6" s="1"/>
  <c r="PU8" i="6" a="1"/>
  <c r="PU8" i="6" s="1"/>
  <c r="PT8" i="6" a="1"/>
  <c r="PT8" i="6" s="1"/>
  <c r="PS8" i="6" a="1"/>
  <c r="PS8" i="6" s="1"/>
  <c r="PR8" i="6" a="1"/>
  <c r="PR8" i="6" s="1"/>
  <c r="PD8" i="6" a="1"/>
  <c r="PD8" i="6" s="1"/>
  <c r="PC8" i="6" a="1"/>
  <c r="PC8" i="6" s="1"/>
  <c r="PB8" i="6" a="1"/>
  <c r="PB8" i="6" s="1"/>
  <c r="PA8" i="6" a="1"/>
  <c r="PA8" i="6" s="1"/>
  <c r="OZ8" i="6" a="1"/>
  <c r="OZ8" i="6" s="1"/>
  <c r="OL8" i="6" a="1"/>
  <c r="OL8" i="6" s="1"/>
  <c r="OK8" i="6" a="1"/>
  <c r="OK8" i="6" s="1"/>
  <c r="OJ8" i="6" a="1"/>
  <c r="OJ8" i="6" s="1"/>
  <c r="OI8" i="6" a="1"/>
  <c r="OI8" i="6" s="1"/>
  <c r="OH8" i="6" a="1"/>
  <c r="OH8" i="6" s="1"/>
  <c r="NT8" i="6" a="1"/>
  <c r="NT8" i="6" s="1"/>
  <c r="NS8" i="6" a="1"/>
  <c r="NS8" i="6" s="1"/>
  <c r="NR8" i="6" a="1"/>
  <c r="NR8" i="6" s="1"/>
  <c r="NQ8" i="6" a="1"/>
  <c r="NQ8" i="6" s="1"/>
  <c r="NP8" i="6" a="1"/>
  <c r="NP8" i="6" s="1"/>
  <c r="NC8" i="6" a="1"/>
  <c r="NC8" i="6" s="1"/>
  <c r="NB8" i="6" a="1"/>
  <c r="NB8" i="6" s="1"/>
  <c r="NA8" i="6" a="1"/>
  <c r="NA8" i="6" s="1"/>
  <c r="MZ8" i="6" a="1"/>
  <c r="MZ8" i="6" s="1"/>
  <c r="MY8" i="6" a="1"/>
  <c r="MY8" i="6" s="1"/>
  <c r="MK8" i="6" a="1"/>
  <c r="MK8" i="6" s="1"/>
  <c r="MJ8" i="6" a="1"/>
  <c r="MJ8" i="6" s="1"/>
  <c r="MI8" i="6" a="1"/>
  <c r="MI8" i="6" s="1"/>
  <c r="MH8" i="6" a="1"/>
  <c r="MH8" i="6" s="1"/>
  <c r="MG8" i="6" a="1"/>
  <c r="MG8" i="6" s="1"/>
  <c r="LS8" i="6" a="1"/>
  <c r="LS8" i="6" s="1"/>
  <c r="LR8" i="6" a="1"/>
  <c r="LR8" i="6" s="1"/>
  <c r="LQ8" i="6" a="1"/>
  <c r="LQ8" i="6" s="1"/>
  <c r="LP8" i="6" a="1"/>
  <c r="LP8" i="6" s="1"/>
  <c r="LO8" i="6" a="1"/>
  <c r="LO8" i="6" s="1"/>
  <c r="LA8" i="6" a="1"/>
  <c r="LA8" i="6" s="1"/>
  <c r="KZ8" i="6" a="1"/>
  <c r="KZ8" i="6" s="1"/>
  <c r="KY8" i="6" a="1"/>
  <c r="KY8" i="6" s="1"/>
  <c r="KX8" i="6" a="1"/>
  <c r="KX8" i="6" s="1"/>
  <c r="KW8" i="6" a="1"/>
  <c r="KW8" i="6" s="1"/>
  <c r="KI8" i="6" a="1"/>
  <c r="KI8" i="6" s="1"/>
  <c r="KH8" i="6" a="1"/>
  <c r="KH8" i="6" s="1"/>
  <c r="KG8" i="6" a="1"/>
  <c r="KG8" i="6" s="1"/>
  <c r="KF8" i="6" a="1"/>
  <c r="KF8" i="6" s="1"/>
  <c r="KE8" i="6" a="1"/>
  <c r="KE8" i="6" s="1"/>
  <c r="JQ8" i="6" a="1"/>
  <c r="JQ8" i="6" s="1"/>
  <c r="JP8" i="6" a="1"/>
  <c r="JP8" i="6" s="1"/>
  <c r="JO8" i="6" a="1"/>
  <c r="JO8" i="6" s="1"/>
  <c r="JN8" i="6" a="1"/>
  <c r="JN8" i="6" s="1"/>
  <c r="JM8" i="6" a="1"/>
  <c r="JM8" i="6" s="1"/>
  <c r="IY8" i="6" a="1"/>
  <c r="IY8" i="6" s="1"/>
  <c r="IX8" i="6" a="1"/>
  <c r="IX8" i="6" s="1"/>
  <c r="IW8" i="6" a="1"/>
  <c r="IW8" i="6" s="1"/>
  <c r="IV8" i="6" a="1"/>
  <c r="IV8" i="6" s="1"/>
  <c r="IU8" i="6" a="1"/>
  <c r="IU8" i="6" s="1"/>
  <c r="IG8" i="6" a="1"/>
  <c r="IG8" i="6" s="1"/>
  <c r="IF8" i="6" a="1"/>
  <c r="IF8" i="6" s="1"/>
  <c r="IE8" i="6" a="1"/>
  <c r="IE8" i="6" s="1"/>
  <c r="ID8" i="6" a="1"/>
  <c r="ID8" i="6" s="1"/>
  <c r="IC8" i="6" a="1"/>
  <c r="IC8" i="6" s="1"/>
  <c r="HO8" i="6" a="1"/>
  <c r="HO8" i="6" s="1"/>
  <c r="HN8" i="6" a="1"/>
  <c r="HN8" i="6" s="1"/>
  <c r="HM8" i="6" a="1"/>
  <c r="HM8" i="6" s="1"/>
  <c r="HL8" i="6" a="1"/>
  <c r="HL8" i="6" s="1"/>
  <c r="HK8" i="6" a="1"/>
  <c r="HK8" i="6" s="1"/>
  <c r="GX8" i="6" a="1"/>
  <c r="GX8" i="6" s="1"/>
  <c r="GW8" i="6" a="1"/>
  <c r="GW8" i="6" s="1"/>
  <c r="GV8" i="6" a="1"/>
  <c r="GV8" i="6" s="1"/>
  <c r="GU8" i="6" a="1"/>
  <c r="GU8" i="6" s="1"/>
  <c r="GT8" i="6" a="1"/>
  <c r="GT8" i="6" s="1"/>
  <c r="GG8" i="6" a="1"/>
  <c r="GG8" i="6" s="1"/>
  <c r="GF8" i="6" a="1"/>
  <c r="GF8" i="6" s="1"/>
  <c r="GE8" i="6" a="1"/>
  <c r="GE8" i="6" s="1"/>
  <c r="GD8" i="6" a="1"/>
  <c r="GD8" i="6" s="1"/>
  <c r="GC8" i="6" a="1"/>
  <c r="GC8" i="6" s="1"/>
  <c r="FP8" i="6" a="1"/>
  <c r="FP8" i="6" s="1"/>
  <c r="FO8" i="6" a="1"/>
  <c r="FO8" i="6" s="1"/>
  <c r="FN8" i="6" a="1"/>
  <c r="FN8" i="6" s="1"/>
  <c r="FM8" i="6" a="1"/>
  <c r="FM8" i="6" s="1"/>
  <c r="FL8" i="6" a="1"/>
  <c r="FL8" i="6" s="1"/>
  <c r="EY8" i="6" a="1"/>
  <c r="EY8" i="6" s="1"/>
  <c r="EX8" i="6" a="1"/>
  <c r="EX8" i="6" s="1"/>
  <c r="EW8" i="6" a="1"/>
  <c r="EW8" i="6" s="1"/>
  <c r="EV8" i="6" a="1"/>
  <c r="EV8" i="6" s="1"/>
  <c r="EU8" i="6" a="1"/>
  <c r="EU8" i="6" s="1"/>
  <c r="EH8" i="6" a="1"/>
  <c r="EH8" i="6" s="1"/>
  <c r="EG8" i="6" a="1"/>
  <c r="EG8" i="6" s="1"/>
  <c r="EF8" i="6" a="1"/>
  <c r="EF8" i="6" s="1"/>
  <c r="EE8" i="6" a="1"/>
  <c r="EE8" i="6" s="1"/>
  <c r="ED8" i="6" a="1"/>
  <c r="ED8" i="6" s="1"/>
  <c r="DQ8" i="6" a="1"/>
  <c r="DQ8" i="6" s="1"/>
  <c r="DP8" i="6" a="1"/>
  <c r="DP8" i="6" s="1"/>
  <c r="DO8" i="6" a="1"/>
  <c r="DO8" i="6" s="1"/>
  <c r="DN8" i="6" a="1"/>
  <c r="DN8" i="6" s="1"/>
  <c r="DM8" i="6" a="1"/>
  <c r="DM8" i="6" s="1"/>
  <c r="DD8" i="6" a="1"/>
  <c r="DD8" i="6" s="1"/>
  <c r="CU8" i="6" a="1"/>
  <c r="CU8" i="6" s="1"/>
  <c r="CL8" i="6" a="1"/>
  <c r="CL8" i="6" s="1"/>
  <c r="BX8" i="6" a="1"/>
  <c r="BX8" i="6" s="1"/>
  <c r="BW8" i="6" a="1"/>
  <c r="BW8" i="6" s="1"/>
  <c r="BV8" i="6" a="1"/>
  <c r="BV8" i="6" s="1"/>
  <c r="BU8" i="6" a="1"/>
  <c r="BU8" i="6" s="1"/>
  <c r="BT8" i="6" a="1"/>
  <c r="BT8" i="6" s="1"/>
  <c r="BS8" i="6" a="1"/>
  <c r="BS8" i="6" s="1"/>
  <c r="BA8" i="6" a="1"/>
  <c r="BA8" i="6" s="1"/>
  <c r="AZ8" i="6" a="1"/>
  <c r="AZ8" i="6" s="1"/>
  <c r="AY8" i="6" a="1"/>
  <c r="AY8" i="6" s="1"/>
  <c r="AX8" i="6" a="1"/>
  <c r="AX8" i="6" s="1"/>
  <c r="AW8" i="6" a="1"/>
  <c r="AW8" i="6" s="1"/>
  <c r="AV8" i="6" a="1"/>
  <c r="AV8" i="6" s="1"/>
  <c r="AU8" i="6" a="1"/>
  <c r="AU8" i="6" s="1"/>
  <c r="AT8" i="6" a="1"/>
  <c r="AT8" i="6" s="1"/>
  <c r="AS8" i="6" a="1"/>
  <c r="AS8" i="6" s="1"/>
  <c r="AR8" i="6" a="1"/>
  <c r="AR8" i="6" s="1"/>
  <c r="AH8" i="6" a="1"/>
  <c r="AH8" i="6" s="1"/>
  <c r="AG8" i="6" a="1"/>
  <c r="AG8" i="6" s="1"/>
  <c r="V8" i="6" a="1"/>
  <c r="V8" i="6" s="1"/>
  <c r="U8" i="6" a="1"/>
  <c r="U8" i="6" s="1"/>
  <c r="J8" i="6" a="1"/>
  <c r="J8" i="6" s="1"/>
  <c r="I8" i="6" a="1"/>
  <c r="I8" i="6" s="1"/>
  <c r="ADA7" i="6" a="1"/>
  <c r="ADA7" i="6" s="1"/>
  <c r="ACZ7" i="6" a="1"/>
  <c r="ACZ7" i="6" s="1"/>
  <c r="ACY7" i="6" a="1"/>
  <c r="ACY7" i="6" s="1"/>
  <c r="ACN7" i="6" a="1"/>
  <c r="ACN7" i="6" s="1"/>
  <c r="ACM7" i="6" a="1"/>
  <c r="ACM7" i="6" s="1"/>
  <c r="ABU7" i="6" a="1"/>
  <c r="ABU7" i="6" s="1"/>
  <c r="ABX7" i="6" a="1"/>
  <c r="ABX7" i="6" s="1"/>
  <c r="ABV7" i="6" a="1"/>
  <c r="ABV7" i="6" s="1"/>
  <c r="ABH7" i="6" a="1"/>
  <c r="ABH7" i="6" s="1"/>
  <c r="ABG7" i="6" a="1"/>
  <c r="ABG7" i="6" s="1"/>
  <c r="ABF7" i="6" a="1"/>
  <c r="ABF7" i="6" s="1"/>
  <c r="ABE7" i="6" a="1"/>
  <c r="ABE7" i="6" s="1"/>
  <c r="ABD7" i="6" a="1"/>
  <c r="ABD7" i="6" s="1"/>
  <c r="ZR7" i="6" a="1"/>
  <c r="ZR7" i="6" s="1"/>
  <c r="ZE7" i="6" a="1"/>
  <c r="ZE7" i="6" s="1"/>
  <c r="ZD7" i="6" a="1"/>
  <c r="ZD7" i="6" s="1"/>
  <c r="ZC7" i="6" a="1"/>
  <c r="ZC7" i="6" s="1"/>
  <c r="ZB7" i="6" a="1"/>
  <c r="ZB7" i="6" s="1"/>
  <c r="ZA7" i="6" a="1"/>
  <c r="ZA7" i="6" s="1"/>
  <c r="YP7" i="6" a="1"/>
  <c r="YP7" i="6" s="1"/>
  <c r="YO7" i="6" a="1"/>
  <c r="YO7" i="6" s="1"/>
  <c r="YE7" i="6" a="1"/>
  <c r="YE7" i="6" s="1"/>
  <c r="YD7" i="6" a="1"/>
  <c r="YD7" i="6" s="1"/>
  <c r="XT7" i="6" a="1"/>
  <c r="XT7" i="6" s="1"/>
  <c r="XS7" i="6" a="1"/>
  <c r="XS7" i="6" s="1"/>
  <c r="XI7" i="6" a="1"/>
  <c r="XI7" i="6" s="1"/>
  <c r="XH7" i="6" a="1"/>
  <c r="XH7" i="6" s="1"/>
  <c r="WX7" i="6" a="1"/>
  <c r="WX7" i="6" s="1"/>
  <c r="WW7" i="6" a="1"/>
  <c r="WW7" i="6" s="1"/>
  <c r="WM7" i="6" a="1"/>
  <c r="WM7" i="6" s="1"/>
  <c r="WL7" i="6" a="1"/>
  <c r="WL7" i="6" s="1"/>
  <c r="WC7" i="6" a="1"/>
  <c r="WC7" i="6" s="1"/>
  <c r="VQ7" i="6" a="1"/>
  <c r="VQ7" i="6" s="1"/>
  <c r="VP7" i="6" a="1"/>
  <c r="VP7" i="6" s="1"/>
  <c r="VO7" i="6" a="1"/>
  <c r="VO7" i="6" s="1"/>
  <c r="VN7" i="6" a="1"/>
  <c r="VN7" i="6" s="1"/>
  <c r="VA7" i="6" a="1"/>
  <c r="VA7" i="6" s="1"/>
  <c r="UZ7" i="6" a="1"/>
  <c r="UZ7" i="6" s="1"/>
  <c r="UY7" i="6" a="1"/>
  <c r="UY7" i="6" s="1"/>
  <c r="UX7" i="6" a="1"/>
  <c r="UX7" i="6" s="1"/>
  <c r="UW7" i="6" a="1"/>
  <c r="UW7" i="6" s="1"/>
  <c r="UM7" i="6" a="1"/>
  <c r="UM7" i="6" s="1"/>
  <c r="TZ7" i="6" a="1"/>
  <c r="TZ7" i="6" s="1"/>
  <c r="TY7" i="6" a="1"/>
  <c r="TY7" i="6" s="1"/>
  <c r="TX7" i="6" a="1"/>
  <c r="TX7" i="6" s="1"/>
  <c r="TW7" i="6" a="1"/>
  <c r="TW7" i="6" s="1"/>
  <c r="TV7" i="6" a="1"/>
  <c r="TV7" i="6" s="1"/>
  <c r="TH7" i="6" a="1"/>
  <c r="TH7" i="6" s="1"/>
  <c r="TG7" i="6" a="1"/>
  <c r="TG7" i="6" s="1"/>
  <c r="TF7" i="6" a="1"/>
  <c r="TF7" i="6" s="1"/>
  <c r="TE7" i="6" a="1"/>
  <c r="TE7" i="6" s="1"/>
  <c r="TD7" i="6" a="1"/>
  <c r="TD7" i="6" s="1"/>
  <c r="SP7" i="6" a="1"/>
  <c r="SP7" i="6" s="1"/>
  <c r="SO7" i="6" a="1"/>
  <c r="SO7" i="6" s="1"/>
  <c r="SN7" i="6" a="1"/>
  <c r="SN7" i="6" s="1"/>
  <c r="SM7" i="6" a="1"/>
  <c r="SM7" i="6" s="1"/>
  <c r="SL7" i="6" a="1"/>
  <c r="SL7" i="6" s="1"/>
  <c r="RX7" i="6" a="1"/>
  <c r="RX7" i="6" s="1"/>
  <c r="RW7" i="6" a="1"/>
  <c r="RW7" i="6" s="1"/>
  <c r="RV7" i="6" a="1"/>
  <c r="RV7" i="6" s="1"/>
  <c r="RU7" i="6" a="1"/>
  <c r="RU7" i="6" s="1"/>
  <c r="RT7" i="6" a="1"/>
  <c r="RT7" i="6" s="1"/>
  <c r="RF7" i="6" a="1"/>
  <c r="RF7" i="6" s="1"/>
  <c r="RE7" i="6" a="1"/>
  <c r="RE7" i="6" s="1"/>
  <c r="RD7" i="6" a="1"/>
  <c r="RD7" i="6" s="1"/>
  <c r="RC7" i="6" a="1"/>
  <c r="RC7" i="6" s="1"/>
  <c r="RB7" i="6" a="1"/>
  <c r="RB7" i="6" s="1"/>
  <c r="QN7" i="6" a="1"/>
  <c r="QN7" i="6" s="1"/>
  <c r="QM7" i="6" a="1"/>
  <c r="QM7" i="6" s="1"/>
  <c r="QL7" i="6" a="1"/>
  <c r="QL7" i="6" s="1"/>
  <c r="QK7" i="6" a="1"/>
  <c r="QK7" i="6" s="1"/>
  <c r="QJ7" i="6" a="1"/>
  <c r="QJ7" i="6" s="1"/>
  <c r="PV7" i="6" a="1"/>
  <c r="PV7" i="6" s="1"/>
  <c r="PU7" i="6" a="1"/>
  <c r="PU7" i="6" s="1"/>
  <c r="PT7" i="6" a="1"/>
  <c r="PT7" i="6" s="1"/>
  <c r="PS7" i="6" a="1"/>
  <c r="PS7" i="6" s="1"/>
  <c r="PR7" i="6" a="1"/>
  <c r="PR7" i="6" s="1"/>
  <c r="PD7" i="6" a="1"/>
  <c r="PD7" i="6" s="1"/>
  <c r="PC7" i="6" a="1"/>
  <c r="PC7" i="6" s="1"/>
  <c r="PB7" i="6" a="1"/>
  <c r="PB7" i="6" s="1"/>
  <c r="PA7" i="6" a="1"/>
  <c r="PA7" i="6" s="1"/>
  <c r="OZ7" i="6" a="1"/>
  <c r="OZ7" i="6" s="1"/>
  <c r="OL7" i="6" a="1"/>
  <c r="OL7" i="6" s="1"/>
  <c r="OK7" i="6" a="1"/>
  <c r="OK7" i="6" s="1"/>
  <c r="OJ7" i="6" a="1"/>
  <c r="OJ7" i="6" s="1"/>
  <c r="OI7" i="6" a="1"/>
  <c r="OI7" i="6" s="1"/>
  <c r="OH7" i="6" a="1"/>
  <c r="OH7" i="6" s="1"/>
  <c r="NT7" i="6" a="1"/>
  <c r="NT7" i="6" s="1"/>
  <c r="NS7" i="6" a="1"/>
  <c r="NS7" i="6" s="1"/>
  <c r="NR7" i="6" a="1"/>
  <c r="NR7" i="6" s="1"/>
  <c r="NQ7" i="6" a="1"/>
  <c r="NQ7" i="6" s="1"/>
  <c r="NP7" i="6" a="1"/>
  <c r="NP7" i="6" s="1"/>
  <c r="NC7" i="6" a="1"/>
  <c r="NC7" i="6" s="1"/>
  <c r="NB7" i="6" a="1"/>
  <c r="NB7" i="6" s="1"/>
  <c r="NA7" i="6" a="1"/>
  <c r="NA7" i="6" s="1"/>
  <c r="MZ7" i="6" a="1"/>
  <c r="MZ7" i="6" s="1"/>
  <c r="MY7" i="6" a="1"/>
  <c r="MY7" i="6" s="1"/>
  <c r="MK7" i="6" a="1"/>
  <c r="MK7" i="6" s="1"/>
  <c r="MJ7" i="6" a="1"/>
  <c r="MJ7" i="6" s="1"/>
  <c r="MI7" i="6" a="1"/>
  <c r="MI7" i="6" s="1"/>
  <c r="MH7" i="6" a="1"/>
  <c r="MH7" i="6" s="1"/>
  <c r="MG7" i="6" a="1"/>
  <c r="MG7" i="6" s="1"/>
  <c r="LS7" i="6" a="1"/>
  <c r="LS7" i="6" s="1"/>
  <c r="LR7" i="6" a="1"/>
  <c r="LR7" i="6" s="1"/>
  <c r="LQ7" i="6" a="1"/>
  <c r="LQ7" i="6" s="1"/>
  <c r="LP7" i="6" a="1"/>
  <c r="LP7" i="6" s="1"/>
  <c r="LO7" i="6" a="1"/>
  <c r="LO7" i="6" s="1"/>
  <c r="LA7" i="6" a="1"/>
  <c r="LA7" i="6" s="1"/>
  <c r="KZ7" i="6" a="1"/>
  <c r="KZ7" i="6" s="1"/>
  <c r="KY7" i="6" a="1"/>
  <c r="KY7" i="6" s="1"/>
  <c r="KX7" i="6" a="1"/>
  <c r="KX7" i="6" s="1"/>
  <c r="KW7" i="6" a="1"/>
  <c r="KW7" i="6" s="1"/>
  <c r="KI7" i="6" a="1"/>
  <c r="KI7" i="6" s="1"/>
  <c r="KH7" i="6" a="1"/>
  <c r="KH7" i="6" s="1"/>
  <c r="KG7" i="6" a="1"/>
  <c r="KG7" i="6" s="1"/>
  <c r="KF7" i="6" a="1"/>
  <c r="KF7" i="6" s="1"/>
  <c r="KE7" i="6" a="1"/>
  <c r="KE7" i="6" s="1"/>
  <c r="JQ7" i="6" a="1"/>
  <c r="JQ7" i="6" s="1"/>
  <c r="JP7" i="6" a="1"/>
  <c r="JP7" i="6" s="1"/>
  <c r="JO7" i="6" a="1"/>
  <c r="JO7" i="6" s="1"/>
  <c r="JN7" i="6" a="1"/>
  <c r="JN7" i="6" s="1"/>
  <c r="JM7" i="6" a="1"/>
  <c r="JM7" i="6" s="1"/>
  <c r="IY7" i="6" a="1"/>
  <c r="IY7" i="6" s="1"/>
  <c r="IX7" i="6" a="1"/>
  <c r="IX7" i="6" s="1"/>
  <c r="IW7" i="6" a="1"/>
  <c r="IW7" i="6" s="1"/>
  <c r="IV7" i="6" a="1"/>
  <c r="IV7" i="6" s="1"/>
  <c r="IU7" i="6" a="1"/>
  <c r="IU7" i="6" s="1"/>
  <c r="IG7" i="6" a="1"/>
  <c r="IG7" i="6" s="1"/>
  <c r="IF7" i="6" a="1"/>
  <c r="IF7" i="6" s="1"/>
  <c r="IE7" i="6" a="1"/>
  <c r="IE7" i="6" s="1"/>
  <c r="ID7" i="6" a="1"/>
  <c r="ID7" i="6" s="1"/>
  <c r="IC7" i="6" a="1"/>
  <c r="IC7" i="6" s="1"/>
  <c r="HO7" i="6" a="1"/>
  <c r="HO7" i="6" s="1"/>
  <c r="HN7" i="6" a="1"/>
  <c r="HN7" i="6" s="1"/>
  <c r="HM7" i="6" a="1"/>
  <c r="HM7" i="6" s="1"/>
  <c r="HL7" i="6" a="1"/>
  <c r="HL7" i="6" s="1"/>
  <c r="HK7" i="6" a="1"/>
  <c r="HK7" i="6" s="1"/>
  <c r="GX7" i="6" a="1"/>
  <c r="GX7" i="6" s="1"/>
  <c r="GW7" i="6" a="1"/>
  <c r="GW7" i="6" s="1"/>
  <c r="GV7" i="6" a="1"/>
  <c r="GV7" i="6" s="1"/>
  <c r="GU7" i="6" a="1"/>
  <c r="GU7" i="6" s="1"/>
  <c r="GT7" i="6" a="1"/>
  <c r="GT7" i="6" s="1"/>
  <c r="GG7" i="6" a="1"/>
  <c r="GG7" i="6" s="1"/>
  <c r="GF7" i="6" a="1"/>
  <c r="GF7" i="6" s="1"/>
  <c r="GE7" i="6" a="1"/>
  <c r="GE7" i="6" s="1"/>
  <c r="GD7" i="6" a="1"/>
  <c r="GD7" i="6" s="1"/>
  <c r="GC7" i="6" a="1"/>
  <c r="GC7" i="6" s="1"/>
  <c r="FP7" i="6" a="1"/>
  <c r="FP7" i="6" s="1"/>
  <c r="FO7" i="6" a="1"/>
  <c r="FO7" i="6" s="1"/>
  <c r="FN7" i="6" a="1"/>
  <c r="FN7" i="6" s="1"/>
  <c r="FM7" i="6" a="1"/>
  <c r="FM7" i="6" s="1"/>
  <c r="FL7" i="6" a="1"/>
  <c r="FL7" i="6" s="1"/>
  <c r="EY7" i="6" a="1"/>
  <c r="EY7" i="6" s="1"/>
  <c r="EX7" i="6" a="1"/>
  <c r="EX7" i="6" s="1"/>
  <c r="EW7" i="6" a="1"/>
  <c r="EW7" i="6" s="1"/>
  <c r="EV7" i="6" a="1"/>
  <c r="EV7" i="6" s="1"/>
  <c r="EU7" i="6" a="1"/>
  <c r="EU7" i="6" s="1"/>
  <c r="EH7" i="6" a="1"/>
  <c r="EH7" i="6" s="1"/>
  <c r="EG7" i="6" a="1"/>
  <c r="EG7" i="6" s="1"/>
  <c r="EF7" i="6" a="1"/>
  <c r="EF7" i="6" s="1"/>
  <c r="EE7" i="6" a="1"/>
  <c r="EE7" i="6" s="1"/>
  <c r="ED7" i="6" a="1"/>
  <c r="ED7" i="6" s="1"/>
  <c r="DQ7" i="6" a="1"/>
  <c r="DQ7" i="6" s="1"/>
  <c r="DP7" i="6" a="1"/>
  <c r="DP7" i="6" s="1"/>
  <c r="DO7" i="6" a="1"/>
  <c r="DO7" i="6" s="1"/>
  <c r="DN7" i="6" a="1"/>
  <c r="DN7" i="6" s="1"/>
  <c r="DM7" i="6" a="1"/>
  <c r="DM7" i="6" s="1"/>
  <c r="DD7" i="6" a="1"/>
  <c r="DD7" i="6" s="1"/>
  <c r="CU7" i="6" a="1"/>
  <c r="CU7" i="6" s="1"/>
  <c r="CL7" i="6" a="1"/>
  <c r="CL7" i="6" s="1"/>
  <c r="BX7" i="6" a="1"/>
  <c r="BX7" i="6" s="1"/>
  <c r="BW7" i="6" a="1"/>
  <c r="BW7" i="6" s="1"/>
  <c r="BV7" i="6" a="1"/>
  <c r="BV7" i="6" s="1"/>
  <c r="BU7" i="6" a="1"/>
  <c r="BU7" i="6" s="1"/>
  <c r="BT7" i="6" a="1"/>
  <c r="BT7" i="6" s="1"/>
  <c r="BS7" i="6" a="1"/>
  <c r="BS7" i="6" s="1"/>
  <c r="BA7" i="6" a="1"/>
  <c r="BA7" i="6" s="1"/>
  <c r="AZ7" i="6" a="1"/>
  <c r="AZ7" i="6" s="1"/>
  <c r="AY7" i="6" a="1"/>
  <c r="AY7" i="6" s="1"/>
  <c r="AX7" i="6" a="1"/>
  <c r="AX7" i="6" s="1"/>
  <c r="AW7" i="6" a="1"/>
  <c r="AW7" i="6" s="1"/>
  <c r="AV7" i="6" a="1"/>
  <c r="AV7" i="6" s="1"/>
  <c r="AU7" i="6" a="1"/>
  <c r="AU7" i="6" s="1"/>
  <c r="AT7" i="6" a="1"/>
  <c r="AT7" i="6" s="1"/>
  <c r="AS7" i="6" a="1"/>
  <c r="AS7" i="6" s="1"/>
  <c r="AR7" i="6" a="1"/>
  <c r="AR7" i="6" s="1"/>
  <c r="AH7" i="6" a="1"/>
  <c r="AH7" i="6" s="1"/>
  <c r="AG7" i="6" a="1"/>
  <c r="AG7" i="6" s="1"/>
  <c r="V7" i="6" a="1"/>
  <c r="V7" i="6" s="1"/>
  <c r="U7" i="6" a="1"/>
  <c r="U7" i="6" s="1"/>
  <c r="J7" i="6" a="1"/>
  <c r="J7" i="6" s="1"/>
  <c r="I7" i="6" a="1"/>
  <c r="I7" i="6" s="1"/>
  <c r="ADA6" i="6" a="1"/>
  <c r="ADA6" i="6" s="1"/>
  <c r="ACZ6" i="6" a="1"/>
  <c r="ACZ6" i="6" s="1"/>
  <c r="ACY6" i="6" a="1"/>
  <c r="ACY6" i="6" s="1"/>
  <c r="ACN6" i="6" a="1"/>
  <c r="ACN6" i="6" s="1"/>
  <c r="ACM6" i="6" a="1"/>
  <c r="ACM6" i="6" s="1"/>
  <c r="ABU6" i="6" a="1"/>
  <c r="ABU6" i="6" s="1"/>
  <c r="ABX6" i="6" a="1"/>
  <c r="ABX6" i="6" s="1"/>
  <c r="ABV6" i="6" a="1"/>
  <c r="ABV6" i="6" s="1"/>
  <c r="ABH6" i="6" a="1"/>
  <c r="ABH6" i="6" s="1"/>
  <c r="ABG6" i="6" a="1"/>
  <c r="ABG6" i="6" s="1"/>
  <c r="ABF6" i="6" a="1"/>
  <c r="ABF6" i="6" s="1"/>
  <c r="ABE6" i="6" a="1"/>
  <c r="ABE6" i="6" s="1"/>
  <c r="ABD6" i="6" a="1"/>
  <c r="ABD6" i="6" s="1"/>
  <c r="ZR6" i="6" a="1"/>
  <c r="ZR6" i="6" s="1"/>
  <c r="ZE6" i="6" a="1"/>
  <c r="ZE6" i="6" s="1"/>
  <c r="ZD6" i="6" a="1"/>
  <c r="ZD6" i="6" s="1"/>
  <c r="ZC6" i="6" a="1"/>
  <c r="ZC6" i="6" s="1"/>
  <c r="ZB6" i="6" a="1"/>
  <c r="ZB6" i="6" s="1"/>
  <c r="ZA6" i="6" a="1"/>
  <c r="ZA6" i="6" s="1"/>
  <c r="YP6" i="6" a="1"/>
  <c r="YP6" i="6" s="1"/>
  <c r="YO6" i="6" a="1"/>
  <c r="YO6" i="6" s="1"/>
  <c r="YE6" i="6" a="1"/>
  <c r="YE6" i="6" s="1"/>
  <c r="YD6" i="6" a="1"/>
  <c r="YD6" i="6" s="1"/>
  <c r="XT6" i="6" a="1"/>
  <c r="XT6" i="6" s="1"/>
  <c r="XS6" i="6" a="1"/>
  <c r="XS6" i="6" s="1"/>
  <c r="XI6" i="6" a="1"/>
  <c r="XI6" i="6" s="1"/>
  <c r="XH6" i="6" a="1"/>
  <c r="XH6" i="6" s="1"/>
  <c r="WX6" i="6" a="1"/>
  <c r="WX6" i="6" s="1"/>
  <c r="WW6" i="6" a="1"/>
  <c r="WW6" i="6" s="1"/>
  <c r="WM6" i="6" a="1"/>
  <c r="WM6" i="6" s="1"/>
  <c r="WL6" i="6" a="1"/>
  <c r="WL6" i="6" s="1"/>
  <c r="WC6" i="6" a="1"/>
  <c r="WC6" i="6" s="1"/>
  <c r="VO6" i="6" a="1"/>
  <c r="VO6" i="6" s="1"/>
  <c r="VP6" i="6" a="1"/>
  <c r="VP6" i="6" s="1"/>
  <c r="VQ6" i="6" a="1"/>
  <c r="VQ6" i="6" s="1"/>
  <c r="VN6" i="6" a="1"/>
  <c r="VN6" i="6" s="1"/>
  <c r="VA6" i="6" a="1"/>
  <c r="VA6" i="6" s="1"/>
  <c r="UZ6" i="6" a="1"/>
  <c r="UZ6" i="6" s="1"/>
  <c r="UY6" i="6" a="1"/>
  <c r="UY6" i="6" s="1"/>
  <c r="UX6" i="6" a="1"/>
  <c r="UX6" i="6" s="1"/>
  <c r="UW6" i="6" a="1"/>
  <c r="UW6" i="6" s="1"/>
  <c r="UM6" i="6" a="1"/>
  <c r="UM6" i="6" s="1"/>
  <c r="TZ6" i="6" a="1"/>
  <c r="TZ6" i="6" s="1"/>
  <c r="TY6" i="6" a="1"/>
  <c r="TY6" i="6" s="1"/>
  <c r="TX6" i="6" a="1"/>
  <c r="TX6" i="6" s="1"/>
  <c r="TW6" i="6" a="1"/>
  <c r="TW6" i="6" s="1"/>
  <c r="TV6" i="6" a="1"/>
  <c r="TV6" i="6" s="1"/>
  <c r="TH6" i="6" a="1"/>
  <c r="TH6" i="6" s="1"/>
  <c r="TG6" i="6" a="1"/>
  <c r="TG6" i="6" s="1"/>
  <c r="TF6" i="6" a="1"/>
  <c r="TF6" i="6" s="1"/>
  <c r="TE6" i="6" a="1"/>
  <c r="TE6" i="6" s="1"/>
  <c r="TD6" i="6" a="1"/>
  <c r="TD6" i="6" s="1"/>
  <c r="SP6" i="6" a="1"/>
  <c r="SP6" i="6" s="1"/>
  <c r="SO6" i="6" a="1"/>
  <c r="SO6" i="6" s="1"/>
  <c r="SN6" i="6" a="1"/>
  <c r="SN6" i="6" s="1"/>
  <c r="SM6" i="6" a="1"/>
  <c r="SM6" i="6" s="1"/>
  <c r="SL6" i="6" a="1"/>
  <c r="SL6" i="6" s="1"/>
  <c r="RX6" i="6" a="1"/>
  <c r="RX6" i="6" s="1"/>
  <c r="RW6" i="6" a="1"/>
  <c r="RW6" i="6" s="1"/>
  <c r="RV6" i="6" a="1"/>
  <c r="RV6" i="6" s="1"/>
  <c r="RU6" i="6" a="1"/>
  <c r="RU6" i="6" s="1"/>
  <c r="RT6" i="6" a="1"/>
  <c r="RT6" i="6" s="1"/>
  <c r="RF6" i="6" a="1"/>
  <c r="RF6" i="6" s="1"/>
  <c r="RE6" i="6" a="1"/>
  <c r="RE6" i="6" s="1"/>
  <c r="RD6" i="6" a="1"/>
  <c r="RD6" i="6" s="1"/>
  <c r="RC6" i="6" a="1"/>
  <c r="RC6" i="6" s="1"/>
  <c r="RB6" i="6" a="1"/>
  <c r="RB6" i="6" s="1"/>
  <c r="QN6" i="6" a="1"/>
  <c r="QN6" i="6" s="1"/>
  <c r="QM6" i="6" a="1"/>
  <c r="QM6" i="6" s="1"/>
  <c r="QL6" i="6" a="1"/>
  <c r="QL6" i="6" s="1"/>
  <c r="QK6" i="6" a="1"/>
  <c r="QK6" i="6" s="1"/>
  <c r="QJ6" i="6" a="1"/>
  <c r="QJ6" i="6" s="1"/>
  <c r="PV6" i="6" a="1"/>
  <c r="PV6" i="6" s="1"/>
  <c r="PU6" i="6" a="1"/>
  <c r="PU6" i="6" s="1"/>
  <c r="PT6" i="6" a="1"/>
  <c r="PT6" i="6" s="1"/>
  <c r="PS6" i="6" a="1"/>
  <c r="PS6" i="6" s="1"/>
  <c r="PR6" i="6" a="1"/>
  <c r="PR6" i="6" s="1"/>
  <c r="PD6" i="6" a="1"/>
  <c r="PD6" i="6" s="1"/>
  <c r="PC6" i="6" a="1"/>
  <c r="PC6" i="6" s="1"/>
  <c r="PB6" i="6" a="1"/>
  <c r="PB6" i="6" s="1"/>
  <c r="PA6" i="6" a="1"/>
  <c r="PA6" i="6" s="1"/>
  <c r="OZ6" i="6" a="1"/>
  <c r="OZ6" i="6" s="1"/>
  <c r="OL6" i="6" a="1"/>
  <c r="OL6" i="6" s="1"/>
  <c r="OK6" i="6" a="1"/>
  <c r="OK6" i="6" s="1"/>
  <c r="OJ6" i="6" a="1"/>
  <c r="OJ6" i="6" s="1"/>
  <c r="OI6" i="6" a="1"/>
  <c r="OI6" i="6" s="1"/>
  <c r="OH6" i="6" a="1"/>
  <c r="OH6" i="6" s="1"/>
  <c r="NT6" i="6" a="1"/>
  <c r="NT6" i="6" s="1"/>
  <c r="NS6" i="6" a="1"/>
  <c r="NS6" i="6" s="1"/>
  <c r="NR6" i="6" a="1"/>
  <c r="NR6" i="6" s="1"/>
  <c r="NQ6" i="6" a="1"/>
  <c r="NQ6" i="6" s="1"/>
  <c r="NP6" i="6" a="1"/>
  <c r="NP6" i="6" s="1"/>
  <c r="NC6" i="6" a="1"/>
  <c r="NC6" i="6" s="1"/>
  <c r="NB6" i="6" a="1"/>
  <c r="NB6" i="6" s="1"/>
  <c r="NA6" i="6" a="1"/>
  <c r="NA6" i="6" s="1"/>
  <c r="MZ6" i="6" a="1"/>
  <c r="MZ6" i="6" s="1"/>
  <c r="MY6" i="6" a="1"/>
  <c r="MY6" i="6" s="1"/>
  <c r="MK6" i="6" a="1"/>
  <c r="MK6" i="6" s="1"/>
  <c r="MJ6" i="6" a="1"/>
  <c r="MJ6" i="6" s="1"/>
  <c r="MI6" i="6" a="1"/>
  <c r="MI6" i="6" s="1"/>
  <c r="MH6" i="6" a="1"/>
  <c r="MH6" i="6" s="1"/>
  <c r="MG6" i="6" a="1"/>
  <c r="MG6" i="6" s="1"/>
  <c r="LS6" i="6" a="1"/>
  <c r="LS6" i="6" s="1"/>
  <c r="LR6" i="6" a="1"/>
  <c r="LR6" i="6" s="1"/>
  <c r="LQ6" i="6" a="1"/>
  <c r="LQ6" i="6" s="1"/>
  <c r="LP6" i="6" a="1"/>
  <c r="LP6" i="6" s="1"/>
  <c r="LO6" i="6" a="1"/>
  <c r="LO6" i="6" s="1"/>
  <c r="LA6" i="6" a="1"/>
  <c r="LA6" i="6" s="1"/>
  <c r="KZ6" i="6" a="1"/>
  <c r="KZ6" i="6" s="1"/>
  <c r="KY6" i="6" a="1"/>
  <c r="KY6" i="6" s="1"/>
  <c r="KX6" i="6" a="1"/>
  <c r="KX6" i="6" s="1"/>
  <c r="KW6" i="6" a="1"/>
  <c r="KW6" i="6" s="1"/>
  <c r="KI6" i="6" a="1"/>
  <c r="KI6" i="6" s="1"/>
  <c r="KH6" i="6" a="1"/>
  <c r="KH6" i="6" s="1"/>
  <c r="KG6" i="6" a="1"/>
  <c r="KG6" i="6" s="1"/>
  <c r="KF6" i="6" a="1"/>
  <c r="KF6" i="6" s="1"/>
  <c r="KE6" i="6" a="1"/>
  <c r="KE6" i="6" s="1"/>
  <c r="JQ6" i="6" a="1"/>
  <c r="JQ6" i="6" s="1"/>
  <c r="JP6" i="6" a="1"/>
  <c r="JP6" i="6" s="1"/>
  <c r="JO6" i="6" a="1"/>
  <c r="JO6" i="6" s="1"/>
  <c r="JN6" i="6" a="1"/>
  <c r="JN6" i="6" s="1"/>
  <c r="JM6" i="6" a="1"/>
  <c r="JM6" i="6" s="1"/>
  <c r="IY6" i="6" a="1"/>
  <c r="IY6" i="6" s="1"/>
  <c r="IX6" i="6" a="1"/>
  <c r="IX6" i="6" s="1"/>
  <c r="IW6" i="6" a="1"/>
  <c r="IW6" i="6" s="1"/>
  <c r="IV6" i="6" a="1"/>
  <c r="IV6" i="6" s="1"/>
  <c r="IU6" i="6" a="1"/>
  <c r="IU6" i="6" s="1"/>
  <c r="IG6" i="6" a="1"/>
  <c r="IG6" i="6" s="1"/>
  <c r="IF6" i="6" a="1"/>
  <c r="IF6" i="6" s="1"/>
  <c r="IE6" i="6" a="1"/>
  <c r="IE6" i="6" s="1"/>
  <c r="ID6" i="6" a="1"/>
  <c r="ID6" i="6" s="1"/>
  <c r="IC6" i="6" a="1"/>
  <c r="IC6" i="6" s="1"/>
  <c r="HO6" i="6" a="1"/>
  <c r="HO6" i="6" s="1"/>
  <c r="HN6" i="6" a="1"/>
  <c r="HN6" i="6" s="1"/>
  <c r="HM6" i="6" a="1"/>
  <c r="HM6" i="6" s="1"/>
  <c r="HL6" i="6" a="1"/>
  <c r="HL6" i="6" s="1"/>
  <c r="HK6" i="6" a="1"/>
  <c r="HK6" i="6" s="1"/>
  <c r="GX6" i="6" a="1"/>
  <c r="GX6" i="6" s="1"/>
  <c r="GW6" i="6" a="1"/>
  <c r="GW6" i="6" s="1"/>
  <c r="GV6" i="6" a="1"/>
  <c r="GV6" i="6" s="1"/>
  <c r="GU6" i="6" a="1"/>
  <c r="GU6" i="6" s="1"/>
  <c r="GT6" i="6" a="1"/>
  <c r="GT6" i="6" s="1"/>
  <c r="GG6" i="6" a="1"/>
  <c r="GG6" i="6" s="1"/>
  <c r="GF6" i="6" a="1"/>
  <c r="GF6" i="6" s="1"/>
  <c r="GE6" i="6" a="1"/>
  <c r="GE6" i="6" s="1"/>
  <c r="GD6" i="6" a="1"/>
  <c r="GD6" i="6" s="1"/>
  <c r="GC6" i="6" a="1"/>
  <c r="GC6" i="6" s="1"/>
  <c r="FP6" i="6" a="1"/>
  <c r="FP6" i="6" s="1"/>
  <c r="FO6" i="6" a="1"/>
  <c r="FO6" i="6" s="1"/>
  <c r="FN6" i="6" a="1"/>
  <c r="FN6" i="6" s="1"/>
  <c r="FM6" i="6" a="1"/>
  <c r="FM6" i="6" s="1"/>
  <c r="FL6" i="6" a="1"/>
  <c r="FL6" i="6" s="1"/>
  <c r="EY6" i="6" a="1"/>
  <c r="EY6" i="6" s="1"/>
  <c r="EX6" i="6" a="1"/>
  <c r="EX6" i="6" s="1"/>
  <c r="EW6" i="6" a="1"/>
  <c r="EW6" i="6" s="1"/>
  <c r="EV6" i="6" a="1"/>
  <c r="EV6" i="6" s="1"/>
  <c r="EU6" i="6" a="1"/>
  <c r="EU6" i="6" s="1"/>
  <c r="EH6" i="6" a="1"/>
  <c r="EH6" i="6" s="1"/>
  <c r="EG6" i="6" a="1"/>
  <c r="EG6" i="6" s="1"/>
  <c r="EF6" i="6" a="1"/>
  <c r="EF6" i="6" s="1"/>
  <c r="EE6" i="6" a="1"/>
  <c r="EE6" i="6" s="1"/>
  <c r="ED6" i="6" a="1"/>
  <c r="ED6" i="6" s="1"/>
  <c r="DQ6" i="6" a="1"/>
  <c r="DQ6" i="6" s="1"/>
  <c r="DP6" i="6" a="1"/>
  <c r="DP6" i="6" s="1"/>
  <c r="DO6" i="6" a="1"/>
  <c r="DO6" i="6" s="1"/>
  <c r="DN6" i="6" a="1"/>
  <c r="DN6" i="6" s="1"/>
  <c r="DM6" i="6" a="1"/>
  <c r="DM6" i="6" s="1"/>
  <c r="DD6" i="6" a="1"/>
  <c r="DD6" i="6" s="1"/>
  <c r="CU6" i="6" a="1"/>
  <c r="CU6" i="6" s="1"/>
  <c r="CL6" i="6" a="1"/>
  <c r="CL6" i="6" s="1"/>
  <c r="BX6" i="6" a="1"/>
  <c r="BX6" i="6" s="1"/>
  <c r="BW6" i="6" a="1"/>
  <c r="BW6" i="6" s="1"/>
  <c r="BV6" i="6" a="1"/>
  <c r="BV6" i="6" s="1"/>
  <c r="BU6" i="6" a="1"/>
  <c r="BU6" i="6" s="1"/>
  <c r="BT6" i="6" a="1"/>
  <c r="BT6" i="6" s="1"/>
  <c r="BS6" i="6" a="1"/>
  <c r="BS6" i="6" s="1"/>
  <c r="BA6" i="6" a="1"/>
  <c r="BA6" i="6" s="1"/>
  <c r="AZ6" i="6" a="1"/>
  <c r="AZ6" i="6" s="1"/>
  <c r="AY6" i="6" a="1"/>
  <c r="AY6" i="6" s="1"/>
  <c r="AX6" i="6" a="1"/>
  <c r="AX6" i="6" s="1"/>
  <c r="AW6" i="6" a="1"/>
  <c r="AW6" i="6" s="1"/>
  <c r="AV6" i="6" a="1"/>
  <c r="AV6" i="6" s="1"/>
  <c r="AU6" i="6" a="1"/>
  <c r="AU6" i="6" s="1"/>
  <c r="AT6" i="6" a="1"/>
  <c r="AT6" i="6" s="1"/>
  <c r="AS6" i="6" a="1"/>
  <c r="AS6" i="6" s="1"/>
  <c r="AR6" i="6" a="1"/>
  <c r="AR6" i="6" s="1"/>
  <c r="AH6" i="6" a="1"/>
  <c r="AH6" i="6" s="1"/>
  <c r="AG6" i="6" a="1"/>
  <c r="AG6" i="6" s="1"/>
  <c r="V6" i="6" a="1"/>
  <c r="V6" i="6" s="1"/>
  <c r="U6" i="6" a="1"/>
  <c r="U6" i="6" s="1"/>
  <c r="J6" i="6" a="1"/>
  <c r="J6" i="6" s="1"/>
  <c r="I6" i="6" a="1"/>
  <c r="I6" i="6" s="1"/>
  <c r="H25" i="6" l="1"/>
  <c r="H27" i="6"/>
  <c r="H30" i="6"/>
  <c r="H34" i="6"/>
  <c r="H35" i="6"/>
  <c r="H36" i="6"/>
  <c r="H37" i="6"/>
  <c r="ACL40" i="6"/>
  <c r="ACL41" i="6"/>
  <c r="ACL55" i="6"/>
  <c r="H28" i="6"/>
  <c r="H32" i="6"/>
  <c r="T88" i="6"/>
  <c r="ACL26" i="6"/>
  <c r="ACL27" i="6"/>
  <c r="ACL28" i="6"/>
  <c r="ACL29" i="6"/>
  <c r="ACL32" i="6"/>
  <c r="ACL34" i="6"/>
  <c r="ACL43" i="6"/>
  <c r="ACL44" i="6"/>
  <c r="ACL47" i="6"/>
  <c r="ACL53" i="6"/>
  <c r="ACL57" i="6"/>
  <c r="ACL59" i="6"/>
  <c r="ACL60" i="6"/>
  <c r="ACL61" i="6"/>
  <c r="ACL64" i="6"/>
  <c r="ACL65" i="6"/>
  <c r="ACL67" i="6"/>
  <c r="ACL93" i="6"/>
  <c r="ACL96" i="6"/>
  <c r="H47" i="6"/>
  <c r="H55" i="6"/>
  <c r="H56" i="6"/>
  <c r="H57" i="6"/>
  <c r="H59" i="6"/>
  <c r="H101" i="6"/>
  <c r="H104" i="6"/>
  <c r="H106" i="6"/>
  <c r="H112" i="6"/>
  <c r="H114" i="6"/>
  <c r="H116" i="6"/>
  <c r="T102" i="6"/>
  <c r="ACL21" i="6"/>
  <c r="ACL109" i="6"/>
  <c r="T91" i="6"/>
  <c r="T72" i="6"/>
  <c r="T79" i="6"/>
  <c r="T108" i="6"/>
  <c r="T111" i="6"/>
  <c r="T112" i="6"/>
  <c r="T116" i="6"/>
  <c r="ACL22" i="6"/>
  <c r="ACL23" i="6"/>
  <c r="ACL24" i="6"/>
  <c r="ACL25" i="6"/>
  <c r="ACL35" i="6"/>
  <c r="ACL36" i="6"/>
  <c r="ACL38" i="6"/>
  <c r="ACL39" i="6"/>
  <c r="ACL42" i="6"/>
  <c r="ACL46" i="6"/>
  <c r="ACL49" i="6"/>
  <c r="ACL54" i="6"/>
  <c r="ACL56" i="6"/>
  <c r="ACL58" i="6"/>
  <c r="ACL62" i="6"/>
  <c r="ACL63" i="6"/>
  <c r="ACL66" i="6"/>
  <c r="ACL78" i="6"/>
  <c r="T38" i="6"/>
  <c r="T39" i="6"/>
  <c r="T40" i="6"/>
  <c r="T41" i="6"/>
  <c r="T42" i="6"/>
  <c r="T44" i="6"/>
  <c r="T62" i="6"/>
  <c r="T63" i="6"/>
  <c r="T65" i="6"/>
  <c r="T66" i="6"/>
  <c r="T68" i="6"/>
  <c r="ACL68" i="6"/>
  <c r="ACL69" i="6"/>
  <c r="ACL71" i="6"/>
  <c r="ACL72" i="6"/>
  <c r="ACL73" i="6"/>
  <c r="ACL74" i="6"/>
  <c r="ACL75" i="6"/>
  <c r="ACL76" i="6"/>
  <c r="ACL79" i="6"/>
  <c r="ACL81" i="6"/>
  <c r="ACL82" i="6"/>
  <c r="ACL83" i="6"/>
  <c r="ACL84" i="6"/>
  <c r="ACL85" i="6"/>
  <c r="ACL86" i="6"/>
  <c r="ACL87" i="6"/>
  <c r="ACL88" i="6"/>
  <c r="ACL89" i="6"/>
  <c r="ACL90" i="6"/>
  <c r="ACL91" i="6"/>
  <c r="ACL92" i="6"/>
  <c r="ACL94" i="6"/>
  <c r="ACL95" i="6"/>
  <c r="ACL97" i="6"/>
  <c r="ACL98" i="6"/>
  <c r="ACL99" i="6"/>
  <c r="ACL100" i="6"/>
  <c r="ACL102" i="6"/>
  <c r="ACL103" i="6"/>
  <c r="ACL104" i="6"/>
  <c r="ACL105" i="6"/>
  <c r="ACL107" i="6"/>
  <c r="ACL108" i="6"/>
  <c r="ACL110" i="6"/>
  <c r="ACL111" i="6"/>
  <c r="ACL112" i="6"/>
  <c r="ACL113" i="6"/>
  <c r="ACL114" i="6"/>
  <c r="ACL116" i="6"/>
  <c r="ACL6" i="6"/>
  <c r="ACL7" i="6"/>
  <c r="ACL8" i="6"/>
  <c r="ACL9" i="6"/>
  <c r="ACL10" i="6"/>
  <c r="ACL11" i="6"/>
  <c r="ACL12" i="6"/>
  <c r="ACL13" i="6"/>
  <c r="ACL14" i="6"/>
  <c r="ACL15" i="6"/>
  <c r="ACL16" i="6"/>
  <c r="ACL17" i="6"/>
  <c r="ACL18" i="6"/>
  <c r="ACL19" i="6"/>
  <c r="T64" i="6"/>
  <c r="T78" i="6"/>
  <c r="T82" i="6"/>
  <c r="T86" i="6"/>
  <c r="H19" i="6"/>
  <c r="T8" i="6"/>
  <c r="T11" i="6"/>
  <c r="T12" i="6"/>
  <c r="T19" i="6"/>
  <c r="T109" i="6"/>
  <c r="H20" i="6"/>
  <c r="H21" i="6"/>
  <c r="H22" i="6"/>
  <c r="H23" i="6"/>
  <c r="H24" i="6"/>
  <c r="H39" i="6"/>
  <c r="H40" i="6"/>
  <c r="H46" i="6"/>
  <c r="H49" i="6"/>
  <c r="H51" i="6"/>
  <c r="H52" i="6"/>
  <c r="H54" i="6"/>
  <c r="H58" i="6"/>
  <c r="H62" i="6"/>
  <c r="H63" i="6"/>
  <c r="H64" i="6"/>
  <c r="H65" i="6"/>
  <c r="H66" i="6"/>
  <c r="H67" i="6"/>
  <c r="H68" i="6"/>
  <c r="H69" i="6"/>
  <c r="H70" i="6"/>
  <c r="H71" i="6"/>
  <c r="H72" i="6"/>
  <c r="H73" i="6"/>
  <c r="H74" i="6"/>
  <c r="H76" i="6"/>
  <c r="H77" i="6"/>
  <c r="H78" i="6"/>
  <c r="H79" i="6"/>
  <c r="H80" i="6"/>
  <c r="H81" i="6"/>
  <c r="H82" i="6"/>
  <c r="H83" i="6"/>
  <c r="H85" i="6"/>
  <c r="H86" i="6"/>
  <c r="H87" i="6"/>
  <c r="H88" i="6"/>
  <c r="H89" i="6"/>
  <c r="H90" i="6"/>
  <c r="H92" i="6"/>
  <c r="H94" i="6"/>
  <c r="H96" i="6"/>
  <c r="H97" i="6"/>
  <c r="H100" i="6"/>
  <c r="H102" i="6"/>
  <c r="H107" i="6"/>
  <c r="H108" i="6"/>
  <c r="H109" i="6"/>
  <c r="H110" i="6"/>
  <c r="H111" i="6"/>
  <c r="H113" i="6"/>
  <c r="H115" i="6"/>
  <c r="T6" i="6"/>
  <c r="T7" i="6"/>
  <c r="T10" i="6"/>
  <c r="T14" i="6"/>
  <c r="T15" i="6"/>
  <c r="T18" i="6"/>
  <c r="H38" i="6"/>
  <c r="H103" i="6"/>
  <c r="H105" i="6"/>
  <c r="T9" i="6"/>
  <c r="T13" i="6"/>
  <c r="T16" i="6"/>
  <c r="T115" i="6"/>
  <c r="H16" i="6"/>
  <c r="H60" i="6"/>
  <c r="H84" i="6"/>
  <c r="H98" i="6"/>
  <c r="H75" i="6"/>
  <c r="T43" i="6"/>
  <c r="T45" i="6"/>
  <c r="T67" i="6"/>
  <c r="T80" i="6"/>
  <c r="T81" i="6"/>
  <c r="T83" i="6"/>
  <c r="T84" i="6"/>
  <c r="T87" i="6"/>
  <c r="T98" i="6"/>
  <c r="T100" i="6"/>
  <c r="T103" i="6"/>
  <c r="T105" i="6"/>
  <c r="H15" i="6"/>
  <c r="H18" i="6"/>
  <c r="T20" i="6"/>
  <c r="T21" i="6"/>
  <c r="T22" i="6"/>
  <c r="T23" i="6"/>
  <c r="T32" i="6"/>
  <c r="T33" i="6"/>
  <c r="T34" i="6"/>
  <c r="T35" i="6"/>
  <c r="T36" i="6"/>
  <c r="T69" i="6"/>
  <c r="T71" i="6"/>
  <c r="T17" i="6"/>
  <c r="T24" i="6"/>
  <c r="T25" i="6"/>
  <c r="T26" i="6"/>
  <c r="T27" i="6"/>
  <c r="T28" i="6"/>
  <c r="T29" i="6"/>
  <c r="T30" i="6"/>
  <c r="T31" i="6"/>
  <c r="H6" i="6"/>
  <c r="H7" i="6"/>
  <c r="H8" i="6"/>
  <c r="H9" i="6"/>
  <c r="H10" i="6"/>
  <c r="H11" i="6"/>
  <c r="H12" i="6"/>
  <c r="H13" i="6"/>
  <c r="H14" i="6"/>
  <c r="H17" i="6"/>
  <c r="T37" i="6"/>
  <c r="T46" i="6"/>
  <c r="T47" i="6"/>
  <c r="T48" i="6"/>
  <c r="T49" i="6"/>
  <c r="T50" i="6"/>
  <c r="T51" i="6"/>
  <c r="T52" i="6"/>
  <c r="T53" i="6"/>
  <c r="T54" i="6"/>
  <c r="T55" i="6"/>
  <c r="T56" i="6"/>
  <c r="T57" i="6"/>
  <c r="T58" i="6"/>
  <c r="T59" i="6"/>
  <c r="T60" i="6"/>
  <c r="T61" i="6"/>
  <c r="T73" i="6"/>
  <c r="T74" i="6"/>
  <c r="T75" i="6"/>
  <c r="T76" i="6"/>
  <c r="T77" i="6"/>
  <c r="T93" i="6"/>
  <c r="T94" i="6"/>
  <c r="T95" i="6"/>
  <c r="T96" i="6"/>
  <c r="T97" i="6"/>
  <c r="T99" i="6"/>
  <c r="T101" i="6"/>
  <c r="T110" i="6"/>
  <c r="T113" i="6"/>
  <c r="T114" i="6"/>
  <c r="UV17" i="6"/>
  <c r="UV23" i="6"/>
  <c r="UV27" i="6"/>
  <c r="AF34" i="6"/>
  <c r="UV9" i="6"/>
  <c r="UV13" i="6"/>
  <c r="UV67" i="6"/>
  <c r="UV71" i="6"/>
  <c r="UV75" i="6"/>
  <c r="UV79" i="6"/>
  <c r="UV83" i="6"/>
  <c r="UV87" i="6"/>
  <c r="UV91" i="6"/>
  <c r="UV95" i="6"/>
  <c r="UV99" i="6"/>
  <c r="UV31" i="6"/>
  <c r="UV35" i="6"/>
  <c r="UV39" i="6"/>
  <c r="UV43" i="6"/>
  <c r="UV47" i="6"/>
  <c r="UV51" i="6"/>
  <c r="UV59" i="6"/>
  <c r="UV63" i="6"/>
  <c r="UV10" i="6"/>
  <c r="UV14" i="6"/>
  <c r="UV18" i="6"/>
  <c r="UV20" i="6"/>
  <c r="UV24" i="6"/>
  <c r="UV32" i="6"/>
  <c r="UV40" i="6"/>
  <c r="UV44" i="6"/>
  <c r="UV48" i="6"/>
  <c r="UV52" i="6"/>
  <c r="UV56" i="6"/>
  <c r="UV60" i="6"/>
  <c r="UV64" i="6"/>
  <c r="UV68" i="6"/>
  <c r="UV84" i="6"/>
  <c r="UV104" i="6"/>
  <c r="UV108" i="6"/>
  <c r="UV55" i="6"/>
  <c r="UV36" i="6"/>
  <c r="UV28" i="6"/>
  <c r="UV88" i="6"/>
  <c r="UV6" i="6"/>
  <c r="UV72" i="6"/>
  <c r="UV76" i="6"/>
  <c r="UV80" i="6"/>
  <c r="UV92" i="6"/>
  <c r="UV96" i="6"/>
  <c r="UV100" i="6"/>
  <c r="UV8" i="6"/>
  <c r="UV12" i="6"/>
  <c r="UV16" i="6"/>
  <c r="UV22" i="6"/>
  <c r="UV26" i="6"/>
  <c r="UV30" i="6"/>
  <c r="UV34" i="6"/>
  <c r="UV38" i="6"/>
  <c r="UV42" i="6"/>
  <c r="UV46" i="6"/>
  <c r="UV50" i="6"/>
  <c r="UV54" i="6"/>
  <c r="UV58" i="6"/>
  <c r="UV62" i="6"/>
  <c r="UV66" i="6"/>
  <c r="UV70" i="6"/>
  <c r="UV74" i="6"/>
  <c r="UV78" i="6"/>
  <c r="UV82" i="6"/>
  <c r="UV86" i="6"/>
  <c r="UV90" i="6"/>
  <c r="UV94" i="6"/>
  <c r="UV98" i="6"/>
  <c r="UV102" i="6"/>
  <c r="UV106" i="6"/>
  <c r="UV110" i="6"/>
  <c r="UV114" i="6"/>
  <c r="UV103" i="6"/>
  <c r="UV107" i="6"/>
  <c r="UV111" i="6"/>
  <c r="UV112" i="6"/>
  <c r="GB7" i="6"/>
  <c r="WV7" i="6"/>
  <c r="IT13" i="6"/>
  <c r="IT17" i="6"/>
  <c r="IT70" i="6"/>
  <c r="IT74" i="6"/>
  <c r="IT78" i="6"/>
  <c r="IT82" i="6"/>
  <c r="IT86" i="6"/>
  <c r="IT90" i="6"/>
  <c r="IT94" i="6"/>
  <c r="IT98" i="6"/>
  <c r="IT23" i="6"/>
  <c r="IT27" i="6"/>
  <c r="IT31" i="6"/>
  <c r="KV7" i="6"/>
  <c r="RA8" i="6"/>
  <c r="TU8" i="6"/>
  <c r="JL9" i="6"/>
  <c r="MF9" i="6"/>
  <c r="OY9" i="6"/>
  <c r="RS9" i="6"/>
  <c r="JL6" i="6"/>
  <c r="PQ6" i="6"/>
  <c r="SK6" i="6"/>
  <c r="IB7" i="6"/>
  <c r="QI7" i="6"/>
  <c r="TC7" i="6"/>
  <c r="LN8" i="6"/>
  <c r="OG8" i="6"/>
  <c r="MF6" i="6"/>
  <c r="OG6" i="6"/>
  <c r="TU6" i="6"/>
  <c r="DC7" i="6"/>
  <c r="GS7" i="6"/>
  <c r="JL7" i="6"/>
  <c r="OY7" i="6"/>
  <c r="RS7" i="6"/>
  <c r="VM7" i="6"/>
  <c r="CT8" i="6"/>
  <c r="KD8" i="6"/>
  <c r="PQ8" i="6"/>
  <c r="SK8" i="6"/>
  <c r="ZQ8" i="6"/>
  <c r="IB9" i="6"/>
  <c r="IT12" i="6"/>
  <c r="RA6" i="6"/>
  <c r="ABC6" i="6"/>
  <c r="EC7" i="6"/>
  <c r="MF7" i="6"/>
  <c r="UL7" i="6"/>
  <c r="XR7" i="6"/>
  <c r="ET8" i="6"/>
  <c r="HJ8" i="6"/>
  <c r="IT8" i="6"/>
  <c r="MX8" i="6"/>
  <c r="YN8" i="6"/>
  <c r="IB6" i="6"/>
  <c r="QI6" i="6"/>
  <c r="TC6" i="6"/>
  <c r="LN7" i="6"/>
  <c r="OG7" i="6"/>
  <c r="RA7" i="6"/>
  <c r="TU7" i="6"/>
  <c r="UV7" i="6"/>
  <c r="JL8" i="6"/>
  <c r="MF8" i="6"/>
  <c r="OY8" i="6"/>
  <c r="RS8" i="6"/>
  <c r="KD9" i="6"/>
  <c r="MX9" i="6"/>
  <c r="PQ9" i="6"/>
  <c r="SK9" i="6"/>
  <c r="IB10" i="6"/>
  <c r="KV10" i="6"/>
  <c r="QI10" i="6"/>
  <c r="TC10" i="6"/>
  <c r="LN11" i="6"/>
  <c r="OG11" i="6"/>
  <c r="RA11" i="6"/>
  <c r="TU11" i="6"/>
  <c r="UV11" i="6"/>
  <c r="ABC11" i="6"/>
  <c r="JL12" i="6"/>
  <c r="MF12" i="6"/>
  <c r="OY12" i="6"/>
  <c r="RS12" i="6"/>
  <c r="KD13" i="6"/>
  <c r="MX13" i="6"/>
  <c r="PQ13" i="6"/>
  <c r="SK13" i="6"/>
  <c r="IB14" i="6"/>
  <c r="KV14" i="6"/>
  <c r="QI14" i="6"/>
  <c r="TC14" i="6"/>
  <c r="LN15" i="6"/>
  <c r="OG15" i="6"/>
  <c r="RA15" i="6"/>
  <c r="TU15" i="6"/>
  <c r="UV15" i="6"/>
  <c r="ABC15" i="6"/>
  <c r="JL16" i="6"/>
  <c r="MF16" i="6"/>
  <c r="OY16" i="6"/>
  <c r="RS16" i="6"/>
  <c r="KD17" i="6"/>
  <c r="MX17" i="6"/>
  <c r="PQ17" i="6"/>
  <c r="SK17" i="6"/>
  <c r="IB18" i="6"/>
  <c r="KV18" i="6"/>
  <c r="QI18" i="6"/>
  <c r="TC18" i="6"/>
  <c r="LN19" i="6"/>
  <c r="OG19" i="6"/>
  <c r="RA19" i="6"/>
  <c r="TU19" i="6"/>
  <c r="UV19" i="6"/>
  <c r="ABC19" i="6"/>
  <c r="IB20" i="6"/>
  <c r="KV20" i="6"/>
  <c r="QI20" i="6"/>
  <c r="TC20" i="6"/>
  <c r="LN21" i="6"/>
  <c r="OG21" i="6"/>
  <c r="RA21" i="6"/>
  <c r="TU21" i="6"/>
  <c r="UV21" i="6"/>
  <c r="ABC21" i="6"/>
  <c r="JL22" i="6"/>
  <c r="MF22" i="6"/>
  <c r="OY22" i="6"/>
  <c r="RS22" i="6"/>
  <c r="KD10" i="6"/>
  <c r="MX10" i="6"/>
  <c r="PQ10" i="6"/>
  <c r="SK10" i="6"/>
  <c r="IB11" i="6"/>
  <c r="KV11" i="6"/>
  <c r="QI11" i="6"/>
  <c r="TC11" i="6"/>
  <c r="LN12" i="6"/>
  <c r="OG12" i="6"/>
  <c r="RA12" i="6"/>
  <c r="TU12" i="6"/>
  <c r="JL13" i="6"/>
  <c r="MF13" i="6"/>
  <c r="OY13" i="6"/>
  <c r="RS13" i="6"/>
  <c r="KD14" i="6"/>
  <c r="MX14" i="6"/>
  <c r="PQ14" i="6"/>
  <c r="SK14" i="6"/>
  <c r="IB15" i="6"/>
  <c r="KV15" i="6"/>
  <c r="QI15" i="6"/>
  <c r="TC15" i="6"/>
  <c r="LN16" i="6"/>
  <c r="OG16" i="6"/>
  <c r="RA16" i="6"/>
  <c r="TU16" i="6"/>
  <c r="JL17" i="6"/>
  <c r="MF17" i="6"/>
  <c r="OY17" i="6"/>
  <c r="RS17" i="6"/>
  <c r="KD18" i="6"/>
  <c r="MX18" i="6"/>
  <c r="PQ18" i="6"/>
  <c r="SK18" i="6"/>
  <c r="IB19" i="6"/>
  <c r="KV19" i="6"/>
  <c r="QI19" i="6"/>
  <c r="TC19" i="6"/>
  <c r="KD20" i="6"/>
  <c r="MX20" i="6"/>
  <c r="PQ20" i="6"/>
  <c r="SK20" i="6"/>
  <c r="IB21" i="6"/>
  <c r="KV21" i="6"/>
  <c r="QI21" i="6"/>
  <c r="TC21" i="6"/>
  <c r="LN22" i="6"/>
  <c r="OG22" i="6"/>
  <c r="RA22" i="6"/>
  <c r="TU22" i="6"/>
  <c r="JL23" i="6"/>
  <c r="MF23" i="6"/>
  <c r="OY23" i="6"/>
  <c r="RS23" i="6"/>
  <c r="KD24" i="6"/>
  <c r="MX24" i="6"/>
  <c r="PQ24" i="6"/>
  <c r="SK24" i="6"/>
  <c r="IB25" i="6"/>
  <c r="KV25" i="6"/>
  <c r="QI25" i="6"/>
  <c r="TC25" i="6"/>
  <c r="LN26" i="6"/>
  <c r="OG26" i="6"/>
  <c r="RA26" i="6"/>
  <c r="TU26" i="6"/>
  <c r="JL27" i="6"/>
  <c r="MF27" i="6"/>
  <c r="OY27" i="6"/>
  <c r="RS27" i="6"/>
  <c r="KD28" i="6"/>
  <c r="MX28" i="6"/>
  <c r="PQ28" i="6"/>
  <c r="SK28" i="6"/>
  <c r="IB29" i="6"/>
  <c r="KV29" i="6"/>
  <c r="QI29" i="6"/>
  <c r="TC29" i="6"/>
  <c r="LN30" i="6"/>
  <c r="OG30" i="6"/>
  <c r="RA30" i="6"/>
  <c r="TU30" i="6"/>
  <c r="JL31" i="6"/>
  <c r="IT16" i="6"/>
  <c r="IT22" i="6"/>
  <c r="IT26" i="6"/>
  <c r="IT30" i="6"/>
  <c r="LN32" i="6"/>
  <c r="OG32" i="6"/>
  <c r="RA32" i="6"/>
  <c r="TU32" i="6"/>
  <c r="JL33" i="6"/>
  <c r="MF33" i="6"/>
  <c r="OY33" i="6"/>
  <c r="RS33" i="6"/>
  <c r="IT34" i="6"/>
  <c r="KD34" i="6"/>
  <c r="MX34" i="6"/>
  <c r="PQ34" i="6"/>
  <c r="SK34" i="6"/>
  <c r="IB35" i="6"/>
  <c r="KV35" i="6"/>
  <c r="QI35" i="6"/>
  <c r="TC35" i="6"/>
  <c r="LN36" i="6"/>
  <c r="OG36" i="6"/>
  <c r="RA36" i="6"/>
  <c r="TU36" i="6"/>
  <c r="KD23" i="6"/>
  <c r="MX23" i="6"/>
  <c r="PQ23" i="6"/>
  <c r="SK23" i="6"/>
  <c r="IB24" i="6"/>
  <c r="KV24" i="6"/>
  <c r="QI24" i="6"/>
  <c r="TC24" i="6"/>
  <c r="LN25" i="6"/>
  <c r="OG25" i="6"/>
  <c r="RA25" i="6"/>
  <c r="TU25" i="6"/>
  <c r="UV25" i="6"/>
  <c r="ABC25" i="6"/>
  <c r="JL26" i="6"/>
  <c r="MF26" i="6"/>
  <c r="OY26" i="6"/>
  <c r="RS26" i="6"/>
  <c r="KD27" i="6"/>
  <c r="MX27" i="6"/>
  <c r="PQ27" i="6"/>
  <c r="SK27" i="6"/>
  <c r="IB28" i="6"/>
  <c r="KV28" i="6"/>
  <c r="QI28" i="6"/>
  <c r="TC28" i="6"/>
  <c r="LN29" i="6"/>
  <c r="OG29" i="6"/>
  <c r="RA29" i="6"/>
  <c r="TU29" i="6"/>
  <c r="UV29" i="6"/>
  <c r="ABC29" i="6"/>
  <c r="JL30" i="6"/>
  <c r="MF30" i="6"/>
  <c r="OY30" i="6"/>
  <c r="RS30" i="6"/>
  <c r="KD31" i="6"/>
  <c r="MX31" i="6"/>
  <c r="PQ31" i="6"/>
  <c r="SK31" i="6"/>
  <c r="IB32" i="6"/>
  <c r="KV32" i="6"/>
  <c r="QI32" i="6"/>
  <c r="TC32" i="6"/>
  <c r="LN33" i="6"/>
  <c r="OG33" i="6"/>
  <c r="RA33" i="6"/>
  <c r="TU33" i="6"/>
  <c r="UV33" i="6"/>
  <c r="JL34" i="6"/>
  <c r="MF34" i="6"/>
  <c r="OY34" i="6"/>
  <c r="RS34" i="6"/>
  <c r="KD35" i="6"/>
  <c r="MX35" i="6"/>
  <c r="PQ35" i="6"/>
  <c r="SK35" i="6"/>
  <c r="IB36" i="6"/>
  <c r="KV36" i="6"/>
  <c r="QI36" i="6"/>
  <c r="TC36" i="6"/>
  <c r="LN37" i="6"/>
  <c r="OG37" i="6"/>
  <c r="RA37" i="6"/>
  <c r="TU37" i="6"/>
  <c r="UV37" i="6"/>
  <c r="JL38" i="6"/>
  <c r="MF38" i="6"/>
  <c r="OY38" i="6"/>
  <c r="RS38" i="6"/>
  <c r="KD39" i="6"/>
  <c r="MX39" i="6"/>
  <c r="PQ39" i="6"/>
  <c r="SK39" i="6"/>
  <c r="IB40" i="6"/>
  <c r="KV40" i="6"/>
  <c r="QI40" i="6"/>
  <c r="TC40" i="6"/>
  <c r="LN41" i="6"/>
  <c r="OG41" i="6"/>
  <c r="RA41" i="6"/>
  <c r="TU41" i="6"/>
  <c r="UV41" i="6"/>
  <c r="JL42" i="6"/>
  <c r="MF42" i="6"/>
  <c r="OY42" i="6"/>
  <c r="RS42" i="6"/>
  <c r="KD43" i="6"/>
  <c r="MX43" i="6"/>
  <c r="PQ43" i="6"/>
  <c r="SK43" i="6"/>
  <c r="IB44" i="6"/>
  <c r="KV44" i="6"/>
  <c r="QI44" i="6"/>
  <c r="TC44" i="6"/>
  <c r="ABC36" i="6"/>
  <c r="JL37" i="6"/>
  <c r="MF37" i="6"/>
  <c r="OY37" i="6"/>
  <c r="RS37" i="6"/>
  <c r="IT38" i="6"/>
  <c r="KD38" i="6"/>
  <c r="MX38" i="6"/>
  <c r="PQ38" i="6"/>
  <c r="SK38" i="6"/>
  <c r="IB39" i="6"/>
  <c r="KV39" i="6"/>
  <c r="QI39" i="6"/>
  <c r="TC39" i="6"/>
  <c r="LN40" i="6"/>
  <c r="OG40" i="6"/>
  <c r="RA40" i="6"/>
  <c r="TU40" i="6"/>
  <c r="ABC40" i="6"/>
  <c r="JL41" i="6"/>
  <c r="MF41" i="6"/>
  <c r="OY41" i="6"/>
  <c r="RS41" i="6"/>
  <c r="IT42" i="6"/>
  <c r="KD42" i="6"/>
  <c r="MX42" i="6"/>
  <c r="PQ42" i="6"/>
  <c r="SK42" i="6"/>
  <c r="IB43" i="6"/>
  <c r="KV43" i="6"/>
  <c r="QI43" i="6"/>
  <c r="TC43" i="6"/>
  <c r="LN44" i="6"/>
  <c r="OG44" i="6"/>
  <c r="RA44" i="6"/>
  <c r="TU44" i="6"/>
  <c r="ABC44" i="6"/>
  <c r="JL45" i="6"/>
  <c r="MF45" i="6"/>
  <c r="OY45" i="6"/>
  <c r="RS45" i="6"/>
  <c r="IT46" i="6"/>
  <c r="KD46" i="6"/>
  <c r="MX46" i="6"/>
  <c r="PQ46" i="6"/>
  <c r="SK46" i="6"/>
  <c r="IB47" i="6"/>
  <c r="KV47" i="6"/>
  <c r="QI47" i="6"/>
  <c r="TC47" i="6"/>
  <c r="LN48" i="6"/>
  <c r="OG48" i="6"/>
  <c r="RA48" i="6"/>
  <c r="TU48" i="6"/>
  <c r="ABC48" i="6"/>
  <c r="JL49" i="6"/>
  <c r="MF49" i="6"/>
  <c r="OY49" i="6"/>
  <c r="RS49" i="6"/>
  <c r="IT50" i="6"/>
  <c r="KD50" i="6"/>
  <c r="MX50" i="6"/>
  <c r="PQ50" i="6"/>
  <c r="SK50" i="6"/>
  <c r="IB51" i="6"/>
  <c r="KV51" i="6"/>
  <c r="QI51" i="6"/>
  <c r="TC51" i="6"/>
  <c r="LN52" i="6"/>
  <c r="OG52" i="6"/>
  <c r="RA52" i="6"/>
  <c r="TU52" i="6"/>
  <c r="ABC52" i="6"/>
  <c r="JL53" i="6"/>
  <c r="MF53" i="6"/>
  <c r="OY53" i="6"/>
  <c r="RS53" i="6"/>
  <c r="IT54" i="6"/>
  <c r="KD54" i="6"/>
  <c r="MX54" i="6"/>
  <c r="PQ54" i="6"/>
  <c r="SK54" i="6"/>
  <c r="IB55" i="6"/>
  <c r="KV55" i="6"/>
  <c r="QI55" i="6"/>
  <c r="TC55" i="6"/>
  <c r="LN56" i="6"/>
  <c r="OG56" i="6"/>
  <c r="RA56" i="6"/>
  <c r="TU56" i="6"/>
  <c r="ABC56" i="6"/>
  <c r="JL57" i="6"/>
  <c r="MF57" i="6"/>
  <c r="OY57" i="6"/>
  <c r="RS57" i="6"/>
  <c r="IT58" i="6"/>
  <c r="KD58" i="6"/>
  <c r="MX58" i="6"/>
  <c r="PQ58" i="6"/>
  <c r="SK58" i="6"/>
  <c r="IB59" i="6"/>
  <c r="KV59" i="6"/>
  <c r="QI59" i="6"/>
  <c r="TC59" i="6"/>
  <c r="LN60" i="6"/>
  <c r="OG60" i="6"/>
  <c r="RA60" i="6"/>
  <c r="TU60" i="6"/>
  <c r="ABC60" i="6"/>
  <c r="JL61" i="6"/>
  <c r="MF61" i="6"/>
  <c r="OY61" i="6"/>
  <c r="RS61" i="6"/>
  <c r="IT62" i="6"/>
  <c r="KD62" i="6"/>
  <c r="MX62" i="6"/>
  <c r="PQ62" i="6"/>
  <c r="SK62" i="6"/>
  <c r="IB63" i="6"/>
  <c r="KV63" i="6"/>
  <c r="QI63" i="6"/>
  <c r="TC63" i="6"/>
  <c r="LN64" i="6"/>
  <c r="OG64" i="6"/>
  <c r="RA64" i="6"/>
  <c r="TU64" i="6"/>
  <c r="ABC64" i="6"/>
  <c r="JL65" i="6"/>
  <c r="MF65" i="6"/>
  <c r="OY65" i="6"/>
  <c r="RS65" i="6"/>
  <c r="IT66" i="6"/>
  <c r="KD66" i="6"/>
  <c r="MX66" i="6"/>
  <c r="PQ66" i="6"/>
  <c r="SK66" i="6"/>
  <c r="IB67" i="6"/>
  <c r="KV67" i="6"/>
  <c r="QI67" i="6"/>
  <c r="TC67" i="6"/>
  <c r="LN68" i="6"/>
  <c r="OG68" i="6"/>
  <c r="RA68" i="6"/>
  <c r="TU68" i="6"/>
  <c r="ABC68" i="6"/>
  <c r="JL69" i="6"/>
  <c r="MF69" i="6"/>
  <c r="OY69" i="6"/>
  <c r="RS69" i="6"/>
  <c r="KD70" i="6"/>
  <c r="MX70" i="6"/>
  <c r="PQ70" i="6"/>
  <c r="SK70" i="6"/>
  <c r="IB71" i="6"/>
  <c r="KV71" i="6"/>
  <c r="QI71" i="6"/>
  <c r="TC71" i="6"/>
  <c r="LN72" i="6"/>
  <c r="OG72" i="6"/>
  <c r="RA72" i="6"/>
  <c r="TU72" i="6"/>
  <c r="ABC72" i="6"/>
  <c r="JL73" i="6"/>
  <c r="MF73" i="6"/>
  <c r="OY73" i="6"/>
  <c r="RS73" i="6"/>
  <c r="KD74" i="6"/>
  <c r="MX74" i="6"/>
  <c r="PQ74" i="6"/>
  <c r="SK74" i="6"/>
  <c r="LN45" i="6"/>
  <c r="OG45" i="6"/>
  <c r="RA45" i="6"/>
  <c r="TU45" i="6"/>
  <c r="UV45" i="6"/>
  <c r="JL46" i="6"/>
  <c r="MF46" i="6"/>
  <c r="OY46" i="6"/>
  <c r="RS46" i="6"/>
  <c r="KD47" i="6"/>
  <c r="MX47" i="6"/>
  <c r="PQ47" i="6"/>
  <c r="SK47" i="6"/>
  <c r="IB48" i="6"/>
  <c r="KV48" i="6"/>
  <c r="QI48" i="6"/>
  <c r="TC48" i="6"/>
  <c r="LN49" i="6"/>
  <c r="OG49" i="6"/>
  <c r="RA49" i="6"/>
  <c r="TU49" i="6"/>
  <c r="UV49" i="6"/>
  <c r="JL50" i="6"/>
  <c r="MF50" i="6"/>
  <c r="OY50" i="6"/>
  <c r="RS50" i="6"/>
  <c r="KD51" i="6"/>
  <c r="MX51" i="6"/>
  <c r="PQ51" i="6"/>
  <c r="SK51" i="6"/>
  <c r="IB52" i="6"/>
  <c r="KV52" i="6"/>
  <c r="QI52" i="6"/>
  <c r="TC52" i="6"/>
  <c r="LN53" i="6"/>
  <c r="OG53" i="6"/>
  <c r="RA53" i="6"/>
  <c r="TU53" i="6"/>
  <c r="UV53" i="6"/>
  <c r="JL54" i="6"/>
  <c r="MF54" i="6"/>
  <c r="OY54" i="6"/>
  <c r="RS54" i="6"/>
  <c r="KD55" i="6"/>
  <c r="MX55" i="6"/>
  <c r="PQ55" i="6"/>
  <c r="SK55" i="6"/>
  <c r="IB56" i="6"/>
  <c r="KV56" i="6"/>
  <c r="QI56" i="6"/>
  <c r="TC56" i="6"/>
  <c r="LN57" i="6"/>
  <c r="OG57" i="6"/>
  <c r="RA57" i="6"/>
  <c r="TU57" i="6"/>
  <c r="UV57" i="6"/>
  <c r="JL58" i="6"/>
  <c r="MF58" i="6"/>
  <c r="OY58" i="6"/>
  <c r="RS58" i="6"/>
  <c r="KD59" i="6"/>
  <c r="MX59" i="6"/>
  <c r="PQ59" i="6"/>
  <c r="SK59" i="6"/>
  <c r="IB60" i="6"/>
  <c r="KV60" i="6"/>
  <c r="QI60" i="6"/>
  <c r="TC60" i="6"/>
  <c r="LN61" i="6"/>
  <c r="OG61" i="6"/>
  <c r="RA61" i="6"/>
  <c r="TU61" i="6"/>
  <c r="UV61" i="6"/>
  <c r="JL62" i="6"/>
  <c r="MF62" i="6"/>
  <c r="OY62" i="6"/>
  <c r="RS62" i="6"/>
  <c r="KD63" i="6"/>
  <c r="MX63" i="6"/>
  <c r="PQ63" i="6"/>
  <c r="SK63" i="6"/>
  <c r="IB64" i="6"/>
  <c r="KV64" i="6"/>
  <c r="QI64" i="6"/>
  <c r="TC64" i="6"/>
  <c r="LN65" i="6"/>
  <c r="OG65" i="6"/>
  <c r="RA65" i="6"/>
  <c r="TU65" i="6"/>
  <c r="UV65" i="6"/>
  <c r="JL66" i="6"/>
  <c r="MF66" i="6"/>
  <c r="OY66" i="6"/>
  <c r="RS66" i="6"/>
  <c r="KD67" i="6"/>
  <c r="MX67" i="6"/>
  <c r="PQ67" i="6"/>
  <c r="SK67" i="6"/>
  <c r="IB68" i="6"/>
  <c r="KV68" i="6"/>
  <c r="QI68" i="6"/>
  <c r="TC68" i="6"/>
  <c r="LN69" i="6"/>
  <c r="OG69" i="6"/>
  <c r="RA69" i="6"/>
  <c r="TU69" i="6"/>
  <c r="UV69" i="6"/>
  <c r="JL70" i="6"/>
  <c r="MF70" i="6"/>
  <c r="OY70" i="6"/>
  <c r="RS70" i="6"/>
  <c r="KD71" i="6"/>
  <c r="MX71" i="6"/>
  <c r="PQ71" i="6"/>
  <c r="SK71" i="6"/>
  <c r="IB72" i="6"/>
  <c r="KV72" i="6"/>
  <c r="QI72" i="6"/>
  <c r="TC72" i="6"/>
  <c r="LN73" i="6"/>
  <c r="OG73" i="6"/>
  <c r="RA73" i="6"/>
  <c r="TU73" i="6"/>
  <c r="UV73" i="6"/>
  <c r="JL74" i="6"/>
  <c r="MF74" i="6"/>
  <c r="OY74" i="6"/>
  <c r="RS74" i="6"/>
  <c r="KD75" i="6"/>
  <c r="MX75" i="6"/>
  <c r="PQ75" i="6"/>
  <c r="SK75" i="6"/>
  <c r="IB76" i="6"/>
  <c r="KV76" i="6"/>
  <c r="QI76" i="6"/>
  <c r="TC76" i="6"/>
  <c r="LN77" i="6"/>
  <c r="OG77" i="6"/>
  <c r="RA77" i="6"/>
  <c r="TU77" i="6"/>
  <c r="UV77" i="6"/>
  <c r="JL78" i="6"/>
  <c r="MF78" i="6"/>
  <c r="OY78" i="6"/>
  <c r="RS78" i="6"/>
  <c r="KD79" i="6"/>
  <c r="MX79" i="6"/>
  <c r="PQ79" i="6"/>
  <c r="SK79" i="6"/>
  <c r="IB80" i="6"/>
  <c r="KV80" i="6"/>
  <c r="QI80" i="6"/>
  <c r="TC80" i="6"/>
  <c r="IB75" i="6"/>
  <c r="KV75" i="6"/>
  <c r="QI75" i="6"/>
  <c r="TC75" i="6"/>
  <c r="LN76" i="6"/>
  <c r="OG76" i="6"/>
  <c r="RA76" i="6"/>
  <c r="TU76" i="6"/>
  <c r="ABC76" i="6"/>
  <c r="JL77" i="6"/>
  <c r="MF77" i="6"/>
  <c r="OY77" i="6"/>
  <c r="RS77" i="6"/>
  <c r="KD78" i="6"/>
  <c r="MX78" i="6"/>
  <c r="PQ78" i="6"/>
  <c r="SK78" i="6"/>
  <c r="IB79" i="6"/>
  <c r="KV79" i="6"/>
  <c r="QI79" i="6"/>
  <c r="TC79" i="6"/>
  <c r="LN80" i="6"/>
  <c r="OG80" i="6"/>
  <c r="RA80" i="6"/>
  <c r="TU80" i="6"/>
  <c r="ABC80" i="6"/>
  <c r="JL81" i="6"/>
  <c r="MF81" i="6"/>
  <c r="OY81" i="6"/>
  <c r="RS81" i="6"/>
  <c r="KD82" i="6"/>
  <c r="MX82" i="6"/>
  <c r="PQ82" i="6"/>
  <c r="SK82" i="6"/>
  <c r="IB83" i="6"/>
  <c r="KV83" i="6"/>
  <c r="QI83" i="6"/>
  <c r="TC83" i="6"/>
  <c r="LN84" i="6"/>
  <c r="OG84" i="6"/>
  <c r="RA84" i="6"/>
  <c r="TU84" i="6"/>
  <c r="ABC84" i="6"/>
  <c r="JL85" i="6"/>
  <c r="MF85" i="6"/>
  <c r="OY85" i="6"/>
  <c r="RS85" i="6"/>
  <c r="KD86" i="6"/>
  <c r="MX86" i="6"/>
  <c r="PQ86" i="6"/>
  <c r="SK86" i="6"/>
  <c r="IB87" i="6"/>
  <c r="KV87" i="6"/>
  <c r="QI87" i="6"/>
  <c r="TC87" i="6"/>
  <c r="LN88" i="6"/>
  <c r="OG88" i="6"/>
  <c r="RA88" i="6"/>
  <c r="TU88" i="6"/>
  <c r="ABC88" i="6"/>
  <c r="JL89" i="6"/>
  <c r="MF89" i="6"/>
  <c r="OY89" i="6"/>
  <c r="RS89" i="6"/>
  <c r="KD90" i="6"/>
  <c r="MX90" i="6"/>
  <c r="PQ90" i="6"/>
  <c r="SK90" i="6"/>
  <c r="IB91" i="6"/>
  <c r="KV91" i="6"/>
  <c r="QI91" i="6"/>
  <c r="TC91" i="6"/>
  <c r="LN92" i="6"/>
  <c r="OG92" i="6"/>
  <c r="RA92" i="6"/>
  <c r="TU92" i="6"/>
  <c r="ABC92" i="6"/>
  <c r="JL93" i="6"/>
  <c r="MF93" i="6"/>
  <c r="OY93" i="6"/>
  <c r="RS93" i="6"/>
  <c r="KD94" i="6"/>
  <c r="MX94" i="6"/>
  <c r="PQ94" i="6"/>
  <c r="SK94" i="6"/>
  <c r="IB95" i="6"/>
  <c r="KV95" i="6"/>
  <c r="QI95" i="6"/>
  <c r="TC95" i="6"/>
  <c r="LN96" i="6"/>
  <c r="OG96" i="6"/>
  <c r="RA96" i="6"/>
  <c r="TU96" i="6"/>
  <c r="ABC96" i="6"/>
  <c r="JL97" i="6"/>
  <c r="MF97" i="6"/>
  <c r="OY97" i="6"/>
  <c r="RS97" i="6"/>
  <c r="LN81" i="6"/>
  <c r="OG81" i="6"/>
  <c r="RA81" i="6"/>
  <c r="TU81" i="6"/>
  <c r="UV81" i="6"/>
  <c r="JL82" i="6"/>
  <c r="MF82" i="6"/>
  <c r="OY82" i="6"/>
  <c r="RS82" i="6"/>
  <c r="KD83" i="6"/>
  <c r="MX83" i="6"/>
  <c r="PQ83" i="6"/>
  <c r="SK83" i="6"/>
  <c r="IB84" i="6"/>
  <c r="KV84" i="6"/>
  <c r="QI84" i="6"/>
  <c r="TC84" i="6"/>
  <c r="LN85" i="6"/>
  <c r="OG85" i="6"/>
  <c r="RA85" i="6"/>
  <c r="TU85" i="6"/>
  <c r="UV85" i="6"/>
  <c r="JL86" i="6"/>
  <c r="MF86" i="6"/>
  <c r="OY86" i="6"/>
  <c r="RS86" i="6"/>
  <c r="KD87" i="6"/>
  <c r="MX87" i="6"/>
  <c r="PQ87" i="6"/>
  <c r="SK87" i="6"/>
  <c r="IB88" i="6"/>
  <c r="KV88" i="6"/>
  <c r="QI88" i="6"/>
  <c r="TC88" i="6"/>
  <c r="LN89" i="6"/>
  <c r="OG89" i="6"/>
  <c r="RA89" i="6"/>
  <c r="TU89" i="6"/>
  <c r="UV89" i="6"/>
  <c r="JL90" i="6"/>
  <c r="MF90" i="6"/>
  <c r="OY90" i="6"/>
  <c r="RS90" i="6"/>
  <c r="KD91" i="6"/>
  <c r="MX91" i="6"/>
  <c r="PQ91" i="6"/>
  <c r="SK91" i="6"/>
  <c r="IB92" i="6"/>
  <c r="KV92" i="6"/>
  <c r="QI92" i="6"/>
  <c r="TC92" i="6"/>
  <c r="LN93" i="6"/>
  <c r="OG93" i="6"/>
  <c r="RA93" i="6"/>
  <c r="TU93" i="6"/>
  <c r="UV93" i="6"/>
  <c r="JL94" i="6"/>
  <c r="MF94" i="6"/>
  <c r="OY94" i="6"/>
  <c r="RS94" i="6"/>
  <c r="KD95" i="6"/>
  <c r="MX95" i="6"/>
  <c r="PQ95" i="6"/>
  <c r="SK95" i="6"/>
  <c r="IB96" i="6"/>
  <c r="KV96" i="6"/>
  <c r="QI96" i="6"/>
  <c r="TC96" i="6"/>
  <c r="LN97" i="6"/>
  <c r="OG97" i="6"/>
  <c r="RA97" i="6"/>
  <c r="TU97" i="6"/>
  <c r="UV97" i="6"/>
  <c r="JL98" i="6"/>
  <c r="MF98" i="6"/>
  <c r="OY98" i="6"/>
  <c r="RS98" i="6"/>
  <c r="KD99" i="6"/>
  <c r="MX99" i="6"/>
  <c r="PQ99" i="6"/>
  <c r="SK99" i="6"/>
  <c r="IB100" i="6"/>
  <c r="KV100" i="6"/>
  <c r="QI100" i="6"/>
  <c r="TC100" i="6"/>
  <c r="UV115" i="6"/>
  <c r="KD98" i="6"/>
  <c r="MX98" i="6"/>
  <c r="PQ98" i="6"/>
  <c r="SK98" i="6"/>
  <c r="IB99" i="6"/>
  <c r="KV99" i="6"/>
  <c r="QI99" i="6"/>
  <c r="TC99" i="6"/>
  <c r="LN100" i="6"/>
  <c r="OG100" i="6"/>
  <c r="RA100" i="6"/>
  <c r="TU100" i="6"/>
  <c r="ABC100" i="6"/>
  <c r="JL101" i="6"/>
  <c r="MF101" i="6"/>
  <c r="OY101" i="6"/>
  <c r="RS101" i="6"/>
  <c r="IT102" i="6"/>
  <c r="KD102" i="6"/>
  <c r="MX102" i="6"/>
  <c r="PQ102" i="6"/>
  <c r="SK102" i="6"/>
  <c r="IB103" i="6"/>
  <c r="KV103" i="6"/>
  <c r="QI103" i="6"/>
  <c r="TC103" i="6"/>
  <c r="LN104" i="6"/>
  <c r="OG104" i="6"/>
  <c r="RA104" i="6"/>
  <c r="TU104" i="6"/>
  <c r="ABC104" i="6"/>
  <c r="JL105" i="6"/>
  <c r="MF105" i="6"/>
  <c r="OY105" i="6"/>
  <c r="RS105" i="6"/>
  <c r="IT106" i="6"/>
  <c r="KD106" i="6"/>
  <c r="MX106" i="6"/>
  <c r="PQ106" i="6"/>
  <c r="SK106" i="6"/>
  <c r="IB107" i="6"/>
  <c r="KV107" i="6"/>
  <c r="QI107" i="6"/>
  <c r="TC107" i="6"/>
  <c r="LN108" i="6"/>
  <c r="OG108" i="6"/>
  <c r="RA108" i="6"/>
  <c r="TU108" i="6"/>
  <c r="ABC108" i="6"/>
  <c r="JL109" i="6"/>
  <c r="MF109" i="6"/>
  <c r="OY109" i="6"/>
  <c r="RS109" i="6"/>
  <c r="IT110" i="6"/>
  <c r="KD110" i="6"/>
  <c r="MX110" i="6"/>
  <c r="PQ110" i="6"/>
  <c r="SK110" i="6"/>
  <c r="IB111" i="6"/>
  <c r="KV111" i="6"/>
  <c r="QI111" i="6"/>
  <c r="TC111" i="6"/>
  <c r="LN112" i="6"/>
  <c r="OG112" i="6"/>
  <c r="RA112" i="6"/>
  <c r="TU112" i="6"/>
  <c r="ABC112" i="6"/>
  <c r="JL113" i="6"/>
  <c r="MF113" i="6"/>
  <c r="OY113" i="6"/>
  <c r="RS113" i="6"/>
  <c r="IT114" i="6"/>
  <c r="KD114" i="6"/>
  <c r="MX114" i="6"/>
  <c r="PQ114" i="6"/>
  <c r="SK114" i="6"/>
  <c r="IB115" i="6"/>
  <c r="KV115" i="6"/>
  <c r="QI115" i="6"/>
  <c r="TC115" i="6"/>
  <c r="LN116" i="6"/>
  <c r="OG116" i="6"/>
  <c r="RA116" i="6"/>
  <c r="TU116" i="6"/>
  <c r="UV116" i="6"/>
  <c r="LN101" i="6"/>
  <c r="OG101" i="6"/>
  <c r="RA101" i="6"/>
  <c r="TU101" i="6"/>
  <c r="UV101" i="6"/>
  <c r="JL102" i="6"/>
  <c r="MF102" i="6"/>
  <c r="OY102" i="6"/>
  <c r="RS102" i="6"/>
  <c r="KD103" i="6"/>
  <c r="MX103" i="6"/>
  <c r="PQ103" i="6"/>
  <c r="SK103" i="6"/>
  <c r="IB104" i="6"/>
  <c r="KV104" i="6"/>
  <c r="QI104" i="6"/>
  <c r="TC104" i="6"/>
  <c r="LN105" i="6"/>
  <c r="OG105" i="6"/>
  <c r="RA105" i="6"/>
  <c r="TU105" i="6"/>
  <c r="UV105" i="6"/>
  <c r="JL106" i="6"/>
  <c r="MF106" i="6"/>
  <c r="OY106" i="6"/>
  <c r="RS106" i="6"/>
  <c r="KD107" i="6"/>
  <c r="MX107" i="6"/>
  <c r="PQ107" i="6"/>
  <c r="SK107" i="6"/>
  <c r="IB108" i="6"/>
  <c r="KV108" i="6"/>
  <c r="QI108" i="6"/>
  <c r="TC108" i="6"/>
  <c r="LN109" i="6"/>
  <c r="OG109" i="6"/>
  <c r="RA109" i="6"/>
  <c r="TU109" i="6"/>
  <c r="UV109" i="6"/>
  <c r="JL110" i="6"/>
  <c r="MF110" i="6"/>
  <c r="OY110" i="6"/>
  <c r="RS110" i="6"/>
  <c r="KD111" i="6"/>
  <c r="MX111" i="6"/>
  <c r="PQ111" i="6"/>
  <c r="SK111" i="6"/>
  <c r="IB112" i="6"/>
  <c r="KV112" i="6"/>
  <c r="QI112" i="6"/>
  <c r="TC112" i="6"/>
  <c r="LN113" i="6"/>
  <c r="OG113" i="6"/>
  <c r="RA113" i="6"/>
  <c r="TU113" i="6"/>
  <c r="UV113" i="6"/>
  <c r="JL114" i="6"/>
  <c r="MF114" i="6"/>
  <c r="OY114" i="6"/>
  <c r="RS114" i="6"/>
  <c r="KD115" i="6"/>
  <c r="MX115" i="6"/>
  <c r="PQ115" i="6"/>
  <c r="SK115" i="6"/>
  <c r="IB116" i="6"/>
  <c r="KV116" i="6"/>
  <c r="QI116" i="6"/>
  <c r="TC116" i="6"/>
  <c r="AQ6" i="6"/>
  <c r="AQ117" i="6"/>
  <c r="FK6" i="6"/>
  <c r="FK117" i="6"/>
  <c r="ABY7" i="6" a="1"/>
  <c r="ABY7" i="6" s="1"/>
  <c r="ABW7" i="6" a="1"/>
  <c r="ABW7" i="6" s="1"/>
  <c r="NO6" i="6"/>
  <c r="NO117" i="6"/>
  <c r="DL7" i="6"/>
  <c r="EC8" i="6"/>
  <c r="XR8" i="6"/>
  <c r="ZQ9" i="6"/>
  <c r="UL12" i="6"/>
  <c r="ABY12" i="6" a="1"/>
  <c r="ABY12" i="6" s="1"/>
  <c r="ABW12" i="6" a="1"/>
  <c r="ABW12" i="6" s="1"/>
  <c r="CT13" i="6"/>
  <c r="ET13" i="6"/>
  <c r="HJ13" i="6"/>
  <c r="ZQ13" i="6"/>
  <c r="CK14" i="6"/>
  <c r="NO14" i="6"/>
  <c r="DC16" i="6"/>
  <c r="GS16" i="6"/>
  <c r="UL16" i="6"/>
  <c r="ABY16" i="6" a="1"/>
  <c r="ABY16" i="6" s="1"/>
  <c r="ABW16" i="6" a="1"/>
  <c r="ABW16" i="6" s="1"/>
  <c r="HJ17" i="6"/>
  <c r="ZQ17" i="6"/>
  <c r="CK18" i="6"/>
  <c r="AQ19" i="6"/>
  <c r="GB19" i="6"/>
  <c r="WV19" i="6"/>
  <c r="CK20" i="6"/>
  <c r="NO20" i="6"/>
  <c r="DL21" i="6"/>
  <c r="GB21" i="6"/>
  <c r="WV21" i="6"/>
  <c r="EC22" i="6"/>
  <c r="VM22" i="6"/>
  <c r="XR22" i="6"/>
  <c r="CT23" i="6"/>
  <c r="HJ23" i="6"/>
  <c r="ZQ23" i="6"/>
  <c r="CK24" i="6"/>
  <c r="NO24" i="6"/>
  <c r="AQ25" i="6"/>
  <c r="GB25" i="6"/>
  <c r="WV25" i="6"/>
  <c r="DC26" i="6"/>
  <c r="UL26" i="6"/>
  <c r="ABW26" i="6" a="1"/>
  <c r="ABW26" i="6" s="1"/>
  <c r="ABY26" i="6" a="1"/>
  <c r="ABY26" i="6" s="1"/>
  <c r="HJ27" i="6"/>
  <c r="ZQ27" i="6"/>
  <c r="CK28" i="6"/>
  <c r="DL29" i="6"/>
  <c r="GB29" i="6"/>
  <c r="DC30" i="6"/>
  <c r="AF6" i="6"/>
  <c r="BR117" i="6"/>
  <c r="BR6" i="6"/>
  <c r="ET117" i="6"/>
  <c r="ET6" i="6"/>
  <c r="IT6" i="6"/>
  <c r="LN6" i="6"/>
  <c r="WB6" i="6"/>
  <c r="WB117" i="6"/>
  <c r="XR117" i="6"/>
  <c r="XR6" i="6"/>
  <c r="YC7" i="6"/>
  <c r="YZ8" i="6"/>
  <c r="ABT8" i="6"/>
  <c r="AF9" i="6"/>
  <c r="WK9" i="6"/>
  <c r="ACX9" i="6"/>
  <c r="BR10" i="6"/>
  <c r="WB10" i="6"/>
  <c r="XG10" i="6"/>
  <c r="YC11" i="6"/>
  <c r="YZ12" i="6"/>
  <c r="ABT12" i="6"/>
  <c r="AF13" i="6"/>
  <c r="WK13" i="6"/>
  <c r="ACX13" i="6"/>
  <c r="BR14" i="6"/>
  <c r="WB14" i="6"/>
  <c r="XG14" i="6"/>
  <c r="YC15" i="6"/>
  <c r="YZ16" i="6"/>
  <c r="ABT16" i="6"/>
  <c r="AF17" i="6"/>
  <c r="WK17" i="6"/>
  <c r="ACX17" i="6"/>
  <c r="BR18" i="6"/>
  <c r="WB18" i="6"/>
  <c r="XG18" i="6"/>
  <c r="YC19" i="6"/>
  <c r="BR20" i="6"/>
  <c r="WB20" i="6"/>
  <c r="XG20" i="6"/>
  <c r="YC21" i="6"/>
  <c r="YZ22" i="6"/>
  <c r="ABT22" i="6"/>
  <c r="AF23" i="6"/>
  <c r="WK23" i="6"/>
  <c r="ACX23" i="6"/>
  <c r="BR24" i="6"/>
  <c r="WB24" i="6"/>
  <c r="XG24" i="6"/>
  <c r="YC25" i="6"/>
  <c r="YZ26" i="6"/>
  <c r="ABT26" i="6"/>
  <c r="AF27" i="6"/>
  <c r="WK27" i="6"/>
  <c r="ACX27" i="6"/>
  <c r="BR28" i="6"/>
  <c r="WB28" i="6"/>
  <c r="XG28" i="6"/>
  <c r="YC29" i="6"/>
  <c r="YZ30" i="6"/>
  <c r="ABT30" i="6"/>
  <c r="AF31" i="6"/>
  <c r="WK31" i="6"/>
  <c r="ACX31" i="6"/>
  <c r="BR32" i="6"/>
  <c r="WB32" i="6"/>
  <c r="XG32" i="6"/>
  <c r="YC33" i="6"/>
  <c r="YZ34" i="6"/>
  <c r="ABT34" i="6"/>
  <c r="AF35" i="6"/>
  <c r="WK35" i="6"/>
  <c r="ACX35" i="6"/>
  <c r="BR36" i="6"/>
  <c r="WB36" i="6"/>
  <c r="XG36" i="6"/>
  <c r="YC37" i="6"/>
  <c r="YZ38" i="6"/>
  <c r="ABT38" i="6"/>
  <c r="AF39" i="6"/>
  <c r="WK39" i="6"/>
  <c r="ACX39" i="6"/>
  <c r="BR40" i="6"/>
  <c r="WB40" i="6"/>
  <c r="XG40" i="6"/>
  <c r="YC41" i="6"/>
  <c r="YZ42" i="6"/>
  <c r="ABT42" i="6"/>
  <c r="AF43" i="6"/>
  <c r="WK43" i="6"/>
  <c r="ACX43" i="6"/>
  <c r="BR44" i="6"/>
  <c r="WB44" i="6"/>
  <c r="XG44" i="6"/>
  <c r="YC45" i="6"/>
  <c r="YZ46" i="6"/>
  <c r="ABT46" i="6"/>
  <c r="AF47" i="6"/>
  <c r="WK47" i="6"/>
  <c r="ACX47" i="6"/>
  <c r="BR48" i="6"/>
  <c r="WB48" i="6"/>
  <c r="XG48" i="6"/>
  <c r="YC49" i="6"/>
  <c r="YZ50" i="6"/>
  <c r="ABT50" i="6"/>
  <c r="AF51" i="6"/>
  <c r="WK51" i="6"/>
  <c r="ACX51" i="6"/>
  <c r="BR52" i="6"/>
  <c r="WB52" i="6"/>
  <c r="XG52" i="6"/>
  <c r="YC53" i="6"/>
  <c r="YZ54" i="6"/>
  <c r="ABT54" i="6"/>
  <c r="AF55" i="6"/>
  <c r="WK55" i="6"/>
  <c r="ACX55" i="6"/>
  <c r="BR56" i="6"/>
  <c r="WB56" i="6"/>
  <c r="XG56" i="6"/>
  <c r="YC57" i="6"/>
  <c r="YZ58" i="6"/>
  <c r="ABT58" i="6"/>
  <c r="AF59" i="6"/>
  <c r="WK59" i="6"/>
  <c r="ACX59" i="6"/>
  <c r="BR60" i="6"/>
  <c r="WB60" i="6"/>
  <c r="XG60" i="6"/>
  <c r="YC61" i="6"/>
  <c r="YZ62" i="6"/>
  <c r="ABT62" i="6"/>
  <c r="AF63" i="6"/>
  <c r="WK63" i="6"/>
  <c r="ACX63" i="6"/>
  <c r="BR64" i="6"/>
  <c r="WB64" i="6"/>
  <c r="XG64" i="6"/>
  <c r="YC65" i="6"/>
  <c r="YZ66" i="6"/>
  <c r="ABT66" i="6"/>
  <c r="AF67" i="6"/>
  <c r="WK67" i="6"/>
  <c r="ACX67" i="6"/>
  <c r="BR68" i="6"/>
  <c r="WB68" i="6"/>
  <c r="XG68" i="6"/>
  <c r="YC69" i="6"/>
  <c r="YZ70" i="6"/>
  <c r="ABT70" i="6"/>
  <c r="AF71" i="6"/>
  <c r="WK71" i="6"/>
  <c r="ACX71" i="6"/>
  <c r="BR72" i="6"/>
  <c r="WB72" i="6"/>
  <c r="XG72" i="6"/>
  <c r="YC73" i="6"/>
  <c r="YZ74" i="6"/>
  <c r="ABT74" i="6"/>
  <c r="AF75" i="6"/>
  <c r="DC8" i="6"/>
  <c r="CT9" i="6"/>
  <c r="NO10" i="6"/>
  <c r="GB11" i="6"/>
  <c r="ZQ117" i="6"/>
  <c r="ZQ6" i="6"/>
  <c r="CK7" i="6"/>
  <c r="NO7" i="6"/>
  <c r="DL8" i="6"/>
  <c r="DC9" i="6"/>
  <c r="GS9" i="6"/>
  <c r="VM9" i="6"/>
  <c r="XR9" i="6"/>
  <c r="HJ10" i="6"/>
  <c r="IT10" i="6"/>
  <c r="ZQ10" i="6"/>
  <c r="CK11" i="6"/>
  <c r="AQ12" i="6"/>
  <c r="ABC12" i="6"/>
  <c r="EC13" i="6"/>
  <c r="VM13" i="6"/>
  <c r="ABW13" i="6" a="1"/>
  <c r="ABW13" i="6" s="1"/>
  <c r="ABY13" i="6" a="1"/>
  <c r="ABY13" i="6" s="1"/>
  <c r="HJ14" i="6"/>
  <c r="YN14" i="6"/>
  <c r="FK15" i="6"/>
  <c r="ABC16" i="6"/>
  <c r="EC17" i="6"/>
  <c r="UL17" i="6"/>
  <c r="XR17" i="6"/>
  <c r="CT18" i="6"/>
  <c r="ET18" i="6"/>
  <c r="YN18" i="6"/>
  <c r="FK19" i="6"/>
  <c r="NO19" i="6"/>
  <c r="CT20" i="6"/>
  <c r="ET20" i="6"/>
  <c r="YN20" i="6"/>
  <c r="FK21" i="6"/>
  <c r="DL22" i="6"/>
  <c r="ABC22" i="6"/>
  <c r="EC23" i="6"/>
  <c r="UL23" i="6"/>
  <c r="ABW23" i="6" a="1"/>
  <c r="ABW23" i="6" s="1"/>
  <c r="ABY23" i="6" a="1"/>
  <c r="ABY23" i="6" s="1"/>
  <c r="ET24" i="6"/>
  <c r="IT24" i="6"/>
  <c r="YN24" i="6"/>
  <c r="ZQ24" i="6"/>
  <c r="CK25" i="6"/>
  <c r="FK25" i="6"/>
  <c r="NO25" i="6"/>
  <c r="AQ26" i="6"/>
  <c r="DL26" i="6"/>
  <c r="GB26" i="6"/>
  <c r="WV26" i="6"/>
  <c r="ABC26" i="6"/>
  <c r="DC27" i="6"/>
  <c r="EC27" i="6"/>
  <c r="GS27" i="6"/>
  <c r="UL27" i="6"/>
  <c r="VM27" i="6"/>
  <c r="XR27" i="6"/>
  <c r="ABY27" i="6" a="1"/>
  <c r="ABY27" i="6" s="1"/>
  <c r="ABW27" i="6" a="1"/>
  <c r="ABW27" i="6" s="1"/>
  <c r="CT28" i="6"/>
  <c r="ET28" i="6"/>
  <c r="HJ28" i="6"/>
  <c r="IT28" i="6"/>
  <c r="YN28" i="6"/>
  <c r="ZQ28" i="6"/>
  <c r="CK29" i="6"/>
  <c r="FK29" i="6"/>
  <c r="NO29" i="6"/>
  <c r="AQ30" i="6"/>
  <c r="DL30" i="6"/>
  <c r="GB30" i="6"/>
  <c r="WV30" i="6"/>
  <c r="ABC30" i="6"/>
  <c r="DC31" i="6"/>
  <c r="EC31" i="6"/>
  <c r="GS31" i="6"/>
  <c r="MF31" i="6"/>
  <c r="OY31" i="6"/>
  <c r="RS31" i="6"/>
  <c r="UL31" i="6"/>
  <c r="VM31" i="6"/>
  <c r="XR31" i="6"/>
  <c r="ABY31" i="6" a="1"/>
  <c r="ABY31" i="6" s="1"/>
  <c r="ABW31" i="6" a="1"/>
  <c r="ABW31" i="6" s="1"/>
  <c r="CT32" i="6"/>
  <c r="ET32" i="6"/>
  <c r="HJ32" i="6"/>
  <c r="IT32" i="6"/>
  <c r="KD32" i="6"/>
  <c r="MX32" i="6"/>
  <c r="PQ32" i="6"/>
  <c r="SK32" i="6"/>
  <c r="YN32" i="6"/>
  <c r="ZQ32" i="6"/>
  <c r="CK33" i="6"/>
  <c r="FK33" i="6"/>
  <c r="IB33" i="6"/>
  <c r="KV33" i="6"/>
  <c r="NO33" i="6"/>
  <c r="QI33" i="6"/>
  <c r="TC33" i="6"/>
  <c r="AQ34" i="6"/>
  <c r="DL34" i="6"/>
  <c r="GB34" i="6"/>
  <c r="LN34" i="6"/>
  <c r="OG34" i="6"/>
  <c r="RA34" i="6"/>
  <c r="TU34" i="6"/>
  <c r="WV34" i="6"/>
  <c r="ABC34" i="6"/>
  <c r="DC35" i="6"/>
  <c r="EC35" i="6"/>
  <c r="GS35" i="6"/>
  <c r="JL35" i="6"/>
  <c r="MF35" i="6"/>
  <c r="OY35" i="6"/>
  <c r="RS35" i="6"/>
  <c r="UL35" i="6"/>
  <c r="VM35" i="6"/>
  <c r="XR35" i="6"/>
  <c r="ABY35" i="6" a="1"/>
  <c r="ABY35" i="6" s="1"/>
  <c r="ABW35" i="6" a="1"/>
  <c r="ABW35" i="6" s="1"/>
  <c r="CT36" i="6"/>
  <c r="ET36" i="6"/>
  <c r="HJ36" i="6"/>
  <c r="IT36" i="6"/>
  <c r="KD36" i="6"/>
  <c r="MX36" i="6"/>
  <c r="PQ36" i="6"/>
  <c r="SK36" i="6"/>
  <c r="YN36" i="6"/>
  <c r="ZQ36" i="6"/>
  <c r="CK37" i="6"/>
  <c r="FK37" i="6"/>
  <c r="IB37" i="6"/>
  <c r="KV37" i="6"/>
  <c r="NO37" i="6"/>
  <c r="QI37" i="6"/>
  <c r="TC37" i="6"/>
  <c r="AQ38" i="6"/>
  <c r="DL38" i="6"/>
  <c r="GB38" i="6"/>
  <c r="LN38" i="6"/>
  <c r="OG38" i="6"/>
  <c r="RA38" i="6"/>
  <c r="TU38" i="6"/>
  <c r="WV38" i="6"/>
  <c r="ABC38" i="6"/>
  <c r="DC39" i="6"/>
  <c r="EC39" i="6"/>
  <c r="GS39" i="6"/>
  <c r="JL39" i="6"/>
  <c r="MF39" i="6"/>
  <c r="OY39" i="6"/>
  <c r="RS39" i="6"/>
  <c r="UL39" i="6"/>
  <c r="VM39" i="6"/>
  <c r="XR39" i="6"/>
  <c r="ABW39" i="6" a="1"/>
  <c r="ABW39" i="6" s="1"/>
  <c r="ABY39" i="6" a="1"/>
  <c r="ABY39" i="6" s="1"/>
  <c r="CT40" i="6"/>
  <c r="ET40" i="6"/>
  <c r="HJ40" i="6"/>
  <c r="IT40" i="6"/>
  <c r="KD40" i="6"/>
  <c r="MX40" i="6"/>
  <c r="PQ40" i="6"/>
  <c r="SK40" i="6"/>
  <c r="YN40" i="6"/>
  <c r="ZQ40" i="6"/>
  <c r="CK41" i="6"/>
  <c r="FK41" i="6"/>
  <c r="IB41" i="6"/>
  <c r="KV41" i="6"/>
  <c r="NO41" i="6"/>
  <c r="QI41" i="6"/>
  <c r="TC41" i="6"/>
  <c r="AQ42" i="6"/>
  <c r="DL42" i="6"/>
  <c r="GB42" i="6"/>
  <c r="LN42" i="6"/>
  <c r="OG42" i="6"/>
  <c r="RA42" i="6"/>
  <c r="TU42" i="6"/>
  <c r="WV42" i="6"/>
  <c r="ABC42" i="6"/>
  <c r="DC43" i="6"/>
  <c r="EC43" i="6"/>
  <c r="GS43" i="6"/>
  <c r="JL43" i="6"/>
  <c r="MF43" i="6"/>
  <c r="OY43" i="6"/>
  <c r="RS43" i="6"/>
  <c r="UL43" i="6"/>
  <c r="VM43" i="6"/>
  <c r="XR43" i="6"/>
  <c r="ABW43" i="6" a="1"/>
  <c r="ABW43" i="6" s="1"/>
  <c r="ABY43" i="6" a="1"/>
  <c r="ABY43" i="6" s="1"/>
  <c r="CT44" i="6"/>
  <c r="ET44" i="6"/>
  <c r="HJ44" i="6"/>
  <c r="IT44" i="6"/>
  <c r="KD44" i="6"/>
  <c r="MX44" i="6"/>
  <c r="PQ44" i="6"/>
  <c r="SK44" i="6"/>
  <c r="YN44" i="6"/>
  <c r="ZQ44" i="6"/>
  <c r="CK45" i="6"/>
  <c r="FK45" i="6"/>
  <c r="IB45" i="6"/>
  <c r="KV45" i="6"/>
  <c r="NO45" i="6"/>
  <c r="QI45" i="6"/>
  <c r="TC45" i="6"/>
  <c r="AQ46" i="6"/>
  <c r="DL46" i="6"/>
  <c r="GB46" i="6"/>
  <c r="LN46" i="6"/>
  <c r="OG46" i="6"/>
  <c r="RA46" i="6"/>
  <c r="TU46" i="6"/>
  <c r="WV46" i="6"/>
  <c r="ABC46" i="6"/>
  <c r="DC47" i="6"/>
  <c r="EC47" i="6"/>
  <c r="GS47" i="6"/>
  <c r="JL47" i="6"/>
  <c r="MF47" i="6"/>
  <c r="OY47" i="6"/>
  <c r="RS47" i="6"/>
  <c r="UL47" i="6"/>
  <c r="VM47" i="6"/>
  <c r="XR47" i="6"/>
  <c r="ABY47" i="6" a="1"/>
  <c r="ABY47" i="6" s="1"/>
  <c r="ABW47" i="6" a="1"/>
  <c r="ABW47" i="6" s="1"/>
  <c r="CT48" i="6"/>
  <c r="ET48" i="6"/>
  <c r="HJ48" i="6"/>
  <c r="IT48" i="6"/>
  <c r="KD48" i="6"/>
  <c r="MX48" i="6"/>
  <c r="PQ48" i="6"/>
  <c r="SK48" i="6"/>
  <c r="YN48" i="6"/>
  <c r="ZQ48" i="6"/>
  <c r="CK49" i="6"/>
  <c r="FK49" i="6"/>
  <c r="IB49" i="6"/>
  <c r="KV49" i="6"/>
  <c r="NO49" i="6"/>
  <c r="QI49" i="6"/>
  <c r="TC49" i="6"/>
  <c r="AQ50" i="6"/>
  <c r="DL50" i="6"/>
  <c r="GB50" i="6"/>
  <c r="LN50" i="6"/>
  <c r="OG50" i="6"/>
  <c r="RA50" i="6"/>
  <c r="TU50" i="6"/>
  <c r="WV50" i="6"/>
  <c r="ABC50" i="6"/>
  <c r="DC51" i="6"/>
  <c r="EC51" i="6"/>
  <c r="GS51" i="6"/>
  <c r="JL51" i="6"/>
  <c r="MF51" i="6"/>
  <c r="OY51" i="6"/>
  <c r="RS51" i="6"/>
  <c r="UL51" i="6"/>
  <c r="VM51" i="6"/>
  <c r="XR51" i="6"/>
  <c r="ABW51" i="6" a="1"/>
  <c r="ABW51" i="6" s="1"/>
  <c r="ABY51" i="6" a="1"/>
  <c r="ABY51" i="6" s="1"/>
  <c r="CT52" i="6"/>
  <c r="ET52" i="6"/>
  <c r="HJ52" i="6"/>
  <c r="IT52" i="6"/>
  <c r="KD52" i="6"/>
  <c r="MX52" i="6"/>
  <c r="PQ52" i="6"/>
  <c r="SK52" i="6"/>
  <c r="YN52" i="6"/>
  <c r="ZQ52" i="6"/>
  <c r="CK53" i="6"/>
  <c r="FK53" i="6"/>
  <c r="IB53" i="6"/>
  <c r="KV53" i="6"/>
  <c r="NO53" i="6"/>
  <c r="QI53" i="6"/>
  <c r="TC53" i="6"/>
  <c r="AQ54" i="6"/>
  <c r="DL54" i="6"/>
  <c r="GB54" i="6"/>
  <c r="LN54" i="6"/>
  <c r="OG54" i="6"/>
  <c r="RA54" i="6"/>
  <c r="TU54" i="6"/>
  <c r="WV54" i="6"/>
  <c r="ABC54" i="6"/>
  <c r="DC55" i="6"/>
  <c r="EC55" i="6"/>
  <c r="GS55" i="6"/>
  <c r="JL55" i="6"/>
  <c r="MF55" i="6"/>
  <c r="OY55" i="6"/>
  <c r="RS55" i="6"/>
  <c r="UL55" i="6"/>
  <c r="VM55" i="6"/>
  <c r="XR55" i="6"/>
  <c r="ABW55" i="6" a="1"/>
  <c r="ABW55" i="6" s="1"/>
  <c r="ABY55" i="6" a="1"/>
  <c r="ABY55" i="6" s="1"/>
  <c r="CT56" i="6"/>
  <c r="ET56" i="6"/>
  <c r="HJ56" i="6"/>
  <c r="IT56" i="6"/>
  <c r="KD56" i="6"/>
  <c r="MX56" i="6"/>
  <c r="PQ56" i="6"/>
  <c r="SK56" i="6"/>
  <c r="YN56" i="6"/>
  <c r="ZQ56" i="6"/>
  <c r="CK57" i="6"/>
  <c r="FK57" i="6"/>
  <c r="IB57" i="6"/>
  <c r="KV57" i="6"/>
  <c r="NO57" i="6"/>
  <c r="QI57" i="6"/>
  <c r="TC57" i="6"/>
  <c r="AQ58" i="6"/>
  <c r="DL58" i="6"/>
  <c r="GB58" i="6"/>
  <c r="LN58" i="6"/>
  <c r="OG58" i="6"/>
  <c r="RA58" i="6"/>
  <c r="TU58" i="6"/>
  <c r="WV58" i="6"/>
  <c r="ABC58" i="6"/>
  <c r="DC59" i="6"/>
  <c r="EC59" i="6"/>
  <c r="GS59" i="6"/>
  <c r="JL59" i="6"/>
  <c r="MF59" i="6"/>
  <c r="OY59" i="6"/>
  <c r="RS59" i="6"/>
  <c r="UL59" i="6"/>
  <c r="VM59" i="6"/>
  <c r="XR59" i="6"/>
  <c r="ABY59" i="6" a="1"/>
  <c r="ABY59" i="6" s="1"/>
  <c r="ABW59" i="6" a="1"/>
  <c r="ABW59" i="6" s="1"/>
  <c r="CT60" i="6"/>
  <c r="ET60" i="6"/>
  <c r="HJ60" i="6"/>
  <c r="IT60" i="6"/>
  <c r="KD60" i="6"/>
  <c r="MX60" i="6"/>
  <c r="PQ60" i="6"/>
  <c r="SK60" i="6"/>
  <c r="YN60" i="6"/>
  <c r="ZQ60" i="6"/>
  <c r="CK61" i="6"/>
  <c r="FK61" i="6"/>
  <c r="IB61" i="6"/>
  <c r="KV61" i="6"/>
  <c r="NO61" i="6"/>
  <c r="QI61" i="6"/>
  <c r="TC61" i="6"/>
  <c r="AQ62" i="6"/>
  <c r="DL62" i="6"/>
  <c r="GB62" i="6"/>
  <c r="LN62" i="6"/>
  <c r="OG62" i="6"/>
  <c r="RA62" i="6"/>
  <c r="TU62" i="6"/>
  <c r="WV62" i="6"/>
  <c r="ABC62" i="6"/>
  <c r="DC63" i="6"/>
  <c r="EC63" i="6"/>
  <c r="GS63" i="6"/>
  <c r="JL63" i="6"/>
  <c r="MF63" i="6"/>
  <c r="OY63" i="6"/>
  <c r="RS63" i="6"/>
  <c r="UL63" i="6"/>
  <c r="VM63" i="6"/>
  <c r="XR63" i="6"/>
  <c r="ABW63" i="6" a="1"/>
  <c r="ABW63" i="6" s="1"/>
  <c r="ABY63" i="6" a="1"/>
  <c r="ABY63" i="6" s="1"/>
  <c r="CT64" i="6"/>
  <c r="ET64" i="6"/>
  <c r="HJ64" i="6"/>
  <c r="IT64" i="6"/>
  <c r="KD64" i="6"/>
  <c r="MX64" i="6"/>
  <c r="PQ64" i="6"/>
  <c r="SK64" i="6"/>
  <c r="YN64" i="6"/>
  <c r="ZQ64" i="6"/>
  <c r="CK65" i="6"/>
  <c r="FK65" i="6"/>
  <c r="IB65" i="6"/>
  <c r="KV65" i="6"/>
  <c r="NO65" i="6"/>
  <c r="QI65" i="6"/>
  <c r="TC65" i="6"/>
  <c r="AQ66" i="6"/>
  <c r="DL66" i="6"/>
  <c r="GB66" i="6"/>
  <c r="LN66" i="6"/>
  <c r="OG66" i="6"/>
  <c r="RA66" i="6"/>
  <c r="TU66" i="6"/>
  <c r="WV66" i="6"/>
  <c r="ABC66" i="6"/>
  <c r="DC67" i="6"/>
  <c r="EC67" i="6"/>
  <c r="GS67" i="6"/>
  <c r="JL67" i="6"/>
  <c r="MF67" i="6"/>
  <c r="OY67" i="6"/>
  <c r="RS67" i="6"/>
  <c r="UL67" i="6"/>
  <c r="VM67" i="6"/>
  <c r="XR67" i="6"/>
  <c r="ABW67" i="6" a="1"/>
  <c r="ABW67" i="6" s="1"/>
  <c r="ABY67" i="6" a="1"/>
  <c r="ABY67" i="6" s="1"/>
  <c r="CT68" i="6"/>
  <c r="ET68" i="6"/>
  <c r="HJ68" i="6"/>
  <c r="IT68" i="6"/>
  <c r="KD68" i="6"/>
  <c r="MX68" i="6"/>
  <c r="PQ68" i="6"/>
  <c r="SK68" i="6"/>
  <c r="YN68" i="6"/>
  <c r="ZQ68" i="6"/>
  <c r="CK69" i="6"/>
  <c r="FK69" i="6"/>
  <c r="IB69" i="6"/>
  <c r="KV69" i="6"/>
  <c r="NO69" i="6"/>
  <c r="QI69" i="6"/>
  <c r="TC69" i="6"/>
  <c r="AQ70" i="6"/>
  <c r="DL70" i="6"/>
  <c r="GB70" i="6"/>
  <c r="LN70" i="6"/>
  <c r="OG70" i="6"/>
  <c r="RA70" i="6"/>
  <c r="TU70" i="6"/>
  <c r="WV70" i="6"/>
  <c r="ABC70" i="6"/>
  <c r="DC71" i="6"/>
  <c r="EC71" i="6"/>
  <c r="GS71" i="6"/>
  <c r="JL71" i="6"/>
  <c r="MF71" i="6"/>
  <c r="OY71" i="6"/>
  <c r="RS71" i="6"/>
  <c r="UL71" i="6"/>
  <c r="VM71" i="6"/>
  <c r="XR71" i="6"/>
  <c r="ABY71" i="6" a="1"/>
  <c r="ABY71" i="6" s="1"/>
  <c r="ABW71" i="6" a="1"/>
  <c r="ABW71" i="6" s="1"/>
  <c r="CT72" i="6"/>
  <c r="ET72" i="6"/>
  <c r="HJ72" i="6"/>
  <c r="IT72" i="6"/>
  <c r="KD72" i="6"/>
  <c r="MX72" i="6"/>
  <c r="PQ72" i="6"/>
  <c r="SK72" i="6"/>
  <c r="YN72" i="6"/>
  <c r="ZQ72" i="6"/>
  <c r="CK73" i="6"/>
  <c r="FK73" i="6"/>
  <c r="IB73" i="6"/>
  <c r="KV73" i="6"/>
  <c r="NO73" i="6"/>
  <c r="QI73" i="6"/>
  <c r="TC73" i="6"/>
  <c r="AQ74" i="6"/>
  <c r="DL74" i="6"/>
  <c r="GB74" i="6"/>
  <c r="LN74" i="6"/>
  <c r="OG74" i="6"/>
  <c r="RA74" i="6"/>
  <c r="TU74" i="6"/>
  <c r="WV74" i="6"/>
  <c r="ABC74" i="6"/>
  <c r="DC75" i="6"/>
  <c r="EC75" i="6"/>
  <c r="GS75" i="6"/>
  <c r="JL75" i="6"/>
  <c r="MF75" i="6"/>
  <c r="OY75" i="6"/>
  <c r="RS75" i="6"/>
  <c r="UL75" i="6"/>
  <c r="VM75" i="6"/>
  <c r="XR75" i="6"/>
  <c r="ABY75" i="6" a="1"/>
  <c r="ABY75" i="6" s="1"/>
  <c r="ABW75" i="6" a="1"/>
  <c r="ABW75" i="6" s="1"/>
  <c r="CT76" i="6"/>
  <c r="ET76" i="6"/>
  <c r="HJ76" i="6"/>
  <c r="IT76" i="6"/>
  <c r="KD76" i="6"/>
  <c r="MX76" i="6"/>
  <c r="PQ76" i="6"/>
  <c r="SK76" i="6"/>
  <c r="YN76" i="6"/>
  <c r="ZQ76" i="6"/>
  <c r="CK77" i="6"/>
  <c r="FK77" i="6"/>
  <c r="IB77" i="6"/>
  <c r="KV77" i="6"/>
  <c r="NO77" i="6"/>
  <c r="QI77" i="6"/>
  <c r="TC77" i="6"/>
  <c r="AQ78" i="6"/>
  <c r="DL78" i="6"/>
  <c r="GB78" i="6"/>
  <c r="LN78" i="6"/>
  <c r="OG78" i="6"/>
  <c r="RA78" i="6"/>
  <c r="TU78" i="6"/>
  <c r="WV78" i="6"/>
  <c r="ABC78" i="6"/>
  <c r="DC79" i="6"/>
  <c r="EC79" i="6"/>
  <c r="GS79" i="6"/>
  <c r="JL79" i="6"/>
  <c r="MF79" i="6"/>
  <c r="OY79" i="6"/>
  <c r="RS79" i="6"/>
  <c r="UL79" i="6"/>
  <c r="VM79" i="6"/>
  <c r="XR79" i="6"/>
  <c r="ABW79" i="6" a="1"/>
  <c r="ABW79" i="6" s="1"/>
  <c r="ABY79" i="6" a="1"/>
  <c r="ABY79" i="6" s="1"/>
  <c r="CT80" i="6"/>
  <c r="ET80" i="6"/>
  <c r="HJ80" i="6"/>
  <c r="IT80" i="6"/>
  <c r="KD80" i="6"/>
  <c r="MX80" i="6"/>
  <c r="PQ80" i="6"/>
  <c r="ET9" i="6"/>
  <c r="IT9" i="6"/>
  <c r="FK10" i="6"/>
  <c r="AQ11" i="6"/>
  <c r="DC12" i="6"/>
  <c r="CT6" i="6"/>
  <c r="CT117" i="6"/>
  <c r="YN117" i="6"/>
  <c r="YN6" i="6"/>
  <c r="FK7" i="6"/>
  <c r="AQ8" i="6"/>
  <c r="GB8" i="6"/>
  <c r="WV8" i="6"/>
  <c r="ABC8" i="6"/>
  <c r="EC9" i="6"/>
  <c r="UL9" i="6"/>
  <c r="ABW9" i="6" a="1"/>
  <c r="ABW9" i="6" s="1"/>
  <c r="ABY9" i="6" a="1"/>
  <c r="ABY9" i="6" s="1"/>
  <c r="CT10" i="6"/>
  <c r="ET10" i="6"/>
  <c r="YN10" i="6"/>
  <c r="FK11" i="6"/>
  <c r="NO11" i="6"/>
  <c r="DL12" i="6"/>
  <c r="GB12" i="6"/>
  <c r="WV12" i="6"/>
  <c r="DC13" i="6"/>
  <c r="GS13" i="6"/>
  <c r="UL13" i="6"/>
  <c r="XR13" i="6"/>
  <c r="CT14" i="6"/>
  <c r="ET14" i="6"/>
  <c r="IT14" i="6"/>
  <c r="ZQ14" i="6"/>
  <c r="CK15" i="6"/>
  <c r="NO15" i="6"/>
  <c r="AQ16" i="6"/>
  <c r="DL16" i="6"/>
  <c r="GB16" i="6"/>
  <c r="WV16" i="6"/>
  <c r="DC17" i="6"/>
  <c r="GS17" i="6"/>
  <c r="VM17" i="6"/>
  <c r="ABY17" i="6" a="1"/>
  <c r="ABY17" i="6" s="1"/>
  <c r="ABW17" i="6" a="1"/>
  <c r="ABW17" i="6" s="1"/>
  <c r="HJ18" i="6"/>
  <c r="IT18" i="6"/>
  <c r="ZQ18" i="6"/>
  <c r="CK19" i="6"/>
  <c r="HJ20" i="6"/>
  <c r="IT20" i="6"/>
  <c r="ZQ20" i="6"/>
  <c r="CK21" i="6"/>
  <c r="NO21" i="6"/>
  <c r="AQ22" i="6"/>
  <c r="GB22" i="6"/>
  <c r="WV22" i="6"/>
  <c r="DC23" i="6"/>
  <c r="GS23" i="6"/>
  <c r="VM23" i="6"/>
  <c r="XR23" i="6"/>
  <c r="CT24" i="6"/>
  <c r="HJ24" i="6"/>
  <c r="GB6" i="6"/>
  <c r="GB117" i="6"/>
  <c r="MX6" i="6"/>
  <c r="WK117" i="6"/>
  <c r="WK6" i="6"/>
  <c r="ACX6" i="6"/>
  <c r="BR7" i="6"/>
  <c r="WB7" i="6"/>
  <c r="XG7" i="6"/>
  <c r="YC8" i="6"/>
  <c r="YZ9" i="6"/>
  <c r="ABT9" i="6"/>
  <c r="AF10" i="6"/>
  <c r="WK10" i="6"/>
  <c r="ACX10" i="6"/>
  <c r="BR11" i="6"/>
  <c r="WB11" i="6"/>
  <c r="XG11" i="6"/>
  <c r="YC12" i="6"/>
  <c r="YZ13" i="6"/>
  <c r="ABT13" i="6"/>
  <c r="AF14" i="6"/>
  <c r="WK14" i="6"/>
  <c r="ACX14" i="6"/>
  <c r="BR15" i="6"/>
  <c r="WB15" i="6"/>
  <c r="XG15" i="6"/>
  <c r="YC16" i="6"/>
  <c r="YZ17" i="6"/>
  <c r="ABT17" i="6"/>
  <c r="AF18" i="6"/>
  <c r="WK18" i="6"/>
  <c r="ACX18" i="6"/>
  <c r="BR19" i="6"/>
  <c r="WB19" i="6"/>
  <c r="XG19" i="6"/>
  <c r="AF20" i="6"/>
  <c r="WK20" i="6"/>
  <c r="ACX20" i="6"/>
  <c r="BR21" i="6"/>
  <c r="WB21" i="6"/>
  <c r="XG21" i="6"/>
  <c r="YC22" i="6"/>
  <c r="YZ23" i="6"/>
  <c r="ABT23" i="6"/>
  <c r="AF24" i="6"/>
  <c r="WK24" i="6"/>
  <c r="ACX24" i="6"/>
  <c r="BR25" i="6"/>
  <c r="WB25" i="6"/>
  <c r="XG25" i="6"/>
  <c r="YC26" i="6"/>
  <c r="YZ27" i="6"/>
  <c r="ABT27" i="6"/>
  <c r="AF28" i="6"/>
  <c r="WK28" i="6"/>
  <c r="ACX28" i="6"/>
  <c r="BR29" i="6"/>
  <c r="WB29" i="6"/>
  <c r="XG29" i="6"/>
  <c r="YC30" i="6"/>
  <c r="YZ31" i="6"/>
  <c r="ABT31" i="6"/>
  <c r="AF32" i="6"/>
  <c r="WK32" i="6"/>
  <c r="ACX32" i="6"/>
  <c r="BR33" i="6"/>
  <c r="WB33" i="6"/>
  <c r="XG33" i="6"/>
  <c r="YC34" i="6"/>
  <c r="YZ35" i="6"/>
  <c r="ABT35" i="6"/>
  <c r="AF36" i="6"/>
  <c r="WK36" i="6"/>
  <c r="ACX36" i="6"/>
  <c r="BR37" i="6"/>
  <c r="WB37" i="6"/>
  <c r="XG37" i="6"/>
  <c r="YC38" i="6"/>
  <c r="YZ39" i="6"/>
  <c r="ABT39" i="6"/>
  <c r="AF40" i="6"/>
  <c r="WK40" i="6"/>
  <c r="ACX40" i="6"/>
  <c r="BR41" i="6"/>
  <c r="WB41" i="6"/>
  <c r="XG41" i="6"/>
  <c r="YC42" i="6"/>
  <c r="YZ43" i="6"/>
  <c r="ABT43" i="6"/>
  <c r="AF44" i="6"/>
  <c r="WK44" i="6"/>
  <c r="ACX44" i="6"/>
  <c r="BR45" i="6"/>
  <c r="WB45" i="6"/>
  <c r="XG45" i="6"/>
  <c r="YC46" i="6"/>
  <c r="YZ47" i="6"/>
  <c r="ABT47" i="6"/>
  <c r="AF48" i="6"/>
  <c r="WK48" i="6"/>
  <c r="ACX48" i="6"/>
  <c r="BR49" i="6"/>
  <c r="WB49" i="6"/>
  <c r="XG49" i="6"/>
  <c r="YC50" i="6"/>
  <c r="YZ51" i="6"/>
  <c r="ABT51" i="6"/>
  <c r="AF52" i="6"/>
  <c r="WK52" i="6"/>
  <c r="ACX52" i="6"/>
  <c r="BR53" i="6"/>
  <c r="WB53" i="6"/>
  <c r="XG53" i="6"/>
  <c r="YC54" i="6"/>
  <c r="YZ55" i="6"/>
  <c r="ABT55" i="6"/>
  <c r="AF56" i="6"/>
  <c r="WK56" i="6"/>
  <c r="ACX56" i="6"/>
  <c r="BR57" i="6"/>
  <c r="WB57" i="6"/>
  <c r="XG57" i="6"/>
  <c r="YC58" i="6"/>
  <c r="YZ59" i="6"/>
  <c r="ABT59" i="6"/>
  <c r="AF60" i="6"/>
  <c r="WK60" i="6"/>
  <c r="ACX60" i="6"/>
  <c r="BR61" i="6"/>
  <c r="WB61" i="6"/>
  <c r="XG61" i="6"/>
  <c r="YC62" i="6"/>
  <c r="YZ63" i="6"/>
  <c r="ABT63" i="6"/>
  <c r="AF64" i="6"/>
  <c r="WK64" i="6"/>
  <c r="ACX64" i="6"/>
  <c r="BR65" i="6"/>
  <c r="WB65" i="6"/>
  <c r="XG65" i="6"/>
  <c r="YC66" i="6"/>
  <c r="YZ67" i="6"/>
  <c r="ABT67" i="6"/>
  <c r="AF68" i="6"/>
  <c r="WK68" i="6"/>
  <c r="ACX68" i="6"/>
  <c r="BR69" i="6"/>
  <c r="WB69" i="6"/>
  <c r="XG69" i="6"/>
  <c r="YC70" i="6"/>
  <c r="YZ71" i="6"/>
  <c r="ABT71" i="6"/>
  <c r="AF72" i="6"/>
  <c r="WK72" i="6"/>
  <c r="ACX72" i="6"/>
  <c r="BR73" i="6"/>
  <c r="WB73" i="6"/>
  <c r="XG73" i="6"/>
  <c r="YC74" i="6"/>
  <c r="UL8" i="6"/>
  <c r="CK10" i="6"/>
  <c r="EC12" i="6"/>
  <c r="DC117" i="6"/>
  <c r="DC6" i="6"/>
  <c r="RS6" i="6"/>
  <c r="VM117" i="6"/>
  <c r="VM6" i="6"/>
  <c r="ET7" i="6"/>
  <c r="HJ7" i="6"/>
  <c r="IT7" i="6"/>
  <c r="MX7" i="6"/>
  <c r="SK7" i="6"/>
  <c r="ZQ7" i="6"/>
  <c r="CK8" i="6"/>
  <c r="KV8" i="6"/>
  <c r="QI8" i="6"/>
  <c r="TC8" i="6"/>
  <c r="AQ9" i="6"/>
  <c r="GB9" i="6"/>
  <c r="LN9" i="6"/>
  <c r="RA9" i="6"/>
  <c r="TU9" i="6"/>
  <c r="WV9" i="6"/>
  <c r="ABC9" i="6"/>
  <c r="DC10" i="6"/>
  <c r="GS10" i="6"/>
  <c r="MF10" i="6"/>
  <c r="RS10" i="6"/>
  <c r="VM10" i="6"/>
  <c r="ABY10" i="6" a="1"/>
  <c r="ABY10" i="6" s="1"/>
  <c r="ABW10" i="6" a="1"/>
  <c r="ABW10" i="6" s="1"/>
  <c r="CT11" i="6"/>
  <c r="ET11" i="6"/>
  <c r="HJ11" i="6"/>
  <c r="IT11" i="6"/>
  <c r="MX11" i="6"/>
  <c r="SK11" i="6"/>
  <c r="ZQ11" i="6"/>
  <c r="CK12" i="6"/>
  <c r="IB12" i="6"/>
  <c r="QI12" i="6"/>
  <c r="TC12" i="6"/>
  <c r="AQ13" i="6"/>
  <c r="GB13" i="6"/>
  <c r="LN13" i="6"/>
  <c r="TU13" i="6"/>
  <c r="WV13" i="6"/>
  <c r="ABC13" i="6"/>
  <c r="DC14" i="6"/>
  <c r="GS14" i="6"/>
  <c r="MF14" i="6"/>
  <c r="RS14" i="6"/>
  <c r="VM14" i="6"/>
  <c r="XR14" i="6"/>
  <c r="ABW14" i="6" a="1"/>
  <c r="ABW14" i="6" s="1"/>
  <c r="ABY14" i="6" a="1"/>
  <c r="ABY14" i="6" s="1"/>
  <c r="ET15" i="6"/>
  <c r="HJ15" i="6"/>
  <c r="IT15" i="6"/>
  <c r="PQ15" i="6"/>
  <c r="SK15" i="6"/>
  <c r="ZQ15" i="6"/>
  <c r="FK16" i="6"/>
  <c r="IB16" i="6"/>
  <c r="NO16" i="6"/>
  <c r="DL17" i="6"/>
  <c r="GB17" i="6"/>
  <c r="OG17" i="6"/>
  <c r="TU17" i="6"/>
  <c r="WV17" i="6"/>
  <c r="ABC17" i="6"/>
  <c r="EC18" i="6"/>
  <c r="GS18" i="6"/>
  <c r="MF18" i="6"/>
  <c r="UL18" i="6"/>
  <c r="ABW18" i="6" a="1"/>
  <c r="ABW18" i="6" s="1"/>
  <c r="ABY18" i="6" a="1"/>
  <c r="ABY18" i="6" s="1"/>
  <c r="KD19" i="6"/>
  <c r="PQ19" i="6"/>
  <c r="YN19" i="6"/>
  <c r="DC20" i="6"/>
  <c r="GS20" i="6"/>
  <c r="MF20" i="6"/>
  <c r="UL20" i="6"/>
  <c r="ABY20" i="6" a="1"/>
  <c r="ABY20" i="6" s="1"/>
  <c r="ABW20" i="6" a="1"/>
  <c r="ABW20" i="6" s="1"/>
  <c r="HJ21" i="6"/>
  <c r="IT21" i="6"/>
  <c r="MX21" i="6"/>
  <c r="SK21" i="6"/>
  <c r="ZQ21" i="6"/>
  <c r="CK22" i="6"/>
  <c r="IB22" i="6"/>
  <c r="NO22" i="6"/>
  <c r="TC22" i="6"/>
  <c r="AQ23" i="6"/>
  <c r="DL23" i="6"/>
  <c r="GB23" i="6"/>
  <c r="LN23" i="6"/>
  <c r="TU23" i="6"/>
  <c r="WV23" i="6"/>
  <c r="ABC23" i="6"/>
  <c r="DC24" i="6"/>
  <c r="GS24" i="6"/>
  <c r="OY24" i="6"/>
  <c r="RS24" i="6"/>
  <c r="UL24" i="6"/>
  <c r="VM24" i="6"/>
  <c r="XR24" i="6"/>
  <c r="ABW24" i="6" a="1"/>
  <c r="ABW24" i="6" s="1"/>
  <c r="ABY24" i="6" a="1"/>
  <c r="ABY24" i="6" s="1"/>
  <c r="CT25" i="6"/>
  <c r="ET25" i="6"/>
  <c r="HJ25" i="6"/>
  <c r="IT25" i="6"/>
  <c r="KD25" i="6"/>
  <c r="MX25" i="6"/>
  <c r="PQ25" i="6"/>
  <c r="SK25" i="6"/>
  <c r="YN25" i="6"/>
  <c r="ZQ25" i="6"/>
  <c r="CK26" i="6"/>
  <c r="FK26" i="6"/>
  <c r="IB26" i="6"/>
  <c r="KV26" i="6"/>
  <c r="NO26" i="6"/>
  <c r="QI26" i="6"/>
  <c r="TC26" i="6"/>
  <c r="AQ27" i="6"/>
  <c r="DL27" i="6"/>
  <c r="GB27" i="6"/>
  <c r="LN27" i="6"/>
  <c r="OG27" i="6"/>
  <c r="RA27" i="6"/>
  <c r="TU27" i="6"/>
  <c r="WV27" i="6"/>
  <c r="ABC27" i="6"/>
  <c r="DC28" i="6"/>
  <c r="EC28" i="6"/>
  <c r="GS28" i="6"/>
  <c r="JL28" i="6"/>
  <c r="MF28" i="6"/>
  <c r="OY28" i="6"/>
  <c r="RS28" i="6"/>
  <c r="UL28" i="6"/>
  <c r="VM28" i="6"/>
  <c r="XR28" i="6"/>
  <c r="ABW28" i="6" a="1"/>
  <c r="ABW28" i="6" s="1"/>
  <c r="ABY28" i="6" a="1"/>
  <c r="ABY28" i="6" s="1"/>
  <c r="CT29" i="6"/>
  <c r="ET29" i="6"/>
  <c r="HJ29" i="6"/>
  <c r="IT29" i="6"/>
  <c r="KD29" i="6"/>
  <c r="MX29" i="6"/>
  <c r="PQ29" i="6"/>
  <c r="SK29" i="6"/>
  <c r="YN29" i="6"/>
  <c r="ZQ29" i="6"/>
  <c r="CK30" i="6"/>
  <c r="FK30" i="6"/>
  <c r="IB30" i="6"/>
  <c r="KV30" i="6"/>
  <c r="NO30" i="6"/>
  <c r="QI30" i="6"/>
  <c r="TC30" i="6"/>
  <c r="AQ31" i="6"/>
  <c r="DL31" i="6"/>
  <c r="GB31" i="6"/>
  <c r="LN31" i="6"/>
  <c r="OG31" i="6"/>
  <c r="RA31" i="6"/>
  <c r="TU31" i="6"/>
  <c r="WV31" i="6"/>
  <c r="ABC31" i="6"/>
  <c r="DC32" i="6"/>
  <c r="EC32" i="6"/>
  <c r="GS32" i="6"/>
  <c r="JL32" i="6"/>
  <c r="MF32" i="6"/>
  <c r="OY32" i="6"/>
  <c r="RS32" i="6"/>
  <c r="UL32" i="6"/>
  <c r="VM32" i="6"/>
  <c r="XR32" i="6"/>
  <c r="ABW32" i="6" a="1"/>
  <c r="ABW32" i="6" s="1"/>
  <c r="ABY32" i="6" a="1"/>
  <c r="ABY32" i="6" s="1"/>
  <c r="CT33" i="6"/>
  <c r="ET33" i="6"/>
  <c r="HJ33" i="6"/>
  <c r="IT33" i="6"/>
  <c r="KD33" i="6"/>
  <c r="MX33" i="6"/>
  <c r="PQ33" i="6"/>
  <c r="SK33" i="6"/>
  <c r="YN33" i="6"/>
  <c r="ZQ33" i="6"/>
  <c r="CK34" i="6"/>
  <c r="FK34" i="6"/>
  <c r="IB34" i="6"/>
  <c r="KV34" i="6"/>
  <c r="NO34" i="6"/>
  <c r="QI34" i="6"/>
  <c r="TC34" i="6"/>
  <c r="AQ35" i="6"/>
  <c r="DL35" i="6"/>
  <c r="GB35" i="6"/>
  <c r="LN35" i="6"/>
  <c r="OG35" i="6"/>
  <c r="RA35" i="6"/>
  <c r="TU35" i="6"/>
  <c r="WV35" i="6"/>
  <c r="ABC35" i="6"/>
  <c r="DC36" i="6"/>
  <c r="EC36" i="6"/>
  <c r="GS36" i="6"/>
  <c r="JL36" i="6"/>
  <c r="MF36" i="6"/>
  <c r="OY36" i="6"/>
  <c r="RS36" i="6"/>
  <c r="UL36" i="6"/>
  <c r="VM36" i="6"/>
  <c r="XR36" i="6"/>
  <c r="ABW36" i="6" a="1"/>
  <c r="ABW36" i="6" s="1"/>
  <c r="ABY36" i="6" a="1"/>
  <c r="ABY36" i="6" s="1"/>
  <c r="CT37" i="6"/>
  <c r="ET37" i="6"/>
  <c r="HJ37" i="6"/>
  <c r="IT37" i="6"/>
  <c r="KD37" i="6"/>
  <c r="MX37" i="6"/>
  <c r="PQ37" i="6"/>
  <c r="SK37" i="6"/>
  <c r="YN37" i="6"/>
  <c r="ZQ37" i="6"/>
  <c r="CK38" i="6"/>
  <c r="FK38" i="6"/>
  <c r="IB38" i="6"/>
  <c r="KV38" i="6"/>
  <c r="NO38" i="6"/>
  <c r="QI38" i="6"/>
  <c r="TC38" i="6"/>
  <c r="AQ39" i="6"/>
  <c r="DL39" i="6"/>
  <c r="GB39" i="6"/>
  <c r="LN39" i="6"/>
  <c r="OG39" i="6"/>
  <c r="RA39" i="6"/>
  <c r="TU39" i="6"/>
  <c r="WV39" i="6"/>
  <c r="ABC39" i="6"/>
  <c r="DC40" i="6"/>
  <c r="EC40" i="6"/>
  <c r="GS40" i="6"/>
  <c r="JL40" i="6"/>
  <c r="MF40" i="6"/>
  <c r="OY40" i="6"/>
  <c r="RS40" i="6"/>
  <c r="UL40" i="6"/>
  <c r="VM40" i="6"/>
  <c r="XR40" i="6"/>
  <c r="ABW40" i="6" a="1"/>
  <c r="ABW40" i="6" s="1"/>
  <c r="ABY40" i="6" a="1"/>
  <c r="ABY40" i="6" s="1"/>
  <c r="CT41" i="6"/>
  <c r="ET41" i="6"/>
  <c r="HJ41" i="6"/>
  <c r="IT41" i="6"/>
  <c r="KD41" i="6"/>
  <c r="MX41" i="6"/>
  <c r="PQ41" i="6"/>
  <c r="SK41" i="6"/>
  <c r="YN41" i="6"/>
  <c r="ZQ41" i="6"/>
  <c r="CK42" i="6"/>
  <c r="FK42" i="6"/>
  <c r="IB42" i="6"/>
  <c r="KV42" i="6"/>
  <c r="NO42" i="6"/>
  <c r="QI42" i="6"/>
  <c r="TC42" i="6"/>
  <c r="AQ43" i="6"/>
  <c r="DL43" i="6"/>
  <c r="GB43" i="6"/>
  <c r="LN43" i="6"/>
  <c r="OG43" i="6"/>
  <c r="RA43" i="6"/>
  <c r="TU43" i="6"/>
  <c r="WV43" i="6"/>
  <c r="ABC43" i="6"/>
  <c r="DC44" i="6"/>
  <c r="EC44" i="6"/>
  <c r="GS44" i="6"/>
  <c r="JL44" i="6"/>
  <c r="MF44" i="6"/>
  <c r="OY44" i="6"/>
  <c r="RS44" i="6"/>
  <c r="UL44" i="6"/>
  <c r="VM44" i="6"/>
  <c r="XR44" i="6"/>
  <c r="ABW44" i="6" a="1"/>
  <c r="ABW44" i="6" s="1"/>
  <c r="ABY44" i="6" a="1"/>
  <c r="ABY44" i="6" s="1"/>
  <c r="CT45" i="6"/>
  <c r="ET45" i="6"/>
  <c r="HJ45" i="6"/>
  <c r="IT45" i="6"/>
  <c r="KD45" i="6"/>
  <c r="MX45" i="6"/>
  <c r="PQ45" i="6"/>
  <c r="SK45" i="6"/>
  <c r="YN45" i="6"/>
  <c r="ZQ45" i="6"/>
  <c r="CK46" i="6"/>
  <c r="FK46" i="6"/>
  <c r="IB46" i="6"/>
  <c r="KV46" i="6"/>
  <c r="NO46" i="6"/>
  <c r="QI46" i="6"/>
  <c r="TC46" i="6"/>
  <c r="AQ47" i="6"/>
  <c r="DL47" i="6"/>
  <c r="GB47" i="6"/>
  <c r="LN47" i="6"/>
  <c r="OG47" i="6"/>
  <c r="RA47" i="6"/>
  <c r="TU47" i="6"/>
  <c r="WV47" i="6"/>
  <c r="ABC47" i="6"/>
  <c r="DC48" i="6"/>
  <c r="EC48" i="6"/>
  <c r="GS48" i="6"/>
  <c r="JL48" i="6"/>
  <c r="MF48" i="6"/>
  <c r="OY48" i="6"/>
  <c r="RS48" i="6"/>
  <c r="UL48" i="6"/>
  <c r="VM48" i="6"/>
  <c r="XR48" i="6"/>
  <c r="ABW48" i="6" a="1"/>
  <c r="ABW48" i="6" s="1"/>
  <c r="ABY48" i="6" a="1"/>
  <c r="ABY48" i="6" s="1"/>
  <c r="CT49" i="6"/>
  <c r="ET49" i="6"/>
  <c r="HJ49" i="6"/>
  <c r="IT49" i="6"/>
  <c r="KD49" i="6"/>
  <c r="MX49" i="6"/>
  <c r="PQ49" i="6"/>
  <c r="SK49" i="6"/>
  <c r="YN49" i="6"/>
  <c r="ZQ49" i="6"/>
  <c r="CK50" i="6"/>
  <c r="FK50" i="6"/>
  <c r="IB50" i="6"/>
  <c r="KV50" i="6"/>
  <c r="NO50" i="6"/>
  <c r="QI50" i="6"/>
  <c r="TC50" i="6"/>
  <c r="AQ51" i="6"/>
  <c r="DL51" i="6"/>
  <c r="GB51" i="6"/>
  <c r="LN51" i="6"/>
  <c r="OG51" i="6"/>
  <c r="RA51" i="6"/>
  <c r="TU51" i="6"/>
  <c r="WV51" i="6"/>
  <c r="ABC51" i="6"/>
  <c r="DC52" i="6"/>
  <c r="EC52" i="6"/>
  <c r="GS52" i="6"/>
  <c r="JL52" i="6"/>
  <c r="MF52" i="6"/>
  <c r="OY52" i="6"/>
  <c r="RS52" i="6"/>
  <c r="UL52" i="6"/>
  <c r="VM52" i="6"/>
  <c r="XR52" i="6"/>
  <c r="ABW52" i="6" a="1"/>
  <c r="ABW52" i="6" s="1"/>
  <c r="ABY52" i="6" a="1"/>
  <c r="ABY52" i="6" s="1"/>
  <c r="CT53" i="6"/>
  <c r="ET53" i="6"/>
  <c r="HJ53" i="6"/>
  <c r="IT53" i="6"/>
  <c r="KD53" i="6"/>
  <c r="MX53" i="6"/>
  <c r="PQ53" i="6"/>
  <c r="SK53" i="6"/>
  <c r="YN53" i="6"/>
  <c r="ZQ53" i="6"/>
  <c r="CK54" i="6"/>
  <c r="FK54" i="6"/>
  <c r="IB54" i="6"/>
  <c r="KV54" i="6"/>
  <c r="NO54" i="6"/>
  <c r="QI54" i="6"/>
  <c r="TC54" i="6"/>
  <c r="AQ55" i="6"/>
  <c r="DL55" i="6"/>
  <c r="GB55" i="6"/>
  <c r="LN55" i="6"/>
  <c r="OG55" i="6"/>
  <c r="RA55" i="6"/>
  <c r="TU55" i="6"/>
  <c r="WV55" i="6"/>
  <c r="ABC55" i="6"/>
  <c r="DC56" i="6"/>
  <c r="EC56" i="6"/>
  <c r="GS56" i="6"/>
  <c r="JL56" i="6"/>
  <c r="MF56" i="6"/>
  <c r="OY56" i="6"/>
  <c r="RS56" i="6"/>
  <c r="UL56" i="6"/>
  <c r="VM56" i="6"/>
  <c r="XR56" i="6"/>
  <c r="ABW56" i="6" a="1"/>
  <c r="ABW56" i="6" s="1"/>
  <c r="ABY56" i="6" a="1"/>
  <c r="ABY56" i="6" s="1"/>
  <c r="CT57" i="6"/>
  <c r="ET57" i="6"/>
  <c r="HJ57" i="6"/>
  <c r="IT57" i="6"/>
  <c r="KD57" i="6"/>
  <c r="MX57" i="6"/>
  <c r="PQ57" i="6"/>
  <c r="SK57" i="6"/>
  <c r="YN57" i="6"/>
  <c r="ZQ57" i="6"/>
  <c r="CK58" i="6"/>
  <c r="FK58" i="6"/>
  <c r="IB58" i="6"/>
  <c r="KV58" i="6"/>
  <c r="NO58" i="6"/>
  <c r="QI58" i="6"/>
  <c r="TC58" i="6"/>
  <c r="AQ59" i="6"/>
  <c r="DL59" i="6"/>
  <c r="GB59" i="6"/>
  <c r="LN59" i="6"/>
  <c r="OG59" i="6"/>
  <c r="RA59" i="6"/>
  <c r="TU59" i="6"/>
  <c r="WV59" i="6"/>
  <c r="ABC59" i="6"/>
  <c r="DC60" i="6"/>
  <c r="EC60" i="6"/>
  <c r="GS60" i="6"/>
  <c r="JL60" i="6"/>
  <c r="MF60" i="6"/>
  <c r="OY60" i="6"/>
  <c r="RS60" i="6"/>
  <c r="UL60" i="6"/>
  <c r="VM60" i="6"/>
  <c r="XR60" i="6"/>
  <c r="ABY60" i="6" a="1"/>
  <c r="ABY60" i="6" s="1"/>
  <c r="ABW60" i="6" a="1"/>
  <c r="ABW60" i="6" s="1"/>
  <c r="CT61" i="6"/>
  <c r="ET61" i="6"/>
  <c r="HJ61" i="6"/>
  <c r="IT61" i="6"/>
  <c r="KD61" i="6"/>
  <c r="MX61" i="6"/>
  <c r="PQ61" i="6"/>
  <c r="SK61" i="6"/>
  <c r="YN61" i="6"/>
  <c r="ZQ61" i="6"/>
  <c r="CK62" i="6"/>
  <c r="FK62" i="6"/>
  <c r="IB62" i="6"/>
  <c r="KV62" i="6"/>
  <c r="NO62" i="6"/>
  <c r="QI62" i="6"/>
  <c r="TC62" i="6"/>
  <c r="AQ63" i="6"/>
  <c r="DL63" i="6"/>
  <c r="GB63" i="6"/>
  <c r="LN63" i="6"/>
  <c r="OG63" i="6"/>
  <c r="RA63" i="6"/>
  <c r="TU63" i="6"/>
  <c r="WV63" i="6"/>
  <c r="ABC63" i="6"/>
  <c r="DC64" i="6"/>
  <c r="EC64" i="6"/>
  <c r="GS64" i="6"/>
  <c r="JL64" i="6"/>
  <c r="MF64" i="6"/>
  <c r="OY64" i="6"/>
  <c r="RS64" i="6"/>
  <c r="UL64" i="6"/>
  <c r="VM64" i="6"/>
  <c r="XR64" i="6"/>
  <c r="ABY64" i="6" a="1"/>
  <c r="ABY64" i="6" s="1"/>
  <c r="ABW64" i="6" a="1"/>
  <c r="ABW64" i="6" s="1"/>
  <c r="CT65" i="6"/>
  <c r="ET65" i="6"/>
  <c r="HJ65" i="6"/>
  <c r="IT65" i="6"/>
  <c r="KD65" i="6"/>
  <c r="MX65" i="6"/>
  <c r="PQ65" i="6"/>
  <c r="SK65" i="6"/>
  <c r="YN65" i="6"/>
  <c r="ZQ65" i="6"/>
  <c r="CK66" i="6"/>
  <c r="FK66" i="6"/>
  <c r="IB66" i="6"/>
  <c r="KV66" i="6"/>
  <c r="NO66" i="6"/>
  <c r="QI66" i="6"/>
  <c r="TC66" i="6"/>
  <c r="AQ67" i="6"/>
  <c r="DL67" i="6"/>
  <c r="GB67" i="6"/>
  <c r="LN67" i="6"/>
  <c r="OG67" i="6"/>
  <c r="RA67" i="6"/>
  <c r="TU67" i="6"/>
  <c r="WV67" i="6"/>
  <c r="ABC67" i="6"/>
  <c r="DC68" i="6"/>
  <c r="EC68" i="6"/>
  <c r="GS68" i="6"/>
  <c r="JL68" i="6"/>
  <c r="MF68" i="6"/>
  <c r="OY68" i="6"/>
  <c r="RS68" i="6"/>
  <c r="UL68" i="6"/>
  <c r="VM68" i="6"/>
  <c r="XR68" i="6"/>
  <c r="ABY68" i="6" a="1"/>
  <c r="ABY68" i="6" s="1"/>
  <c r="ABW68" i="6" a="1"/>
  <c r="ABW68" i="6" s="1"/>
  <c r="CT69" i="6"/>
  <c r="ET69" i="6"/>
  <c r="HJ69" i="6"/>
  <c r="IT69" i="6"/>
  <c r="KD69" i="6"/>
  <c r="MX69" i="6"/>
  <c r="PQ69" i="6"/>
  <c r="SK69" i="6"/>
  <c r="YN69" i="6"/>
  <c r="ZQ69" i="6"/>
  <c r="CK70" i="6"/>
  <c r="FK70" i="6"/>
  <c r="IB70" i="6"/>
  <c r="KV70" i="6"/>
  <c r="NO70" i="6"/>
  <c r="QI70" i="6"/>
  <c r="TC70" i="6"/>
  <c r="AQ71" i="6"/>
  <c r="DL71" i="6"/>
  <c r="GB71" i="6"/>
  <c r="LN71" i="6"/>
  <c r="OG71" i="6"/>
  <c r="RA71" i="6"/>
  <c r="TU71" i="6"/>
  <c r="WV71" i="6"/>
  <c r="ABC71" i="6"/>
  <c r="DC72" i="6"/>
  <c r="EC72" i="6"/>
  <c r="GS72" i="6"/>
  <c r="JL72" i="6"/>
  <c r="MF72" i="6"/>
  <c r="OY72" i="6"/>
  <c r="RS72" i="6"/>
  <c r="UL72" i="6"/>
  <c r="VM72" i="6"/>
  <c r="XR72" i="6"/>
  <c r="ABY72" i="6" a="1"/>
  <c r="ABY72" i="6" s="1"/>
  <c r="ABW72" i="6" a="1"/>
  <c r="ABW72" i="6" s="1"/>
  <c r="CT73" i="6"/>
  <c r="ET73" i="6"/>
  <c r="HJ73" i="6"/>
  <c r="IT73" i="6"/>
  <c r="KD73" i="6"/>
  <c r="MX73" i="6"/>
  <c r="PQ73" i="6"/>
  <c r="SK73" i="6"/>
  <c r="YN73" i="6"/>
  <c r="ZQ73" i="6"/>
  <c r="CK74" i="6"/>
  <c r="FK74" i="6"/>
  <c r="IB74" i="6"/>
  <c r="KV74" i="6"/>
  <c r="NO74" i="6"/>
  <c r="QI74" i="6"/>
  <c r="TC74" i="6"/>
  <c r="AQ75" i="6"/>
  <c r="DL75" i="6"/>
  <c r="GB75" i="6"/>
  <c r="LN75" i="6"/>
  <c r="OG75" i="6"/>
  <c r="RA75" i="6"/>
  <c r="TU75" i="6"/>
  <c r="WV75" i="6"/>
  <c r="ABC75" i="6"/>
  <c r="DC76" i="6"/>
  <c r="EC76" i="6"/>
  <c r="GS76" i="6"/>
  <c r="JL76" i="6"/>
  <c r="MF76" i="6"/>
  <c r="OY76" i="6"/>
  <c r="RS76" i="6"/>
  <c r="UL76" i="6"/>
  <c r="VM76" i="6"/>
  <c r="XR76" i="6"/>
  <c r="ABY76" i="6" a="1"/>
  <c r="ABY76" i="6" s="1"/>
  <c r="ABW76" i="6" a="1"/>
  <c r="ABW76" i="6" s="1"/>
  <c r="CT77" i="6"/>
  <c r="ET77" i="6"/>
  <c r="HJ77" i="6"/>
  <c r="IT77" i="6"/>
  <c r="KD77" i="6"/>
  <c r="MX77" i="6"/>
  <c r="PQ77" i="6"/>
  <c r="SK77" i="6"/>
  <c r="YN77" i="6"/>
  <c r="ZQ77" i="6"/>
  <c r="CK78" i="6"/>
  <c r="FK78" i="6"/>
  <c r="IB78" i="6"/>
  <c r="KV78" i="6"/>
  <c r="NO78" i="6"/>
  <c r="QI78" i="6"/>
  <c r="TC78" i="6"/>
  <c r="AQ79" i="6"/>
  <c r="DL79" i="6"/>
  <c r="GB79" i="6"/>
  <c r="LN79" i="6"/>
  <c r="OG79" i="6"/>
  <c r="RA79" i="6"/>
  <c r="TU79" i="6"/>
  <c r="WV79" i="6"/>
  <c r="ABC79" i="6"/>
  <c r="DC80" i="6"/>
  <c r="EC80" i="6"/>
  <c r="GS80" i="6"/>
  <c r="JL80" i="6"/>
  <c r="MF80" i="6"/>
  <c r="OY80" i="6"/>
  <c r="RS80" i="6"/>
  <c r="UL80" i="6"/>
  <c r="VM80" i="6"/>
  <c r="XR80" i="6"/>
  <c r="ABY80" i="6" a="1"/>
  <c r="ABY80" i="6" s="1"/>
  <c r="ABW80" i="6" a="1"/>
  <c r="ABW80" i="6" s="1"/>
  <c r="CT81" i="6"/>
  <c r="ET81" i="6"/>
  <c r="HJ81" i="6"/>
  <c r="IT81" i="6"/>
  <c r="KD81" i="6"/>
  <c r="MX81" i="6"/>
  <c r="PQ81" i="6"/>
  <c r="CK117" i="6"/>
  <c r="CK6" i="6"/>
  <c r="HJ9" i="6"/>
  <c r="YN9" i="6"/>
  <c r="EC6" i="6"/>
  <c r="EC117" i="6"/>
  <c r="KV6" i="6"/>
  <c r="OY6" i="6"/>
  <c r="UL6" i="6"/>
  <c r="UL117" i="6"/>
  <c r="ABW6" i="6" a="1"/>
  <c r="ABW6" i="6" s="1"/>
  <c r="ABY6" i="6" a="1"/>
  <c r="ABY6" i="6" s="1"/>
  <c r="CT7" i="6"/>
  <c r="KD7" i="6"/>
  <c r="PQ7" i="6"/>
  <c r="YN7" i="6"/>
  <c r="FK8" i="6"/>
  <c r="IB8" i="6"/>
  <c r="NO8" i="6"/>
  <c r="DL9" i="6"/>
  <c r="OG9" i="6"/>
  <c r="EC10" i="6"/>
  <c r="JL10" i="6"/>
  <c r="OY10" i="6"/>
  <c r="UL10" i="6"/>
  <c r="XR10" i="6"/>
  <c r="KD11" i="6"/>
  <c r="PQ11" i="6"/>
  <c r="YN11" i="6"/>
  <c r="FK12" i="6"/>
  <c r="KV12" i="6"/>
  <c r="NO12" i="6"/>
  <c r="DL13" i="6"/>
  <c r="OG13" i="6"/>
  <c r="RA13" i="6"/>
  <c r="EC14" i="6"/>
  <c r="JL14" i="6"/>
  <c r="OY14" i="6"/>
  <c r="UL14" i="6"/>
  <c r="CT15" i="6"/>
  <c r="KD15" i="6"/>
  <c r="MX15" i="6"/>
  <c r="YN15" i="6"/>
  <c r="CK16" i="6"/>
  <c r="KV16" i="6"/>
  <c r="QI16" i="6"/>
  <c r="TC16" i="6"/>
  <c r="AQ17" i="6"/>
  <c r="LN17" i="6"/>
  <c r="RA17" i="6"/>
  <c r="DC18" i="6"/>
  <c r="JL18" i="6"/>
  <c r="OY18" i="6"/>
  <c r="RS18" i="6"/>
  <c r="VM18" i="6"/>
  <c r="XR18" i="6"/>
  <c r="CT19" i="6"/>
  <c r="ET19" i="6"/>
  <c r="HJ19" i="6"/>
  <c r="IT19" i="6"/>
  <c r="MX19" i="6"/>
  <c r="SK19" i="6"/>
  <c r="ZQ19" i="6"/>
  <c r="EC20" i="6"/>
  <c r="JL20" i="6"/>
  <c r="OY20" i="6"/>
  <c r="RS20" i="6"/>
  <c r="VM20" i="6"/>
  <c r="XR20" i="6"/>
  <c r="CT21" i="6"/>
  <c r="ET21" i="6"/>
  <c r="KD21" i="6"/>
  <c r="PQ21" i="6"/>
  <c r="YN21" i="6"/>
  <c r="FK22" i="6"/>
  <c r="KV22" i="6"/>
  <c r="QI22" i="6"/>
  <c r="OG23" i="6"/>
  <c r="RA23" i="6"/>
  <c r="EC24" i="6"/>
  <c r="JL24" i="6"/>
  <c r="MF24" i="6"/>
  <c r="HJ117" i="6"/>
  <c r="HJ6" i="6"/>
  <c r="WV6" i="6"/>
  <c r="WV117" i="6"/>
  <c r="YZ6" i="6"/>
  <c r="ABT6" i="6"/>
  <c r="ABT117" i="6"/>
  <c r="AF7" i="6"/>
  <c r="WK7" i="6"/>
  <c r="ACX7" i="6"/>
  <c r="BR8" i="6"/>
  <c r="WB8" i="6"/>
  <c r="XG8" i="6"/>
  <c r="YC9" i="6"/>
  <c r="YZ10" i="6"/>
  <c r="ABT10" i="6"/>
  <c r="AF11" i="6"/>
  <c r="WK11" i="6"/>
  <c r="ACX11" i="6"/>
  <c r="BR12" i="6"/>
  <c r="WB12" i="6"/>
  <c r="XG12" i="6"/>
  <c r="YC13" i="6"/>
  <c r="YZ14" i="6"/>
  <c r="ABT14" i="6"/>
  <c r="AF15" i="6"/>
  <c r="WK15" i="6"/>
  <c r="ACX15" i="6"/>
  <c r="BR16" i="6"/>
  <c r="WB16" i="6"/>
  <c r="XG16" i="6"/>
  <c r="YC17" i="6"/>
  <c r="YZ18" i="6"/>
  <c r="ABT18" i="6"/>
  <c r="AF19" i="6"/>
  <c r="WK19" i="6"/>
  <c r="ACX19" i="6"/>
  <c r="YZ20" i="6"/>
  <c r="ABT20" i="6"/>
  <c r="AF21" i="6"/>
  <c r="WK21" i="6"/>
  <c r="ACX21" i="6"/>
  <c r="BR22" i="6"/>
  <c r="WB22" i="6"/>
  <c r="XG22" i="6"/>
  <c r="YC23" i="6"/>
  <c r="YZ24" i="6"/>
  <c r="ABT24" i="6"/>
  <c r="AF25" i="6"/>
  <c r="WK25" i="6"/>
  <c r="ACX25" i="6"/>
  <c r="BR26" i="6"/>
  <c r="WB26" i="6"/>
  <c r="XG26" i="6"/>
  <c r="YC27" i="6"/>
  <c r="YZ28" i="6"/>
  <c r="ABT28" i="6"/>
  <c r="AF29" i="6"/>
  <c r="WK29" i="6"/>
  <c r="ACX29" i="6"/>
  <c r="BR30" i="6"/>
  <c r="WB30" i="6"/>
  <c r="XG30" i="6"/>
  <c r="YC31" i="6"/>
  <c r="YZ32" i="6"/>
  <c r="ABT32" i="6"/>
  <c r="AF33" i="6"/>
  <c r="WK33" i="6"/>
  <c r="ACX33" i="6"/>
  <c r="BR34" i="6"/>
  <c r="WB34" i="6"/>
  <c r="XG34" i="6"/>
  <c r="YC35" i="6"/>
  <c r="YZ36" i="6"/>
  <c r="ABT36" i="6"/>
  <c r="AF37" i="6"/>
  <c r="WK37" i="6"/>
  <c r="ACX37" i="6"/>
  <c r="BR38" i="6"/>
  <c r="WB38" i="6"/>
  <c r="XG38" i="6"/>
  <c r="YC39" i="6"/>
  <c r="YZ40" i="6"/>
  <c r="ABT40" i="6"/>
  <c r="AF41" i="6"/>
  <c r="WK41" i="6"/>
  <c r="ACX41" i="6"/>
  <c r="BR42" i="6"/>
  <c r="WB42" i="6"/>
  <c r="XG42" i="6"/>
  <c r="YC43" i="6"/>
  <c r="YZ44" i="6"/>
  <c r="ABT44" i="6"/>
  <c r="AF45" i="6"/>
  <c r="WK45" i="6"/>
  <c r="ACX45" i="6"/>
  <c r="BR46" i="6"/>
  <c r="WB46" i="6"/>
  <c r="XG46" i="6"/>
  <c r="YC47" i="6"/>
  <c r="YZ48" i="6"/>
  <c r="ABT48" i="6"/>
  <c r="AF49" i="6"/>
  <c r="WK49" i="6"/>
  <c r="ACX49" i="6"/>
  <c r="BR50" i="6"/>
  <c r="WB50" i="6"/>
  <c r="XG50" i="6"/>
  <c r="YC51" i="6"/>
  <c r="YZ52" i="6"/>
  <c r="ABT52" i="6"/>
  <c r="AF53" i="6"/>
  <c r="WK53" i="6"/>
  <c r="ACX53" i="6"/>
  <c r="BR54" i="6"/>
  <c r="WB54" i="6"/>
  <c r="XG54" i="6"/>
  <c r="YC55" i="6"/>
  <c r="YZ56" i="6"/>
  <c r="ABT56" i="6"/>
  <c r="AF57" i="6"/>
  <c r="WK57" i="6"/>
  <c r="ACX57" i="6"/>
  <c r="BR58" i="6"/>
  <c r="WB58" i="6"/>
  <c r="XG58" i="6"/>
  <c r="YC59" i="6"/>
  <c r="YZ60" i="6"/>
  <c r="ABT60" i="6"/>
  <c r="AF61" i="6"/>
  <c r="WK61" i="6"/>
  <c r="ACX61" i="6"/>
  <c r="BR62" i="6"/>
  <c r="WB62" i="6"/>
  <c r="XG62" i="6"/>
  <c r="YC63" i="6"/>
  <c r="YZ64" i="6"/>
  <c r="ABT64" i="6"/>
  <c r="AF65" i="6"/>
  <c r="WK65" i="6"/>
  <c r="ACX65" i="6"/>
  <c r="BR66" i="6"/>
  <c r="WB66" i="6"/>
  <c r="XG66" i="6"/>
  <c r="YC67" i="6"/>
  <c r="YZ68" i="6"/>
  <c r="ABT68" i="6"/>
  <c r="AF69" i="6"/>
  <c r="WK69" i="6"/>
  <c r="ACX69" i="6"/>
  <c r="BR70" i="6"/>
  <c r="WB70" i="6"/>
  <c r="XG70" i="6"/>
  <c r="YC71" i="6"/>
  <c r="YZ72" i="6"/>
  <c r="ABT72" i="6"/>
  <c r="AF73" i="6"/>
  <c r="WK73" i="6"/>
  <c r="ACX73" i="6"/>
  <c r="BR74" i="6"/>
  <c r="WB74" i="6"/>
  <c r="XG74" i="6"/>
  <c r="DL117" i="6"/>
  <c r="DL6" i="6"/>
  <c r="CK9" i="6"/>
  <c r="NO9" i="6"/>
  <c r="TC9" i="6"/>
  <c r="DL10" i="6"/>
  <c r="GB10" i="6"/>
  <c r="LN10" i="6"/>
  <c r="TU10" i="6"/>
  <c r="WV10" i="6"/>
  <c r="ABC10" i="6"/>
  <c r="EC11" i="6"/>
  <c r="JL11" i="6"/>
  <c r="OY11" i="6"/>
  <c r="UL11" i="6"/>
  <c r="CT12" i="6"/>
  <c r="ET12" i="6"/>
  <c r="HJ12" i="6"/>
  <c r="KD12" i="6"/>
  <c r="MX12" i="6"/>
  <c r="SK12" i="6"/>
  <c r="ZQ12" i="6"/>
  <c r="CK13" i="6"/>
  <c r="KV13" i="6"/>
  <c r="QI13" i="6"/>
  <c r="TC13" i="6"/>
  <c r="AQ14" i="6"/>
  <c r="LN14" i="6"/>
  <c r="RA14" i="6"/>
  <c r="TU14" i="6"/>
  <c r="WV14" i="6"/>
  <c r="DC15" i="6"/>
  <c r="JL15" i="6"/>
  <c r="OY15" i="6"/>
  <c r="RS15" i="6"/>
  <c r="VM15" i="6"/>
  <c r="ABY15" i="6" a="1"/>
  <c r="ABY15" i="6" s="1"/>
  <c r="ABW15" i="6" a="1"/>
  <c r="ABW15" i="6" s="1"/>
  <c r="MX16" i="6"/>
  <c r="ZQ16" i="6"/>
  <c r="FK17" i="6"/>
  <c r="KV17" i="6"/>
  <c r="QI17" i="6"/>
  <c r="TC17" i="6"/>
  <c r="AQ18" i="6"/>
  <c r="LN18" i="6"/>
  <c r="ABC18" i="6"/>
  <c r="DC19" i="6"/>
  <c r="JL19" i="6"/>
  <c r="OY19" i="6"/>
  <c r="RS19" i="6"/>
  <c r="VM19" i="6"/>
  <c r="XR19" i="6"/>
  <c r="AQ20" i="6"/>
  <c r="OG20" i="6"/>
  <c r="RA20" i="6"/>
  <c r="TU20" i="6"/>
  <c r="WV20" i="6"/>
  <c r="DC21" i="6"/>
  <c r="GS21" i="6"/>
  <c r="MF21" i="6"/>
  <c r="RS21" i="6"/>
  <c r="VM21" i="6"/>
  <c r="XR21" i="6"/>
  <c r="CT22" i="6"/>
  <c r="ET22" i="6"/>
  <c r="MX22" i="6"/>
  <c r="SK22" i="6"/>
  <c r="ZQ22" i="6"/>
  <c r="CK23" i="6"/>
  <c r="IB23" i="6"/>
  <c r="QI23" i="6"/>
  <c r="TC23" i="6"/>
  <c r="AQ24" i="6"/>
  <c r="LN24" i="6"/>
  <c r="RA24" i="6"/>
  <c r="ABC24" i="6"/>
  <c r="DC25" i="6"/>
  <c r="GS25" i="6"/>
  <c r="MF25" i="6"/>
  <c r="RS25" i="6"/>
  <c r="VM25" i="6"/>
  <c r="XR25" i="6"/>
  <c r="CT26" i="6"/>
  <c r="ET26" i="6"/>
  <c r="HJ26" i="6"/>
  <c r="KD26" i="6"/>
  <c r="SK26" i="6"/>
  <c r="ZQ26" i="6"/>
  <c r="CK27" i="6"/>
  <c r="IB27" i="6"/>
  <c r="NO27" i="6"/>
  <c r="AQ28" i="6"/>
  <c r="GB28" i="6"/>
  <c r="LN28" i="6"/>
  <c r="RA28" i="6"/>
  <c r="TU28" i="6"/>
  <c r="WV28" i="6"/>
  <c r="ABC28" i="6"/>
  <c r="DC29" i="6"/>
  <c r="GS29" i="6"/>
  <c r="MF29" i="6"/>
  <c r="UL29" i="6"/>
  <c r="ABY29" i="6" a="1"/>
  <c r="ABY29" i="6" s="1"/>
  <c r="ABW29" i="6" a="1"/>
  <c r="ABW29" i="6" s="1"/>
  <c r="CT30" i="6"/>
  <c r="ET30" i="6"/>
  <c r="HJ30" i="6"/>
  <c r="KD30" i="6"/>
  <c r="MX30" i="6"/>
  <c r="PQ30" i="6"/>
  <c r="SK30" i="6"/>
  <c r="YN30" i="6"/>
  <c r="ZQ30" i="6"/>
  <c r="CK31" i="6"/>
  <c r="FK31" i="6"/>
  <c r="IB31" i="6"/>
  <c r="KV31" i="6"/>
  <c r="NO31" i="6"/>
  <c r="QI31" i="6"/>
  <c r="TC31" i="6"/>
  <c r="AQ32" i="6"/>
  <c r="DL32" i="6"/>
  <c r="GB32" i="6"/>
  <c r="WV32" i="6"/>
  <c r="ABC32" i="6"/>
  <c r="DC33" i="6"/>
  <c r="EC33" i="6"/>
  <c r="GS33" i="6"/>
  <c r="UL33" i="6"/>
  <c r="VM33" i="6"/>
  <c r="XR33" i="6"/>
  <c r="ABW33" i="6" a="1"/>
  <c r="ABW33" i="6" s="1"/>
  <c r="ABY33" i="6" a="1"/>
  <c r="ABY33" i="6" s="1"/>
  <c r="CT34" i="6"/>
  <c r="ET34" i="6"/>
  <c r="HJ34" i="6"/>
  <c r="YN34" i="6"/>
  <c r="ZQ34" i="6"/>
  <c r="CK35" i="6"/>
  <c r="FK35" i="6"/>
  <c r="NO35" i="6"/>
  <c r="AQ36" i="6"/>
  <c r="DL36" i="6"/>
  <c r="GB36" i="6"/>
  <c r="WV36" i="6"/>
  <c r="DC37" i="6"/>
  <c r="EC37" i="6"/>
  <c r="GS37" i="6"/>
  <c r="UL37" i="6"/>
  <c r="VM37" i="6"/>
  <c r="XR37" i="6"/>
  <c r="ABY37" i="6" a="1"/>
  <c r="ABY37" i="6" s="1"/>
  <c r="ABW37" i="6" a="1"/>
  <c r="ABW37" i="6" s="1"/>
  <c r="CT38" i="6"/>
  <c r="ET38" i="6"/>
  <c r="HJ38" i="6"/>
  <c r="YN38" i="6"/>
  <c r="ZQ38" i="6"/>
  <c r="CK39" i="6"/>
  <c r="FK39" i="6"/>
  <c r="NO39" i="6"/>
  <c r="AQ40" i="6"/>
  <c r="DL40" i="6"/>
  <c r="GB40" i="6"/>
  <c r="WV40" i="6"/>
  <c r="DC41" i="6"/>
  <c r="EC41" i="6"/>
  <c r="GS41" i="6"/>
  <c r="UL41" i="6"/>
  <c r="VM41" i="6"/>
  <c r="XR41" i="6"/>
  <c r="ABW41" i="6" a="1"/>
  <c r="ABW41" i="6" s="1"/>
  <c r="ABY41" i="6" a="1"/>
  <c r="ABY41" i="6" s="1"/>
  <c r="CT42" i="6"/>
  <c r="ET42" i="6"/>
  <c r="HJ42" i="6"/>
  <c r="YN42" i="6"/>
  <c r="ZQ42" i="6"/>
  <c r="CK43" i="6"/>
  <c r="FK43" i="6"/>
  <c r="NO43" i="6"/>
  <c r="AQ44" i="6"/>
  <c r="DL44" i="6"/>
  <c r="GB44" i="6"/>
  <c r="WV44" i="6"/>
  <c r="DC45" i="6"/>
  <c r="EC45" i="6"/>
  <c r="GS45" i="6"/>
  <c r="UL45" i="6"/>
  <c r="VM45" i="6"/>
  <c r="XR45" i="6"/>
  <c r="ABY45" i="6" a="1"/>
  <c r="ABY45" i="6" s="1"/>
  <c r="ABW45" i="6" a="1"/>
  <c r="ABW45" i="6" s="1"/>
  <c r="CT46" i="6"/>
  <c r="ET46" i="6"/>
  <c r="HJ46" i="6"/>
  <c r="YN46" i="6"/>
  <c r="ZQ46" i="6"/>
  <c r="CK47" i="6"/>
  <c r="FK47" i="6"/>
  <c r="NO47" i="6"/>
  <c r="AQ48" i="6"/>
  <c r="DL48" i="6"/>
  <c r="GB48" i="6"/>
  <c r="WV48" i="6"/>
  <c r="DC49" i="6"/>
  <c r="EC49" i="6"/>
  <c r="GS49" i="6"/>
  <c r="UL49" i="6"/>
  <c r="VM49" i="6"/>
  <c r="XR49" i="6"/>
  <c r="ABW49" i="6" a="1"/>
  <c r="ABW49" i="6" s="1"/>
  <c r="ABY49" i="6" a="1"/>
  <c r="ABY49" i="6" s="1"/>
  <c r="CT50" i="6"/>
  <c r="ET50" i="6"/>
  <c r="HJ50" i="6"/>
  <c r="YN50" i="6"/>
  <c r="ZQ50" i="6"/>
  <c r="CK51" i="6"/>
  <c r="FK51" i="6"/>
  <c r="NO51" i="6"/>
  <c r="AQ52" i="6"/>
  <c r="DL52" i="6"/>
  <c r="GB52" i="6"/>
  <c r="WV52" i="6"/>
  <c r="DC53" i="6"/>
  <c r="EC53" i="6"/>
  <c r="GS53" i="6"/>
  <c r="UL53" i="6"/>
  <c r="VM53" i="6"/>
  <c r="XR53" i="6"/>
  <c r="ABW53" i="6" a="1"/>
  <c r="ABW53" i="6" s="1"/>
  <c r="ABY53" i="6" a="1"/>
  <c r="ABY53" i="6" s="1"/>
  <c r="CT54" i="6"/>
  <c r="ET54" i="6"/>
  <c r="HJ54" i="6"/>
  <c r="YN54" i="6"/>
  <c r="ZQ54" i="6"/>
  <c r="CK55" i="6"/>
  <c r="FK55" i="6"/>
  <c r="NO55" i="6"/>
  <c r="AQ56" i="6"/>
  <c r="DL56" i="6"/>
  <c r="GB56" i="6"/>
  <c r="WV56" i="6"/>
  <c r="DC57" i="6"/>
  <c r="EC57" i="6"/>
  <c r="GS57" i="6"/>
  <c r="UL57" i="6"/>
  <c r="VM57" i="6"/>
  <c r="XR57" i="6"/>
  <c r="ABW57" i="6" a="1"/>
  <c r="ABW57" i="6" s="1"/>
  <c r="ABY57" i="6" a="1"/>
  <c r="ABY57" i="6" s="1"/>
  <c r="CT58" i="6"/>
  <c r="ET58" i="6"/>
  <c r="HJ58" i="6"/>
  <c r="YN58" i="6"/>
  <c r="ZQ58" i="6"/>
  <c r="CK59" i="6"/>
  <c r="FK59" i="6"/>
  <c r="NO59" i="6"/>
  <c r="AQ60" i="6"/>
  <c r="DL60" i="6"/>
  <c r="GB60" i="6"/>
  <c r="WV60" i="6"/>
  <c r="DC61" i="6"/>
  <c r="EC61" i="6"/>
  <c r="GS61" i="6"/>
  <c r="UL61" i="6"/>
  <c r="VM61" i="6"/>
  <c r="XR61" i="6"/>
  <c r="ABY61" i="6" a="1"/>
  <c r="ABY61" i="6" s="1"/>
  <c r="ABW61" i="6" a="1"/>
  <c r="ABW61" i="6" s="1"/>
  <c r="CT62" i="6"/>
  <c r="ET62" i="6"/>
  <c r="HJ62" i="6"/>
  <c r="YN62" i="6"/>
  <c r="ZQ62" i="6"/>
  <c r="CK63" i="6"/>
  <c r="FK63" i="6"/>
  <c r="NO63" i="6"/>
  <c r="AQ64" i="6"/>
  <c r="DL64" i="6"/>
  <c r="GB64" i="6"/>
  <c r="WV64" i="6"/>
  <c r="DC65" i="6"/>
  <c r="EC65" i="6"/>
  <c r="GS65" i="6"/>
  <c r="UL65" i="6"/>
  <c r="VM65" i="6"/>
  <c r="XR65" i="6"/>
  <c r="ABY65" i="6" a="1"/>
  <c r="ABY65" i="6" s="1"/>
  <c r="ABW65" i="6" a="1"/>
  <c r="ABW65" i="6" s="1"/>
  <c r="CT66" i="6"/>
  <c r="ET66" i="6"/>
  <c r="HJ66" i="6"/>
  <c r="YN66" i="6"/>
  <c r="ZQ66" i="6"/>
  <c r="CK67" i="6"/>
  <c r="FK67" i="6"/>
  <c r="NO67" i="6"/>
  <c r="AQ68" i="6"/>
  <c r="DL68" i="6"/>
  <c r="GB68" i="6"/>
  <c r="WV68" i="6"/>
  <c r="DC69" i="6"/>
  <c r="EC69" i="6"/>
  <c r="GS69" i="6"/>
  <c r="UL69" i="6"/>
  <c r="VM69" i="6"/>
  <c r="XR69" i="6"/>
  <c r="ABW69" i="6" a="1"/>
  <c r="ABW69" i="6" s="1"/>
  <c r="ABY69" i="6" a="1"/>
  <c r="ABY69" i="6" s="1"/>
  <c r="CT70" i="6"/>
  <c r="ET70" i="6"/>
  <c r="HJ70" i="6"/>
  <c r="YN70" i="6"/>
  <c r="ZQ70" i="6"/>
  <c r="CK71" i="6"/>
  <c r="FK71" i="6"/>
  <c r="NO71" i="6"/>
  <c r="AQ72" i="6"/>
  <c r="DL72" i="6"/>
  <c r="GB72" i="6"/>
  <c r="WV72" i="6"/>
  <c r="DC73" i="6"/>
  <c r="EC73" i="6"/>
  <c r="GS73" i="6"/>
  <c r="UL73" i="6"/>
  <c r="VM73" i="6"/>
  <c r="XR73" i="6"/>
  <c r="ABY73" i="6" a="1"/>
  <c r="ABY73" i="6" s="1"/>
  <c r="ABW73" i="6" a="1"/>
  <c r="ABW73" i="6" s="1"/>
  <c r="CT74" i="6"/>
  <c r="ET74" i="6"/>
  <c r="HJ74" i="6"/>
  <c r="YN74" i="6"/>
  <c r="ZQ74" i="6"/>
  <c r="CK75" i="6"/>
  <c r="FK75" i="6"/>
  <c r="NO75" i="6"/>
  <c r="AQ76" i="6"/>
  <c r="DL76" i="6"/>
  <c r="GB76" i="6"/>
  <c r="WV76" i="6"/>
  <c r="DC77" i="6"/>
  <c r="EC77" i="6"/>
  <c r="GS77" i="6"/>
  <c r="UL77" i="6"/>
  <c r="VM77" i="6"/>
  <c r="XR77" i="6"/>
  <c r="ABW77" i="6" a="1"/>
  <c r="ABW77" i="6" s="1"/>
  <c r="ABY77" i="6" a="1"/>
  <c r="ABY77" i="6" s="1"/>
  <c r="CT78" i="6"/>
  <c r="ET78" i="6"/>
  <c r="HJ78" i="6"/>
  <c r="YN78" i="6"/>
  <c r="ZQ78" i="6"/>
  <c r="CK79" i="6"/>
  <c r="FK79" i="6"/>
  <c r="NO79" i="6"/>
  <c r="AQ80" i="6"/>
  <c r="DL80" i="6"/>
  <c r="GB80" i="6"/>
  <c r="WV80" i="6"/>
  <c r="DC81" i="6"/>
  <c r="EC81" i="6"/>
  <c r="GS81" i="6"/>
  <c r="UL81" i="6"/>
  <c r="VM81" i="6"/>
  <c r="XR81" i="6"/>
  <c r="ABY81" i="6" a="1"/>
  <c r="ABY81" i="6" s="1"/>
  <c r="ABW81" i="6" a="1"/>
  <c r="ABW81" i="6" s="1"/>
  <c r="CT82" i="6"/>
  <c r="ET82" i="6"/>
  <c r="HJ82" i="6"/>
  <c r="YN82" i="6"/>
  <c r="ZQ82" i="6"/>
  <c r="CK83" i="6"/>
  <c r="FK83" i="6"/>
  <c r="NO83" i="6"/>
  <c r="AQ84" i="6"/>
  <c r="DL84" i="6"/>
  <c r="GB84" i="6"/>
  <c r="WV84" i="6"/>
  <c r="DC85" i="6"/>
  <c r="EC85" i="6"/>
  <c r="GS85" i="6"/>
  <c r="FK9" i="6"/>
  <c r="KV9" i="6"/>
  <c r="QI9" i="6"/>
  <c r="AQ10" i="6"/>
  <c r="OG10" i="6"/>
  <c r="RA10" i="6"/>
  <c r="DC11" i="6"/>
  <c r="GS11" i="6"/>
  <c r="MF11" i="6"/>
  <c r="RS11" i="6"/>
  <c r="VM11" i="6"/>
  <c r="XR11" i="6"/>
  <c r="ABY11" i="6" a="1"/>
  <c r="ABY11" i="6" s="1"/>
  <c r="ABW11" i="6" a="1"/>
  <c r="ABW11" i="6" s="1"/>
  <c r="PQ12" i="6"/>
  <c r="YN12" i="6"/>
  <c r="FK13" i="6"/>
  <c r="IB13" i="6"/>
  <c r="NO13" i="6"/>
  <c r="DL14" i="6"/>
  <c r="GB14" i="6"/>
  <c r="OG14" i="6"/>
  <c r="ABC14" i="6"/>
  <c r="EC15" i="6"/>
  <c r="GS15" i="6"/>
  <c r="MF15" i="6"/>
  <c r="UL15" i="6"/>
  <c r="XR15" i="6"/>
  <c r="CT16" i="6"/>
  <c r="ET16" i="6"/>
  <c r="HJ16" i="6"/>
  <c r="KD16" i="6"/>
  <c r="PQ16" i="6"/>
  <c r="SK16" i="6"/>
  <c r="YN16" i="6"/>
  <c r="CK17" i="6"/>
  <c r="IB17" i="6"/>
  <c r="NO17" i="6"/>
  <c r="DL18" i="6"/>
  <c r="GB18" i="6"/>
  <c r="OG18" i="6"/>
  <c r="RA18" i="6"/>
  <c r="TU18" i="6"/>
  <c r="WV18" i="6"/>
  <c r="EC19" i="6"/>
  <c r="GS19" i="6"/>
  <c r="MF19" i="6"/>
  <c r="UL19" i="6"/>
  <c r="ABY19" i="6" a="1"/>
  <c r="ABY19" i="6" s="1"/>
  <c r="ABW19" i="6" a="1"/>
  <c r="ABW19" i="6" s="1"/>
  <c r="DL20" i="6"/>
  <c r="GB20" i="6"/>
  <c r="LN20" i="6"/>
  <c r="ABC20" i="6"/>
  <c r="EC21" i="6"/>
  <c r="JL21" i="6"/>
  <c r="OY21" i="6"/>
  <c r="UL21" i="6"/>
  <c r="ABW21" i="6" a="1"/>
  <c r="ABW21" i="6" s="1"/>
  <c r="ABY21" i="6" a="1"/>
  <c r="ABY21" i="6" s="1"/>
  <c r="HJ22" i="6"/>
  <c r="KD22" i="6"/>
  <c r="PQ22" i="6"/>
  <c r="YN22" i="6"/>
  <c r="FK23" i="6"/>
  <c r="KV23" i="6"/>
  <c r="NO23" i="6"/>
  <c r="DL24" i="6"/>
  <c r="GB24" i="6"/>
  <c r="OG24" i="6"/>
  <c r="TU24" i="6"/>
  <c r="WV24" i="6"/>
  <c r="EC25" i="6"/>
  <c r="JL25" i="6"/>
  <c r="OY25" i="6"/>
  <c r="UL25" i="6"/>
  <c r="ABY25" i="6" a="1"/>
  <c r="ABY25" i="6" s="1"/>
  <c r="ABW25" i="6" a="1"/>
  <c r="ABW25" i="6" s="1"/>
  <c r="MX26" i="6"/>
  <c r="PQ26" i="6"/>
  <c r="YN26" i="6"/>
  <c r="FK27" i="6"/>
  <c r="KV27" i="6"/>
  <c r="QI27" i="6"/>
  <c r="TC27" i="6"/>
  <c r="DL28" i="6"/>
  <c r="OG28" i="6"/>
  <c r="EC29" i="6"/>
  <c r="JL29" i="6"/>
  <c r="OY29" i="6"/>
  <c r="RS29" i="6"/>
  <c r="VM29" i="6"/>
  <c r="XR29" i="6"/>
  <c r="KD6" i="6"/>
  <c r="XG6" i="6"/>
  <c r="XG117" i="6"/>
  <c r="YC6" i="6"/>
  <c r="YC117" i="6"/>
  <c r="YZ7" i="6"/>
  <c r="ABT7" i="6"/>
  <c r="AF8" i="6"/>
  <c r="WK8" i="6"/>
  <c r="ACX8" i="6"/>
  <c r="BR9" i="6"/>
  <c r="WB9" i="6"/>
  <c r="XG9" i="6"/>
  <c r="YC10" i="6"/>
  <c r="YZ11" i="6"/>
  <c r="ABT11" i="6"/>
  <c r="AF12" i="6"/>
  <c r="WK12" i="6"/>
  <c r="ACX12" i="6"/>
  <c r="BR13" i="6"/>
  <c r="WB13" i="6"/>
  <c r="XG13" i="6"/>
  <c r="YC14" i="6"/>
  <c r="YZ15" i="6"/>
  <c r="ABT15" i="6"/>
  <c r="AF16" i="6"/>
  <c r="WK16" i="6"/>
  <c r="ACX16" i="6"/>
  <c r="BR17" i="6"/>
  <c r="WB17" i="6"/>
  <c r="XG17" i="6"/>
  <c r="YC18" i="6"/>
  <c r="YZ19" i="6"/>
  <c r="ABT19" i="6"/>
  <c r="YC20" i="6"/>
  <c r="YZ21" i="6"/>
  <c r="ABT21" i="6"/>
  <c r="AF22" i="6"/>
  <c r="WK22" i="6"/>
  <c r="ACX22" i="6"/>
  <c r="BR23" i="6"/>
  <c r="WB23" i="6"/>
  <c r="XG23" i="6"/>
  <c r="YC24" i="6"/>
  <c r="YZ25" i="6"/>
  <c r="ABT25" i="6"/>
  <c r="AF26" i="6"/>
  <c r="WK26" i="6"/>
  <c r="ACX26" i="6"/>
  <c r="BR27" i="6"/>
  <c r="WB27" i="6"/>
  <c r="XG27" i="6"/>
  <c r="YC28" i="6"/>
  <c r="YZ29" i="6"/>
  <c r="ABT29" i="6"/>
  <c r="AF30" i="6"/>
  <c r="WK30" i="6"/>
  <c r="ACX30" i="6"/>
  <c r="BR31" i="6"/>
  <c r="WB31" i="6"/>
  <c r="XG31" i="6"/>
  <c r="YC32" i="6"/>
  <c r="YZ33" i="6"/>
  <c r="ABT33" i="6"/>
  <c r="WK34" i="6"/>
  <c r="ACX34" i="6"/>
  <c r="BR35" i="6"/>
  <c r="WB35" i="6"/>
  <c r="XG35" i="6"/>
  <c r="YC36" i="6"/>
  <c r="YZ37" i="6"/>
  <c r="ABT37" i="6"/>
  <c r="AF38" i="6"/>
  <c r="WK38" i="6"/>
  <c r="ACX38" i="6"/>
  <c r="BR39" i="6"/>
  <c r="WB39" i="6"/>
  <c r="XG39" i="6"/>
  <c r="YC40" i="6"/>
  <c r="YZ41" i="6"/>
  <c r="ABT41" i="6"/>
  <c r="AF42" i="6"/>
  <c r="WK42" i="6"/>
  <c r="ACX42" i="6"/>
  <c r="BR43" i="6"/>
  <c r="WB43" i="6"/>
  <c r="XG43" i="6"/>
  <c r="YC44" i="6"/>
  <c r="YZ45" i="6"/>
  <c r="ABT45" i="6"/>
  <c r="AF46" i="6"/>
  <c r="WK46" i="6"/>
  <c r="ACX46" i="6"/>
  <c r="BR47" i="6"/>
  <c r="WB47" i="6"/>
  <c r="XG47" i="6"/>
  <c r="YC48" i="6"/>
  <c r="YZ49" i="6"/>
  <c r="ABT49" i="6"/>
  <c r="AF50" i="6"/>
  <c r="WK50" i="6"/>
  <c r="ACX50" i="6"/>
  <c r="BR51" i="6"/>
  <c r="WB51" i="6"/>
  <c r="XG51" i="6"/>
  <c r="YC52" i="6"/>
  <c r="YZ53" i="6"/>
  <c r="ABT53" i="6"/>
  <c r="AF54" i="6"/>
  <c r="WK54" i="6"/>
  <c r="ACX54" i="6"/>
  <c r="BR55" i="6"/>
  <c r="WB55" i="6"/>
  <c r="XG55" i="6"/>
  <c r="YC56" i="6"/>
  <c r="YZ57" i="6"/>
  <c r="ABT57" i="6"/>
  <c r="AF58" i="6"/>
  <c r="WK58" i="6"/>
  <c r="ACX58" i="6"/>
  <c r="BR59" i="6"/>
  <c r="WB59" i="6"/>
  <c r="XG59" i="6"/>
  <c r="YC60" i="6"/>
  <c r="YZ61" i="6"/>
  <c r="ABT61" i="6"/>
  <c r="AF62" i="6"/>
  <c r="WK62" i="6"/>
  <c r="ACX62" i="6"/>
  <c r="BR63" i="6"/>
  <c r="WB63" i="6"/>
  <c r="XG63" i="6"/>
  <c r="YC64" i="6"/>
  <c r="YZ65" i="6"/>
  <c r="ABT65" i="6"/>
  <c r="AF66" i="6"/>
  <c r="WK66" i="6"/>
  <c r="ACX66" i="6"/>
  <c r="BR67" i="6"/>
  <c r="WB67" i="6"/>
  <c r="XG67" i="6"/>
  <c r="YC68" i="6"/>
  <c r="YZ69" i="6"/>
  <c r="ABT69" i="6"/>
  <c r="AF70" i="6"/>
  <c r="WK70" i="6"/>
  <c r="ACX70" i="6"/>
  <c r="BR71" i="6"/>
  <c r="WB71" i="6"/>
  <c r="XG71" i="6"/>
  <c r="YC72" i="6"/>
  <c r="YZ73" i="6"/>
  <c r="ABT73" i="6"/>
  <c r="AF74" i="6"/>
  <c r="WK74" i="6"/>
  <c r="ACX74" i="6"/>
  <c r="BR75" i="6"/>
  <c r="GS117" i="6"/>
  <c r="GS6" i="6"/>
  <c r="AQ7" i="6"/>
  <c r="ABC7" i="6"/>
  <c r="GS8" i="6"/>
  <c r="VM8" i="6"/>
  <c r="ABY8" i="6" a="1"/>
  <c r="ABY8" i="6" s="1"/>
  <c r="ABW8" i="6" a="1"/>
  <c r="ABW8" i="6" s="1"/>
  <c r="DL11" i="6"/>
  <c r="WV11" i="6"/>
  <c r="GS12" i="6"/>
  <c r="VM12" i="6"/>
  <c r="XR12" i="6"/>
  <c r="YN13" i="6"/>
  <c r="FK14" i="6"/>
  <c r="AQ15" i="6"/>
  <c r="DL15" i="6"/>
  <c r="GB15" i="6"/>
  <c r="WV15" i="6"/>
  <c r="EC16" i="6"/>
  <c r="VM16" i="6"/>
  <c r="XR16" i="6"/>
  <c r="CT17" i="6"/>
  <c r="ET17" i="6"/>
  <c r="YN17" i="6"/>
  <c r="FK18" i="6"/>
  <c r="NO18" i="6"/>
  <c r="DL19" i="6"/>
  <c r="FK20" i="6"/>
  <c r="AQ21" i="6"/>
  <c r="DC22" i="6"/>
  <c r="GS22" i="6"/>
  <c r="UL22" i="6"/>
  <c r="ABY22" i="6" a="1"/>
  <c r="ABY22" i="6" s="1"/>
  <c r="ABW22" i="6" a="1"/>
  <c r="ABW22" i="6" s="1"/>
  <c r="ET23" i="6"/>
  <c r="YN23" i="6"/>
  <c r="FK24" i="6"/>
  <c r="DL25" i="6"/>
  <c r="EC26" i="6"/>
  <c r="GS26" i="6"/>
  <c r="VM26" i="6"/>
  <c r="XR26" i="6"/>
  <c r="CT27" i="6"/>
  <c r="ET27" i="6"/>
  <c r="YN27" i="6"/>
  <c r="FK28" i="6"/>
  <c r="NO28" i="6"/>
  <c r="AQ29" i="6"/>
  <c r="WV29" i="6"/>
  <c r="EC30" i="6"/>
  <c r="GS30" i="6"/>
  <c r="UL30" i="6"/>
  <c r="VM30" i="6"/>
  <c r="XR30" i="6"/>
  <c r="ABY30" i="6" a="1"/>
  <c r="ABY30" i="6" s="1"/>
  <c r="ABW30" i="6" a="1"/>
  <c r="ABW30" i="6" s="1"/>
  <c r="CT31" i="6"/>
  <c r="ET31" i="6"/>
  <c r="HJ31" i="6"/>
  <c r="YN31" i="6"/>
  <c r="ZQ31" i="6"/>
  <c r="CK32" i="6"/>
  <c r="FK32" i="6"/>
  <c r="NO32" i="6"/>
  <c r="AQ33" i="6"/>
  <c r="DL33" i="6"/>
  <c r="GB33" i="6"/>
  <c r="WV33" i="6"/>
  <c r="ABC33" i="6"/>
  <c r="DC34" i="6"/>
  <c r="EC34" i="6"/>
  <c r="GS34" i="6"/>
  <c r="UL34" i="6"/>
  <c r="VM34" i="6"/>
  <c r="XR34" i="6"/>
  <c r="ABW34" i="6" a="1"/>
  <c r="ABW34" i="6" s="1"/>
  <c r="ABY34" i="6" a="1"/>
  <c r="ABY34" i="6" s="1"/>
  <c r="CT35" i="6"/>
  <c r="ET35" i="6"/>
  <c r="HJ35" i="6"/>
  <c r="IT35" i="6"/>
  <c r="YN35" i="6"/>
  <c r="ZQ35" i="6"/>
  <c r="CK36" i="6"/>
  <c r="FK36" i="6"/>
  <c r="NO36" i="6"/>
  <c r="AQ37" i="6"/>
  <c r="DL37" i="6"/>
  <c r="GB37" i="6"/>
  <c r="WV37" i="6"/>
  <c r="ABC37" i="6"/>
  <c r="DC38" i="6"/>
  <c r="EC38" i="6"/>
  <c r="GS38" i="6"/>
  <c r="UL38" i="6"/>
  <c r="VM38" i="6"/>
  <c r="XR38" i="6"/>
  <c r="ABY38" i="6" a="1"/>
  <c r="ABY38" i="6" s="1"/>
  <c r="ABW38" i="6" a="1"/>
  <c r="ABW38" i="6" s="1"/>
  <c r="CT39" i="6"/>
  <c r="ET39" i="6"/>
  <c r="HJ39" i="6"/>
  <c r="IT39" i="6"/>
  <c r="YN39" i="6"/>
  <c r="ZQ39" i="6"/>
  <c r="CK40" i="6"/>
  <c r="FK40" i="6"/>
  <c r="NO40" i="6"/>
  <c r="AQ41" i="6"/>
  <c r="DL41" i="6"/>
  <c r="GB41" i="6"/>
  <c r="WV41" i="6"/>
  <c r="ABC41" i="6"/>
  <c r="DC42" i="6"/>
  <c r="EC42" i="6"/>
  <c r="GS42" i="6"/>
  <c r="UL42" i="6"/>
  <c r="VM42" i="6"/>
  <c r="XR42" i="6"/>
  <c r="ABW42" i="6" a="1"/>
  <c r="ABW42" i="6" s="1"/>
  <c r="ABY42" i="6" a="1"/>
  <c r="ABY42" i="6" s="1"/>
  <c r="CT43" i="6"/>
  <c r="ET43" i="6"/>
  <c r="HJ43" i="6"/>
  <c r="IT43" i="6"/>
  <c r="YN43" i="6"/>
  <c r="ZQ43" i="6"/>
  <c r="CK44" i="6"/>
  <c r="FK44" i="6"/>
  <c r="NO44" i="6"/>
  <c r="AQ45" i="6"/>
  <c r="DL45" i="6"/>
  <c r="GB45" i="6"/>
  <c r="WV45" i="6"/>
  <c r="ABC45" i="6"/>
  <c r="DC46" i="6"/>
  <c r="EC46" i="6"/>
  <c r="GS46" i="6"/>
  <c r="UL46" i="6"/>
  <c r="VM46" i="6"/>
  <c r="XR46" i="6"/>
  <c r="ABY46" i="6" a="1"/>
  <c r="ABY46" i="6" s="1"/>
  <c r="ABW46" i="6" a="1"/>
  <c r="ABW46" i="6" s="1"/>
  <c r="CT47" i="6"/>
  <c r="ET47" i="6"/>
  <c r="HJ47" i="6"/>
  <c r="IT47" i="6"/>
  <c r="YN47" i="6"/>
  <c r="ZQ47" i="6"/>
  <c r="CK48" i="6"/>
  <c r="FK48" i="6"/>
  <c r="NO48" i="6"/>
  <c r="AQ49" i="6"/>
  <c r="DL49" i="6"/>
  <c r="GB49" i="6"/>
  <c r="WV49" i="6"/>
  <c r="ABC49" i="6"/>
  <c r="DC50" i="6"/>
  <c r="EC50" i="6"/>
  <c r="GS50" i="6"/>
  <c r="UL50" i="6"/>
  <c r="VM50" i="6"/>
  <c r="XR50" i="6"/>
  <c r="ABY50" i="6" a="1"/>
  <c r="ABY50" i="6" s="1"/>
  <c r="ABW50" i="6" a="1"/>
  <c r="ABW50" i="6" s="1"/>
  <c r="CT51" i="6"/>
  <c r="ET51" i="6"/>
  <c r="HJ51" i="6"/>
  <c r="IT51" i="6"/>
  <c r="YN51" i="6"/>
  <c r="ZQ51" i="6"/>
  <c r="CK52" i="6"/>
  <c r="FK52" i="6"/>
  <c r="NO52" i="6"/>
  <c r="AQ53" i="6"/>
  <c r="DL53" i="6"/>
  <c r="GB53" i="6"/>
  <c r="WV53" i="6"/>
  <c r="ABC53" i="6"/>
  <c r="DC54" i="6"/>
  <c r="EC54" i="6"/>
  <c r="GS54" i="6"/>
  <c r="UL54" i="6"/>
  <c r="VM54" i="6"/>
  <c r="XR54" i="6"/>
  <c r="ABY54" i="6" a="1"/>
  <c r="ABY54" i="6" s="1"/>
  <c r="ABW54" i="6" a="1"/>
  <c r="ABW54" i="6" s="1"/>
  <c r="CT55" i="6"/>
  <c r="ET55" i="6"/>
  <c r="HJ55" i="6"/>
  <c r="IT55" i="6"/>
  <c r="YN55" i="6"/>
  <c r="ZQ55" i="6"/>
  <c r="CK56" i="6"/>
  <c r="FK56" i="6"/>
  <c r="NO56" i="6"/>
  <c r="AQ57" i="6"/>
  <c r="DL57" i="6"/>
  <c r="GB57" i="6"/>
  <c r="WV57" i="6"/>
  <c r="ABC57" i="6"/>
  <c r="DC58" i="6"/>
  <c r="EC58" i="6"/>
  <c r="GS58" i="6"/>
  <c r="UL58" i="6"/>
  <c r="VM58" i="6"/>
  <c r="XR58" i="6"/>
  <c r="ABY58" i="6" a="1"/>
  <c r="ABY58" i="6" s="1"/>
  <c r="ABW58" i="6" a="1"/>
  <c r="ABW58" i="6" s="1"/>
  <c r="CT59" i="6"/>
  <c r="ET59" i="6"/>
  <c r="HJ59" i="6"/>
  <c r="IT59" i="6"/>
  <c r="YN59" i="6"/>
  <c r="ZQ59" i="6"/>
  <c r="CK60" i="6"/>
  <c r="FK60" i="6"/>
  <c r="NO60" i="6"/>
  <c r="AQ61" i="6"/>
  <c r="DL61" i="6"/>
  <c r="GB61" i="6"/>
  <c r="WV61" i="6"/>
  <c r="ABC61" i="6"/>
  <c r="DC62" i="6"/>
  <c r="EC62" i="6"/>
  <c r="GS62" i="6"/>
  <c r="UL62" i="6"/>
  <c r="VM62" i="6"/>
  <c r="XR62" i="6"/>
  <c r="ABY62" i="6" a="1"/>
  <c r="ABY62" i="6" s="1"/>
  <c r="ABW62" i="6" a="1"/>
  <c r="ABW62" i="6" s="1"/>
  <c r="CT63" i="6"/>
  <c r="ET63" i="6"/>
  <c r="HJ63" i="6"/>
  <c r="IT63" i="6"/>
  <c r="YN63" i="6"/>
  <c r="ZQ63" i="6"/>
  <c r="CK64" i="6"/>
  <c r="FK64" i="6"/>
  <c r="NO64" i="6"/>
  <c r="AQ65" i="6"/>
  <c r="DL65" i="6"/>
  <c r="GB65" i="6"/>
  <c r="WV65" i="6"/>
  <c r="ABC65" i="6"/>
  <c r="DC66" i="6"/>
  <c r="EC66" i="6"/>
  <c r="GS66" i="6"/>
  <c r="UL66" i="6"/>
  <c r="VM66" i="6"/>
  <c r="XR66" i="6"/>
  <c r="ABY66" i="6" a="1"/>
  <c r="ABY66" i="6" s="1"/>
  <c r="ABW66" i="6" a="1"/>
  <c r="ABW66" i="6" s="1"/>
  <c r="CT67" i="6"/>
  <c r="ET67" i="6"/>
  <c r="HJ67" i="6"/>
  <c r="IT67" i="6"/>
  <c r="YN67" i="6"/>
  <c r="ZQ67" i="6"/>
  <c r="CK68" i="6"/>
  <c r="FK68" i="6"/>
  <c r="NO68" i="6"/>
  <c r="AQ69" i="6"/>
  <c r="DL69" i="6"/>
  <c r="GB69" i="6"/>
  <c r="WV69" i="6"/>
  <c r="ABC69" i="6"/>
  <c r="DC70" i="6"/>
  <c r="EC70" i="6"/>
  <c r="GS70" i="6"/>
  <c r="UL70" i="6"/>
  <c r="VM70" i="6"/>
  <c r="XR70" i="6"/>
  <c r="ABW70" i="6" a="1"/>
  <c r="ABW70" i="6" s="1"/>
  <c r="ABY70" i="6" a="1"/>
  <c r="ABY70" i="6" s="1"/>
  <c r="CT71" i="6"/>
  <c r="ET71" i="6"/>
  <c r="HJ71" i="6"/>
  <c r="IT71" i="6"/>
  <c r="YN71" i="6"/>
  <c r="ZQ71" i="6"/>
  <c r="CK72" i="6"/>
  <c r="FK72" i="6"/>
  <c r="NO72" i="6"/>
  <c r="AQ73" i="6"/>
  <c r="DL73" i="6"/>
  <c r="GB73" i="6"/>
  <c r="WV73" i="6"/>
  <c r="ABC73" i="6"/>
  <c r="DC74" i="6"/>
  <c r="EC74" i="6"/>
  <c r="GS74" i="6"/>
  <c r="UL74" i="6"/>
  <c r="VM74" i="6"/>
  <c r="XR74" i="6"/>
  <c r="ABY74" i="6" a="1"/>
  <c r="ABY74" i="6" s="1"/>
  <c r="ABW74" i="6" a="1"/>
  <c r="ABW74" i="6" s="1"/>
  <c r="CT75" i="6"/>
  <c r="ET75" i="6"/>
  <c r="HJ75" i="6"/>
  <c r="IT75" i="6"/>
  <c r="YN75" i="6"/>
  <c r="ZQ75" i="6"/>
  <c r="CK76" i="6"/>
  <c r="FK76" i="6"/>
  <c r="NO76" i="6"/>
  <c r="AQ77" i="6"/>
  <c r="DL77" i="6"/>
  <c r="GB77" i="6"/>
  <c r="WV77" i="6"/>
  <c r="ABC77" i="6"/>
  <c r="DC78" i="6"/>
  <c r="EC78" i="6"/>
  <c r="GS78" i="6"/>
  <c r="UL78" i="6"/>
  <c r="VM78" i="6"/>
  <c r="XR78" i="6"/>
  <c r="ABW78" i="6" a="1"/>
  <c r="ABW78" i="6" s="1"/>
  <c r="ABY78" i="6" a="1"/>
  <c r="ABY78" i="6" s="1"/>
  <c r="CT79" i="6"/>
  <c r="ET79" i="6"/>
  <c r="HJ79" i="6"/>
  <c r="IT79" i="6"/>
  <c r="YN79" i="6"/>
  <c r="ZQ79" i="6"/>
  <c r="CK80" i="6"/>
  <c r="FK80" i="6"/>
  <c r="NO80" i="6"/>
  <c r="AQ81" i="6"/>
  <c r="DL81" i="6"/>
  <c r="GB81" i="6"/>
  <c r="WV81" i="6"/>
  <c r="ABC81" i="6"/>
  <c r="DC82" i="6"/>
  <c r="EC82" i="6"/>
  <c r="GS82" i="6"/>
  <c r="SK80" i="6"/>
  <c r="YN80" i="6"/>
  <c r="ZQ80" i="6"/>
  <c r="CK81" i="6"/>
  <c r="FK81" i="6"/>
  <c r="IB81" i="6"/>
  <c r="KV81" i="6"/>
  <c r="NO81" i="6"/>
  <c r="QI81" i="6"/>
  <c r="TC81" i="6"/>
  <c r="AQ82" i="6"/>
  <c r="DL82" i="6"/>
  <c r="GB82" i="6"/>
  <c r="LN82" i="6"/>
  <c r="OG82" i="6"/>
  <c r="RA82" i="6"/>
  <c r="TU82" i="6"/>
  <c r="WV82" i="6"/>
  <c r="ABC82" i="6"/>
  <c r="DC83" i="6"/>
  <c r="EC83" i="6"/>
  <c r="GS83" i="6"/>
  <c r="JL83" i="6"/>
  <c r="MF83" i="6"/>
  <c r="OY83" i="6"/>
  <c r="RS83" i="6"/>
  <c r="UL83" i="6"/>
  <c r="VM83" i="6"/>
  <c r="XR83" i="6"/>
  <c r="ABW83" i="6" a="1"/>
  <c r="ABW83" i="6" s="1"/>
  <c r="ABY83" i="6" a="1"/>
  <c r="ABY83" i="6" s="1"/>
  <c r="CT84" i="6"/>
  <c r="ET84" i="6"/>
  <c r="HJ84" i="6"/>
  <c r="IT84" i="6"/>
  <c r="KD84" i="6"/>
  <c r="MX84" i="6"/>
  <c r="PQ84" i="6"/>
  <c r="SK84" i="6"/>
  <c r="YN84" i="6"/>
  <c r="ZQ84" i="6"/>
  <c r="CK85" i="6"/>
  <c r="FK85" i="6"/>
  <c r="IB85" i="6"/>
  <c r="KV85" i="6"/>
  <c r="NO85" i="6"/>
  <c r="QI85" i="6"/>
  <c r="TC85" i="6"/>
  <c r="AQ86" i="6"/>
  <c r="DL86" i="6"/>
  <c r="GB86" i="6"/>
  <c r="LN86" i="6"/>
  <c r="OG86" i="6"/>
  <c r="RA86" i="6"/>
  <c r="TU86" i="6"/>
  <c r="WV86" i="6"/>
  <c r="ABC86" i="6"/>
  <c r="DC87" i="6"/>
  <c r="EC87" i="6"/>
  <c r="GS87" i="6"/>
  <c r="JL87" i="6"/>
  <c r="MF87" i="6"/>
  <c r="OY87" i="6"/>
  <c r="RS87" i="6"/>
  <c r="UL87" i="6"/>
  <c r="VM87" i="6"/>
  <c r="XR87" i="6"/>
  <c r="ABW87" i="6" a="1"/>
  <c r="ABW87" i="6" s="1"/>
  <c r="ABY87" i="6" a="1"/>
  <c r="ABY87" i="6" s="1"/>
  <c r="CT88" i="6"/>
  <c r="ET88" i="6"/>
  <c r="HJ88" i="6"/>
  <c r="IT88" i="6"/>
  <c r="KD88" i="6"/>
  <c r="MX88" i="6"/>
  <c r="PQ88" i="6"/>
  <c r="SK88" i="6"/>
  <c r="YN88" i="6"/>
  <c r="ZQ88" i="6"/>
  <c r="CK89" i="6"/>
  <c r="FK89" i="6"/>
  <c r="IB89" i="6"/>
  <c r="KV89" i="6"/>
  <c r="NO89" i="6"/>
  <c r="QI89" i="6"/>
  <c r="TC89" i="6"/>
  <c r="AQ90" i="6"/>
  <c r="DL90" i="6"/>
  <c r="GB90" i="6"/>
  <c r="LN90" i="6"/>
  <c r="OG90" i="6"/>
  <c r="RA90" i="6"/>
  <c r="TU90" i="6"/>
  <c r="WV90" i="6"/>
  <c r="ABC90" i="6"/>
  <c r="DC91" i="6"/>
  <c r="EC91" i="6"/>
  <c r="GS91" i="6"/>
  <c r="JL91" i="6"/>
  <c r="MF91" i="6"/>
  <c r="OY91" i="6"/>
  <c r="RS91" i="6"/>
  <c r="UL91" i="6"/>
  <c r="VM91" i="6"/>
  <c r="XR91" i="6"/>
  <c r="ABY91" i="6" a="1"/>
  <c r="ABY91" i="6" s="1"/>
  <c r="ABW91" i="6" a="1"/>
  <c r="ABW91" i="6" s="1"/>
  <c r="CT92" i="6"/>
  <c r="ET92" i="6"/>
  <c r="HJ92" i="6"/>
  <c r="IT92" i="6"/>
  <c r="KD92" i="6"/>
  <c r="MX92" i="6"/>
  <c r="PQ92" i="6"/>
  <c r="SK92" i="6"/>
  <c r="YN92" i="6"/>
  <c r="ZQ92" i="6"/>
  <c r="CK93" i="6"/>
  <c r="FK93" i="6"/>
  <c r="IB93" i="6"/>
  <c r="KV93" i="6"/>
  <c r="NO93" i="6"/>
  <c r="QI93" i="6"/>
  <c r="TC93" i="6"/>
  <c r="AQ94" i="6"/>
  <c r="DL94" i="6"/>
  <c r="GB94" i="6"/>
  <c r="LN94" i="6"/>
  <c r="OG94" i="6"/>
  <c r="RA94" i="6"/>
  <c r="TU94" i="6"/>
  <c r="WV94" i="6"/>
  <c r="ABC94" i="6"/>
  <c r="DC95" i="6"/>
  <c r="EC95" i="6"/>
  <c r="GS95" i="6"/>
  <c r="JL95" i="6"/>
  <c r="MF95" i="6"/>
  <c r="OY95" i="6"/>
  <c r="RS95" i="6"/>
  <c r="UL95" i="6"/>
  <c r="VM95" i="6"/>
  <c r="XR95" i="6"/>
  <c r="ABY95" i="6" a="1"/>
  <c r="ABY95" i="6" s="1"/>
  <c r="ABW95" i="6" a="1"/>
  <c r="ABW95" i="6" s="1"/>
  <c r="CT96" i="6"/>
  <c r="ET96" i="6"/>
  <c r="HJ96" i="6"/>
  <c r="IT96" i="6"/>
  <c r="KD96" i="6"/>
  <c r="MX96" i="6"/>
  <c r="PQ96" i="6"/>
  <c r="SK96" i="6"/>
  <c r="YN96" i="6"/>
  <c r="ZQ96" i="6"/>
  <c r="CK97" i="6"/>
  <c r="FK97" i="6"/>
  <c r="IB97" i="6"/>
  <c r="KV97" i="6"/>
  <c r="NO97" i="6"/>
  <c r="QI97" i="6"/>
  <c r="TC97" i="6"/>
  <c r="AQ98" i="6"/>
  <c r="DL98" i="6"/>
  <c r="GB98" i="6"/>
  <c r="LN98" i="6"/>
  <c r="OG98" i="6"/>
  <c r="RA98" i="6"/>
  <c r="TU98" i="6"/>
  <c r="WV98" i="6"/>
  <c r="ABC98" i="6"/>
  <c r="DC99" i="6"/>
  <c r="EC99" i="6"/>
  <c r="GS99" i="6"/>
  <c r="JL99" i="6"/>
  <c r="MF99" i="6"/>
  <c r="OY99" i="6"/>
  <c r="RS99" i="6"/>
  <c r="UL99" i="6"/>
  <c r="VM99" i="6"/>
  <c r="XR99" i="6"/>
  <c r="ABY99" i="6" a="1"/>
  <c r="ABY99" i="6" s="1"/>
  <c r="ABW99" i="6" a="1"/>
  <c r="ABW99" i="6" s="1"/>
  <c r="CT100" i="6"/>
  <c r="ET100" i="6"/>
  <c r="HJ100" i="6"/>
  <c r="IT100" i="6"/>
  <c r="KD100" i="6"/>
  <c r="MX100" i="6"/>
  <c r="PQ100" i="6"/>
  <c r="SK100" i="6"/>
  <c r="YN100" i="6"/>
  <c r="ZQ100" i="6"/>
  <c r="CK101" i="6"/>
  <c r="FK101" i="6"/>
  <c r="IB101" i="6"/>
  <c r="KV101" i="6"/>
  <c r="NO101" i="6"/>
  <c r="QI101" i="6"/>
  <c r="TC101" i="6"/>
  <c r="AQ102" i="6"/>
  <c r="DL102" i="6"/>
  <c r="GB102" i="6"/>
  <c r="LN102" i="6"/>
  <c r="OG102" i="6"/>
  <c r="RA102" i="6"/>
  <c r="TU102" i="6"/>
  <c r="WV102" i="6"/>
  <c r="ABC102" i="6"/>
  <c r="DC103" i="6"/>
  <c r="EC103" i="6"/>
  <c r="GS103" i="6"/>
  <c r="JL103" i="6"/>
  <c r="MF103" i="6"/>
  <c r="OY103" i="6"/>
  <c r="RS103" i="6"/>
  <c r="UL103" i="6"/>
  <c r="VM103" i="6"/>
  <c r="XR103" i="6"/>
  <c r="ABW103" i="6" a="1"/>
  <c r="ABW103" i="6" s="1"/>
  <c r="ABY103" i="6" a="1"/>
  <c r="ABY103" i="6" s="1"/>
  <c r="CT104" i="6"/>
  <c r="ET104" i="6"/>
  <c r="HJ104" i="6"/>
  <c r="IT104" i="6"/>
  <c r="KD104" i="6"/>
  <c r="MX104" i="6"/>
  <c r="PQ104" i="6"/>
  <c r="SK104" i="6"/>
  <c r="YN104" i="6"/>
  <c r="ZQ104" i="6"/>
  <c r="CK105" i="6"/>
  <c r="FK105" i="6"/>
  <c r="IB105" i="6"/>
  <c r="KV105" i="6"/>
  <c r="NO105" i="6"/>
  <c r="QI105" i="6"/>
  <c r="TC105" i="6"/>
  <c r="AQ106" i="6"/>
  <c r="DL106" i="6"/>
  <c r="GB106" i="6"/>
  <c r="LN106" i="6"/>
  <c r="OG106" i="6"/>
  <c r="RA106" i="6"/>
  <c r="TU106" i="6"/>
  <c r="WV106" i="6"/>
  <c r="ABC106" i="6"/>
  <c r="DC107" i="6"/>
  <c r="EC107" i="6"/>
  <c r="GS107" i="6"/>
  <c r="JL107" i="6"/>
  <c r="MF107" i="6"/>
  <c r="OY107" i="6"/>
  <c r="RS107" i="6"/>
  <c r="UL107" i="6"/>
  <c r="VM107" i="6"/>
  <c r="XR107" i="6"/>
  <c r="ABY107" i="6" a="1"/>
  <c r="ABY107" i="6" s="1"/>
  <c r="ABW107" i="6" a="1"/>
  <c r="ABW107" i="6" s="1"/>
  <c r="CT108" i="6"/>
  <c r="ET108" i="6"/>
  <c r="HJ108" i="6"/>
  <c r="IT108" i="6"/>
  <c r="KD108" i="6"/>
  <c r="MX108" i="6"/>
  <c r="PQ108" i="6"/>
  <c r="SK108" i="6"/>
  <c r="YN108" i="6"/>
  <c r="ZQ108" i="6"/>
  <c r="CK109" i="6"/>
  <c r="FK109" i="6"/>
  <c r="IB109" i="6"/>
  <c r="KV109" i="6"/>
  <c r="NO109" i="6"/>
  <c r="QI109" i="6"/>
  <c r="TC109" i="6"/>
  <c r="AQ110" i="6"/>
  <c r="DL110" i="6"/>
  <c r="GB110" i="6"/>
  <c r="LN110" i="6"/>
  <c r="OG110" i="6"/>
  <c r="RA110" i="6"/>
  <c r="TU110" i="6"/>
  <c r="WV110" i="6"/>
  <c r="ABC110" i="6"/>
  <c r="DC111" i="6"/>
  <c r="EC111" i="6"/>
  <c r="GS111" i="6"/>
  <c r="JL111" i="6"/>
  <c r="MF111" i="6"/>
  <c r="OY111" i="6"/>
  <c r="RS111" i="6"/>
  <c r="UL111" i="6"/>
  <c r="VM111" i="6"/>
  <c r="XR111" i="6"/>
  <c r="ABW111" i="6" a="1"/>
  <c r="ABW111" i="6" s="1"/>
  <c r="ABY111" i="6" a="1"/>
  <c r="ABY111" i="6" s="1"/>
  <c r="CT112" i="6"/>
  <c r="ET112" i="6"/>
  <c r="HJ112" i="6"/>
  <c r="IT112" i="6"/>
  <c r="KD112" i="6"/>
  <c r="MX112" i="6"/>
  <c r="PQ112" i="6"/>
  <c r="SK112" i="6"/>
  <c r="YN112" i="6"/>
  <c r="ZQ112" i="6"/>
  <c r="CK113" i="6"/>
  <c r="FK113" i="6"/>
  <c r="IB113" i="6"/>
  <c r="KV113" i="6"/>
  <c r="NO113" i="6"/>
  <c r="QI113" i="6"/>
  <c r="TC113" i="6"/>
  <c r="AQ114" i="6"/>
  <c r="DL114" i="6"/>
  <c r="GB114" i="6"/>
  <c r="LN114" i="6"/>
  <c r="OG114" i="6"/>
  <c r="RA114" i="6"/>
  <c r="TU114" i="6"/>
  <c r="WV114" i="6"/>
  <c r="ABC114" i="6"/>
  <c r="DC115" i="6"/>
  <c r="EC115" i="6"/>
  <c r="GS115" i="6"/>
  <c r="JL115" i="6"/>
  <c r="MF115" i="6"/>
  <c r="OY115" i="6"/>
  <c r="RS115" i="6"/>
  <c r="UL115" i="6"/>
  <c r="VM115" i="6"/>
  <c r="XR115" i="6"/>
  <c r="ABY115" i="6" a="1"/>
  <c r="ABY115" i="6" s="1"/>
  <c r="ABW115" i="6" a="1"/>
  <c r="ABW115" i="6" s="1"/>
  <c r="CT116" i="6"/>
  <c r="ET116" i="6"/>
  <c r="HJ116" i="6"/>
  <c r="IT116" i="6"/>
  <c r="KD116" i="6"/>
  <c r="MX116" i="6"/>
  <c r="PQ116" i="6"/>
  <c r="SK116" i="6"/>
  <c r="YN116" i="6"/>
  <c r="ZQ116" i="6"/>
  <c r="YZ75" i="6"/>
  <c r="ABT75" i="6"/>
  <c r="AF76" i="6"/>
  <c r="WK76" i="6"/>
  <c r="ACX76" i="6"/>
  <c r="BR77" i="6"/>
  <c r="WB77" i="6"/>
  <c r="XG77" i="6"/>
  <c r="YC78" i="6"/>
  <c r="YZ79" i="6"/>
  <c r="ABT79" i="6"/>
  <c r="AF80" i="6"/>
  <c r="WK80" i="6"/>
  <c r="ACX80" i="6"/>
  <c r="BR81" i="6"/>
  <c r="WB81" i="6"/>
  <c r="XG81" i="6"/>
  <c r="YC82" i="6"/>
  <c r="YZ83" i="6"/>
  <c r="ABT83" i="6"/>
  <c r="AF84" i="6"/>
  <c r="WK84" i="6"/>
  <c r="ACX84" i="6"/>
  <c r="BR85" i="6"/>
  <c r="WB85" i="6"/>
  <c r="XG85" i="6"/>
  <c r="YC86" i="6"/>
  <c r="YZ87" i="6"/>
  <c r="ABT87" i="6"/>
  <c r="AF88" i="6"/>
  <c r="WK88" i="6"/>
  <c r="ACX88" i="6"/>
  <c r="BR89" i="6"/>
  <c r="WB89" i="6"/>
  <c r="XG89" i="6"/>
  <c r="YC90" i="6"/>
  <c r="YZ91" i="6"/>
  <c r="ABT91" i="6"/>
  <c r="AF92" i="6"/>
  <c r="WK92" i="6"/>
  <c r="ACX92" i="6"/>
  <c r="BR93" i="6"/>
  <c r="WB93" i="6"/>
  <c r="XG93" i="6"/>
  <c r="YC94" i="6"/>
  <c r="YZ95" i="6"/>
  <c r="ABT95" i="6"/>
  <c r="AF96" i="6"/>
  <c r="WK96" i="6"/>
  <c r="ACX96" i="6"/>
  <c r="BR97" i="6"/>
  <c r="WB97" i="6"/>
  <c r="XG97" i="6"/>
  <c r="YC98" i="6"/>
  <c r="YZ99" i="6"/>
  <c r="ABT99" i="6"/>
  <c r="AF100" i="6"/>
  <c r="WK100" i="6"/>
  <c r="ACX100" i="6"/>
  <c r="BR101" i="6"/>
  <c r="WB101" i="6"/>
  <c r="XG101" i="6"/>
  <c r="YC102" i="6"/>
  <c r="YZ103" i="6"/>
  <c r="ABT103" i="6"/>
  <c r="AF104" i="6"/>
  <c r="WK104" i="6"/>
  <c r="ACX104" i="6"/>
  <c r="BR105" i="6"/>
  <c r="WB105" i="6"/>
  <c r="XG105" i="6"/>
  <c r="YC106" i="6"/>
  <c r="YZ107" i="6"/>
  <c r="ABT107" i="6"/>
  <c r="AF108" i="6"/>
  <c r="WK108" i="6"/>
  <c r="ACX108" i="6"/>
  <c r="BR109" i="6"/>
  <c r="WB109" i="6"/>
  <c r="XG109" i="6"/>
  <c r="YC110" i="6"/>
  <c r="YZ111" i="6"/>
  <c r="ABT111" i="6"/>
  <c r="AF112" i="6"/>
  <c r="WK112" i="6"/>
  <c r="ACX112" i="6"/>
  <c r="BR113" i="6"/>
  <c r="WB113" i="6"/>
  <c r="XG113" i="6"/>
  <c r="YC114" i="6"/>
  <c r="YZ115" i="6"/>
  <c r="ABT115" i="6"/>
  <c r="AF116" i="6"/>
  <c r="WK116" i="6"/>
  <c r="ACX116" i="6"/>
  <c r="SK81" i="6"/>
  <c r="YN81" i="6"/>
  <c r="ZQ81" i="6"/>
  <c r="CK82" i="6"/>
  <c r="FK82" i="6"/>
  <c r="IB82" i="6"/>
  <c r="KV82" i="6"/>
  <c r="NO82" i="6"/>
  <c r="QI82" i="6"/>
  <c r="TC82" i="6"/>
  <c r="AQ83" i="6"/>
  <c r="DL83" i="6"/>
  <c r="GB83" i="6"/>
  <c r="LN83" i="6"/>
  <c r="OG83" i="6"/>
  <c r="RA83" i="6"/>
  <c r="TU83" i="6"/>
  <c r="WV83" i="6"/>
  <c r="ABC83" i="6"/>
  <c r="DC84" i="6"/>
  <c r="EC84" i="6"/>
  <c r="GS84" i="6"/>
  <c r="JL84" i="6"/>
  <c r="MF84" i="6"/>
  <c r="OY84" i="6"/>
  <c r="RS84" i="6"/>
  <c r="UL84" i="6"/>
  <c r="VM84" i="6"/>
  <c r="XR84" i="6"/>
  <c r="ABY84" i="6" a="1"/>
  <c r="ABY84" i="6" s="1"/>
  <c r="ABW84" i="6" a="1"/>
  <c r="ABW84" i="6" s="1"/>
  <c r="CT85" i="6"/>
  <c r="ET85" i="6"/>
  <c r="HJ85" i="6"/>
  <c r="IT85" i="6"/>
  <c r="KD85" i="6"/>
  <c r="MX85" i="6"/>
  <c r="PQ85" i="6"/>
  <c r="SK85" i="6"/>
  <c r="YN85" i="6"/>
  <c r="ZQ85" i="6"/>
  <c r="CK86" i="6"/>
  <c r="FK86" i="6"/>
  <c r="IB86" i="6"/>
  <c r="KV86" i="6"/>
  <c r="NO86" i="6"/>
  <c r="QI86" i="6"/>
  <c r="TC86" i="6"/>
  <c r="AQ87" i="6"/>
  <c r="DL87" i="6"/>
  <c r="GB87" i="6"/>
  <c r="LN87" i="6"/>
  <c r="OG87" i="6"/>
  <c r="RA87" i="6"/>
  <c r="TU87" i="6"/>
  <c r="WV87" i="6"/>
  <c r="ABC87" i="6"/>
  <c r="DC88" i="6"/>
  <c r="EC88" i="6"/>
  <c r="GS88" i="6"/>
  <c r="JL88" i="6"/>
  <c r="MF88" i="6"/>
  <c r="OY88" i="6"/>
  <c r="RS88" i="6"/>
  <c r="UL88" i="6"/>
  <c r="VM88" i="6"/>
  <c r="XR88" i="6"/>
  <c r="ABY88" i="6" a="1"/>
  <c r="ABY88" i="6" s="1"/>
  <c r="ABW88" i="6" a="1"/>
  <c r="ABW88" i="6" s="1"/>
  <c r="CT89" i="6"/>
  <c r="ET89" i="6"/>
  <c r="HJ89" i="6"/>
  <c r="IT89" i="6"/>
  <c r="KD89" i="6"/>
  <c r="MX89" i="6"/>
  <c r="PQ89" i="6"/>
  <c r="SK89" i="6"/>
  <c r="YN89" i="6"/>
  <c r="ZQ89" i="6"/>
  <c r="CK90" i="6"/>
  <c r="FK90" i="6"/>
  <c r="IB90" i="6"/>
  <c r="KV90" i="6"/>
  <c r="NO90" i="6"/>
  <c r="QI90" i="6"/>
  <c r="TC90" i="6"/>
  <c r="AQ91" i="6"/>
  <c r="DL91" i="6"/>
  <c r="GB91" i="6"/>
  <c r="LN91" i="6"/>
  <c r="OG91" i="6"/>
  <c r="RA91" i="6"/>
  <c r="TU91" i="6"/>
  <c r="WV91" i="6"/>
  <c r="ABC91" i="6"/>
  <c r="DC92" i="6"/>
  <c r="EC92" i="6"/>
  <c r="GS92" i="6"/>
  <c r="JL92" i="6"/>
  <c r="MF92" i="6"/>
  <c r="OY92" i="6"/>
  <c r="RS92" i="6"/>
  <c r="UL92" i="6"/>
  <c r="VM92" i="6"/>
  <c r="XR92" i="6"/>
  <c r="ABW92" i="6" a="1"/>
  <c r="ABW92" i="6" s="1"/>
  <c r="ABY92" i="6" a="1"/>
  <c r="ABY92" i="6" s="1"/>
  <c r="CT93" i="6"/>
  <c r="ET93" i="6"/>
  <c r="HJ93" i="6"/>
  <c r="IT93" i="6"/>
  <c r="KD93" i="6"/>
  <c r="MX93" i="6"/>
  <c r="PQ93" i="6"/>
  <c r="SK93" i="6"/>
  <c r="YN93" i="6"/>
  <c r="ZQ93" i="6"/>
  <c r="CK94" i="6"/>
  <c r="FK94" i="6"/>
  <c r="IB94" i="6"/>
  <c r="KV94" i="6"/>
  <c r="NO94" i="6"/>
  <c r="QI94" i="6"/>
  <c r="TC94" i="6"/>
  <c r="AQ95" i="6"/>
  <c r="DL95" i="6"/>
  <c r="GB95" i="6"/>
  <c r="LN95" i="6"/>
  <c r="OG95" i="6"/>
  <c r="RA95" i="6"/>
  <c r="TU95" i="6"/>
  <c r="WV95" i="6"/>
  <c r="ABC95" i="6"/>
  <c r="DC96" i="6"/>
  <c r="EC96" i="6"/>
  <c r="GS96" i="6"/>
  <c r="JL96" i="6"/>
  <c r="MF96" i="6"/>
  <c r="OY96" i="6"/>
  <c r="RS96" i="6"/>
  <c r="UL96" i="6"/>
  <c r="VM96" i="6"/>
  <c r="XR96" i="6"/>
  <c r="ABY96" i="6" a="1"/>
  <c r="ABY96" i="6" s="1"/>
  <c r="ABW96" i="6" a="1"/>
  <c r="ABW96" i="6" s="1"/>
  <c r="CT97" i="6"/>
  <c r="ET97" i="6"/>
  <c r="HJ97" i="6"/>
  <c r="IT97" i="6"/>
  <c r="KD97" i="6"/>
  <c r="MX97" i="6"/>
  <c r="PQ97" i="6"/>
  <c r="SK97" i="6"/>
  <c r="YN97" i="6"/>
  <c r="ZQ97" i="6"/>
  <c r="CK98" i="6"/>
  <c r="FK98" i="6"/>
  <c r="IB98" i="6"/>
  <c r="KV98" i="6"/>
  <c r="NO98" i="6"/>
  <c r="QI98" i="6"/>
  <c r="TC98" i="6"/>
  <c r="AQ99" i="6"/>
  <c r="DL99" i="6"/>
  <c r="GB99" i="6"/>
  <c r="LN99" i="6"/>
  <c r="OG99" i="6"/>
  <c r="RA99" i="6"/>
  <c r="TU99" i="6"/>
  <c r="WV99" i="6"/>
  <c r="ABC99" i="6"/>
  <c r="DC100" i="6"/>
  <c r="EC100" i="6"/>
  <c r="GS100" i="6"/>
  <c r="JL100" i="6"/>
  <c r="MF100" i="6"/>
  <c r="OY100" i="6"/>
  <c r="RS100" i="6"/>
  <c r="UL100" i="6"/>
  <c r="VM100" i="6"/>
  <c r="XR100" i="6"/>
  <c r="ABY100" i="6" a="1"/>
  <c r="ABY100" i="6" s="1"/>
  <c r="ABW100" i="6" a="1"/>
  <c r="ABW100" i="6" s="1"/>
  <c r="CT101" i="6"/>
  <c r="ET101" i="6"/>
  <c r="HJ101" i="6"/>
  <c r="IT101" i="6"/>
  <c r="KD101" i="6"/>
  <c r="MX101" i="6"/>
  <c r="PQ101" i="6"/>
  <c r="SK101" i="6"/>
  <c r="YN101" i="6"/>
  <c r="ZQ101" i="6"/>
  <c r="CK102" i="6"/>
  <c r="FK102" i="6"/>
  <c r="IB102" i="6"/>
  <c r="KV102" i="6"/>
  <c r="NO102" i="6"/>
  <c r="QI102" i="6"/>
  <c r="TC102" i="6"/>
  <c r="AQ103" i="6"/>
  <c r="DL103" i="6"/>
  <c r="GB103" i="6"/>
  <c r="LN103" i="6"/>
  <c r="OG103" i="6"/>
  <c r="RA103" i="6"/>
  <c r="TU103" i="6"/>
  <c r="WV103" i="6"/>
  <c r="ABC103" i="6"/>
  <c r="DC104" i="6"/>
  <c r="EC104" i="6"/>
  <c r="GS104" i="6"/>
  <c r="JL104" i="6"/>
  <c r="MF104" i="6"/>
  <c r="OY104" i="6"/>
  <c r="RS104" i="6"/>
  <c r="UL104" i="6"/>
  <c r="VM104" i="6"/>
  <c r="XR104" i="6"/>
  <c r="ABY104" i="6" a="1"/>
  <c r="ABY104" i="6" s="1"/>
  <c r="ABW104" i="6" a="1"/>
  <c r="ABW104" i="6" s="1"/>
  <c r="CT105" i="6"/>
  <c r="ET105" i="6"/>
  <c r="HJ105" i="6"/>
  <c r="IT105" i="6"/>
  <c r="KD105" i="6"/>
  <c r="MX105" i="6"/>
  <c r="PQ105" i="6"/>
  <c r="SK105" i="6"/>
  <c r="YN105" i="6"/>
  <c r="ZQ105" i="6"/>
  <c r="CK106" i="6"/>
  <c r="FK106" i="6"/>
  <c r="IB106" i="6"/>
  <c r="KV106" i="6"/>
  <c r="NO106" i="6"/>
  <c r="QI106" i="6"/>
  <c r="TC106" i="6"/>
  <c r="AQ107" i="6"/>
  <c r="DL107" i="6"/>
  <c r="GB107" i="6"/>
  <c r="LN107" i="6"/>
  <c r="OG107" i="6"/>
  <c r="RA107" i="6"/>
  <c r="TU107" i="6"/>
  <c r="WV107" i="6"/>
  <c r="ABC107" i="6"/>
  <c r="DC108" i="6"/>
  <c r="EC108" i="6"/>
  <c r="GS108" i="6"/>
  <c r="JL108" i="6"/>
  <c r="MF108" i="6"/>
  <c r="OY108" i="6"/>
  <c r="RS108" i="6"/>
  <c r="UL108" i="6"/>
  <c r="VM108" i="6"/>
  <c r="XR108" i="6"/>
  <c r="ABW108" i="6" a="1"/>
  <c r="ABW108" i="6" s="1"/>
  <c r="ABY108" i="6" a="1"/>
  <c r="ABY108" i="6" s="1"/>
  <c r="CT109" i="6"/>
  <c r="ET109" i="6"/>
  <c r="HJ109" i="6"/>
  <c r="IT109" i="6"/>
  <c r="KD109" i="6"/>
  <c r="MX109" i="6"/>
  <c r="PQ109" i="6"/>
  <c r="SK109" i="6"/>
  <c r="YN109" i="6"/>
  <c r="ZQ109" i="6"/>
  <c r="CK110" i="6"/>
  <c r="FK110" i="6"/>
  <c r="IB110" i="6"/>
  <c r="KV110" i="6"/>
  <c r="NO110" i="6"/>
  <c r="QI110" i="6"/>
  <c r="TC110" i="6"/>
  <c r="AQ111" i="6"/>
  <c r="DL111" i="6"/>
  <c r="GB111" i="6"/>
  <c r="LN111" i="6"/>
  <c r="OG111" i="6"/>
  <c r="RA111" i="6"/>
  <c r="TU111" i="6"/>
  <c r="WV111" i="6"/>
  <c r="ABC111" i="6"/>
  <c r="DC112" i="6"/>
  <c r="EC112" i="6"/>
  <c r="GS112" i="6"/>
  <c r="JL112" i="6"/>
  <c r="MF112" i="6"/>
  <c r="OY112" i="6"/>
  <c r="RS112" i="6"/>
  <c r="UL112" i="6"/>
  <c r="VM112" i="6"/>
  <c r="XR112" i="6"/>
  <c r="ABY112" i="6" a="1"/>
  <c r="ABY112" i="6" s="1"/>
  <c r="ABW112" i="6" a="1"/>
  <c r="ABW112" i="6" s="1"/>
  <c r="CT113" i="6"/>
  <c r="ET113" i="6"/>
  <c r="HJ113" i="6"/>
  <c r="IT113" i="6"/>
  <c r="KD113" i="6"/>
  <c r="MX113" i="6"/>
  <c r="PQ113" i="6"/>
  <c r="SK113" i="6"/>
  <c r="YN113" i="6"/>
  <c r="ZQ113" i="6"/>
  <c r="CK114" i="6"/>
  <c r="FK114" i="6"/>
  <c r="IB114" i="6"/>
  <c r="KV114" i="6"/>
  <c r="NO114" i="6"/>
  <c r="QI114" i="6"/>
  <c r="TC114" i="6"/>
  <c r="AQ115" i="6"/>
  <c r="DL115" i="6"/>
  <c r="GB115" i="6"/>
  <c r="LN115" i="6"/>
  <c r="OG115" i="6"/>
  <c r="RA115" i="6"/>
  <c r="TU115" i="6"/>
  <c r="WV115" i="6"/>
  <c r="ABC115" i="6"/>
  <c r="DC116" i="6"/>
  <c r="EC116" i="6"/>
  <c r="GS116" i="6"/>
  <c r="JL116" i="6"/>
  <c r="MF116" i="6"/>
  <c r="OY116" i="6"/>
  <c r="RS116" i="6"/>
  <c r="UL116" i="6"/>
  <c r="VM116" i="6"/>
  <c r="XR116" i="6"/>
  <c r="ABY116" i="6" a="1"/>
  <c r="ABY116" i="6" s="1"/>
  <c r="ABW116" i="6" a="1"/>
  <c r="ABW116" i="6" s="1"/>
  <c r="YC75" i="6"/>
  <c r="YZ76" i="6"/>
  <c r="ABT76" i="6"/>
  <c r="AF77" i="6"/>
  <c r="WK77" i="6"/>
  <c r="ACX77" i="6"/>
  <c r="BR78" i="6"/>
  <c r="WB78" i="6"/>
  <c r="XG78" i="6"/>
  <c r="YC79" i="6"/>
  <c r="YZ80" i="6"/>
  <c r="ABT80" i="6"/>
  <c r="AF81" i="6"/>
  <c r="WK81" i="6"/>
  <c r="ACX81" i="6"/>
  <c r="BR82" i="6"/>
  <c r="WB82" i="6"/>
  <c r="XG82" i="6"/>
  <c r="YC83" i="6"/>
  <c r="YZ84" i="6"/>
  <c r="ABT84" i="6"/>
  <c r="AF85" i="6"/>
  <c r="WK85" i="6"/>
  <c r="ACX85" i="6"/>
  <c r="BR86" i="6"/>
  <c r="WB86" i="6"/>
  <c r="XG86" i="6"/>
  <c r="YC87" i="6"/>
  <c r="YZ88" i="6"/>
  <c r="ABT88" i="6"/>
  <c r="AF89" i="6"/>
  <c r="WK89" i="6"/>
  <c r="ACX89" i="6"/>
  <c r="BR90" i="6"/>
  <c r="WB90" i="6"/>
  <c r="XG90" i="6"/>
  <c r="YC91" i="6"/>
  <c r="YZ92" i="6"/>
  <c r="ABT92" i="6"/>
  <c r="AF93" i="6"/>
  <c r="WK93" i="6"/>
  <c r="ACX93" i="6"/>
  <c r="BR94" i="6"/>
  <c r="WB94" i="6"/>
  <c r="XG94" i="6"/>
  <c r="YC95" i="6"/>
  <c r="YZ96" i="6"/>
  <c r="ABT96" i="6"/>
  <c r="AF97" i="6"/>
  <c r="WK97" i="6"/>
  <c r="ACX97" i="6"/>
  <c r="BR98" i="6"/>
  <c r="WB98" i="6"/>
  <c r="XG98" i="6"/>
  <c r="YC99" i="6"/>
  <c r="YZ100" i="6"/>
  <c r="ABT100" i="6"/>
  <c r="AF101" i="6"/>
  <c r="WK101" i="6"/>
  <c r="ACX101" i="6"/>
  <c r="BR102" i="6"/>
  <c r="WB102" i="6"/>
  <c r="XG102" i="6"/>
  <c r="YC103" i="6"/>
  <c r="YZ104" i="6"/>
  <c r="ABT104" i="6"/>
  <c r="AF105" i="6"/>
  <c r="WK105" i="6"/>
  <c r="ACX105" i="6"/>
  <c r="BR106" i="6"/>
  <c r="WB106" i="6"/>
  <c r="XG106" i="6"/>
  <c r="YC107" i="6"/>
  <c r="YZ108" i="6"/>
  <c r="ABT108" i="6"/>
  <c r="AF109" i="6"/>
  <c r="WK109" i="6"/>
  <c r="ACX109" i="6"/>
  <c r="BR110" i="6"/>
  <c r="WB110" i="6"/>
  <c r="XG110" i="6"/>
  <c r="YC111" i="6"/>
  <c r="YZ112" i="6"/>
  <c r="ABT112" i="6"/>
  <c r="AF113" i="6"/>
  <c r="WK113" i="6"/>
  <c r="ACX113" i="6"/>
  <c r="BR114" i="6"/>
  <c r="WB114" i="6"/>
  <c r="XG114" i="6"/>
  <c r="YC115" i="6"/>
  <c r="YZ116" i="6"/>
  <c r="ABT116" i="6"/>
  <c r="UL85" i="6"/>
  <c r="VM85" i="6"/>
  <c r="XR85" i="6"/>
  <c r="ABW85" i="6" a="1"/>
  <c r="ABW85" i="6" s="1"/>
  <c r="ABY85" i="6" a="1"/>
  <c r="ABY85" i="6" s="1"/>
  <c r="CT86" i="6"/>
  <c r="ET86" i="6"/>
  <c r="HJ86" i="6"/>
  <c r="YN86" i="6"/>
  <c r="ZQ86" i="6"/>
  <c r="CK87" i="6"/>
  <c r="FK87" i="6"/>
  <c r="NO87" i="6"/>
  <c r="AQ88" i="6"/>
  <c r="DL88" i="6"/>
  <c r="GB88" i="6"/>
  <c r="WV88" i="6"/>
  <c r="DC89" i="6"/>
  <c r="EC89" i="6"/>
  <c r="GS89" i="6"/>
  <c r="UL89" i="6"/>
  <c r="VM89" i="6"/>
  <c r="XR89" i="6"/>
  <c r="ABW89" i="6" a="1"/>
  <c r="ABW89" i="6" s="1"/>
  <c r="ABY89" i="6" a="1"/>
  <c r="ABY89" i="6" s="1"/>
  <c r="CT90" i="6"/>
  <c r="ET90" i="6"/>
  <c r="HJ90" i="6"/>
  <c r="YN90" i="6"/>
  <c r="ZQ90" i="6"/>
  <c r="CK91" i="6"/>
  <c r="FK91" i="6"/>
  <c r="NO91" i="6"/>
  <c r="AQ92" i="6"/>
  <c r="DL92" i="6"/>
  <c r="GB92" i="6"/>
  <c r="WV92" i="6"/>
  <c r="DC93" i="6"/>
  <c r="EC93" i="6"/>
  <c r="GS93" i="6"/>
  <c r="UL93" i="6"/>
  <c r="VM93" i="6"/>
  <c r="XR93" i="6"/>
  <c r="ABW93" i="6" a="1"/>
  <c r="ABW93" i="6" s="1"/>
  <c r="ABY93" i="6" a="1"/>
  <c r="ABY93" i="6" s="1"/>
  <c r="CT94" i="6"/>
  <c r="ET94" i="6"/>
  <c r="HJ94" i="6"/>
  <c r="YN94" i="6"/>
  <c r="ZQ94" i="6"/>
  <c r="CK95" i="6"/>
  <c r="FK95" i="6"/>
  <c r="NO95" i="6"/>
  <c r="AQ96" i="6"/>
  <c r="DL96" i="6"/>
  <c r="GB96" i="6"/>
  <c r="WV96" i="6"/>
  <c r="DC97" i="6"/>
  <c r="EC97" i="6"/>
  <c r="GS97" i="6"/>
  <c r="UL97" i="6"/>
  <c r="VM97" i="6"/>
  <c r="XR97" i="6"/>
  <c r="ABY97" i="6" a="1"/>
  <c r="ABY97" i="6" s="1"/>
  <c r="ABW97" i="6" a="1"/>
  <c r="ABW97" i="6" s="1"/>
  <c r="CT98" i="6"/>
  <c r="ET98" i="6"/>
  <c r="HJ98" i="6"/>
  <c r="YN98" i="6"/>
  <c r="ZQ98" i="6"/>
  <c r="CK99" i="6"/>
  <c r="FK99" i="6"/>
  <c r="NO99" i="6"/>
  <c r="AQ100" i="6"/>
  <c r="DL100" i="6"/>
  <c r="GB100" i="6"/>
  <c r="WV100" i="6"/>
  <c r="DC101" i="6"/>
  <c r="EC101" i="6"/>
  <c r="GS101" i="6"/>
  <c r="UL101" i="6"/>
  <c r="VM101" i="6"/>
  <c r="XR101" i="6"/>
  <c r="ABW101" i="6" a="1"/>
  <c r="ABW101" i="6" s="1"/>
  <c r="ABY101" i="6" a="1"/>
  <c r="ABY101" i="6" s="1"/>
  <c r="CT102" i="6"/>
  <c r="ET102" i="6"/>
  <c r="HJ102" i="6"/>
  <c r="YN102" i="6"/>
  <c r="ZQ102" i="6"/>
  <c r="CK103" i="6"/>
  <c r="FK103" i="6"/>
  <c r="NO103" i="6"/>
  <c r="AQ104" i="6"/>
  <c r="DL104" i="6"/>
  <c r="GB104" i="6"/>
  <c r="WV104" i="6"/>
  <c r="DC105" i="6"/>
  <c r="EC105" i="6"/>
  <c r="GS105" i="6"/>
  <c r="UL105" i="6"/>
  <c r="VM105" i="6"/>
  <c r="XR105" i="6"/>
  <c r="ABW105" i="6" a="1"/>
  <c r="ABW105" i="6" s="1"/>
  <c r="ABY105" i="6" a="1"/>
  <c r="ABY105" i="6" s="1"/>
  <c r="CT106" i="6"/>
  <c r="ET106" i="6"/>
  <c r="HJ106" i="6"/>
  <c r="YN106" i="6"/>
  <c r="ZQ106" i="6"/>
  <c r="CK107" i="6"/>
  <c r="FK107" i="6"/>
  <c r="NO107" i="6"/>
  <c r="AQ108" i="6"/>
  <c r="DL108" i="6"/>
  <c r="GB108" i="6"/>
  <c r="WV108" i="6"/>
  <c r="DC109" i="6"/>
  <c r="EC109" i="6"/>
  <c r="GS109" i="6"/>
  <c r="UL109" i="6"/>
  <c r="VM109" i="6"/>
  <c r="XR109" i="6"/>
  <c r="ABW109" i="6" a="1"/>
  <c r="ABW109" i="6" s="1"/>
  <c r="ABY109" i="6" a="1"/>
  <c r="ABY109" i="6" s="1"/>
  <c r="CT110" i="6"/>
  <c r="ET110" i="6"/>
  <c r="HJ110" i="6"/>
  <c r="YN110" i="6"/>
  <c r="ZQ110" i="6"/>
  <c r="CK111" i="6"/>
  <c r="FK111" i="6"/>
  <c r="NO111" i="6"/>
  <c r="AQ112" i="6"/>
  <c r="DL112" i="6"/>
  <c r="GB112" i="6"/>
  <c r="WV112" i="6"/>
  <c r="DC113" i="6"/>
  <c r="EC113" i="6"/>
  <c r="GS113" i="6"/>
  <c r="UL113" i="6"/>
  <c r="VM113" i="6"/>
  <c r="XR113" i="6"/>
  <c r="ABY113" i="6" a="1"/>
  <c r="ABY113" i="6" s="1"/>
  <c r="ABW113" i="6" a="1"/>
  <c r="ABW113" i="6" s="1"/>
  <c r="CT114" i="6"/>
  <c r="ET114" i="6"/>
  <c r="HJ114" i="6"/>
  <c r="YN114" i="6"/>
  <c r="ZQ114" i="6"/>
  <c r="CK115" i="6"/>
  <c r="FK115" i="6"/>
  <c r="NO115" i="6"/>
  <c r="AQ116" i="6"/>
  <c r="DL116" i="6"/>
  <c r="GB116" i="6"/>
  <c r="WV116" i="6"/>
  <c r="ABC116" i="6"/>
  <c r="WB75" i="6"/>
  <c r="XG75" i="6"/>
  <c r="YC76" i="6"/>
  <c r="YZ77" i="6"/>
  <c r="ABT77" i="6"/>
  <c r="AF78" i="6"/>
  <c r="WK78" i="6"/>
  <c r="ACX78" i="6"/>
  <c r="BR79" i="6"/>
  <c r="WB79" i="6"/>
  <c r="XG79" i="6"/>
  <c r="YC80" i="6"/>
  <c r="YZ81" i="6"/>
  <c r="ABT81" i="6"/>
  <c r="AF82" i="6"/>
  <c r="WK82" i="6"/>
  <c r="ACX82" i="6"/>
  <c r="BR83" i="6"/>
  <c r="WB83" i="6"/>
  <c r="XG83" i="6"/>
  <c r="YC84" i="6"/>
  <c r="YZ85" i="6"/>
  <c r="ABT85" i="6"/>
  <c r="AF86" i="6"/>
  <c r="WK86" i="6"/>
  <c r="ACX86" i="6"/>
  <c r="BR87" i="6"/>
  <c r="WB87" i="6"/>
  <c r="XG87" i="6"/>
  <c r="YC88" i="6"/>
  <c r="YZ89" i="6"/>
  <c r="ABT89" i="6"/>
  <c r="AF90" i="6"/>
  <c r="WK90" i="6"/>
  <c r="ACX90" i="6"/>
  <c r="BR91" i="6"/>
  <c r="WB91" i="6"/>
  <c r="XG91" i="6"/>
  <c r="YC92" i="6"/>
  <c r="YZ93" i="6"/>
  <c r="ABT93" i="6"/>
  <c r="AF94" i="6"/>
  <c r="WK94" i="6"/>
  <c r="ACX94" i="6"/>
  <c r="BR95" i="6"/>
  <c r="WB95" i="6"/>
  <c r="XG95" i="6"/>
  <c r="YC96" i="6"/>
  <c r="YZ97" i="6"/>
  <c r="ABT97" i="6"/>
  <c r="AF98" i="6"/>
  <c r="WK98" i="6"/>
  <c r="ACX98" i="6"/>
  <c r="BR99" i="6"/>
  <c r="WB99" i="6"/>
  <c r="XG99" i="6"/>
  <c r="YC100" i="6"/>
  <c r="YZ101" i="6"/>
  <c r="ABT101" i="6"/>
  <c r="AF102" i="6"/>
  <c r="WK102" i="6"/>
  <c r="ACX102" i="6"/>
  <c r="BR103" i="6"/>
  <c r="WB103" i="6"/>
  <c r="XG103" i="6"/>
  <c r="YC104" i="6"/>
  <c r="YZ105" i="6"/>
  <c r="ABT105" i="6"/>
  <c r="AF106" i="6"/>
  <c r="WK106" i="6"/>
  <c r="ACX106" i="6"/>
  <c r="BR107" i="6"/>
  <c r="WB107" i="6"/>
  <c r="XG107" i="6"/>
  <c r="YC108" i="6"/>
  <c r="YZ109" i="6"/>
  <c r="ABT109" i="6"/>
  <c r="AF110" i="6"/>
  <c r="WK110" i="6"/>
  <c r="ACX110" i="6"/>
  <c r="BR111" i="6"/>
  <c r="WB111" i="6"/>
  <c r="XG111" i="6"/>
  <c r="YC112" i="6"/>
  <c r="YZ113" i="6"/>
  <c r="ABT113" i="6"/>
  <c r="AF114" i="6"/>
  <c r="WK114" i="6"/>
  <c r="ACX114" i="6"/>
  <c r="BR115" i="6"/>
  <c r="WB115" i="6"/>
  <c r="XG115" i="6"/>
  <c r="YC116" i="6"/>
  <c r="UL82" i="6"/>
  <c r="VM82" i="6"/>
  <c r="XR82" i="6"/>
  <c r="ABW82" i="6" a="1"/>
  <c r="ABW82" i="6" s="1"/>
  <c r="ABY82" i="6" a="1"/>
  <c r="ABY82" i="6" s="1"/>
  <c r="CT83" i="6"/>
  <c r="ET83" i="6"/>
  <c r="HJ83" i="6"/>
  <c r="IT83" i="6"/>
  <c r="YN83" i="6"/>
  <c r="ZQ83" i="6"/>
  <c r="CK84" i="6"/>
  <c r="FK84" i="6"/>
  <c r="NO84" i="6"/>
  <c r="AQ85" i="6"/>
  <c r="DL85" i="6"/>
  <c r="GB85" i="6"/>
  <c r="WV85" i="6"/>
  <c r="ABC85" i="6"/>
  <c r="DC86" i="6"/>
  <c r="EC86" i="6"/>
  <c r="GS86" i="6"/>
  <c r="UL86" i="6"/>
  <c r="VM86" i="6"/>
  <c r="XR86" i="6"/>
  <c r="ABY86" i="6" a="1"/>
  <c r="ABY86" i="6" s="1"/>
  <c r="ABW86" i="6" a="1"/>
  <c r="ABW86" i="6" s="1"/>
  <c r="CT87" i="6"/>
  <c r="ET87" i="6"/>
  <c r="HJ87" i="6"/>
  <c r="IT87" i="6"/>
  <c r="YN87" i="6"/>
  <c r="ZQ87" i="6"/>
  <c r="CK88" i="6"/>
  <c r="FK88" i="6"/>
  <c r="NO88" i="6"/>
  <c r="AQ89" i="6"/>
  <c r="DL89" i="6"/>
  <c r="GB89" i="6"/>
  <c r="WV89" i="6"/>
  <c r="ABC89" i="6"/>
  <c r="DC90" i="6"/>
  <c r="EC90" i="6"/>
  <c r="GS90" i="6"/>
  <c r="UL90" i="6"/>
  <c r="VM90" i="6"/>
  <c r="XR90" i="6"/>
  <c r="ABY90" i="6" a="1"/>
  <c r="ABY90" i="6" s="1"/>
  <c r="ABW90" i="6" a="1"/>
  <c r="ABW90" i="6" s="1"/>
  <c r="CT91" i="6"/>
  <c r="ET91" i="6"/>
  <c r="HJ91" i="6"/>
  <c r="IT91" i="6"/>
  <c r="YN91" i="6"/>
  <c r="ZQ91" i="6"/>
  <c r="CK92" i="6"/>
  <c r="FK92" i="6"/>
  <c r="NO92" i="6"/>
  <c r="AQ93" i="6"/>
  <c r="DL93" i="6"/>
  <c r="GB93" i="6"/>
  <c r="WV93" i="6"/>
  <c r="ABC93" i="6"/>
  <c r="DC94" i="6"/>
  <c r="EC94" i="6"/>
  <c r="GS94" i="6"/>
  <c r="UL94" i="6"/>
  <c r="VM94" i="6"/>
  <c r="XR94" i="6"/>
  <c r="ABY94" i="6" a="1"/>
  <c r="ABY94" i="6" s="1"/>
  <c r="ABW94" i="6" a="1"/>
  <c r="ABW94" i="6" s="1"/>
  <c r="CT95" i="6"/>
  <c r="ET95" i="6"/>
  <c r="HJ95" i="6"/>
  <c r="IT95" i="6"/>
  <c r="YN95" i="6"/>
  <c r="ZQ95" i="6"/>
  <c r="CK96" i="6"/>
  <c r="FK96" i="6"/>
  <c r="NO96" i="6"/>
  <c r="AQ97" i="6"/>
  <c r="DL97" i="6"/>
  <c r="GB97" i="6"/>
  <c r="WV97" i="6"/>
  <c r="ABC97" i="6"/>
  <c r="DC98" i="6"/>
  <c r="EC98" i="6"/>
  <c r="GS98" i="6"/>
  <c r="UL98" i="6"/>
  <c r="VM98" i="6"/>
  <c r="XR98" i="6"/>
  <c r="ABY98" i="6" a="1"/>
  <c r="ABY98" i="6" s="1"/>
  <c r="ABW98" i="6" a="1"/>
  <c r="ABW98" i="6" s="1"/>
  <c r="CT99" i="6"/>
  <c r="ET99" i="6"/>
  <c r="HJ99" i="6"/>
  <c r="IT99" i="6"/>
  <c r="YN99" i="6"/>
  <c r="ZQ99" i="6"/>
  <c r="CK100" i="6"/>
  <c r="FK100" i="6"/>
  <c r="NO100" i="6"/>
  <c r="AQ101" i="6"/>
  <c r="DL101" i="6"/>
  <c r="GB101" i="6"/>
  <c r="WV101" i="6"/>
  <c r="ABC101" i="6"/>
  <c r="DC102" i="6"/>
  <c r="EC102" i="6"/>
  <c r="GS102" i="6"/>
  <c r="UL102" i="6"/>
  <c r="VM102" i="6"/>
  <c r="XR102" i="6"/>
  <c r="ABY102" i="6" a="1"/>
  <c r="ABY102" i="6" s="1"/>
  <c r="ABW102" i="6" a="1"/>
  <c r="ABW102" i="6" s="1"/>
  <c r="CT103" i="6"/>
  <c r="ET103" i="6"/>
  <c r="HJ103" i="6"/>
  <c r="IT103" i="6"/>
  <c r="YN103" i="6"/>
  <c r="ZQ103" i="6"/>
  <c r="CK104" i="6"/>
  <c r="FK104" i="6"/>
  <c r="NO104" i="6"/>
  <c r="AQ105" i="6"/>
  <c r="DL105" i="6"/>
  <c r="GB105" i="6"/>
  <c r="WV105" i="6"/>
  <c r="ABC105" i="6"/>
  <c r="DC106" i="6"/>
  <c r="EC106" i="6"/>
  <c r="GS106" i="6"/>
  <c r="UL106" i="6"/>
  <c r="VM106" i="6"/>
  <c r="XR106" i="6"/>
  <c r="ABY106" i="6" a="1"/>
  <c r="ABY106" i="6" s="1"/>
  <c r="ABW106" i="6" a="1"/>
  <c r="ABW106" i="6" s="1"/>
  <c r="CT107" i="6"/>
  <c r="ET107" i="6"/>
  <c r="HJ107" i="6"/>
  <c r="IT107" i="6"/>
  <c r="YN107" i="6"/>
  <c r="ZQ107" i="6"/>
  <c r="CK108" i="6"/>
  <c r="FK108" i="6"/>
  <c r="NO108" i="6"/>
  <c r="AQ109" i="6"/>
  <c r="DL109" i="6"/>
  <c r="GB109" i="6"/>
  <c r="WV109" i="6"/>
  <c r="ABC109" i="6"/>
  <c r="DC110" i="6"/>
  <c r="EC110" i="6"/>
  <c r="GS110" i="6"/>
  <c r="UL110" i="6"/>
  <c r="VM110" i="6"/>
  <c r="XR110" i="6"/>
  <c r="ABY110" i="6" a="1"/>
  <c r="ABY110" i="6" s="1"/>
  <c r="ABW110" i="6" a="1"/>
  <c r="ABW110" i="6" s="1"/>
  <c r="CT111" i="6"/>
  <c r="ET111" i="6"/>
  <c r="HJ111" i="6"/>
  <c r="IT111" i="6"/>
  <c r="YN111" i="6"/>
  <c r="ZQ111" i="6"/>
  <c r="CK112" i="6"/>
  <c r="FK112" i="6"/>
  <c r="NO112" i="6"/>
  <c r="AQ113" i="6"/>
  <c r="DL113" i="6"/>
  <c r="GB113" i="6"/>
  <c r="WV113" i="6"/>
  <c r="ABC113" i="6"/>
  <c r="DC114" i="6"/>
  <c r="EC114" i="6"/>
  <c r="GS114" i="6"/>
  <c r="UL114" i="6"/>
  <c r="VM114" i="6"/>
  <c r="XR114" i="6"/>
  <c r="ABY114" i="6" a="1"/>
  <c r="ABY114" i="6" s="1"/>
  <c r="ABW114" i="6" a="1"/>
  <c r="ABW114" i="6" s="1"/>
  <c r="CT115" i="6"/>
  <c r="ET115" i="6"/>
  <c r="HJ115" i="6"/>
  <c r="IT115" i="6"/>
  <c r="YN115" i="6"/>
  <c r="ZQ115" i="6"/>
  <c r="CK116" i="6"/>
  <c r="FK116" i="6"/>
  <c r="NO116" i="6"/>
  <c r="WK75" i="6"/>
  <c r="ACX75" i="6"/>
  <c r="BR76" i="6"/>
  <c r="WB76" i="6"/>
  <c r="XG76" i="6"/>
  <c r="YC77" i="6"/>
  <c r="YZ78" i="6"/>
  <c r="ABT78" i="6"/>
  <c r="AF79" i="6"/>
  <c r="WK79" i="6"/>
  <c r="ACX79" i="6"/>
  <c r="BR80" i="6"/>
  <c r="WB80" i="6"/>
  <c r="XG80" i="6"/>
  <c r="YC81" i="6"/>
  <c r="YZ82" i="6"/>
  <c r="ABT82" i="6"/>
  <c r="AF83" i="6"/>
  <c r="WK83" i="6"/>
  <c r="ACX83" i="6"/>
  <c r="BR84" i="6"/>
  <c r="WB84" i="6"/>
  <c r="XG84" i="6"/>
  <c r="YC85" i="6"/>
  <c r="YZ86" i="6"/>
  <c r="ABT86" i="6"/>
  <c r="AF87" i="6"/>
  <c r="WK87" i="6"/>
  <c r="ACX87" i="6"/>
  <c r="BR88" i="6"/>
  <c r="WB88" i="6"/>
  <c r="XG88" i="6"/>
  <c r="YC89" i="6"/>
  <c r="YZ90" i="6"/>
  <c r="ABT90" i="6"/>
  <c r="AF91" i="6"/>
  <c r="WK91" i="6"/>
  <c r="ACX91" i="6"/>
  <c r="BR92" i="6"/>
  <c r="WB92" i="6"/>
  <c r="XG92" i="6"/>
  <c r="YC93" i="6"/>
  <c r="YZ94" i="6"/>
  <c r="ABT94" i="6"/>
  <c r="AF95" i="6"/>
  <c r="WK95" i="6"/>
  <c r="ACX95" i="6"/>
  <c r="BR96" i="6"/>
  <c r="WB96" i="6"/>
  <c r="XG96" i="6"/>
  <c r="YC97" i="6"/>
  <c r="YZ98" i="6"/>
  <c r="ABT98" i="6"/>
  <c r="AF99" i="6"/>
  <c r="WK99" i="6"/>
  <c r="ACX99" i="6"/>
  <c r="BR100" i="6"/>
  <c r="WB100" i="6"/>
  <c r="XG100" i="6"/>
  <c r="YC101" i="6"/>
  <c r="YZ102" i="6"/>
  <c r="ABT102" i="6"/>
  <c r="AF103" i="6"/>
  <c r="WK103" i="6"/>
  <c r="ACX103" i="6"/>
  <c r="BR104" i="6"/>
  <c r="WB104" i="6"/>
  <c r="XG104" i="6"/>
  <c r="YC105" i="6"/>
  <c r="YZ106" i="6"/>
  <c r="ABT106" i="6"/>
  <c r="AF107" i="6"/>
  <c r="WK107" i="6"/>
  <c r="ACX107" i="6"/>
  <c r="BR108" i="6"/>
  <c r="WB108" i="6"/>
  <c r="XG108" i="6"/>
  <c r="YC109" i="6"/>
  <c r="YZ110" i="6"/>
  <c r="ABT110" i="6"/>
  <c r="AF111" i="6"/>
  <c r="WK111" i="6"/>
  <c r="ACX111" i="6"/>
  <c r="BR112" i="6"/>
  <c r="WB112" i="6"/>
  <c r="XG112" i="6"/>
  <c r="YC113" i="6"/>
  <c r="YZ114" i="6"/>
  <c r="ABT114" i="6"/>
  <c r="AF115" i="6"/>
  <c r="WK115" i="6"/>
  <c r="ACX115" i="6"/>
  <c r="BR116" i="6"/>
  <c r="WB116" i="6"/>
  <c r="XG116" i="6"/>
  <c r="AAS23" i="6"/>
  <c r="AAU12" i="6"/>
  <c r="AAV12" i="6"/>
  <c r="AAR12" i="6"/>
  <c r="AAV109" i="6"/>
  <c r="AAS12" i="6"/>
  <c r="AAW12" i="6"/>
  <c r="AAT12" i="6"/>
  <c r="AAU9" i="6"/>
  <c r="AAV50" i="6"/>
  <c r="AAW109" i="6"/>
  <c r="AAS51" i="6"/>
  <c r="AAR13" i="6"/>
  <c r="AAT46" i="6"/>
  <c r="AAV79" i="6"/>
  <c r="AAW26" i="6"/>
  <c r="AAT26" i="6"/>
  <c r="AAS8" i="6"/>
  <c r="AAV46" i="6"/>
  <c r="AAT17" i="6"/>
  <c r="AAU46" i="6"/>
  <c r="AAR22" i="6"/>
  <c r="AAW111" i="6"/>
  <c r="AAU20" i="6"/>
  <c r="AAS9" i="6"/>
  <c r="AAR72" i="6"/>
  <c r="AAR46" i="6"/>
  <c r="AAR98" i="6"/>
  <c r="AAR20" i="6"/>
  <c r="AAT13" i="6"/>
  <c r="AAT16" i="6"/>
  <c r="AAT22" i="6"/>
  <c r="AAT15" i="6"/>
  <c r="AAU72" i="6"/>
  <c r="AAT109" i="6"/>
  <c r="AAT64" i="6"/>
  <c r="AAW24" i="6"/>
  <c r="AAS22" i="6"/>
  <c r="AAU104" i="6"/>
  <c r="AAS24" i="6"/>
  <c r="AAS104" i="6"/>
  <c r="AAV26" i="6"/>
  <c r="AAV114" i="6"/>
  <c r="AAR103" i="6"/>
  <c r="AAR99" i="6"/>
  <c r="AAR76" i="6"/>
  <c r="AAW16" i="6"/>
  <c r="AAV39" i="6"/>
  <c r="AAV21" i="6"/>
  <c r="AAT79" i="6"/>
  <c r="AAW23" i="6"/>
  <c r="AAV23" i="6"/>
  <c r="AAV99" i="6"/>
  <c r="AAU17" i="6"/>
  <c r="AAU91" i="6"/>
  <c r="AAT29" i="6"/>
  <c r="AAT24" i="6"/>
  <c r="AAU109" i="6"/>
  <c r="AAV33" i="6"/>
  <c r="AAU110" i="6"/>
  <c r="AAW37" i="6"/>
  <c r="AAW66" i="6"/>
  <c r="AAR11" i="6"/>
  <c r="AAR104" i="6"/>
  <c r="AAR29" i="6"/>
  <c r="AAV24" i="6"/>
  <c r="AAV13" i="6"/>
  <c r="AAW86" i="6"/>
  <c r="AAU26" i="6"/>
  <c r="AAT38" i="6"/>
  <c r="AAS52" i="6"/>
  <c r="AAW25" i="6"/>
  <c r="AAT23" i="6"/>
  <c r="AAW104" i="6"/>
  <c r="AAU64" i="6"/>
  <c r="AAU43" i="6"/>
  <c r="AAV9" i="6"/>
  <c r="AAT51" i="6"/>
  <c r="AAU63" i="6"/>
  <c r="AAU92" i="6"/>
  <c r="AAR23" i="6"/>
  <c r="AAR16" i="6"/>
  <c r="AAR9" i="6"/>
  <c r="AAR93" i="6"/>
  <c r="AAU80" i="6"/>
  <c r="AAU56" i="6"/>
  <c r="AAV104" i="6"/>
  <c r="AAT32" i="6"/>
  <c r="AAW46" i="6"/>
  <c r="AAT106" i="6"/>
  <c r="AAV48" i="6"/>
  <c r="AAS26" i="6"/>
  <c r="AAS85" i="6"/>
  <c r="AAW51" i="6"/>
  <c r="AAT59" i="6"/>
  <c r="AAW13" i="6"/>
  <c r="AAT76" i="6"/>
  <c r="AAT105" i="6"/>
  <c r="AAR58" i="6"/>
  <c r="AAR54" i="6"/>
  <c r="AAR41" i="6"/>
  <c r="AAR109" i="6"/>
  <c r="AAS109" i="6"/>
  <c r="AAS14" i="6"/>
  <c r="AAS20" i="6"/>
  <c r="AAW81" i="6"/>
  <c r="AAU61" i="6"/>
  <c r="AAS13" i="6"/>
  <c r="AAU51" i="6"/>
  <c r="AAU40" i="6"/>
  <c r="AAU16" i="6"/>
  <c r="AAU105" i="6"/>
  <c r="AAS61" i="6"/>
  <c r="AAS16" i="6"/>
  <c r="AAS72" i="6"/>
  <c r="AAT20" i="6"/>
  <c r="AAS89" i="6"/>
  <c r="AAR6" i="6"/>
  <c r="AAU116" i="6"/>
  <c r="AAR24" i="6"/>
  <c r="AAR91" i="6"/>
  <c r="AAR51" i="6"/>
  <c r="AAV22" i="6"/>
  <c r="AAW75" i="6"/>
  <c r="AAT104" i="6"/>
  <c r="AAW9" i="6"/>
  <c r="AAV88" i="6"/>
  <c r="AAU24" i="6"/>
  <c r="AAS74" i="6"/>
  <c r="AAS46" i="6"/>
  <c r="AAV20" i="6"/>
  <c r="AAT9" i="6"/>
  <c r="AAU81" i="6"/>
  <c r="AAW20" i="6"/>
  <c r="AAW84" i="6"/>
  <c r="AAU23" i="6"/>
  <c r="AAW101" i="6"/>
  <c r="AAR66" i="6"/>
  <c r="AAR26" i="6"/>
  <c r="AAT70" i="6"/>
  <c r="AAW50" i="6"/>
  <c r="AAV16" i="6"/>
  <c r="AAS6" i="6"/>
  <c r="AAS47" i="6"/>
  <c r="AAT101" i="6"/>
  <c r="AAV51" i="6"/>
  <c r="AAW22" i="6"/>
  <c r="AAU13" i="6"/>
  <c r="AAV101" i="6"/>
  <c r="AAU22" i="6"/>
  <c r="AAV97" i="6"/>
  <c r="AAS25" i="6"/>
  <c r="AAR102" i="6"/>
  <c r="AAR88" i="6"/>
  <c r="AAR33" i="6"/>
  <c r="AAR74" i="6"/>
  <c r="AAR111" i="6"/>
  <c r="AAR112" i="6"/>
  <c r="AAR113" i="6"/>
  <c r="AAR82" i="6"/>
  <c r="AAR84" i="6"/>
  <c r="AAR37" i="6"/>
  <c r="AAR101" i="6"/>
  <c r="AAW30" i="6"/>
  <c r="AAT90" i="6"/>
  <c r="AAW89" i="6"/>
  <c r="AAW47" i="6"/>
  <c r="AAT8" i="6"/>
  <c r="AAW65" i="6"/>
  <c r="AAV19" i="6"/>
  <c r="AAV83" i="6"/>
  <c r="AAS59" i="6"/>
  <c r="AAS28" i="6"/>
  <c r="AAU96" i="6"/>
  <c r="AAS87" i="6"/>
  <c r="AAS38" i="6"/>
  <c r="AAU88" i="6"/>
  <c r="AAT18" i="6"/>
  <c r="AAW40" i="6"/>
  <c r="AAW64" i="6"/>
  <c r="AAS92" i="6"/>
  <c r="AAW57" i="6"/>
  <c r="AAS115" i="6"/>
  <c r="AAU27" i="6"/>
  <c r="AAS50" i="6"/>
  <c r="AAV75" i="6"/>
  <c r="AAT103" i="6"/>
  <c r="AAV28" i="6"/>
  <c r="AAU77" i="6"/>
  <c r="AAW105" i="6"/>
  <c r="AAS43" i="6"/>
  <c r="AAV67" i="6"/>
  <c r="AAW94" i="6"/>
  <c r="AAV107" i="6"/>
  <c r="AAT14" i="6"/>
  <c r="AAT31" i="6"/>
  <c r="AAU48" i="6"/>
  <c r="AAS67" i="6"/>
  <c r="AAT87" i="6"/>
  <c r="AAW107" i="6"/>
  <c r="AAU11" i="6"/>
  <c r="AAU28" i="6"/>
  <c r="AAU45" i="6"/>
  <c r="AAT63" i="6"/>
  <c r="AAW83" i="6"/>
  <c r="AAT35" i="6"/>
  <c r="AAS48" i="6"/>
  <c r="AAW60" i="6"/>
  <c r="AAV73" i="6"/>
  <c r="AAU86" i="6"/>
  <c r="AAT99" i="6"/>
  <c r="AAS112" i="6"/>
  <c r="AAU39" i="6"/>
  <c r="AAT52" i="6"/>
  <c r="AAS65" i="6"/>
  <c r="AAW77" i="6"/>
  <c r="AAV90" i="6"/>
  <c r="AAU103" i="6"/>
  <c r="AAT116" i="6"/>
  <c r="AAU68" i="6"/>
  <c r="AAT81" i="6"/>
  <c r="AAS94" i="6"/>
  <c r="AAW106" i="6"/>
  <c r="AAR81" i="6"/>
  <c r="AAR25" i="6"/>
  <c r="AAR96" i="6"/>
  <c r="AAR49" i="6"/>
  <c r="AAR90" i="6"/>
  <c r="AAR14" i="6"/>
  <c r="AAR15" i="6"/>
  <c r="AAR8" i="6"/>
  <c r="AAR94" i="6"/>
  <c r="AAR63" i="6"/>
  <c r="AAR28" i="6"/>
  <c r="AAR92" i="6"/>
  <c r="AAR45" i="6"/>
  <c r="AAT45" i="6"/>
  <c r="AAS31" i="6"/>
  <c r="AAW99" i="6"/>
  <c r="AAV108" i="6"/>
  <c r="AAW55" i="6"/>
  <c r="AAU73" i="6"/>
  <c r="AAV27" i="6"/>
  <c r="AAU93" i="6"/>
  <c r="AAU66" i="6"/>
  <c r="AAU36" i="6"/>
  <c r="AAT30" i="6"/>
  <c r="AAW96" i="6"/>
  <c r="AAV43" i="6"/>
  <c r="AAT95" i="6"/>
  <c r="AAT21" i="6"/>
  <c r="AAW43" i="6"/>
  <c r="AAS68" i="6"/>
  <c r="AAW95" i="6"/>
  <c r="AAS18" i="6"/>
  <c r="AAV64" i="6"/>
  <c r="AAT7" i="6"/>
  <c r="AAS30" i="6"/>
  <c r="AAS53" i="6"/>
  <c r="AAS79" i="6"/>
  <c r="AAU107" i="6"/>
  <c r="AAV31" i="6"/>
  <c r="AAT54" i="6"/>
  <c r="AAV80" i="6"/>
  <c r="AAW70" i="6"/>
  <c r="AAT98" i="6"/>
  <c r="AAT110" i="6"/>
  <c r="AAU33" i="6"/>
  <c r="AAU50" i="6"/>
  <c r="AAU69" i="6"/>
  <c r="AAS90" i="6"/>
  <c r="AAV110" i="6"/>
  <c r="AAV30" i="6"/>
  <c r="AAV47" i="6"/>
  <c r="AAS66" i="6"/>
  <c r="AAV86" i="6"/>
  <c r="AAS107" i="6"/>
  <c r="AAT11" i="6"/>
  <c r="AAW36" i="6"/>
  <c r="AAV49" i="6"/>
  <c r="AAU62" i="6"/>
  <c r="AAT75" i="6"/>
  <c r="AAS88" i="6"/>
  <c r="AAW100" i="6"/>
  <c r="AAV113" i="6"/>
  <c r="AAU15" i="6"/>
  <c r="AAT28" i="6"/>
  <c r="AAS41" i="6"/>
  <c r="AAW53" i="6"/>
  <c r="AAV66" i="6"/>
  <c r="AAU79" i="6"/>
  <c r="AAT92" i="6"/>
  <c r="AAS105" i="6"/>
  <c r="AAW117" i="6"/>
  <c r="AAS70" i="6"/>
  <c r="AAW82" i="6"/>
  <c r="AAV95" i="6"/>
  <c r="AAU108" i="6"/>
  <c r="AAR59" i="6"/>
  <c r="AAR64" i="6"/>
  <c r="AAR38" i="6"/>
  <c r="AAR67" i="6"/>
  <c r="AAR110" i="6"/>
  <c r="AAR27" i="6"/>
  <c r="AAR18" i="6"/>
  <c r="AAR73" i="6"/>
  <c r="AAR36" i="6"/>
  <c r="AAR100" i="6"/>
  <c r="AAR53" i="6"/>
  <c r="AAR117" i="6"/>
  <c r="AAV62" i="6"/>
  <c r="AAT39" i="6"/>
  <c r="AAV7" i="6"/>
  <c r="AAS63" i="6"/>
  <c r="AAU19" i="6"/>
  <c r="AAU83" i="6"/>
  <c r="AAS34" i="6"/>
  <c r="AAW103" i="6"/>
  <c r="AAV76" i="6"/>
  <c r="AAV44" i="6"/>
  <c r="AAV8" i="6"/>
  <c r="AAV36" i="6"/>
  <c r="AAS108" i="6"/>
  <c r="AAT49" i="6"/>
  <c r="AAT102" i="6"/>
  <c r="AAW71" i="6"/>
  <c r="AAS99" i="6"/>
  <c r="AAT71" i="6"/>
  <c r="AAT10" i="6"/>
  <c r="AAW32" i="6"/>
  <c r="AAV55" i="6"/>
  <c r="AAU82" i="6"/>
  <c r="AAT111" i="6"/>
  <c r="AAT34" i="6"/>
  <c r="AAT57" i="6"/>
  <c r="AAS84" i="6"/>
  <c r="AAW113" i="6"/>
  <c r="AAW48" i="6"/>
  <c r="AAT74" i="6"/>
  <c r="AAU101" i="6"/>
  <c r="AAV112" i="6"/>
  <c r="AAU18" i="6"/>
  <c r="AAV35" i="6"/>
  <c r="AAV52" i="6"/>
  <c r="AAT72" i="6"/>
  <c r="AAV92" i="6"/>
  <c r="AAW112" i="6"/>
  <c r="AAV15" i="6"/>
  <c r="AAV32" i="6"/>
  <c r="AAW49" i="6"/>
  <c r="AAV68" i="6"/>
  <c r="AAW88" i="6"/>
  <c r="AAV25" i="6"/>
  <c r="AAU38" i="6"/>
  <c r="AAS64" i="6"/>
  <c r="AAW76" i="6"/>
  <c r="AAV89" i="6"/>
  <c r="AAU102" i="6"/>
  <c r="AAT115" i="6"/>
  <c r="AAS17" i="6"/>
  <c r="AAW29" i="6"/>
  <c r="AAV42" i="6"/>
  <c r="AAU55" i="6"/>
  <c r="AAT68" i="6"/>
  <c r="AAS81" i="6"/>
  <c r="AAW93" i="6"/>
  <c r="AAV106" i="6"/>
  <c r="AAW58" i="6"/>
  <c r="AAV71" i="6"/>
  <c r="AAU84" i="6"/>
  <c r="AAT97" i="6"/>
  <c r="AAS110" i="6"/>
  <c r="AAR32" i="6"/>
  <c r="AAR65" i="6"/>
  <c r="AAR89" i="6"/>
  <c r="AAR17" i="6"/>
  <c r="AAR42" i="6"/>
  <c r="AAR43" i="6"/>
  <c r="AAR30" i="6"/>
  <c r="AAR114" i="6"/>
  <c r="AAR83" i="6"/>
  <c r="AAR44" i="6"/>
  <c r="AAR108" i="6"/>
  <c r="AAR61" i="6"/>
  <c r="AAT80" i="6"/>
  <c r="AAT47" i="6"/>
  <c r="AAS11" i="6"/>
  <c r="AAW72" i="6"/>
  <c r="AAU25" i="6"/>
  <c r="AAT93" i="6"/>
  <c r="AAT42" i="6"/>
  <c r="AAV116" i="6"/>
  <c r="AAT86" i="6"/>
  <c r="AAS45" i="6"/>
  <c r="AAS55" i="6"/>
  <c r="AAW110" i="6"/>
  <c r="AAU49" i="6"/>
  <c r="AAU75" i="6"/>
  <c r="AAS103" i="6"/>
  <c r="AAU29" i="6"/>
  <c r="AAT78" i="6"/>
  <c r="AAW35" i="6"/>
  <c r="AAU58" i="6"/>
  <c r="AAV85" i="6"/>
  <c r="AAS116" i="6"/>
  <c r="AAT37" i="6"/>
  <c r="AAS60" i="6"/>
  <c r="AAW87" i="6"/>
  <c r="AAU6" i="6"/>
  <c r="AAS29" i="6"/>
  <c r="AAV77" i="6"/>
  <c r="AAS106" i="6"/>
  <c r="AAU115" i="6"/>
  <c r="AAV37" i="6"/>
  <c r="AAW54" i="6"/>
  <c r="AAU74" i="6"/>
  <c r="AAS95" i="6"/>
  <c r="AAV115" i="6"/>
  <c r="AAW17" i="6"/>
  <c r="AAW34" i="6"/>
  <c r="AAS71" i="6"/>
  <c r="AAV91" i="6"/>
  <c r="AAT112" i="6"/>
  <c r="AAU14" i="6"/>
  <c r="AAT27" i="6"/>
  <c r="AAS40" i="6"/>
  <c r="AAW52" i="6"/>
  <c r="AAV65" i="6"/>
  <c r="AAU78" i="6"/>
  <c r="AAT91" i="6"/>
  <c r="AAW116" i="6"/>
  <c r="AAV18" i="6"/>
  <c r="AAU31" i="6"/>
  <c r="AAT44" i="6"/>
  <c r="AAS57" i="6"/>
  <c r="AAW69" i="6"/>
  <c r="AAV82" i="6"/>
  <c r="AAU95" i="6"/>
  <c r="AAT108" i="6"/>
  <c r="AAU60" i="6"/>
  <c r="AAT73" i="6"/>
  <c r="AAS86" i="6"/>
  <c r="AAW98" i="6"/>
  <c r="AAV111" i="6"/>
  <c r="AAR97" i="6"/>
  <c r="AAR10" i="6"/>
  <c r="AAR47" i="6"/>
  <c r="AAR107" i="6"/>
  <c r="AAR35" i="6"/>
  <c r="AAR56" i="6"/>
  <c r="AAR57" i="6"/>
  <c r="AAR40" i="6"/>
  <c r="AAR95" i="6"/>
  <c r="AAR52" i="6"/>
  <c r="AAR116" i="6"/>
  <c r="AAR69" i="6"/>
  <c r="AAU97" i="6"/>
  <c r="AAV53" i="6"/>
  <c r="AAS19" i="6"/>
  <c r="AAS83" i="6"/>
  <c r="AAW33" i="6"/>
  <c r="AAS101" i="6"/>
  <c r="AAT50" i="6"/>
  <c r="AAV14" i="6"/>
  <c r="AAV93" i="6"/>
  <c r="AAV59" i="6"/>
  <c r="AAU42" i="6"/>
  <c r="AAT53" i="6"/>
  <c r="AAS15" i="6"/>
  <c r="AAT61" i="6"/>
  <c r="AAW6" i="6"/>
  <c r="AAV29" i="6"/>
  <c r="AAU52" i="6"/>
  <c r="AAV78" i="6"/>
  <c r="AAU106" i="6"/>
  <c r="AAS35" i="6"/>
  <c r="AAT85" i="6"/>
  <c r="AAW15" i="6"/>
  <c r="AAV38" i="6"/>
  <c r="AAT62" i="6"/>
  <c r="AAU89" i="6"/>
  <c r="AAU117" i="6"/>
  <c r="AAT40" i="6"/>
  <c r="AAW63" i="6"/>
  <c r="AAS91" i="6"/>
  <c r="AAW8" i="6"/>
  <c r="AAW31" i="6"/>
  <c r="AAV54" i="6"/>
  <c r="AAW80" i="6"/>
  <c r="AAV117" i="6"/>
  <c r="AAW39" i="6"/>
  <c r="AAW56" i="6"/>
  <c r="AAT77" i="6"/>
  <c r="AAW97" i="6"/>
  <c r="AAT114" i="6"/>
  <c r="AAW19" i="6"/>
  <c r="AAS37" i="6"/>
  <c r="AAS54" i="6"/>
  <c r="AAW73" i="6"/>
  <c r="AAT94" i="6"/>
  <c r="AAU114" i="6"/>
  <c r="AAW28" i="6"/>
  <c r="AAV41" i="6"/>
  <c r="AAU54" i="6"/>
  <c r="AAT67" i="6"/>
  <c r="AAS80" i="6"/>
  <c r="AAW92" i="6"/>
  <c r="AAV105" i="6"/>
  <c r="AAU7" i="6"/>
  <c r="AAS33" i="6"/>
  <c r="AAW45" i="6"/>
  <c r="AAV58" i="6"/>
  <c r="AAU71" i="6"/>
  <c r="AAT84" i="6"/>
  <c r="AAS97" i="6"/>
  <c r="AAS62" i="6"/>
  <c r="AAW74" i="6"/>
  <c r="AAV87" i="6"/>
  <c r="AAU100" i="6"/>
  <c r="AAT113" i="6"/>
  <c r="AAR7" i="6"/>
  <c r="AAR79" i="6"/>
  <c r="AAR55" i="6"/>
  <c r="AAR70" i="6"/>
  <c r="AAR71" i="6"/>
  <c r="AAR50" i="6"/>
  <c r="AAR19" i="6"/>
  <c r="AAR105" i="6"/>
  <c r="AAR60" i="6"/>
  <c r="AAR77" i="6"/>
  <c r="AAT6" i="6"/>
  <c r="AAW62" i="6"/>
  <c r="AAW38" i="6"/>
  <c r="AAT25" i="6"/>
  <c r="AAU90" i="6"/>
  <c r="AAW41" i="6"/>
  <c r="AAU112" i="6"/>
  <c r="AAV56" i="6"/>
  <c r="AAW27" i="6"/>
  <c r="AAU10" i="6"/>
  <c r="AAT69" i="6"/>
  <c r="AAW59" i="6"/>
  <c r="AAS21" i="6"/>
  <c r="AAW67" i="6"/>
  <c r="AAU32" i="6"/>
  <c r="AAT55" i="6"/>
  <c r="AAS82" i="6"/>
  <c r="AAS111" i="6"/>
  <c r="AAV40" i="6"/>
  <c r="AAW91" i="6"/>
  <c r="AAW18" i="6"/>
  <c r="AAU41" i="6"/>
  <c r="AAU65" i="6"/>
  <c r="AAS93" i="6"/>
  <c r="AAU113" i="6"/>
  <c r="AAW42" i="6"/>
  <c r="AAU67" i="6"/>
  <c r="AAV94" i="6"/>
  <c r="AAW11" i="6"/>
  <c r="AAU34" i="6"/>
  <c r="AAU57" i="6"/>
  <c r="AAV84" i="6"/>
  <c r="AAS114" i="6"/>
  <c r="AAW7" i="6"/>
  <c r="AAS42" i="6"/>
  <c r="AAU59" i="6"/>
  <c r="AAW79" i="6"/>
  <c r="AAS100" i="6"/>
  <c r="AAS117" i="6"/>
  <c r="AAS39" i="6"/>
  <c r="AAT56" i="6"/>
  <c r="AAS76" i="6"/>
  <c r="AAV96" i="6"/>
  <c r="AAT117" i="6"/>
  <c r="AAV17" i="6"/>
  <c r="AAU30" i="6"/>
  <c r="AAT43" i="6"/>
  <c r="AAS56" i="6"/>
  <c r="AAW68" i="6"/>
  <c r="AAV81" i="6"/>
  <c r="AAU94" i="6"/>
  <c r="AAT107" i="6"/>
  <c r="AAW21" i="6"/>
  <c r="AAV34" i="6"/>
  <c r="AAU47" i="6"/>
  <c r="AAT60" i="6"/>
  <c r="AAS73" i="6"/>
  <c r="AAW85" i="6"/>
  <c r="AAV98" i="6"/>
  <c r="AAU111" i="6"/>
  <c r="AAV63" i="6"/>
  <c r="AAU76" i="6"/>
  <c r="AAT89" i="6"/>
  <c r="AAS102" i="6"/>
  <c r="AAW114" i="6"/>
  <c r="AAR48" i="6"/>
  <c r="AAR39" i="6"/>
  <c r="AAR78" i="6"/>
  <c r="AAR106" i="6"/>
  <c r="AAR34" i="6"/>
  <c r="AAR75" i="6"/>
  <c r="AAR86" i="6"/>
  <c r="AAR87" i="6"/>
  <c r="AAR62" i="6"/>
  <c r="AAR31" i="6"/>
  <c r="AAR115" i="6"/>
  <c r="AAR68" i="6"/>
  <c r="AAR21" i="6"/>
  <c r="AAR85" i="6"/>
  <c r="AAR80" i="6"/>
  <c r="AAV11" i="6"/>
  <c r="AAV72" i="6"/>
  <c r="AAU53" i="6"/>
  <c r="AAT33" i="6"/>
  <c r="AAV100" i="6"/>
  <c r="AAT48" i="6"/>
  <c r="AAU8" i="6"/>
  <c r="AAT66" i="6"/>
  <c r="AAS36" i="6"/>
  <c r="AAS77" i="6"/>
  <c r="AAW10" i="6"/>
  <c r="AAV69" i="6"/>
  <c r="AAS75" i="6"/>
  <c r="AAU35" i="6"/>
  <c r="AAS58" i="6"/>
  <c r="AAU85" i="6"/>
  <c r="AAW115" i="6"/>
  <c r="AAU98" i="6"/>
  <c r="AAU21" i="6"/>
  <c r="AAU44" i="6"/>
  <c r="AAS69" i="6"/>
  <c r="AAT96" i="6"/>
  <c r="AAV45" i="6"/>
  <c r="AAV70" i="6"/>
  <c r="AAS98" i="6"/>
  <c r="AAW14" i="6"/>
  <c r="AAU37" i="6"/>
  <c r="AAV60" i="6"/>
  <c r="AAT88" i="6"/>
  <c r="AAV102" i="6"/>
  <c r="AAS10" i="6"/>
  <c r="AAS27" i="6"/>
  <c r="AAS44" i="6"/>
  <c r="AAV61" i="6"/>
  <c r="AAT82" i="6"/>
  <c r="AAW102" i="6"/>
  <c r="AAS7" i="6"/>
  <c r="AAT41" i="6"/>
  <c r="AAT58" i="6"/>
  <c r="AAW78" i="6"/>
  <c r="AAU99" i="6"/>
  <c r="AAV6" i="6"/>
  <c r="AAT19" i="6"/>
  <c r="AAS32" i="6"/>
  <c r="AAW44" i="6"/>
  <c r="AAV57" i="6"/>
  <c r="AAU70" i="6"/>
  <c r="AAT83" i="6"/>
  <c r="AAS96" i="6"/>
  <c r="AAW108" i="6"/>
  <c r="AAV10" i="6"/>
  <c r="AAT36" i="6"/>
  <c r="AAS49" i="6"/>
  <c r="AAW61" i="6"/>
  <c r="AAV74" i="6"/>
  <c r="AAU87" i="6"/>
  <c r="AAT100" i="6"/>
  <c r="AAS113" i="6"/>
  <c r="AAT65" i="6"/>
  <c r="AAS78" i="6"/>
  <c r="AAW90" i="6"/>
  <c r="AAV103" i="6"/>
  <c r="Q246" i="4" a="1"/>
  <c r="Q246" i="4" s="1"/>
  <c r="Q245" i="4" a="1"/>
  <c r="Q245" i="4" s="1"/>
  <c r="Q240" i="4" a="1"/>
  <c r="Q240" i="4" s="1"/>
  <c r="Q249" i="4" a="1"/>
  <c r="Q249" i="4" s="1"/>
  <c r="Q248" i="4" a="1"/>
  <c r="Q248" i="4" s="1"/>
  <c r="Y7" i="4" a="1"/>
  <c r="Y7" i="4" s="1"/>
  <c r="Q6" i="4" s="1"/>
  <c r="Q254" i="4" a="1"/>
  <c r="Q254" i="4" s="1"/>
  <c r="AA7" i="4" a="1"/>
  <c r="AA7" i="4" s="1"/>
  <c r="Q8" i="4" s="1"/>
  <c r="Q252" i="4" a="1"/>
  <c r="Q252" i="4" s="1"/>
  <c r="AA8" i="4" a="1"/>
  <c r="AA8" i="4" s="1"/>
  <c r="Q12" i="4" s="1"/>
  <c r="Q250" i="4" a="1"/>
  <c r="Q250" i="4" s="1"/>
  <c r="Q241" i="4" a="1"/>
  <c r="Q241" i="4" s="1"/>
  <c r="Q253" i="4" a="1"/>
  <c r="Q253" i="4" s="1"/>
  <c r="Q244" i="4" a="1"/>
  <c r="Q244" i="4" s="1"/>
  <c r="AA9" i="4" a="1"/>
  <c r="AA9" i="4" s="1"/>
  <c r="Q16" i="4" s="1"/>
  <c r="Q242" i="4" a="1"/>
  <c r="Q242" i="4" s="1"/>
  <c r="Y9" i="4" a="1"/>
  <c r="Y9" i="4" s="1"/>
  <c r="Q14" i="4" s="1"/>
  <c r="H242" i="4" a="1"/>
  <c r="H242" i="4" s="1"/>
  <c r="G242" i="4" a="1"/>
  <c r="G242" i="4" s="1"/>
  <c r="H241" i="4" a="1"/>
  <c r="H241" i="4" s="1"/>
  <c r="Z8" i="4" a="1"/>
  <c r="Z8" i="4" s="1"/>
  <c r="Q11" i="4" s="1"/>
  <c r="H243" i="4" a="1"/>
  <c r="H243" i="4" s="1"/>
  <c r="H244" i="4" a="1"/>
  <c r="H244" i="4" s="1"/>
  <c r="Z7" i="4" a="1"/>
  <c r="Z7" i="4" s="1"/>
  <c r="Q7" i="4" s="1"/>
  <c r="Z9" i="4" a="1"/>
  <c r="Z9" i="4" s="1"/>
  <c r="Q15" i="4" s="1"/>
  <c r="G241" i="4" a="1"/>
  <c r="G241" i="4" s="1"/>
  <c r="Y8" i="4" a="1"/>
  <c r="Y8" i="4" s="1"/>
  <c r="Q10" i="4" s="1"/>
  <c r="G243" i="4" a="1"/>
  <c r="G243" i="4" s="1"/>
  <c r="G244" i="4" a="1"/>
  <c r="G244" i="4" s="1"/>
  <c r="G288" i="4" a="1"/>
  <c r="G288" i="4" s="1"/>
  <c r="G284" i="4" a="1"/>
  <c r="G284" i="4" s="1"/>
  <c r="G291" i="4" a="1"/>
  <c r="G291" i="4" s="1"/>
  <c r="G292" i="4" a="1"/>
  <c r="G292" i="4" s="1"/>
  <c r="G34" i="4" a="1"/>
  <c r="G34" i="4" s="1"/>
  <c r="G293" i="4" a="1"/>
  <c r="G293" i="4" s="1"/>
  <c r="G231" i="4" a="1"/>
  <c r="G231" i="4" s="1"/>
  <c r="G294" i="4" a="1"/>
  <c r="G294" i="4" s="1"/>
  <c r="G232" i="4" a="1"/>
  <c r="G232" i="4" s="1"/>
  <c r="G233" i="4" a="1"/>
  <c r="G233" i="4" s="1"/>
  <c r="G285" i="4" a="1"/>
  <c r="G285" i="4" s="1"/>
  <c r="G286" i="4" a="1"/>
  <c r="G286" i="4" s="1"/>
  <c r="G30" i="4" a="1"/>
  <c r="G30" i="4" s="1"/>
  <c r="G287" i="4" a="1"/>
  <c r="G287" i="4" s="1"/>
  <c r="G224" i="4" a="1"/>
  <c r="G224" i="4" s="1"/>
  <c r="G225" i="4" a="1"/>
  <c r="G225" i="4" s="1"/>
  <c r="G31" i="4" a="1"/>
  <c r="G31" i="4" s="1"/>
  <c r="G226" i="4" a="1"/>
  <c r="G226" i="4" s="1"/>
  <c r="G32" i="4" a="1"/>
  <c r="G32" i="4" s="1"/>
  <c r="G33" i="4" a="1"/>
  <c r="G33" i="4" s="1"/>
  <c r="G227" i="4" a="1"/>
  <c r="G227" i="4" s="1"/>
  <c r="G21" i="4" a="1"/>
  <c r="G21" i="4" s="1"/>
  <c r="G22" i="4" a="1"/>
  <c r="G22" i="4" s="1"/>
  <c r="G23" i="4" a="1"/>
  <c r="G23" i="4" s="1"/>
  <c r="G24" i="4" a="1"/>
  <c r="G24" i="4" s="1"/>
  <c r="G18" i="4" a="1"/>
  <c r="G18" i="4" s="1"/>
  <c r="G25" i="4" a="1"/>
  <c r="G25" i="4" s="1"/>
  <c r="G19" i="4" a="1"/>
  <c r="G19" i="4" s="1"/>
  <c r="G20" i="4" a="1"/>
  <c r="G20" i="4" s="1"/>
  <c r="G26" i="4" a="1"/>
  <c r="G26" i="4" s="1"/>
  <c r="Q163" i="4" a="1"/>
  <c r="Q163" i="4" s="1"/>
  <c r="Q57" i="4" a="1"/>
  <c r="Q57" i="4" s="1"/>
  <c r="Q197" i="4" a="1"/>
  <c r="Q197" i="4" s="1"/>
  <c r="Q66" i="4" a="1"/>
  <c r="Q66" i="4" s="1"/>
  <c r="Q207" i="4" a="1"/>
  <c r="Q207" i="4" s="1"/>
  <c r="Q82" i="4" a="1"/>
  <c r="Q82" i="4" s="1"/>
  <c r="Q90" i="4" a="1"/>
  <c r="Q90" i="4" s="1"/>
  <c r="Q235" i="4" a="1"/>
  <c r="Q235" i="4" s="1"/>
  <c r="Q122" i="4" a="1"/>
  <c r="Q122" i="4" s="1"/>
  <c r="Q276" i="4" a="1"/>
  <c r="Q276" i="4" s="1"/>
  <c r="Q130" i="4" a="1"/>
  <c r="Q130" i="4" s="1"/>
  <c r="Q155" i="4" a="1"/>
  <c r="Q155" i="4" s="1"/>
  <c r="Q303" i="4" a="1"/>
  <c r="Q303" i="4" s="1"/>
  <c r="Q98" i="4" a="1"/>
  <c r="Q98" i="4" s="1"/>
  <c r="Q172" i="4" a="1"/>
  <c r="Q172" i="4" s="1"/>
  <c r="Q41" i="4" a="1"/>
  <c r="Q41" i="4" s="1"/>
  <c r="Q106" i="4" a="1"/>
  <c r="Q106" i="4" s="1"/>
  <c r="Q180" i="4" a="1"/>
  <c r="Q180" i="4" s="1"/>
  <c r="Q257" i="4" a="1"/>
  <c r="Q257" i="4" s="1"/>
  <c r="Q49" i="4" a="1"/>
  <c r="Q49" i="4" s="1"/>
  <c r="Q115" i="4" a="1"/>
  <c r="Q115" i="4" s="1"/>
  <c r="Q188" i="4" a="1"/>
  <c r="Q188" i="4" s="1"/>
  <c r="Q267" i="4" a="1"/>
  <c r="Q267" i="4" s="1"/>
  <c r="Q74" i="4" a="1"/>
  <c r="Q74" i="4" s="1"/>
  <c r="Q147" i="4" a="1"/>
  <c r="Q147" i="4" s="1"/>
  <c r="Q216" i="4" a="1"/>
  <c r="Q216" i="4" s="1"/>
  <c r="Q28" i="4" a="1"/>
  <c r="Q28" i="4" s="1"/>
  <c r="Q36" i="4" a="1"/>
  <c r="Q36" i="4" s="1"/>
  <c r="Q45" i="4" a="1"/>
  <c r="Q45" i="4" s="1"/>
  <c r="Q53" i="4" a="1"/>
  <c r="Q53" i="4" s="1"/>
  <c r="Q61" i="4" a="1"/>
  <c r="Q61" i="4" s="1"/>
  <c r="Q69" i="4" a="1"/>
  <c r="Q69" i="4" s="1"/>
  <c r="Q77" i="4" a="1"/>
  <c r="Q77" i="4" s="1"/>
  <c r="Q84" i="4" a="1"/>
  <c r="Q84" i="4" s="1"/>
  <c r="Q92" i="4" a="1"/>
  <c r="Q92" i="4" s="1"/>
  <c r="Q110" i="4" a="1"/>
  <c r="Q110" i="4" s="1"/>
  <c r="Q117" i="4" a="1"/>
  <c r="Q117" i="4" s="1"/>
  <c r="Q125" i="4" a="1"/>
  <c r="Q125" i="4" s="1"/>
  <c r="Q133" i="4" a="1"/>
  <c r="Q133" i="4" s="1"/>
  <c r="Q141" i="4" a="1"/>
  <c r="Q141" i="4" s="1"/>
  <c r="Q151" i="4" a="1"/>
  <c r="Q151" i="4" s="1"/>
  <c r="Q167" i="4" a="1"/>
  <c r="Q167" i="4" s="1"/>
  <c r="Q175" i="4" a="1"/>
  <c r="Q175" i="4" s="1"/>
  <c r="Q183" i="4" a="1"/>
  <c r="Q183" i="4" s="1"/>
  <c r="Q191" i="4" a="1"/>
  <c r="Q191" i="4" s="1"/>
  <c r="Q201" i="4" a="1"/>
  <c r="Q201" i="4" s="1"/>
  <c r="Q210" i="4" a="1"/>
  <c r="Q210" i="4" s="1"/>
  <c r="Q219" i="4" a="1"/>
  <c r="Q219" i="4" s="1"/>
  <c r="Q229" i="4" a="1"/>
  <c r="Q229" i="4" s="1"/>
  <c r="Q261" i="4" a="1"/>
  <c r="Q261" i="4" s="1"/>
  <c r="Q270" i="4" a="1"/>
  <c r="Q270" i="4" s="1"/>
  <c r="Q279" i="4" a="1"/>
  <c r="Q279" i="4" s="1"/>
  <c r="Q38" i="4" a="1"/>
  <c r="Q38" i="4" s="1"/>
  <c r="R38" i="4" s="1"/>
  <c r="Q54" i="4" a="1"/>
  <c r="Q54" i="4" s="1"/>
  <c r="Q62" i="4" a="1"/>
  <c r="Q62" i="4" s="1"/>
  <c r="Q70" i="4" a="1"/>
  <c r="Q70" i="4" s="1"/>
  <c r="Q85" i="4" a="1"/>
  <c r="Q85" i="4" s="1"/>
  <c r="Q94" i="4" a="1"/>
  <c r="Q94" i="4" s="1"/>
  <c r="Q102" i="4" a="1"/>
  <c r="Q102" i="4" s="1"/>
  <c r="Q118" i="4" a="1"/>
  <c r="Q118" i="4" s="1"/>
  <c r="Q126" i="4" a="1"/>
  <c r="Q126" i="4" s="1"/>
  <c r="Q134" i="4" a="1"/>
  <c r="Q134" i="4" s="1"/>
  <c r="Q143" i="4" a="1"/>
  <c r="Q143" i="4" s="1"/>
  <c r="Q152" i="4" a="1"/>
  <c r="Q152" i="4" s="1"/>
  <c r="Q159" i="4" a="1"/>
  <c r="Q159" i="4" s="1"/>
  <c r="Q176" i="4" a="1"/>
  <c r="Q176" i="4" s="1"/>
  <c r="Q184" i="4" a="1"/>
  <c r="Q184" i="4" s="1"/>
  <c r="Q193" i="4" a="1"/>
  <c r="Q193" i="4" s="1"/>
  <c r="Q202" i="4" a="1"/>
  <c r="Q202" i="4" s="1"/>
  <c r="Q211" i="4" a="1"/>
  <c r="Q211" i="4" s="1"/>
  <c r="Q221" i="4" a="1"/>
  <c r="Q221" i="4" s="1"/>
  <c r="R221" i="4" s="1"/>
  <c r="Q262" i="4" a="1"/>
  <c r="Q262" i="4" s="1"/>
  <c r="Q272" i="4" a="1"/>
  <c r="Q272" i="4" s="1"/>
  <c r="Q280" i="4" a="1"/>
  <c r="Q280" i="4" s="1"/>
  <c r="Q289" i="4" a="1"/>
  <c r="Q289" i="4" s="1"/>
  <c r="Q298" i="4" a="1"/>
  <c r="Q298" i="4" s="1"/>
  <c r="Q39" i="4" a="1"/>
  <c r="Q39" i="4" s="1"/>
  <c r="Q46" i="4" a="1"/>
  <c r="Q46" i="4" s="1"/>
  <c r="Q63" i="4" a="1"/>
  <c r="Q63" i="4" s="1"/>
  <c r="Q71" i="4" a="1"/>
  <c r="Q71" i="4" s="1"/>
  <c r="Q78" i="4" a="1"/>
  <c r="Q78" i="4" s="1"/>
  <c r="Q87" i="4" a="1"/>
  <c r="Q87" i="4" s="1"/>
  <c r="Q95" i="4" a="1"/>
  <c r="Q95" i="4" s="1"/>
  <c r="Q103" i="4" a="1"/>
  <c r="Q103" i="4" s="1"/>
  <c r="Q111" i="4" a="1"/>
  <c r="Q111" i="4" s="1"/>
  <c r="Q119" i="4" a="1"/>
  <c r="Q119" i="4" s="1"/>
  <c r="Q127" i="4" a="1"/>
  <c r="Q127" i="4" s="1"/>
  <c r="Q136" i="4" a="1"/>
  <c r="Q136" i="4" s="1"/>
  <c r="Q144" i="4" a="1"/>
  <c r="Q144" i="4" s="1"/>
  <c r="Q153" i="4" a="1"/>
  <c r="Q153" i="4" s="1"/>
  <c r="Q160" i="4" a="1"/>
  <c r="Q160" i="4" s="1"/>
  <c r="Q168" i="4" a="1"/>
  <c r="Q168" i="4" s="1"/>
  <c r="Q186" i="4" a="1"/>
  <c r="Q186" i="4" s="1"/>
  <c r="Q194" i="4" a="1"/>
  <c r="Q194" i="4" s="1"/>
  <c r="Q203" i="4" a="1"/>
  <c r="Q203" i="4" s="1"/>
  <c r="Q212" i="4" a="1"/>
  <c r="Q212" i="4" s="1"/>
  <c r="Q222" i="4" a="1"/>
  <c r="Q222" i="4" s="1"/>
  <c r="Q264" i="4" a="1"/>
  <c r="Q264" i="4" s="1"/>
  <c r="Q273" i="4" a="1"/>
  <c r="Q273" i="4" s="1"/>
  <c r="Q281" i="4" a="1"/>
  <c r="Q281" i="4" s="1"/>
  <c r="Q299" i="4" a="1"/>
  <c r="Q299" i="4" s="1"/>
  <c r="Q40" i="4" a="1"/>
  <c r="Q40" i="4" s="1"/>
  <c r="R40" i="4" s="1"/>
  <c r="Q47" i="4" a="1"/>
  <c r="Q47" i="4" s="1"/>
  <c r="Q55" i="4" a="1"/>
  <c r="Q55" i="4" s="1"/>
  <c r="Q73" i="4" a="1"/>
  <c r="Q73" i="4" s="1"/>
  <c r="Q80" i="4" a="1"/>
  <c r="Q80" i="4" s="1"/>
  <c r="Q88" i="4" a="1"/>
  <c r="Q88" i="4" s="1"/>
  <c r="Q96" i="4" a="1"/>
  <c r="Q96" i="4" s="1"/>
  <c r="Q104" i="4" a="1"/>
  <c r="Q104" i="4" s="1"/>
  <c r="Q112" i="4" a="1"/>
  <c r="Q112" i="4" s="1"/>
  <c r="Q129" i="4" a="1"/>
  <c r="Q129" i="4" s="1"/>
  <c r="Q137" i="4" a="1"/>
  <c r="Q137" i="4" s="1"/>
  <c r="Q145" i="4" a="1"/>
  <c r="Q145" i="4" s="1"/>
  <c r="Q161" i="4" a="1"/>
  <c r="Q161" i="4" s="1"/>
  <c r="Q169" i="4" a="1"/>
  <c r="Q169" i="4" s="1"/>
  <c r="Q177" i="4" a="1"/>
  <c r="Q177" i="4" s="1"/>
  <c r="Q195" i="4" a="1"/>
  <c r="Q195" i="4" s="1"/>
  <c r="Q204" i="4" a="1"/>
  <c r="Q204" i="4" s="1"/>
  <c r="Q214" i="4" a="1"/>
  <c r="Q214" i="4" s="1"/>
  <c r="Q265" i="4" a="1"/>
  <c r="Q265" i="4" s="1"/>
  <c r="Q274" i="4" a="1"/>
  <c r="Q274" i="4" s="1"/>
  <c r="Q282" i="4" a="1"/>
  <c r="Q282" i="4" s="1"/>
  <c r="Q300" i="4" a="1"/>
  <c r="Q300" i="4" s="1"/>
  <c r="Q48" i="4" a="1"/>
  <c r="Q48" i="4" s="1"/>
  <c r="Q56" i="4" a="1"/>
  <c r="Q56" i="4" s="1"/>
  <c r="Q64" i="4" a="1"/>
  <c r="Q64" i="4" s="1"/>
  <c r="Q81" i="4" a="1"/>
  <c r="Q81" i="4" s="1"/>
  <c r="Q89" i="4" a="1"/>
  <c r="Q89" i="4" s="1"/>
  <c r="Q97" i="4" a="1"/>
  <c r="Q97" i="4" s="1"/>
  <c r="Q105" i="4" a="1"/>
  <c r="Q105" i="4" s="1"/>
  <c r="Q113" i="4" a="1"/>
  <c r="Q113" i="4" s="1"/>
  <c r="Q120" i="4" a="1"/>
  <c r="Q120" i="4" s="1"/>
  <c r="Q138" i="4" a="1"/>
  <c r="Q138" i="4" s="1"/>
  <c r="Q146" i="4" a="1"/>
  <c r="Q146" i="4" s="1"/>
  <c r="Q154" i="4" a="1"/>
  <c r="Q154" i="4" s="1"/>
  <c r="Q162" i="4" a="1"/>
  <c r="Q162" i="4" s="1"/>
  <c r="Q170" i="4" a="1"/>
  <c r="Q170" i="4" s="1"/>
  <c r="Q179" i="4" a="1"/>
  <c r="Q179" i="4" s="1"/>
  <c r="Q187" i="4" a="1"/>
  <c r="Q187" i="4" s="1"/>
  <c r="Q196" i="4" a="1"/>
  <c r="Q196" i="4" s="1"/>
  <c r="Q205" i="4" a="1"/>
  <c r="Q205" i="4" s="1"/>
  <c r="Q215" i="4" a="1"/>
  <c r="Q215" i="4" s="1"/>
  <c r="Q234" i="4" a="1"/>
  <c r="Q234" i="4" s="1"/>
  <c r="Q256" i="4" a="1"/>
  <c r="Q256" i="4" s="1"/>
  <c r="Q266" i="4" a="1"/>
  <c r="Q266" i="4" s="1"/>
  <c r="Q275" i="4" a="1"/>
  <c r="Q275" i="4" s="1"/>
  <c r="Q302" i="4" a="1"/>
  <c r="Q302" i="4" s="1"/>
  <c r="Q35" i="4" a="1"/>
  <c r="Q35" i="4" s="1"/>
  <c r="Q42" i="4" a="1"/>
  <c r="Q42" i="4" s="1"/>
  <c r="R42" i="4" s="1"/>
  <c r="Q50" i="4" a="1"/>
  <c r="Q50" i="4" s="1"/>
  <c r="Q59" i="4" a="1"/>
  <c r="Q59" i="4" s="1"/>
  <c r="Q67" i="4" a="1"/>
  <c r="Q67" i="4" s="1"/>
  <c r="Q75" i="4" a="1"/>
  <c r="Q75" i="4" s="1"/>
  <c r="Q91" i="4" a="1"/>
  <c r="Q91" i="4" s="1"/>
  <c r="Q99" i="4" a="1"/>
  <c r="Q99" i="4" s="1"/>
  <c r="Q108" i="4" a="1"/>
  <c r="Q108" i="4" s="1"/>
  <c r="Q123" i="4" a="1"/>
  <c r="Q123" i="4" s="1"/>
  <c r="Q131" i="4" a="1"/>
  <c r="Q131" i="4" s="1"/>
  <c r="Q139" i="4" a="1"/>
  <c r="Q139" i="4" s="1"/>
  <c r="Q156" i="4" a="1"/>
  <c r="Q156" i="4" s="1"/>
  <c r="Q165" i="4" a="1"/>
  <c r="Q165" i="4" s="1"/>
  <c r="Q173" i="4" a="1"/>
  <c r="Q173" i="4" s="1"/>
  <c r="Q181" i="4" a="1"/>
  <c r="Q181" i="4" s="1"/>
  <c r="Q189" i="4" a="1"/>
  <c r="Q189" i="4" s="1"/>
  <c r="Q198" i="4" a="1"/>
  <c r="Q198" i="4" s="1"/>
  <c r="Q208" i="4" a="1"/>
  <c r="Q208" i="4" s="1"/>
  <c r="Q217" i="4" a="1"/>
  <c r="Q217" i="4" s="1"/>
  <c r="Q237" i="4" a="1"/>
  <c r="Q237" i="4" s="1"/>
  <c r="R237" i="4" s="1"/>
  <c r="Q258" i="4" a="1"/>
  <c r="Q258" i="4" s="1"/>
  <c r="Q268" i="4" a="1"/>
  <c r="Q268" i="4" s="1"/>
  <c r="Q277" i="4" a="1"/>
  <c r="Q277" i="4" s="1"/>
  <c r="Q295" i="4" a="1"/>
  <c r="Q295" i="4" s="1"/>
  <c r="Q304" i="4" a="1"/>
  <c r="Q304" i="4" s="1"/>
  <c r="Q27" i="4" a="1"/>
  <c r="Q27" i="4" s="1"/>
  <c r="Q43" i="4" a="1"/>
  <c r="Q43" i="4" s="1"/>
  <c r="Q52" i="4" a="1"/>
  <c r="Q52" i="4" s="1"/>
  <c r="Q60" i="4" a="1"/>
  <c r="Q60" i="4" s="1"/>
  <c r="Q68" i="4" a="1"/>
  <c r="Q68" i="4" s="1"/>
  <c r="Q76" i="4" a="1"/>
  <c r="Q76" i="4" s="1"/>
  <c r="Q83" i="4" a="1"/>
  <c r="Q83" i="4" s="1"/>
  <c r="Q101" i="4" a="1"/>
  <c r="Q101" i="4" s="1"/>
  <c r="Q109" i="4" a="1"/>
  <c r="Q109" i="4" s="1"/>
  <c r="Q116" i="4" a="1"/>
  <c r="Q116" i="4" s="1"/>
  <c r="Q124" i="4" a="1"/>
  <c r="Q124" i="4" s="1"/>
  <c r="Q132" i="4" a="1"/>
  <c r="Q132" i="4" s="1"/>
  <c r="Q140" i="4" a="1"/>
  <c r="Q140" i="4" s="1"/>
  <c r="Q148" i="4" a="1"/>
  <c r="Q148" i="4" s="1"/>
  <c r="Q158" i="4" a="1"/>
  <c r="Q158" i="4" s="1"/>
  <c r="Q166" i="4" a="1"/>
  <c r="Q166" i="4" s="1"/>
  <c r="Q174" i="4" a="1"/>
  <c r="Q174" i="4" s="1"/>
  <c r="Q182" i="4" a="1"/>
  <c r="Q182" i="4" s="1"/>
  <c r="Q190" i="4" a="1"/>
  <c r="Q190" i="4" s="1"/>
  <c r="Q200" i="4" a="1"/>
  <c r="Q200" i="4" s="1"/>
  <c r="Q209" i="4" a="1"/>
  <c r="Q209" i="4" s="1"/>
  <c r="Q218" i="4" a="1"/>
  <c r="Q218" i="4" s="1"/>
  <c r="Q228" i="4" a="1"/>
  <c r="Q228" i="4" s="1"/>
  <c r="Q238" i="4" a="1"/>
  <c r="Q238" i="4" s="1"/>
  <c r="Q260" i="4" a="1"/>
  <c r="Q260" i="4" s="1"/>
  <c r="Q269" i="4" a="1"/>
  <c r="Q269" i="4" s="1"/>
  <c r="R269" i="4" s="1"/>
  <c r="Q278" i="4" a="1"/>
  <c r="Q278" i="4" s="1"/>
  <c r="Q296" i="4" a="1"/>
  <c r="Q296" i="4" s="1"/>
  <c r="ACK112" i="6" l="1"/>
  <c r="ACK33" i="6"/>
  <c r="ACK31" i="6"/>
  <c r="ACK16" i="6"/>
  <c r="ACK8" i="6"/>
  <c r="ACK65" i="6"/>
  <c r="ACK46" i="6"/>
  <c r="ACK21" i="6"/>
  <c r="ACK45" i="6"/>
  <c r="ACK22" i="6"/>
  <c r="ACK111" i="6"/>
  <c r="ACK103" i="6"/>
  <c r="ACK95" i="6"/>
  <c r="ACK87" i="6"/>
  <c r="ACK79" i="6"/>
  <c r="ACK71" i="6"/>
  <c r="ACK17" i="6"/>
  <c r="ACK66" i="6"/>
  <c r="ACK23" i="6"/>
  <c r="ACK72" i="6"/>
  <c r="ACK15" i="6"/>
  <c r="ACK7" i="6"/>
  <c r="ACK63" i="6"/>
  <c r="ACK44" i="6"/>
  <c r="ACK67" i="6"/>
  <c r="ACK40" i="6"/>
  <c r="ACK61" i="6"/>
  <c r="ACK26" i="6"/>
  <c r="ACK110" i="6"/>
  <c r="ACK102" i="6"/>
  <c r="ACK94" i="6"/>
  <c r="ACK86" i="6"/>
  <c r="ACK78" i="6"/>
  <c r="ACK70" i="6"/>
  <c r="ACK80" i="6"/>
  <c r="ACK14" i="6"/>
  <c r="ACK6" i="6"/>
  <c r="ACK117" i="6"/>
  <c r="ACK60" i="6"/>
  <c r="ACK41" i="6"/>
  <c r="ACK64" i="6"/>
  <c r="ACK38" i="6"/>
  <c r="ACK58" i="6"/>
  <c r="ACK20" i="6"/>
  <c r="ACK109" i="6"/>
  <c r="ACK101" i="6"/>
  <c r="ACK93" i="6"/>
  <c r="ACK85" i="6"/>
  <c r="ACK77" i="6"/>
  <c r="ACK69" i="6"/>
  <c r="ACK88" i="6"/>
  <c r="ACK13" i="6"/>
  <c r="ACK43" i="6"/>
  <c r="ACK59" i="6"/>
  <c r="ACK39" i="6"/>
  <c r="ACK62" i="6"/>
  <c r="ACK36" i="6"/>
  <c r="ACK57" i="6"/>
  <c r="ACK116" i="6"/>
  <c r="ACK108" i="6"/>
  <c r="ACK100" i="6"/>
  <c r="ACK92" i="6"/>
  <c r="ACK84" i="6"/>
  <c r="ACK76" i="6"/>
  <c r="ACK68" i="6"/>
  <c r="ACK12" i="6"/>
  <c r="ACK37" i="6"/>
  <c r="ACK56" i="6"/>
  <c r="ACK35" i="6"/>
  <c r="ACK55" i="6"/>
  <c r="ACK34" i="6"/>
  <c r="ACK52" i="6"/>
  <c r="ACK115" i="6"/>
  <c r="ACK107" i="6"/>
  <c r="ACK99" i="6"/>
  <c r="ACK91" i="6"/>
  <c r="ACK83" i="6"/>
  <c r="ACK75" i="6"/>
  <c r="ACK9" i="6"/>
  <c r="ACK47" i="6"/>
  <c r="ACK48" i="6"/>
  <c r="ACK25" i="6"/>
  <c r="ACK104" i="6"/>
  <c r="ACK19" i="6"/>
  <c r="ACK11" i="6"/>
  <c r="ACK27" i="6"/>
  <c r="ACK53" i="6"/>
  <c r="ACK32" i="6"/>
  <c r="ACK54" i="6"/>
  <c r="ACK30" i="6"/>
  <c r="ACK51" i="6"/>
  <c r="ACK114" i="6"/>
  <c r="ACK106" i="6"/>
  <c r="ACK98" i="6"/>
  <c r="ACK90" i="6"/>
  <c r="ACK82" i="6"/>
  <c r="ACK74" i="6"/>
  <c r="ACK96" i="6"/>
  <c r="ACK18" i="6"/>
  <c r="ACK10" i="6"/>
  <c r="ACK24" i="6"/>
  <c r="ACK50" i="6"/>
  <c r="ACK29" i="6"/>
  <c r="ACK49" i="6"/>
  <c r="ACK28" i="6"/>
  <c r="ACK42" i="6"/>
  <c r="ACK113" i="6"/>
  <c r="ACK105" i="6"/>
  <c r="ACK97" i="6"/>
  <c r="ACK89" i="6"/>
  <c r="ACK81" i="6"/>
  <c r="ACK73" i="6"/>
  <c r="G19" i="6"/>
  <c r="G95" i="6"/>
  <c r="G34" i="6"/>
  <c r="G71" i="6"/>
  <c r="G43" i="6"/>
  <c r="G56" i="6"/>
  <c r="G79" i="6"/>
  <c r="G14" i="6"/>
  <c r="G45" i="6"/>
  <c r="G114" i="6"/>
  <c r="S27" i="6"/>
  <c r="G113" i="6"/>
  <c r="G11" i="6"/>
  <c r="G115" i="6"/>
  <c r="S15" i="6"/>
  <c r="G13" i="6"/>
  <c r="G74" i="6"/>
  <c r="G103" i="6"/>
  <c r="G25" i="6"/>
  <c r="G64" i="6"/>
  <c r="G10" i="6"/>
  <c r="S105" i="6"/>
  <c r="S89" i="6"/>
  <c r="S81" i="6"/>
  <c r="S65" i="6"/>
  <c r="G76" i="6"/>
  <c r="G30" i="6"/>
  <c r="G99" i="6"/>
  <c r="G40" i="6"/>
  <c r="G94" i="6"/>
  <c r="G18" i="6"/>
  <c r="G60" i="6"/>
  <c r="G37" i="6"/>
  <c r="G69" i="6"/>
  <c r="G22" i="6"/>
  <c r="G63" i="6"/>
  <c r="G54" i="6"/>
  <c r="G112" i="6"/>
  <c r="S112" i="6"/>
  <c r="S104" i="6"/>
  <c r="S96" i="6"/>
  <c r="S88" i="6"/>
  <c r="S80" i="6"/>
  <c r="S72" i="6"/>
  <c r="S64" i="6"/>
  <c r="S56" i="6"/>
  <c r="S48" i="6"/>
  <c r="S40" i="6"/>
  <c r="S32" i="6"/>
  <c r="S16" i="6"/>
  <c r="S7" i="6"/>
  <c r="S26" i="6"/>
  <c r="S9" i="6"/>
  <c r="G75" i="6"/>
  <c r="G27" i="6"/>
  <c r="G88" i="6"/>
  <c r="G35" i="6"/>
  <c r="G92" i="6"/>
  <c r="G17" i="6"/>
  <c r="G9" i="6"/>
  <c r="G59" i="6"/>
  <c r="G23" i="6"/>
  <c r="G68" i="6"/>
  <c r="G98" i="6"/>
  <c r="G62" i="6"/>
  <c r="G42" i="6"/>
  <c r="G111" i="6"/>
  <c r="S111" i="6"/>
  <c r="S103" i="6"/>
  <c r="S95" i="6"/>
  <c r="S87" i="6"/>
  <c r="S79" i="6"/>
  <c r="S71" i="6"/>
  <c r="S63" i="6"/>
  <c r="S55" i="6"/>
  <c r="S47" i="6"/>
  <c r="S39" i="6"/>
  <c r="S8" i="6"/>
  <c r="S25" i="6"/>
  <c r="S17" i="6"/>
  <c r="G73" i="6"/>
  <c r="G21" i="6"/>
  <c r="G84" i="6"/>
  <c r="G33" i="6"/>
  <c r="G85" i="6"/>
  <c r="G16" i="6"/>
  <c r="G8" i="6"/>
  <c r="G57" i="6"/>
  <c r="G106" i="6"/>
  <c r="G61" i="6"/>
  <c r="G93" i="6"/>
  <c r="G44" i="6"/>
  <c r="G32" i="6"/>
  <c r="G110" i="6"/>
  <c r="S110" i="6"/>
  <c r="S102" i="6"/>
  <c r="S94" i="6"/>
  <c r="S86" i="6"/>
  <c r="S78" i="6"/>
  <c r="S70" i="6"/>
  <c r="S62" i="6"/>
  <c r="S54" i="6"/>
  <c r="S46" i="6"/>
  <c r="S38" i="6"/>
  <c r="S117" i="6"/>
  <c r="S14" i="6"/>
  <c r="S24" i="6"/>
  <c r="S33" i="6"/>
  <c r="G70" i="6"/>
  <c r="G117" i="6"/>
  <c r="G67" i="6"/>
  <c r="G29" i="6"/>
  <c r="G83" i="6"/>
  <c r="G15" i="6"/>
  <c r="G7" i="6"/>
  <c r="G50" i="6"/>
  <c r="G90" i="6"/>
  <c r="G52" i="6"/>
  <c r="G87" i="6"/>
  <c r="G36" i="6"/>
  <c r="G24" i="6"/>
  <c r="G31" i="6"/>
  <c r="S109" i="6"/>
  <c r="S101" i="6"/>
  <c r="S93" i="6"/>
  <c r="S85" i="6"/>
  <c r="S77" i="6"/>
  <c r="S69" i="6"/>
  <c r="S61" i="6"/>
  <c r="S53" i="6"/>
  <c r="S45" i="6"/>
  <c r="S37" i="6"/>
  <c r="S6" i="6"/>
  <c r="S13" i="6"/>
  <c r="S31" i="6"/>
  <c r="S23" i="6"/>
  <c r="S113" i="6"/>
  <c r="S97" i="6"/>
  <c r="S73" i="6"/>
  <c r="S41" i="6"/>
  <c r="G53" i="6"/>
  <c r="G6" i="6"/>
  <c r="G66" i="6"/>
  <c r="G107" i="6"/>
  <c r="G82" i="6"/>
  <c r="G100" i="6"/>
  <c r="G49" i="6"/>
  <c r="G86" i="6"/>
  <c r="G41" i="6"/>
  <c r="G78" i="6"/>
  <c r="G108" i="6"/>
  <c r="G116" i="6"/>
  <c r="S116" i="6"/>
  <c r="S108" i="6"/>
  <c r="S100" i="6"/>
  <c r="S92" i="6"/>
  <c r="S84" i="6"/>
  <c r="S76" i="6"/>
  <c r="S68" i="6"/>
  <c r="S60" i="6"/>
  <c r="S52" i="6"/>
  <c r="S44" i="6"/>
  <c r="S36" i="6"/>
  <c r="G20" i="6"/>
  <c r="S12" i="6"/>
  <c r="S30" i="6"/>
  <c r="S22" i="6"/>
  <c r="S49" i="6"/>
  <c r="G109" i="6"/>
  <c r="G39" i="6"/>
  <c r="G105" i="6"/>
  <c r="G55" i="6"/>
  <c r="G102" i="6"/>
  <c r="G58" i="6"/>
  <c r="G97" i="6"/>
  <c r="G48" i="6"/>
  <c r="G81" i="6"/>
  <c r="G28" i="6"/>
  <c r="G72" i="6"/>
  <c r="G101" i="6"/>
  <c r="S115" i="6"/>
  <c r="S107" i="6"/>
  <c r="S99" i="6"/>
  <c r="S91" i="6"/>
  <c r="S83" i="6"/>
  <c r="S75" i="6"/>
  <c r="S67" i="6"/>
  <c r="S59" i="6"/>
  <c r="S51" i="6"/>
  <c r="S43" i="6"/>
  <c r="S35" i="6"/>
  <c r="S19" i="6"/>
  <c r="S11" i="6"/>
  <c r="S29" i="6"/>
  <c r="S21" i="6"/>
  <c r="S57" i="6"/>
  <c r="G80" i="6"/>
  <c r="G38" i="6"/>
  <c r="G104" i="6"/>
  <c r="G46" i="6"/>
  <c r="G96" i="6"/>
  <c r="G51" i="6"/>
  <c r="G12" i="6"/>
  <c r="G89" i="6"/>
  <c r="G47" i="6"/>
  <c r="G77" i="6"/>
  <c r="G26" i="6"/>
  <c r="G65" i="6"/>
  <c r="G91" i="6"/>
  <c r="S114" i="6"/>
  <c r="S106" i="6"/>
  <c r="S98" i="6"/>
  <c r="S90" i="6"/>
  <c r="S82" i="6"/>
  <c r="S74" i="6"/>
  <c r="S66" i="6"/>
  <c r="S58" i="6"/>
  <c r="S50" i="6"/>
  <c r="S42" i="6"/>
  <c r="S34" i="6"/>
  <c r="S18" i="6"/>
  <c r="S10" i="6"/>
  <c r="S28" i="6"/>
  <c r="S20" i="6"/>
  <c r="JK86" i="6"/>
  <c r="SJ90" i="6"/>
  <c r="TT113" i="6"/>
  <c r="LM93" i="6"/>
  <c r="RR106" i="6"/>
  <c r="LM96" i="6"/>
  <c r="OF108" i="6"/>
  <c r="OF89" i="6"/>
  <c r="QZ85" i="6"/>
  <c r="IA95" i="6"/>
  <c r="UU42" i="6"/>
  <c r="PP91" i="6"/>
  <c r="SJ87" i="6"/>
  <c r="KU92" i="6"/>
  <c r="ME114" i="6"/>
  <c r="QH84" i="6"/>
  <c r="JK97" i="6"/>
  <c r="TB112" i="6"/>
  <c r="OX110" i="6"/>
  <c r="UU25" i="6"/>
  <c r="IA96" i="6"/>
  <c r="MW95" i="6"/>
  <c r="YM115" i="6"/>
  <c r="YL115" i="6" s="1"/>
  <c r="QH88" i="6"/>
  <c r="KC106" i="6"/>
  <c r="TB115" i="6"/>
  <c r="IA107" i="6"/>
  <c r="TB103" i="6"/>
  <c r="QH91" i="6"/>
  <c r="TT97" i="6"/>
  <c r="LM104" i="6"/>
  <c r="UU67" i="6"/>
  <c r="QH116" i="6"/>
  <c r="ZP111" i="6"/>
  <c r="ZO111" i="6" s="1"/>
  <c r="UU90" i="6"/>
  <c r="UU68" i="6"/>
  <c r="SJ94" i="6"/>
  <c r="TB84" i="6"/>
  <c r="UU35" i="6"/>
  <c r="ACW115" i="6"/>
  <c r="WA112" i="6"/>
  <c r="VZ112" i="6" s="1"/>
  <c r="YB109" i="6"/>
  <c r="YA109" i="6" s="1"/>
  <c r="YY106" i="6"/>
  <c r="AE103" i="6"/>
  <c r="UU109" i="6"/>
  <c r="CJ104" i="6"/>
  <c r="CI104" i="6" s="1"/>
  <c r="ABB101" i="6"/>
  <c r="UU61" i="6"/>
  <c r="UU36" i="6"/>
  <c r="UU32" i="6"/>
  <c r="RR110" i="6"/>
  <c r="CS115" i="6"/>
  <c r="CR115" i="6" s="1"/>
  <c r="WU105" i="6"/>
  <c r="WT105" i="6" s="1"/>
  <c r="UU116" i="6"/>
  <c r="UU104" i="6"/>
  <c r="UU92" i="6"/>
  <c r="UU103" i="6"/>
  <c r="TB116" i="6"/>
  <c r="RR114" i="6"/>
  <c r="LM113" i="6"/>
  <c r="KC111" i="6"/>
  <c r="OF109" i="6"/>
  <c r="MW107" i="6"/>
  <c r="QZ105" i="6"/>
  <c r="PP103" i="6"/>
  <c r="TT101" i="6"/>
  <c r="LM116" i="6"/>
  <c r="QZ112" i="6"/>
  <c r="PP110" i="6"/>
  <c r="ME105" i="6"/>
  <c r="RR101" i="6"/>
  <c r="LM100" i="6"/>
  <c r="KC98" i="6"/>
  <c r="MW99" i="6"/>
  <c r="QZ97" i="6"/>
  <c r="PP95" i="6"/>
  <c r="TT93" i="6"/>
  <c r="SJ91" i="6"/>
  <c r="UU89" i="6"/>
  <c r="IA88" i="6"/>
  <c r="KU84" i="6"/>
  <c r="OX97" i="6"/>
  <c r="TB95" i="6"/>
  <c r="RR93" i="6"/>
  <c r="LM92" i="6"/>
  <c r="KC90" i="6"/>
  <c r="OF88" i="6"/>
  <c r="MW86" i="6"/>
  <c r="UU65" i="6"/>
  <c r="UU41" i="6"/>
  <c r="PP94" i="6"/>
  <c r="UU46" i="6"/>
  <c r="IA100" i="6"/>
  <c r="KC103" i="6"/>
  <c r="OF93" i="6"/>
  <c r="QZ96" i="6"/>
  <c r="ME97" i="6"/>
  <c r="JK90" i="6"/>
  <c r="KU95" i="6"/>
  <c r="MW91" i="6"/>
  <c r="ES111" i="6"/>
  <c r="ER111" i="6" s="1"/>
  <c r="DK101" i="6"/>
  <c r="DJ101" i="6" s="1"/>
  <c r="JK109" i="6"/>
  <c r="UU10" i="6"/>
  <c r="UU17" i="6"/>
  <c r="UU74" i="6"/>
  <c r="HI107" i="6"/>
  <c r="HH107" i="6" s="1"/>
  <c r="AP105" i="6"/>
  <c r="AO105" i="6" s="1"/>
  <c r="IS103" i="6"/>
  <c r="UK102" i="6"/>
  <c r="UJ102" i="6" s="1"/>
  <c r="KC99" i="6"/>
  <c r="MW94" i="6"/>
  <c r="OX8" i="6"/>
  <c r="WJ115" i="6"/>
  <c r="WI115" i="6" s="1"/>
  <c r="SJ115" i="6"/>
  <c r="JK114" i="6"/>
  <c r="QZ113" i="6"/>
  <c r="QH112" i="6"/>
  <c r="ME110" i="6"/>
  <c r="TT109" i="6"/>
  <c r="TB108" i="6"/>
  <c r="OX106" i="6"/>
  <c r="UU105" i="6"/>
  <c r="RR102" i="6"/>
  <c r="KC95" i="6"/>
  <c r="IA92" i="6"/>
  <c r="LM89" i="6"/>
  <c r="KU88" i="6"/>
  <c r="PP87" i="6"/>
  <c r="OF85" i="6"/>
  <c r="SJ83" i="6"/>
  <c r="TT116" i="6"/>
  <c r="SJ114" i="6"/>
  <c r="RR105" i="6"/>
  <c r="TT104" i="6"/>
  <c r="SJ102" i="6"/>
  <c r="QZ92" i="6"/>
  <c r="PP90" i="6"/>
  <c r="UU99" i="6"/>
  <c r="MW71" i="6"/>
  <c r="LM69" i="6"/>
  <c r="KU68" i="6"/>
  <c r="UU86" i="6"/>
  <c r="RR81" i="6"/>
  <c r="UU57" i="6"/>
  <c r="JK42" i="6"/>
  <c r="TT48" i="6"/>
  <c r="QZ68" i="6"/>
  <c r="UU72" i="6"/>
  <c r="UU40" i="6"/>
  <c r="UU13" i="6"/>
  <c r="UU9" i="6"/>
  <c r="PP23" i="6"/>
  <c r="KU25" i="6"/>
  <c r="UU63" i="6"/>
  <c r="UU31" i="6"/>
  <c r="UU7" i="6"/>
  <c r="UU70" i="6"/>
  <c r="UU38" i="6"/>
  <c r="UU15" i="6"/>
  <c r="ABB11" i="6"/>
  <c r="MW18" i="6"/>
  <c r="KU116" i="6"/>
  <c r="PP115" i="6"/>
  <c r="OF113" i="6"/>
  <c r="SJ111" i="6"/>
  <c r="JK110" i="6"/>
  <c r="QZ109" i="6"/>
  <c r="QH108" i="6"/>
  <c r="ME106" i="6"/>
  <c r="TT105" i="6"/>
  <c r="TB104" i="6"/>
  <c r="OX102" i="6"/>
  <c r="UU101" i="6"/>
  <c r="RR98" i="6"/>
  <c r="KC91" i="6"/>
  <c r="MW87" i="6"/>
  <c r="LM85" i="6"/>
  <c r="PP83" i="6"/>
  <c r="OF116" i="6"/>
  <c r="KU115" i="6"/>
  <c r="PP114" i="6"/>
  <c r="OX105" i="6"/>
  <c r="OF104" i="6"/>
  <c r="KU103" i="6"/>
  <c r="PP102" i="6"/>
  <c r="OX93" i="6"/>
  <c r="OF92" i="6"/>
  <c r="KU91" i="6"/>
  <c r="UU88" i="6"/>
  <c r="TB87" i="6"/>
  <c r="UU95" i="6"/>
  <c r="KC71" i="6"/>
  <c r="IA68" i="6"/>
  <c r="UU114" i="6"/>
  <c r="OX42" i="6"/>
  <c r="UU82" i="6"/>
  <c r="UU53" i="6"/>
  <c r="UU11" i="6"/>
  <c r="GR7" i="6"/>
  <c r="GQ7" i="6" s="1"/>
  <c r="AE34" i="6"/>
  <c r="KC38" i="6"/>
  <c r="OX45" i="6"/>
  <c r="OF68" i="6"/>
  <c r="UU76" i="6"/>
  <c r="UU44" i="6"/>
  <c r="OX61" i="6"/>
  <c r="OX41" i="6"/>
  <c r="UU23" i="6"/>
  <c r="OF26" i="6"/>
  <c r="UU59" i="6"/>
  <c r="UU27" i="6"/>
  <c r="TT6" i="6"/>
  <c r="UU66" i="6"/>
  <c r="UU34" i="6"/>
  <c r="UU30" i="6"/>
  <c r="UU8" i="6"/>
  <c r="IA116" i="6"/>
  <c r="MW115" i="6"/>
  <c r="KU112" i="6"/>
  <c r="PP111" i="6"/>
  <c r="SJ107" i="6"/>
  <c r="JK106" i="6"/>
  <c r="QH104" i="6"/>
  <c r="ME102" i="6"/>
  <c r="TB100" i="6"/>
  <c r="OX98" i="6"/>
  <c r="UU97" i="6"/>
  <c r="RR94" i="6"/>
  <c r="KC87" i="6"/>
  <c r="IA84" i="6"/>
  <c r="MW83" i="6"/>
  <c r="IA115" i="6"/>
  <c r="MW114" i="6"/>
  <c r="UU112" i="6"/>
  <c r="QH111" i="6"/>
  <c r="SJ110" i="6"/>
  <c r="IA103" i="6"/>
  <c r="MW102" i="6"/>
  <c r="UU100" i="6"/>
  <c r="QH99" i="6"/>
  <c r="SJ98" i="6"/>
  <c r="JK93" i="6"/>
  <c r="RR89" i="6"/>
  <c r="TT88" i="6"/>
  <c r="QH87" i="6"/>
  <c r="SJ86" i="6"/>
  <c r="KC113" i="6"/>
  <c r="IA110" i="6"/>
  <c r="MW109" i="6"/>
  <c r="LM107" i="6"/>
  <c r="KU106" i="6"/>
  <c r="PP105" i="6"/>
  <c r="OF103" i="6"/>
  <c r="SJ101" i="6"/>
  <c r="QH95" i="6"/>
  <c r="ME93" i="6"/>
  <c r="TT92" i="6"/>
  <c r="TB91" i="6"/>
  <c r="OX89" i="6"/>
  <c r="UU91" i="6"/>
  <c r="RR85" i="6"/>
  <c r="UU110" i="6"/>
  <c r="UU81" i="6"/>
  <c r="UU49" i="6"/>
  <c r="UU28" i="6"/>
  <c r="JK69" i="6"/>
  <c r="SJ70" i="6"/>
  <c r="ME26" i="6"/>
  <c r="UU80" i="6"/>
  <c r="UU48" i="6"/>
  <c r="HI8" i="6"/>
  <c r="HH8" i="6" s="1"/>
  <c r="UU55" i="6"/>
  <c r="QZ117" i="6"/>
  <c r="UU62" i="6"/>
  <c r="UU26" i="6"/>
  <c r="LM40" i="6"/>
  <c r="FJ116" i="6"/>
  <c r="FI116" i="6" s="1"/>
  <c r="KC115" i="6"/>
  <c r="VL114" i="6"/>
  <c r="VK114" i="6" s="1"/>
  <c r="DB114" i="6"/>
  <c r="DA114" i="6" s="1"/>
  <c r="GA113" i="6"/>
  <c r="FZ113" i="6" s="1"/>
  <c r="IA112" i="6"/>
  <c r="MW111" i="6"/>
  <c r="XQ110" i="6"/>
  <c r="XP110" i="6" s="1"/>
  <c r="EB110" i="6"/>
  <c r="EA110" i="6" s="1"/>
  <c r="LM109" i="6"/>
  <c r="KU108" i="6"/>
  <c r="PP107" i="6"/>
  <c r="GR106" i="6"/>
  <c r="GQ106" i="6" s="1"/>
  <c r="OF105" i="6"/>
  <c r="NN104" i="6"/>
  <c r="NM104" i="6" s="1"/>
  <c r="SJ103" i="6"/>
  <c r="JK102" i="6"/>
  <c r="QZ101" i="6"/>
  <c r="QH100" i="6"/>
  <c r="ME98" i="6"/>
  <c r="TB96" i="6"/>
  <c r="OX94" i="6"/>
  <c r="UU93" i="6"/>
  <c r="RR90" i="6"/>
  <c r="ABB100" i="6"/>
  <c r="KC83" i="6"/>
  <c r="RR113" i="6"/>
  <c r="QZ100" i="6"/>
  <c r="PP98" i="6"/>
  <c r="ME89" i="6"/>
  <c r="QZ88" i="6"/>
  <c r="UU87" i="6"/>
  <c r="UU106" i="6"/>
  <c r="JK70" i="6"/>
  <c r="QZ41" i="6"/>
  <c r="QH40" i="6"/>
  <c r="UU77" i="6"/>
  <c r="UU45" i="6"/>
  <c r="ABB19" i="6"/>
  <c r="MW54" i="6"/>
  <c r="TT33" i="6"/>
  <c r="PP27" i="6"/>
  <c r="IA51" i="6"/>
  <c r="UU84" i="6"/>
  <c r="UU52" i="6"/>
  <c r="OX53" i="6"/>
  <c r="MW42" i="6"/>
  <c r="UU51" i="6"/>
  <c r="LM7" i="6"/>
  <c r="RR22" i="6"/>
  <c r="UU58" i="6"/>
  <c r="IS31" i="6"/>
  <c r="OX73" i="6"/>
  <c r="TT44" i="6"/>
  <c r="IA108" i="6"/>
  <c r="LM105" i="6"/>
  <c r="KU104" i="6"/>
  <c r="OF101" i="6"/>
  <c r="SJ99" i="6"/>
  <c r="JK98" i="6"/>
  <c r="QH96" i="6"/>
  <c r="ME94" i="6"/>
  <c r="TB92" i="6"/>
  <c r="OX90" i="6"/>
  <c r="RR86" i="6"/>
  <c r="IS98" i="6"/>
  <c r="OX113" i="6"/>
  <c r="OF112" i="6"/>
  <c r="KU111" i="6"/>
  <c r="KC110" i="6"/>
  <c r="UU108" i="6"/>
  <c r="TB107" i="6"/>
  <c r="OX101" i="6"/>
  <c r="OF100" i="6"/>
  <c r="KU99" i="6"/>
  <c r="UU96" i="6"/>
  <c r="JK89" i="6"/>
  <c r="IA87" i="6"/>
  <c r="KC86" i="6"/>
  <c r="UU115" i="6"/>
  <c r="UU83" i="6"/>
  <c r="UU102" i="6"/>
  <c r="PP13" i="6"/>
  <c r="OF41" i="6"/>
  <c r="SJ8" i="6"/>
  <c r="UU73" i="6"/>
  <c r="UU29" i="6"/>
  <c r="UU19" i="6"/>
  <c r="EB7" i="6"/>
  <c r="EA7" i="6" s="1"/>
  <c r="ME57" i="6"/>
  <c r="UU56" i="6"/>
  <c r="UU24" i="6"/>
  <c r="TB55" i="6"/>
  <c r="UU79" i="6"/>
  <c r="UU47" i="6"/>
  <c r="ME6" i="6"/>
  <c r="SJ27" i="6"/>
  <c r="DB7" i="6"/>
  <c r="DA7" i="6" s="1"/>
  <c r="UU54" i="6"/>
  <c r="UU22" i="6"/>
  <c r="UU16" i="6"/>
  <c r="LM25" i="6"/>
  <c r="KC107" i="6"/>
  <c r="IA104" i="6"/>
  <c r="MW103" i="6"/>
  <c r="LM101" i="6"/>
  <c r="KU100" i="6"/>
  <c r="PP99" i="6"/>
  <c r="OF97" i="6"/>
  <c r="SJ95" i="6"/>
  <c r="JK94" i="6"/>
  <c r="QZ93" i="6"/>
  <c r="QH92" i="6"/>
  <c r="ME90" i="6"/>
  <c r="TT89" i="6"/>
  <c r="TB88" i="6"/>
  <c r="OX86" i="6"/>
  <c r="UU85" i="6"/>
  <c r="RR82" i="6"/>
  <c r="JK113" i="6"/>
  <c r="LM112" i="6"/>
  <c r="RR109" i="6"/>
  <c r="TT108" i="6"/>
  <c r="QH107" i="6"/>
  <c r="SJ106" i="6"/>
  <c r="JK101" i="6"/>
  <c r="TT96" i="6"/>
  <c r="OX85" i="6"/>
  <c r="UU111" i="6"/>
  <c r="UU98" i="6"/>
  <c r="MW82" i="6"/>
  <c r="LM80" i="6"/>
  <c r="KU40" i="6"/>
  <c r="UU69" i="6"/>
  <c r="UU37" i="6"/>
  <c r="TB35" i="6"/>
  <c r="UU20" i="6"/>
  <c r="KU35" i="6"/>
  <c r="UU60" i="6"/>
  <c r="UU18" i="6"/>
  <c r="UU6" i="6"/>
  <c r="UU75" i="6"/>
  <c r="UU43" i="6"/>
  <c r="UU50" i="6"/>
  <c r="UU12" i="6"/>
  <c r="UU21" i="6"/>
  <c r="ZP8" i="6"/>
  <c r="ZO8" i="6" s="1"/>
  <c r="BQ116" i="6"/>
  <c r="BP116" i="6" s="1"/>
  <c r="XF112" i="6"/>
  <c r="XE112" i="6" s="1"/>
  <c r="ABS106" i="6"/>
  <c r="ABR106" i="6" s="1"/>
  <c r="OX114" i="6"/>
  <c r="UU113" i="6"/>
  <c r="LM97" i="6"/>
  <c r="KU96" i="6"/>
  <c r="QZ89" i="6"/>
  <c r="ME86" i="6"/>
  <c r="TT85" i="6"/>
  <c r="ME109" i="6"/>
  <c r="QZ108" i="6"/>
  <c r="MW106" i="6"/>
  <c r="JK116" i="6"/>
  <c r="QZ115" i="6"/>
  <c r="QH114" i="6"/>
  <c r="ME112" i="6"/>
  <c r="TT111" i="6"/>
  <c r="TB110" i="6"/>
  <c r="OX108" i="6"/>
  <c r="UU107" i="6"/>
  <c r="RR104" i="6"/>
  <c r="UU94" i="6"/>
  <c r="KC13" i="6"/>
  <c r="IA40" i="6"/>
  <c r="UU33" i="6"/>
  <c r="LM15" i="6"/>
  <c r="UU14" i="6"/>
  <c r="PP38" i="6"/>
  <c r="UU64" i="6"/>
  <c r="LM60" i="6"/>
  <c r="UU117" i="6"/>
  <c r="JK31" i="6"/>
  <c r="UU71" i="6"/>
  <c r="UU39" i="6"/>
  <c r="TB21" i="6"/>
  <c r="IS8" i="6"/>
  <c r="UU78" i="6"/>
  <c r="AE115" i="6"/>
  <c r="ACW111" i="6"/>
  <c r="WA108" i="6"/>
  <c r="VZ108" i="6" s="1"/>
  <c r="YB105" i="6"/>
  <c r="YA105" i="6" s="1"/>
  <c r="YY102" i="6"/>
  <c r="AE99" i="6"/>
  <c r="ACW95" i="6"/>
  <c r="WA92" i="6"/>
  <c r="VZ92" i="6" s="1"/>
  <c r="YB89" i="6"/>
  <c r="YA89" i="6" s="1"/>
  <c r="YY86" i="6"/>
  <c r="AE83" i="6"/>
  <c r="ACW79" i="6"/>
  <c r="WA76" i="6"/>
  <c r="VZ76" i="6" s="1"/>
  <c r="GR114" i="6"/>
  <c r="GQ114" i="6" s="1"/>
  <c r="NN112" i="6"/>
  <c r="NM112" i="6" s="1"/>
  <c r="YM107" i="6"/>
  <c r="YL107" i="6" s="1"/>
  <c r="CS107" i="6"/>
  <c r="CR107" i="6" s="1"/>
  <c r="ZP103" i="6"/>
  <c r="ZO103" i="6" s="1"/>
  <c r="ES103" i="6"/>
  <c r="ER103" i="6" s="1"/>
  <c r="HI99" i="6"/>
  <c r="HH99" i="6" s="1"/>
  <c r="WU97" i="6"/>
  <c r="WT97" i="6" s="1"/>
  <c r="AP97" i="6"/>
  <c r="AO97" i="6" s="1"/>
  <c r="CJ96" i="6"/>
  <c r="CI96" i="6" s="1"/>
  <c r="IS95" i="6"/>
  <c r="UK94" i="6"/>
  <c r="UJ94" i="6" s="1"/>
  <c r="ABB93" i="6"/>
  <c r="DK93" i="6"/>
  <c r="DJ93" i="6" s="1"/>
  <c r="FJ92" i="6"/>
  <c r="FI92" i="6" s="1"/>
  <c r="VL90" i="6"/>
  <c r="VK90" i="6" s="1"/>
  <c r="DB90" i="6"/>
  <c r="DA90" i="6" s="1"/>
  <c r="GA89" i="6"/>
  <c r="FZ89" i="6" s="1"/>
  <c r="XQ86" i="6"/>
  <c r="XP86" i="6" s="1"/>
  <c r="EB86" i="6"/>
  <c r="EA86" i="6" s="1"/>
  <c r="BQ115" i="6"/>
  <c r="BP115" i="6" s="1"/>
  <c r="XF111" i="6"/>
  <c r="XE111" i="6" s="1"/>
  <c r="ABS105" i="6"/>
  <c r="ABR105" i="6" s="1"/>
  <c r="WJ102" i="6"/>
  <c r="WI102" i="6" s="1"/>
  <c r="BQ99" i="6"/>
  <c r="BP99" i="6" s="1"/>
  <c r="XF95" i="6"/>
  <c r="XE95" i="6" s="1"/>
  <c r="ABS89" i="6"/>
  <c r="ABR89" i="6" s="1"/>
  <c r="WJ86" i="6"/>
  <c r="WI86" i="6" s="1"/>
  <c r="BQ83" i="6"/>
  <c r="BP83" i="6" s="1"/>
  <c r="XF79" i="6"/>
  <c r="XE79" i="6" s="1"/>
  <c r="QZ116" i="6"/>
  <c r="QH115" i="6"/>
  <c r="YM114" i="6"/>
  <c r="YL114" i="6" s="1"/>
  <c r="CS114" i="6"/>
  <c r="CR114" i="6" s="1"/>
  <c r="ME113" i="6"/>
  <c r="TT112" i="6"/>
  <c r="TB111" i="6"/>
  <c r="ZP110" i="6"/>
  <c r="ZO110" i="6" s="1"/>
  <c r="ES110" i="6"/>
  <c r="ER110" i="6" s="1"/>
  <c r="OX109" i="6"/>
  <c r="HI106" i="6"/>
  <c r="HH106" i="6" s="1"/>
  <c r="UK105" i="6"/>
  <c r="UJ105" i="6" s="1"/>
  <c r="ABB104" i="6"/>
  <c r="DK104" i="6"/>
  <c r="DJ104" i="6" s="1"/>
  <c r="FJ103" i="6"/>
  <c r="FI103" i="6" s="1"/>
  <c r="KC102" i="6"/>
  <c r="VL101" i="6"/>
  <c r="VK101" i="6" s="1"/>
  <c r="DB101" i="6"/>
  <c r="DA101" i="6" s="1"/>
  <c r="GA100" i="6"/>
  <c r="FZ100" i="6" s="1"/>
  <c r="IA99" i="6"/>
  <c r="MW98" i="6"/>
  <c r="GR97" i="6"/>
  <c r="GQ97" i="6" s="1"/>
  <c r="OF96" i="6"/>
  <c r="YM94" i="6"/>
  <c r="YL94" i="6" s="1"/>
  <c r="CS94" i="6"/>
  <c r="CR94" i="6" s="1"/>
  <c r="ZP90" i="6"/>
  <c r="ZO90" i="6" s="1"/>
  <c r="ES90" i="6"/>
  <c r="ER90" i="6" s="1"/>
  <c r="HI86" i="6"/>
  <c r="HH86" i="6" s="1"/>
  <c r="BQ114" i="6"/>
  <c r="BP114" i="6" s="1"/>
  <c r="XF110" i="6"/>
  <c r="XE110" i="6" s="1"/>
  <c r="ABS104" i="6"/>
  <c r="ABR104" i="6" s="1"/>
  <c r="WJ101" i="6"/>
  <c r="WI101" i="6" s="1"/>
  <c r="BQ98" i="6"/>
  <c r="BP98" i="6" s="1"/>
  <c r="XF94" i="6"/>
  <c r="XE94" i="6" s="1"/>
  <c r="ABS88" i="6"/>
  <c r="ABR88" i="6" s="1"/>
  <c r="WJ85" i="6"/>
  <c r="WI85" i="6" s="1"/>
  <c r="BQ82" i="6"/>
  <c r="BP82" i="6" s="1"/>
  <c r="XF78" i="6"/>
  <c r="XE78" i="6" s="1"/>
  <c r="OX116" i="6"/>
  <c r="HI113" i="6"/>
  <c r="HH113" i="6" s="1"/>
  <c r="RR112" i="6"/>
  <c r="WU111" i="6"/>
  <c r="WT111" i="6" s="1"/>
  <c r="AP111" i="6"/>
  <c r="AO111" i="6" s="1"/>
  <c r="CJ110" i="6"/>
  <c r="CI110" i="6" s="1"/>
  <c r="IS109" i="6"/>
  <c r="UK108" i="6"/>
  <c r="UJ108" i="6" s="1"/>
  <c r="ABB107" i="6"/>
  <c r="DK107" i="6"/>
  <c r="DJ107" i="6" s="1"/>
  <c r="FJ106" i="6"/>
  <c r="FI106" i="6" s="1"/>
  <c r="KC105" i="6"/>
  <c r="VL104" i="6"/>
  <c r="VK104" i="6" s="1"/>
  <c r="DB104" i="6"/>
  <c r="DA104" i="6" s="1"/>
  <c r="GA103" i="6"/>
  <c r="FZ103" i="6" s="1"/>
  <c r="IA102" i="6"/>
  <c r="MW101" i="6"/>
  <c r="XQ100" i="6"/>
  <c r="XP100" i="6" s="1"/>
  <c r="EB100" i="6"/>
  <c r="EA100" i="6" s="1"/>
  <c r="LM99" i="6"/>
  <c r="KU98" i="6"/>
  <c r="PP97" i="6"/>
  <c r="GR96" i="6"/>
  <c r="GQ96" i="6" s="1"/>
  <c r="OF95" i="6"/>
  <c r="NN94" i="6"/>
  <c r="NM94" i="6" s="1"/>
  <c r="SJ93" i="6"/>
  <c r="JK92" i="6"/>
  <c r="QZ91" i="6"/>
  <c r="QH90" i="6"/>
  <c r="YM89" i="6"/>
  <c r="YL89" i="6" s="1"/>
  <c r="CS89" i="6"/>
  <c r="CR89" i="6" s="1"/>
  <c r="ME88" i="6"/>
  <c r="TT87" i="6"/>
  <c r="TB86" i="6"/>
  <c r="ZP85" i="6"/>
  <c r="ZO85" i="6" s="1"/>
  <c r="ES85" i="6"/>
  <c r="ER85" i="6" s="1"/>
  <c r="OX84" i="6"/>
  <c r="YY115" i="6"/>
  <c r="AE112" i="6"/>
  <c r="ACW108" i="6"/>
  <c r="WA105" i="6"/>
  <c r="VZ105" i="6" s="1"/>
  <c r="YB102" i="6"/>
  <c r="YA102" i="6" s="1"/>
  <c r="YY99" i="6"/>
  <c r="AE96" i="6"/>
  <c r="ACW92" i="6"/>
  <c r="WA89" i="6"/>
  <c r="VZ89" i="6" s="1"/>
  <c r="YB86" i="6"/>
  <c r="YA86" i="6" s="1"/>
  <c r="YY83" i="6"/>
  <c r="AE80" i="6"/>
  <c r="ACW76" i="6"/>
  <c r="PP116" i="6"/>
  <c r="GR115" i="6"/>
  <c r="GQ115" i="6" s="1"/>
  <c r="OF114" i="6"/>
  <c r="NN113" i="6"/>
  <c r="NM113" i="6" s="1"/>
  <c r="SJ112" i="6"/>
  <c r="JK111" i="6"/>
  <c r="QZ110" i="6"/>
  <c r="QH109" i="6"/>
  <c r="YM108" i="6"/>
  <c r="YL108" i="6" s="1"/>
  <c r="CS108" i="6"/>
  <c r="CR108" i="6" s="1"/>
  <c r="ME107" i="6"/>
  <c r="TT106" i="6"/>
  <c r="TB105" i="6"/>
  <c r="ZP104" i="6"/>
  <c r="ZO104" i="6" s="1"/>
  <c r="RR103" i="6"/>
  <c r="WU102" i="6"/>
  <c r="WT102" i="6" s="1"/>
  <c r="AP102" i="6"/>
  <c r="AO102" i="6" s="1"/>
  <c r="CJ101" i="6"/>
  <c r="CI101" i="6" s="1"/>
  <c r="IS100" i="6"/>
  <c r="UK99" i="6"/>
  <c r="UJ99" i="6" s="1"/>
  <c r="ABB98" i="6"/>
  <c r="DK98" i="6"/>
  <c r="DJ98" i="6" s="1"/>
  <c r="FJ97" i="6"/>
  <c r="FI97" i="6" s="1"/>
  <c r="KC96" i="6"/>
  <c r="VL95" i="6"/>
  <c r="VK95" i="6" s="1"/>
  <c r="DB95" i="6"/>
  <c r="DA95" i="6" s="1"/>
  <c r="KU93" i="6"/>
  <c r="PP92" i="6"/>
  <c r="GR91" i="6"/>
  <c r="GQ91" i="6" s="1"/>
  <c r="OF90" i="6"/>
  <c r="NN89" i="6"/>
  <c r="NM89" i="6" s="1"/>
  <c r="SJ88" i="6"/>
  <c r="JK87" i="6"/>
  <c r="QZ86" i="6"/>
  <c r="QH85" i="6"/>
  <c r="YM84" i="6"/>
  <c r="YL84" i="6" s="1"/>
  <c r="CS84" i="6"/>
  <c r="CR84" i="6" s="1"/>
  <c r="ME83" i="6"/>
  <c r="TT82" i="6"/>
  <c r="TB81" i="6"/>
  <c r="ZP80" i="6"/>
  <c r="ZO80" i="6" s="1"/>
  <c r="DB82" i="6"/>
  <c r="DA82" i="6" s="1"/>
  <c r="GA81" i="6"/>
  <c r="FZ81" i="6" s="1"/>
  <c r="IA80" i="6"/>
  <c r="MW79" i="6"/>
  <c r="XQ78" i="6"/>
  <c r="XP78" i="6" s="1"/>
  <c r="EB78" i="6"/>
  <c r="EA78" i="6" s="1"/>
  <c r="LM77" i="6"/>
  <c r="KU76" i="6"/>
  <c r="PP75" i="6"/>
  <c r="GR74" i="6"/>
  <c r="GQ74" i="6" s="1"/>
  <c r="OF73" i="6"/>
  <c r="NN72" i="6"/>
  <c r="NM72" i="6" s="1"/>
  <c r="SJ71" i="6"/>
  <c r="QZ69" i="6"/>
  <c r="QH68" i="6"/>
  <c r="YM67" i="6"/>
  <c r="YL67" i="6" s="1"/>
  <c r="CS67" i="6"/>
  <c r="CR67" i="6" s="1"/>
  <c r="ME66" i="6"/>
  <c r="TT65" i="6"/>
  <c r="TB64" i="6"/>
  <c r="ZP63" i="6"/>
  <c r="ZO63" i="6" s="1"/>
  <c r="ES63" i="6"/>
  <c r="ER63" i="6" s="1"/>
  <c r="OX62" i="6"/>
  <c r="HI59" i="6"/>
  <c r="HH59" i="6" s="1"/>
  <c r="UK58" i="6"/>
  <c r="UJ58" i="6" s="1"/>
  <c r="ABB57" i="6"/>
  <c r="DK57" i="6"/>
  <c r="DJ57" i="6" s="1"/>
  <c r="FJ56" i="6"/>
  <c r="FI56" i="6" s="1"/>
  <c r="KC55" i="6"/>
  <c r="VL54" i="6"/>
  <c r="VK54" i="6" s="1"/>
  <c r="DB54" i="6"/>
  <c r="DA54" i="6" s="1"/>
  <c r="GA53" i="6"/>
  <c r="FZ53" i="6" s="1"/>
  <c r="IA52" i="6"/>
  <c r="MW51" i="6"/>
  <c r="XQ50" i="6"/>
  <c r="XP50" i="6" s="1"/>
  <c r="EB50" i="6"/>
  <c r="EA50" i="6" s="1"/>
  <c r="LM49" i="6"/>
  <c r="KU48" i="6"/>
  <c r="PP47" i="6"/>
  <c r="GR46" i="6"/>
  <c r="GQ46" i="6" s="1"/>
  <c r="OF45" i="6"/>
  <c r="NN44" i="6"/>
  <c r="NM44" i="6" s="1"/>
  <c r="SJ43" i="6"/>
  <c r="YM39" i="6"/>
  <c r="YL39" i="6" s="1"/>
  <c r="ES39" i="6"/>
  <c r="ER39" i="6" s="1"/>
  <c r="OX38" i="6"/>
  <c r="AP37" i="6"/>
  <c r="AO37" i="6" s="1"/>
  <c r="CJ36" i="6"/>
  <c r="CI36" i="6" s="1"/>
  <c r="IS35" i="6"/>
  <c r="UK34" i="6"/>
  <c r="UJ34" i="6" s="1"/>
  <c r="KU32" i="6"/>
  <c r="PP31" i="6"/>
  <c r="GR30" i="6"/>
  <c r="GQ30" i="6" s="1"/>
  <c r="XQ26" i="6"/>
  <c r="XP26" i="6" s="1"/>
  <c r="ABB25" i="6"/>
  <c r="MW23" i="6"/>
  <c r="ME22" i="6"/>
  <c r="IA20" i="6"/>
  <c r="NN18" i="6"/>
  <c r="NM18" i="6" s="1"/>
  <c r="VL16" i="6"/>
  <c r="VK16" i="6" s="1"/>
  <c r="YM13" i="6"/>
  <c r="YL13" i="6" s="1"/>
  <c r="WU11" i="6"/>
  <c r="WT11" i="6" s="1"/>
  <c r="VL8" i="6"/>
  <c r="VK8" i="6" s="1"/>
  <c r="GR117" i="6"/>
  <c r="GQ117" i="6" s="1"/>
  <c r="AE74" i="6"/>
  <c r="ACW70" i="6"/>
  <c r="WA67" i="6"/>
  <c r="VZ67" i="6" s="1"/>
  <c r="YB64" i="6"/>
  <c r="YA64" i="6" s="1"/>
  <c r="YY61" i="6"/>
  <c r="AE58" i="6"/>
  <c r="ACW54" i="6"/>
  <c r="WA51" i="6"/>
  <c r="VZ51" i="6" s="1"/>
  <c r="YB48" i="6"/>
  <c r="YA48" i="6" s="1"/>
  <c r="YY45" i="6"/>
  <c r="AE42" i="6"/>
  <c r="ACW38" i="6"/>
  <c r="WA35" i="6"/>
  <c r="VZ35" i="6" s="1"/>
  <c r="XF31" i="6"/>
  <c r="XE31" i="6" s="1"/>
  <c r="ABS25" i="6"/>
  <c r="ABR25" i="6" s="1"/>
  <c r="WJ22" i="6"/>
  <c r="WI22" i="6" s="1"/>
  <c r="ABS15" i="6"/>
  <c r="ABR15" i="6" s="1"/>
  <c r="WJ12" i="6"/>
  <c r="WI12" i="6" s="1"/>
  <c r="BQ9" i="6"/>
  <c r="BP9" i="6" s="1"/>
  <c r="YB6" i="6"/>
  <c r="YA6" i="6" s="1"/>
  <c r="RR29" i="6"/>
  <c r="QH27" i="6"/>
  <c r="GA24" i="6"/>
  <c r="FZ24" i="6" s="1"/>
  <c r="HI22" i="6"/>
  <c r="HH22" i="6" s="1"/>
  <c r="GR19" i="6"/>
  <c r="GQ19" i="6" s="1"/>
  <c r="NN17" i="6"/>
  <c r="NM17" i="6" s="1"/>
  <c r="HI16" i="6"/>
  <c r="HH16" i="6" s="1"/>
  <c r="ABB14" i="6"/>
  <c r="YM12" i="6"/>
  <c r="YL12" i="6" s="1"/>
  <c r="RR11" i="6"/>
  <c r="GR85" i="6"/>
  <c r="GQ85" i="6" s="1"/>
  <c r="OF84" i="6"/>
  <c r="NN83" i="6"/>
  <c r="NM83" i="6" s="1"/>
  <c r="SJ82" i="6"/>
  <c r="JK81" i="6"/>
  <c r="QZ80" i="6"/>
  <c r="TB79" i="6"/>
  <c r="ZP78" i="6"/>
  <c r="ZO78" i="6" s="1"/>
  <c r="ES78" i="6"/>
  <c r="ER78" i="6" s="1"/>
  <c r="OX77" i="6"/>
  <c r="HI74" i="6"/>
  <c r="HH74" i="6" s="1"/>
  <c r="RR73" i="6"/>
  <c r="WU72" i="6"/>
  <c r="WT72" i="6" s="1"/>
  <c r="AP72" i="6"/>
  <c r="AO72" i="6" s="1"/>
  <c r="CJ71" i="6"/>
  <c r="CI71" i="6" s="1"/>
  <c r="IS70" i="6"/>
  <c r="UK69" i="6"/>
  <c r="UJ69" i="6" s="1"/>
  <c r="ABB68" i="6"/>
  <c r="DK68" i="6"/>
  <c r="DJ68" i="6" s="1"/>
  <c r="FJ67" i="6"/>
  <c r="FI67" i="6" s="1"/>
  <c r="KC66" i="6"/>
  <c r="VL65" i="6"/>
  <c r="VK65" i="6" s="1"/>
  <c r="DB65" i="6"/>
  <c r="DA65" i="6" s="1"/>
  <c r="GA64" i="6"/>
  <c r="FZ64" i="6" s="1"/>
  <c r="IA63" i="6"/>
  <c r="MW62" i="6"/>
  <c r="XQ61" i="6"/>
  <c r="XP61" i="6" s="1"/>
  <c r="EB61" i="6"/>
  <c r="EA61" i="6" s="1"/>
  <c r="NN59" i="6"/>
  <c r="NM59" i="6" s="1"/>
  <c r="SJ58" i="6"/>
  <c r="CS58" i="6"/>
  <c r="CR58" i="6" s="1"/>
  <c r="TT56" i="6"/>
  <c r="ZP54" i="6"/>
  <c r="ZO54" i="6" s="1"/>
  <c r="ES54" i="6"/>
  <c r="ER54" i="6" s="1"/>
  <c r="HI50" i="6"/>
  <c r="HH50" i="6" s="1"/>
  <c r="RR49" i="6"/>
  <c r="WU48" i="6"/>
  <c r="WT48" i="6" s="1"/>
  <c r="DK48" i="6"/>
  <c r="DJ48" i="6" s="1"/>
  <c r="FJ47" i="6"/>
  <c r="FI47" i="6" s="1"/>
  <c r="KC46" i="6"/>
  <c r="VL45" i="6"/>
  <c r="VK45" i="6" s="1"/>
  <c r="DB45" i="6"/>
  <c r="DA45" i="6" s="1"/>
  <c r="GA44" i="6"/>
  <c r="FZ44" i="6" s="1"/>
  <c r="IA43" i="6"/>
  <c r="XQ41" i="6"/>
  <c r="XP41" i="6" s="1"/>
  <c r="EB41" i="6"/>
  <c r="EA41" i="6" s="1"/>
  <c r="KU39" i="6"/>
  <c r="GR37" i="6"/>
  <c r="GQ37" i="6" s="1"/>
  <c r="OF36" i="6"/>
  <c r="NN35" i="6"/>
  <c r="NM35" i="6" s="1"/>
  <c r="SJ34" i="6"/>
  <c r="JK33" i="6"/>
  <c r="QZ32" i="6"/>
  <c r="QH31" i="6"/>
  <c r="YM30" i="6"/>
  <c r="YL30" i="6" s="1"/>
  <c r="CS30" i="6"/>
  <c r="CR30" i="6" s="1"/>
  <c r="WU28" i="6"/>
  <c r="WT28" i="6" s="1"/>
  <c r="IA27" i="6"/>
  <c r="CS26" i="6"/>
  <c r="CR26" i="6" s="1"/>
  <c r="CJ23" i="6"/>
  <c r="CI23" i="6" s="1"/>
  <c r="XQ21" i="6"/>
  <c r="XP21" i="6" s="1"/>
  <c r="QZ20" i="6"/>
  <c r="DB19" i="6"/>
  <c r="DA19" i="6" s="1"/>
  <c r="KU17" i="6"/>
  <c r="RR15" i="6"/>
  <c r="AP14" i="6"/>
  <c r="AO14" i="6" s="1"/>
  <c r="SJ12" i="6"/>
  <c r="JK11" i="6"/>
  <c r="TB9" i="6"/>
  <c r="WJ73" i="6"/>
  <c r="WI73" i="6" s="1"/>
  <c r="BQ70" i="6"/>
  <c r="BP70" i="6" s="1"/>
  <c r="XF66" i="6"/>
  <c r="XE66" i="6" s="1"/>
  <c r="ABS60" i="6"/>
  <c r="ABR60" i="6" s="1"/>
  <c r="WJ57" i="6"/>
  <c r="WI57" i="6" s="1"/>
  <c r="BQ54" i="6"/>
  <c r="BP54" i="6" s="1"/>
  <c r="XF50" i="6"/>
  <c r="XE50" i="6" s="1"/>
  <c r="ABS44" i="6"/>
  <c r="ABR44" i="6" s="1"/>
  <c r="WJ41" i="6"/>
  <c r="WI41" i="6" s="1"/>
  <c r="BQ38" i="6"/>
  <c r="BP38" i="6" s="1"/>
  <c r="XF34" i="6"/>
  <c r="XE34" i="6" s="1"/>
  <c r="ABS28" i="6"/>
  <c r="ABR28" i="6" s="1"/>
  <c r="WJ25" i="6"/>
  <c r="WI25" i="6" s="1"/>
  <c r="BQ22" i="6"/>
  <c r="BP22" i="6" s="1"/>
  <c r="WJ19" i="6"/>
  <c r="WI19" i="6" s="1"/>
  <c r="BQ16" i="6"/>
  <c r="BP16" i="6" s="1"/>
  <c r="XF12" i="6"/>
  <c r="XE12" i="6" s="1"/>
  <c r="ABS117" i="6"/>
  <c r="ABR117" i="6" s="1"/>
  <c r="KU22" i="6"/>
  <c r="VL20" i="6"/>
  <c r="VK20" i="6" s="1"/>
  <c r="IS19" i="6"/>
  <c r="JK18" i="6"/>
  <c r="QH16" i="6"/>
  <c r="OX14" i="6"/>
  <c r="NN12" i="6"/>
  <c r="NM12" i="6" s="1"/>
  <c r="OX10" i="6"/>
  <c r="IA8" i="6"/>
  <c r="JK117" i="6"/>
  <c r="IA117" i="6"/>
  <c r="IS81" i="6"/>
  <c r="UK80" i="6"/>
  <c r="UJ80" i="6" s="1"/>
  <c r="ABB79" i="6"/>
  <c r="DK79" i="6"/>
  <c r="DJ79" i="6" s="1"/>
  <c r="FJ78" i="6"/>
  <c r="FI78" i="6" s="1"/>
  <c r="KC77" i="6"/>
  <c r="VL76" i="6"/>
  <c r="VK76" i="6" s="1"/>
  <c r="DB76" i="6"/>
  <c r="DA76" i="6" s="1"/>
  <c r="GA75" i="6"/>
  <c r="FZ75" i="6" s="1"/>
  <c r="IA74" i="6"/>
  <c r="MW73" i="6"/>
  <c r="XQ72" i="6"/>
  <c r="XP72" i="6" s="1"/>
  <c r="EB72" i="6"/>
  <c r="EA72" i="6" s="1"/>
  <c r="LM71" i="6"/>
  <c r="KU70" i="6"/>
  <c r="PP69" i="6"/>
  <c r="JK68" i="6"/>
  <c r="QZ67" i="6"/>
  <c r="QH66" i="6"/>
  <c r="YM65" i="6"/>
  <c r="YL65" i="6" s="1"/>
  <c r="CS65" i="6"/>
  <c r="CR65" i="6" s="1"/>
  <c r="ME64" i="6"/>
  <c r="TT63" i="6"/>
  <c r="HI61" i="6"/>
  <c r="HH61" i="6" s="1"/>
  <c r="RR60" i="6"/>
  <c r="WU59" i="6"/>
  <c r="WT59" i="6" s="1"/>
  <c r="AP59" i="6"/>
  <c r="AO59" i="6" s="1"/>
  <c r="CJ58" i="6"/>
  <c r="CI58" i="6" s="1"/>
  <c r="UK56" i="6"/>
  <c r="UJ56" i="6" s="1"/>
  <c r="ABB55" i="6"/>
  <c r="DK55" i="6"/>
  <c r="DJ55" i="6" s="1"/>
  <c r="FJ54" i="6"/>
  <c r="FI54" i="6" s="1"/>
  <c r="KC53" i="6"/>
  <c r="VL52" i="6"/>
  <c r="VK52" i="6" s="1"/>
  <c r="DB52" i="6"/>
  <c r="DA52" i="6" s="1"/>
  <c r="GA51" i="6"/>
  <c r="FZ51" i="6" s="1"/>
  <c r="IA50" i="6"/>
  <c r="MW49" i="6"/>
  <c r="XQ48" i="6"/>
  <c r="XP48" i="6" s="1"/>
  <c r="EB48" i="6"/>
  <c r="EA48" i="6" s="1"/>
  <c r="LM47" i="6"/>
  <c r="KU46" i="6"/>
  <c r="PP45" i="6"/>
  <c r="GR44" i="6"/>
  <c r="GQ44" i="6" s="1"/>
  <c r="OF43" i="6"/>
  <c r="NN42" i="6"/>
  <c r="NM42" i="6" s="1"/>
  <c r="SJ41" i="6"/>
  <c r="CS41" i="6"/>
  <c r="CR41" i="6" s="1"/>
  <c r="ME40" i="6"/>
  <c r="TT39" i="6"/>
  <c r="TB38" i="6"/>
  <c r="ZP37" i="6"/>
  <c r="ZO37" i="6" s="1"/>
  <c r="ES37" i="6"/>
  <c r="ER37" i="6" s="1"/>
  <c r="OX36" i="6"/>
  <c r="HI33" i="6"/>
  <c r="HH33" i="6" s="1"/>
  <c r="RR32" i="6"/>
  <c r="WU31" i="6"/>
  <c r="WT31" i="6" s="1"/>
  <c r="AP31" i="6"/>
  <c r="AO31" i="6" s="1"/>
  <c r="CJ30" i="6"/>
  <c r="CI30" i="6" s="1"/>
  <c r="IS29" i="6"/>
  <c r="UK28" i="6"/>
  <c r="UJ28" i="6" s="1"/>
  <c r="ABB27" i="6"/>
  <c r="DK27" i="6"/>
  <c r="DJ27" i="6" s="1"/>
  <c r="FJ26" i="6"/>
  <c r="FI26" i="6" s="1"/>
  <c r="KC25" i="6"/>
  <c r="VL24" i="6"/>
  <c r="VK24" i="6" s="1"/>
  <c r="TT23" i="6"/>
  <c r="IA22" i="6"/>
  <c r="KC19" i="6"/>
  <c r="WU17" i="6"/>
  <c r="WT17" i="6" s="1"/>
  <c r="WU13" i="6"/>
  <c r="WT13" i="6" s="1"/>
  <c r="CJ12" i="6"/>
  <c r="CI12" i="6" s="1"/>
  <c r="CS11" i="6"/>
  <c r="CR11" i="6" s="1"/>
  <c r="ABB9" i="6"/>
  <c r="QH8" i="6"/>
  <c r="HI7" i="6"/>
  <c r="HH7" i="6" s="1"/>
  <c r="PP6" i="6"/>
  <c r="MW8" i="6"/>
  <c r="BQ73" i="6"/>
  <c r="BP73" i="6" s="1"/>
  <c r="XF69" i="6"/>
  <c r="XE69" i="6" s="1"/>
  <c r="ABS63" i="6"/>
  <c r="ABR63" i="6" s="1"/>
  <c r="WJ60" i="6"/>
  <c r="WI60" i="6" s="1"/>
  <c r="BQ57" i="6"/>
  <c r="BP57" i="6" s="1"/>
  <c r="XF53" i="6"/>
  <c r="XE53" i="6" s="1"/>
  <c r="ABS47" i="6"/>
  <c r="ABR47" i="6" s="1"/>
  <c r="WJ44" i="6"/>
  <c r="WI44" i="6" s="1"/>
  <c r="BQ41" i="6"/>
  <c r="BP41" i="6" s="1"/>
  <c r="XF37" i="6"/>
  <c r="XE37" i="6" s="1"/>
  <c r="ABS31" i="6"/>
  <c r="ABR31" i="6" s="1"/>
  <c r="WJ28" i="6"/>
  <c r="WI28" i="6" s="1"/>
  <c r="BQ25" i="6"/>
  <c r="BP25" i="6" s="1"/>
  <c r="XF21" i="6"/>
  <c r="XE21" i="6" s="1"/>
  <c r="BQ19" i="6"/>
  <c r="BP19" i="6" s="1"/>
  <c r="XF15" i="6"/>
  <c r="XE15" i="6" s="1"/>
  <c r="ABS9" i="6"/>
  <c r="ABR9" i="6" s="1"/>
  <c r="WJ6" i="6"/>
  <c r="WI6" i="6" s="1"/>
  <c r="HI24" i="6"/>
  <c r="HH24" i="6" s="1"/>
  <c r="DB23" i="6"/>
  <c r="DA23" i="6" s="1"/>
  <c r="NN21" i="6"/>
  <c r="NM21" i="6" s="1"/>
  <c r="IS20" i="6"/>
  <c r="ME17" i="6"/>
  <c r="IS14" i="6"/>
  <c r="JK13" i="6"/>
  <c r="QH11" i="6"/>
  <c r="ES10" i="6"/>
  <c r="ER10" i="6" s="1"/>
  <c r="TT8" i="6"/>
  <c r="YM6" i="6"/>
  <c r="YL6" i="6" s="1"/>
  <c r="OF117" i="6"/>
  <c r="CS80" i="6"/>
  <c r="CR80" i="6" s="1"/>
  <c r="ME79" i="6"/>
  <c r="TT78" i="6"/>
  <c r="TB77" i="6"/>
  <c r="ZP76" i="6"/>
  <c r="ZO76" i="6" s="1"/>
  <c r="ES76" i="6"/>
  <c r="ER76" i="6" s="1"/>
  <c r="OX75" i="6"/>
  <c r="HI72" i="6"/>
  <c r="HH72" i="6" s="1"/>
  <c r="UK71" i="6"/>
  <c r="UJ71" i="6" s="1"/>
  <c r="ABB70" i="6"/>
  <c r="DK70" i="6"/>
  <c r="DJ70" i="6" s="1"/>
  <c r="FJ69" i="6"/>
  <c r="FI69" i="6" s="1"/>
  <c r="KC68" i="6"/>
  <c r="VL67" i="6"/>
  <c r="VK67" i="6" s="1"/>
  <c r="DB67" i="6"/>
  <c r="DA67" i="6" s="1"/>
  <c r="GA66" i="6"/>
  <c r="FZ66" i="6" s="1"/>
  <c r="IA65" i="6"/>
  <c r="MW64" i="6"/>
  <c r="XQ63" i="6"/>
  <c r="XP63" i="6" s="1"/>
  <c r="EB63" i="6"/>
  <c r="EA63" i="6" s="1"/>
  <c r="LM62" i="6"/>
  <c r="KU61" i="6"/>
  <c r="PP60" i="6"/>
  <c r="GR59" i="6"/>
  <c r="GQ59" i="6" s="1"/>
  <c r="OF58" i="6"/>
  <c r="NN57" i="6"/>
  <c r="NM57" i="6" s="1"/>
  <c r="SJ56" i="6"/>
  <c r="JK55" i="6"/>
  <c r="QZ54" i="6"/>
  <c r="QH53" i="6"/>
  <c r="YM52" i="6"/>
  <c r="YL52" i="6" s="1"/>
  <c r="ES52" i="6"/>
  <c r="ER52" i="6" s="1"/>
  <c r="OX51" i="6"/>
  <c r="HI48" i="6"/>
  <c r="HH48" i="6" s="1"/>
  <c r="RR47" i="6"/>
  <c r="WU46" i="6"/>
  <c r="WT46" i="6" s="1"/>
  <c r="AP46" i="6"/>
  <c r="AO46" i="6" s="1"/>
  <c r="CJ45" i="6"/>
  <c r="CI45" i="6" s="1"/>
  <c r="IS44" i="6"/>
  <c r="UK43" i="6"/>
  <c r="UJ43" i="6" s="1"/>
  <c r="ABB42" i="6"/>
  <c r="GA42" i="6"/>
  <c r="FZ42" i="6" s="1"/>
  <c r="IA41" i="6"/>
  <c r="MW40" i="6"/>
  <c r="XQ39" i="6"/>
  <c r="XP39" i="6" s="1"/>
  <c r="EB39" i="6"/>
  <c r="EA39" i="6" s="1"/>
  <c r="LM38" i="6"/>
  <c r="KU37" i="6"/>
  <c r="PP36" i="6"/>
  <c r="GR35" i="6"/>
  <c r="GQ35" i="6" s="1"/>
  <c r="OF34" i="6"/>
  <c r="NN33" i="6"/>
  <c r="NM33" i="6" s="1"/>
  <c r="SJ32" i="6"/>
  <c r="QZ30" i="6"/>
  <c r="QH29" i="6"/>
  <c r="YM28" i="6"/>
  <c r="YL28" i="6" s="1"/>
  <c r="CS28" i="6"/>
  <c r="CR28" i="6" s="1"/>
  <c r="ME27" i="6"/>
  <c r="TT26" i="6"/>
  <c r="TB25" i="6"/>
  <c r="ZP24" i="6"/>
  <c r="ZO24" i="6" s="1"/>
  <c r="UK23" i="6"/>
  <c r="UJ23" i="6" s="1"/>
  <c r="DK22" i="6"/>
  <c r="DJ22" i="6" s="1"/>
  <c r="TB19" i="6"/>
  <c r="CS18" i="6"/>
  <c r="CR18" i="6" s="1"/>
  <c r="OF16" i="6"/>
  <c r="KC14" i="6"/>
  <c r="QZ12" i="6"/>
  <c r="ME9" i="6"/>
  <c r="DK8" i="6"/>
  <c r="DJ8" i="6" s="1"/>
  <c r="SJ6" i="6"/>
  <c r="ABB6" i="6"/>
  <c r="YB73" i="6"/>
  <c r="YA73" i="6" s="1"/>
  <c r="YY70" i="6"/>
  <c r="AE67" i="6"/>
  <c r="ACW63" i="6"/>
  <c r="WA60" i="6"/>
  <c r="VZ60" i="6" s="1"/>
  <c r="YB57" i="6"/>
  <c r="YA57" i="6" s="1"/>
  <c r="YY54" i="6"/>
  <c r="AE51" i="6"/>
  <c r="ACW47" i="6"/>
  <c r="WA44" i="6"/>
  <c r="VZ44" i="6" s="1"/>
  <c r="YB41" i="6"/>
  <c r="YA41" i="6" s="1"/>
  <c r="YY38" i="6"/>
  <c r="AE35" i="6"/>
  <c r="ACW31" i="6"/>
  <c r="WA28" i="6"/>
  <c r="VZ28" i="6" s="1"/>
  <c r="YB25" i="6"/>
  <c r="YA25" i="6" s="1"/>
  <c r="YY22" i="6"/>
  <c r="WA18" i="6"/>
  <c r="VZ18" i="6" s="1"/>
  <c r="YB15" i="6"/>
  <c r="YA15" i="6" s="1"/>
  <c r="YY12" i="6"/>
  <c r="AE9" i="6"/>
  <c r="WA6" i="6"/>
  <c r="VZ6" i="6" s="1"/>
  <c r="DB30" i="6"/>
  <c r="DA30" i="6" s="1"/>
  <c r="IA28" i="6"/>
  <c r="GA21" i="6"/>
  <c r="FZ21" i="6" s="1"/>
  <c r="TT19" i="6"/>
  <c r="TB14" i="6"/>
  <c r="HI13" i="6"/>
  <c r="HH13" i="6" s="1"/>
  <c r="ME12" i="6"/>
  <c r="ME8" i="6"/>
  <c r="TT117" i="6"/>
  <c r="ABS114" i="6"/>
  <c r="ABR114" i="6" s="1"/>
  <c r="WJ111" i="6"/>
  <c r="WI111" i="6" s="1"/>
  <c r="BQ108" i="6"/>
  <c r="BP108" i="6" s="1"/>
  <c r="XF104" i="6"/>
  <c r="XE104" i="6" s="1"/>
  <c r="ABS98" i="6"/>
  <c r="ABR98" i="6" s="1"/>
  <c r="WJ95" i="6"/>
  <c r="WI95" i="6" s="1"/>
  <c r="BQ92" i="6"/>
  <c r="BP92" i="6" s="1"/>
  <c r="XF88" i="6"/>
  <c r="XE88" i="6" s="1"/>
  <c r="ABS82" i="6"/>
  <c r="ABR82" i="6" s="1"/>
  <c r="WJ79" i="6"/>
  <c r="WI79" i="6" s="1"/>
  <c r="BQ76" i="6"/>
  <c r="BP76" i="6" s="1"/>
  <c r="XQ114" i="6"/>
  <c r="XP114" i="6" s="1"/>
  <c r="EB114" i="6"/>
  <c r="EA114" i="6" s="1"/>
  <c r="GR110" i="6"/>
  <c r="GQ110" i="6" s="1"/>
  <c r="NN108" i="6"/>
  <c r="NM108" i="6" s="1"/>
  <c r="YM103" i="6"/>
  <c r="YL103" i="6" s="1"/>
  <c r="CS103" i="6"/>
  <c r="CR103" i="6" s="1"/>
  <c r="ZP99" i="6"/>
  <c r="ZO99" i="6" s="1"/>
  <c r="ES99" i="6"/>
  <c r="ER99" i="6" s="1"/>
  <c r="HI95" i="6"/>
  <c r="HH95" i="6" s="1"/>
  <c r="WU93" i="6"/>
  <c r="WT93" i="6" s="1"/>
  <c r="AP93" i="6"/>
  <c r="AO93" i="6" s="1"/>
  <c r="CJ92" i="6"/>
  <c r="CI92" i="6" s="1"/>
  <c r="IS91" i="6"/>
  <c r="UK90" i="6"/>
  <c r="UJ90" i="6" s="1"/>
  <c r="ABB89" i="6"/>
  <c r="DK89" i="6"/>
  <c r="DJ89" i="6" s="1"/>
  <c r="FJ88" i="6"/>
  <c r="FI88" i="6" s="1"/>
  <c r="VL86" i="6"/>
  <c r="VK86" i="6" s="1"/>
  <c r="DB86" i="6"/>
  <c r="DA86" i="6" s="1"/>
  <c r="GA85" i="6"/>
  <c r="FZ85" i="6" s="1"/>
  <c r="XQ82" i="6"/>
  <c r="XP82" i="6" s="1"/>
  <c r="ACW114" i="6"/>
  <c r="WA111" i="6"/>
  <c r="VZ111" i="6" s="1"/>
  <c r="YB108" i="6"/>
  <c r="YA108" i="6" s="1"/>
  <c r="YY105" i="6"/>
  <c r="AE102" i="6"/>
  <c r="ACW98" i="6"/>
  <c r="WA95" i="6"/>
  <c r="VZ95" i="6" s="1"/>
  <c r="YB92" i="6"/>
  <c r="YA92" i="6" s="1"/>
  <c r="YY89" i="6"/>
  <c r="AE86" i="6"/>
  <c r="ACW82" i="6"/>
  <c r="WA79" i="6"/>
  <c r="VZ79" i="6" s="1"/>
  <c r="YB76" i="6"/>
  <c r="YA76" i="6" s="1"/>
  <c r="NN115" i="6"/>
  <c r="NM115" i="6" s="1"/>
  <c r="YM110" i="6"/>
  <c r="YL110" i="6" s="1"/>
  <c r="CS110" i="6"/>
  <c r="CR110" i="6" s="1"/>
  <c r="ZP106" i="6"/>
  <c r="ZO106" i="6" s="1"/>
  <c r="WU104" i="6"/>
  <c r="WT104" i="6" s="1"/>
  <c r="AP104" i="6"/>
  <c r="AO104" i="6" s="1"/>
  <c r="CJ103" i="6"/>
  <c r="CI103" i="6" s="1"/>
  <c r="IS102" i="6"/>
  <c r="UK101" i="6"/>
  <c r="UJ101" i="6" s="1"/>
  <c r="DK100" i="6"/>
  <c r="DJ100" i="6" s="1"/>
  <c r="FJ99" i="6"/>
  <c r="FI99" i="6" s="1"/>
  <c r="XQ97" i="6"/>
  <c r="XP97" i="6" s="1"/>
  <c r="EB97" i="6"/>
  <c r="EA97" i="6" s="1"/>
  <c r="NN95" i="6"/>
  <c r="NM95" i="6" s="1"/>
  <c r="YM90" i="6"/>
  <c r="YL90" i="6" s="1"/>
  <c r="CS90" i="6"/>
  <c r="CR90" i="6" s="1"/>
  <c r="ZP86" i="6"/>
  <c r="ZO86" i="6" s="1"/>
  <c r="ES86" i="6"/>
  <c r="ER86" i="6" s="1"/>
  <c r="ACW113" i="6"/>
  <c r="WA110" i="6"/>
  <c r="VZ110" i="6" s="1"/>
  <c r="YB107" i="6"/>
  <c r="YA107" i="6" s="1"/>
  <c r="YY104" i="6"/>
  <c r="AE101" i="6"/>
  <c r="ACW97" i="6"/>
  <c r="WA94" i="6"/>
  <c r="VZ94" i="6" s="1"/>
  <c r="YB91" i="6"/>
  <c r="YA91" i="6" s="1"/>
  <c r="YY88" i="6"/>
  <c r="AE85" i="6"/>
  <c r="ACW81" i="6"/>
  <c r="WA78" i="6"/>
  <c r="VZ78" i="6" s="1"/>
  <c r="YB75" i="6"/>
  <c r="YA75" i="6" s="1"/>
  <c r="ME116" i="6"/>
  <c r="TT115" i="6"/>
  <c r="TB114" i="6"/>
  <c r="ZP113" i="6"/>
  <c r="ZO113" i="6" s="1"/>
  <c r="ES113" i="6"/>
  <c r="ER113" i="6" s="1"/>
  <c r="OX112" i="6"/>
  <c r="HI109" i="6"/>
  <c r="HH109" i="6" s="1"/>
  <c r="RR108" i="6"/>
  <c r="WU107" i="6"/>
  <c r="WT107" i="6" s="1"/>
  <c r="AP107" i="6"/>
  <c r="AO107" i="6" s="1"/>
  <c r="CJ106" i="6"/>
  <c r="CI106" i="6" s="1"/>
  <c r="IS105" i="6"/>
  <c r="UK104" i="6"/>
  <c r="UJ104" i="6" s="1"/>
  <c r="ABB103" i="6"/>
  <c r="DK103" i="6"/>
  <c r="DJ103" i="6" s="1"/>
  <c r="FJ102" i="6"/>
  <c r="FI102" i="6" s="1"/>
  <c r="KC101" i="6"/>
  <c r="VL100" i="6"/>
  <c r="VK100" i="6" s="1"/>
  <c r="DB100" i="6"/>
  <c r="DA100" i="6" s="1"/>
  <c r="GA99" i="6"/>
  <c r="FZ99" i="6" s="1"/>
  <c r="IA98" i="6"/>
  <c r="MW97" i="6"/>
  <c r="XQ96" i="6"/>
  <c r="XP96" i="6" s="1"/>
  <c r="EB96" i="6"/>
  <c r="EA96" i="6" s="1"/>
  <c r="LM95" i="6"/>
  <c r="KU94" i="6"/>
  <c r="PP93" i="6"/>
  <c r="GR92" i="6"/>
  <c r="GQ92" i="6" s="1"/>
  <c r="OF91" i="6"/>
  <c r="NN90" i="6"/>
  <c r="NM90" i="6" s="1"/>
  <c r="SJ89" i="6"/>
  <c r="JK88" i="6"/>
  <c r="QZ87" i="6"/>
  <c r="QH86" i="6"/>
  <c r="YM85" i="6"/>
  <c r="YL85" i="6" s="1"/>
  <c r="CS85" i="6"/>
  <c r="CR85" i="6" s="1"/>
  <c r="ME84" i="6"/>
  <c r="TT83" i="6"/>
  <c r="TB82" i="6"/>
  <c r="ZP81" i="6"/>
  <c r="ZO81" i="6" s="1"/>
  <c r="ABS111" i="6"/>
  <c r="ABR111" i="6" s="1"/>
  <c r="WJ108" i="6"/>
  <c r="WI108" i="6" s="1"/>
  <c r="BQ105" i="6"/>
  <c r="BP105" i="6" s="1"/>
  <c r="XF101" i="6"/>
  <c r="XE101" i="6" s="1"/>
  <c r="ABS95" i="6"/>
  <c r="ABR95" i="6" s="1"/>
  <c r="WJ92" i="6"/>
  <c r="WI92" i="6" s="1"/>
  <c r="BQ89" i="6"/>
  <c r="BP89" i="6" s="1"/>
  <c r="XF85" i="6"/>
  <c r="XE85" i="6" s="1"/>
  <c r="ABS79" i="6"/>
  <c r="ABR79" i="6" s="1"/>
  <c r="WJ76" i="6"/>
  <c r="WI76" i="6" s="1"/>
  <c r="MW116" i="6"/>
  <c r="XQ115" i="6"/>
  <c r="XP115" i="6" s="1"/>
  <c r="EB115" i="6"/>
  <c r="EA115" i="6" s="1"/>
  <c r="LM114" i="6"/>
  <c r="KU113" i="6"/>
  <c r="PP112" i="6"/>
  <c r="GR111" i="6"/>
  <c r="GQ111" i="6" s="1"/>
  <c r="OF110" i="6"/>
  <c r="NN109" i="6"/>
  <c r="NM109" i="6" s="1"/>
  <c r="SJ108" i="6"/>
  <c r="JK107" i="6"/>
  <c r="QZ106" i="6"/>
  <c r="QH105" i="6"/>
  <c r="YM104" i="6"/>
  <c r="YL104" i="6" s="1"/>
  <c r="ES104" i="6"/>
  <c r="ER104" i="6" s="1"/>
  <c r="OX103" i="6"/>
  <c r="HI100" i="6"/>
  <c r="HH100" i="6" s="1"/>
  <c r="RR99" i="6"/>
  <c r="WU98" i="6"/>
  <c r="WT98" i="6" s="1"/>
  <c r="AP98" i="6"/>
  <c r="AO98" i="6" s="1"/>
  <c r="CJ97" i="6"/>
  <c r="CI97" i="6" s="1"/>
  <c r="IS96" i="6"/>
  <c r="UK95" i="6"/>
  <c r="UJ95" i="6" s="1"/>
  <c r="ABB94" i="6"/>
  <c r="GA94" i="6"/>
  <c r="FZ94" i="6" s="1"/>
  <c r="IA93" i="6"/>
  <c r="MW92" i="6"/>
  <c r="XQ91" i="6"/>
  <c r="XP91" i="6" s="1"/>
  <c r="EB91" i="6"/>
  <c r="EA91" i="6" s="1"/>
  <c r="LM90" i="6"/>
  <c r="KU89" i="6"/>
  <c r="PP88" i="6"/>
  <c r="GR87" i="6"/>
  <c r="GQ87" i="6" s="1"/>
  <c r="OF86" i="6"/>
  <c r="NN85" i="6"/>
  <c r="NM85" i="6" s="1"/>
  <c r="SJ84" i="6"/>
  <c r="JK83" i="6"/>
  <c r="QZ82" i="6"/>
  <c r="QH81" i="6"/>
  <c r="YM80" i="6"/>
  <c r="YL80" i="6" s="1"/>
  <c r="ABB81" i="6"/>
  <c r="DK81" i="6"/>
  <c r="DJ81" i="6" s="1"/>
  <c r="FJ80" i="6"/>
  <c r="FI80" i="6" s="1"/>
  <c r="KC79" i="6"/>
  <c r="VL78" i="6"/>
  <c r="VK78" i="6" s="1"/>
  <c r="DB78" i="6"/>
  <c r="DA78" i="6" s="1"/>
  <c r="GA77" i="6"/>
  <c r="FZ77" i="6" s="1"/>
  <c r="IA76" i="6"/>
  <c r="MW75" i="6"/>
  <c r="XQ74" i="6"/>
  <c r="XP74" i="6" s="1"/>
  <c r="EB74" i="6"/>
  <c r="EA74" i="6" s="1"/>
  <c r="LM73" i="6"/>
  <c r="KU72" i="6"/>
  <c r="PP71" i="6"/>
  <c r="GR70" i="6"/>
  <c r="GQ70" i="6" s="1"/>
  <c r="OF69" i="6"/>
  <c r="NN68" i="6"/>
  <c r="NM68" i="6" s="1"/>
  <c r="SJ67" i="6"/>
  <c r="JK66" i="6"/>
  <c r="QZ65" i="6"/>
  <c r="QH64" i="6"/>
  <c r="YM63" i="6"/>
  <c r="YL63" i="6" s="1"/>
  <c r="CS63" i="6"/>
  <c r="CR63" i="6" s="1"/>
  <c r="ME62" i="6"/>
  <c r="TT61" i="6"/>
  <c r="TB60" i="6"/>
  <c r="ZP59" i="6"/>
  <c r="ZO59" i="6" s="1"/>
  <c r="RR58" i="6"/>
  <c r="WU57" i="6"/>
  <c r="WT57" i="6" s="1"/>
  <c r="AP57" i="6"/>
  <c r="AO57" i="6" s="1"/>
  <c r="CJ56" i="6"/>
  <c r="CI56" i="6" s="1"/>
  <c r="IS55" i="6"/>
  <c r="UK54" i="6"/>
  <c r="UJ54" i="6" s="1"/>
  <c r="ABB53" i="6"/>
  <c r="DK53" i="6"/>
  <c r="DJ53" i="6" s="1"/>
  <c r="FJ52" i="6"/>
  <c r="FI52" i="6" s="1"/>
  <c r="KC51" i="6"/>
  <c r="VL50" i="6"/>
  <c r="VK50" i="6" s="1"/>
  <c r="DB50" i="6"/>
  <c r="DA50" i="6" s="1"/>
  <c r="GA49" i="6"/>
  <c r="FZ49" i="6" s="1"/>
  <c r="IA48" i="6"/>
  <c r="MW47" i="6"/>
  <c r="XQ46" i="6"/>
  <c r="XP46" i="6" s="1"/>
  <c r="EB46" i="6"/>
  <c r="EA46" i="6" s="1"/>
  <c r="LM45" i="6"/>
  <c r="KU44" i="6"/>
  <c r="PP43" i="6"/>
  <c r="GR42" i="6"/>
  <c r="GQ42" i="6" s="1"/>
  <c r="NN40" i="6"/>
  <c r="NM40" i="6" s="1"/>
  <c r="SJ39" i="6"/>
  <c r="CS39" i="6"/>
  <c r="CR39" i="6" s="1"/>
  <c r="ME38" i="6"/>
  <c r="TT37" i="6"/>
  <c r="HI35" i="6"/>
  <c r="HH35" i="6" s="1"/>
  <c r="RR34" i="6"/>
  <c r="ABB33" i="6"/>
  <c r="GA33" i="6"/>
  <c r="FZ33" i="6" s="1"/>
  <c r="IA32" i="6"/>
  <c r="MW31" i="6"/>
  <c r="XQ30" i="6"/>
  <c r="XP30" i="6" s="1"/>
  <c r="EB30" i="6"/>
  <c r="EA30" i="6" s="1"/>
  <c r="NN28" i="6"/>
  <c r="NM28" i="6" s="1"/>
  <c r="VL26" i="6"/>
  <c r="VK26" i="6" s="1"/>
  <c r="TT25" i="6"/>
  <c r="KC23" i="6"/>
  <c r="GR22" i="6"/>
  <c r="GQ22" i="6" s="1"/>
  <c r="FJ20" i="6"/>
  <c r="FI20" i="6" s="1"/>
  <c r="IA18" i="6"/>
  <c r="RR16" i="6"/>
  <c r="GA15" i="6"/>
  <c r="FZ15" i="6" s="1"/>
  <c r="GR8" i="6"/>
  <c r="GQ8" i="6" s="1"/>
  <c r="ABS73" i="6"/>
  <c r="ABR73" i="6" s="1"/>
  <c r="WJ70" i="6"/>
  <c r="WI70" i="6" s="1"/>
  <c r="BQ67" i="6"/>
  <c r="BP67" i="6" s="1"/>
  <c r="XF63" i="6"/>
  <c r="XE63" i="6" s="1"/>
  <c r="ABS57" i="6"/>
  <c r="ABR57" i="6" s="1"/>
  <c r="WJ54" i="6"/>
  <c r="WI54" i="6" s="1"/>
  <c r="BQ51" i="6"/>
  <c r="BP51" i="6" s="1"/>
  <c r="XF47" i="6"/>
  <c r="XE47" i="6" s="1"/>
  <c r="ABS41" i="6"/>
  <c r="ABR41" i="6" s="1"/>
  <c r="WJ38" i="6"/>
  <c r="WI38" i="6" s="1"/>
  <c r="BQ35" i="6"/>
  <c r="BP35" i="6" s="1"/>
  <c r="WA31" i="6"/>
  <c r="VZ31" i="6" s="1"/>
  <c r="YB28" i="6"/>
  <c r="YA28" i="6" s="1"/>
  <c r="YY25" i="6"/>
  <c r="AE22" i="6"/>
  <c r="YB18" i="6"/>
  <c r="YA18" i="6" s="1"/>
  <c r="YY15" i="6"/>
  <c r="AE12" i="6"/>
  <c r="ACW8" i="6"/>
  <c r="XF117" i="6"/>
  <c r="XE117" i="6" s="1"/>
  <c r="OX29" i="6"/>
  <c r="KU27" i="6"/>
  <c r="UK25" i="6"/>
  <c r="UJ25" i="6" s="1"/>
  <c r="DK24" i="6"/>
  <c r="DJ24" i="6" s="1"/>
  <c r="LM20" i="6"/>
  <c r="EB19" i="6"/>
  <c r="EA19" i="6" s="1"/>
  <c r="IA17" i="6"/>
  <c r="ES16" i="6"/>
  <c r="ER16" i="6" s="1"/>
  <c r="PP12" i="6"/>
  <c r="ME11" i="6"/>
  <c r="QH9" i="6"/>
  <c r="EB85" i="6"/>
  <c r="EA85" i="6" s="1"/>
  <c r="LM84" i="6"/>
  <c r="KU83" i="6"/>
  <c r="PP82" i="6"/>
  <c r="GR81" i="6"/>
  <c r="GQ81" i="6" s="1"/>
  <c r="OF80" i="6"/>
  <c r="QH79" i="6"/>
  <c r="YM78" i="6"/>
  <c r="YL78" i="6" s="1"/>
  <c r="CS78" i="6"/>
  <c r="CR78" i="6" s="1"/>
  <c r="ME77" i="6"/>
  <c r="TT76" i="6"/>
  <c r="TB75" i="6"/>
  <c r="ZP74" i="6"/>
  <c r="ZO74" i="6" s="1"/>
  <c r="ES74" i="6"/>
  <c r="ER74" i="6" s="1"/>
  <c r="HI70" i="6"/>
  <c r="HH70" i="6" s="1"/>
  <c r="RR69" i="6"/>
  <c r="WU68" i="6"/>
  <c r="WT68" i="6" s="1"/>
  <c r="AP68" i="6"/>
  <c r="AO68" i="6" s="1"/>
  <c r="CJ67" i="6"/>
  <c r="CI67" i="6" s="1"/>
  <c r="IS66" i="6"/>
  <c r="UK65" i="6"/>
  <c r="UJ65" i="6" s="1"/>
  <c r="ABB64" i="6"/>
  <c r="DK64" i="6"/>
  <c r="DJ64" i="6" s="1"/>
  <c r="FJ63" i="6"/>
  <c r="FI63" i="6" s="1"/>
  <c r="KC62" i="6"/>
  <c r="VL61" i="6"/>
  <c r="VK61" i="6" s="1"/>
  <c r="DB61" i="6"/>
  <c r="DA61" i="6" s="1"/>
  <c r="KU59" i="6"/>
  <c r="PP58" i="6"/>
  <c r="JK57" i="6"/>
  <c r="QZ56" i="6"/>
  <c r="QH55" i="6"/>
  <c r="YM54" i="6"/>
  <c r="YL54" i="6" s="1"/>
  <c r="CS54" i="6"/>
  <c r="CR54" i="6" s="1"/>
  <c r="ME53" i="6"/>
  <c r="TT52" i="6"/>
  <c r="TB51" i="6"/>
  <c r="ZP50" i="6"/>
  <c r="ZO50" i="6" s="1"/>
  <c r="ES50" i="6"/>
  <c r="ER50" i="6" s="1"/>
  <c r="OX49" i="6"/>
  <c r="AP48" i="6"/>
  <c r="AO48" i="6" s="1"/>
  <c r="CJ47" i="6"/>
  <c r="CI47" i="6" s="1"/>
  <c r="IS46" i="6"/>
  <c r="UK45" i="6"/>
  <c r="UJ45" i="6" s="1"/>
  <c r="ABB44" i="6"/>
  <c r="DK44" i="6"/>
  <c r="DJ44" i="6" s="1"/>
  <c r="FJ43" i="6"/>
  <c r="FI43" i="6" s="1"/>
  <c r="KC42" i="6"/>
  <c r="VL41" i="6"/>
  <c r="VK41" i="6" s="1"/>
  <c r="DB41" i="6"/>
  <c r="DA41" i="6" s="1"/>
  <c r="GA40" i="6"/>
  <c r="FZ40" i="6" s="1"/>
  <c r="IA39" i="6"/>
  <c r="MW38" i="6"/>
  <c r="XQ37" i="6"/>
  <c r="XP37" i="6" s="1"/>
  <c r="EB37" i="6"/>
  <c r="EA37" i="6" s="1"/>
  <c r="LM36" i="6"/>
  <c r="PP34" i="6"/>
  <c r="GR33" i="6"/>
  <c r="GQ33" i="6" s="1"/>
  <c r="OF32" i="6"/>
  <c r="NN31" i="6"/>
  <c r="NM31" i="6" s="1"/>
  <c r="SJ30" i="6"/>
  <c r="TT28" i="6"/>
  <c r="CJ27" i="6"/>
  <c r="CI27" i="6" s="1"/>
  <c r="XQ25" i="6"/>
  <c r="XP25" i="6" s="1"/>
  <c r="QZ24" i="6"/>
  <c r="VL21" i="6"/>
  <c r="VK21" i="6" s="1"/>
  <c r="OF20" i="6"/>
  <c r="ABB18" i="6"/>
  <c r="FJ17" i="6"/>
  <c r="FI17" i="6" s="1"/>
  <c r="OX15" i="6"/>
  <c r="MW12" i="6"/>
  <c r="EB11" i="6"/>
  <c r="EA11" i="6" s="1"/>
  <c r="NN9" i="6"/>
  <c r="NM9" i="6" s="1"/>
  <c r="AE73" i="6"/>
  <c r="ACW69" i="6"/>
  <c r="WA66" i="6"/>
  <c r="VZ66" i="6" s="1"/>
  <c r="YB63" i="6"/>
  <c r="YA63" i="6" s="1"/>
  <c r="YY60" i="6"/>
  <c r="AE57" i="6"/>
  <c r="ACW53" i="6"/>
  <c r="WA50" i="6"/>
  <c r="VZ50" i="6" s="1"/>
  <c r="YB47" i="6"/>
  <c r="YA47" i="6" s="1"/>
  <c r="YY44" i="6"/>
  <c r="AE41" i="6"/>
  <c r="ACW37" i="6"/>
  <c r="WA34" i="6"/>
  <c r="VZ34" i="6" s="1"/>
  <c r="YB31" i="6"/>
  <c r="YA31" i="6" s="1"/>
  <c r="YY28" i="6"/>
  <c r="AE25" i="6"/>
  <c r="ACW21" i="6"/>
  <c r="AE19" i="6"/>
  <c r="ACW15" i="6"/>
  <c r="WA12" i="6"/>
  <c r="VZ12" i="6" s="1"/>
  <c r="YB9" i="6"/>
  <c r="YA9" i="6" s="1"/>
  <c r="ABS6" i="6"/>
  <c r="ABR6" i="6" s="1"/>
  <c r="ME24" i="6"/>
  <c r="FJ22" i="6"/>
  <c r="FI22" i="6" s="1"/>
  <c r="RR20" i="6"/>
  <c r="HI19" i="6"/>
  <c r="HH19" i="6" s="1"/>
  <c r="DB18" i="6"/>
  <c r="DA18" i="6" s="1"/>
  <c r="KU16" i="6"/>
  <c r="JK14" i="6"/>
  <c r="KU12" i="6"/>
  <c r="JK10" i="6"/>
  <c r="FJ8" i="6"/>
  <c r="FI8" i="6" s="1"/>
  <c r="UK117" i="6"/>
  <c r="UJ117" i="6" s="1"/>
  <c r="CJ6" i="6"/>
  <c r="CI6" i="6" s="1"/>
  <c r="HI81" i="6"/>
  <c r="HH81" i="6" s="1"/>
  <c r="RR80" i="6"/>
  <c r="WU79" i="6"/>
  <c r="WT79" i="6" s="1"/>
  <c r="AP79" i="6"/>
  <c r="AO79" i="6" s="1"/>
  <c r="CJ78" i="6"/>
  <c r="CI78" i="6" s="1"/>
  <c r="IS77" i="6"/>
  <c r="UK76" i="6"/>
  <c r="UJ76" i="6" s="1"/>
  <c r="ABB75" i="6"/>
  <c r="DK75" i="6"/>
  <c r="DJ75" i="6" s="1"/>
  <c r="FJ74" i="6"/>
  <c r="FI74" i="6" s="1"/>
  <c r="KC73" i="6"/>
  <c r="VL72" i="6"/>
  <c r="VK72" i="6" s="1"/>
  <c r="DB72" i="6"/>
  <c r="DA72" i="6" s="1"/>
  <c r="GA71" i="6"/>
  <c r="FZ71" i="6" s="1"/>
  <c r="IA70" i="6"/>
  <c r="MW69" i="6"/>
  <c r="GR68" i="6"/>
  <c r="GQ68" i="6" s="1"/>
  <c r="OF67" i="6"/>
  <c r="NN66" i="6"/>
  <c r="NM66" i="6" s="1"/>
  <c r="SJ65" i="6"/>
  <c r="JK64" i="6"/>
  <c r="QZ63" i="6"/>
  <c r="TB62" i="6"/>
  <c r="ZP61" i="6"/>
  <c r="ZO61" i="6" s="1"/>
  <c r="ES61" i="6"/>
  <c r="ER61" i="6" s="1"/>
  <c r="OX60" i="6"/>
  <c r="HI57" i="6"/>
  <c r="HH57" i="6" s="1"/>
  <c r="RR56" i="6"/>
  <c r="WU55" i="6"/>
  <c r="WT55" i="6" s="1"/>
  <c r="AP55" i="6"/>
  <c r="AO55" i="6" s="1"/>
  <c r="CJ54" i="6"/>
  <c r="CI54" i="6" s="1"/>
  <c r="IS53" i="6"/>
  <c r="UK52" i="6"/>
  <c r="UJ52" i="6" s="1"/>
  <c r="ABB51" i="6"/>
  <c r="DK51" i="6"/>
  <c r="DJ51" i="6" s="1"/>
  <c r="FJ50" i="6"/>
  <c r="FI50" i="6" s="1"/>
  <c r="KC49" i="6"/>
  <c r="VL48" i="6"/>
  <c r="VK48" i="6" s="1"/>
  <c r="DB48" i="6"/>
  <c r="DA48" i="6" s="1"/>
  <c r="GA47" i="6"/>
  <c r="FZ47" i="6" s="1"/>
  <c r="IA46" i="6"/>
  <c r="MW45" i="6"/>
  <c r="XQ44" i="6"/>
  <c r="XP44" i="6" s="1"/>
  <c r="EB44" i="6"/>
  <c r="EA44" i="6" s="1"/>
  <c r="LM43" i="6"/>
  <c r="KU42" i="6"/>
  <c r="PP41" i="6"/>
  <c r="JK40" i="6"/>
  <c r="QZ39" i="6"/>
  <c r="QH38" i="6"/>
  <c r="YM37" i="6"/>
  <c r="YL37" i="6" s="1"/>
  <c r="CS37" i="6"/>
  <c r="CR37" i="6" s="1"/>
  <c r="ME36" i="6"/>
  <c r="TT35" i="6"/>
  <c r="TB34" i="6"/>
  <c r="ZP33" i="6"/>
  <c r="ZO33" i="6" s="1"/>
  <c r="ES33" i="6"/>
  <c r="ER33" i="6" s="1"/>
  <c r="OX32" i="6"/>
  <c r="HI29" i="6"/>
  <c r="HH29" i="6" s="1"/>
  <c r="RR28" i="6"/>
  <c r="WU27" i="6"/>
  <c r="WT27" i="6" s="1"/>
  <c r="AP27" i="6"/>
  <c r="AO27" i="6" s="1"/>
  <c r="CJ26" i="6"/>
  <c r="CI26" i="6" s="1"/>
  <c r="IS25" i="6"/>
  <c r="UK24" i="6"/>
  <c r="UJ24" i="6" s="1"/>
  <c r="LM23" i="6"/>
  <c r="CJ22" i="6"/>
  <c r="CI22" i="6" s="1"/>
  <c r="TT17" i="6"/>
  <c r="ZP15" i="6"/>
  <c r="ZO15" i="6" s="1"/>
  <c r="XQ14" i="6"/>
  <c r="XP14" i="6" s="1"/>
  <c r="TT13" i="6"/>
  <c r="WU9" i="6"/>
  <c r="WT9" i="6" s="1"/>
  <c r="KU8" i="6"/>
  <c r="ES7" i="6"/>
  <c r="ER7" i="6" s="1"/>
  <c r="EB12" i="6"/>
  <c r="EA12" i="6" s="1"/>
  <c r="ES8" i="6"/>
  <c r="ER8" i="6" s="1"/>
  <c r="ACW72" i="6"/>
  <c r="WA69" i="6"/>
  <c r="VZ69" i="6" s="1"/>
  <c r="YB66" i="6"/>
  <c r="YA66" i="6" s="1"/>
  <c r="YY63" i="6"/>
  <c r="AE60" i="6"/>
  <c r="ACW56" i="6"/>
  <c r="WA53" i="6"/>
  <c r="VZ53" i="6" s="1"/>
  <c r="YB50" i="6"/>
  <c r="YA50" i="6" s="1"/>
  <c r="YY47" i="6"/>
  <c r="AE44" i="6"/>
  <c r="ACW40" i="6"/>
  <c r="WA37" i="6"/>
  <c r="VZ37" i="6" s="1"/>
  <c r="YB34" i="6"/>
  <c r="YA34" i="6" s="1"/>
  <c r="YY31" i="6"/>
  <c r="AE28" i="6"/>
  <c r="ACW24" i="6"/>
  <c r="WA21" i="6"/>
  <c r="VZ21" i="6" s="1"/>
  <c r="ACW18" i="6"/>
  <c r="WA15" i="6"/>
  <c r="VZ15" i="6" s="1"/>
  <c r="YB12" i="6"/>
  <c r="YA12" i="6" s="1"/>
  <c r="YY9" i="6"/>
  <c r="WJ117" i="6"/>
  <c r="WI117" i="6" s="1"/>
  <c r="CS24" i="6"/>
  <c r="CR24" i="6" s="1"/>
  <c r="WU22" i="6"/>
  <c r="WT22" i="6" s="1"/>
  <c r="IA21" i="6"/>
  <c r="HI20" i="6"/>
  <c r="HH20" i="6" s="1"/>
  <c r="IS18" i="6"/>
  <c r="GR17" i="6"/>
  <c r="GQ17" i="6" s="1"/>
  <c r="TB15" i="6"/>
  <c r="ES14" i="6"/>
  <c r="ER14" i="6" s="1"/>
  <c r="GR13" i="6"/>
  <c r="GQ13" i="6" s="1"/>
  <c r="NN11" i="6"/>
  <c r="NM11" i="6" s="1"/>
  <c r="CS10" i="6"/>
  <c r="CR10" i="6" s="1"/>
  <c r="GA8" i="6"/>
  <c r="FZ8" i="6" s="1"/>
  <c r="YM117" i="6"/>
  <c r="YL117" i="6" s="1"/>
  <c r="IS9" i="6"/>
  <c r="OF6" i="6"/>
  <c r="JK79" i="6"/>
  <c r="QZ78" i="6"/>
  <c r="QH77" i="6"/>
  <c r="YM76" i="6"/>
  <c r="YL76" i="6" s="1"/>
  <c r="CS76" i="6"/>
  <c r="CR76" i="6" s="1"/>
  <c r="ME75" i="6"/>
  <c r="TT74" i="6"/>
  <c r="TB73" i="6"/>
  <c r="ZP72" i="6"/>
  <c r="ZO72" i="6" s="1"/>
  <c r="RR71" i="6"/>
  <c r="WU70" i="6"/>
  <c r="WT70" i="6" s="1"/>
  <c r="AP70" i="6"/>
  <c r="AO70" i="6" s="1"/>
  <c r="CJ69" i="6"/>
  <c r="CI69" i="6" s="1"/>
  <c r="IS68" i="6"/>
  <c r="UK67" i="6"/>
  <c r="UJ67" i="6" s="1"/>
  <c r="ABB66" i="6"/>
  <c r="DK66" i="6"/>
  <c r="DJ66" i="6" s="1"/>
  <c r="FJ65" i="6"/>
  <c r="FI65" i="6" s="1"/>
  <c r="KC64" i="6"/>
  <c r="VL63" i="6"/>
  <c r="VK63" i="6" s="1"/>
  <c r="DB63" i="6"/>
  <c r="DA63" i="6" s="1"/>
  <c r="GA62" i="6"/>
  <c r="FZ62" i="6" s="1"/>
  <c r="IA61" i="6"/>
  <c r="MW60" i="6"/>
  <c r="XQ59" i="6"/>
  <c r="XP59" i="6" s="1"/>
  <c r="EB59" i="6"/>
  <c r="EA59" i="6" s="1"/>
  <c r="LM58" i="6"/>
  <c r="KU57" i="6"/>
  <c r="PP56" i="6"/>
  <c r="GR55" i="6"/>
  <c r="GQ55" i="6" s="1"/>
  <c r="OF54" i="6"/>
  <c r="NN53" i="6"/>
  <c r="NM53" i="6" s="1"/>
  <c r="SJ52" i="6"/>
  <c r="CS52" i="6"/>
  <c r="CR52" i="6" s="1"/>
  <c r="ME51" i="6"/>
  <c r="TT50" i="6"/>
  <c r="TB49" i="6"/>
  <c r="ZP48" i="6"/>
  <c r="ZO48" i="6" s="1"/>
  <c r="ES48" i="6"/>
  <c r="ER48" i="6" s="1"/>
  <c r="OX47" i="6"/>
  <c r="HI44" i="6"/>
  <c r="HH44" i="6" s="1"/>
  <c r="RR43" i="6"/>
  <c r="WU42" i="6"/>
  <c r="WT42" i="6" s="1"/>
  <c r="DK42" i="6"/>
  <c r="DJ42" i="6" s="1"/>
  <c r="FJ41" i="6"/>
  <c r="FI41" i="6" s="1"/>
  <c r="KC40" i="6"/>
  <c r="VL39" i="6"/>
  <c r="VK39" i="6" s="1"/>
  <c r="DB39" i="6"/>
  <c r="DA39" i="6" s="1"/>
  <c r="GA38" i="6"/>
  <c r="FZ38" i="6" s="1"/>
  <c r="IA37" i="6"/>
  <c r="MW36" i="6"/>
  <c r="XQ35" i="6"/>
  <c r="XP35" i="6" s="1"/>
  <c r="EB35" i="6"/>
  <c r="EA35" i="6" s="1"/>
  <c r="LM34" i="6"/>
  <c r="KU33" i="6"/>
  <c r="PP32" i="6"/>
  <c r="GR31" i="6"/>
  <c r="GQ31" i="6" s="1"/>
  <c r="OF30" i="6"/>
  <c r="NN29" i="6"/>
  <c r="NM29" i="6" s="1"/>
  <c r="SJ28" i="6"/>
  <c r="JK27" i="6"/>
  <c r="QZ26" i="6"/>
  <c r="QH25" i="6"/>
  <c r="YM24" i="6"/>
  <c r="YL24" i="6" s="1"/>
  <c r="ME23" i="6"/>
  <c r="KU21" i="6"/>
  <c r="QH19" i="6"/>
  <c r="XQ17" i="6"/>
  <c r="XP17" i="6" s="1"/>
  <c r="LM16" i="6"/>
  <c r="HI14" i="6"/>
  <c r="HH14" i="6" s="1"/>
  <c r="OF12" i="6"/>
  <c r="ZP10" i="6"/>
  <c r="ZO10" i="6" s="1"/>
  <c r="JK9" i="6"/>
  <c r="NN7" i="6"/>
  <c r="NM7" i="6" s="1"/>
  <c r="OF11" i="6"/>
  <c r="DB8" i="6"/>
  <c r="DA8" i="6" s="1"/>
  <c r="ABB117" i="6"/>
  <c r="XF72" i="6"/>
  <c r="XE72" i="6" s="1"/>
  <c r="ABS66" i="6"/>
  <c r="ABR66" i="6" s="1"/>
  <c r="WJ63" i="6"/>
  <c r="WI63" i="6" s="1"/>
  <c r="BQ60" i="6"/>
  <c r="BP60" i="6" s="1"/>
  <c r="XF56" i="6"/>
  <c r="XE56" i="6" s="1"/>
  <c r="ABS50" i="6"/>
  <c r="ABR50" i="6" s="1"/>
  <c r="WJ47" i="6"/>
  <c r="WI47" i="6" s="1"/>
  <c r="BQ44" i="6"/>
  <c r="BP44" i="6" s="1"/>
  <c r="XF40" i="6"/>
  <c r="XE40" i="6" s="1"/>
  <c r="ABS34" i="6"/>
  <c r="ABR34" i="6" s="1"/>
  <c r="WJ31" i="6"/>
  <c r="WI31" i="6" s="1"/>
  <c r="BQ28" i="6"/>
  <c r="BP28" i="6" s="1"/>
  <c r="XF24" i="6"/>
  <c r="XE24" i="6" s="1"/>
  <c r="BQ18" i="6"/>
  <c r="BP18" i="6" s="1"/>
  <c r="XF14" i="6"/>
  <c r="XE14" i="6" s="1"/>
  <c r="ABS8" i="6"/>
  <c r="ABR8" i="6" s="1"/>
  <c r="LM6" i="6"/>
  <c r="LM117" i="6"/>
  <c r="ABB29" i="6"/>
  <c r="CJ28" i="6"/>
  <c r="CI28" i="6" s="1"/>
  <c r="GA25" i="6"/>
  <c r="FZ25" i="6" s="1"/>
  <c r="ZP23" i="6"/>
  <c r="ZO23" i="6" s="1"/>
  <c r="JK22" i="6"/>
  <c r="DK21" i="6"/>
  <c r="DJ21" i="6" s="1"/>
  <c r="GA19" i="6"/>
  <c r="FZ19" i="6" s="1"/>
  <c r="ZP17" i="6"/>
  <c r="ZO17" i="6" s="1"/>
  <c r="UK16" i="6"/>
  <c r="UJ16" i="6" s="1"/>
  <c r="QH14" i="6"/>
  <c r="ES13" i="6"/>
  <c r="ER13" i="6" s="1"/>
  <c r="EB8" i="6"/>
  <c r="EA8" i="6" s="1"/>
  <c r="YY114" i="6"/>
  <c r="AE111" i="6"/>
  <c r="ACW107" i="6"/>
  <c r="WA104" i="6"/>
  <c r="VZ104" i="6" s="1"/>
  <c r="YB101" i="6"/>
  <c r="YA101" i="6" s="1"/>
  <c r="YY98" i="6"/>
  <c r="AE95" i="6"/>
  <c r="ACW91" i="6"/>
  <c r="WA88" i="6"/>
  <c r="VZ88" i="6" s="1"/>
  <c r="YB85" i="6"/>
  <c r="YA85" i="6" s="1"/>
  <c r="YY82" i="6"/>
  <c r="AE79" i="6"/>
  <c r="ACW75" i="6"/>
  <c r="YM99" i="6"/>
  <c r="YL99" i="6" s="1"/>
  <c r="CS99" i="6"/>
  <c r="CR99" i="6" s="1"/>
  <c r="ZP95" i="6"/>
  <c r="ZO95" i="6" s="1"/>
  <c r="ES95" i="6"/>
  <c r="ER95" i="6" s="1"/>
  <c r="HI91" i="6"/>
  <c r="HH91" i="6" s="1"/>
  <c r="WU89" i="6"/>
  <c r="WT89" i="6" s="1"/>
  <c r="AP89" i="6"/>
  <c r="AO89" i="6" s="1"/>
  <c r="CJ88" i="6"/>
  <c r="CI88" i="6" s="1"/>
  <c r="IS87" i="6"/>
  <c r="UK86" i="6"/>
  <c r="UJ86" i="6" s="1"/>
  <c r="ABB85" i="6"/>
  <c r="DK85" i="6"/>
  <c r="DJ85" i="6" s="1"/>
  <c r="FJ84" i="6"/>
  <c r="FI84" i="6" s="1"/>
  <c r="VL82" i="6"/>
  <c r="VK82" i="6" s="1"/>
  <c r="WJ114" i="6"/>
  <c r="WI114" i="6" s="1"/>
  <c r="BQ111" i="6"/>
  <c r="BP111" i="6" s="1"/>
  <c r="XF107" i="6"/>
  <c r="XE107" i="6" s="1"/>
  <c r="ABS101" i="6"/>
  <c r="ABR101" i="6" s="1"/>
  <c r="WJ98" i="6"/>
  <c r="WI98" i="6" s="1"/>
  <c r="BQ95" i="6"/>
  <c r="BP95" i="6" s="1"/>
  <c r="XF91" i="6"/>
  <c r="XE91" i="6" s="1"/>
  <c r="ABS85" i="6"/>
  <c r="ABR85" i="6" s="1"/>
  <c r="WJ82" i="6"/>
  <c r="WI82" i="6" s="1"/>
  <c r="BQ79" i="6"/>
  <c r="BP79" i="6" s="1"/>
  <c r="XF75" i="6"/>
  <c r="XE75" i="6" s="1"/>
  <c r="GR113" i="6"/>
  <c r="GQ113" i="6" s="1"/>
  <c r="NN111" i="6"/>
  <c r="NM111" i="6" s="1"/>
  <c r="YM106" i="6"/>
  <c r="YL106" i="6" s="1"/>
  <c r="ES106" i="6"/>
  <c r="ER106" i="6" s="1"/>
  <c r="HI102" i="6"/>
  <c r="HH102" i="6" s="1"/>
  <c r="WU100" i="6"/>
  <c r="WT100" i="6" s="1"/>
  <c r="AP100" i="6"/>
  <c r="AO100" i="6" s="1"/>
  <c r="CJ99" i="6"/>
  <c r="CI99" i="6" s="1"/>
  <c r="VL97" i="6"/>
  <c r="VK97" i="6" s="1"/>
  <c r="DB97" i="6"/>
  <c r="DA97" i="6" s="1"/>
  <c r="GR93" i="6"/>
  <c r="GQ93" i="6" s="1"/>
  <c r="NN91" i="6"/>
  <c r="NM91" i="6" s="1"/>
  <c r="YM86" i="6"/>
  <c r="YL86" i="6" s="1"/>
  <c r="CS86" i="6"/>
  <c r="CR86" i="6" s="1"/>
  <c r="ABS116" i="6"/>
  <c r="ABR116" i="6" s="1"/>
  <c r="WJ113" i="6"/>
  <c r="WI113" i="6" s="1"/>
  <c r="BQ110" i="6"/>
  <c r="BP110" i="6" s="1"/>
  <c r="XF106" i="6"/>
  <c r="XE106" i="6" s="1"/>
  <c r="ABS100" i="6"/>
  <c r="ABR100" i="6" s="1"/>
  <c r="WJ97" i="6"/>
  <c r="WI97" i="6" s="1"/>
  <c r="BQ94" i="6"/>
  <c r="BP94" i="6" s="1"/>
  <c r="XF90" i="6"/>
  <c r="XE90" i="6" s="1"/>
  <c r="ABS84" i="6"/>
  <c r="ABR84" i="6" s="1"/>
  <c r="WJ81" i="6"/>
  <c r="WI81" i="6" s="1"/>
  <c r="BQ78" i="6"/>
  <c r="BP78" i="6" s="1"/>
  <c r="YM113" i="6"/>
  <c r="YL113" i="6" s="1"/>
  <c r="CS113" i="6"/>
  <c r="CR113" i="6" s="1"/>
  <c r="ZP109" i="6"/>
  <c r="ZO109" i="6" s="1"/>
  <c r="ES109" i="6"/>
  <c r="ER109" i="6" s="1"/>
  <c r="HI105" i="6"/>
  <c r="HH105" i="6" s="1"/>
  <c r="WU103" i="6"/>
  <c r="WT103" i="6" s="1"/>
  <c r="AP103" i="6"/>
  <c r="AO103" i="6" s="1"/>
  <c r="CJ102" i="6"/>
  <c r="CI102" i="6" s="1"/>
  <c r="IS101" i="6"/>
  <c r="UK100" i="6"/>
  <c r="UJ100" i="6" s="1"/>
  <c r="ABB99" i="6"/>
  <c r="DK99" i="6"/>
  <c r="DJ99" i="6" s="1"/>
  <c r="FJ98" i="6"/>
  <c r="FI98" i="6" s="1"/>
  <c r="KC97" i="6"/>
  <c r="VL96" i="6"/>
  <c r="VK96" i="6" s="1"/>
  <c r="DB96" i="6"/>
  <c r="DA96" i="6" s="1"/>
  <c r="GA95" i="6"/>
  <c r="FZ95" i="6" s="1"/>
  <c r="IA94" i="6"/>
  <c r="MW93" i="6"/>
  <c r="XQ92" i="6"/>
  <c r="XP92" i="6" s="1"/>
  <c r="EB92" i="6"/>
  <c r="EA92" i="6" s="1"/>
  <c r="LM91" i="6"/>
  <c r="KU90" i="6"/>
  <c r="PP89" i="6"/>
  <c r="GR88" i="6"/>
  <c r="GQ88" i="6" s="1"/>
  <c r="OF87" i="6"/>
  <c r="NN86" i="6"/>
  <c r="NM86" i="6" s="1"/>
  <c r="SJ85" i="6"/>
  <c r="JK84" i="6"/>
  <c r="QZ83" i="6"/>
  <c r="QH82" i="6"/>
  <c r="YM81" i="6"/>
  <c r="YL81" i="6" s="1"/>
  <c r="YB114" i="6"/>
  <c r="YA114" i="6" s="1"/>
  <c r="YY111" i="6"/>
  <c r="AE108" i="6"/>
  <c r="ACW104" i="6"/>
  <c r="WA101" i="6"/>
  <c r="VZ101" i="6" s="1"/>
  <c r="YB98" i="6"/>
  <c r="YA98" i="6" s="1"/>
  <c r="YY95" i="6"/>
  <c r="AE92" i="6"/>
  <c r="ACW88" i="6"/>
  <c r="WA85" i="6"/>
  <c r="VZ85" i="6" s="1"/>
  <c r="YB82" i="6"/>
  <c r="YA82" i="6" s="1"/>
  <c r="AE76" i="6"/>
  <c r="KC116" i="6"/>
  <c r="VL115" i="6"/>
  <c r="VK115" i="6" s="1"/>
  <c r="DB115" i="6"/>
  <c r="DA115" i="6" s="1"/>
  <c r="GA114" i="6"/>
  <c r="FZ114" i="6" s="1"/>
  <c r="IA113" i="6"/>
  <c r="MW112" i="6"/>
  <c r="XQ111" i="6"/>
  <c r="XP111" i="6" s="1"/>
  <c r="EB111" i="6"/>
  <c r="EA111" i="6" s="1"/>
  <c r="LM110" i="6"/>
  <c r="KU109" i="6"/>
  <c r="PP108" i="6"/>
  <c r="GR107" i="6"/>
  <c r="GQ107" i="6" s="1"/>
  <c r="OF106" i="6"/>
  <c r="NN105" i="6"/>
  <c r="NM105" i="6" s="1"/>
  <c r="SJ104" i="6"/>
  <c r="CS104" i="6"/>
  <c r="CR104" i="6" s="1"/>
  <c r="ME103" i="6"/>
  <c r="TT102" i="6"/>
  <c r="TB101" i="6"/>
  <c r="ZP100" i="6"/>
  <c r="ZO100" i="6" s="1"/>
  <c r="ES100" i="6"/>
  <c r="ER100" i="6" s="1"/>
  <c r="OX99" i="6"/>
  <c r="HI96" i="6"/>
  <c r="HH96" i="6" s="1"/>
  <c r="RR95" i="6"/>
  <c r="WU94" i="6"/>
  <c r="WT94" i="6" s="1"/>
  <c r="DK94" i="6"/>
  <c r="DJ94" i="6" s="1"/>
  <c r="FJ93" i="6"/>
  <c r="FI93" i="6" s="1"/>
  <c r="KC92" i="6"/>
  <c r="VL91" i="6"/>
  <c r="VK91" i="6" s="1"/>
  <c r="DB91" i="6"/>
  <c r="DA91" i="6" s="1"/>
  <c r="GA90" i="6"/>
  <c r="FZ90" i="6" s="1"/>
  <c r="IA89" i="6"/>
  <c r="MW88" i="6"/>
  <c r="XQ87" i="6"/>
  <c r="XP87" i="6" s="1"/>
  <c r="EB87" i="6"/>
  <c r="EA87" i="6" s="1"/>
  <c r="LM86" i="6"/>
  <c r="KU85" i="6"/>
  <c r="PP84" i="6"/>
  <c r="GR83" i="6"/>
  <c r="GQ83" i="6" s="1"/>
  <c r="OF82" i="6"/>
  <c r="NN81" i="6"/>
  <c r="NM81" i="6" s="1"/>
  <c r="SJ80" i="6"/>
  <c r="WU81" i="6"/>
  <c r="WT81" i="6" s="1"/>
  <c r="AP81" i="6"/>
  <c r="AO81" i="6" s="1"/>
  <c r="CJ80" i="6"/>
  <c r="CI80" i="6" s="1"/>
  <c r="IS79" i="6"/>
  <c r="UK78" i="6"/>
  <c r="UJ78" i="6" s="1"/>
  <c r="ABB77" i="6"/>
  <c r="DK77" i="6"/>
  <c r="DJ77" i="6" s="1"/>
  <c r="FJ76" i="6"/>
  <c r="FI76" i="6" s="1"/>
  <c r="KC75" i="6"/>
  <c r="VL74" i="6"/>
  <c r="VK74" i="6" s="1"/>
  <c r="DB74" i="6"/>
  <c r="DA74" i="6" s="1"/>
  <c r="GA73" i="6"/>
  <c r="FZ73" i="6" s="1"/>
  <c r="IA72" i="6"/>
  <c r="XQ70" i="6"/>
  <c r="XP70" i="6" s="1"/>
  <c r="EB70" i="6"/>
  <c r="EA70" i="6" s="1"/>
  <c r="PP67" i="6"/>
  <c r="GR66" i="6"/>
  <c r="GQ66" i="6" s="1"/>
  <c r="OF65" i="6"/>
  <c r="NN64" i="6"/>
  <c r="NM64" i="6" s="1"/>
  <c r="SJ63" i="6"/>
  <c r="JK62" i="6"/>
  <c r="QZ61" i="6"/>
  <c r="QH60" i="6"/>
  <c r="YM59" i="6"/>
  <c r="YL59" i="6" s="1"/>
  <c r="ES59" i="6"/>
  <c r="ER59" i="6" s="1"/>
  <c r="OX58" i="6"/>
  <c r="HI55" i="6"/>
  <c r="HH55" i="6" s="1"/>
  <c r="RR54" i="6"/>
  <c r="WU53" i="6"/>
  <c r="WT53" i="6" s="1"/>
  <c r="AP53" i="6"/>
  <c r="AO53" i="6" s="1"/>
  <c r="CJ52" i="6"/>
  <c r="CI52" i="6" s="1"/>
  <c r="IS51" i="6"/>
  <c r="UK50" i="6"/>
  <c r="UJ50" i="6" s="1"/>
  <c r="ABB49" i="6"/>
  <c r="DK49" i="6"/>
  <c r="DJ49" i="6" s="1"/>
  <c r="FJ48" i="6"/>
  <c r="FI48" i="6" s="1"/>
  <c r="KC47" i="6"/>
  <c r="VL46" i="6"/>
  <c r="VK46" i="6" s="1"/>
  <c r="DB46" i="6"/>
  <c r="DA46" i="6" s="1"/>
  <c r="GA45" i="6"/>
  <c r="FZ45" i="6" s="1"/>
  <c r="IA44" i="6"/>
  <c r="MW43" i="6"/>
  <c r="XQ42" i="6"/>
  <c r="XP42" i="6" s="1"/>
  <c r="EB42" i="6"/>
  <c r="EA42" i="6" s="1"/>
  <c r="LM41" i="6"/>
  <c r="PP39" i="6"/>
  <c r="JK38" i="6"/>
  <c r="QZ37" i="6"/>
  <c r="TB36" i="6"/>
  <c r="ZP35" i="6"/>
  <c r="ZO35" i="6" s="1"/>
  <c r="ES35" i="6"/>
  <c r="ER35" i="6" s="1"/>
  <c r="OX34" i="6"/>
  <c r="WU33" i="6"/>
  <c r="WT33" i="6" s="1"/>
  <c r="DK33" i="6"/>
  <c r="DJ33" i="6" s="1"/>
  <c r="FJ32" i="6"/>
  <c r="FI32" i="6" s="1"/>
  <c r="KC31" i="6"/>
  <c r="VL30" i="6"/>
  <c r="VK30" i="6" s="1"/>
  <c r="WU29" i="6"/>
  <c r="WT29" i="6" s="1"/>
  <c r="FJ28" i="6"/>
  <c r="FI28" i="6" s="1"/>
  <c r="RR26" i="6"/>
  <c r="DK25" i="6"/>
  <c r="DJ25" i="6" s="1"/>
  <c r="DB22" i="6"/>
  <c r="DA22" i="6" s="1"/>
  <c r="FJ18" i="6"/>
  <c r="FI18" i="6" s="1"/>
  <c r="OX16" i="6"/>
  <c r="DK15" i="6"/>
  <c r="DJ15" i="6" s="1"/>
  <c r="MW13" i="6"/>
  <c r="LM11" i="6"/>
  <c r="ABB7" i="6"/>
  <c r="RR7" i="6"/>
  <c r="YY73" i="6"/>
  <c r="AE70" i="6"/>
  <c r="ACW66" i="6"/>
  <c r="WA63" i="6"/>
  <c r="VZ63" i="6" s="1"/>
  <c r="YB60" i="6"/>
  <c r="YA60" i="6" s="1"/>
  <c r="YY57" i="6"/>
  <c r="AE54" i="6"/>
  <c r="ACW50" i="6"/>
  <c r="WA47" i="6"/>
  <c r="VZ47" i="6" s="1"/>
  <c r="YB44" i="6"/>
  <c r="YA44" i="6" s="1"/>
  <c r="YY41" i="6"/>
  <c r="AE38" i="6"/>
  <c r="ACW34" i="6"/>
  <c r="BQ31" i="6"/>
  <c r="BP31" i="6" s="1"/>
  <c r="XF27" i="6"/>
  <c r="XE27" i="6" s="1"/>
  <c r="ABS21" i="6"/>
  <c r="ABR21" i="6" s="1"/>
  <c r="XF17" i="6"/>
  <c r="XE17" i="6" s="1"/>
  <c r="ABS11" i="6"/>
  <c r="ABR11" i="6" s="1"/>
  <c r="WJ8" i="6"/>
  <c r="WI8" i="6" s="1"/>
  <c r="XF6" i="6"/>
  <c r="XE6" i="6" s="1"/>
  <c r="JK29" i="6"/>
  <c r="FJ27" i="6"/>
  <c r="FI27" i="6" s="1"/>
  <c r="OX25" i="6"/>
  <c r="NN23" i="6"/>
  <c r="NM23" i="6" s="1"/>
  <c r="GA20" i="6"/>
  <c r="FZ20" i="6" s="1"/>
  <c r="WU18" i="6"/>
  <c r="WT18" i="6" s="1"/>
  <c r="CJ17" i="6"/>
  <c r="CI17" i="6" s="1"/>
  <c r="CS16" i="6"/>
  <c r="CR16" i="6" s="1"/>
  <c r="OF14" i="6"/>
  <c r="IS12" i="6"/>
  <c r="GR11" i="6"/>
  <c r="GQ11" i="6" s="1"/>
  <c r="KU9" i="6"/>
  <c r="DB85" i="6"/>
  <c r="DA85" i="6" s="1"/>
  <c r="GA84" i="6"/>
  <c r="FZ84" i="6" s="1"/>
  <c r="IA83" i="6"/>
  <c r="XQ81" i="6"/>
  <c r="XP81" i="6" s="1"/>
  <c r="EB81" i="6"/>
  <c r="EA81" i="6" s="1"/>
  <c r="NN79" i="6"/>
  <c r="NM79" i="6" s="1"/>
  <c r="SJ78" i="6"/>
  <c r="JK77" i="6"/>
  <c r="QZ76" i="6"/>
  <c r="QH75" i="6"/>
  <c r="YM74" i="6"/>
  <c r="YL74" i="6" s="1"/>
  <c r="CS74" i="6"/>
  <c r="CR74" i="6" s="1"/>
  <c r="ME73" i="6"/>
  <c r="TT72" i="6"/>
  <c r="TB71" i="6"/>
  <c r="ZP70" i="6"/>
  <c r="ZO70" i="6" s="1"/>
  <c r="ES70" i="6"/>
  <c r="ER70" i="6" s="1"/>
  <c r="OX69" i="6"/>
  <c r="HI66" i="6"/>
  <c r="HH66" i="6" s="1"/>
  <c r="RR65" i="6"/>
  <c r="WU64" i="6"/>
  <c r="WT64" i="6" s="1"/>
  <c r="AP64" i="6"/>
  <c r="AO64" i="6" s="1"/>
  <c r="CJ63" i="6"/>
  <c r="CI63" i="6" s="1"/>
  <c r="IS62" i="6"/>
  <c r="UK61" i="6"/>
  <c r="UJ61" i="6" s="1"/>
  <c r="ABB60" i="6"/>
  <c r="GA60" i="6"/>
  <c r="FZ60" i="6" s="1"/>
  <c r="IA59" i="6"/>
  <c r="MW58" i="6"/>
  <c r="GR57" i="6"/>
  <c r="GQ57" i="6" s="1"/>
  <c r="OF56" i="6"/>
  <c r="NN55" i="6"/>
  <c r="NM55" i="6" s="1"/>
  <c r="SJ54" i="6"/>
  <c r="JK53" i="6"/>
  <c r="QZ52" i="6"/>
  <c r="QH51" i="6"/>
  <c r="YM50" i="6"/>
  <c r="YL50" i="6" s="1"/>
  <c r="CS50" i="6"/>
  <c r="CR50" i="6" s="1"/>
  <c r="ME49" i="6"/>
  <c r="HI46" i="6"/>
  <c r="HH46" i="6" s="1"/>
  <c r="RR45" i="6"/>
  <c r="WU44" i="6"/>
  <c r="WT44" i="6" s="1"/>
  <c r="AP44" i="6"/>
  <c r="AO44" i="6" s="1"/>
  <c r="CJ43" i="6"/>
  <c r="CI43" i="6" s="1"/>
  <c r="IS42" i="6"/>
  <c r="UK41" i="6"/>
  <c r="UJ41" i="6" s="1"/>
  <c r="ABB40" i="6"/>
  <c r="DK40" i="6"/>
  <c r="DJ40" i="6" s="1"/>
  <c r="FJ39" i="6"/>
  <c r="FI39" i="6" s="1"/>
  <c r="VL37" i="6"/>
  <c r="VK37" i="6" s="1"/>
  <c r="DB37" i="6"/>
  <c r="DA37" i="6" s="1"/>
  <c r="GA36" i="6"/>
  <c r="FZ36" i="6" s="1"/>
  <c r="IA35" i="6"/>
  <c r="MW34" i="6"/>
  <c r="XQ33" i="6"/>
  <c r="XP33" i="6" s="1"/>
  <c r="EB33" i="6"/>
  <c r="EA33" i="6" s="1"/>
  <c r="LM32" i="6"/>
  <c r="KU31" i="6"/>
  <c r="PP30" i="6"/>
  <c r="QZ28" i="6"/>
  <c r="VL25" i="6"/>
  <c r="VK25" i="6" s="1"/>
  <c r="LM24" i="6"/>
  <c r="ZP22" i="6"/>
  <c r="ZO22" i="6" s="1"/>
  <c r="RR21" i="6"/>
  <c r="AP20" i="6"/>
  <c r="AO20" i="6" s="1"/>
  <c r="ZP16" i="6"/>
  <c r="ZO16" i="6" s="1"/>
  <c r="JK15" i="6"/>
  <c r="TB13" i="6"/>
  <c r="KC12" i="6"/>
  <c r="ABB10" i="6"/>
  <c r="IA9" i="6"/>
  <c r="DK6" i="6"/>
  <c r="DJ6" i="6" s="1"/>
  <c r="ABS72" i="6"/>
  <c r="ABR72" i="6" s="1"/>
  <c r="WJ69" i="6"/>
  <c r="WI69" i="6" s="1"/>
  <c r="BQ66" i="6"/>
  <c r="BP66" i="6" s="1"/>
  <c r="XF62" i="6"/>
  <c r="XE62" i="6" s="1"/>
  <c r="ABS56" i="6"/>
  <c r="ABR56" i="6" s="1"/>
  <c r="WJ53" i="6"/>
  <c r="WI53" i="6" s="1"/>
  <c r="BQ50" i="6"/>
  <c r="BP50" i="6" s="1"/>
  <c r="XF46" i="6"/>
  <c r="XE46" i="6" s="1"/>
  <c r="ABS40" i="6"/>
  <c r="ABR40" i="6" s="1"/>
  <c r="WJ37" i="6"/>
  <c r="WI37" i="6" s="1"/>
  <c r="BQ34" i="6"/>
  <c r="BP34" i="6" s="1"/>
  <c r="XF30" i="6"/>
  <c r="XE30" i="6" s="1"/>
  <c r="ABS24" i="6"/>
  <c r="ABR24" i="6" s="1"/>
  <c r="WJ21" i="6"/>
  <c r="WI21" i="6" s="1"/>
  <c r="ABS18" i="6"/>
  <c r="ABR18" i="6" s="1"/>
  <c r="WJ15" i="6"/>
  <c r="WI15" i="6" s="1"/>
  <c r="BQ12" i="6"/>
  <c r="BP12" i="6" s="1"/>
  <c r="XF8" i="6"/>
  <c r="XE8" i="6" s="1"/>
  <c r="YY6" i="6"/>
  <c r="YY117" i="6"/>
  <c r="JK24" i="6"/>
  <c r="YM21" i="6"/>
  <c r="YL21" i="6" s="1"/>
  <c r="OX20" i="6"/>
  <c r="ES19" i="6"/>
  <c r="ER19" i="6" s="1"/>
  <c r="CJ16" i="6"/>
  <c r="CI16" i="6" s="1"/>
  <c r="EB14" i="6"/>
  <c r="EA14" i="6" s="1"/>
  <c r="FJ12" i="6"/>
  <c r="FI12" i="6" s="1"/>
  <c r="EB10" i="6"/>
  <c r="EA10" i="6" s="1"/>
  <c r="YM7" i="6"/>
  <c r="YL7" i="6" s="1"/>
  <c r="UK6" i="6"/>
  <c r="UJ6" i="6" s="1"/>
  <c r="QH10" i="6"/>
  <c r="CJ117" i="6"/>
  <c r="CI117" i="6" s="1"/>
  <c r="ES81" i="6"/>
  <c r="ER81" i="6" s="1"/>
  <c r="OX80" i="6"/>
  <c r="HI77" i="6"/>
  <c r="HH77" i="6" s="1"/>
  <c r="RR76" i="6"/>
  <c r="WU75" i="6"/>
  <c r="WT75" i="6" s="1"/>
  <c r="AP75" i="6"/>
  <c r="AO75" i="6" s="1"/>
  <c r="CJ74" i="6"/>
  <c r="CI74" i="6" s="1"/>
  <c r="IS73" i="6"/>
  <c r="UK72" i="6"/>
  <c r="UJ72" i="6" s="1"/>
  <c r="ABB71" i="6"/>
  <c r="DK71" i="6"/>
  <c r="DJ71" i="6" s="1"/>
  <c r="FJ70" i="6"/>
  <c r="FI70" i="6" s="1"/>
  <c r="KC69" i="6"/>
  <c r="XQ68" i="6"/>
  <c r="XP68" i="6" s="1"/>
  <c r="EB68" i="6"/>
  <c r="EA68" i="6" s="1"/>
  <c r="LM67" i="6"/>
  <c r="KU66" i="6"/>
  <c r="PP65" i="6"/>
  <c r="GR64" i="6"/>
  <c r="GQ64" i="6" s="1"/>
  <c r="OF63" i="6"/>
  <c r="QH62" i="6"/>
  <c r="YM61" i="6"/>
  <c r="YL61" i="6" s="1"/>
  <c r="CS61" i="6"/>
  <c r="CR61" i="6" s="1"/>
  <c r="ME60" i="6"/>
  <c r="TT59" i="6"/>
  <c r="TB58" i="6"/>
  <c r="ZP57" i="6"/>
  <c r="ZO57" i="6" s="1"/>
  <c r="ES57" i="6"/>
  <c r="ER57" i="6" s="1"/>
  <c r="OX56" i="6"/>
  <c r="HI53" i="6"/>
  <c r="HH53" i="6" s="1"/>
  <c r="RR52" i="6"/>
  <c r="WU51" i="6"/>
  <c r="WT51" i="6" s="1"/>
  <c r="AP51" i="6"/>
  <c r="AO51" i="6" s="1"/>
  <c r="CJ50" i="6"/>
  <c r="CI50" i="6" s="1"/>
  <c r="IS49" i="6"/>
  <c r="UK48" i="6"/>
  <c r="UJ48" i="6" s="1"/>
  <c r="ABB47" i="6"/>
  <c r="DK47" i="6"/>
  <c r="DJ47" i="6" s="1"/>
  <c r="FJ46" i="6"/>
  <c r="FI46" i="6" s="1"/>
  <c r="KC45" i="6"/>
  <c r="VL44" i="6"/>
  <c r="VK44" i="6" s="1"/>
  <c r="DB44" i="6"/>
  <c r="DA44" i="6" s="1"/>
  <c r="GA43" i="6"/>
  <c r="FZ43" i="6" s="1"/>
  <c r="IA42" i="6"/>
  <c r="MW41" i="6"/>
  <c r="GR40" i="6"/>
  <c r="GQ40" i="6" s="1"/>
  <c r="OF39" i="6"/>
  <c r="NN38" i="6"/>
  <c r="NM38" i="6" s="1"/>
  <c r="SJ37" i="6"/>
  <c r="JK36" i="6"/>
  <c r="QZ35" i="6"/>
  <c r="QH34" i="6"/>
  <c r="YM33" i="6"/>
  <c r="YL33" i="6" s="1"/>
  <c r="CS33" i="6"/>
  <c r="CR33" i="6" s="1"/>
  <c r="ME32" i="6"/>
  <c r="TT31" i="6"/>
  <c r="TB30" i="6"/>
  <c r="ZP29" i="6"/>
  <c r="ZO29" i="6" s="1"/>
  <c r="ES29" i="6"/>
  <c r="ER29" i="6" s="1"/>
  <c r="OX28" i="6"/>
  <c r="HI25" i="6"/>
  <c r="HH25" i="6" s="1"/>
  <c r="RR24" i="6"/>
  <c r="GA23" i="6"/>
  <c r="FZ23" i="6" s="1"/>
  <c r="UK20" i="6"/>
  <c r="UJ20" i="6" s="1"/>
  <c r="OF17" i="6"/>
  <c r="SJ15" i="6"/>
  <c r="VL14" i="6"/>
  <c r="VK14" i="6" s="1"/>
  <c r="LM13" i="6"/>
  <c r="ZP11" i="6"/>
  <c r="ZO11" i="6" s="1"/>
  <c r="TT9" i="6"/>
  <c r="CJ8" i="6"/>
  <c r="CI8" i="6" s="1"/>
  <c r="VL6" i="6"/>
  <c r="VK6" i="6" s="1"/>
  <c r="CJ10" i="6"/>
  <c r="CI10" i="6" s="1"/>
  <c r="JK7" i="6"/>
  <c r="WJ72" i="6"/>
  <c r="WI72" i="6" s="1"/>
  <c r="BQ69" i="6"/>
  <c r="BP69" i="6" s="1"/>
  <c r="XF65" i="6"/>
  <c r="XE65" i="6" s="1"/>
  <c r="ABS59" i="6"/>
  <c r="ABR59" i="6" s="1"/>
  <c r="WJ56" i="6"/>
  <c r="WI56" i="6" s="1"/>
  <c r="BQ53" i="6"/>
  <c r="BP53" i="6" s="1"/>
  <c r="XF49" i="6"/>
  <c r="XE49" i="6" s="1"/>
  <c r="ABS43" i="6"/>
  <c r="ABR43" i="6" s="1"/>
  <c r="WJ40" i="6"/>
  <c r="WI40" i="6" s="1"/>
  <c r="BQ37" i="6"/>
  <c r="BP37" i="6" s="1"/>
  <c r="XF33" i="6"/>
  <c r="XE33" i="6" s="1"/>
  <c r="ABS27" i="6"/>
  <c r="ABR27" i="6" s="1"/>
  <c r="WJ24" i="6"/>
  <c r="WI24" i="6" s="1"/>
  <c r="BQ21" i="6"/>
  <c r="BP21" i="6" s="1"/>
  <c r="WJ18" i="6"/>
  <c r="WI18" i="6" s="1"/>
  <c r="BQ15" i="6"/>
  <c r="BP15" i="6" s="1"/>
  <c r="XF11" i="6"/>
  <c r="XE11" i="6" s="1"/>
  <c r="MW6" i="6"/>
  <c r="MW117" i="6"/>
  <c r="XQ23" i="6"/>
  <c r="XP23" i="6" s="1"/>
  <c r="TT22" i="6"/>
  <c r="CJ21" i="6"/>
  <c r="CI21" i="6" s="1"/>
  <c r="KU19" i="6"/>
  <c r="HI18" i="6"/>
  <c r="HH18" i="6" s="1"/>
  <c r="DB17" i="6"/>
  <c r="DA17" i="6" s="1"/>
  <c r="QH15" i="6"/>
  <c r="CS14" i="6"/>
  <c r="CR14" i="6" s="1"/>
  <c r="DB13" i="6"/>
  <c r="DA13" i="6" s="1"/>
  <c r="FJ11" i="6"/>
  <c r="FI11" i="6" s="1"/>
  <c r="AP8" i="6"/>
  <c r="AO8" i="6" s="1"/>
  <c r="CS117" i="6"/>
  <c r="CR117" i="6" s="1"/>
  <c r="ES9" i="6"/>
  <c r="ER9" i="6" s="1"/>
  <c r="PP80" i="6"/>
  <c r="GR79" i="6"/>
  <c r="GQ79" i="6" s="1"/>
  <c r="OF78" i="6"/>
  <c r="NN77" i="6"/>
  <c r="NM77" i="6" s="1"/>
  <c r="SJ76" i="6"/>
  <c r="JK75" i="6"/>
  <c r="QZ74" i="6"/>
  <c r="QH73" i="6"/>
  <c r="YM72" i="6"/>
  <c r="YL72" i="6" s="1"/>
  <c r="ES72" i="6"/>
  <c r="ER72" i="6" s="1"/>
  <c r="OX71" i="6"/>
  <c r="HI68" i="6"/>
  <c r="HH68" i="6" s="1"/>
  <c r="RR67" i="6"/>
  <c r="WU66" i="6"/>
  <c r="WT66" i="6" s="1"/>
  <c r="AP66" i="6"/>
  <c r="AO66" i="6" s="1"/>
  <c r="CJ65" i="6"/>
  <c r="CI65" i="6" s="1"/>
  <c r="IS64" i="6"/>
  <c r="UK63" i="6"/>
  <c r="UJ63" i="6" s="1"/>
  <c r="ABB62" i="6"/>
  <c r="DK62" i="6"/>
  <c r="DJ62" i="6" s="1"/>
  <c r="FJ61" i="6"/>
  <c r="FI61" i="6" s="1"/>
  <c r="KC60" i="6"/>
  <c r="VL59" i="6"/>
  <c r="VK59" i="6" s="1"/>
  <c r="DB59" i="6"/>
  <c r="DA59" i="6" s="1"/>
  <c r="GA58" i="6"/>
  <c r="FZ58" i="6" s="1"/>
  <c r="IA57" i="6"/>
  <c r="MW56" i="6"/>
  <c r="XQ55" i="6"/>
  <c r="XP55" i="6" s="1"/>
  <c r="EB55" i="6"/>
  <c r="EA55" i="6" s="1"/>
  <c r="LM54" i="6"/>
  <c r="KU53" i="6"/>
  <c r="PP52" i="6"/>
  <c r="JK51" i="6"/>
  <c r="QZ50" i="6"/>
  <c r="QH49" i="6"/>
  <c r="YM48" i="6"/>
  <c r="YL48" i="6" s="1"/>
  <c r="CS48" i="6"/>
  <c r="CR48" i="6" s="1"/>
  <c r="ME47" i="6"/>
  <c r="TT46" i="6"/>
  <c r="TB45" i="6"/>
  <c r="ZP44" i="6"/>
  <c r="ZO44" i="6" s="1"/>
  <c r="ES44" i="6"/>
  <c r="ER44" i="6" s="1"/>
  <c r="OX43" i="6"/>
  <c r="AP42" i="6"/>
  <c r="AO42" i="6" s="1"/>
  <c r="CJ41" i="6"/>
  <c r="CI41" i="6" s="1"/>
  <c r="IS40" i="6"/>
  <c r="UK39" i="6"/>
  <c r="UJ39" i="6" s="1"/>
  <c r="ABB38" i="6"/>
  <c r="DK38" i="6"/>
  <c r="DJ38" i="6" s="1"/>
  <c r="FJ37" i="6"/>
  <c r="FI37" i="6" s="1"/>
  <c r="KC36" i="6"/>
  <c r="VL35" i="6"/>
  <c r="VK35" i="6" s="1"/>
  <c r="DB35" i="6"/>
  <c r="DA35" i="6" s="1"/>
  <c r="GA34" i="6"/>
  <c r="FZ34" i="6" s="1"/>
  <c r="IA33" i="6"/>
  <c r="MW32" i="6"/>
  <c r="XQ31" i="6"/>
  <c r="XP31" i="6" s="1"/>
  <c r="EB31" i="6"/>
  <c r="EA31" i="6" s="1"/>
  <c r="LM30" i="6"/>
  <c r="KU29" i="6"/>
  <c r="PP28" i="6"/>
  <c r="GR27" i="6"/>
  <c r="GQ27" i="6" s="1"/>
  <c r="NN25" i="6"/>
  <c r="NM25" i="6" s="1"/>
  <c r="SJ24" i="6"/>
  <c r="EB23" i="6"/>
  <c r="EA23" i="6" s="1"/>
  <c r="FJ21" i="6"/>
  <c r="FI21" i="6" s="1"/>
  <c r="NN19" i="6"/>
  <c r="NM19" i="6" s="1"/>
  <c r="UK17" i="6"/>
  <c r="UJ17" i="6" s="1"/>
  <c r="KU15" i="6"/>
  <c r="LM12" i="6"/>
  <c r="IS10" i="6"/>
  <c r="GR9" i="6"/>
  <c r="GQ9" i="6" s="1"/>
  <c r="IA7" i="6"/>
  <c r="GA11" i="6"/>
  <c r="FZ11" i="6" s="1"/>
  <c r="TT7" i="6"/>
  <c r="WA72" i="6"/>
  <c r="VZ72" i="6" s="1"/>
  <c r="YB69" i="6"/>
  <c r="YA69" i="6" s="1"/>
  <c r="YY66" i="6"/>
  <c r="AE63" i="6"/>
  <c r="ACW59" i="6"/>
  <c r="WA56" i="6"/>
  <c r="VZ56" i="6" s="1"/>
  <c r="YB53" i="6"/>
  <c r="YA53" i="6" s="1"/>
  <c r="YY50" i="6"/>
  <c r="AE47" i="6"/>
  <c r="ACW43" i="6"/>
  <c r="WA40" i="6"/>
  <c r="VZ40" i="6" s="1"/>
  <c r="YB37" i="6"/>
  <c r="YA37" i="6" s="1"/>
  <c r="YY34" i="6"/>
  <c r="AE31" i="6"/>
  <c r="ACW27" i="6"/>
  <c r="WA24" i="6"/>
  <c r="VZ24" i="6" s="1"/>
  <c r="YB21" i="6"/>
  <c r="YA21" i="6" s="1"/>
  <c r="ACW17" i="6"/>
  <c r="WA14" i="6"/>
  <c r="VZ14" i="6" s="1"/>
  <c r="YB11" i="6"/>
  <c r="YA11" i="6" s="1"/>
  <c r="YY79" i="6"/>
  <c r="YY8" i="6"/>
  <c r="IS117" i="6"/>
  <c r="IS6" i="6"/>
  <c r="TT29" i="6"/>
  <c r="UK26" i="6"/>
  <c r="UJ26" i="6" s="1"/>
  <c r="AP25" i="6"/>
  <c r="AO25" i="6" s="1"/>
  <c r="EB22" i="6"/>
  <c r="EA22" i="6" s="1"/>
  <c r="TB20" i="6"/>
  <c r="AP19" i="6"/>
  <c r="AO19" i="6" s="1"/>
  <c r="SJ17" i="6"/>
  <c r="ME16" i="6"/>
  <c r="NN14" i="6"/>
  <c r="NM14" i="6" s="1"/>
  <c r="CS13" i="6"/>
  <c r="CR13" i="6" s="1"/>
  <c r="TT11" i="6"/>
  <c r="DK7" i="6"/>
  <c r="DJ7" i="6" s="1"/>
  <c r="ME117" i="6"/>
  <c r="XF116" i="6"/>
  <c r="XE116" i="6" s="1"/>
  <c r="ABS110" i="6"/>
  <c r="ABR110" i="6" s="1"/>
  <c r="WJ107" i="6"/>
  <c r="WI107" i="6" s="1"/>
  <c r="BQ104" i="6"/>
  <c r="BP104" i="6" s="1"/>
  <c r="XF100" i="6"/>
  <c r="XE100" i="6" s="1"/>
  <c r="ABS94" i="6"/>
  <c r="ABR94" i="6" s="1"/>
  <c r="WJ91" i="6"/>
  <c r="WI91" i="6" s="1"/>
  <c r="BQ88" i="6"/>
  <c r="BP88" i="6" s="1"/>
  <c r="XF84" i="6"/>
  <c r="XE84" i="6" s="1"/>
  <c r="ABS78" i="6"/>
  <c r="ABR78" i="6" s="1"/>
  <c r="WJ75" i="6"/>
  <c r="WI75" i="6" s="1"/>
  <c r="CJ116" i="6"/>
  <c r="CI116" i="6" s="1"/>
  <c r="IS115" i="6"/>
  <c r="UK114" i="6"/>
  <c r="UJ114" i="6" s="1"/>
  <c r="ABB113" i="6"/>
  <c r="DK113" i="6"/>
  <c r="DJ113" i="6" s="1"/>
  <c r="FJ112" i="6"/>
  <c r="FI112" i="6" s="1"/>
  <c r="VL110" i="6"/>
  <c r="VK110" i="6" s="1"/>
  <c r="DB110" i="6"/>
  <c r="DA110" i="6" s="1"/>
  <c r="GA109" i="6"/>
  <c r="FZ109" i="6" s="1"/>
  <c r="XQ106" i="6"/>
  <c r="XP106" i="6" s="1"/>
  <c r="EB106" i="6"/>
  <c r="EA106" i="6" s="1"/>
  <c r="GR102" i="6"/>
  <c r="GQ102" i="6" s="1"/>
  <c r="NN100" i="6"/>
  <c r="NM100" i="6" s="1"/>
  <c r="YM95" i="6"/>
  <c r="YL95" i="6" s="1"/>
  <c r="CS95" i="6"/>
  <c r="CR95" i="6" s="1"/>
  <c r="ZP91" i="6"/>
  <c r="ZO91" i="6" s="1"/>
  <c r="ES91" i="6"/>
  <c r="ER91" i="6" s="1"/>
  <c r="HI87" i="6"/>
  <c r="HH87" i="6" s="1"/>
  <c r="WU85" i="6"/>
  <c r="WT85" i="6" s="1"/>
  <c r="AP85" i="6"/>
  <c r="AO85" i="6" s="1"/>
  <c r="CJ84" i="6"/>
  <c r="CI84" i="6" s="1"/>
  <c r="IS83" i="6"/>
  <c r="UK82" i="6"/>
  <c r="UJ82" i="6" s="1"/>
  <c r="AE114" i="6"/>
  <c r="ACW110" i="6"/>
  <c r="WA107" i="6"/>
  <c r="VZ107" i="6" s="1"/>
  <c r="YB104" i="6"/>
  <c r="YA104" i="6" s="1"/>
  <c r="YY101" i="6"/>
  <c r="AE98" i="6"/>
  <c r="ACW94" i="6"/>
  <c r="WA91" i="6"/>
  <c r="VZ91" i="6" s="1"/>
  <c r="YB88" i="6"/>
  <c r="YA88" i="6" s="1"/>
  <c r="YY85" i="6"/>
  <c r="AE82" i="6"/>
  <c r="ACW78" i="6"/>
  <c r="WA75" i="6"/>
  <c r="VZ75" i="6" s="1"/>
  <c r="GA116" i="6"/>
  <c r="FZ116" i="6" s="1"/>
  <c r="XQ113" i="6"/>
  <c r="XP113" i="6" s="1"/>
  <c r="EB113" i="6"/>
  <c r="EA113" i="6" s="1"/>
  <c r="GR109" i="6"/>
  <c r="GQ109" i="6" s="1"/>
  <c r="NN107" i="6"/>
  <c r="NM107" i="6" s="1"/>
  <c r="CS106" i="6"/>
  <c r="CR106" i="6" s="1"/>
  <c r="ZP102" i="6"/>
  <c r="ZO102" i="6" s="1"/>
  <c r="ES102" i="6"/>
  <c r="ER102" i="6" s="1"/>
  <c r="HI98" i="6"/>
  <c r="HH98" i="6" s="1"/>
  <c r="UK97" i="6"/>
  <c r="UJ97" i="6" s="1"/>
  <c r="ABB96" i="6"/>
  <c r="GA96" i="6"/>
  <c r="FZ96" i="6" s="1"/>
  <c r="XQ93" i="6"/>
  <c r="XP93" i="6" s="1"/>
  <c r="EB93" i="6"/>
  <c r="EA93" i="6" s="1"/>
  <c r="GR89" i="6"/>
  <c r="GQ89" i="6" s="1"/>
  <c r="NN87" i="6"/>
  <c r="NM87" i="6" s="1"/>
  <c r="YY116" i="6"/>
  <c r="AE113" i="6"/>
  <c r="ACW109" i="6"/>
  <c r="WA106" i="6"/>
  <c r="VZ106" i="6" s="1"/>
  <c r="YB103" i="6"/>
  <c r="YA103" i="6" s="1"/>
  <c r="YY100" i="6"/>
  <c r="AE97" i="6"/>
  <c r="ACW93" i="6"/>
  <c r="WA90" i="6"/>
  <c r="VZ90" i="6" s="1"/>
  <c r="YB87" i="6"/>
  <c r="YA87" i="6" s="1"/>
  <c r="YY84" i="6"/>
  <c r="AE81" i="6"/>
  <c r="ACW77" i="6"/>
  <c r="GR116" i="6"/>
  <c r="GQ116" i="6" s="1"/>
  <c r="OF115" i="6"/>
  <c r="NN114" i="6"/>
  <c r="NM114" i="6" s="1"/>
  <c r="SJ113" i="6"/>
  <c r="JK112" i="6"/>
  <c r="QZ111" i="6"/>
  <c r="QH110" i="6"/>
  <c r="YM109" i="6"/>
  <c r="YL109" i="6" s="1"/>
  <c r="CS109" i="6"/>
  <c r="CR109" i="6" s="1"/>
  <c r="ME108" i="6"/>
  <c r="TT107" i="6"/>
  <c r="TB106" i="6"/>
  <c r="ZP105" i="6"/>
  <c r="ZO105" i="6" s="1"/>
  <c r="ES105" i="6"/>
  <c r="ER105" i="6" s="1"/>
  <c r="OX104" i="6"/>
  <c r="HI101" i="6"/>
  <c r="HH101" i="6" s="1"/>
  <c r="RR100" i="6"/>
  <c r="WU99" i="6"/>
  <c r="WT99" i="6" s="1"/>
  <c r="AP99" i="6"/>
  <c r="AO99" i="6" s="1"/>
  <c r="CJ98" i="6"/>
  <c r="CI98" i="6" s="1"/>
  <c r="IS97" i="6"/>
  <c r="UK96" i="6"/>
  <c r="UJ96" i="6" s="1"/>
  <c r="ABB95" i="6"/>
  <c r="DK95" i="6"/>
  <c r="DJ95" i="6" s="1"/>
  <c r="FJ94" i="6"/>
  <c r="FI94" i="6" s="1"/>
  <c r="KC93" i="6"/>
  <c r="VL92" i="6"/>
  <c r="VK92" i="6" s="1"/>
  <c r="DB92" i="6"/>
  <c r="DA92" i="6" s="1"/>
  <c r="GA91" i="6"/>
  <c r="FZ91" i="6" s="1"/>
  <c r="IA90" i="6"/>
  <c r="MW89" i="6"/>
  <c r="XQ88" i="6"/>
  <c r="XP88" i="6" s="1"/>
  <c r="EB88" i="6"/>
  <c r="EA88" i="6" s="1"/>
  <c r="LM87" i="6"/>
  <c r="KU86" i="6"/>
  <c r="PP85" i="6"/>
  <c r="GR84" i="6"/>
  <c r="GQ84" i="6" s="1"/>
  <c r="OF83" i="6"/>
  <c r="NN82" i="6"/>
  <c r="NM82" i="6" s="1"/>
  <c r="SJ81" i="6"/>
  <c r="XF113" i="6"/>
  <c r="XE113" i="6" s="1"/>
  <c r="ABS107" i="6"/>
  <c r="ABR107" i="6" s="1"/>
  <c r="WJ104" i="6"/>
  <c r="WI104" i="6" s="1"/>
  <c r="BQ101" i="6"/>
  <c r="BP101" i="6" s="1"/>
  <c r="XF97" i="6"/>
  <c r="XE97" i="6" s="1"/>
  <c r="ABS91" i="6"/>
  <c r="ABR91" i="6" s="1"/>
  <c r="WJ88" i="6"/>
  <c r="WI88" i="6" s="1"/>
  <c r="BQ85" i="6"/>
  <c r="BP85" i="6" s="1"/>
  <c r="XF81" i="6"/>
  <c r="XE81" i="6" s="1"/>
  <c r="ABS75" i="6"/>
  <c r="ABR75" i="6" s="1"/>
  <c r="IS116" i="6"/>
  <c r="UK115" i="6"/>
  <c r="UJ115" i="6" s="1"/>
  <c r="ABB114" i="6"/>
  <c r="DK114" i="6"/>
  <c r="DJ114" i="6" s="1"/>
  <c r="FJ113" i="6"/>
  <c r="FI113" i="6" s="1"/>
  <c r="KC112" i="6"/>
  <c r="VL111" i="6"/>
  <c r="VK111" i="6" s="1"/>
  <c r="DB111" i="6"/>
  <c r="DA111" i="6" s="1"/>
  <c r="GA110" i="6"/>
  <c r="FZ110" i="6" s="1"/>
  <c r="IA109" i="6"/>
  <c r="MW108" i="6"/>
  <c r="XQ107" i="6"/>
  <c r="XP107" i="6" s="1"/>
  <c r="EB107" i="6"/>
  <c r="EA107" i="6" s="1"/>
  <c r="LM106" i="6"/>
  <c r="KU105" i="6"/>
  <c r="PP104" i="6"/>
  <c r="JK103" i="6"/>
  <c r="QZ102" i="6"/>
  <c r="QH101" i="6"/>
  <c r="YM100" i="6"/>
  <c r="YL100" i="6" s="1"/>
  <c r="CS100" i="6"/>
  <c r="CR100" i="6" s="1"/>
  <c r="ME99" i="6"/>
  <c r="TT98" i="6"/>
  <c r="TB97" i="6"/>
  <c r="ZP96" i="6"/>
  <c r="ZO96" i="6" s="1"/>
  <c r="ES96" i="6"/>
  <c r="ER96" i="6" s="1"/>
  <c r="OX95" i="6"/>
  <c r="AP94" i="6"/>
  <c r="AO94" i="6" s="1"/>
  <c r="CJ93" i="6"/>
  <c r="CI93" i="6" s="1"/>
  <c r="IS92" i="6"/>
  <c r="UK91" i="6"/>
  <c r="UJ91" i="6" s="1"/>
  <c r="ABB90" i="6"/>
  <c r="DK90" i="6"/>
  <c r="DJ90" i="6" s="1"/>
  <c r="FJ89" i="6"/>
  <c r="FI89" i="6" s="1"/>
  <c r="KC88" i="6"/>
  <c r="VL87" i="6"/>
  <c r="VK87" i="6" s="1"/>
  <c r="DB87" i="6"/>
  <c r="DA87" i="6" s="1"/>
  <c r="GA86" i="6"/>
  <c r="FZ86" i="6" s="1"/>
  <c r="IA85" i="6"/>
  <c r="MW84" i="6"/>
  <c r="XQ83" i="6"/>
  <c r="XP83" i="6" s="1"/>
  <c r="EB83" i="6"/>
  <c r="EA83" i="6" s="1"/>
  <c r="LM82" i="6"/>
  <c r="KU81" i="6"/>
  <c r="OX82" i="6"/>
  <c r="HI79" i="6"/>
  <c r="HH79" i="6" s="1"/>
  <c r="RR78" i="6"/>
  <c r="WU77" i="6"/>
  <c r="WT77" i="6" s="1"/>
  <c r="AP77" i="6"/>
  <c r="AO77" i="6" s="1"/>
  <c r="CJ76" i="6"/>
  <c r="CI76" i="6" s="1"/>
  <c r="IS75" i="6"/>
  <c r="UK74" i="6"/>
  <c r="UJ74" i="6" s="1"/>
  <c r="ABB73" i="6"/>
  <c r="DK73" i="6"/>
  <c r="DJ73" i="6" s="1"/>
  <c r="FJ72" i="6"/>
  <c r="FI72" i="6" s="1"/>
  <c r="VL70" i="6"/>
  <c r="VK70" i="6" s="1"/>
  <c r="DB70" i="6"/>
  <c r="DA70" i="6" s="1"/>
  <c r="GA69" i="6"/>
  <c r="FZ69" i="6" s="1"/>
  <c r="MW67" i="6"/>
  <c r="XQ66" i="6"/>
  <c r="XP66" i="6" s="1"/>
  <c r="EB66" i="6"/>
  <c r="EA66" i="6" s="1"/>
  <c r="LM65" i="6"/>
  <c r="KU64" i="6"/>
  <c r="PP63" i="6"/>
  <c r="GR62" i="6"/>
  <c r="GQ62" i="6" s="1"/>
  <c r="OF61" i="6"/>
  <c r="NN60" i="6"/>
  <c r="NM60" i="6" s="1"/>
  <c r="SJ59" i="6"/>
  <c r="CS59" i="6"/>
  <c r="CR59" i="6" s="1"/>
  <c r="ME58" i="6"/>
  <c r="TT57" i="6"/>
  <c r="TB56" i="6"/>
  <c r="ZP55" i="6"/>
  <c r="ZO55" i="6" s="1"/>
  <c r="ES55" i="6"/>
  <c r="ER55" i="6" s="1"/>
  <c r="OX54" i="6"/>
  <c r="HI51" i="6"/>
  <c r="HH51" i="6" s="1"/>
  <c r="RR50" i="6"/>
  <c r="WU49" i="6"/>
  <c r="WT49" i="6" s="1"/>
  <c r="AP49" i="6"/>
  <c r="AO49" i="6" s="1"/>
  <c r="CJ48" i="6"/>
  <c r="CI48" i="6" s="1"/>
  <c r="IS47" i="6"/>
  <c r="UK46" i="6"/>
  <c r="UJ46" i="6" s="1"/>
  <c r="ABB45" i="6"/>
  <c r="DK45" i="6"/>
  <c r="DJ45" i="6" s="1"/>
  <c r="FJ44" i="6"/>
  <c r="FI44" i="6" s="1"/>
  <c r="KC43" i="6"/>
  <c r="VL42" i="6"/>
  <c r="VK42" i="6" s="1"/>
  <c r="DB42" i="6"/>
  <c r="DA42" i="6" s="1"/>
  <c r="GA41" i="6"/>
  <c r="FZ41" i="6" s="1"/>
  <c r="MW39" i="6"/>
  <c r="GR38" i="6"/>
  <c r="GQ38" i="6" s="1"/>
  <c r="OF37" i="6"/>
  <c r="QH36" i="6"/>
  <c r="YM35" i="6"/>
  <c r="YL35" i="6" s="1"/>
  <c r="CS35" i="6"/>
  <c r="CR35" i="6" s="1"/>
  <c r="ME34" i="6"/>
  <c r="AP33" i="6"/>
  <c r="AO33" i="6" s="1"/>
  <c r="CJ32" i="6"/>
  <c r="CI32" i="6" s="1"/>
  <c r="UK30" i="6"/>
  <c r="UJ30" i="6" s="1"/>
  <c r="YM27" i="6"/>
  <c r="YL27" i="6" s="1"/>
  <c r="OX26" i="6"/>
  <c r="KU24" i="6"/>
  <c r="ES23" i="6"/>
  <c r="ER23" i="6" s="1"/>
  <c r="ABB21" i="6"/>
  <c r="YM17" i="6"/>
  <c r="YL17" i="6" s="1"/>
  <c r="EB16" i="6"/>
  <c r="EA16" i="6" s="1"/>
  <c r="AP15" i="6"/>
  <c r="AO15" i="6" s="1"/>
  <c r="DK11" i="6"/>
  <c r="DJ11" i="6" s="1"/>
  <c r="QZ7" i="6"/>
  <c r="ME7" i="6"/>
  <c r="ABS69" i="6"/>
  <c r="ABR69" i="6" s="1"/>
  <c r="WJ66" i="6"/>
  <c r="WI66" i="6" s="1"/>
  <c r="BQ63" i="6"/>
  <c r="BP63" i="6" s="1"/>
  <c r="XF59" i="6"/>
  <c r="XE59" i="6" s="1"/>
  <c r="ABS53" i="6"/>
  <c r="ABR53" i="6" s="1"/>
  <c r="WJ50" i="6"/>
  <c r="WI50" i="6" s="1"/>
  <c r="BQ47" i="6"/>
  <c r="BP47" i="6" s="1"/>
  <c r="XF43" i="6"/>
  <c r="XE43" i="6" s="1"/>
  <c r="ABS37" i="6"/>
  <c r="ABR37" i="6" s="1"/>
  <c r="WJ34" i="6"/>
  <c r="WI34" i="6" s="1"/>
  <c r="ACW30" i="6"/>
  <c r="WA27" i="6"/>
  <c r="VZ27" i="6" s="1"/>
  <c r="YB24" i="6"/>
  <c r="YA24" i="6" s="1"/>
  <c r="YY21" i="6"/>
  <c r="WA17" i="6"/>
  <c r="VZ17" i="6" s="1"/>
  <c r="YB14" i="6"/>
  <c r="YA14" i="6" s="1"/>
  <c r="YY11" i="6"/>
  <c r="AE8" i="6"/>
  <c r="KC117" i="6"/>
  <c r="KC6" i="6"/>
  <c r="EB29" i="6"/>
  <c r="EA29" i="6" s="1"/>
  <c r="YM26" i="6"/>
  <c r="YL26" i="6" s="1"/>
  <c r="JK25" i="6"/>
  <c r="KU23" i="6"/>
  <c r="UK21" i="6"/>
  <c r="UJ21" i="6" s="1"/>
  <c r="DK20" i="6"/>
  <c r="DJ20" i="6" s="1"/>
  <c r="TT18" i="6"/>
  <c r="XQ15" i="6"/>
  <c r="XP15" i="6" s="1"/>
  <c r="GA14" i="6"/>
  <c r="FZ14" i="6" s="1"/>
  <c r="IS57" i="6"/>
  <c r="DB11" i="6"/>
  <c r="DA11" i="6" s="1"/>
  <c r="FJ9" i="6"/>
  <c r="FI9" i="6" s="1"/>
  <c r="ABB84" i="6"/>
  <c r="DK84" i="6"/>
  <c r="DJ84" i="6" s="1"/>
  <c r="FJ83" i="6"/>
  <c r="FI83" i="6" s="1"/>
  <c r="KC82" i="6"/>
  <c r="VL81" i="6"/>
  <c r="VK81" i="6" s="1"/>
  <c r="DB81" i="6"/>
  <c r="DA81" i="6" s="1"/>
  <c r="KU79" i="6"/>
  <c r="PP78" i="6"/>
  <c r="GR77" i="6"/>
  <c r="GQ77" i="6" s="1"/>
  <c r="OF76" i="6"/>
  <c r="NN75" i="6"/>
  <c r="NM75" i="6" s="1"/>
  <c r="SJ74" i="6"/>
  <c r="JK73" i="6"/>
  <c r="QZ72" i="6"/>
  <c r="QH71" i="6"/>
  <c r="YM70" i="6"/>
  <c r="YL70" i="6" s="1"/>
  <c r="CS70" i="6"/>
  <c r="CR70" i="6" s="1"/>
  <c r="ME69" i="6"/>
  <c r="TT68" i="6"/>
  <c r="TB67" i="6"/>
  <c r="ZP66" i="6"/>
  <c r="ZO66" i="6" s="1"/>
  <c r="ES66" i="6"/>
  <c r="ER66" i="6" s="1"/>
  <c r="OX65" i="6"/>
  <c r="HI62" i="6"/>
  <c r="HH62" i="6" s="1"/>
  <c r="RR61" i="6"/>
  <c r="WU60" i="6"/>
  <c r="WT60" i="6" s="1"/>
  <c r="DK60" i="6"/>
  <c r="DJ60" i="6" s="1"/>
  <c r="FJ59" i="6"/>
  <c r="FI59" i="6" s="1"/>
  <c r="KC58" i="6"/>
  <c r="XQ57" i="6"/>
  <c r="XP57" i="6" s="1"/>
  <c r="EB57" i="6"/>
  <c r="EA57" i="6" s="1"/>
  <c r="LM56" i="6"/>
  <c r="KU55" i="6"/>
  <c r="PP54" i="6"/>
  <c r="GR53" i="6"/>
  <c r="GQ53" i="6" s="1"/>
  <c r="OF52" i="6"/>
  <c r="NN51" i="6"/>
  <c r="NM51" i="6" s="1"/>
  <c r="SJ50" i="6"/>
  <c r="JK49" i="6"/>
  <c r="QZ48" i="6"/>
  <c r="TB47" i="6"/>
  <c r="ZP46" i="6"/>
  <c r="ZO46" i="6" s="1"/>
  <c r="ES46" i="6"/>
  <c r="ER46" i="6" s="1"/>
  <c r="HI42" i="6"/>
  <c r="HH42" i="6" s="1"/>
  <c r="RR41" i="6"/>
  <c r="WU40" i="6"/>
  <c r="WT40" i="6" s="1"/>
  <c r="AP40" i="6"/>
  <c r="AO40" i="6" s="1"/>
  <c r="CJ39" i="6"/>
  <c r="CI39" i="6" s="1"/>
  <c r="IS38" i="6"/>
  <c r="UK37" i="6"/>
  <c r="UJ37" i="6" s="1"/>
  <c r="ABB36" i="6"/>
  <c r="DK36" i="6"/>
  <c r="DJ36" i="6" s="1"/>
  <c r="FJ35" i="6"/>
  <c r="FI35" i="6" s="1"/>
  <c r="KC34" i="6"/>
  <c r="VL33" i="6"/>
  <c r="VK33" i="6" s="1"/>
  <c r="DB33" i="6"/>
  <c r="DA33" i="6" s="1"/>
  <c r="GA32" i="6"/>
  <c r="FZ32" i="6" s="1"/>
  <c r="IA31" i="6"/>
  <c r="MW30" i="6"/>
  <c r="UK29" i="6"/>
  <c r="UJ29" i="6" s="1"/>
  <c r="LM28" i="6"/>
  <c r="ZP26" i="6"/>
  <c r="ZO26" i="6" s="1"/>
  <c r="RR25" i="6"/>
  <c r="AP24" i="6"/>
  <c r="AO24" i="6" s="1"/>
  <c r="SJ22" i="6"/>
  <c r="ME21" i="6"/>
  <c r="XQ19" i="6"/>
  <c r="XP19" i="6" s="1"/>
  <c r="LM18" i="6"/>
  <c r="MW16" i="6"/>
  <c r="DB15" i="6"/>
  <c r="DA15" i="6" s="1"/>
  <c r="QH13" i="6"/>
  <c r="HI12" i="6"/>
  <c r="HH12" i="6" s="1"/>
  <c r="WU10" i="6"/>
  <c r="WT10" i="6" s="1"/>
  <c r="CJ9" i="6"/>
  <c r="CI9" i="6" s="1"/>
  <c r="DK117" i="6"/>
  <c r="DJ117" i="6" s="1"/>
  <c r="YY72" i="6"/>
  <c r="AE69" i="6"/>
  <c r="ACW65" i="6"/>
  <c r="WA62" i="6"/>
  <c r="VZ62" i="6" s="1"/>
  <c r="YB59" i="6"/>
  <c r="YA59" i="6" s="1"/>
  <c r="YY56" i="6"/>
  <c r="AE53" i="6"/>
  <c r="ACW49" i="6"/>
  <c r="WA46" i="6"/>
  <c r="VZ46" i="6" s="1"/>
  <c r="YB43" i="6"/>
  <c r="YA43" i="6" s="1"/>
  <c r="YY40" i="6"/>
  <c r="AE37" i="6"/>
  <c r="ACW33" i="6"/>
  <c r="WA30" i="6"/>
  <c r="VZ30" i="6" s="1"/>
  <c r="YB27" i="6"/>
  <c r="YA27" i="6" s="1"/>
  <c r="YY24" i="6"/>
  <c r="AE21" i="6"/>
  <c r="YY18" i="6"/>
  <c r="AE15" i="6"/>
  <c r="ACW11" i="6"/>
  <c r="WA8" i="6"/>
  <c r="VZ8" i="6" s="1"/>
  <c r="WU117" i="6"/>
  <c r="WT117" i="6" s="1"/>
  <c r="EB24" i="6"/>
  <c r="EA24" i="6" s="1"/>
  <c r="PP21" i="6"/>
  <c r="JK20" i="6"/>
  <c r="CS19" i="6"/>
  <c r="CR19" i="6" s="1"/>
  <c r="QZ17" i="6"/>
  <c r="YM15" i="6"/>
  <c r="YL15" i="6" s="1"/>
  <c r="YM11" i="6"/>
  <c r="YL11" i="6" s="1"/>
  <c r="PP7" i="6"/>
  <c r="OX6" i="6"/>
  <c r="OX117" i="6"/>
  <c r="YM9" i="6"/>
  <c r="YL9" i="6" s="1"/>
  <c r="CS81" i="6"/>
  <c r="CR81" i="6" s="1"/>
  <c r="ME80" i="6"/>
  <c r="TT79" i="6"/>
  <c r="TB78" i="6"/>
  <c r="ZP77" i="6"/>
  <c r="ZO77" i="6" s="1"/>
  <c r="ES77" i="6"/>
  <c r="ER77" i="6" s="1"/>
  <c r="OX76" i="6"/>
  <c r="HI73" i="6"/>
  <c r="HH73" i="6" s="1"/>
  <c r="RR72" i="6"/>
  <c r="WU71" i="6"/>
  <c r="WT71" i="6" s="1"/>
  <c r="AP71" i="6"/>
  <c r="AO71" i="6" s="1"/>
  <c r="CJ70" i="6"/>
  <c r="CI70" i="6" s="1"/>
  <c r="IS69" i="6"/>
  <c r="VL68" i="6"/>
  <c r="VK68" i="6" s="1"/>
  <c r="DB68" i="6"/>
  <c r="DA68" i="6" s="1"/>
  <c r="GA67" i="6"/>
  <c r="FZ67" i="6" s="1"/>
  <c r="IA66" i="6"/>
  <c r="MW65" i="6"/>
  <c r="XQ64" i="6"/>
  <c r="XP64" i="6" s="1"/>
  <c r="EB64" i="6"/>
  <c r="EA64" i="6" s="1"/>
  <c r="LM63" i="6"/>
  <c r="NN62" i="6"/>
  <c r="NM62" i="6" s="1"/>
  <c r="SJ61" i="6"/>
  <c r="JK60" i="6"/>
  <c r="QZ59" i="6"/>
  <c r="QH58" i="6"/>
  <c r="YM57" i="6"/>
  <c r="YL57" i="6" s="1"/>
  <c r="CS57" i="6"/>
  <c r="CR57" i="6" s="1"/>
  <c r="ME56" i="6"/>
  <c r="TT55" i="6"/>
  <c r="TB54" i="6"/>
  <c r="ZP53" i="6"/>
  <c r="ZO53" i="6" s="1"/>
  <c r="ES53" i="6"/>
  <c r="ER53" i="6" s="1"/>
  <c r="OX52" i="6"/>
  <c r="HI49" i="6"/>
  <c r="HH49" i="6" s="1"/>
  <c r="RR48" i="6"/>
  <c r="WU47" i="6"/>
  <c r="WT47" i="6" s="1"/>
  <c r="AP47" i="6"/>
  <c r="AO47" i="6" s="1"/>
  <c r="CJ46" i="6"/>
  <c r="CI46" i="6" s="1"/>
  <c r="IS45" i="6"/>
  <c r="UK44" i="6"/>
  <c r="UJ44" i="6" s="1"/>
  <c r="ABB43" i="6"/>
  <c r="DK43" i="6"/>
  <c r="DJ43" i="6" s="1"/>
  <c r="FJ42" i="6"/>
  <c r="FI42" i="6" s="1"/>
  <c r="KC41" i="6"/>
  <c r="XQ40" i="6"/>
  <c r="XP40" i="6" s="1"/>
  <c r="EB40" i="6"/>
  <c r="EA40" i="6" s="1"/>
  <c r="LM39" i="6"/>
  <c r="KU38" i="6"/>
  <c r="PP37" i="6"/>
  <c r="GR36" i="6"/>
  <c r="GQ36" i="6" s="1"/>
  <c r="OF35" i="6"/>
  <c r="NN34" i="6"/>
  <c r="NM34" i="6" s="1"/>
  <c r="SJ33" i="6"/>
  <c r="JK32" i="6"/>
  <c r="QZ31" i="6"/>
  <c r="QH30" i="6"/>
  <c r="YM29" i="6"/>
  <c r="YL29" i="6" s="1"/>
  <c r="CS29" i="6"/>
  <c r="CR29" i="6" s="1"/>
  <c r="ME28" i="6"/>
  <c r="TT27" i="6"/>
  <c r="TB26" i="6"/>
  <c r="ZP25" i="6"/>
  <c r="ZO25" i="6" s="1"/>
  <c r="ES25" i="6"/>
  <c r="ER25" i="6" s="1"/>
  <c r="OX24" i="6"/>
  <c r="DK23" i="6"/>
  <c r="DJ23" i="6" s="1"/>
  <c r="ZP21" i="6"/>
  <c r="ZO21" i="6" s="1"/>
  <c r="ME20" i="6"/>
  <c r="UK18" i="6"/>
  <c r="UJ18" i="6" s="1"/>
  <c r="GA17" i="6"/>
  <c r="FZ17" i="6" s="1"/>
  <c r="PP15" i="6"/>
  <c r="RR14" i="6"/>
  <c r="GA13" i="6"/>
  <c r="FZ13" i="6" s="1"/>
  <c r="SJ11" i="6"/>
  <c r="VL10" i="6"/>
  <c r="VK10" i="6" s="1"/>
  <c r="QZ9" i="6"/>
  <c r="VL117" i="6"/>
  <c r="VK117" i="6" s="1"/>
  <c r="PP9" i="6"/>
  <c r="AE72" i="6"/>
  <c r="ACW68" i="6"/>
  <c r="WA65" i="6"/>
  <c r="VZ65" i="6" s="1"/>
  <c r="YB62" i="6"/>
  <c r="YA62" i="6" s="1"/>
  <c r="YY59" i="6"/>
  <c r="AE56" i="6"/>
  <c r="ACW52" i="6"/>
  <c r="WA49" i="6"/>
  <c r="VZ49" i="6" s="1"/>
  <c r="YB46" i="6"/>
  <c r="YA46" i="6" s="1"/>
  <c r="YY43" i="6"/>
  <c r="AE40" i="6"/>
  <c r="ACW36" i="6"/>
  <c r="WA33" i="6"/>
  <c r="VZ33" i="6" s="1"/>
  <c r="YB30" i="6"/>
  <c r="YA30" i="6" s="1"/>
  <c r="YY27" i="6"/>
  <c r="AE24" i="6"/>
  <c r="ACW20" i="6"/>
  <c r="AE18" i="6"/>
  <c r="ACW14" i="6"/>
  <c r="WA11" i="6"/>
  <c r="VZ11" i="6" s="1"/>
  <c r="YB8" i="6"/>
  <c r="YA8" i="6" s="1"/>
  <c r="GA117" i="6"/>
  <c r="FZ117" i="6" s="1"/>
  <c r="VL23" i="6"/>
  <c r="VK23" i="6" s="1"/>
  <c r="GA22" i="6"/>
  <c r="FZ22" i="6" s="1"/>
  <c r="IA19" i="6"/>
  <c r="WU16" i="6"/>
  <c r="WT16" i="6" s="1"/>
  <c r="NN15" i="6"/>
  <c r="NM15" i="6" s="1"/>
  <c r="XQ13" i="6"/>
  <c r="XP13" i="6" s="1"/>
  <c r="WU12" i="6"/>
  <c r="WT12" i="6" s="1"/>
  <c r="YM10" i="6"/>
  <c r="YL10" i="6" s="1"/>
  <c r="CS6" i="6"/>
  <c r="CR6" i="6" s="1"/>
  <c r="MW80" i="6"/>
  <c r="XQ79" i="6"/>
  <c r="XP79" i="6" s="1"/>
  <c r="EB79" i="6"/>
  <c r="EA79" i="6" s="1"/>
  <c r="LM78" i="6"/>
  <c r="KU77" i="6"/>
  <c r="PP76" i="6"/>
  <c r="GR75" i="6"/>
  <c r="GQ75" i="6" s="1"/>
  <c r="OF74" i="6"/>
  <c r="NN73" i="6"/>
  <c r="NM73" i="6" s="1"/>
  <c r="SJ72" i="6"/>
  <c r="CS72" i="6"/>
  <c r="CR72" i="6" s="1"/>
  <c r="ME71" i="6"/>
  <c r="TT70" i="6"/>
  <c r="TB69" i="6"/>
  <c r="ZP68" i="6"/>
  <c r="ZO68" i="6" s="1"/>
  <c r="ES68" i="6"/>
  <c r="ER68" i="6" s="1"/>
  <c r="OX67" i="6"/>
  <c r="HI64" i="6"/>
  <c r="HH64" i="6" s="1"/>
  <c r="RR63" i="6"/>
  <c r="WU62" i="6"/>
  <c r="WT62" i="6" s="1"/>
  <c r="AP62" i="6"/>
  <c r="AO62" i="6" s="1"/>
  <c r="CJ61" i="6"/>
  <c r="CI61" i="6" s="1"/>
  <c r="IS60" i="6"/>
  <c r="UK59" i="6"/>
  <c r="UJ59" i="6" s="1"/>
  <c r="ABB58" i="6"/>
  <c r="DK58" i="6"/>
  <c r="DJ58" i="6" s="1"/>
  <c r="FJ57" i="6"/>
  <c r="FI57" i="6" s="1"/>
  <c r="KC56" i="6"/>
  <c r="VL55" i="6"/>
  <c r="VK55" i="6" s="1"/>
  <c r="DB55" i="6"/>
  <c r="DA55" i="6" s="1"/>
  <c r="GA54" i="6"/>
  <c r="FZ54" i="6" s="1"/>
  <c r="IA53" i="6"/>
  <c r="MW52" i="6"/>
  <c r="GR51" i="6"/>
  <c r="GQ51" i="6" s="1"/>
  <c r="OF50" i="6"/>
  <c r="NN49" i="6"/>
  <c r="NM49" i="6" s="1"/>
  <c r="SJ48" i="6"/>
  <c r="JK47" i="6"/>
  <c r="QZ46" i="6"/>
  <c r="QH45" i="6"/>
  <c r="YM44" i="6"/>
  <c r="YL44" i="6" s="1"/>
  <c r="CS44" i="6"/>
  <c r="CR44" i="6" s="1"/>
  <c r="ME43" i="6"/>
  <c r="TT42" i="6"/>
  <c r="HI40" i="6"/>
  <c r="HH40" i="6" s="1"/>
  <c r="RR39" i="6"/>
  <c r="WU38" i="6"/>
  <c r="WT38" i="6" s="1"/>
  <c r="AP38" i="6"/>
  <c r="AO38" i="6" s="1"/>
  <c r="CJ37" i="6"/>
  <c r="CI37" i="6" s="1"/>
  <c r="IS36" i="6"/>
  <c r="UK35" i="6"/>
  <c r="UJ35" i="6" s="1"/>
  <c r="ABB34" i="6"/>
  <c r="DK34" i="6"/>
  <c r="DJ34" i="6" s="1"/>
  <c r="FJ33" i="6"/>
  <c r="FI33" i="6" s="1"/>
  <c r="KC32" i="6"/>
  <c r="VL31" i="6"/>
  <c r="VK31" i="6" s="1"/>
  <c r="DB31" i="6"/>
  <c r="DA31" i="6" s="1"/>
  <c r="GA30" i="6"/>
  <c r="FZ30" i="6" s="1"/>
  <c r="IA29" i="6"/>
  <c r="MW28" i="6"/>
  <c r="XQ27" i="6"/>
  <c r="XP27" i="6" s="1"/>
  <c r="EB27" i="6"/>
  <c r="EA27" i="6" s="1"/>
  <c r="LM26" i="6"/>
  <c r="IS24" i="6"/>
  <c r="ABB22" i="6"/>
  <c r="YM20" i="6"/>
  <c r="YL20" i="6" s="1"/>
  <c r="FJ19" i="6"/>
  <c r="FI19" i="6" s="1"/>
  <c r="JK17" i="6"/>
  <c r="IA15" i="6"/>
  <c r="AP12" i="6"/>
  <c r="AO12" i="6" s="1"/>
  <c r="HI10" i="6"/>
  <c r="HH10" i="6" s="1"/>
  <c r="DB9" i="6"/>
  <c r="DA9" i="6" s="1"/>
  <c r="CJ7" i="6"/>
  <c r="CI7" i="6" s="1"/>
  <c r="QZ6" i="6"/>
  <c r="BQ72" i="6"/>
  <c r="BP72" i="6" s="1"/>
  <c r="XF68" i="6"/>
  <c r="XE68" i="6" s="1"/>
  <c r="ABS62" i="6"/>
  <c r="ABR62" i="6" s="1"/>
  <c r="WJ59" i="6"/>
  <c r="WI59" i="6" s="1"/>
  <c r="BQ56" i="6"/>
  <c r="BP56" i="6" s="1"/>
  <c r="XF52" i="6"/>
  <c r="XE52" i="6" s="1"/>
  <c r="ABS46" i="6"/>
  <c r="ABR46" i="6" s="1"/>
  <c r="WJ43" i="6"/>
  <c r="WI43" i="6" s="1"/>
  <c r="BQ40" i="6"/>
  <c r="BP40" i="6" s="1"/>
  <c r="XF36" i="6"/>
  <c r="XE36" i="6" s="1"/>
  <c r="ABS30" i="6"/>
  <c r="ABR30" i="6" s="1"/>
  <c r="WJ27" i="6"/>
  <c r="WI27" i="6" s="1"/>
  <c r="BQ24" i="6"/>
  <c r="BP24" i="6" s="1"/>
  <c r="XF20" i="6"/>
  <c r="XE20" i="6" s="1"/>
  <c r="WJ17" i="6"/>
  <c r="WI17" i="6" s="1"/>
  <c r="BQ14" i="6"/>
  <c r="BP14" i="6" s="1"/>
  <c r="XF10" i="6"/>
  <c r="XE10" i="6" s="1"/>
  <c r="ES6" i="6"/>
  <c r="ER6" i="6" s="1"/>
  <c r="GA29" i="6"/>
  <c r="FZ29" i="6" s="1"/>
  <c r="ZP27" i="6"/>
  <c r="ZO27" i="6" s="1"/>
  <c r="DB26" i="6"/>
  <c r="DA26" i="6" s="1"/>
  <c r="IS23" i="6"/>
  <c r="WU21" i="6"/>
  <c r="WT21" i="6" s="1"/>
  <c r="QH20" i="6"/>
  <c r="PP17" i="6"/>
  <c r="JK16" i="6"/>
  <c r="CJ14" i="6"/>
  <c r="CI14" i="6" s="1"/>
  <c r="TB10" i="6"/>
  <c r="NN117" i="6"/>
  <c r="NM117" i="6" s="1"/>
  <c r="WA116" i="6"/>
  <c r="VZ116" i="6" s="1"/>
  <c r="YB113" i="6"/>
  <c r="YA113" i="6" s="1"/>
  <c r="YY110" i="6"/>
  <c r="AE107" i="6"/>
  <c r="ACW103" i="6"/>
  <c r="WA100" i="6"/>
  <c r="VZ100" i="6" s="1"/>
  <c r="YB97" i="6"/>
  <c r="YA97" i="6" s="1"/>
  <c r="YY94" i="6"/>
  <c r="AE91" i="6"/>
  <c r="ACW87" i="6"/>
  <c r="WA84" i="6"/>
  <c r="VZ84" i="6" s="1"/>
  <c r="YB81" i="6"/>
  <c r="YA81" i="6" s="1"/>
  <c r="YY78" i="6"/>
  <c r="HI115" i="6"/>
  <c r="HH115" i="6" s="1"/>
  <c r="WU113" i="6"/>
  <c r="WT113" i="6" s="1"/>
  <c r="AP113" i="6"/>
  <c r="AO113" i="6" s="1"/>
  <c r="CJ112" i="6"/>
  <c r="CI112" i="6" s="1"/>
  <c r="IS111" i="6"/>
  <c r="UK110" i="6"/>
  <c r="UJ110" i="6" s="1"/>
  <c r="ABB109" i="6"/>
  <c r="DK109" i="6"/>
  <c r="DJ109" i="6" s="1"/>
  <c r="FJ108" i="6"/>
  <c r="FI108" i="6" s="1"/>
  <c r="VL106" i="6"/>
  <c r="VK106" i="6" s="1"/>
  <c r="DB106" i="6"/>
  <c r="DA106" i="6" s="1"/>
  <c r="GA105" i="6"/>
  <c r="FZ105" i="6" s="1"/>
  <c r="XQ102" i="6"/>
  <c r="XP102" i="6" s="1"/>
  <c r="EB102" i="6"/>
  <c r="EA102" i="6" s="1"/>
  <c r="GR98" i="6"/>
  <c r="GQ98" i="6" s="1"/>
  <c r="NN96" i="6"/>
  <c r="NM96" i="6" s="1"/>
  <c r="YM91" i="6"/>
  <c r="YL91" i="6" s="1"/>
  <c r="CS91" i="6"/>
  <c r="CR91" i="6" s="1"/>
  <c r="ZP87" i="6"/>
  <c r="ZO87" i="6" s="1"/>
  <c r="ES87" i="6"/>
  <c r="ER87" i="6" s="1"/>
  <c r="HI83" i="6"/>
  <c r="HH83" i="6" s="1"/>
  <c r="ABS113" i="6"/>
  <c r="ABR113" i="6" s="1"/>
  <c r="WJ110" i="6"/>
  <c r="WI110" i="6" s="1"/>
  <c r="BQ107" i="6"/>
  <c r="BP107" i="6" s="1"/>
  <c r="XF103" i="6"/>
  <c r="XE103" i="6" s="1"/>
  <c r="ABS97" i="6"/>
  <c r="ABR97" i="6" s="1"/>
  <c r="WJ94" i="6"/>
  <c r="WI94" i="6" s="1"/>
  <c r="BQ91" i="6"/>
  <c r="BP91" i="6" s="1"/>
  <c r="XF87" i="6"/>
  <c r="XE87" i="6" s="1"/>
  <c r="ABS81" i="6"/>
  <c r="ABR81" i="6" s="1"/>
  <c r="WJ78" i="6"/>
  <c r="WI78" i="6" s="1"/>
  <c r="ABB116" i="6"/>
  <c r="DK116" i="6"/>
  <c r="DJ116" i="6" s="1"/>
  <c r="FJ115" i="6"/>
  <c r="FI115" i="6" s="1"/>
  <c r="KC114" i="6"/>
  <c r="VL113" i="6"/>
  <c r="VK113" i="6" s="1"/>
  <c r="DB113" i="6"/>
  <c r="DA113" i="6" s="1"/>
  <c r="GA112" i="6"/>
  <c r="FZ112" i="6" s="1"/>
  <c r="IA111" i="6"/>
  <c r="MW110" i="6"/>
  <c r="XQ109" i="6"/>
  <c r="XP109" i="6" s="1"/>
  <c r="EB109" i="6"/>
  <c r="EA109" i="6" s="1"/>
  <c r="LM108" i="6"/>
  <c r="KU107" i="6"/>
  <c r="PP106" i="6"/>
  <c r="JK105" i="6"/>
  <c r="QZ104" i="6"/>
  <c r="QH103" i="6"/>
  <c r="YM102" i="6"/>
  <c r="YL102" i="6" s="1"/>
  <c r="CS102" i="6"/>
  <c r="CR102" i="6" s="1"/>
  <c r="ME101" i="6"/>
  <c r="TT100" i="6"/>
  <c r="TB99" i="6"/>
  <c r="ZP98" i="6"/>
  <c r="ZO98" i="6" s="1"/>
  <c r="RR97" i="6"/>
  <c r="WU96" i="6"/>
  <c r="WT96" i="6" s="1"/>
  <c r="DK96" i="6"/>
  <c r="DJ96" i="6" s="1"/>
  <c r="FJ95" i="6"/>
  <c r="FI95" i="6" s="1"/>
  <c r="KC94" i="6"/>
  <c r="VL93" i="6"/>
  <c r="VK93" i="6" s="1"/>
  <c r="DB93" i="6"/>
  <c r="DA93" i="6" s="1"/>
  <c r="GA92" i="6"/>
  <c r="FZ92" i="6" s="1"/>
  <c r="IA91" i="6"/>
  <c r="MW90" i="6"/>
  <c r="XQ89" i="6"/>
  <c r="XP89" i="6" s="1"/>
  <c r="EB89" i="6"/>
  <c r="EA89" i="6" s="1"/>
  <c r="LM88" i="6"/>
  <c r="KU87" i="6"/>
  <c r="PP86" i="6"/>
  <c r="ABS112" i="6"/>
  <c r="ABR112" i="6" s="1"/>
  <c r="WJ109" i="6"/>
  <c r="WI109" i="6" s="1"/>
  <c r="BQ106" i="6"/>
  <c r="BP106" i="6" s="1"/>
  <c r="XF102" i="6"/>
  <c r="XE102" i="6" s="1"/>
  <c r="ABS96" i="6"/>
  <c r="ABR96" i="6" s="1"/>
  <c r="WJ93" i="6"/>
  <c r="WI93" i="6" s="1"/>
  <c r="BQ90" i="6"/>
  <c r="BP90" i="6" s="1"/>
  <c r="XF86" i="6"/>
  <c r="XE86" i="6" s="1"/>
  <c r="ABS80" i="6"/>
  <c r="ABR80" i="6" s="1"/>
  <c r="WJ77" i="6"/>
  <c r="WI77" i="6" s="1"/>
  <c r="XQ116" i="6"/>
  <c r="XP116" i="6" s="1"/>
  <c r="EB116" i="6"/>
  <c r="EA116" i="6" s="1"/>
  <c r="LM115" i="6"/>
  <c r="KU114" i="6"/>
  <c r="PP113" i="6"/>
  <c r="GR112" i="6"/>
  <c r="GQ112" i="6" s="1"/>
  <c r="OF111" i="6"/>
  <c r="NN110" i="6"/>
  <c r="NM110" i="6" s="1"/>
  <c r="SJ109" i="6"/>
  <c r="JK108" i="6"/>
  <c r="QZ107" i="6"/>
  <c r="QH106" i="6"/>
  <c r="YM105" i="6"/>
  <c r="YL105" i="6" s="1"/>
  <c r="CS105" i="6"/>
  <c r="CR105" i="6" s="1"/>
  <c r="ME104" i="6"/>
  <c r="TT103" i="6"/>
  <c r="TB102" i="6"/>
  <c r="ZP101" i="6"/>
  <c r="ZO101" i="6" s="1"/>
  <c r="ES101" i="6"/>
  <c r="ER101" i="6" s="1"/>
  <c r="OX100" i="6"/>
  <c r="HI97" i="6"/>
  <c r="HH97" i="6" s="1"/>
  <c r="RR96" i="6"/>
  <c r="WU95" i="6"/>
  <c r="WT95" i="6" s="1"/>
  <c r="AP95" i="6"/>
  <c r="AO95" i="6" s="1"/>
  <c r="CJ94" i="6"/>
  <c r="CI94" i="6" s="1"/>
  <c r="IS93" i="6"/>
  <c r="UK92" i="6"/>
  <c r="UJ92" i="6" s="1"/>
  <c r="ABB91" i="6"/>
  <c r="DK91" i="6"/>
  <c r="DJ91" i="6" s="1"/>
  <c r="FJ90" i="6"/>
  <c r="FI90" i="6" s="1"/>
  <c r="KC89" i="6"/>
  <c r="VL88" i="6"/>
  <c r="VK88" i="6" s="1"/>
  <c r="DB88" i="6"/>
  <c r="DA88" i="6" s="1"/>
  <c r="GA87" i="6"/>
  <c r="FZ87" i="6" s="1"/>
  <c r="IA86" i="6"/>
  <c r="MW85" i="6"/>
  <c r="XQ84" i="6"/>
  <c r="XP84" i="6" s="1"/>
  <c r="EB84" i="6"/>
  <c r="EA84" i="6" s="1"/>
  <c r="LM83" i="6"/>
  <c r="KU82" i="6"/>
  <c r="ACW116" i="6"/>
  <c r="WA113" i="6"/>
  <c r="VZ113" i="6" s="1"/>
  <c r="YB110" i="6"/>
  <c r="YA110" i="6" s="1"/>
  <c r="YY107" i="6"/>
  <c r="AE104" i="6"/>
  <c r="ACW100" i="6"/>
  <c r="WA97" i="6"/>
  <c r="VZ97" i="6" s="1"/>
  <c r="YB94" i="6"/>
  <c r="YA94" i="6" s="1"/>
  <c r="YY91" i="6"/>
  <c r="AE88" i="6"/>
  <c r="ACW84" i="6"/>
  <c r="WA81" i="6"/>
  <c r="VZ81" i="6" s="1"/>
  <c r="YB78" i="6"/>
  <c r="YA78" i="6" s="1"/>
  <c r="YY75" i="6"/>
  <c r="HI116" i="6"/>
  <c r="HH116" i="6" s="1"/>
  <c r="RR115" i="6"/>
  <c r="WU114" i="6"/>
  <c r="WT114" i="6" s="1"/>
  <c r="AP114" i="6"/>
  <c r="AO114" i="6" s="1"/>
  <c r="CJ113" i="6"/>
  <c r="CI113" i="6" s="1"/>
  <c r="IS112" i="6"/>
  <c r="UK111" i="6"/>
  <c r="UJ111" i="6" s="1"/>
  <c r="ABB110" i="6"/>
  <c r="DK110" i="6"/>
  <c r="DJ110" i="6" s="1"/>
  <c r="FJ109" i="6"/>
  <c r="FI109" i="6" s="1"/>
  <c r="KC108" i="6"/>
  <c r="VL107" i="6"/>
  <c r="VK107" i="6" s="1"/>
  <c r="DB107" i="6"/>
  <c r="DA107" i="6" s="1"/>
  <c r="GA106" i="6"/>
  <c r="FZ106" i="6" s="1"/>
  <c r="IA105" i="6"/>
  <c r="MW104" i="6"/>
  <c r="GR103" i="6"/>
  <c r="GQ103" i="6" s="1"/>
  <c r="OF102" i="6"/>
  <c r="NN101" i="6"/>
  <c r="NM101" i="6" s="1"/>
  <c r="SJ100" i="6"/>
  <c r="JK99" i="6"/>
  <c r="QZ98" i="6"/>
  <c r="QH97" i="6"/>
  <c r="YM96" i="6"/>
  <c r="YL96" i="6" s="1"/>
  <c r="CS96" i="6"/>
  <c r="CR96" i="6" s="1"/>
  <c r="ME95" i="6"/>
  <c r="TT94" i="6"/>
  <c r="HI92" i="6"/>
  <c r="HH92" i="6" s="1"/>
  <c r="RR91" i="6"/>
  <c r="WU90" i="6"/>
  <c r="WT90" i="6" s="1"/>
  <c r="AP90" i="6"/>
  <c r="AO90" i="6" s="1"/>
  <c r="CJ89" i="6"/>
  <c r="CI89" i="6" s="1"/>
  <c r="IS88" i="6"/>
  <c r="UK87" i="6"/>
  <c r="UJ87" i="6" s="1"/>
  <c r="ABB86" i="6"/>
  <c r="DK86" i="6"/>
  <c r="DJ86" i="6" s="1"/>
  <c r="FJ85" i="6"/>
  <c r="FI85" i="6" s="1"/>
  <c r="KC84" i="6"/>
  <c r="VL83" i="6"/>
  <c r="VK83" i="6" s="1"/>
  <c r="DB83" i="6"/>
  <c r="DA83" i="6" s="1"/>
  <c r="GA82" i="6"/>
  <c r="FZ82" i="6" s="1"/>
  <c r="IA81" i="6"/>
  <c r="ME82" i="6"/>
  <c r="TT81" i="6"/>
  <c r="TB80" i="6"/>
  <c r="ZP79" i="6"/>
  <c r="ZO79" i="6" s="1"/>
  <c r="ES79" i="6"/>
  <c r="ER79" i="6" s="1"/>
  <c r="OX78" i="6"/>
  <c r="HI75" i="6"/>
  <c r="HH75" i="6" s="1"/>
  <c r="RR74" i="6"/>
  <c r="WU73" i="6"/>
  <c r="WT73" i="6" s="1"/>
  <c r="AP73" i="6"/>
  <c r="AO73" i="6" s="1"/>
  <c r="CJ72" i="6"/>
  <c r="CI72" i="6" s="1"/>
  <c r="IS71" i="6"/>
  <c r="UK70" i="6"/>
  <c r="UJ70" i="6" s="1"/>
  <c r="ABB69" i="6"/>
  <c r="DK69" i="6"/>
  <c r="DJ69" i="6" s="1"/>
  <c r="FJ68" i="6"/>
  <c r="FI68" i="6" s="1"/>
  <c r="KC67" i="6"/>
  <c r="VL66" i="6"/>
  <c r="VK66" i="6" s="1"/>
  <c r="DB66" i="6"/>
  <c r="DA66" i="6" s="1"/>
  <c r="GA65" i="6"/>
  <c r="FZ65" i="6" s="1"/>
  <c r="IA64" i="6"/>
  <c r="MW63" i="6"/>
  <c r="XQ62" i="6"/>
  <c r="XP62" i="6" s="1"/>
  <c r="EB62" i="6"/>
  <c r="EA62" i="6" s="1"/>
  <c r="LM61" i="6"/>
  <c r="KU60" i="6"/>
  <c r="PP59" i="6"/>
  <c r="JK58" i="6"/>
  <c r="QZ57" i="6"/>
  <c r="QH56" i="6"/>
  <c r="YM55" i="6"/>
  <c r="YL55" i="6" s="1"/>
  <c r="CS55" i="6"/>
  <c r="CR55" i="6" s="1"/>
  <c r="ME54" i="6"/>
  <c r="TT53" i="6"/>
  <c r="TB52" i="6"/>
  <c r="ZP51" i="6"/>
  <c r="ZO51" i="6" s="1"/>
  <c r="ES51" i="6"/>
  <c r="ER51" i="6" s="1"/>
  <c r="OX50" i="6"/>
  <c r="HI47" i="6"/>
  <c r="HH47" i="6" s="1"/>
  <c r="RR46" i="6"/>
  <c r="WU45" i="6"/>
  <c r="WT45" i="6" s="1"/>
  <c r="AP45" i="6"/>
  <c r="AO45" i="6" s="1"/>
  <c r="CJ44" i="6"/>
  <c r="CI44" i="6" s="1"/>
  <c r="IS43" i="6"/>
  <c r="UK42" i="6"/>
  <c r="UJ42" i="6" s="1"/>
  <c r="ABB41" i="6"/>
  <c r="DK41" i="6"/>
  <c r="DJ41" i="6" s="1"/>
  <c r="FJ40" i="6"/>
  <c r="FI40" i="6" s="1"/>
  <c r="KC39" i="6"/>
  <c r="XQ38" i="6"/>
  <c r="XP38" i="6" s="1"/>
  <c r="EB38" i="6"/>
  <c r="EA38" i="6" s="1"/>
  <c r="LM37" i="6"/>
  <c r="NN36" i="6"/>
  <c r="NM36" i="6" s="1"/>
  <c r="SJ35" i="6"/>
  <c r="JK34" i="6"/>
  <c r="HI31" i="6"/>
  <c r="HH31" i="6" s="1"/>
  <c r="RR30" i="6"/>
  <c r="QZ29" i="6"/>
  <c r="IA24" i="6"/>
  <c r="TT21" i="6"/>
  <c r="QZ19" i="6"/>
  <c r="KC17" i="6"/>
  <c r="WU15" i="6"/>
  <c r="WT15" i="6" s="1"/>
  <c r="XQ12" i="6"/>
  <c r="XP12" i="6" s="1"/>
  <c r="IA10" i="6"/>
  <c r="AP7" i="6"/>
  <c r="AO7" i="6" s="1"/>
  <c r="YB72" i="6"/>
  <c r="YA72" i="6" s="1"/>
  <c r="YY69" i="6"/>
  <c r="AE66" i="6"/>
  <c r="ACW62" i="6"/>
  <c r="WA59" i="6"/>
  <c r="VZ59" i="6" s="1"/>
  <c r="YB56" i="6"/>
  <c r="YA56" i="6" s="1"/>
  <c r="YY53" i="6"/>
  <c r="AE50" i="6"/>
  <c r="ACW46" i="6"/>
  <c r="WA43" i="6"/>
  <c r="VZ43" i="6" s="1"/>
  <c r="YB40" i="6"/>
  <c r="YA40" i="6" s="1"/>
  <c r="YY37" i="6"/>
  <c r="ABS33" i="6"/>
  <c r="ABR33" i="6" s="1"/>
  <c r="WJ30" i="6"/>
  <c r="WI30" i="6" s="1"/>
  <c r="BQ27" i="6"/>
  <c r="BP27" i="6" s="1"/>
  <c r="XF23" i="6"/>
  <c r="XE23" i="6" s="1"/>
  <c r="BQ17" i="6"/>
  <c r="BP17" i="6" s="1"/>
  <c r="XF13" i="6"/>
  <c r="XE13" i="6" s="1"/>
  <c r="ABS7" i="6"/>
  <c r="ABR7" i="6" s="1"/>
  <c r="PP26" i="6"/>
  <c r="EB25" i="6"/>
  <c r="EA25" i="6" s="1"/>
  <c r="FJ23" i="6"/>
  <c r="FI23" i="6" s="1"/>
  <c r="OX21" i="6"/>
  <c r="QZ18" i="6"/>
  <c r="YM16" i="6"/>
  <c r="YL16" i="6" s="1"/>
  <c r="UK15" i="6"/>
  <c r="UJ15" i="6" s="1"/>
  <c r="DK14" i="6"/>
  <c r="DJ14" i="6" s="1"/>
  <c r="WU84" i="6"/>
  <c r="WT84" i="6" s="1"/>
  <c r="AP84" i="6"/>
  <c r="AO84" i="6" s="1"/>
  <c r="CJ83" i="6"/>
  <c r="CI83" i="6" s="1"/>
  <c r="IS82" i="6"/>
  <c r="UK81" i="6"/>
  <c r="UJ81" i="6" s="1"/>
  <c r="ABB80" i="6"/>
  <c r="GA80" i="6"/>
  <c r="FZ80" i="6" s="1"/>
  <c r="IA79" i="6"/>
  <c r="MW78" i="6"/>
  <c r="XQ77" i="6"/>
  <c r="XP77" i="6" s="1"/>
  <c r="EB77" i="6"/>
  <c r="EA77" i="6" s="1"/>
  <c r="LM76" i="6"/>
  <c r="KU75" i="6"/>
  <c r="PP74" i="6"/>
  <c r="GR73" i="6"/>
  <c r="GQ73" i="6" s="1"/>
  <c r="OF72" i="6"/>
  <c r="NN71" i="6"/>
  <c r="NM71" i="6" s="1"/>
  <c r="QH67" i="6"/>
  <c r="YM66" i="6"/>
  <c r="YL66" i="6" s="1"/>
  <c r="CS66" i="6"/>
  <c r="CR66" i="6" s="1"/>
  <c r="ME65" i="6"/>
  <c r="TT64" i="6"/>
  <c r="TB63" i="6"/>
  <c r="ZP62" i="6"/>
  <c r="ZO62" i="6" s="1"/>
  <c r="ES62" i="6"/>
  <c r="ER62" i="6" s="1"/>
  <c r="AP60" i="6"/>
  <c r="AO60" i="6" s="1"/>
  <c r="CJ59" i="6"/>
  <c r="CI59" i="6" s="1"/>
  <c r="IS58" i="6"/>
  <c r="VL57" i="6"/>
  <c r="VK57" i="6" s="1"/>
  <c r="DB57" i="6"/>
  <c r="DA57" i="6" s="1"/>
  <c r="GA56" i="6"/>
  <c r="FZ56" i="6" s="1"/>
  <c r="IA55" i="6"/>
  <c r="XQ53" i="6"/>
  <c r="XP53" i="6" s="1"/>
  <c r="EB53" i="6"/>
  <c r="EA53" i="6" s="1"/>
  <c r="LM52" i="6"/>
  <c r="KU51" i="6"/>
  <c r="PP50" i="6"/>
  <c r="GR49" i="6"/>
  <c r="GQ49" i="6" s="1"/>
  <c r="OF48" i="6"/>
  <c r="QH47" i="6"/>
  <c r="YM46" i="6"/>
  <c r="YL46" i="6" s="1"/>
  <c r="CS46" i="6"/>
  <c r="CR46" i="6" s="1"/>
  <c r="ME45" i="6"/>
  <c r="TB43" i="6"/>
  <c r="ZP42" i="6"/>
  <c r="ZO42" i="6" s="1"/>
  <c r="ES42" i="6"/>
  <c r="ER42" i="6" s="1"/>
  <c r="HI38" i="6"/>
  <c r="HH38" i="6" s="1"/>
  <c r="RR37" i="6"/>
  <c r="WU36" i="6"/>
  <c r="WT36" i="6" s="1"/>
  <c r="AP36" i="6"/>
  <c r="AO36" i="6" s="1"/>
  <c r="CJ35" i="6"/>
  <c r="CI35" i="6" s="1"/>
  <c r="IS34" i="6"/>
  <c r="UK33" i="6"/>
  <c r="UJ33" i="6" s="1"/>
  <c r="ABB32" i="6"/>
  <c r="DK32" i="6"/>
  <c r="DJ32" i="6" s="1"/>
  <c r="FJ31" i="6"/>
  <c r="FI31" i="6" s="1"/>
  <c r="KC30" i="6"/>
  <c r="ME29" i="6"/>
  <c r="GA28" i="6"/>
  <c r="FZ28" i="6" s="1"/>
  <c r="SJ26" i="6"/>
  <c r="ME25" i="6"/>
  <c r="MW22" i="6"/>
  <c r="GR21" i="6"/>
  <c r="GQ21" i="6" s="1"/>
  <c r="VL19" i="6"/>
  <c r="VK19" i="6" s="1"/>
  <c r="AP18" i="6"/>
  <c r="AO18" i="6" s="1"/>
  <c r="IS16" i="6"/>
  <c r="WU14" i="6"/>
  <c r="WT14" i="6" s="1"/>
  <c r="KU13" i="6"/>
  <c r="ES12" i="6"/>
  <c r="ER12" i="6" s="1"/>
  <c r="TT10" i="6"/>
  <c r="XF74" i="6"/>
  <c r="XE74" i="6" s="1"/>
  <c r="ABS68" i="6"/>
  <c r="ABR68" i="6" s="1"/>
  <c r="WJ65" i="6"/>
  <c r="WI65" i="6" s="1"/>
  <c r="BQ62" i="6"/>
  <c r="BP62" i="6" s="1"/>
  <c r="XF58" i="6"/>
  <c r="XE58" i="6" s="1"/>
  <c r="ABS52" i="6"/>
  <c r="ABR52" i="6" s="1"/>
  <c r="WJ49" i="6"/>
  <c r="WI49" i="6" s="1"/>
  <c r="BQ46" i="6"/>
  <c r="BP46" i="6" s="1"/>
  <c r="XF42" i="6"/>
  <c r="XE42" i="6" s="1"/>
  <c r="ABS36" i="6"/>
  <c r="ABR36" i="6" s="1"/>
  <c r="WJ33" i="6"/>
  <c r="WI33" i="6" s="1"/>
  <c r="BQ30" i="6"/>
  <c r="BP30" i="6" s="1"/>
  <c r="XF26" i="6"/>
  <c r="XE26" i="6" s="1"/>
  <c r="ABS20" i="6"/>
  <c r="ABR20" i="6" s="1"/>
  <c r="ABS14" i="6"/>
  <c r="ABR14" i="6" s="1"/>
  <c r="WJ11" i="6"/>
  <c r="WI11" i="6" s="1"/>
  <c r="BQ8" i="6"/>
  <c r="BP8" i="6" s="1"/>
  <c r="WU6" i="6"/>
  <c r="WT6" i="6" s="1"/>
  <c r="KC21" i="6"/>
  <c r="EB20" i="6"/>
  <c r="EA20" i="6" s="1"/>
  <c r="XQ18" i="6"/>
  <c r="XP18" i="6" s="1"/>
  <c r="LM17" i="6"/>
  <c r="MW15" i="6"/>
  <c r="QZ13" i="6"/>
  <c r="PP11" i="6"/>
  <c r="OF9" i="6"/>
  <c r="KC7" i="6"/>
  <c r="KU6" i="6"/>
  <c r="KU117" i="6"/>
  <c r="HI9" i="6"/>
  <c r="HH9" i="6" s="1"/>
  <c r="JK80" i="6"/>
  <c r="QZ79" i="6"/>
  <c r="QH78" i="6"/>
  <c r="YM77" i="6"/>
  <c r="YL77" i="6" s="1"/>
  <c r="CS77" i="6"/>
  <c r="CR77" i="6" s="1"/>
  <c r="ME76" i="6"/>
  <c r="TT75" i="6"/>
  <c r="TB74" i="6"/>
  <c r="ZP73" i="6"/>
  <c r="ZO73" i="6" s="1"/>
  <c r="ES73" i="6"/>
  <c r="ER73" i="6" s="1"/>
  <c r="OX72" i="6"/>
  <c r="HI69" i="6"/>
  <c r="HH69" i="6" s="1"/>
  <c r="UK68" i="6"/>
  <c r="UJ68" i="6" s="1"/>
  <c r="ABB67" i="6"/>
  <c r="DK67" i="6"/>
  <c r="DJ67" i="6" s="1"/>
  <c r="FJ66" i="6"/>
  <c r="FI66" i="6" s="1"/>
  <c r="KC65" i="6"/>
  <c r="VL64" i="6"/>
  <c r="VK64" i="6" s="1"/>
  <c r="DB64" i="6"/>
  <c r="DA64" i="6" s="1"/>
  <c r="KU62" i="6"/>
  <c r="PP61" i="6"/>
  <c r="GR60" i="6"/>
  <c r="GQ60" i="6" s="1"/>
  <c r="OF59" i="6"/>
  <c r="NN58" i="6"/>
  <c r="NM58" i="6" s="1"/>
  <c r="SJ57" i="6"/>
  <c r="JK56" i="6"/>
  <c r="QZ55" i="6"/>
  <c r="QH54" i="6"/>
  <c r="YM53" i="6"/>
  <c r="YL53" i="6" s="1"/>
  <c r="CS53" i="6"/>
  <c r="CR53" i="6" s="1"/>
  <c r="ME52" i="6"/>
  <c r="TT51" i="6"/>
  <c r="TB50" i="6"/>
  <c r="ZP49" i="6"/>
  <c r="ZO49" i="6" s="1"/>
  <c r="ES49" i="6"/>
  <c r="ER49" i="6" s="1"/>
  <c r="OX48" i="6"/>
  <c r="HI45" i="6"/>
  <c r="HH45" i="6" s="1"/>
  <c r="RR44" i="6"/>
  <c r="WU43" i="6"/>
  <c r="WT43" i="6" s="1"/>
  <c r="AP43" i="6"/>
  <c r="AO43" i="6" s="1"/>
  <c r="CJ42" i="6"/>
  <c r="CI42" i="6" s="1"/>
  <c r="IS41" i="6"/>
  <c r="VL40" i="6"/>
  <c r="VK40" i="6" s="1"/>
  <c r="DB40" i="6"/>
  <c r="DA40" i="6" s="1"/>
  <c r="GA39" i="6"/>
  <c r="FZ39" i="6" s="1"/>
  <c r="IA38" i="6"/>
  <c r="MW37" i="6"/>
  <c r="XQ36" i="6"/>
  <c r="XP36" i="6" s="1"/>
  <c r="EB36" i="6"/>
  <c r="EA36" i="6" s="1"/>
  <c r="LM35" i="6"/>
  <c r="KU34" i="6"/>
  <c r="PP33" i="6"/>
  <c r="GR32" i="6"/>
  <c r="GQ32" i="6" s="1"/>
  <c r="OF31" i="6"/>
  <c r="NN30" i="6"/>
  <c r="NM30" i="6" s="1"/>
  <c r="SJ29" i="6"/>
  <c r="JK28" i="6"/>
  <c r="QZ27" i="6"/>
  <c r="QH26" i="6"/>
  <c r="YM25" i="6"/>
  <c r="YL25" i="6" s="1"/>
  <c r="CS25" i="6"/>
  <c r="CR25" i="6" s="1"/>
  <c r="GR24" i="6"/>
  <c r="GQ24" i="6" s="1"/>
  <c r="AP23" i="6"/>
  <c r="AO23" i="6" s="1"/>
  <c r="SJ21" i="6"/>
  <c r="GR20" i="6"/>
  <c r="GQ20" i="6" s="1"/>
  <c r="ME18" i="6"/>
  <c r="DK17" i="6"/>
  <c r="DJ17" i="6" s="1"/>
  <c r="IS15" i="6"/>
  <c r="ME14" i="6"/>
  <c r="AP13" i="6"/>
  <c r="AO13" i="6" s="1"/>
  <c r="MW11" i="6"/>
  <c r="RR10" i="6"/>
  <c r="LM9" i="6"/>
  <c r="ZP7" i="6"/>
  <c r="ZO7" i="6" s="1"/>
  <c r="RR117" i="6"/>
  <c r="RR6" i="6"/>
  <c r="UK8" i="6"/>
  <c r="UJ8" i="6" s="1"/>
  <c r="ABS71" i="6"/>
  <c r="ABR71" i="6" s="1"/>
  <c r="WJ68" i="6"/>
  <c r="WI68" i="6" s="1"/>
  <c r="BQ65" i="6"/>
  <c r="BP65" i="6" s="1"/>
  <c r="XF61" i="6"/>
  <c r="XE61" i="6" s="1"/>
  <c r="ABS55" i="6"/>
  <c r="ABR55" i="6" s="1"/>
  <c r="WJ52" i="6"/>
  <c r="WI52" i="6" s="1"/>
  <c r="BQ49" i="6"/>
  <c r="BP49" i="6" s="1"/>
  <c r="XF45" i="6"/>
  <c r="XE45" i="6" s="1"/>
  <c r="ABS39" i="6"/>
  <c r="ABR39" i="6" s="1"/>
  <c r="WJ36" i="6"/>
  <c r="WI36" i="6" s="1"/>
  <c r="BQ33" i="6"/>
  <c r="BP33" i="6" s="1"/>
  <c r="XF29" i="6"/>
  <c r="XE29" i="6" s="1"/>
  <c r="ABS23" i="6"/>
  <c r="ABR23" i="6" s="1"/>
  <c r="WJ20" i="6"/>
  <c r="WI20" i="6" s="1"/>
  <c r="ABS17" i="6"/>
  <c r="ABR17" i="6" s="1"/>
  <c r="WJ14" i="6"/>
  <c r="WI14" i="6" s="1"/>
  <c r="BQ11" i="6"/>
  <c r="BP11" i="6" s="1"/>
  <c r="XF7" i="6"/>
  <c r="XE7" i="6" s="1"/>
  <c r="GA6" i="6"/>
  <c r="FZ6" i="6" s="1"/>
  <c r="RR23" i="6"/>
  <c r="AP22" i="6"/>
  <c r="AO22" i="6" s="1"/>
  <c r="ZP20" i="6"/>
  <c r="ZO20" i="6" s="1"/>
  <c r="CJ19" i="6"/>
  <c r="CI19" i="6" s="1"/>
  <c r="TT16" i="6"/>
  <c r="CJ15" i="6"/>
  <c r="CI15" i="6" s="1"/>
  <c r="UK13" i="6"/>
  <c r="UJ13" i="6" s="1"/>
  <c r="TT12" i="6"/>
  <c r="SJ10" i="6"/>
  <c r="UK9" i="6"/>
  <c r="UJ9" i="6" s="1"/>
  <c r="TB7" i="6"/>
  <c r="DB12" i="6"/>
  <c r="DA12" i="6" s="1"/>
  <c r="TB117" i="6"/>
  <c r="KC80" i="6"/>
  <c r="VL79" i="6"/>
  <c r="VK79" i="6" s="1"/>
  <c r="DB79" i="6"/>
  <c r="DA79" i="6" s="1"/>
  <c r="GA78" i="6"/>
  <c r="FZ78" i="6" s="1"/>
  <c r="IA77" i="6"/>
  <c r="MW76" i="6"/>
  <c r="XQ75" i="6"/>
  <c r="XP75" i="6" s="1"/>
  <c r="EB75" i="6"/>
  <c r="EA75" i="6" s="1"/>
  <c r="LM74" i="6"/>
  <c r="KU73" i="6"/>
  <c r="PP72" i="6"/>
  <c r="JK71" i="6"/>
  <c r="QZ70" i="6"/>
  <c r="QH69" i="6"/>
  <c r="YM68" i="6"/>
  <c r="YL68" i="6" s="1"/>
  <c r="CS68" i="6"/>
  <c r="CR68" i="6" s="1"/>
  <c r="ME67" i="6"/>
  <c r="TT66" i="6"/>
  <c r="TB65" i="6"/>
  <c r="ZP64" i="6"/>
  <c r="ZO64" i="6" s="1"/>
  <c r="ES64" i="6"/>
  <c r="ER64" i="6" s="1"/>
  <c r="OX63" i="6"/>
  <c r="HI60" i="6"/>
  <c r="HH60" i="6" s="1"/>
  <c r="RR59" i="6"/>
  <c r="WU58" i="6"/>
  <c r="WT58" i="6" s="1"/>
  <c r="AP58" i="6"/>
  <c r="AO58" i="6" s="1"/>
  <c r="CJ57" i="6"/>
  <c r="CI57" i="6" s="1"/>
  <c r="IS56" i="6"/>
  <c r="UK55" i="6"/>
  <c r="UJ55" i="6" s="1"/>
  <c r="ABB54" i="6"/>
  <c r="DK54" i="6"/>
  <c r="DJ54" i="6" s="1"/>
  <c r="FJ53" i="6"/>
  <c r="FI53" i="6" s="1"/>
  <c r="KC52" i="6"/>
  <c r="XQ51" i="6"/>
  <c r="XP51" i="6" s="1"/>
  <c r="EB51" i="6"/>
  <c r="EA51" i="6" s="1"/>
  <c r="LM50" i="6"/>
  <c r="KU49" i="6"/>
  <c r="PP48" i="6"/>
  <c r="GR47" i="6"/>
  <c r="GQ47" i="6" s="1"/>
  <c r="OF46" i="6"/>
  <c r="NN45" i="6"/>
  <c r="NM45" i="6" s="1"/>
  <c r="SJ44" i="6"/>
  <c r="JK43" i="6"/>
  <c r="QZ42" i="6"/>
  <c r="TB41" i="6"/>
  <c r="ZP40" i="6"/>
  <c r="ZO40" i="6" s="1"/>
  <c r="ES40" i="6"/>
  <c r="ER40" i="6" s="1"/>
  <c r="OX39" i="6"/>
  <c r="HI36" i="6"/>
  <c r="HH36" i="6" s="1"/>
  <c r="RR35" i="6"/>
  <c r="WU34" i="6"/>
  <c r="WT34" i="6" s="1"/>
  <c r="AP34" i="6"/>
  <c r="AO34" i="6" s="1"/>
  <c r="CJ33" i="6"/>
  <c r="CI33" i="6" s="1"/>
  <c r="IS32" i="6"/>
  <c r="UK31" i="6"/>
  <c r="UJ31" i="6" s="1"/>
  <c r="ABB30" i="6"/>
  <c r="DK30" i="6"/>
  <c r="DJ30" i="6" s="1"/>
  <c r="FJ29" i="6"/>
  <c r="FI29" i="6" s="1"/>
  <c r="KC28" i="6"/>
  <c r="VL27" i="6"/>
  <c r="VK27" i="6" s="1"/>
  <c r="DB27" i="6"/>
  <c r="DA27" i="6" s="1"/>
  <c r="GA26" i="6"/>
  <c r="FZ26" i="6" s="1"/>
  <c r="IA25" i="6"/>
  <c r="KC20" i="6"/>
  <c r="YM18" i="6"/>
  <c r="YL18" i="6" s="1"/>
  <c r="EB17" i="6"/>
  <c r="EA17" i="6" s="1"/>
  <c r="FJ15" i="6"/>
  <c r="FI15" i="6" s="1"/>
  <c r="VL13" i="6"/>
  <c r="VK13" i="6" s="1"/>
  <c r="XQ9" i="6"/>
  <c r="XP9" i="6" s="1"/>
  <c r="NN10" i="6"/>
  <c r="NM10" i="6" s="1"/>
  <c r="AE75" i="6"/>
  <c r="ACW71" i="6"/>
  <c r="WA68" i="6"/>
  <c r="VZ68" i="6" s="1"/>
  <c r="YB65" i="6"/>
  <c r="YA65" i="6" s="1"/>
  <c r="YY62" i="6"/>
  <c r="AE59" i="6"/>
  <c r="ACW55" i="6"/>
  <c r="WA52" i="6"/>
  <c r="VZ52" i="6" s="1"/>
  <c r="YB49" i="6"/>
  <c r="YA49" i="6" s="1"/>
  <c r="YY46" i="6"/>
  <c r="AE43" i="6"/>
  <c r="ACW39" i="6"/>
  <c r="WA36" i="6"/>
  <c r="VZ36" i="6" s="1"/>
  <c r="YB33" i="6"/>
  <c r="YA33" i="6" s="1"/>
  <c r="YY30" i="6"/>
  <c r="AE27" i="6"/>
  <c r="ACW23" i="6"/>
  <c r="WA20" i="6"/>
  <c r="VZ20" i="6" s="1"/>
  <c r="AE17" i="6"/>
  <c r="ACW13" i="6"/>
  <c r="WA10" i="6"/>
  <c r="VZ10" i="6" s="1"/>
  <c r="YB7" i="6"/>
  <c r="YA7" i="6" s="1"/>
  <c r="ES117" i="6"/>
  <c r="ER117" i="6" s="1"/>
  <c r="DK29" i="6"/>
  <c r="DJ29" i="6" s="1"/>
  <c r="WU25" i="6"/>
  <c r="WT25" i="6" s="1"/>
  <c r="TB24" i="6"/>
  <c r="HI23" i="6"/>
  <c r="HH23" i="6" s="1"/>
  <c r="NN20" i="6"/>
  <c r="NM20" i="6" s="1"/>
  <c r="TB18" i="6"/>
  <c r="MW17" i="6"/>
  <c r="GR16" i="6"/>
  <c r="GQ16" i="6" s="1"/>
  <c r="KU10" i="6"/>
  <c r="NN6" i="6"/>
  <c r="NM6" i="6" s="1"/>
  <c r="FJ117" i="6"/>
  <c r="FI117" i="6" s="1"/>
  <c r="WJ103" i="6"/>
  <c r="WI103" i="6" s="1"/>
  <c r="BQ100" i="6"/>
  <c r="BP100" i="6" s="1"/>
  <c r="XF96" i="6"/>
  <c r="XE96" i="6" s="1"/>
  <c r="ABS90" i="6"/>
  <c r="ABR90" i="6" s="1"/>
  <c r="WJ87" i="6"/>
  <c r="WI87" i="6" s="1"/>
  <c r="BQ84" i="6"/>
  <c r="BP84" i="6" s="1"/>
  <c r="XF80" i="6"/>
  <c r="XE80" i="6" s="1"/>
  <c r="ZP115" i="6"/>
  <c r="ZO115" i="6" s="1"/>
  <c r="ES115" i="6"/>
  <c r="ER115" i="6" s="1"/>
  <c r="HI111" i="6"/>
  <c r="HH111" i="6" s="1"/>
  <c r="WU109" i="6"/>
  <c r="WT109" i="6" s="1"/>
  <c r="AP109" i="6"/>
  <c r="AO109" i="6" s="1"/>
  <c r="CJ108" i="6"/>
  <c r="CI108" i="6" s="1"/>
  <c r="IS107" i="6"/>
  <c r="UK106" i="6"/>
  <c r="UJ106" i="6" s="1"/>
  <c r="ABB105" i="6"/>
  <c r="DK105" i="6"/>
  <c r="DJ105" i="6" s="1"/>
  <c r="FJ104" i="6"/>
  <c r="FI104" i="6" s="1"/>
  <c r="VL102" i="6"/>
  <c r="VK102" i="6" s="1"/>
  <c r="DB102" i="6"/>
  <c r="DA102" i="6" s="1"/>
  <c r="GA101" i="6"/>
  <c r="FZ101" i="6" s="1"/>
  <c r="XQ98" i="6"/>
  <c r="XP98" i="6" s="1"/>
  <c r="EB98" i="6"/>
  <c r="EA98" i="6" s="1"/>
  <c r="GR94" i="6"/>
  <c r="GQ94" i="6" s="1"/>
  <c r="NN92" i="6"/>
  <c r="NM92" i="6" s="1"/>
  <c r="YM87" i="6"/>
  <c r="YL87" i="6" s="1"/>
  <c r="CS87" i="6"/>
  <c r="CR87" i="6" s="1"/>
  <c r="ZP83" i="6"/>
  <c r="ZO83" i="6" s="1"/>
  <c r="ES83" i="6"/>
  <c r="ER83" i="6" s="1"/>
  <c r="YB116" i="6"/>
  <c r="YA116" i="6" s="1"/>
  <c r="YY113" i="6"/>
  <c r="AE110" i="6"/>
  <c r="ACW106" i="6"/>
  <c r="WA103" i="6"/>
  <c r="VZ103" i="6" s="1"/>
  <c r="YB100" i="6"/>
  <c r="YA100" i="6" s="1"/>
  <c r="YY97" i="6"/>
  <c r="AE94" i="6"/>
  <c r="ACW90" i="6"/>
  <c r="WA87" i="6"/>
  <c r="VZ87" i="6" s="1"/>
  <c r="YB84" i="6"/>
  <c r="YA84" i="6" s="1"/>
  <c r="YY81" i="6"/>
  <c r="AE78" i="6"/>
  <c r="WU116" i="6"/>
  <c r="WT116" i="6" s="1"/>
  <c r="AP116" i="6"/>
  <c r="AO116" i="6" s="1"/>
  <c r="CJ115" i="6"/>
  <c r="CI115" i="6" s="1"/>
  <c r="IS114" i="6"/>
  <c r="UK113" i="6"/>
  <c r="UJ113" i="6" s="1"/>
  <c r="ABB112" i="6"/>
  <c r="DK112" i="6"/>
  <c r="DJ112" i="6" s="1"/>
  <c r="FJ111" i="6"/>
  <c r="FI111" i="6" s="1"/>
  <c r="VL109" i="6"/>
  <c r="VK109" i="6" s="1"/>
  <c r="DB109" i="6"/>
  <c r="DA109" i="6" s="1"/>
  <c r="GA108" i="6"/>
  <c r="FZ108" i="6" s="1"/>
  <c r="GR105" i="6"/>
  <c r="GQ105" i="6" s="1"/>
  <c r="NN103" i="6"/>
  <c r="NM103" i="6" s="1"/>
  <c r="YM98" i="6"/>
  <c r="YL98" i="6" s="1"/>
  <c r="ES98" i="6"/>
  <c r="ER98" i="6" s="1"/>
  <c r="AP96" i="6"/>
  <c r="AO96" i="6" s="1"/>
  <c r="CJ95" i="6"/>
  <c r="CI95" i="6" s="1"/>
  <c r="IS94" i="6"/>
  <c r="UK93" i="6"/>
  <c r="UJ93" i="6" s="1"/>
  <c r="ABB92" i="6"/>
  <c r="DK92" i="6"/>
  <c r="DJ92" i="6" s="1"/>
  <c r="FJ91" i="6"/>
  <c r="FI91" i="6" s="1"/>
  <c r="VL89" i="6"/>
  <c r="VK89" i="6" s="1"/>
  <c r="DB89" i="6"/>
  <c r="DA89" i="6" s="1"/>
  <c r="GA88" i="6"/>
  <c r="FZ88" i="6" s="1"/>
  <c r="XQ85" i="6"/>
  <c r="XP85" i="6" s="1"/>
  <c r="YB115" i="6"/>
  <c r="YA115" i="6" s="1"/>
  <c r="YY112" i="6"/>
  <c r="AE109" i="6"/>
  <c r="ACW105" i="6"/>
  <c r="WA102" i="6"/>
  <c r="VZ102" i="6" s="1"/>
  <c r="YB99" i="6"/>
  <c r="YA99" i="6" s="1"/>
  <c r="YY96" i="6"/>
  <c r="AE93" i="6"/>
  <c r="ACW89" i="6"/>
  <c r="WA86" i="6"/>
  <c r="VZ86" i="6" s="1"/>
  <c r="YB83" i="6"/>
  <c r="YA83" i="6" s="1"/>
  <c r="YY80" i="6"/>
  <c r="AE77" i="6"/>
  <c r="VL116" i="6"/>
  <c r="VK116" i="6" s="1"/>
  <c r="DB116" i="6"/>
  <c r="DA116" i="6" s="1"/>
  <c r="GA115" i="6"/>
  <c r="FZ115" i="6" s="1"/>
  <c r="IA114" i="6"/>
  <c r="MW113" i="6"/>
  <c r="XQ112" i="6"/>
  <c r="XP112" i="6" s="1"/>
  <c r="EB112" i="6"/>
  <c r="EA112" i="6" s="1"/>
  <c r="LM111" i="6"/>
  <c r="KU110" i="6"/>
  <c r="PP109" i="6"/>
  <c r="GR108" i="6"/>
  <c r="GQ108" i="6" s="1"/>
  <c r="OF107" i="6"/>
  <c r="NN106" i="6"/>
  <c r="NM106" i="6" s="1"/>
  <c r="SJ105" i="6"/>
  <c r="JK104" i="6"/>
  <c r="QZ103" i="6"/>
  <c r="QH102" i="6"/>
  <c r="YM101" i="6"/>
  <c r="YL101" i="6" s="1"/>
  <c r="CS101" i="6"/>
  <c r="CR101" i="6" s="1"/>
  <c r="ME100" i="6"/>
  <c r="TT99" i="6"/>
  <c r="TB98" i="6"/>
  <c r="ZP97" i="6"/>
  <c r="ZO97" i="6" s="1"/>
  <c r="ES97" i="6"/>
  <c r="ER97" i="6" s="1"/>
  <c r="OX96" i="6"/>
  <c r="HI93" i="6"/>
  <c r="HH93" i="6" s="1"/>
  <c r="RR92" i="6"/>
  <c r="WU91" i="6"/>
  <c r="WT91" i="6" s="1"/>
  <c r="AP91" i="6"/>
  <c r="AO91" i="6" s="1"/>
  <c r="CJ90" i="6"/>
  <c r="CI90" i="6" s="1"/>
  <c r="IS89" i="6"/>
  <c r="UK88" i="6"/>
  <c r="UJ88" i="6" s="1"/>
  <c r="ABB87" i="6"/>
  <c r="DK87" i="6"/>
  <c r="DJ87" i="6" s="1"/>
  <c r="FJ86" i="6"/>
  <c r="FI86" i="6" s="1"/>
  <c r="KC85" i="6"/>
  <c r="VL84" i="6"/>
  <c r="VK84" i="6" s="1"/>
  <c r="DB84" i="6"/>
  <c r="DA84" i="6" s="1"/>
  <c r="GA83" i="6"/>
  <c r="FZ83" i="6" s="1"/>
  <c r="IA82" i="6"/>
  <c r="WJ116" i="6"/>
  <c r="WI116" i="6" s="1"/>
  <c r="BQ113" i="6"/>
  <c r="BP113" i="6" s="1"/>
  <c r="XF109" i="6"/>
  <c r="XE109" i="6" s="1"/>
  <c r="ABS103" i="6"/>
  <c r="ABR103" i="6" s="1"/>
  <c r="WJ100" i="6"/>
  <c r="WI100" i="6" s="1"/>
  <c r="BQ97" i="6"/>
  <c r="BP97" i="6" s="1"/>
  <c r="XF93" i="6"/>
  <c r="XE93" i="6" s="1"/>
  <c r="ABS87" i="6"/>
  <c r="ABR87" i="6" s="1"/>
  <c r="WJ84" i="6"/>
  <c r="WI84" i="6" s="1"/>
  <c r="BQ81" i="6"/>
  <c r="BP81" i="6" s="1"/>
  <c r="XF77" i="6"/>
  <c r="XE77" i="6" s="1"/>
  <c r="ZP116" i="6"/>
  <c r="ZO116" i="6" s="1"/>
  <c r="ES116" i="6"/>
  <c r="ER116" i="6" s="1"/>
  <c r="OX115" i="6"/>
  <c r="HI112" i="6"/>
  <c r="HH112" i="6" s="1"/>
  <c r="RR111" i="6"/>
  <c r="WU110" i="6"/>
  <c r="WT110" i="6" s="1"/>
  <c r="AP110" i="6"/>
  <c r="AO110" i="6" s="1"/>
  <c r="CJ109" i="6"/>
  <c r="CI109" i="6" s="1"/>
  <c r="IS108" i="6"/>
  <c r="UK107" i="6"/>
  <c r="UJ107" i="6" s="1"/>
  <c r="ABB106" i="6"/>
  <c r="DK106" i="6"/>
  <c r="DJ106" i="6" s="1"/>
  <c r="FJ105" i="6"/>
  <c r="FI105" i="6" s="1"/>
  <c r="KC104" i="6"/>
  <c r="XQ103" i="6"/>
  <c r="XP103" i="6" s="1"/>
  <c r="EB103" i="6"/>
  <c r="EA103" i="6" s="1"/>
  <c r="LM102" i="6"/>
  <c r="KU101" i="6"/>
  <c r="PP100" i="6"/>
  <c r="GR99" i="6"/>
  <c r="GQ99" i="6" s="1"/>
  <c r="OF98" i="6"/>
  <c r="NN97" i="6"/>
  <c r="NM97" i="6" s="1"/>
  <c r="SJ96" i="6"/>
  <c r="JK95" i="6"/>
  <c r="QZ94" i="6"/>
  <c r="TB93" i="6"/>
  <c r="ZP92" i="6"/>
  <c r="ZO92" i="6" s="1"/>
  <c r="ES92" i="6"/>
  <c r="ER92" i="6" s="1"/>
  <c r="OX91" i="6"/>
  <c r="HI88" i="6"/>
  <c r="HH88" i="6" s="1"/>
  <c r="RR87" i="6"/>
  <c r="WU86" i="6"/>
  <c r="WT86" i="6" s="1"/>
  <c r="AP86" i="6"/>
  <c r="AO86" i="6" s="1"/>
  <c r="CJ85" i="6"/>
  <c r="CI85" i="6" s="1"/>
  <c r="IS84" i="6"/>
  <c r="UK83" i="6"/>
  <c r="UJ83" i="6" s="1"/>
  <c r="ABB82" i="6"/>
  <c r="DK82" i="6"/>
  <c r="DJ82" i="6" s="1"/>
  <c r="FJ81" i="6"/>
  <c r="FI81" i="6" s="1"/>
  <c r="JK82" i="6"/>
  <c r="QZ81" i="6"/>
  <c r="QH80" i="6"/>
  <c r="YM79" i="6"/>
  <c r="YL79" i="6" s="1"/>
  <c r="CS79" i="6"/>
  <c r="CR79" i="6" s="1"/>
  <c r="ME78" i="6"/>
  <c r="TT77" i="6"/>
  <c r="TB76" i="6"/>
  <c r="ZP75" i="6"/>
  <c r="ZO75" i="6" s="1"/>
  <c r="ES75" i="6"/>
  <c r="ER75" i="6" s="1"/>
  <c r="OX74" i="6"/>
  <c r="HI71" i="6"/>
  <c r="HH71" i="6" s="1"/>
  <c r="RR70" i="6"/>
  <c r="WU69" i="6"/>
  <c r="WT69" i="6" s="1"/>
  <c r="AP69" i="6"/>
  <c r="AO69" i="6" s="1"/>
  <c r="CJ68" i="6"/>
  <c r="CI68" i="6" s="1"/>
  <c r="IS67" i="6"/>
  <c r="UK66" i="6"/>
  <c r="UJ66" i="6" s="1"/>
  <c r="ABB65" i="6"/>
  <c r="DK65" i="6"/>
  <c r="DJ65" i="6" s="1"/>
  <c r="FJ64" i="6"/>
  <c r="FI64" i="6" s="1"/>
  <c r="KC63" i="6"/>
  <c r="VL62" i="6"/>
  <c r="VK62" i="6" s="1"/>
  <c r="DB62" i="6"/>
  <c r="DA62" i="6" s="1"/>
  <c r="GA61" i="6"/>
  <c r="FZ61" i="6" s="1"/>
  <c r="IA60" i="6"/>
  <c r="MW59" i="6"/>
  <c r="GR58" i="6"/>
  <c r="GQ58" i="6" s="1"/>
  <c r="OF57" i="6"/>
  <c r="NN56" i="6"/>
  <c r="NM56" i="6" s="1"/>
  <c r="SJ55" i="6"/>
  <c r="JK54" i="6"/>
  <c r="QZ53" i="6"/>
  <c r="QH52" i="6"/>
  <c r="YM51" i="6"/>
  <c r="YL51" i="6" s="1"/>
  <c r="CS51" i="6"/>
  <c r="CR51" i="6" s="1"/>
  <c r="ME50" i="6"/>
  <c r="TT49" i="6"/>
  <c r="TB48" i="6"/>
  <c r="ZP47" i="6"/>
  <c r="ZO47" i="6" s="1"/>
  <c r="ES47" i="6"/>
  <c r="ER47" i="6" s="1"/>
  <c r="OX46" i="6"/>
  <c r="HI43" i="6"/>
  <c r="HH43" i="6" s="1"/>
  <c r="RR42" i="6"/>
  <c r="WU41" i="6"/>
  <c r="WT41" i="6" s="1"/>
  <c r="AP41" i="6"/>
  <c r="AO41" i="6" s="1"/>
  <c r="CJ40" i="6"/>
  <c r="CI40" i="6" s="1"/>
  <c r="IS39" i="6"/>
  <c r="VL38" i="6"/>
  <c r="VK38" i="6" s="1"/>
  <c r="DB38" i="6"/>
  <c r="DA38" i="6" s="1"/>
  <c r="KU36" i="6"/>
  <c r="PP35" i="6"/>
  <c r="GR34" i="6"/>
  <c r="GQ34" i="6" s="1"/>
  <c r="QZ33" i="6"/>
  <c r="TB32" i="6"/>
  <c r="ZP31" i="6"/>
  <c r="ZO31" i="6" s="1"/>
  <c r="ES31" i="6"/>
  <c r="ER31" i="6" s="1"/>
  <c r="OX30" i="6"/>
  <c r="OF29" i="6"/>
  <c r="KC27" i="6"/>
  <c r="JK26" i="6"/>
  <c r="FJ24" i="6"/>
  <c r="FI24" i="6" s="1"/>
  <c r="AP21" i="6"/>
  <c r="AO21" i="6" s="1"/>
  <c r="OF19" i="6"/>
  <c r="ES17" i="6"/>
  <c r="ER17" i="6" s="1"/>
  <c r="TT15" i="6"/>
  <c r="KU14" i="6"/>
  <c r="VL12" i="6"/>
  <c r="VK12" i="6" s="1"/>
  <c r="QH6" i="6"/>
  <c r="BQ75" i="6"/>
  <c r="BP75" i="6" s="1"/>
  <c r="XF71" i="6"/>
  <c r="XE71" i="6" s="1"/>
  <c r="ABS65" i="6"/>
  <c r="ABR65" i="6" s="1"/>
  <c r="WJ62" i="6"/>
  <c r="WI62" i="6" s="1"/>
  <c r="BQ59" i="6"/>
  <c r="BP59" i="6" s="1"/>
  <c r="XF55" i="6"/>
  <c r="XE55" i="6" s="1"/>
  <c r="ABS49" i="6"/>
  <c r="ABR49" i="6" s="1"/>
  <c r="WJ46" i="6"/>
  <c r="WI46" i="6" s="1"/>
  <c r="BQ43" i="6"/>
  <c r="BP43" i="6" s="1"/>
  <c r="XF39" i="6"/>
  <c r="XE39" i="6" s="1"/>
  <c r="YY33" i="6"/>
  <c r="AE30" i="6"/>
  <c r="ACW26" i="6"/>
  <c r="WA23" i="6"/>
  <c r="VZ23" i="6" s="1"/>
  <c r="YB20" i="6"/>
  <c r="YA20" i="6" s="1"/>
  <c r="ACW16" i="6"/>
  <c r="WA13" i="6"/>
  <c r="VZ13" i="6" s="1"/>
  <c r="YB10" i="6"/>
  <c r="YA10" i="6" s="1"/>
  <c r="YY7" i="6"/>
  <c r="OF28" i="6"/>
  <c r="MW26" i="6"/>
  <c r="WU24" i="6"/>
  <c r="WT24" i="6" s="1"/>
  <c r="YM22" i="6"/>
  <c r="YL22" i="6" s="1"/>
  <c r="JK21" i="6"/>
  <c r="OF18" i="6"/>
  <c r="SJ16" i="6"/>
  <c r="ME15" i="6"/>
  <c r="NN13" i="6"/>
  <c r="NM13" i="6" s="1"/>
  <c r="QZ10" i="6"/>
  <c r="CS8" i="6"/>
  <c r="CR8" i="6" s="1"/>
  <c r="HI82" i="6"/>
  <c r="HH82" i="6" s="1"/>
  <c r="WU80" i="6"/>
  <c r="WT80" i="6" s="1"/>
  <c r="DK80" i="6"/>
  <c r="DJ80" i="6" s="1"/>
  <c r="FJ79" i="6"/>
  <c r="FI79" i="6" s="1"/>
  <c r="KC78" i="6"/>
  <c r="VL77" i="6"/>
  <c r="VK77" i="6" s="1"/>
  <c r="DB77" i="6"/>
  <c r="DA77" i="6" s="1"/>
  <c r="GA76" i="6"/>
  <c r="FZ76" i="6" s="1"/>
  <c r="IA75" i="6"/>
  <c r="MW74" i="6"/>
  <c r="XQ73" i="6"/>
  <c r="XP73" i="6" s="1"/>
  <c r="EB73" i="6"/>
  <c r="EA73" i="6" s="1"/>
  <c r="LM72" i="6"/>
  <c r="KU71" i="6"/>
  <c r="PP70" i="6"/>
  <c r="GR69" i="6"/>
  <c r="GQ69" i="6" s="1"/>
  <c r="NN67" i="6"/>
  <c r="NM67" i="6" s="1"/>
  <c r="SJ66" i="6"/>
  <c r="JK65" i="6"/>
  <c r="QZ64" i="6"/>
  <c r="QH63" i="6"/>
  <c r="YM62" i="6"/>
  <c r="YL62" i="6" s="1"/>
  <c r="CS62" i="6"/>
  <c r="CR62" i="6" s="1"/>
  <c r="ME61" i="6"/>
  <c r="TT60" i="6"/>
  <c r="HI58" i="6"/>
  <c r="HH58" i="6" s="1"/>
  <c r="UK57" i="6"/>
  <c r="UJ57" i="6" s="1"/>
  <c r="ABB56" i="6"/>
  <c r="DK56" i="6"/>
  <c r="DJ56" i="6" s="1"/>
  <c r="FJ55" i="6"/>
  <c r="FI55" i="6" s="1"/>
  <c r="KC54" i="6"/>
  <c r="VL53" i="6"/>
  <c r="VK53" i="6" s="1"/>
  <c r="DB53" i="6"/>
  <c r="DA53" i="6" s="1"/>
  <c r="GA52" i="6"/>
  <c r="FZ52" i="6" s="1"/>
  <c r="MW50" i="6"/>
  <c r="XQ49" i="6"/>
  <c r="XP49" i="6" s="1"/>
  <c r="EB49" i="6"/>
  <c r="EA49" i="6" s="1"/>
  <c r="LM48" i="6"/>
  <c r="NN47" i="6"/>
  <c r="NM47" i="6" s="1"/>
  <c r="SJ46" i="6"/>
  <c r="JK45" i="6"/>
  <c r="QZ44" i="6"/>
  <c r="QH43" i="6"/>
  <c r="YM42" i="6"/>
  <c r="YL42" i="6" s="1"/>
  <c r="CS42" i="6"/>
  <c r="CR42" i="6" s="1"/>
  <c r="ME41" i="6"/>
  <c r="TT40" i="6"/>
  <c r="TB39" i="6"/>
  <c r="ZP38" i="6"/>
  <c r="ZO38" i="6" s="1"/>
  <c r="ES38" i="6"/>
  <c r="ER38" i="6" s="1"/>
  <c r="OX37" i="6"/>
  <c r="HI34" i="6"/>
  <c r="HH34" i="6" s="1"/>
  <c r="RR33" i="6"/>
  <c r="WU32" i="6"/>
  <c r="WT32" i="6" s="1"/>
  <c r="AP32" i="6"/>
  <c r="AO32" i="6" s="1"/>
  <c r="CJ31" i="6"/>
  <c r="CI31" i="6" s="1"/>
  <c r="IS30" i="6"/>
  <c r="GR29" i="6"/>
  <c r="GQ29" i="6" s="1"/>
  <c r="AP28" i="6"/>
  <c r="AO28" i="6" s="1"/>
  <c r="KC26" i="6"/>
  <c r="GR25" i="6"/>
  <c r="GQ25" i="6" s="1"/>
  <c r="TB23" i="6"/>
  <c r="IS22" i="6"/>
  <c r="DB21" i="6"/>
  <c r="DA21" i="6" s="1"/>
  <c r="RR19" i="6"/>
  <c r="TT14" i="6"/>
  <c r="CJ13" i="6"/>
  <c r="CI13" i="6" s="1"/>
  <c r="CS12" i="6"/>
  <c r="CR12" i="6" s="1"/>
  <c r="LM10" i="6"/>
  <c r="YM8" i="6"/>
  <c r="YL8" i="6" s="1"/>
  <c r="WA74" i="6"/>
  <c r="VZ74" i="6" s="1"/>
  <c r="YB71" i="6"/>
  <c r="YA71" i="6" s="1"/>
  <c r="YY68" i="6"/>
  <c r="AE65" i="6"/>
  <c r="ACW61" i="6"/>
  <c r="WA58" i="6"/>
  <c r="VZ58" i="6" s="1"/>
  <c r="YB55" i="6"/>
  <c r="YA55" i="6" s="1"/>
  <c r="YY52" i="6"/>
  <c r="AE49" i="6"/>
  <c r="ACW45" i="6"/>
  <c r="WA42" i="6"/>
  <c r="VZ42" i="6" s="1"/>
  <c r="YB39" i="6"/>
  <c r="YA39" i="6" s="1"/>
  <c r="YY36" i="6"/>
  <c r="AE33" i="6"/>
  <c r="ACW29" i="6"/>
  <c r="WA26" i="6"/>
  <c r="VZ26" i="6" s="1"/>
  <c r="YB23" i="6"/>
  <c r="YA23" i="6" s="1"/>
  <c r="YY20" i="6"/>
  <c r="YB17" i="6"/>
  <c r="YA17" i="6" s="1"/>
  <c r="YY14" i="6"/>
  <c r="AE11" i="6"/>
  <c r="ACW7" i="6"/>
  <c r="HI6" i="6"/>
  <c r="HH6" i="6" s="1"/>
  <c r="QZ23" i="6"/>
  <c r="ES21" i="6"/>
  <c r="ER21" i="6" s="1"/>
  <c r="ZP19" i="6"/>
  <c r="ZO19" i="6" s="1"/>
  <c r="VL18" i="6"/>
  <c r="VK18" i="6" s="1"/>
  <c r="AP17" i="6"/>
  <c r="AO17" i="6" s="1"/>
  <c r="KC15" i="6"/>
  <c r="OF13" i="6"/>
  <c r="KC11" i="6"/>
  <c r="DK9" i="6"/>
  <c r="DJ9" i="6" s="1"/>
  <c r="EB117" i="6"/>
  <c r="EA117" i="6" s="1"/>
  <c r="RR8" i="6"/>
  <c r="PP81" i="6"/>
  <c r="GR80" i="6"/>
  <c r="GQ80" i="6" s="1"/>
  <c r="OF79" i="6"/>
  <c r="NN78" i="6"/>
  <c r="NM78" i="6" s="1"/>
  <c r="SJ77" i="6"/>
  <c r="JK76" i="6"/>
  <c r="QZ75" i="6"/>
  <c r="QH74" i="6"/>
  <c r="YM73" i="6"/>
  <c r="YL73" i="6" s="1"/>
  <c r="CS73" i="6"/>
  <c r="CR73" i="6" s="1"/>
  <c r="ME72" i="6"/>
  <c r="TT71" i="6"/>
  <c r="TB70" i="6"/>
  <c r="ZP69" i="6"/>
  <c r="ZO69" i="6" s="1"/>
  <c r="RR68" i="6"/>
  <c r="WU67" i="6"/>
  <c r="WT67" i="6" s="1"/>
  <c r="AP67" i="6"/>
  <c r="AO67" i="6" s="1"/>
  <c r="CJ66" i="6"/>
  <c r="CI66" i="6" s="1"/>
  <c r="IS65" i="6"/>
  <c r="UK64" i="6"/>
  <c r="UJ64" i="6" s="1"/>
  <c r="ABB63" i="6"/>
  <c r="GA63" i="6"/>
  <c r="FZ63" i="6" s="1"/>
  <c r="IA62" i="6"/>
  <c r="MW61" i="6"/>
  <c r="XQ60" i="6"/>
  <c r="XP60" i="6" s="1"/>
  <c r="EB60" i="6"/>
  <c r="EA60" i="6" s="1"/>
  <c r="LM59" i="6"/>
  <c r="KU58" i="6"/>
  <c r="PP57" i="6"/>
  <c r="GR56" i="6"/>
  <c r="GQ56" i="6" s="1"/>
  <c r="OF55" i="6"/>
  <c r="NN54" i="6"/>
  <c r="NM54" i="6" s="1"/>
  <c r="SJ53" i="6"/>
  <c r="JK52" i="6"/>
  <c r="QZ51" i="6"/>
  <c r="QH50" i="6"/>
  <c r="YM49" i="6"/>
  <c r="YL49" i="6" s="1"/>
  <c r="CS49" i="6"/>
  <c r="CR49" i="6" s="1"/>
  <c r="ME48" i="6"/>
  <c r="TT47" i="6"/>
  <c r="TB46" i="6"/>
  <c r="ZP45" i="6"/>
  <c r="ZO45" i="6" s="1"/>
  <c r="ES45" i="6"/>
  <c r="ER45" i="6" s="1"/>
  <c r="OX44" i="6"/>
  <c r="HI41" i="6"/>
  <c r="HH41" i="6" s="1"/>
  <c r="UK40" i="6"/>
  <c r="UJ40" i="6" s="1"/>
  <c r="ABB39" i="6"/>
  <c r="DK39" i="6"/>
  <c r="DJ39" i="6" s="1"/>
  <c r="FJ38" i="6"/>
  <c r="FI38" i="6" s="1"/>
  <c r="KC37" i="6"/>
  <c r="VL36" i="6"/>
  <c r="VK36" i="6" s="1"/>
  <c r="DB36" i="6"/>
  <c r="DA36" i="6" s="1"/>
  <c r="GA35" i="6"/>
  <c r="FZ35" i="6" s="1"/>
  <c r="IA34" i="6"/>
  <c r="MW33" i="6"/>
  <c r="XQ32" i="6"/>
  <c r="XP32" i="6" s="1"/>
  <c r="EB32" i="6"/>
  <c r="EA32" i="6" s="1"/>
  <c r="LM31" i="6"/>
  <c r="KU30" i="6"/>
  <c r="PP29" i="6"/>
  <c r="GR28" i="6"/>
  <c r="GQ28" i="6" s="1"/>
  <c r="OF27" i="6"/>
  <c r="NN26" i="6"/>
  <c r="NM26" i="6" s="1"/>
  <c r="SJ25" i="6"/>
  <c r="DB24" i="6"/>
  <c r="DA24" i="6" s="1"/>
  <c r="MW21" i="6"/>
  <c r="DB20" i="6"/>
  <c r="DA20" i="6" s="1"/>
  <c r="GR18" i="6"/>
  <c r="GQ18" i="6" s="1"/>
  <c r="NN16" i="6"/>
  <c r="NM16" i="6" s="1"/>
  <c r="HI15" i="6"/>
  <c r="HH15" i="6" s="1"/>
  <c r="GR14" i="6"/>
  <c r="GQ14" i="6" s="1"/>
  <c r="TB12" i="6"/>
  <c r="IS11" i="6"/>
  <c r="ME10" i="6"/>
  <c r="GA9" i="6"/>
  <c r="FZ9" i="6" s="1"/>
  <c r="SJ7" i="6"/>
  <c r="DB6" i="6"/>
  <c r="DA6" i="6" s="1"/>
  <c r="JK8" i="6"/>
  <c r="YB74" i="6"/>
  <c r="YA74" i="6" s="1"/>
  <c r="YY71" i="6"/>
  <c r="AE68" i="6"/>
  <c r="ACW64" i="6"/>
  <c r="WA61" i="6"/>
  <c r="VZ61" i="6" s="1"/>
  <c r="YB58" i="6"/>
  <c r="YA58" i="6" s="1"/>
  <c r="YY55" i="6"/>
  <c r="AE52" i="6"/>
  <c r="ACW48" i="6"/>
  <c r="WA45" i="6"/>
  <c r="VZ45" i="6" s="1"/>
  <c r="YB42" i="6"/>
  <c r="YA42" i="6" s="1"/>
  <c r="YY39" i="6"/>
  <c r="AE36" i="6"/>
  <c r="ACW32" i="6"/>
  <c r="WA29" i="6"/>
  <c r="VZ29" i="6" s="1"/>
  <c r="YB26" i="6"/>
  <c r="YA26" i="6" s="1"/>
  <c r="YY23" i="6"/>
  <c r="AE20" i="6"/>
  <c r="YY17" i="6"/>
  <c r="AE14" i="6"/>
  <c r="ACW10" i="6"/>
  <c r="WA7" i="6"/>
  <c r="VZ7" i="6" s="1"/>
  <c r="PP24" i="6"/>
  <c r="OX23" i="6"/>
  <c r="SJ20" i="6"/>
  <c r="VL17" i="6"/>
  <c r="VK17" i="6" s="1"/>
  <c r="GA16" i="6"/>
  <c r="FZ16" i="6" s="1"/>
  <c r="RR13" i="6"/>
  <c r="GA12" i="6"/>
  <c r="FZ12" i="6" s="1"/>
  <c r="PP10" i="6"/>
  <c r="EB9" i="6"/>
  <c r="EA9" i="6" s="1"/>
  <c r="QH7" i="6"/>
  <c r="QZ11" i="6"/>
  <c r="TB6" i="6"/>
  <c r="IS80" i="6"/>
  <c r="UK79" i="6"/>
  <c r="UJ79" i="6" s="1"/>
  <c r="ABB78" i="6"/>
  <c r="DK78" i="6"/>
  <c r="DJ78" i="6" s="1"/>
  <c r="FJ77" i="6"/>
  <c r="FI77" i="6" s="1"/>
  <c r="KC76" i="6"/>
  <c r="VL75" i="6"/>
  <c r="VK75" i="6" s="1"/>
  <c r="DB75" i="6"/>
  <c r="DA75" i="6" s="1"/>
  <c r="GA74" i="6"/>
  <c r="FZ74" i="6" s="1"/>
  <c r="IA73" i="6"/>
  <c r="MW72" i="6"/>
  <c r="GR71" i="6"/>
  <c r="GQ71" i="6" s="1"/>
  <c r="OF70" i="6"/>
  <c r="NN69" i="6"/>
  <c r="NM69" i="6" s="1"/>
  <c r="SJ68" i="6"/>
  <c r="JK67" i="6"/>
  <c r="QZ66" i="6"/>
  <c r="QH65" i="6"/>
  <c r="YM64" i="6"/>
  <c r="YL64" i="6" s="1"/>
  <c r="CS64" i="6"/>
  <c r="CR64" i="6" s="1"/>
  <c r="ME63" i="6"/>
  <c r="TT62" i="6"/>
  <c r="TB61" i="6"/>
  <c r="ZP60" i="6"/>
  <c r="ZO60" i="6" s="1"/>
  <c r="ES60" i="6"/>
  <c r="ER60" i="6" s="1"/>
  <c r="OX59" i="6"/>
  <c r="ACJ57" i="6"/>
  <c r="ACI57" i="6" s="1"/>
  <c r="HI56" i="6"/>
  <c r="HH56" i="6" s="1"/>
  <c r="RR55" i="6"/>
  <c r="WU54" i="6"/>
  <c r="WT54" i="6" s="1"/>
  <c r="AP54" i="6"/>
  <c r="AO54" i="6" s="1"/>
  <c r="CJ53" i="6"/>
  <c r="CI53" i="6" s="1"/>
  <c r="IS52" i="6"/>
  <c r="VL51" i="6"/>
  <c r="VK51" i="6" s="1"/>
  <c r="DB51" i="6"/>
  <c r="DA51" i="6" s="1"/>
  <c r="GA50" i="6"/>
  <c r="FZ50" i="6" s="1"/>
  <c r="IA49" i="6"/>
  <c r="MW48" i="6"/>
  <c r="XQ47" i="6"/>
  <c r="XP47" i="6" s="1"/>
  <c r="EB47" i="6"/>
  <c r="EA47" i="6" s="1"/>
  <c r="LM46" i="6"/>
  <c r="KU45" i="6"/>
  <c r="PP44" i="6"/>
  <c r="GR43" i="6"/>
  <c r="GQ43" i="6" s="1"/>
  <c r="OF42" i="6"/>
  <c r="QH41" i="6"/>
  <c r="YM40" i="6"/>
  <c r="YL40" i="6" s="1"/>
  <c r="CS40" i="6"/>
  <c r="CR40" i="6" s="1"/>
  <c r="ME39" i="6"/>
  <c r="TT38" i="6"/>
  <c r="TB37" i="6"/>
  <c r="ZP36" i="6"/>
  <c r="ZO36" i="6" s="1"/>
  <c r="ES36" i="6"/>
  <c r="ER36" i="6" s="1"/>
  <c r="OX35" i="6"/>
  <c r="HI32" i="6"/>
  <c r="HH32" i="6" s="1"/>
  <c r="RR31" i="6"/>
  <c r="WU30" i="6"/>
  <c r="WT30" i="6" s="1"/>
  <c r="AP30" i="6"/>
  <c r="AO30" i="6" s="1"/>
  <c r="CJ29" i="6"/>
  <c r="CI29" i="6" s="1"/>
  <c r="IS28" i="6"/>
  <c r="UK27" i="6"/>
  <c r="UJ27" i="6" s="1"/>
  <c r="ABB26" i="6"/>
  <c r="DK26" i="6"/>
  <c r="DJ26" i="6" s="1"/>
  <c r="FJ25" i="6"/>
  <c r="FI25" i="6" s="1"/>
  <c r="ES24" i="6"/>
  <c r="ER24" i="6" s="1"/>
  <c r="QZ22" i="6"/>
  <c r="ES20" i="6"/>
  <c r="ER20" i="6" s="1"/>
  <c r="PP18" i="6"/>
  <c r="ABB16" i="6"/>
  <c r="YM14" i="6"/>
  <c r="YL14" i="6" s="1"/>
  <c r="EB13" i="6"/>
  <c r="EA13" i="6" s="1"/>
  <c r="KU11" i="6"/>
  <c r="VL9" i="6"/>
  <c r="VK9" i="6" s="1"/>
  <c r="QZ8" i="6"/>
  <c r="ZP6" i="6"/>
  <c r="ZO6" i="6" s="1"/>
  <c r="SJ9" i="6"/>
  <c r="ABS74" i="6"/>
  <c r="ABR74" i="6" s="1"/>
  <c r="WJ71" i="6"/>
  <c r="WI71" i="6" s="1"/>
  <c r="BQ68" i="6"/>
  <c r="BP68" i="6" s="1"/>
  <c r="XF64" i="6"/>
  <c r="XE64" i="6" s="1"/>
  <c r="ABS58" i="6"/>
  <c r="ABR58" i="6" s="1"/>
  <c r="WJ55" i="6"/>
  <c r="WI55" i="6" s="1"/>
  <c r="BQ52" i="6"/>
  <c r="BP52" i="6" s="1"/>
  <c r="XF48" i="6"/>
  <c r="XE48" i="6" s="1"/>
  <c r="ABS42" i="6"/>
  <c r="ABR42" i="6" s="1"/>
  <c r="WJ39" i="6"/>
  <c r="WI39" i="6" s="1"/>
  <c r="BQ36" i="6"/>
  <c r="BP36" i="6" s="1"/>
  <c r="XF32" i="6"/>
  <c r="XE32" i="6" s="1"/>
  <c r="ABS26" i="6"/>
  <c r="ABR26" i="6" s="1"/>
  <c r="WJ23" i="6"/>
  <c r="WI23" i="6" s="1"/>
  <c r="BQ20" i="6"/>
  <c r="BP20" i="6" s="1"/>
  <c r="ABS16" i="6"/>
  <c r="ABR16" i="6" s="1"/>
  <c r="WJ13" i="6"/>
  <c r="WI13" i="6" s="1"/>
  <c r="BQ10" i="6"/>
  <c r="BP10" i="6" s="1"/>
  <c r="XQ6" i="6"/>
  <c r="XP6" i="6" s="1"/>
  <c r="BQ6" i="6"/>
  <c r="BP6" i="6" s="1"/>
  <c r="TB28" i="6"/>
  <c r="MW27" i="6"/>
  <c r="QH24" i="6"/>
  <c r="CS23" i="6"/>
  <c r="CR23" i="6" s="1"/>
  <c r="QZ21" i="6"/>
  <c r="CJ20" i="6"/>
  <c r="CI20" i="6" s="1"/>
  <c r="QH18" i="6"/>
  <c r="IS17" i="6"/>
  <c r="DB16" i="6"/>
  <c r="DA16" i="6" s="1"/>
  <c r="ZP13" i="6"/>
  <c r="ZO13" i="6" s="1"/>
  <c r="UK12" i="6"/>
  <c r="UJ12" i="6" s="1"/>
  <c r="ZP9" i="6"/>
  <c r="ZO9" i="6" s="1"/>
  <c r="FJ6" i="6"/>
  <c r="FI6" i="6" s="1"/>
  <c r="ACW99" i="6"/>
  <c r="WA96" i="6"/>
  <c r="VZ96" i="6" s="1"/>
  <c r="YB93" i="6"/>
  <c r="YA93" i="6" s="1"/>
  <c r="YY90" i="6"/>
  <c r="AE87" i="6"/>
  <c r="ACW83" i="6"/>
  <c r="WA80" i="6"/>
  <c r="VZ80" i="6" s="1"/>
  <c r="YB77" i="6"/>
  <c r="YA77" i="6" s="1"/>
  <c r="FJ100" i="6"/>
  <c r="FI100" i="6" s="1"/>
  <c r="VL98" i="6"/>
  <c r="VK98" i="6" s="1"/>
  <c r="DB98" i="6"/>
  <c r="DA98" i="6" s="1"/>
  <c r="GA97" i="6"/>
  <c r="FZ97" i="6" s="1"/>
  <c r="XQ94" i="6"/>
  <c r="XP94" i="6" s="1"/>
  <c r="EB94" i="6"/>
  <c r="EA94" i="6" s="1"/>
  <c r="GR90" i="6"/>
  <c r="GQ90" i="6" s="1"/>
  <c r="NN88" i="6"/>
  <c r="NM88" i="6" s="1"/>
  <c r="YM83" i="6"/>
  <c r="YL83" i="6" s="1"/>
  <c r="CS83" i="6"/>
  <c r="CR83" i="6" s="1"/>
  <c r="XF115" i="6"/>
  <c r="XE115" i="6" s="1"/>
  <c r="ABS109" i="6"/>
  <c r="ABR109" i="6" s="1"/>
  <c r="WJ106" i="6"/>
  <c r="WI106" i="6" s="1"/>
  <c r="BQ103" i="6"/>
  <c r="BP103" i="6" s="1"/>
  <c r="XF99" i="6"/>
  <c r="XE99" i="6" s="1"/>
  <c r="ABS93" i="6"/>
  <c r="ABR93" i="6" s="1"/>
  <c r="WJ90" i="6"/>
  <c r="WI90" i="6" s="1"/>
  <c r="BQ87" i="6"/>
  <c r="BP87" i="6" s="1"/>
  <c r="XF83" i="6"/>
  <c r="XE83" i="6" s="1"/>
  <c r="ABS77" i="6"/>
  <c r="ABR77" i="6" s="1"/>
  <c r="HI114" i="6"/>
  <c r="HH114" i="6" s="1"/>
  <c r="WU112" i="6"/>
  <c r="WT112" i="6" s="1"/>
  <c r="AP112" i="6"/>
  <c r="AO112" i="6" s="1"/>
  <c r="CJ111" i="6"/>
  <c r="CI111" i="6" s="1"/>
  <c r="IS110" i="6"/>
  <c r="UK109" i="6"/>
  <c r="UJ109" i="6" s="1"/>
  <c r="ABB108" i="6"/>
  <c r="DK108" i="6"/>
  <c r="DJ108" i="6" s="1"/>
  <c r="FJ107" i="6"/>
  <c r="FI107" i="6" s="1"/>
  <c r="XQ105" i="6"/>
  <c r="XP105" i="6" s="1"/>
  <c r="EB105" i="6"/>
  <c r="EA105" i="6" s="1"/>
  <c r="GR101" i="6"/>
  <c r="GQ101" i="6" s="1"/>
  <c r="NN99" i="6"/>
  <c r="NM99" i="6" s="1"/>
  <c r="CS98" i="6"/>
  <c r="CR98" i="6" s="1"/>
  <c r="ACJ95" i="6"/>
  <c r="ACI95" i="6" s="1"/>
  <c r="HI94" i="6"/>
  <c r="HH94" i="6" s="1"/>
  <c r="WU92" i="6"/>
  <c r="WT92" i="6" s="1"/>
  <c r="AP92" i="6"/>
  <c r="AO92" i="6" s="1"/>
  <c r="CJ91" i="6"/>
  <c r="CI91" i="6" s="1"/>
  <c r="IS90" i="6"/>
  <c r="UK89" i="6"/>
  <c r="UJ89" i="6" s="1"/>
  <c r="ABB88" i="6"/>
  <c r="DK88" i="6"/>
  <c r="DJ88" i="6" s="1"/>
  <c r="FJ87" i="6"/>
  <c r="FI87" i="6" s="1"/>
  <c r="VL85" i="6"/>
  <c r="VK85" i="6" s="1"/>
  <c r="XF114" i="6"/>
  <c r="XE114" i="6" s="1"/>
  <c r="ABS108" i="6"/>
  <c r="ABR108" i="6" s="1"/>
  <c r="WJ105" i="6"/>
  <c r="WI105" i="6" s="1"/>
  <c r="BQ102" i="6"/>
  <c r="BP102" i="6" s="1"/>
  <c r="XF98" i="6"/>
  <c r="XE98" i="6" s="1"/>
  <c r="ABS92" i="6"/>
  <c r="ABR92" i="6" s="1"/>
  <c r="WJ89" i="6"/>
  <c r="WI89" i="6" s="1"/>
  <c r="BQ86" i="6"/>
  <c r="BP86" i="6" s="1"/>
  <c r="XF82" i="6"/>
  <c r="XE82" i="6" s="1"/>
  <c r="ABS76" i="6"/>
  <c r="ABR76" i="6" s="1"/>
  <c r="UK116" i="6"/>
  <c r="UJ116" i="6" s="1"/>
  <c r="ABB115" i="6"/>
  <c r="DK115" i="6"/>
  <c r="DJ115" i="6" s="1"/>
  <c r="FJ114" i="6"/>
  <c r="FI114" i="6" s="1"/>
  <c r="VL112" i="6"/>
  <c r="VK112" i="6" s="1"/>
  <c r="DB112" i="6"/>
  <c r="DA112" i="6" s="1"/>
  <c r="GA111" i="6"/>
  <c r="FZ111" i="6" s="1"/>
  <c r="XQ108" i="6"/>
  <c r="XP108" i="6" s="1"/>
  <c r="EB108" i="6"/>
  <c r="EA108" i="6" s="1"/>
  <c r="GR104" i="6"/>
  <c r="GQ104" i="6" s="1"/>
  <c r="NN102" i="6"/>
  <c r="NM102" i="6" s="1"/>
  <c r="JK100" i="6"/>
  <c r="QZ99" i="6"/>
  <c r="QH98" i="6"/>
  <c r="YM97" i="6"/>
  <c r="YL97" i="6" s="1"/>
  <c r="CS97" i="6"/>
  <c r="CR97" i="6" s="1"/>
  <c r="ME96" i="6"/>
  <c r="TT95" i="6"/>
  <c r="TB94" i="6"/>
  <c r="ZP93" i="6"/>
  <c r="ZO93" i="6" s="1"/>
  <c r="ES93" i="6"/>
  <c r="ER93" i="6" s="1"/>
  <c r="OX92" i="6"/>
  <c r="HI89" i="6"/>
  <c r="HH89" i="6" s="1"/>
  <c r="RR88" i="6"/>
  <c r="WU87" i="6"/>
  <c r="WT87" i="6" s="1"/>
  <c r="AP87" i="6"/>
  <c r="AO87" i="6" s="1"/>
  <c r="CJ86" i="6"/>
  <c r="CI86" i="6" s="1"/>
  <c r="IS85" i="6"/>
  <c r="UK84" i="6"/>
  <c r="UJ84" i="6" s="1"/>
  <c r="ABB83" i="6"/>
  <c r="DK83" i="6"/>
  <c r="DJ83" i="6" s="1"/>
  <c r="FJ82" i="6"/>
  <c r="FI82" i="6" s="1"/>
  <c r="AE116" i="6"/>
  <c r="ACW112" i="6"/>
  <c r="WA109" i="6"/>
  <c r="VZ109" i="6" s="1"/>
  <c r="YB106" i="6"/>
  <c r="YA106" i="6" s="1"/>
  <c r="YY103" i="6"/>
  <c r="AE100" i="6"/>
  <c r="ACW96" i="6"/>
  <c r="WA93" i="6"/>
  <c r="VZ93" i="6" s="1"/>
  <c r="YB90" i="6"/>
  <c r="YA90" i="6" s="1"/>
  <c r="YY87" i="6"/>
  <c r="AE84" i="6"/>
  <c r="ACW80" i="6"/>
  <c r="WA77" i="6"/>
  <c r="VZ77" i="6" s="1"/>
  <c r="YM116" i="6"/>
  <c r="YL116" i="6" s="1"/>
  <c r="CS116" i="6"/>
  <c r="CR116" i="6" s="1"/>
  <c r="ME115" i="6"/>
  <c r="TT114" i="6"/>
  <c r="TB113" i="6"/>
  <c r="ZP112" i="6"/>
  <c r="ZO112" i="6" s="1"/>
  <c r="ES112" i="6"/>
  <c r="ER112" i="6" s="1"/>
  <c r="OX111" i="6"/>
  <c r="HI108" i="6"/>
  <c r="HH108" i="6" s="1"/>
  <c r="RR107" i="6"/>
  <c r="WU106" i="6"/>
  <c r="WT106" i="6" s="1"/>
  <c r="AP106" i="6"/>
  <c r="AO106" i="6" s="1"/>
  <c r="CJ105" i="6"/>
  <c r="CI105" i="6" s="1"/>
  <c r="IS104" i="6"/>
  <c r="VL103" i="6"/>
  <c r="VK103" i="6" s="1"/>
  <c r="DB103" i="6"/>
  <c r="DA103" i="6" s="1"/>
  <c r="GA102" i="6"/>
  <c r="FZ102" i="6" s="1"/>
  <c r="IA101" i="6"/>
  <c r="MW100" i="6"/>
  <c r="XQ99" i="6"/>
  <c r="XP99" i="6" s="1"/>
  <c r="EB99" i="6"/>
  <c r="EA99" i="6" s="1"/>
  <c r="LM98" i="6"/>
  <c r="KU97" i="6"/>
  <c r="PP96" i="6"/>
  <c r="GR95" i="6"/>
  <c r="GQ95" i="6" s="1"/>
  <c r="OF94" i="6"/>
  <c r="QH93" i="6"/>
  <c r="YM92" i="6"/>
  <c r="YL92" i="6" s="1"/>
  <c r="CS92" i="6"/>
  <c r="CR92" i="6" s="1"/>
  <c r="ME91" i="6"/>
  <c r="TT90" i="6"/>
  <c r="TB89" i="6"/>
  <c r="ZP88" i="6"/>
  <c r="ZO88" i="6" s="1"/>
  <c r="ES88" i="6"/>
  <c r="ER88" i="6" s="1"/>
  <c r="OX87" i="6"/>
  <c r="HI84" i="6"/>
  <c r="HH84" i="6" s="1"/>
  <c r="RR83" i="6"/>
  <c r="WU82" i="6"/>
  <c r="WT82" i="6" s="1"/>
  <c r="AP82" i="6"/>
  <c r="AO82" i="6" s="1"/>
  <c r="CJ81" i="6"/>
  <c r="CI81" i="6" s="1"/>
  <c r="GR82" i="6"/>
  <c r="GQ82" i="6" s="1"/>
  <c r="OF81" i="6"/>
  <c r="NN80" i="6"/>
  <c r="NM80" i="6" s="1"/>
  <c r="SJ79" i="6"/>
  <c r="JK78" i="6"/>
  <c r="QZ77" i="6"/>
  <c r="QH76" i="6"/>
  <c r="YM75" i="6"/>
  <c r="YL75" i="6" s="1"/>
  <c r="CS75" i="6"/>
  <c r="CR75" i="6" s="1"/>
  <c r="ME74" i="6"/>
  <c r="TT73" i="6"/>
  <c r="TB72" i="6"/>
  <c r="ZP71" i="6"/>
  <c r="ZO71" i="6" s="1"/>
  <c r="ES71" i="6"/>
  <c r="ER71" i="6" s="1"/>
  <c r="OX70" i="6"/>
  <c r="HI67" i="6"/>
  <c r="HH67" i="6" s="1"/>
  <c r="RR66" i="6"/>
  <c r="WU65" i="6"/>
  <c r="WT65" i="6" s="1"/>
  <c r="AP65" i="6"/>
  <c r="AO65" i="6" s="1"/>
  <c r="CJ64" i="6"/>
  <c r="CI64" i="6" s="1"/>
  <c r="IS63" i="6"/>
  <c r="UK62" i="6"/>
  <c r="UJ62" i="6" s="1"/>
  <c r="ABB61" i="6"/>
  <c r="DK61" i="6"/>
  <c r="DJ61" i="6" s="1"/>
  <c r="FJ60" i="6"/>
  <c r="FI60" i="6" s="1"/>
  <c r="KC59" i="6"/>
  <c r="XQ58" i="6"/>
  <c r="XP58" i="6" s="1"/>
  <c r="EB58" i="6"/>
  <c r="EA58" i="6" s="1"/>
  <c r="LM57" i="6"/>
  <c r="KU56" i="6"/>
  <c r="PP55" i="6"/>
  <c r="GR54" i="6"/>
  <c r="GQ54" i="6" s="1"/>
  <c r="OF53" i="6"/>
  <c r="NN52" i="6"/>
  <c r="NM52" i="6" s="1"/>
  <c r="SJ51" i="6"/>
  <c r="JK50" i="6"/>
  <c r="QZ49" i="6"/>
  <c r="QH48" i="6"/>
  <c r="YM47" i="6"/>
  <c r="YL47" i="6" s="1"/>
  <c r="CS47" i="6"/>
  <c r="CR47" i="6" s="1"/>
  <c r="ME46" i="6"/>
  <c r="TT45" i="6"/>
  <c r="TB44" i="6"/>
  <c r="ZP43" i="6"/>
  <c r="ZO43" i="6" s="1"/>
  <c r="ES43" i="6"/>
  <c r="ER43" i="6" s="1"/>
  <c r="HI39" i="6"/>
  <c r="HH39" i="6" s="1"/>
  <c r="UK38" i="6"/>
  <c r="UJ38" i="6" s="1"/>
  <c r="ABB37" i="6"/>
  <c r="GA37" i="6"/>
  <c r="FZ37" i="6" s="1"/>
  <c r="IA36" i="6"/>
  <c r="MW35" i="6"/>
  <c r="XQ34" i="6"/>
  <c r="XP34" i="6" s="1"/>
  <c r="EB34" i="6"/>
  <c r="EA34" i="6" s="1"/>
  <c r="OF33" i="6"/>
  <c r="QH32" i="6"/>
  <c r="YM31" i="6"/>
  <c r="YL31" i="6" s="1"/>
  <c r="CS31" i="6"/>
  <c r="CR31" i="6" s="1"/>
  <c r="ME30" i="6"/>
  <c r="LM29" i="6"/>
  <c r="ES27" i="6"/>
  <c r="ER27" i="6" s="1"/>
  <c r="GR26" i="6"/>
  <c r="GQ26" i="6" s="1"/>
  <c r="YM23" i="6"/>
  <c r="YL23" i="6" s="1"/>
  <c r="UK22" i="6"/>
  <c r="UJ22" i="6" s="1"/>
  <c r="LM19" i="6"/>
  <c r="CS17" i="6"/>
  <c r="CR17" i="6" s="1"/>
  <c r="QZ15" i="6"/>
  <c r="IA14" i="6"/>
  <c r="JK12" i="6"/>
  <c r="QH117" i="6"/>
  <c r="ACW74" i="6"/>
  <c r="WA71" i="6"/>
  <c r="VZ71" i="6" s="1"/>
  <c r="YB68" i="6"/>
  <c r="YA68" i="6" s="1"/>
  <c r="YY65" i="6"/>
  <c r="AE62" i="6"/>
  <c r="ACW58" i="6"/>
  <c r="WA55" i="6"/>
  <c r="VZ55" i="6" s="1"/>
  <c r="YB52" i="6"/>
  <c r="YA52" i="6" s="1"/>
  <c r="YY49" i="6"/>
  <c r="AE46" i="6"/>
  <c r="ACW42" i="6"/>
  <c r="WA39" i="6"/>
  <c r="VZ39" i="6" s="1"/>
  <c r="YB36" i="6"/>
  <c r="YA36" i="6" s="1"/>
  <c r="ABS29" i="6"/>
  <c r="ABR29" i="6" s="1"/>
  <c r="WJ26" i="6"/>
  <c r="WI26" i="6" s="1"/>
  <c r="BQ23" i="6"/>
  <c r="BP23" i="6" s="1"/>
  <c r="ABS19" i="6"/>
  <c r="ABR19" i="6" s="1"/>
  <c r="WJ16" i="6"/>
  <c r="WI16" i="6" s="1"/>
  <c r="BQ13" i="6"/>
  <c r="BP13" i="6" s="1"/>
  <c r="XF9" i="6"/>
  <c r="XE9" i="6" s="1"/>
  <c r="XQ29" i="6"/>
  <c r="XP29" i="6" s="1"/>
  <c r="DK28" i="6"/>
  <c r="DJ28" i="6" s="1"/>
  <c r="IS26" i="6"/>
  <c r="TT24" i="6"/>
  <c r="PP22" i="6"/>
  <c r="EB21" i="6"/>
  <c r="EA21" i="6" s="1"/>
  <c r="UK19" i="6"/>
  <c r="UJ19" i="6" s="1"/>
  <c r="GA18" i="6"/>
  <c r="FZ18" i="6" s="1"/>
  <c r="PP16" i="6"/>
  <c r="GR15" i="6"/>
  <c r="GQ15" i="6" s="1"/>
  <c r="IA13" i="6"/>
  <c r="XQ11" i="6"/>
  <c r="XP11" i="6" s="1"/>
  <c r="OF10" i="6"/>
  <c r="ME85" i="6"/>
  <c r="TT84" i="6"/>
  <c r="TB83" i="6"/>
  <c r="ZP82" i="6"/>
  <c r="ZO82" i="6" s="1"/>
  <c r="ES82" i="6"/>
  <c r="ER82" i="6" s="1"/>
  <c r="OX81" i="6"/>
  <c r="AP80" i="6"/>
  <c r="AO80" i="6" s="1"/>
  <c r="CJ79" i="6"/>
  <c r="CI79" i="6" s="1"/>
  <c r="IS78" i="6"/>
  <c r="UK77" i="6"/>
  <c r="UJ77" i="6" s="1"/>
  <c r="ABB76" i="6"/>
  <c r="DK76" i="6"/>
  <c r="DJ76" i="6" s="1"/>
  <c r="FJ75" i="6"/>
  <c r="FI75" i="6" s="1"/>
  <c r="KC74" i="6"/>
  <c r="VL73" i="6"/>
  <c r="VK73" i="6" s="1"/>
  <c r="DB73" i="6"/>
  <c r="DA73" i="6" s="1"/>
  <c r="GA72" i="6"/>
  <c r="FZ72" i="6" s="1"/>
  <c r="IA71" i="6"/>
  <c r="MW70" i="6"/>
  <c r="XQ69" i="6"/>
  <c r="XP69" i="6" s="1"/>
  <c r="EB69" i="6"/>
  <c r="EA69" i="6" s="1"/>
  <c r="LM68" i="6"/>
  <c r="KU67" i="6"/>
  <c r="PP66" i="6"/>
  <c r="GR65" i="6"/>
  <c r="GQ65" i="6" s="1"/>
  <c r="OF64" i="6"/>
  <c r="NN63" i="6"/>
  <c r="NM63" i="6" s="1"/>
  <c r="SJ62" i="6"/>
  <c r="JK61" i="6"/>
  <c r="QZ60" i="6"/>
  <c r="TB59" i="6"/>
  <c r="ZP58" i="6"/>
  <c r="ZO58" i="6" s="1"/>
  <c r="RR57" i="6"/>
  <c r="WU56" i="6"/>
  <c r="WT56" i="6" s="1"/>
  <c r="AP56" i="6"/>
  <c r="AO56" i="6" s="1"/>
  <c r="CJ55" i="6"/>
  <c r="CI55" i="6" s="1"/>
  <c r="IS54" i="6"/>
  <c r="UK53" i="6"/>
  <c r="UJ53" i="6" s="1"/>
  <c r="ABB52" i="6"/>
  <c r="DK52" i="6"/>
  <c r="DJ52" i="6" s="1"/>
  <c r="FJ51" i="6"/>
  <c r="FI51" i="6" s="1"/>
  <c r="KC50" i="6"/>
  <c r="VL49" i="6"/>
  <c r="VK49" i="6" s="1"/>
  <c r="DB49" i="6"/>
  <c r="DA49" i="6" s="1"/>
  <c r="KU47" i="6"/>
  <c r="PP46" i="6"/>
  <c r="GR45" i="6"/>
  <c r="GQ45" i="6" s="1"/>
  <c r="OF44" i="6"/>
  <c r="NN43" i="6"/>
  <c r="NM43" i="6" s="1"/>
  <c r="SJ42" i="6"/>
  <c r="JK41" i="6"/>
  <c r="QZ40" i="6"/>
  <c r="QH39" i="6"/>
  <c r="YM38" i="6"/>
  <c r="YL38" i="6" s="1"/>
  <c r="CS38" i="6"/>
  <c r="CR38" i="6" s="1"/>
  <c r="ME37" i="6"/>
  <c r="TT36" i="6"/>
  <c r="ZP34" i="6"/>
  <c r="ZO34" i="6" s="1"/>
  <c r="ES34" i="6"/>
  <c r="ER34" i="6" s="1"/>
  <c r="OX33" i="6"/>
  <c r="HI30" i="6"/>
  <c r="HH30" i="6" s="1"/>
  <c r="DB29" i="6"/>
  <c r="DA29" i="6" s="1"/>
  <c r="HI26" i="6"/>
  <c r="HH26" i="6" s="1"/>
  <c r="DB25" i="6"/>
  <c r="DA25" i="6" s="1"/>
  <c r="QH23" i="6"/>
  <c r="ES22" i="6"/>
  <c r="ER22" i="6" s="1"/>
  <c r="WU20" i="6"/>
  <c r="WT20" i="6" s="1"/>
  <c r="OX19" i="6"/>
  <c r="TB17" i="6"/>
  <c r="QZ14" i="6"/>
  <c r="UK11" i="6"/>
  <c r="UJ11" i="6" s="1"/>
  <c r="GA10" i="6"/>
  <c r="FZ10" i="6" s="1"/>
  <c r="KC8" i="6"/>
  <c r="BQ74" i="6"/>
  <c r="BP74" i="6" s="1"/>
  <c r="XF70" i="6"/>
  <c r="XE70" i="6" s="1"/>
  <c r="ABS64" i="6"/>
  <c r="ABR64" i="6" s="1"/>
  <c r="WJ61" i="6"/>
  <c r="WI61" i="6" s="1"/>
  <c r="BQ58" i="6"/>
  <c r="BP58" i="6" s="1"/>
  <c r="XF54" i="6"/>
  <c r="XE54" i="6" s="1"/>
  <c r="ABS48" i="6"/>
  <c r="ABR48" i="6" s="1"/>
  <c r="WJ45" i="6"/>
  <c r="WI45" i="6" s="1"/>
  <c r="BQ42" i="6"/>
  <c r="BP42" i="6" s="1"/>
  <c r="XF38" i="6"/>
  <c r="XE38" i="6" s="1"/>
  <c r="ABS32" i="6"/>
  <c r="ABR32" i="6" s="1"/>
  <c r="WJ29" i="6"/>
  <c r="WI29" i="6" s="1"/>
  <c r="BQ26" i="6"/>
  <c r="BP26" i="6" s="1"/>
  <c r="XF22" i="6"/>
  <c r="XE22" i="6" s="1"/>
  <c r="XF16" i="6"/>
  <c r="XE16" i="6" s="1"/>
  <c r="ABS10" i="6"/>
  <c r="ABR10" i="6" s="1"/>
  <c r="WJ7" i="6"/>
  <c r="WI7" i="6" s="1"/>
  <c r="HI117" i="6"/>
  <c r="HH117" i="6" s="1"/>
  <c r="OF23" i="6"/>
  <c r="CS21" i="6"/>
  <c r="CR21" i="6" s="1"/>
  <c r="SJ19" i="6"/>
  <c r="RR18" i="6"/>
  <c r="CS15" i="6"/>
  <c r="CR15" i="6" s="1"/>
  <c r="DK13" i="6"/>
  <c r="DJ13" i="6" s="1"/>
  <c r="XQ10" i="6"/>
  <c r="XP10" i="6" s="1"/>
  <c r="CS7" i="6"/>
  <c r="CR7" i="6" s="1"/>
  <c r="EB6" i="6"/>
  <c r="EA6" i="6" s="1"/>
  <c r="WU7" i="6"/>
  <c r="WT7" i="6" s="1"/>
  <c r="MW81" i="6"/>
  <c r="XQ80" i="6"/>
  <c r="XP80" i="6" s="1"/>
  <c r="EB80" i="6"/>
  <c r="EA80" i="6" s="1"/>
  <c r="LM79" i="6"/>
  <c r="KU78" i="6"/>
  <c r="PP77" i="6"/>
  <c r="GR76" i="6"/>
  <c r="GQ76" i="6" s="1"/>
  <c r="OF75" i="6"/>
  <c r="NN74" i="6"/>
  <c r="NM74" i="6" s="1"/>
  <c r="SJ73" i="6"/>
  <c r="JK72" i="6"/>
  <c r="QZ71" i="6"/>
  <c r="QH70" i="6"/>
  <c r="YM69" i="6"/>
  <c r="YL69" i="6" s="1"/>
  <c r="ES69" i="6"/>
  <c r="ER69" i="6" s="1"/>
  <c r="OX68" i="6"/>
  <c r="HI65" i="6"/>
  <c r="HH65" i="6" s="1"/>
  <c r="RR64" i="6"/>
  <c r="WU63" i="6"/>
  <c r="WT63" i="6" s="1"/>
  <c r="DK63" i="6"/>
  <c r="DJ63" i="6" s="1"/>
  <c r="FJ62" i="6"/>
  <c r="FI62" i="6" s="1"/>
  <c r="KC61" i="6"/>
  <c r="VL60" i="6"/>
  <c r="VK60" i="6" s="1"/>
  <c r="DB60" i="6"/>
  <c r="DA60" i="6" s="1"/>
  <c r="GA59" i="6"/>
  <c r="FZ59" i="6" s="1"/>
  <c r="IA58" i="6"/>
  <c r="MW57" i="6"/>
  <c r="XQ56" i="6"/>
  <c r="XP56" i="6" s="1"/>
  <c r="EB56" i="6"/>
  <c r="EA56" i="6" s="1"/>
  <c r="LM55" i="6"/>
  <c r="KU54" i="6"/>
  <c r="PP53" i="6"/>
  <c r="GR52" i="6"/>
  <c r="GQ52" i="6" s="1"/>
  <c r="OF51" i="6"/>
  <c r="NN50" i="6"/>
  <c r="NM50" i="6" s="1"/>
  <c r="SJ49" i="6"/>
  <c r="JK48" i="6"/>
  <c r="QZ47" i="6"/>
  <c r="QH46" i="6"/>
  <c r="YM45" i="6"/>
  <c r="YL45" i="6" s="1"/>
  <c r="CS45" i="6"/>
  <c r="CR45" i="6" s="1"/>
  <c r="ME44" i="6"/>
  <c r="TT43" i="6"/>
  <c r="TB42" i="6"/>
  <c r="ZP41" i="6"/>
  <c r="ZO41" i="6" s="1"/>
  <c r="RR40" i="6"/>
  <c r="WU39" i="6"/>
  <c r="WT39" i="6" s="1"/>
  <c r="AP39" i="6"/>
  <c r="AO39" i="6" s="1"/>
  <c r="CJ38" i="6"/>
  <c r="CI38" i="6" s="1"/>
  <c r="IS37" i="6"/>
  <c r="UK36" i="6"/>
  <c r="UJ36" i="6" s="1"/>
  <c r="ABB35" i="6"/>
  <c r="DK35" i="6"/>
  <c r="DJ35" i="6" s="1"/>
  <c r="FJ34" i="6"/>
  <c r="FI34" i="6" s="1"/>
  <c r="KC33" i="6"/>
  <c r="VL32" i="6"/>
  <c r="VK32" i="6" s="1"/>
  <c r="DB32" i="6"/>
  <c r="DA32" i="6" s="1"/>
  <c r="GA31" i="6"/>
  <c r="FZ31" i="6" s="1"/>
  <c r="IA30" i="6"/>
  <c r="MW29" i="6"/>
  <c r="XQ28" i="6"/>
  <c r="XP28" i="6" s="1"/>
  <c r="EB28" i="6"/>
  <c r="EA28" i="6" s="1"/>
  <c r="LM27" i="6"/>
  <c r="KU26" i="6"/>
  <c r="PP25" i="6"/>
  <c r="ABB23" i="6"/>
  <c r="TB22" i="6"/>
  <c r="IS21" i="6"/>
  <c r="YM19" i="6"/>
  <c r="YL19" i="6" s="1"/>
  <c r="EB18" i="6"/>
  <c r="EA18" i="6" s="1"/>
  <c r="IA16" i="6"/>
  <c r="ES15" i="6"/>
  <c r="ER15" i="6" s="1"/>
  <c r="DB14" i="6"/>
  <c r="DA14" i="6" s="1"/>
  <c r="QH12" i="6"/>
  <c r="HI11" i="6"/>
  <c r="HH11" i="6" s="1"/>
  <c r="GR10" i="6"/>
  <c r="GQ10" i="6" s="1"/>
  <c r="AP9" i="6"/>
  <c r="AO9" i="6" s="1"/>
  <c r="MW7" i="6"/>
  <c r="DB117" i="6"/>
  <c r="DA117" i="6" s="1"/>
  <c r="OF7" i="6"/>
  <c r="XF73" i="6"/>
  <c r="XE73" i="6" s="1"/>
  <c r="ABS67" i="6"/>
  <c r="ABR67" i="6" s="1"/>
  <c r="WJ64" i="6"/>
  <c r="WI64" i="6" s="1"/>
  <c r="BQ61" i="6"/>
  <c r="BP61" i="6" s="1"/>
  <c r="XF57" i="6"/>
  <c r="XE57" i="6" s="1"/>
  <c r="ABS51" i="6"/>
  <c r="ABR51" i="6" s="1"/>
  <c r="WJ48" i="6"/>
  <c r="WI48" i="6" s="1"/>
  <c r="BQ45" i="6"/>
  <c r="BP45" i="6" s="1"/>
  <c r="XF41" i="6"/>
  <c r="XE41" i="6" s="1"/>
  <c r="ABS35" i="6"/>
  <c r="ABR35" i="6" s="1"/>
  <c r="WJ32" i="6"/>
  <c r="WI32" i="6" s="1"/>
  <c r="BQ29" i="6"/>
  <c r="BP29" i="6" s="1"/>
  <c r="XF25" i="6"/>
  <c r="XE25" i="6" s="1"/>
  <c r="XF19" i="6"/>
  <c r="XE19" i="6" s="1"/>
  <c r="ABS13" i="6"/>
  <c r="ABR13" i="6" s="1"/>
  <c r="WJ10" i="6"/>
  <c r="WI10" i="6" s="1"/>
  <c r="BQ7" i="6"/>
  <c r="BP7" i="6" s="1"/>
  <c r="MW24" i="6"/>
  <c r="JK23" i="6"/>
  <c r="PP20" i="6"/>
  <c r="ZP18" i="6"/>
  <c r="ZO18" i="6" s="1"/>
  <c r="RR17" i="6"/>
  <c r="DK16" i="6"/>
  <c r="DJ16" i="6" s="1"/>
  <c r="ZP14" i="6"/>
  <c r="ZO14" i="6" s="1"/>
  <c r="OX13" i="6"/>
  <c r="DK12" i="6"/>
  <c r="DJ12" i="6" s="1"/>
  <c r="MW10" i="6"/>
  <c r="ABB8" i="6"/>
  <c r="KU7" i="6"/>
  <c r="AP11" i="6"/>
  <c r="AO11" i="6" s="1"/>
  <c r="HI80" i="6"/>
  <c r="HH80" i="6" s="1"/>
  <c r="RR79" i="6"/>
  <c r="WU78" i="6"/>
  <c r="WT78" i="6" s="1"/>
  <c r="AP78" i="6"/>
  <c r="AO78" i="6" s="1"/>
  <c r="CJ77" i="6"/>
  <c r="CI77" i="6" s="1"/>
  <c r="IS76" i="6"/>
  <c r="UK75" i="6"/>
  <c r="UJ75" i="6" s="1"/>
  <c r="ABB74" i="6"/>
  <c r="DK74" i="6"/>
  <c r="DJ74" i="6" s="1"/>
  <c r="FJ73" i="6"/>
  <c r="FI73" i="6" s="1"/>
  <c r="KC72" i="6"/>
  <c r="XQ71" i="6"/>
  <c r="XP71" i="6" s="1"/>
  <c r="EB71" i="6"/>
  <c r="EA71" i="6" s="1"/>
  <c r="LM70" i="6"/>
  <c r="KU69" i="6"/>
  <c r="PP68" i="6"/>
  <c r="GR67" i="6"/>
  <c r="GQ67" i="6" s="1"/>
  <c r="OF66" i="6"/>
  <c r="NN65" i="6"/>
  <c r="NM65" i="6" s="1"/>
  <c r="SJ64" i="6"/>
  <c r="JK63" i="6"/>
  <c r="QZ62" i="6"/>
  <c r="QH61" i="6"/>
  <c r="YM60" i="6"/>
  <c r="YL60" i="6" s="1"/>
  <c r="CS60" i="6"/>
  <c r="CR60" i="6" s="1"/>
  <c r="ME59" i="6"/>
  <c r="TT58" i="6"/>
  <c r="TB57" i="6"/>
  <c r="ZP56" i="6"/>
  <c r="ZO56" i="6" s="1"/>
  <c r="ES56" i="6"/>
  <c r="ER56" i="6" s="1"/>
  <c r="OX55" i="6"/>
  <c r="HI52" i="6"/>
  <c r="HH52" i="6" s="1"/>
  <c r="UK51" i="6"/>
  <c r="UJ51" i="6" s="1"/>
  <c r="ABB50" i="6"/>
  <c r="DK50" i="6"/>
  <c r="DJ50" i="6" s="1"/>
  <c r="FJ49" i="6"/>
  <c r="FI49" i="6" s="1"/>
  <c r="KC48" i="6"/>
  <c r="VL47" i="6"/>
  <c r="VK47" i="6" s="1"/>
  <c r="DB47" i="6"/>
  <c r="DA47" i="6" s="1"/>
  <c r="GA46" i="6"/>
  <c r="FZ46" i="6" s="1"/>
  <c r="IA45" i="6"/>
  <c r="MW44" i="6"/>
  <c r="XQ43" i="6"/>
  <c r="XP43" i="6" s="1"/>
  <c r="EB43" i="6"/>
  <c r="EA43" i="6" s="1"/>
  <c r="LM42" i="6"/>
  <c r="NN41" i="6"/>
  <c r="NM41" i="6" s="1"/>
  <c r="SJ40" i="6"/>
  <c r="JK39" i="6"/>
  <c r="QZ38" i="6"/>
  <c r="QH37" i="6"/>
  <c r="YM36" i="6"/>
  <c r="YL36" i="6" s="1"/>
  <c r="CS36" i="6"/>
  <c r="CR36" i="6" s="1"/>
  <c r="ME35" i="6"/>
  <c r="TT34" i="6"/>
  <c r="TB33" i="6"/>
  <c r="ZP32" i="6"/>
  <c r="ZO32" i="6" s="1"/>
  <c r="ES32" i="6"/>
  <c r="ER32" i="6" s="1"/>
  <c r="OX31" i="6"/>
  <c r="HI28" i="6"/>
  <c r="HH28" i="6" s="1"/>
  <c r="RR27" i="6"/>
  <c r="WU26" i="6"/>
  <c r="WT26" i="6" s="1"/>
  <c r="AP26" i="6"/>
  <c r="AO26" i="6" s="1"/>
  <c r="CJ25" i="6"/>
  <c r="CI25" i="6" s="1"/>
  <c r="OF22" i="6"/>
  <c r="CS20" i="6"/>
  <c r="CR20" i="6" s="1"/>
  <c r="KC18" i="6"/>
  <c r="PP14" i="6"/>
  <c r="ABB12" i="6"/>
  <c r="IA11" i="6"/>
  <c r="RR9" i="6"/>
  <c r="OF8" i="6"/>
  <c r="ZP117" i="6"/>
  <c r="ZO117" i="6" s="1"/>
  <c r="KC9" i="6"/>
  <c r="PP8" i="6"/>
  <c r="YY74" i="6"/>
  <c r="AE71" i="6"/>
  <c r="ACW67" i="6"/>
  <c r="WA64" i="6"/>
  <c r="VZ64" i="6" s="1"/>
  <c r="YB61" i="6"/>
  <c r="YA61" i="6" s="1"/>
  <c r="YY58" i="6"/>
  <c r="AE55" i="6"/>
  <c r="ACW51" i="6"/>
  <c r="WA48" i="6"/>
  <c r="VZ48" i="6" s="1"/>
  <c r="YB45" i="6"/>
  <c r="YA45" i="6" s="1"/>
  <c r="YY42" i="6"/>
  <c r="AE39" i="6"/>
  <c r="ACW35" i="6"/>
  <c r="WA32" i="6"/>
  <c r="VZ32" i="6" s="1"/>
  <c r="YB29" i="6"/>
  <c r="YA29" i="6" s="1"/>
  <c r="YY26" i="6"/>
  <c r="AE23" i="6"/>
  <c r="YB19" i="6"/>
  <c r="YA19" i="6" s="1"/>
  <c r="YY16" i="6"/>
  <c r="AE13" i="6"/>
  <c r="ACW9" i="6"/>
  <c r="XQ117" i="6"/>
  <c r="XP117" i="6" s="1"/>
  <c r="BQ117" i="6"/>
  <c r="BP117" i="6" s="1"/>
  <c r="QH28" i="6"/>
  <c r="IS27" i="6"/>
  <c r="QZ25" i="6"/>
  <c r="NN24" i="6"/>
  <c r="NM24" i="6" s="1"/>
  <c r="XQ22" i="6"/>
  <c r="XP22" i="6" s="1"/>
  <c r="OF21" i="6"/>
  <c r="KU18" i="6"/>
  <c r="HI17" i="6"/>
  <c r="HH17" i="6" s="1"/>
  <c r="ABB15" i="6"/>
  <c r="SJ13" i="6"/>
  <c r="RR12" i="6"/>
  <c r="MW9" i="6"/>
  <c r="AP117" i="6"/>
  <c r="AO117" i="6" s="1"/>
  <c r="BQ112" i="6"/>
  <c r="BP112" i="6" s="1"/>
  <c r="XF108" i="6"/>
  <c r="XE108" i="6" s="1"/>
  <c r="ABS102" i="6"/>
  <c r="ABR102" i="6" s="1"/>
  <c r="WJ99" i="6"/>
  <c r="WI99" i="6" s="1"/>
  <c r="BQ96" i="6"/>
  <c r="BP96" i="6" s="1"/>
  <c r="XF92" i="6"/>
  <c r="XE92" i="6" s="1"/>
  <c r="ABS86" i="6"/>
  <c r="ABR86" i="6" s="1"/>
  <c r="WJ83" i="6"/>
  <c r="WI83" i="6" s="1"/>
  <c r="BQ80" i="6"/>
  <c r="BP80" i="6" s="1"/>
  <c r="XF76" i="6"/>
  <c r="XE76" i="6" s="1"/>
  <c r="NN116" i="6"/>
  <c r="NM116" i="6" s="1"/>
  <c r="YM111" i="6"/>
  <c r="YL111" i="6" s="1"/>
  <c r="CS111" i="6"/>
  <c r="CR111" i="6" s="1"/>
  <c r="ZP107" i="6"/>
  <c r="ZO107" i="6" s="1"/>
  <c r="ES107" i="6"/>
  <c r="ER107" i="6" s="1"/>
  <c r="HI103" i="6"/>
  <c r="HH103" i="6" s="1"/>
  <c r="WU101" i="6"/>
  <c r="WT101" i="6" s="1"/>
  <c r="AP101" i="6"/>
  <c r="AO101" i="6" s="1"/>
  <c r="CJ100" i="6"/>
  <c r="CI100" i="6" s="1"/>
  <c r="IS99" i="6"/>
  <c r="UK98" i="6"/>
  <c r="UJ98" i="6" s="1"/>
  <c r="ABB97" i="6"/>
  <c r="DK97" i="6"/>
  <c r="DJ97" i="6" s="1"/>
  <c r="FJ96" i="6"/>
  <c r="FI96" i="6" s="1"/>
  <c r="VL94" i="6"/>
  <c r="VK94" i="6" s="1"/>
  <c r="DB94" i="6"/>
  <c r="DA94" i="6" s="1"/>
  <c r="GA93" i="6"/>
  <c r="FZ93" i="6" s="1"/>
  <c r="XQ90" i="6"/>
  <c r="XP90" i="6" s="1"/>
  <c r="EB90" i="6"/>
  <c r="EA90" i="6" s="1"/>
  <c r="GR86" i="6"/>
  <c r="GQ86" i="6" s="1"/>
  <c r="NN84" i="6"/>
  <c r="NM84" i="6" s="1"/>
  <c r="WA115" i="6"/>
  <c r="VZ115" i="6" s="1"/>
  <c r="YB112" i="6"/>
  <c r="YA112" i="6" s="1"/>
  <c r="YY109" i="6"/>
  <c r="AE106" i="6"/>
  <c r="ACW102" i="6"/>
  <c r="WA99" i="6"/>
  <c r="VZ99" i="6" s="1"/>
  <c r="YB96" i="6"/>
  <c r="YA96" i="6" s="1"/>
  <c r="YY93" i="6"/>
  <c r="AE90" i="6"/>
  <c r="ACW86" i="6"/>
  <c r="WA83" i="6"/>
  <c r="VZ83" i="6" s="1"/>
  <c r="YB80" i="6"/>
  <c r="YA80" i="6" s="1"/>
  <c r="YY77" i="6"/>
  <c r="ZP114" i="6"/>
  <c r="ZO114" i="6" s="1"/>
  <c r="ES114" i="6"/>
  <c r="ER114" i="6" s="1"/>
  <c r="HI110" i="6"/>
  <c r="HH110" i="6" s="1"/>
  <c r="WU108" i="6"/>
  <c r="WT108" i="6" s="1"/>
  <c r="AP108" i="6"/>
  <c r="AO108" i="6" s="1"/>
  <c r="CJ107" i="6"/>
  <c r="CI107" i="6" s="1"/>
  <c r="IS106" i="6"/>
  <c r="VL105" i="6"/>
  <c r="VK105" i="6" s="1"/>
  <c r="DB105" i="6"/>
  <c r="DA105" i="6" s="1"/>
  <c r="GA104" i="6"/>
  <c r="FZ104" i="6" s="1"/>
  <c r="XQ101" i="6"/>
  <c r="XP101" i="6" s="1"/>
  <c r="EB101" i="6"/>
  <c r="EA101" i="6" s="1"/>
  <c r="ZP94" i="6"/>
  <c r="ZO94" i="6" s="1"/>
  <c r="ES94" i="6"/>
  <c r="ER94" i="6" s="1"/>
  <c r="HI90" i="6"/>
  <c r="HH90" i="6" s="1"/>
  <c r="WU88" i="6"/>
  <c r="WT88" i="6" s="1"/>
  <c r="AP88" i="6"/>
  <c r="AO88" i="6" s="1"/>
  <c r="CJ87" i="6"/>
  <c r="CI87" i="6" s="1"/>
  <c r="IS86" i="6"/>
  <c r="UK85" i="6"/>
  <c r="UJ85" i="6" s="1"/>
  <c r="WA114" i="6"/>
  <c r="VZ114" i="6" s="1"/>
  <c r="YB111" i="6"/>
  <c r="YA111" i="6" s="1"/>
  <c r="YY108" i="6"/>
  <c r="AE105" i="6"/>
  <c r="ACW101" i="6"/>
  <c r="WA98" i="6"/>
  <c r="VZ98" i="6" s="1"/>
  <c r="YB95" i="6"/>
  <c r="YA95" i="6" s="1"/>
  <c r="YY92" i="6"/>
  <c r="AE89" i="6"/>
  <c r="ACW85" i="6"/>
  <c r="WA82" i="6"/>
  <c r="VZ82" i="6" s="1"/>
  <c r="YB79" i="6"/>
  <c r="YA79" i="6" s="1"/>
  <c r="YY76" i="6"/>
  <c r="RR116" i="6"/>
  <c r="WU115" i="6"/>
  <c r="WT115" i="6" s="1"/>
  <c r="AP115" i="6"/>
  <c r="AO115" i="6" s="1"/>
  <c r="CJ114" i="6"/>
  <c r="CI114" i="6" s="1"/>
  <c r="IS113" i="6"/>
  <c r="UK112" i="6"/>
  <c r="UJ112" i="6" s="1"/>
  <c r="ABB111" i="6"/>
  <c r="DK111" i="6"/>
  <c r="DJ111" i="6" s="1"/>
  <c r="FJ110" i="6"/>
  <c r="FI110" i="6" s="1"/>
  <c r="KC109" i="6"/>
  <c r="VL108" i="6"/>
  <c r="VK108" i="6" s="1"/>
  <c r="DB108" i="6"/>
  <c r="DA108" i="6" s="1"/>
  <c r="GA107" i="6"/>
  <c r="FZ107" i="6" s="1"/>
  <c r="IA106" i="6"/>
  <c r="MW105" i="6"/>
  <c r="XQ104" i="6"/>
  <c r="XP104" i="6" s="1"/>
  <c r="EB104" i="6"/>
  <c r="EA104" i="6" s="1"/>
  <c r="LM103" i="6"/>
  <c r="KU102" i="6"/>
  <c r="PP101" i="6"/>
  <c r="GR100" i="6"/>
  <c r="GQ100" i="6" s="1"/>
  <c r="OF99" i="6"/>
  <c r="NN98" i="6"/>
  <c r="NM98" i="6" s="1"/>
  <c r="SJ97" i="6"/>
  <c r="JK96" i="6"/>
  <c r="QZ95" i="6"/>
  <c r="QH94" i="6"/>
  <c r="YM93" i="6"/>
  <c r="YL93" i="6" s="1"/>
  <c r="CS93" i="6"/>
  <c r="CR93" i="6" s="1"/>
  <c r="ME92" i="6"/>
  <c r="TT91" i="6"/>
  <c r="TB90" i="6"/>
  <c r="ZP89" i="6"/>
  <c r="ZO89" i="6" s="1"/>
  <c r="ES89" i="6"/>
  <c r="ER89" i="6" s="1"/>
  <c r="OX88" i="6"/>
  <c r="HI85" i="6"/>
  <c r="HH85" i="6" s="1"/>
  <c r="RR84" i="6"/>
  <c r="WU83" i="6"/>
  <c r="WT83" i="6" s="1"/>
  <c r="AP83" i="6"/>
  <c r="AO83" i="6" s="1"/>
  <c r="CJ82" i="6"/>
  <c r="CI82" i="6" s="1"/>
  <c r="ABS115" i="6"/>
  <c r="ABR115" i="6" s="1"/>
  <c r="WJ112" i="6"/>
  <c r="WI112" i="6" s="1"/>
  <c r="BQ109" i="6"/>
  <c r="BP109" i="6" s="1"/>
  <c r="XF105" i="6"/>
  <c r="XE105" i="6" s="1"/>
  <c r="ABS99" i="6"/>
  <c r="ABR99" i="6" s="1"/>
  <c r="WJ96" i="6"/>
  <c r="WI96" i="6" s="1"/>
  <c r="BQ93" i="6"/>
  <c r="BP93" i="6" s="1"/>
  <c r="XF89" i="6"/>
  <c r="XE89" i="6" s="1"/>
  <c r="ABS83" i="6"/>
  <c r="ABR83" i="6" s="1"/>
  <c r="WJ80" i="6"/>
  <c r="WI80" i="6" s="1"/>
  <c r="BQ77" i="6"/>
  <c r="BP77" i="6" s="1"/>
  <c r="SJ116" i="6"/>
  <c r="JK115" i="6"/>
  <c r="QZ114" i="6"/>
  <c r="QH113" i="6"/>
  <c r="YM112" i="6"/>
  <c r="YL112" i="6" s="1"/>
  <c r="CS112" i="6"/>
  <c r="CR112" i="6" s="1"/>
  <c r="ME111" i="6"/>
  <c r="TT110" i="6"/>
  <c r="TB109" i="6"/>
  <c r="ZP108" i="6"/>
  <c r="ZO108" i="6" s="1"/>
  <c r="ES108" i="6"/>
  <c r="ER108" i="6" s="1"/>
  <c r="OX107" i="6"/>
  <c r="HI104" i="6"/>
  <c r="HH104" i="6" s="1"/>
  <c r="UK103" i="6"/>
  <c r="UJ103" i="6" s="1"/>
  <c r="ABB102" i="6"/>
  <c r="DK102" i="6"/>
  <c r="DJ102" i="6" s="1"/>
  <c r="FJ101" i="6"/>
  <c r="FI101" i="6" s="1"/>
  <c r="KC100" i="6"/>
  <c r="VL99" i="6"/>
  <c r="VK99" i="6" s="1"/>
  <c r="DB99" i="6"/>
  <c r="DA99" i="6" s="1"/>
  <c r="GA98" i="6"/>
  <c r="FZ98" i="6" s="1"/>
  <c r="IA97" i="6"/>
  <c r="MW96" i="6"/>
  <c r="XQ95" i="6"/>
  <c r="XP95" i="6" s="1"/>
  <c r="EB95" i="6"/>
  <c r="EA95" i="6" s="1"/>
  <c r="LM94" i="6"/>
  <c r="NN93" i="6"/>
  <c r="NM93" i="6" s="1"/>
  <c r="SJ92" i="6"/>
  <c r="JK91" i="6"/>
  <c r="QZ90" i="6"/>
  <c r="QH89" i="6"/>
  <c r="YM88" i="6"/>
  <c r="YL88" i="6" s="1"/>
  <c r="CS88" i="6"/>
  <c r="CR88" i="6" s="1"/>
  <c r="ME87" i="6"/>
  <c r="TT86" i="6"/>
  <c r="TB85" i="6"/>
  <c r="ZP84" i="6"/>
  <c r="ZO84" i="6" s="1"/>
  <c r="ES84" i="6"/>
  <c r="ER84" i="6" s="1"/>
  <c r="OX83" i="6"/>
  <c r="EB82" i="6"/>
  <c r="EA82" i="6" s="1"/>
  <c r="LM81" i="6"/>
  <c r="KU80" i="6"/>
  <c r="PP79" i="6"/>
  <c r="GR78" i="6"/>
  <c r="GQ78" i="6" s="1"/>
  <c r="OF77" i="6"/>
  <c r="NN76" i="6"/>
  <c r="NM76" i="6" s="1"/>
  <c r="SJ75" i="6"/>
  <c r="JK74" i="6"/>
  <c r="QZ73" i="6"/>
  <c r="QH72" i="6"/>
  <c r="YM71" i="6"/>
  <c r="YL71" i="6" s="1"/>
  <c r="CS71" i="6"/>
  <c r="CR71" i="6" s="1"/>
  <c r="ME70" i="6"/>
  <c r="TT69" i="6"/>
  <c r="TB68" i="6"/>
  <c r="ZP67" i="6"/>
  <c r="ZO67" i="6" s="1"/>
  <c r="ES67" i="6"/>
  <c r="ER67" i="6" s="1"/>
  <c r="OX66" i="6"/>
  <c r="HI63" i="6"/>
  <c r="HH63" i="6" s="1"/>
  <c r="RR62" i="6"/>
  <c r="WU61" i="6"/>
  <c r="WT61" i="6" s="1"/>
  <c r="AP61" i="6"/>
  <c r="AO61" i="6" s="1"/>
  <c r="CJ60" i="6"/>
  <c r="CI60" i="6" s="1"/>
  <c r="IS59" i="6"/>
  <c r="VL58" i="6"/>
  <c r="VK58" i="6" s="1"/>
  <c r="DB58" i="6"/>
  <c r="DA58" i="6" s="1"/>
  <c r="GA57" i="6"/>
  <c r="FZ57" i="6" s="1"/>
  <c r="IA56" i="6"/>
  <c r="MW55" i="6"/>
  <c r="XQ54" i="6"/>
  <c r="XP54" i="6" s="1"/>
  <c r="EB54" i="6"/>
  <c r="EA54" i="6" s="1"/>
  <c r="LM53" i="6"/>
  <c r="KU52" i="6"/>
  <c r="PP51" i="6"/>
  <c r="GR50" i="6"/>
  <c r="GQ50" i="6" s="1"/>
  <c r="OF49" i="6"/>
  <c r="NN48" i="6"/>
  <c r="NM48" i="6" s="1"/>
  <c r="SJ47" i="6"/>
  <c r="JK46" i="6"/>
  <c r="QZ45" i="6"/>
  <c r="QH44" i="6"/>
  <c r="YM43" i="6"/>
  <c r="YL43" i="6" s="1"/>
  <c r="CS43" i="6"/>
  <c r="CR43" i="6" s="1"/>
  <c r="ME42" i="6"/>
  <c r="TT41" i="6"/>
  <c r="TB40" i="6"/>
  <c r="ZP39" i="6"/>
  <c r="ZO39" i="6" s="1"/>
  <c r="RR38" i="6"/>
  <c r="WU37" i="6"/>
  <c r="WT37" i="6" s="1"/>
  <c r="DK37" i="6"/>
  <c r="DJ37" i="6" s="1"/>
  <c r="FJ36" i="6"/>
  <c r="FI36" i="6" s="1"/>
  <c r="KC35" i="6"/>
  <c r="VL34" i="6"/>
  <c r="VK34" i="6" s="1"/>
  <c r="DB34" i="6"/>
  <c r="DA34" i="6" s="1"/>
  <c r="LM33" i="6"/>
  <c r="NN32" i="6"/>
  <c r="NM32" i="6" s="1"/>
  <c r="SJ31" i="6"/>
  <c r="JK30" i="6"/>
  <c r="AP29" i="6"/>
  <c r="AO29" i="6" s="1"/>
  <c r="CS27" i="6"/>
  <c r="CR27" i="6" s="1"/>
  <c r="EB26" i="6"/>
  <c r="EA26" i="6" s="1"/>
  <c r="SJ23" i="6"/>
  <c r="OX22" i="6"/>
  <c r="KU20" i="6"/>
  <c r="DK19" i="6"/>
  <c r="DJ19" i="6" s="1"/>
  <c r="XQ16" i="6"/>
  <c r="XP16" i="6" s="1"/>
  <c r="OF15" i="6"/>
  <c r="FJ14" i="6"/>
  <c r="FI14" i="6" s="1"/>
  <c r="GR12" i="6"/>
  <c r="GQ12" i="6" s="1"/>
  <c r="GR6" i="6"/>
  <c r="GQ6" i="6" s="1"/>
  <c r="WJ74" i="6"/>
  <c r="WI74" i="6" s="1"/>
  <c r="BQ71" i="6"/>
  <c r="BP71" i="6" s="1"/>
  <c r="XF67" i="6"/>
  <c r="XE67" i="6" s="1"/>
  <c r="ABS61" i="6"/>
  <c r="ABR61" i="6" s="1"/>
  <c r="WJ58" i="6"/>
  <c r="WI58" i="6" s="1"/>
  <c r="BQ55" i="6"/>
  <c r="BP55" i="6" s="1"/>
  <c r="XF51" i="6"/>
  <c r="XE51" i="6" s="1"/>
  <c r="ABS45" i="6"/>
  <c r="ABR45" i="6" s="1"/>
  <c r="WJ42" i="6"/>
  <c r="WI42" i="6" s="1"/>
  <c r="BQ39" i="6"/>
  <c r="BP39" i="6" s="1"/>
  <c r="XF35" i="6"/>
  <c r="XE35" i="6" s="1"/>
  <c r="YB32" i="6"/>
  <c r="YA32" i="6" s="1"/>
  <c r="YY29" i="6"/>
  <c r="AE26" i="6"/>
  <c r="ACW22" i="6"/>
  <c r="YY19" i="6"/>
  <c r="AE16" i="6"/>
  <c r="ACW12" i="6"/>
  <c r="WA9" i="6"/>
  <c r="VZ9" i="6" s="1"/>
  <c r="YB117" i="6"/>
  <c r="YA117" i="6" s="1"/>
  <c r="VL29" i="6"/>
  <c r="VK29" i="6" s="1"/>
  <c r="TB27" i="6"/>
  <c r="OF24" i="6"/>
  <c r="KC22" i="6"/>
  <c r="ABB20" i="6"/>
  <c r="ME19" i="6"/>
  <c r="DK18" i="6"/>
  <c r="DJ18" i="6" s="1"/>
  <c r="KC16" i="6"/>
  <c r="EB15" i="6"/>
  <c r="EA15" i="6" s="1"/>
  <c r="FJ13" i="6"/>
  <c r="FI13" i="6" s="1"/>
  <c r="VL11" i="6"/>
  <c r="VK11" i="6" s="1"/>
  <c r="AP10" i="6"/>
  <c r="AO10" i="6" s="1"/>
  <c r="JK85" i="6"/>
  <c r="QZ84" i="6"/>
  <c r="QH83" i="6"/>
  <c r="YM82" i="6"/>
  <c r="YL82" i="6" s="1"/>
  <c r="CS82" i="6"/>
  <c r="CR82" i="6" s="1"/>
  <c r="ME81" i="6"/>
  <c r="TT80" i="6"/>
  <c r="HI78" i="6"/>
  <c r="HH78" i="6" s="1"/>
  <c r="RR77" i="6"/>
  <c r="WU76" i="6"/>
  <c r="WT76" i="6" s="1"/>
  <c r="AP76" i="6"/>
  <c r="AO76" i="6" s="1"/>
  <c r="CJ75" i="6"/>
  <c r="CI75" i="6" s="1"/>
  <c r="IS74" i="6"/>
  <c r="UK73" i="6"/>
  <c r="UJ73" i="6" s="1"/>
  <c r="ABB72" i="6"/>
  <c r="DK72" i="6"/>
  <c r="DJ72" i="6" s="1"/>
  <c r="FJ71" i="6"/>
  <c r="FI71" i="6" s="1"/>
  <c r="KC70" i="6"/>
  <c r="VL69" i="6"/>
  <c r="VK69" i="6" s="1"/>
  <c r="DB69" i="6"/>
  <c r="DA69" i="6" s="1"/>
  <c r="GA68" i="6"/>
  <c r="FZ68" i="6" s="1"/>
  <c r="IA67" i="6"/>
  <c r="MW66" i="6"/>
  <c r="XQ65" i="6"/>
  <c r="XP65" i="6" s="1"/>
  <c r="EB65" i="6"/>
  <c r="EA65" i="6" s="1"/>
  <c r="LM64" i="6"/>
  <c r="KU63" i="6"/>
  <c r="PP62" i="6"/>
  <c r="GR61" i="6"/>
  <c r="GQ61" i="6" s="1"/>
  <c r="OF60" i="6"/>
  <c r="QH59" i="6"/>
  <c r="YM58" i="6"/>
  <c r="YL58" i="6" s="1"/>
  <c r="ES58" i="6"/>
  <c r="ER58" i="6" s="1"/>
  <c r="OX57" i="6"/>
  <c r="HI54" i="6"/>
  <c r="HH54" i="6" s="1"/>
  <c r="RR53" i="6"/>
  <c r="WU52" i="6"/>
  <c r="WT52" i="6" s="1"/>
  <c r="AP52" i="6"/>
  <c r="AO52" i="6" s="1"/>
  <c r="CJ51" i="6"/>
  <c r="CI51" i="6" s="1"/>
  <c r="IS50" i="6"/>
  <c r="UK49" i="6"/>
  <c r="UJ49" i="6" s="1"/>
  <c r="ABB48" i="6"/>
  <c r="GA48" i="6"/>
  <c r="FZ48" i="6" s="1"/>
  <c r="IA47" i="6"/>
  <c r="MW46" i="6"/>
  <c r="XQ45" i="6"/>
  <c r="XP45" i="6" s="1"/>
  <c r="EB45" i="6"/>
  <c r="EA45" i="6" s="1"/>
  <c r="LM44" i="6"/>
  <c r="KU43" i="6"/>
  <c r="PP42" i="6"/>
  <c r="GR41" i="6"/>
  <c r="GQ41" i="6" s="1"/>
  <c r="OF40" i="6"/>
  <c r="NN39" i="6"/>
  <c r="NM39" i="6" s="1"/>
  <c r="SJ38" i="6"/>
  <c r="JK37" i="6"/>
  <c r="QZ36" i="6"/>
  <c r="QH35" i="6"/>
  <c r="YM34" i="6"/>
  <c r="YL34" i="6" s="1"/>
  <c r="CS34" i="6"/>
  <c r="CR34" i="6" s="1"/>
  <c r="ME33" i="6"/>
  <c r="TT32" i="6"/>
  <c r="TB31" i="6"/>
  <c r="ZP30" i="6"/>
  <c r="ZO30" i="6" s="1"/>
  <c r="ES30" i="6"/>
  <c r="ER30" i="6" s="1"/>
  <c r="ABB28" i="6"/>
  <c r="NN27" i="6"/>
  <c r="NM27" i="6" s="1"/>
  <c r="ES26" i="6"/>
  <c r="ER26" i="6" s="1"/>
  <c r="ABB24" i="6"/>
  <c r="IA23" i="6"/>
  <c r="CS22" i="6"/>
  <c r="CR22" i="6" s="1"/>
  <c r="TT20" i="6"/>
  <c r="JK19" i="6"/>
  <c r="QH17" i="6"/>
  <c r="VL15" i="6"/>
  <c r="VK15" i="6" s="1"/>
  <c r="LM14" i="6"/>
  <c r="ZP12" i="6"/>
  <c r="ZO12" i="6" s="1"/>
  <c r="OX11" i="6"/>
  <c r="DK10" i="6"/>
  <c r="DJ10" i="6" s="1"/>
  <c r="VL7" i="6"/>
  <c r="VK7" i="6" s="1"/>
  <c r="ACW73" i="6"/>
  <c r="WA70" i="6"/>
  <c r="VZ70" i="6" s="1"/>
  <c r="YB67" i="6"/>
  <c r="YA67" i="6" s="1"/>
  <c r="YY64" i="6"/>
  <c r="AE61" i="6"/>
  <c r="ACW57" i="6"/>
  <c r="WA54" i="6"/>
  <c r="VZ54" i="6" s="1"/>
  <c r="YB51" i="6"/>
  <c r="YA51" i="6" s="1"/>
  <c r="YY48" i="6"/>
  <c r="AE45" i="6"/>
  <c r="ACW41" i="6"/>
  <c r="WA38" i="6"/>
  <c r="VZ38" i="6" s="1"/>
  <c r="YB35" i="6"/>
  <c r="YA35" i="6" s="1"/>
  <c r="YY32" i="6"/>
  <c r="AE29" i="6"/>
  <c r="ACW25" i="6"/>
  <c r="WA22" i="6"/>
  <c r="VZ22" i="6" s="1"/>
  <c r="ACW19" i="6"/>
  <c r="WA16" i="6"/>
  <c r="VZ16" i="6" s="1"/>
  <c r="YB13" i="6"/>
  <c r="YA13" i="6" s="1"/>
  <c r="YY10" i="6"/>
  <c r="AE7" i="6"/>
  <c r="QH22" i="6"/>
  <c r="XQ20" i="6"/>
  <c r="XP20" i="6" s="1"/>
  <c r="MW19" i="6"/>
  <c r="OX18" i="6"/>
  <c r="TB16" i="6"/>
  <c r="UK14" i="6"/>
  <c r="UJ14" i="6" s="1"/>
  <c r="ACJ12" i="6"/>
  <c r="ACI12" i="6" s="1"/>
  <c r="UK10" i="6"/>
  <c r="UJ10" i="6" s="1"/>
  <c r="NN8" i="6"/>
  <c r="NM8" i="6" s="1"/>
  <c r="JK6" i="6"/>
  <c r="IA6" i="6"/>
  <c r="KC81" i="6"/>
  <c r="VL80" i="6"/>
  <c r="VK80" i="6" s="1"/>
  <c r="DB80" i="6"/>
  <c r="DA80" i="6" s="1"/>
  <c r="GA79" i="6"/>
  <c r="FZ79" i="6" s="1"/>
  <c r="IA78" i="6"/>
  <c r="MW77" i="6"/>
  <c r="XQ76" i="6"/>
  <c r="XP76" i="6" s="1"/>
  <c r="EB76" i="6"/>
  <c r="EA76" i="6" s="1"/>
  <c r="LM75" i="6"/>
  <c r="KU74" i="6"/>
  <c r="PP73" i="6"/>
  <c r="GR72" i="6"/>
  <c r="GQ72" i="6" s="1"/>
  <c r="OF71" i="6"/>
  <c r="NN70" i="6"/>
  <c r="NM70" i="6" s="1"/>
  <c r="SJ69" i="6"/>
  <c r="CS69" i="6"/>
  <c r="CR69" i="6" s="1"/>
  <c r="ME68" i="6"/>
  <c r="TT67" i="6"/>
  <c r="TB66" i="6"/>
  <c r="ZP65" i="6"/>
  <c r="ZO65" i="6" s="1"/>
  <c r="ES65" i="6"/>
  <c r="ER65" i="6" s="1"/>
  <c r="OX64" i="6"/>
  <c r="AP63" i="6"/>
  <c r="AO63" i="6" s="1"/>
  <c r="CJ62" i="6"/>
  <c r="CI62" i="6" s="1"/>
  <c r="IS61" i="6"/>
  <c r="UK60" i="6"/>
  <c r="UJ60" i="6" s="1"/>
  <c r="ABB59" i="6"/>
  <c r="DK59" i="6"/>
  <c r="DJ59" i="6" s="1"/>
  <c r="FJ58" i="6"/>
  <c r="FI58" i="6" s="1"/>
  <c r="KC57" i="6"/>
  <c r="VL56" i="6"/>
  <c r="VK56" i="6" s="1"/>
  <c r="DB56" i="6"/>
  <c r="DA56" i="6" s="1"/>
  <c r="GA55" i="6"/>
  <c r="FZ55" i="6" s="1"/>
  <c r="IA54" i="6"/>
  <c r="MW53" i="6"/>
  <c r="XQ52" i="6"/>
  <c r="XP52" i="6" s="1"/>
  <c r="EB52" i="6"/>
  <c r="EA52" i="6" s="1"/>
  <c r="LM51" i="6"/>
  <c r="KU50" i="6"/>
  <c r="PP49" i="6"/>
  <c r="GR48" i="6"/>
  <c r="GQ48" i="6" s="1"/>
  <c r="OF47" i="6"/>
  <c r="NN46" i="6"/>
  <c r="NM46" i="6" s="1"/>
  <c r="SJ45" i="6"/>
  <c r="JK44" i="6"/>
  <c r="QZ43" i="6"/>
  <c r="QH42" i="6"/>
  <c r="YM41" i="6"/>
  <c r="YL41" i="6" s="1"/>
  <c r="ES41" i="6"/>
  <c r="ER41" i="6" s="1"/>
  <c r="OX40" i="6"/>
  <c r="HI37" i="6"/>
  <c r="HH37" i="6" s="1"/>
  <c r="RR36" i="6"/>
  <c r="WU35" i="6"/>
  <c r="WT35" i="6" s="1"/>
  <c r="AP35" i="6"/>
  <c r="AO35" i="6" s="1"/>
  <c r="CJ34" i="6"/>
  <c r="CI34" i="6" s="1"/>
  <c r="IS33" i="6"/>
  <c r="UK32" i="6"/>
  <c r="UJ32" i="6" s="1"/>
  <c r="ABB31" i="6"/>
  <c r="DK31" i="6"/>
  <c r="DJ31" i="6" s="1"/>
  <c r="FJ30" i="6"/>
  <c r="FI30" i="6" s="1"/>
  <c r="KC29" i="6"/>
  <c r="VL28" i="6"/>
  <c r="VK28" i="6" s="1"/>
  <c r="DB28" i="6"/>
  <c r="DA28" i="6" s="1"/>
  <c r="GA27" i="6"/>
  <c r="FZ27" i="6" s="1"/>
  <c r="IA26" i="6"/>
  <c r="MW25" i="6"/>
  <c r="XQ24" i="6"/>
  <c r="XP24" i="6" s="1"/>
  <c r="WU23" i="6"/>
  <c r="WT23" i="6" s="1"/>
  <c r="NN22" i="6"/>
  <c r="NM22" i="6" s="1"/>
  <c r="HI21" i="6"/>
  <c r="HH21" i="6" s="1"/>
  <c r="PP19" i="6"/>
  <c r="ABB17" i="6"/>
  <c r="FJ16" i="6"/>
  <c r="FI16" i="6" s="1"/>
  <c r="ABB13" i="6"/>
  <c r="IA12" i="6"/>
  <c r="ES11" i="6"/>
  <c r="ER11" i="6" s="1"/>
  <c r="DB10" i="6"/>
  <c r="DA10" i="6" s="1"/>
  <c r="TB8" i="6"/>
  <c r="IS7" i="6"/>
  <c r="PP117" i="6"/>
  <c r="GA7" i="6"/>
  <c r="FZ7" i="6" s="1"/>
  <c r="WA73" i="6"/>
  <c r="VZ73" i="6" s="1"/>
  <c r="YB70" i="6"/>
  <c r="YA70" i="6" s="1"/>
  <c r="YY67" i="6"/>
  <c r="AE64" i="6"/>
  <c r="ACW60" i="6"/>
  <c r="WA57" i="6"/>
  <c r="VZ57" i="6" s="1"/>
  <c r="YB54" i="6"/>
  <c r="YA54" i="6" s="1"/>
  <c r="YY51" i="6"/>
  <c r="AE48" i="6"/>
  <c r="ACW44" i="6"/>
  <c r="WA41" i="6"/>
  <c r="VZ41" i="6" s="1"/>
  <c r="YB38" i="6"/>
  <c r="YA38" i="6" s="1"/>
  <c r="YY35" i="6"/>
  <c r="AE32" i="6"/>
  <c r="ACW28" i="6"/>
  <c r="WA25" i="6"/>
  <c r="VZ25" i="6" s="1"/>
  <c r="YB22" i="6"/>
  <c r="YA22" i="6" s="1"/>
  <c r="WA19" i="6"/>
  <c r="VZ19" i="6" s="1"/>
  <c r="YB16" i="6"/>
  <c r="YA16" i="6" s="1"/>
  <c r="YY13" i="6"/>
  <c r="AE10" i="6"/>
  <c r="ACW6" i="6"/>
  <c r="ACW117" i="6"/>
  <c r="KC24" i="6"/>
  <c r="GR23" i="6"/>
  <c r="GQ23" i="6" s="1"/>
  <c r="QH21" i="6"/>
  <c r="MW20" i="6"/>
  <c r="SJ18" i="6"/>
  <c r="OX17" i="6"/>
  <c r="AP16" i="6"/>
  <c r="AO16" i="6" s="1"/>
  <c r="SJ14" i="6"/>
  <c r="ME13" i="6"/>
  <c r="TB11" i="6"/>
  <c r="KC10" i="6"/>
  <c r="WU8" i="6"/>
  <c r="WT8" i="6" s="1"/>
  <c r="FJ7" i="6"/>
  <c r="FI7" i="6" s="1"/>
  <c r="FJ10" i="6"/>
  <c r="FI10" i="6" s="1"/>
  <c r="UK7" i="6"/>
  <c r="UJ7" i="6" s="1"/>
  <c r="ES80" i="6"/>
  <c r="ER80" i="6" s="1"/>
  <c r="OX79" i="6"/>
  <c r="HI76" i="6"/>
  <c r="HH76" i="6" s="1"/>
  <c r="RR75" i="6"/>
  <c r="WU74" i="6"/>
  <c r="WT74" i="6" s="1"/>
  <c r="AP74" i="6"/>
  <c r="AO74" i="6" s="1"/>
  <c r="CJ73" i="6"/>
  <c r="CI73" i="6" s="1"/>
  <c r="IS72" i="6"/>
  <c r="VL71" i="6"/>
  <c r="VK71" i="6" s="1"/>
  <c r="DB71" i="6"/>
  <c r="DA71" i="6" s="1"/>
  <c r="GA70" i="6"/>
  <c r="FZ70" i="6" s="1"/>
  <c r="IA69" i="6"/>
  <c r="MW68" i="6"/>
  <c r="XQ67" i="6"/>
  <c r="XP67" i="6" s="1"/>
  <c r="EB67" i="6"/>
  <c r="EA67" i="6" s="1"/>
  <c r="LM66" i="6"/>
  <c r="KU65" i="6"/>
  <c r="PP64" i="6"/>
  <c r="GR63" i="6"/>
  <c r="GQ63" i="6" s="1"/>
  <c r="OF62" i="6"/>
  <c r="NN61" i="6"/>
  <c r="NM61" i="6" s="1"/>
  <c r="SJ60" i="6"/>
  <c r="JK59" i="6"/>
  <c r="QZ58" i="6"/>
  <c r="QH57" i="6"/>
  <c r="YM56" i="6"/>
  <c r="YL56" i="6" s="1"/>
  <c r="CS56" i="6"/>
  <c r="CR56" i="6" s="1"/>
  <c r="ME55" i="6"/>
  <c r="TT54" i="6"/>
  <c r="TB53" i="6"/>
  <c r="ZP52" i="6"/>
  <c r="ZO52" i="6" s="1"/>
  <c r="RR51" i="6"/>
  <c r="WU50" i="6"/>
  <c r="WT50" i="6" s="1"/>
  <c r="AP50" i="6"/>
  <c r="AO50" i="6" s="1"/>
  <c r="CJ49" i="6"/>
  <c r="CI49" i="6" s="1"/>
  <c r="IS48" i="6"/>
  <c r="UK47" i="6"/>
  <c r="UJ47" i="6" s="1"/>
  <c r="ABB46" i="6"/>
  <c r="DK46" i="6"/>
  <c r="DJ46" i="6" s="1"/>
  <c r="FJ45" i="6"/>
  <c r="FI45" i="6" s="1"/>
  <c r="KC44" i="6"/>
  <c r="VL43" i="6"/>
  <c r="VK43" i="6" s="1"/>
  <c r="DB43" i="6"/>
  <c r="DA43" i="6" s="1"/>
  <c r="KU41" i="6"/>
  <c r="PP40" i="6"/>
  <c r="GR39" i="6"/>
  <c r="GQ39" i="6" s="1"/>
  <c r="OF38" i="6"/>
  <c r="NN37" i="6"/>
  <c r="NM37" i="6" s="1"/>
  <c r="SJ36" i="6"/>
  <c r="JK35" i="6"/>
  <c r="QZ34" i="6"/>
  <c r="QH33" i="6"/>
  <c r="YM32" i="6"/>
  <c r="YL32" i="6" s="1"/>
  <c r="CS32" i="6"/>
  <c r="CR32" i="6" s="1"/>
  <c r="ME31" i="6"/>
  <c r="TT30" i="6"/>
  <c r="TB29" i="6"/>
  <c r="ZP28" i="6"/>
  <c r="ZO28" i="6" s="1"/>
  <c r="ES28" i="6"/>
  <c r="ER28" i="6" s="1"/>
  <c r="OX27" i="6"/>
  <c r="LM22" i="6"/>
  <c r="ES18" i="6"/>
  <c r="ER18" i="6" s="1"/>
  <c r="QZ16" i="6"/>
  <c r="MW14" i="6"/>
  <c r="CJ11" i="6"/>
  <c r="CI11" i="6" s="1"/>
  <c r="OX9" i="6"/>
  <c r="LM8" i="6"/>
  <c r="SJ117" i="6"/>
  <c r="CS9" i="6"/>
  <c r="CR9" i="6" s="1"/>
  <c r="OX7" i="6"/>
  <c r="ABS70" i="6"/>
  <c r="ABR70" i="6" s="1"/>
  <c r="WJ67" i="6"/>
  <c r="WI67" i="6" s="1"/>
  <c r="BQ64" i="6"/>
  <c r="BP64" i="6" s="1"/>
  <c r="XF60" i="6"/>
  <c r="XE60" i="6" s="1"/>
  <c r="ABS54" i="6"/>
  <c r="ABR54" i="6" s="1"/>
  <c r="WJ51" i="6"/>
  <c r="WI51" i="6" s="1"/>
  <c r="BQ48" i="6"/>
  <c r="BP48" i="6" s="1"/>
  <c r="XF44" i="6"/>
  <c r="XE44" i="6" s="1"/>
  <c r="ABS38" i="6"/>
  <c r="ABR38" i="6" s="1"/>
  <c r="WJ35" i="6"/>
  <c r="WI35" i="6" s="1"/>
  <c r="BQ32" i="6"/>
  <c r="BP32" i="6" s="1"/>
  <c r="XF28" i="6"/>
  <c r="XE28" i="6" s="1"/>
  <c r="ABS22" i="6"/>
  <c r="ABR22" i="6" s="1"/>
  <c r="XF18" i="6"/>
  <c r="XE18" i="6" s="1"/>
  <c r="ABS12" i="6"/>
  <c r="ABR12" i="6" s="1"/>
  <c r="WJ9" i="6"/>
  <c r="WI9" i="6" s="1"/>
  <c r="WA117" i="6"/>
  <c r="VZ117" i="6" s="1"/>
  <c r="AE6" i="6"/>
  <c r="AE117" i="6"/>
  <c r="KU28" i="6"/>
  <c r="HI27" i="6"/>
  <c r="HH27" i="6" s="1"/>
  <c r="OF25" i="6"/>
  <c r="CJ24" i="6"/>
  <c r="CI24" i="6" s="1"/>
  <c r="VL22" i="6"/>
  <c r="VK22" i="6" s="1"/>
  <c r="LM21" i="6"/>
  <c r="WU19" i="6"/>
  <c r="WT19" i="6" s="1"/>
  <c r="CJ18" i="6"/>
  <c r="CI18" i="6" s="1"/>
  <c r="IS13" i="6"/>
  <c r="OX12" i="6"/>
  <c r="XQ8" i="6"/>
  <c r="XP8" i="6" s="1"/>
  <c r="XQ7" i="6"/>
  <c r="XP7" i="6" s="1"/>
  <c r="AP6" i="6"/>
  <c r="AO6" i="6" s="1"/>
  <c r="AAX75" i="6"/>
  <c r="AAX23" i="6"/>
  <c r="AAX21" i="6"/>
  <c r="AAX14" i="6"/>
  <c r="AAX37" i="6"/>
  <c r="AAX12" i="6"/>
  <c r="AAX13" i="6"/>
  <c r="AAX66" i="6"/>
  <c r="AAX9" i="6"/>
  <c r="AAX50" i="6"/>
  <c r="AAX90" i="6"/>
  <c r="AAX46" i="6"/>
  <c r="AAX16" i="6"/>
  <c r="AAX99" i="6"/>
  <c r="AAX78" i="6"/>
  <c r="AAX38" i="6"/>
  <c r="AAX115" i="6"/>
  <c r="AAX97" i="6"/>
  <c r="AAX108" i="6"/>
  <c r="AAX70" i="6"/>
  <c r="AAX7" i="6"/>
  <c r="AAX88" i="6"/>
  <c r="AAX10" i="6"/>
  <c r="AAX113" i="6"/>
  <c r="AAX107" i="6"/>
  <c r="AAX48" i="6"/>
  <c r="AAX56" i="6"/>
  <c r="AAX89" i="6"/>
  <c r="AAX91" i="6"/>
  <c r="AAX58" i="6"/>
  <c r="AAX87" i="6"/>
  <c r="AAX116" i="6"/>
  <c r="AAX68" i="6"/>
  <c r="AAX101" i="6"/>
  <c r="AAX114" i="6"/>
  <c r="AAX36" i="6"/>
  <c r="AAX67" i="6"/>
  <c r="AAX80" i="6"/>
  <c r="AAX45" i="6"/>
  <c r="AAX51" i="6"/>
  <c r="AAX112" i="6"/>
  <c r="AAX28" i="6"/>
  <c r="AAX64" i="6"/>
  <c r="AAX25" i="6"/>
  <c r="AAX22" i="6"/>
  <c r="AAX20" i="6"/>
  <c r="AAX32" i="6"/>
  <c r="AAX33" i="6"/>
  <c r="AAX76" i="6"/>
  <c r="AAX30" i="6"/>
  <c r="AAX100" i="6"/>
  <c r="AAX86" i="6"/>
  <c r="AAX49" i="6"/>
  <c r="AAX18" i="6"/>
  <c r="AAX15" i="6"/>
  <c r="AAX11" i="6"/>
  <c r="AAX95" i="6"/>
  <c r="AAX52" i="6"/>
  <c r="AAX104" i="6"/>
  <c r="AAX24" i="6"/>
  <c r="AAX109" i="6"/>
  <c r="AAX79" i="6"/>
  <c r="AAX26" i="6"/>
  <c r="AAX8" i="6"/>
  <c r="AAX82" i="6"/>
  <c r="AAX43" i="6"/>
  <c r="AAX92" i="6"/>
  <c r="AAX73" i="6"/>
  <c r="AAX39" i="6"/>
  <c r="AAX42" i="6"/>
  <c r="AAX55" i="6"/>
  <c r="AAX65" i="6"/>
  <c r="AAX19" i="6"/>
  <c r="AAX17" i="6"/>
  <c r="AAX71" i="6"/>
  <c r="AAX27" i="6"/>
  <c r="AAX6" i="6"/>
  <c r="AAX81" i="6"/>
  <c r="AAX31" i="6"/>
  <c r="AAX98" i="6"/>
  <c r="AAX77" i="6"/>
  <c r="AAX103" i="6"/>
  <c r="AAX61" i="6"/>
  <c r="AAX57" i="6"/>
  <c r="AAX96" i="6"/>
  <c r="AAX93" i="6"/>
  <c r="AAX62" i="6"/>
  <c r="AAX105" i="6"/>
  <c r="AAX94" i="6"/>
  <c r="AAX63" i="6"/>
  <c r="AAX83" i="6"/>
  <c r="AAX111" i="6"/>
  <c r="AAX106" i="6"/>
  <c r="AAX85" i="6"/>
  <c r="AAX110" i="6"/>
  <c r="AAX72" i="6"/>
  <c r="AAX74" i="6"/>
  <c r="AAX102" i="6"/>
  <c r="AAX60" i="6"/>
  <c r="AAX69" i="6"/>
  <c r="AAX54" i="6"/>
  <c r="AAX53" i="6"/>
  <c r="AAX34" i="6"/>
  <c r="AAX41" i="6"/>
  <c r="AAX84" i="6"/>
  <c r="AAX117" i="6"/>
  <c r="AAX59" i="6"/>
  <c r="AAX44" i="6"/>
  <c r="AAX40" i="6"/>
  <c r="AAX29" i="6"/>
  <c r="AAX35" i="6"/>
  <c r="AAX47" i="6"/>
  <c r="E241" i="4"/>
  <c r="E244" i="4"/>
  <c r="E242" i="4"/>
  <c r="E243" i="4"/>
  <c r="E233" i="4"/>
  <c r="E232" i="4"/>
  <c r="E231" i="4"/>
  <c r="E287" i="4"/>
  <c r="E292" i="4"/>
  <c r="E294" i="4"/>
  <c r="E284" i="4"/>
  <c r="E293" i="4"/>
  <c r="E291" i="4"/>
  <c r="E288" i="4"/>
  <c r="E286" i="4"/>
  <c r="E285" i="4"/>
  <c r="E225" i="4"/>
  <c r="E226" i="4"/>
  <c r="E224" i="4"/>
  <c r="E227" i="4"/>
  <c r="D19" i="4"/>
  <c r="E19" i="4"/>
  <c r="D32" i="4"/>
  <c r="E32" i="4"/>
  <c r="D25" i="4"/>
  <c r="E25" i="4"/>
  <c r="E18" i="4"/>
  <c r="D18" i="4"/>
  <c r="D24" i="4"/>
  <c r="E24" i="4"/>
  <c r="D31" i="4"/>
  <c r="E30" i="4"/>
  <c r="E31" i="4"/>
  <c r="D23" i="4"/>
  <c r="E23" i="4"/>
  <c r="D22" i="4"/>
  <c r="E22" i="4"/>
  <c r="D34" i="4"/>
  <c r="E26" i="4"/>
  <c r="D26" i="4"/>
  <c r="D21" i="4"/>
  <c r="E21" i="4"/>
  <c r="E34" i="4"/>
  <c r="E20" i="4"/>
  <c r="D20" i="4"/>
  <c r="D33" i="4"/>
  <c r="E33" i="4"/>
  <c r="D30" i="4"/>
  <c r="ACJ39" i="6" l="1"/>
  <c r="ACI39" i="6" s="1"/>
  <c r="ACJ37" i="6"/>
  <c r="ACI37" i="6" s="1"/>
  <c r="ACJ117" i="6"/>
  <c r="ACI117" i="6" s="1"/>
  <c r="ACJ48" i="6"/>
  <c r="ACI48" i="6" s="1"/>
  <c r="ACJ23" i="6"/>
  <c r="ACI23" i="6" s="1"/>
  <c r="ACJ50" i="6"/>
  <c r="ACI50" i="6" s="1"/>
  <c r="ACJ92" i="6"/>
  <c r="ACI92" i="6" s="1"/>
  <c r="ACJ10" i="6"/>
  <c r="ACI10" i="6" s="1"/>
  <c r="ACJ67" i="6"/>
  <c r="ACI67" i="6" s="1"/>
  <c r="ACJ69" i="6"/>
  <c r="ACI69" i="6" s="1"/>
  <c r="ACJ100" i="6"/>
  <c r="ACI100" i="6" s="1"/>
  <c r="ACJ108" i="6"/>
  <c r="ACI108" i="6" s="1"/>
  <c r="ACJ113" i="6"/>
  <c r="ACI113" i="6" s="1"/>
  <c r="ACJ72" i="6"/>
  <c r="ACI72" i="6" s="1"/>
  <c r="ACJ51" i="6"/>
  <c r="ACI51" i="6" s="1"/>
  <c r="ACJ104" i="6"/>
  <c r="ACI104" i="6" s="1"/>
  <c r="ACJ99" i="6"/>
  <c r="ACI99" i="6" s="1"/>
  <c r="ACJ116" i="6"/>
  <c r="ACI116" i="6" s="1"/>
  <c r="ACJ88" i="6"/>
  <c r="ACI88" i="6" s="1"/>
  <c r="ACJ58" i="6"/>
  <c r="ACI58" i="6" s="1"/>
  <c r="ACJ80" i="6"/>
  <c r="ACI80" i="6" s="1"/>
  <c r="ACJ61" i="6"/>
  <c r="ACI61" i="6" s="1"/>
  <c r="ACJ111" i="6"/>
  <c r="ACI111" i="6" s="1"/>
  <c r="ACJ96" i="6"/>
  <c r="ACI96" i="6" s="1"/>
  <c r="ACJ30" i="6"/>
  <c r="ACI30" i="6" s="1"/>
  <c r="ACJ25" i="6"/>
  <c r="ACI25" i="6" s="1"/>
  <c r="ACJ107" i="6"/>
  <c r="ACI107" i="6" s="1"/>
  <c r="ACJ75" i="6"/>
  <c r="ACI75" i="6" s="1"/>
  <c r="ACJ70" i="6"/>
  <c r="ACI70" i="6" s="1"/>
  <c r="ACJ40" i="6"/>
  <c r="ACI40" i="6" s="1"/>
  <c r="ACJ42" i="6"/>
  <c r="ACI42" i="6" s="1"/>
  <c r="ACJ76" i="6"/>
  <c r="ACI76" i="6" s="1"/>
  <c r="ACJ82" i="6"/>
  <c r="ACI82" i="6" s="1"/>
  <c r="ACJ55" i="6"/>
  <c r="ACI55" i="6" s="1"/>
  <c r="ACJ64" i="6"/>
  <c r="ACI64" i="6" s="1"/>
  <c r="ACJ105" i="6"/>
  <c r="ACI105" i="6" s="1"/>
  <c r="ACJ20" i="6"/>
  <c r="ACI20" i="6" s="1"/>
  <c r="ACJ94" i="6"/>
  <c r="ACI94" i="6" s="1"/>
  <c r="ACJ65" i="6"/>
  <c r="ACI65" i="6" s="1"/>
  <c r="ACJ63" i="6"/>
  <c r="ACI63" i="6" s="1"/>
  <c r="ACJ26" i="6"/>
  <c r="ACI26" i="6" s="1"/>
  <c r="ACJ54" i="6"/>
  <c r="ACI54" i="6" s="1"/>
  <c r="ACJ47" i="6"/>
  <c r="ACI47" i="6" s="1"/>
  <c r="ACJ110" i="6"/>
  <c r="ACI110" i="6" s="1"/>
  <c r="ACJ9" i="6"/>
  <c r="ACI9" i="6" s="1"/>
  <c r="ACJ16" i="6"/>
  <c r="ACI16" i="6" s="1"/>
  <c r="ACJ83" i="6"/>
  <c r="ACI83" i="6" s="1"/>
  <c r="ACJ89" i="6"/>
  <c r="ACI89" i="6" s="1"/>
  <c r="ACJ27" i="6"/>
  <c r="ACI27" i="6" s="1"/>
  <c r="ACJ44" i="6"/>
  <c r="ACI44" i="6" s="1"/>
  <c r="ACJ60" i="6"/>
  <c r="ACI60" i="6" s="1"/>
  <c r="ACJ87" i="6"/>
  <c r="ACI87" i="6" s="1"/>
  <c r="ACJ19" i="6"/>
  <c r="ACI19" i="6" s="1"/>
  <c r="ACJ68" i="6"/>
  <c r="ACI68" i="6" s="1"/>
  <c r="ACJ33" i="6"/>
  <c r="ACI33" i="6" s="1"/>
  <c r="ACJ35" i="6"/>
  <c r="ACI35" i="6" s="1"/>
  <c r="ACJ112" i="6"/>
  <c r="ACI112" i="6" s="1"/>
  <c r="ACJ74" i="6"/>
  <c r="ACI74" i="6" s="1"/>
  <c r="ACJ106" i="6"/>
  <c r="ACI106" i="6" s="1"/>
  <c r="ACJ49" i="6"/>
  <c r="ACI49" i="6" s="1"/>
  <c r="ACJ28" i="6"/>
  <c r="ACI28" i="6" s="1"/>
  <c r="ACJ22" i="6"/>
  <c r="ACI22" i="6" s="1"/>
  <c r="ACJ8" i="6"/>
  <c r="ACI8" i="6" s="1"/>
  <c r="ACJ109" i="6"/>
  <c r="ACI109" i="6" s="1"/>
  <c r="ACJ90" i="6"/>
  <c r="ACI90" i="6" s="1"/>
  <c r="ACJ6" i="6"/>
  <c r="ACI6" i="6" s="1"/>
  <c r="ACJ21" i="6"/>
  <c r="ACI21" i="6" s="1"/>
  <c r="ACJ17" i="6"/>
  <c r="ACI17" i="6" s="1"/>
  <c r="ACJ14" i="6"/>
  <c r="ACI14" i="6" s="1"/>
  <c r="ACJ98" i="6"/>
  <c r="ACI98" i="6" s="1"/>
  <c r="ACJ84" i="6"/>
  <c r="ACI84" i="6" s="1"/>
  <c r="ACJ18" i="6"/>
  <c r="ACI18" i="6" s="1"/>
  <c r="ACJ7" i="6"/>
  <c r="ACI7" i="6" s="1"/>
  <c r="ACJ43" i="6"/>
  <c r="ACI43" i="6" s="1"/>
  <c r="ACJ52" i="6"/>
  <c r="ACI52" i="6" s="1"/>
  <c r="ACJ102" i="6"/>
  <c r="ACI102" i="6" s="1"/>
  <c r="ACJ97" i="6"/>
  <c r="ACI97" i="6" s="1"/>
  <c r="ACJ45" i="6"/>
  <c r="ACI45" i="6" s="1"/>
  <c r="ACJ101" i="6"/>
  <c r="ACI101" i="6" s="1"/>
  <c r="ACJ38" i="6"/>
  <c r="ACI38" i="6" s="1"/>
  <c r="ACJ66" i="6"/>
  <c r="ACI66" i="6" s="1"/>
  <c r="ACJ85" i="6"/>
  <c r="ACI85" i="6" s="1"/>
  <c r="ACJ11" i="6"/>
  <c r="ACI11" i="6" s="1"/>
  <c r="ACJ46" i="6"/>
  <c r="ACI46" i="6" s="1"/>
  <c r="ACJ79" i="6"/>
  <c r="ACI79" i="6" s="1"/>
  <c r="ACJ81" i="6"/>
  <c r="ACI81" i="6" s="1"/>
  <c r="ACJ91" i="6"/>
  <c r="ACI91" i="6" s="1"/>
  <c r="ACJ31" i="6"/>
  <c r="ACI31" i="6" s="1"/>
  <c r="ACJ32" i="6"/>
  <c r="ACI32" i="6" s="1"/>
  <c r="ACJ41" i="6"/>
  <c r="ACI41" i="6" s="1"/>
  <c r="ACJ78" i="6"/>
  <c r="ACI78" i="6" s="1"/>
  <c r="ACJ56" i="6"/>
  <c r="ACI56" i="6" s="1"/>
  <c r="ACJ103" i="6"/>
  <c r="ACI103" i="6" s="1"/>
  <c r="ACJ13" i="6"/>
  <c r="ACI13" i="6" s="1"/>
  <c r="ACJ15" i="6"/>
  <c r="ACI15" i="6" s="1"/>
  <c r="ACJ34" i="6"/>
  <c r="ACI34" i="6" s="1"/>
  <c r="ACJ62" i="6"/>
  <c r="ACI62" i="6" s="1"/>
  <c r="ACJ114" i="6"/>
  <c r="ACI114" i="6" s="1"/>
  <c r="ACJ77" i="6"/>
  <c r="ACI77" i="6" s="1"/>
  <c r="ACJ24" i="6"/>
  <c r="ACI24" i="6" s="1"/>
  <c r="ACJ53" i="6"/>
  <c r="ACI53" i="6" s="1"/>
  <c r="ACJ86" i="6"/>
  <c r="ACI86" i="6" s="1"/>
  <c r="ACJ29" i="6"/>
  <c r="ACI29" i="6" s="1"/>
  <c r="ACJ115" i="6"/>
  <c r="ACI115" i="6" s="1"/>
  <c r="ACJ59" i="6"/>
  <c r="ACI59" i="6" s="1"/>
  <c r="ACJ93" i="6"/>
  <c r="ACI93" i="6" s="1"/>
  <c r="ACJ71" i="6"/>
  <c r="ACI71" i="6" s="1"/>
  <c r="ACJ36" i="6"/>
  <c r="ACI36" i="6" s="1"/>
  <c r="ACJ73" i="6"/>
  <c r="ACI73" i="6" s="1"/>
  <c r="F84" i="6"/>
  <c r="E84" i="6" s="1"/>
  <c r="R62" i="6"/>
  <c r="Q62" i="6" s="1"/>
  <c r="F78" i="6"/>
  <c r="E78" i="6" s="1"/>
  <c r="R31" i="6"/>
  <c r="Q31" i="6" s="1"/>
  <c r="R98" i="6"/>
  <c r="Q98" i="6" s="1"/>
  <c r="F39" i="6"/>
  <c r="E39" i="6" s="1"/>
  <c r="F42" i="6"/>
  <c r="E42" i="6" s="1"/>
  <c r="F46" i="6"/>
  <c r="E46" i="6" s="1"/>
  <c r="R113" i="6"/>
  <c r="Q113" i="6" s="1"/>
  <c r="F24" i="6"/>
  <c r="E24" i="6" s="1"/>
  <c r="R48" i="6"/>
  <c r="Q48" i="6" s="1"/>
  <c r="F16" i="6"/>
  <c r="E16" i="6" s="1"/>
  <c r="R53" i="6"/>
  <c r="Q53" i="6" s="1"/>
  <c r="F21" i="6"/>
  <c r="E21" i="6" s="1"/>
  <c r="R85" i="6"/>
  <c r="Q85" i="6" s="1"/>
  <c r="F81" i="6"/>
  <c r="E81" i="6" s="1"/>
  <c r="F101" i="6"/>
  <c r="E101" i="6" s="1"/>
  <c r="F91" i="6"/>
  <c r="E91" i="6" s="1"/>
  <c r="F96" i="6"/>
  <c r="E96" i="6" s="1"/>
  <c r="R81" i="6"/>
  <c r="Q81" i="6" s="1"/>
  <c r="R83" i="6"/>
  <c r="Q83" i="6" s="1"/>
  <c r="R116" i="6"/>
  <c r="Q116" i="6" s="1"/>
  <c r="R61" i="6"/>
  <c r="Q61" i="6" s="1"/>
  <c r="F72" i="6"/>
  <c r="E72" i="6" s="1"/>
  <c r="R117" i="6"/>
  <c r="Q117" i="6" s="1"/>
  <c r="R94" i="6"/>
  <c r="Q94" i="6" s="1"/>
  <c r="F106" i="6"/>
  <c r="E106" i="6" s="1"/>
  <c r="F62" i="6"/>
  <c r="E62" i="6" s="1"/>
  <c r="R32" i="6"/>
  <c r="Q32" i="6" s="1"/>
  <c r="F37" i="6"/>
  <c r="E37" i="6" s="1"/>
  <c r="R65" i="6"/>
  <c r="Q65" i="6" s="1"/>
  <c r="F74" i="6"/>
  <c r="E74" i="6" s="1"/>
  <c r="F17" i="6"/>
  <c r="E17" i="6" s="1"/>
  <c r="F52" i="6"/>
  <c r="E52" i="6" s="1"/>
  <c r="F112" i="6"/>
  <c r="E112" i="6" s="1"/>
  <c r="R33" i="6"/>
  <c r="Q33" i="6" s="1"/>
  <c r="R15" i="6"/>
  <c r="Q15" i="6" s="1"/>
  <c r="F53" i="6"/>
  <c r="E53" i="6" s="1"/>
  <c r="R70" i="6"/>
  <c r="Q70" i="6" s="1"/>
  <c r="R9" i="6"/>
  <c r="Q9" i="6" s="1"/>
  <c r="R93" i="6"/>
  <c r="Q93" i="6" s="1"/>
  <c r="F8" i="6"/>
  <c r="E8" i="6" s="1"/>
  <c r="F34" i="6"/>
  <c r="E34" i="6" s="1"/>
  <c r="R107" i="6"/>
  <c r="Q107" i="6" s="1"/>
  <c r="R77" i="6"/>
  <c r="Q77" i="6" s="1"/>
  <c r="F117" i="6"/>
  <c r="E117" i="6" s="1"/>
  <c r="F65" i="6"/>
  <c r="E65" i="6" s="1"/>
  <c r="R64" i="6"/>
  <c r="Q64" i="6" s="1"/>
  <c r="F103" i="6"/>
  <c r="E103" i="6" s="1"/>
  <c r="R111" i="6"/>
  <c r="Q111" i="6" s="1"/>
  <c r="F71" i="6"/>
  <c r="E71" i="6" s="1"/>
  <c r="R40" i="6"/>
  <c r="Q40" i="6" s="1"/>
  <c r="R68" i="6"/>
  <c r="Q68" i="6" s="1"/>
  <c r="F113" i="6"/>
  <c r="E113" i="6" s="1"/>
  <c r="R42" i="6"/>
  <c r="Q42" i="6" s="1"/>
  <c r="R59" i="6"/>
  <c r="Q59" i="6" s="1"/>
  <c r="F43" i="6"/>
  <c r="E43" i="6" s="1"/>
  <c r="F56" i="6"/>
  <c r="E56" i="6" s="1"/>
  <c r="R76" i="6"/>
  <c r="Q76" i="6" s="1"/>
  <c r="F116" i="6"/>
  <c r="E116" i="6" s="1"/>
  <c r="R75" i="6"/>
  <c r="Q75" i="6" s="1"/>
  <c r="F26" i="6"/>
  <c r="E26" i="6" s="1"/>
  <c r="R38" i="6"/>
  <c r="Q38" i="6" s="1"/>
  <c r="R79" i="6"/>
  <c r="Q79" i="6" s="1"/>
  <c r="R104" i="6"/>
  <c r="Q104" i="6" s="1"/>
  <c r="R29" i="6"/>
  <c r="Q29" i="6" s="1"/>
  <c r="F23" i="6"/>
  <c r="E23" i="6" s="1"/>
  <c r="F7" i="6"/>
  <c r="E7" i="6" s="1"/>
  <c r="F33" i="6"/>
  <c r="E33" i="6" s="1"/>
  <c r="F30" i="6"/>
  <c r="E30" i="6" s="1"/>
  <c r="R39" i="6"/>
  <c r="Q39" i="6" s="1"/>
  <c r="R6" i="6"/>
  <c r="Q6" i="6" s="1"/>
  <c r="F85" i="6"/>
  <c r="E85" i="6" s="1"/>
  <c r="F66" i="6"/>
  <c r="E66" i="6" s="1"/>
  <c r="R105" i="6"/>
  <c r="Q105" i="6" s="1"/>
  <c r="R86" i="6"/>
  <c r="Q86" i="6" s="1"/>
  <c r="R91" i="6"/>
  <c r="Q91" i="6" s="1"/>
  <c r="R66" i="6"/>
  <c r="Q66" i="6" s="1"/>
  <c r="F36" i="6"/>
  <c r="E36" i="6" s="1"/>
  <c r="R13" i="6"/>
  <c r="Q13" i="6" s="1"/>
  <c r="R19" i="6"/>
  <c r="Q19" i="6" s="1"/>
  <c r="R44" i="6"/>
  <c r="Q44" i="6" s="1"/>
  <c r="R89" i="6"/>
  <c r="Q89" i="6" s="1"/>
  <c r="R112" i="6"/>
  <c r="Q112" i="6" s="1"/>
  <c r="R14" i="6"/>
  <c r="Q14" i="6" s="1"/>
  <c r="F75" i="6"/>
  <c r="E75" i="6" s="1"/>
  <c r="R18" i="6"/>
  <c r="Q18" i="6" s="1"/>
  <c r="F47" i="6"/>
  <c r="E47" i="6" s="1"/>
  <c r="F58" i="6"/>
  <c r="E58" i="6" s="1"/>
  <c r="F49" i="6"/>
  <c r="E49" i="6" s="1"/>
  <c r="F87" i="6"/>
  <c r="E87" i="6" s="1"/>
  <c r="R20" i="6"/>
  <c r="Q20" i="6" s="1"/>
  <c r="F55" i="6"/>
  <c r="E55" i="6" s="1"/>
  <c r="F14" i="6"/>
  <c r="E14" i="6" s="1"/>
  <c r="R109" i="6"/>
  <c r="Q109" i="6" s="1"/>
  <c r="R95" i="6"/>
  <c r="Q95" i="6" s="1"/>
  <c r="R115" i="6"/>
  <c r="Q115" i="6" s="1"/>
  <c r="F97" i="6"/>
  <c r="E97" i="6" s="1"/>
  <c r="R72" i="6"/>
  <c r="Q72" i="6" s="1"/>
  <c r="F94" i="6"/>
  <c r="E94" i="6" s="1"/>
  <c r="R37" i="6"/>
  <c r="Q37" i="6" s="1"/>
  <c r="F27" i="6"/>
  <c r="E27" i="6" s="1"/>
  <c r="F40" i="6"/>
  <c r="E40" i="6" s="1"/>
  <c r="F11" i="6"/>
  <c r="E11" i="6" s="1"/>
  <c r="F100" i="6"/>
  <c r="E100" i="6" s="1"/>
  <c r="R41" i="6"/>
  <c r="Q41" i="6" s="1"/>
  <c r="F110" i="6"/>
  <c r="E110" i="6" s="1"/>
  <c r="R25" i="6"/>
  <c r="Q25" i="6" s="1"/>
  <c r="R55" i="6"/>
  <c r="Q55" i="6" s="1"/>
  <c r="F90" i="6"/>
  <c r="E90" i="6" s="1"/>
  <c r="F68" i="6"/>
  <c r="E68" i="6" s="1"/>
  <c r="R90" i="6"/>
  <c r="Q90" i="6" s="1"/>
  <c r="R57" i="6"/>
  <c r="Q57" i="6" s="1"/>
  <c r="R35" i="6"/>
  <c r="Q35" i="6" s="1"/>
  <c r="F69" i="6"/>
  <c r="E69" i="6" s="1"/>
  <c r="F107" i="6"/>
  <c r="E107" i="6" s="1"/>
  <c r="R7" i="6"/>
  <c r="Q7" i="6" s="1"/>
  <c r="R46" i="6"/>
  <c r="Q46" i="6" s="1"/>
  <c r="F18" i="6"/>
  <c r="E18" i="6" s="1"/>
  <c r="R84" i="6"/>
  <c r="Q84" i="6" s="1"/>
  <c r="F50" i="6"/>
  <c r="E50" i="6" s="1"/>
  <c r="F45" i="6"/>
  <c r="E45" i="6" s="1"/>
  <c r="F20" i="6"/>
  <c r="E20" i="6" s="1"/>
  <c r="F80" i="6"/>
  <c r="E80" i="6" s="1"/>
  <c r="F59" i="6"/>
  <c r="E59" i="6" s="1"/>
  <c r="R51" i="6"/>
  <c r="Q51" i="6" s="1"/>
  <c r="F102" i="6"/>
  <c r="E102" i="6" s="1"/>
  <c r="R12" i="6"/>
  <c r="Q12" i="6" s="1"/>
  <c r="F41" i="6"/>
  <c r="E41" i="6" s="1"/>
  <c r="R108" i="6"/>
  <c r="Q108" i="6" s="1"/>
  <c r="F70" i="6"/>
  <c r="E70" i="6" s="1"/>
  <c r="F76" i="6"/>
  <c r="E76" i="6" s="1"/>
  <c r="R103" i="6"/>
  <c r="Q103" i="6" s="1"/>
  <c r="F54" i="6"/>
  <c r="E54" i="6" s="1"/>
  <c r="R43" i="6"/>
  <c r="Q43" i="6" s="1"/>
  <c r="F111" i="6"/>
  <c r="E111" i="6" s="1"/>
  <c r="F98" i="6"/>
  <c r="E98" i="6" s="1"/>
  <c r="F31" i="6"/>
  <c r="E31" i="6" s="1"/>
  <c r="F44" i="6"/>
  <c r="E44" i="6" s="1"/>
  <c r="F105" i="6"/>
  <c r="E105" i="6" s="1"/>
  <c r="F12" i="6"/>
  <c r="E12" i="6" s="1"/>
  <c r="F38" i="6"/>
  <c r="E38" i="6" s="1"/>
  <c r="R71" i="6"/>
  <c r="Q71" i="6" s="1"/>
  <c r="F115" i="6"/>
  <c r="E115" i="6" s="1"/>
  <c r="R11" i="6"/>
  <c r="Q11" i="6" s="1"/>
  <c r="R73" i="6"/>
  <c r="Q73" i="6" s="1"/>
  <c r="F35" i="6"/>
  <c r="E35" i="6" s="1"/>
  <c r="F108" i="6"/>
  <c r="E108" i="6" s="1"/>
  <c r="F93" i="6"/>
  <c r="E93" i="6" s="1"/>
  <c r="R50" i="6"/>
  <c r="Q50" i="6" s="1"/>
  <c r="R99" i="6"/>
  <c r="Q99" i="6" s="1"/>
  <c r="F9" i="6"/>
  <c r="E9" i="6" s="1"/>
  <c r="R22" i="6"/>
  <c r="Q22" i="6" s="1"/>
  <c r="F25" i="6"/>
  <c r="E25" i="6" s="1"/>
  <c r="R45" i="6"/>
  <c r="Q45" i="6" s="1"/>
  <c r="F86" i="6"/>
  <c r="E86" i="6" s="1"/>
  <c r="F13" i="6"/>
  <c r="E13" i="6" s="1"/>
  <c r="F48" i="6"/>
  <c r="E48" i="6" s="1"/>
  <c r="F73" i="6"/>
  <c r="E73" i="6" s="1"/>
  <c r="F63" i="6"/>
  <c r="E63" i="6" s="1"/>
  <c r="F104" i="6"/>
  <c r="E104" i="6" s="1"/>
  <c r="R101" i="6"/>
  <c r="Q101" i="6" s="1"/>
  <c r="R10" i="6"/>
  <c r="Q10" i="6" s="1"/>
  <c r="F67" i="6"/>
  <c r="E67" i="6" s="1"/>
  <c r="F19" i="6"/>
  <c r="E19" i="6" s="1"/>
  <c r="R21" i="6"/>
  <c r="Q21" i="6" s="1"/>
  <c r="F95" i="6"/>
  <c r="E95" i="6" s="1"/>
  <c r="R102" i="6"/>
  <c r="Q102" i="6" s="1"/>
  <c r="F82" i="6"/>
  <c r="E82" i="6" s="1"/>
  <c r="R28" i="6"/>
  <c r="Q28" i="6" s="1"/>
  <c r="R78" i="6"/>
  <c r="Q78" i="6" s="1"/>
  <c r="F28" i="6"/>
  <c r="E28" i="6" s="1"/>
  <c r="R67" i="6"/>
  <c r="Q67" i="6" s="1"/>
  <c r="F89" i="6"/>
  <c r="E89" i="6" s="1"/>
  <c r="F22" i="6"/>
  <c r="E22" i="6" s="1"/>
  <c r="R30" i="6"/>
  <c r="Q30" i="6" s="1"/>
  <c r="R36" i="6"/>
  <c r="Q36" i="6" s="1"/>
  <c r="F99" i="6"/>
  <c r="E99" i="6" s="1"/>
  <c r="R110" i="6"/>
  <c r="Q110" i="6" s="1"/>
  <c r="R24" i="6"/>
  <c r="Q24" i="6" s="1"/>
  <c r="F6" i="6"/>
  <c r="E6" i="6" s="1"/>
  <c r="R114" i="6"/>
  <c r="Q114" i="6" s="1"/>
  <c r="F92" i="6"/>
  <c r="E92" i="6" s="1"/>
  <c r="F77" i="6"/>
  <c r="E77" i="6" s="1"/>
  <c r="R17" i="6"/>
  <c r="Q17" i="6" s="1"/>
  <c r="R47" i="6"/>
  <c r="Q47" i="6" s="1"/>
  <c r="R56" i="6"/>
  <c r="Q56" i="6" s="1"/>
  <c r="R97" i="6"/>
  <c r="Q97" i="6" s="1"/>
  <c r="R106" i="6"/>
  <c r="Q106" i="6" s="1"/>
  <c r="R23" i="6"/>
  <c r="Q23" i="6" s="1"/>
  <c r="F61" i="6"/>
  <c r="E61" i="6" s="1"/>
  <c r="R96" i="6"/>
  <c r="Q96" i="6" s="1"/>
  <c r="R49" i="6"/>
  <c r="Q49" i="6" s="1"/>
  <c r="F32" i="6"/>
  <c r="E32" i="6" s="1"/>
  <c r="R87" i="6"/>
  <c r="Q87" i="6" s="1"/>
  <c r="F57" i="6"/>
  <c r="E57" i="6" s="1"/>
  <c r="F114" i="6"/>
  <c r="E114" i="6" s="1"/>
  <c r="R69" i="6"/>
  <c r="Q69" i="6" s="1"/>
  <c r="R26" i="6"/>
  <c r="Q26" i="6" s="1"/>
  <c r="F60" i="6"/>
  <c r="E60" i="6" s="1"/>
  <c r="F88" i="6"/>
  <c r="E88" i="6" s="1"/>
  <c r="R58" i="6"/>
  <c r="Q58" i="6" s="1"/>
  <c r="F51" i="6"/>
  <c r="E51" i="6" s="1"/>
  <c r="R16" i="6"/>
  <c r="Q16" i="6" s="1"/>
  <c r="F10" i="6"/>
  <c r="E10" i="6" s="1"/>
  <c r="F29" i="6"/>
  <c r="E29" i="6" s="1"/>
  <c r="R82" i="6"/>
  <c r="Q82" i="6" s="1"/>
  <c r="F109" i="6"/>
  <c r="E109" i="6" s="1"/>
  <c r="R8" i="6"/>
  <c r="Q8" i="6" s="1"/>
  <c r="R74" i="6"/>
  <c r="Q74" i="6" s="1"/>
  <c r="R63" i="6"/>
  <c r="Q63" i="6" s="1"/>
  <c r="R52" i="6"/>
  <c r="Q52" i="6" s="1"/>
  <c r="R80" i="6"/>
  <c r="Q80" i="6" s="1"/>
  <c r="F79" i="6"/>
  <c r="E79" i="6" s="1"/>
  <c r="R88" i="6"/>
  <c r="Q88" i="6" s="1"/>
  <c r="R54" i="6"/>
  <c r="Q54" i="6" s="1"/>
  <c r="R27" i="6"/>
  <c r="Q27" i="6" s="1"/>
  <c r="F15" i="6"/>
  <c r="E15" i="6" s="1"/>
  <c r="R92" i="6"/>
  <c r="Q92" i="6" s="1"/>
  <c r="F83" i="6"/>
  <c r="E83" i="6" s="1"/>
  <c r="R34" i="6"/>
  <c r="Q34" i="6" s="1"/>
  <c r="F64" i="6"/>
  <c r="E64" i="6" s="1"/>
  <c r="R60" i="6"/>
  <c r="Q60" i="6" s="1"/>
  <c r="R100" i="6"/>
  <c r="Q100" i="6" s="1"/>
  <c r="UT58" i="6"/>
  <c r="US58" i="6" s="1"/>
  <c r="UT40" i="6"/>
  <c r="US40" i="6" s="1"/>
  <c r="UT78" i="6"/>
  <c r="US78" i="6" s="1"/>
  <c r="UT64" i="6"/>
  <c r="US64" i="6" s="1"/>
  <c r="UT21" i="6"/>
  <c r="US21" i="6" s="1"/>
  <c r="UT103" i="6"/>
  <c r="US103" i="6" s="1"/>
  <c r="UT102" i="6"/>
  <c r="US102" i="6" s="1"/>
  <c r="UT32" i="6"/>
  <c r="US32" i="6" s="1"/>
  <c r="UT33" i="6"/>
  <c r="US33" i="6" s="1"/>
  <c r="UT53" i="6"/>
  <c r="US53" i="6" s="1"/>
  <c r="UT11" i="6"/>
  <c r="US11" i="6" s="1"/>
  <c r="UT47" i="6"/>
  <c r="US47" i="6" s="1"/>
  <c r="UT88" i="6"/>
  <c r="US88" i="6" s="1"/>
  <c r="UT98" i="6"/>
  <c r="US98" i="6" s="1"/>
  <c r="UT110" i="6"/>
  <c r="US110" i="6" s="1"/>
  <c r="UT34" i="6"/>
  <c r="US34" i="6" s="1"/>
  <c r="OW113" i="6"/>
  <c r="OV113" i="6" s="1"/>
  <c r="UT35" i="6"/>
  <c r="US35" i="6" s="1"/>
  <c r="UT48" i="6"/>
  <c r="US48" i="6" s="1"/>
  <c r="UT30" i="6"/>
  <c r="US30" i="6" s="1"/>
  <c r="UT109" i="6"/>
  <c r="US109" i="6" s="1"/>
  <c r="UT113" i="6"/>
  <c r="US113" i="6" s="1"/>
  <c r="UT10" i="6"/>
  <c r="US10" i="6" s="1"/>
  <c r="UT75" i="6"/>
  <c r="US75" i="6" s="1"/>
  <c r="UT15" i="6"/>
  <c r="US15" i="6" s="1"/>
  <c r="UT83" i="6"/>
  <c r="US83" i="6" s="1"/>
  <c r="TS113" i="6"/>
  <c r="TR113" i="6" s="1"/>
  <c r="AD34" i="6"/>
  <c r="AC34" i="6" s="1"/>
  <c r="HZ116" i="6"/>
  <c r="HY116" i="6" s="1"/>
  <c r="GP7" i="6"/>
  <c r="OE112" i="6"/>
  <c r="OD112" i="6" s="1"/>
  <c r="UT114" i="6"/>
  <c r="US114" i="6" s="1"/>
  <c r="UT28" i="6"/>
  <c r="US28" i="6" s="1"/>
  <c r="UT49" i="6"/>
  <c r="US49" i="6" s="1"/>
  <c r="QY108" i="6"/>
  <c r="QX108" i="6" s="1"/>
  <c r="UT7" i="6"/>
  <c r="US7" i="6" s="1"/>
  <c r="KB91" i="6"/>
  <c r="KA91" i="6" s="1"/>
  <c r="UT81" i="6"/>
  <c r="US81" i="6" s="1"/>
  <c r="UT55" i="6"/>
  <c r="US55" i="6" s="1"/>
  <c r="LL80" i="6"/>
  <c r="LK80" i="6" s="1"/>
  <c r="UT31" i="6"/>
  <c r="US31" i="6" s="1"/>
  <c r="UT117" i="6"/>
  <c r="US117" i="6" s="1"/>
  <c r="UT111" i="6"/>
  <c r="US111" i="6" s="1"/>
  <c r="UT74" i="6"/>
  <c r="US74" i="6" s="1"/>
  <c r="BO23" i="6"/>
  <c r="HZ107" i="6"/>
  <c r="HY107" i="6" s="1"/>
  <c r="UT63" i="6"/>
  <c r="US63" i="6" s="1"/>
  <c r="JJ70" i="6"/>
  <c r="JI70" i="6" s="1"/>
  <c r="UT56" i="6"/>
  <c r="US56" i="6" s="1"/>
  <c r="UT36" i="6"/>
  <c r="US36" i="6" s="1"/>
  <c r="UT84" i="6"/>
  <c r="US84" i="6" s="1"/>
  <c r="UT45" i="6"/>
  <c r="US45" i="6" s="1"/>
  <c r="UT62" i="6"/>
  <c r="US62" i="6" s="1"/>
  <c r="KT95" i="6"/>
  <c r="KS95" i="6" s="1"/>
  <c r="UT85" i="6"/>
  <c r="US85" i="6" s="1"/>
  <c r="UT51" i="6"/>
  <c r="US51" i="6" s="1"/>
  <c r="OW61" i="6"/>
  <c r="OV61" i="6" s="1"/>
  <c r="UT17" i="6"/>
  <c r="US17" i="6" s="1"/>
  <c r="UT68" i="6"/>
  <c r="US68" i="6" s="1"/>
  <c r="UT93" i="6"/>
  <c r="US93" i="6" s="1"/>
  <c r="UT72" i="6"/>
  <c r="US72" i="6" s="1"/>
  <c r="UT52" i="6"/>
  <c r="US52" i="6" s="1"/>
  <c r="LL105" i="6"/>
  <c r="LK105" i="6" s="1"/>
  <c r="VJ114" i="6"/>
  <c r="TS109" i="6"/>
  <c r="TR109" i="6" s="1"/>
  <c r="UT106" i="6"/>
  <c r="US106" i="6" s="1"/>
  <c r="UT67" i="6"/>
  <c r="US67" i="6" s="1"/>
  <c r="UT95" i="6"/>
  <c r="US95" i="6" s="1"/>
  <c r="UT8" i="6"/>
  <c r="US8" i="6" s="1"/>
  <c r="UT22" i="6"/>
  <c r="US22" i="6" s="1"/>
  <c r="KB87" i="6"/>
  <c r="KA87" i="6" s="1"/>
  <c r="UT99" i="6"/>
  <c r="US99" i="6" s="1"/>
  <c r="PO111" i="6"/>
  <c r="PN111" i="6" s="1"/>
  <c r="IR31" i="6"/>
  <c r="IQ31" i="6" s="1"/>
  <c r="TS44" i="6"/>
  <c r="TR44" i="6" s="1"/>
  <c r="UT42" i="6"/>
  <c r="US42" i="6" s="1"/>
  <c r="UT97" i="6"/>
  <c r="US97" i="6" s="1"/>
  <c r="SI70" i="6"/>
  <c r="SH70" i="6" s="1"/>
  <c r="UT6" i="6"/>
  <c r="US6" i="6" s="1"/>
  <c r="ABA101" i="6"/>
  <c r="AAZ101" i="6" s="1"/>
  <c r="FY59" i="6"/>
  <c r="DZ69" i="6"/>
  <c r="KB86" i="6"/>
  <c r="KA86" i="6" s="1"/>
  <c r="MD110" i="6"/>
  <c r="MC110" i="6" s="1"/>
  <c r="UT87" i="6"/>
  <c r="US87" i="6" s="1"/>
  <c r="UT112" i="6"/>
  <c r="US112" i="6" s="1"/>
  <c r="UT41" i="6"/>
  <c r="US41" i="6" s="1"/>
  <c r="UT86" i="6"/>
  <c r="US86" i="6" s="1"/>
  <c r="UT91" i="6"/>
  <c r="US91" i="6" s="1"/>
  <c r="UT116" i="6"/>
  <c r="US116" i="6" s="1"/>
  <c r="QY93" i="6"/>
  <c r="QX93" i="6" s="1"/>
  <c r="MD112" i="6"/>
  <c r="MC112" i="6" s="1"/>
  <c r="UT73" i="6"/>
  <c r="US73" i="6" s="1"/>
  <c r="UT90" i="6"/>
  <c r="US90" i="6" s="1"/>
  <c r="UT71" i="6"/>
  <c r="US71" i="6" s="1"/>
  <c r="UT23" i="6"/>
  <c r="US23" i="6" s="1"/>
  <c r="UT77" i="6"/>
  <c r="US77" i="6" s="1"/>
  <c r="UT9" i="6"/>
  <c r="US9" i="6" s="1"/>
  <c r="UT29" i="6"/>
  <c r="US29" i="6" s="1"/>
  <c r="UT94" i="6"/>
  <c r="US94" i="6" s="1"/>
  <c r="UT57" i="6"/>
  <c r="US57" i="6" s="1"/>
  <c r="UT104" i="6"/>
  <c r="US104" i="6" s="1"/>
  <c r="UT59" i="6"/>
  <c r="US59" i="6" s="1"/>
  <c r="UT14" i="6"/>
  <c r="US14" i="6" s="1"/>
  <c r="UT50" i="6"/>
  <c r="US50" i="6" s="1"/>
  <c r="UT108" i="6"/>
  <c r="US108" i="6" s="1"/>
  <c r="UT101" i="6"/>
  <c r="US101" i="6" s="1"/>
  <c r="MD57" i="6"/>
  <c r="MC57" i="6" s="1"/>
  <c r="UT39" i="6"/>
  <c r="US39" i="6" s="1"/>
  <c r="UT82" i="6"/>
  <c r="US82" i="6" s="1"/>
  <c r="UT92" i="6"/>
  <c r="US92" i="6" s="1"/>
  <c r="PO102" i="6"/>
  <c r="PN102" i="6" s="1"/>
  <c r="UT16" i="6"/>
  <c r="US16" i="6" s="1"/>
  <c r="DZ7" i="6"/>
  <c r="UT69" i="6"/>
  <c r="US69" i="6" s="1"/>
  <c r="UT43" i="6"/>
  <c r="US43" i="6" s="1"/>
  <c r="QG108" i="6"/>
  <c r="QF108" i="6" s="1"/>
  <c r="UT96" i="6"/>
  <c r="US96" i="6" s="1"/>
  <c r="UT38" i="6"/>
  <c r="US38" i="6" s="1"/>
  <c r="UT44" i="6"/>
  <c r="US44" i="6" s="1"/>
  <c r="UT89" i="6"/>
  <c r="US89" i="6" s="1"/>
  <c r="UT18" i="6"/>
  <c r="US18" i="6" s="1"/>
  <c r="UT76" i="6"/>
  <c r="US76" i="6" s="1"/>
  <c r="UT37" i="6"/>
  <c r="US37" i="6" s="1"/>
  <c r="XO43" i="6"/>
  <c r="FH75" i="6"/>
  <c r="IR13" i="6"/>
  <c r="IQ13" i="6" s="1"/>
  <c r="XD18" i="6"/>
  <c r="XD44" i="6"/>
  <c r="ABQ70" i="6"/>
  <c r="UT12" i="6"/>
  <c r="US12" i="6" s="1"/>
  <c r="UT26" i="6"/>
  <c r="US26" i="6" s="1"/>
  <c r="YK32" i="6"/>
  <c r="PO40" i="6"/>
  <c r="PN40" i="6" s="1"/>
  <c r="UI47" i="6"/>
  <c r="TS54" i="6"/>
  <c r="TR54" i="6" s="1"/>
  <c r="NL61" i="6"/>
  <c r="WS74" i="6"/>
  <c r="UI102" i="6"/>
  <c r="AN16" i="6"/>
  <c r="ACV6" i="6"/>
  <c r="ACU6" i="6" s="1"/>
  <c r="AD32" i="6"/>
  <c r="AC32" i="6" s="1"/>
  <c r="VY57" i="6"/>
  <c r="CZ28" i="6"/>
  <c r="CH34" i="6"/>
  <c r="OW40" i="6"/>
  <c r="OV40" i="6" s="1"/>
  <c r="OE47" i="6"/>
  <c r="OD47" i="6" s="1"/>
  <c r="HZ54" i="6"/>
  <c r="HY54" i="6" s="1"/>
  <c r="TA66" i="6"/>
  <c r="SZ66" i="6" s="1"/>
  <c r="YX10" i="6"/>
  <c r="YW10" i="6" s="1"/>
  <c r="XZ35" i="6"/>
  <c r="ZN12" i="6"/>
  <c r="ABA24" i="6"/>
  <c r="AAZ24" i="6" s="1"/>
  <c r="MD33" i="6"/>
  <c r="MC33" i="6" s="1"/>
  <c r="RQ53" i="6"/>
  <c r="RP53" i="6" s="1"/>
  <c r="QG59" i="6"/>
  <c r="QF59" i="6" s="1"/>
  <c r="JJ85" i="6"/>
  <c r="JI85" i="6" s="1"/>
  <c r="DI19" i="6"/>
  <c r="SI31" i="6"/>
  <c r="SH31" i="6" s="1"/>
  <c r="KT52" i="6"/>
  <c r="KS52" i="6" s="1"/>
  <c r="VJ58" i="6"/>
  <c r="CQ71" i="6"/>
  <c r="GP78" i="6"/>
  <c r="WH96" i="6"/>
  <c r="EQ89" i="6"/>
  <c r="QY95" i="6"/>
  <c r="QX95" i="6" s="1"/>
  <c r="LL103" i="6"/>
  <c r="LK103" i="6" s="1"/>
  <c r="KB109" i="6"/>
  <c r="KA109" i="6" s="1"/>
  <c r="UT105" i="6"/>
  <c r="US105" i="6" s="1"/>
  <c r="KB107" i="6"/>
  <c r="KA107" i="6" s="1"/>
  <c r="UT54" i="6"/>
  <c r="US54" i="6" s="1"/>
  <c r="CQ115" i="6"/>
  <c r="RQ94" i="6"/>
  <c r="RP94" i="6" s="1"/>
  <c r="UT60" i="6"/>
  <c r="US60" i="6" s="1"/>
  <c r="UT13" i="6"/>
  <c r="US13" i="6" s="1"/>
  <c r="UT19" i="6"/>
  <c r="US19" i="6" s="1"/>
  <c r="UT70" i="6"/>
  <c r="US70" i="6" s="1"/>
  <c r="UT107" i="6"/>
  <c r="US107" i="6" s="1"/>
  <c r="UT46" i="6"/>
  <c r="US46" i="6" s="1"/>
  <c r="PO38" i="6"/>
  <c r="PN38" i="6" s="1"/>
  <c r="UT24" i="6"/>
  <c r="US24" i="6" s="1"/>
  <c r="UT115" i="6"/>
  <c r="US115" i="6" s="1"/>
  <c r="JJ86" i="6"/>
  <c r="JI86" i="6" s="1"/>
  <c r="TS85" i="6"/>
  <c r="TR85" i="6" s="1"/>
  <c r="HG27" i="6"/>
  <c r="UT65" i="6"/>
  <c r="US65" i="6" s="1"/>
  <c r="KT92" i="6"/>
  <c r="KS92" i="6" s="1"/>
  <c r="QG84" i="6"/>
  <c r="QF84" i="6" s="1"/>
  <c r="KB90" i="6"/>
  <c r="KA90" i="6" s="1"/>
  <c r="UT80" i="6"/>
  <c r="US80" i="6" s="1"/>
  <c r="UT25" i="6"/>
  <c r="US25" i="6" s="1"/>
  <c r="UT66" i="6"/>
  <c r="US66" i="6" s="1"/>
  <c r="UT100" i="6"/>
  <c r="US100" i="6" s="1"/>
  <c r="UT27" i="6"/>
  <c r="US27" i="6" s="1"/>
  <c r="UT79" i="6"/>
  <c r="US79" i="6" s="1"/>
  <c r="UT20" i="6"/>
  <c r="US20" i="6" s="1"/>
  <c r="UT61" i="6"/>
  <c r="US61" i="6" s="1"/>
  <c r="PO19" i="6"/>
  <c r="PN19" i="6" s="1"/>
  <c r="OE40" i="6"/>
  <c r="OD40" i="6" s="1"/>
  <c r="ABA72" i="6"/>
  <c r="AAZ72" i="6" s="1"/>
  <c r="QG89" i="6"/>
  <c r="QF89" i="6" s="1"/>
  <c r="JJ115" i="6"/>
  <c r="JI115" i="6" s="1"/>
  <c r="WS115" i="6"/>
  <c r="VY83" i="6"/>
  <c r="ZN107" i="6"/>
  <c r="ACV9" i="6"/>
  <c r="ACU9" i="6" s="1"/>
  <c r="LL70" i="6"/>
  <c r="LK70" i="6" s="1"/>
  <c r="PO20" i="6"/>
  <c r="PN20" i="6" s="1"/>
  <c r="CQ45" i="6"/>
  <c r="LL79" i="6"/>
  <c r="LK79" i="6" s="1"/>
  <c r="QG23" i="6"/>
  <c r="QF23" i="6" s="1"/>
  <c r="UI38" i="6"/>
  <c r="ZN71" i="6"/>
  <c r="TA89" i="6"/>
  <c r="SZ89" i="6" s="1"/>
  <c r="CZ103" i="6"/>
  <c r="MD115" i="6"/>
  <c r="MC115" i="6" s="1"/>
  <c r="VY93" i="6"/>
  <c r="FH82" i="6"/>
  <c r="TA94" i="6"/>
  <c r="SZ94" i="6" s="1"/>
  <c r="WS92" i="6"/>
  <c r="SI98" i="6"/>
  <c r="SH98" i="6" s="1"/>
  <c r="XO105" i="6"/>
  <c r="AN112" i="6"/>
  <c r="WH106" i="6"/>
  <c r="DZ94" i="6"/>
  <c r="DI101" i="6"/>
  <c r="HG107" i="6"/>
  <c r="AD87" i="6"/>
  <c r="AC87" i="6" s="1"/>
  <c r="VY112" i="6"/>
  <c r="QG18" i="6"/>
  <c r="QF18" i="6" s="1"/>
  <c r="BO6" i="6"/>
  <c r="WH55" i="6"/>
  <c r="SI9" i="6"/>
  <c r="SH9" i="6" s="1"/>
  <c r="PO18" i="6"/>
  <c r="PN18" i="6" s="1"/>
  <c r="IR28" i="6"/>
  <c r="IQ28" i="6" s="1"/>
  <c r="YK40" i="6"/>
  <c r="XO47" i="6"/>
  <c r="AN54" i="6"/>
  <c r="EQ60" i="6"/>
  <c r="QY66" i="6"/>
  <c r="QX66" i="6" s="1"/>
  <c r="FY74" i="6"/>
  <c r="IR80" i="6"/>
  <c r="IQ80" i="6" s="1"/>
  <c r="VY7" i="6"/>
  <c r="ACV32" i="6"/>
  <c r="ACU32" i="6" s="1"/>
  <c r="XZ58" i="6"/>
  <c r="SI7" i="6"/>
  <c r="SH7" i="6" s="1"/>
  <c r="GP18" i="6"/>
  <c r="GP28" i="6"/>
  <c r="FY35" i="6"/>
  <c r="HG41" i="6"/>
  <c r="TS47" i="6"/>
  <c r="TR47" i="6" s="1"/>
  <c r="NL54" i="6"/>
  <c r="WS67" i="6"/>
  <c r="QG74" i="6"/>
  <c r="QF74" i="6" s="1"/>
  <c r="RQ8" i="6"/>
  <c r="RP8" i="6" s="1"/>
  <c r="ZN19" i="6"/>
  <c r="YX20" i="6"/>
  <c r="YW20" i="6" s="1"/>
  <c r="ACV45" i="6"/>
  <c r="ACU45" i="6" s="1"/>
  <c r="XZ71" i="6"/>
  <c r="RQ19" i="6"/>
  <c r="RP19" i="6" s="1"/>
  <c r="IR30" i="6"/>
  <c r="IQ30" i="6" s="1"/>
  <c r="YK42" i="6"/>
  <c r="XO49" i="6"/>
  <c r="ABA56" i="6"/>
  <c r="AAZ56" i="6" s="1"/>
  <c r="YK62" i="6"/>
  <c r="KT71" i="6"/>
  <c r="KS71" i="6" s="1"/>
  <c r="VJ77" i="6"/>
  <c r="YK22" i="6"/>
  <c r="ACV16" i="6"/>
  <c r="ACU16" i="6" s="1"/>
  <c r="BO43" i="6"/>
  <c r="OE19" i="6"/>
  <c r="OD19" i="6" s="1"/>
  <c r="ZN31" i="6"/>
  <c r="IR39" i="6"/>
  <c r="IQ39" i="6" s="1"/>
  <c r="YK51" i="6"/>
  <c r="ABA65" i="6"/>
  <c r="AAZ65" i="6" s="1"/>
  <c r="MD78" i="6"/>
  <c r="MC78" i="6" s="1"/>
  <c r="ABA82" i="6"/>
  <c r="AAZ82" i="6" s="1"/>
  <c r="JJ95" i="6"/>
  <c r="JI95" i="6" s="1"/>
  <c r="DZ103" i="6"/>
  <c r="CH109" i="6"/>
  <c r="OW115" i="6"/>
  <c r="OV115" i="6" s="1"/>
  <c r="XD93" i="6"/>
  <c r="HZ82" i="6"/>
  <c r="HY82" i="6" s="1"/>
  <c r="UI88" i="6"/>
  <c r="CQ101" i="6"/>
  <c r="GP108" i="6"/>
  <c r="FY115" i="6"/>
  <c r="AD93" i="6"/>
  <c r="AC93" i="6" s="1"/>
  <c r="XO85" i="6"/>
  <c r="ABA92" i="6"/>
  <c r="AAZ92" i="6" s="1"/>
  <c r="YK98" i="6"/>
  <c r="UI113" i="6"/>
  <c r="VY87" i="6"/>
  <c r="YX113" i="6"/>
  <c r="YW113" i="6" s="1"/>
  <c r="YK87" i="6"/>
  <c r="PO95" i="6"/>
  <c r="PN95" i="6" s="1"/>
  <c r="VJ102" i="6"/>
  <c r="AN109" i="6"/>
  <c r="EQ115" i="6"/>
  <c r="FH117" i="6"/>
  <c r="ACV13" i="6"/>
  <c r="ACU13" i="6" s="1"/>
  <c r="ACV39" i="6"/>
  <c r="ACU39" i="6" s="1"/>
  <c r="XZ65" i="6"/>
  <c r="XO9" i="6"/>
  <c r="HZ25" i="6"/>
  <c r="HY25" i="6" s="1"/>
  <c r="UI31" i="6"/>
  <c r="SI44" i="6"/>
  <c r="SH44" i="6" s="1"/>
  <c r="XO51" i="6"/>
  <c r="AN58" i="6"/>
  <c r="EQ64" i="6"/>
  <c r="QY70" i="6"/>
  <c r="QX70" i="6" s="1"/>
  <c r="HZ77" i="6"/>
  <c r="HY77" i="6" s="1"/>
  <c r="UI9" i="6"/>
  <c r="AN22" i="6"/>
  <c r="ABQ23" i="6"/>
  <c r="BO49" i="6"/>
  <c r="AN13" i="6"/>
  <c r="GP24" i="6"/>
  <c r="OE31" i="6"/>
  <c r="OD31" i="6" s="1"/>
  <c r="HZ38" i="6"/>
  <c r="HY38" i="6" s="1"/>
  <c r="RQ44" i="6"/>
  <c r="RP44" i="6" s="1"/>
  <c r="TA50" i="6"/>
  <c r="SZ50" i="6" s="1"/>
  <c r="SI57" i="6"/>
  <c r="SH57" i="6" s="1"/>
  <c r="KB65" i="6"/>
  <c r="KA65" i="6" s="1"/>
  <c r="YK77" i="6"/>
  <c r="OE9" i="6"/>
  <c r="OD9" i="6" s="1"/>
  <c r="XD26" i="6"/>
  <c r="ABQ52" i="6"/>
  <c r="GP21" i="6"/>
  <c r="FH31" i="6"/>
  <c r="RQ37" i="6"/>
  <c r="RP37" i="6" s="1"/>
  <c r="MD45" i="6"/>
  <c r="MC45" i="6" s="1"/>
  <c r="LL52" i="6"/>
  <c r="LK52" i="6" s="1"/>
  <c r="CH59" i="6"/>
  <c r="CQ66" i="6"/>
  <c r="LL76" i="6"/>
  <c r="LK76" i="6" s="1"/>
  <c r="IR82" i="6"/>
  <c r="IQ82" i="6" s="1"/>
  <c r="QY18" i="6"/>
  <c r="QX18" i="6" s="1"/>
  <c r="YX37" i="6"/>
  <c r="YW37" i="6" s="1"/>
  <c r="ACV62" i="6"/>
  <c r="ACU62" i="6" s="1"/>
  <c r="WS15" i="6"/>
  <c r="KB39" i="6"/>
  <c r="KA39" i="6" s="1"/>
  <c r="WS45" i="6"/>
  <c r="ZN51" i="6"/>
  <c r="JJ58" i="6"/>
  <c r="JI58" i="6" s="1"/>
  <c r="FY65" i="6"/>
  <c r="IR71" i="6"/>
  <c r="IQ71" i="6" s="1"/>
  <c r="FY82" i="6"/>
  <c r="IR88" i="6"/>
  <c r="IQ88" i="6" s="1"/>
  <c r="TS94" i="6"/>
  <c r="TR94" i="6" s="1"/>
  <c r="NL101" i="6"/>
  <c r="KB108" i="6"/>
  <c r="KA108" i="6" s="1"/>
  <c r="WS114" i="6"/>
  <c r="YX91" i="6"/>
  <c r="YW91" i="6" s="1"/>
  <c r="ACV116" i="6"/>
  <c r="ACU116" i="6" s="1"/>
  <c r="CZ88" i="6"/>
  <c r="CH94" i="6"/>
  <c r="OW100" i="6"/>
  <c r="OV100" i="6" s="1"/>
  <c r="QG106" i="6"/>
  <c r="QF106" i="6" s="1"/>
  <c r="KT114" i="6"/>
  <c r="KS114" i="6" s="1"/>
  <c r="BO90" i="6"/>
  <c r="FY92" i="6"/>
  <c r="ZN98" i="6"/>
  <c r="JJ105" i="6"/>
  <c r="JI105" i="6" s="1"/>
  <c r="FY112" i="6"/>
  <c r="ABQ81" i="6"/>
  <c r="BO107" i="6"/>
  <c r="OW86" i="6"/>
  <c r="OV86" i="6" s="1"/>
  <c r="QG92" i="6"/>
  <c r="QF92" i="6" s="1"/>
  <c r="KT100" i="6"/>
  <c r="KS100" i="6" s="1"/>
  <c r="WS113" i="6"/>
  <c r="ACV87" i="6"/>
  <c r="ACU87" i="6" s="1"/>
  <c r="XZ113" i="6"/>
  <c r="QG20" i="6"/>
  <c r="QF20" i="6" s="1"/>
  <c r="WH59" i="6"/>
  <c r="CZ9" i="6"/>
  <c r="IR24" i="6"/>
  <c r="IQ24" i="6" s="1"/>
  <c r="VJ31" i="6"/>
  <c r="AN38" i="6"/>
  <c r="CQ44" i="6"/>
  <c r="GP51" i="6"/>
  <c r="DI58" i="6"/>
  <c r="HG64" i="6"/>
  <c r="TS70" i="6"/>
  <c r="TR70" i="6" s="1"/>
  <c r="KT77" i="6"/>
  <c r="KS77" i="6" s="1"/>
  <c r="YK10" i="6"/>
  <c r="VJ23" i="6"/>
  <c r="YX27" i="6"/>
  <c r="YW27" i="6" s="1"/>
  <c r="ACV52" i="6"/>
  <c r="ACU52" i="6" s="1"/>
  <c r="VJ117" i="6"/>
  <c r="FY17" i="6"/>
  <c r="TA26" i="6"/>
  <c r="SZ26" i="6" s="1"/>
  <c r="SI33" i="6"/>
  <c r="SH33" i="6" s="1"/>
  <c r="XO40" i="6"/>
  <c r="AN47" i="6"/>
  <c r="EQ53" i="6"/>
  <c r="QY59" i="6"/>
  <c r="QX59" i="6" s="1"/>
  <c r="HZ66" i="6"/>
  <c r="HY66" i="6" s="1"/>
  <c r="RQ72" i="6"/>
  <c r="RP72" i="6" s="1"/>
  <c r="TA78" i="6"/>
  <c r="SZ78" i="6" s="1"/>
  <c r="DZ24" i="6"/>
  <c r="XZ27" i="6"/>
  <c r="AD53" i="6"/>
  <c r="AC53" i="6" s="1"/>
  <c r="CH9" i="6"/>
  <c r="MD21" i="6"/>
  <c r="MC21" i="6" s="1"/>
  <c r="HZ31" i="6"/>
  <c r="HY31" i="6" s="1"/>
  <c r="UI37" i="6"/>
  <c r="NL51" i="6"/>
  <c r="KB58" i="6"/>
  <c r="KA58" i="6" s="1"/>
  <c r="YK70" i="6"/>
  <c r="PO78" i="6"/>
  <c r="PN78" i="6" s="1"/>
  <c r="FH9" i="6"/>
  <c r="UI21" i="6"/>
  <c r="YX11" i="6"/>
  <c r="YW11" i="6" s="1"/>
  <c r="ABQ37" i="6"/>
  <c r="BO63" i="6"/>
  <c r="DZ16" i="6"/>
  <c r="QG36" i="6"/>
  <c r="QF36" i="6" s="1"/>
  <c r="FH44" i="6"/>
  <c r="RQ50" i="6"/>
  <c r="RP50" i="6" s="1"/>
  <c r="TA56" i="6"/>
  <c r="SZ56" i="6" s="1"/>
  <c r="PO63" i="6"/>
  <c r="PN63" i="6" s="1"/>
  <c r="VJ70" i="6"/>
  <c r="WS77" i="6"/>
  <c r="LL82" i="6"/>
  <c r="LK82" i="6" s="1"/>
  <c r="KB88" i="6"/>
  <c r="KA88" i="6" s="1"/>
  <c r="YK100" i="6"/>
  <c r="XO107" i="6"/>
  <c r="DI114" i="6"/>
  <c r="WH88" i="6"/>
  <c r="XD113" i="6"/>
  <c r="DZ88" i="6"/>
  <c r="FH94" i="6"/>
  <c r="RQ100" i="6"/>
  <c r="RP100" i="6" s="1"/>
  <c r="TA106" i="6"/>
  <c r="SZ106" i="6" s="1"/>
  <c r="SI113" i="6"/>
  <c r="SH113" i="6" s="1"/>
  <c r="VY90" i="6"/>
  <c r="YX116" i="6"/>
  <c r="YW116" i="6" s="1"/>
  <c r="DZ93" i="6"/>
  <c r="CQ106" i="6"/>
  <c r="DZ113" i="6"/>
  <c r="XZ88" i="6"/>
  <c r="AD114" i="6"/>
  <c r="AC114" i="6" s="1"/>
  <c r="MD94" i="6"/>
  <c r="MC94" i="6" s="1"/>
  <c r="OE101" i="6"/>
  <c r="OD101" i="6" s="1"/>
  <c r="FY109" i="6"/>
  <c r="IR115" i="6"/>
  <c r="IQ115" i="6" s="1"/>
  <c r="ABQ94" i="6"/>
  <c r="MD117" i="6"/>
  <c r="MC117" i="6" s="1"/>
  <c r="TA20" i="6"/>
  <c r="SZ20" i="6" s="1"/>
  <c r="YX8" i="6"/>
  <c r="YW8" i="6" s="1"/>
  <c r="AD31" i="6"/>
  <c r="AC31" i="6" s="1"/>
  <c r="VY56" i="6"/>
  <c r="HZ7" i="6"/>
  <c r="HY7" i="6" s="1"/>
  <c r="DZ23" i="6"/>
  <c r="XO31" i="6"/>
  <c r="DI38" i="6"/>
  <c r="EQ44" i="6"/>
  <c r="QY50" i="6"/>
  <c r="QX50" i="6" s="1"/>
  <c r="HZ57" i="6"/>
  <c r="HY57" i="6" s="1"/>
  <c r="UI63" i="6"/>
  <c r="SI76" i="6"/>
  <c r="SH76" i="6" s="1"/>
  <c r="FH11" i="6"/>
  <c r="TS22" i="6"/>
  <c r="TR22" i="6" s="1"/>
  <c r="BO21" i="6"/>
  <c r="WH72" i="6"/>
  <c r="VJ14" i="6"/>
  <c r="MD32" i="6"/>
  <c r="MC32" i="6" s="1"/>
  <c r="OE39" i="6"/>
  <c r="OD39" i="6" s="1"/>
  <c r="FH46" i="6"/>
  <c r="RQ52" i="6"/>
  <c r="RP52" i="6" s="1"/>
  <c r="TA58" i="6"/>
  <c r="SZ58" i="6" s="1"/>
  <c r="PO65" i="6"/>
  <c r="PN65" i="6" s="1"/>
  <c r="ABA71" i="6"/>
  <c r="AAZ71" i="6" s="1"/>
  <c r="YK7" i="6"/>
  <c r="YK21" i="6"/>
  <c r="WH21" i="6"/>
  <c r="XD46" i="6"/>
  <c r="ABQ72" i="6"/>
  <c r="PO30" i="6"/>
  <c r="PN30" i="6" s="1"/>
  <c r="CZ37" i="6"/>
  <c r="AN44" i="6"/>
  <c r="YK50" i="6"/>
  <c r="WS64" i="6"/>
  <c r="ZN70" i="6"/>
  <c r="JJ77" i="6"/>
  <c r="JI77" i="6" s="1"/>
  <c r="KT9" i="6"/>
  <c r="KS9" i="6" s="1"/>
  <c r="NL23" i="6"/>
  <c r="XD17" i="6"/>
  <c r="XZ44" i="6"/>
  <c r="AD70" i="6"/>
  <c r="AC70" i="6" s="1"/>
  <c r="FH18" i="6"/>
  <c r="FH32" i="6"/>
  <c r="JJ38" i="6"/>
  <c r="JI38" i="6" s="1"/>
  <c r="CZ46" i="6"/>
  <c r="CH52" i="6"/>
  <c r="OW58" i="6"/>
  <c r="OV58" i="6" s="1"/>
  <c r="OE65" i="6"/>
  <c r="OD65" i="6" s="1"/>
  <c r="VJ74" i="6"/>
  <c r="AN81" i="6"/>
  <c r="LL86" i="6"/>
  <c r="LK86" i="6" s="1"/>
  <c r="KB92" i="6"/>
  <c r="KA92" i="6" s="1"/>
  <c r="SI104" i="6"/>
  <c r="SH104" i="6" s="1"/>
  <c r="XO111" i="6"/>
  <c r="XZ82" i="6"/>
  <c r="AD108" i="6"/>
  <c r="AC108" i="6" s="1"/>
  <c r="NL86" i="6"/>
  <c r="ABA99" i="6"/>
  <c r="AAZ99" i="6" s="1"/>
  <c r="ABQ84" i="6"/>
  <c r="BO110" i="6"/>
  <c r="SI90" i="6"/>
  <c r="SH90" i="6" s="1"/>
  <c r="CH99" i="6"/>
  <c r="OW105" i="6"/>
  <c r="OV105" i="6" s="1"/>
  <c r="ABQ85" i="6"/>
  <c r="BO111" i="6"/>
  <c r="IR87" i="6"/>
  <c r="IQ87" i="6" s="1"/>
  <c r="YK99" i="6"/>
  <c r="PO107" i="6"/>
  <c r="PN107" i="6" s="1"/>
  <c r="ACV91" i="6"/>
  <c r="ACU91" i="6" s="1"/>
  <c r="DZ8" i="6"/>
  <c r="ZN23" i="6"/>
  <c r="XD14" i="6"/>
  <c r="XD40" i="6"/>
  <c r="ABQ66" i="6"/>
  <c r="ZN10" i="6"/>
  <c r="YK24" i="6"/>
  <c r="PO32" i="6"/>
  <c r="PN32" i="6" s="1"/>
  <c r="CZ39" i="6"/>
  <c r="MD51" i="6"/>
  <c r="MC51" i="6" s="1"/>
  <c r="LL58" i="6"/>
  <c r="LK58" i="6" s="1"/>
  <c r="KB64" i="6"/>
  <c r="KA64" i="6" s="1"/>
  <c r="WS70" i="6"/>
  <c r="QG77" i="6"/>
  <c r="QF77" i="6" s="1"/>
  <c r="NL11" i="6"/>
  <c r="WS22" i="6"/>
  <c r="ACV24" i="6"/>
  <c r="ACU24" i="6" s="1"/>
  <c r="XZ50" i="6"/>
  <c r="EQ8" i="6"/>
  <c r="ZN15" i="6"/>
  <c r="WS27" i="6"/>
  <c r="ZN33" i="6"/>
  <c r="JJ40" i="6"/>
  <c r="JI40" i="6" s="1"/>
  <c r="FY47" i="6"/>
  <c r="IR53" i="6"/>
  <c r="IQ53" i="6" s="1"/>
  <c r="NL66" i="6"/>
  <c r="KB73" i="6"/>
  <c r="KA73" i="6" s="1"/>
  <c r="WS79" i="6"/>
  <c r="JJ14" i="6"/>
  <c r="JI14" i="6" s="1"/>
  <c r="XZ9" i="6"/>
  <c r="VY34" i="6"/>
  <c r="YX60" i="6"/>
  <c r="YW60" i="6" s="1"/>
  <c r="QY24" i="6"/>
  <c r="QX24" i="6" s="1"/>
  <c r="PO34" i="6"/>
  <c r="PN34" i="6" s="1"/>
  <c r="VJ41" i="6"/>
  <c r="AN48" i="6"/>
  <c r="CQ54" i="6"/>
  <c r="VJ61" i="6"/>
  <c r="AN68" i="6"/>
  <c r="ZN74" i="6"/>
  <c r="GP81" i="6"/>
  <c r="OW29" i="6"/>
  <c r="OV29" i="6" s="1"/>
  <c r="XZ28" i="6"/>
  <c r="WH54" i="6"/>
  <c r="VJ26" i="6"/>
  <c r="RQ34" i="6"/>
  <c r="RP34" i="6" s="1"/>
  <c r="NL40" i="6"/>
  <c r="HZ48" i="6"/>
  <c r="HY48" i="6" s="1"/>
  <c r="UI54" i="6"/>
  <c r="TS61" i="6"/>
  <c r="TR61" i="6" s="1"/>
  <c r="NL68" i="6"/>
  <c r="ABA81" i="6"/>
  <c r="AAZ81" i="6" s="1"/>
  <c r="GP87" i="6"/>
  <c r="FY94" i="6"/>
  <c r="HG100" i="6"/>
  <c r="QY106" i="6"/>
  <c r="QX106" i="6" s="1"/>
  <c r="LL114" i="6"/>
  <c r="LK114" i="6" s="1"/>
  <c r="BO89" i="6"/>
  <c r="QY87" i="6"/>
  <c r="QX87" i="6" s="1"/>
  <c r="LL95" i="6"/>
  <c r="LK95" i="6" s="1"/>
  <c r="KB101" i="6"/>
  <c r="KA101" i="6" s="1"/>
  <c r="WS107" i="6"/>
  <c r="ZN113" i="6"/>
  <c r="YX88" i="6"/>
  <c r="YW88" i="6" s="1"/>
  <c r="ACV113" i="6"/>
  <c r="ACU113" i="6" s="1"/>
  <c r="YK90" i="6"/>
  <c r="XO97" i="6"/>
  <c r="WS104" i="6"/>
  <c r="QG111" i="6"/>
  <c r="QF111" i="6" s="1"/>
  <c r="ACV82" i="6"/>
  <c r="ACU82" i="6" s="1"/>
  <c r="XZ108" i="6"/>
  <c r="WS93" i="6"/>
  <c r="ZN99" i="6"/>
  <c r="JJ106" i="6"/>
  <c r="JI106" i="6" s="1"/>
  <c r="DZ114" i="6"/>
  <c r="BO92" i="6"/>
  <c r="TS117" i="6"/>
  <c r="TR117" i="6" s="1"/>
  <c r="YX22" i="6"/>
  <c r="YW22" i="6" s="1"/>
  <c r="ACV47" i="6"/>
  <c r="ACU47" i="6" s="1"/>
  <c r="XZ73" i="6"/>
  <c r="OE16" i="6"/>
  <c r="OD16" i="6" s="1"/>
  <c r="MD27" i="6"/>
  <c r="MC27" i="6" s="1"/>
  <c r="GP35" i="6"/>
  <c r="FY42" i="6"/>
  <c r="HG48" i="6"/>
  <c r="QY54" i="6"/>
  <c r="QX54" i="6" s="1"/>
  <c r="LL62" i="6"/>
  <c r="LK62" i="6" s="1"/>
  <c r="KB68" i="6"/>
  <c r="KA68" i="6" s="1"/>
  <c r="OE117" i="6"/>
  <c r="OD117" i="6" s="1"/>
  <c r="XD37" i="6"/>
  <c r="ABQ63" i="6"/>
  <c r="ABA9" i="6"/>
  <c r="AAZ9" i="6" s="1"/>
  <c r="TS23" i="6"/>
  <c r="TR23" i="6" s="1"/>
  <c r="CH30" i="6"/>
  <c r="OW36" i="6"/>
  <c r="OV36" i="6" s="1"/>
  <c r="NL42" i="6"/>
  <c r="ABA55" i="6"/>
  <c r="AAZ55" i="6" s="1"/>
  <c r="ACH62" i="6"/>
  <c r="PO69" i="6"/>
  <c r="PN69" i="6" s="1"/>
  <c r="CZ76" i="6"/>
  <c r="HZ117" i="6"/>
  <c r="HY117" i="6" s="1"/>
  <c r="IR19" i="6"/>
  <c r="IQ19" i="6" s="1"/>
  <c r="WH19" i="6"/>
  <c r="ABQ44" i="6"/>
  <c r="BO70" i="6"/>
  <c r="KT17" i="6"/>
  <c r="KS17" i="6" s="1"/>
  <c r="WS28" i="6"/>
  <c r="OE36" i="6"/>
  <c r="OD36" i="6" s="1"/>
  <c r="VJ45" i="6"/>
  <c r="DZ61" i="6"/>
  <c r="FH67" i="6"/>
  <c r="RQ73" i="6"/>
  <c r="RP73" i="6" s="1"/>
  <c r="TA79" i="6"/>
  <c r="SZ79" i="6" s="1"/>
  <c r="RQ11" i="6"/>
  <c r="RP11" i="6" s="1"/>
  <c r="FY24" i="6"/>
  <c r="WH22" i="6"/>
  <c r="XZ48" i="6"/>
  <c r="AD74" i="6"/>
  <c r="AC74" i="6" s="1"/>
  <c r="MD22" i="6"/>
  <c r="MC22" i="6" s="1"/>
  <c r="UI34" i="6"/>
  <c r="SI43" i="6"/>
  <c r="SH43" i="6" s="1"/>
  <c r="XO50" i="6"/>
  <c r="DI57" i="6"/>
  <c r="EQ63" i="6"/>
  <c r="QY69" i="6"/>
  <c r="QX69" i="6" s="1"/>
  <c r="DZ78" i="6"/>
  <c r="TS82" i="6"/>
  <c r="TR82" i="6" s="1"/>
  <c r="NL89" i="6"/>
  <c r="FH97" i="6"/>
  <c r="RQ103" i="6"/>
  <c r="RP103" i="6" s="1"/>
  <c r="QY110" i="6"/>
  <c r="QX110" i="6" s="1"/>
  <c r="AD80" i="6"/>
  <c r="AC80" i="6" s="1"/>
  <c r="VY105" i="6"/>
  <c r="EQ85" i="6"/>
  <c r="QY91" i="6"/>
  <c r="QX91" i="6" s="1"/>
  <c r="LL99" i="6"/>
  <c r="LK99" i="6" s="1"/>
  <c r="KB105" i="6"/>
  <c r="KA105" i="6" s="1"/>
  <c r="WS111" i="6"/>
  <c r="XD78" i="6"/>
  <c r="ABQ104" i="6"/>
  <c r="EQ90" i="6"/>
  <c r="FY100" i="6"/>
  <c r="HG106" i="6"/>
  <c r="TS112" i="6"/>
  <c r="TR112" i="6" s="1"/>
  <c r="BO83" i="6"/>
  <c r="HZ88" i="6"/>
  <c r="HY88" i="6" s="1"/>
  <c r="UI94" i="6"/>
  <c r="CQ107" i="6"/>
  <c r="GP114" i="6"/>
  <c r="VY92" i="6"/>
  <c r="IR8" i="6"/>
  <c r="IQ8" i="6" s="1"/>
  <c r="ABA11" i="6"/>
  <c r="AAZ11" i="6" s="1"/>
  <c r="SI27" i="6"/>
  <c r="SH27" i="6" s="1"/>
  <c r="IR98" i="6"/>
  <c r="IQ98" i="6" s="1"/>
  <c r="ABA19" i="6"/>
  <c r="AAZ19" i="6" s="1"/>
  <c r="MD26" i="6"/>
  <c r="MC26" i="6" s="1"/>
  <c r="QG95" i="6"/>
  <c r="QF95" i="6" s="1"/>
  <c r="KB38" i="6"/>
  <c r="KA38" i="6" s="1"/>
  <c r="QY68" i="6"/>
  <c r="QX68" i="6" s="1"/>
  <c r="IR7" i="6"/>
  <c r="IQ7" i="6" s="1"/>
  <c r="AD61" i="6"/>
  <c r="AC61" i="6" s="1"/>
  <c r="HZ47" i="6"/>
  <c r="HY47" i="6" s="1"/>
  <c r="ABA20" i="6"/>
  <c r="AAZ20" i="6" s="1"/>
  <c r="WS37" i="6"/>
  <c r="IR86" i="6"/>
  <c r="IQ86" i="6" s="1"/>
  <c r="KT99" i="6"/>
  <c r="KS99" i="6" s="1"/>
  <c r="KB95" i="6"/>
  <c r="KA95" i="6" s="1"/>
  <c r="OE21" i="6"/>
  <c r="OD21" i="6" s="1"/>
  <c r="YK36" i="6"/>
  <c r="CH38" i="6"/>
  <c r="QY71" i="6"/>
  <c r="QX71" i="6" s="1"/>
  <c r="XD54" i="6"/>
  <c r="QG39" i="6"/>
  <c r="QF39" i="6" s="1"/>
  <c r="IR54" i="6"/>
  <c r="IQ54" i="6" s="1"/>
  <c r="HZ13" i="6"/>
  <c r="HY13" i="6" s="1"/>
  <c r="QG32" i="6"/>
  <c r="QF32" i="6" s="1"/>
  <c r="JJ78" i="6"/>
  <c r="JI78" i="6" s="1"/>
  <c r="KT28" i="6"/>
  <c r="KS28" i="6" s="1"/>
  <c r="ABQ22" i="6"/>
  <c r="BO48" i="6"/>
  <c r="OW27" i="6"/>
  <c r="OV27" i="6" s="1"/>
  <c r="QG33" i="6"/>
  <c r="QF33" i="6" s="1"/>
  <c r="KT41" i="6"/>
  <c r="KS41" i="6" s="1"/>
  <c r="IR48" i="6"/>
  <c r="IQ48" i="6" s="1"/>
  <c r="MD55" i="6"/>
  <c r="MC55" i="6" s="1"/>
  <c r="OE62" i="6"/>
  <c r="OD62" i="6" s="1"/>
  <c r="HZ69" i="6"/>
  <c r="HY69" i="6" s="1"/>
  <c r="RQ75" i="6"/>
  <c r="RP75" i="6" s="1"/>
  <c r="FH10" i="6"/>
  <c r="OW17" i="6"/>
  <c r="OV17" i="6" s="1"/>
  <c r="AD10" i="6"/>
  <c r="AC10" i="6" s="1"/>
  <c r="YX35" i="6"/>
  <c r="YW35" i="6" s="1"/>
  <c r="ACV60" i="6"/>
  <c r="ACU60" i="6" s="1"/>
  <c r="TA8" i="6"/>
  <c r="SZ8" i="6" s="1"/>
  <c r="HG21" i="6"/>
  <c r="VJ28" i="6"/>
  <c r="AN35" i="6"/>
  <c r="EQ41" i="6"/>
  <c r="GP48" i="6"/>
  <c r="FY55" i="6"/>
  <c r="IR61" i="6"/>
  <c r="IQ61" i="6" s="1"/>
  <c r="TS67" i="6"/>
  <c r="TR67" i="6" s="1"/>
  <c r="KT74" i="6"/>
  <c r="KS74" i="6" s="1"/>
  <c r="VJ80" i="6"/>
  <c r="TA16" i="6"/>
  <c r="SZ16" i="6" s="1"/>
  <c r="XZ13" i="6"/>
  <c r="VY38" i="6"/>
  <c r="YX64" i="6"/>
  <c r="YW64" i="6" s="1"/>
  <c r="LL14" i="6"/>
  <c r="LK14" i="6" s="1"/>
  <c r="EQ26" i="6"/>
  <c r="CQ34" i="6"/>
  <c r="GP41" i="6"/>
  <c r="FY48" i="6"/>
  <c r="HG54" i="6"/>
  <c r="OE60" i="6"/>
  <c r="OD60" i="6" s="1"/>
  <c r="HZ67" i="6"/>
  <c r="HY67" i="6" s="1"/>
  <c r="UI73" i="6"/>
  <c r="AN10" i="6"/>
  <c r="KB22" i="6"/>
  <c r="KA22" i="6" s="1"/>
  <c r="YX19" i="6"/>
  <c r="YW19" i="6" s="1"/>
  <c r="ABQ45" i="6"/>
  <c r="BO71" i="6"/>
  <c r="KT20" i="6"/>
  <c r="KS20" i="6" s="1"/>
  <c r="NL32" i="6"/>
  <c r="RQ38" i="6"/>
  <c r="RP38" i="6" s="1"/>
  <c r="QY45" i="6"/>
  <c r="QX45" i="6" s="1"/>
  <c r="LL53" i="6"/>
  <c r="LK53" i="6" s="1"/>
  <c r="IR59" i="6"/>
  <c r="IQ59" i="6" s="1"/>
  <c r="YK71" i="6"/>
  <c r="PO79" i="6"/>
  <c r="PN79" i="6" s="1"/>
  <c r="EQ84" i="6"/>
  <c r="QY90" i="6"/>
  <c r="QX90" i="6" s="1"/>
  <c r="HZ97" i="6"/>
  <c r="HY97" i="6" s="1"/>
  <c r="UI103" i="6"/>
  <c r="TA109" i="6"/>
  <c r="SZ109" i="6" s="1"/>
  <c r="SI116" i="6"/>
  <c r="SH116" i="6" s="1"/>
  <c r="ABQ99" i="6"/>
  <c r="WS83" i="6"/>
  <c r="ZN89" i="6"/>
  <c r="JJ96" i="6"/>
  <c r="JI96" i="6" s="1"/>
  <c r="DZ104" i="6"/>
  <c r="FH110" i="6"/>
  <c r="RQ116" i="6"/>
  <c r="RP116" i="6" s="1"/>
  <c r="VY98" i="6"/>
  <c r="CH87" i="6"/>
  <c r="OW93" i="6"/>
  <c r="OV93" i="6" s="1"/>
  <c r="LL100" i="6"/>
  <c r="LK100" i="6" s="1"/>
  <c r="CH107" i="6"/>
  <c r="ACV86" i="6"/>
  <c r="ACU86" i="6" s="1"/>
  <c r="XZ112" i="6"/>
  <c r="LL89" i="6"/>
  <c r="LK89" i="6" s="1"/>
  <c r="FH96" i="6"/>
  <c r="RQ102" i="6"/>
  <c r="RP102" i="6" s="1"/>
  <c r="TA108" i="6"/>
  <c r="SZ108" i="6" s="1"/>
  <c r="SI115" i="6"/>
  <c r="SH115" i="6" s="1"/>
  <c r="BO96" i="6"/>
  <c r="XO22" i="6"/>
  <c r="AD13" i="6"/>
  <c r="AC13" i="6" s="1"/>
  <c r="AD39" i="6"/>
  <c r="AC39" i="6" s="1"/>
  <c r="VY64" i="6"/>
  <c r="RQ9" i="6"/>
  <c r="RP9" i="6" s="1"/>
  <c r="CH25" i="6"/>
  <c r="OW31" i="6"/>
  <c r="OV31" i="6" s="1"/>
  <c r="QG37" i="6"/>
  <c r="QF37" i="6" s="1"/>
  <c r="ABA50" i="6"/>
  <c r="AAZ50" i="6" s="1"/>
  <c r="ZN56" i="6"/>
  <c r="JJ63" i="6"/>
  <c r="JI63" i="6" s="1"/>
  <c r="DZ71" i="6"/>
  <c r="CH77" i="6"/>
  <c r="JJ23" i="6"/>
  <c r="JI23" i="6" s="1"/>
  <c r="XD25" i="6"/>
  <c r="ABQ51" i="6"/>
  <c r="OE7" i="6"/>
  <c r="OD7" i="6" s="1"/>
  <c r="EQ15" i="6"/>
  <c r="KT26" i="6"/>
  <c r="KS26" i="6" s="1"/>
  <c r="VJ32" i="6"/>
  <c r="AN39" i="6"/>
  <c r="YK45" i="6"/>
  <c r="PO53" i="6"/>
  <c r="PN53" i="6" s="1"/>
  <c r="CZ60" i="6"/>
  <c r="JJ72" i="6"/>
  <c r="JI72" i="6" s="1"/>
  <c r="DZ80" i="6"/>
  <c r="DI13" i="6"/>
  <c r="WH7" i="6"/>
  <c r="ABQ32" i="6"/>
  <c r="BO58" i="6"/>
  <c r="UI11" i="6"/>
  <c r="CZ25" i="6"/>
  <c r="OW33" i="6"/>
  <c r="OV33" i="6" s="1"/>
  <c r="QY40" i="6"/>
  <c r="QX40" i="6" s="1"/>
  <c r="CZ49" i="6"/>
  <c r="CH55" i="6"/>
  <c r="SI62" i="6"/>
  <c r="SH62" i="6" s="1"/>
  <c r="XO69" i="6"/>
  <c r="DI76" i="6"/>
  <c r="EQ82" i="6"/>
  <c r="GP15" i="6"/>
  <c r="DI28" i="6"/>
  <c r="WH26" i="6"/>
  <c r="XZ52" i="6"/>
  <c r="QG117" i="6"/>
  <c r="QF117" i="6" s="1"/>
  <c r="YK23" i="6"/>
  <c r="OE33" i="6"/>
  <c r="OD33" i="6" s="1"/>
  <c r="HG39" i="6"/>
  <c r="MD46" i="6"/>
  <c r="MC46" i="6" s="1"/>
  <c r="OE53" i="6"/>
  <c r="OD53" i="6" s="1"/>
  <c r="FH60" i="6"/>
  <c r="RQ66" i="6"/>
  <c r="RP66" i="6" s="1"/>
  <c r="TA72" i="6"/>
  <c r="SZ72" i="6" s="1"/>
  <c r="SI79" i="6"/>
  <c r="SH79" i="6" s="1"/>
  <c r="HG84" i="6"/>
  <c r="TS90" i="6"/>
  <c r="TR90" i="6" s="1"/>
  <c r="KT97" i="6"/>
  <c r="KS97" i="6" s="1"/>
  <c r="VJ103" i="6"/>
  <c r="CQ116" i="6"/>
  <c r="ACV96" i="6"/>
  <c r="ACU96" i="6" s="1"/>
  <c r="DI83" i="6"/>
  <c r="HG89" i="6"/>
  <c r="TS95" i="6"/>
  <c r="TR95" i="6" s="1"/>
  <c r="NL102" i="6"/>
  <c r="HZ110" i="6"/>
  <c r="HY110" i="6" s="1"/>
  <c r="UI116" i="6"/>
  <c r="XD98" i="6"/>
  <c r="FH87" i="6"/>
  <c r="RQ93" i="6"/>
  <c r="RP93" i="6" s="1"/>
  <c r="NL99" i="6"/>
  <c r="KB106" i="6"/>
  <c r="KA106" i="6" s="1"/>
  <c r="WS112" i="6"/>
  <c r="XD83" i="6"/>
  <c r="ABQ109" i="6"/>
  <c r="SI87" i="6"/>
  <c r="SH87" i="6" s="1"/>
  <c r="XO94" i="6"/>
  <c r="MD114" i="6"/>
  <c r="MC114" i="6" s="1"/>
  <c r="YX90" i="6"/>
  <c r="YW90" i="6" s="1"/>
  <c r="ACV115" i="6"/>
  <c r="ACU115" i="6" s="1"/>
  <c r="CH20" i="6"/>
  <c r="XO6" i="6"/>
  <c r="XD32" i="6"/>
  <c r="ABQ58" i="6"/>
  <c r="ZN6" i="6"/>
  <c r="EQ20" i="6"/>
  <c r="CH29" i="6"/>
  <c r="OW35" i="6"/>
  <c r="OV35" i="6" s="1"/>
  <c r="QG41" i="6"/>
  <c r="QF41" i="6" s="1"/>
  <c r="WS54" i="6"/>
  <c r="ZN60" i="6"/>
  <c r="JJ67" i="6"/>
  <c r="JI67" i="6" s="1"/>
  <c r="CZ75" i="6"/>
  <c r="TA6" i="6"/>
  <c r="SZ6" i="6" s="1"/>
  <c r="FY16" i="6"/>
  <c r="ACV10" i="6"/>
  <c r="ACU10" i="6" s="1"/>
  <c r="AD36" i="6"/>
  <c r="AC36" i="6" s="1"/>
  <c r="VY61" i="6"/>
  <c r="FY9" i="6"/>
  <c r="CZ20" i="6"/>
  <c r="PO29" i="6"/>
  <c r="PN29" i="6" s="1"/>
  <c r="CZ36" i="6"/>
  <c r="MD48" i="6"/>
  <c r="MC48" i="6" s="1"/>
  <c r="OE55" i="6"/>
  <c r="OD55" i="6" s="1"/>
  <c r="HZ62" i="6"/>
  <c r="HY62" i="6" s="1"/>
  <c r="RQ68" i="6"/>
  <c r="RP68" i="6" s="1"/>
  <c r="QY75" i="6"/>
  <c r="QX75" i="6" s="1"/>
  <c r="DZ117" i="6"/>
  <c r="EQ21" i="6"/>
  <c r="XZ23" i="6"/>
  <c r="AD49" i="6"/>
  <c r="AC49" i="6" s="1"/>
  <c r="VY74" i="6"/>
  <c r="CZ21" i="6"/>
  <c r="CH31" i="6"/>
  <c r="OW37" i="6"/>
  <c r="OV37" i="6" s="1"/>
  <c r="QG43" i="6"/>
  <c r="QF43" i="6" s="1"/>
  <c r="UI57" i="6"/>
  <c r="QG63" i="6"/>
  <c r="QF63" i="6" s="1"/>
  <c r="LL72" i="6"/>
  <c r="LK72" i="6" s="1"/>
  <c r="KB78" i="6"/>
  <c r="KA78" i="6" s="1"/>
  <c r="CQ8" i="6"/>
  <c r="WS24" i="6"/>
  <c r="XZ20" i="6"/>
  <c r="WH46" i="6"/>
  <c r="XD71" i="6"/>
  <c r="AN21" i="6"/>
  <c r="TA32" i="6"/>
  <c r="SZ32" i="6" s="1"/>
  <c r="CH40" i="6"/>
  <c r="OW46" i="6"/>
  <c r="OV46" i="6" s="1"/>
  <c r="QG52" i="6"/>
  <c r="QF52" i="6" s="1"/>
  <c r="HZ60" i="6"/>
  <c r="HY60" i="6" s="1"/>
  <c r="UI66" i="6"/>
  <c r="CQ79" i="6"/>
  <c r="UI83" i="6"/>
  <c r="SI96" i="6"/>
  <c r="SH96" i="6" s="1"/>
  <c r="XO103" i="6"/>
  <c r="AN110" i="6"/>
  <c r="EQ116" i="6"/>
  <c r="BO97" i="6"/>
  <c r="FY83" i="6"/>
  <c r="IR89" i="6"/>
  <c r="IQ89" i="6" s="1"/>
  <c r="YK101" i="6"/>
  <c r="PO109" i="6"/>
  <c r="PN109" i="6" s="1"/>
  <c r="CZ116" i="6"/>
  <c r="YX96" i="6"/>
  <c r="YW96" i="6" s="1"/>
  <c r="HZ87" i="6"/>
  <c r="HY87" i="6" s="1"/>
  <c r="UI93" i="6"/>
  <c r="QG99" i="6"/>
  <c r="QF99" i="6" s="1"/>
  <c r="FY108" i="6"/>
  <c r="IR114" i="6"/>
  <c r="IQ114" i="6" s="1"/>
  <c r="ACV90" i="6"/>
  <c r="ACU90" i="6" s="1"/>
  <c r="XZ116" i="6"/>
  <c r="QG88" i="6"/>
  <c r="QF88" i="6" s="1"/>
  <c r="KT96" i="6"/>
  <c r="KS96" i="6" s="1"/>
  <c r="KB103" i="6"/>
  <c r="KA103" i="6" s="1"/>
  <c r="WS109" i="6"/>
  <c r="ZN115" i="6"/>
  <c r="XD96" i="6"/>
  <c r="NL6" i="6"/>
  <c r="HG23" i="6"/>
  <c r="AD17" i="6"/>
  <c r="AC17" i="6" s="1"/>
  <c r="AD43" i="6"/>
  <c r="AC43" i="6" s="1"/>
  <c r="VY68" i="6"/>
  <c r="FY26" i="6"/>
  <c r="IR32" i="6"/>
  <c r="IQ32" i="6" s="1"/>
  <c r="NL45" i="6"/>
  <c r="KB52" i="6"/>
  <c r="KA52" i="6" s="1"/>
  <c r="WS58" i="6"/>
  <c r="ZN64" i="6"/>
  <c r="JJ71" i="6"/>
  <c r="JI71" i="6" s="1"/>
  <c r="FY78" i="6"/>
  <c r="SI10" i="6"/>
  <c r="SH10" i="6" s="1"/>
  <c r="RQ23" i="6"/>
  <c r="RP23" i="6" s="1"/>
  <c r="WH52" i="6"/>
  <c r="UI8" i="6"/>
  <c r="MD14" i="6"/>
  <c r="MC14" i="6" s="1"/>
  <c r="CQ25" i="6"/>
  <c r="GP32" i="6"/>
  <c r="FY39" i="6"/>
  <c r="HG45" i="6"/>
  <c r="TS51" i="6"/>
  <c r="TR51" i="6" s="1"/>
  <c r="NL58" i="6"/>
  <c r="FH66" i="6"/>
  <c r="OW72" i="6"/>
  <c r="OV72" i="6" s="1"/>
  <c r="QG78" i="6"/>
  <c r="QF78" i="6" s="1"/>
  <c r="PO11" i="6"/>
  <c r="PN11" i="6" s="1"/>
  <c r="WS6" i="6"/>
  <c r="BO30" i="6"/>
  <c r="TS10" i="6"/>
  <c r="TR10" i="6" s="1"/>
  <c r="DI32" i="6"/>
  <c r="HG38" i="6"/>
  <c r="CQ46" i="6"/>
  <c r="DZ53" i="6"/>
  <c r="AN60" i="6"/>
  <c r="YK66" i="6"/>
  <c r="DZ77" i="6"/>
  <c r="CH83" i="6"/>
  <c r="OW21" i="6"/>
  <c r="OV21" i="6" s="1"/>
  <c r="XD13" i="6"/>
  <c r="XZ40" i="6"/>
  <c r="AD66" i="6"/>
  <c r="AC66" i="6" s="1"/>
  <c r="KB17" i="6"/>
  <c r="KA17" i="6" s="1"/>
  <c r="FH40" i="6"/>
  <c r="RQ46" i="6"/>
  <c r="RP46" i="6" s="1"/>
  <c r="TA52" i="6"/>
  <c r="SZ52" i="6" s="1"/>
  <c r="PO59" i="6"/>
  <c r="PN59" i="6" s="1"/>
  <c r="CZ66" i="6"/>
  <c r="CH72" i="6"/>
  <c r="OW78" i="6"/>
  <c r="OV78" i="6" s="1"/>
  <c r="CZ83" i="6"/>
  <c r="CH89" i="6"/>
  <c r="MD95" i="6"/>
  <c r="MC95" i="6" s="1"/>
  <c r="OE102" i="6"/>
  <c r="OD102" i="6" s="1"/>
  <c r="FH109" i="6"/>
  <c r="RQ115" i="6"/>
  <c r="RP115" i="6" s="1"/>
  <c r="XZ94" i="6"/>
  <c r="KT82" i="6"/>
  <c r="KS82" i="6" s="1"/>
  <c r="VJ88" i="6"/>
  <c r="AN95" i="6"/>
  <c r="EQ101" i="6"/>
  <c r="QY107" i="6"/>
  <c r="QX107" i="6" s="1"/>
  <c r="LL115" i="6"/>
  <c r="LK115" i="6" s="1"/>
  <c r="WH93" i="6"/>
  <c r="PO86" i="6"/>
  <c r="PN86" i="6" s="1"/>
  <c r="CZ93" i="6"/>
  <c r="TA99" i="6"/>
  <c r="SZ99" i="6" s="1"/>
  <c r="PO106" i="6"/>
  <c r="PN106" i="6" s="1"/>
  <c r="CZ113" i="6"/>
  <c r="WH110" i="6"/>
  <c r="EQ87" i="6"/>
  <c r="LL101" i="6"/>
  <c r="LK101" i="6" s="1"/>
  <c r="FH108" i="6"/>
  <c r="RQ114" i="6"/>
  <c r="RP114" i="6" s="1"/>
  <c r="AD91" i="6"/>
  <c r="AC91" i="6" s="1"/>
  <c r="VY116" i="6"/>
  <c r="WS21" i="6"/>
  <c r="XD10" i="6"/>
  <c r="XD36" i="6"/>
  <c r="ABQ62" i="6"/>
  <c r="HG10" i="6"/>
  <c r="LL26" i="6"/>
  <c r="LK26" i="6" s="1"/>
  <c r="KB32" i="6"/>
  <c r="KA32" i="6" s="1"/>
  <c r="WS38" i="6"/>
  <c r="YK44" i="6"/>
  <c r="ABA58" i="6"/>
  <c r="AAZ58" i="6" s="1"/>
  <c r="MD71" i="6"/>
  <c r="MC71" i="6" s="1"/>
  <c r="LL78" i="6"/>
  <c r="LK78" i="6" s="1"/>
  <c r="WS12" i="6"/>
  <c r="FY117" i="6"/>
  <c r="XZ30" i="6"/>
  <c r="AD56" i="6"/>
  <c r="AC56" i="6" s="1"/>
  <c r="UI18" i="6"/>
  <c r="TS27" i="6"/>
  <c r="TR27" i="6" s="1"/>
  <c r="NL34" i="6"/>
  <c r="KB41" i="6"/>
  <c r="KA41" i="6" s="1"/>
  <c r="WS47" i="6"/>
  <c r="ZN53" i="6"/>
  <c r="JJ60" i="6"/>
  <c r="JI60" i="6" s="1"/>
  <c r="FY67" i="6"/>
  <c r="HG73" i="6"/>
  <c r="TS79" i="6"/>
  <c r="TR79" i="6" s="1"/>
  <c r="YK11" i="6"/>
  <c r="WS117" i="6"/>
  <c r="VY30" i="6"/>
  <c r="YX56" i="6"/>
  <c r="YW56" i="6" s="1"/>
  <c r="WS10" i="6"/>
  <c r="SI22" i="6"/>
  <c r="SH22" i="6" s="1"/>
  <c r="FY32" i="6"/>
  <c r="IR38" i="6"/>
  <c r="IQ38" i="6" s="1"/>
  <c r="OE52" i="6"/>
  <c r="OD52" i="6" s="1"/>
  <c r="FH59" i="6"/>
  <c r="OW65" i="6"/>
  <c r="OV65" i="6" s="1"/>
  <c r="QG71" i="6"/>
  <c r="QF71" i="6" s="1"/>
  <c r="KT79" i="6"/>
  <c r="KS79" i="6" s="1"/>
  <c r="CZ11" i="6"/>
  <c r="KT23" i="6"/>
  <c r="KS23" i="6" s="1"/>
  <c r="XZ14" i="6"/>
  <c r="WH66" i="6"/>
  <c r="YK17" i="6"/>
  <c r="UI30" i="6"/>
  <c r="OE37" i="6"/>
  <c r="OD37" i="6" s="1"/>
  <c r="DI45" i="6"/>
  <c r="HG51" i="6"/>
  <c r="TS57" i="6"/>
  <c r="TR57" i="6" s="1"/>
  <c r="KT64" i="6"/>
  <c r="KS64" i="6" s="1"/>
  <c r="FH72" i="6"/>
  <c r="RQ78" i="6"/>
  <c r="RP78" i="6" s="1"/>
  <c r="DZ83" i="6"/>
  <c r="FH89" i="6"/>
  <c r="OW95" i="6"/>
  <c r="OV95" i="6" s="1"/>
  <c r="QG101" i="6"/>
  <c r="QF101" i="6" s="1"/>
  <c r="ABA114" i="6"/>
  <c r="AAZ114" i="6" s="1"/>
  <c r="ABQ91" i="6"/>
  <c r="SI81" i="6"/>
  <c r="SH81" i="6" s="1"/>
  <c r="XO88" i="6"/>
  <c r="DI95" i="6"/>
  <c r="HG101" i="6"/>
  <c r="TS107" i="6"/>
  <c r="TR107" i="6" s="1"/>
  <c r="NL114" i="6"/>
  <c r="ACV93" i="6"/>
  <c r="ACU93" i="6" s="1"/>
  <c r="SI86" i="6"/>
  <c r="SH86" i="6" s="1"/>
  <c r="XO93" i="6"/>
  <c r="SI106" i="6"/>
  <c r="SH106" i="6" s="1"/>
  <c r="XO113" i="6"/>
  <c r="VY91" i="6"/>
  <c r="UI82" i="6"/>
  <c r="ACH88" i="6"/>
  <c r="CQ95" i="6"/>
  <c r="GP102" i="6"/>
  <c r="CZ110" i="6"/>
  <c r="CH116" i="6"/>
  <c r="DI7" i="6"/>
  <c r="DZ22" i="6"/>
  <c r="YX79" i="6"/>
  <c r="YW79" i="6" s="1"/>
  <c r="YX34" i="6"/>
  <c r="YW34" i="6" s="1"/>
  <c r="ACV59" i="6"/>
  <c r="ACU59" i="6" s="1"/>
  <c r="GP9" i="6"/>
  <c r="SI24" i="6"/>
  <c r="SH24" i="6" s="1"/>
  <c r="ABA38" i="6"/>
  <c r="AAZ38" i="6" s="1"/>
  <c r="ZN44" i="6"/>
  <c r="JJ51" i="6"/>
  <c r="JI51" i="6" s="1"/>
  <c r="FY58" i="6"/>
  <c r="IR64" i="6"/>
  <c r="IQ64" i="6" s="1"/>
  <c r="NL77" i="6"/>
  <c r="CZ13" i="6"/>
  <c r="XO23" i="6"/>
  <c r="WH24" i="6"/>
  <c r="XD49" i="6"/>
  <c r="JJ7" i="6"/>
  <c r="JI7" i="6" s="1"/>
  <c r="SI15" i="6"/>
  <c r="SH15" i="6" s="1"/>
  <c r="ACH26" i="6"/>
  <c r="CQ33" i="6"/>
  <c r="GP40" i="6"/>
  <c r="DI47" i="6"/>
  <c r="HG53" i="6"/>
  <c r="TS59" i="6"/>
  <c r="TR59" i="6" s="1"/>
  <c r="KT66" i="6"/>
  <c r="KS66" i="6" s="1"/>
  <c r="UI72" i="6"/>
  <c r="ACH78" i="6"/>
  <c r="DZ10" i="6"/>
  <c r="JJ24" i="6"/>
  <c r="JI24" i="6" s="1"/>
  <c r="ABQ24" i="6"/>
  <c r="BO50" i="6"/>
  <c r="DI6" i="6"/>
  <c r="AN20" i="6"/>
  <c r="KT31" i="6"/>
  <c r="KS31" i="6" s="1"/>
  <c r="VJ37" i="6"/>
  <c r="WS44" i="6"/>
  <c r="QG51" i="6"/>
  <c r="QF51" i="6" s="1"/>
  <c r="HZ59" i="6"/>
  <c r="HY59" i="6" s="1"/>
  <c r="RQ65" i="6"/>
  <c r="RP65" i="6" s="1"/>
  <c r="TA71" i="6"/>
  <c r="SZ71" i="6" s="1"/>
  <c r="SI78" i="6"/>
  <c r="SH78" i="6" s="1"/>
  <c r="GP11" i="6"/>
  <c r="OW25" i="6"/>
  <c r="OV25" i="6" s="1"/>
  <c r="ABQ21" i="6"/>
  <c r="VY47" i="6"/>
  <c r="YX73" i="6"/>
  <c r="YW73" i="6" s="1"/>
  <c r="CZ22" i="6"/>
  <c r="DI33" i="6"/>
  <c r="PO39" i="6"/>
  <c r="PN39" i="6" s="1"/>
  <c r="VJ46" i="6"/>
  <c r="AN53" i="6"/>
  <c r="EQ59" i="6"/>
  <c r="GP66" i="6"/>
  <c r="KB75" i="6"/>
  <c r="KA75" i="6" s="1"/>
  <c r="WS81" i="6"/>
  <c r="DZ87" i="6"/>
  <c r="FH93" i="6"/>
  <c r="OW99" i="6"/>
  <c r="OV99" i="6" s="1"/>
  <c r="NL105" i="6"/>
  <c r="VY85" i="6"/>
  <c r="YX111" i="6"/>
  <c r="YW111" i="6" s="1"/>
  <c r="OE87" i="6"/>
  <c r="OD87" i="6" s="1"/>
  <c r="HZ94" i="6"/>
  <c r="HY94" i="6" s="1"/>
  <c r="UI100" i="6"/>
  <c r="CQ113" i="6"/>
  <c r="WH113" i="6"/>
  <c r="NL91" i="6"/>
  <c r="AN100" i="6"/>
  <c r="EQ106" i="6"/>
  <c r="GP113" i="6"/>
  <c r="WH114" i="6"/>
  <c r="CH88" i="6"/>
  <c r="OW94" i="6"/>
  <c r="OV94" i="6" s="1"/>
  <c r="QG100" i="6"/>
  <c r="QF100" i="6" s="1"/>
  <c r="KT108" i="6"/>
  <c r="KS108" i="6" s="1"/>
  <c r="KB115" i="6"/>
  <c r="KA115" i="6" s="1"/>
  <c r="AD95" i="6"/>
  <c r="AC95" i="6" s="1"/>
  <c r="EQ13" i="6"/>
  <c r="FY25" i="6"/>
  <c r="BO18" i="6"/>
  <c r="BO44" i="6"/>
  <c r="OE12" i="6"/>
  <c r="OD12" i="6" s="1"/>
  <c r="QG25" i="6"/>
  <c r="QF25" i="6" s="1"/>
  <c r="KT33" i="6"/>
  <c r="KS33" i="6" s="1"/>
  <c r="VJ39" i="6"/>
  <c r="CQ52" i="6"/>
  <c r="DZ59" i="6"/>
  <c r="FH65" i="6"/>
  <c r="RQ71" i="6"/>
  <c r="RP71" i="6" s="1"/>
  <c r="QY78" i="6"/>
  <c r="QX78" i="6" s="1"/>
  <c r="GP13" i="6"/>
  <c r="CQ24" i="6"/>
  <c r="AD28" i="6"/>
  <c r="AC28" i="6" s="1"/>
  <c r="VY53" i="6"/>
  <c r="DZ12" i="6"/>
  <c r="TS17" i="6"/>
  <c r="TR17" i="6" s="1"/>
  <c r="RQ28" i="6"/>
  <c r="RP28" i="6" s="1"/>
  <c r="TA34" i="6"/>
  <c r="SZ34" i="6" s="1"/>
  <c r="PO41" i="6"/>
  <c r="PN41" i="6" s="1"/>
  <c r="CZ48" i="6"/>
  <c r="CH54" i="6"/>
  <c r="OW60" i="6"/>
  <c r="OV60" i="6" s="1"/>
  <c r="OE67" i="6"/>
  <c r="OD67" i="6" s="1"/>
  <c r="FH74" i="6"/>
  <c r="RQ80" i="6"/>
  <c r="RP80" i="6" s="1"/>
  <c r="KT16" i="6"/>
  <c r="KS16" i="6" s="1"/>
  <c r="VY12" i="6"/>
  <c r="ACV37" i="6"/>
  <c r="ACU37" i="6" s="1"/>
  <c r="XZ63" i="6"/>
  <c r="XO25" i="6"/>
  <c r="LL36" i="6"/>
  <c r="LK36" i="6" s="1"/>
  <c r="KB42" i="6"/>
  <c r="KA42" i="6" s="1"/>
  <c r="YK54" i="6"/>
  <c r="KB62" i="6"/>
  <c r="KA62" i="6" s="1"/>
  <c r="WS68" i="6"/>
  <c r="TA75" i="6"/>
  <c r="SZ75" i="6" s="1"/>
  <c r="PO82" i="6"/>
  <c r="PN82" i="6" s="1"/>
  <c r="EQ16" i="6"/>
  <c r="XD117" i="6"/>
  <c r="VY31" i="6"/>
  <c r="ABQ57" i="6"/>
  <c r="FY15" i="6"/>
  <c r="NL28" i="6"/>
  <c r="HG35" i="6"/>
  <c r="GP42" i="6"/>
  <c r="FY49" i="6"/>
  <c r="IR55" i="6"/>
  <c r="IQ55" i="6" s="1"/>
  <c r="MD62" i="6"/>
  <c r="MC62" i="6" s="1"/>
  <c r="OE69" i="6"/>
  <c r="OD69" i="6" s="1"/>
  <c r="HZ76" i="6"/>
  <c r="HY76" i="6" s="1"/>
  <c r="YK80" i="6"/>
  <c r="PO88" i="6"/>
  <c r="PN88" i="6" s="1"/>
  <c r="ABA94" i="6"/>
  <c r="AAZ94" i="6" s="1"/>
  <c r="JJ107" i="6"/>
  <c r="JI107" i="6" s="1"/>
  <c r="DZ115" i="6"/>
  <c r="WH92" i="6"/>
  <c r="ZN81" i="6"/>
  <c r="JJ88" i="6"/>
  <c r="JI88" i="6" s="1"/>
  <c r="DZ96" i="6"/>
  <c r="FH102" i="6"/>
  <c r="RQ108" i="6"/>
  <c r="RP108" i="6" s="1"/>
  <c r="TA114" i="6"/>
  <c r="SZ114" i="6" s="1"/>
  <c r="XZ91" i="6"/>
  <c r="OW85" i="6"/>
  <c r="OV85" i="6" s="1"/>
  <c r="QG91" i="6"/>
  <c r="QF91" i="6" s="1"/>
  <c r="KB98" i="6"/>
  <c r="KA98" i="6" s="1"/>
  <c r="RQ105" i="6"/>
  <c r="RP105" i="6" s="1"/>
  <c r="QY112" i="6"/>
  <c r="QX112" i="6" s="1"/>
  <c r="AD86" i="6"/>
  <c r="AC86" i="6" s="1"/>
  <c r="VY111" i="6"/>
  <c r="FH88" i="6"/>
  <c r="TA100" i="6"/>
  <c r="SZ100" i="6" s="1"/>
  <c r="SI107" i="6"/>
  <c r="SH107" i="6" s="1"/>
  <c r="XO114" i="6"/>
  <c r="WH95" i="6"/>
  <c r="MD8" i="6"/>
  <c r="MC8" i="6" s="1"/>
  <c r="HZ28" i="6"/>
  <c r="HY28" i="6" s="1"/>
  <c r="XZ25" i="6"/>
  <c r="AD51" i="6"/>
  <c r="AC51" i="6" s="1"/>
  <c r="ABA6" i="6"/>
  <c r="AAZ6" i="6" s="1"/>
  <c r="CQ18" i="6"/>
  <c r="CQ28" i="6"/>
  <c r="PO36" i="6"/>
  <c r="PN36" i="6" s="1"/>
  <c r="ABA42" i="6"/>
  <c r="AAZ42" i="6" s="1"/>
  <c r="JJ55" i="6"/>
  <c r="JI55" i="6" s="1"/>
  <c r="DZ63" i="6"/>
  <c r="FH69" i="6"/>
  <c r="OW75" i="6"/>
  <c r="OV75" i="6" s="1"/>
  <c r="MD17" i="6"/>
  <c r="MC17" i="6" s="1"/>
  <c r="XD15" i="6"/>
  <c r="BO41" i="6"/>
  <c r="CQ11" i="6"/>
  <c r="VJ24" i="6"/>
  <c r="AN31" i="6"/>
  <c r="EQ37" i="6"/>
  <c r="OE43" i="6"/>
  <c r="OD43" i="6" s="1"/>
  <c r="HZ50" i="6"/>
  <c r="HY50" i="6" s="1"/>
  <c r="UI56" i="6"/>
  <c r="TS63" i="6"/>
  <c r="TR63" i="6" s="1"/>
  <c r="KT70" i="6"/>
  <c r="KS70" i="6" s="1"/>
  <c r="VJ76" i="6"/>
  <c r="JJ117" i="6"/>
  <c r="JI117" i="6" s="1"/>
  <c r="VJ20" i="6"/>
  <c r="BO22" i="6"/>
  <c r="WH73" i="6"/>
  <c r="CZ19" i="6"/>
  <c r="CQ30" i="6"/>
  <c r="GP37" i="6"/>
  <c r="KB46" i="6"/>
  <c r="KA46" i="6" s="1"/>
  <c r="XO61" i="6"/>
  <c r="DI68" i="6"/>
  <c r="HG74" i="6"/>
  <c r="QY80" i="6"/>
  <c r="QX80" i="6" s="1"/>
  <c r="YK12" i="6"/>
  <c r="QG27" i="6"/>
  <c r="QF27" i="6" s="1"/>
  <c r="ABQ25" i="6"/>
  <c r="VY51" i="6"/>
  <c r="GP117" i="6"/>
  <c r="IR35" i="6"/>
  <c r="IQ35" i="6" s="1"/>
  <c r="NL44" i="6"/>
  <c r="ABA57" i="6"/>
  <c r="AAZ57" i="6" s="1"/>
  <c r="ZN63" i="6"/>
  <c r="SI71" i="6"/>
  <c r="SH71" i="6" s="1"/>
  <c r="XO78" i="6"/>
  <c r="MD83" i="6"/>
  <c r="MC83" i="6" s="1"/>
  <c r="OE90" i="6"/>
  <c r="OD90" i="6" s="1"/>
  <c r="DI98" i="6"/>
  <c r="ZN104" i="6"/>
  <c r="JJ111" i="6"/>
  <c r="JI111" i="6" s="1"/>
  <c r="YX83" i="6"/>
  <c r="YW83" i="6" s="1"/>
  <c r="ACV108" i="6"/>
  <c r="ACU108" i="6" s="1"/>
  <c r="ZN85" i="6"/>
  <c r="JJ92" i="6"/>
  <c r="JI92" i="6" s="1"/>
  <c r="DZ100" i="6"/>
  <c r="FH106" i="6"/>
  <c r="RQ112" i="6"/>
  <c r="RP112" i="6" s="1"/>
  <c r="BO82" i="6"/>
  <c r="ZN90" i="6"/>
  <c r="CZ101" i="6"/>
  <c r="MD113" i="6"/>
  <c r="MC113" i="6" s="1"/>
  <c r="WH86" i="6"/>
  <c r="XD111" i="6"/>
  <c r="FY89" i="6"/>
  <c r="IR95" i="6"/>
  <c r="IQ95" i="6" s="1"/>
  <c r="YK107" i="6"/>
  <c r="PO115" i="6"/>
  <c r="PN115" i="6" s="1"/>
  <c r="ACV95" i="6"/>
  <c r="ACU95" i="6" s="1"/>
  <c r="TA21" i="6"/>
  <c r="SZ21" i="6" s="1"/>
  <c r="KT35" i="6"/>
  <c r="KS35" i="6" s="1"/>
  <c r="MD6" i="6"/>
  <c r="MC6" i="6" s="1"/>
  <c r="OW73" i="6"/>
  <c r="OV73" i="6" s="1"/>
  <c r="QG40" i="6"/>
  <c r="QF40" i="6" s="1"/>
  <c r="LL40" i="6"/>
  <c r="LK40" i="6" s="1"/>
  <c r="TS48" i="6"/>
  <c r="TR48" i="6" s="1"/>
  <c r="CZ80" i="6"/>
  <c r="WH42" i="6"/>
  <c r="ZN108" i="6"/>
  <c r="XZ95" i="6"/>
  <c r="KT88" i="6"/>
  <c r="KS88" i="6" s="1"/>
  <c r="JJ114" i="6"/>
  <c r="JI114" i="6" s="1"/>
  <c r="ACV35" i="6"/>
  <c r="ACU35" i="6" s="1"/>
  <c r="OE22" i="6"/>
  <c r="OD22" i="6" s="1"/>
  <c r="DI50" i="6"/>
  <c r="ABA8" i="6"/>
  <c r="AAZ8" i="6" s="1"/>
  <c r="PO25" i="6"/>
  <c r="PN25" i="6" s="1"/>
  <c r="HG117" i="6"/>
  <c r="YX49" i="6"/>
  <c r="YW49" i="6" s="1"/>
  <c r="TS45" i="6"/>
  <c r="TR45" i="6" s="1"/>
  <c r="RQ83" i="6"/>
  <c r="RP83" i="6" s="1"/>
  <c r="PO96" i="6"/>
  <c r="PN96" i="6" s="1"/>
  <c r="SI101" i="6"/>
  <c r="SH101" i="6" s="1"/>
  <c r="CH18" i="6"/>
  <c r="AD117" i="6"/>
  <c r="AC117" i="6" s="1"/>
  <c r="WH51" i="6"/>
  <c r="OW7" i="6"/>
  <c r="OV7" i="6" s="1"/>
  <c r="QY16" i="6"/>
  <c r="QX16" i="6" s="1"/>
  <c r="EQ28" i="6"/>
  <c r="QY34" i="6"/>
  <c r="QX34" i="6" s="1"/>
  <c r="CZ43" i="6"/>
  <c r="CH49" i="6"/>
  <c r="CQ56" i="6"/>
  <c r="GP63" i="6"/>
  <c r="FY70" i="6"/>
  <c r="HG76" i="6"/>
  <c r="FH7" i="6"/>
  <c r="SI18" i="6"/>
  <c r="SH18" i="6" s="1"/>
  <c r="YX13" i="6"/>
  <c r="YW13" i="6" s="1"/>
  <c r="XZ38" i="6"/>
  <c r="AD64" i="6"/>
  <c r="AC64" i="6" s="1"/>
  <c r="CZ10" i="6"/>
  <c r="NL22" i="6"/>
  <c r="KB29" i="6"/>
  <c r="KA29" i="6" s="1"/>
  <c r="WS35" i="6"/>
  <c r="YK41" i="6"/>
  <c r="PO49" i="6"/>
  <c r="PN49" i="6" s="1"/>
  <c r="CZ56" i="6"/>
  <c r="CH62" i="6"/>
  <c r="MD68" i="6"/>
  <c r="MC68" i="6" s="1"/>
  <c r="LL75" i="6"/>
  <c r="LK75" i="6" s="1"/>
  <c r="KB81" i="6"/>
  <c r="KA81" i="6" s="1"/>
  <c r="OW18" i="6"/>
  <c r="OV18" i="6" s="1"/>
  <c r="VY16" i="6"/>
  <c r="ACV41" i="6"/>
  <c r="ACU41" i="6" s="1"/>
  <c r="XZ67" i="6"/>
  <c r="VJ15" i="6"/>
  <c r="NL27" i="6"/>
  <c r="YK34" i="6"/>
  <c r="PO42" i="6"/>
  <c r="PN42" i="6" s="1"/>
  <c r="ABA48" i="6"/>
  <c r="AAZ48" i="6" s="1"/>
  <c r="GP61" i="6"/>
  <c r="FY68" i="6"/>
  <c r="IR74" i="6"/>
  <c r="IQ74" i="6" s="1"/>
  <c r="TS80" i="6"/>
  <c r="TR80" i="6" s="1"/>
  <c r="VJ11" i="6"/>
  <c r="OE24" i="6"/>
  <c r="OD24" i="6" s="1"/>
  <c r="ACV22" i="6"/>
  <c r="ACU22" i="6" s="1"/>
  <c r="WH74" i="6"/>
  <c r="OW22" i="6"/>
  <c r="OV22" i="6" s="1"/>
  <c r="LL33" i="6"/>
  <c r="LK33" i="6" s="1"/>
  <c r="ZN39" i="6"/>
  <c r="JJ46" i="6"/>
  <c r="JI46" i="6" s="1"/>
  <c r="DZ54" i="6"/>
  <c r="CH60" i="6"/>
  <c r="OW66" i="6"/>
  <c r="OV66" i="6" s="1"/>
  <c r="QG72" i="6"/>
  <c r="QF72" i="6" s="1"/>
  <c r="KT80" i="6"/>
  <c r="KS80" i="6" s="1"/>
  <c r="ZN84" i="6"/>
  <c r="JJ91" i="6"/>
  <c r="JI91" i="6" s="1"/>
  <c r="FY98" i="6"/>
  <c r="HG104" i="6"/>
  <c r="TS110" i="6"/>
  <c r="TR110" i="6" s="1"/>
  <c r="BO77" i="6"/>
  <c r="RQ84" i="6"/>
  <c r="RP84" i="6" s="1"/>
  <c r="TA90" i="6"/>
  <c r="SZ90" i="6" s="1"/>
  <c r="SI97" i="6"/>
  <c r="SH97" i="6" s="1"/>
  <c r="XO104" i="6"/>
  <c r="DI111" i="6"/>
  <c r="YX76" i="6"/>
  <c r="YW76" i="6" s="1"/>
  <c r="ACV101" i="6"/>
  <c r="ACU101" i="6" s="1"/>
  <c r="AN88" i="6"/>
  <c r="EQ94" i="6"/>
  <c r="DZ101" i="6"/>
  <c r="AN108" i="6"/>
  <c r="EQ114" i="6"/>
  <c r="AD90" i="6"/>
  <c r="AC90" i="6" s="1"/>
  <c r="VY115" i="6"/>
  <c r="DZ90" i="6"/>
  <c r="DI97" i="6"/>
  <c r="HG103" i="6"/>
  <c r="NL116" i="6"/>
  <c r="WH99" i="6"/>
  <c r="RQ12" i="6"/>
  <c r="RP12" i="6" s="1"/>
  <c r="NL24" i="6"/>
  <c r="YX16" i="6"/>
  <c r="YW16" i="6" s="1"/>
  <c r="YX42" i="6"/>
  <c r="YW42" i="6" s="1"/>
  <c r="ACV67" i="6"/>
  <c r="ACU67" i="6" s="1"/>
  <c r="HZ11" i="6"/>
  <c r="HY11" i="6" s="1"/>
  <c r="AN26" i="6"/>
  <c r="EQ32" i="6"/>
  <c r="QY38" i="6"/>
  <c r="QX38" i="6" s="1"/>
  <c r="HZ45" i="6"/>
  <c r="HY45" i="6" s="1"/>
  <c r="UI51" i="6"/>
  <c r="TA57" i="6"/>
  <c r="SZ57" i="6" s="1"/>
  <c r="SI64" i="6"/>
  <c r="SH64" i="6" s="1"/>
  <c r="XO71" i="6"/>
  <c r="AN78" i="6"/>
  <c r="DI12" i="6"/>
  <c r="BO29" i="6"/>
  <c r="CZ117" i="6"/>
  <c r="HZ16" i="6"/>
  <c r="HY16" i="6" s="1"/>
  <c r="LL27" i="6"/>
  <c r="LK27" i="6" s="1"/>
  <c r="KB33" i="6"/>
  <c r="KA33" i="6" s="1"/>
  <c r="WS39" i="6"/>
  <c r="QG46" i="6"/>
  <c r="QF46" i="6" s="1"/>
  <c r="KT54" i="6"/>
  <c r="KS54" i="6" s="1"/>
  <c r="VJ60" i="6"/>
  <c r="SI73" i="6"/>
  <c r="SH73" i="6" s="1"/>
  <c r="XO80" i="6"/>
  <c r="CQ15" i="6"/>
  <c r="ABQ10" i="6"/>
  <c r="WH61" i="6"/>
  <c r="HG26" i="6"/>
  <c r="EQ34" i="6"/>
  <c r="JJ41" i="6"/>
  <c r="JI41" i="6" s="1"/>
  <c r="VJ49" i="6"/>
  <c r="AN56" i="6"/>
  <c r="NL63" i="6"/>
  <c r="ABA76" i="6"/>
  <c r="AAZ76" i="6" s="1"/>
  <c r="ZN82" i="6"/>
  <c r="PO16" i="6"/>
  <c r="PN16" i="6" s="1"/>
  <c r="XO29" i="6"/>
  <c r="ABQ29" i="6"/>
  <c r="VY55" i="6"/>
  <c r="JJ12" i="6"/>
  <c r="JI12" i="6" s="1"/>
  <c r="GP26" i="6"/>
  <c r="DZ34" i="6"/>
  <c r="CQ47" i="6"/>
  <c r="GP54" i="6"/>
  <c r="DI61" i="6"/>
  <c r="HG67" i="6"/>
  <c r="TS73" i="6"/>
  <c r="TR73" i="6" s="1"/>
  <c r="NL80" i="6"/>
  <c r="MD91" i="6"/>
  <c r="MC91" i="6" s="1"/>
  <c r="LL98" i="6"/>
  <c r="LK98" i="6" s="1"/>
  <c r="IR104" i="6"/>
  <c r="IQ104" i="6" s="1"/>
  <c r="YK116" i="6"/>
  <c r="AD100" i="6"/>
  <c r="AC100" i="6" s="1"/>
  <c r="ABA83" i="6"/>
  <c r="AAZ83" i="6" s="1"/>
  <c r="MD96" i="6"/>
  <c r="MC96" i="6" s="1"/>
  <c r="OE103" i="6"/>
  <c r="OD103" i="6" s="1"/>
  <c r="FY111" i="6"/>
  <c r="ABQ76" i="6"/>
  <c r="BO102" i="6"/>
  <c r="DI88" i="6"/>
  <c r="HG94" i="6"/>
  <c r="OE100" i="6"/>
  <c r="OD100" i="6" s="1"/>
  <c r="FH107" i="6"/>
  <c r="RQ113" i="6"/>
  <c r="RP113" i="6" s="1"/>
  <c r="BO87" i="6"/>
  <c r="NL88" i="6"/>
  <c r="HZ96" i="6"/>
  <c r="HY96" i="6" s="1"/>
  <c r="XZ93" i="6"/>
  <c r="FH6" i="6"/>
  <c r="QY21" i="6"/>
  <c r="QX21" i="6" s="1"/>
  <c r="BO10" i="6"/>
  <c r="BO36" i="6"/>
  <c r="QY8" i="6"/>
  <c r="QX8" i="6" s="1"/>
  <c r="QY22" i="6"/>
  <c r="QX22" i="6" s="1"/>
  <c r="AN30" i="6"/>
  <c r="EQ36" i="6"/>
  <c r="OE42" i="6"/>
  <c r="OD42" i="6" s="1"/>
  <c r="HZ49" i="6"/>
  <c r="HY49" i="6" s="1"/>
  <c r="RQ55" i="6"/>
  <c r="RP55" i="6" s="1"/>
  <c r="TA61" i="6"/>
  <c r="SZ61" i="6" s="1"/>
  <c r="SI68" i="6"/>
  <c r="SH68" i="6" s="1"/>
  <c r="VJ75" i="6"/>
  <c r="QY11" i="6"/>
  <c r="QX11" i="6" s="1"/>
  <c r="VJ17" i="6"/>
  <c r="AD14" i="6"/>
  <c r="AC14" i="6" s="1"/>
  <c r="YX39" i="6"/>
  <c r="YW39" i="6" s="1"/>
  <c r="ACV64" i="6"/>
  <c r="ACU64" i="6" s="1"/>
  <c r="MD10" i="6"/>
  <c r="MC10" i="6" s="1"/>
  <c r="KT30" i="6"/>
  <c r="KS30" i="6" s="1"/>
  <c r="VJ36" i="6"/>
  <c r="CQ49" i="6"/>
  <c r="GP56" i="6"/>
  <c r="FY63" i="6"/>
  <c r="ZN69" i="6"/>
  <c r="JJ76" i="6"/>
  <c r="JI76" i="6" s="1"/>
  <c r="DI9" i="6"/>
  <c r="QY23" i="6"/>
  <c r="QX23" i="6" s="1"/>
  <c r="VY26" i="6"/>
  <c r="YX52" i="6"/>
  <c r="YW52" i="6" s="1"/>
  <c r="YK8" i="6"/>
  <c r="IR22" i="6"/>
  <c r="IQ22" i="6" s="1"/>
  <c r="AN32" i="6"/>
  <c r="EQ38" i="6"/>
  <c r="QY44" i="6"/>
  <c r="QX44" i="6" s="1"/>
  <c r="FY52" i="6"/>
  <c r="HG58" i="6"/>
  <c r="QY64" i="6"/>
  <c r="QX64" i="6" s="1"/>
  <c r="DZ73" i="6"/>
  <c r="FH79" i="6"/>
  <c r="QY10" i="6"/>
  <c r="QX10" i="6" s="1"/>
  <c r="VY23" i="6"/>
  <c r="ABQ49" i="6"/>
  <c r="BO75" i="6"/>
  <c r="FH24" i="6"/>
  <c r="QY33" i="6"/>
  <c r="QX33" i="6" s="1"/>
  <c r="AN41" i="6"/>
  <c r="EQ47" i="6"/>
  <c r="QY53" i="6"/>
  <c r="QX53" i="6" s="1"/>
  <c r="FY61" i="6"/>
  <c r="IR67" i="6"/>
  <c r="IQ67" i="6" s="1"/>
  <c r="YK79" i="6"/>
  <c r="IR84" i="6"/>
  <c r="IQ84" i="6" s="1"/>
  <c r="NL97" i="6"/>
  <c r="KB104" i="6"/>
  <c r="KA104" i="6" s="1"/>
  <c r="WS110" i="6"/>
  <c r="ZN116" i="6"/>
  <c r="WH100" i="6"/>
  <c r="CZ84" i="6"/>
  <c r="CH90" i="6"/>
  <c r="OW96" i="6"/>
  <c r="OV96" i="6" s="1"/>
  <c r="QG102" i="6"/>
  <c r="QF102" i="6" s="1"/>
  <c r="KT110" i="6"/>
  <c r="KS110" i="6" s="1"/>
  <c r="VJ116" i="6"/>
  <c r="XZ99" i="6"/>
  <c r="FY88" i="6"/>
  <c r="IR94" i="6"/>
  <c r="IQ94" i="6" s="1"/>
  <c r="QY100" i="6"/>
  <c r="QX100" i="6" s="1"/>
  <c r="CZ109" i="6"/>
  <c r="CH115" i="6"/>
  <c r="AD94" i="6"/>
  <c r="AC94" i="6" s="1"/>
  <c r="EQ83" i="6"/>
  <c r="QY89" i="6"/>
  <c r="QX89" i="6" s="1"/>
  <c r="LL97" i="6"/>
  <c r="LK97" i="6" s="1"/>
  <c r="FH104" i="6"/>
  <c r="RQ110" i="6"/>
  <c r="RP110" i="6" s="1"/>
  <c r="TA116" i="6"/>
  <c r="SZ116" i="6" s="1"/>
  <c r="BO100" i="6"/>
  <c r="KT10" i="6"/>
  <c r="KS10" i="6" s="1"/>
  <c r="TA24" i="6"/>
  <c r="SZ24" i="6" s="1"/>
  <c r="VY20" i="6"/>
  <c r="YX46" i="6"/>
  <c r="YW46" i="6" s="1"/>
  <c r="ACV71" i="6"/>
  <c r="ACU71" i="6" s="1"/>
  <c r="VJ13" i="6"/>
  <c r="CZ27" i="6"/>
  <c r="CH33" i="6"/>
  <c r="OW39" i="6"/>
  <c r="OV39" i="6" s="1"/>
  <c r="OE46" i="6"/>
  <c r="OD46" i="6" s="1"/>
  <c r="FH53" i="6"/>
  <c r="RQ59" i="6"/>
  <c r="RP59" i="6" s="1"/>
  <c r="TA65" i="6"/>
  <c r="SZ65" i="6" s="1"/>
  <c r="PO72" i="6"/>
  <c r="PN72" i="6" s="1"/>
  <c r="CZ79" i="6"/>
  <c r="TS12" i="6"/>
  <c r="TR12" i="6" s="1"/>
  <c r="FY6" i="6"/>
  <c r="XD29" i="6"/>
  <c r="ABQ55" i="6"/>
  <c r="RQ6" i="6"/>
  <c r="RP6" i="6" s="1"/>
  <c r="IR15" i="6"/>
  <c r="IQ15" i="6" s="1"/>
  <c r="YK25" i="6"/>
  <c r="PO33" i="6"/>
  <c r="PN33" i="6" s="1"/>
  <c r="CZ40" i="6"/>
  <c r="MD52" i="6"/>
  <c r="MC52" i="6" s="1"/>
  <c r="OE59" i="6"/>
  <c r="OD59" i="6" s="1"/>
  <c r="DI67" i="6"/>
  <c r="EQ73" i="6"/>
  <c r="QY79" i="6"/>
  <c r="QX79" i="6" s="1"/>
  <c r="QY13" i="6"/>
  <c r="QX13" i="6" s="1"/>
  <c r="BO8" i="6"/>
  <c r="WH33" i="6"/>
  <c r="XD58" i="6"/>
  <c r="EQ12" i="6"/>
  <c r="ABA32" i="6"/>
  <c r="AAZ32" i="6" s="1"/>
  <c r="YK46" i="6"/>
  <c r="XO53" i="6"/>
  <c r="QG67" i="6"/>
  <c r="QF67" i="6" s="1"/>
  <c r="XO77" i="6"/>
  <c r="AN84" i="6"/>
  <c r="FH23" i="6"/>
  <c r="BO17" i="6"/>
  <c r="VY43" i="6"/>
  <c r="YX69" i="6"/>
  <c r="YW69" i="6" s="1"/>
  <c r="QY19" i="6"/>
  <c r="QX19" i="6" s="1"/>
  <c r="JJ34" i="6"/>
  <c r="JI34" i="6" s="1"/>
  <c r="DI41" i="6"/>
  <c r="HG47" i="6"/>
  <c r="TS53" i="6"/>
  <c r="TR53" i="6" s="1"/>
  <c r="KT60" i="6"/>
  <c r="KS60" i="6" s="1"/>
  <c r="VJ66" i="6"/>
  <c r="AN73" i="6"/>
  <c r="EQ79" i="6"/>
  <c r="VJ83" i="6"/>
  <c r="AN90" i="6"/>
  <c r="CQ96" i="6"/>
  <c r="GP103" i="6"/>
  <c r="DI110" i="6"/>
  <c r="HG116" i="6"/>
  <c r="VY97" i="6"/>
  <c r="LL83" i="6"/>
  <c r="LK83" i="6" s="1"/>
  <c r="KB89" i="6"/>
  <c r="KA89" i="6" s="1"/>
  <c r="WS95" i="6"/>
  <c r="ZN101" i="6"/>
  <c r="JJ108" i="6"/>
  <c r="JI108" i="6" s="1"/>
  <c r="DZ116" i="6"/>
  <c r="ABQ96" i="6"/>
  <c r="KT87" i="6"/>
  <c r="KS87" i="6" s="1"/>
  <c r="VJ93" i="6"/>
  <c r="TS100" i="6"/>
  <c r="TR100" i="6" s="1"/>
  <c r="KT107" i="6"/>
  <c r="KS107" i="6" s="1"/>
  <c r="VJ113" i="6"/>
  <c r="XD87" i="6"/>
  <c r="ABQ113" i="6"/>
  <c r="ZN87" i="6"/>
  <c r="JJ94" i="6"/>
  <c r="JI94" i="6" s="1"/>
  <c r="DZ102" i="6"/>
  <c r="DI109" i="6"/>
  <c r="HG115" i="6"/>
  <c r="YX94" i="6"/>
  <c r="YW94" i="6" s="1"/>
  <c r="NL117" i="6"/>
  <c r="IR23" i="6"/>
  <c r="IQ23" i="6" s="1"/>
  <c r="BO14" i="6"/>
  <c r="BO40" i="6"/>
  <c r="AN12" i="6"/>
  <c r="DZ27" i="6"/>
  <c r="FH33" i="6"/>
  <c r="RQ39" i="6"/>
  <c r="RP39" i="6" s="1"/>
  <c r="QG45" i="6"/>
  <c r="QF45" i="6" s="1"/>
  <c r="HZ53" i="6"/>
  <c r="HY53" i="6" s="1"/>
  <c r="UI59" i="6"/>
  <c r="ACH65" i="6"/>
  <c r="CQ72" i="6"/>
  <c r="DZ79" i="6"/>
  <c r="XO13" i="6"/>
  <c r="XZ8" i="6"/>
  <c r="VY33" i="6"/>
  <c r="YX59" i="6"/>
  <c r="YW59" i="6" s="1"/>
  <c r="QY9" i="6"/>
  <c r="QX9" i="6" s="1"/>
  <c r="MD20" i="6"/>
  <c r="MC20" i="6" s="1"/>
  <c r="MD28" i="6"/>
  <c r="MC28" i="6" s="1"/>
  <c r="OE35" i="6"/>
  <c r="OD35" i="6" s="1"/>
  <c r="FH42" i="6"/>
  <c r="RQ48" i="6"/>
  <c r="RP48" i="6" s="1"/>
  <c r="TA54" i="6"/>
  <c r="SZ54" i="6" s="1"/>
  <c r="SI61" i="6"/>
  <c r="SH61" i="6" s="1"/>
  <c r="CZ68" i="6"/>
  <c r="MD80" i="6"/>
  <c r="MC80" i="6" s="1"/>
  <c r="VY8" i="6"/>
  <c r="ACV33" i="6"/>
  <c r="ACU33" i="6" s="1"/>
  <c r="XZ59" i="6"/>
  <c r="HG12" i="6"/>
  <c r="AN24" i="6"/>
  <c r="CZ33" i="6"/>
  <c r="CH39" i="6"/>
  <c r="EQ46" i="6"/>
  <c r="GP53" i="6"/>
  <c r="DI60" i="6"/>
  <c r="EQ66" i="6"/>
  <c r="QY72" i="6"/>
  <c r="QX72" i="6" s="1"/>
  <c r="CZ81" i="6"/>
  <c r="IR57" i="6"/>
  <c r="IQ57" i="6" s="1"/>
  <c r="JJ25" i="6"/>
  <c r="JI25" i="6" s="1"/>
  <c r="VY17" i="6"/>
  <c r="XD43" i="6"/>
  <c r="ABQ69" i="6"/>
  <c r="CH32" i="6"/>
  <c r="GP38" i="6"/>
  <c r="ABA45" i="6"/>
  <c r="AAZ45" i="6" s="1"/>
  <c r="MD58" i="6"/>
  <c r="MC58" i="6" s="1"/>
  <c r="LL65" i="6"/>
  <c r="LK65" i="6" s="1"/>
  <c r="DI73" i="6"/>
  <c r="HG79" i="6"/>
  <c r="XO83" i="6"/>
  <c r="DI90" i="6"/>
  <c r="EQ96" i="6"/>
  <c r="QY102" i="6"/>
  <c r="QX102" i="6" s="1"/>
  <c r="HZ109" i="6"/>
  <c r="HY109" i="6" s="1"/>
  <c r="UI115" i="6"/>
  <c r="NL82" i="6"/>
  <c r="ABA95" i="6"/>
  <c r="AAZ95" i="6" s="1"/>
  <c r="MD108" i="6"/>
  <c r="MC108" i="6" s="1"/>
  <c r="OE115" i="6"/>
  <c r="OD115" i="6" s="1"/>
  <c r="AD97" i="6"/>
  <c r="AC97" i="6" s="1"/>
  <c r="NL87" i="6"/>
  <c r="HZ95" i="6"/>
  <c r="HY95" i="6" s="1"/>
  <c r="OW101" i="6"/>
  <c r="OV101" i="6" s="1"/>
  <c r="NL107" i="6"/>
  <c r="HZ115" i="6"/>
  <c r="HY115" i="6" s="1"/>
  <c r="ACV94" i="6"/>
  <c r="ACU94" i="6" s="1"/>
  <c r="IR83" i="6"/>
  <c r="IQ83" i="6" s="1"/>
  <c r="YK95" i="6"/>
  <c r="PO103" i="6"/>
  <c r="PN103" i="6" s="1"/>
  <c r="VJ110" i="6"/>
  <c r="WH75" i="6"/>
  <c r="XD100" i="6"/>
  <c r="TS11" i="6"/>
  <c r="TR11" i="6" s="1"/>
  <c r="AN25" i="6"/>
  <c r="XZ11" i="6"/>
  <c r="XZ37" i="6"/>
  <c r="AD63" i="6"/>
  <c r="AC63" i="6" s="1"/>
  <c r="IR10" i="6"/>
  <c r="IQ10" i="6" s="1"/>
  <c r="NL25" i="6"/>
  <c r="HZ33" i="6"/>
  <c r="HY33" i="6" s="1"/>
  <c r="UI39" i="6"/>
  <c r="TA45" i="6"/>
  <c r="SZ45" i="6" s="1"/>
  <c r="PO52" i="6"/>
  <c r="PN52" i="6" s="1"/>
  <c r="CZ59" i="6"/>
  <c r="CH65" i="6"/>
  <c r="OW71" i="6"/>
  <c r="OV71" i="6" s="1"/>
  <c r="OE78" i="6"/>
  <c r="OD78" i="6" s="1"/>
  <c r="CQ14" i="6"/>
  <c r="ABQ27" i="6"/>
  <c r="BO53" i="6"/>
  <c r="CH10" i="6"/>
  <c r="OE17" i="6"/>
  <c r="OD17" i="6" s="1"/>
  <c r="YK33" i="6"/>
  <c r="ABA47" i="6"/>
  <c r="AAZ47" i="6" s="1"/>
  <c r="MD60" i="6"/>
  <c r="MC60" i="6" s="1"/>
  <c r="LL67" i="6"/>
  <c r="LK67" i="6" s="1"/>
  <c r="IR73" i="6"/>
  <c r="IQ73" i="6" s="1"/>
  <c r="FH12" i="6"/>
  <c r="YX117" i="6"/>
  <c r="YW117" i="6" s="1"/>
  <c r="WH53" i="6"/>
  <c r="HZ9" i="6"/>
  <c r="HY9" i="6" s="1"/>
  <c r="RQ21" i="6"/>
  <c r="RP21" i="6" s="1"/>
  <c r="LL32" i="6"/>
  <c r="LK32" i="6" s="1"/>
  <c r="FH39" i="6"/>
  <c r="RQ45" i="6"/>
  <c r="RP45" i="6" s="1"/>
  <c r="QY52" i="6"/>
  <c r="QX52" i="6" s="1"/>
  <c r="FY60" i="6"/>
  <c r="HG66" i="6"/>
  <c r="TS72" i="6"/>
  <c r="TR72" i="6" s="1"/>
  <c r="NL79" i="6"/>
  <c r="IR12" i="6"/>
  <c r="IQ12" i="6" s="1"/>
  <c r="FH27" i="6"/>
  <c r="ACV50" i="6"/>
  <c r="ACU50" i="6" s="1"/>
  <c r="RQ7" i="6"/>
  <c r="RP7" i="6" s="1"/>
  <c r="DI25" i="6"/>
  <c r="WS33" i="6"/>
  <c r="LL41" i="6"/>
  <c r="LK41" i="6" s="1"/>
  <c r="KB47" i="6"/>
  <c r="KA47" i="6" s="1"/>
  <c r="WS53" i="6"/>
  <c r="YK59" i="6"/>
  <c r="PO67" i="6"/>
  <c r="PN67" i="6" s="1"/>
  <c r="FH76" i="6"/>
  <c r="SI80" i="6"/>
  <c r="SH80" i="6" s="1"/>
  <c r="XO87" i="6"/>
  <c r="DI94" i="6"/>
  <c r="EQ100" i="6"/>
  <c r="OE106" i="6"/>
  <c r="OD106" i="6" s="1"/>
  <c r="HZ113" i="6"/>
  <c r="HY113" i="6" s="1"/>
  <c r="ACV88" i="6"/>
  <c r="ACU88" i="6" s="1"/>
  <c r="XZ114" i="6"/>
  <c r="GP88" i="6"/>
  <c r="FY95" i="6"/>
  <c r="IR101" i="6"/>
  <c r="IQ101" i="6" s="1"/>
  <c r="YK113" i="6"/>
  <c r="XD90" i="6"/>
  <c r="ABQ116" i="6"/>
  <c r="OE92" i="6"/>
  <c r="OD92" i="6" s="1"/>
  <c r="WS100" i="6"/>
  <c r="YK106" i="6"/>
  <c r="PO114" i="6"/>
  <c r="PN114" i="6" s="1"/>
  <c r="XD91" i="6"/>
  <c r="VJ82" i="6"/>
  <c r="AN89" i="6"/>
  <c r="EQ95" i="6"/>
  <c r="QY101" i="6"/>
  <c r="QX101" i="6" s="1"/>
  <c r="LL109" i="6"/>
  <c r="LK109" i="6" s="1"/>
  <c r="FH116" i="6"/>
  <c r="YX98" i="6"/>
  <c r="YW98" i="6" s="1"/>
  <c r="QG14" i="6"/>
  <c r="QF14" i="6" s="1"/>
  <c r="CH28" i="6"/>
  <c r="WH47" i="6"/>
  <c r="XD72" i="6"/>
  <c r="HG14" i="6"/>
  <c r="QY26" i="6"/>
  <c r="QX26" i="6" s="1"/>
  <c r="LL34" i="6"/>
  <c r="LK34" i="6" s="1"/>
  <c r="KB40" i="6"/>
  <c r="KA40" i="6" s="1"/>
  <c r="SI52" i="6"/>
  <c r="SH52" i="6" s="1"/>
  <c r="XO59" i="6"/>
  <c r="DI66" i="6"/>
  <c r="ZN72" i="6"/>
  <c r="JJ79" i="6"/>
  <c r="JI79" i="6" s="1"/>
  <c r="EQ14" i="6"/>
  <c r="WH117" i="6"/>
  <c r="YX31" i="6"/>
  <c r="YW31" i="6" s="1"/>
  <c r="ACV56" i="6"/>
  <c r="ACU56" i="6" s="1"/>
  <c r="EQ7" i="6"/>
  <c r="CH22" i="6"/>
  <c r="HG29" i="6"/>
  <c r="TS35" i="6"/>
  <c r="TR35" i="6" s="1"/>
  <c r="KT42" i="6"/>
  <c r="KS42" i="6" s="1"/>
  <c r="VJ48" i="6"/>
  <c r="AN55" i="6"/>
  <c r="EQ61" i="6"/>
  <c r="GP68" i="6"/>
  <c r="DI75" i="6"/>
  <c r="HG81" i="6"/>
  <c r="CZ18" i="6"/>
  <c r="ACV15" i="6"/>
  <c r="ACU15" i="6" s="1"/>
  <c r="AD41" i="6"/>
  <c r="AC41" i="6" s="1"/>
  <c r="VY66" i="6"/>
  <c r="OW15" i="6"/>
  <c r="OV15" i="6" s="1"/>
  <c r="CH27" i="6"/>
  <c r="DZ37" i="6"/>
  <c r="FH43" i="6"/>
  <c r="OW49" i="6"/>
  <c r="OV49" i="6" s="1"/>
  <c r="QG55" i="6"/>
  <c r="QF55" i="6" s="1"/>
  <c r="FH63" i="6"/>
  <c r="RQ69" i="6"/>
  <c r="RP69" i="6" s="1"/>
  <c r="TS76" i="6"/>
  <c r="TR76" i="6" s="1"/>
  <c r="KT83" i="6"/>
  <c r="KS83" i="6" s="1"/>
  <c r="HZ17" i="6"/>
  <c r="HY17" i="6" s="1"/>
  <c r="ACV8" i="6"/>
  <c r="ACU8" i="6" s="1"/>
  <c r="BO35" i="6"/>
  <c r="RQ16" i="6"/>
  <c r="RP16" i="6" s="1"/>
  <c r="DZ30" i="6"/>
  <c r="PO43" i="6"/>
  <c r="PN43" i="6" s="1"/>
  <c r="CZ50" i="6"/>
  <c r="CH56" i="6"/>
  <c r="CQ63" i="6"/>
  <c r="GP70" i="6"/>
  <c r="FY77" i="6"/>
  <c r="QG81" i="6"/>
  <c r="QF81" i="6" s="1"/>
  <c r="KT89" i="6"/>
  <c r="KS89" i="6" s="1"/>
  <c r="UI95" i="6"/>
  <c r="SI108" i="6"/>
  <c r="SH108" i="6" s="1"/>
  <c r="XO115" i="6"/>
  <c r="ABQ95" i="6"/>
  <c r="TA82" i="6"/>
  <c r="SZ82" i="6" s="1"/>
  <c r="SI89" i="6"/>
  <c r="SH89" i="6" s="1"/>
  <c r="XO96" i="6"/>
  <c r="DI103" i="6"/>
  <c r="HG109" i="6"/>
  <c r="TS115" i="6"/>
  <c r="TR115" i="6" s="1"/>
  <c r="VY94" i="6"/>
  <c r="EQ86" i="6"/>
  <c r="QY92" i="6"/>
  <c r="QX92" i="6" s="1"/>
  <c r="FH99" i="6"/>
  <c r="ZN106" i="6"/>
  <c r="JJ113" i="6"/>
  <c r="JI113" i="6" s="1"/>
  <c r="YX89" i="6"/>
  <c r="YW89" i="6" s="1"/>
  <c r="ACV114" i="6"/>
  <c r="ACU114" i="6" s="1"/>
  <c r="DI89" i="6"/>
  <c r="HG95" i="6"/>
  <c r="TS101" i="6"/>
  <c r="TR101" i="6" s="1"/>
  <c r="NL108" i="6"/>
  <c r="ABQ98" i="6"/>
  <c r="MD12" i="6"/>
  <c r="MC12" i="6" s="1"/>
  <c r="CZ30" i="6"/>
  <c r="VY28" i="6"/>
  <c r="YX54" i="6"/>
  <c r="YW54" i="6" s="1"/>
  <c r="SI6" i="6"/>
  <c r="SH6" i="6" s="1"/>
  <c r="TA19" i="6"/>
  <c r="SZ19" i="6" s="1"/>
  <c r="YK28" i="6"/>
  <c r="KT37" i="6"/>
  <c r="KS37" i="6" s="1"/>
  <c r="UI43" i="6"/>
  <c r="SI56" i="6"/>
  <c r="SH56" i="6" s="1"/>
  <c r="XO63" i="6"/>
  <c r="DI70" i="6"/>
  <c r="EQ76" i="6"/>
  <c r="YK6" i="6"/>
  <c r="IR20" i="6"/>
  <c r="IQ20" i="6" s="1"/>
  <c r="BO19" i="6"/>
  <c r="WH44" i="6"/>
  <c r="XD69" i="6"/>
  <c r="CH12" i="6"/>
  <c r="KB25" i="6"/>
  <c r="KA25" i="6" s="1"/>
  <c r="WS31" i="6"/>
  <c r="ZN37" i="6"/>
  <c r="GP44" i="6"/>
  <c r="FY51" i="6"/>
  <c r="CH58" i="6"/>
  <c r="MD64" i="6"/>
  <c r="MC64" i="6" s="1"/>
  <c r="LL71" i="6"/>
  <c r="LK71" i="6" s="1"/>
  <c r="KB77" i="6"/>
  <c r="KA77" i="6" s="1"/>
  <c r="HZ8" i="6"/>
  <c r="HY8" i="6" s="1"/>
  <c r="KT22" i="6"/>
  <c r="KS22" i="6" s="1"/>
  <c r="WH25" i="6"/>
  <c r="XD50" i="6"/>
  <c r="QY20" i="6"/>
  <c r="QX20" i="6" s="1"/>
  <c r="YK30" i="6"/>
  <c r="KT39" i="6"/>
  <c r="KS39" i="6" s="1"/>
  <c r="FH47" i="6"/>
  <c r="EQ54" i="6"/>
  <c r="ABA68" i="6"/>
  <c r="AAZ68" i="6" s="1"/>
  <c r="JJ81" i="6"/>
  <c r="JI81" i="6" s="1"/>
  <c r="ABA14" i="6"/>
  <c r="AAZ14" i="6" s="1"/>
  <c r="RQ29" i="6"/>
  <c r="RP29" i="6" s="1"/>
  <c r="ACV54" i="6"/>
  <c r="ACU54" i="6" s="1"/>
  <c r="VJ8" i="6"/>
  <c r="ABA25" i="6"/>
  <c r="AAZ25" i="6" s="1"/>
  <c r="CH36" i="6"/>
  <c r="OE45" i="6"/>
  <c r="OD45" i="6" s="1"/>
  <c r="HZ52" i="6"/>
  <c r="HY52" i="6" s="1"/>
  <c r="UI58" i="6"/>
  <c r="TA64" i="6"/>
  <c r="SZ64" i="6" s="1"/>
  <c r="NL72" i="6"/>
  <c r="CQ84" i="6"/>
  <c r="GP91" i="6"/>
  <c r="ABA98" i="6"/>
  <c r="AAZ98" i="6" s="1"/>
  <c r="TA105" i="6"/>
  <c r="SZ105" i="6" s="1"/>
  <c r="SI112" i="6"/>
  <c r="SH112" i="6" s="1"/>
  <c r="XZ86" i="6"/>
  <c r="AD112" i="6"/>
  <c r="AC112" i="6" s="1"/>
  <c r="TA86" i="6"/>
  <c r="SZ86" i="6" s="1"/>
  <c r="SI93" i="6"/>
  <c r="SH93" i="6" s="1"/>
  <c r="XO100" i="6"/>
  <c r="DI107" i="6"/>
  <c r="HG113" i="6"/>
  <c r="WH85" i="6"/>
  <c r="XD110" i="6"/>
  <c r="CQ94" i="6"/>
  <c r="VJ101" i="6"/>
  <c r="CQ114" i="6"/>
  <c r="ABQ89" i="6"/>
  <c r="BO115" i="6"/>
  <c r="CZ90" i="6"/>
  <c r="CH96" i="6"/>
  <c r="OW102" i="6"/>
  <c r="OV102" i="6" s="1"/>
  <c r="KT116" i="6"/>
  <c r="KS116" i="6" s="1"/>
  <c r="AD99" i="6"/>
  <c r="AC99" i="6" s="1"/>
  <c r="JJ31" i="6"/>
  <c r="JI31" i="6" s="1"/>
  <c r="TA35" i="6"/>
  <c r="SZ35" i="6" s="1"/>
  <c r="TA55" i="6"/>
  <c r="SZ55" i="6" s="1"/>
  <c r="RQ22" i="6"/>
  <c r="RP22" i="6" s="1"/>
  <c r="QY41" i="6"/>
  <c r="QX41" i="6" s="1"/>
  <c r="JJ69" i="6"/>
  <c r="JI69" i="6" s="1"/>
  <c r="TS6" i="6"/>
  <c r="TR6" i="6" s="1"/>
  <c r="JJ42" i="6"/>
  <c r="JI42" i="6" s="1"/>
  <c r="XD67" i="6"/>
  <c r="AN117" i="6"/>
  <c r="OE8" i="6"/>
  <c r="OD8" i="6" s="1"/>
  <c r="QY62" i="6"/>
  <c r="QX62" i="6" s="1"/>
  <c r="WH48" i="6"/>
  <c r="CZ32" i="6"/>
  <c r="HG65" i="6"/>
  <c r="WH29" i="6"/>
  <c r="UI22" i="6"/>
  <c r="WS65" i="6"/>
  <c r="ABA115" i="6"/>
  <c r="AAZ115" i="6" s="1"/>
  <c r="WS19" i="6"/>
  <c r="AD6" i="6"/>
  <c r="AC6" i="6" s="1"/>
  <c r="XD28" i="6"/>
  <c r="ABQ54" i="6"/>
  <c r="CQ9" i="6"/>
  <c r="EQ18" i="6"/>
  <c r="ZN28" i="6"/>
  <c r="JJ35" i="6"/>
  <c r="JI35" i="6" s="1"/>
  <c r="VJ43" i="6"/>
  <c r="AN50" i="6"/>
  <c r="YK56" i="6"/>
  <c r="PO64" i="6"/>
  <c r="PN64" i="6" s="1"/>
  <c r="CZ71" i="6"/>
  <c r="WS8" i="6"/>
  <c r="XZ16" i="6"/>
  <c r="VY41" i="6"/>
  <c r="YX67" i="6"/>
  <c r="YW67" i="6" s="1"/>
  <c r="EQ11" i="6"/>
  <c r="WS23" i="6"/>
  <c r="FH30" i="6"/>
  <c r="RQ36" i="6"/>
  <c r="RP36" i="6" s="1"/>
  <c r="QG42" i="6"/>
  <c r="QF42" i="6" s="1"/>
  <c r="KT50" i="6"/>
  <c r="KS50" i="6" s="1"/>
  <c r="VJ56" i="6"/>
  <c r="AN63" i="6"/>
  <c r="CQ69" i="6"/>
  <c r="DZ76" i="6"/>
  <c r="HZ6" i="6"/>
  <c r="HY6" i="6" s="1"/>
  <c r="ACV19" i="6"/>
  <c r="ACU19" i="6" s="1"/>
  <c r="AD45" i="6"/>
  <c r="AC45" i="6" s="1"/>
  <c r="VY70" i="6"/>
  <c r="QG17" i="6"/>
  <c r="QF17" i="6" s="1"/>
  <c r="ABA28" i="6"/>
  <c r="AAZ28" i="6" s="1"/>
  <c r="QG35" i="6"/>
  <c r="QF35" i="6" s="1"/>
  <c r="KT43" i="6"/>
  <c r="KS43" i="6" s="1"/>
  <c r="UI49" i="6"/>
  <c r="PO62" i="6"/>
  <c r="PN62" i="6" s="1"/>
  <c r="CZ69" i="6"/>
  <c r="CH75" i="6"/>
  <c r="MD81" i="6"/>
  <c r="MC81" i="6" s="1"/>
  <c r="FH13" i="6"/>
  <c r="TA27" i="6"/>
  <c r="SZ27" i="6" s="1"/>
  <c r="AD26" i="6"/>
  <c r="AC26" i="6" s="1"/>
  <c r="XD51" i="6"/>
  <c r="GP6" i="6"/>
  <c r="SI23" i="6"/>
  <c r="SH23" i="6" s="1"/>
  <c r="CZ34" i="6"/>
  <c r="TA40" i="6"/>
  <c r="SZ40" i="6" s="1"/>
  <c r="SI47" i="6"/>
  <c r="SH47" i="6" s="1"/>
  <c r="XO54" i="6"/>
  <c r="AN61" i="6"/>
  <c r="EQ67" i="6"/>
  <c r="QY73" i="6"/>
  <c r="QX73" i="6" s="1"/>
  <c r="LL81" i="6"/>
  <c r="LK81" i="6" s="1"/>
  <c r="TA85" i="6"/>
  <c r="SZ85" i="6" s="1"/>
  <c r="SI92" i="6"/>
  <c r="SH92" i="6" s="1"/>
  <c r="CZ99" i="6"/>
  <c r="MD111" i="6"/>
  <c r="MC111" i="6" s="1"/>
  <c r="WH80" i="6"/>
  <c r="XD105" i="6"/>
  <c r="HG85" i="6"/>
  <c r="TS91" i="6"/>
  <c r="TR91" i="6" s="1"/>
  <c r="NL98" i="6"/>
  <c r="ABA111" i="6"/>
  <c r="AAZ111" i="6" s="1"/>
  <c r="XZ79" i="6"/>
  <c r="AD105" i="6"/>
  <c r="AC105" i="6" s="1"/>
  <c r="WS88" i="6"/>
  <c r="ZN94" i="6"/>
  <c r="XO101" i="6"/>
  <c r="WS108" i="6"/>
  <c r="ZN114" i="6"/>
  <c r="YX93" i="6"/>
  <c r="YW93" i="6" s="1"/>
  <c r="SI83" i="6"/>
  <c r="SH83" i="6" s="1"/>
  <c r="XO90" i="6"/>
  <c r="ABA97" i="6"/>
  <c r="AAZ97" i="6" s="1"/>
  <c r="XD76" i="6"/>
  <c r="ABQ102" i="6"/>
  <c r="SI13" i="6"/>
  <c r="SH13" i="6" s="1"/>
  <c r="QY25" i="6"/>
  <c r="QX25" i="6" s="1"/>
  <c r="XZ19" i="6"/>
  <c r="XZ45" i="6"/>
  <c r="AD71" i="6"/>
  <c r="AC71" i="6" s="1"/>
  <c r="ABA12" i="6"/>
  <c r="AAZ12" i="6" s="1"/>
  <c r="WS26" i="6"/>
  <c r="ZN32" i="6"/>
  <c r="JJ39" i="6"/>
  <c r="JI39" i="6" s="1"/>
  <c r="FY46" i="6"/>
  <c r="HG52" i="6"/>
  <c r="TS58" i="6"/>
  <c r="TR58" i="6" s="1"/>
  <c r="NL65" i="6"/>
  <c r="KB72" i="6"/>
  <c r="KA72" i="6" s="1"/>
  <c r="WS78" i="6"/>
  <c r="OW13" i="6"/>
  <c r="OV13" i="6" s="1"/>
  <c r="BO7" i="6"/>
  <c r="WH32" i="6"/>
  <c r="XD57" i="6"/>
  <c r="DZ18" i="6"/>
  <c r="DZ28" i="6"/>
  <c r="FH34" i="6"/>
  <c r="RQ40" i="6"/>
  <c r="RP40" i="6" s="1"/>
  <c r="QY47" i="6"/>
  <c r="QX47" i="6" s="1"/>
  <c r="LL55" i="6"/>
  <c r="LK55" i="6" s="1"/>
  <c r="KB61" i="6"/>
  <c r="KA61" i="6" s="1"/>
  <c r="NL74" i="6"/>
  <c r="XD38" i="6"/>
  <c r="ABQ64" i="6"/>
  <c r="QY14" i="6"/>
  <c r="QX14" i="6" s="1"/>
  <c r="ACH27" i="6"/>
  <c r="ZN34" i="6"/>
  <c r="SI42" i="6"/>
  <c r="SH42" i="6" s="1"/>
  <c r="KB50" i="6"/>
  <c r="KA50" i="6" s="1"/>
  <c r="WS56" i="6"/>
  <c r="OE64" i="6"/>
  <c r="OD64" i="6" s="1"/>
  <c r="HZ71" i="6"/>
  <c r="HY71" i="6" s="1"/>
  <c r="UI77" i="6"/>
  <c r="TA83" i="6"/>
  <c r="SZ83" i="6" s="1"/>
  <c r="FY18" i="6"/>
  <c r="ACV58" i="6"/>
  <c r="ACU58" i="6" s="1"/>
  <c r="HZ14" i="6"/>
  <c r="HY14" i="6" s="1"/>
  <c r="EQ27" i="6"/>
  <c r="XO34" i="6"/>
  <c r="YK47" i="6"/>
  <c r="PO55" i="6"/>
  <c r="PN55" i="6" s="1"/>
  <c r="ABA61" i="6"/>
  <c r="AAZ61" i="6" s="1"/>
  <c r="MD74" i="6"/>
  <c r="MC74" i="6" s="1"/>
  <c r="OE81" i="6"/>
  <c r="OD81" i="6" s="1"/>
  <c r="CQ92" i="6"/>
  <c r="DZ99" i="6"/>
  <c r="CH105" i="6"/>
  <c r="OW111" i="6"/>
  <c r="OV111" i="6" s="1"/>
  <c r="VY77" i="6"/>
  <c r="YX103" i="6"/>
  <c r="YW103" i="6" s="1"/>
  <c r="UI84" i="6"/>
  <c r="CQ97" i="6"/>
  <c r="GP104" i="6"/>
  <c r="CZ112" i="6"/>
  <c r="WH105" i="6"/>
  <c r="ABA88" i="6"/>
  <c r="AAZ88" i="6" s="1"/>
  <c r="GP101" i="6"/>
  <c r="DI108" i="6"/>
  <c r="HG114" i="6"/>
  <c r="WH90" i="6"/>
  <c r="XD115" i="6"/>
  <c r="OE89" i="6"/>
  <c r="OD89" i="6" s="1"/>
  <c r="FY97" i="6"/>
  <c r="IR103" i="6"/>
  <c r="IQ103" i="6" s="1"/>
  <c r="YK115" i="6"/>
  <c r="VY96" i="6"/>
  <c r="ZN9" i="6"/>
  <c r="CQ23" i="6"/>
  <c r="WH13" i="6"/>
  <c r="WH39" i="6"/>
  <c r="XD64" i="6"/>
  <c r="VJ9" i="6"/>
  <c r="EQ24" i="6"/>
  <c r="WS30" i="6"/>
  <c r="ZN36" i="6"/>
  <c r="GP43" i="6"/>
  <c r="FY50" i="6"/>
  <c r="HG56" i="6"/>
  <c r="TS62" i="6"/>
  <c r="TR62" i="6" s="1"/>
  <c r="NL69" i="6"/>
  <c r="KB76" i="6"/>
  <c r="KA76" i="6" s="1"/>
  <c r="QG7" i="6"/>
  <c r="QF7" i="6" s="1"/>
  <c r="YX17" i="6"/>
  <c r="YW17" i="6" s="1"/>
  <c r="XZ42" i="6"/>
  <c r="AD68" i="6"/>
  <c r="AC68" i="6" s="1"/>
  <c r="IR11" i="6"/>
  <c r="IQ11" i="6" s="1"/>
  <c r="ACH22" i="6"/>
  <c r="LL31" i="6"/>
  <c r="LK31" i="6" s="1"/>
  <c r="KB37" i="6"/>
  <c r="KA37" i="6" s="1"/>
  <c r="YK49" i="6"/>
  <c r="PO57" i="6"/>
  <c r="PN57" i="6" s="1"/>
  <c r="ABA63" i="6"/>
  <c r="AAZ63" i="6" s="1"/>
  <c r="TA70" i="6"/>
  <c r="SZ70" i="6" s="1"/>
  <c r="SI77" i="6"/>
  <c r="SH77" i="6" s="1"/>
  <c r="KB11" i="6"/>
  <c r="KA11" i="6" s="1"/>
  <c r="HG6" i="6"/>
  <c r="ACV29" i="6"/>
  <c r="ACU29" i="6" s="1"/>
  <c r="XZ55" i="6"/>
  <c r="LL10" i="6"/>
  <c r="LK10" i="6" s="1"/>
  <c r="TA23" i="6"/>
  <c r="SZ23" i="6" s="1"/>
  <c r="WS32" i="6"/>
  <c r="ZN38" i="6"/>
  <c r="JJ45" i="6"/>
  <c r="JI45" i="6" s="1"/>
  <c r="CZ53" i="6"/>
  <c r="JJ65" i="6"/>
  <c r="JI65" i="6" s="1"/>
  <c r="XO73" i="6"/>
  <c r="DI80" i="6"/>
  <c r="NL13" i="6"/>
  <c r="OE28" i="6"/>
  <c r="OD28" i="6" s="1"/>
  <c r="ACV26" i="6"/>
  <c r="ACU26" i="6" s="1"/>
  <c r="QG6" i="6"/>
  <c r="QF6" i="6" s="1"/>
  <c r="JJ26" i="6"/>
  <c r="JI26" i="6" s="1"/>
  <c r="GP34" i="6"/>
  <c r="WS41" i="6"/>
  <c r="ZN47" i="6"/>
  <c r="JJ54" i="6"/>
  <c r="JI54" i="6" s="1"/>
  <c r="CZ62" i="6"/>
  <c r="CH68" i="6"/>
  <c r="OW74" i="6"/>
  <c r="OV74" i="6" s="1"/>
  <c r="QG80" i="6"/>
  <c r="QF80" i="6" s="1"/>
  <c r="CH85" i="6"/>
  <c r="OW91" i="6"/>
  <c r="OV91" i="6" s="1"/>
  <c r="OE98" i="6"/>
  <c r="OD98" i="6" s="1"/>
  <c r="FH105" i="6"/>
  <c r="RQ111" i="6"/>
  <c r="RP111" i="6" s="1"/>
  <c r="XD77" i="6"/>
  <c r="ABQ103" i="6"/>
  <c r="VJ84" i="6"/>
  <c r="AN91" i="6"/>
  <c r="EQ97" i="6"/>
  <c r="QY103" i="6"/>
  <c r="QX103" i="6" s="1"/>
  <c r="LL111" i="6"/>
  <c r="LK111" i="6" s="1"/>
  <c r="AD77" i="6"/>
  <c r="AC77" i="6" s="1"/>
  <c r="VY102" i="6"/>
  <c r="CZ89" i="6"/>
  <c r="CH95" i="6"/>
  <c r="JJ101" i="6"/>
  <c r="JI101" i="6" s="1"/>
  <c r="VJ109" i="6"/>
  <c r="AN116" i="6"/>
  <c r="YX97" i="6"/>
  <c r="YW97" i="6" s="1"/>
  <c r="ZN83" i="6"/>
  <c r="JJ90" i="6"/>
  <c r="JI90" i="6" s="1"/>
  <c r="DZ98" i="6"/>
  <c r="DI105" i="6"/>
  <c r="HG111" i="6"/>
  <c r="WH103" i="6"/>
  <c r="WS25" i="6"/>
  <c r="ACV23" i="6"/>
  <c r="ACU23" i="6" s="1"/>
  <c r="XZ49" i="6"/>
  <c r="AD75" i="6"/>
  <c r="AC75" i="6" s="1"/>
  <c r="FH15" i="6"/>
  <c r="VJ27" i="6"/>
  <c r="AN34" i="6"/>
  <c r="EQ40" i="6"/>
  <c r="GP47" i="6"/>
  <c r="DI54" i="6"/>
  <c r="HG60" i="6"/>
  <c r="TS66" i="6"/>
  <c r="TR66" i="6" s="1"/>
  <c r="KT73" i="6"/>
  <c r="KS73" i="6" s="1"/>
  <c r="VJ79" i="6"/>
  <c r="UI13" i="6"/>
  <c r="XD7" i="6"/>
  <c r="BO33" i="6"/>
  <c r="RQ117" i="6"/>
  <c r="RP117" i="6" s="1"/>
  <c r="DI17" i="6"/>
  <c r="QG26" i="6"/>
  <c r="QF26" i="6" s="1"/>
  <c r="KT34" i="6"/>
  <c r="KS34" i="6" s="1"/>
  <c r="VJ40" i="6"/>
  <c r="CQ53" i="6"/>
  <c r="GP60" i="6"/>
  <c r="ABA67" i="6"/>
  <c r="AAZ67" i="6" s="1"/>
  <c r="ZN73" i="6"/>
  <c r="JJ80" i="6"/>
  <c r="JI80" i="6" s="1"/>
  <c r="WH11" i="6"/>
  <c r="ABQ36" i="6"/>
  <c r="BO62" i="6"/>
  <c r="KT13" i="6"/>
  <c r="KS13" i="6" s="1"/>
  <c r="MD25" i="6"/>
  <c r="MC25" i="6" s="1"/>
  <c r="UI33" i="6"/>
  <c r="QG47" i="6"/>
  <c r="QF47" i="6" s="1"/>
  <c r="HZ55" i="6"/>
  <c r="HY55" i="6" s="1"/>
  <c r="EQ62" i="6"/>
  <c r="NL71" i="6"/>
  <c r="WS84" i="6"/>
  <c r="DZ25" i="6"/>
  <c r="ACV46" i="6"/>
  <c r="ACU46" i="6" s="1"/>
  <c r="XZ72" i="6"/>
  <c r="TS21" i="6"/>
  <c r="TR21" i="6" s="1"/>
  <c r="SI35" i="6"/>
  <c r="SH35" i="6" s="1"/>
  <c r="ABA41" i="6"/>
  <c r="AAZ41" i="6" s="1"/>
  <c r="MD54" i="6"/>
  <c r="MC54" i="6" s="1"/>
  <c r="LL61" i="6"/>
  <c r="LK61" i="6" s="1"/>
  <c r="KB67" i="6"/>
  <c r="KA67" i="6" s="1"/>
  <c r="WS73" i="6"/>
  <c r="ZN79" i="6"/>
  <c r="KB84" i="6"/>
  <c r="KA84" i="6" s="1"/>
  <c r="WS90" i="6"/>
  <c r="YK96" i="6"/>
  <c r="ABA110" i="6"/>
  <c r="AAZ110" i="6" s="1"/>
  <c r="YX75" i="6"/>
  <c r="YW75" i="6" s="1"/>
  <c r="ACV100" i="6"/>
  <c r="ACU100" i="6" s="1"/>
  <c r="DZ84" i="6"/>
  <c r="FH90" i="6"/>
  <c r="RQ96" i="6"/>
  <c r="RP96" i="6" s="1"/>
  <c r="TA102" i="6"/>
  <c r="SZ102" i="6" s="1"/>
  <c r="SI109" i="6"/>
  <c r="SH109" i="6" s="1"/>
  <c r="XO116" i="6"/>
  <c r="LL88" i="6"/>
  <c r="LK88" i="6" s="1"/>
  <c r="KB94" i="6"/>
  <c r="KA94" i="6" s="1"/>
  <c r="MD101" i="6"/>
  <c r="MC101" i="6" s="1"/>
  <c r="LL108" i="6"/>
  <c r="LK108" i="6" s="1"/>
  <c r="KB114" i="6"/>
  <c r="KA114" i="6" s="1"/>
  <c r="BO91" i="6"/>
  <c r="RQ82" i="6"/>
  <c r="RP82" i="6" s="1"/>
  <c r="TA88" i="6"/>
  <c r="SZ88" i="6" s="1"/>
  <c r="SI95" i="6"/>
  <c r="SH95" i="6" s="1"/>
  <c r="XO102" i="6"/>
  <c r="ABA109" i="6"/>
  <c r="AAZ109" i="6" s="1"/>
  <c r="XZ97" i="6"/>
  <c r="TA10" i="6"/>
  <c r="SZ10" i="6" s="1"/>
  <c r="ACH24" i="6"/>
  <c r="WH17" i="6"/>
  <c r="WH43" i="6"/>
  <c r="XD68" i="6"/>
  <c r="HZ15" i="6"/>
  <c r="HY15" i="6" s="1"/>
  <c r="XO27" i="6"/>
  <c r="DI34" i="6"/>
  <c r="HG40" i="6"/>
  <c r="QY46" i="6"/>
  <c r="QX46" i="6" s="1"/>
  <c r="FY54" i="6"/>
  <c r="IR60" i="6"/>
  <c r="IQ60" i="6" s="1"/>
  <c r="SI72" i="6"/>
  <c r="SH72" i="6" s="1"/>
  <c r="XO79" i="6"/>
  <c r="NL15" i="6"/>
  <c r="VY11" i="6"/>
  <c r="ACV36" i="6"/>
  <c r="ACU36" i="6" s="1"/>
  <c r="XZ62" i="6"/>
  <c r="VJ10" i="6"/>
  <c r="ZN21" i="6"/>
  <c r="CQ29" i="6"/>
  <c r="GP36" i="6"/>
  <c r="DI43" i="6"/>
  <c r="HG49" i="6"/>
  <c r="TS55" i="6"/>
  <c r="TR55" i="6" s="1"/>
  <c r="NL62" i="6"/>
  <c r="VJ68" i="6"/>
  <c r="CQ81" i="6"/>
  <c r="YK15" i="6"/>
  <c r="ACV11" i="6"/>
  <c r="ACU11" i="6" s="1"/>
  <c r="AD37" i="6"/>
  <c r="AC37" i="6" s="1"/>
  <c r="VY62" i="6"/>
  <c r="QG13" i="6"/>
  <c r="QF13" i="6" s="1"/>
  <c r="RQ25" i="6"/>
  <c r="RP25" i="6" s="1"/>
  <c r="VJ33" i="6"/>
  <c r="AN40" i="6"/>
  <c r="ZN46" i="6"/>
  <c r="PO54" i="6"/>
  <c r="PN54" i="6" s="1"/>
  <c r="WS60" i="6"/>
  <c r="ZN66" i="6"/>
  <c r="JJ73" i="6"/>
  <c r="JI73" i="6" s="1"/>
  <c r="VJ81" i="6"/>
  <c r="FY14" i="6"/>
  <c r="YK26" i="6"/>
  <c r="YX21" i="6"/>
  <c r="YW21" i="6" s="1"/>
  <c r="BO47" i="6"/>
  <c r="ABA21" i="6"/>
  <c r="AAZ21" i="6" s="1"/>
  <c r="AN33" i="6"/>
  <c r="UI46" i="6"/>
  <c r="CQ59" i="6"/>
  <c r="DZ66" i="6"/>
  <c r="ABA73" i="6"/>
  <c r="AAZ73" i="6" s="1"/>
  <c r="ABA90" i="6"/>
  <c r="AAZ90" i="6" s="1"/>
  <c r="ZN96" i="6"/>
  <c r="JJ103" i="6"/>
  <c r="JI103" i="6" s="1"/>
  <c r="FY110" i="6"/>
  <c r="IR116" i="6"/>
  <c r="IQ116" i="6" s="1"/>
  <c r="XD97" i="6"/>
  <c r="OE83" i="6"/>
  <c r="OD83" i="6" s="1"/>
  <c r="HZ90" i="6"/>
  <c r="HY90" i="6" s="1"/>
  <c r="UI96" i="6"/>
  <c r="CQ109" i="6"/>
  <c r="GP116" i="6"/>
  <c r="YX100" i="6"/>
  <c r="YW100" i="6" s="1"/>
  <c r="OE88" i="6"/>
  <c r="OD88" i="6" s="1"/>
  <c r="FY96" i="6"/>
  <c r="EQ102" i="6"/>
  <c r="OE108" i="6"/>
  <c r="OD108" i="6" s="1"/>
  <c r="FY116" i="6"/>
  <c r="AD98" i="6"/>
  <c r="AC98" i="6" s="1"/>
  <c r="CH84" i="6"/>
  <c r="OW90" i="6"/>
  <c r="OV90" i="6" s="1"/>
  <c r="QG96" i="6"/>
  <c r="QF96" i="6" s="1"/>
  <c r="KT104" i="6"/>
  <c r="KS104" i="6" s="1"/>
  <c r="KB111" i="6"/>
  <c r="KA111" i="6" s="1"/>
  <c r="ABQ78" i="6"/>
  <c r="BO104" i="6"/>
  <c r="CQ13" i="6"/>
  <c r="UI26" i="6"/>
  <c r="VY14" i="6"/>
  <c r="VY40" i="6"/>
  <c r="YX66" i="6"/>
  <c r="YW66" i="6" s="1"/>
  <c r="LL12" i="6"/>
  <c r="LK12" i="6" s="1"/>
  <c r="GP27" i="6"/>
  <c r="FY34" i="6"/>
  <c r="IR40" i="6"/>
  <c r="IQ40" i="6" s="1"/>
  <c r="TS46" i="6"/>
  <c r="TR46" i="6" s="1"/>
  <c r="KT53" i="6"/>
  <c r="KS53" i="6" s="1"/>
  <c r="VJ59" i="6"/>
  <c r="AN66" i="6"/>
  <c r="EQ72" i="6"/>
  <c r="GP79" i="6"/>
  <c r="QG15" i="6"/>
  <c r="QF15" i="6" s="1"/>
  <c r="WH56" i="6"/>
  <c r="VJ6" i="6"/>
  <c r="UI20" i="6"/>
  <c r="OW28" i="6"/>
  <c r="OV28" i="6" s="1"/>
  <c r="QG34" i="6"/>
  <c r="QF34" i="6" s="1"/>
  <c r="HZ42" i="6"/>
  <c r="HY42" i="6" s="1"/>
  <c r="UI48" i="6"/>
  <c r="CQ61" i="6"/>
  <c r="DZ68" i="6"/>
  <c r="CH74" i="6"/>
  <c r="OW80" i="6"/>
  <c r="OV80" i="6" s="1"/>
  <c r="DZ14" i="6"/>
  <c r="YX6" i="6"/>
  <c r="YW6" i="6" s="1"/>
  <c r="XD30" i="6"/>
  <c r="ABQ56" i="6"/>
  <c r="ABA10" i="6"/>
  <c r="AAZ10" i="6" s="1"/>
  <c r="ZN22" i="6"/>
  <c r="DZ33" i="6"/>
  <c r="DI40" i="6"/>
  <c r="HG46" i="6"/>
  <c r="JJ53" i="6"/>
  <c r="JI53" i="6" s="1"/>
  <c r="ABA60" i="6"/>
  <c r="AAZ60" i="6" s="1"/>
  <c r="MD73" i="6"/>
  <c r="MC73" i="6" s="1"/>
  <c r="DZ81" i="6"/>
  <c r="OE14" i="6"/>
  <c r="OD14" i="6" s="1"/>
  <c r="JJ29" i="6"/>
  <c r="JI29" i="6" s="1"/>
  <c r="XD27" i="6"/>
  <c r="AD54" i="6"/>
  <c r="AC54" i="6" s="1"/>
  <c r="ABA7" i="6"/>
  <c r="AAZ7" i="6" s="1"/>
  <c r="RQ26" i="6"/>
  <c r="RP26" i="6" s="1"/>
  <c r="OW34" i="6"/>
  <c r="OV34" i="6" s="1"/>
  <c r="DZ42" i="6"/>
  <c r="FH48" i="6"/>
  <c r="RQ54" i="6"/>
  <c r="RP54" i="6" s="1"/>
  <c r="QG60" i="6"/>
  <c r="QF60" i="6" s="1"/>
  <c r="DZ70" i="6"/>
  <c r="DI77" i="6"/>
  <c r="NL81" i="6"/>
  <c r="WS94" i="6"/>
  <c r="ZN100" i="6"/>
  <c r="GP107" i="6"/>
  <c r="FY114" i="6"/>
  <c r="AD92" i="6"/>
  <c r="AC92" i="6" s="1"/>
  <c r="YK81" i="6"/>
  <c r="PO89" i="6"/>
  <c r="PN89" i="6" s="1"/>
  <c r="CZ96" i="6"/>
  <c r="CH102" i="6"/>
  <c r="OW108" i="6"/>
  <c r="OV108" i="6" s="1"/>
  <c r="QG114" i="6"/>
  <c r="QF114" i="6" s="1"/>
  <c r="BO94" i="6"/>
  <c r="CQ86" i="6"/>
  <c r="GP93" i="6"/>
  <c r="RQ101" i="6"/>
  <c r="RP101" i="6" s="1"/>
  <c r="QG107" i="6"/>
  <c r="QF107" i="6" s="1"/>
  <c r="KT115" i="6"/>
  <c r="KS115" i="6" s="1"/>
  <c r="BO95" i="6"/>
  <c r="KB83" i="6"/>
  <c r="KA83" i="6" s="1"/>
  <c r="WS89" i="6"/>
  <c r="ZN95" i="6"/>
  <c r="JJ102" i="6"/>
  <c r="JI102" i="6" s="1"/>
  <c r="DZ110" i="6"/>
  <c r="ACV75" i="6"/>
  <c r="ACU75" i="6" s="1"/>
  <c r="XZ101" i="6"/>
  <c r="UI16" i="6"/>
  <c r="ABA29" i="6"/>
  <c r="AAZ29" i="6" s="1"/>
  <c r="XD24" i="6"/>
  <c r="ABQ50" i="6"/>
  <c r="ABA117" i="6"/>
  <c r="AAZ117" i="6" s="1"/>
  <c r="LL16" i="6"/>
  <c r="LK16" i="6" s="1"/>
  <c r="JJ27" i="6"/>
  <c r="JI27" i="6" s="1"/>
  <c r="DZ35" i="6"/>
  <c r="FH41" i="6"/>
  <c r="OW47" i="6"/>
  <c r="OV47" i="6" s="1"/>
  <c r="NL53" i="6"/>
  <c r="ABA66" i="6"/>
  <c r="AAZ66" i="6" s="1"/>
  <c r="TA73" i="6"/>
  <c r="SZ73" i="6" s="1"/>
  <c r="OE6" i="6"/>
  <c r="OD6" i="6" s="1"/>
  <c r="TA15" i="6"/>
  <c r="SZ15" i="6" s="1"/>
  <c r="YX9" i="6"/>
  <c r="YW9" i="6" s="1"/>
  <c r="XZ34" i="6"/>
  <c r="AD60" i="6"/>
  <c r="AC60" i="6" s="1"/>
  <c r="KT8" i="6"/>
  <c r="KS8" i="6" s="1"/>
  <c r="LL23" i="6"/>
  <c r="LK23" i="6" s="1"/>
  <c r="MD36" i="6"/>
  <c r="MC36" i="6" s="1"/>
  <c r="LL43" i="6"/>
  <c r="LK43" i="6" s="1"/>
  <c r="KB49" i="6"/>
  <c r="KA49" i="6" s="1"/>
  <c r="WS55" i="6"/>
  <c r="ZN61" i="6"/>
  <c r="ABA75" i="6"/>
  <c r="AAZ75" i="6" s="1"/>
  <c r="CH6" i="6"/>
  <c r="HG19" i="6"/>
  <c r="AD19" i="6"/>
  <c r="AC19" i="6" s="1"/>
  <c r="YX44" i="6"/>
  <c r="YW44" i="6" s="1"/>
  <c r="ACV69" i="6"/>
  <c r="ACU69" i="6" s="1"/>
  <c r="FH17" i="6"/>
  <c r="TS28" i="6"/>
  <c r="TR28" i="6" s="1"/>
  <c r="XO37" i="6"/>
  <c r="DI44" i="6"/>
  <c r="EQ50" i="6"/>
  <c r="QY56" i="6"/>
  <c r="QX56" i="6" s="1"/>
  <c r="DI64" i="6"/>
  <c r="HG70" i="6"/>
  <c r="MD77" i="6"/>
  <c r="MC77" i="6" s="1"/>
  <c r="LL84" i="6"/>
  <c r="LK84" i="6" s="1"/>
  <c r="DZ19" i="6"/>
  <c r="AD12" i="6"/>
  <c r="AC12" i="6" s="1"/>
  <c r="WH38" i="6"/>
  <c r="XD63" i="6"/>
  <c r="HZ18" i="6"/>
  <c r="HY18" i="6" s="1"/>
  <c r="XO30" i="6"/>
  <c r="KT44" i="6"/>
  <c r="KS44" i="6" s="1"/>
  <c r="VJ50" i="6"/>
  <c r="AN57" i="6"/>
  <c r="YK63" i="6"/>
  <c r="PO71" i="6"/>
  <c r="PN71" i="6" s="1"/>
  <c r="CZ78" i="6"/>
  <c r="QY82" i="6"/>
  <c r="QX82" i="6" s="1"/>
  <c r="LL90" i="6"/>
  <c r="LK90" i="6" s="1"/>
  <c r="IR96" i="6"/>
  <c r="IQ96" i="6" s="1"/>
  <c r="NL109" i="6"/>
  <c r="TS83" i="6"/>
  <c r="TR83" i="6" s="1"/>
  <c r="NL90" i="6"/>
  <c r="ABA103" i="6"/>
  <c r="AAZ103" i="6" s="1"/>
  <c r="MD116" i="6"/>
  <c r="MC116" i="6" s="1"/>
  <c r="ACV97" i="6"/>
  <c r="ACU97" i="6" s="1"/>
  <c r="ZN86" i="6"/>
  <c r="JJ93" i="6"/>
  <c r="JI93" i="6" s="1"/>
  <c r="DI100" i="6"/>
  <c r="TA107" i="6"/>
  <c r="SZ107" i="6" s="1"/>
  <c r="SI114" i="6"/>
  <c r="SH114" i="6" s="1"/>
  <c r="XZ92" i="6"/>
  <c r="XO82" i="6"/>
  <c r="ABA89" i="6"/>
  <c r="AAZ89" i="6" s="1"/>
  <c r="MD102" i="6"/>
  <c r="MC102" i="6" s="1"/>
  <c r="OE109" i="6"/>
  <c r="OD109" i="6" s="1"/>
  <c r="BO76" i="6"/>
  <c r="HG13" i="6"/>
  <c r="VY6" i="6"/>
  <c r="ACV31" i="6"/>
  <c r="ACU31" i="6" s="1"/>
  <c r="XZ57" i="6"/>
  <c r="DI8" i="6"/>
  <c r="DI22" i="6"/>
  <c r="QG29" i="6"/>
  <c r="QF29" i="6" s="1"/>
  <c r="LL38" i="6"/>
  <c r="LK38" i="6" s="1"/>
  <c r="IR44" i="6"/>
  <c r="IQ44" i="6" s="1"/>
  <c r="NL57" i="6"/>
  <c r="ABA70" i="6"/>
  <c r="AAZ70" i="6" s="1"/>
  <c r="ZN76" i="6"/>
  <c r="TS8" i="6"/>
  <c r="TR8" i="6" s="1"/>
  <c r="NL21" i="6"/>
  <c r="XD21" i="6"/>
  <c r="ABQ47" i="6"/>
  <c r="BO73" i="6"/>
  <c r="WS13" i="6"/>
  <c r="FH26" i="6"/>
  <c r="RQ32" i="6"/>
  <c r="RP32" i="6" s="1"/>
  <c r="TA38" i="6"/>
  <c r="SZ38" i="6" s="1"/>
  <c r="PO45" i="6"/>
  <c r="PN45" i="6" s="1"/>
  <c r="CZ52" i="6"/>
  <c r="AN59" i="6"/>
  <c r="CQ65" i="6"/>
  <c r="DZ72" i="6"/>
  <c r="FH78" i="6"/>
  <c r="OW10" i="6"/>
  <c r="OV10" i="6" s="1"/>
  <c r="ABQ28" i="6"/>
  <c r="BO54" i="6"/>
  <c r="TA9" i="6"/>
  <c r="SZ9" i="6" s="1"/>
  <c r="XO21" i="6"/>
  <c r="QG31" i="6"/>
  <c r="QF31" i="6" s="1"/>
  <c r="DZ41" i="6"/>
  <c r="DI48" i="6"/>
  <c r="ZN54" i="6"/>
  <c r="HZ63" i="6"/>
  <c r="HY63" i="6" s="1"/>
  <c r="UI69" i="6"/>
  <c r="SI82" i="6"/>
  <c r="SH82" i="6" s="1"/>
  <c r="HG16" i="6"/>
  <c r="XZ6" i="6"/>
  <c r="XD31" i="6"/>
  <c r="AD58" i="6"/>
  <c r="AC58" i="6" s="1"/>
  <c r="WS11" i="6"/>
  <c r="XO26" i="6"/>
  <c r="AN37" i="6"/>
  <c r="GP46" i="6"/>
  <c r="FY53" i="6"/>
  <c r="HG59" i="6"/>
  <c r="TS65" i="6"/>
  <c r="TR65" i="6" s="1"/>
  <c r="OE73" i="6"/>
  <c r="OD73" i="6" s="1"/>
  <c r="HZ80" i="6"/>
  <c r="HY80" i="6" s="1"/>
  <c r="YK84" i="6"/>
  <c r="PO92" i="6"/>
  <c r="PN92" i="6" s="1"/>
  <c r="UI99" i="6"/>
  <c r="TS106" i="6"/>
  <c r="TR106" i="6" s="1"/>
  <c r="NL113" i="6"/>
  <c r="VY89" i="6"/>
  <c r="YX115" i="6"/>
  <c r="YW115" i="6" s="1"/>
  <c r="TS87" i="6"/>
  <c r="TR87" i="6" s="1"/>
  <c r="NL94" i="6"/>
  <c r="ABA107" i="6"/>
  <c r="AAZ107" i="6" s="1"/>
  <c r="ABQ88" i="6"/>
  <c r="BO114" i="6"/>
  <c r="YK94" i="6"/>
  <c r="KB102" i="6"/>
  <c r="KA102" i="6" s="1"/>
  <c r="YK114" i="6"/>
  <c r="PO83" i="6"/>
  <c r="PN83" i="6" s="1"/>
  <c r="VJ90" i="6"/>
  <c r="AN97" i="6"/>
  <c r="EQ103" i="6"/>
  <c r="QY109" i="6"/>
  <c r="QX109" i="6" s="1"/>
  <c r="VY76" i="6"/>
  <c r="YX102" i="6"/>
  <c r="YW102" i="6" s="1"/>
  <c r="LL60" i="6"/>
  <c r="LK60" i="6" s="1"/>
  <c r="KT40" i="6"/>
  <c r="KS40" i="6" s="1"/>
  <c r="LL7" i="6"/>
  <c r="LK7" i="6" s="1"/>
  <c r="RQ85" i="6"/>
  <c r="RP85" i="6" s="1"/>
  <c r="OE26" i="6"/>
  <c r="OD26" i="6" s="1"/>
  <c r="OW42" i="6"/>
  <c r="OV42" i="6" s="1"/>
  <c r="RQ81" i="6"/>
  <c r="RP81" i="6" s="1"/>
  <c r="UI14" i="6"/>
  <c r="ABA102" i="6"/>
  <c r="AAZ102" i="6" s="1"/>
  <c r="YX109" i="6"/>
  <c r="YW109" i="6" s="1"/>
  <c r="XD92" i="6"/>
  <c r="IR76" i="6"/>
  <c r="IQ76" i="6" s="1"/>
  <c r="XD73" i="6"/>
  <c r="GP52" i="6"/>
  <c r="XO10" i="6"/>
  <c r="JJ61" i="6"/>
  <c r="JI61" i="6" s="1"/>
  <c r="IR26" i="6"/>
  <c r="IQ26" i="6" s="1"/>
  <c r="NL52" i="6"/>
  <c r="XO108" i="6"/>
  <c r="AN6" i="6"/>
  <c r="LL21" i="6"/>
  <c r="LK21" i="6" s="1"/>
  <c r="VY117" i="6"/>
  <c r="BO32" i="6"/>
  <c r="SI117" i="6"/>
  <c r="SH117" i="6" s="1"/>
  <c r="TA29" i="6"/>
  <c r="SZ29" i="6" s="1"/>
  <c r="SI36" i="6"/>
  <c r="SH36" i="6" s="1"/>
  <c r="KB44" i="6"/>
  <c r="KA44" i="6" s="1"/>
  <c r="WS50" i="6"/>
  <c r="QG57" i="6"/>
  <c r="QF57" i="6" s="1"/>
  <c r="KT65" i="6"/>
  <c r="KS65" i="6" s="1"/>
  <c r="VJ71" i="6"/>
  <c r="KB10" i="6"/>
  <c r="KA10" i="6" s="1"/>
  <c r="QG21" i="6"/>
  <c r="QF21" i="6" s="1"/>
  <c r="VY19" i="6"/>
  <c r="ACV44" i="6"/>
  <c r="ACU44" i="6" s="1"/>
  <c r="XZ70" i="6"/>
  <c r="HZ12" i="6"/>
  <c r="HY12" i="6" s="1"/>
  <c r="XO24" i="6"/>
  <c r="DI31" i="6"/>
  <c r="HG37" i="6"/>
  <c r="QY43" i="6"/>
  <c r="QX43" i="6" s="1"/>
  <c r="LL51" i="6"/>
  <c r="LK51" i="6" s="1"/>
  <c r="KB57" i="6"/>
  <c r="KA57" i="6" s="1"/>
  <c r="SI69" i="6"/>
  <c r="SH69" i="6" s="1"/>
  <c r="XO76" i="6"/>
  <c r="JJ6" i="6"/>
  <c r="JI6" i="6" s="1"/>
  <c r="XO20" i="6"/>
  <c r="VY22" i="6"/>
  <c r="YX48" i="6"/>
  <c r="YW48" i="6" s="1"/>
  <c r="ACV73" i="6"/>
  <c r="ACU73" i="6" s="1"/>
  <c r="JJ19" i="6"/>
  <c r="JI19" i="6" s="1"/>
  <c r="EQ30" i="6"/>
  <c r="QY36" i="6"/>
  <c r="QX36" i="6" s="1"/>
  <c r="LL44" i="6"/>
  <c r="LK44" i="6" s="1"/>
  <c r="IR50" i="6"/>
  <c r="IQ50" i="6" s="1"/>
  <c r="KT63" i="6"/>
  <c r="KS63" i="6" s="1"/>
  <c r="VJ69" i="6"/>
  <c r="AN76" i="6"/>
  <c r="CQ82" i="6"/>
  <c r="DZ15" i="6"/>
  <c r="VJ29" i="6"/>
  <c r="YX29" i="6"/>
  <c r="YW29" i="6" s="1"/>
  <c r="BO55" i="6"/>
  <c r="GP12" i="6"/>
  <c r="DZ26" i="6"/>
  <c r="VJ34" i="6"/>
  <c r="TS41" i="6"/>
  <c r="TR41" i="6" s="1"/>
  <c r="NL48" i="6"/>
  <c r="WS61" i="6"/>
  <c r="ZN67" i="6"/>
  <c r="JJ74" i="6"/>
  <c r="JI74" i="6" s="1"/>
  <c r="DZ82" i="6"/>
  <c r="TS86" i="6"/>
  <c r="TR86" i="6" s="1"/>
  <c r="NL93" i="6"/>
  <c r="VJ99" i="6"/>
  <c r="CQ112" i="6"/>
  <c r="ABQ83" i="6"/>
  <c r="BO109" i="6"/>
  <c r="MD92" i="6"/>
  <c r="MC92" i="6" s="1"/>
  <c r="OE99" i="6"/>
  <c r="OD99" i="6" s="1"/>
  <c r="HZ106" i="6"/>
  <c r="HY106" i="6" s="1"/>
  <c r="UI112" i="6"/>
  <c r="VY82" i="6"/>
  <c r="YX108" i="6"/>
  <c r="YW108" i="6" s="1"/>
  <c r="RQ89" i="6"/>
  <c r="RP89" i="6" s="1"/>
  <c r="TA95" i="6"/>
  <c r="SZ95" i="6" s="1"/>
  <c r="HZ103" i="6"/>
  <c r="HY103" i="6" s="1"/>
  <c r="RQ109" i="6"/>
  <c r="RP109" i="6" s="1"/>
  <c r="TA115" i="6"/>
  <c r="SZ115" i="6" s="1"/>
  <c r="XZ96" i="6"/>
  <c r="NL84" i="6"/>
  <c r="HZ92" i="6"/>
  <c r="HY92" i="6" s="1"/>
  <c r="UI98" i="6"/>
  <c r="CQ111" i="6"/>
  <c r="BO80" i="6"/>
  <c r="ABA15" i="6"/>
  <c r="AAZ15" i="6" s="1"/>
  <c r="IR27" i="6"/>
  <c r="IQ27" i="6" s="1"/>
  <c r="AD23" i="6"/>
  <c r="AC23" i="6" s="1"/>
  <c r="VY48" i="6"/>
  <c r="YX74" i="6"/>
  <c r="YW74" i="6" s="1"/>
  <c r="PO14" i="6"/>
  <c r="PN14" i="6" s="1"/>
  <c r="RQ27" i="6"/>
  <c r="RP27" i="6" s="1"/>
  <c r="TA33" i="6"/>
  <c r="SZ33" i="6" s="1"/>
  <c r="SI40" i="6"/>
  <c r="SH40" i="6" s="1"/>
  <c r="CZ47" i="6"/>
  <c r="MD59" i="6"/>
  <c r="MC59" i="6" s="1"/>
  <c r="OE66" i="6"/>
  <c r="OD66" i="6" s="1"/>
  <c r="FH73" i="6"/>
  <c r="RQ79" i="6"/>
  <c r="RP79" i="6" s="1"/>
  <c r="ZN14" i="6"/>
  <c r="WH10" i="6"/>
  <c r="ABQ35" i="6"/>
  <c r="BO61" i="6"/>
  <c r="AN9" i="6"/>
  <c r="YK19" i="6"/>
  <c r="XO28" i="6"/>
  <c r="DI35" i="6"/>
  <c r="ZN41" i="6"/>
  <c r="JJ48" i="6"/>
  <c r="JI48" i="6" s="1"/>
  <c r="DZ56" i="6"/>
  <c r="FH62" i="6"/>
  <c r="OW68" i="6"/>
  <c r="OV68" i="6" s="1"/>
  <c r="OE75" i="6"/>
  <c r="OD75" i="6" s="1"/>
  <c r="WS7" i="6"/>
  <c r="RQ18" i="6"/>
  <c r="RP18" i="6" s="1"/>
  <c r="XD16" i="6"/>
  <c r="BO42" i="6"/>
  <c r="TA17" i="6"/>
  <c r="SZ17" i="6" s="1"/>
  <c r="CZ29" i="6"/>
  <c r="TS36" i="6"/>
  <c r="TR36" i="6" s="1"/>
  <c r="NL43" i="6"/>
  <c r="FH51" i="6"/>
  <c r="RQ57" i="6"/>
  <c r="RP57" i="6" s="1"/>
  <c r="GP65" i="6"/>
  <c r="FY72" i="6"/>
  <c r="IR78" i="6"/>
  <c r="IQ78" i="6" s="1"/>
  <c r="TS84" i="6"/>
  <c r="TR84" i="6" s="1"/>
  <c r="UI19" i="6"/>
  <c r="XD9" i="6"/>
  <c r="XZ36" i="6"/>
  <c r="AD62" i="6"/>
  <c r="AC62" i="6" s="1"/>
  <c r="QY15" i="6"/>
  <c r="QX15" i="6" s="1"/>
  <c r="LL29" i="6"/>
  <c r="LK29" i="6" s="1"/>
  <c r="QG48" i="6"/>
  <c r="QF48" i="6" s="1"/>
  <c r="KT56" i="6"/>
  <c r="KS56" i="6" s="1"/>
  <c r="UI62" i="6"/>
  <c r="CQ75" i="6"/>
  <c r="GP82" i="6"/>
  <c r="YK92" i="6"/>
  <c r="XO99" i="6"/>
  <c r="AN106" i="6"/>
  <c r="EQ112" i="6"/>
  <c r="ACV80" i="6"/>
  <c r="ACU80" i="6" s="1"/>
  <c r="XZ106" i="6"/>
  <c r="IR85" i="6"/>
  <c r="IQ85" i="6" s="1"/>
  <c r="YK97" i="6"/>
  <c r="PO105" i="6"/>
  <c r="PN105" i="6" s="1"/>
  <c r="VJ112" i="6"/>
  <c r="XD82" i="6"/>
  <c r="ABQ108" i="6"/>
  <c r="UI89" i="6"/>
  <c r="ABA108" i="6"/>
  <c r="AAZ108" i="6" s="1"/>
  <c r="ABQ93" i="6"/>
  <c r="CQ83" i="6"/>
  <c r="GP90" i="6"/>
  <c r="CZ98" i="6"/>
  <c r="CH104" i="6"/>
  <c r="OW110" i="6"/>
  <c r="OV110" i="6" s="1"/>
  <c r="QG116" i="6"/>
  <c r="QF116" i="6" s="1"/>
  <c r="ACV99" i="6"/>
  <c r="ACU99" i="6" s="1"/>
  <c r="UI12" i="6"/>
  <c r="QG24" i="6"/>
  <c r="QF24" i="6" s="1"/>
  <c r="ABQ16" i="6"/>
  <c r="ABQ42" i="6"/>
  <c r="BO68" i="6"/>
  <c r="KT11" i="6"/>
  <c r="KS11" i="6" s="1"/>
  <c r="FH25" i="6"/>
  <c r="RQ31" i="6"/>
  <c r="RP31" i="6" s="1"/>
  <c r="TA37" i="6"/>
  <c r="SZ37" i="6" s="1"/>
  <c r="PO44" i="6"/>
  <c r="PN44" i="6" s="1"/>
  <c r="CZ51" i="6"/>
  <c r="MD63" i="6"/>
  <c r="MC63" i="6" s="1"/>
  <c r="OE70" i="6"/>
  <c r="OD70" i="6" s="1"/>
  <c r="FH77" i="6"/>
  <c r="DZ9" i="6"/>
  <c r="SI20" i="6"/>
  <c r="SH20" i="6" s="1"/>
  <c r="AD20" i="6"/>
  <c r="AC20" i="6" s="1"/>
  <c r="VY45" i="6"/>
  <c r="YX71" i="6"/>
  <c r="YW71" i="6" s="1"/>
  <c r="TA12" i="6"/>
  <c r="SZ12" i="6" s="1"/>
  <c r="CZ24" i="6"/>
  <c r="DZ32" i="6"/>
  <c r="FH38" i="6"/>
  <c r="OW44" i="6"/>
  <c r="OV44" i="6" s="1"/>
  <c r="QG50" i="6"/>
  <c r="QF50" i="6" s="1"/>
  <c r="KT58" i="6"/>
  <c r="KS58" i="6" s="1"/>
  <c r="UI64" i="6"/>
  <c r="TS71" i="6"/>
  <c r="TR71" i="6" s="1"/>
  <c r="NL78" i="6"/>
  <c r="OE13" i="6"/>
  <c r="OD13" i="6" s="1"/>
  <c r="ACV7" i="6"/>
  <c r="ACU7" i="6" s="1"/>
  <c r="AD33" i="6"/>
  <c r="AC33" i="6" s="1"/>
  <c r="VY58" i="6"/>
  <c r="CQ12" i="6"/>
  <c r="GP25" i="6"/>
  <c r="RQ33" i="6"/>
  <c r="RP33" i="6" s="1"/>
  <c r="TA39" i="6"/>
  <c r="SZ39" i="6" s="1"/>
  <c r="SI46" i="6"/>
  <c r="SH46" i="6" s="1"/>
  <c r="VJ53" i="6"/>
  <c r="SI66" i="6"/>
  <c r="SH66" i="6" s="1"/>
  <c r="WS80" i="6"/>
  <c r="MD15" i="6"/>
  <c r="MC15" i="6" s="1"/>
  <c r="AD30" i="6"/>
  <c r="AC30" i="6" s="1"/>
  <c r="XD55" i="6"/>
  <c r="VJ12" i="6"/>
  <c r="KB27" i="6"/>
  <c r="KA27" i="6" s="1"/>
  <c r="PO35" i="6"/>
  <c r="PN35" i="6" s="1"/>
  <c r="RQ42" i="6"/>
  <c r="RP42" i="6" s="1"/>
  <c r="TA48" i="6"/>
  <c r="SZ48" i="6" s="1"/>
  <c r="SI55" i="6"/>
  <c r="SH55" i="6" s="1"/>
  <c r="VJ62" i="6"/>
  <c r="AN69" i="6"/>
  <c r="EQ75" i="6"/>
  <c r="QY81" i="6"/>
  <c r="QX81" i="6" s="1"/>
  <c r="AN86" i="6"/>
  <c r="EQ92" i="6"/>
  <c r="GP99" i="6"/>
  <c r="DI106" i="6"/>
  <c r="HG112" i="6"/>
  <c r="BO81" i="6"/>
  <c r="KB85" i="6"/>
  <c r="KA85" i="6" s="1"/>
  <c r="WS91" i="6"/>
  <c r="ZN97" i="6"/>
  <c r="JJ104" i="6"/>
  <c r="JI104" i="6" s="1"/>
  <c r="DZ112" i="6"/>
  <c r="YX80" i="6"/>
  <c r="YW80" i="6" s="1"/>
  <c r="ACV105" i="6"/>
  <c r="ACU105" i="6" s="1"/>
  <c r="VJ89" i="6"/>
  <c r="AN96" i="6"/>
  <c r="SI102" i="6"/>
  <c r="SH102" i="6" s="1"/>
  <c r="KB110" i="6"/>
  <c r="KA110" i="6" s="1"/>
  <c r="WS116" i="6"/>
  <c r="XZ100" i="6"/>
  <c r="TA84" i="6"/>
  <c r="SZ84" i="6" s="1"/>
  <c r="SI91" i="6"/>
  <c r="SH91" i="6" s="1"/>
  <c r="XO98" i="6"/>
  <c r="ABA105" i="6"/>
  <c r="AAZ105" i="6" s="1"/>
  <c r="XD80" i="6"/>
  <c r="ABQ106" i="6"/>
  <c r="GP16" i="6"/>
  <c r="DI29" i="6"/>
  <c r="AD27" i="6"/>
  <c r="AC27" i="6" s="1"/>
  <c r="VY52" i="6"/>
  <c r="ACH117" i="6"/>
  <c r="DZ17" i="6"/>
  <c r="KB28" i="6"/>
  <c r="KA28" i="6" s="1"/>
  <c r="WS34" i="6"/>
  <c r="ZN40" i="6"/>
  <c r="PO48" i="6"/>
  <c r="PN48" i="6" s="1"/>
  <c r="ABA54" i="6"/>
  <c r="AAZ54" i="6" s="1"/>
  <c r="MD67" i="6"/>
  <c r="MC67" i="6" s="1"/>
  <c r="LL74" i="6"/>
  <c r="LK74" i="6" s="1"/>
  <c r="KB80" i="6"/>
  <c r="KA80" i="6" s="1"/>
  <c r="CH15" i="6"/>
  <c r="BO11" i="6"/>
  <c r="WH36" i="6"/>
  <c r="XD61" i="6"/>
  <c r="ZN7" i="6"/>
  <c r="MD18" i="6"/>
  <c r="MC18" i="6" s="1"/>
  <c r="QY27" i="6"/>
  <c r="QX27" i="6" s="1"/>
  <c r="LL35" i="6"/>
  <c r="LK35" i="6" s="1"/>
  <c r="IR41" i="6"/>
  <c r="IQ41" i="6" s="1"/>
  <c r="YK53" i="6"/>
  <c r="PO61" i="6"/>
  <c r="PN61" i="6" s="1"/>
  <c r="UI68" i="6"/>
  <c r="TA74" i="6"/>
  <c r="SZ74" i="6" s="1"/>
  <c r="HG9" i="6"/>
  <c r="LL17" i="6"/>
  <c r="LK17" i="6" s="1"/>
  <c r="ABQ14" i="6"/>
  <c r="WH65" i="6"/>
  <c r="WS14" i="6"/>
  <c r="SI26" i="6"/>
  <c r="SH26" i="6" s="1"/>
  <c r="IR34" i="6"/>
  <c r="IQ34" i="6" s="1"/>
  <c r="OE48" i="6"/>
  <c r="OD48" i="6" s="1"/>
  <c r="FY56" i="6"/>
  <c r="ZN62" i="6"/>
  <c r="OE72" i="6"/>
  <c r="OD72" i="6" s="1"/>
  <c r="HZ79" i="6"/>
  <c r="HY79" i="6" s="1"/>
  <c r="PO26" i="6"/>
  <c r="PN26" i="6" s="1"/>
  <c r="XD23" i="6"/>
  <c r="AD50" i="6"/>
  <c r="AC50" i="6" s="1"/>
  <c r="AN7" i="6"/>
  <c r="HZ24" i="6"/>
  <c r="HY24" i="6" s="1"/>
  <c r="NL36" i="6"/>
  <c r="UI42" i="6"/>
  <c r="CQ55" i="6"/>
  <c r="DZ62" i="6"/>
  <c r="FH68" i="6"/>
  <c r="RQ74" i="6"/>
  <c r="RP74" i="6" s="1"/>
  <c r="TA80" i="6"/>
  <c r="SZ80" i="6" s="1"/>
  <c r="FH85" i="6"/>
  <c r="RQ91" i="6"/>
  <c r="RP91" i="6" s="1"/>
  <c r="QG97" i="6"/>
  <c r="QF97" i="6" s="1"/>
  <c r="HZ105" i="6"/>
  <c r="HY105" i="6" s="1"/>
  <c r="UI111" i="6"/>
  <c r="XZ78" i="6"/>
  <c r="AD104" i="6"/>
  <c r="AC104" i="6" s="1"/>
  <c r="XO84" i="6"/>
  <c r="DI91" i="6"/>
  <c r="HG97" i="6"/>
  <c r="TS103" i="6"/>
  <c r="TR103" i="6" s="1"/>
  <c r="NL110" i="6"/>
  <c r="WH77" i="6"/>
  <c r="XD102" i="6"/>
  <c r="DZ89" i="6"/>
  <c r="FH95" i="6"/>
  <c r="CQ102" i="6"/>
  <c r="DZ109" i="6"/>
  <c r="FH115" i="6"/>
  <c r="WH94" i="6"/>
  <c r="HG83" i="6"/>
  <c r="TS89" i="6"/>
  <c r="TR89" i="6" s="1"/>
  <c r="NL96" i="6"/>
  <c r="HZ104" i="6"/>
  <c r="HY104" i="6" s="1"/>
  <c r="UI110" i="6"/>
  <c r="VY100" i="6"/>
  <c r="CH14" i="6"/>
  <c r="CZ26" i="6"/>
  <c r="XD20" i="6"/>
  <c r="ABQ46" i="6"/>
  <c r="BO72" i="6"/>
  <c r="JJ17" i="6"/>
  <c r="JI17" i="6" s="1"/>
  <c r="ABA34" i="6"/>
  <c r="AAZ34" i="6" s="1"/>
  <c r="JJ47" i="6"/>
  <c r="JI47" i="6" s="1"/>
  <c r="CZ55" i="6"/>
  <c r="CH61" i="6"/>
  <c r="OW67" i="6"/>
  <c r="OV67" i="6" s="1"/>
  <c r="NL73" i="6"/>
  <c r="WS16" i="6"/>
  <c r="ACV14" i="6"/>
  <c r="ACU14" i="6" s="1"/>
  <c r="AD40" i="6"/>
  <c r="AC40" i="6" s="1"/>
  <c r="VY65" i="6"/>
  <c r="SI11" i="6"/>
  <c r="SH11" i="6" s="1"/>
  <c r="DI23" i="6"/>
  <c r="YK29" i="6"/>
  <c r="PO37" i="6"/>
  <c r="PN37" i="6" s="1"/>
  <c r="ABA43" i="6"/>
  <c r="AAZ43" i="6" s="1"/>
  <c r="MD56" i="6"/>
  <c r="MC56" i="6" s="1"/>
  <c r="LL63" i="6"/>
  <c r="LK63" i="6" s="1"/>
  <c r="IR69" i="6"/>
  <c r="IQ69" i="6" s="1"/>
  <c r="YK9" i="6"/>
  <c r="QY17" i="6"/>
  <c r="QX17" i="6" s="1"/>
  <c r="AD15" i="6"/>
  <c r="AC15" i="6" s="1"/>
  <c r="YX40" i="6"/>
  <c r="YW40" i="6" s="1"/>
  <c r="ACV65" i="6"/>
  <c r="ACU65" i="6" s="1"/>
  <c r="CZ15" i="6"/>
  <c r="ZN26" i="6"/>
  <c r="KB34" i="6"/>
  <c r="KA34" i="6" s="1"/>
  <c r="WS40" i="6"/>
  <c r="TA47" i="6"/>
  <c r="SZ47" i="6" s="1"/>
  <c r="KT55" i="6"/>
  <c r="KS55" i="6" s="1"/>
  <c r="RQ61" i="6"/>
  <c r="RP61" i="6" s="1"/>
  <c r="TA67" i="6"/>
  <c r="SZ67" i="6" s="1"/>
  <c r="SI74" i="6"/>
  <c r="SH74" i="6" s="1"/>
  <c r="KB82" i="6"/>
  <c r="KA82" i="6" s="1"/>
  <c r="XO15" i="6"/>
  <c r="DZ29" i="6"/>
  <c r="XZ24" i="6"/>
  <c r="WH50" i="6"/>
  <c r="MD7" i="6"/>
  <c r="MC7" i="6" s="1"/>
  <c r="EQ23" i="6"/>
  <c r="FY41" i="6"/>
  <c r="IR47" i="6"/>
  <c r="IQ47" i="6" s="1"/>
  <c r="SI59" i="6"/>
  <c r="SH59" i="6" s="1"/>
  <c r="XO66" i="6"/>
  <c r="UI74" i="6"/>
  <c r="HZ85" i="6"/>
  <c r="HY85" i="6" s="1"/>
  <c r="UI91" i="6"/>
  <c r="TA97" i="6"/>
  <c r="SZ97" i="6" s="1"/>
  <c r="PO104" i="6"/>
  <c r="PN104" i="6" s="1"/>
  <c r="CZ111" i="6"/>
  <c r="ABQ75" i="6"/>
  <c r="BO101" i="6"/>
  <c r="GP84" i="6"/>
  <c r="FY91" i="6"/>
  <c r="IR97" i="6"/>
  <c r="IQ97" i="6" s="1"/>
  <c r="YK109" i="6"/>
  <c r="ACV77" i="6"/>
  <c r="ACU77" i="6" s="1"/>
  <c r="XZ103" i="6"/>
  <c r="GP89" i="6"/>
  <c r="ABA96" i="6"/>
  <c r="AAZ96" i="6" s="1"/>
  <c r="ZN102" i="6"/>
  <c r="GP109" i="6"/>
  <c r="VY75" i="6"/>
  <c r="YX101" i="6"/>
  <c r="YW101" i="6" s="1"/>
  <c r="AN85" i="6"/>
  <c r="EQ91" i="6"/>
  <c r="QY97" i="6"/>
  <c r="QX97" i="6" s="1"/>
  <c r="FH112" i="6"/>
  <c r="WH107" i="6"/>
  <c r="NL14" i="6"/>
  <c r="ACV17" i="6"/>
  <c r="ACU17" i="6" s="1"/>
  <c r="ACV43" i="6"/>
  <c r="ACU43" i="6" s="1"/>
  <c r="XZ69" i="6"/>
  <c r="KT15" i="6"/>
  <c r="KS15" i="6" s="1"/>
  <c r="PO28" i="6"/>
  <c r="PN28" i="6" s="1"/>
  <c r="CZ35" i="6"/>
  <c r="CH41" i="6"/>
  <c r="MD47" i="6"/>
  <c r="MC47" i="6" s="1"/>
  <c r="LL54" i="6"/>
  <c r="LK54" i="6" s="1"/>
  <c r="KB60" i="6"/>
  <c r="KA60" i="6" s="1"/>
  <c r="WS66" i="6"/>
  <c r="YK72" i="6"/>
  <c r="PO80" i="6"/>
  <c r="PN80" i="6" s="1"/>
  <c r="CZ17" i="6"/>
  <c r="XD33" i="6"/>
  <c r="ABQ59" i="6"/>
  <c r="CH8" i="6"/>
  <c r="EQ29" i="6"/>
  <c r="QY35" i="6"/>
  <c r="QX35" i="6" s="1"/>
  <c r="FY43" i="6"/>
  <c r="IR49" i="6"/>
  <c r="IQ49" i="6" s="1"/>
  <c r="YK61" i="6"/>
  <c r="XO68" i="6"/>
  <c r="AN75" i="6"/>
  <c r="EQ81" i="6"/>
  <c r="CH16" i="6"/>
  <c r="XD8" i="6"/>
  <c r="BO34" i="6"/>
  <c r="KB12" i="6"/>
  <c r="KA12" i="6" s="1"/>
  <c r="LL24" i="6"/>
  <c r="LK24" i="6" s="1"/>
  <c r="XO33" i="6"/>
  <c r="ABA40" i="6"/>
  <c r="AAZ40" i="6" s="1"/>
  <c r="SI54" i="6"/>
  <c r="SH54" i="6" s="1"/>
  <c r="UI61" i="6"/>
  <c r="CQ74" i="6"/>
  <c r="XO81" i="6"/>
  <c r="CQ16" i="6"/>
  <c r="XD6" i="6"/>
  <c r="BO31" i="6"/>
  <c r="YX57" i="6"/>
  <c r="YW57" i="6" s="1"/>
  <c r="LL11" i="6"/>
  <c r="LK11" i="6" s="1"/>
  <c r="FH28" i="6"/>
  <c r="EQ35" i="6"/>
  <c r="XO42" i="6"/>
  <c r="DI49" i="6"/>
  <c r="HG55" i="6"/>
  <c r="QY61" i="6"/>
  <c r="QX61" i="6" s="1"/>
  <c r="XO70" i="6"/>
  <c r="ABA77" i="6"/>
  <c r="AAZ77" i="6" s="1"/>
  <c r="OE82" i="6"/>
  <c r="OD82" i="6" s="1"/>
  <c r="HZ89" i="6"/>
  <c r="HY89" i="6" s="1"/>
  <c r="RQ95" i="6"/>
  <c r="RP95" i="6" s="1"/>
  <c r="TA101" i="6"/>
  <c r="SZ101" i="6" s="1"/>
  <c r="PO108" i="6"/>
  <c r="PN108" i="6" s="1"/>
  <c r="CZ115" i="6"/>
  <c r="YX95" i="6"/>
  <c r="YW95" i="6" s="1"/>
  <c r="QG82" i="6"/>
  <c r="QF82" i="6" s="1"/>
  <c r="KT90" i="6"/>
  <c r="KS90" i="6" s="1"/>
  <c r="VJ96" i="6"/>
  <c r="AN103" i="6"/>
  <c r="EQ109" i="6"/>
  <c r="QY115" i="6"/>
  <c r="QX115" i="6" s="1"/>
  <c r="WH97" i="6"/>
  <c r="YK86" i="6"/>
  <c r="PO94" i="6"/>
  <c r="PN94" i="6" s="1"/>
  <c r="HG102" i="6"/>
  <c r="LL116" i="6"/>
  <c r="LK116" i="6" s="1"/>
  <c r="WH98" i="6"/>
  <c r="FH84" i="6"/>
  <c r="RQ90" i="6"/>
  <c r="RP90" i="6" s="1"/>
  <c r="TA96" i="6"/>
  <c r="SZ96" i="6" s="1"/>
  <c r="SI103" i="6"/>
  <c r="SH103" i="6" s="1"/>
  <c r="XO110" i="6"/>
  <c r="AD79" i="6"/>
  <c r="AC79" i="6" s="1"/>
  <c r="VY104" i="6"/>
  <c r="ZN17" i="6"/>
  <c r="LL117" i="6"/>
  <c r="LK117" i="6" s="1"/>
  <c r="BO28" i="6"/>
  <c r="CZ8" i="6"/>
  <c r="XO17" i="6"/>
  <c r="SI28" i="6"/>
  <c r="SH28" i="6" s="1"/>
  <c r="XO35" i="6"/>
  <c r="DI42" i="6"/>
  <c r="EQ48" i="6"/>
  <c r="OE54" i="6"/>
  <c r="OD54" i="6" s="1"/>
  <c r="HZ61" i="6"/>
  <c r="HY61" i="6" s="1"/>
  <c r="UI67" i="6"/>
  <c r="TS74" i="6"/>
  <c r="TR74" i="6" s="1"/>
  <c r="IR9" i="6"/>
  <c r="IQ9" i="6" s="1"/>
  <c r="GP17" i="6"/>
  <c r="XZ12" i="6"/>
  <c r="VY37" i="6"/>
  <c r="YX63" i="6"/>
  <c r="YW63" i="6" s="1"/>
  <c r="WS9" i="6"/>
  <c r="UI24" i="6"/>
  <c r="CQ37" i="6"/>
  <c r="DZ44" i="6"/>
  <c r="FH50" i="6"/>
  <c r="RQ56" i="6"/>
  <c r="RP56" i="6" s="1"/>
  <c r="TA62" i="6"/>
  <c r="SZ62" i="6" s="1"/>
  <c r="HZ70" i="6"/>
  <c r="HY70" i="6" s="1"/>
  <c r="UI76" i="6"/>
  <c r="UI117" i="6"/>
  <c r="RQ20" i="6"/>
  <c r="RP20" i="6" s="1"/>
  <c r="ACV21" i="6"/>
  <c r="ACU21" i="6" s="1"/>
  <c r="XZ47" i="6"/>
  <c r="AD73" i="6"/>
  <c r="AC73" i="6" s="1"/>
  <c r="ABA18" i="6"/>
  <c r="AAZ18" i="6" s="1"/>
  <c r="SI30" i="6"/>
  <c r="SH30" i="6" s="1"/>
  <c r="ABA44" i="6"/>
  <c r="AAZ44" i="6" s="1"/>
  <c r="ZN50" i="6"/>
  <c r="JJ57" i="6"/>
  <c r="JI57" i="6" s="1"/>
  <c r="ABA64" i="6"/>
  <c r="AAZ64" i="6" s="1"/>
  <c r="CQ78" i="6"/>
  <c r="DZ85" i="6"/>
  <c r="LL20" i="6"/>
  <c r="LK20" i="6" s="1"/>
  <c r="YX15" i="6"/>
  <c r="YW15" i="6" s="1"/>
  <c r="ABQ41" i="6"/>
  <c r="BO67" i="6"/>
  <c r="FH20" i="6"/>
  <c r="TS37" i="6"/>
  <c r="TR37" i="6" s="1"/>
  <c r="LL45" i="6"/>
  <c r="LK45" i="6" s="1"/>
  <c r="KB51" i="6"/>
  <c r="KA51" i="6" s="1"/>
  <c r="WS57" i="6"/>
  <c r="QG64" i="6"/>
  <c r="QF64" i="6" s="1"/>
  <c r="KT72" i="6"/>
  <c r="KS72" i="6" s="1"/>
  <c r="VJ78" i="6"/>
  <c r="JJ83" i="6"/>
  <c r="JI83" i="6" s="1"/>
  <c r="DZ91" i="6"/>
  <c r="CH97" i="6"/>
  <c r="OW103" i="6"/>
  <c r="OV103" i="6" s="1"/>
  <c r="OE110" i="6"/>
  <c r="OD110" i="6" s="1"/>
  <c r="WH76" i="6"/>
  <c r="XD101" i="6"/>
  <c r="MD84" i="6"/>
  <c r="MC84" i="6" s="1"/>
  <c r="OE91" i="6"/>
  <c r="OD91" i="6" s="1"/>
  <c r="HZ98" i="6"/>
  <c r="HY98" i="6" s="1"/>
  <c r="UI104" i="6"/>
  <c r="XZ75" i="6"/>
  <c r="AD101" i="6"/>
  <c r="AC101" i="6" s="1"/>
  <c r="TA87" i="6"/>
  <c r="SZ87" i="6" s="1"/>
  <c r="SI94" i="6"/>
  <c r="SH94" i="6" s="1"/>
  <c r="UI101" i="6"/>
  <c r="TS108" i="6"/>
  <c r="TR108" i="6" s="1"/>
  <c r="NL115" i="6"/>
  <c r="VY95" i="6"/>
  <c r="HZ84" i="6"/>
  <c r="HY84" i="6" s="1"/>
  <c r="UI90" i="6"/>
  <c r="CQ103" i="6"/>
  <c r="GP110" i="6"/>
  <c r="WH79" i="6"/>
  <c r="XD104" i="6"/>
  <c r="TA14" i="6"/>
  <c r="SZ14" i="6" s="1"/>
  <c r="AD9" i="6"/>
  <c r="AC9" i="6" s="1"/>
  <c r="AD35" i="6"/>
  <c r="AC35" i="6" s="1"/>
  <c r="VY60" i="6"/>
  <c r="MD9" i="6"/>
  <c r="MC9" i="6" s="1"/>
  <c r="UI23" i="6"/>
  <c r="QY30" i="6"/>
  <c r="QX30" i="6" s="1"/>
  <c r="DZ39" i="6"/>
  <c r="CH45" i="6"/>
  <c r="OW51" i="6"/>
  <c r="OV51" i="6" s="1"/>
  <c r="OE58" i="6"/>
  <c r="OD58" i="6" s="1"/>
  <c r="HZ65" i="6"/>
  <c r="HY65" i="6" s="1"/>
  <c r="UI71" i="6"/>
  <c r="TA77" i="6"/>
  <c r="SZ77" i="6" s="1"/>
  <c r="EQ10" i="6"/>
  <c r="CZ23" i="6"/>
  <c r="BO25" i="6"/>
  <c r="DI27" i="6"/>
  <c r="HG33" i="6"/>
  <c r="TS39" i="6"/>
  <c r="TR39" i="6" s="1"/>
  <c r="KT46" i="6"/>
  <c r="KS46" i="6" s="1"/>
  <c r="VJ52" i="6"/>
  <c r="WS59" i="6"/>
  <c r="YK65" i="6"/>
  <c r="XO72" i="6"/>
  <c r="DI79" i="6"/>
  <c r="NL12" i="6"/>
  <c r="ABQ117" i="6"/>
  <c r="WH57" i="6"/>
  <c r="JJ11" i="6"/>
  <c r="JI11" i="6" s="1"/>
  <c r="CH23" i="6"/>
  <c r="QY32" i="6"/>
  <c r="QX32" i="6" s="1"/>
  <c r="XO41" i="6"/>
  <c r="WS48" i="6"/>
  <c r="TS56" i="6"/>
  <c r="TR56" i="6" s="1"/>
  <c r="FY64" i="6"/>
  <c r="IR70" i="6"/>
  <c r="IQ70" i="6" s="1"/>
  <c r="NL83" i="6"/>
  <c r="NL17" i="6"/>
  <c r="BO9" i="6"/>
  <c r="VY35" i="6"/>
  <c r="YX61" i="6"/>
  <c r="YW61" i="6" s="1"/>
  <c r="YK13" i="6"/>
  <c r="PO47" i="6"/>
  <c r="PN47" i="6" s="1"/>
  <c r="CZ54" i="6"/>
  <c r="MD66" i="6"/>
  <c r="MC66" i="6" s="1"/>
  <c r="GP74" i="6"/>
  <c r="FY81" i="6"/>
  <c r="QG85" i="6"/>
  <c r="QF85" i="6" s="1"/>
  <c r="KT93" i="6"/>
  <c r="KS93" i="6" s="1"/>
  <c r="IR100" i="6"/>
  <c r="IQ100" i="6" s="1"/>
  <c r="MD107" i="6"/>
  <c r="MC107" i="6" s="1"/>
  <c r="OE114" i="6"/>
  <c r="OD114" i="6" s="1"/>
  <c r="ACV92" i="6"/>
  <c r="ACU92" i="6" s="1"/>
  <c r="MD88" i="6"/>
  <c r="MC88" i="6" s="1"/>
  <c r="OE95" i="6"/>
  <c r="OD95" i="6" s="1"/>
  <c r="HZ102" i="6"/>
  <c r="HY102" i="6" s="1"/>
  <c r="UI108" i="6"/>
  <c r="HG86" i="6"/>
  <c r="OE96" i="6"/>
  <c r="OD96" i="6" s="1"/>
  <c r="FH103" i="6"/>
  <c r="OW109" i="6"/>
  <c r="OV109" i="6" s="1"/>
  <c r="QG115" i="6"/>
  <c r="QF115" i="6" s="1"/>
  <c r="XD95" i="6"/>
  <c r="KT84" i="6"/>
  <c r="KS84" i="6" s="1"/>
  <c r="WS97" i="6"/>
  <c r="ZN103" i="6"/>
  <c r="JJ110" i="6"/>
  <c r="JI110" i="6" s="1"/>
  <c r="ACV79" i="6"/>
  <c r="ACU79" i="6" s="1"/>
  <c r="XZ105" i="6"/>
  <c r="OW53" i="6"/>
  <c r="OV53" i="6" s="1"/>
  <c r="ABA100" i="6"/>
  <c r="AAZ100" i="6" s="1"/>
  <c r="OW89" i="6"/>
  <c r="OV89" i="6" s="1"/>
  <c r="OW41" i="6"/>
  <c r="OV41" i="6" s="1"/>
  <c r="HZ68" i="6"/>
  <c r="HY68" i="6" s="1"/>
  <c r="KT68" i="6"/>
  <c r="KS68" i="6" s="1"/>
  <c r="UI60" i="6"/>
  <c r="AD16" i="6"/>
  <c r="AC16" i="6" s="1"/>
  <c r="QG44" i="6"/>
  <c r="QF44" i="6" s="1"/>
  <c r="OW83" i="6"/>
  <c r="OV83" i="6" s="1"/>
  <c r="IR106" i="6"/>
  <c r="IQ106" i="6" s="1"/>
  <c r="WS101" i="6"/>
  <c r="XZ61" i="6"/>
  <c r="EQ56" i="6"/>
  <c r="CZ14" i="6"/>
  <c r="FY10" i="6"/>
  <c r="KT47" i="6"/>
  <c r="KS47" i="6" s="1"/>
  <c r="OW81" i="6"/>
  <c r="OV81" i="6" s="1"/>
  <c r="ACV74" i="6"/>
  <c r="ACU74" i="6" s="1"/>
  <c r="KB59" i="6"/>
  <c r="KA59" i="6" s="1"/>
  <c r="RQ88" i="6"/>
  <c r="RP88" i="6" s="1"/>
  <c r="XO7" i="6"/>
  <c r="VJ22" i="6"/>
  <c r="WH9" i="6"/>
  <c r="WH35" i="6"/>
  <c r="XD60" i="6"/>
  <c r="LL8" i="6"/>
  <c r="LK8" i="6" s="1"/>
  <c r="LL22" i="6"/>
  <c r="LK22" i="6" s="1"/>
  <c r="TS30" i="6"/>
  <c r="TR30" i="6" s="1"/>
  <c r="NL37" i="6"/>
  <c r="FH45" i="6"/>
  <c r="RQ51" i="6"/>
  <c r="RP51" i="6" s="1"/>
  <c r="QY58" i="6"/>
  <c r="QX58" i="6" s="1"/>
  <c r="LL66" i="6"/>
  <c r="LK66" i="6" s="1"/>
  <c r="IR72" i="6"/>
  <c r="IQ72" i="6" s="1"/>
  <c r="TA11" i="6"/>
  <c r="SZ11" i="6" s="1"/>
  <c r="GP23" i="6"/>
  <c r="XZ22" i="6"/>
  <c r="AD48" i="6"/>
  <c r="AC48" i="6" s="1"/>
  <c r="VY73" i="6"/>
  <c r="ABA13" i="6"/>
  <c r="AAZ13" i="6" s="1"/>
  <c r="ABA31" i="6"/>
  <c r="AAZ31" i="6" s="1"/>
  <c r="JJ44" i="6"/>
  <c r="JI44" i="6" s="1"/>
  <c r="DZ52" i="6"/>
  <c r="FH58" i="6"/>
  <c r="OW64" i="6"/>
  <c r="OV64" i="6" s="1"/>
  <c r="NL70" i="6"/>
  <c r="NL8" i="6"/>
  <c r="QG22" i="6"/>
  <c r="QF22" i="6" s="1"/>
  <c r="ACV25" i="6"/>
  <c r="ACU25" i="6" s="1"/>
  <c r="XZ51" i="6"/>
  <c r="VJ7" i="6"/>
  <c r="TS20" i="6"/>
  <c r="TR20" i="6" s="1"/>
  <c r="ZN30" i="6"/>
  <c r="JJ37" i="6"/>
  <c r="JI37" i="6" s="1"/>
  <c r="DZ45" i="6"/>
  <c r="CH51" i="6"/>
  <c r="OW57" i="6"/>
  <c r="OV57" i="6" s="1"/>
  <c r="LL64" i="6"/>
  <c r="LK64" i="6" s="1"/>
  <c r="KB70" i="6"/>
  <c r="KA70" i="6" s="1"/>
  <c r="WS76" i="6"/>
  <c r="YK82" i="6"/>
  <c r="KB16" i="6"/>
  <c r="KA16" i="6" s="1"/>
  <c r="XZ117" i="6"/>
  <c r="XZ32" i="6"/>
  <c r="WH58" i="6"/>
  <c r="FH14" i="6"/>
  <c r="CQ27" i="6"/>
  <c r="KB35" i="6"/>
  <c r="KA35" i="6" s="1"/>
  <c r="MD42" i="6"/>
  <c r="MC42" i="6" s="1"/>
  <c r="OE49" i="6"/>
  <c r="OD49" i="6" s="1"/>
  <c r="HZ56" i="6"/>
  <c r="HY56" i="6" s="1"/>
  <c r="RQ62" i="6"/>
  <c r="RP62" i="6" s="1"/>
  <c r="TA68" i="6"/>
  <c r="SZ68" i="6" s="1"/>
  <c r="SI75" i="6"/>
  <c r="SH75" i="6" s="1"/>
  <c r="MD87" i="6"/>
  <c r="MC87" i="6" s="1"/>
  <c r="LL94" i="6"/>
  <c r="LK94" i="6" s="1"/>
  <c r="KB100" i="6"/>
  <c r="KA100" i="6" s="1"/>
  <c r="YK112" i="6"/>
  <c r="WH112" i="6"/>
  <c r="CQ93" i="6"/>
  <c r="GP100" i="6"/>
  <c r="FY107" i="6"/>
  <c r="IR113" i="6"/>
  <c r="IQ113" i="6" s="1"/>
  <c r="ACV85" i="6"/>
  <c r="ACU85" i="6" s="1"/>
  <c r="XZ111" i="6"/>
  <c r="HG90" i="6"/>
  <c r="QY96" i="6"/>
  <c r="QX96" i="6" s="1"/>
  <c r="FY104" i="6"/>
  <c r="HG110" i="6"/>
  <c r="TS116" i="6"/>
  <c r="TR116" i="6" s="1"/>
  <c r="VY99" i="6"/>
  <c r="OE85" i="6"/>
  <c r="OD85" i="6" s="1"/>
  <c r="FY93" i="6"/>
  <c r="IR99" i="6"/>
  <c r="IQ99" i="6" s="1"/>
  <c r="YK111" i="6"/>
  <c r="WH83" i="6"/>
  <c r="XD108" i="6"/>
  <c r="HG17" i="6"/>
  <c r="QG28" i="6"/>
  <c r="QF28" i="6" s="1"/>
  <c r="YX26" i="6"/>
  <c r="YW26" i="6" s="1"/>
  <c r="ACV51" i="6"/>
  <c r="ACU51" i="6" s="1"/>
  <c r="PO8" i="6"/>
  <c r="PN8" i="6" s="1"/>
  <c r="HG28" i="6"/>
  <c r="TS34" i="6"/>
  <c r="TR34" i="6" s="1"/>
  <c r="NL41" i="6"/>
  <c r="VJ47" i="6"/>
  <c r="CQ60" i="6"/>
  <c r="GP67" i="6"/>
  <c r="DI74" i="6"/>
  <c r="HG80" i="6"/>
  <c r="DI16" i="6"/>
  <c r="ABQ13" i="6"/>
  <c r="WH64" i="6"/>
  <c r="GP10" i="6"/>
  <c r="IR21" i="6"/>
  <c r="IQ21" i="6" s="1"/>
  <c r="ABA35" i="6"/>
  <c r="AAZ35" i="6" s="1"/>
  <c r="TA42" i="6"/>
  <c r="SZ42" i="6" s="1"/>
  <c r="SI49" i="6"/>
  <c r="SH49" i="6" s="1"/>
  <c r="XO56" i="6"/>
  <c r="DI63" i="6"/>
  <c r="EQ69" i="6"/>
  <c r="GP76" i="6"/>
  <c r="DZ6" i="6"/>
  <c r="SI19" i="6"/>
  <c r="SH19" i="6" s="1"/>
  <c r="WH45" i="6"/>
  <c r="XD70" i="6"/>
  <c r="OW19" i="6"/>
  <c r="OV19" i="6" s="1"/>
  <c r="HG30" i="6"/>
  <c r="MD37" i="6"/>
  <c r="MC37" i="6" s="1"/>
  <c r="OE44" i="6"/>
  <c r="OD44" i="6" s="1"/>
  <c r="DI52" i="6"/>
  <c r="ZN58" i="6"/>
  <c r="PO66" i="6"/>
  <c r="PN66" i="6" s="1"/>
  <c r="CZ73" i="6"/>
  <c r="CH79" i="6"/>
  <c r="MD85" i="6"/>
  <c r="MC85" i="6" s="1"/>
  <c r="DZ21" i="6"/>
  <c r="BO13" i="6"/>
  <c r="VY39" i="6"/>
  <c r="YX65" i="6"/>
  <c r="YW65" i="6" s="1"/>
  <c r="CQ17" i="6"/>
  <c r="MD30" i="6"/>
  <c r="MC30" i="6" s="1"/>
  <c r="HZ36" i="6"/>
  <c r="HY36" i="6" s="1"/>
  <c r="EQ43" i="6"/>
  <c r="QY49" i="6"/>
  <c r="QX49" i="6" s="1"/>
  <c r="LL57" i="6"/>
  <c r="LK57" i="6" s="1"/>
  <c r="IR63" i="6"/>
  <c r="IQ63" i="6" s="1"/>
  <c r="YK75" i="6"/>
  <c r="CH81" i="6"/>
  <c r="OW87" i="6"/>
  <c r="OV87" i="6" s="1"/>
  <c r="QG93" i="6"/>
  <c r="QF93" i="6" s="1"/>
  <c r="WS106" i="6"/>
  <c r="ZN112" i="6"/>
  <c r="AD84" i="6"/>
  <c r="AC84" i="6" s="1"/>
  <c r="VY109" i="6"/>
  <c r="CH86" i="6"/>
  <c r="OW92" i="6"/>
  <c r="OV92" i="6" s="1"/>
  <c r="QG98" i="6"/>
  <c r="QF98" i="6" s="1"/>
  <c r="KT106" i="6"/>
  <c r="KS106" i="6" s="1"/>
  <c r="KB113" i="6"/>
  <c r="KA113" i="6" s="1"/>
  <c r="BO86" i="6"/>
  <c r="IR90" i="6"/>
  <c r="IQ90" i="6" s="1"/>
  <c r="TS96" i="6"/>
  <c r="TR96" i="6" s="1"/>
  <c r="KT103" i="6"/>
  <c r="KS103" i="6" s="1"/>
  <c r="UI109" i="6"/>
  <c r="YK83" i="6"/>
  <c r="PO91" i="6"/>
  <c r="PN91" i="6" s="1"/>
  <c r="VJ98" i="6"/>
  <c r="AN105" i="6"/>
  <c r="EQ111" i="6"/>
  <c r="XZ77" i="6"/>
  <c r="AD103" i="6"/>
  <c r="AC103" i="6" s="1"/>
  <c r="ZN13" i="6"/>
  <c r="BO20" i="6"/>
  <c r="WH71" i="6"/>
  <c r="DZ13" i="6"/>
  <c r="DI26" i="6"/>
  <c r="HG32" i="6"/>
  <c r="TS38" i="6"/>
  <c r="TR38" i="6" s="1"/>
  <c r="KT45" i="6"/>
  <c r="KS45" i="6" s="1"/>
  <c r="VJ51" i="6"/>
  <c r="CQ64" i="6"/>
  <c r="GP71" i="6"/>
  <c r="DI78" i="6"/>
  <c r="PO10" i="6"/>
  <c r="PN10" i="6" s="1"/>
  <c r="YX23" i="6"/>
  <c r="YW23" i="6" s="1"/>
  <c r="ACV48" i="6"/>
  <c r="ACU48" i="6" s="1"/>
  <c r="XZ74" i="6"/>
  <c r="GP14" i="6"/>
  <c r="SI25" i="6"/>
  <c r="SH25" i="6" s="1"/>
  <c r="XO32" i="6"/>
  <c r="DI39" i="6"/>
  <c r="EQ45" i="6"/>
  <c r="QY51" i="6"/>
  <c r="QX51" i="6" s="1"/>
  <c r="LL59" i="6"/>
  <c r="LK59" i="6" s="1"/>
  <c r="IR65" i="6"/>
  <c r="IQ65" i="6" s="1"/>
  <c r="MD72" i="6"/>
  <c r="MC72" i="6" s="1"/>
  <c r="OE79" i="6"/>
  <c r="OD79" i="6" s="1"/>
  <c r="KB15" i="6"/>
  <c r="KA15" i="6" s="1"/>
  <c r="AD11" i="6"/>
  <c r="AC11" i="6" s="1"/>
  <c r="YX36" i="6"/>
  <c r="YW36" i="6" s="1"/>
  <c r="ACV61" i="6"/>
  <c r="ACU61" i="6" s="1"/>
  <c r="CH13" i="6"/>
  <c r="KB26" i="6"/>
  <c r="KA26" i="6" s="1"/>
  <c r="HG34" i="6"/>
  <c r="TS40" i="6"/>
  <c r="TR40" i="6" s="1"/>
  <c r="NL47" i="6"/>
  <c r="KB54" i="6"/>
  <c r="KA54" i="6" s="1"/>
  <c r="TS60" i="6"/>
  <c r="TR60" i="6" s="1"/>
  <c r="NL67" i="6"/>
  <c r="HZ75" i="6"/>
  <c r="HY75" i="6" s="1"/>
  <c r="HG82" i="6"/>
  <c r="SI16" i="6"/>
  <c r="SH16" i="6" s="1"/>
  <c r="YX7" i="6"/>
  <c r="YW7" i="6" s="1"/>
  <c r="YX33" i="6"/>
  <c r="YW33" i="6" s="1"/>
  <c r="BO59" i="6"/>
  <c r="KT14" i="6"/>
  <c r="KS14" i="6" s="1"/>
  <c r="OE29" i="6"/>
  <c r="OD29" i="6" s="1"/>
  <c r="KT36" i="6"/>
  <c r="KS36" i="6" s="1"/>
  <c r="HG43" i="6"/>
  <c r="TS49" i="6"/>
  <c r="TR49" i="6" s="1"/>
  <c r="NL56" i="6"/>
  <c r="KB63" i="6"/>
  <c r="KA63" i="6" s="1"/>
  <c r="WS69" i="6"/>
  <c r="ZN75" i="6"/>
  <c r="JJ82" i="6"/>
  <c r="JI82" i="6" s="1"/>
  <c r="WS86" i="6"/>
  <c r="ZN92" i="6"/>
  <c r="PO100" i="6"/>
  <c r="PN100" i="6" s="1"/>
  <c r="ABA106" i="6"/>
  <c r="AAZ106" i="6" s="1"/>
  <c r="WH84" i="6"/>
  <c r="XD109" i="6"/>
  <c r="FH86" i="6"/>
  <c r="RQ92" i="6"/>
  <c r="RP92" i="6" s="1"/>
  <c r="TA98" i="6"/>
  <c r="SZ98" i="6" s="1"/>
  <c r="SI105" i="6"/>
  <c r="SH105" i="6" s="1"/>
  <c r="XO112" i="6"/>
  <c r="XZ83" i="6"/>
  <c r="AD109" i="6"/>
  <c r="AC109" i="6" s="1"/>
  <c r="NL103" i="6"/>
  <c r="FH111" i="6"/>
  <c r="AD78" i="6"/>
  <c r="AC78" i="6" s="1"/>
  <c r="VY103" i="6"/>
  <c r="NL92" i="6"/>
  <c r="HZ100" i="6"/>
  <c r="HY100" i="6" s="1"/>
  <c r="UI106" i="6"/>
  <c r="BO84" i="6"/>
  <c r="EQ117" i="6"/>
  <c r="YX30" i="6"/>
  <c r="YW30" i="6" s="1"/>
  <c r="ACV55" i="6"/>
  <c r="ACU55" i="6" s="1"/>
  <c r="NL10" i="6"/>
  <c r="YK18" i="6"/>
  <c r="FH29" i="6"/>
  <c r="RQ35" i="6"/>
  <c r="RP35" i="6" s="1"/>
  <c r="TA41" i="6"/>
  <c r="SZ41" i="6" s="1"/>
  <c r="KT49" i="6"/>
  <c r="KS49" i="6" s="1"/>
  <c r="UI55" i="6"/>
  <c r="CQ68" i="6"/>
  <c r="DZ75" i="6"/>
  <c r="TA117" i="6"/>
  <c r="SZ117" i="6" s="1"/>
  <c r="TS16" i="6"/>
  <c r="TR16" i="6" s="1"/>
  <c r="WH14" i="6"/>
  <c r="ABQ39" i="6"/>
  <c r="BO65" i="6"/>
  <c r="LL9" i="6"/>
  <c r="LK9" i="6" s="1"/>
  <c r="GP20" i="6"/>
  <c r="JJ28" i="6"/>
  <c r="JI28" i="6" s="1"/>
  <c r="DZ36" i="6"/>
  <c r="CH42" i="6"/>
  <c r="OW48" i="6"/>
  <c r="OV48" i="6" s="1"/>
  <c r="QG54" i="6"/>
  <c r="QF54" i="6" s="1"/>
  <c r="KT62" i="6"/>
  <c r="KS62" i="6" s="1"/>
  <c r="HG69" i="6"/>
  <c r="TS75" i="6"/>
  <c r="TR75" i="6" s="1"/>
  <c r="KT117" i="6"/>
  <c r="KS117" i="6" s="1"/>
  <c r="XO18" i="6"/>
  <c r="XD42" i="6"/>
  <c r="ABQ68" i="6"/>
  <c r="IR16" i="6"/>
  <c r="IQ16" i="6" s="1"/>
  <c r="FY28" i="6"/>
  <c r="CH35" i="6"/>
  <c r="EQ42" i="6"/>
  <c r="GP49" i="6"/>
  <c r="CZ57" i="6"/>
  <c r="TA63" i="6"/>
  <c r="SZ63" i="6" s="1"/>
  <c r="GP73" i="6"/>
  <c r="FY80" i="6"/>
  <c r="DI14" i="6"/>
  <c r="BO27" i="6"/>
  <c r="YX53" i="6"/>
  <c r="YW53" i="6" s="1"/>
  <c r="HZ10" i="6"/>
  <c r="HY10" i="6" s="1"/>
  <c r="QY29" i="6"/>
  <c r="QX29" i="6" s="1"/>
  <c r="LL37" i="6"/>
  <c r="LK37" i="6" s="1"/>
  <c r="IR43" i="6"/>
  <c r="IQ43" i="6" s="1"/>
  <c r="YK55" i="6"/>
  <c r="XO62" i="6"/>
  <c r="DI69" i="6"/>
  <c r="HG75" i="6"/>
  <c r="TS81" i="6"/>
  <c r="TR81" i="6" s="1"/>
  <c r="DI86" i="6"/>
  <c r="HG92" i="6"/>
  <c r="QY98" i="6"/>
  <c r="QX98" i="6" s="1"/>
  <c r="FY106" i="6"/>
  <c r="IR112" i="6"/>
  <c r="IQ112" i="6" s="1"/>
  <c r="VY81" i="6"/>
  <c r="YX107" i="6"/>
  <c r="YW107" i="6" s="1"/>
  <c r="ABA91" i="6"/>
  <c r="AAZ91" i="6" s="1"/>
  <c r="MD104" i="6"/>
  <c r="MC104" i="6" s="1"/>
  <c r="OE111" i="6"/>
  <c r="OD111" i="6" s="1"/>
  <c r="ABQ80" i="6"/>
  <c r="BO106" i="6"/>
  <c r="XO89" i="6"/>
  <c r="DI96" i="6"/>
  <c r="YK102" i="6"/>
  <c r="XO109" i="6"/>
  <c r="DI116" i="6"/>
  <c r="ABQ97" i="6"/>
  <c r="MD90" i="6"/>
  <c r="MC90" i="6" s="1"/>
  <c r="OE97" i="6"/>
  <c r="OD97" i="6" s="1"/>
  <c r="FY105" i="6"/>
  <c r="IR111" i="6"/>
  <c r="IQ111" i="6" s="1"/>
  <c r="YX78" i="6"/>
  <c r="YW78" i="6" s="1"/>
  <c r="ACV103" i="6"/>
  <c r="ACU103" i="6" s="1"/>
  <c r="JJ16" i="6"/>
  <c r="JI16" i="6" s="1"/>
  <c r="ZN27" i="6"/>
  <c r="BO24" i="6"/>
  <c r="QY6" i="6"/>
  <c r="QX6" i="6" s="1"/>
  <c r="FH19" i="6"/>
  <c r="HZ29" i="6"/>
  <c r="HY29" i="6" s="1"/>
  <c r="UI35" i="6"/>
  <c r="SI48" i="6"/>
  <c r="SH48" i="6" s="1"/>
  <c r="VJ55" i="6"/>
  <c r="AN62" i="6"/>
  <c r="EQ68" i="6"/>
  <c r="OE74" i="6"/>
  <c r="OD74" i="6" s="1"/>
  <c r="HZ19" i="6"/>
  <c r="HY19" i="6" s="1"/>
  <c r="AD18" i="6"/>
  <c r="AC18" i="6" s="1"/>
  <c r="YX43" i="6"/>
  <c r="YW43" i="6" s="1"/>
  <c r="ACV68" i="6"/>
  <c r="ACU68" i="6" s="1"/>
  <c r="FY13" i="6"/>
  <c r="OW24" i="6"/>
  <c r="OV24" i="6" s="1"/>
  <c r="QG30" i="6"/>
  <c r="QF30" i="6" s="1"/>
  <c r="KT38" i="6"/>
  <c r="KS38" i="6" s="1"/>
  <c r="UI44" i="6"/>
  <c r="CQ57" i="6"/>
  <c r="DZ64" i="6"/>
  <c r="CH70" i="6"/>
  <c r="OW76" i="6"/>
  <c r="OV76" i="6" s="1"/>
  <c r="OW117" i="6"/>
  <c r="OV117" i="6" s="1"/>
  <c r="CQ19" i="6"/>
  <c r="YX18" i="6"/>
  <c r="YW18" i="6" s="1"/>
  <c r="XZ43" i="6"/>
  <c r="AD69" i="6"/>
  <c r="AC69" i="6" s="1"/>
  <c r="LL28" i="6"/>
  <c r="LK28" i="6" s="1"/>
  <c r="FH35" i="6"/>
  <c r="RQ41" i="6"/>
  <c r="RP41" i="6" s="1"/>
  <c r="QY48" i="6"/>
  <c r="QX48" i="6" s="1"/>
  <c r="LL56" i="6"/>
  <c r="LK56" i="6" s="1"/>
  <c r="HG62" i="6"/>
  <c r="TS68" i="6"/>
  <c r="TR68" i="6" s="1"/>
  <c r="NL75" i="6"/>
  <c r="FH83" i="6"/>
  <c r="KB6" i="6"/>
  <c r="KA6" i="6" s="1"/>
  <c r="VY27" i="6"/>
  <c r="ABQ53" i="6"/>
  <c r="QY7" i="6"/>
  <c r="QX7" i="6" s="1"/>
  <c r="KT24" i="6"/>
  <c r="KS24" i="6" s="1"/>
  <c r="MD34" i="6"/>
  <c r="MC34" i="6" s="1"/>
  <c r="CZ42" i="6"/>
  <c r="CH48" i="6"/>
  <c r="OW54" i="6"/>
  <c r="OV54" i="6" s="1"/>
  <c r="NL60" i="6"/>
  <c r="IR75" i="6"/>
  <c r="IQ75" i="6" s="1"/>
  <c r="FY86" i="6"/>
  <c r="IR92" i="6"/>
  <c r="IQ92" i="6" s="1"/>
  <c r="TS98" i="6"/>
  <c r="TR98" i="6" s="1"/>
  <c r="KT105" i="6"/>
  <c r="KS105" i="6" s="1"/>
  <c r="VJ111" i="6"/>
  <c r="WH104" i="6"/>
  <c r="PO85" i="6"/>
  <c r="PN85" i="6" s="1"/>
  <c r="CZ92" i="6"/>
  <c r="CH98" i="6"/>
  <c r="OW104" i="6"/>
  <c r="OV104" i="6" s="1"/>
  <c r="QG110" i="6"/>
  <c r="QF110" i="6" s="1"/>
  <c r="AD81" i="6"/>
  <c r="AC81" i="6" s="1"/>
  <c r="VY106" i="6"/>
  <c r="PO90" i="6"/>
  <c r="PN90" i="6" s="1"/>
  <c r="UI97" i="6"/>
  <c r="TA103" i="6"/>
  <c r="SZ103" i="6" s="1"/>
  <c r="PO110" i="6"/>
  <c r="PN110" i="6" s="1"/>
  <c r="ACV78" i="6"/>
  <c r="ACU78" i="6" s="1"/>
  <c r="XZ104" i="6"/>
  <c r="WS85" i="6"/>
  <c r="ZN91" i="6"/>
  <c r="JJ98" i="6"/>
  <c r="JI98" i="6" s="1"/>
  <c r="DZ106" i="6"/>
  <c r="DI113" i="6"/>
  <c r="XD84" i="6"/>
  <c r="ABQ110" i="6"/>
  <c r="MD16" i="6"/>
  <c r="MC16" i="6" s="1"/>
  <c r="TS29" i="6"/>
  <c r="TR29" i="6" s="1"/>
  <c r="XZ21" i="6"/>
  <c r="AD47" i="6"/>
  <c r="AC47" i="6" s="1"/>
  <c r="VY72" i="6"/>
  <c r="UI17" i="6"/>
  <c r="KT29" i="6"/>
  <c r="KS29" i="6" s="1"/>
  <c r="VJ35" i="6"/>
  <c r="AN42" i="6"/>
  <c r="CQ48" i="6"/>
  <c r="DZ55" i="6"/>
  <c r="FH61" i="6"/>
  <c r="RQ67" i="6"/>
  <c r="RP67" i="6" s="1"/>
  <c r="QG73" i="6"/>
  <c r="QF73" i="6" s="1"/>
  <c r="EQ9" i="6"/>
  <c r="HG18" i="6"/>
  <c r="XD11" i="6"/>
  <c r="BO37" i="6"/>
  <c r="TS9" i="6"/>
  <c r="TR9" i="6" s="1"/>
  <c r="FY23" i="6"/>
  <c r="ZN29" i="6"/>
  <c r="JJ36" i="6"/>
  <c r="JI36" i="6" s="1"/>
  <c r="CZ44" i="6"/>
  <c r="CH50" i="6"/>
  <c r="OW56" i="6"/>
  <c r="OV56" i="6" s="1"/>
  <c r="QG62" i="6"/>
  <c r="QF62" i="6" s="1"/>
  <c r="KB69" i="6"/>
  <c r="KA69" i="6" s="1"/>
  <c r="WS75" i="6"/>
  <c r="CH117" i="6"/>
  <c r="BO12" i="6"/>
  <c r="WH37" i="6"/>
  <c r="XD62" i="6"/>
  <c r="TA13" i="6"/>
  <c r="SZ13" i="6" s="1"/>
  <c r="VJ25" i="6"/>
  <c r="UI41" i="6"/>
  <c r="NL55" i="6"/>
  <c r="IR62" i="6"/>
  <c r="IQ62" i="6" s="1"/>
  <c r="YK74" i="6"/>
  <c r="HZ83" i="6"/>
  <c r="HY83" i="6" s="1"/>
  <c r="CH17" i="6"/>
  <c r="WH8" i="6"/>
  <c r="ACV34" i="6"/>
  <c r="ACU34" i="6" s="1"/>
  <c r="XZ60" i="6"/>
  <c r="WS29" i="6"/>
  <c r="ZN35" i="6"/>
  <c r="ABA49" i="6"/>
  <c r="AAZ49" i="6" s="1"/>
  <c r="JJ62" i="6"/>
  <c r="JI62" i="6" s="1"/>
  <c r="HZ72" i="6"/>
  <c r="HY72" i="6" s="1"/>
  <c r="UI78" i="6"/>
  <c r="GP83" i="6"/>
  <c r="FY90" i="6"/>
  <c r="HG96" i="6"/>
  <c r="TS102" i="6"/>
  <c r="TR102" i="6" s="1"/>
  <c r="KT109" i="6"/>
  <c r="KS109" i="6" s="1"/>
  <c r="VJ115" i="6"/>
  <c r="XZ98" i="6"/>
  <c r="QY83" i="6"/>
  <c r="QX83" i="6" s="1"/>
  <c r="LL91" i="6"/>
  <c r="LK91" i="6" s="1"/>
  <c r="KB97" i="6"/>
  <c r="KA97" i="6" s="1"/>
  <c r="WS103" i="6"/>
  <c r="ZN109" i="6"/>
  <c r="JJ116" i="6"/>
  <c r="JI116" i="6" s="1"/>
  <c r="ABQ100" i="6"/>
  <c r="QG87" i="6"/>
  <c r="QF87" i="6" s="1"/>
  <c r="JJ109" i="6"/>
  <c r="JI109" i="6" s="1"/>
  <c r="XD75" i="6"/>
  <c r="ABQ101" i="6"/>
  <c r="DI85" i="6"/>
  <c r="HG91" i="6"/>
  <c r="TS97" i="6"/>
  <c r="TR97" i="6" s="1"/>
  <c r="NL104" i="6"/>
  <c r="HZ112" i="6"/>
  <c r="HY112" i="6" s="1"/>
  <c r="YX82" i="6"/>
  <c r="YW82" i="6" s="1"/>
  <c r="ACV107" i="6"/>
  <c r="ACU107" i="6" s="1"/>
  <c r="FY19" i="6"/>
  <c r="LL6" i="6"/>
  <c r="LK6" i="6" s="1"/>
  <c r="WH31" i="6"/>
  <c r="XD56" i="6"/>
  <c r="OE11" i="6"/>
  <c r="OD11" i="6" s="1"/>
  <c r="QG19" i="6"/>
  <c r="QF19" i="6" s="1"/>
  <c r="NL29" i="6"/>
  <c r="WS42" i="6"/>
  <c r="ZN48" i="6"/>
  <c r="GP55" i="6"/>
  <c r="FY62" i="6"/>
  <c r="IR68" i="6"/>
  <c r="IQ68" i="6" s="1"/>
  <c r="MD75" i="6"/>
  <c r="MC75" i="6" s="1"/>
  <c r="YK117" i="6"/>
  <c r="IR18" i="6"/>
  <c r="IQ18" i="6" s="1"/>
  <c r="VY15" i="6"/>
  <c r="ACV40" i="6"/>
  <c r="ACU40" i="6" s="1"/>
  <c r="XZ66" i="6"/>
  <c r="IR25" i="6"/>
  <c r="IQ25" i="6" s="1"/>
  <c r="YK37" i="6"/>
  <c r="XO44" i="6"/>
  <c r="DI51" i="6"/>
  <c r="HG57" i="6"/>
  <c r="QY63" i="6"/>
  <c r="QX63" i="6" s="1"/>
  <c r="FY71" i="6"/>
  <c r="IR77" i="6"/>
  <c r="IQ77" i="6" s="1"/>
  <c r="FH8" i="6"/>
  <c r="FH22" i="6"/>
  <c r="AD25" i="6"/>
  <c r="AC25" i="6" s="1"/>
  <c r="VY50" i="6"/>
  <c r="OE20" i="6"/>
  <c r="OD20" i="6" s="1"/>
  <c r="NL31" i="6"/>
  <c r="HZ39" i="6"/>
  <c r="HY39" i="6" s="1"/>
  <c r="UI45" i="6"/>
  <c r="TA51" i="6"/>
  <c r="SZ51" i="6" s="1"/>
  <c r="PO58" i="6"/>
  <c r="PN58" i="6" s="1"/>
  <c r="UI65" i="6"/>
  <c r="YK78" i="6"/>
  <c r="QG9" i="6"/>
  <c r="QF9" i="6" s="1"/>
  <c r="DI24" i="6"/>
  <c r="XZ18" i="6"/>
  <c r="WH70" i="6"/>
  <c r="GP22" i="6"/>
  <c r="HZ32" i="6"/>
  <c r="HY32" i="6" s="1"/>
  <c r="MD38" i="6"/>
  <c r="MC38" i="6" s="1"/>
  <c r="DZ46" i="6"/>
  <c r="FH52" i="6"/>
  <c r="RQ58" i="6"/>
  <c r="RP58" i="6" s="1"/>
  <c r="QY65" i="6"/>
  <c r="QX65" i="6" s="1"/>
  <c r="LL73" i="6"/>
  <c r="LK73" i="6" s="1"/>
  <c r="KB79" i="6"/>
  <c r="KA79" i="6" s="1"/>
  <c r="SI84" i="6"/>
  <c r="SH84" i="6" s="1"/>
  <c r="XO91" i="6"/>
  <c r="AN98" i="6"/>
  <c r="EQ104" i="6"/>
  <c r="GP111" i="6"/>
  <c r="ABQ79" i="6"/>
  <c r="BO105" i="6"/>
  <c r="CQ85" i="6"/>
  <c r="GP92" i="6"/>
  <c r="FY99" i="6"/>
  <c r="IR105" i="6"/>
  <c r="IQ105" i="6" s="1"/>
  <c r="VY78" i="6"/>
  <c r="YX104" i="6"/>
  <c r="YW104" i="6" s="1"/>
  <c r="TS88" i="6"/>
  <c r="TR88" i="6" s="1"/>
  <c r="NL95" i="6"/>
  <c r="IR102" i="6"/>
  <c r="IQ102" i="6" s="1"/>
  <c r="MD109" i="6"/>
  <c r="MC109" i="6" s="1"/>
  <c r="OE116" i="6"/>
  <c r="OD116" i="6" s="1"/>
  <c r="ACV98" i="6"/>
  <c r="ACU98" i="6" s="1"/>
  <c r="FY85" i="6"/>
  <c r="IR91" i="6"/>
  <c r="IQ91" i="6" s="1"/>
  <c r="YK103" i="6"/>
  <c r="ABQ82" i="6"/>
  <c r="BO108" i="6"/>
  <c r="YX12" i="6"/>
  <c r="YW12" i="6" s="1"/>
  <c r="YX38" i="6"/>
  <c r="YW38" i="6" s="1"/>
  <c r="ACV63" i="6"/>
  <c r="ACU63" i="6" s="1"/>
  <c r="ZN24" i="6"/>
  <c r="SI32" i="6"/>
  <c r="SH32" i="6" s="1"/>
  <c r="XO39" i="6"/>
  <c r="AN46" i="6"/>
  <c r="EQ52" i="6"/>
  <c r="GP59" i="6"/>
  <c r="FY66" i="6"/>
  <c r="HG72" i="6"/>
  <c r="TS78" i="6"/>
  <c r="TR78" i="6" s="1"/>
  <c r="QG11" i="6"/>
  <c r="QF11" i="6" s="1"/>
  <c r="HG24" i="6"/>
  <c r="WH28" i="6"/>
  <c r="XD53" i="6"/>
  <c r="PO6" i="6"/>
  <c r="PN6" i="6" s="1"/>
  <c r="WS17" i="6"/>
  <c r="ABA27" i="6"/>
  <c r="AAZ27" i="6" s="1"/>
  <c r="MD40" i="6"/>
  <c r="MC40" i="6" s="1"/>
  <c r="LL47" i="6"/>
  <c r="LK47" i="6" s="1"/>
  <c r="KB53" i="6"/>
  <c r="KA53" i="6" s="1"/>
  <c r="RQ60" i="6"/>
  <c r="RP60" i="6" s="1"/>
  <c r="QG66" i="6"/>
  <c r="QF66" i="6" s="1"/>
  <c r="ABA79" i="6"/>
  <c r="AAZ79" i="6" s="1"/>
  <c r="OW14" i="6"/>
  <c r="OV14" i="6" s="1"/>
  <c r="XD34" i="6"/>
  <c r="ABQ60" i="6"/>
  <c r="SI12" i="6"/>
  <c r="SH12" i="6" s="1"/>
  <c r="JJ33" i="6"/>
  <c r="JI33" i="6" s="1"/>
  <c r="HZ43" i="6"/>
  <c r="HY43" i="6" s="1"/>
  <c r="RQ49" i="6"/>
  <c r="RP49" i="6" s="1"/>
  <c r="CQ58" i="6"/>
  <c r="CZ65" i="6"/>
  <c r="CH71" i="6"/>
  <c r="OW77" i="6"/>
  <c r="OV77" i="6" s="1"/>
  <c r="OE84" i="6"/>
  <c r="OD84" i="6" s="1"/>
  <c r="GP19" i="6"/>
  <c r="WH12" i="6"/>
  <c r="ACV38" i="6"/>
  <c r="ACU38" i="6" s="1"/>
  <c r="XZ64" i="6"/>
  <c r="VJ16" i="6"/>
  <c r="GP30" i="6"/>
  <c r="OW38" i="6"/>
  <c r="OV38" i="6" s="1"/>
  <c r="KT48" i="6"/>
  <c r="KS48" i="6" s="1"/>
  <c r="VJ54" i="6"/>
  <c r="CQ67" i="6"/>
  <c r="PO75" i="6"/>
  <c r="PN75" i="6" s="1"/>
  <c r="CZ82" i="6"/>
  <c r="QY86" i="6"/>
  <c r="QX86" i="6" s="1"/>
  <c r="CZ95" i="6"/>
  <c r="CH101" i="6"/>
  <c r="CQ108" i="6"/>
  <c r="GP115" i="6"/>
  <c r="AD96" i="6"/>
  <c r="AC96" i="6" s="1"/>
  <c r="CQ89" i="6"/>
  <c r="GP96" i="6"/>
  <c r="FY103" i="6"/>
  <c r="IR109" i="6"/>
  <c r="IQ109" i="6" s="1"/>
  <c r="XD94" i="6"/>
  <c r="GP97" i="6"/>
  <c r="DI104" i="6"/>
  <c r="EQ110" i="6"/>
  <c r="QY116" i="6"/>
  <c r="QX116" i="6" s="1"/>
  <c r="BO99" i="6"/>
  <c r="LL85" i="6"/>
  <c r="LK85" i="6" s="1"/>
  <c r="FH92" i="6"/>
  <c r="RQ98" i="6"/>
  <c r="RP98" i="6" s="1"/>
  <c r="TA104" i="6"/>
  <c r="SZ104" i="6" s="1"/>
  <c r="SI111" i="6"/>
  <c r="SH111" i="6" s="1"/>
  <c r="AD83" i="6"/>
  <c r="AC83" i="6" s="1"/>
  <c r="VY108" i="6"/>
  <c r="LL15" i="6"/>
  <c r="LK15" i="6" s="1"/>
  <c r="SI8" i="6"/>
  <c r="SH8" i="6" s="1"/>
  <c r="HZ51" i="6"/>
  <c r="HY51" i="6" s="1"/>
  <c r="TA91" i="6"/>
  <c r="SZ91" i="6" s="1"/>
  <c r="KB71" i="6"/>
  <c r="KA71" i="6" s="1"/>
  <c r="LL69" i="6"/>
  <c r="LK69" i="6" s="1"/>
  <c r="XO8" i="6"/>
  <c r="CH24" i="6"/>
  <c r="ABQ12" i="6"/>
  <c r="ABQ38" i="6"/>
  <c r="BO64" i="6"/>
  <c r="OW9" i="6"/>
  <c r="OV9" i="6" s="1"/>
  <c r="MD31" i="6"/>
  <c r="MC31" i="6" s="1"/>
  <c r="OE38" i="6"/>
  <c r="OD38" i="6" s="1"/>
  <c r="DI46" i="6"/>
  <c r="ZN52" i="6"/>
  <c r="JJ59" i="6"/>
  <c r="JI59" i="6" s="1"/>
  <c r="DZ67" i="6"/>
  <c r="CH73" i="6"/>
  <c r="OW79" i="6"/>
  <c r="OV79" i="6" s="1"/>
  <c r="MD13" i="6"/>
  <c r="MC13" i="6" s="1"/>
  <c r="KB24" i="6"/>
  <c r="KA24" i="6" s="1"/>
  <c r="VY25" i="6"/>
  <c r="YX51" i="6"/>
  <c r="YW51" i="6" s="1"/>
  <c r="FY7" i="6"/>
  <c r="FH16" i="6"/>
  <c r="HZ26" i="6"/>
  <c r="HY26" i="6" s="1"/>
  <c r="UI32" i="6"/>
  <c r="SI45" i="6"/>
  <c r="SH45" i="6" s="1"/>
  <c r="XO52" i="6"/>
  <c r="DI59" i="6"/>
  <c r="EQ65" i="6"/>
  <c r="OE71" i="6"/>
  <c r="OD71" i="6" s="1"/>
  <c r="HZ78" i="6"/>
  <c r="HY78" i="6" s="1"/>
  <c r="UI10" i="6"/>
  <c r="AD29" i="6"/>
  <c r="AC29" i="6" s="1"/>
  <c r="VY54" i="6"/>
  <c r="DI10" i="6"/>
  <c r="CQ22" i="6"/>
  <c r="TA31" i="6"/>
  <c r="SZ31" i="6" s="1"/>
  <c r="SI38" i="6"/>
  <c r="SH38" i="6" s="1"/>
  <c r="XO45" i="6"/>
  <c r="AN52" i="6"/>
  <c r="EQ58" i="6"/>
  <c r="DZ65" i="6"/>
  <c r="FH71" i="6"/>
  <c r="RQ77" i="6"/>
  <c r="RP77" i="6" s="1"/>
  <c r="QG83" i="6"/>
  <c r="QF83" i="6" s="1"/>
  <c r="DI18" i="6"/>
  <c r="VY9" i="6"/>
  <c r="XD35" i="6"/>
  <c r="ABQ61" i="6"/>
  <c r="OE15" i="6"/>
  <c r="OD15" i="6" s="1"/>
  <c r="AN29" i="6"/>
  <c r="FH36" i="6"/>
  <c r="CQ43" i="6"/>
  <c r="GP50" i="6"/>
  <c r="FY57" i="6"/>
  <c r="HG63" i="6"/>
  <c r="TS69" i="6"/>
  <c r="TR69" i="6" s="1"/>
  <c r="NL76" i="6"/>
  <c r="CQ88" i="6"/>
  <c r="DZ95" i="6"/>
  <c r="FH101" i="6"/>
  <c r="OW107" i="6"/>
  <c r="OV107" i="6" s="1"/>
  <c r="QG113" i="6"/>
  <c r="QF113" i="6" s="1"/>
  <c r="XD89" i="6"/>
  <c r="ABQ115" i="6"/>
  <c r="YK93" i="6"/>
  <c r="PO101" i="6"/>
  <c r="PN101" i="6" s="1"/>
  <c r="CZ108" i="6"/>
  <c r="CH114" i="6"/>
  <c r="AD89" i="6"/>
  <c r="AC89" i="6" s="1"/>
  <c r="VY114" i="6"/>
  <c r="JJ97" i="6"/>
  <c r="JI97" i="6" s="1"/>
  <c r="CZ105" i="6"/>
  <c r="YX77" i="6"/>
  <c r="YW77" i="6" s="1"/>
  <c r="ACV102" i="6"/>
  <c r="ACU102" i="6" s="1"/>
  <c r="GP86" i="6"/>
  <c r="CZ94" i="6"/>
  <c r="CH100" i="6"/>
  <c r="OW106" i="6"/>
  <c r="OV106" i="6" s="1"/>
  <c r="QG112" i="6"/>
  <c r="QF112" i="6" s="1"/>
  <c r="ABQ86" i="6"/>
  <c r="BO112" i="6"/>
  <c r="KT18" i="6"/>
  <c r="KS18" i="6" s="1"/>
  <c r="BO117" i="6"/>
  <c r="XZ29" i="6"/>
  <c r="AD55" i="6"/>
  <c r="AC55" i="6" s="1"/>
  <c r="KB9" i="6"/>
  <c r="KA9" i="6" s="1"/>
  <c r="KB18" i="6"/>
  <c r="KA18" i="6" s="1"/>
  <c r="MD35" i="6"/>
  <c r="MC35" i="6" s="1"/>
  <c r="LL42" i="6"/>
  <c r="LK42" i="6" s="1"/>
  <c r="KB48" i="6"/>
  <c r="KA48" i="6" s="1"/>
  <c r="YK60" i="6"/>
  <c r="PO68" i="6"/>
  <c r="PN68" i="6" s="1"/>
  <c r="ABA74" i="6"/>
  <c r="AAZ74" i="6" s="1"/>
  <c r="AN11" i="6"/>
  <c r="RQ17" i="6"/>
  <c r="RP17" i="6" s="1"/>
  <c r="XD41" i="6"/>
  <c r="ABQ67" i="6"/>
  <c r="HG11" i="6"/>
  <c r="TA22" i="6"/>
  <c r="SZ22" i="6" s="1"/>
  <c r="HZ30" i="6"/>
  <c r="HY30" i="6" s="1"/>
  <c r="UI36" i="6"/>
  <c r="TS43" i="6"/>
  <c r="TR43" i="6" s="1"/>
  <c r="NL50" i="6"/>
  <c r="WS63" i="6"/>
  <c r="YK69" i="6"/>
  <c r="PO77" i="6"/>
  <c r="PN77" i="6" s="1"/>
  <c r="CQ7" i="6"/>
  <c r="CQ21" i="6"/>
  <c r="XD22" i="6"/>
  <c r="ABQ48" i="6"/>
  <c r="BO74" i="6"/>
  <c r="WS20" i="6"/>
  <c r="CQ38" i="6"/>
  <c r="GP45" i="6"/>
  <c r="ABA52" i="6"/>
  <c r="AAZ52" i="6" s="1"/>
  <c r="TA59" i="6"/>
  <c r="SZ59" i="6" s="1"/>
  <c r="KT67" i="6"/>
  <c r="KS67" i="6" s="1"/>
  <c r="VJ73" i="6"/>
  <c r="AN80" i="6"/>
  <c r="OE10" i="6"/>
  <c r="OD10" i="6" s="1"/>
  <c r="PO22" i="6"/>
  <c r="PN22" i="6" s="1"/>
  <c r="WH16" i="6"/>
  <c r="ACV42" i="6"/>
  <c r="ACU42" i="6" s="1"/>
  <c r="XZ68" i="6"/>
  <c r="LL19" i="6"/>
  <c r="LK19" i="6" s="1"/>
  <c r="CQ31" i="6"/>
  <c r="FY37" i="6"/>
  <c r="ZN43" i="6"/>
  <c r="JJ50" i="6"/>
  <c r="JI50" i="6" s="1"/>
  <c r="DZ58" i="6"/>
  <c r="CH64" i="6"/>
  <c r="OW70" i="6"/>
  <c r="OV70" i="6" s="1"/>
  <c r="QG76" i="6"/>
  <c r="QF76" i="6" s="1"/>
  <c r="AN82" i="6"/>
  <c r="EQ88" i="6"/>
  <c r="OE94" i="6"/>
  <c r="OD94" i="6" s="1"/>
  <c r="HZ101" i="6"/>
  <c r="HY101" i="6" s="1"/>
  <c r="RQ107" i="6"/>
  <c r="RP107" i="6" s="1"/>
  <c r="TA113" i="6"/>
  <c r="SZ113" i="6" s="1"/>
  <c r="YX87" i="6"/>
  <c r="YW87" i="6" s="1"/>
  <c r="ACV112" i="6"/>
  <c r="ACU112" i="6" s="1"/>
  <c r="AN87" i="6"/>
  <c r="EQ93" i="6"/>
  <c r="QY99" i="6"/>
  <c r="QX99" i="6" s="1"/>
  <c r="LL107" i="6"/>
  <c r="LK107" i="6" s="1"/>
  <c r="FH114" i="6"/>
  <c r="WH89" i="6"/>
  <c r="XD114" i="6"/>
  <c r="CH91" i="6"/>
  <c r="MD97" i="6"/>
  <c r="MC97" i="6" s="1"/>
  <c r="LL104" i="6"/>
  <c r="LK104" i="6" s="1"/>
  <c r="IR110" i="6"/>
  <c r="IQ110" i="6" s="1"/>
  <c r="XD99" i="6"/>
  <c r="KB99" i="6"/>
  <c r="KA99" i="6" s="1"/>
  <c r="WS105" i="6"/>
  <c r="ZN111" i="6"/>
  <c r="VY80" i="6"/>
  <c r="YX106" i="6"/>
  <c r="YW106" i="6" s="1"/>
  <c r="CZ16" i="6"/>
  <c r="WH23" i="6"/>
  <c r="XD48" i="6"/>
  <c r="ABQ74" i="6"/>
  <c r="YK14" i="6"/>
  <c r="ABA26" i="6"/>
  <c r="AAZ26" i="6" s="1"/>
  <c r="MD39" i="6"/>
  <c r="MC39" i="6" s="1"/>
  <c r="LL46" i="6"/>
  <c r="LK46" i="6" s="1"/>
  <c r="IR52" i="6"/>
  <c r="IQ52" i="6" s="1"/>
  <c r="YK64" i="6"/>
  <c r="ABA78" i="6"/>
  <c r="AAZ78" i="6" s="1"/>
  <c r="FY12" i="6"/>
  <c r="OW23" i="6"/>
  <c r="OV23" i="6" s="1"/>
  <c r="XZ26" i="6"/>
  <c r="AD52" i="6"/>
  <c r="AC52" i="6" s="1"/>
  <c r="JJ8" i="6"/>
  <c r="JI8" i="6" s="1"/>
  <c r="HG15" i="6"/>
  <c r="NL26" i="6"/>
  <c r="ABA39" i="6"/>
  <c r="AAZ39" i="6" s="1"/>
  <c r="ZN45" i="6"/>
  <c r="JJ52" i="6"/>
  <c r="JI52" i="6" s="1"/>
  <c r="DZ60" i="6"/>
  <c r="CH66" i="6"/>
  <c r="CQ73" i="6"/>
  <c r="GP80" i="6"/>
  <c r="AN17" i="6"/>
  <c r="YX14" i="6"/>
  <c r="YW14" i="6" s="1"/>
  <c r="XZ39" i="6"/>
  <c r="AD65" i="6"/>
  <c r="AC65" i="6" s="1"/>
  <c r="TS14" i="6"/>
  <c r="TR14" i="6" s="1"/>
  <c r="AN28" i="6"/>
  <c r="MD41" i="6"/>
  <c r="MC41" i="6" s="1"/>
  <c r="LL48" i="6"/>
  <c r="LK48" i="6" s="1"/>
  <c r="FH55" i="6"/>
  <c r="MD61" i="6"/>
  <c r="MC61" i="6" s="1"/>
  <c r="GP69" i="6"/>
  <c r="FY76" i="6"/>
  <c r="OE18" i="6"/>
  <c r="OD18" i="6" s="1"/>
  <c r="XZ10" i="6"/>
  <c r="WH62" i="6"/>
  <c r="TS15" i="6"/>
  <c r="TR15" i="6" s="1"/>
  <c r="OW30" i="6"/>
  <c r="OV30" i="6" s="1"/>
  <c r="CZ38" i="6"/>
  <c r="MD50" i="6"/>
  <c r="MC50" i="6" s="1"/>
  <c r="OE57" i="6"/>
  <c r="OD57" i="6" s="1"/>
  <c r="FH64" i="6"/>
  <c r="RQ70" i="6"/>
  <c r="RP70" i="6" s="1"/>
  <c r="TA76" i="6"/>
  <c r="SZ76" i="6" s="1"/>
  <c r="FH81" i="6"/>
  <c r="RQ87" i="6"/>
  <c r="RP87" i="6" s="1"/>
  <c r="TA93" i="6"/>
  <c r="SZ93" i="6" s="1"/>
  <c r="KT101" i="6"/>
  <c r="KS101" i="6" s="1"/>
  <c r="UI107" i="6"/>
  <c r="ABQ87" i="6"/>
  <c r="BO113" i="6"/>
  <c r="DI87" i="6"/>
  <c r="HG93" i="6"/>
  <c r="TS99" i="6"/>
  <c r="TR99" i="6" s="1"/>
  <c r="NL106" i="6"/>
  <c r="VY86" i="6"/>
  <c r="YX112" i="6"/>
  <c r="YW112" i="6" s="1"/>
  <c r="FH91" i="6"/>
  <c r="OW97" i="6"/>
  <c r="OV97" i="6" s="1"/>
  <c r="OE104" i="6"/>
  <c r="OD104" i="6" s="1"/>
  <c r="DI112" i="6"/>
  <c r="YX81" i="6"/>
  <c r="YW81" i="6" s="1"/>
  <c r="ACV106" i="6"/>
  <c r="ACU106" i="6" s="1"/>
  <c r="MD86" i="6"/>
  <c r="MC86" i="6" s="1"/>
  <c r="OE93" i="6"/>
  <c r="OD93" i="6" s="1"/>
  <c r="FY101" i="6"/>
  <c r="IR107" i="6"/>
  <c r="IQ107" i="6" s="1"/>
  <c r="WH87" i="6"/>
  <c r="XD112" i="6"/>
  <c r="TA18" i="6"/>
  <c r="SZ18" i="6" s="1"/>
  <c r="XZ7" i="6"/>
  <c r="XZ33" i="6"/>
  <c r="AD59" i="6"/>
  <c r="AC59" i="6" s="1"/>
  <c r="KB20" i="6"/>
  <c r="KA20" i="6" s="1"/>
  <c r="DI30" i="6"/>
  <c r="HG36" i="6"/>
  <c r="QY42" i="6"/>
  <c r="QX42" i="6" s="1"/>
  <c r="LL50" i="6"/>
  <c r="LK50" i="6" s="1"/>
  <c r="IR56" i="6"/>
  <c r="IQ56" i="6" s="1"/>
  <c r="YK68" i="6"/>
  <c r="XO75" i="6"/>
  <c r="CZ12" i="6"/>
  <c r="CH19" i="6"/>
  <c r="ABQ17" i="6"/>
  <c r="WH68" i="6"/>
  <c r="RQ10" i="6"/>
  <c r="RP10" i="6" s="1"/>
  <c r="SI21" i="6"/>
  <c r="SH21" i="6" s="1"/>
  <c r="SI29" i="6"/>
  <c r="SH29" i="6" s="1"/>
  <c r="XO36" i="6"/>
  <c r="AN43" i="6"/>
  <c r="EQ49" i="6"/>
  <c r="QY55" i="6"/>
  <c r="QX55" i="6" s="1"/>
  <c r="CZ64" i="6"/>
  <c r="MD76" i="6"/>
  <c r="MC76" i="6" s="1"/>
  <c r="KT6" i="6"/>
  <c r="KS6" i="6" s="1"/>
  <c r="DZ20" i="6"/>
  <c r="ABQ20" i="6"/>
  <c r="BO46" i="6"/>
  <c r="AN18" i="6"/>
  <c r="MD29" i="6"/>
  <c r="MC29" i="6" s="1"/>
  <c r="AN36" i="6"/>
  <c r="ZN42" i="6"/>
  <c r="PO50" i="6"/>
  <c r="PN50" i="6" s="1"/>
  <c r="VJ57" i="6"/>
  <c r="TS64" i="6"/>
  <c r="TR64" i="6" s="1"/>
  <c r="PO74" i="6"/>
  <c r="PN74" i="6" s="1"/>
  <c r="ABA80" i="6"/>
  <c r="AAZ80" i="6" s="1"/>
  <c r="UI15" i="6"/>
  <c r="WH30" i="6"/>
  <c r="XZ56" i="6"/>
  <c r="XO12" i="6"/>
  <c r="RQ30" i="6"/>
  <c r="RP30" i="6" s="1"/>
  <c r="DZ38" i="6"/>
  <c r="CH44" i="6"/>
  <c r="OW50" i="6"/>
  <c r="OV50" i="6" s="1"/>
  <c r="QG56" i="6"/>
  <c r="QF56" i="6" s="1"/>
  <c r="ABA69" i="6"/>
  <c r="AAZ69" i="6" s="1"/>
  <c r="MD82" i="6"/>
  <c r="MC82" i="6" s="1"/>
  <c r="ABA86" i="6"/>
  <c r="AAZ86" i="6" s="1"/>
  <c r="JJ99" i="6"/>
  <c r="JI99" i="6" s="1"/>
  <c r="CZ107" i="6"/>
  <c r="CH113" i="6"/>
  <c r="ACV84" i="6"/>
  <c r="ACU84" i="6" s="1"/>
  <c r="XZ110" i="6"/>
  <c r="HZ86" i="6"/>
  <c r="HY86" i="6" s="1"/>
  <c r="UI92" i="6"/>
  <c r="CQ105" i="6"/>
  <c r="GP112" i="6"/>
  <c r="WH109" i="6"/>
  <c r="WS96" i="6"/>
  <c r="QG103" i="6"/>
  <c r="QF103" i="6" s="1"/>
  <c r="ABA116" i="6"/>
  <c r="AAZ116" i="6" s="1"/>
  <c r="CQ91" i="6"/>
  <c r="GP98" i="6"/>
  <c r="CZ106" i="6"/>
  <c r="CH112" i="6"/>
  <c r="XZ81" i="6"/>
  <c r="AD107" i="6"/>
  <c r="AC107" i="6" s="1"/>
  <c r="PO17" i="6"/>
  <c r="PN17" i="6" s="1"/>
  <c r="FY29" i="6"/>
  <c r="WH27" i="6"/>
  <c r="XD52" i="6"/>
  <c r="YK20" i="6"/>
  <c r="FY30" i="6"/>
  <c r="IR36" i="6"/>
  <c r="IQ36" i="6" s="1"/>
  <c r="TS42" i="6"/>
  <c r="TR42" i="6" s="1"/>
  <c r="NL49" i="6"/>
  <c r="KB56" i="6"/>
  <c r="KA56" i="6" s="1"/>
  <c r="WS62" i="6"/>
  <c r="ZN68" i="6"/>
  <c r="GP75" i="6"/>
  <c r="CQ6" i="6"/>
  <c r="ACV20" i="6"/>
  <c r="ACU20" i="6" s="1"/>
  <c r="XZ46" i="6"/>
  <c r="AD72" i="6"/>
  <c r="AC72" i="6" s="1"/>
  <c r="RQ14" i="6"/>
  <c r="RP14" i="6" s="1"/>
  <c r="EQ25" i="6"/>
  <c r="QY31" i="6"/>
  <c r="QX31" i="6" s="1"/>
  <c r="LL39" i="6"/>
  <c r="LK39" i="6" s="1"/>
  <c r="IR45" i="6"/>
  <c r="IQ45" i="6" s="1"/>
  <c r="YK57" i="6"/>
  <c r="XO64" i="6"/>
  <c r="AN71" i="6"/>
  <c r="EQ77" i="6"/>
  <c r="OW6" i="6"/>
  <c r="OV6" i="6" s="1"/>
  <c r="JJ20" i="6"/>
  <c r="JI20" i="6" s="1"/>
  <c r="AD21" i="6"/>
  <c r="AC21" i="6" s="1"/>
  <c r="VY46" i="6"/>
  <c r="YX72" i="6"/>
  <c r="YW72" i="6" s="1"/>
  <c r="LL18" i="6"/>
  <c r="LK18" i="6" s="1"/>
  <c r="UI29" i="6"/>
  <c r="DI36" i="6"/>
  <c r="HG42" i="6"/>
  <c r="JJ49" i="6"/>
  <c r="JI49" i="6" s="1"/>
  <c r="DZ57" i="6"/>
  <c r="MD69" i="6"/>
  <c r="MC69" i="6" s="1"/>
  <c r="OE76" i="6"/>
  <c r="OD76" i="6" s="1"/>
  <c r="DI84" i="6"/>
  <c r="TS18" i="6"/>
  <c r="TR18" i="6" s="1"/>
  <c r="KB117" i="6"/>
  <c r="KA117" i="6" s="1"/>
  <c r="ACV30" i="6"/>
  <c r="ACU30" i="6" s="1"/>
  <c r="DI11" i="6"/>
  <c r="OW26" i="6"/>
  <c r="OV26" i="6" s="1"/>
  <c r="CQ35" i="6"/>
  <c r="VJ42" i="6"/>
  <c r="AN49" i="6"/>
  <c r="EQ55" i="6"/>
  <c r="OE61" i="6"/>
  <c r="OD61" i="6" s="1"/>
  <c r="FY69" i="6"/>
  <c r="CH76" i="6"/>
  <c r="OW82" i="6"/>
  <c r="OV82" i="6" s="1"/>
  <c r="CZ87" i="6"/>
  <c r="CH93" i="6"/>
  <c r="MD99" i="6"/>
  <c r="MC99" i="6" s="1"/>
  <c r="LL106" i="6"/>
  <c r="LK106" i="6" s="1"/>
  <c r="KB112" i="6"/>
  <c r="KA112" i="6" s="1"/>
  <c r="XD81" i="6"/>
  <c r="ABQ107" i="6"/>
  <c r="KT86" i="6"/>
  <c r="KS86" i="6" s="1"/>
  <c r="VJ92" i="6"/>
  <c r="AN99" i="6"/>
  <c r="EQ105" i="6"/>
  <c r="QY111" i="6"/>
  <c r="QX111" i="6" s="1"/>
  <c r="YX84" i="6"/>
  <c r="YW84" i="6" s="1"/>
  <c r="ACV109" i="6"/>
  <c r="ACU109" i="6" s="1"/>
  <c r="KT91" i="6"/>
  <c r="KS91" i="6" s="1"/>
  <c r="HG98" i="6"/>
  <c r="TS104" i="6"/>
  <c r="TR104" i="6" s="1"/>
  <c r="KT111" i="6"/>
  <c r="KS111" i="6" s="1"/>
  <c r="AD82" i="6"/>
  <c r="AC82" i="6" s="1"/>
  <c r="VY107" i="6"/>
  <c r="RQ86" i="6"/>
  <c r="RP86" i="6" s="1"/>
  <c r="TA92" i="6"/>
  <c r="SZ92" i="6" s="1"/>
  <c r="SI99" i="6"/>
  <c r="SH99" i="6" s="1"/>
  <c r="XO106" i="6"/>
  <c r="ABA113" i="6"/>
  <c r="AAZ113" i="6" s="1"/>
  <c r="BO88" i="6"/>
  <c r="SI17" i="6"/>
  <c r="SH17" i="6" s="1"/>
  <c r="IR6" i="6"/>
  <c r="IQ6" i="6" s="1"/>
  <c r="VY24" i="6"/>
  <c r="YX50" i="6"/>
  <c r="YW50" i="6" s="1"/>
  <c r="TS7" i="6"/>
  <c r="TR7" i="6" s="1"/>
  <c r="NL19" i="6"/>
  <c r="LL30" i="6"/>
  <c r="LK30" i="6" s="1"/>
  <c r="KB36" i="6"/>
  <c r="KA36" i="6" s="1"/>
  <c r="YK48" i="6"/>
  <c r="XO55" i="6"/>
  <c r="DI62" i="6"/>
  <c r="HG68" i="6"/>
  <c r="QY74" i="6"/>
  <c r="QX74" i="6" s="1"/>
  <c r="CQ117" i="6"/>
  <c r="KT19" i="6"/>
  <c r="KS19" i="6" s="1"/>
  <c r="BO15" i="6"/>
  <c r="WH40" i="6"/>
  <c r="XD65" i="6"/>
  <c r="ZN11" i="6"/>
  <c r="RQ24" i="6"/>
  <c r="RP24" i="6" s="1"/>
  <c r="TA30" i="6"/>
  <c r="SZ30" i="6" s="1"/>
  <c r="SI37" i="6"/>
  <c r="SH37" i="6" s="1"/>
  <c r="VJ44" i="6"/>
  <c r="AN51" i="6"/>
  <c r="EQ57" i="6"/>
  <c r="OE63" i="6"/>
  <c r="OD63" i="6" s="1"/>
  <c r="FH70" i="6"/>
  <c r="RQ76" i="6"/>
  <c r="RP76" i="6" s="1"/>
  <c r="QG10" i="6"/>
  <c r="QF10" i="6" s="1"/>
  <c r="EQ19" i="6"/>
  <c r="WH15" i="6"/>
  <c r="ABQ40" i="6"/>
  <c r="BO66" i="6"/>
  <c r="JJ15" i="6"/>
  <c r="JI15" i="6" s="1"/>
  <c r="HZ35" i="6"/>
  <c r="HY35" i="6" s="1"/>
  <c r="IR42" i="6"/>
  <c r="IQ42" i="6" s="1"/>
  <c r="MD49" i="6"/>
  <c r="MC49" i="6" s="1"/>
  <c r="OE56" i="6"/>
  <c r="OD56" i="6" s="1"/>
  <c r="CH63" i="6"/>
  <c r="OW69" i="6"/>
  <c r="OV69" i="6" s="1"/>
  <c r="QG75" i="6"/>
  <c r="QF75" i="6" s="1"/>
  <c r="FY84" i="6"/>
  <c r="WS18" i="6"/>
  <c r="ABQ11" i="6"/>
  <c r="AD38" i="6"/>
  <c r="AC38" i="6" s="1"/>
  <c r="VY63" i="6"/>
  <c r="DI15" i="6"/>
  <c r="VJ30" i="6"/>
  <c r="TA36" i="6"/>
  <c r="SZ36" i="6" s="1"/>
  <c r="HZ44" i="6"/>
  <c r="HY44" i="6" s="1"/>
  <c r="UI50" i="6"/>
  <c r="SI63" i="6"/>
  <c r="SH63" i="6" s="1"/>
  <c r="FY73" i="6"/>
  <c r="IR79" i="6"/>
  <c r="IQ79" i="6" s="1"/>
  <c r="PO84" i="6"/>
  <c r="PN84" i="6" s="1"/>
  <c r="CZ91" i="6"/>
  <c r="MD103" i="6"/>
  <c r="MC103" i="6" s="1"/>
  <c r="LL110" i="6"/>
  <c r="LK110" i="6" s="1"/>
  <c r="KB116" i="6"/>
  <c r="KA116" i="6" s="1"/>
  <c r="VY101" i="6"/>
  <c r="JJ84" i="6"/>
  <c r="JI84" i="6" s="1"/>
  <c r="DZ92" i="6"/>
  <c r="FH98" i="6"/>
  <c r="RQ104" i="6"/>
  <c r="RP104" i="6" s="1"/>
  <c r="TA110" i="6"/>
  <c r="SZ110" i="6" s="1"/>
  <c r="BO78" i="6"/>
  <c r="QY88" i="6"/>
  <c r="QX88" i="6" s="1"/>
  <c r="CZ97" i="6"/>
  <c r="SI110" i="6"/>
  <c r="SH110" i="6" s="1"/>
  <c r="BO79" i="6"/>
  <c r="ABA85" i="6"/>
  <c r="AAZ85" i="6" s="1"/>
  <c r="MD98" i="6"/>
  <c r="MC98" i="6" s="1"/>
  <c r="OE105" i="6"/>
  <c r="OD105" i="6" s="1"/>
  <c r="FY113" i="6"/>
  <c r="XZ85" i="6"/>
  <c r="AD111" i="6"/>
  <c r="AC111" i="6" s="1"/>
  <c r="DI21" i="6"/>
  <c r="ABQ8" i="6"/>
  <c r="ABQ34" i="6"/>
  <c r="BO60" i="6"/>
  <c r="NL7" i="6"/>
  <c r="KT21" i="6"/>
  <c r="KS21" i="6" s="1"/>
  <c r="OE30" i="6"/>
  <c r="OD30" i="6" s="1"/>
  <c r="HZ37" i="6"/>
  <c r="HY37" i="6" s="1"/>
  <c r="RQ43" i="6"/>
  <c r="RP43" i="6" s="1"/>
  <c r="TA49" i="6"/>
  <c r="SZ49" i="6" s="1"/>
  <c r="PO56" i="6"/>
  <c r="PN56" i="6" s="1"/>
  <c r="CZ63" i="6"/>
  <c r="CH69" i="6"/>
  <c r="CQ76" i="6"/>
  <c r="FY8" i="6"/>
  <c r="HG20" i="6"/>
  <c r="ACV18" i="6"/>
  <c r="ACU18" i="6" s="1"/>
  <c r="AD44" i="6"/>
  <c r="AC44" i="6" s="1"/>
  <c r="VY69" i="6"/>
  <c r="TS13" i="6"/>
  <c r="TR13" i="6" s="1"/>
  <c r="CH26" i="6"/>
  <c r="OW32" i="6"/>
  <c r="OV32" i="6" s="1"/>
  <c r="QG38" i="6"/>
  <c r="QF38" i="6" s="1"/>
  <c r="ABA51" i="6"/>
  <c r="AAZ51" i="6" s="1"/>
  <c r="JJ64" i="6"/>
  <c r="JI64" i="6" s="1"/>
  <c r="CZ72" i="6"/>
  <c r="CH78" i="6"/>
  <c r="JJ10" i="6"/>
  <c r="JI10" i="6" s="1"/>
  <c r="MD24" i="6"/>
  <c r="MC24" i="6" s="1"/>
  <c r="YX28" i="6"/>
  <c r="YW28" i="6" s="1"/>
  <c r="ACV53" i="6"/>
  <c r="ACU53" i="6" s="1"/>
  <c r="NL9" i="6"/>
  <c r="VJ21" i="6"/>
  <c r="OE32" i="6"/>
  <c r="OD32" i="6" s="1"/>
  <c r="FY40" i="6"/>
  <c r="IR46" i="6"/>
  <c r="IQ46" i="6" s="1"/>
  <c r="TS52" i="6"/>
  <c r="TR52" i="6" s="1"/>
  <c r="KT59" i="6"/>
  <c r="KS59" i="6" s="1"/>
  <c r="IR66" i="6"/>
  <c r="IQ66" i="6" s="1"/>
  <c r="QG79" i="6"/>
  <c r="QF79" i="6" s="1"/>
  <c r="MD11" i="6"/>
  <c r="MC11" i="6" s="1"/>
  <c r="UI25" i="6"/>
  <c r="AD22" i="6"/>
  <c r="AC22" i="6" s="1"/>
  <c r="XD47" i="6"/>
  <c r="ABQ73" i="6"/>
  <c r="KB23" i="6"/>
  <c r="KA23" i="6" s="1"/>
  <c r="FY33" i="6"/>
  <c r="CQ39" i="6"/>
  <c r="XO46" i="6"/>
  <c r="DI53" i="6"/>
  <c r="ZN59" i="6"/>
  <c r="JJ66" i="6"/>
  <c r="JI66" i="6" s="1"/>
  <c r="DZ74" i="6"/>
  <c r="FH80" i="6"/>
  <c r="NL85" i="6"/>
  <c r="WS98" i="6"/>
  <c r="YK104" i="6"/>
  <c r="PO112" i="6"/>
  <c r="PN112" i="6" s="1"/>
  <c r="WH108" i="6"/>
  <c r="YK85" i="6"/>
  <c r="PO93" i="6"/>
  <c r="PN93" i="6" s="1"/>
  <c r="CZ100" i="6"/>
  <c r="CH106" i="6"/>
  <c r="OW112" i="6"/>
  <c r="OV112" i="6" s="1"/>
  <c r="ACV81" i="6"/>
  <c r="ACU81" i="6" s="1"/>
  <c r="XZ107" i="6"/>
  <c r="MD89" i="6"/>
  <c r="MC89" i="6" s="1"/>
  <c r="LL96" i="6"/>
  <c r="LK96" i="6" s="1"/>
  <c r="CH103" i="6"/>
  <c r="CQ110" i="6"/>
  <c r="XZ76" i="6"/>
  <c r="AD102" i="6"/>
  <c r="AC102" i="6" s="1"/>
  <c r="CZ86" i="6"/>
  <c r="CH92" i="6"/>
  <c r="OW98" i="6"/>
  <c r="OV98" i="6" s="1"/>
  <c r="QG104" i="6"/>
  <c r="QF104" i="6" s="1"/>
  <c r="KT112" i="6"/>
  <c r="KS112" i="6" s="1"/>
  <c r="WH111" i="6"/>
  <c r="TS19" i="6"/>
  <c r="TR19" i="6" s="1"/>
  <c r="XZ15" i="6"/>
  <c r="XZ41" i="6"/>
  <c r="AD67" i="6"/>
  <c r="AC67" i="6" s="1"/>
  <c r="QY12" i="6"/>
  <c r="QX12" i="6" s="1"/>
  <c r="TA25" i="6"/>
  <c r="SZ25" i="6" s="1"/>
  <c r="NL33" i="6"/>
  <c r="WS46" i="6"/>
  <c r="YK52" i="6"/>
  <c r="PO60" i="6"/>
  <c r="PN60" i="6" s="1"/>
  <c r="CZ67" i="6"/>
  <c r="MD79" i="6"/>
  <c r="MC79" i="6" s="1"/>
  <c r="JJ13" i="6"/>
  <c r="JI13" i="6" s="1"/>
  <c r="WH6" i="6"/>
  <c r="ABQ31" i="6"/>
  <c r="BO57" i="6"/>
  <c r="HG7" i="6"/>
  <c r="KB19" i="6"/>
  <c r="KA19" i="6" s="1"/>
  <c r="UI28" i="6"/>
  <c r="CQ41" i="6"/>
  <c r="DZ48" i="6"/>
  <c r="FH54" i="6"/>
  <c r="HG61" i="6"/>
  <c r="QY67" i="6"/>
  <c r="QX67" i="6" s="1"/>
  <c r="HZ74" i="6"/>
  <c r="HY74" i="6" s="1"/>
  <c r="UI80" i="6"/>
  <c r="QG16" i="6"/>
  <c r="QF16" i="6" s="1"/>
  <c r="XD12" i="6"/>
  <c r="BO38" i="6"/>
  <c r="AN14" i="6"/>
  <c r="CQ26" i="6"/>
  <c r="SI34" i="6"/>
  <c r="SH34" i="6" s="1"/>
  <c r="FY44" i="6"/>
  <c r="HG50" i="6"/>
  <c r="SI58" i="6"/>
  <c r="SH58" i="6" s="1"/>
  <c r="VJ65" i="6"/>
  <c r="AN72" i="6"/>
  <c r="EQ78" i="6"/>
  <c r="GP85" i="6"/>
  <c r="ABQ15" i="6"/>
  <c r="AD42" i="6"/>
  <c r="AC42" i="6" s="1"/>
  <c r="VY67" i="6"/>
  <c r="NL18" i="6"/>
  <c r="PO31" i="6"/>
  <c r="PN31" i="6" s="1"/>
  <c r="EQ39" i="6"/>
  <c r="LL49" i="6"/>
  <c r="LK49" i="6" s="1"/>
  <c r="KB55" i="6"/>
  <c r="KA55" i="6" s="1"/>
  <c r="YK67" i="6"/>
  <c r="KT76" i="6"/>
  <c r="KS76" i="6" s="1"/>
  <c r="ZN80" i="6"/>
  <c r="JJ87" i="6"/>
  <c r="JI87" i="6" s="1"/>
  <c r="VJ95" i="6"/>
  <c r="AN102" i="6"/>
  <c r="YK108" i="6"/>
  <c r="PO116" i="6"/>
  <c r="PN116" i="6" s="1"/>
  <c r="YX99" i="6"/>
  <c r="YW99" i="6" s="1"/>
  <c r="YK89" i="6"/>
  <c r="PO97" i="6"/>
  <c r="PN97" i="6" s="1"/>
  <c r="CZ104" i="6"/>
  <c r="CH110" i="6"/>
  <c r="OW116" i="6"/>
  <c r="OV116" i="6" s="1"/>
  <c r="BO98" i="6"/>
  <c r="ABA104" i="6"/>
  <c r="AAZ104" i="6" s="1"/>
  <c r="ZN110" i="6"/>
  <c r="WH102" i="6"/>
  <c r="DZ86" i="6"/>
  <c r="DI93" i="6"/>
  <c r="HG99" i="6"/>
  <c r="TS105" i="6"/>
  <c r="TR105" i="6" s="1"/>
  <c r="NL112" i="6"/>
  <c r="YX86" i="6"/>
  <c r="YW86" i="6" s="1"/>
  <c r="ACV111" i="6"/>
  <c r="ACU111" i="6" s="1"/>
  <c r="HZ40" i="6"/>
  <c r="HY40" i="6" s="1"/>
  <c r="LL25" i="6"/>
  <c r="LK25" i="6" s="1"/>
  <c r="OE41" i="6"/>
  <c r="OD41" i="6" s="1"/>
  <c r="PO27" i="6"/>
  <c r="PN27" i="6" s="1"/>
  <c r="QY117" i="6"/>
  <c r="QX117" i="6" s="1"/>
  <c r="TS92" i="6"/>
  <c r="TR92" i="6" s="1"/>
  <c r="OE68" i="6"/>
  <c r="OD68" i="6" s="1"/>
  <c r="KT25" i="6"/>
  <c r="KS25" i="6" s="1"/>
  <c r="OW8" i="6"/>
  <c r="OV8" i="6" s="1"/>
  <c r="UI7" i="6"/>
  <c r="PO73" i="6"/>
  <c r="PN73" i="6" s="1"/>
  <c r="AN83" i="6"/>
  <c r="OW12" i="6"/>
  <c r="OV12" i="6" s="1"/>
  <c r="OE25" i="6"/>
  <c r="OD25" i="6" s="1"/>
  <c r="WH67" i="6"/>
  <c r="CH11" i="6"/>
  <c r="ACH25" i="6"/>
  <c r="CQ32" i="6"/>
  <c r="GP39" i="6"/>
  <c r="ABA46" i="6"/>
  <c r="AAZ46" i="6" s="1"/>
  <c r="TA53" i="6"/>
  <c r="SZ53" i="6" s="1"/>
  <c r="SI60" i="6"/>
  <c r="SH60" i="6" s="1"/>
  <c r="XO67" i="6"/>
  <c r="AN74" i="6"/>
  <c r="EQ80" i="6"/>
  <c r="SI14" i="6"/>
  <c r="SH14" i="6" s="1"/>
  <c r="ACV117" i="6"/>
  <c r="ACU117" i="6" s="1"/>
  <c r="ACV28" i="6"/>
  <c r="ACU28" i="6" s="1"/>
  <c r="XZ54" i="6"/>
  <c r="PO117" i="6"/>
  <c r="PN117" i="6" s="1"/>
  <c r="ABA17" i="6"/>
  <c r="AAZ17" i="6" s="1"/>
  <c r="FY27" i="6"/>
  <c r="IR33" i="6"/>
  <c r="IQ33" i="6" s="1"/>
  <c r="NL46" i="6"/>
  <c r="ABA59" i="6"/>
  <c r="AAZ59" i="6" s="1"/>
  <c r="ZN65" i="6"/>
  <c r="GP72" i="6"/>
  <c r="FY79" i="6"/>
  <c r="AD7" i="6"/>
  <c r="AC7" i="6" s="1"/>
  <c r="YX32" i="6"/>
  <c r="YW32" i="6" s="1"/>
  <c r="ACV57" i="6"/>
  <c r="ACU57" i="6" s="1"/>
  <c r="OW11" i="6"/>
  <c r="OV11" i="6" s="1"/>
  <c r="HZ23" i="6"/>
  <c r="HY23" i="6" s="1"/>
  <c r="TS32" i="6"/>
  <c r="TR32" i="6" s="1"/>
  <c r="NL39" i="6"/>
  <c r="WS52" i="6"/>
  <c r="YK58" i="6"/>
  <c r="XO65" i="6"/>
  <c r="DI72" i="6"/>
  <c r="HG78" i="6"/>
  <c r="QY84" i="6"/>
  <c r="QX84" i="6" s="1"/>
  <c r="MD19" i="6"/>
  <c r="MC19" i="6" s="1"/>
  <c r="ACV12" i="6"/>
  <c r="ACU12" i="6" s="1"/>
  <c r="BO39" i="6"/>
  <c r="XO16" i="6"/>
  <c r="JJ30" i="6"/>
  <c r="JI30" i="6" s="1"/>
  <c r="DI37" i="6"/>
  <c r="YK43" i="6"/>
  <c r="PO51" i="6"/>
  <c r="PN51" i="6" s="1"/>
  <c r="CZ58" i="6"/>
  <c r="MD70" i="6"/>
  <c r="MC70" i="6" s="1"/>
  <c r="OE77" i="6"/>
  <c r="OD77" i="6" s="1"/>
  <c r="YK88" i="6"/>
  <c r="XO95" i="6"/>
  <c r="DI102" i="6"/>
  <c r="EQ108" i="6"/>
  <c r="QY114" i="6"/>
  <c r="QX114" i="6" s="1"/>
  <c r="BO93" i="6"/>
  <c r="CH82" i="6"/>
  <c r="OW88" i="6"/>
  <c r="OV88" i="6" s="1"/>
  <c r="QG94" i="6"/>
  <c r="QF94" i="6" s="1"/>
  <c r="KT102" i="6"/>
  <c r="KS102" i="6" s="1"/>
  <c r="VJ108" i="6"/>
  <c r="AN115" i="6"/>
  <c r="YX92" i="6"/>
  <c r="YW92" i="6" s="1"/>
  <c r="UI85" i="6"/>
  <c r="PO98" i="6"/>
  <c r="PN98" i="6" s="1"/>
  <c r="VJ105" i="6"/>
  <c r="ACH111" i="6"/>
  <c r="XZ80" i="6"/>
  <c r="AD106" i="6"/>
  <c r="AC106" i="6" s="1"/>
  <c r="PO87" i="6"/>
  <c r="PN87" i="6" s="1"/>
  <c r="VJ94" i="6"/>
  <c r="AN101" i="6"/>
  <c r="EQ107" i="6"/>
  <c r="QY113" i="6"/>
  <c r="QX113" i="6" s="1"/>
  <c r="WH115" i="6"/>
  <c r="XO117" i="6"/>
  <c r="VY32" i="6"/>
  <c r="YX58" i="6"/>
  <c r="YW58" i="6" s="1"/>
  <c r="ZN117" i="6"/>
  <c r="CQ20" i="6"/>
  <c r="CQ36" i="6"/>
  <c r="DZ43" i="6"/>
  <c r="FH49" i="6"/>
  <c r="OW55" i="6"/>
  <c r="OV55" i="6" s="1"/>
  <c r="QG61" i="6"/>
  <c r="QF61" i="6" s="1"/>
  <c r="KT69" i="6"/>
  <c r="KS69" i="6" s="1"/>
  <c r="UI75" i="6"/>
  <c r="KT7" i="6"/>
  <c r="KS7" i="6" s="1"/>
  <c r="ZN18" i="6"/>
  <c r="XD19" i="6"/>
  <c r="BO45" i="6"/>
  <c r="QG12" i="6"/>
  <c r="QF12" i="6" s="1"/>
  <c r="ABA23" i="6"/>
  <c r="AAZ23" i="6" s="1"/>
  <c r="FY31" i="6"/>
  <c r="IR37" i="6"/>
  <c r="IQ37" i="6" s="1"/>
  <c r="MD44" i="6"/>
  <c r="MC44" i="6" s="1"/>
  <c r="OE51" i="6"/>
  <c r="OD51" i="6" s="1"/>
  <c r="HZ58" i="6"/>
  <c r="HY58" i="6" s="1"/>
  <c r="RQ64" i="6"/>
  <c r="RP64" i="6" s="1"/>
  <c r="QG70" i="6"/>
  <c r="QF70" i="6" s="1"/>
  <c r="KT78" i="6"/>
  <c r="KS78" i="6" s="1"/>
  <c r="OE23" i="6"/>
  <c r="OD23" i="6" s="1"/>
  <c r="BO26" i="6"/>
  <c r="KB8" i="6"/>
  <c r="KA8" i="6" s="1"/>
  <c r="EQ22" i="6"/>
  <c r="YK38" i="6"/>
  <c r="PO46" i="6"/>
  <c r="PN46" i="6" s="1"/>
  <c r="UI53" i="6"/>
  <c r="QY60" i="6"/>
  <c r="QX60" i="6" s="1"/>
  <c r="LL68" i="6"/>
  <c r="LK68" i="6" s="1"/>
  <c r="KB74" i="6"/>
  <c r="KA74" i="6" s="1"/>
  <c r="XO11" i="6"/>
  <c r="TS24" i="6"/>
  <c r="TR24" i="6" s="1"/>
  <c r="ABQ19" i="6"/>
  <c r="AD46" i="6"/>
  <c r="AC46" i="6" s="1"/>
  <c r="VY71" i="6"/>
  <c r="YK31" i="6"/>
  <c r="ABA37" i="6"/>
  <c r="AAZ37" i="6" s="1"/>
  <c r="TA44" i="6"/>
  <c r="SZ44" i="6" s="1"/>
  <c r="SI51" i="6"/>
  <c r="SH51" i="6" s="1"/>
  <c r="XO58" i="6"/>
  <c r="AN65" i="6"/>
  <c r="EQ71" i="6"/>
  <c r="QY77" i="6"/>
  <c r="QX77" i="6" s="1"/>
  <c r="WS82" i="6"/>
  <c r="ZN88" i="6"/>
  <c r="GP95" i="6"/>
  <c r="FY102" i="6"/>
  <c r="HG108" i="6"/>
  <c r="TS114" i="6"/>
  <c r="TR114" i="6" s="1"/>
  <c r="XZ90" i="6"/>
  <c r="AD116" i="6"/>
  <c r="AC116" i="6" s="1"/>
  <c r="WS87" i="6"/>
  <c r="ZN93" i="6"/>
  <c r="JJ100" i="6"/>
  <c r="JI100" i="6" s="1"/>
  <c r="DZ108" i="6"/>
  <c r="DI115" i="6"/>
  <c r="ABQ92" i="6"/>
  <c r="VJ85" i="6"/>
  <c r="AN92" i="6"/>
  <c r="CQ98" i="6"/>
  <c r="DZ105" i="6"/>
  <c r="CH111" i="6"/>
  <c r="ABQ77" i="6"/>
  <c r="BO103" i="6"/>
  <c r="QY85" i="6"/>
  <c r="QX85" i="6" s="1"/>
  <c r="LL93" i="6"/>
  <c r="LK93" i="6" s="1"/>
  <c r="FH100" i="6"/>
  <c r="RQ106" i="6"/>
  <c r="RP106" i="6" s="1"/>
  <c r="TA112" i="6"/>
  <c r="SZ112" i="6" s="1"/>
  <c r="ACV83" i="6"/>
  <c r="ACU83" i="6" s="1"/>
  <c r="XZ109" i="6"/>
  <c r="IR17" i="6"/>
  <c r="IQ17" i="6" s="1"/>
  <c r="TA28" i="6"/>
  <c r="SZ28" i="6" s="1"/>
  <c r="ABQ26" i="6"/>
  <c r="BO52" i="6"/>
  <c r="ABA16" i="6"/>
  <c r="AAZ16" i="6" s="1"/>
  <c r="UI27" i="6"/>
  <c r="CQ40" i="6"/>
  <c r="DZ47" i="6"/>
  <c r="CH53" i="6"/>
  <c r="OW59" i="6"/>
  <c r="OV59" i="6" s="1"/>
  <c r="QG65" i="6"/>
  <c r="QF65" i="6" s="1"/>
  <c r="HZ73" i="6"/>
  <c r="HY73" i="6" s="1"/>
  <c r="UI79" i="6"/>
  <c r="RQ13" i="6"/>
  <c r="RP13" i="6" s="1"/>
  <c r="PO24" i="6"/>
  <c r="PN24" i="6" s="1"/>
  <c r="VY29" i="6"/>
  <c r="YX55" i="6"/>
  <c r="YW55" i="6" s="1"/>
  <c r="CZ6" i="6"/>
  <c r="NL16" i="6"/>
  <c r="OE27" i="6"/>
  <c r="OD27" i="6" s="1"/>
  <c r="HZ34" i="6"/>
  <c r="HY34" i="6" s="1"/>
  <c r="UI40" i="6"/>
  <c r="TA46" i="6"/>
  <c r="SZ46" i="6" s="1"/>
  <c r="SI53" i="6"/>
  <c r="SH53" i="6" s="1"/>
  <c r="XO60" i="6"/>
  <c r="AN67" i="6"/>
  <c r="YK73" i="6"/>
  <c r="PO81" i="6"/>
  <c r="PN81" i="6" s="1"/>
  <c r="VJ18" i="6"/>
  <c r="XZ17" i="6"/>
  <c r="VY42" i="6"/>
  <c r="YX68" i="6"/>
  <c r="YW68" i="6" s="1"/>
  <c r="GP29" i="6"/>
  <c r="CQ42" i="6"/>
  <c r="DZ49" i="6"/>
  <c r="DI56" i="6"/>
  <c r="CQ62" i="6"/>
  <c r="PO70" i="6"/>
  <c r="PN70" i="6" s="1"/>
  <c r="CZ77" i="6"/>
  <c r="JJ21" i="6"/>
  <c r="JI21" i="6" s="1"/>
  <c r="VY13" i="6"/>
  <c r="XD39" i="6"/>
  <c r="ABQ65" i="6"/>
  <c r="EQ17" i="6"/>
  <c r="EQ31" i="6"/>
  <c r="VJ38" i="6"/>
  <c r="CQ51" i="6"/>
  <c r="GP58" i="6"/>
  <c r="DI65" i="6"/>
  <c r="HG71" i="6"/>
  <c r="TS77" i="6"/>
  <c r="TR77" i="6" s="1"/>
  <c r="DI82" i="6"/>
  <c r="HG88" i="6"/>
  <c r="QY94" i="6"/>
  <c r="QX94" i="6" s="1"/>
  <c r="LL102" i="6"/>
  <c r="LK102" i="6" s="1"/>
  <c r="IR108" i="6"/>
  <c r="IQ108" i="6" s="1"/>
  <c r="WH116" i="6"/>
  <c r="ABA87" i="6"/>
  <c r="AAZ87" i="6" s="1"/>
  <c r="MD100" i="6"/>
  <c r="MC100" i="6" s="1"/>
  <c r="OE107" i="6"/>
  <c r="OD107" i="6" s="1"/>
  <c r="HZ114" i="6"/>
  <c r="HY114" i="6" s="1"/>
  <c r="ACV89" i="6"/>
  <c r="ACU89" i="6" s="1"/>
  <c r="XZ115" i="6"/>
  <c r="DI92" i="6"/>
  <c r="EQ98" i="6"/>
  <c r="GP105" i="6"/>
  <c r="ABA112" i="6"/>
  <c r="AAZ112" i="6" s="1"/>
  <c r="XZ84" i="6"/>
  <c r="AD110" i="6"/>
  <c r="AC110" i="6" s="1"/>
  <c r="CQ87" i="6"/>
  <c r="GP94" i="6"/>
  <c r="CZ102" i="6"/>
  <c r="CH108" i="6"/>
  <c r="OW114" i="6"/>
  <c r="OV114" i="6" s="1"/>
  <c r="ABQ90" i="6"/>
  <c r="BO116" i="6"/>
  <c r="NL20" i="6"/>
  <c r="VY10" i="6"/>
  <c r="VY36" i="6"/>
  <c r="YX62" i="6"/>
  <c r="YW62" i="6" s="1"/>
  <c r="ABA30" i="6"/>
  <c r="AAZ30" i="6" s="1"/>
  <c r="JJ43" i="6"/>
  <c r="JI43" i="6" s="1"/>
  <c r="DZ51" i="6"/>
  <c r="CH57" i="6"/>
  <c r="OW63" i="6"/>
  <c r="OV63" i="6" s="1"/>
  <c r="QG69" i="6"/>
  <c r="QF69" i="6" s="1"/>
  <c r="TA7" i="6"/>
  <c r="SZ7" i="6" s="1"/>
  <c r="ZN20" i="6"/>
  <c r="WH20" i="6"/>
  <c r="XD45" i="6"/>
  <c r="ABQ71" i="6"/>
  <c r="AN23" i="6"/>
  <c r="NL30" i="6"/>
  <c r="WS43" i="6"/>
  <c r="ZN49" i="6"/>
  <c r="JJ56" i="6"/>
  <c r="JI56" i="6" s="1"/>
  <c r="VJ64" i="6"/>
  <c r="CQ77" i="6"/>
  <c r="KB7" i="6"/>
  <c r="KA7" i="6" s="1"/>
  <c r="KB21" i="6"/>
  <c r="KA21" i="6" s="1"/>
  <c r="WH49" i="6"/>
  <c r="XD74" i="6"/>
  <c r="VJ19" i="6"/>
  <c r="KB30" i="6"/>
  <c r="KA30" i="6" s="1"/>
  <c r="WS36" i="6"/>
  <c r="TA43" i="6"/>
  <c r="SZ43" i="6" s="1"/>
  <c r="KT51" i="6"/>
  <c r="KS51" i="6" s="1"/>
  <c r="IR58" i="6"/>
  <c r="IQ58" i="6" s="1"/>
  <c r="MD65" i="6"/>
  <c r="MC65" i="6" s="1"/>
  <c r="KT75" i="6"/>
  <c r="KS75" i="6" s="1"/>
  <c r="UI81" i="6"/>
  <c r="YK16" i="6"/>
  <c r="ABQ7" i="6"/>
  <c r="ABQ33" i="6"/>
  <c r="VY59" i="6"/>
  <c r="HG31" i="6"/>
  <c r="XO38" i="6"/>
  <c r="AN45" i="6"/>
  <c r="EQ51" i="6"/>
  <c r="QY57" i="6"/>
  <c r="QX57" i="6" s="1"/>
  <c r="HZ64" i="6"/>
  <c r="HY64" i="6" s="1"/>
  <c r="UI70" i="6"/>
  <c r="HZ81" i="6"/>
  <c r="HY81" i="6" s="1"/>
  <c r="UI87" i="6"/>
  <c r="SI100" i="6"/>
  <c r="SH100" i="6" s="1"/>
  <c r="VJ107" i="6"/>
  <c r="AN114" i="6"/>
  <c r="AD88" i="6"/>
  <c r="AC88" i="6" s="1"/>
  <c r="VY113" i="6"/>
  <c r="FY87" i="6"/>
  <c r="IR93" i="6"/>
  <c r="IQ93" i="6" s="1"/>
  <c r="YK105" i="6"/>
  <c r="PO113" i="6"/>
  <c r="PN113" i="6" s="1"/>
  <c r="XD86" i="6"/>
  <c r="ABQ112" i="6"/>
  <c r="HZ91" i="6"/>
  <c r="HY91" i="6" s="1"/>
  <c r="RQ97" i="6"/>
  <c r="RP97" i="6" s="1"/>
  <c r="QY104" i="6"/>
  <c r="QX104" i="6" s="1"/>
  <c r="HZ111" i="6"/>
  <c r="HY111" i="6" s="1"/>
  <c r="WH78" i="6"/>
  <c r="XD103" i="6"/>
  <c r="YK91" i="6"/>
  <c r="PO99" i="6"/>
  <c r="PN99" i="6" s="1"/>
  <c r="VJ106" i="6"/>
  <c r="AN113" i="6"/>
  <c r="VY84" i="6"/>
  <c r="YX110" i="6"/>
  <c r="YW110" i="6" s="1"/>
  <c r="EQ6" i="6"/>
  <c r="ABQ30" i="6"/>
  <c r="BO56" i="6"/>
  <c r="CH7" i="6"/>
  <c r="ABA22" i="6"/>
  <c r="AAZ22" i="6" s="1"/>
  <c r="CZ31" i="6"/>
  <c r="CH37" i="6"/>
  <c r="MD43" i="6"/>
  <c r="MC43" i="6" s="1"/>
  <c r="OE50" i="6"/>
  <c r="OD50" i="6" s="1"/>
  <c r="FH57" i="6"/>
  <c r="RQ63" i="6"/>
  <c r="RP63" i="6" s="1"/>
  <c r="TA69" i="6"/>
  <c r="SZ69" i="6" s="1"/>
  <c r="PO76" i="6"/>
  <c r="PN76" i="6" s="1"/>
  <c r="FY22" i="6"/>
  <c r="AD24" i="6"/>
  <c r="AC24" i="6" s="1"/>
  <c r="VY49" i="6"/>
  <c r="PO9" i="6"/>
  <c r="PN9" i="6" s="1"/>
  <c r="PO15" i="6"/>
  <c r="PN15" i="6" s="1"/>
  <c r="ZN25" i="6"/>
  <c r="JJ32" i="6"/>
  <c r="JI32" i="6" s="1"/>
  <c r="DZ40" i="6"/>
  <c r="CH46" i="6"/>
  <c r="OW52" i="6"/>
  <c r="OV52" i="6" s="1"/>
  <c r="QG58" i="6"/>
  <c r="QF58" i="6" s="1"/>
  <c r="WS71" i="6"/>
  <c r="ZN77" i="6"/>
  <c r="PO7" i="6"/>
  <c r="PN7" i="6" s="1"/>
  <c r="PO21" i="6"/>
  <c r="PN21" i="6" s="1"/>
  <c r="YX24" i="6"/>
  <c r="YW24" i="6" s="1"/>
  <c r="ACV49" i="6"/>
  <c r="ACU49" i="6" s="1"/>
  <c r="DI117" i="6"/>
  <c r="XO19" i="6"/>
  <c r="ABA36" i="6"/>
  <c r="AAZ36" i="6" s="1"/>
  <c r="SI50" i="6"/>
  <c r="SH50" i="6" s="1"/>
  <c r="XO57" i="6"/>
  <c r="CQ70" i="6"/>
  <c r="GP77" i="6"/>
  <c r="ABA84" i="6"/>
  <c r="AAZ84" i="6" s="1"/>
  <c r="DI20" i="6"/>
  <c r="AD8" i="6"/>
  <c r="AC8" i="6" s="1"/>
  <c r="WH34" i="6"/>
  <c r="XD59" i="6"/>
  <c r="AN15" i="6"/>
  <c r="YK27" i="6"/>
  <c r="YK35" i="6"/>
  <c r="KB43" i="6"/>
  <c r="KA43" i="6" s="1"/>
  <c r="WS49" i="6"/>
  <c r="ZN55" i="6"/>
  <c r="GP62" i="6"/>
  <c r="CZ70" i="6"/>
  <c r="AN77" i="6"/>
  <c r="KT81" i="6"/>
  <c r="KS81" i="6" s="1"/>
  <c r="VJ87" i="6"/>
  <c r="AN94" i="6"/>
  <c r="CQ100" i="6"/>
  <c r="DZ107" i="6"/>
  <c r="FH113" i="6"/>
  <c r="BO85" i="6"/>
  <c r="LL87" i="6"/>
  <c r="LK87" i="6" s="1"/>
  <c r="KB93" i="6"/>
  <c r="KA93" i="6" s="1"/>
  <c r="WS99" i="6"/>
  <c r="ZN105" i="6"/>
  <c r="JJ112" i="6"/>
  <c r="JI112" i="6" s="1"/>
  <c r="XZ87" i="6"/>
  <c r="AD113" i="6"/>
  <c r="AC113" i="6" s="1"/>
  <c r="LL92" i="6"/>
  <c r="LK92" i="6" s="1"/>
  <c r="MD105" i="6"/>
  <c r="MC105" i="6" s="1"/>
  <c r="LL112" i="6"/>
  <c r="LK112" i="6" s="1"/>
  <c r="YX85" i="6"/>
  <c r="YW85" i="6" s="1"/>
  <c r="ACV110" i="6"/>
  <c r="ACU110" i="6" s="1"/>
  <c r="HG87" i="6"/>
  <c r="TS93" i="6"/>
  <c r="TR93" i="6" s="1"/>
  <c r="NL100" i="6"/>
  <c r="HZ108" i="6"/>
  <c r="HY108" i="6" s="1"/>
  <c r="UI114" i="6"/>
  <c r="WH91" i="6"/>
  <c r="XD116" i="6"/>
  <c r="AN19" i="6"/>
  <c r="IR117" i="6"/>
  <c r="IQ117" i="6" s="1"/>
  <c r="ACV27" i="6"/>
  <c r="ACU27" i="6" s="1"/>
  <c r="XZ53" i="6"/>
  <c r="FY11" i="6"/>
  <c r="FH21" i="6"/>
  <c r="DZ31" i="6"/>
  <c r="FH37" i="6"/>
  <c r="OW43" i="6"/>
  <c r="OV43" i="6" s="1"/>
  <c r="QG49" i="6"/>
  <c r="QF49" i="6" s="1"/>
  <c r="ABA62" i="6"/>
  <c r="AAZ62" i="6" s="1"/>
  <c r="JJ75" i="6"/>
  <c r="JI75" i="6" s="1"/>
  <c r="AN8" i="6"/>
  <c r="CH21" i="6"/>
  <c r="WH18" i="6"/>
  <c r="ABQ43" i="6"/>
  <c r="BO69" i="6"/>
  <c r="LL13" i="6"/>
  <c r="LK13" i="6" s="1"/>
  <c r="HG25" i="6"/>
  <c r="TS31" i="6"/>
  <c r="TR31" i="6" s="1"/>
  <c r="NL38" i="6"/>
  <c r="KB45" i="6"/>
  <c r="KA45" i="6" s="1"/>
  <c r="WS51" i="6"/>
  <c r="ZN57" i="6"/>
  <c r="GP64" i="6"/>
  <c r="DI71" i="6"/>
  <c r="HG77" i="6"/>
  <c r="UI6" i="6"/>
  <c r="OW20" i="6"/>
  <c r="OV20" i="6" s="1"/>
  <c r="ABQ18" i="6"/>
  <c r="WH69" i="6"/>
  <c r="ZN16" i="6"/>
  <c r="QY28" i="6"/>
  <c r="QX28" i="6" s="1"/>
  <c r="FY36" i="6"/>
  <c r="CH43" i="6"/>
  <c r="CQ50" i="6"/>
  <c r="GP57" i="6"/>
  <c r="AN64" i="6"/>
  <c r="EQ70" i="6"/>
  <c r="QY76" i="6"/>
  <c r="QX76" i="6" s="1"/>
  <c r="CZ85" i="6"/>
  <c r="FY20" i="6"/>
  <c r="YX41" i="6"/>
  <c r="YW41" i="6" s="1"/>
  <c r="ACV66" i="6"/>
  <c r="ACU66" i="6" s="1"/>
  <c r="OW16" i="6"/>
  <c r="OV16" i="6" s="1"/>
  <c r="KB31" i="6"/>
  <c r="KA31" i="6" s="1"/>
  <c r="QY37" i="6"/>
  <c r="QX37" i="6" s="1"/>
  <c r="FY45" i="6"/>
  <c r="IR51" i="6"/>
  <c r="IQ51" i="6" s="1"/>
  <c r="NL64" i="6"/>
  <c r="CZ74" i="6"/>
  <c r="CH80" i="6"/>
  <c r="KT85" i="6"/>
  <c r="KS85" i="6" s="1"/>
  <c r="VJ91" i="6"/>
  <c r="CQ104" i="6"/>
  <c r="DZ111" i="6"/>
  <c r="AD76" i="6"/>
  <c r="AC76" i="6" s="1"/>
  <c r="ACV104" i="6"/>
  <c r="ACU104" i="6" s="1"/>
  <c r="SI85" i="6"/>
  <c r="SH85" i="6" s="1"/>
  <c r="XO92" i="6"/>
  <c r="DI99" i="6"/>
  <c r="HG105" i="6"/>
  <c r="TS111" i="6"/>
  <c r="TR111" i="6" s="1"/>
  <c r="WH81" i="6"/>
  <c r="XD106" i="6"/>
  <c r="JJ89" i="6"/>
  <c r="JI89" i="6" s="1"/>
  <c r="VJ97" i="6"/>
  <c r="NL111" i="6"/>
  <c r="WH82" i="6"/>
  <c r="XD107" i="6"/>
  <c r="UI86" i="6"/>
  <c r="CQ99" i="6"/>
  <c r="GP106" i="6"/>
  <c r="CZ114" i="6"/>
  <c r="VY88" i="6"/>
  <c r="YX114" i="6"/>
  <c r="YW114" i="6" s="1"/>
  <c r="JJ22" i="6"/>
  <c r="JI22" i="6" s="1"/>
  <c r="WH63" i="6"/>
  <c r="JJ9" i="6"/>
  <c r="JI9" i="6" s="1"/>
  <c r="MD23" i="6"/>
  <c r="MC23" i="6" s="1"/>
  <c r="GP31" i="6"/>
  <c r="FY38" i="6"/>
  <c r="HG44" i="6"/>
  <c r="TS50" i="6"/>
  <c r="TR50" i="6" s="1"/>
  <c r="KT57" i="6"/>
  <c r="KS57" i="6" s="1"/>
  <c r="VJ63" i="6"/>
  <c r="AN70" i="6"/>
  <c r="YK76" i="6"/>
  <c r="CQ10" i="6"/>
  <c r="HZ21" i="6"/>
  <c r="HY21" i="6" s="1"/>
  <c r="VY21" i="6"/>
  <c r="YX47" i="6"/>
  <c r="YW47" i="6" s="1"/>
  <c r="ACV72" i="6"/>
  <c r="ACU72" i="6" s="1"/>
  <c r="XO14" i="6"/>
  <c r="AN27" i="6"/>
  <c r="EQ33" i="6"/>
  <c r="QY39" i="6"/>
  <c r="QX39" i="6" s="1"/>
  <c r="HZ46" i="6"/>
  <c r="HY46" i="6" s="1"/>
  <c r="UI52" i="6"/>
  <c r="SI65" i="6"/>
  <c r="SH65" i="6" s="1"/>
  <c r="VJ72" i="6"/>
  <c r="AN79" i="6"/>
  <c r="KT12" i="6"/>
  <c r="KS12" i="6" s="1"/>
  <c r="ABQ6" i="6"/>
  <c r="XZ31" i="6"/>
  <c r="AD57" i="6"/>
  <c r="AC57" i="6" s="1"/>
  <c r="DZ11" i="6"/>
  <c r="GP33" i="6"/>
  <c r="CZ41" i="6"/>
  <c r="CH47" i="6"/>
  <c r="MD53" i="6"/>
  <c r="MC53" i="6" s="1"/>
  <c r="CZ61" i="6"/>
  <c r="CH67" i="6"/>
  <c r="EQ74" i="6"/>
  <c r="OE80" i="6"/>
  <c r="OD80" i="6" s="1"/>
  <c r="PO12" i="6"/>
  <c r="PN12" i="6" s="1"/>
  <c r="KT27" i="6"/>
  <c r="KS27" i="6" s="1"/>
  <c r="YX25" i="6"/>
  <c r="YW25" i="6" s="1"/>
  <c r="BO51" i="6"/>
  <c r="GP8" i="6"/>
  <c r="TS25" i="6"/>
  <c r="TR25" i="6" s="1"/>
  <c r="ABA33" i="6"/>
  <c r="AAZ33" i="6" s="1"/>
  <c r="SI39" i="6"/>
  <c r="SH39" i="6" s="1"/>
  <c r="ABA53" i="6"/>
  <c r="AAZ53" i="6" s="1"/>
  <c r="TA60" i="6"/>
  <c r="SZ60" i="6" s="1"/>
  <c r="SI67" i="6"/>
  <c r="SH67" i="6" s="1"/>
  <c r="XO74" i="6"/>
  <c r="DI81" i="6"/>
  <c r="OE86" i="6"/>
  <c r="OD86" i="6" s="1"/>
  <c r="HZ93" i="6"/>
  <c r="HY93" i="6" s="1"/>
  <c r="RQ99" i="6"/>
  <c r="RP99" i="6" s="1"/>
  <c r="QG105" i="6"/>
  <c r="QF105" i="6" s="1"/>
  <c r="KT113" i="6"/>
  <c r="KS113" i="6" s="1"/>
  <c r="XD85" i="6"/>
  <c r="ABQ111" i="6"/>
  <c r="QG86" i="6"/>
  <c r="QF86" i="6" s="1"/>
  <c r="KT94" i="6"/>
  <c r="KS94" i="6" s="1"/>
  <c r="VJ100" i="6"/>
  <c r="AN107" i="6"/>
  <c r="EQ113" i="6"/>
  <c r="AD85" i="6"/>
  <c r="AC85" i="6" s="1"/>
  <c r="VY110" i="6"/>
  <c r="CQ90" i="6"/>
  <c r="DZ97" i="6"/>
  <c r="AN104" i="6"/>
  <c r="YK110" i="6"/>
  <c r="VY79" i="6"/>
  <c r="YX105" i="6"/>
  <c r="YW105" i="6" s="1"/>
  <c r="VJ86" i="6"/>
  <c r="AN93" i="6"/>
  <c r="EQ99" i="6"/>
  <c r="QY105" i="6"/>
  <c r="QX105" i="6" s="1"/>
  <c r="LL113" i="6"/>
  <c r="LK113" i="6" s="1"/>
  <c r="XD88" i="6"/>
  <c r="ABQ114" i="6"/>
  <c r="FY21" i="6"/>
  <c r="VY18" i="6"/>
  <c r="VY44" i="6"/>
  <c r="YX70" i="6"/>
  <c r="YW70" i="6" s="1"/>
  <c r="KB14" i="6"/>
  <c r="KA14" i="6" s="1"/>
  <c r="TS26" i="6"/>
  <c r="TR26" i="6" s="1"/>
  <c r="OE34" i="6"/>
  <c r="OD34" i="6" s="1"/>
  <c r="HZ41" i="6"/>
  <c r="HY41" i="6" s="1"/>
  <c r="RQ47" i="6"/>
  <c r="RP47" i="6" s="1"/>
  <c r="QG53" i="6"/>
  <c r="QF53" i="6" s="1"/>
  <c r="KT61" i="6"/>
  <c r="KS61" i="6" s="1"/>
  <c r="VJ67" i="6"/>
  <c r="CQ80" i="6"/>
  <c r="IR14" i="6"/>
  <c r="IQ14" i="6" s="1"/>
  <c r="ABQ9" i="6"/>
  <c r="WH60" i="6"/>
  <c r="QG8" i="6"/>
  <c r="QF8" i="6" s="1"/>
  <c r="HZ22" i="6"/>
  <c r="HY22" i="6" s="1"/>
  <c r="IR29" i="6"/>
  <c r="IQ29" i="6" s="1"/>
  <c r="SI41" i="6"/>
  <c r="SH41" i="6" s="1"/>
  <c r="XO48" i="6"/>
  <c r="DI55" i="6"/>
  <c r="JJ68" i="6"/>
  <c r="JI68" i="6" s="1"/>
  <c r="FY75" i="6"/>
  <c r="IR81" i="6"/>
  <c r="IQ81" i="6" s="1"/>
  <c r="JJ18" i="6"/>
  <c r="JI18" i="6" s="1"/>
  <c r="BO16" i="6"/>
  <c r="WH41" i="6"/>
  <c r="XD66" i="6"/>
  <c r="RQ15" i="6"/>
  <c r="RP15" i="6" s="1"/>
  <c r="HZ27" i="6"/>
  <c r="HY27" i="6" s="1"/>
  <c r="NL35" i="6"/>
  <c r="CZ45" i="6"/>
  <c r="NL59" i="6"/>
  <c r="KB66" i="6"/>
  <c r="KA66" i="6" s="1"/>
  <c r="WS72" i="6"/>
  <c r="ZN78" i="6"/>
  <c r="HG22" i="6"/>
  <c r="YX45" i="6"/>
  <c r="YW45" i="6" s="1"/>
  <c r="ACV70" i="6"/>
  <c r="ACU70" i="6" s="1"/>
  <c r="HZ20" i="6"/>
  <c r="HY20" i="6" s="1"/>
  <c r="KT32" i="6"/>
  <c r="KS32" i="6" s="1"/>
  <c r="YK39" i="6"/>
  <c r="DZ50" i="6"/>
  <c r="FH56" i="6"/>
  <c r="OW62" i="6"/>
  <c r="OV62" i="6" s="1"/>
  <c r="QG68" i="6"/>
  <c r="QF68" i="6" s="1"/>
  <c r="LL77" i="6"/>
  <c r="LK77" i="6" s="1"/>
  <c r="TA81" i="6"/>
  <c r="SZ81" i="6" s="1"/>
  <c r="SI88" i="6"/>
  <c r="SH88" i="6" s="1"/>
  <c r="KB96" i="6"/>
  <c r="KA96" i="6" s="1"/>
  <c r="WS102" i="6"/>
  <c r="QG109" i="6"/>
  <c r="QF109" i="6" s="1"/>
  <c r="ACV76" i="6"/>
  <c r="ACU76" i="6" s="1"/>
  <c r="XZ102" i="6"/>
  <c r="OW84" i="6"/>
  <c r="OV84" i="6" s="1"/>
  <c r="QG90" i="6"/>
  <c r="QF90" i="6" s="1"/>
  <c r="KT98" i="6"/>
  <c r="KS98" i="6" s="1"/>
  <c r="VJ104" i="6"/>
  <c r="AN111" i="6"/>
  <c r="WH101" i="6"/>
  <c r="HZ99" i="6"/>
  <c r="HY99" i="6" s="1"/>
  <c r="UI105" i="6"/>
  <c r="TA111" i="6"/>
  <c r="SZ111" i="6" s="1"/>
  <c r="XD79" i="6"/>
  <c r="ABQ105" i="6"/>
  <c r="XO86" i="6"/>
  <c r="ABA93" i="6"/>
  <c r="AAZ93" i="6" s="1"/>
  <c r="MD106" i="6"/>
  <c r="MC106" i="6" s="1"/>
  <c r="OE113" i="6"/>
  <c r="OD113" i="6" s="1"/>
  <c r="XZ89" i="6"/>
  <c r="AD115" i="6"/>
  <c r="AC115" i="6" s="1"/>
  <c r="KB13" i="6"/>
  <c r="KA13" i="6" s="1"/>
  <c r="CZ7" i="6"/>
  <c r="PO13" i="6"/>
  <c r="PN13" i="6" s="1"/>
  <c r="TS33" i="6"/>
  <c r="TR33" i="6" s="1"/>
  <c r="HG8" i="6"/>
  <c r="MD93" i="6"/>
  <c r="MC93" i="6" s="1"/>
  <c r="OW45" i="6"/>
  <c r="OV45" i="6" s="1"/>
  <c r="PO23" i="6"/>
  <c r="PN23" i="6" s="1"/>
  <c r="ZN8" i="6"/>
  <c r="AAX119" i="6"/>
  <c r="B30" i="4"/>
  <c r="D231" i="4"/>
  <c r="B231" i="4" s="1"/>
  <c r="D243" i="4"/>
  <c r="B243" i="4" s="1"/>
  <c r="D242" i="4"/>
  <c r="B242" i="4" s="1"/>
  <c r="D244" i="4"/>
  <c r="B244" i="4" s="1"/>
  <c r="D241" i="4"/>
  <c r="B241" i="4" s="1"/>
  <c r="D291" i="4"/>
  <c r="B291" i="4" s="1"/>
  <c r="D293" i="4"/>
  <c r="B293" i="4" s="1"/>
  <c r="D233" i="4"/>
  <c r="B233" i="4" s="1"/>
  <c r="D232" i="4"/>
  <c r="B232" i="4" s="1"/>
  <c r="D292" i="4"/>
  <c r="B292" i="4" s="1"/>
  <c r="D294" i="4"/>
  <c r="B294" i="4" s="1"/>
  <c r="B18" i="4"/>
  <c r="D284" i="4"/>
  <c r="B284" i="4" s="1"/>
  <c r="D288" i="4"/>
  <c r="B288" i="4" s="1"/>
  <c r="D286" i="4"/>
  <c r="B286" i="4" s="1"/>
  <c r="D287" i="4"/>
  <c r="B287" i="4" s="1"/>
  <c r="D285" i="4"/>
  <c r="B285" i="4" s="1"/>
  <c r="D225" i="4"/>
  <c r="B225" i="4" s="1"/>
  <c r="B24" i="4"/>
  <c r="D227" i="4"/>
  <c r="B227" i="4" s="1"/>
  <c r="D224" i="4"/>
  <c r="B224" i="4" s="1"/>
  <c r="B21" i="4"/>
  <c r="B32" i="4"/>
  <c r="D226" i="4"/>
  <c r="B226" i="4" s="1"/>
  <c r="B25" i="4"/>
  <c r="B20" i="4"/>
  <c r="B19" i="4"/>
  <c r="B22" i="4"/>
  <c r="B23" i="4"/>
  <c r="B26" i="4"/>
  <c r="B31" i="4"/>
  <c r="B33" i="4"/>
  <c r="B34" i="4"/>
  <c r="ACH73" i="6" l="1"/>
  <c r="ACH79" i="6"/>
  <c r="ACH97" i="6"/>
  <c r="ACH28" i="6"/>
  <c r="ACH9" i="6"/>
  <c r="ACH20" i="6"/>
  <c r="ACH114" i="6"/>
  <c r="ACH41" i="6"/>
  <c r="ACH43" i="6"/>
  <c r="ACH64" i="6"/>
  <c r="ACH74" i="6"/>
  <c r="ACH44" i="6"/>
  <c r="ACH54" i="6"/>
  <c r="ACH86" i="6"/>
  <c r="ACH85" i="6"/>
  <c r="ACH81" i="6"/>
  <c r="ACH45" i="6"/>
  <c r="ACH98" i="6"/>
  <c r="ACH68" i="6"/>
  <c r="ACH16" i="6"/>
  <c r="ACH94" i="6"/>
  <c r="ACH75" i="6"/>
  <c r="ACH107" i="6"/>
  <c r="ACH35" i="6"/>
  <c r="ACH6" i="6"/>
  <c r="ACH29" i="6"/>
  <c r="ACH12" i="6"/>
  <c r="ACH10" i="6"/>
  <c r="ACH113" i="6"/>
  <c r="ACH96" i="6"/>
  <c r="ACH36" i="6"/>
  <c r="ACH102" i="6"/>
  <c r="ACH39" i="6"/>
  <c r="ACH40" i="6"/>
  <c r="ACH23" i="6"/>
  <c r="ACH106" i="6"/>
  <c r="ACH72" i="6"/>
  <c r="ACH103" i="6"/>
  <c r="ACH47" i="6"/>
  <c r="ACH30" i="6"/>
  <c r="ACH55" i="6"/>
  <c r="ACH32" i="6"/>
  <c r="ACH11" i="6"/>
  <c r="ACH15" i="6"/>
  <c r="ACH7" i="6"/>
  <c r="ACH83" i="6"/>
  <c r="ACH91" i="6"/>
  <c r="ACH87" i="6"/>
  <c r="ACH56" i="6"/>
  <c r="ACH80" i="6"/>
  <c r="ACH49" i="6"/>
  <c r="ACH101" i="6"/>
  <c r="ACH66" i="6"/>
  <c r="ACH13" i="6"/>
  <c r="ACH37" i="6"/>
  <c r="ACH108" i="6"/>
  <c r="ACH112" i="6"/>
  <c r="ACH53" i="6"/>
  <c r="ACH58" i="6"/>
  <c r="ACH63" i="6"/>
  <c r="ACH50" i="6"/>
  <c r="ACH104" i="6"/>
  <c r="ACH77" i="6"/>
  <c r="ACH19" i="6"/>
  <c r="ACH90" i="6"/>
  <c r="ACH99" i="6"/>
  <c r="ACH84" i="6"/>
  <c r="ACH82" i="6"/>
  <c r="ACH61" i="6"/>
  <c r="ACH115" i="6"/>
  <c r="ACH110" i="6"/>
  <c r="ACH59" i="6"/>
  <c r="ACH100" i="6"/>
  <c r="ACH69" i="6"/>
  <c r="ACH76" i="6"/>
  <c r="ACH14" i="6"/>
  <c r="ACH57" i="6"/>
  <c r="ACH109" i="6"/>
  <c r="ACH51" i="6"/>
  <c r="ACH48" i="6"/>
  <c r="ACH95" i="6"/>
  <c r="ACH46" i="6"/>
  <c r="ACH42" i="6"/>
  <c r="ACH92" i="6"/>
  <c r="ACH18" i="6"/>
  <c r="ACH93" i="6"/>
  <c r="ACH17" i="6"/>
  <c r="ACH8" i="6"/>
  <c r="ACH71" i="6"/>
  <c r="ACH70" i="6"/>
  <c r="ACH33" i="6"/>
  <c r="ACH31" i="6"/>
  <c r="ACH34" i="6"/>
  <c r="ACH38" i="6"/>
  <c r="ACH60" i="6"/>
  <c r="ACH21" i="6"/>
  <c r="ACH67" i="6"/>
  <c r="ACH116" i="6"/>
  <c r="ACH105" i="6"/>
  <c r="ACH52" i="6"/>
  <c r="ACH89" i="6"/>
  <c r="P17" i="6"/>
  <c r="P10" i="6"/>
  <c r="D45" i="6"/>
  <c r="P115" i="6"/>
  <c r="D10" i="6"/>
  <c r="P34" i="6"/>
  <c r="D77" i="6"/>
  <c r="P22" i="6"/>
  <c r="D42" i="6"/>
  <c r="P91" i="6"/>
  <c r="D107" i="6"/>
  <c r="P7" i="6"/>
  <c r="P38" i="6"/>
  <c r="P61" i="6"/>
  <c r="P72" i="6"/>
  <c r="P100" i="6"/>
  <c r="D60" i="6"/>
  <c r="P102" i="6"/>
  <c r="D63" i="6"/>
  <c r="D103" i="6"/>
  <c r="D111" i="6"/>
  <c r="P12" i="6"/>
  <c r="P84" i="6"/>
  <c r="P14" i="6"/>
  <c r="P79" i="6"/>
  <c r="P64" i="6"/>
  <c r="P43" i="6"/>
  <c r="D52" i="6"/>
  <c r="P20" i="6"/>
  <c r="D16" i="6"/>
  <c r="P73" i="6"/>
  <c r="D114" i="6"/>
  <c r="D84" i="6"/>
  <c r="P6" i="6"/>
  <c r="D37" i="6"/>
  <c r="D117" i="6"/>
  <c r="P11" i="6"/>
  <c r="P56" i="6"/>
  <c r="D46" i="6"/>
  <c r="D112" i="6"/>
  <c r="D87" i="6"/>
  <c r="D19" i="6"/>
  <c r="D44" i="6"/>
  <c r="D83" i="6"/>
  <c r="P70" i="6"/>
  <c r="P31" i="6"/>
  <c r="P25" i="6"/>
  <c r="D32" i="6"/>
  <c r="P71" i="6"/>
  <c r="D6" i="6"/>
  <c r="P75" i="6"/>
  <c r="P36" i="6"/>
  <c r="P8" i="6"/>
  <c r="D76" i="6"/>
  <c r="D90" i="6"/>
  <c r="P92" i="6"/>
  <c r="D104" i="6"/>
  <c r="P35" i="6"/>
  <c r="P87" i="6"/>
  <c r="D110" i="6"/>
  <c r="D97" i="6"/>
  <c r="P28" i="6"/>
  <c r="P41" i="6"/>
  <c r="P117" i="6"/>
  <c r="P51" i="6"/>
  <c r="P37" i="6"/>
  <c r="P94" i="6"/>
  <c r="D101" i="6"/>
  <c r="P93" i="6"/>
  <c r="D72" i="6"/>
  <c r="D43" i="6"/>
  <c r="P44" i="6"/>
  <c r="P83" i="6"/>
  <c r="D17" i="6"/>
  <c r="P98" i="6"/>
  <c r="D18" i="6"/>
  <c r="D39" i="6"/>
  <c r="D9" i="6"/>
  <c r="P50" i="6"/>
  <c r="D40" i="6"/>
  <c r="P57" i="6"/>
  <c r="P80" i="6"/>
  <c r="D73" i="6"/>
  <c r="P62" i="6"/>
  <c r="D35" i="6"/>
  <c r="D64" i="6"/>
  <c r="P58" i="6"/>
  <c r="D105" i="6"/>
  <c r="P63" i="6"/>
  <c r="P21" i="6"/>
  <c r="P33" i="6"/>
  <c r="P29" i="6"/>
  <c r="P111" i="6"/>
  <c r="P18" i="6"/>
  <c r="P82" i="6"/>
  <c r="P53" i="6"/>
  <c r="P104" i="6"/>
  <c r="D89" i="6"/>
  <c r="P108" i="6"/>
  <c r="D81" i="6"/>
  <c r="P99" i="6"/>
  <c r="P23" i="6"/>
  <c r="D38" i="6"/>
  <c r="P69" i="6"/>
  <c r="D65" i="6"/>
  <c r="D86" i="6"/>
  <c r="P97" i="6"/>
  <c r="P27" i="6"/>
  <c r="D57" i="6"/>
  <c r="P103" i="6"/>
  <c r="P113" i="6"/>
  <c r="P81" i="6"/>
  <c r="P16" i="6"/>
  <c r="D82" i="6"/>
  <c r="P112" i="6"/>
  <c r="D68" i="6"/>
  <c r="D15" i="6"/>
  <c r="D12" i="6"/>
  <c r="D24" i="6"/>
  <c r="D91" i="6"/>
  <c r="D71" i="6"/>
  <c r="P76" i="6"/>
  <c r="D79" i="6"/>
  <c r="D50" i="6"/>
  <c r="D20" i="6"/>
  <c r="D92" i="6"/>
  <c r="P60" i="6"/>
  <c r="D51" i="6"/>
  <c r="D54" i="6"/>
  <c r="P47" i="6"/>
  <c r="D99" i="6"/>
  <c r="D23" i="6"/>
  <c r="D30" i="6"/>
  <c r="P86" i="6"/>
  <c r="P114" i="6"/>
  <c r="P26" i="6"/>
  <c r="D48" i="6"/>
  <c r="D106" i="6"/>
  <c r="P96" i="6"/>
  <c r="P116" i="6"/>
  <c r="P68" i="6"/>
  <c r="D14" i="6"/>
  <c r="P77" i="6"/>
  <c r="D62" i="6"/>
  <c r="D113" i="6"/>
  <c r="D49" i="6"/>
  <c r="P55" i="6"/>
  <c r="P107" i="6"/>
  <c r="D85" i="6"/>
  <c r="D109" i="6"/>
  <c r="P24" i="6"/>
  <c r="D116" i="6"/>
  <c r="D78" i="6"/>
  <c r="D80" i="6"/>
  <c r="D33" i="6"/>
  <c r="P54" i="6"/>
  <c r="D98" i="6"/>
  <c r="D47" i="6"/>
  <c r="P88" i="6"/>
  <c r="D34" i="6"/>
  <c r="D11" i="6"/>
  <c r="D75" i="6"/>
  <c r="P109" i="6"/>
  <c r="D7" i="6"/>
  <c r="P105" i="6"/>
  <c r="D61" i="6"/>
  <c r="D95" i="6"/>
  <c r="P40" i="6"/>
  <c r="P13" i="6"/>
  <c r="D55" i="6"/>
  <c r="D56" i="6"/>
  <c r="D27" i="6"/>
  <c r="D13" i="6"/>
  <c r="D8" i="6"/>
  <c r="P15" i="6"/>
  <c r="P110" i="6"/>
  <c r="P19" i="6"/>
  <c r="D29" i="6"/>
  <c r="D28" i="6"/>
  <c r="P46" i="6"/>
  <c r="P85" i="6"/>
  <c r="D108" i="6"/>
  <c r="D67" i="6"/>
  <c r="D70" i="6"/>
  <c r="D74" i="6"/>
  <c r="P106" i="6"/>
  <c r="D102" i="6"/>
  <c r="P67" i="6"/>
  <c r="D31" i="6"/>
  <c r="D100" i="6"/>
  <c r="D21" i="6"/>
  <c r="P59" i="6"/>
  <c r="P74" i="6"/>
  <c r="D66" i="6"/>
  <c r="P90" i="6"/>
  <c r="D36" i="6"/>
  <c r="P49" i="6"/>
  <c r="P101" i="6"/>
  <c r="D41" i="6"/>
  <c r="D115" i="6"/>
  <c r="P9" i="6"/>
  <c r="D94" i="6"/>
  <c r="P89" i="6"/>
  <c r="D96" i="6"/>
  <c r="D93" i="6"/>
  <c r="D59" i="6"/>
  <c r="D53" i="6"/>
  <c r="D25" i="6"/>
  <c r="P52" i="6"/>
  <c r="D26" i="6"/>
  <c r="D88" i="6"/>
  <c r="P42" i="6"/>
  <c r="P66" i="6"/>
  <c r="P32" i="6"/>
  <c r="D69" i="6"/>
  <c r="D58" i="6"/>
  <c r="P30" i="6"/>
  <c r="P48" i="6"/>
  <c r="P95" i="6"/>
  <c r="D22" i="6"/>
  <c r="P39" i="6"/>
  <c r="P65" i="6"/>
  <c r="P45" i="6"/>
  <c r="P78" i="6"/>
  <c r="UR78" i="6"/>
  <c r="UR38" i="6"/>
  <c r="UR75" i="6"/>
  <c r="UR52" i="6"/>
  <c r="UR6" i="6"/>
  <c r="UR90" i="6"/>
  <c r="UR99" i="6"/>
  <c r="UR93" i="6"/>
  <c r="UR98" i="6"/>
  <c r="UR18" i="6"/>
  <c r="UR103" i="6"/>
  <c r="UR88" i="6"/>
  <c r="UR35" i="6"/>
  <c r="UR113" i="6"/>
  <c r="UR66" i="6"/>
  <c r="UR80" i="6"/>
  <c r="UR30" i="6"/>
  <c r="UR89" i="6"/>
  <c r="UR16" i="6"/>
  <c r="UR50" i="6"/>
  <c r="UR77" i="6"/>
  <c r="UR91" i="6"/>
  <c r="UR56" i="6"/>
  <c r="UR31" i="6"/>
  <c r="UR28" i="6"/>
  <c r="UR97" i="6"/>
  <c r="UR17" i="6"/>
  <c r="UR40" i="6"/>
  <c r="UR108" i="6"/>
  <c r="UR19" i="6"/>
  <c r="UR44" i="6"/>
  <c r="UR65" i="6"/>
  <c r="UR14" i="6"/>
  <c r="UR36" i="6"/>
  <c r="ACT76" i="6"/>
  <c r="UR22" i="6"/>
  <c r="UR62" i="6"/>
  <c r="UR49" i="6"/>
  <c r="UR106" i="6"/>
  <c r="AAY24" i="6"/>
  <c r="UR33" i="6"/>
  <c r="OC112" i="6"/>
  <c r="QE108" i="6"/>
  <c r="UR43" i="6"/>
  <c r="HX107" i="6"/>
  <c r="UR26" i="6"/>
  <c r="UR27" i="6"/>
  <c r="UR101" i="6"/>
  <c r="UR95" i="6"/>
  <c r="UR59" i="6"/>
  <c r="UR9" i="6"/>
  <c r="UR21" i="6"/>
  <c r="UR45" i="6"/>
  <c r="UR84" i="6"/>
  <c r="AAY93" i="6"/>
  <c r="QW105" i="6"/>
  <c r="UR104" i="6"/>
  <c r="UR8" i="6"/>
  <c r="UR72" i="6"/>
  <c r="TQ54" i="6"/>
  <c r="UR115" i="6"/>
  <c r="PM40" i="6"/>
  <c r="UR81" i="6"/>
  <c r="UR37" i="6"/>
  <c r="UR76" i="6"/>
  <c r="UR10" i="6"/>
  <c r="UR41" i="6"/>
  <c r="UR67" i="6"/>
  <c r="UR46" i="6"/>
  <c r="UR79" i="6"/>
  <c r="UR73" i="6"/>
  <c r="UR112" i="6"/>
  <c r="UR48" i="6"/>
  <c r="IP81" i="6"/>
  <c r="PM23" i="6"/>
  <c r="AB115" i="6"/>
  <c r="JZ96" i="6"/>
  <c r="RO15" i="6"/>
  <c r="JH9" i="6"/>
  <c r="OC47" i="6"/>
  <c r="UR83" i="6"/>
  <c r="UR51" i="6"/>
  <c r="UR58" i="6"/>
  <c r="UR87" i="6"/>
  <c r="UR24" i="6"/>
  <c r="UR111" i="6"/>
  <c r="UR7" i="6"/>
  <c r="UR69" i="6"/>
  <c r="UR86" i="6"/>
  <c r="JH70" i="6"/>
  <c r="UR107" i="6"/>
  <c r="UR13" i="6"/>
  <c r="MB112" i="6"/>
  <c r="UR94" i="6"/>
  <c r="UR23" i="6"/>
  <c r="KR95" i="6"/>
  <c r="OU45" i="6"/>
  <c r="SY111" i="6"/>
  <c r="KR98" i="6"/>
  <c r="SG88" i="6"/>
  <c r="YV105" i="6"/>
  <c r="UR85" i="6"/>
  <c r="UR82" i="6"/>
  <c r="JH85" i="6"/>
  <c r="UR116" i="6"/>
  <c r="UR102" i="6"/>
  <c r="UR109" i="6"/>
  <c r="UR110" i="6"/>
  <c r="SY66" i="6"/>
  <c r="UR11" i="6"/>
  <c r="UR34" i="6"/>
  <c r="OC113" i="6"/>
  <c r="UR114" i="6"/>
  <c r="UR39" i="6"/>
  <c r="UR61" i="6"/>
  <c r="UR54" i="6"/>
  <c r="UR25" i="6"/>
  <c r="UR105" i="6"/>
  <c r="UR47" i="6"/>
  <c r="UR92" i="6"/>
  <c r="UR60" i="6"/>
  <c r="UR100" i="6"/>
  <c r="UR74" i="6"/>
  <c r="UR29" i="6"/>
  <c r="UR12" i="6"/>
  <c r="MB93" i="6"/>
  <c r="QE90" i="6"/>
  <c r="HX99" i="6"/>
  <c r="LJ77" i="6"/>
  <c r="TQ50" i="6"/>
  <c r="UR57" i="6"/>
  <c r="JH75" i="6"/>
  <c r="AB32" i="6"/>
  <c r="UR20" i="6"/>
  <c r="UR42" i="6"/>
  <c r="UR117" i="6"/>
  <c r="UR68" i="6"/>
  <c r="UR96" i="6"/>
  <c r="UR55" i="6"/>
  <c r="UR53" i="6"/>
  <c r="UR63" i="6"/>
  <c r="UR32" i="6"/>
  <c r="UR70" i="6"/>
  <c r="UR15" i="6"/>
  <c r="UR64" i="6"/>
  <c r="UR71" i="6"/>
  <c r="OC34" i="6"/>
  <c r="AAY33" i="6"/>
  <c r="YV47" i="6"/>
  <c r="TQ33" i="6"/>
  <c r="QE68" i="6"/>
  <c r="YV45" i="6"/>
  <c r="JH18" i="6"/>
  <c r="TQ26" i="6"/>
  <c r="LJ113" i="6"/>
  <c r="KR94" i="6"/>
  <c r="OC86" i="6"/>
  <c r="TQ25" i="6"/>
  <c r="AB57" i="6"/>
  <c r="JH22" i="6"/>
  <c r="TQ111" i="6"/>
  <c r="IP51" i="6"/>
  <c r="LJ92" i="6"/>
  <c r="YV24" i="6"/>
  <c r="HX111" i="6"/>
  <c r="OC107" i="6"/>
  <c r="LJ102" i="6"/>
  <c r="JH21" i="6"/>
  <c r="QE65" i="6"/>
  <c r="ACR6" i="6"/>
  <c r="ACP62" i="6"/>
  <c r="ACR24" i="6"/>
  <c r="ACR101" i="6"/>
  <c r="ACP7" i="6"/>
  <c r="ACQ97" i="6"/>
  <c r="ACP67" i="6"/>
  <c r="ACQ7" i="6"/>
  <c r="ACP30" i="6"/>
  <c r="ACP23" i="6"/>
  <c r="ACR50" i="6"/>
  <c r="ACR25" i="6"/>
  <c r="ACP28" i="6"/>
  <c r="ACQ49" i="6"/>
  <c r="ACQ23" i="6"/>
  <c r="ACQ14" i="6"/>
  <c r="ACQ113" i="6"/>
  <c r="ACQ63" i="6"/>
  <c r="ACQ18" i="6"/>
  <c r="RO106" i="6"/>
  <c r="JZ74" i="6"/>
  <c r="JZ8" i="6"/>
  <c r="HX58" i="6"/>
  <c r="PM87" i="6"/>
  <c r="YV92" i="6"/>
  <c r="QW114" i="6"/>
  <c r="PM73" i="6"/>
  <c r="PM27" i="6"/>
  <c r="PM116" i="6"/>
  <c r="AB67" i="6"/>
  <c r="OU98" i="6"/>
  <c r="MB89" i="6"/>
  <c r="JH66" i="6"/>
  <c r="TQ52" i="6"/>
  <c r="MB24" i="6"/>
  <c r="OU32" i="6"/>
  <c r="KR21" i="6"/>
  <c r="PM84" i="6"/>
  <c r="OU69" i="6"/>
  <c r="IP6" i="6"/>
  <c r="RO86" i="6"/>
  <c r="YV84" i="6"/>
  <c r="JZ112" i="6"/>
  <c r="OC61" i="6"/>
  <c r="ACT30" i="6"/>
  <c r="JH49" i="6"/>
  <c r="JH20" i="6"/>
  <c r="LJ39" i="6"/>
  <c r="CX75" i="6"/>
  <c r="CY75" i="6" s="1"/>
  <c r="CX11" i="6"/>
  <c r="CY11" i="6" s="1"/>
  <c r="CW60" i="6"/>
  <c r="CX106" i="6"/>
  <c r="CY106" i="6" s="1"/>
  <c r="CX42" i="6"/>
  <c r="CY42" i="6" s="1"/>
  <c r="CW91" i="6"/>
  <c r="CW27" i="6"/>
  <c r="CX73" i="6"/>
  <c r="CY73" i="6" s="1"/>
  <c r="CX9" i="6"/>
  <c r="CY9" i="6" s="1"/>
  <c r="CW58" i="6"/>
  <c r="CX104" i="6"/>
  <c r="CY104" i="6" s="1"/>
  <c r="CX40" i="6"/>
  <c r="CY40" i="6" s="1"/>
  <c r="CW89" i="6"/>
  <c r="CW25" i="6"/>
  <c r="CX71" i="6"/>
  <c r="CY71" i="6" s="1"/>
  <c r="CX7" i="6"/>
  <c r="CY7" i="6" s="1"/>
  <c r="CW56" i="6"/>
  <c r="CX78" i="6"/>
  <c r="CY78" i="6" s="1"/>
  <c r="CW22" i="6"/>
  <c r="CW62" i="6"/>
  <c r="CX12" i="6"/>
  <c r="CY12" i="6" s="1"/>
  <c r="CX70" i="6"/>
  <c r="CY70" i="6" s="1"/>
  <c r="CW14" i="6"/>
  <c r="CW54" i="6"/>
  <c r="CW117" i="6"/>
  <c r="CX62" i="6"/>
  <c r="CY62" i="6" s="1"/>
  <c r="CX102" i="6"/>
  <c r="CY102" i="6" s="1"/>
  <c r="CW46" i="6"/>
  <c r="CW6" i="6"/>
  <c r="CX67" i="6"/>
  <c r="CY67" i="6" s="1"/>
  <c r="CW116" i="6"/>
  <c r="CW52" i="6"/>
  <c r="CX98" i="6"/>
  <c r="CY98" i="6" s="1"/>
  <c r="CX34" i="6"/>
  <c r="CY34" i="6" s="1"/>
  <c r="CW83" i="6"/>
  <c r="CW19" i="6"/>
  <c r="CX65" i="6"/>
  <c r="CY65" i="6" s="1"/>
  <c r="CW114" i="6"/>
  <c r="CW50" i="6"/>
  <c r="CX96" i="6"/>
  <c r="CY96" i="6" s="1"/>
  <c r="CX32" i="6"/>
  <c r="CY32" i="6" s="1"/>
  <c r="CW81" i="6"/>
  <c r="CW17" i="6"/>
  <c r="CX63" i="6"/>
  <c r="CY63" i="6" s="1"/>
  <c r="CW112" i="6"/>
  <c r="CW48" i="6"/>
  <c r="CX60" i="6"/>
  <c r="CY60" i="6" s="1"/>
  <c r="CX100" i="6"/>
  <c r="CY100" i="6" s="1"/>
  <c r="CW39" i="6"/>
  <c r="CW102" i="6"/>
  <c r="CX52" i="6"/>
  <c r="CY52" i="6" s="1"/>
  <c r="CX110" i="6"/>
  <c r="CY110" i="6" s="1"/>
  <c r="CW31" i="6"/>
  <c r="CW94" i="6"/>
  <c r="CX44" i="6"/>
  <c r="CY44" i="6" s="1"/>
  <c r="CX84" i="6"/>
  <c r="CY84" i="6" s="1"/>
  <c r="CW23" i="6"/>
  <c r="CX59" i="6"/>
  <c r="CY59" i="6" s="1"/>
  <c r="CW108" i="6"/>
  <c r="CW44" i="6"/>
  <c r="CX90" i="6"/>
  <c r="CY90" i="6" s="1"/>
  <c r="CX26" i="6"/>
  <c r="CY26" i="6" s="1"/>
  <c r="CW75" i="6"/>
  <c r="CW11" i="6"/>
  <c r="CX57" i="6"/>
  <c r="CY57" i="6" s="1"/>
  <c r="CW106" i="6"/>
  <c r="CW42" i="6"/>
  <c r="CX88" i="6"/>
  <c r="CY88" i="6" s="1"/>
  <c r="CX24" i="6"/>
  <c r="CY24" i="6" s="1"/>
  <c r="CW73" i="6"/>
  <c r="CW9" i="6"/>
  <c r="CX55" i="6"/>
  <c r="CY55" i="6" s="1"/>
  <c r="CW104" i="6"/>
  <c r="CW40" i="6"/>
  <c r="CX37" i="6"/>
  <c r="CY37" i="6" s="1"/>
  <c r="CX77" i="6"/>
  <c r="CY77" i="6" s="1"/>
  <c r="CW21" i="6"/>
  <c r="CW79" i="6"/>
  <c r="CX29" i="6"/>
  <c r="CY29" i="6" s="1"/>
  <c r="CX92" i="6"/>
  <c r="CY92" i="6" s="1"/>
  <c r="CW13" i="6"/>
  <c r="CW71" i="6"/>
  <c r="CX21" i="6"/>
  <c r="CY21" i="6" s="1"/>
  <c r="CX61" i="6"/>
  <c r="CY61" i="6" s="1"/>
  <c r="CX115" i="6"/>
  <c r="CY115" i="6" s="1"/>
  <c r="CX51" i="6"/>
  <c r="CY51" i="6" s="1"/>
  <c r="CW100" i="6"/>
  <c r="CW36" i="6"/>
  <c r="CX82" i="6"/>
  <c r="CY82" i="6" s="1"/>
  <c r="CX18" i="6"/>
  <c r="CY18" i="6" s="1"/>
  <c r="CW67" i="6"/>
  <c r="CX113" i="6"/>
  <c r="CY113" i="6" s="1"/>
  <c r="CX49" i="6"/>
  <c r="CY49" i="6" s="1"/>
  <c r="CW98" i="6"/>
  <c r="CW34" i="6"/>
  <c r="CX80" i="6"/>
  <c r="CY80" i="6" s="1"/>
  <c r="CX16" i="6"/>
  <c r="CY16" i="6" s="1"/>
  <c r="CW65" i="6"/>
  <c r="CX111" i="6"/>
  <c r="CY111" i="6" s="1"/>
  <c r="CX47" i="6"/>
  <c r="CY47" i="6" s="1"/>
  <c r="CW96" i="6"/>
  <c r="CW32" i="6"/>
  <c r="CX14" i="6"/>
  <c r="CY14" i="6" s="1"/>
  <c r="CX54" i="6"/>
  <c r="CY54" i="6" s="1"/>
  <c r="CX117" i="6"/>
  <c r="CY117" i="6" s="1"/>
  <c r="CW61" i="6"/>
  <c r="CX6" i="6"/>
  <c r="CY6" i="6" s="1"/>
  <c r="CX69" i="6"/>
  <c r="CY69" i="6" s="1"/>
  <c r="CX109" i="6"/>
  <c r="CY109" i="6" s="1"/>
  <c r="CW53" i="6"/>
  <c r="CW111" i="6"/>
  <c r="CX38" i="6"/>
  <c r="CY38" i="6" s="1"/>
  <c r="CX107" i="6"/>
  <c r="CY107" i="6" s="1"/>
  <c r="CX43" i="6"/>
  <c r="CY43" i="6" s="1"/>
  <c r="CW92" i="6"/>
  <c r="CW28" i="6"/>
  <c r="CX74" i="6"/>
  <c r="CY74" i="6" s="1"/>
  <c r="CX10" i="6"/>
  <c r="CY10" i="6" s="1"/>
  <c r="CW59" i="6"/>
  <c r="CX105" i="6"/>
  <c r="CY105" i="6" s="1"/>
  <c r="CX41" i="6"/>
  <c r="CY41" i="6" s="1"/>
  <c r="CW90" i="6"/>
  <c r="CW26" i="6"/>
  <c r="CX72" i="6"/>
  <c r="CY72" i="6" s="1"/>
  <c r="CX8" i="6"/>
  <c r="CY8" i="6" s="1"/>
  <c r="CW57" i="6"/>
  <c r="CX103" i="6"/>
  <c r="CY103" i="6" s="1"/>
  <c r="CX39" i="6"/>
  <c r="CY39" i="6" s="1"/>
  <c r="CW88" i="6"/>
  <c r="CW24" i="6"/>
  <c r="CW109" i="6"/>
  <c r="CX36" i="6"/>
  <c r="CY36" i="6" s="1"/>
  <c r="CX94" i="6"/>
  <c r="CY94" i="6" s="1"/>
  <c r="CW38" i="6"/>
  <c r="CW101" i="6"/>
  <c r="CX46" i="6"/>
  <c r="CY46" i="6" s="1"/>
  <c r="CX86" i="6"/>
  <c r="CY86" i="6" s="1"/>
  <c r="CW30" i="6"/>
  <c r="CW93" i="6"/>
  <c r="CX20" i="6"/>
  <c r="CY20" i="6" s="1"/>
  <c r="CX99" i="6"/>
  <c r="CY99" i="6" s="1"/>
  <c r="CX35" i="6"/>
  <c r="CY35" i="6" s="1"/>
  <c r="CW84" i="6"/>
  <c r="CW20" i="6"/>
  <c r="CX66" i="6"/>
  <c r="CY66" i="6" s="1"/>
  <c r="CW115" i="6"/>
  <c r="CW51" i="6"/>
  <c r="CX97" i="6"/>
  <c r="CY97" i="6" s="1"/>
  <c r="CX33" i="6"/>
  <c r="CY33" i="6" s="1"/>
  <c r="CW82" i="6"/>
  <c r="CW18" i="6"/>
  <c r="CX64" i="6"/>
  <c r="CY64" i="6" s="1"/>
  <c r="CW113" i="6"/>
  <c r="CW49" i="6"/>
  <c r="CX95" i="6"/>
  <c r="CY95" i="6" s="1"/>
  <c r="CX31" i="6"/>
  <c r="CY31" i="6" s="1"/>
  <c r="CW80" i="6"/>
  <c r="CW16" i="6"/>
  <c r="CW86" i="6"/>
  <c r="CX13" i="6"/>
  <c r="CY13" i="6" s="1"/>
  <c r="CX76" i="6"/>
  <c r="CY76" i="6" s="1"/>
  <c r="CW15" i="6"/>
  <c r="CW78" i="6"/>
  <c r="CX28" i="6"/>
  <c r="CY28" i="6" s="1"/>
  <c r="CX68" i="6"/>
  <c r="CY68" i="6" s="1"/>
  <c r="CW7" i="6"/>
  <c r="CW70" i="6"/>
  <c r="CW110" i="6"/>
  <c r="CX91" i="6"/>
  <c r="CY91" i="6" s="1"/>
  <c r="CX27" i="6"/>
  <c r="CY27" i="6" s="1"/>
  <c r="CW76" i="6"/>
  <c r="CW12" i="6"/>
  <c r="CX58" i="6"/>
  <c r="CY58" i="6" s="1"/>
  <c r="CW107" i="6"/>
  <c r="CW43" i="6"/>
  <c r="CX89" i="6"/>
  <c r="CY89" i="6" s="1"/>
  <c r="CX25" i="6"/>
  <c r="CY25" i="6" s="1"/>
  <c r="CW74" i="6"/>
  <c r="CW10" i="6"/>
  <c r="CX56" i="6"/>
  <c r="CY56" i="6" s="1"/>
  <c r="CW105" i="6"/>
  <c r="CW41" i="6"/>
  <c r="CX87" i="6"/>
  <c r="CY87" i="6" s="1"/>
  <c r="CX23" i="6"/>
  <c r="CY23" i="6" s="1"/>
  <c r="CW72" i="6"/>
  <c r="CW8" i="6"/>
  <c r="CW63" i="6"/>
  <c r="CW103" i="6"/>
  <c r="CX53" i="6"/>
  <c r="CY53" i="6" s="1"/>
  <c r="CX116" i="6"/>
  <c r="CY116" i="6" s="1"/>
  <c r="CW55" i="6"/>
  <c r="CW95" i="6"/>
  <c r="CX45" i="6"/>
  <c r="CY45" i="6" s="1"/>
  <c r="CX108" i="6"/>
  <c r="CY108" i="6" s="1"/>
  <c r="CW47" i="6"/>
  <c r="CW87" i="6"/>
  <c r="CW68" i="6"/>
  <c r="CX112" i="6"/>
  <c r="CY112" i="6" s="1"/>
  <c r="CW45" i="6"/>
  <c r="CW29" i="6"/>
  <c r="CX114" i="6"/>
  <c r="CY114" i="6" s="1"/>
  <c r="CW85" i="6"/>
  <c r="CX48" i="6"/>
  <c r="CY48" i="6" s="1"/>
  <c r="CW69" i="6"/>
  <c r="CX50" i="6"/>
  <c r="CY50" i="6" s="1"/>
  <c r="CW97" i="6"/>
  <c r="CX30" i="6"/>
  <c r="CY30" i="6" s="1"/>
  <c r="CX17" i="6"/>
  <c r="CY17" i="6" s="1"/>
  <c r="CX101" i="6"/>
  <c r="CY101" i="6" s="1"/>
  <c r="CW99" i="6"/>
  <c r="CW33" i="6"/>
  <c r="CX93" i="6"/>
  <c r="CY93" i="6" s="1"/>
  <c r="CX22" i="6"/>
  <c r="CY22" i="6" s="1"/>
  <c r="CX19" i="6"/>
  <c r="CY19" i="6" s="1"/>
  <c r="CW35" i="6"/>
  <c r="CX79" i="6"/>
  <c r="CY79" i="6" s="1"/>
  <c r="CW37" i="6"/>
  <c r="CX83" i="6"/>
  <c r="CY83" i="6" s="1"/>
  <c r="CW66" i="6"/>
  <c r="CX81" i="6"/>
  <c r="CY81" i="6" s="1"/>
  <c r="CX15" i="6"/>
  <c r="CY15" i="6" s="1"/>
  <c r="CW77" i="6"/>
  <c r="CW64" i="6"/>
  <c r="CX85" i="6"/>
  <c r="CY85" i="6" s="1"/>
  <c r="QE103" i="6"/>
  <c r="HX86" i="6"/>
  <c r="MB82" i="6"/>
  <c r="YV81" i="6"/>
  <c r="TQ99" i="6"/>
  <c r="SY93" i="6"/>
  <c r="AB52" i="6"/>
  <c r="LJ46" i="6"/>
  <c r="IP110" i="6"/>
  <c r="QW99" i="6"/>
  <c r="OC94" i="6"/>
  <c r="OC10" i="6"/>
  <c r="TQ69" i="6"/>
  <c r="AB29" i="6"/>
  <c r="SG45" i="6"/>
  <c r="JZ24" i="6"/>
  <c r="OC38" i="6"/>
  <c r="AB83" i="6"/>
  <c r="QW86" i="6"/>
  <c r="LJ47" i="6"/>
  <c r="MB109" i="6"/>
  <c r="MB38" i="6"/>
  <c r="OC20" i="6"/>
  <c r="QW63" i="6"/>
  <c r="LJ6" i="6"/>
  <c r="TQ102" i="6"/>
  <c r="AAY49" i="6"/>
  <c r="OU56" i="6"/>
  <c r="TQ29" i="6"/>
  <c r="AB81" i="6"/>
  <c r="OU54" i="6"/>
  <c r="JZ6" i="6"/>
  <c r="RO41" i="6"/>
  <c r="OU76" i="6"/>
  <c r="OU24" i="6"/>
  <c r="QW6" i="6"/>
  <c r="YV107" i="6"/>
  <c r="HX10" i="6"/>
  <c r="TQ16" i="6"/>
  <c r="RO35" i="6"/>
  <c r="JH82" i="6"/>
  <c r="OC29" i="6"/>
  <c r="ACT61" i="6"/>
  <c r="QW51" i="6"/>
  <c r="YV23" i="6"/>
  <c r="KR45" i="6"/>
  <c r="LJ57" i="6"/>
  <c r="OC44" i="6"/>
  <c r="EN107" i="6"/>
  <c r="EK96" i="6"/>
  <c r="EM84" i="6"/>
  <c r="EO72" i="6"/>
  <c r="EK61" i="6"/>
  <c r="EM49" i="6"/>
  <c r="EN37" i="6"/>
  <c r="EO23" i="6"/>
  <c r="EN11" i="6"/>
  <c r="EO111" i="6"/>
  <c r="EL97" i="6"/>
  <c r="EN82" i="6"/>
  <c r="EL68" i="6"/>
  <c r="EN53" i="6"/>
  <c r="EO38" i="6"/>
  <c r="EN26" i="6"/>
  <c r="EM14" i="6"/>
  <c r="EK113" i="6"/>
  <c r="EM101" i="6"/>
  <c r="EO89" i="6"/>
  <c r="EK78" i="6"/>
  <c r="EM66" i="6"/>
  <c r="EO54" i="6"/>
  <c r="EL43" i="6"/>
  <c r="EK31" i="6"/>
  <c r="EM17" i="6"/>
  <c r="EM112" i="6"/>
  <c r="EM114" i="6"/>
  <c r="EO99" i="6"/>
  <c r="EL85" i="6"/>
  <c r="EN70" i="6"/>
  <c r="EL56" i="6"/>
  <c r="EN41" i="6"/>
  <c r="EO27" i="6"/>
  <c r="EN15" i="6"/>
  <c r="EK105" i="6"/>
  <c r="EL111" i="6"/>
  <c r="EN99" i="6"/>
  <c r="EK88" i="6"/>
  <c r="EM76" i="6"/>
  <c r="EO64" i="6"/>
  <c r="EK53" i="6"/>
  <c r="EM41" i="6"/>
  <c r="EL29" i="6"/>
  <c r="EK17" i="6"/>
  <c r="EN115" i="6"/>
  <c r="EO103" i="6"/>
  <c r="EL89" i="6"/>
  <c r="EN74" i="6"/>
  <c r="EL60" i="6"/>
  <c r="EN45" i="6"/>
  <c r="EN33" i="6"/>
  <c r="EO19" i="6"/>
  <c r="EN7" i="6"/>
  <c r="EM96" i="6"/>
  <c r="EO107" i="6"/>
  <c r="EL93" i="6"/>
  <c r="EN78" i="6"/>
  <c r="EL64" i="6"/>
  <c r="EN49" i="6"/>
  <c r="EO37" i="6"/>
  <c r="EN25" i="6"/>
  <c r="EO11" i="6"/>
  <c r="EL24" i="6"/>
  <c r="EM33" i="6"/>
  <c r="EN55" i="6"/>
  <c r="EM42" i="6"/>
  <c r="EK41" i="6"/>
  <c r="EM39" i="6"/>
  <c r="EN13" i="6"/>
  <c r="EJ83" i="6"/>
  <c r="EJ19" i="6"/>
  <c r="EJ73" i="6"/>
  <c r="EJ9" i="6"/>
  <c r="EJ54" i="6"/>
  <c r="EJ85" i="6"/>
  <c r="EJ96" i="6"/>
  <c r="EJ103" i="6"/>
  <c r="EJ117" i="6"/>
  <c r="EJ69" i="6"/>
  <c r="EJ28" i="6"/>
  <c r="EJ63" i="6"/>
  <c r="EJ95" i="6"/>
  <c r="EJ16" i="6"/>
  <c r="EJ6" i="6"/>
  <c r="EK106" i="6"/>
  <c r="EM94" i="6"/>
  <c r="EO82" i="6"/>
  <c r="EL71" i="6"/>
  <c r="EN59" i="6"/>
  <c r="EK48" i="6"/>
  <c r="EK36" i="6"/>
  <c r="EL22" i="6"/>
  <c r="EK10" i="6"/>
  <c r="EL110" i="6"/>
  <c r="EO95" i="6"/>
  <c r="EL81" i="6"/>
  <c r="EN66" i="6"/>
  <c r="EL52" i="6"/>
  <c r="EM37" i="6"/>
  <c r="EL25" i="6"/>
  <c r="EK13" i="6"/>
  <c r="EN111" i="6"/>
  <c r="EK100" i="6"/>
  <c r="EM88" i="6"/>
  <c r="EO76" i="6"/>
  <c r="EK65" i="6"/>
  <c r="EM53" i="6"/>
  <c r="EO41" i="6"/>
  <c r="EN29" i="6"/>
  <c r="EO15" i="6"/>
  <c r="EK102" i="6"/>
  <c r="EM111" i="6"/>
  <c r="EL98" i="6"/>
  <c r="EO83" i="6"/>
  <c r="EL69" i="6"/>
  <c r="EN54" i="6"/>
  <c r="EK40" i="6"/>
  <c r="EL26" i="6"/>
  <c r="EK14" i="6"/>
  <c r="EL99" i="6"/>
  <c r="EO109" i="6"/>
  <c r="EK98" i="6"/>
  <c r="EM86" i="6"/>
  <c r="EO74" i="6"/>
  <c r="EL63" i="6"/>
  <c r="EN51" i="6"/>
  <c r="EO39" i="6"/>
  <c r="EN27" i="6"/>
  <c r="EM15" i="6"/>
  <c r="EK114" i="6"/>
  <c r="EL102" i="6"/>
  <c r="EO87" i="6"/>
  <c r="EL73" i="6"/>
  <c r="EN58" i="6"/>
  <c r="EL44" i="6"/>
  <c r="EK32" i="6"/>
  <c r="EL18" i="6"/>
  <c r="EK6" i="6"/>
  <c r="EK92" i="6"/>
  <c r="EL106" i="6"/>
  <c r="EO91" i="6"/>
  <c r="EL77" i="6"/>
  <c r="EN62" i="6"/>
  <c r="EL48" i="6"/>
  <c r="EL36" i="6"/>
  <c r="EK24" i="6"/>
  <c r="EL10" i="6"/>
  <c r="EK12" i="6"/>
  <c r="EL21" i="6"/>
  <c r="EK44" i="6"/>
  <c r="EL30" i="6"/>
  <c r="EO28" i="6"/>
  <c r="EL27" i="6"/>
  <c r="EM58" i="6"/>
  <c r="EJ75" i="6"/>
  <c r="EJ11" i="6"/>
  <c r="EJ65" i="6"/>
  <c r="EJ110" i="6"/>
  <c r="EJ46" i="6"/>
  <c r="EJ72" i="6"/>
  <c r="EJ84" i="6"/>
  <c r="EJ90" i="6"/>
  <c r="EJ93" i="6"/>
  <c r="EJ50" i="6"/>
  <c r="EJ106" i="6"/>
  <c r="EJ42" i="6"/>
  <c r="EJ76" i="6"/>
  <c r="EJ100" i="6"/>
  <c r="EN116" i="6"/>
  <c r="EO104" i="6"/>
  <c r="EK93" i="6"/>
  <c r="EM81" i="6"/>
  <c r="EO69" i="6"/>
  <c r="EK58" i="6"/>
  <c r="EM46" i="6"/>
  <c r="EM34" i="6"/>
  <c r="EO20" i="6"/>
  <c r="EN8" i="6"/>
  <c r="EM107" i="6"/>
  <c r="EL94" i="6"/>
  <c r="EO79" i="6"/>
  <c r="EL65" i="6"/>
  <c r="EN50" i="6"/>
  <c r="EO35" i="6"/>
  <c r="EN23" i="6"/>
  <c r="EM11" i="6"/>
  <c r="EK110" i="6"/>
  <c r="EM98" i="6"/>
  <c r="EO86" i="6"/>
  <c r="EL75" i="6"/>
  <c r="EN63" i="6"/>
  <c r="EK52" i="6"/>
  <c r="EL40" i="6"/>
  <c r="EK28" i="6"/>
  <c r="EL14" i="6"/>
  <c r="EO97" i="6"/>
  <c r="EN108" i="6"/>
  <c r="EM95" i="6"/>
  <c r="EL82" i="6"/>
  <c r="EO67" i="6"/>
  <c r="EL53" i="6"/>
  <c r="EM38" i="6"/>
  <c r="EO24" i="6"/>
  <c r="EN12" i="6"/>
  <c r="EO94" i="6"/>
  <c r="EM108" i="6"/>
  <c r="EO96" i="6"/>
  <c r="EK85" i="6"/>
  <c r="EM73" i="6"/>
  <c r="EO61" i="6"/>
  <c r="EK50" i="6"/>
  <c r="EL38" i="6"/>
  <c r="EK26" i="6"/>
  <c r="EM12" i="6"/>
  <c r="EN112" i="6"/>
  <c r="EM99" i="6"/>
  <c r="EL86" i="6"/>
  <c r="EO71" i="6"/>
  <c r="EL57" i="6"/>
  <c r="EN42" i="6"/>
  <c r="EM30" i="6"/>
  <c r="EO16" i="6"/>
  <c r="EO110" i="6"/>
  <c r="EO116" i="6"/>
  <c r="EM103" i="6"/>
  <c r="EL90" i="6"/>
  <c r="EO75" i="6"/>
  <c r="EL61" i="6"/>
  <c r="EN46" i="6"/>
  <c r="EN34" i="6"/>
  <c r="EM22" i="6"/>
  <c r="EO46" i="6"/>
  <c r="EK70" i="6"/>
  <c r="EK9" i="6"/>
  <c r="EO31" i="6"/>
  <c r="EK18" i="6"/>
  <c r="EN16" i="6"/>
  <c r="EK15" i="6"/>
  <c r="EJ67" i="6"/>
  <c r="EJ114" i="6"/>
  <c r="EJ57" i="6"/>
  <c r="EJ102" i="6"/>
  <c r="EJ38" i="6"/>
  <c r="EJ60" i="6"/>
  <c r="EJ71" i="6"/>
  <c r="EJ77" i="6"/>
  <c r="EJ74" i="6"/>
  <c r="EJ29" i="6"/>
  <c r="EJ87" i="6"/>
  <c r="EJ23" i="6"/>
  <c r="EJ55" i="6"/>
  <c r="EK115" i="6"/>
  <c r="EL103" i="6"/>
  <c r="EN91" i="6"/>
  <c r="EK80" i="6"/>
  <c r="EM68" i="6"/>
  <c r="EO56" i="6"/>
  <c r="EK45" i="6"/>
  <c r="EK33" i="6"/>
  <c r="EL19" i="6"/>
  <c r="EK7" i="6"/>
  <c r="EN104" i="6"/>
  <c r="EM91" i="6"/>
  <c r="EL78" i="6"/>
  <c r="EO63" i="6"/>
  <c r="EL49" i="6"/>
  <c r="EL34" i="6"/>
  <c r="EK22" i="6"/>
  <c r="EM8" i="6"/>
  <c r="EO108" i="6"/>
  <c r="EK97" i="6"/>
  <c r="EM85" i="6"/>
  <c r="EO73" i="6"/>
  <c r="EK62" i="6"/>
  <c r="EM50" i="6"/>
  <c r="EN38" i="6"/>
  <c r="EM26" i="6"/>
  <c r="EO12" i="6"/>
  <c r="EM93" i="6"/>
  <c r="EK107" i="6"/>
  <c r="EN92" i="6"/>
  <c r="EM79" i="6"/>
  <c r="EL66" i="6"/>
  <c r="EO51" i="6"/>
  <c r="EK37" i="6"/>
  <c r="EL23" i="6"/>
  <c r="EK11" i="6"/>
  <c r="EK86" i="6"/>
  <c r="EO106" i="6"/>
  <c r="EL95" i="6"/>
  <c r="EN83" i="6"/>
  <c r="EK72" i="6"/>
  <c r="EM60" i="6"/>
  <c r="EO48" i="6"/>
  <c r="EO36" i="6"/>
  <c r="EN24" i="6"/>
  <c r="EO10" i="6"/>
  <c r="EK111" i="6"/>
  <c r="EN96" i="6"/>
  <c r="EM83" i="6"/>
  <c r="EL70" i="6"/>
  <c r="EO55" i="6"/>
  <c r="EL41" i="6"/>
  <c r="EK29" i="6"/>
  <c r="EL15" i="6"/>
  <c r="EM109" i="6"/>
  <c r="EL115" i="6"/>
  <c r="EN100" i="6"/>
  <c r="EM87" i="6"/>
  <c r="EL74" i="6"/>
  <c r="EO59" i="6"/>
  <c r="EL45" i="6"/>
  <c r="EL33" i="6"/>
  <c r="EK21" i="6"/>
  <c r="EL83" i="6"/>
  <c r="EN22" i="6"/>
  <c r="EO81" i="6"/>
  <c r="EN19" i="6"/>
  <c r="EM7" i="6"/>
  <c r="EL7" i="6"/>
  <c r="EN87" i="6"/>
  <c r="EJ116" i="6"/>
  <c r="EJ59" i="6"/>
  <c r="EJ113" i="6"/>
  <c r="EJ49" i="6"/>
  <c r="EJ94" i="6"/>
  <c r="EJ30" i="6"/>
  <c r="EJ47" i="6"/>
  <c r="EJ58" i="6"/>
  <c r="EJ64" i="6"/>
  <c r="EJ53" i="6"/>
  <c r="EJ10" i="6"/>
  <c r="EJ66" i="6"/>
  <c r="EJ101" i="6"/>
  <c r="EJ36" i="6"/>
  <c r="EM113" i="6"/>
  <c r="EO101" i="6"/>
  <c r="EK90" i="6"/>
  <c r="EM78" i="6"/>
  <c r="EO66" i="6"/>
  <c r="EL55" i="6"/>
  <c r="EN43" i="6"/>
  <c r="EM31" i="6"/>
  <c r="EO17" i="6"/>
  <c r="EO117" i="6"/>
  <c r="EK103" i="6"/>
  <c r="EN88" i="6"/>
  <c r="EM75" i="6"/>
  <c r="EL62" i="6"/>
  <c r="EO47" i="6"/>
  <c r="EO32" i="6"/>
  <c r="EN20" i="6"/>
  <c r="EO6" i="6"/>
  <c r="EL107" i="6"/>
  <c r="EN95" i="6"/>
  <c r="EK84" i="6"/>
  <c r="EM72" i="6"/>
  <c r="EO60" i="6"/>
  <c r="EK49" i="6"/>
  <c r="EL37" i="6"/>
  <c r="EK25" i="6"/>
  <c r="EL11" i="6"/>
  <c r="EK89" i="6"/>
  <c r="EN105" i="6"/>
  <c r="EK91" i="6"/>
  <c r="EN76" i="6"/>
  <c r="EM63" i="6"/>
  <c r="EL50" i="6"/>
  <c r="EM35" i="6"/>
  <c r="EO21" i="6"/>
  <c r="EN9" i="6"/>
  <c r="EL117" i="6"/>
  <c r="EM105" i="6"/>
  <c r="EO93" i="6"/>
  <c r="EK82" i="6"/>
  <c r="EM70" i="6"/>
  <c r="EO58" i="6"/>
  <c r="EL47" i="6"/>
  <c r="EL35" i="6"/>
  <c r="EK23" i="6"/>
  <c r="EM9" i="6"/>
  <c r="EN109" i="6"/>
  <c r="EK95" i="6"/>
  <c r="EN80" i="6"/>
  <c r="EM67" i="6"/>
  <c r="EL54" i="6"/>
  <c r="EN39" i="6"/>
  <c r="EM27" i="6"/>
  <c r="EO13" i="6"/>
  <c r="EK108" i="6"/>
  <c r="EN113" i="6"/>
  <c r="EK99" i="6"/>
  <c r="EN84" i="6"/>
  <c r="EM71" i="6"/>
  <c r="EL58" i="6"/>
  <c r="EO43" i="6"/>
  <c r="EN31" i="6"/>
  <c r="EM19" i="6"/>
  <c r="EN71" i="6"/>
  <c r="EM80" i="6"/>
  <c r="EO34" i="6"/>
  <c r="EO8" i="6"/>
  <c r="EO113" i="6"/>
  <c r="EM90" i="6"/>
  <c r="EK73" i="6"/>
  <c r="EJ115" i="6"/>
  <c r="EJ51" i="6"/>
  <c r="EJ105" i="6"/>
  <c r="EJ41" i="6"/>
  <c r="EJ86" i="6"/>
  <c r="EJ22" i="6"/>
  <c r="EJ34" i="6"/>
  <c r="EJ45" i="6"/>
  <c r="EJ52" i="6"/>
  <c r="EJ31" i="6"/>
  <c r="EJ108" i="6"/>
  <c r="EJ44" i="6"/>
  <c r="EJ80" i="6"/>
  <c r="EJ15" i="6"/>
  <c r="EK112" i="6"/>
  <c r="EM100" i="6"/>
  <c r="EO88" i="6"/>
  <c r="EK77" i="6"/>
  <c r="EM65" i="6"/>
  <c r="EO53" i="6"/>
  <c r="EK42" i="6"/>
  <c r="EM28" i="6"/>
  <c r="EL16" i="6"/>
  <c r="EM116" i="6"/>
  <c r="EN101" i="6"/>
  <c r="EK87" i="6"/>
  <c r="EN72" i="6"/>
  <c r="EM59" i="6"/>
  <c r="EL46" i="6"/>
  <c r="EL31" i="6"/>
  <c r="EK19" i="6"/>
  <c r="EN117" i="6"/>
  <c r="EO105" i="6"/>
  <c r="EK94" i="6"/>
  <c r="EM82" i="6"/>
  <c r="EO70" i="6"/>
  <c r="EL59" i="6"/>
  <c r="EN47" i="6"/>
  <c r="EN35" i="6"/>
  <c r="EM23" i="6"/>
  <c r="EO9" i="6"/>
  <c r="EO84" i="6"/>
  <c r="EL104" i="6"/>
  <c r="EN89" i="6"/>
  <c r="EK75" i="6"/>
  <c r="EN60" i="6"/>
  <c r="EM47" i="6"/>
  <c r="EM32" i="6"/>
  <c r="EL20" i="6"/>
  <c r="EK8" i="6"/>
  <c r="EO115" i="6"/>
  <c r="EK104" i="6"/>
  <c r="EM92" i="6"/>
  <c r="EO80" i="6"/>
  <c r="EK69" i="6"/>
  <c r="EM57" i="6"/>
  <c r="EO45" i="6"/>
  <c r="EO33" i="6"/>
  <c r="EN21" i="6"/>
  <c r="EO7" i="6"/>
  <c r="EL108" i="6"/>
  <c r="EN93" i="6"/>
  <c r="EK79" i="6"/>
  <c r="EN64" i="6"/>
  <c r="EM51" i="6"/>
  <c r="EK38" i="6"/>
  <c r="EM24" i="6"/>
  <c r="EL12" i="6"/>
  <c r="EM106" i="6"/>
  <c r="EL112" i="6"/>
  <c r="EN97" i="6"/>
  <c r="EK83" i="6"/>
  <c r="EN68" i="6"/>
  <c r="EM55" i="6"/>
  <c r="EL42" i="6"/>
  <c r="EK30" i="6"/>
  <c r="EM16" i="6"/>
  <c r="EK60" i="6"/>
  <c r="EO68" i="6"/>
  <c r="EM10" i="6"/>
  <c r="EM77" i="6"/>
  <c r="EK76" i="6"/>
  <c r="EM74" i="6"/>
  <c r="EM61" i="6"/>
  <c r="EJ107" i="6"/>
  <c r="EJ43" i="6"/>
  <c r="EJ97" i="6"/>
  <c r="EJ33" i="6"/>
  <c r="EJ78" i="6"/>
  <c r="EJ14" i="6"/>
  <c r="EJ21" i="6"/>
  <c r="EJ32" i="6"/>
  <c r="EJ39" i="6"/>
  <c r="EJ12" i="6"/>
  <c r="EJ88" i="6"/>
  <c r="EJ24" i="6"/>
  <c r="EJ61" i="6"/>
  <c r="EJ79" i="6"/>
  <c r="EM110" i="6"/>
  <c r="EO98" i="6"/>
  <c r="EL87" i="6"/>
  <c r="EN75" i="6"/>
  <c r="EK64" i="6"/>
  <c r="EM52" i="6"/>
  <c r="EN40" i="6"/>
  <c r="EO26" i="6"/>
  <c r="EN14" i="6"/>
  <c r="EO114" i="6"/>
  <c r="EL100" i="6"/>
  <c r="EN85" i="6"/>
  <c r="EK71" i="6"/>
  <c r="EN56" i="6"/>
  <c r="EM43" i="6"/>
  <c r="EO29" i="6"/>
  <c r="EN17" i="6"/>
  <c r="EL116" i="6"/>
  <c r="EM104" i="6"/>
  <c r="EO92" i="6"/>
  <c r="EK81" i="6"/>
  <c r="EM69" i="6"/>
  <c r="EO57" i="6"/>
  <c r="EK46" i="6"/>
  <c r="EK34" i="6"/>
  <c r="EM20" i="6"/>
  <c r="EL8" i="6"/>
  <c r="EM117" i="6"/>
  <c r="EN102" i="6"/>
  <c r="EL88" i="6"/>
  <c r="EN73" i="6"/>
  <c r="EK59" i="6"/>
  <c r="EN44" i="6"/>
  <c r="EO30" i="6"/>
  <c r="EN18" i="6"/>
  <c r="EM6" i="6"/>
  <c r="EL114" i="6"/>
  <c r="EM102" i="6"/>
  <c r="EO90" i="6"/>
  <c r="EL79" i="6"/>
  <c r="EN67" i="6"/>
  <c r="EK56" i="6"/>
  <c r="EM44" i="6"/>
  <c r="EL32" i="6"/>
  <c r="EK20" i="6"/>
  <c r="EL6" i="6"/>
  <c r="EN106" i="6"/>
  <c r="EL92" i="6"/>
  <c r="EN77" i="6"/>
  <c r="EK63" i="6"/>
  <c r="EN48" i="6"/>
  <c r="EN36" i="6"/>
  <c r="EO22" i="6"/>
  <c r="EN10" i="6"/>
  <c r="EN103" i="6"/>
  <c r="EN110" i="6"/>
  <c r="EL96" i="6"/>
  <c r="EN81" i="6"/>
  <c r="EK67" i="6"/>
  <c r="EN52" i="6"/>
  <c r="EO40" i="6"/>
  <c r="EN28" i="6"/>
  <c r="EO14" i="6"/>
  <c r="EM48" i="6"/>
  <c r="EK57" i="6"/>
  <c r="EO78" i="6"/>
  <c r="EO65" i="6"/>
  <c r="EM64" i="6"/>
  <c r="EO62" i="6"/>
  <c r="EO49" i="6"/>
  <c r="EJ99" i="6"/>
  <c r="EJ35" i="6"/>
  <c r="EJ89" i="6"/>
  <c r="EJ25" i="6"/>
  <c r="EJ70" i="6"/>
  <c r="EJ111" i="6"/>
  <c r="EJ8" i="6"/>
  <c r="EJ20" i="6"/>
  <c r="EJ26" i="6"/>
  <c r="EJ112" i="6"/>
  <c r="EJ68" i="6"/>
  <c r="EJ104" i="6"/>
  <c r="EJ40" i="6"/>
  <c r="EJ56" i="6"/>
  <c r="EK39" i="6"/>
  <c r="EM40" i="6"/>
  <c r="EM56" i="6"/>
  <c r="EL72" i="6"/>
  <c r="EM89" i="6"/>
  <c r="EL105" i="6"/>
  <c r="EO100" i="6"/>
  <c r="EM13" i="6"/>
  <c r="EJ91" i="6"/>
  <c r="EJ13" i="6"/>
  <c r="EM25" i="6"/>
  <c r="EO44" i="6"/>
  <c r="EO77" i="6"/>
  <c r="EL109" i="6"/>
  <c r="EJ27" i="6"/>
  <c r="EJ92" i="6"/>
  <c r="EL28" i="6"/>
  <c r="EN57" i="6"/>
  <c r="EN90" i="6"/>
  <c r="EM36" i="6"/>
  <c r="EK109" i="6"/>
  <c r="EL13" i="6"/>
  <c r="EK16" i="6"/>
  <c r="EN32" i="6"/>
  <c r="EK43" i="6"/>
  <c r="EK66" i="6"/>
  <c r="EL76" i="6"/>
  <c r="EN94" i="6"/>
  <c r="EM45" i="6"/>
  <c r="EJ81" i="6"/>
  <c r="EJ48" i="6"/>
  <c r="EN69" i="6"/>
  <c r="EM21" i="6"/>
  <c r="EK55" i="6"/>
  <c r="EL9" i="6"/>
  <c r="EM97" i="6"/>
  <c r="EL113" i="6"/>
  <c r="EN114" i="6"/>
  <c r="EO18" i="6"/>
  <c r="EM29" i="6"/>
  <c r="EM54" i="6"/>
  <c r="EN61" i="6"/>
  <c r="EL80" i="6"/>
  <c r="EL67" i="6"/>
  <c r="EJ17" i="6"/>
  <c r="EJ82" i="6"/>
  <c r="EL101" i="6"/>
  <c r="EJ109" i="6"/>
  <c r="EN86" i="6"/>
  <c r="EO25" i="6"/>
  <c r="EO85" i="6"/>
  <c r="EN98" i="6"/>
  <c r="EO102" i="6"/>
  <c r="EN6" i="6"/>
  <c r="EL17" i="6"/>
  <c r="EO42" i="6"/>
  <c r="EK47" i="6"/>
  <c r="EN65" i="6"/>
  <c r="EK54" i="6"/>
  <c r="EJ62" i="6"/>
  <c r="EJ18" i="6"/>
  <c r="EN79" i="6"/>
  <c r="EL39" i="6"/>
  <c r="EK101" i="6"/>
  <c r="EJ7" i="6"/>
  <c r="EK74" i="6"/>
  <c r="EL84" i="6"/>
  <c r="EL91" i="6"/>
  <c r="EK116" i="6"/>
  <c r="EM115" i="6"/>
  <c r="EN30" i="6"/>
  <c r="EK35" i="6"/>
  <c r="EK51" i="6"/>
  <c r="EO52" i="6"/>
  <c r="EJ98" i="6"/>
  <c r="EJ37" i="6"/>
  <c r="EM62" i="6"/>
  <c r="EO112" i="6"/>
  <c r="EL51" i="6"/>
  <c r="EK68" i="6"/>
  <c r="EK27" i="6"/>
  <c r="EM18" i="6"/>
  <c r="EO50" i="6"/>
  <c r="EK117" i="6"/>
  <c r="IP21" i="6"/>
  <c r="PM8" i="6"/>
  <c r="QW96" i="6"/>
  <c r="JZ70" i="6"/>
  <c r="AAY100" i="6"/>
  <c r="IP100" i="6"/>
  <c r="PM47" i="6"/>
  <c r="OU51" i="6"/>
  <c r="AB9" i="6"/>
  <c r="HX84" i="6"/>
  <c r="OC110" i="6"/>
  <c r="LJ20" i="6"/>
  <c r="SG30" i="6"/>
  <c r="HX70" i="6"/>
  <c r="HX61" i="6"/>
  <c r="SY96" i="6"/>
  <c r="QW61" i="6"/>
  <c r="QW35" i="6"/>
  <c r="PM80" i="6"/>
  <c r="PM28" i="6"/>
  <c r="HX85" i="6"/>
  <c r="SG74" i="6"/>
  <c r="LJ63" i="6"/>
  <c r="JH47" i="6"/>
  <c r="HX105" i="6"/>
  <c r="PM26" i="6"/>
  <c r="IP34" i="6"/>
  <c r="SY74" i="6"/>
  <c r="MB18" i="6"/>
  <c r="MB67" i="6"/>
  <c r="AAY105" i="6"/>
  <c r="JZ85" i="6"/>
  <c r="QW81" i="6"/>
  <c r="JZ27" i="6"/>
  <c r="AB33" i="6"/>
  <c r="OU44" i="6"/>
  <c r="SG20" i="6"/>
  <c r="SY37" i="6"/>
  <c r="PM105" i="6"/>
  <c r="QE48" i="6"/>
  <c r="TQ84" i="6"/>
  <c r="OU68" i="6"/>
  <c r="MB59" i="6"/>
  <c r="RO89" i="6"/>
  <c r="JH74" i="6"/>
  <c r="QW43" i="6"/>
  <c r="QE21" i="6"/>
  <c r="SG36" i="6"/>
  <c r="BL112" i="6"/>
  <c r="BH106" i="6"/>
  <c r="BD100" i="6"/>
  <c r="BJ93" i="6"/>
  <c r="BG87" i="6"/>
  <c r="BM80" i="6"/>
  <c r="BG116" i="6"/>
  <c r="BM109" i="6"/>
  <c r="BI103" i="6"/>
  <c r="BE97" i="6"/>
  <c r="BK90" i="6"/>
  <c r="BH84" i="6"/>
  <c r="BD78" i="6"/>
  <c r="BJ71" i="6"/>
  <c r="BF65" i="6"/>
  <c r="BL58" i="6"/>
  <c r="BH52" i="6"/>
  <c r="BF112" i="6"/>
  <c r="BK103" i="6"/>
  <c r="BE95" i="6"/>
  <c r="BK86" i="6"/>
  <c r="BF78" i="6"/>
  <c r="BJ70" i="6"/>
  <c r="BG63" i="6"/>
  <c r="BD56" i="6"/>
  <c r="BM48" i="6"/>
  <c r="BI42" i="6"/>
  <c r="BH117" i="6"/>
  <c r="BM108" i="6"/>
  <c r="BH100" i="6"/>
  <c r="BL91" i="6"/>
  <c r="BH83" i="6"/>
  <c r="BE75" i="6"/>
  <c r="BL67" i="6"/>
  <c r="BI60" i="6"/>
  <c r="BE53" i="6"/>
  <c r="BH46" i="6"/>
  <c r="BD40" i="6"/>
  <c r="BJ114" i="6"/>
  <c r="BE106" i="6"/>
  <c r="BI97" i="6"/>
  <c r="BD89" i="6"/>
  <c r="BJ80" i="6"/>
  <c r="BK72" i="6"/>
  <c r="BH65" i="6"/>
  <c r="BE58" i="6"/>
  <c r="BK50" i="6"/>
  <c r="BG44" i="6"/>
  <c r="BM37" i="6"/>
  <c r="BJ108" i="6"/>
  <c r="BM94" i="6"/>
  <c r="BI81" i="6"/>
  <c r="BE69" i="6"/>
  <c r="BH57" i="6"/>
  <c r="BF46" i="6"/>
  <c r="BE36" i="6"/>
  <c r="BK29" i="6"/>
  <c r="BG23" i="6"/>
  <c r="BM16" i="6"/>
  <c r="BI10" i="6"/>
  <c r="BK113" i="6"/>
  <c r="BM99" i="6"/>
  <c r="BG86" i="6"/>
  <c r="BE73" i="6"/>
  <c r="BJ61" i="6"/>
  <c r="BD50" i="6"/>
  <c r="BK39" i="6"/>
  <c r="BD32" i="6"/>
  <c r="BJ25" i="6"/>
  <c r="BF19" i="6"/>
  <c r="BL12" i="6"/>
  <c r="BI6" i="6"/>
  <c r="BM104" i="6"/>
  <c r="BG91" i="6"/>
  <c r="BJ77" i="6"/>
  <c r="BK65" i="6"/>
  <c r="BM53" i="6"/>
  <c r="BH43" i="6"/>
  <c r="BG34" i="6"/>
  <c r="BM27" i="6"/>
  <c r="BI21" i="6"/>
  <c r="BE15" i="6"/>
  <c r="BD113" i="6"/>
  <c r="BJ99" i="6"/>
  <c r="BE86" i="6"/>
  <c r="BM72" i="6"/>
  <c r="BE61" i="6"/>
  <c r="BI49" i="6"/>
  <c r="BH39" i="6"/>
  <c r="BG111" i="6"/>
  <c r="BK97" i="6"/>
  <c r="BD84" i="6"/>
  <c r="BF71" i="6"/>
  <c r="BH59" i="6"/>
  <c r="BF48" i="6"/>
  <c r="BD38" i="6"/>
  <c r="BH109" i="6"/>
  <c r="BK95" i="6"/>
  <c r="BJ112" i="6"/>
  <c r="BM98" i="6"/>
  <c r="BG85" i="6"/>
  <c r="BF72" i="6"/>
  <c r="BK60" i="6"/>
  <c r="BF49" i="6"/>
  <c r="BM38" i="6"/>
  <c r="BI31" i="6"/>
  <c r="BE25" i="6"/>
  <c r="BK18" i="6"/>
  <c r="BG12" i="6"/>
  <c r="BD6" i="6"/>
  <c r="BM54" i="6"/>
  <c r="BH28" i="6"/>
  <c r="BJ15" i="6"/>
  <c r="BI8" i="6"/>
  <c r="BJ110" i="6"/>
  <c r="BD49" i="6"/>
  <c r="BJ26" i="6"/>
  <c r="BL13" i="6"/>
  <c r="BK73" i="6"/>
  <c r="BG59" i="6"/>
  <c r="BH29" i="6"/>
  <c r="BJ16" i="6"/>
  <c r="BH45" i="6"/>
  <c r="BF83" i="6"/>
  <c r="BH37" i="6"/>
  <c r="BM22" i="6"/>
  <c r="BF10" i="6"/>
  <c r="BF50" i="6"/>
  <c r="BI69" i="6"/>
  <c r="BH32" i="6"/>
  <c r="BJ19" i="6"/>
  <c r="BJ7" i="6"/>
  <c r="BH25" i="6"/>
  <c r="BG117" i="6"/>
  <c r="BL51" i="6"/>
  <c r="BH27" i="6"/>
  <c r="BJ14" i="6"/>
  <c r="BF62" i="6"/>
  <c r="BH17" i="6"/>
  <c r="BK15" i="6"/>
  <c r="BC67" i="6"/>
  <c r="BC114" i="6"/>
  <c r="BC50" i="6"/>
  <c r="BC95" i="6"/>
  <c r="BC31" i="6"/>
  <c r="BC65" i="6"/>
  <c r="BC77" i="6"/>
  <c r="BC88" i="6"/>
  <c r="BC100" i="6"/>
  <c r="BC110" i="6"/>
  <c r="BC8" i="6"/>
  <c r="BC20" i="6"/>
  <c r="BC17" i="6"/>
  <c r="BC16" i="6"/>
  <c r="BD112" i="6"/>
  <c r="BJ105" i="6"/>
  <c r="BF99" i="6"/>
  <c r="BL92" i="6"/>
  <c r="BI86" i="6"/>
  <c r="BE80" i="6"/>
  <c r="BI115" i="6"/>
  <c r="BE109" i="6"/>
  <c r="BK102" i="6"/>
  <c r="BG96" i="6"/>
  <c r="BM89" i="6"/>
  <c r="BJ83" i="6"/>
  <c r="BF77" i="6"/>
  <c r="BL70" i="6"/>
  <c r="BH64" i="6"/>
  <c r="BD58" i="6"/>
  <c r="BJ51" i="6"/>
  <c r="BE111" i="6"/>
  <c r="BJ102" i="6"/>
  <c r="BE94" i="6"/>
  <c r="BJ85" i="6"/>
  <c r="BE77" i="6"/>
  <c r="BK69" i="6"/>
  <c r="BH62" i="6"/>
  <c r="BE55" i="6"/>
  <c r="BE48" i="6"/>
  <c r="BK41" i="6"/>
  <c r="BH116" i="6"/>
  <c r="BL107" i="6"/>
  <c r="BG99" i="6"/>
  <c r="BL90" i="6"/>
  <c r="BG82" i="6"/>
  <c r="BF74" i="6"/>
  <c r="BM66" i="6"/>
  <c r="BI59" i="6"/>
  <c r="BF52" i="6"/>
  <c r="BJ45" i="6"/>
  <c r="BF39" i="6"/>
  <c r="BI113" i="6"/>
  <c r="BD105" i="6"/>
  <c r="BI96" i="6"/>
  <c r="BD88" i="6"/>
  <c r="BI79" i="6"/>
  <c r="BL71" i="6"/>
  <c r="BI64" i="6"/>
  <c r="BE57" i="6"/>
  <c r="BM49" i="6"/>
  <c r="BI43" i="6"/>
  <c r="BE37" i="6"/>
  <c r="BD107" i="6"/>
  <c r="BH93" i="6"/>
  <c r="BL79" i="6"/>
  <c r="BI67" i="6"/>
  <c r="BL55" i="6"/>
  <c r="BD45" i="6"/>
  <c r="BG35" i="6"/>
  <c r="BM28" i="6"/>
  <c r="BI22" i="6"/>
  <c r="BE16" i="6"/>
  <c r="BK9" i="6"/>
  <c r="BL111" i="6"/>
  <c r="BE98" i="6"/>
  <c r="BK84" i="6"/>
  <c r="BM71" i="6"/>
  <c r="BE60" i="6"/>
  <c r="BJ48" i="6"/>
  <c r="BG38" i="6"/>
  <c r="BF31" i="6"/>
  <c r="BL24" i="6"/>
  <c r="BH18" i="6"/>
  <c r="BD12" i="6"/>
  <c r="BM116" i="6"/>
  <c r="BE103" i="6"/>
  <c r="BH89" i="6"/>
  <c r="BM75" i="6"/>
  <c r="BG64" i="6"/>
  <c r="BK52" i="6"/>
  <c r="BE42" i="6"/>
  <c r="BI33" i="6"/>
  <c r="BE27" i="6"/>
  <c r="BK20" i="6"/>
  <c r="BG14" i="6"/>
  <c r="BJ111" i="6"/>
  <c r="BL97" i="6"/>
  <c r="BF84" i="6"/>
  <c r="BG71" i="6"/>
  <c r="BL59" i="6"/>
  <c r="BH48" i="6"/>
  <c r="BE38" i="6"/>
  <c r="BI109" i="6"/>
  <c r="BL95" i="6"/>
  <c r="BF82" i="6"/>
  <c r="BL69" i="6"/>
  <c r="BF58" i="6"/>
  <c r="BM46" i="6"/>
  <c r="BJ36" i="6"/>
  <c r="BJ107" i="6"/>
  <c r="BL93" i="6"/>
  <c r="BL110" i="6"/>
  <c r="BD97" i="6"/>
  <c r="BK83" i="6"/>
  <c r="BD71" i="6"/>
  <c r="BF59" i="6"/>
  <c r="BL47" i="6"/>
  <c r="BI37" i="6"/>
  <c r="BK30" i="6"/>
  <c r="BG24" i="6"/>
  <c r="BM17" i="6"/>
  <c r="BI11" i="6"/>
  <c r="BH112" i="6"/>
  <c r="BG49" i="6"/>
  <c r="BL26" i="6"/>
  <c r="BD14" i="6"/>
  <c r="BF100" i="6"/>
  <c r="BM96" i="6"/>
  <c r="BL43" i="6"/>
  <c r="BD25" i="6"/>
  <c r="BF12" i="6"/>
  <c r="BI12" i="6"/>
  <c r="BJ53" i="6"/>
  <c r="BL27" i="6"/>
  <c r="BD15" i="6"/>
  <c r="BL9" i="6"/>
  <c r="BJ76" i="6"/>
  <c r="BE34" i="6"/>
  <c r="BG21" i="6"/>
  <c r="BD9" i="6"/>
  <c r="BK31" i="6"/>
  <c r="BL63" i="6"/>
  <c r="BL30" i="6"/>
  <c r="BD18" i="6"/>
  <c r="BG6" i="6"/>
  <c r="BD19" i="6"/>
  <c r="BL103" i="6"/>
  <c r="BG46" i="6"/>
  <c r="BL25" i="6"/>
  <c r="BD13" i="6"/>
  <c r="BH40" i="6"/>
  <c r="BD11" i="6"/>
  <c r="BM10" i="6"/>
  <c r="BC59" i="6"/>
  <c r="BC106" i="6"/>
  <c r="BC42" i="6"/>
  <c r="BC87" i="6"/>
  <c r="BC23" i="6"/>
  <c r="BC53" i="6"/>
  <c r="BC64" i="6"/>
  <c r="BC76" i="6"/>
  <c r="BC86" i="6"/>
  <c r="BC97" i="6"/>
  <c r="BC109" i="6"/>
  <c r="BC108" i="6"/>
  <c r="BC105" i="6"/>
  <c r="BC6" i="6"/>
  <c r="BJ117" i="6"/>
  <c r="BF111" i="6"/>
  <c r="BL104" i="6"/>
  <c r="BH98" i="6"/>
  <c r="BD92" i="6"/>
  <c r="BK85" i="6"/>
  <c r="BG79" i="6"/>
  <c r="BK114" i="6"/>
  <c r="BG108" i="6"/>
  <c r="BM101" i="6"/>
  <c r="BI95" i="6"/>
  <c r="BE89" i="6"/>
  <c r="BL82" i="6"/>
  <c r="BH76" i="6"/>
  <c r="BD70" i="6"/>
  <c r="BJ63" i="6"/>
  <c r="BF57" i="6"/>
  <c r="BL50" i="6"/>
  <c r="BE110" i="6"/>
  <c r="BI101" i="6"/>
  <c r="BD93" i="6"/>
  <c r="BJ84" i="6"/>
  <c r="BE76" i="6"/>
  <c r="BL68" i="6"/>
  <c r="BI61" i="6"/>
  <c r="BF54" i="6"/>
  <c r="BG47" i="6"/>
  <c r="BM40" i="6"/>
  <c r="BG115" i="6"/>
  <c r="BL106" i="6"/>
  <c r="BF98" i="6"/>
  <c r="BK89" i="6"/>
  <c r="BG81" i="6"/>
  <c r="BG73" i="6"/>
  <c r="BM65" i="6"/>
  <c r="BJ58" i="6"/>
  <c r="BG51" i="6"/>
  <c r="BL44" i="6"/>
  <c r="BH38" i="6"/>
  <c r="BI112" i="6"/>
  <c r="BM103" i="6"/>
  <c r="BH95" i="6"/>
  <c r="BD87" i="6"/>
  <c r="BH78" i="6"/>
  <c r="BM70" i="6"/>
  <c r="BI63" i="6"/>
  <c r="BF56" i="6"/>
  <c r="BE49" i="6"/>
  <c r="BK42" i="6"/>
  <c r="BG36" i="6"/>
  <c r="BG105" i="6"/>
  <c r="BJ91" i="6"/>
  <c r="BM77" i="6"/>
  <c r="BF66" i="6"/>
  <c r="BI54" i="6"/>
  <c r="BK43" i="6"/>
  <c r="BI34" i="6"/>
  <c r="BE28" i="6"/>
  <c r="BK21" i="6"/>
  <c r="BG15" i="6"/>
  <c r="BM8" i="6"/>
  <c r="BF110" i="6"/>
  <c r="BJ96" i="6"/>
  <c r="BD83" i="6"/>
  <c r="BG70" i="6"/>
  <c r="BI58" i="6"/>
  <c r="BH47" i="6"/>
  <c r="BF37" i="6"/>
  <c r="BH30" i="6"/>
  <c r="BD24" i="6"/>
  <c r="BJ17" i="6"/>
  <c r="BF11" i="6"/>
  <c r="BD115" i="6"/>
  <c r="BG101" i="6"/>
  <c r="BM87" i="6"/>
  <c r="BJ74" i="6"/>
  <c r="BM62" i="6"/>
  <c r="BE51" i="6"/>
  <c r="BK40" i="6"/>
  <c r="BK32" i="6"/>
  <c r="BG26" i="6"/>
  <c r="BM19" i="6"/>
  <c r="BI13" i="6"/>
  <c r="BK109" i="6"/>
  <c r="BM95" i="6"/>
  <c r="BJ82" i="6"/>
  <c r="BE70" i="6"/>
  <c r="BG58" i="6"/>
  <c r="BD47" i="6"/>
  <c r="BK36" i="6"/>
  <c r="BK107" i="6"/>
  <c r="BF94" i="6"/>
  <c r="BK80" i="6"/>
  <c r="BG68" i="6"/>
  <c r="BJ56" i="6"/>
  <c r="BI45" i="6"/>
  <c r="BK35" i="6"/>
  <c r="BD106" i="6"/>
  <c r="BH92" i="6"/>
  <c r="BF109" i="6"/>
  <c r="BJ95" i="6"/>
  <c r="BM81" i="6"/>
  <c r="BH69" i="6"/>
  <c r="BJ57" i="6"/>
  <c r="BJ46" i="6"/>
  <c r="BH36" i="6"/>
  <c r="BM29" i="6"/>
  <c r="BI23" i="6"/>
  <c r="BE17" i="6"/>
  <c r="BK10" i="6"/>
  <c r="BL98" i="6"/>
  <c r="BF44" i="6"/>
  <c r="BF25" i="6"/>
  <c r="BH12" i="6"/>
  <c r="BE56" i="6"/>
  <c r="BE85" i="6"/>
  <c r="BL38" i="6"/>
  <c r="BH23" i="6"/>
  <c r="BJ10" i="6"/>
  <c r="BK108" i="6"/>
  <c r="BM47" i="6"/>
  <c r="BF26" i="6"/>
  <c r="BH13" i="6"/>
  <c r="BK67" i="6"/>
  <c r="BK70" i="6"/>
  <c r="BI32" i="6"/>
  <c r="BK19" i="6"/>
  <c r="BK7" i="6"/>
  <c r="BI20" i="6"/>
  <c r="BM57" i="6"/>
  <c r="BF29" i="6"/>
  <c r="BH16" i="6"/>
  <c r="BL115" i="6"/>
  <c r="BJ12" i="6"/>
  <c r="BF90" i="6"/>
  <c r="BG41" i="6"/>
  <c r="BF24" i="6"/>
  <c r="BH11" i="6"/>
  <c r="BH33" i="6"/>
  <c r="BE7" i="6"/>
  <c r="BC115" i="6"/>
  <c r="BC51" i="6"/>
  <c r="BC98" i="6"/>
  <c r="BC34" i="6"/>
  <c r="BC79" i="6"/>
  <c r="BC15" i="6"/>
  <c r="BC40" i="6"/>
  <c r="BC52" i="6"/>
  <c r="BC62" i="6"/>
  <c r="BC73" i="6"/>
  <c r="BC85" i="6"/>
  <c r="BC96" i="6"/>
  <c r="BC94" i="6"/>
  <c r="BC80" i="6"/>
  <c r="BL116" i="6"/>
  <c r="BH110" i="6"/>
  <c r="BD104" i="6"/>
  <c r="BJ97" i="6"/>
  <c r="BF91" i="6"/>
  <c r="BM84" i="6"/>
  <c r="BI78" i="6"/>
  <c r="BM113" i="6"/>
  <c r="BI107" i="6"/>
  <c r="BE101" i="6"/>
  <c r="BK94" i="6"/>
  <c r="BH88" i="6"/>
  <c r="BD82" i="6"/>
  <c r="BJ75" i="6"/>
  <c r="BF69" i="6"/>
  <c r="BL62" i="6"/>
  <c r="BH56" i="6"/>
  <c r="BI117" i="6"/>
  <c r="BD109" i="6"/>
  <c r="BI100" i="6"/>
  <c r="BM91" i="6"/>
  <c r="BI83" i="6"/>
  <c r="BF75" i="6"/>
  <c r="BM67" i="6"/>
  <c r="BJ60" i="6"/>
  <c r="BG53" i="6"/>
  <c r="BI46" i="6"/>
  <c r="BE40" i="6"/>
  <c r="BF114" i="6"/>
  <c r="BK105" i="6"/>
  <c r="BF97" i="6"/>
  <c r="BK88" i="6"/>
  <c r="BF80" i="6"/>
  <c r="BG72" i="6"/>
  <c r="BD65" i="6"/>
  <c r="BK57" i="6"/>
  <c r="BH50" i="6"/>
  <c r="BD44" i="6"/>
  <c r="BJ37" i="6"/>
  <c r="BH111" i="6"/>
  <c r="BM102" i="6"/>
  <c r="BG94" i="6"/>
  <c r="BM85" i="6"/>
  <c r="BH77" i="6"/>
  <c r="BM69" i="6"/>
  <c r="BJ62" i="6"/>
  <c r="BG55" i="6"/>
  <c r="BG48" i="6"/>
  <c r="BM41" i="6"/>
  <c r="BF117" i="6"/>
  <c r="BH103" i="6"/>
  <c r="BD90" i="6"/>
  <c r="BI76" i="6"/>
  <c r="BK64" i="6"/>
  <c r="BM52" i="6"/>
  <c r="BG42" i="6"/>
  <c r="BK33" i="6"/>
  <c r="BG27" i="6"/>
  <c r="BM20" i="6"/>
  <c r="BI14" i="6"/>
  <c r="BE8" i="6"/>
  <c r="BI108" i="6"/>
  <c r="BL94" i="6"/>
  <c r="BE81" i="6"/>
  <c r="BM68" i="6"/>
  <c r="BG57" i="6"/>
  <c r="BE46" i="6"/>
  <c r="BD36" i="6"/>
  <c r="BJ29" i="6"/>
  <c r="BF23" i="6"/>
  <c r="BL16" i="6"/>
  <c r="BH10" i="6"/>
  <c r="BH113" i="6"/>
  <c r="BL99" i="6"/>
  <c r="BF86" i="6"/>
  <c r="BD73" i="6"/>
  <c r="BG61" i="6"/>
  <c r="BL49" i="6"/>
  <c r="BJ39" i="6"/>
  <c r="BM31" i="6"/>
  <c r="BI25" i="6"/>
  <c r="BE19" i="6"/>
  <c r="BK12" i="6"/>
  <c r="BE108" i="6"/>
  <c r="BI94" i="6"/>
  <c r="BL80" i="6"/>
  <c r="BI68" i="6"/>
  <c r="BK56" i="6"/>
  <c r="BL45" i="6"/>
  <c r="BL35" i="6"/>
  <c r="BF106" i="6"/>
  <c r="BI92" i="6"/>
  <c r="BM78" i="6"/>
  <c r="BK66" i="6"/>
  <c r="BF55" i="6"/>
  <c r="BH44" i="6"/>
  <c r="BM34" i="6"/>
  <c r="BF104" i="6"/>
  <c r="BI90" i="6"/>
  <c r="BH107" i="6"/>
  <c r="BK93" i="6"/>
  <c r="BD80" i="6"/>
  <c r="BD68" i="6"/>
  <c r="BG56" i="6"/>
  <c r="BG45" i="6"/>
  <c r="BI35" i="6"/>
  <c r="BE29" i="6"/>
  <c r="BK22" i="6"/>
  <c r="BG16" i="6"/>
  <c r="BM9" i="6"/>
  <c r="BH85" i="6"/>
  <c r="BD39" i="6"/>
  <c r="BJ23" i="6"/>
  <c r="BL10" i="6"/>
  <c r="BF45" i="6"/>
  <c r="BG78" i="6"/>
  <c r="BJ34" i="6"/>
  <c r="BL21" i="6"/>
  <c r="BG9" i="6"/>
  <c r="BG95" i="6"/>
  <c r="BM42" i="6"/>
  <c r="BJ24" i="6"/>
  <c r="BL11" i="6"/>
  <c r="BI28" i="6"/>
  <c r="BL64" i="6"/>
  <c r="BM30" i="6"/>
  <c r="BE18" i="6"/>
  <c r="BH6" i="6"/>
  <c r="BD7" i="6"/>
  <c r="BD52" i="6"/>
  <c r="BJ27" i="6"/>
  <c r="BL14" i="6"/>
  <c r="BI80" i="6"/>
  <c r="BE6" i="6"/>
  <c r="BL81" i="6"/>
  <c r="BF36" i="6"/>
  <c r="BJ22" i="6"/>
  <c r="BD10" i="6"/>
  <c r="BL31" i="6"/>
  <c r="BM86" i="6"/>
  <c r="BC107" i="6"/>
  <c r="BC43" i="6"/>
  <c r="BC90" i="6"/>
  <c r="BC26" i="6"/>
  <c r="BC71" i="6"/>
  <c r="BC7" i="6"/>
  <c r="BC28" i="6"/>
  <c r="BC38" i="6"/>
  <c r="BC49" i="6"/>
  <c r="BC61" i="6"/>
  <c r="BC72" i="6"/>
  <c r="BC84" i="6"/>
  <c r="BC81" i="6"/>
  <c r="BC41" i="6"/>
  <c r="BD116" i="6"/>
  <c r="BJ109" i="6"/>
  <c r="BF103" i="6"/>
  <c r="BL96" i="6"/>
  <c r="BH90" i="6"/>
  <c r="BE84" i="6"/>
  <c r="BK77" i="6"/>
  <c r="BE113" i="6"/>
  <c r="BK106" i="6"/>
  <c r="BG100" i="6"/>
  <c r="BM93" i="6"/>
  <c r="BJ87" i="6"/>
  <c r="BF81" i="6"/>
  <c r="BL74" i="6"/>
  <c r="BH68" i="6"/>
  <c r="BD62" i="6"/>
  <c r="BJ55" i="6"/>
  <c r="BI116" i="6"/>
  <c r="BM107" i="6"/>
  <c r="BH99" i="6"/>
  <c r="BM90" i="6"/>
  <c r="BH82" i="6"/>
  <c r="BG74" i="6"/>
  <c r="BD67" i="6"/>
  <c r="BK59" i="6"/>
  <c r="BG52" i="6"/>
  <c r="BK45" i="6"/>
  <c r="BG39" i="6"/>
  <c r="BF113" i="6"/>
  <c r="BJ104" i="6"/>
  <c r="BE96" i="6"/>
  <c r="BK87" i="6"/>
  <c r="BE79" i="6"/>
  <c r="BH71" i="6"/>
  <c r="BE64" i="6"/>
  <c r="BL56" i="6"/>
  <c r="BJ49" i="6"/>
  <c r="BF43" i="6"/>
  <c r="BL36" i="6"/>
  <c r="BG110" i="6"/>
  <c r="BL101" i="6"/>
  <c r="BG93" i="6"/>
  <c r="BL84" i="6"/>
  <c r="BG76" i="6"/>
  <c r="BD69" i="6"/>
  <c r="BK61" i="6"/>
  <c r="BH54" i="6"/>
  <c r="BI47" i="6"/>
  <c r="BE41" i="6"/>
  <c r="BJ115" i="6"/>
  <c r="BD102" i="6"/>
  <c r="BG88" i="6"/>
  <c r="BM74" i="6"/>
  <c r="BE63" i="6"/>
  <c r="BI51" i="6"/>
  <c r="BF41" i="6"/>
  <c r="BM32" i="6"/>
  <c r="BI26" i="6"/>
  <c r="BE20" i="6"/>
  <c r="BK13" i="6"/>
  <c r="BG7" i="6"/>
  <c r="BJ106" i="6"/>
  <c r="BF93" i="6"/>
  <c r="BK79" i="6"/>
  <c r="BH67" i="6"/>
  <c r="BK55" i="6"/>
  <c r="BK44" i="6"/>
  <c r="BF35" i="6"/>
  <c r="BL28" i="6"/>
  <c r="BH22" i="6"/>
  <c r="BD16" i="6"/>
  <c r="BJ9" i="6"/>
  <c r="BK111" i="6"/>
  <c r="BD98" i="6"/>
  <c r="BG84" i="6"/>
  <c r="BK71" i="6"/>
  <c r="BD60" i="6"/>
  <c r="BI48" i="6"/>
  <c r="BF38" i="6"/>
  <c r="BE31" i="6"/>
  <c r="BK24" i="6"/>
  <c r="BG18" i="6"/>
  <c r="BM11" i="6"/>
  <c r="BG106" i="6"/>
  <c r="BJ92" i="6"/>
  <c r="BD79" i="6"/>
  <c r="BE67" i="6"/>
  <c r="BH55" i="6"/>
  <c r="BI44" i="6"/>
  <c r="BD35" i="6"/>
  <c r="BH104" i="6"/>
  <c r="BJ90" i="6"/>
  <c r="BG77" i="6"/>
  <c r="BI65" i="6"/>
  <c r="BK53" i="6"/>
  <c r="BD43" i="6"/>
  <c r="BE116" i="6"/>
  <c r="BG102" i="6"/>
  <c r="BF87" i="6"/>
  <c r="BI105" i="6"/>
  <c r="BE92" i="6"/>
  <c r="BJ78" i="6"/>
  <c r="BI66" i="6"/>
  <c r="BK54" i="6"/>
  <c r="BM43" i="6"/>
  <c r="BK34" i="6"/>
  <c r="BG28" i="6"/>
  <c r="BM21" i="6"/>
  <c r="BI15" i="6"/>
  <c r="BE9" i="6"/>
  <c r="BK78" i="6"/>
  <c r="BL34" i="6"/>
  <c r="BD22" i="6"/>
  <c r="BH9" i="6"/>
  <c r="BH35" i="6"/>
  <c r="BE72" i="6"/>
  <c r="BD33" i="6"/>
  <c r="BF20" i="6"/>
  <c r="BM7" i="6"/>
  <c r="BM83" i="6"/>
  <c r="BL37" i="6"/>
  <c r="BD23" i="6"/>
  <c r="BG10" i="6"/>
  <c r="BM18" i="6"/>
  <c r="BE59" i="6"/>
  <c r="BG29" i="6"/>
  <c r="BI16" i="6"/>
  <c r="BI56" i="6"/>
  <c r="BH105" i="6"/>
  <c r="BL46" i="6"/>
  <c r="BD26" i="6"/>
  <c r="BF13" i="6"/>
  <c r="BF68" i="6"/>
  <c r="BM79" i="6"/>
  <c r="BD75" i="6"/>
  <c r="BL33" i="6"/>
  <c r="BD21" i="6"/>
  <c r="BJ8" i="6"/>
  <c r="BJ28" i="6"/>
  <c r="BM39" i="6"/>
  <c r="BC99" i="6"/>
  <c r="BC35" i="6"/>
  <c r="BC82" i="6"/>
  <c r="BC18" i="6"/>
  <c r="BC63" i="6"/>
  <c r="BC117" i="6"/>
  <c r="BC14" i="6"/>
  <c r="BC25" i="6"/>
  <c r="BC37" i="6"/>
  <c r="BC48" i="6"/>
  <c r="BC60" i="6"/>
  <c r="BC70" i="6"/>
  <c r="BC69" i="6"/>
  <c r="BC93" i="6"/>
  <c r="BF115" i="6"/>
  <c r="BL108" i="6"/>
  <c r="BH102" i="6"/>
  <c r="BD96" i="6"/>
  <c r="BJ89" i="6"/>
  <c r="BG83" i="6"/>
  <c r="BM76" i="6"/>
  <c r="BG112" i="6"/>
  <c r="BM105" i="6"/>
  <c r="BI99" i="6"/>
  <c r="BE93" i="6"/>
  <c r="BL86" i="6"/>
  <c r="BH80" i="6"/>
  <c r="BD74" i="6"/>
  <c r="BJ67" i="6"/>
  <c r="BF61" i="6"/>
  <c r="BL54" i="6"/>
  <c r="BH115" i="6"/>
  <c r="BM106" i="6"/>
  <c r="BG98" i="6"/>
  <c r="BL89" i="6"/>
  <c r="BH81" i="6"/>
  <c r="BH73" i="6"/>
  <c r="BE66" i="6"/>
  <c r="BK58" i="6"/>
  <c r="BH51" i="6"/>
  <c r="BM44" i="6"/>
  <c r="BI38" i="6"/>
  <c r="BE112" i="6"/>
  <c r="BJ103" i="6"/>
  <c r="BD95" i="6"/>
  <c r="BJ86" i="6"/>
  <c r="BE78" i="6"/>
  <c r="BI70" i="6"/>
  <c r="BF63" i="6"/>
  <c r="BM55" i="6"/>
  <c r="BL48" i="6"/>
  <c r="BH42" i="6"/>
  <c r="BL117" i="6"/>
  <c r="BG109" i="6"/>
  <c r="BK100" i="6"/>
  <c r="BF92" i="6"/>
  <c r="BL83" i="6"/>
  <c r="BH75" i="6"/>
  <c r="BE68" i="6"/>
  <c r="BL60" i="6"/>
  <c r="BI53" i="6"/>
  <c r="BK46" i="6"/>
  <c r="BG40" i="6"/>
  <c r="BL113" i="6"/>
  <c r="BE100" i="6"/>
  <c r="BH86" i="6"/>
  <c r="BI73" i="6"/>
  <c r="BL61" i="6"/>
  <c r="BE50" i="6"/>
  <c r="BL39" i="6"/>
  <c r="BE32" i="6"/>
  <c r="BK25" i="6"/>
  <c r="BG19" i="6"/>
  <c r="BM12" i="6"/>
  <c r="BJ6" i="6"/>
  <c r="BF105" i="6"/>
  <c r="BH91" i="6"/>
  <c r="BL77" i="6"/>
  <c r="BL65" i="6"/>
  <c r="BG54" i="6"/>
  <c r="BJ43" i="6"/>
  <c r="BH34" i="6"/>
  <c r="BD28" i="6"/>
  <c r="BJ21" i="6"/>
  <c r="BF15" i="6"/>
  <c r="BL8" i="6"/>
  <c r="BL109" i="6"/>
  <c r="BH96" i="6"/>
  <c r="BM82" i="6"/>
  <c r="BF70" i="6"/>
  <c r="BH58" i="6"/>
  <c r="BE47" i="6"/>
  <c r="BD37" i="6"/>
  <c r="BG30" i="6"/>
  <c r="BM23" i="6"/>
  <c r="BI17" i="6"/>
  <c r="BE11" i="6"/>
  <c r="BI104" i="6"/>
  <c r="BD91" i="6"/>
  <c r="BI77" i="6"/>
  <c r="BJ65" i="6"/>
  <c r="BL53" i="6"/>
  <c r="BE43" i="6"/>
  <c r="BF116" i="6"/>
  <c r="BL102" i="6"/>
  <c r="BF89" i="6"/>
  <c r="BK75" i="6"/>
  <c r="BM63" i="6"/>
  <c r="BE52" i="6"/>
  <c r="BL41" i="6"/>
  <c r="BI114" i="6"/>
  <c r="BM100" i="6"/>
  <c r="BK117" i="6"/>
  <c r="BE104" i="6"/>
  <c r="BG90" i="6"/>
  <c r="BK76" i="6"/>
  <c r="BM64" i="6"/>
  <c r="BH53" i="6"/>
  <c r="BL42" i="6"/>
  <c r="BM33" i="6"/>
  <c r="BI27" i="6"/>
  <c r="BE21" i="6"/>
  <c r="BK14" i="6"/>
  <c r="BG8" i="6"/>
  <c r="BJ72" i="6"/>
  <c r="BF33" i="6"/>
  <c r="BH20" i="6"/>
  <c r="BF8" i="6"/>
  <c r="BE30" i="6"/>
  <c r="BH66" i="6"/>
  <c r="BH31" i="6"/>
  <c r="BJ18" i="6"/>
  <c r="BM6" i="6"/>
  <c r="BL76" i="6"/>
  <c r="BF34" i="6"/>
  <c r="BH21" i="6"/>
  <c r="BF9" i="6"/>
  <c r="BI9" i="6"/>
  <c r="BD53" i="6"/>
  <c r="BK27" i="6"/>
  <c r="BM14" i="6"/>
  <c r="BF14" i="6"/>
  <c r="BK91" i="6"/>
  <c r="BI41" i="6"/>
  <c r="BH24" i="6"/>
  <c r="BJ11" i="6"/>
  <c r="BJ50" i="6"/>
  <c r="BM26" i="6"/>
  <c r="BG69" i="6"/>
  <c r="BF32" i="6"/>
  <c r="BH19" i="6"/>
  <c r="BH7" i="6"/>
  <c r="BD27" i="6"/>
  <c r="BG33" i="6"/>
  <c r="BC91" i="6"/>
  <c r="BC27" i="6"/>
  <c r="BC74" i="6"/>
  <c r="BC10" i="6"/>
  <c r="BC55" i="6"/>
  <c r="BC104" i="6"/>
  <c r="BC116" i="6"/>
  <c r="BC13" i="6"/>
  <c r="BC24" i="6"/>
  <c r="BC36" i="6"/>
  <c r="BC46" i="6"/>
  <c r="BC57" i="6"/>
  <c r="BC56" i="6"/>
  <c r="BC68" i="6"/>
  <c r="BH114" i="6"/>
  <c r="BD108" i="6"/>
  <c r="BJ101" i="6"/>
  <c r="BF95" i="6"/>
  <c r="BM88" i="6"/>
  <c r="BI82" i="6"/>
  <c r="BM117" i="6"/>
  <c r="BI111" i="6"/>
  <c r="BE105" i="6"/>
  <c r="BK98" i="6"/>
  <c r="BG92" i="6"/>
  <c r="BD86" i="6"/>
  <c r="BJ79" i="6"/>
  <c r="BF73" i="6"/>
  <c r="BL66" i="6"/>
  <c r="BH60" i="6"/>
  <c r="BD54" i="6"/>
  <c r="BG114" i="6"/>
  <c r="BL105" i="6"/>
  <c r="BG97" i="6"/>
  <c r="BL88" i="6"/>
  <c r="BG80" i="6"/>
  <c r="BI72" i="6"/>
  <c r="BE65" i="6"/>
  <c r="BL57" i="6"/>
  <c r="BI50" i="6"/>
  <c r="BE44" i="6"/>
  <c r="BK37" i="6"/>
  <c r="BD111" i="6"/>
  <c r="BI102" i="6"/>
  <c r="BD94" i="6"/>
  <c r="BI85" i="6"/>
  <c r="BD77" i="6"/>
  <c r="BJ69" i="6"/>
  <c r="BG62" i="6"/>
  <c r="BD55" i="6"/>
  <c r="BD48" i="6"/>
  <c r="BJ41" i="6"/>
  <c r="BK116" i="6"/>
  <c r="BF108" i="6"/>
  <c r="BK99" i="6"/>
  <c r="BE91" i="6"/>
  <c r="BK82" i="6"/>
  <c r="BI74" i="6"/>
  <c r="BF67" i="6"/>
  <c r="BM59" i="6"/>
  <c r="BJ52" i="6"/>
  <c r="BM45" i="6"/>
  <c r="BI39" i="6"/>
  <c r="BM111" i="6"/>
  <c r="BI98" i="6"/>
  <c r="BD85" i="6"/>
  <c r="BD72" i="6"/>
  <c r="BF60" i="6"/>
  <c r="BK48" i="6"/>
  <c r="BJ38" i="6"/>
  <c r="BG31" i="6"/>
  <c r="BM24" i="6"/>
  <c r="BI18" i="6"/>
  <c r="BE12" i="6"/>
  <c r="BD117" i="6"/>
  <c r="BG103" i="6"/>
  <c r="BI89" i="6"/>
  <c r="BF76" i="6"/>
  <c r="BJ64" i="6"/>
  <c r="BL52" i="6"/>
  <c r="BF42" i="6"/>
  <c r="BJ33" i="6"/>
  <c r="BF27" i="6"/>
  <c r="BL20" i="6"/>
  <c r="BH14" i="6"/>
  <c r="BD8" i="6"/>
  <c r="BH108" i="6"/>
  <c r="BJ94" i="6"/>
  <c r="BD81" i="6"/>
  <c r="BJ68" i="6"/>
  <c r="BD57" i="6"/>
  <c r="BD46" i="6"/>
  <c r="BM35" i="6"/>
  <c r="BI29" i="6"/>
  <c r="BE23" i="6"/>
  <c r="BK16" i="6"/>
  <c r="BJ116" i="6"/>
  <c r="BD103" i="6"/>
  <c r="BG89" i="6"/>
  <c r="BL75" i="6"/>
  <c r="BD64" i="6"/>
  <c r="BI52" i="6"/>
  <c r="BD42" i="6"/>
  <c r="BL114" i="6"/>
  <c r="BD101" i="6"/>
  <c r="BH87" i="6"/>
  <c r="BE74" i="6"/>
  <c r="BI62" i="6"/>
  <c r="BM50" i="6"/>
  <c r="BI40" i="6"/>
  <c r="BK112" i="6"/>
  <c r="BD99" i="6"/>
  <c r="BM115" i="6"/>
  <c r="BF102" i="6"/>
  <c r="BJ88" i="6"/>
  <c r="BG75" i="6"/>
  <c r="BK63" i="6"/>
  <c r="BM51" i="6"/>
  <c r="BH41" i="6"/>
  <c r="BE33" i="6"/>
  <c r="BK26" i="6"/>
  <c r="BG20" i="6"/>
  <c r="BM13" i="6"/>
  <c r="BI7" i="6"/>
  <c r="BJ66" i="6"/>
  <c r="BJ31" i="6"/>
  <c r="BL18" i="6"/>
  <c r="BI88" i="6"/>
  <c r="BK23" i="6"/>
  <c r="BG60" i="6"/>
  <c r="BL29" i="6"/>
  <c r="BD17" i="6"/>
  <c r="BM73" i="6"/>
  <c r="BE71" i="6"/>
  <c r="BJ32" i="6"/>
  <c r="BL19" i="6"/>
  <c r="BL7" i="6"/>
  <c r="BG107" i="6"/>
  <c r="BK47" i="6"/>
  <c r="BE26" i="6"/>
  <c r="BG13" i="6"/>
  <c r="BD114" i="6"/>
  <c r="BE82" i="6"/>
  <c r="BI36" i="6"/>
  <c r="BL22" i="6"/>
  <c r="BE10" i="6"/>
  <c r="BJ35" i="6"/>
  <c r="BG17" i="6"/>
  <c r="BH63" i="6"/>
  <c r="BJ30" i="6"/>
  <c r="BL17" i="6"/>
  <c r="BF6" i="6"/>
  <c r="BL23" i="6"/>
  <c r="BG25" i="6"/>
  <c r="BC83" i="6"/>
  <c r="BC19" i="6"/>
  <c r="BC66" i="6"/>
  <c r="BC111" i="6"/>
  <c r="BC47" i="6"/>
  <c r="BC92" i="6"/>
  <c r="BC102" i="6"/>
  <c r="BC113" i="6"/>
  <c r="BC12" i="6"/>
  <c r="BC22" i="6"/>
  <c r="BC33" i="6"/>
  <c r="BC45" i="6"/>
  <c r="BC44" i="6"/>
  <c r="BC54" i="6"/>
  <c r="BJ113" i="6"/>
  <c r="BG104" i="6"/>
  <c r="BF53" i="6"/>
  <c r="BM56" i="6"/>
  <c r="BD76" i="6"/>
  <c r="BJ98" i="6"/>
  <c r="BK38" i="6"/>
  <c r="BI30" i="6"/>
  <c r="BD63" i="6"/>
  <c r="BI106" i="6"/>
  <c r="BG22" i="6"/>
  <c r="BJ40" i="6"/>
  <c r="BM110" i="6"/>
  <c r="BF40" i="6"/>
  <c r="BF17" i="6"/>
  <c r="BD31" i="6"/>
  <c r="BI75" i="6"/>
  <c r="BF16" i="6"/>
  <c r="BC39" i="6"/>
  <c r="BC30" i="6"/>
  <c r="BM97" i="6"/>
  <c r="BK49" i="6"/>
  <c r="BE90" i="6"/>
  <c r="BE24" i="6"/>
  <c r="BF51" i="6"/>
  <c r="BM15" i="6"/>
  <c r="BH97" i="6"/>
  <c r="BF22" i="6"/>
  <c r="BD34" i="6"/>
  <c r="BE102" i="6"/>
  <c r="BC29" i="6"/>
  <c r="BG37" i="6"/>
  <c r="BD29" i="6"/>
  <c r="BF107" i="6"/>
  <c r="BG113" i="6"/>
  <c r="BK68" i="6"/>
  <c r="BI110" i="6"/>
  <c r="BK92" i="6"/>
  <c r="BM112" i="6"/>
  <c r="BG32" i="6"/>
  <c r="BF18" i="6"/>
  <c r="BC78" i="6"/>
  <c r="BK74" i="6"/>
  <c r="BC103" i="6"/>
  <c r="BL100" i="6"/>
  <c r="BI91" i="6"/>
  <c r="BK104" i="6"/>
  <c r="BG43" i="6"/>
  <c r="BH61" i="6"/>
  <c r="BJ81" i="6"/>
  <c r="BK96" i="6"/>
  <c r="BK17" i="6"/>
  <c r="BD41" i="6"/>
  <c r="BH79" i="6"/>
  <c r="BM114" i="6"/>
  <c r="BE99" i="6"/>
  <c r="BE114" i="6"/>
  <c r="BM25" i="6"/>
  <c r="BE14" i="6"/>
  <c r="BK6" i="6"/>
  <c r="BF21" i="6"/>
  <c r="BJ20" i="6"/>
  <c r="BC89" i="6"/>
  <c r="BD66" i="6"/>
  <c r="BK51" i="6"/>
  <c r="BE35" i="6"/>
  <c r="BE62" i="6"/>
  <c r="BK11" i="6"/>
  <c r="BJ59" i="6"/>
  <c r="BF7" i="6"/>
  <c r="BG65" i="6"/>
  <c r="BH94" i="6"/>
  <c r="BF85" i="6"/>
  <c r="BF96" i="6"/>
  <c r="BM36" i="6"/>
  <c r="BE54" i="6"/>
  <c r="BJ73" i="6"/>
  <c r="BE83" i="6"/>
  <c r="BG11" i="6"/>
  <c r="BL32" i="6"/>
  <c r="BG67" i="6"/>
  <c r="BF101" i="6"/>
  <c r="BL85" i="6"/>
  <c r="BJ100" i="6"/>
  <c r="BI19" i="6"/>
  <c r="BJ54" i="6"/>
  <c r="BI93" i="6"/>
  <c r="BK8" i="6"/>
  <c r="BE22" i="6"/>
  <c r="BC101" i="6"/>
  <c r="BD110" i="6"/>
  <c r="BG66" i="6"/>
  <c r="BE115" i="6"/>
  <c r="BI55" i="6"/>
  <c r="BL72" i="6"/>
  <c r="BE87" i="6"/>
  <c r="BF28" i="6"/>
  <c r="BJ42" i="6"/>
  <c r="BC75" i="6"/>
  <c r="BE117" i="6"/>
  <c r="BK115" i="6"/>
  <c r="BJ47" i="6"/>
  <c r="BK62" i="6"/>
  <c r="BI57" i="6"/>
  <c r="BK110" i="6"/>
  <c r="BE45" i="6"/>
  <c r="BE39" i="6"/>
  <c r="BC32" i="6"/>
  <c r="BE88" i="6"/>
  <c r="BL78" i="6"/>
  <c r="BL87" i="6"/>
  <c r="BF47" i="6"/>
  <c r="BH70" i="6"/>
  <c r="BH26" i="6"/>
  <c r="BI87" i="6"/>
  <c r="BE13" i="6"/>
  <c r="BF30" i="6"/>
  <c r="BC112" i="6"/>
  <c r="BI71" i="6"/>
  <c r="BJ13" i="6"/>
  <c r="BL15" i="6"/>
  <c r="BC21" i="6"/>
  <c r="BI84" i="6"/>
  <c r="BD51" i="6"/>
  <c r="BM61" i="6"/>
  <c r="BK81" i="6"/>
  <c r="BH72" i="6"/>
  <c r="BF79" i="6"/>
  <c r="BH101" i="6"/>
  <c r="BL40" i="6"/>
  <c r="BD59" i="6"/>
  <c r="BM58" i="6"/>
  <c r="BK101" i="6"/>
  <c r="BD20" i="6"/>
  <c r="BJ44" i="6"/>
  <c r="BH74" i="6"/>
  <c r="BD61" i="6"/>
  <c r="BL73" i="6"/>
  <c r="BL6" i="6"/>
  <c r="BH15" i="6"/>
  <c r="BI24" i="6"/>
  <c r="BH8" i="6"/>
  <c r="BC11" i="6"/>
  <c r="BC9" i="6"/>
  <c r="BM92" i="6"/>
  <c r="BF88" i="6"/>
  <c r="BH49" i="6"/>
  <c r="BC58" i="6"/>
  <c r="BE107" i="6"/>
  <c r="BG50" i="6"/>
  <c r="BM60" i="6"/>
  <c r="BF64" i="6"/>
  <c r="BK28" i="6"/>
  <c r="BD30" i="6"/>
  <c r="LJ7" i="6"/>
  <c r="TQ106" i="6"/>
  <c r="QE31" i="6"/>
  <c r="ACT31" i="6"/>
  <c r="AAY89" i="6"/>
  <c r="ACT97" i="6"/>
  <c r="AAY75" i="6"/>
  <c r="KR8" i="6"/>
  <c r="RO54" i="6"/>
  <c r="JH29" i="6"/>
  <c r="OU80" i="6"/>
  <c r="OU28" i="6"/>
  <c r="YV66" i="6"/>
  <c r="KR104" i="6"/>
  <c r="OC83" i="6"/>
  <c r="AAY73" i="6"/>
  <c r="PM54" i="6"/>
  <c r="ACT11" i="6"/>
  <c r="JZ114" i="6"/>
  <c r="SY102" i="6"/>
  <c r="AAY41" i="6"/>
  <c r="YV97" i="6"/>
  <c r="LJ111" i="6"/>
  <c r="JH54" i="6"/>
  <c r="OC28" i="6"/>
  <c r="SG77" i="6"/>
  <c r="QW14" i="6"/>
  <c r="LJ55" i="6"/>
  <c r="JH39" i="6"/>
  <c r="SG13" i="6"/>
  <c r="SG92" i="6"/>
  <c r="SY40" i="6"/>
  <c r="MB81" i="6"/>
  <c r="AAY28" i="6"/>
  <c r="YV67" i="6"/>
  <c r="AB6" i="6"/>
  <c r="JH42" i="6"/>
  <c r="AB99" i="6"/>
  <c r="SG93" i="6"/>
  <c r="KR22" i="6"/>
  <c r="YT117" i="6"/>
  <c r="YT85" i="6"/>
  <c r="YT53" i="6"/>
  <c r="YT21" i="6"/>
  <c r="YR78" i="6"/>
  <c r="YR14" i="6"/>
  <c r="YS89" i="6"/>
  <c r="YS57" i="6"/>
  <c r="YT96" i="6"/>
  <c r="YT64" i="6"/>
  <c r="YT32" i="6"/>
  <c r="YR108" i="6"/>
  <c r="YR44" i="6"/>
  <c r="YS104" i="6"/>
  <c r="YS72" i="6"/>
  <c r="YS40" i="6"/>
  <c r="YS8" i="6"/>
  <c r="YR59" i="6"/>
  <c r="YS107" i="6"/>
  <c r="YS47" i="6"/>
  <c r="YR73" i="6"/>
  <c r="YT103" i="6"/>
  <c r="YT71" i="6"/>
  <c r="YT39" i="6"/>
  <c r="YT7" i="6"/>
  <c r="YR58" i="6"/>
  <c r="YS103" i="6"/>
  <c r="YS35" i="6"/>
  <c r="YR49" i="6"/>
  <c r="YS34" i="6"/>
  <c r="YT102" i="6"/>
  <c r="YR40" i="6"/>
  <c r="YT66" i="6"/>
  <c r="YR77" i="6"/>
  <c r="YS22" i="6"/>
  <c r="YR104" i="6"/>
  <c r="YR61" i="6"/>
  <c r="YR32" i="6"/>
  <c r="YT14" i="6"/>
  <c r="YS94" i="6"/>
  <c r="YR93" i="6"/>
  <c r="YR79" i="6"/>
  <c r="YT113" i="6"/>
  <c r="YT81" i="6"/>
  <c r="YT49" i="6"/>
  <c r="YT17" i="6"/>
  <c r="YR70" i="6"/>
  <c r="YS117" i="6"/>
  <c r="YS85" i="6"/>
  <c r="YS53" i="6"/>
  <c r="YT92" i="6"/>
  <c r="YT60" i="6"/>
  <c r="YT28" i="6"/>
  <c r="YR100" i="6"/>
  <c r="YR36" i="6"/>
  <c r="YS100" i="6"/>
  <c r="YS68" i="6"/>
  <c r="YS36" i="6"/>
  <c r="YR115" i="6"/>
  <c r="YR51" i="6"/>
  <c r="YS99" i="6"/>
  <c r="YS39" i="6"/>
  <c r="YR57" i="6"/>
  <c r="YT99" i="6"/>
  <c r="YT67" i="6"/>
  <c r="YT35" i="6"/>
  <c r="YR114" i="6"/>
  <c r="YR50" i="6"/>
  <c r="YS95" i="6"/>
  <c r="YS27" i="6"/>
  <c r="YR33" i="6"/>
  <c r="YT22" i="6"/>
  <c r="YT86" i="6"/>
  <c r="YS102" i="6"/>
  <c r="YS29" i="6"/>
  <c r="YR13" i="6"/>
  <c r="YT10" i="6"/>
  <c r="YR63" i="6"/>
  <c r="YR16" i="6"/>
  <c r="YT110" i="6"/>
  <c r="YR117" i="6"/>
  <c r="YS78" i="6"/>
  <c r="YR71" i="6"/>
  <c r="YR15" i="6"/>
  <c r="YT109" i="6"/>
  <c r="YT77" i="6"/>
  <c r="YT45" i="6"/>
  <c r="YT13" i="6"/>
  <c r="YR62" i="6"/>
  <c r="YS113" i="6"/>
  <c r="YS81" i="6"/>
  <c r="YS49" i="6"/>
  <c r="YT88" i="6"/>
  <c r="YT56" i="6"/>
  <c r="YT24" i="6"/>
  <c r="YR92" i="6"/>
  <c r="YR28" i="6"/>
  <c r="YS96" i="6"/>
  <c r="YS64" i="6"/>
  <c r="YS32" i="6"/>
  <c r="YR107" i="6"/>
  <c r="YR43" i="6"/>
  <c r="YS91" i="6"/>
  <c r="YS31" i="6"/>
  <c r="YR41" i="6"/>
  <c r="YT95" i="6"/>
  <c r="YT63" i="6"/>
  <c r="YT31" i="6"/>
  <c r="YR106" i="6"/>
  <c r="YR42" i="6"/>
  <c r="YS87" i="6"/>
  <c r="YS19" i="6"/>
  <c r="YR17" i="6"/>
  <c r="YS13" i="6"/>
  <c r="YT70" i="6"/>
  <c r="YS70" i="6"/>
  <c r="YR101" i="6"/>
  <c r="YS106" i="6"/>
  <c r="YR109" i="6"/>
  <c r="YR21" i="6"/>
  <c r="YT82" i="6"/>
  <c r="YT94" i="6"/>
  <c r="YR95" i="6"/>
  <c r="YS62" i="6"/>
  <c r="YR48" i="6"/>
  <c r="YS82" i="6"/>
  <c r="YR6" i="6"/>
  <c r="YT105" i="6"/>
  <c r="YT73" i="6"/>
  <c r="YT41" i="6"/>
  <c r="YT9" i="6"/>
  <c r="YR54" i="6"/>
  <c r="YS109" i="6"/>
  <c r="YU109" i="6" s="1"/>
  <c r="YS77" i="6"/>
  <c r="YU77" i="6" s="1"/>
  <c r="YT116" i="6"/>
  <c r="YT84" i="6"/>
  <c r="YT52" i="6"/>
  <c r="YT20" i="6"/>
  <c r="YR84" i="6"/>
  <c r="YR20" i="6"/>
  <c r="YS92" i="6"/>
  <c r="YS60" i="6"/>
  <c r="YS28" i="6"/>
  <c r="YR99" i="6"/>
  <c r="YR35" i="6"/>
  <c r="YS83" i="6"/>
  <c r="YS23" i="6"/>
  <c r="YR25" i="6"/>
  <c r="YT91" i="6"/>
  <c r="YT59" i="6"/>
  <c r="YT27" i="6"/>
  <c r="YR98" i="6"/>
  <c r="YR34" i="6"/>
  <c r="YS79" i="6"/>
  <c r="YS11" i="6"/>
  <c r="YT106" i="6"/>
  <c r="YR111" i="6"/>
  <c r="YT54" i="6"/>
  <c r="YS41" i="6"/>
  <c r="YR37" i="6"/>
  <c r="YS90" i="6"/>
  <c r="YR87" i="6"/>
  <c r="YS86" i="6"/>
  <c r="YT38" i="6"/>
  <c r="YT78" i="6"/>
  <c r="YR72" i="6"/>
  <c r="YS46" i="6"/>
  <c r="YR29" i="6"/>
  <c r="YS50" i="6"/>
  <c r="YT101" i="6"/>
  <c r="YT69" i="6"/>
  <c r="YT37" i="6"/>
  <c r="YR110" i="6"/>
  <c r="YR46" i="6"/>
  <c r="YS105" i="6"/>
  <c r="YS73" i="6"/>
  <c r="YT112" i="6"/>
  <c r="YT80" i="6"/>
  <c r="YT48" i="6"/>
  <c r="YT16" i="6"/>
  <c r="YR76" i="6"/>
  <c r="YR12" i="6"/>
  <c r="YS88" i="6"/>
  <c r="YS56" i="6"/>
  <c r="YS24" i="6"/>
  <c r="YR91" i="6"/>
  <c r="YR27" i="6"/>
  <c r="YS75" i="6"/>
  <c r="YS15" i="6"/>
  <c r="YR9" i="6"/>
  <c r="YT87" i="6"/>
  <c r="YT55" i="6"/>
  <c r="YT23" i="6"/>
  <c r="YR90" i="6"/>
  <c r="YR26" i="6"/>
  <c r="YS71" i="6"/>
  <c r="YR113" i="6"/>
  <c r="YT90" i="6"/>
  <c r="YR88" i="6"/>
  <c r="YS42" i="6"/>
  <c r="YT18" i="6"/>
  <c r="YS98" i="6"/>
  <c r="YS74" i="6"/>
  <c r="YR64" i="6"/>
  <c r="YS54" i="6"/>
  <c r="YT6" i="6"/>
  <c r="YT62" i="6"/>
  <c r="YR53" i="6"/>
  <c r="YT34" i="6"/>
  <c r="YR7" i="6"/>
  <c r="YT26" i="6"/>
  <c r="YT97" i="6"/>
  <c r="YT65" i="6"/>
  <c r="YT33" i="6"/>
  <c r="YR102" i="6"/>
  <c r="YR38" i="6"/>
  <c r="YS101" i="6"/>
  <c r="YS69" i="6"/>
  <c r="YT108" i="6"/>
  <c r="YT76" i="6"/>
  <c r="YT44" i="6"/>
  <c r="YT12" i="6"/>
  <c r="YR68" i="6"/>
  <c r="YS116" i="6"/>
  <c r="YS84" i="6"/>
  <c r="YS52" i="6"/>
  <c r="YS20" i="6"/>
  <c r="YR83" i="6"/>
  <c r="YR19" i="6"/>
  <c r="YS67" i="6"/>
  <c r="YS7" i="6"/>
  <c r="YT115" i="6"/>
  <c r="YT83" i="6"/>
  <c r="YT51" i="6"/>
  <c r="YT19" i="6"/>
  <c r="YR82" i="6"/>
  <c r="YR18" i="6"/>
  <c r="YS59" i="6"/>
  <c r="YU59" i="6" s="1"/>
  <c r="YR97" i="6"/>
  <c r="YT74" i="6"/>
  <c r="YR69" i="6"/>
  <c r="YS21" i="6"/>
  <c r="YR80" i="6"/>
  <c r="YS66" i="6"/>
  <c r="YS58" i="6"/>
  <c r="YR45" i="6"/>
  <c r="YS30" i="6"/>
  <c r="YR56" i="6"/>
  <c r="YT46" i="6"/>
  <c r="YR31" i="6"/>
  <c r="YS25" i="6"/>
  <c r="YT98" i="6"/>
  <c r="YR96" i="6"/>
  <c r="YT93" i="6"/>
  <c r="YT61" i="6"/>
  <c r="YT29" i="6"/>
  <c r="YR94" i="6"/>
  <c r="YR30" i="6"/>
  <c r="YS97" i="6"/>
  <c r="YS65" i="6"/>
  <c r="YT104" i="6"/>
  <c r="YT72" i="6"/>
  <c r="YT40" i="6"/>
  <c r="YT8" i="6"/>
  <c r="YR60" i="6"/>
  <c r="YS112" i="6"/>
  <c r="YS80" i="6"/>
  <c r="YS48" i="6"/>
  <c r="YS16" i="6"/>
  <c r="YR75" i="6"/>
  <c r="YR11" i="6"/>
  <c r="YS63" i="6"/>
  <c r="YR105" i="6"/>
  <c r="YT111" i="6"/>
  <c r="YT79" i="6"/>
  <c r="YT47" i="6"/>
  <c r="YT15" i="6"/>
  <c r="YR74" i="6"/>
  <c r="YR10" i="6"/>
  <c r="YS51" i="6"/>
  <c r="YR81" i="6"/>
  <c r="YT58" i="6"/>
  <c r="YR47" i="6"/>
  <c r="YS10" i="6"/>
  <c r="YR39" i="6"/>
  <c r="YS38" i="6"/>
  <c r="YT42" i="6"/>
  <c r="YR23" i="6"/>
  <c r="YS9" i="6"/>
  <c r="YS114" i="6"/>
  <c r="YS37" i="6"/>
  <c r="YR8" i="6"/>
  <c r="YS14" i="6"/>
  <c r="YT50" i="6"/>
  <c r="YR55" i="6"/>
  <c r="YT89" i="6"/>
  <c r="YT57" i="6"/>
  <c r="YT25" i="6"/>
  <c r="YR86" i="6"/>
  <c r="YR22" i="6"/>
  <c r="YS93" i="6"/>
  <c r="YS61" i="6"/>
  <c r="YT100" i="6"/>
  <c r="YT68" i="6"/>
  <c r="YT36" i="6"/>
  <c r="YR116" i="6"/>
  <c r="YR52" i="6"/>
  <c r="YS108" i="6"/>
  <c r="YS76" i="6"/>
  <c r="YS44" i="6"/>
  <c r="YS12" i="6"/>
  <c r="YR67" i="6"/>
  <c r="YS111" i="6"/>
  <c r="YS55" i="6"/>
  <c r="YR89" i="6"/>
  <c r="YT107" i="6"/>
  <c r="YT75" i="6"/>
  <c r="YT43" i="6"/>
  <c r="YT11" i="6"/>
  <c r="YR66" i="6"/>
  <c r="YS115" i="6"/>
  <c r="YS43" i="6"/>
  <c r="YR65" i="6"/>
  <c r="YS45" i="6"/>
  <c r="YR24" i="6"/>
  <c r="YR85" i="6"/>
  <c r="YT114" i="6"/>
  <c r="YS17" i="6"/>
  <c r="YS33" i="6"/>
  <c r="YT30" i="6"/>
  <c r="YR103" i="6"/>
  <c r="YS6" i="6"/>
  <c r="YS26" i="6"/>
  <c r="YS110" i="6"/>
  <c r="YR112" i="6"/>
  <c r="YS18" i="6"/>
  <c r="SG89" i="6"/>
  <c r="QE81" i="6"/>
  <c r="RO69" i="6"/>
  <c r="YV31" i="6"/>
  <c r="OC106" i="6"/>
  <c r="OC17" i="6"/>
  <c r="LJ65" i="6"/>
  <c r="YV94" i="6"/>
  <c r="RO6" i="6"/>
  <c r="RO59" i="6"/>
  <c r="YV46" i="6"/>
  <c r="LJ97" i="6"/>
  <c r="QW23" i="6"/>
  <c r="QW22" i="6"/>
  <c r="HX96" i="6"/>
  <c r="AB100" i="6"/>
  <c r="TQ73" i="6"/>
  <c r="JH12" i="6"/>
  <c r="SY90" i="6"/>
  <c r="LJ33" i="6"/>
  <c r="IP74" i="6"/>
  <c r="AB64" i="6"/>
  <c r="LJ40" i="6"/>
  <c r="JZ46" i="6"/>
  <c r="JH117" i="6"/>
  <c r="OU75" i="6"/>
  <c r="SG107" i="6"/>
  <c r="QE91" i="6"/>
  <c r="HX76" i="6"/>
  <c r="JZ62" i="6"/>
  <c r="ACT37" i="6"/>
  <c r="PM39" i="6"/>
  <c r="SG78" i="6"/>
  <c r="KR66" i="6"/>
  <c r="JH7" i="6"/>
  <c r="YV79" i="6"/>
  <c r="ACT93" i="6"/>
  <c r="AAY114" i="6"/>
  <c r="TQ57" i="6"/>
  <c r="LJ78" i="6"/>
  <c r="KR82" i="6"/>
  <c r="OU78" i="6"/>
  <c r="JZ17" i="6"/>
  <c r="XB115" i="6"/>
  <c r="XB83" i="6"/>
  <c r="XB51" i="6"/>
  <c r="XB19" i="6"/>
  <c r="WZ82" i="6"/>
  <c r="WZ18" i="6"/>
  <c r="WZ21" i="6"/>
  <c r="WZ44" i="6"/>
  <c r="WZ59" i="6"/>
  <c r="XA91" i="6"/>
  <c r="XA59" i="6"/>
  <c r="XA27" i="6"/>
  <c r="WZ97" i="6"/>
  <c r="WZ33" i="6"/>
  <c r="XA33" i="6"/>
  <c r="XB32" i="6"/>
  <c r="XA8" i="6"/>
  <c r="XB94" i="6"/>
  <c r="XB62" i="6"/>
  <c r="XB30" i="6"/>
  <c r="WZ104" i="6"/>
  <c r="WZ40" i="6"/>
  <c r="XA57" i="6"/>
  <c r="XB80" i="6"/>
  <c r="XA116" i="6"/>
  <c r="WZ83" i="6"/>
  <c r="XA94" i="6"/>
  <c r="XA62" i="6"/>
  <c r="XA30" i="6"/>
  <c r="WZ103" i="6"/>
  <c r="WZ23" i="6"/>
  <c r="XB64" i="6"/>
  <c r="XA60" i="6"/>
  <c r="XB105" i="6"/>
  <c r="XB73" i="6"/>
  <c r="XB41" i="6"/>
  <c r="XB9" i="6"/>
  <c r="WZ54" i="6"/>
  <c r="XA109" i="6"/>
  <c r="XA37" i="6"/>
  <c r="XB68" i="6"/>
  <c r="XA88" i="6"/>
  <c r="XB111" i="6"/>
  <c r="XB79" i="6"/>
  <c r="XB47" i="6"/>
  <c r="XB15" i="6"/>
  <c r="WZ74" i="6"/>
  <c r="WZ10" i="6"/>
  <c r="XB108" i="6"/>
  <c r="XA108" i="6"/>
  <c r="WZ19" i="6"/>
  <c r="XA87" i="6"/>
  <c r="XA55" i="6"/>
  <c r="XA23" i="6"/>
  <c r="WZ89" i="6"/>
  <c r="WZ25" i="6"/>
  <c r="XA17" i="6"/>
  <c r="WZ116" i="6"/>
  <c r="WZ75" i="6"/>
  <c r="XB90" i="6"/>
  <c r="XB58" i="6"/>
  <c r="XB26" i="6"/>
  <c r="WZ96" i="6"/>
  <c r="WZ32" i="6"/>
  <c r="XA41" i="6"/>
  <c r="XB60" i="6"/>
  <c r="XA96" i="6"/>
  <c r="WZ51" i="6"/>
  <c r="XA90" i="6"/>
  <c r="XA58" i="6"/>
  <c r="XA26" i="6"/>
  <c r="WZ95" i="6"/>
  <c r="WZ15" i="6"/>
  <c r="XB44" i="6"/>
  <c r="XA36" i="6"/>
  <c r="XB101" i="6"/>
  <c r="XB69" i="6"/>
  <c r="XB37" i="6"/>
  <c r="WZ110" i="6"/>
  <c r="WZ46" i="6"/>
  <c r="XA97" i="6"/>
  <c r="XA21" i="6"/>
  <c r="XB48" i="6"/>
  <c r="XA68" i="6"/>
  <c r="XB107" i="6"/>
  <c r="XB75" i="6"/>
  <c r="XB43" i="6"/>
  <c r="XB11" i="6"/>
  <c r="WZ66" i="6"/>
  <c r="XA89" i="6"/>
  <c r="XB88" i="6"/>
  <c r="XA92" i="6"/>
  <c r="XA115" i="6"/>
  <c r="XA83" i="6"/>
  <c r="XA51" i="6"/>
  <c r="XA19" i="6"/>
  <c r="WZ81" i="6"/>
  <c r="WZ17" i="6"/>
  <c r="WZ109" i="6"/>
  <c r="WZ76" i="6"/>
  <c r="WZ35" i="6"/>
  <c r="XB86" i="6"/>
  <c r="XB54" i="6"/>
  <c r="XB22" i="6"/>
  <c r="WZ88" i="6"/>
  <c r="WZ24" i="6"/>
  <c r="XA25" i="6"/>
  <c r="XB40" i="6"/>
  <c r="XA80" i="6"/>
  <c r="WZ11" i="6"/>
  <c r="XA86" i="6"/>
  <c r="XA54" i="6"/>
  <c r="XA22" i="6"/>
  <c r="WZ87" i="6"/>
  <c r="WZ7" i="6"/>
  <c r="XB20" i="6"/>
  <c r="XA12" i="6"/>
  <c r="XB97" i="6"/>
  <c r="XB65" i="6"/>
  <c r="XB33" i="6"/>
  <c r="WZ102" i="6"/>
  <c r="WZ38" i="6"/>
  <c r="XA93" i="6"/>
  <c r="XA9" i="6"/>
  <c r="XB28" i="6"/>
  <c r="XA52" i="6"/>
  <c r="XB103" i="6"/>
  <c r="XB71" i="6"/>
  <c r="XB39" i="6"/>
  <c r="XB7" i="6"/>
  <c r="WZ58" i="6"/>
  <c r="XA45" i="6"/>
  <c r="XB72" i="6"/>
  <c r="XA76" i="6"/>
  <c r="XA111" i="6"/>
  <c r="XA79" i="6"/>
  <c r="XA47" i="6"/>
  <c r="XA15" i="6"/>
  <c r="WZ73" i="6"/>
  <c r="WZ9" i="6"/>
  <c r="WZ69" i="6"/>
  <c r="WZ36" i="6"/>
  <c r="XB114" i="6"/>
  <c r="XB82" i="6"/>
  <c r="XB50" i="6"/>
  <c r="XB18" i="6"/>
  <c r="WZ80" i="6"/>
  <c r="WZ16" i="6"/>
  <c r="WZ117" i="6"/>
  <c r="XB24" i="6"/>
  <c r="XA64" i="6"/>
  <c r="XA114" i="6"/>
  <c r="XA82" i="6"/>
  <c r="XA50" i="6"/>
  <c r="XA18" i="6"/>
  <c r="WZ79" i="6"/>
  <c r="XA65" i="6"/>
  <c r="WZ108" i="6"/>
  <c r="WZ91" i="6"/>
  <c r="XB93" i="6"/>
  <c r="XB61" i="6"/>
  <c r="XB29" i="6"/>
  <c r="WZ94" i="6"/>
  <c r="WZ30" i="6"/>
  <c r="XA85" i="6"/>
  <c r="WZ85" i="6"/>
  <c r="XB8" i="6"/>
  <c r="XA32" i="6"/>
  <c r="XC32" i="6" s="1"/>
  <c r="XB99" i="6"/>
  <c r="XB67" i="6"/>
  <c r="XB35" i="6"/>
  <c r="WZ114" i="6"/>
  <c r="WZ50" i="6"/>
  <c r="XA29" i="6"/>
  <c r="XB56" i="6"/>
  <c r="XA56" i="6"/>
  <c r="XA107" i="6"/>
  <c r="XA75" i="6"/>
  <c r="XA43" i="6"/>
  <c r="XA11" i="6"/>
  <c r="WZ65" i="6"/>
  <c r="WZ31" i="6"/>
  <c r="WZ29" i="6"/>
  <c r="XA112" i="6"/>
  <c r="XB110" i="6"/>
  <c r="XB78" i="6"/>
  <c r="XB46" i="6"/>
  <c r="XB14" i="6"/>
  <c r="WZ72" i="6"/>
  <c r="WZ8" i="6"/>
  <c r="WZ77" i="6"/>
  <c r="XB16" i="6"/>
  <c r="XA44" i="6"/>
  <c r="XA110" i="6"/>
  <c r="XA78" i="6"/>
  <c r="XA46" i="6"/>
  <c r="XA14" i="6"/>
  <c r="WZ71" i="6"/>
  <c r="WZ93" i="6"/>
  <c r="WZ68" i="6"/>
  <c r="WZ43" i="6"/>
  <c r="XB89" i="6"/>
  <c r="XB57" i="6"/>
  <c r="XB25" i="6"/>
  <c r="WZ86" i="6"/>
  <c r="WZ22" i="6"/>
  <c r="XA81" i="6"/>
  <c r="WZ53" i="6"/>
  <c r="WZ84" i="6"/>
  <c r="WZ115" i="6"/>
  <c r="XB95" i="6"/>
  <c r="XB63" i="6"/>
  <c r="XB31" i="6"/>
  <c r="WZ106" i="6"/>
  <c r="WZ42" i="6"/>
  <c r="XA13" i="6"/>
  <c r="XB36" i="6"/>
  <c r="XA40" i="6"/>
  <c r="XA103" i="6"/>
  <c r="XA71" i="6"/>
  <c r="XA39" i="6"/>
  <c r="XA7" i="6"/>
  <c r="WZ57" i="6"/>
  <c r="XA101" i="6"/>
  <c r="XB100" i="6"/>
  <c r="XA72" i="6"/>
  <c r="XB106" i="6"/>
  <c r="XB74" i="6"/>
  <c r="XB42" i="6"/>
  <c r="XB10" i="6"/>
  <c r="WZ64" i="6"/>
  <c r="WZ39" i="6"/>
  <c r="WZ45" i="6"/>
  <c r="WZ100" i="6"/>
  <c r="XA28" i="6"/>
  <c r="XA106" i="6"/>
  <c r="XA74" i="6"/>
  <c r="XA42" i="6"/>
  <c r="XA10" i="6"/>
  <c r="WZ63" i="6"/>
  <c r="WZ37" i="6"/>
  <c r="WZ20" i="6"/>
  <c r="XB117" i="6"/>
  <c r="XB85" i="6"/>
  <c r="XB53" i="6"/>
  <c r="XB21" i="6"/>
  <c r="WZ78" i="6"/>
  <c r="WZ14" i="6"/>
  <c r="XA77" i="6"/>
  <c r="WZ13" i="6"/>
  <c r="WZ52" i="6"/>
  <c r="WZ67" i="6"/>
  <c r="XB91" i="6"/>
  <c r="XB59" i="6"/>
  <c r="XB27" i="6"/>
  <c r="WZ98" i="6"/>
  <c r="WZ34" i="6"/>
  <c r="WZ101" i="6"/>
  <c r="XB12" i="6"/>
  <c r="XA20" i="6"/>
  <c r="XC20" i="6" s="1"/>
  <c r="XA99" i="6"/>
  <c r="XA67" i="6"/>
  <c r="XA35" i="6"/>
  <c r="WZ113" i="6"/>
  <c r="WZ49" i="6"/>
  <c r="XA69" i="6"/>
  <c r="XB76" i="6"/>
  <c r="XA48" i="6"/>
  <c r="XB102" i="6"/>
  <c r="XB70" i="6"/>
  <c r="XB38" i="6"/>
  <c r="XB6" i="6"/>
  <c r="WZ56" i="6"/>
  <c r="XA105" i="6"/>
  <c r="XC105" i="6" s="1"/>
  <c r="XB112" i="6"/>
  <c r="WZ60" i="6"/>
  <c r="XA16" i="6"/>
  <c r="XA102" i="6"/>
  <c r="XA70" i="6"/>
  <c r="XA38" i="6"/>
  <c r="XA6" i="6"/>
  <c r="WZ55" i="6"/>
  <c r="XB116" i="6"/>
  <c r="XA100" i="6"/>
  <c r="XB113" i="6"/>
  <c r="XB81" i="6"/>
  <c r="XB49" i="6"/>
  <c r="XB17" i="6"/>
  <c r="WZ70" i="6"/>
  <c r="XA117" i="6"/>
  <c r="XA61" i="6"/>
  <c r="XB104" i="6"/>
  <c r="WZ12" i="6"/>
  <c r="WZ27" i="6"/>
  <c r="WZ6" i="6"/>
  <c r="XB87" i="6"/>
  <c r="XB55" i="6"/>
  <c r="XB23" i="6"/>
  <c r="WZ90" i="6"/>
  <c r="WZ26" i="6"/>
  <c r="WZ61" i="6"/>
  <c r="WZ92" i="6"/>
  <c r="WZ99" i="6"/>
  <c r="XA95" i="6"/>
  <c r="XA63" i="6"/>
  <c r="XA31" i="6"/>
  <c r="WZ105" i="6"/>
  <c r="WZ41" i="6"/>
  <c r="XA53" i="6"/>
  <c r="XC53" i="6" s="1"/>
  <c r="XB52" i="6"/>
  <c r="XA24" i="6"/>
  <c r="XB98" i="6"/>
  <c r="XB66" i="6"/>
  <c r="XB34" i="6"/>
  <c r="WZ112" i="6"/>
  <c r="WZ48" i="6"/>
  <c r="XA73" i="6"/>
  <c r="XB96" i="6"/>
  <c r="WZ28" i="6"/>
  <c r="WZ107" i="6"/>
  <c r="XA98" i="6"/>
  <c r="XA66" i="6"/>
  <c r="XA34" i="6"/>
  <c r="WZ111" i="6"/>
  <c r="WZ47" i="6"/>
  <c r="XB92" i="6"/>
  <c r="XA84" i="6"/>
  <c r="XB109" i="6"/>
  <c r="XB77" i="6"/>
  <c r="XB45" i="6"/>
  <c r="XB13" i="6"/>
  <c r="WZ62" i="6"/>
  <c r="XA113" i="6"/>
  <c r="XC113" i="6" s="1"/>
  <c r="XA49" i="6"/>
  <c r="XB84" i="6"/>
  <c r="XA104" i="6"/>
  <c r="SG10" i="6"/>
  <c r="IP32" i="6"/>
  <c r="IP114" i="6"/>
  <c r="SG96" i="6"/>
  <c r="OU46" i="6"/>
  <c r="HX62" i="6"/>
  <c r="XX113" i="6"/>
  <c r="XX81" i="6"/>
  <c r="XX49" i="6"/>
  <c r="XX17" i="6"/>
  <c r="XV70" i="6"/>
  <c r="XW117" i="6"/>
  <c r="XW85" i="6"/>
  <c r="XX96" i="6"/>
  <c r="XX64" i="6"/>
  <c r="XX32" i="6"/>
  <c r="XV108" i="6"/>
  <c r="XV44" i="6"/>
  <c r="XW104" i="6"/>
  <c r="XW72" i="6"/>
  <c r="XW40" i="6"/>
  <c r="XW8" i="6"/>
  <c r="XV59" i="6"/>
  <c r="XX111" i="6"/>
  <c r="XX79" i="6"/>
  <c r="XX47" i="6"/>
  <c r="XX15" i="6"/>
  <c r="XV74" i="6"/>
  <c r="XV10" i="6"/>
  <c r="XW87" i="6"/>
  <c r="XW55" i="6"/>
  <c r="XW23" i="6"/>
  <c r="XV89" i="6"/>
  <c r="XV25" i="6"/>
  <c r="XX94" i="6"/>
  <c r="XX62" i="6"/>
  <c r="XX14" i="6"/>
  <c r="XW73" i="6"/>
  <c r="XV71" i="6"/>
  <c r="XV111" i="6"/>
  <c r="XW94" i="6"/>
  <c r="XV87" i="6"/>
  <c r="XW30" i="6"/>
  <c r="XW114" i="6"/>
  <c r="XV101" i="6"/>
  <c r="XW6" i="6"/>
  <c r="XW110" i="6"/>
  <c r="XV88" i="6"/>
  <c r="XX109" i="6"/>
  <c r="XX77" i="6"/>
  <c r="XX45" i="6"/>
  <c r="XX13" i="6"/>
  <c r="XV62" i="6"/>
  <c r="XW113" i="6"/>
  <c r="XW81" i="6"/>
  <c r="XX92" i="6"/>
  <c r="XX60" i="6"/>
  <c r="XX28" i="6"/>
  <c r="XV100" i="6"/>
  <c r="XV36" i="6"/>
  <c r="XW100" i="6"/>
  <c r="XW68" i="6"/>
  <c r="XW36" i="6"/>
  <c r="XV115" i="6"/>
  <c r="XV51" i="6"/>
  <c r="XX107" i="6"/>
  <c r="XX75" i="6"/>
  <c r="XX43" i="6"/>
  <c r="XX11" i="6"/>
  <c r="XV66" i="6"/>
  <c r="XW115" i="6"/>
  <c r="XW83" i="6"/>
  <c r="XW51" i="6"/>
  <c r="XW19" i="6"/>
  <c r="XV81" i="6"/>
  <c r="XV17" i="6"/>
  <c r="XX90" i="6"/>
  <c r="XX58" i="6"/>
  <c r="XV117" i="6"/>
  <c r="XW57" i="6"/>
  <c r="XV48" i="6"/>
  <c r="XV69" i="6"/>
  <c r="XW69" i="6"/>
  <c r="XV45" i="6"/>
  <c r="XX18" i="6"/>
  <c r="XW82" i="6"/>
  <c r="XV79" i="6"/>
  <c r="XV55" i="6"/>
  <c r="XW61" i="6"/>
  <c r="XV47" i="6"/>
  <c r="XX105" i="6"/>
  <c r="XX73" i="6"/>
  <c r="XX41" i="6"/>
  <c r="XX9" i="6"/>
  <c r="XV54" i="6"/>
  <c r="XW109" i="6"/>
  <c r="XW77" i="6"/>
  <c r="XX88" i="6"/>
  <c r="XX56" i="6"/>
  <c r="XX24" i="6"/>
  <c r="XV92" i="6"/>
  <c r="XV28" i="6"/>
  <c r="XW96" i="6"/>
  <c r="XW64" i="6"/>
  <c r="XW32" i="6"/>
  <c r="XV107" i="6"/>
  <c r="XV43" i="6"/>
  <c r="XX103" i="6"/>
  <c r="XX71" i="6"/>
  <c r="XX39" i="6"/>
  <c r="XX7" i="6"/>
  <c r="XV58" i="6"/>
  <c r="XW111" i="6"/>
  <c r="XW79" i="6"/>
  <c r="XW47" i="6"/>
  <c r="XW15" i="6"/>
  <c r="XV73" i="6"/>
  <c r="XV9" i="6"/>
  <c r="XX86" i="6"/>
  <c r="XW106" i="6"/>
  <c r="XV95" i="6"/>
  <c r="XW46" i="6"/>
  <c r="XV29" i="6"/>
  <c r="XV64" i="6"/>
  <c r="XW54" i="6"/>
  <c r="XW66" i="6"/>
  <c r="XW9" i="6"/>
  <c r="XW62" i="6"/>
  <c r="XV56" i="6"/>
  <c r="XV13" i="6"/>
  <c r="XW38" i="6"/>
  <c r="XW53" i="6"/>
  <c r="XX101" i="6"/>
  <c r="XX69" i="6"/>
  <c r="XX37" i="6"/>
  <c r="XV110" i="6"/>
  <c r="XV46" i="6"/>
  <c r="XW105" i="6"/>
  <c r="XX116" i="6"/>
  <c r="XX84" i="6"/>
  <c r="XX52" i="6"/>
  <c r="XX20" i="6"/>
  <c r="XV84" i="6"/>
  <c r="XV20" i="6"/>
  <c r="XW92" i="6"/>
  <c r="XW60" i="6"/>
  <c r="XW28" i="6"/>
  <c r="XV99" i="6"/>
  <c r="XV35" i="6"/>
  <c r="XX99" i="6"/>
  <c r="XX67" i="6"/>
  <c r="XX35" i="6"/>
  <c r="XV114" i="6"/>
  <c r="XV50" i="6"/>
  <c r="XW107" i="6"/>
  <c r="XW75" i="6"/>
  <c r="XW43" i="6"/>
  <c r="XW11" i="6"/>
  <c r="XV65" i="6"/>
  <c r="XX114" i="6"/>
  <c r="XX82" i="6"/>
  <c r="XW74" i="6"/>
  <c r="XV72" i="6"/>
  <c r="XX34" i="6"/>
  <c r="XV7" i="6"/>
  <c r="XW42" i="6"/>
  <c r="XX42" i="6"/>
  <c r="XV85" i="6"/>
  <c r="XV103" i="6"/>
  <c r="XW50" i="6"/>
  <c r="XV37" i="6"/>
  <c r="XX22" i="6"/>
  <c r="XW17" i="6"/>
  <c r="XX30" i="6"/>
  <c r="XX97" i="6"/>
  <c r="XX65" i="6"/>
  <c r="XX33" i="6"/>
  <c r="XV102" i="6"/>
  <c r="XV38" i="6"/>
  <c r="XW101" i="6"/>
  <c r="XX112" i="6"/>
  <c r="XX80" i="6"/>
  <c r="XX48" i="6"/>
  <c r="XX16" i="6"/>
  <c r="XV76" i="6"/>
  <c r="XV12" i="6"/>
  <c r="XW88" i="6"/>
  <c r="XW56" i="6"/>
  <c r="XW24" i="6"/>
  <c r="XV91" i="6"/>
  <c r="XV27" i="6"/>
  <c r="XX95" i="6"/>
  <c r="XX63" i="6"/>
  <c r="XX31" i="6"/>
  <c r="XV106" i="6"/>
  <c r="XV42" i="6"/>
  <c r="XW103" i="6"/>
  <c r="XW71" i="6"/>
  <c r="XW39" i="6"/>
  <c r="XW7" i="6"/>
  <c r="XV57" i="6"/>
  <c r="XX110" i="6"/>
  <c r="XX78" i="6"/>
  <c r="XW58" i="6"/>
  <c r="XV53" i="6"/>
  <c r="XW25" i="6"/>
  <c r="XW70" i="6"/>
  <c r="XW10" i="6"/>
  <c r="XW33" i="6"/>
  <c r="XY33" i="6" s="1"/>
  <c r="XW86" i="6"/>
  <c r="XV80" i="6"/>
  <c r="XX38" i="6"/>
  <c r="XV15" i="6"/>
  <c r="XV24" i="6"/>
  <c r="XV96" i="6"/>
  <c r="XV104" i="6"/>
  <c r="XX93" i="6"/>
  <c r="XX61" i="6"/>
  <c r="XX29" i="6"/>
  <c r="XV94" i="6"/>
  <c r="XV30" i="6"/>
  <c r="XW97" i="6"/>
  <c r="XX108" i="6"/>
  <c r="XX76" i="6"/>
  <c r="XX44" i="6"/>
  <c r="XX12" i="6"/>
  <c r="XV68" i="6"/>
  <c r="XW116" i="6"/>
  <c r="XW84" i="6"/>
  <c r="XW52" i="6"/>
  <c r="XW20" i="6"/>
  <c r="XV83" i="6"/>
  <c r="XV19" i="6"/>
  <c r="XX91" i="6"/>
  <c r="XX59" i="6"/>
  <c r="XX27" i="6"/>
  <c r="XV98" i="6"/>
  <c r="XV34" i="6"/>
  <c r="XW99" i="6"/>
  <c r="XW67" i="6"/>
  <c r="XW35" i="6"/>
  <c r="XV113" i="6"/>
  <c r="XV49" i="6"/>
  <c r="XX106" i="6"/>
  <c r="XX74" i="6"/>
  <c r="XX46" i="6"/>
  <c r="XV31" i="6"/>
  <c r="XW14" i="6"/>
  <c r="XX54" i="6"/>
  <c r="XV40" i="6"/>
  <c r="XW22" i="6"/>
  <c r="XW65" i="6"/>
  <c r="XV61" i="6"/>
  <c r="XW29" i="6"/>
  <c r="XW78" i="6"/>
  <c r="XV23" i="6"/>
  <c r="XV77" i="6"/>
  <c r="XV21" i="6"/>
  <c r="XV6" i="6"/>
  <c r="XX89" i="6"/>
  <c r="XX57" i="6"/>
  <c r="XX25" i="6"/>
  <c r="XV86" i="6"/>
  <c r="XV22" i="6"/>
  <c r="XW93" i="6"/>
  <c r="XY93" i="6" s="1"/>
  <c r="XX104" i="6"/>
  <c r="XX72" i="6"/>
  <c r="XX40" i="6"/>
  <c r="XX8" i="6"/>
  <c r="XV60" i="6"/>
  <c r="XW112" i="6"/>
  <c r="XW80" i="6"/>
  <c r="XW48" i="6"/>
  <c r="XW16" i="6"/>
  <c r="XV75" i="6"/>
  <c r="XV11" i="6"/>
  <c r="XX87" i="6"/>
  <c r="XX55" i="6"/>
  <c r="XX23" i="6"/>
  <c r="XV90" i="6"/>
  <c r="XV26" i="6"/>
  <c r="XW95" i="6"/>
  <c r="XW63" i="6"/>
  <c r="XW31" i="6"/>
  <c r="XV105" i="6"/>
  <c r="XV41" i="6"/>
  <c r="XX102" i="6"/>
  <c r="XX70" i="6"/>
  <c r="XW37" i="6"/>
  <c r="XV8" i="6"/>
  <c r="XV112" i="6"/>
  <c r="XW34" i="6"/>
  <c r="XY34" i="6" s="1"/>
  <c r="XW98" i="6"/>
  <c r="XX10" i="6"/>
  <c r="XX50" i="6"/>
  <c r="XV39" i="6"/>
  <c r="XW18" i="6"/>
  <c r="XW49" i="6"/>
  <c r="XW90" i="6"/>
  <c r="XV32" i="6"/>
  <c r="XX117" i="6"/>
  <c r="XX85" i="6"/>
  <c r="XX53" i="6"/>
  <c r="XX21" i="6"/>
  <c r="XV78" i="6"/>
  <c r="XV14" i="6"/>
  <c r="XW89" i="6"/>
  <c r="XX100" i="6"/>
  <c r="XX68" i="6"/>
  <c r="XX36" i="6"/>
  <c r="XV116" i="6"/>
  <c r="XV52" i="6"/>
  <c r="XW108" i="6"/>
  <c r="XW76" i="6"/>
  <c r="XW44" i="6"/>
  <c r="XW12" i="6"/>
  <c r="XV67" i="6"/>
  <c r="XX115" i="6"/>
  <c r="XX83" i="6"/>
  <c r="XX51" i="6"/>
  <c r="XX19" i="6"/>
  <c r="XV82" i="6"/>
  <c r="XV18" i="6"/>
  <c r="XW91" i="6"/>
  <c r="XW59" i="6"/>
  <c r="XW27" i="6"/>
  <c r="XV97" i="6"/>
  <c r="XV33" i="6"/>
  <c r="XX98" i="6"/>
  <c r="XX66" i="6"/>
  <c r="XW26" i="6"/>
  <c r="XW102" i="6"/>
  <c r="XV93" i="6"/>
  <c r="XW13" i="6"/>
  <c r="XW21" i="6"/>
  <c r="XV109" i="6"/>
  <c r="XW41" i="6"/>
  <c r="XV16" i="6"/>
  <c r="XX6" i="6"/>
  <c r="XX26" i="6"/>
  <c r="XV63" i="6"/>
  <c r="XW45" i="6"/>
  <c r="SG116" i="6"/>
  <c r="OU17" i="6"/>
  <c r="QE33" i="6"/>
  <c r="QE32" i="6"/>
  <c r="OC21" i="6"/>
  <c r="SG27" i="6"/>
  <c r="HX88" i="6"/>
  <c r="QW110" i="6"/>
  <c r="OC36" i="6"/>
  <c r="AAY9" i="6"/>
  <c r="LJ62" i="6"/>
  <c r="ACT47" i="6"/>
  <c r="YV88" i="6"/>
  <c r="LJ114" i="6"/>
  <c r="OU29" i="6"/>
  <c r="JZ73" i="6"/>
  <c r="JZ64" i="6"/>
  <c r="KR9" i="6"/>
  <c r="PM65" i="6"/>
  <c r="HX57" i="6"/>
  <c r="AB31" i="6"/>
  <c r="MB94" i="6"/>
  <c r="YV116" i="6"/>
  <c r="JZ58" i="6"/>
  <c r="OU100" i="6"/>
  <c r="TQ94" i="6"/>
  <c r="IP82" i="6"/>
  <c r="JZ65" i="6"/>
  <c r="ACT39" i="6"/>
  <c r="PM95" i="6"/>
  <c r="AB93" i="6"/>
  <c r="OU115" i="6"/>
  <c r="AAY65" i="6"/>
  <c r="ACT16" i="6"/>
  <c r="RO8" i="6"/>
  <c r="QW66" i="6"/>
  <c r="SG9" i="6"/>
  <c r="ACT9" i="6"/>
  <c r="AAY72" i="6"/>
  <c r="JZ86" i="6"/>
  <c r="PM13" i="6"/>
  <c r="OU62" i="6"/>
  <c r="IP29" i="6"/>
  <c r="JZ14" i="6"/>
  <c r="QE86" i="6"/>
  <c r="HX46" i="6"/>
  <c r="HX21" i="6"/>
  <c r="YV114" i="6"/>
  <c r="QW28" i="6"/>
  <c r="LJ13" i="6"/>
  <c r="AAY62" i="6"/>
  <c r="ACT27" i="6"/>
  <c r="TQ93" i="6"/>
  <c r="AB113" i="6"/>
  <c r="PM21" i="6"/>
  <c r="JH32" i="6"/>
  <c r="PM76" i="6"/>
  <c r="AAY22" i="6"/>
  <c r="QW104" i="6"/>
  <c r="IP93" i="6"/>
  <c r="KR75" i="6"/>
  <c r="JH56" i="6"/>
  <c r="AAY30" i="6"/>
  <c r="AAY112" i="6"/>
  <c r="MB100" i="6"/>
  <c r="QW94" i="6"/>
  <c r="DG63" i="6"/>
  <c r="DH63" i="6" s="1"/>
  <c r="DF112" i="6"/>
  <c r="DF48" i="6"/>
  <c r="DG94" i="6"/>
  <c r="DH94" i="6" s="1"/>
  <c r="DG30" i="6"/>
  <c r="DH30" i="6" s="1"/>
  <c r="DF79" i="6"/>
  <c r="DF15" i="6"/>
  <c r="DG69" i="6"/>
  <c r="DH69" i="6" s="1"/>
  <c r="DF110" i="6"/>
  <c r="DG114" i="6"/>
  <c r="DH114" i="6" s="1"/>
  <c r="DG50" i="6"/>
  <c r="DH50" i="6" s="1"/>
  <c r="DF99" i="6"/>
  <c r="DF35" i="6"/>
  <c r="DG41" i="6"/>
  <c r="DH41" i="6" s="1"/>
  <c r="DF30" i="6"/>
  <c r="DG8" i="6"/>
  <c r="DH8" i="6" s="1"/>
  <c r="DG116" i="6"/>
  <c r="DH116" i="6" s="1"/>
  <c r="DF101" i="6"/>
  <c r="DG99" i="6"/>
  <c r="DH99" i="6" s="1"/>
  <c r="DF84" i="6"/>
  <c r="DG96" i="6"/>
  <c r="DH96" i="6" s="1"/>
  <c r="DF81" i="6"/>
  <c r="DG27" i="6"/>
  <c r="DH27" i="6" s="1"/>
  <c r="DF46" i="6"/>
  <c r="DF9" i="6"/>
  <c r="DF33" i="6"/>
  <c r="DF109" i="6"/>
  <c r="DF21" i="6"/>
  <c r="DG55" i="6"/>
  <c r="DH55" i="6" s="1"/>
  <c r="DF104" i="6"/>
  <c r="DF40" i="6"/>
  <c r="DG86" i="6"/>
  <c r="DH86" i="6" s="1"/>
  <c r="DG22" i="6"/>
  <c r="DH22" i="6" s="1"/>
  <c r="DF71" i="6"/>
  <c r="DF7" i="6"/>
  <c r="DG61" i="6"/>
  <c r="DH61" i="6" s="1"/>
  <c r="DF102" i="6"/>
  <c r="DG106" i="6"/>
  <c r="DH106" i="6" s="1"/>
  <c r="DG42" i="6"/>
  <c r="DH42" i="6" s="1"/>
  <c r="DF91" i="6"/>
  <c r="DF27" i="6"/>
  <c r="DG25" i="6"/>
  <c r="DH25" i="6" s="1"/>
  <c r="DF18" i="6"/>
  <c r="DF105" i="6"/>
  <c r="DG100" i="6"/>
  <c r="DH100" i="6" s="1"/>
  <c r="DF85" i="6"/>
  <c r="DG83" i="6"/>
  <c r="DH83" i="6" s="1"/>
  <c r="DF68" i="6"/>
  <c r="DG80" i="6"/>
  <c r="DH80" i="6" s="1"/>
  <c r="DF65" i="6"/>
  <c r="DF93" i="6"/>
  <c r="DF12" i="6"/>
  <c r="DG92" i="6"/>
  <c r="DH92" i="6" s="1"/>
  <c r="DF108" i="6"/>
  <c r="DG76" i="6"/>
  <c r="DH76" i="6" s="1"/>
  <c r="DF6" i="6"/>
  <c r="DG111" i="6"/>
  <c r="DH111" i="6" s="1"/>
  <c r="DG47" i="6"/>
  <c r="DH47" i="6" s="1"/>
  <c r="DF96" i="6"/>
  <c r="DF32" i="6"/>
  <c r="DG78" i="6"/>
  <c r="DH78" i="6" s="1"/>
  <c r="DG14" i="6"/>
  <c r="DH14" i="6" s="1"/>
  <c r="DF63" i="6"/>
  <c r="DG117" i="6"/>
  <c r="DH117" i="6" s="1"/>
  <c r="DG53" i="6"/>
  <c r="DH53" i="6" s="1"/>
  <c r="DF94" i="6"/>
  <c r="DG98" i="6"/>
  <c r="DH98" i="6" s="1"/>
  <c r="DG34" i="6"/>
  <c r="DH34" i="6" s="1"/>
  <c r="DF83" i="6"/>
  <c r="DF19" i="6"/>
  <c r="DG9" i="6"/>
  <c r="DH9" i="6" s="1"/>
  <c r="DG104" i="6"/>
  <c r="DH104" i="6" s="1"/>
  <c r="DF89" i="6"/>
  <c r="DG84" i="6"/>
  <c r="DH84" i="6" s="1"/>
  <c r="DF69" i="6"/>
  <c r="DG67" i="6"/>
  <c r="DH67" i="6" s="1"/>
  <c r="DF52" i="6"/>
  <c r="DG64" i="6"/>
  <c r="DH64" i="6" s="1"/>
  <c r="DF49" i="6"/>
  <c r="DF50" i="6"/>
  <c r="DG33" i="6"/>
  <c r="DH33" i="6" s="1"/>
  <c r="DG49" i="6"/>
  <c r="DH49" i="6" s="1"/>
  <c r="DG91" i="6"/>
  <c r="DH91" i="6" s="1"/>
  <c r="DF61" i="6"/>
  <c r="DG103" i="6"/>
  <c r="DH103" i="6" s="1"/>
  <c r="DG39" i="6"/>
  <c r="DH39" i="6" s="1"/>
  <c r="DF88" i="6"/>
  <c r="DF24" i="6"/>
  <c r="DG70" i="6"/>
  <c r="DH70" i="6" s="1"/>
  <c r="DG6" i="6"/>
  <c r="DH6" i="6" s="1"/>
  <c r="DF55" i="6"/>
  <c r="DG109" i="6"/>
  <c r="DH109" i="6" s="1"/>
  <c r="DG45" i="6"/>
  <c r="DH45" i="6" s="1"/>
  <c r="DF86" i="6"/>
  <c r="DG90" i="6"/>
  <c r="DH90" i="6" s="1"/>
  <c r="DG26" i="6"/>
  <c r="DH26" i="6" s="1"/>
  <c r="DF75" i="6"/>
  <c r="DF11" i="6"/>
  <c r="DF106" i="6"/>
  <c r="DG88" i="6"/>
  <c r="DH88" i="6" s="1"/>
  <c r="DF73" i="6"/>
  <c r="DG68" i="6"/>
  <c r="DH68" i="6" s="1"/>
  <c r="DF53" i="6"/>
  <c r="DG51" i="6"/>
  <c r="DH51" i="6" s="1"/>
  <c r="DF38" i="6"/>
  <c r="DG48" i="6"/>
  <c r="DH48" i="6" s="1"/>
  <c r="DF36" i="6"/>
  <c r="DF20" i="6"/>
  <c r="DG97" i="6"/>
  <c r="DH97" i="6" s="1"/>
  <c r="DG11" i="6"/>
  <c r="DH11" i="6" s="1"/>
  <c r="DG44" i="6"/>
  <c r="DH44" i="6" s="1"/>
  <c r="DF25" i="6"/>
  <c r="DG95" i="6"/>
  <c r="DH95" i="6" s="1"/>
  <c r="DG31" i="6"/>
  <c r="DH31" i="6" s="1"/>
  <c r="DF80" i="6"/>
  <c r="DF16" i="6"/>
  <c r="DG62" i="6"/>
  <c r="DH62" i="6" s="1"/>
  <c r="DF111" i="6"/>
  <c r="DF47" i="6"/>
  <c r="DG101" i="6"/>
  <c r="DH101" i="6" s="1"/>
  <c r="DG37" i="6"/>
  <c r="DH37" i="6" s="1"/>
  <c r="DF78" i="6"/>
  <c r="DG82" i="6"/>
  <c r="DH82" i="6" s="1"/>
  <c r="DG18" i="6"/>
  <c r="DH18" i="6" s="1"/>
  <c r="DF67" i="6"/>
  <c r="DG105" i="6"/>
  <c r="DH105" i="6" s="1"/>
  <c r="DF90" i="6"/>
  <c r="DG72" i="6"/>
  <c r="DH72" i="6" s="1"/>
  <c r="DF57" i="6"/>
  <c r="DG52" i="6"/>
  <c r="DH52" i="6" s="1"/>
  <c r="DF41" i="6"/>
  <c r="DG35" i="6"/>
  <c r="DH35" i="6" s="1"/>
  <c r="DF26" i="6"/>
  <c r="DG32" i="6"/>
  <c r="DH32" i="6" s="1"/>
  <c r="DF22" i="6"/>
  <c r="DG107" i="6"/>
  <c r="DH107" i="6" s="1"/>
  <c r="DG59" i="6"/>
  <c r="DH59" i="6" s="1"/>
  <c r="DF77" i="6"/>
  <c r="DF114" i="6"/>
  <c r="DG75" i="6"/>
  <c r="DH75" i="6" s="1"/>
  <c r="DG87" i="6"/>
  <c r="DH87" i="6" s="1"/>
  <c r="DG23" i="6"/>
  <c r="DH23" i="6" s="1"/>
  <c r="DF72" i="6"/>
  <c r="DF8" i="6"/>
  <c r="DG54" i="6"/>
  <c r="DH54" i="6" s="1"/>
  <c r="DF103" i="6"/>
  <c r="DF39" i="6"/>
  <c r="DG93" i="6"/>
  <c r="DH93" i="6" s="1"/>
  <c r="DG29" i="6"/>
  <c r="DH29" i="6" s="1"/>
  <c r="DF70" i="6"/>
  <c r="DG74" i="6"/>
  <c r="DH74" i="6" s="1"/>
  <c r="DG10" i="6"/>
  <c r="DH10" i="6" s="1"/>
  <c r="DF59" i="6"/>
  <c r="DG89" i="6"/>
  <c r="DH89" i="6" s="1"/>
  <c r="DF74" i="6"/>
  <c r="DG56" i="6"/>
  <c r="DH56" i="6" s="1"/>
  <c r="DF42" i="6"/>
  <c r="DG36" i="6"/>
  <c r="DH36" i="6" s="1"/>
  <c r="DF28" i="6"/>
  <c r="DG19" i="6"/>
  <c r="DH19" i="6" s="1"/>
  <c r="DF13" i="6"/>
  <c r="DG16" i="6"/>
  <c r="DH16" i="6" s="1"/>
  <c r="DF10" i="6"/>
  <c r="DG60" i="6"/>
  <c r="DH60" i="6" s="1"/>
  <c r="DG12" i="6"/>
  <c r="DH12" i="6" s="1"/>
  <c r="DF37" i="6"/>
  <c r="DF76" i="6"/>
  <c r="DG28" i="6"/>
  <c r="DH28" i="6" s="1"/>
  <c r="DG79" i="6"/>
  <c r="DH79" i="6" s="1"/>
  <c r="DG15" i="6"/>
  <c r="DH15" i="6" s="1"/>
  <c r="DF64" i="6"/>
  <c r="DG110" i="6"/>
  <c r="DH110" i="6" s="1"/>
  <c r="DG46" i="6"/>
  <c r="DH46" i="6" s="1"/>
  <c r="DF95" i="6"/>
  <c r="DF31" i="6"/>
  <c r="DG85" i="6"/>
  <c r="DH85" i="6" s="1"/>
  <c r="DG21" i="6"/>
  <c r="DH21" i="6" s="1"/>
  <c r="DF62" i="6"/>
  <c r="DG66" i="6"/>
  <c r="DH66" i="6" s="1"/>
  <c r="DF115" i="6"/>
  <c r="DF51" i="6"/>
  <c r="DG73" i="6"/>
  <c r="DH73" i="6" s="1"/>
  <c r="DF58" i="6"/>
  <c r="DG40" i="6"/>
  <c r="DH40" i="6" s="1"/>
  <c r="DF29" i="6"/>
  <c r="DG20" i="6"/>
  <c r="DH20" i="6" s="1"/>
  <c r="DF14" i="6"/>
  <c r="DF116" i="6"/>
  <c r="DG113" i="6"/>
  <c r="DH113" i="6" s="1"/>
  <c r="DF113" i="6"/>
  <c r="DG108" i="6"/>
  <c r="DH108" i="6" s="1"/>
  <c r="DG17" i="6"/>
  <c r="DH17" i="6" s="1"/>
  <c r="DF82" i="6"/>
  <c r="DG43" i="6"/>
  <c r="DH43" i="6" s="1"/>
  <c r="DF34" i="6"/>
  <c r="DF98" i="6"/>
  <c r="DF23" i="6"/>
  <c r="DF44" i="6"/>
  <c r="DG65" i="6"/>
  <c r="DH65" i="6" s="1"/>
  <c r="DG24" i="6"/>
  <c r="DH24" i="6" s="1"/>
  <c r="DG77" i="6"/>
  <c r="DH77" i="6" s="1"/>
  <c r="DF92" i="6"/>
  <c r="DG71" i="6"/>
  <c r="DH71" i="6" s="1"/>
  <c r="DG13" i="6"/>
  <c r="DH13" i="6" s="1"/>
  <c r="DF17" i="6"/>
  <c r="DF45" i="6"/>
  <c r="DF43" i="6"/>
  <c r="DG57" i="6"/>
  <c r="DH57" i="6" s="1"/>
  <c r="DG7" i="6"/>
  <c r="DH7" i="6" s="1"/>
  <c r="DF54" i="6"/>
  <c r="DF117" i="6"/>
  <c r="DF66" i="6"/>
  <c r="DG38" i="6"/>
  <c r="DH38" i="6" s="1"/>
  <c r="DF56" i="6"/>
  <c r="DG58" i="6"/>
  <c r="DH58" i="6" s="1"/>
  <c r="DG115" i="6"/>
  <c r="DH115" i="6" s="1"/>
  <c r="DG81" i="6"/>
  <c r="DH81" i="6" s="1"/>
  <c r="DG102" i="6"/>
  <c r="DH102" i="6" s="1"/>
  <c r="DF107" i="6"/>
  <c r="DF100" i="6"/>
  <c r="DF60" i="6"/>
  <c r="DF97" i="6"/>
  <c r="DG112" i="6"/>
  <c r="DH112" i="6" s="1"/>
  <c r="DF87" i="6"/>
  <c r="OU59" i="6"/>
  <c r="AB116" i="6"/>
  <c r="QW77" i="6"/>
  <c r="LJ68" i="6"/>
  <c r="OC51" i="6"/>
  <c r="AB106" i="6"/>
  <c r="ACT12" i="6"/>
  <c r="AAY17" i="6"/>
  <c r="OC41" i="6"/>
  <c r="OU116" i="6"/>
  <c r="JZ55" i="6"/>
  <c r="SG34" i="6"/>
  <c r="HX74" i="6"/>
  <c r="JZ19" i="6"/>
  <c r="AB22" i="6"/>
  <c r="IP46" i="6"/>
  <c r="JH10" i="6"/>
  <c r="OC105" i="6"/>
  <c r="JH84" i="6"/>
  <c r="IP79" i="6"/>
  <c r="SG17" i="6"/>
  <c r="QW111" i="6"/>
  <c r="LJ106" i="6"/>
  <c r="JZ117" i="6"/>
  <c r="OU6" i="6"/>
  <c r="QW31" i="6"/>
  <c r="PM50" i="6"/>
  <c r="RO87" i="6"/>
  <c r="TQ14" i="6"/>
  <c r="MB39" i="6"/>
  <c r="YV106" i="6"/>
  <c r="LJ104" i="6"/>
  <c r="JZ48" i="6"/>
  <c r="AB89" i="6"/>
  <c r="QE113" i="6"/>
  <c r="MB13" i="6"/>
  <c r="MB31" i="6"/>
  <c r="LJ69" i="6"/>
  <c r="SG111" i="6"/>
  <c r="MB40" i="6"/>
  <c r="QE11" i="6"/>
  <c r="SG32" i="6"/>
  <c r="IP102" i="6"/>
  <c r="SG84" i="6"/>
  <c r="HX32" i="6"/>
  <c r="ACT40" i="6"/>
  <c r="MB16" i="6"/>
  <c r="QE110" i="6"/>
  <c r="KR105" i="6"/>
  <c r="OC97" i="6"/>
  <c r="YV53" i="6"/>
  <c r="SY117" i="6"/>
  <c r="KR14" i="6"/>
  <c r="TQ60" i="6"/>
  <c r="YV36" i="6"/>
  <c r="TQ38" i="6"/>
  <c r="JZ113" i="6"/>
  <c r="QW49" i="6"/>
  <c r="MB37" i="6"/>
  <c r="ACT51" i="6"/>
  <c r="IP99" i="6"/>
  <c r="SG75" i="6"/>
  <c r="LJ64" i="6"/>
  <c r="JH44" i="6"/>
  <c r="SY11" i="6"/>
  <c r="TQ30" i="6"/>
  <c r="RO88" i="6"/>
  <c r="OU53" i="6"/>
  <c r="QE115" i="6"/>
  <c r="HX102" i="6"/>
  <c r="KR93" i="6"/>
  <c r="JH11" i="6"/>
  <c r="SY14" i="6"/>
  <c r="OU103" i="6"/>
  <c r="JZ51" i="6"/>
  <c r="AAY18" i="6"/>
  <c r="SY62" i="6"/>
  <c r="YV63" i="6"/>
  <c r="OC54" i="6"/>
  <c r="RO90" i="6"/>
  <c r="QW115" i="6"/>
  <c r="PM108" i="6"/>
  <c r="XM116" i="6"/>
  <c r="XM84" i="6"/>
  <c r="XM52" i="6"/>
  <c r="XM20" i="6"/>
  <c r="XK84" i="6"/>
  <c r="XK20" i="6"/>
  <c r="XL92" i="6"/>
  <c r="XL60" i="6"/>
  <c r="XL28" i="6"/>
  <c r="XK99" i="6"/>
  <c r="XK35" i="6"/>
  <c r="XM99" i="6"/>
  <c r="XM67" i="6"/>
  <c r="XM35" i="6"/>
  <c r="XK114" i="6"/>
  <c r="XK50" i="6"/>
  <c r="XK102" i="6"/>
  <c r="XL95" i="6"/>
  <c r="XL63" i="6"/>
  <c r="XL31" i="6"/>
  <c r="XK105" i="6"/>
  <c r="XK41" i="6"/>
  <c r="XK46" i="6"/>
  <c r="XM90" i="6"/>
  <c r="XM58" i="6"/>
  <c r="XM26" i="6"/>
  <c r="XK96" i="6"/>
  <c r="XK32" i="6"/>
  <c r="XM81" i="6"/>
  <c r="XM29" i="6"/>
  <c r="XL110" i="6"/>
  <c r="XL78" i="6"/>
  <c r="XL46" i="6"/>
  <c r="XL14" i="6"/>
  <c r="XK71" i="6"/>
  <c r="XK7" i="6"/>
  <c r="XM33" i="6"/>
  <c r="XK101" i="6"/>
  <c r="XK93" i="6"/>
  <c r="XL81" i="6"/>
  <c r="XL77" i="6"/>
  <c r="XK61" i="6"/>
  <c r="XM112" i="6"/>
  <c r="XM80" i="6"/>
  <c r="XM48" i="6"/>
  <c r="XM16" i="6"/>
  <c r="XK76" i="6"/>
  <c r="XK12" i="6"/>
  <c r="XL88" i="6"/>
  <c r="XL56" i="6"/>
  <c r="XL24" i="6"/>
  <c r="XK91" i="6"/>
  <c r="XK27" i="6"/>
  <c r="XM95" i="6"/>
  <c r="XM63" i="6"/>
  <c r="XM31" i="6"/>
  <c r="XK106" i="6"/>
  <c r="XK42" i="6"/>
  <c r="XK70" i="6"/>
  <c r="XL91" i="6"/>
  <c r="XL59" i="6"/>
  <c r="XL27" i="6"/>
  <c r="XK97" i="6"/>
  <c r="XK33" i="6"/>
  <c r="XK14" i="6"/>
  <c r="XM86" i="6"/>
  <c r="XM54" i="6"/>
  <c r="XM22" i="6"/>
  <c r="XK88" i="6"/>
  <c r="XK24" i="6"/>
  <c r="XM73" i="6"/>
  <c r="XM13" i="6"/>
  <c r="XL106" i="6"/>
  <c r="XL74" i="6"/>
  <c r="XL42" i="6"/>
  <c r="XL10" i="6"/>
  <c r="XK63" i="6"/>
  <c r="XM113" i="6"/>
  <c r="XM17" i="6"/>
  <c r="XK37" i="6"/>
  <c r="XK29" i="6"/>
  <c r="XL49" i="6"/>
  <c r="XL45" i="6"/>
  <c r="XL101" i="6"/>
  <c r="XM108" i="6"/>
  <c r="XM76" i="6"/>
  <c r="XM44" i="6"/>
  <c r="XM12" i="6"/>
  <c r="XK68" i="6"/>
  <c r="XL116" i="6"/>
  <c r="XL84" i="6"/>
  <c r="XL52" i="6"/>
  <c r="XL20" i="6"/>
  <c r="XK83" i="6"/>
  <c r="XK19" i="6"/>
  <c r="XM91" i="6"/>
  <c r="XM59" i="6"/>
  <c r="XM27" i="6"/>
  <c r="XK98" i="6"/>
  <c r="XK34" i="6"/>
  <c r="XK22" i="6"/>
  <c r="XL87" i="6"/>
  <c r="XL55" i="6"/>
  <c r="XL23" i="6"/>
  <c r="XK89" i="6"/>
  <c r="XK25" i="6"/>
  <c r="XM114" i="6"/>
  <c r="XM82" i="6"/>
  <c r="XM50" i="6"/>
  <c r="XM18" i="6"/>
  <c r="XK80" i="6"/>
  <c r="XK16" i="6"/>
  <c r="XM65" i="6"/>
  <c r="XM9" i="6"/>
  <c r="XL102" i="6"/>
  <c r="XL70" i="6"/>
  <c r="XL38" i="6"/>
  <c r="XL6" i="6"/>
  <c r="XK55" i="6"/>
  <c r="XM105" i="6"/>
  <c r="XK86" i="6"/>
  <c r="XL53" i="6"/>
  <c r="XL21" i="6"/>
  <c r="XL17" i="6"/>
  <c r="XL13" i="6"/>
  <c r="XL69" i="6"/>
  <c r="XM104" i="6"/>
  <c r="XM72" i="6"/>
  <c r="XM40" i="6"/>
  <c r="XM8" i="6"/>
  <c r="XK60" i="6"/>
  <c r="XL112" i="6"/>
  <c r="XL80" i="6"/>
  <c r="XL48" i="6"/>
  <c r="XL16" i="6"/>
  <c r="XK75" i="6"/>
  <c r="XK11" i="6"/>
  <c r="XM87" i="6"/>
  <c r="XM55" i="6"/>
  <c r="XM23" i="6"/>
  <c r="XK90" i="6"/>
  <c r="XK26" i="6"/>
  <c r="XL115" i="6"/>
  <c r="XL83" i="6"/>
  <c r="XL51" i="6"/>
  <c r="XL19" i="6"/>
  <c r="XK81" i="6"/>
  <c r="XK17" i="6"/>
  <c r="XM110" i="6"/>
  <c r="XM78" i="6"/>
  <c r="XM46" i="6"/>
  <c r="XM14" i="6"/>
  <c r="XK72" i="6"/>
  <c r="XK8" i="6"/>
  <c r="XM61" i="6"/>
  <c r="XK110" i="6"/>
  <c r="XL98" i="6"/>
  <c r="XL66" i="6"/>
  <c r="XL34" i="6"/>
  <c r="XK111" i="6"/>
  <c r="XK47" i="6"/>
  <c r="XM89" i="6"/>
  <c r="XK62" i="6"/>
  <c r="XK21" i="6"/>
  <c r="XL117" i="6"/>
  <c r="XK77" i="6"/>
  <c r="XL33" i="6"/>
  <c r="XL37" i="6"/>
  <c r="XM100" i="6"/>
  <c r="XM68" i="6"/>
  <c r="XM36" i="6"/>
  <c r="XK116" i="6"/>
  <c r="XK52" i="6"/>
  <c r="XL108" i="6"/>
  <c r="XL76" i="6"/>
  <c r="XL44" i="6"/>
  <c r="XL12" i="6"/>
  <c r="XK67" i="6"/>
  <c r="XM115" i="6"/>
  <c r="XM83" i="6"/>
  <c r="XM51" i="6"/>
  <c r="XM19" i="6"/>
  <c r="XK82" i="6"/>
  <c r="XK18" i="6"/>
  <c r="XL111" i="6"/>
  <c r="XL79" i="6"/>
  <c r="XL47" i="6"/>
  <c r="XL15" i="6"/>
  <c r="XK73" i="6"/>
  <c r="XK9" i="6"/>
  <c r="XM106" i="6"/>
  <c r="XM74" i="6"/>
  <c r="XM42" i="6"/>
  <c r="XM10" i="6"/>
  <c r="XK64" i="6"/>
  <c r="XM117" i="6"/>
  <c r="XM53" i="6"/>
  <c r="XK78" i="6"/>
  <c r="XL94" i="6"/>
  <c r="XL62" i="6"/>
  <c r="XL30" i="6"/>
  <c r="XK103" i="6"/>
  <c r="XK39" i="6"/>
  <c r="XM77" i="6"/>
  <c r="XK30" i="6"/>
  <c r="XL65" i="6"/>
  <c r="XL85" i="6"/>
  <c r="XK13" i="6"/>
  <c r="XL105" i="6"/>
  <c r="XK117" i="6"/>
  <c r="XM96" i="6"/>
  <c r="XM64" i="6"/>
  <c r="XM32" i="6"/>
  <c r="XK108" i="6"/>
  <c r="XK44" i="6"/>
  <c r="XL104" i="6"/>
  <c r="XL72" i="6"/>
  <c r="XL40" i="6"/>
  <c r="XL8" i="6"/>
  <c r="XK59" i="6"/>
  <c r="XM111" i="6"/>
  <c r="XM79" i="6"/>
  <c r="XM47" i="6"/>
  <c r="XM15" i="6"/>
  <c r="XK74" i="6"/>
  <c r="XK10" i="6"/>
  <c r="XL107" i="6"/>
  <c r="XL75" i="6"/>
  <c r="XL43" i="6"/>
  <c r="XL11" i="6"/>
  <c r="XK65" i="6"/>
  <c r="XM101" i="6"/>
  <c r="XM102" i="6"/>
  <c r="XM70" i="6"/>
  <c r="XM38" i="6"/>
  <c r="XM6" i="6"/>
  <c r="XK56" i="6"/>
  <c r="XM109" i="6"/>
  <c r="XM49" i="6"/>
  <c r="XK54" i="6"/>
  <c r="XL90" i="6"/>
  <c r="XL58" i="6"/>
  <c r="XL26" i="6"/>
  <c r="XK95" i="6"/>
  <c r="XK31" i="6"/>
  <c r="XM69" i="6"/>
  <c r="XL93" i="6"/>
  <c r="XL89" i="6"/>
  <c r="XK85" i="6"/>
  <c r="XK69" i="6"/>
  <c r="XL73" i="6"/>
  <c r="XK53" i="6"/>
  <c r="XK6" i="6"/>
  <c r="XM92" i="6"/>
  <c r="XM60" i="6"/>
  <c r="XM28" i="6"/>
  <c r="XK100" i="6"/>
  <c r="XK36" i="6"/>
  <c r="XL100" i="6"/>
  <c r="XL68" i="6"/>
  <c r="XL36" i="6"/>
  <c r="XK115" i="6"/>
  <c r="XK51" i="6"/>
  <c r="XM107" i="6"/>
  <c r="XM75" i="6"/>
  <c r="XM43" i="6"/>
  <c r="XM11" i="6"/>
  <c r="XK66" i="6"/>
  <c r="XM93" i="6"/>
  <c r="XL103" i="6"/>
  <c r="XL71" i="6"/>
  <c r="XL39" i="6"/>
  <c r="XL7" i="6"/>
  <c r="XK57" i="6"/>
  <c r="XM25" i="6"/>
  <c r="XM98" i="6"/>
  <c r="XM66" i="6"/>
  <c r="XM34" i="6"/>
  <c r="XK112" i="6"/>
  <c r="XK48" i="6"/>
  <c r="XM97" i="6"/>
  <c r="XM41" i="6"/>
  <c r="XK38" i="6"/>
  <c r="XL86" i="6"/>
  <c r="XL54" i="6"/>
  <c r="XL22" i="6"/>
  <c r="XK87" i="6"/>
  <c r="XK23" i="6"/>
  <c r="XM57" i="6"/>
  <c r="XL61" i="6"/>
  <c r="XL57" i="6"/>
  <c r="XK45" i="6"/>
  <c r="XL97" i="6"/>
  <c r="XL41" i="6"/>
  <c r="XK109" i="6"/>
  <c r="XM88" i="6"/>
  <c r="XM56" i="6"/>
  <c r="XM24" i="6"/>
  <c r="XK92" i="6"/>
  <c r="XK28" i="6"/>
  <c r="XL96" i="6"/>
  <c r="XL64" i="6"/>
  <c r="XL32" i="6"/>
  <c r="XK107" i="6"/>
  <c r="XK43" i="6"/>
  <c r="XM103" i="6"/>
  <c r="XM71" i="6"/>
  <c r="XM39" i="6"/>
  <c r="XM7" i="6"/>
  <c r="XK58" i="6"/>
  <c r="XM21" i="6"/>
  <c r="XL99" i="6"/>
  <c r="XL67" i="6"/>
  <c r="XL35" i="6"/>
  <c r="XK113" i="6"/>
  <c r="XK49" i="6"/>
  <c r="XK94" i="6"/>
  <c r="XM94" i="6"/>
  <c r="XM62" i="6"/>
  <c r="XM30" i="6"/>
  <c r="XK104" i="6"/>
  <c r="XK40" i="6"/>
  <c r="XM85" i="6"/>
  <c r="XM37" i="6"/>
  <c r="XL114" i="6"/>
  <c r="XL82" i="6"/>
  <c r="XL50" i="6"/>
  <c r="XL18" i="6"/>
  <c r="XK79" i="6"/>
  <c r="XK15" i="6"/>
  <c r="XM45" i="6"/>
  <c r="XL29" i="6"/>
  <c r="XL25" i="6"/>
  <c r="XL113" i="6"/>
  <c r="XN113" i="6" s="1"/>
  <c r="XL109" i="6"/>
  <c r="XL9" i="6"/>
  <c r="AAY40" i="6"/>
  <c r="KR15" i="6"/>
  <c r="AAY96" i="6"/>
  <c r="SY67" i="6"/>
  <c r="ACT65" i="6"/>
  <c r="MB56" i="6"/>
  <c r="AB40" i="6"/>
  <c r="TQ103" i="6"/>
  <c r="QE97" i="6"/>
  <c r="SG26" i="6"/>
  <c r="ACT7" i="6"/>
  <c r="RO31" i="6"/>
  <c r="ACT99" i="6"/>
  <c r="IP78" i="6"/>
  <c r="SY17" i="6"/>
  <c r="AB23" i="6"/>
  <c r="HX92" i="6"/>
  <c r="YV108" i="6"/>
  <c r="YV29" i="6"/>
  <c r="IP50" i="6"/>
  <c r="JZ10" i="6"/>
  <c r="SY29" i="6"/>
  <c r="IP76" i="6"/>
  <c r="HX54" i="6"/>
  <c r="KR40" i="6"/>
  <c r="PM83" i="6"/>
  <c r="SG82" i="6"/>
  <c r="WF102" i="6"/>
  <c r="WG102" i="6" s="1"/>
  <c r="WF38" i="6"/>
  <c r="WG38" i="6" s="1"/>
  <c r="WF109" i="6"/>
  <c r="WG109" i="6" s="1"/>
  <c r="WF45" i="6"/>
  <c r="WG45" i="6" s="1"/>
  <c r="WF108" i="6"/>
  <c r="WG108" i="6" s="1"/>
  <c r="WF44" i="6"/>
  <c r="WG44" i="6" s="1"/>
  <c r="WF107" i="6"/>
  <c r="WG107" i="6" s="1"/>
  <c r="WF43" i="6"/>
  <c r="WG43" i="6" s="1"/>
  <c r="WF114" i="6"/>
  <c r="WG114" i="6" s="1"/>
  <c r="WF50" i="6"/>
  <c r="WG50" i="6" s="1"/>
  <c r="WF105" i="6"/>
  <c r="WG105" i="6" s="1"/>
  <c r="WF41" i="6"/>
  <c r="WG41" i="6" s="1"/>
  <c r="WF96" i="6"/>
  <c r="WG96" i="6" s="1"/>
  <c r="WF32" i="6"/>
  <c r="WG32" i="6" s="1"/>
  <c r="WE109" i="6"/>
  <c r="WE45" i="6"/>
  <c r="WE92" i="6"/>
  <c r="WE28" i="6"/>
  <c r="WE75" i="6"/>
  <c r="WE11" i="6"/>
  <c r="WE58" i="6"/>
  <c r="WE105" i="6"/>
  <c r="WE41" i="6"/>
  <c r="WE87" i="6"/>
  <c r="WE23" i="6"/>
  <c r="WE70" i="6"/>
  <c r="WE112" i="6"/>
  <c r="WE24" i="6"/>
  <c r="WF94" i="6"/>
  <c r="WG94" i="6" s="1"/>
  <c r="WF30" i="6"/>
  <c r="WG30" i="6" s="1"/>
  <c r="WF101" i="6"/>
  <c r="WG101" i="6" s="1"/>
  <c r="WF37" i="6"/>
  <c r="WG37" i="6" s="1"/>
  <c r="WF100" i="6"/>
  <c r="WG100" i="6" s="1"/>
  <c r="WF36" i="6"/>
  <c r="WG36" i="6" s="1"/>
  <c r="WF99" i="6"/>
  <c r="WG99" i="6" s="1"/>
  <c r="WF35" i="6"/>
  <c r="WG35" i="6" s="1"/>
  <c r="WF106" i="6"/>
  <c r="WG106" i="6" s="1"/>
  <c r="WF42" i="6"/>
  <c r="WG42" i="6" s="1"/>
  <c r="WF97" i="6"/>
  <c r="WG97" i="6" s="1"/>
  <c r="WF33" i="6"/>
  <c r="WG33" i="6" s="1"/>
  <c r="WF88" i="6"/>
  <c r="WG88" i="6" s="1"/>
  <c r="WF24" i="6"/>
  <c r="WG24" i="6" s="1"/>
  <c r="WE101" i="6"/>
  <c r="WE37" i="6"/>
  <c r="WE84" i="6"/>
  <c r="WE20" i="6"/>
  <c r="WE67" i="6"/>
  <c r="WE114" i="6"/>
  <c r="WE50" i="6"/>
  <c r="WE97" i="6"/>
  <c r="WE33" i="6"/>
  <c r="WE79" i="6"/>
  <c r="WE15" i="6"/>
  <c r="WE62" i="6"/>
  <c r="WE48" i="6"/>
  <c r="WE80" i="6"/>
  <c r="WF86" i="6"/>
  <c r="WG86" i="6" s="1"/>
  <c r="WF22" i="6"/>
  <c r="WG22" i="6" s="1"/>
  <c r="WF93" i="6"/>
  <c r="WG93" i="6" s="1"/>
  <c r="WF29" i="6"/>
  <c r="WG29" i="6" s="1"/>
  <c r="WF92" i="6"/>
  <c r="WG92" i="6" s="1"/>
  <c r="WF28" i="6"/>
  <c r="WG28" i="6" s="1"/>
  <c r="WF91" i="6"/>
  <c r="WG91" i="6" s="1"/>
  <c r="WF27" i="6"/>
  <c r="WG27" i="6" s="1"/>
  <c r="WF98" i="6"/>
  <c r="WG98" i="6" s="1"/>
  <c r="WF34" i="6"/>
  <c r="WG34" i="6" s="1"/>
  <c r="WF89" i="6"/>
  <c r="WG89" i="6" s="1"/>
  <c r="WF25" i="6"/>
  <c r="WG25" i="6" s="1"/>
  <c r="WF80" i="6"/>
  <c r="WG80" i="6" s="1"/>
  <c r="WF16" i="6"/>
  <c r="WG16" i="6" s="1"/>
  <c r="WE93" i="6"/>
  <c r="WE29" i="6"/>
  <c r="WE76" i="6"/>
  <c r="WE12" i="6"/>
  <c r="WE59" i="6"/>
  <c r="WE106" i="6"/>
  <c r="WE42" i="6"/>
  <c r="WE89" i="6"/>
  <c r="WE25" i="6"/>
  <c r="WE71" i="6"/>
  <c r="WE7" i="6"/>
  <c r="WE54" i="6"/>
  <c r="WE104" i="6"/>
  <c r="WE16" i="6"/>
  <c r="WF78" i="6"/>
  <c r="WG78" i="6" s="1"/>
  <c r="WF14" i="6"/>
  <c r="WG14" i="6" s="1"/>
  <c r="WF85" i="6"/>
  <c r="WG85" i="6" s="1"/>
  <c r="WF21" i="6"/>
  <c r="WG21" i="6" s="1"/>
  <c r="WF84" i="6"/>
  <c r="WG84" i="6" s="1"/>
  <c r="WF20" i="6"/>
  <c r="WG20" i="6" s="1"/>
  <c r="WF83" i="6"/>
  <c r="WG83" i="6" s="1"/>
  <c r="WF19" i="6"/>
  <c r="WG19" i="6" s="1"/>
  <c r="WF90" i="6"/>
  <c r="WG90" i="6" s="1"/>
  <c r="WF26" i="6"/>
  <c r="WG26" i="6" s="1"/>
  <c r="WF81" i="6"/>
  <c r="WG81" i="6" s="1"/>
  <c r="WF17" i="6"/>
  <c r="WG17" i="6" s="1"/>
  <c r="WF72" i="6"/>
  <c r="WG72" i="6" s="1"/>
  <c r="WF8" i="6"/>
  <c r="WG8" i="6" s="1"/>
  <c r="WE85" i="6"/>
  <c r="WE21" i="6"/>
  <c r="WE68" i="6"/>
  <c r="WE115" i="6"/>
  <c r="WE51" i="6"/>
  <c r="WE98" i="6"/>
  <c r="WE34" i="6"/>
  <c r="WE81" i="6"/>
  <c r="WE17" i="6"/>
  <c r="WE63" i="6"/>
  <c r="WE110" i="6"/>
  <c r="WE46" i="6"/>
  <c r="WE40" i="6"/>
  <c r="WE72" i="6"/>
  <c r="WF70" i="6"/>
  <c r="WG70" i="6" s="1"/>
  <c r="WF6" i="6"/>
  <c r="WG6" i="6" s="1"/>
  <c r="WF77" i="6"/>
  <c r="WG77" i="6" s="1"/>
  <c r="WF13" i="6"/>
  <c r="WG13" i="6" s="1"/>
  <c r="WF76" i="6"/>
  <c r="WG76" i="6" s="1"/>
  <c r="WF12" i="6"/>
  <c r="WG12" i="6" s="1"/>
  <c r="WF75" i="6"/>
  <c r="WG75" i="6" s="1"/>
  <c r="WF11" i="6"/>
  <c r="WG11" i="6" s="1"/>
  <c r="WF82" i="6"/>
  <c r="WG82" i="6" s="1"/>
  <c r="WF18" i="6"/>
  <c r="WG18" i="6" s="1"/>
  <c r="WF73" i="6"/>
  <c r="WG73" i="6" s="1"/>
  <c r="WF9" i="6"/>
  <c r="WG9" i="6" s="1"/>
  <c r="WF64" i="6"/>
  <c r="WG64" i="6" s="1"/>
  <c r="WF111" i="6"/>
  <c r="WG111" i="6" s="1"/>
  <c r="WE77" i="6"/>
  <c r="WE13" i="6"/>
  <c r="WE60" i="6"/>
  <c r="WE107" i="6"/>
  <c r="WE43" i="6"/>
  <c r="WE90" i="6"/>
  <c r="WE26" i="6"/>
  <c r="WE73" i="6"/>
  <c r="WE9" i="6"/>
  <c r="WE55" i="6"/>
  <c r="WE102" i="6"/>
  <c r="WE38" i="6"/>
  <c r="WE8" i="6"/>
  <c r="WE64" i="6"/>
  <c r="WF62" i="6"/>
  <c r="WG62" i="6" s="1"/>
  <c r="WF95" i="6"/>
  <c r="WG95" i="6" s="1"/>
  <c r="WF69" i="6"/>
  <c r="WG69" i="6" s="1"/>
  <c r="WF87" i="6"/>
  <c r="WG87" i="6" s="1"/>
  <c r="WF68" i="6"/>
  <c r="WG68" i="6" s="1"/>
  <c r="WF63" i="6"/>
  <c r="WG63" i="6" s="1"/>
  <c r="WF67" i="6"/>
  <c r="WG67" i="6" s="1"/>
  <c r="WF103" i="6"/>
  <c r="WG103" i="6" s="1"/>
  <c r="WF74" i="6"/>
  <c r="WG74" i="6" s="1"/>
  <c r="WF10" i="6"/>
  <c r="WG10" i="6" s="1"/>
  <c r="WF65" i="6"/>
  <c r="WG65" i="6" s="1"/>
  <c r="WF55" i="6"/>
  <c r="WG55" i="6" s="1"/>
  <c r="WF56" i="6"/>
  <c r="WG56" i="6" s="1"/>
  <c r="WF71" i="6"/>
  <c r="WG71" i="6" s="1"/>
  <c r="WE69" i="6"/>
  <c r="WE116" i="6"/>
  <c r="WE52" i="6"/>
  <c r="WE99" i="6"/>
  <c r="WE35" i="6"/>
  <c r="WE82" i="6"/>
  <c r="WE18" i="6"/>
  <c r="WE65" i="6"/>
  <c r="WE111" i="6"/>
  <c r="WE47" i="6"/>
  <c r="WE94" i="6"/>
  <c r="WE30" i="6"/>
  <c r="WE96" i="6"/>
  <c r="WE56" i="6"/>
  <c r="WF54" i="6"/>
  <c r="WG54" i="6" s="1"/>
  <c r="WF15" i="6"/>
  <c r="WG15" i="6" s="1"/>
  <c r="WF61" i="6"/>
  <c r="WG61" i="6" s="1"/>
  <c r="WF23" i="6"/>
  <c r="WG23" i="6" s="1"/>
  <c r="WF60" i="6"/>
  <c r="WG60" i="6" s="1"/>
  <c r="WF7" i="6"/>
  <c r="WG7" i="6" s="1"/>
  <c r="WF59" i="6"/>
  <c r="WG59" i="6" s="1"/>
  <c r="WF79" i="6"/>
  <c r="WG79" i="6" s="1"/>
  <c r="WF66" i="6"/>
  <c r="WG66" i="6" s="1"/>
  <c r="WF47" i="6"/>
  <c r="WG47" i="6" s="1"/>
  <c r="WF57" i="6"/>
  <c r="WG57" i="6" s="1"/>
  <c r="WF112" i="6"/>
  <c r="WG112" i="6" s="1"/>
  <c r="WF48" i="6"/>
  <c r="WG48" i="6" s="1"/>
  <c r="WF31" i="6"/>
  <c r="WG31" i="6" s="1"/>
  <c r="WE61" i="6"/>
  <c r="WE108" i="6"/>
  <c r="WE44" i="6"/>
  <c r="WE91" i="6"/>
  <c r="WE27" i="6"/>
  <c r="WE74" i="6"/>
  <c r="WE10" i="6"/>
  <c r="WE57" i="6"/>
  <c r="WE103" i="6"/>
  <c r="WE39" i="6"/>
  <c r="WE86" i="6"/>
  <c r="WE22" i="6"/>
  <c r="WE32" i="6"/>
  <c r="WE6" i="6"/>
  <c r="WF110" i="6"/>
  <c r="WG110" i="6" s="1"/>
  <c r="WF46" i="6"/>
  <c r="WG46" i="6" s="1"/>
  <c r="WF117" i="6"/>
  <c r="WG117" i="6" s="1"/>
  <c r="WF53" i="6"/>
  <c r="WG53" i="6" s="1"/>
  <c r="WF116" i="6"/>
  <c r="WG116" i="6" s="1"/>
  <c r="WF52" i="6"/>
  <c r="WG52" i="6" s="1"/>
  <c r="WF115" i="6"/>
  <c r="WG115" i="6" s="1"/>
  <c r="WF51" i="6"/>
  <c r="WG51" i="6" s="1"/>
  <c r="WF39" i="6"/>
  <c r="WG39" i="6" s="1"/>
  <c r="WF58" i="6"/>
  <c r="WG58" i="6" s="1"/>
  <c r="WF113" i="6"/>
  <c r="WG113" i="6" s="1"/>
  <c r="WF49" i="6"/>
  <c r="WG49" i="6" s="1"/>
  <c r="WF104" i="6"/>
  <c r="WG104" i="6" s="1"/>
  <c r="WF40" i="6"/>
  <c r="WG40" i="6" s="1"/>
  <c r="WE117" i="6"/>
  <c r="WE53" i="6"/>
  <c r="WE100" i="6"/>
  <c r="WE36" i="6"/>
  <c r="WE83" i="6"/>
  <c r="WE19" i="6"/>
  <c r="WE66" i="6"/>
  <c r="WE113" i="6"/>
  <c r="WE49" i="6"/>
  <c r="WE95" i="6"/>
  <c r="WE31" i="6"/>
  <c r="WE78" i="6"/>
  <c r="WE14" i="6"/>
  <c r="WE88" i="6"/>
  <c r="MB116" i="6"/>
  <c r="IP96" i="6"/>
  <c r="KR44" i="6"/>
  <c r="LJ84" i="6"/>
  <c r="TQ28" i="6"/>
  <c r="AB60" i="6"/>
  <c r="OU47" i="6"/>
  <c r="AAY29" i="6"/>
  <c r="JZ83" i="6"/>
  <c r="QE114" i="6"/>
  <c r="OC14" i="6"/>
  <c r="QE96" i="6"/>
  <c r="OC88" i="6"/>
  <c r="YV21" i="6"/>
  <c r="LJ108" i="6"/>
  <c r="RO96" i="6"/>
  <c r="JZ84" i="6"/>
  <c r="SG35" i="6"/>
  <c r="QW103" i="6"/>
  <c r="OC98" i="6"/>
  <c r="SY70" i="6"/>
  <c r="IP11" i="6"/>
  <c r="TQ62" i="6"/>
  <c r="IP103" i="6"/>
  <c r="OC81" i="6"/>
  <c r="HX71" i="6"/>
  <c r="QW47" i="6"/>
  <c r="OU13" i="6"/>
  <c r="TQ91" i="6"/>
  <c r="SY85" i="6"/>
  <c r="QE17" i="6"/>
  <c r="QW62" i="6"/>
  <c r="TQ6" i="6"/>
  <c r="KR116" i="6"/>
  <c r="SY86" i="6"/>
  <c r="ACT54" i="6"/>
  <c r="HX8" i="6"/>
  <c r="SY19" i="6"/>
  <c r="TQ101" i="6"/>
  <c r="QW92" i="6"/>
  <c r="SY82" i="6"/>
  <c r="RO16" i="6"/>
  <c r="AB41" i="6"/>
  <c r="JZ40" i="6"/>
  <c r="QE14" i="6"/>
  <c r="JZ47" i="6"/>
  <c r="IP12" i="6"/>
  <c r="LJ32" i="6"/>
  <c r="IP73" i="6"/>
  <c r="PM52" i="6"/>
  <c r="AB97" i="6"/>
  <c r="HX109" i="6"/>
  <c r="MB58" i="6"/>
  <c r="OC35" i="6"/>
  <c r="KR107" i="6"/>
  <c r="OC59" i="6"/>
  <c r="QW89" i="6"/>
  <c r="IP67" i="6"/>
  <c r="QW44" i="6"/>
  <c r="KR30" i="6"/>
  <c r="SG68" i="6"/>
  <c r="QW8" i="6"/>
  <c r="JZ33" i="6"/>
  <c r="HX11" i="6"/>
  <c r="RO84" i="6"/>
  <c r="KR80" i="6"/>
  <c r="OU22" i="6"/>
  <c r="AB117" i="6"/>
  <c r="PM25" i="6"/>
  <c r="QE40" i="6"/>
  <c r="ACT108" i="6"/>
  <c r="SG71" i="6"/>
  <c r="QE27" i="6"/>
  <c r="AAY6" i="6"/>
  <c r="SY100" i="6"/>
  <c r="OU85" i="6"/>
  <c r="OC69" i="6"/>
  <c r="PM41" i="6"/>
  <c r="KR33" i="6"/>
  <c r="AB95" i="6"/>
  <c r="SY71" i="6"/>
  <c r="DX105" i="6"/>
  <c r="DW93" i="6"/>
  <c r="DV81" i="6"/>
  <c r="DX67" i="6"/>
  <c r="DW55" i="6"/>
  <c r="DX41" i="6"/>
  <c r="DW29" i="6"/>
  <c r="DV17" i="6"/>
  <c r="DV55" i="6"/>
  <c r="DW32" i="6"/>
  <c r="DU110" i="6"/>
  <c r="DT98" i="6"/>
  <c r="DV84" i="6"/>
  <c r="DU72" i="6"/>
  <c r="DT60" i="6"/>
  <c r="DT31" i="6"/>
  <c r="DT107" i="6"/>
  <c r="DU93" i="6"/>
  <c r="DT81" i="6"/>
  <c r="DV67" i="6"/>
  <c r="DU55" i="6"/>
  <c r="DT43" i="6"/>
  <c r="DU29" i="6"/>
  <c r="DT17" i="6"/>
  <c r="DV117" i="6"/>
  <c r="DX103" i="6"/>
  <c r="DW91" i="6"/>
  <c r="DX77" i="6"/>
  <c r="DW65" i="6"/>
  <c r="DV53" i="6"/>
  <c r="DX39" i="6"/>
  <c r="DW27" i="6"/>
  <c r="DX13" i="6"/>
  <c r="DU114" i="6"/>
  <c r="DT102" i="6"/>
  <c r="DV88" i="6"/>
  <c r="DU76" i="6"/>
  <c r="DT64" i="6"/>
  <c r="DU50" i="6"/>
  <c r="DT38" i="6"/>
  <c r="DV24" i="6"/>
  <c r="DT12" i="6"/>
  <c r="DT111" i="6"/>
  <c r="DU97" i="6"/>
  <c r="DT85" i="6"/>
  <c r="DV71" i="6"/>
  <c r="DU59" i="6"/>
  <c r="DT47" i="6"/>
  <c r="DU33" i="6"/>
  <c r="DT21" i="6"/>
  <c r="DW8" i="6"/>
  <c r="DW107" i="6"/>
  <c r="DX93" i="6"/>
  <c r="DW81" i="6"/>
  <c r="DV69" i="6"/>
  <c r="DX55" i="6"/>
  <c r="DW43" i="6"/>
  <c r="DX29" i="6"/>
  <c r="DW17" i="6"/>
  <c r="DU46" i="6"/>
  <c r="DU42" i="6"/>
  <c r="DU77" i="6"/>
  <c r="DW95" i="6"/>
  <c r="DU39" i="6"/>
  <c r="DU74" i="6"/>
  <c r="DV83" i="6"/>
  <c r="DT97" i="6"/>
  <c r="DX81" i="6"/>
  <c r="DX104" i="6"/>
  <c r="DV16" i="6"/>
  <c r="DS76" i="6"/>
  <c r="DS12" i="6"/>
  <c r="DS59" i="6"/>
  <c r="DS105" i="6"/>
  <c r="DS41" i="6"/>
  <c r="DS88" i="6"/>
  <c r="DS24" i="6"/>
  <c r="DS70" i="6"/>
  <c r="DS117" i="6"/>
  <c r="DS71" i="6"/>
  <c r="DS26" i="6"/>
  <c r="DS63" i="6"/>
  <c r="DS98" i="6"/>
  <c r="DS37" i="6"/>
  <c r="DV104" i="6"/>
  <c r="DU92" i="6"/>
  <c r="DT80" i="6"/>
  <c r="DU66" i="6"/>
  <c r="DT54" i="6"/>
  <c r="DV40" i="6"/>
  <c r="DU28" i="6"/>
  <c r="DT16" i="6"/>
  <c r="DX47" i="6"/>
  <c r="DV29" i="6"/>
  <c r="DX108" i="6"/>
  <c r="DW96" i="6"/>
  <c r="DX82" i="6"/>
  <c r="DW70" i="6"/>
  <c r="DV58" i="6"/>
  <c r="DW117" i="6"/>
  <c r="DV105" i="6"/>
  <c r="DX91" i="6"/>
  <c r="DW79" i="6"/>
  <c r="DX65" i="6"/>
  <c r="DW53" i="6"/>
  <c r="DV41" i="6"/>
  <c r="DX27" i="6"/>
  <c r="DW15" i="6"/>
  <c r="DT116" i="6"/>
  <c r="DU102" i="6"/>
  <c r="DT90" i="6"/>
  <c r="DV76" i="6"/>
  <c r="DU64" i="6"/>
  <c r="DT52" i="6"/>
  <c r="DU38" i="6"/>
  <c r="DT26" i="6"/>
  <c r="DU12" i="6"/>
  <c r="DX112" i="6"/>
  <c r="DW100" i="6"/>
  <c r="DX86" i="6"/>
  <c r="DW74" i="6"/>
  <c r="DV62" i="6"/>
  <c r="DX48" i="6"/>
  <c r="DW36" i="6"/>
  <c r="DX22" i="6"/>
  <c r="DV10" i="6"/>
  <c r="DV109" i="6"/>
  <c r="DX95" i="6"/>
  <c r="DW83" i="6"/>
  <c r="DX69" i="6"/>
  <c r="DW57" i="6"/>
  <c r="DV45" i="6"/>
  <c r="DX31" i="6"/>
  <c r="DW19" i="6"/>
  <c r="DT7" i="6"/>
  <c r="DT106" i="6"/>
  <c r="DV92" i="6"/>
  <c r="DU80" i="6"/>
  <c r="DT68" i="6"/>
  <c r="DU54" i="6"/>
  <c r="DT42" i="6"/>
  <c r="DV28" i="6"/>
  <c r="DU16" i="6"/>
  <c r="DV26" i="6"/>
  <c r="DT30" i="6"/>
  <c r="DT65" i="6"/>
  <c r="DT24" i="6"/>
  <c r="DT27" i="6"/>
  <c r="DT62" i="6"/>
  <c r="DT59" i="6"/>
  <c r="DX72" i="6"/>
  <c r="DW69" i="6"/>
  <c r="DW92" i="6"/>
  <c r="DT10" i="6"/>
  <c r="DS68" i="6"/>
  <c r="DS115" i="6"/>
  <c r="DS51" i="6"/>
  <c r="DS97" i="6"/>
  <c r="DS33" i="6"/>
  <c r="DS80" i="6"/>
  <c r="DS16" i="6"/>
  <c r="DS62" i="6"/>
  <c r="DS95" i="6"/>
  <c r="DS50" i="6"/>
  <c r="DS109" i="6"/>
  <c r="DS42" i="6"/>
  <c r="DS77" i="6"/>
  <c r="DS15" i="6"/>
  <c r="DS6" i="6"/>
  <c r="DW116" i="6"/>
  <c r="DX102" i="6"/>
  <c r="DW90" i="6"/>
  <c r="DV78" i="6"/>
  <c r="DX64" i="6"/>
  <c r="DW52" i="6"/>
  <c r="DX38" i="6"/>
  <c r="DW26" i="6"/>
  <c r="DV14" i="6"/>
  <c r="DU43" i="6"/>
  <c r="DT28" i="6"/>
  <c r="DU107" i="6"/>
  <c r="DT95" i="6"/>
  <c r="DU81" i="6"/>
  <c r="DT69" i="6"/>
  <c r="DX53" i="6"/>
  <c r="DU116" i="6"/>
  <c r="DT104" i="6"/>
  <c r="DU90" i="6"/>
  <c r="DT78" i="6"/>
  <c r="DV64" i="6"/>
  <c r="DU52" i="6"/>
  <c r="DT40" i="6"/>
  <c r="DU26" i="6"/>
  <c r="DT14" i="6"/>
  <c r="DV114" i="6"/>
  <c r="DX100" i="6"/>
  <c r="DW88" i="6"/>
  <c r="DX74" i="6"/>
  <c r="DW62" i="6"/>
  <c r="DV50" i="6"/>
  <c r="DX36" i="6"/>
  <c r="DW24" i="6"/>
  <c r="DW10" i="6"/>
  <c r="DU111" i="6"/>
  <c r="DT99" i="6"/>
  <c r="DU85" i="6"/>
  <c r="DT73" i="6"/>
  <c r="DV59" i="6"/>
  <c r="DU47" i="6"/>
  <c r="DT35" i="6"/>
  <c r="DU21" i="6"/>
  <c r="DX8" i="6"/>
  <c r="DT108" i="6"/>
  <c r="DU94" i="6"/>
  <c r="DT82" i="6"/>
  <c r="DV68" i="6"/>
  <c r="DU56" i="6"/>
  <c r="DT44" i="6"/>
  <c r="DU30" i="6"/>
  <c r="DT18" i="6"/>
  <c r="DX116" i="6"/>
  <c r="DW104" i="6"/>
  <c r="DX90" i="6"/>
  <c r="DW78" i="6"/>
  <c r="DV66" i="6"/>
  <c r="DX52" i="6"/>
  <c r="DW40" i="6"/>
  <c r="DX26" i="6"/>
  <c r="DW14" i="6"/>
  <c r="DV115" i="6"/>
  <c r="DX21" i="6"/>
  <c r="DX40" i="6"/>
  <c r="DV112" i="6"/>
  <c r="DV20" i="6"/>
  <c r="DW37" i="6"/>
  <c r="DX46" i="6"/>
  <c r="DW60" i="6"/>
  <c r="DV57" i="6"/>
  <c r="DV80" i="6"/>
  <c r="DS60" i="6"/>
  <c r="DS107" i="6"/>
  <c r="DS43" i="6"/>
  <c r="DS89" i="6"/>
  <c r="DS25" i="6"/>
  <c r="DS72" i="6"/>
  <c r="DS8" i="6"/>
  <c r="DS54" i="6"/>
  <c r="DS74" i="6"/>
  <c r="DS29" i="6"/>
  <c r="DS87" i="6"/>
  <c r="DS21" i="6"/>
  <c r="DS55" i="6"/>
  <c r="DT115" i="6"/>
  <c r="DU101" i="6"/>
  <c r="DT89" i="6"/>
  <c r="DV75" i="6"/>
  <c r="DU63" i="6"/>
  <c r="DT51" i="6"/>
  <c r="DU37" i="6"/>
  <c r="DT25" i="6"/>
  <c r="DX12" i="6"/>
  <c r="DW41" i="6"/>
  <c r="DX117" i="6"/>
  <c r="DW105" i="6"/>
  <c r="DV93" i="6"/>
  <c r="DX79" i="6"/>
  <c r="DW67" i="6"/>
  <c r="DV52" i="6"/>
  <c r="DW114" i="6"/>
  <c r="DV102" i="6"/>
  <c r="DX88" i="6"/>
  <c r="DW76" i="6"/>
  <c r="DX62" i="6"/>
  <c r="DW50" i="6"/>
  <c r="DV38" i="6"/>
  <c r="DX24" i="6"/>
  <c r="DV12" i="6"/>
  <c r="DV111" i="6"/>
  <c r="DU99" i="6"/>
  <c r="DT87" i="6"/>
  <c r="DU73" i="6"/>
  <c r="DT61" i="6"/>
  <c r="DV47" i="6"/>
  <c r="DU35" i="6"/>
  <c r="DT23" i="6"/>
  <c r="DT9" i="6"/>
  <c r="DW109" i="6"/>
  <c r="DV97" i="6"/>
  <c r="DX83" i="6"/>
  <c r="DW71" i="6"/>
  <c r="DX57" i="6"/>
  <c r="DW45" i="6"/>
  <c r="DV33" i="6"/>
  <c r="DX19" i="6"/>
  <c r="DU7" i="6"/>
  <c r="DV106" i="6"/>
  <c r="DX92" i="6"/>
  <c r="DW80" i="6"/>
  <c r="DX66" i="6"/>
  <c r="DW54" i="6"/>
  <c r="DV42" i="6"/>
  <c r="DX28" i="6"/>
  <c r="DW16" i="6"/>
  <c r="DU115" i="6"/>
  <c r="DT103" i="6"/>
  <c r="DU89" i="6"/>
  <c r="DT77" i="6"/>
  <c r="DV63" i="6"/>
  <c r="DU51" i="6"/>
  <c r="DT39" i="6"/>
  <c r="DU25" i="6"/>
  <c r="DT13" i="6"/>
  <c r="DU103" i="6"/>
  <c r="DX15" i="6"/>
  <c r="DW28" i="6"/>
  <c r="DU100" i="6"/>
  <c r="DU14" i="6"/>
  <c r="DV25" i="6"/>
  <c r="DW34" i="6"/>
  <c r="DV48" i="6"/>
  <c r="DU45" i="6"/>
  <c r="DU68" i="6"/>
  <c r="DS116" i="6"/>
  <c r="DS52" i="6"/>
  <c r="DS99" i="6"/>
  <c r="DS35" i="6"/>
  <c r="DS81" i="6"/>
  <c r="DS17" i="6"/>
  <c r="DS64" i="6"/>
  <c r="DS110" i="6"/>
  <c r="DS46" i="6"/>
  <c r="DS53" i="6"/>
  <c r="DS7" i="6"/>
  <c r="DS66" i="6"/>
  <c r="DS103" i="6"/>
  <c r="DS34" i="6"/>
  <c r="DV113" i="6"/>
  <c r="DX99" i="6"/>
  <c r="DW87" i="6"/>
  <c r="DX73" i="6"/>
  <c r="DW61" i="6"/>
  <c r="DV49" i="6"/>
  <c r="DX35" i="6"/>
  <c r="DW23" i="6"/>
  <c r="DU11" i="6"/>
  <c r="DU40" i="6"/>
  <c r="DV116" i="6"/>
  <c r="DU104" i="6"/>
  <c r="DT92" i="6"/>
  <c r="DU78" i="6"/>
  <c r="DT66" i="6"/>
  <c r="DX50" i="6"/>
  <c r="DT113" i="6"/>
  <c r="DV99" i="6"/>
  <c r="DU87" i="6"/>
  <c r="DT75" i="6"/>
  <c r="DU61" i="6"/>
  <c r="DT49" i="6"/>
  <c r="DV35" i="6"/>
  <c r="DU23" i="6"/>
  <c r="DX10" i="6"/>
  <c r="DX109" i="6"/>
  <c r="DW97" i="6"/>
  <c r="DV85" i="6"/>
  <c r="DX71" i="6"/>
  <c r="DW59" i="6"/>
  <c r="DX45" i="6"/>
  <c r="DW33" i="6"/>
  <c r="DV21" i="6"/>
  <c r="DV7" i="6"/>
  <c r="DU108" i="6"/>
  <c r="DT96" i="6"/>
  <c r="DU82" i="6"/>
  <c r="DT70" i="6"/>
  <c r="DV56" i="6"/>
  <c r="DU44" i="6"/>
  <c r="DT32" i="6"/>
  <c r="DU18" i="6"/>
  <c r="DT117" i="6"/>
  <c r="DV103" i="6"/>
  <c r="DU91" i="6"/>
  <c r="DT79" i="6"/>
  <c r="DU65" i="6"/>
  <c r="DT53" i="6"/>
  <c r="DV39" i="6"/>
  <c r="DU27" i="6"/>
  <c r="DT15" i="6"/>
  <c r="DW113" i="6"/>
  <c r="DV101" i="6"/>
  <c r="DX87" i="6"/>
  <c r="DW75" i="6"/>
  <c r="DX61" i="6"/>
  <c r="DW49" i="6"/>
  <c r="DV37" i="6"/>
  <c r="DX23" i="6"/>
  <c r="DV11" i="6"/>
  <c r="DT91" i="6"/>
  <c r="DV9" i="6"/>
  <c r="DX14" i="6"/>
  <c r="DT88" i="6"/>
  <c r="DX7" i="6"/>
  <c r="DV19" i="6"/>
  <c r="DX17" i="6"/>
  <c r="DU36" i="6"/>
  <c r="DT33" i="6"/>
  <c r="DT56" i="6"/>
  <c r="DS108" i="6"/>
  <c r="DS44" i="6"/>
  <c r="DS91" i="6"/>
  <c r="DS27" i="6"/>
  <c r="DS73" i="6"/>
  <c r="DS9" i="6"/>
  <c r="DS56" i="6"/>
  <c r="DS102" i="6"/>
  <c r="DS38" i="6"/>
  <c r="DS31" i="6"/>
  <c r="DS111" i="6"/>
  <c r="DS45" i="6"/>
  <c r="DS82" i="6"/>
  <c r="DS13" i="6"/>
  <c r="DT112" i="6"/>
  <c r="DU98" i="6"/>
  <c r="DT86" i="6"/>
  <c r="DV72" i="6"/>
  <c r="DU60" i="6"/>
  <c r="DT48" i="6"/>
  <c r="DU34" i="6"/>
  <c r="DT22" i="6"/>
  <c r="DW9" i="6"/>
  <c r="DT37" i="6"/>
  <c r="DX114" i="6"/>
  <c r="DW102" i="6"/>
  <c r="DV90" i="6"/>
  <c r="DX76" i="6"/>
  <c r="DW64" i="6"/>
  <c r="DU49" i="6"/>
  <c r="DW111" i="6"/>
  <c r="DX97" i="6"/>
  <c r="DW85" i="6"/>
  <c r="DV73" i="6"/>
  <c r="DX59" i="6"/>
  <c r="DW47" i="6"/>
  <c r="DX33" i="6"/>
  <c r="DW21" i="6"/>
  <c r="DU9" i="6"/>
  <c r="DV108" i="6"/>
  <c r="DU96" i="6"/>
  <c r="DT84" i="6"/>
  <c r="DU70" i="6"/>
  <c r="DT58" i="6"/>
  <c r="DV44" i="6"/>
  <c r="DU32" i="6"/>
  <c r="DT20" i="6"/>
  <c r="DT6" i="6"/>
  <c r="DW106" i="6"/>
  <c r="DV94" i="6"/>
  <c r="DX80" i="6"/>
  <c r="DW68" i="6"/>
  <c r="DX54" i="6"/>
  <c r="DW42" i="6"/>
  <c r="DV30" i="6"/>
  <c r="DX16" i="6"/>
  <c r="DW115" i="6"/>
  <c r="DX101" i="6"/>
  <c r="DW89" i="6"/>
  <c r="DV77" i="6"/>
  <c r="DX63" i="6"/>
  <c r="DW51" i="6"/>
  <c r="DX37" i="6"/>
  <c r="DW25" i="6"/>
  <c r="DV13" i="6"/>
  <c r="DU112" i="6"/>
  <c r="DT100" i="6"/>
  <c r="DU86" i="6"/>
  <c r="DT74" i="6"/>
  <c r="DV60" i="6"/>
  <c r="DU48" i="6"/>
  <c r="DT36" i="6"/>
  <c r="DU22" i="6"/>
  <c r="DX9" i="6"/>
  <c r="DX78" i="6"/>
  <c r="DX113" i="6"/>
  <c r="DV8" i="6"/>
  <c r="DX75" i="6"/>
  <c r="DX110" i="6"/>
  <c r="DU13" i="6"/>
  <c r="DW11" i="6"/>
  <c r="DV6" i="6"/>
  <c r="DV23" i="6"/>
  <c r="DX43" i="6"/>
  <c r="DS100" i="6"/>
  <c r="DS36" i="6"/>
  <c r="DS83" i="6"/>
  <c r="DS19" i="6"/>
  <c r="DS65" i="6"/>
  <c r="DS112" i="6"/>
  <c r="DS48" i="6"/>
  <c r="DS94" i="6"/>
  <c r="DS30" i="6"/>
  <c r="DS10" i="6"/>
  <c r="DS90" i="6"/>
  <c r="DS23" i="6"/>
  <c r="DS61" i="6"/>
  <c r="DS101" i="6"/>
  <c r="DV110" i="6"/>
  <c r="DX96" i="6"/>
  <c r="DW84" i="6"/>
  <c r="DX70" i="6"/>
  <c r="DW58" i="6"/>
  <c r="DV46" i="6"/>
  <c r="DX32" i="6"/>
  <c r="DW20" i="6"/>
  <c r="DT8" i="6"/>
  <c r="DW35" i="6"/>
  <c r="DU113" i="6"/>
  <c r="DT101" i="6"/>
  <c r="DV87" i="6"/>
  <c r="DU75" i="6"/>
  <c r="DT63" i="6"/>
  <c r="DX44" i="6"/>
  <c r="DT110" i="6"/>
  <c r="DV96" i="6"/>
  <c r="DU84" i="6"/>
  <c r="DT72" i="6"/>
  <c r="DU58" i="6"/>
  <c r="DT46" i="6"/>
  <c r="DV32" i="6"/>
  <c r="DU20" i="6"/>
  <c r="DW7" i="6"/>
  <c r="DX106" i="6"/>
  <c r="DW94" i="6"/>
  <c r="DV82" i="6"/>
  <c r="DX68" i="6"/>
  <c r="DW56" i="6"/>
  <c r="DX42" i="6"/>
  <c r="DW30" i="6"/>
  <c r="DV18" i="6"/>
  <c r="DU117" i="6"/>
  <c r="DT105" i="6"/>
  <c r="DV91" i="6"/>
  <c r="DU79" i="6"/>
  <c r="DT67" i="6"/>
  <c r="DU53" i="6"/>
  <c r="DT41" i="6"/>
  <c r="DV27" i="6"/>
  <c r="DU15" i="6"/>
  <c r="DT114" i="6"/>
  <c r="DV100" i="6"/>
  <c r="DU88" i="6"/>
  <c r="DT76" i="6"/>
  <c r="DU62" i="6"/>
  <c r="DT50" i="6"/>
  <c r="DV36" i="6"/>
  <c r="DU24" i="6"/>
  <c r="DX11" i="6"/>
  <c r="DW110" i="6"/>
  <c r="DV98" i="6"/>
  <c r="DX84" i="6"/>
  <c r="DW72" i="6"/>
  <c r="DX58" i="6"/>
  <c r="DW46" i="6"/>
  <c r="DV34" i="6"/>
  <c r="DX20" i="6"/>
  <c r="DU8" i="6"/>
  <c r="DW66" i="6"/>
  <c r="DW101" i="6"/>
  <c r="DX49" i="6"/>
  <c r="DW63" i="6"/>
  <c r="DW98" i="6"/>
  <c r="DX18" i="6"/>
  <c r="DU71" i="6"/>
  <c r="DU106" i="6"/>
  <c r="DU17" i="6"/>
  <c r="DW31" i="6"/>
  <c r="DS92" i="6"/>
  <c r="DS28" i="6"/>
  <c r="DS75" i="6"/>
  <c r="DS11" i="6"/>
  <c r="DS57" i="6"/>
  <c r="DS104" i="6"/>
  <c r="DS40" i="6"/>
  <c r="DS86" i="6"/>
  <c r="DS22" i="6"/>
  <c r="DS114" i="6"/>
  <c r="DS69" i="6"/>
  <c r="DS106" i="6"/>
  <c r="DS39" i="6"/>
  <c r="DS79" i="6"/>
  <c r="DT83" i="6"/>
  <c r="DX111" i="6"/>
  <c r="DW82" i="6"/>
  <c r="DT93" i="6"/>
  <c r="DW103" i="6"/>
  <c r="DW112" i="6"/>
  <c r="DU10" i="6"/>
  <c r="DU19" i="6"/>
  <c r="DU109" i="6"/>
  <c r="DS49" i="6"/>
  <c r="DS18" i="6"/>
  <c r="DW99" i="6"/>
  <c r="DV79" i="6"/>
  <c r="DX98" i="6"/>
  <c r="DT109" i="6"/>
  <c r="DT94" i="6"/>
  <c r="DS58" i="6"/>
  <c r="DU69" i="6"/>
  <c r="DV70" i="6"/>
  <c r="DX89" i="6"/>
  <c r="DX6" i="6"/>
  <c r="DS96" i="6"/>
  <c r="DT57" i="6"/>
  <c r="DX85" i="6"/>
  <c r="DX56" i="6"/>
  <c r="DU67" i="6"/>
  <c r="DW77" i="6"/>
  <c r="DW86" i="6"/>
  <c r="DV95" i="6"/>
  <c r="DV54" i="6"/>
  <c r="DT11" i="6"/>
  <c r="DS32" i="6"/>
  <c r="DV107" i="6"/>
  <c r="DV15" i="6"/>
  <c r="DV86" i="6"/>
  <c r="DU95" i="6"/>
  <c r="DX115" i="6"/>
  <c r="DX107" i="6"/>
  <c r="DV43" i="6"/>
  <c r="DW73" i="6"/>
  <c r="DW44" i="6"/>
  <c r="DT55" i="6"/>
  <c r="DV65" i="6"/>
  <c r="DV74" i="6"/>
  <c r="DU83" i="6"/>
  <c r="DV89" i="6"/>
  <c r="DV22" i="6"/>
  <c r="DS78" i="6"/>
  <c r="DU6" i="6"/>
  <c r="DT45" i="6"/>
  <c r="DU105" i="6"/>
  <c r="DS113" i="6"/>
  <c r="DU31" i="6"/>
  <c r="DV61" i="6"/>
  <c r="DX30" i="6"/>
  <c r="DU41" i="6"/>
  <c r="DX51" i="6"/>
  <c r="DX60" i="6"/>
  <c r="DT71" i="6"/>
  <c r="DW12" i="6"/>
  <c r="DS84" i="6"/>
  <c r="DS14" i="6"/>
  <c r="DW6" i="6"/>
  <c r="DX25" i="6"/>
  <c r="DS67" i="6"/>
  <c r="DW13" i="6"/>
  <c r="DS85" i="6"/>
  <c r="DT19" i="6"/>
  <c r="DW38" i="6"/>
  <c r="DW18" i="6"/>
  <c r="DT29" i="6"/>
  <c r="DW39" i="6"/>
  <c r="DW48" i="6"/>
  <c r="DU57" i="6"/>
  <c r="DV51" i="6"/>
  <c r="DS20" i="6"/>
  <c r="DS93" i="6"/>
  <c r="DW108" i="6"/>
  <c r="DX34" i="6"/>
  <c r="DS47" i="6"/>
  <c r="DX94" i="6"/>
  <c r="DV31" i="6"/>
  <c r="DT34" i="6"/>
  <c r="DW22" i="6"/>
  <c r="TQ59" i="6"/>
  <c r="JH51" i="6"/>
  <c r="QE101" i="6"/>
  <c r="KR23" i="6"/>
  <c r="IP38" i="6"/>
  <c r="TQ79" i="6"/>
  <c r="TQ27" i="6"/>
  <c r="MB71" i="6"/>
  <c r="LJ101" i="6"/>
  <c r="PM86" i="6"/>
  <c r="AB66" i="6"/>
  <c r="PM11" i="6"/>
  <c r="JZ78" i="6"/>
  <c r="OC55" i="6"/>
  <c r="AB36" i="6"/>
  <c r="QE41" i="6"/>
  <c r="HX110" i="6"/>
  <c r="OC53" i="6"/>
  <c r="QW40" i="6"/>
  <c r="KR26" i="6"/>
  <c r="JH63" i="6"/>
  <c r="AB39" i="6"/>
  <c r="LJ89" i="6"/>
  <c r="RO116" i="6"/>
  <c r="SY109" i="6"/>
  <c r="IP59" i="6"/>
  <c r="YV19" i="6"/>
  <c r="SY16" i="6"/>
  <c r="OU27" i="6"/>
  <c r="HX13" i="6"/>
  <c r="JZ95" i="6"/>
  <c r="IP7" i="6"/>
  <c r="AAY11" i="6"/>
  <c r="RO103" i="6"/>
  <c r="RO11" i="6"/>
  <c r="PM69" i="6"/>
  <c r="QW54" i="6"/>
  <c r="YV22" i="6"/>
  <c r="QW106" i="6"/>
  <c r="HX48" i="6"/>
  <c r="PM34" i="6"/>
  <c r="LJ58" i="6"/>
  <c r="IP87" i="6"/>
  <c r="JZ92" i="6"/>
  <c r="JH38" i="6"/>
  <c r="JH77" i="6"/>
  <c r="SY58" i="6"/>
  <c r="QW50" i="6"/>
  <c r="YV8" i="6"/>
  <c r="PM63" i="6"/>
  <c r="ACT87" i="6"/>
  <c r="JH105" i="6"/>
  <c r="IP88" i="6"/>
  <c r="JZ39" i="6"/>
  <c r="LJ76" i="6"/>
  <c r="SG57" i="6"/>
  <c r="ACT13" i="6"/>
  <c r="QE74" i="6"/>
  <c r="SG7" i="6"/>
  <c r="SY94" i="6"/>
  <c r="OC40" i="6"/>
  <c r="PM102" i="6"/>
  <c r="LJ80" i="6"/>
  <c r="TQ113" i="6"/>
  <c r="QE109" i="6"/>
  <c r="YV70" i="6"/>
  <c r="QW39" i="6"/>
  <c r="QW37" i="6"/>
  <c r="QE49" i="6"/>
  <c r="IP117" i="6"/>
  <c r="SG50" i="6"/>
  <c r="PM7" i="6"/>
  <c r="SY69" i="6"/>
  <c r="RO97" i="6"/>
  <c r="HX81" i="6"/>
  <c r="MB65" i="6"/>
  <c r="SY7" i="6"/>
  <c r="OU114" i="6"/>
  <c r="YV55" i="6"/>
  <c r="LJ93" i="6"/>
  <c r="QW60" i="6"/>
  <c r="MB44" i="6"/>
  <c r="PM51" i="6"/>
  <c r="MB19" i="6"/>
  <c r="TQ32" i="6"/>
  <c r="PM117" i="6"/>
  <c r="SG60" i="6"/>
  <c r="LJ25" i="6"/>
  <c r="LJ49" i="6"/>
  <c r="QW67" i="6"/>
  <c r="PM60" i="6"/>
  <c r="ACT81" i="6"/>
  <c r="PM112" i="6"/>
  <c r="TQ13" i="6"/>
  <c r="MB98" i="6"/>
  <c r="QW88" i="6"/>
  <c r="OC56" i="6"/>
  <c r="KR19" i="6"/>
  <c r="JZ36" i="6"/>
  <c r="AB82" i="6"/>
  <c r="MB99" i="6"/>
  <c r="TQ18" i="6"/>
  <c r="ACT84" i="6"/>
  <c r="AAY69" i="6"/>
  <c r="KR6" i="6"/>
  <c r="SG29" i="6"/>
  <c r="JZ20" i="6"/>
  <c r="OC104" i="6"/>
  <c r="OU30" i="6"/>
  <c r="AB65" i="6"/>
  <c r="JH52" i="6"/>
  <c r="OU23" i="6"/>
  <c r="MB97" i="6"/>
  <c r="LJ42" i="6"/>
  <c r="KR18" i="6"/>
  <c r="ACT102" i="6"/>
  <c r="OU107" i="6"/>
  <c r="OU79" i="6"/>
  <c r="JZ71" i="6"/>
  <c r="SY104" i="6"/>
  <c r="PM75" i="6"/>
  <c r="TQ78" i="6"/>
  <c r="JZ79" i="6"/>
  <c r="ACT107" i="6"/>
  <c r="JZ97" i="6"/>
  <c r="IP62" i="6"/>
  <c r="ACT78" i="6"/>
  <c r="OU104" i="6"/>
  <c r="TQ98" i="6"/>
  <c r="LJ28" i="6"/>
  <c r="ACT68" i="6"/>
  <c r="MB90" i="6"/>
  <c r="IP112" i="6"/>
  <c r="KR117" i="6"/>
  <c r="JH28" i="6"/>
  <c r="AB109" i="6"/>
  <c r="JZ54" i="6"/>
  <c r="AB11" i="6"/>
  <c r="PM10" i="6"/>
  <c r="AB103" i="6"/>
  <c r="KR106" i="6"/>
  <c r="QE93" i="6"/>
  <c r="MB85" i="6"/>
  <c r="YV26" i="6"/>
  <c r="SY68" i="6"/>
  <c r="OU57" i="6"/>
  <c r="ACT25" i="6"/>
  <c r="LJ22" i="6"/>
  <c r="JZ59" i="6"/>
  <c r="OU109" i="6"/>
  <c r="OC95" i="6"/>
  <c r="QE85" i="6"/>
  <c r="IP70" i="6"/>
  <c r="LJ45" i="6"/>
  <c r="AB73" i="6"/>
  <c r="RO56" i="6"/>
  <c r="LJ117" i="6"/>
  <c r="SY101" i="6"/>
  <c r="QW97" i="6"/>
  <c r="MB7" i="6"/>
  <c r="RO61" i="6"/>
  <c r="YV40" i="6"/>
  <c r="ACT14" i="6"/>
  <c r="AAY34" i="6"/>
  <c r="RO91" i="6"/>
  <c r="HX79" i="6"/>
  <c r="PM61" i="6"/>
  <c r="AAY54" i="6"/>
  <c r="AB27" i="6"/>
  <c r="SG91" i="6"/>
  <c r="ACT105" i="6"/>
  <c r="SG46" i="6"/>
  <c r="OC13" i="6"/>
  <c r="QE116" i="6"/>
  <c r="AAY108" i="6"/>
  <c r="LJ29" i="6"/>
  <c r="IP27" i="6"/>
  <c r="LJ44" i="6"/>
  <c r="JH6" i="6"/>
  <c r="LJ60" i="6"/>
  <c r="AAY107" i="6"/>
  <c r="PM92" i="6"/>
  <c r="SY9" i="6"/>
  <c r="IP44" i="6"/>
  <c r="LJ90" i="6"/>
  <c r="MB77" i="6"/>
  <c r="OU108" i="6"/>
  <c r="VT114" i="6"/>
  <c r="VT98" i="6"/>
  <c r="VT82" i="6"/>
  <c r="VT66" i="6"/>
  <c r="VT50" i="6"/>
  <c r="VT34" i="6"/>
  <c r="VT18" i="6"/>
  <c r="VS107" i="6"/>
  <c r="VS43" i="6"/>
  <c r="VW111" i="6"/>
  <c r="VW95" i="6"/>
  <c r="VW79" i="6"/>
  <c r="VW63" i="6"/>
  <c r="VW47" i="6"/>
  <c r="VW31" i="6"/>
  <c r="VW15" i="6"/>
  <c r="VS90" i="6"/>
  <c r="VV107" i="6"/>
  <c r="VV91" i="6"/>
  <c r="VV75" i="6"/>
  <c r="VV59" i="6"/>
  <c r="VV43" i="6"/>
  <c r="VV27" i="6"/>
  <c r="VV11" i="6"/>
  <c r="VS73" i="6"/>
  <c r="VU103" i="6"/>
  <c r="VU87" i="6"/>
  <c r="VU71" i="6"/>
  <c r="VU55" i="6"/>
  <c r="VU39" i="6"/>
  <c r="VU23" i="6"/>
  <c r="VU7" i="6"/>
  <c r="VT103" i="6"/>
  <c r="VT87" i="6"/>
  <c r="VT71" i="6"/>
  <c r="VT55" i="6"/>
  <c r="VT39" i="6"/>
  <c r="VT23" i="6"/>
  <c r="VT7" i="6"/>
  <c r="VS55" i="6"/>
  <c r="VW102" i="6"/>
  <c r="VW86" i="6"/>
  <c r="VW70" i="6"/>
  <c r="VW54" i="6"/>
  <c r="VW38" i="6"/>
  <c r="VW22" i="6"/>
  <c r="VW6" i="6"/>
  <c r="VS54" i="6"/>
  <c r="VV96" i="6"/>
  <c r="VV32" i="6"/>
  <c r="VS48" i="6"/>
  <c r="VU80" i="6"/>
  <c r="VU16" i="6"/>
  <c r="VS25" i="6"/>
  <c r="VV62" i="6"/>
  <c r="VS112" i="6"/>
  <c r="VU110" i="6"/>
  <c r="VU46" i="6"/>
  <c r="VS68" i="6"/>
  <c r="VV100" i="6"/>
  <c r="VV36" i="6"/>
  <c r="VS42" i="6"/>
  <c r="VU84" i="6"/>
  <c r="VU20" i="6"/>
  <c r="VS20" i="6"/>
  <c r="VV66" i="6"/>
  <c r="VS101" i="6"/>
  <c r="VU114" i="6"/>
  <c r="VU50" i="6"/>
  <c r="VS61" i="6"/>
  <c r="VT112" i="6"/>
  <c r="VT96" i="6"/>
  <c r="VT80" i="6"/>
  <c r="VT64" i="6"/>
  <c r="VT48" i="6"/>
  <c r="VT32" i="6"/>
  <c r="VT16" i="6"/>
  <c r="VS99" i="6"/>
  <c r="VS35" i="6"/>
  <c r="VW109" i="6"/>
  <c r="VW93" i="6"/>
  <c r="VW77" i="6"/>
  <c r="VW61" i="6"/>
  <c r="VW45" i="6"/>
  <c r="VW29" i="6"/>
  <c r="VW13" i="6"/>
  <c r="VS82" i="6"/>
  <c r="VV105" i="6"/>
  <c r="VV89" i="6"/>
  <c r="VV73" i="6"/>
  <c r="VV57" i="6"/>
  <c r="VV41" i="6"/>
  <c r="VV25" i="6"/>
  <c r="VV9" i="6"/>
  <c r="VU117" i="6"/>
  <c r="VU101" i="6"/>
  <c r="VU85" i="6"/>
  <c r="VU69" i="6"/>
  <c r="VU53" i="6"/>
  <c r="VU37" i="6"/>
  <c r="VU21" i="6"/>
  <c r="VT117" i="6"/>
  <c r="VT101" i="6"/>
  <c r="VT85" i="6"/>
  <c r="VT69" i="6"/>
  <c r="VT53" i="6"/>
  <c r="VT37" i="6"/>
  <c r="VT21" i="6"/>
  <c r="VS111" i="6"/>
  <c r="VW116" i="6"/>
  <c r="VW100" i="6"/>
  <c r="VW84" i="6"/>
  <c r="VW68" i="6"/>
  <c r="VW52" i="6"/>
  <c r="VW36" i="6"/>
  <c r="VW20" i="6"/>
  <c r="VS110" i="6"/>
  <c r="VS46" i="6"/>
  <c r="VV88" i="6"/>
  <c r="VV24" i="6"/>
  <c r="VS37" i="6"/>
  <c r="VU72" i="6"/>
  <c r="VU8" i="6"/>
  <c r="VS15" i="6"/>
  <c r="VV54" i="6"/>
  <c r="VS92" i="6"/>
  <c r="VU102" i="6"/>
  <c r="VU38" i="6"/>
  <c r="VS56" i="6"/>
  <c r="VV92" i="6"/>
  <c r="VV28" i="6"/>
  <c r="VS32" i="6"/>
  <c r="VU76" i="6"/>
  <c r="VU12" i="6"/>
  <c r="VS9" i="6"/>
  <c r="VV58" i="6"/>
  <c r="VS80" i="6"/>
  <c r="VU106" i="6"/>
  <c r="VU42" i="6"/>
  <c r="VS49" i="6"/>
  <c r="VT110" i="6"/>
  <c r="VT94" i="6"/>
  <c r="VT78" i="6"/>
  <c r="VT62" i="6"/>
  <c r="VT46" i="6"/>
  <c r="VT30" i="6"/>
  <c r="VT14" i="6"/>
  <c r="VS91" i="6"/>
  <c r="VS27" i="6"/>
  <c r="VW107" i="6"/>
  <c r="VW91" i="6"/>
  <c r="VW75" i="6"/>
  <c r="VW59" i="6"/>
  <c r="VW43" i="6"/>
  <c r="VW27" i="6"/>
  <c r="VW11" i="6"/>
  <c r="VS74" i="6"/>
  <c r="VV103" i="6"/>
  <c r="VV87" i="6"/>
  <c r="VV71" i="6"/>
  <c r="VV55" i="6"/>
  <c r="VV39" i="6"/>
  <c r="VV23" i="6"/>
  <c r="VV7" i="6"/>
  <c r="VU115" i="6"/>
  <c r="VU99" i="6"/>
  <c r="VU83" i="6"/>
  <c r="VU67" i="6"/>
  <c r="VU51" i="6"/>
  <c r="VU35" i="6"/>
  <c r="VU19" i="6"/>
  <c r="VT115" i="6"/>
  <c r="VT99" i="6"/>
  <c r="VT83" i="6"/>
  <c r="VT67" i="6"/>
  <c r="VT51" i="6"/>
  <c r="VT35" i="6"/>
  <c r="VT19" i="6"/>
  <c r="VS103" i="6"/>
  <c r="VW114" i="6"/>
  <c r="VW98" i="6"/>
  <c r="VW82" i="6"/>
  <c r="VW66" i="6"/>
  <c r="VW50" i="6"/>
  <c r="VW34" i="6"/>
  <c r="VW18" i="6"/>
  <c r="VS102" i="6"/>
  <c r="VS38" i="6"/>
  <c r="VV80" i="6"/>
  <c r="VV16" i="6"/>
  <c r="VS26" i="6"/>
  <c r="VU64" i="6"/>
  <c r="VS116" i="6"/>
  <c r="VV110" i="6"/>
  <c r="VV46" i="6"/>
  <c r="VS69" i="6"/>
  <c r="VU94" i="6"/>
  <c r="VU30" i="6"/>
  <c r="VS44" i="6"/>
  <c r="VV84" i="6"/>
  <c r="VV20" i="6"/>
  <c r="VS21" i="6"/>
  <c r="VU68" i="6"/>
  <c r="VS104" i="6"/>
  <c r="VV114" i="6"/>
  <c r="VV50" i="6"/>
  <c r="VS64" i="6"/>
  <c r="VU98" i="6"/>
  <c r="VU34" i="6"/>
  <c r="VS39" i="6"/>
  <c r="VT108" i="6"/>
  <c r="VT92" i="6"/>
  <c r="VT76" i="6"/>
  <c r="VT60" i="6"/>
  <c r="VT44" i="6"/>
  <c r="VT28" i="6"/>
  <c r="VT12" i="6"/>
  <c r="VS83" i="6"/>
  <c r="VS19" i="6"/>
  <c r="VW105" i="6"/>
  <c r="VW89" i="6"/>
  <c r="VW73" i="6"/>
  <c r="VW57" i="6"/>
  <c r="VW41" i="6"/>
  <c r="VW25" i="6"/>
  <c r="VW9" i="6"/>
  <c r="VV117" i="6"/>
  <c r="VV101" i="6"/>
  <c r="VV85" i="6"/>
  <c r="VV69" i="6"/>
  <c r="VV53" i="6"/>
  <c r="VV37" i="6"/>
  <c r="VV21" i="6"/>
  <c r="VS113" i="6"/>
  <c r="VU113" i="6"/>
  <c r="VU97" i="6"/>
  <c r="VU81" i="6"/>
  <c r="VU65" i="6"/>
  <c r="VU49" i="6"/>
  <c r="VU33" i="6"/>
  <c r="VU17" i="6"/>
  <c r="VT113" i="6"/>
  <c r="VT97" i="6"/>
  <c r="VT81" i="6"/>
  <c r="VT65" i="6"/>
  <c r="VT49" i="6"/>
  <c r="VT33" i="6"/>
  <c r="VT17" i="6"/>
  <c r="VS95" i="6"/>
  <c r="VW112" i="6"/>
  <c r="VW96" i="6"/>
  <c r="VW80" i="6"/>
  <c r="VW64" i="6"/>
  <c r="VW48" i="6"/>
  <c r="VW32" i="6"/>
  <c r="VW16" i="6"/>
  <c r="VS94" i="6"/>
  <c r="VS30" i="6"/>
  <c r="VV72" i="6"/>
  <c r="VV8" i="6"/>
  <c r="VS16" i="6"/>
  <c r="VU56" i="6"/>
  <c r="VS93" i="6"/>
  <c r="VV102" i="6"/>
  <c r="VV38" i="6"/>
  <c r="VS57" i="6"/>
  <c r="VU86" i="6"/>
  <c r="VU22" i="6"/>
  <c r="VS33" i="6"/>
  <c r="VV76" i="6"/>
  <c r="VV12" i="6"/>
  <c r="VS10" i="6"/>
  <c r="VU60" i="6"/>
  <c r="VS84" i="6"/>
  <c r="VV106" i="6"/>
  <c r="VV42" i="6"/>
  <c r="VS50" i="6"/>
  <c r="VU90" i="6"/>
  <c r="VU26" i="6"/>
  <c r="VS28" i="6"/>
  <c r="VT106" i="6"/>
  <c r="VT90" i="6"/>
  <c r="VT74" i="6"/>
  <c r="VT58" i="6"/>
  <c r="VT42" i="6"/>
  <c r="VT26" i="6"/>
  <c r="VT10" i="6"/>
  <c r="VS75" i="6"/>
  <c r="VS11" i="6"/>
  <c r="VW103" i="6"/>
  <c r="VW87" i="6"/>
  <c r="VW71" i="6"/>
  <c r="VW55" i="6"/>
  <c r="VW39" i="6"/>
  <c r="VW23" i="6"/>
  <c r="VW7" i="6"/>
  <c r="VV115" i="6"/>
  <c r="VV99" i="6"/>
  <c r="VV83" i="6"/>
  <c r="VV67" i="6"/>
  <c r="VV51" i="6"/>
  <c r="VV35" i="6"/>
  <c r="VV19" i="6"/>
  <c r="VS105" i="6"/>
  <c r="VU111" i="6"/>
  <c r="VU95" i="6"/>
  <c r="VU79" i="6"/>
  <c r="VU63" i="6"/>
  <c r="VU47" i="6"/>
  <c r="VU31" i="6"/>
  <c r="VU15" i="6"/>
  <c r="VT111" i="6"/>
  <c r="VT95" i="6"/>
  <c r="VT79" i="6"/>
  <c r="VT63" i="6"/>
  <c r="VT47" i="6"/>
  <c r="VT31" i="6"/>
  <c r="VT15" i="6"/>
  <c r="VS87" i="6"/>
  <c r="VW110" i="6"/>
  <c r="VW94" i="6"/>
  <c r="VW78" i="6"/>
  <c r="VW62" i="6"/>
  <c r="VW46" i="6"/>
  <c r="VW30" i="6"/>
  <c r="VW14" i="6"/>
  <c r="VS86" i="6"/>
  <c r="VS22" i="6"/>
  <c r="VV64" i="6"/>
  <c r="VS117" i="6"/>
  <c r="VU112" i="6"/>
  <c r="VU48" i="6"/>
  <c r="VS72" i="6"/>
  <c r="VV94" i="6"/>
  <c r="VV30" i="6"/>
  <c r="VS45" i="6"/>
  <c r="VU78" i="6"/>
  <c r="VU14" i="6"/>
  <c r="VS23" i="6"/>
  <c r="VV68" i="6"/>
  <c r="VS108" i="6"/>
  <c r="VU116" i="6"/>
  <c r="VU52" i="6"/>
  <c r="VS65" i="6"/>
  <c r="VV98" i="6"/>
  <c r="VV34" i="6"/>
  <c r="VS40" i="6"/>
  <c r="VU82" i="6"/>
  <c r="VU18" i="6"/>
  <c r="VS17" i="6"/>
  <c r="VT104" i="6"/>
  <c r="VT88" i="6"/>
  <c r="VT72" i="6"/>
  <c r="VT56" i="6"/>
  <c r="VT40" i="6"/>
  <c r="VT24" i="6"/>
  <c r="VT8" i="6"/>
  <c r="VS67" i="6"/>
  <c r="VW117" i="6"/>
  <c r="VW101" i="6"/>
  <c r="VW85" i="6"/>
  <c r="VW69" i="6"/>
  <c r="VW53" i="6"/>
  <c r="VW37" i="6"/>
  <c r="VW21" i="6"/>
  <c r="VS114" i="6"/>
  <c r="VV113" i="6"/>
  <c r="VV97" i="6"/>
  <c r="VV81" i="6"/>
  <c r="VV65" i="6"/>
  <c r="VV49" i="6"/>
  <c r="VV33" i="6"/>
  <c r="VV17" i="6"/>
  <c r="VS97" i="6"/>
  <c r="VU109" i="6"/>
  <c r="VU93" i="6"/>
  <c r="VU77" i="6"/>
  <c r="VU61" i="6"/>
  <c r="VU45" i="6"/>
  <c r="VU29" i="6"/>
  <c r="VU13" i="6"/>
  <c r="VT109" i="6"/>
  <c r="VT93" i="6"/>
  <c r="VT77" i="6"/>
  <c r="VT61" i="6"/>
  <c r="VT45" i="6"/>
  <c r="VT29" i="6"/>
  <c r="VT13" i="6"/>
  <c r="VS79" i="6"/>
  <c r="VW108" i="6"/>
  <c r="VW92" i="6"/>
  <c r="VW76" i="6"/>
  <c r="VW60" i="6"/>
  <c r="VW44" i="6"/>
  <c r="VW28" i="6"/>
  <c r="VW12" i="6"/>
  <c r="VS78" i="6"/>
  <c r="VS14" i="6"/>
  <c r="VV56" i="6"/>
  <c r="VS96" i="6"/>
  <c r="VU104" i="6"/>
  <c r="VU40" i="6"/>
  <c r="VS58" i="6"/>
  <c r="VV86" i="6"/>
  <c r="VV22" i="6"/>
  <c r="VS34" i="6"/>
  <c r="VU70" i="6"/>
  <c r="VU6" i="6"/>
  <c r="VS12" i="6"/>
  <c r="VV60" i="6"/>
  <c r="VS85" i="6"/>
  <c r="VU108" i="6"/>
  <c r="VU44" i="6"/>
  <c r="VS52" i="6"/>
  <c r="VV90" i="6"/>
  <c r="VV26" i="6"/>
  <c r="VS29" i="6"/>
  <c r="VU74" i="6"/>
  <c r="VU10" i="6"/>
  <c r="VS7" i="6"/>
  <c r="VS6" i="6"/>
  <c r="VT102" i="6"/>
  <c r="VT86" i="6"/>
  <c r="VT70" i="6"/>
  <c r="VT54" i="6"/>
  <c r="VT38" i="6"/>
  <c r="VT22" i="6"/>
  <c r="VT6" i="6"/>
  <c r="VS59" i="6"/>
  <c r="VW115" i="6"/>
  <c r="VW99" i="6"/>
  <c r="VW83" i="6"/>
  <c r="VW67" i="6"/>
  <c r="VW51" i="6"/>
  <c r="VW35" i="6"/>
  <c r="VW19" i="6"/>
  <c r="VS106" i="6"/>
  <c r="VV111" i="6"/>
  <c r="VV95" i="6"/>
  <c r="VV79" i="6"/>
  <c r="VV63" i="6"/>
  <c r="VV47" i="6"/>
  <c r="VV31" i="6"/>
  <c r="VV15" i="6"/>
  <c r="VS89" i="6"/>
  <c r="VU107" i="6"/>
  <c r="VU91" i="6"/>
  <c r="VU75" i="6"/>
  <c r="VU59" i="6"/>
  <c r="VU43" i="6"/>
  <c r="VU27" i="6"/>
  <c r="VU11" i="6"/>
  <c r="VT107" i="6"/>
  <c r="VT91" i="6"/>
  <c r="VT75" i="6"/>
  <c r="VT59" i="6"/>
  <c r="VT43" i="6"/>
  <c r="VT27" i="6"/>
  <c r="VT11" i="6"/>
  <c r="VS71" i="6"/>
  <c r="VW106" i="6"/>
  <c r="VW90" i="6"/>
  <c r="VW74" i="6"/>
  <c r="VW58" i="6"/>
  <c r="VW42" i="6"/>
  <c r="VW26" i="6"/>
  <c r="VW10" i="6"/>
  <c r="VS70" i="6"/>
  <c r="VV112" i="6"/>
  <c r="VV48" i="6"/>
  <c r="VS76" i="6"/>
  <c r="VU96" i="6"/>
  <c r="VU32" i="6"/>
  <c r="VS47" i="6"/>
  <c r="VV78" i="6"/>
  <c r="VV14" i="6"/>
  <c r="VS24" i="6"/>
  <c r="VU62" i="6"/>
  <c r="VS109" i="6"/>
  <c r="VV116" i="6"/>
  <c r="VV52" i="6"/>
  <c r="VS66" i="6"/>
  <c r="VU100" i="6"/>
  <c r="VU36" i="6"/>
  <c r="VS41" i="6"/>
  <c r="VV82" i="6"/>
  <c r="VV18" i="6"/>
  <c r="VS18" i="6"/>
  <c r="VU66" i="6"/>
  <c r="VS100" i="6"/>
  <c r="VT116" i="6"/>
  <c r="VT100" i="6"/>
  <c r="VT84" i="6"/>
  <c r="VT68" i="6"/>
  <c r="VT52" i="6"/>
  <c r="VT36" i="6"/>
  <c r="VT20" i="6"/>
  <c r="VS115" i="6"/>
  <c r="VS51" i="6"/>
  <c r="VW113" i="6"/>
  <c r="VW97" i="6"/>
  <c r="VW81" i="6"/>
  <c r="VW65" i="6"/>
  <c r="VW49" i="6"/>
  <c r="VW33" i="6"/>
  <c r="VW17" i="6"/>
  <c r="VS98" i="6"/>
  <c r="VV109" i="6"/>
  <c r="VV93" i="6"/>
  <c r="VV77" i="6"/>
  <c r="VV61" i="6"/>
  <c r="VV45" i="6"/>
  <c r="VV29" i="6"/>
  <c r="VV13" i="6"/>
  <c r="VS81" i="6"/>
  <c r="VU105" i="6"/>
  <c r="VU89" i="6"/>
  <c r="VU73" i="6"/>
  <c r="VU57" i="6"/>
  <c r="VU41" i="6"/>
  <c r="VU25" i="6"/>
  <c r="VU9" i="6"/>
  <c r="VT105" i="6"/>
  <c r="VT89" i="6"/>
  <c r="VT73" i="6"/>
  <c r="VT57" i="6"/>
  <c r="VT41" i="6"/>
  <c r="VT25" i="6"/>
  <c r="VT9" i="6"/>
  <c r="VS63" i="6"/>
  <c r="VW104" i="6"/>
  <c r="VW88" i="6"/>
  <c r="VW72" i="6"/>
  <c r="VW56" i="6"/>
  <c r="VW40" i="6"/>
  <c r="VW24" i="6"/>
  <c r="VW8" i="6"/>
  <c r="VS62" i="6"/>
  <c r="VV104" i="6"/>
  <c r="VV40" i="6"/>
  <c r="VS60" i="6"/>
  <c r="VU88" i="6"/>
  <c r="VU24" i="6"/>
  <c r="VS36" i="6"/>
  <c r="VV70" i="6"/>
  <c r="VV6" i="6"/>
  <c r="VS13" i="6"/>
  <c r="VU54" i="6"/>
  <c r="VS88" i="6"/>
  <c r="VV108" i="6"/>
  <c r="VV44" i="6"/>
  <c r="VS53" i="6"/>
  <c r="VU92" i="6"/>
  <c r="VU28" i="6"/>
  <c r="VS31" i="6"/>
  <c r="VV74" i="6"/>
  <c r="VV10" i="6"/>
  <c r="VS8" i="6"/>
  <c r="VU58" i="6"/>
  <c r="VS77" i="6"/>
  <c r="KR53" i="6"/>
  <c r="OU90" i="6"/>
  <c r="YV100" i="6"/>
  <c r="IP116" i="6"/>
  <c r="SG72" i="6"/>
  <c r="HX15" i="6"/>
  <c r="AAY109" i="6"/>
  <c r="MB101" i="6"/>
  <c r="TQ21" i="6"/>
  <c r="HX55" i="6"/>
  <c r="KR34" i="6"/>
  <c r="OU91" i="6"/>
  <c r="SY23" i="6"/>
  <c r="AAY63" i="6"/>
  <c r="AB68" i="6"/>
  <c r="AAY88" i="6"/>
  <c r="YV103" i="6"/>
  <c r="MB74" i="6"/>
  <c r="HX14" i="6"/>
  <c r="OC64" i="6"/>
  <c r="RO40" i="6"/>
  <c r="LJ81" i="6"/>
  <c r="SG23" i="6"/>
  <c r="KR50" i="6"/>
  <c r="JH35" i="6"/>
  <c r="AAY115" i="6"/>
  <c r="OC8" i="6"/>
  <c r="JH69" i="6"/>
  <c r="OU102" i="6"/>
  <c r="AB112" i="6"/>
  <c r="SY64" i="6"/>
  <c r="KR39" i="6"/>
  <c r="JZ77" i="6"/>
  <c r="JZ25" i="6"/>
  <c r="SG6" i="6"/>
  <c r="QE55" i="6"/>
  <c r="ACT15" i="6"/>
  <c r="KR42" i="6"/>
  <c r="LJ34" i="6"/>
  <c r="YV98" i="6"/>
  <c r="PM114" i="6"/>
  <c r="IP101" i="6"/>
  <c r="LJ41" i="6"/>
  <c r="RO21" i="6"/>
  <c r="LJ67" i="6"/>
  <c r="SY45" i="6"/>
  <c r="IP83" i="6"/>
  <c r="OC115" i="6"/>
  <c r="QW102" i="6"/>
  <c r="JH25" i="6"/>
  <c r="MB80" i="6"/>
  <c r="MB28" i="6"/>
  <c r="TQ100" i="6"/>
  <c r="JZ89" i="6"/>
  <c r="JH34" i="6"/>
  <c r="QE67" i="6"/>
  <c r="MB52" i="6"/>
  <c r="OC46" i="6"/>
  <c r="SY24" i="6"/>
  <c r="JH76" i="6"/>
  <c r="MB10" i="6"/>
  <c r="SY61" i="6"/>
  <c r="JH41" i="6"/>
  <c r="LJ27" i="6"/>
  <c r="SG64" i="6"/>
  <c r="ACT67" i="6"/>
  <c r="QE72" i="6"/>
  <c r="ACT41" i="6"/>
  <c r="PM49" i="6"/>
  <c r="YV13" i="6"/>
  <c r="AAY8" i="6"/>
  <c r="OU73" i="6"/>
  <c r="IP95" i="6"/>
  <c r="YV83" i="6"/>
  <c r="KR70" i="6"/>
  <c r="AB51" i="6"/>
  <c r="MB62" i="6"/>
  <c r="KR16" i="6"/>
  <c r="SY34" i="6"/>
  <c r="QW78" i="6"/>
  <c r="QE25" i="6"/>
  <c r="JZ115" i="6"/>
  <c r="HX94" i="6"/>
  <c r="RO65" i="6"/>
  <c r="TQ107" i="6"/>
  <c r="OU95" i="6"/>
  <c r="RO115" i="6"/>
  <c r="QE78" i="6"/>
  <c r="JH71" i="6"/>
  <c r="QE99" i="6"/>
  <c r="IP89" i="6"/>
  <c r="SY32" i="6"/>
  <c r="LJ72" i="6"/>
  <c r="AB49" i="6"/>
  <c r="MB48" i="6"/>
  <c r="ACT10" i="6"/>
  <c r="OU35" i="6"/>
  <c r="ACT115" i="6"/>
  <c r="KR97" i="6"/>
  <c r="MB46" i="6"/>
  <c r="OU33" i="6"/>
  <c r="JH72" i="6"/>
  <c r="AB13" i="6"/>
  <c r="LJ53" i="6"/>
  <c r="JZ22" i="6"/>
  <c r="RO75" i="6"/>
  <c r="IP54" i="6"/>
  <c r="KR99" i="6"/>
  <c r="QW68" i="6"/>
  <c r="IP8" i="6"/>
  <c r="JZ105" i="6"/>
  <c r="SG43" i="6"/>
  <c r="SY79" i="6"/>
  <c r="KR17" i="6"/>
  <c r="ACT82" i="6"/>
  <c r="QW24" i="6"/>
  <c r="MB51" i="6"/>
  <c r="AAY99" i="6"/>
  <c r="LJ86" i="6"/>
  <c r="RO52" i="6"/>
  <c r="SY20" i="6"/>
  <c r="AB114" i="6"/>
  <c r="SG113" i="6"/>
  <c r="SY56" i="6"/>
  <c r="YV11" i="6"/>
  <c r="SG33" i="6"/>
  <c r="KR77" i="6"/>
  <c r="IP24" i="6"/>
  <c r="SY50" i="6"/>
  <c r="SG44" i="6"/>
  <c r="YV113" i="6"/>
  <c r="IP30" i="6"/>
  <c r="QE23" i="6"/>
  <c r="PM19" i="6"/>
  <c r="AB34" i="6"/>
  <c r="JZ91" i="6"/>
  <c r="JH86" i="6"/>
  <c r="HX22" i="6"/>
  <c r="MB53" i="6"/>
  <c r="ACB115" i="6"/>
  <c r="ACC102" i="6"/>
  <c r="ACD89" i="6"/>
  <c r="ACE76" i="6"/>
  <c r="ACF63" i="6"/>
  <c r="ACB51" i="6"/>
  <c r="ACC38" i="6"/>
  <c r="ACD25" i="6"/>
  <c r="ACE12" i="6"/>
  <c r="ACA88" i="6"/>
  <c r="ACA24" i="6"/>
  <c r="ACB110" i="6"/>
  <c r="ACC97" i="6"/>
  <c r="ACD84" i="6"/>
  <c r="ACE71" i="6"/>
  <c r="ACF58" i="6"/>
  <c r="ACB46" i="6"/>
  <c r="ACC33" i="6"/>
  <c r="ACD20" i="6"/>
  <c r="ACE7" i="6"/>
  <c r="ACA47" i="6"/>
  <c r="ACF112" i="6"/>
  <c r="ACB100" i="6"/>
  <c r="ACC87" i="6"/>
  <c r="ACD74" i="6"/>
  <c r="ACE61" i="6"/>
  <c r="ACF48" i="6"/>
  <c r="ACB36" i="6"/>
  <c r="ACC23" i="6"/>
  <c r="ACD10" i="6"/>
  <c r="ACA77" i="6"/>
  <c r="ACA13" i="6"/>
  <c r="ACF107" i="6"/>
  <c r="ACB95" i="6"/>
  <c r="ACC82" i="6"/>
  <c r="ACD69" i="6"/>
  <c r="ACE56" i="6"/>
  <c r="ACF43" i="6"/>
  <c r="ACB31" i="6"/>
  <c r="ACC18" i="6"/>
  <c r="ACA116" i="6"/>
  <c r="ACA52" i="6"/>
  <c r="ACE115" i="6"/>
  <c r="ACF102" i="6"/>
  <c r="ACB90" i="6"/>
  <c r="ACC77" i="6"/>
  <c r="ACD64" i="6"/>
  <c r="ACE51" i="6"/>
  <c r="ACF38" i="6"/>
  <c r="ACB26" i="6"/>
  <c r="ACC13" i="6"/>
  <c r="ACA75" i="6"/>
  <c r="ACF116" i="6"/>
  <c r="ACB104" i="6"/>
  <c r="ACC91" i="6"/>
  <c r="ACD78" i="6"/>
  <c r="ACE65" i="6"/>
  <c r="ACF52" i="6"/>
  <c r="ACB40" i="6"/>
  <c r="ACC27" i="6"/>
  <c r="ACD14" i="6"/>
  <c r="ACA97" i="6"/>
  <c r="ACA33" i="6"/>
  <c r="ACC92" i="6"/>
  <c r="ACB41" i="6"/>
  <c r="ACA38" i="6"/>
  <c r="ACF65" i="6"/>
  <c r="ACC8" i="6"/>
  <c r="ACF109" i="6"/>
  <c r="ACE58" i="6"/>
  <c r="ACD7" i="6"/>
  <c r="ACB77" i="6"/>
  <c r="ACF25" i="6"/>
  <c r="ACE86" i="6"/>
  <c r="ACE82" i="6"/>
  <c r="ACD31" i="6"/>
  <c r="ACF113" i="6"/>
  <c r="ACE62" i="6"/>
  <c r="ACD11" i="6"/>
  <c r="ACB113" i="6"/>
  <c r="ACF61" i="6"/>
  <c r="ACE10" i="6"/>
  <c r="ACB93" i="6"/>
  <c r="ACE22" i="6"/>
  <c r="ACD113" i="6"/>
  <c r="ACE100" i="6"/>
  <c r="ACF87" i="6"/>
  <c r="ACB75" i="6"/>
  <c r="ACC62" i="6"/>
  <c r="ACD49" i="6"/>
  <c r="ACE36" i="6"/>
  <c r="ACF23" i="6"/>
  <c r="ACB11" i="6"/>
  <c r="ACA80" i="6"/>
  <c r="ACA16" i="6"/>
  <c r="ACD108" i="6"/>
  <c r="ACE95" i="6"/>
  <c r="ACF82" i="6"/>
  <c r="ACB70" i="6"/>
  <c r="ACC57" i="6"/>
  <c r="ACD44" i="6"/>
  <c r="ACE31" i="6"/>
  <c r="ACF18" i="6"/>
  <c r="ACA103" i="6"/>
  <c r="ACA39" i="6"/>
  <c r="ACC111" i="6"/>
  <c r="ACD98" i="6"/>
  <c r="ACE85" i="6"/>
  <c r="ACF72" i="6"/>
  <c r="ACB60" i="6"/>
  <c r="ACC47" i="6"/>
  <c r="ACD34" i="6"/>
  <c r="ACE21" i="6"/>
  <c r="ACF8" i="6"/>
  <c r="ACA69" i="6"/>
  <c r="ACA115" i="6"/>
  <c r="ACC106" i="6"/>
  <c r="ACD93" i="6"/>
  <c r="ACE80" i="6"/>
  <c r="ACF67" i="6"/>
  <c r="ACB55" i="6"/>
  <c r="ACC42" i="6"/>
  <c r="ACD29" i="6"/>
  <c r="ACE16" i="6"/>
  <c r="ACA108" i="6"/>
  <c r="ACA44" i="6"/>
  <c r="ACB114" i="6"/>
  <c r="ACC101" i="6"/>
  <c r="ACD88" i="6"/>
  <c r="ACE75" i="6"/>
  <c r="ACF62" i="6"/>
  <c r="ACB50" i="6"/>
  <c r="ACC37" i="6"/>
  <c r="ACD24" i="6"/>
  <c r="ACE11" i="6"/>
  <c r="ACA67" i="6"/>
  <c r="ACC115" i="6"/>
  <c r="ACD102" i="6"/>
  <c r="ACE89" i="6"/>
  <c r="ACF76" i="6"/>
  <c r="ACB64" i="6"/>
  <c r="ACC51" i="6"/>
  <c r="ACD38" i="6"/>
  <c r="ACE25" i="6"/>
  <c r="ACF12" i="6"/>
  <c r="ACA89" i="6"/>
  <c r="ACA25" i="6"/>
  <c r="ACF85" i="6"/>
  <c r="ACE34" i="6"/>
  <c r="ACA15" i="6"/>
  <c r="ACD59" i="6"/>
  <c r="ACA98" i="6"/>
  <c r="ACD103" i="6"/>
  <c r="ACC52" i="6"/>
  <c r="ACA94" i="6"/>
  <c r="ACE70" i="6"/>
  <c r="ACD19" i="6"/>
  <c r="ACA74" i="6"/>
  <c r="ACC76" i="6"/>
  <c r="ACB25" i="6"/>
  <c r="ACD107" i="6"/>
  <c r="ACC56" i="6"/>
  <c r="ACA114" i="6"/>
  <c r="ACE106" i="6"/>
  <c r="ACD55" i="6"/>
  <c r="ACA110" i="6"/>
  <c r="ACC80" i="6"/>
  <c r="ACC16" i="6"/>
  <c r="ACF111" i="6"/>
  <c r="ACB99" i="6"/>
  <c r="ACC86" i="6"/>
  <c r="ACD73" i="6"/>
  <c r="ACE60" i="6"/>
  <c r="ACF47" i="6"/>
  <c r="ACB35" i="6"/>
  <c r="ACC22" i="6"/>
  <c r="ACD9" i="6"/>
  <c r="ACA72" i="6"/>
  <c r="ACA8" i="6"/>
  <c r="ACF106" i="6"/>
  <c r="ACB94" i="6"/>
  <c r="ACC81" i="6"/>
  <c r="ACD68" i="6"/>
  <c r="ACE55" i="6"/>
  <c r="ACF42" i="6"/>
  <c r="ACB30" i="6"/>
  <c r="ACC17" i="6"/>
  <c r="ACA95" i="6"/>
  <c r="ACA31" i="6"/>
  <c r="ACE109" i="6"/>
  <c r="ACF96" i="6"/>
  <c r="ACB84" i="6"/>
  <c r="ACC71" i="6"/>
  <c r="ACD58" i="6"/>
  <c r="ACE45" i="6"/>
  <c r="ACF32" i="6"/>
  <c r="ACB20" i="6"/>
  <c r="ACC7" i="6"/>
  <c r="ACA61" i="6"/>
  <c r="ACD117" i="6"/>
  <c r="ACE104" i="6"/>
  <c r="ACF91" i="6"/>
  <c r="ACB79" i="6"/>
  <c r="ACC66" i="6"/>
  <c r="ACD53" i="6"/>
  <c r="ACE40" i="6"/>
  <c r="ACF27" i="6"/>
  <c r="ACB15" i="6"/>
  <c r="ACA100" i="6"/>
  <c r="ACA36" i="6"/>
  <c r="ACD112" i="6"/>
  <c r="ACE99" i="6"/>
  <c r="ACF86" i="6"/>
  <c r="ACB74" i="6"/>
  <c r="ACC61" i="6"/>
  <c r="ACD48" i="6"/>
  <c r="ACE35" i="6"/>
  <c r="ACF22" i="6"/>
  <c r="ACB10" i="6"/>
  <c r="ACA59" i="6"/>
  <c r="ACE113" i="6"/>
  <c r="ACF100" i="6"/>
  <c r="ACB88" i="6"/>
  <c r="ACC75" i="6"/>
  <c r="ACD62" i="6"/>
  <c r="ACE49" i="6"/>
  <c r="ACF36" i="6"/>
  <c r="ACB24" i="6"/>
  <c r="ACC11" i="6"/>
  <c r="ACA81" i="6"/>
  <c r="ACA17" i="6"/>
  <c r="ACD79" i="6"/>
  <c r="ACC28" i="6"/>
  <c r="ACE110" i="6"/>
  <c r="ACB53" i="6"/>
  <c r="ACA66" i="6"/>
  <c r="ACB97" i="6"/>
  <c r="ACF45" i="6"/>
  <c r="ACD115" i="6"/>
  <c r="ACC64" i="6"/>
  <c r="ACB13" i="6"/>
  <c r="ACA11" i="6"/>
  <c r="ACF69" i="6"/>
  <c r="ACE18" i="6"/>
  <c r="ACB101" i="6"/>
  <c r="ACF49" i="6"/>
  <c r="ACA82" i="6"/>
  <c r="ACC100" i="6"/>
  <c r="ACB49" i="6"/>
  <c r="ACA78" i="6"/>
  <c r="ACD67" i="6"/>
  <c r="ACF9" i="6"/>
  <c r="ACC110" i="6"/>
  <c r="ACD97" i="6"/>
  <c r="ACE84" i="6"/>
  <c r="ACF71" i="6"/>
  <c r="ACB59" i="6"/>
  <c r="ACC46" i="6"/>
  <c r="ACD33" i="6"/>
  <c r="ACE20" i="6"/>
  <c r="ACF7" i="6"/>
  <c r="ACA64" i="6"/>
  <c r="ACB6" i="6"/>
  <c r="ACC105" i="6"/>
  <c r="ACD92" i="6"/>
  <c r="ACE79" i="6"/>
  <c r="ACF66" i="6"/>
  <c r="ACB54" i="6"/>
  <c r="ACC41" i="6"/>
  <c r="ACD28" i="6"/>
  <c r="ACE15" i="6"/>
  <c r="ACA87" i="6"/>
  <c r="ACA7" i="6"/>
  <c r="ACB108" i="6"/>
  <c r="ACC95" i="6"/>
  <c r="ACD82" i="6"/>
  <c r="ACE69" i="6"/>
  <c r="ACF56" i="6"/>
  <c r="ACB44" i="6"/>
  <c r="ACC31" i="6"/>
  <c r="ACD18" i="6"/>
  <c r="ACA117" i="6"/>
  <c r="ACA53" i="6"/>
  <c r="ACF115" i="6"/>
  <c r="ACB103" i="6"/>
  <c r="ACC90" i="6"/>
  <c r="ACD77" i="6"/>
  <c r="ACE64" i="6"/>
  <c r="ACF51" i="6"/>
  <c r="ACB39" i="6"/>
  <c r="ACC26" i="6"/>
  <c r="ACD13" i="6"/>
  <c r="ACA92" i="6"/>
  <c r="ACA28" i="6"/>
  <c r="ACF110" i="6"/>
  <c r="ACB98" i="6"/>
  <c r="ACC85" i="6"/>
  <c r="ACD72" i="6"/>
  <c r="ACE59" i="6"/>
  <c r="ACF46" i="6"/>
  <c r="ACB34" i="6"/>
  <c r="ACC21" i="6"/>
  <c r="ACD8" i="6"/>
  <c r="ACA51" i="6"/>
  <c r="ACB112" i="6"/>
  <c r="ACC99" i="6"/>
  <c r="ACD86" i="6"/>
  <c r="ACE73" i="6"/>
  <c r="ACF60" i="6"/>
  <c r="ACB48" i="6"/>
  <c r="ACC35" i="6"/>
  <c r="ACD22" i="6"/>
  <c r="ACE9" i="6"/>
  <c r="ACA73" i="6"/>
  <c r="ACA9" i="6"/>
  <c r="ACB73" i="6"/>
  <c r="ACF21" i="6"/>
  <c r="ACC104" i="6"/>
  <c r="ACE46" i="6"/>
  <c r="ACA14" i="6"/>
  <c r="ACE90" i="6"/>
  <c r="ACD39" i="6"/>
  <c r="ACB109" i="6"/>
  <c r="ACF57" i="6"/>
  <c r="ACE6" i="6"/>
  <c r="ACE114" i="6"/>
  <c r="ACD63" i="6"/>
  <c r="ACC12" i="6"/>
  <c r="ACE94" i="6"/>
  <c r="ACD43" i="6"/>
  <c r="ACA50" i="6"/>
  <c r="ACF93" i="6"/>
  <c r="ACE42" i="6"/>
  <c r="ACA46" i="6"/>
  <c r="ACE54" i="6"/>
  <c r="ACA106" i="6"/>
  <c r="ACE108" i="6"/>
  <c r="ACF95" i="6"/>
  <c r="ACB83" i="6"/>
  <c r="ACC70" i="6"/>
  <c r="ACD57" i="6"/>
  <c r="ACE44" i="6"/>
  <c r="ACF31" i="6"/>
  <c r="ACB19" i="6"/>
  <c r="ACC6" i="6"/>
  <c r="ACA56" i="6"/>
  <c r="ACD116" i="6"/>
  <c r="ACE103" i="6"/>
  <c r="ACF90" i="6"/>
  <c r="ACB78" i="6"/>
  <c r="ACC65" i="6"/>
  <c r="ACD52" i="6"/>
  <c r="ACE39" i="6"/>
  <c r="ACF26" i="6"/>
  <c r="ACB14" i="6"/>
  <c r="ACA79" i="6"/>
  <c r="ACF117" i="6"/>
  <c r="ACD106" i="6"/>
  <c r="ACE93" i="6"/>
  <c r="ACF80" i="6"/>
  <c r="ACB68" i="6"/>
  <c r="ACC55" i="6"/>
  <c r="ACD42" i="6"/>
  <c r="ACE29" i="6"/>
  <c r="ACF16" i="6"/>
  <c r="ACA109" i="6"/>
  <c r="ACA45" i="6"/>
  <c r="ACC114" i="6"/>
  <c r="ACD101" i="6"/>
  <c r="ACE88" i="6"/>
  <c r="ACF75" i="6"/>
  <c r="ACB63" i="6"/>
  <c r="ACC50" i="6"/>
  <c r="ACD37" i="6"/>
  <c r="ACE24" i="6"/>
  <c r="ACF11" i="6"/>
  <c r="ACA84" i="6"/>
  <c r="ACA20" i="6"/>
  <c r="ACC109" i="6"/>
  <c r="ACD96" i="6"/>
  <c r="ACE83" i="6"/>
  <c r="ACF70" i="6"/>
  <c r="ACB58" i="6"/>
  <c r="ACC45" i="6"/>
  <c r="ACD32" i="6"/>
  <c r="ACE19" i="6"/>
  <c r="ACA107" i="6"/>
  <c r="ACA43" i="6"/>
  <c r="ACD110" i="6"/>
  <c r="ACE97" i="6"/>
  <c r="ACF84" i="6"/>
  <c r="ACB72" i="6"/>
  <c r="ACC59" i="6"/>
  <c r="ACD46" i="6"/>
  <c r="ACE33" i="6"/>
  <c r="ACF20" i="6"/>
  <c r="ACB8" i="6"/>
  <c r="ACA65" i="6"/>
  <c r="ACA111" i="6"/>
  <c r="ACE66" i="6"/>
  <c r="ACD15" i="6"/>
  <c r="ACF97" i="6"/>
  <c r="ACC40" i="6"/>
  <c r="ACC72" i="6"/>
  <c r="ACC84" i="6"/>
  <c r="ACB33" i="6"/>
  <c r="ACE102" i="6"/>
  <c r="ACD51" i="6"/>
  <c r="ACA90" i="6"/>
  <c r="ACC108" i="6"/>
  <c r="ACB57" i="6"/>
  <c r="ACA86" i="6"/>
  <c r="ACC88" i="6"/>
  <c r="ACB37" i="6"/>
  <c r="ACA22" i="6"/>
  <c r="ACD87" i="6"/>
  <c r="ACC36" i="6"/>
  <c r="ACA19" i="6"/>
  <c r="ACC48" i="6"/>
  <c r="ACA42" i="6"/>
  <c r="ACB107" i="6"/>
  <c r="ACC94" i="6"/>
  <c r="ACD81" i="6"/>
  <c r="ACE68" i="6"/>
  <c r="ACF55" i="6"/>
  <c r="ACB43" i="6"/>
  <c r="ACC30" i="6"/>
  <c r="ACD17" i="6"/>
  <c r="ACA112" i="6"/>
  <c r="ACA48" i="6"/>
  <c r="ACF114" i="6"/>
  <c r="ACB102" i="6"/>
  <c r="ACC89" i="6"/>
  <c r="ACD76" i="6"/>
  <c r="ACE63" i="6"/>
  <c r="ACF50" i="6"/>
  <c r="ACB38" i="6"/>
  <c r="ACC25" i="6"/>
  <c r="ACD12" i="6"/>
  <c r="ACA71" i="6"/>
  <c r="ACE117" i="6"/>
  <c r="ACF104" i="6"/>
  <c r="ACB92" i="6"/>
  <c r="ACC79" i="6"/>
  <c r="ACD66" i="6"/>
  <c r="ACE53" i="6"/>
  <c r="ACF40" i="6"/>
  <c r="ACB28" i="6"/>
  <c r="ACC15" i="6"/>
  <c r="ACA101" i="6"/>
  <c r="ACA37" i="6"/>
  <c r="ACE112" i="6"/>
  <c r="ACF99" i="6"/>
  <c r="ACB87" i="6"/>
  <c r="ACC74" i="6"/>
  <c r="ACD61" i="6"/>
  <c r="ACE48" i="6"/>
  <c r="ACF35" i="6"/>
  <c r="ACB23" i="6"/>
  <c r="ACC10" i="6"/>
  <c r="ACA76" i="6"/>
  <c r="ACA12" i="6"/>
  <c r="ACE107" i="6"/>
  <c r="ACF94" i="6"/>
  <c r="ACB82" i="6"/>
  <c r="ACC69" i="6"/>
  <c r="ACD56" i="6"/>
  <c r="ACE43" i="6"/>
  <c r="ACF30" i="6"/>
  <c r="ACB18" i="6"/>
  <c r="ACA99" i="6"/>
  <c r="ACA35" i="6"/>
  <c r="ACF108" i="6"/>
  <c r="ACB96" i="6"/>
  <c r="ACC83" i="6"/>
  <c r="ACD70" i="6"/>
  <c r="ACE57" i="6"/>
  <c r="ACF44" i="6"/>
  <c r="ACB32" i="6"/>
  <c r="ACC19" i="6"/>
  <c r="ACD6" i="6"/>
  <c r="ACA57" i="6"/>
  <c r="ACD111" i="6"/>
  <c r="ACC60" i="6"/>
  <c r="ACB9" i="6"/>
  <c r="ACD91" i="6"/>
  <c r="ACF33" i="6"/>
  <c r="ACE14" i="6"/>
  <c r="ACF77" i="6"/>
  <c r="ACE26" i="6"/>
  <c r="ACC96" i="6"/>
  <c r="ACB45" i="6"/>
  <c r="ACA58" i="6"/>
  <c r="ACF101" i="6"/>
  <c r="ACE50" i="6"/>
  <c r="ACA54" i="6"/>
  <c r="ACF81" i="6"/>
  <c r="ACE30" i="6"/>
  <c r="ACF73" i="6"/>
  <c r="ACB81" i="6"/>
  <c r="ACF29" i="6"/>
  <c r="ACC112" i="6"/>
  <c r="ACF41" i="6"/>
  <c r="ACA30" i="6"/>
  <c r="ACA6" i="6"/>
  <c r="ACD105" i="6"/>
  <c r="ACE92" i="6"/>
  <c r="ACF79" i="6"/>
  <c r="ACB67" i="6"/>
  <c r="ACC54" i="6"/>
  <c r="ACD41" i="6"/>
  <c r="ACE28" i="6"/>
  <c r="ACF15" i="6"/>
  <c r="ACA104" i="6"/>
  <c r="ACA40" i="6"/>
  <c r="ACC113" i="6"/>
  <c r="ACD100" i="6"/>
  <c r="ACE87" i="6"/>
  <c r="ACF74" i="6"/>
  <c r="ACB62" i="6"/>
  <c r="ACC49" i="6"/>
  <c r="ACD36" i="6"/>
  <c r="ACE23" i="6"/>
  <c r="ACF10" i="6"/>
  <c r="ACA63" i="6"/>
  <c r="ACB116" i="6"/>
  <c r="ACC103" i="6"/>
  <c r="ACD90" i="6"/>
  <c r="ACE77" i="6"/>
  <c r="ACF64" i="6"/>
  <c r="ACB52" i="6"/>
  <c r="ACC39" i="6"/>
  <c r="ACD26" i="6"/>
  <c r="ACE13" i="6"/>
  <c r="ACA93" i="6"/>
  <c r="ACA29" i="6"/>
  <c r="ACB111" i="6"/>
  <c r="ACC98" i="6"/>
  <c r="ACD85" i="6"/>
  <c r="ACE72" i="6"/>
  <c r="ACF59" i="6"/>
  <c r="ACB47" i="6"/>
  <c r="ACC34" i="6"/>
  <c r="ACD21" i="6"/>
  <c r="ACE8" i="6"/>
  <c r="ACA68" i="6"/>
  <c r="ACF6" i="6"/>
  <c r="ACB106" i="6"/>
  <c r="ACC93" i="6"/>
  <c r="ACD80" i="6"/>
  <c r="ACE67" i="6"/>
  <c r="ACF54" i="6"/>
  <c r="ACB42" i="6"/>
  <c r="ACC29" i="6"/>
  <c r="ACD16" i="6"/>
  <c r="ACA91" i="6"/>
  <c r="ACA27" i="6"/>
  <c r="ACC107" i="6"/>
  <c r="ACD94" i="6"/>
  <c r="ACE81" i="6"/>
  <c r="ACF68" i="6"/>
  <c r="ACB56" i="6"/>
  <c r="ACC43" i="6"/>
  <c r="ACD30" i="6"/>
  <c r="ACE17" i="6"/>
  <c r="ACA113" i="6"/>
  <c r="ACA49" i="6"/>
  <c r="ACB105" i="6"/>
  <c r="ACF53" i="6"/>
  <c r="ACA102" i="6"/>
  <c r="ACB85" i="6"/>
  <c r="ACD27" i="6"/>
  <c r="ACA34" i="6"/>
  <c r="ACD71" i="6"/>
  <c r="ACC20" i="6"/>
  <c r="ACF89" i="6"/>
  <c r="ACE38" i="6"/>
  <c r="ACA26" i="6"/>
  <c r="ACD95" i="6"/>
  <c r="ACC44" i="6"/>
  <c r="ACA23" i="6"/>
  <c r="ACD75" i="6"/>
  <c r="ACC24" i="6"/>
  <c r="ACA18" i="6"/>
  <c r="ACE74" i="6"/>
  <c r="ACD23" i="6"/>
  <c r="ACF105" i="6"/>
  <c r="ACD35" i="6"/>
  <c r="ACE116" i="6"/>
  <c r="ACF103" i="6"/>
  <c r="ACB91" i="6"/>
  <c r="ACC78" i="6"/>
  <c r="ACD65" i="6"/>
  <c r="ACE52" i="6"/>
  <c r="ACF39" i="6"/>
  <c r="ACB27" i="6"/>
  <c r="ACC14" i="6"/>
  <c r="ACA96" i="6"/>
  <c r="ACA32" i="6"/>
  <c r="ACE111" i="6"/>
  <c r="ACF98" i="6"/>
  <c r="ACB86" i="6"/>
  <c r="ACC73" i="6"/>
  <c r="ACD60" i="6"/>
  <c r="ACE47" i="6"/>
  <c r="ACF34" i="6"/>
  <c r="ACB22" i="6"/>
  <c r="ACC9" i="6"/>
  <c r="ACA55" i="6"/>
  <c r="ACD114" i="6"/>
  <c r="ACE101" i="6"/>
  <c r="ACF88" i="6"/>
  <c r="ACB76" i="6"/>
  <c r="ACC63" i="6"/>
  <c r="ACD50" i="6"/>
  <c r="ACE37" i="6"/>
  <c r="ACF24" i="6"/>
  <c r="ACB12" i="6"/>
  <c r="ACA85" i="6"/>
  <c r="ACA21" i="6"/>
  <c r="ACD109" i="6"/>
  <c r="ACE96" i="6"/>
  <c r="ACF83" i="6"/>
  <c r="ACB71" i="6"/>
  <c r="ACC58" i="6"/>
  <c r="ACD45" i="6"/>
  <c r="ACE32" i="6"/>
  <c r="ACF19" i="6"/>
  <c r="ACB7" i="6"/>
  <c r="ACA60" i="6"/>
  <c r="ACC117" i="6"/>
  <c r="ACD104" i="6"/>
  <c r="ACE91" i="6"/>
  <c r="ACF78" i="6"/>
  <c r="ACB66" i="6"/>
  <c r="ACC53" i="6"/>
  <c r="ACD40" i="6"/>
  <c r="ACE27" i="6"/>
  <c r="ACF14" i="6"/>
  <c r="ACA83" i="6"/>
  <c r="ACB117" i="6"/>
  <c r="ACE105" i="6"/>
  <c r="ACF92" i="6"/>
  <c r="ACB80" i="6"/>
  <c r="ACC67" i="6"/>
  <c r="ACD54" i="6"/>
  <c r="ACE41" i="6"/>
  <c r="ACF28" i="6"/>
  <c r="ACB16" i="6"/>
  <c r="ACA105" i="6"/>
  <c r="ACA41" i="6"/>
  <c r="ACE98" i="6"/>
  <c r="ACD47" i="6"/>
  <c r="ACA70" i="6"/>
  <c r="ACE78" i="6"/>
  <c r="ACB21" i="6"/>
  <c r="ACC116" i="6"/>
  <c r="ACB65" i="6"/>
  <c r="ACF13" i="6"/>
  <c r="ACD83" i="6"/>
  <c r="ACC32" i="6"/>
  <c r="ACA10" i="6"/>
  <c r="ACB89" i="6"/>
  <c r="ACF37" i="6"/>
  <c r="ACB61" i="6"/>
  <c r="ACB69" i="6"/>
  <c r="ACF17" i="6"/>
  <c r="ACA62" i="6"/>
  <c r="ACC68" i="6"/>
  <c r="ACB17" i="6"/>
  <c r="ACD99" i="6"/>
  <c r="ACB29" i="6"/>
  <c r="QW76" i="6"/>
  <c r="JZ13" i="6"/>
  <c r="HX27" i="6"/>
  <c r="JH68" i="6"/>
  <c r="QE8" i="6"/>
  <c r="KR61" i="6"/>
  <c r="SG67" i="6"/>
  <c r="YV25" i="6"/>
  <c r="KR12" i="6"/>
  <c r="MB23" i="6"/>
  <c r="KR85" i="6"/>
  <c r="JZ31" i="6"/>
  <c r="OU43" i="6"/>
  <c r="ACT110" i="6"/>
  <c r="JH112" i="6"/>
  <c r="AB8" i="6"/>
  <c r="PM15" i="6"/>
  <c r="RO63" i="6"/>
  <c r="PM99" i="6"/>
  <c r="HX91" i="6"/>
  <c r="IP58" i="6"/>
  <c r="QE69" i="6"/>
  <c r="AAY87" i="6"/>
  <c r="PM70" i="6"/>
  <c r="YV68" i="6"/>
  <c r="SG53" i="6"/>
  <c r="SY28" i="6"/>
  <c r="QW85" i="6"/>
  <c r="TQ114" i="6"/>
  <c r="AB46" i="6"/>
  <c r="OC23" i="6"/>
  <c r="IP37" i="6"/>
  <c r="KR7" i="6"/>
  <c r="KR102" i="6"/>
  <c r="QW84" i="6"/>
  <c r="HX23" i="6"/>
  <c r="SY53" i="6"/>
  <c r="OU8" i="6"/>
  <c r="HX40" i="6"/>
  <c r="TQ19" i="6"/>
  <c r="AB102" i="6"/>
  <c r="OU112" i="6"/>
  <c r="MB11" i="6"/>
  <c r="OC32" i="6"/>
  <c r="PM56" i="6"/>
  <c r="JZ116" i="6"/>
  <c r="SG63" i="6"/>
  <c r="AB38" i="6"/>
  <c r="MB49" i="6"/>
  <c r="SG37" i="6"/>
  <c r="LJ30" i="6"/>
  <c r="KR111" i="6"/>
  <c r="RO14" i="6"/>
  <c r="QE56" i="6"/>
  <c r="MB76" i="6"/>
  <c r="SG21" i="6"/>
  <c r="IP107" i="6"/>
  <c r="OU97" i="6"/>
  <c r="SY76" i="6"/>
  <c r="TQ15" i="6"/>
  <c r="MB61" i="6"/>
  <c r="AAY26" i="6"/>
  <c r="ACT112" i="6"/>
  <c r="QE76" i="6"/>
  <c r="LJ19" i="6"/>
  <c r="KR67" i="6"/>
  <c r="TQ43" i="6"/>
  <c r="RO17" i="6"/>
  <c r="MB35" i="6"/>
  <c r="YV77" i="6"/>
  <c r="SG38" i="6"/>
  <c r="HX78" i="6"/>
  <c r="HX26" i="6"/>
  <c r="OU9" i="6"/>
  <c r="SY91" i="6"/>
  <c r="RO98" i="6"/>
  <c r="AB96" i="6"/>
  <c r="ACT38" i="6"/>
  <c r="RO49" i="6"/>
  <c r="OU14" i="6"/>
  <c r="AAY27" i="6"/>
  <c r="TQ88" i="6"/>
  <c r="LJ73" i="6"/>
  <c r="PM58" i="6"/>
  <c r="AB25" i="6"/>
  <c r="IP18" i="6"/>
  <c r="YV82" i="6"/>
  <c r="JH109" i="6"/>
  <c r="LJ91" i="6"/>
  <c r="JH36" i="6"/>
  <c r="KR29" i="6"/>
  <c r="PM110" i="6"/>
  <c r="IP92" i="6"/>
  <c r="MB34" i="6"/>
  <c r="AB69" i="6"/>
  <c r="YV43" i="6"/>
  <c r="SG48" i="6"/>
  <c r="TQ75" i="6"/>
  <c r="HX100" i="6"/>
  <c r="JZ63" i="6"/>
  <c r="YV33" i="6"/>
  <c r="JZ15" i="6"/>
  <c r="QE98" i="6"/>
  <c r="OU87" i="6"/>
  <c r="HX36" i="6"/>
  <c r="OU19" i="6"/>
  <c r="QE28" i="6"/>
  <c r="OC85" i="6"/>
  <c r="ACT85" i="6"/>
  <c r="RO62" i="6"/>
  <c r="QE22" i="6"/>
  <c r="AAY31" i="6"/>
  <c r="IP72" i="6"/>
  <c r="LJ8" i="6"/>
  <c r="ACT74" i="6"/>
  <c r="IP106" i="6"/>
  <c r="ACT79" i="6"/>
  <c r="MB88" i="6"/>
  <c r="KR46" i="6"/>
  <c r="QW30" i="6"/>
  <c r="TQ108" i="6"/>
  <c r="HX98" i="6"/>
  <c r="TQ37" i="6"/>
  <c r="RO95" i="6"/>
  <c r="LJ24" i="6"/>
  <c r="JZ60" i="6"/>
  <c r="ACT43" i="6"/>
  <c r="KR55" i="6"/>
  <c r="AB15" i="6"/>
  <c r="AAY43" i="6"/>
  <c r="JH17" i="6"/>
  <c r="OC72" i="6"/>
  <c r="PM48" i="6"/>
  <c r="SY84" i="6"/>
  <c r="YV80" i="6"/>
  <c r="AB30" i="6"/>
  <c r="SY39" i="6"/>
  <c r="OC70" i="6"/>
  <c r="KR11" i="6"/>
  <c r="OU110" i="6"/>
  <c r="IP85" i="6"/>
  <c r="QW15" i="6"/>
  <c r="JH48" i="6"/>
  <c r="SG40" i="6"/>
  <c r="AAY15" i="6"/>
  <c r="QW36" i="6"/>
  <c r="SG117" i="6"/>
  <c r="IP26" i="6"/>
  <c r="YV109" i="6"/>
  <c r="IP13" i="6"/>
  <c r="YV102" i="6"/>
  <c r="LJ38" i="6"/>
  <c r="SG114" i="6"/>
  <c r="AAY103" i="6"/>
  <c r="QW82" i="6"/>
  <c r="ACT69" i="6"/>
  <c r="JZ49" i="6"/>
  <c r="YV9" i="6"/>
  <c r="KR115" i="6"/>
  <c r="OU34" i="6"/>
  <c r="MB73" i="6"/>
  <c r="AAY10" i="6"/>
  <c r="TQ46" i="6"/>
  <c r="JZ94" i="6"/>
  <c r="QE47" i="6"/>
  <c r="JH80" i="6"/>
  <c r="QE26" i="6"/>
  <c r="KR73" i="6"/>
  <c r="JH101" i="6"/>
  <c r="LJ10" i="6"/>
  <c r="PM57" i="6"/>
  <c r="OC89" i="6"/>
  <c r="ACT58" i="6"/>
  <c r="JZ72" i="6"/>
  <c r="AAY12" i="6"/>
  <c r="QW73" i="6"/>
  <c r="HE106" i="6"/>
  <c r="HA94" i="6"/>
  <c r="HB81" i="6"/>
  <c r="HC68" i="6"/>
  <c r="HD55" i="6"/>
  <c r="HE42" i="6"/>
  <c r="HA30" i="6"/>
  <c r="HB17" i="6"/>
  <c r="HD106" i="6"/>
  <c r="HE93" i="6"/>
  <c r="HA81" i="6"/>
  <c r="HB68" i="6"/>
  <c r="HC55" i="6"/>
  <c r="HD42" i="6"/>
  <c r="HE29" i="6"/>
  <c r="HA17" i="6"/>
  <c r="HA116" i="6"/>
  <c r="HB103" i="6"/>
  <c r="HC90" i="6"/>
  <c r="HD77" i="6"/>
  <c r="HE64" i="6"/>
  <c r="HA52" i="6"/>
  <c r="HB39" i="6"/>
  <c r="HC26" i="6"/>
  <c r="HD13" i="6"/>
  <c r="HD112" i="6"/>
  <c r="HE99" i="6"/>
  <c r="HA87" i="6"/>
  <c r="HB74" i="6"/>
  <c r="HC61" i="6"/>
  <c r="HD48" i="6"/>
  <c r="HE35" i="6"/>
  <c r="HA23" i="6"/>
  <c r="HB10" i="6"/>
  <c r="HB109" i="6"/>
  <c r="HC96" i="6"/>
  <c r="HD83" i="6"/>
  <c r="HE70" i="6"/>
  <c r="HA58" i="6"/>
  <c r="HB45" i="6"/>
  <c r="HC32" i="6"/>
  <c r="HD19" i="6"/>
  <c r="HE6" i="6"/>
  <c r="HE105" i="6"/>
  <c r="HA93" i="6"/>
  <c r="HB80" i="6"/>
  <c r="HC67" i="6"/>
  <c r="HD54" i="6"/>
  <c r="HE41" i="6"/>
  <c r="HA29" i="6"/>
  <c r="HB16" i="6"/>
  <c r="HA107" i="6"/>
  <c r="HE55" i="6"/>
  <c r="HA8" i="6"/>
  <c r="HB67" i="6"/>
  <c r="HA16" i="6"/>
  <c r="HB6" i="6"/>
  <c r="HE111" i="6"/>
  <c r="HD60" i="6"/>
  <c r="HB11" i="6"/>
  <c r="HE39" i="6"/>
  <c r="HB38" i="6"/>
  <c r="HE116" i="6"/>
  <c r="HD65" i="6"/>
  <c r="HA11" i="6"/>
  <c r="HD113" i="6"/>
  <c r="HE76" i="6"/>
  <c r="HD25" i="6"/>
  <c r="HD44" i="6"/>
  <c r="HE12" i="6"/>
  <c r="GZ59" i="6"/>
  <c r="GZ111" i="6"/>
  <c r="GZ98" i="6"/>
  <c r="GZ34" i="6"/>
  <c r="GZ97" i="6"/>
  <c r="GZ33" i="6"/>
  <c r="GZ80" i="6"/>
  <c r="HA6" i="6"/>
  <c r="GZ94" i="6"/>
  <c r="GZ30" i="6"/>
  <c r="GZ85" i="6"/>
  <c r="GZ21" i="6"/>
  <c r="GZ68" i="6"/>
  <c r="GZ47" i="6"/>
  <c r="HD95" i="6"/>
  <c r="HB108" i="6"/>
  <c r="HD18" i="6"/>
  <c r="HE40" i="6"/>
  <c r="HE75" i="6"/>
  <c r="HA98" i="6"/>
  <c r="HB21" i="6"/>
  <c r="HB56" i="6"/>
  <c r="HB105" i="6"/>
  <c r="HC92" i="6"/>
  <c r="HD79" i="6"/>
  <c r="HE66" i="6"/>
  <c r="HA54" i="6"/>
  <c r="HB41" i="6"/>
  <c r="HC28" i="6"/>
  <c r="HE117" i="6"/>
  <c r="HA105" i="6"/>
  <c r="HB92" i="6"/>
  <c r="HC79" i="6"/>
  <c r="HD66" i="6"/>
  <c r="HE53" i="6"/>
  <c r="HA41" i="6"/>
  <c r="HB28" i="6"/>
  <c r="HC15" i="6"/>
  <c r="HC114" i="6"/>
  <c r="HD101" i="6"/>
  <c r="HE88" i="6"/>
  <c r="HA76" i="6"/>
  <c r="HB63" i="6"/>
  <c r="HC50" i="6"/>
  <c r="HD37" i="6"/>
  <c r="HE24" i="6"/>
  <c r="HA12" i="6"/>
  <c r="HA111" i="6"/>
  <c r="HB98" i="6"/>
  <c r="HC85" i="6"/>
  <c r="HD72" i="6"/>
  <c r="HE59" i="6"/>
  <c r="HA47" i="6"/>
  <c r="HB34" i="6"/>
  <c r="HC21" i="6"/>
  <c r="HD8" i="6"/>
  <c r="HD107" i="6"/>
  <c r="HE94" i="6"/>
  <c r="HA82" i="6"/>
  <c r="HB69" i="6"/>
  <c r="HC56" i="6"/>
  <c r="HD43" i="6"/>
  <c r="HE30" i="6"/>
  <c r="HA18" i="6"/>
  <c r="HA117" i="6"/>
  <c r="HB104" i="6"/>
  <c r="HC91" i="6"/>
  <c r="HD78" i="6"/>
  <c r="HE65" i="6"/>
  <c r="HA53" i="6"/>
  <c r="HB40" i="6"/>
  <c r="HC27" i="6"/>
  <c r="HD14" i="6"/>
  <c r="HD100" i="6"/>
  <c r="HC49" i="6"/>
  <c r="HA112" i="6"/>
  <c r="HE60" i="6"/>
  <c r="HC12" i="6"/>
  <c r="HD76" i="6"/>
  <c r="HC105" i="6"/>
  <c r="HB54" i="6"/>
  <c r="HD7" i="6"/>
  <c r="HA27" i="6"/>
  <c r="HA14" i="6"/>
  <c r="HC110" i="6"/>
  <c r="HB59" i="6"/>
  <c r="HC6" i="6"/>
  <c r="HE36" i="6"/>
  <c r="HC70" i="6"/>
  <c r="HB19" i="6"/>
  <c r="HE31" i="6"/>
  <c r="GZ115" i="6"/>
  <c r="GZ51" i="6"/>
  <c r="GZ87" i="6"/>
  <c r="GZ90" i="6"/>
  <c r="GZ26" i="6"/>
  <c r="GZ89" i="6"/>
  <c r="GZ25" i="6"/>
  <c r="GZ72" i="6"/>
  <c r="GZ95" i="6"/>
  <c r="GZ86" i="6"/>
  <c r="GZ22" i="6"/>
  <c r="GZ77" i="6"/>
  <c r="GZ13" i="6"/>
  <c r="GZ60" i="6"/>
  <c r="HE82" i="6"/>
  <c r="HD82" i="6"/>
  <c r="HA92" i="6"/>
  <c r="HC101" i="6"/>
  <c r="HE11" i="6"/>
  <c r="HA34" i="6"/>
  <c r="HD30" i="6"/>
  <c r="HC116" i="6"/>
  <c r="HD103" i="6"/>
  <c r="HE90" i="6"/>
  <c r="HA78" i="6"/>
  <c r="HB65" i="6"/>
  <c r="HC52" i="6"/>
  <c r="HD39" i="6"/>
  <c r="HE26" i="6"/>
  <c r="HB116" i="6"/>
  <c r="HC103" i="6"/>
  <c r="HD90" i="6"/>
  <c r="HE77" i="6"/>
  <c r="HA65" i="6"/>
  <c r="HB52" i="6"/>
  <c r="HC39" i="6"/>
  <c r="HD26" i="6"/>
  <c r="HE13" i="6"/>
  <c r="HE112" i="6"/>
  <c r="HA100" i="6"/>
  <c r="HB87" i="6"/>
  <c r="HC74" i="6"/>
  <c r="HD61" i="6"/>
  <c r="HE48" i="6"/>
  <c r="HA36" i="6"/>
  <c r="HB23" i="6"/>
  <c r="HC10" i="6"/>
  <c r="HC109" i="6"/>
  <c r="HD96" i="6"/>
  <c r="HE83" i="6"/>
  <c r="HA71" i="6"/>
  <c r="HB58" i="6"/>
  <c r="HC45" i="6"/>
  <c r="HD32" i="6"/>
  <c r="HE19" i="6"/>
  <c r="HA7" i="6"/>
  <c r="HA106" i="6"/>
  <c r="HB93" i="6"/>
  <c r="HC80" i="6"/>
  <c r="HD67" i="6"/>
  <c r="HE54" i="6"/>
  <c r="HA42" i="6"/>
  <c r="HB29" i="6"/>
  <c r="HC16" i="6"/>
  <c r="HC115" i="6"/>
  <c r="HD102" i="6"/>
  <c r="HE89" i="6"/>
  <c r="HA77" i="6"/>
  <c r="HB64" i="6"/>
  <c r="HC51" i="6"/>
  <c r="HD38" i="6"/>
  <c r="HE25" i="6"/>
  <c r="HA13" i="6"/>
  <c r="HB94" i="6"/>
  <c r="HA43" i="6"/>
  <c r="HD105" i="6"/>
  <c r="HC54" i="6"/>
  <c r="HE7" i="6"/>
  <c r="HA51" i="6"/>
  <c r="HA99" i="6"/>
  <c r="HE47" i="6"/>
  <c r="HE20" i="6"/>
  <c r="HE10" i="6"/>
  <c r="HE100" i="6"/>
  <c r="HA104" i="6"/>
  <c r="HE52" i="6"/>
  <c r="HC97" i="6"/>
  <c r="HB115" i="6"/>
  <c r="HA64" i="6"/>
  <c r="HB14" i="6"/>
  <c r="HC9" i="6"/>
  <c r="GZ107" i="6"/>
  <c r="GZ43" i="6"/>
  <c r="GZ71" i="6"/>
  <c r="GZ82" i="6"/>
  <c r="GZ18" i="6"/>
  <c r="GZ81" i="6"/>
  <c r="GZ17" i="6"/>
  <c r="GZ64" i="6"/>
  <c r="GZ79" i="6"/>
  <c r="GZ78" i="6"/>
  <c r="GZ14" i="6"/>
  <c r="GZ69" i="6"/>
  <c r="GZ116" i="6"/>
  <c r="GZ52" i="6"/>
  <c r="HB57" i="6"/>
  <c r="HE69" i="6"/>
  <c r="HE104" i="6"/>
  <c r="HB15" i="6"/>
  <c r="HD24" i="6"/>
  <c r="HE46" i="6"/>
  <c r="HA69" i="6"/>
  <c r="GZ6" i="6"/>
  <c r="HE114" i="6"/>
  <c r="HA102" i="6"/>
  <c r="HB89" i="6"/>
  <c r="HC76" i="6"/>
  <c r="HD63" i="6"/>
  <c r="HE50" i="6"/>
  <c r="HA38" i="6"/>
  <c r="HB25" i="6"/>
  <c r="HD114" i="6"/>
  <c r="HE101" i="6"/>
  <c r="HA89" i="6"/>
  <c r="HB76" i="6"/>
  <c r="HC63" i="6"/>
  <c r="HD50" i="6"/>
  <c r="HE37" i="6"/>
  <c r="HA25" i="6"/>
  <c r="HB12" i="6"/>
  <c r="HB111" i="6"/>
  <c r="HC98" i="6"/>
  <c r="HD85" i="6"/>
  <c r="HE72" i="6"/>
  <c r="HA60" i="6"/>
  <c r="HB47" i="6"/>
  <c r="HC34" i="6"/>
  <c r="HD21" i="6"/>
  <c r="HE8" i="6"/>
  <c r="HE107" i="6"/>
  <c r="HA95" i="6"/>
  <c r="HB82" i="6"/>
  <c r="HC69" i="6"/>
  <c r="HD56" i="6"/>
  <c r="HE43" i="6"/>
  <c r="HA31" i="6"/>
  <c r="HB18" i="6"/>
  <c r="HB117" i="6"/>
  <c r="HC104" i="6"/>
  <c r="HD91" i="6"/>
  <c r="HE78" i="6"/>
  <c r="HA66" i="6"/>
  <c r="HB53" i="6"/>
  <c r="HC40" i="6"/>
  <c r="HD27" i="6"/>
  <c r="HE14" i="6"/>
  <c r="HE113" i="6"/>
  <c r="HA101" i="6"/>
  <c r="HB88" i="6"/>
  <c r="HC75" i="6"/>
  <c r="HD62" i="6"/>
  <c r="HE49" i="6"/>
  <c r="HA37" i="6"/>
  <c r="HB24" i="6"/>
  <c r="HC11" i="6"/>
  <c r="HE87" i="6"/>
  <c r="HD36" i="6"/>
  <c r="HB99" i="6"/>
  <c r="HA48" i="6"/>
  <c r="HB110" i="6"/>
  <c r="HC25" i="6"/>
  <c r="HD92" i="6"/>
  <c r="HC41" i="6"/>
  <c r="HD116" i="6"/>
  <c r="HA115" i="6"/>
  <c r="HD81" i="6"/>
  <c r="HD97" i="6"/>
  <c r="HC46" i="6"/>
  <c r="HB78" i="6"/>
  <c r="HE108" i="6"/>
  <c r="HD57" i="6"/>
  <c r="HD9" i="6"/>
  <c r="HB107" i="6"/>
  <c r="GZ99" i="6"/>
  <c r="GZ35" i="6"/>
  <c r="GZ55" i="6"/>
  <c r="GZ74" i="6"/>
  <c r="GZ10" i="6"/>
  <c r="GZ73" i="6"/>
  <c r="GZ9" i="6"/>
  <c r="GZ48" i="6"/>
  <c r="GZ63" i="6"/>
  <c r="GZ70" i="6"/>
  <c r="GZ31" i="6"/>
  <c r="GZ61" i="6"/>
  <c r="GZ108" i="6"/>
  <c r="GZ44" i="6"/>
  <c r="HC108" i="6"/>
  <c r="HE18" i="6"/>
  <c r="HD117" i="6"/>
  <c r="HA28" i="6"/>
  <c r="HB50" i="6"/>
  <c r="HC72" i="6"/>
  <c r="HE81" i="6"/>
  <c r="HC113" i="6"/>
  <c r="HB113" i="6"/>
  <c r="HC100" i="6"/>
  <c r="HD87" i="6"/>
  <c r="HE74" i="6"/>
  <c r="HA62" i="6"/>
  <c r="HB49" i="6"/>
  <c r="HC36" i="6"/>
  <c r="HD23" i="6"/>
  <c r="HA113" i="6"/>
  <c r="HB100" i="6"/>
  <c r="HC87" i="6"/>
  <c r="HD74" i="6"/>
  <c r="HE61" i="6"/>
  <c r="HA49" i="6"/>
  <c r="HB36" i="6"/>
  <c r="HC23" i="6"/>
  <c r="HD10" i="6"/>
  <c r="HD109" i="6"/>
  <c r="HE96" i="6"/>
  <c r="HA84" i="6"/>
  <c r="HB71" i="6"/>
  <c r="HC58" i="6"/>
  <c r="HD45" i="6"/>
  <c r="HE32" i="6"/>
  <c r="HA20" i="6"/>
  <c r="HB7" i="6"/>
  <c r="HB106" i="6"/>
  <c r="HC93" i="6"/>
  <c r="HD80" i="6"/>
  <c r="HE67" i="6"/>
  <c r="HA55" i="6"/>
  <c r="HB42" i="6"/>
  <c r="HC29" i="6"/>
  <c r="HD16" i="6"/>
  <c r="HD115" i="6"/>
  <c r="HE102" i="6"/>
  <c r="HA90" i="6"/>
  <c r="HB77" i="6"/>
  <c r="HC64" i="6"/>
  <c r="HD51" i="6"/>
  <c r="HE38" i="6"/>
  <c r="HA26" i="6"/>
  <c r="HB13" i="6"/>
  <c r="HB112" i="6"/>
  <c r="HC99" i="6"/>
  <c r="HD86" i="6"/>
  <c r="HE73" i="6"/>
  <c r="HA61" i="6"/>
  <c r="HB48" i="6"/>
  <c r="HC35" i="6"/>
  <c r="HD22" i="6"/>
  <c r="HE9" i="6"/>
  <c r="HC81" i="6"/>
  <c r="HB30" i="6"/>
  <c r="HE92" i="6"/>
  <c r="HD41" i="6"/>
  <c r="HD84" i="6"/>
  <c r="HC94" i="6"/>
  <c r="HB86" i="6"/>
  <c r="HA35" i="6"/>
  <c r="HE103" i="6"/>
  <c r="HB102" i="6"/>
  <c r="HB75" i="6"/>
  <c r="HB91" i="6"/>
  <c r="HA40" i="6"/>
  <c r="HD52" i="6"/>
  <c r="HC102" i="6"/>
  <c r="HB51" i="6"/>
  <c r="HD108" i="6"/>
  <c r="HA88" i="6"/>
  <c r="GZ91" i="6"/>
  <c r="GZ27" i="6"/>
  <c r="GZ23" i="6"/>
  <c r="GZ66" i="6"/>
  <c r="GZ56" i="6"/>
  <c r="GZ65" i="6"/>
  <c r="GZ112" i="6"/>
  <c r="GZ40" i="6"/>
  <c r="GZ39" i="6"/>
  <c r="GZ62" i="6"/>
  <c r="GZ117" i="6"/>
  <c r="GZ53" i="6"/>
  <c r="GZ100" i="6"/>
  <c r="GZ36" i="6"/>
  <c r="HC44" i="6"/>
  <c r="HA57" i="6"/>
  <c r="HB79" i="6"/>
  <c r="HD88" i="6"/>
  <c r="HE110" i="6"/>
  <c r="HC8" i="6"/>
  <c r="HE17" i="6"/>
  <c r="HD111" i="6"/>
  <c r="HE98" i="6"/>
  <c r="HA86" i="6"/>
  <c r="HB73" i="6"/>
  <c r="HC60" i="6"/>
  <c r="HD47" i="6"/>
  <c r="HE34" i="6"/>
  <c r="HA22" i="6"/>
  <c r="HC111" i="6"/>
  <c r="HD98" i="6"/>
  <c r="HE85" i="6"/>
  <c r="HA73" i="6"/>
  <c r="HB60" i="6"/>
  <c r="HC47" i="6"/>
  <c r="HD34" i="6"/>
  <c r="HE21" i="6"/>
  <c r="HA9" i="6"/>
  <c r="HA108" i="6"/>
  <c r="HB95" i="6"/>
  <c r="HC82" i="6"/>
  <c r="HD69" i="6"/>
  <c r="HE56" i="6"/>
  <c r="HA44" i="6"/>
  <c r="HB31" i="6"/>
  <c r="HC18" i="6"/>
  <c r="HC117" i="6"/>
  <c r="HD104" i="6"/>
  <c r="HE91" i="6"/>
  <c r="HA79" i="6"/>
  <c r="HB66" i="6"/>
  <c r="HC53" i="6"/>
  <c r="HD40" i="6"/>
  <c r="HE27" i="6"/>
  <c r="HA15" i="6"/>
  <c r="HA114" i="6"/>
  <c r="HB101" i="6"/>
  <c r="HC88" i="6"/>
  <c r="HD75" i="6"/>
  <c r="HE62" i="6"/>
  <c r="HA50" i="6"/>
  <c r="HB37" i="6"/>
  <c r="HC24" i="6"/>
  <c r="HD11" i="6"/>
  <c r="HD110" i="6"/>
  <c r="HE97" i="6"/>
  <c r="HA85" i="6"/>
  <c r="HB72" i="6"/>
  <c r="HC59" i="6"/>
  <c r="HD46" i="6"/>
  <c r="HE33" i="6"/>
  <c r="HA21" i="6"/>
  <c r="HB8" i="6"/>
  <c r="HA75" i="6"/>
  <c r="HE23" i="6"/>
  <c r="HC86" i="6"/>
  <c r="HB35" i="6"/>
  <c r="HC65" i="6"/>
  <c r="HC62" i="6"/>
  <c r="HE79" i="6"/>
  <c r="HD28" i="6"/>
  <c r="HA91" i="6"/>
  <c r="HC89" i="6"/>
  <c r="HA56" i="6"/>
  <c r="HE84" i="6"/>
  <c r="HD33" i="6"/>
  <c r="HC33" i="6"/>
  <c r="HA96" i="6"/>
  <c r="HE44" i="6"/>
  <c r="HE95" i="6"/>
  <c r="HE68" i="6"/>
  <c r="GZ83" i="6"/>
  <c r="GZ19" i="6"/>
  <c r="GZ7" i="6"/>
  <c r="GZ58" i="6"/>
  <c r="GZ103" i="6"/>
  <c r="GZ57" i="6"/>
  <c r="GZ104" i="6"/>
  <c r="GZ32" i="6"/>
  <c r="GZ15" i="6"/>
  <c r="GZ54" i="6"/>
  <c r="GZ109" i="6"/>
  <c r="GZ45" i="6"/>
  <c r="GZ92" i="6"/>
  <c r="GZ28" i="6"/>
  <c r="HD31" i="6"/>
  <c r="HB44" i="6"/>
  <c r="HD53" i="6"/>
  <c r="HA63" i="6"/>
  <c r="HB85" i="6"/>
  <c r="HD94" i="6"/>
  <c r="HA110" i="6"/>
  <c r="HB97" i="6"/>
  <c r="HC84" i="6"/>
  <c r="HD71" i="6"/>
  <c r="HE58" i="6"/>
  <c r="HA46" i="6"/>
  <c r="HB33" i="6"/>
  <c r="HC20" i="6"/>
  <c r="HE109" i="6"/>
  <c r="HA97" i="6"/>
  <c r="HB84" i="6"/>
  <c r="HC71" i="6"/>
  <c r="HD58" i="6"/>
  <c r="HE45" i="6"/>
  <c r="HA33" i="6"/>
  <c r="HB20" i="6"/>
  <c r="HC7" i="6"/>
  <c r="HC106" i="6"/>
  <c r="HD93" i="6"/>
  <c r="HE80" i="6"/>
  <c r="HA68" i="6"/>
  <c r="HB55" i="6"/>
  <c r="HC42" i="6"/>
  <c r="HD29" i="6"/>
  <c r="HE16" i="6"/>
  <c r="HE115" i="6"/>
  <c r="HA103" i="6"/>
  <c r="HB90" i="6"/>
  <c r="HC77" i="6"/>
  <c r="HD64" i="6"/>
  <c r="HE51" i="6"/>
  <c r="HA39" i="6"/>
  <c r="HB26" i="6"/>
  <c r="HC13" i="6"/>
  <c r="HC112" i="6"/>
  <c r="HD99" i="6"/>
  <c r="HE86" i="6"/>
  <c r="HA74" i="6"/>
  <c r="HB61" i="6"/>
  <c r="HC48" i="6"/>
  <c r="HD35" i="6"/>
  <c r="HE22" i="6"/>
  <c r="HA10" i="6"/>
  <c r="HA109" i="6"/>
  <c r="HB96" i="6"/>
  <c r="HC83" i="6"/>
  <c r="HD70" i="6"/>
  <c r="HE57" i="6"/>
  <c r="HA45" i="6"/>
  <c r="HB32" i="6"/>
  <c r="HC19" i="6"/>
  <c r="HD6" i="6"/>
  <c r="HD68" i="6"/>
  <c r="HC17" i="6"/>
  <c r="HA80" i="6"/>
  <c r="HE28" i="6"/>
  <c r="HB46" i="6"/>
  <c r="HB43" i="6"/>
  <c r="HC73" i="6"/>
  <c r="HB22" i="6"/>
  <c r="HE71" i="6"/>
  <c r="HB70" i="6"/>
  <c r="HC30" i="6"/>
  <c r="HC78" i="6"/>
  <c r="HB27" i="6"/>
  <c r="HC14" i="6"/>
  <c r="HD89" i="6"/>
  <c r="HC38" i="6"/>
  <c r="HA83" i="6"/>
  <c r="HD49" i="6"/>
  <c r="GZ75" i="6"/>
  <c r="GZ11" i="6"/>
  <c r="GZ114" i="6"/>
  <c r="GZ50" i="6"/>
  <c r="GZ113" i="6"/>
  <c r="GZ49" i="6"/>
  <c r="GZ96" i="6"/>
  <c r="GZ24" i="6"/>
  <c r="GZ110" i="6"/>
  <c r="GZ46" i="6"/>
  <c r="GZ101" i="6"/>
  <c r="GZ37" i="6"/>
  <c r="GZ84" i="6"/>
  <c r="GZ20" i="6"/>
  <c r="HA70" i="6"/>
  <c r="HC95" i="6"/>
  <c r="HC31" i="6"/>
  <c r="HC66" i="6"/>
  <c r="HB114" i="6"/>
  <c r="HC37" i="6"/>
  <c r="HD59" i="6"/>
  <c r="HC107" i="6"/>
  <c r="HC43" i="6"/>
  <c r="HD20" i="6"/>
  <c r="HD15" i="6"/>
  <c r="GZ106" i="6"/>
  <c r="GZ93" i="6"/>
  <c r="HA19" i="6"/>
  <c r="GZ29" i="6"/>
  <c r="HD17" i="6"/>
  <c r="GZ42" i="6"/>
  <c r="HA67" i="6"/>
  <c r="HB83" i="6"/>
  <c r="GZ105" i="6"/>
  <c r="GZ76" i="6"/>
  <c r="GZ38" i="6"/>
  <c r="HE15" i="6"/>
  <c r="HA32" i="6"/>
  <c r="GZ41" i="6"/>
  <c r="GZ12" i="6"/>
  <c r="GZ16" i="6"/>
  <c r="HB62" i="6"/>
  <c r="HA59" i="6"/>
  <c r="HE63" i="6"/>
  <c r="GZ88" i="6"/>
  <c r="HB9" i="6"/>
  <c r="HC22" i="6"/>
  <c r="HD12" i="6"/>
  <c r="HC57" i="6"/>
  <c r="HA24" i="6"/>
  <c r="GZ8" i="6"/>
  <c r="HD73" i="6"/>
  <c r="GZ67" i="6"/>
  <c r="GZ102" i="6"/>
  <c r="HA72" i="6"/>
  <c r="PM62" i="6"/>
  <c r="AB45" i="6"/>
  <c r="QE42" i="6"/>
  <c r="QW41" i="6"/>
  <c r="RO29" i="6"/>
  <c r="LJ71" i="6"/>
  <c r="YV54" i="6"/>
  <c r="OU49" i="6"/>
  <c r="TQ35" i="6"/>
  <c r="JH79" i="6"/>
  <c r="QW26" i="6"/>
  <c r="TQ72" i="6"/>
  <c r="HX9" i="6"/>
  <c r="MB60" i="6"/>
  <c r="TQ11" i="6"/>
  <c r="ACT94" i="6"/>
  <c r="MB108" i="6"/>
  <c r="AAY45" i="6"/>
  <c r="IP57" i="6"/>
  <c r="MB20" i="6"/>
  <c r="LJ83" i="6"/>
  <c r="QW19" i="6"/>
  <c r="GJ105" i="6"/>
  <c r="GJ89" i="6"/>
  <c r="GL106" i="6"/>
  <c r="GL90" i="6"/>
  <c r="GL74" i="6"/>
  <c r="GL58" i="6"/>
  <c r="GL42" i="6"/>
  <c r="GL26" i="6"/>
  <c r="GL10" i="6"/>
  <c r="GJ103" i="6"/>
  <c r="GJ87" i="6"/>
  <c r="GJ71" i="6"/>
  <c r="GJ55" i="6"/>
  <c r="GJ39" i="6"/>
  <c r="GJ23" i="6"/>
  <c r="GJ7" i="6"/>
  <c r="GJ106" i="6"/>
  <c r="GJ90" i="6"/>
  <c r="GJ74" i="6"/>
  <c r="GJ58" i="6"/>
  <c r="GJ42" i="6"/>
  <c r="GJ26" i="6"/>
  <c r="GJ10" i="6"/>
  <c r="GL107" i="6"/>
  <c r="GM86" i="6"/>
  <c r="GJ104" i="6"/>
  <c r="GJ88" i="6"/>
  <c r="GJ72" i="6"/>
  <c r="GJ56" i="6"/>
  <c r="GJ40" i="6"/>
  <c r="GJ24" i="6"/>
  <c r="GJ8" i="6"/>
  <c r="GL105" i="6"/>
  <c r="GL89" i="6"/>
  <c r="GL73" i="6"/>
  <c r="GL57" i="6"/>
  <c r="GL41" i="6"/>
  <c r="GL25" i="6"/>
  <c r="GL9" i="6"/>
  <c r="GK68" i="6"/>
  <c r="GJ21" i="6"/>
  <c r="GL67" i="6"/>
  <c r="GL20" i="6"/>
  <c r="GK97" i="6"/>
  <c r="GK41" i="6"/>
  <c r="GM7" i="6"/>
  <c r="GK7" i="6"/>
  <c r="GK84" i="6"/>
  <c r="GL36" i="6"/>
  <c r="GK40" i="6"/>
  <c r="GK81" i="6"/>
  <c r="GJ57" i="6"/>
  <c r="GM18" i="6"/>
  <c r="GK73" i="6"/>
  <c r="GL39" i="6"/>
  <c r="GL51" i="6"/>
  <c r="GI77" i="6"/>
  <c r="GI13" i="6"/>
  <c r="GI60" i="6"/>
  <c r="GI114" i="6"/>
  <c r="GI50" i="6"/>
  <c r="GI97" i="6"/>
  <c r="GI33" i="6"/>
  <c r="GI80" i="6"/>
  <c r="GI16" i="6"/>
  <c r="GI87" i="6"/>
  <c r="GI22" i="6"/>
  <c r="GI59" i="6"/>
  <c r="GI94" i="6"/>
  <c r="GI7" i="6"/>
  <c r="GI6" i="6"/>
  <c r="GL103" i="6"/>
  <c r="GL87" i="6"/>
  <c r="GK103" i="6"/>
  <c r="GK87" i="6"/>
  <c r="GK71" i="6"/>
  <c r="GK55" i="6"/>
  <c r="GK39" i="6"/>
  <c r="GK23" i="6"/>
  <c r="GL117" i="6"/>
  <c r="GL101" i="6"/>
  <c r="GL85" i="6"/>
  <c r="GL69" i="6"/>
  <c r="GL53" i="6"/>
  <c r="GL37" i="6"/>
  <c r="GL21" i="6"/>
  <c r="GL99" i="6"/>
  <c r="GL104" i="6"/>
  <c r="GL88" i="6"/>
  <c r="GL72" i="6"/>
  <c r="GL56" i="6"/>
  <c r="GL40" i="6"/>
  <c r="GL24" i="6"/>
  <c r="GL8" i="6"/>
  <c r="GK104" i="6"/>
  <c r="GJ85" i="6"/>
  <c r="GL102" i="6"/>
  <c r="GL86" i="6"/>
  <c r="GL70" i="6"/>
  <c r="GL54" i="6"/>
  <c r="GL38" i="6"/>
  <c r="GL22" i="6"/>
  <c r="GL6" i="6"/>
  <c r="GK102" i="6"/>
  <c r="GK86" i="6"/>
  <c r="GK70" i="6"/>
  <c r="GK54" i="6"/>
  <c r="GK38" i="6"/>
  <c r="GK22" i="6"/>
  <c r="GK6" i="6"/>
  <c r="GM63" i="6"/>
  <c r="GJ17" i="6"/>
  <c r="GL63" i="6"/>
  <c r="GK16" i="6"/>
  <c r="GL84" i="6"/>
  <c r="GJ37" i="6"/>
  <c r="GM23" i="6"/>
  <c r="GJ73" i="6"/>
  <c r="GL79" i="6"/>
  <c r="GK32" i="6"/>
  <c r="GM31" i="6"/>
  <c r="GM38" i="6"/>
  <c r="GL52" i="6"/>
  <c r="GJ14" i="6"/>
  <c r="GJ69" i="6"/>
  <c r="GM30" i="6"/>
  <c r="GJ30" i="6"/>
  <c r="GI69" i="6"/>
  <c r="GI116" i="6"/>
  <c r="GI52" i="6"/>
  <c r="GI106" i="6"/>
  <c r="GI42" i="6"/>
  <c r="GI89" i="6"/>
  <c r="GI25" i="6"/>
  <c r="GI72" i="6"/>
  <c r="GI8" i="6"/>
  <c r="GI67" i="6"/>
  <c r="GI103" i="6"/>
  <c r="GI38" i="6"/>
  <c r="GI31" i="6"/>
  <c r="GI54" i="6"/>
  <c r="GK116" i="6"/>
  <c r="GK100" i="6"/>
  <c r="GM117" i="6"/>
  <c r="GM101" i="6"/>
  <c r="GM85" i="6"/>
  <c r="GM69" i="6"/>
  <c r="GM53" i="6"/>
  <c r="GM37" i="6"/>
  <c r="GM21" i="6"/>
  <c r="GK114" i="6"/>
  <c r="GK98" i="6"/>
  <c r="GK82" i="6"/>
  <c r="GK66" i="6"/>
  <c r="GK50" i="6"/>
  <c r="GK34" i="6"/>
  <c r="GK18" i="6"/>
  <c r="GK117" i="6"/>
  <c r="GK101" i="6"/>
  <c r="GK85" i="6"/>
  <c r="GK69" i="6"/>
  <c r="GK53" i="6"/>
  <c r="GK37" i="6"/>
  <c r="GK21" i="6"/>
  <c r="GK96" i="6"/>
  <c r="GM102" i="6"/>
  <c r="GK115" i="6"/>
  <c r="GK99" i="6"/>
  <c r="GK83" i="6"/>
  <c r="GK67" i="6"/>
  <c r="GK51" i="6"/>
  <c r="GK35" i="6"/>
  <c r="GK19" i="6"/>
  <c r="GM116" i="6"/>
  <c r="GM100" i="6"/>
  <c r="GM84" i="6"/>
  <c r="GM68" i="6"/>
  <c r="GM52" i="6"/>
  <c r="GM36" i="6"/>
  <c r="GM20" i="6"/>
  <c r="GK113" i="6"/>
  <c r="GL59" i="6"/>
  <c r="GL12" i="6"/>
  <c r="GM54" i="6"/>
  <c r="GK12" i="6"/>
  <c r="GM79" i="6"/>
  <c r="GJ33" i="6"/>
  <c r="GL19" i="6"/>
  <c r="GK64" i="6"/>
  <c r="GM70" i="6"/>
  <c r="GK28" i="6"/>
  <c r="GL23" i="6"/>
  <c r="GJ9" i="6"/>
  <c r="GK48" i="6"/>
  <c r="GM6" i="6"/>
  <c r="GJ65" i="6"/>
  <c r="GM26" i="6"/>
  <c r="GI61" i="6"/>
  <c r="GI108" i="6"/>
  <c r="GI44" i="6"/>
  <c r="GI98" i="6"/>
  <c r="GI34" i="6"/>
  <c r="GI81" i="6"/>
  <c r="GI17" i="6"/>
  <c r="GI64" i="6"/>
  <c r="GI111" i="6"/>
  <c r="GI46" i="6"/>
  <c r="GI83" i="6"/>
  <c r="GI15" i="6"/>
  <c r="GI78" i="6"/>
  <c r="GM114" i="6"/>
  <c r="GM98" i="6"/>
  <c r="GJ116" i="6"/>
  <c r="GJ100" i="6"/>
  <c r="GJ84" i="6"/>
  <c r="GJ68" i="6"/>
  <c r="GJ52" i="6"/>
  <c r="GJ36" i="6"/>
  <c r="GJ20" i="6"/>
  <c r="GM112" i="6"/>
  <c r="GM96" i="6"/>
  <c r="GM80" i="6"/>
  <c r="GM64" i="6"/>
  <c r="GM48" i="6"/>
  <c r="GM32" i="6"/>
  <c r="GM16" i="6"/>
  <c r="GM115" i="6"/>
  <c r="GM99" i="6"/>
  <c r="GM83" i="6"/>
  <c r="GM67" i="6"/>
  <c r="GM51" i="6"/>
  <c r="GM35" i="6"/>
  <c r="GM19" i="6"/>
  <c r="GJ117" i="6"/>
  <c r="GJ101" i="6"/>
  <c r="GM113" i="6"/>
  <c r="GM97" i="6"/>
  <c r="GM81" i="6"/>
  <c r="GM65" i="6"/>
  <c r="GM49" i="6"/>
  <c r="GM33" i="6"/>
  <c r="GM17" i="6"/>
  <c r="GJ115" i="6"/>
  <c r="GJ99" i="6"/>
  <c r="GJ83" i="6"/>
  <c r="GJ67" i="6"/>
  <c r="GJ51" i="6"/>
  <c r="GJ35" i="6"/>
  <c r="GJ19" i="6"/>
  <c r="GL100" i="6"/>
  <c r="GL55" i="6"/>
  <c r="GM111" i="6"/>
  <c r="GM50" i="6"/>
  <c r="GK8" i="6"/>
  <c r="GL75" i="6"/>
  <c r="GL28" i="6"/>
  <c r="GL15" i="6"/>
  <c r="GM55" i="6"/>
  <c r="GM66" i="6"/>
  <c r="GL7" i="6"/>
  <c r="GM10" i="6"/>
  <c r="GK105" i="6"/>
  <c r="GK44" i="6"/>
  <c r="GJ102" i="6"/>
  <c r="GL60" i="6"/>
  <c r="GJ22" i="6"/>
  <c r="GI117" i="6"/>
  <c r="GI53" i="6"/>
  <c r="GI100" i="6"/>
  <c r="GI36" i="6"/>
  <c r="GI90" i="6"/>
  <c r="GI26" i="6"/>
  <c r="GI73" i="6"/>
  <c r="GI9" i="6"/>
  <c r="GI56" i="6"/>
  <c r="GI91" i="6"/>
  <c r="GI23" i="6"/>
  <c r="GI62" i="6"/>
  <c r="GI99" i="6"/>
  <c r="GI30" i="6"/>
  <c r="GJ113" i="6"/>
  <c r="GJ97" i="6"/>
  <c r="GL114" i="6"/>
  <c r="GL98" i="6"/>
  <c r="GL82" i="6"/>
  <c r="GL66" i="6"/>
  <c r="GL50" i="6"/>
  <c r="GL34" i="6"/>
  <c r="GL18" i="6"/>
  <c r="GJ111" i="6"/>
  <c r="GJ95" i="6"/>
  <c r="GJ79" i="6"/>
  <c r="GJ63" i="6"/>
  <c r="GJ47" i="6"/>
  <c r="GJ31" i="6"/>
  <c r="GJ15" i="6"/>
  <c r="GJ114" i="6"/>
  <c r="GJ98" i="6"/>
  <c r="GJ82" i="6"/>
  <c r="GJ66" i="6"/>
  <c r="GJ50" i="6"/>
  <c r="GJ34" i="6"/>
  <c r="GJ18" i="6"/>
  <c r="GL115" i="6"/>
  <c r="GM94" i="6"/>
  <c r="GJ112" i="6"/>
  <c r="GJ96" i="6"/>
  <c r="GJ80" i="6"/>
  <c r="GJ64" i="6"/>
  <c r="GJ48" i="6"/>
  <c r="GJ32" i="6"/>
  <c r="GJ16" i="6"/>
  <c r="GL113" i="6"/>
  <c r="GL97" i="6"/>
  <c r="GL81" i="6"/>
  <c r="GL65" i="6"/>
  <c r="GL49" i="6"/>
  <c r="GL33" i="6"/>
  <c r="GL17" i="6"/>
  <c r="GM87" i="6"/>
  <c r="GM46" i="6"/>
  <c r="GJ86" i="6"/>
  <c r="GJ46" i="6"/>
  <c r="GM78" i="6"/>
  <c r="GL71" i="6"/>
  <c r="GK24" i="6"/>
  <c r="GJ70" i="6"/>
  <c r="GL47" i="6"/>
  <c r="GJ62" i="6"/>
  <c r="GL83" i="6"/>
  <c r="GL68" i="6"/>
  <c r="GL92" i="6"/>
  <c r="GM39" i="6"/>
  <c r="GJ13" i="6"/>
  <c r="GK56" i="6"/>
  <c r="GK9" i="6"/>
  <c r="GI109" i="6"/>
  <c r="GI45" i="6"/>
  <c r="GI92" i="6"/>
  <c r="GI28" i="6"/>
  <c r="GI82" i="6"/>
  <c r="GI18" i="6"/>
  <c r="GI65" i="6"/>
  <c r="GI112" i="6"/>
  <c r="GI48" i="6"/>
  <c r="GI70" i="6"/>
  <c r="GI107" i="6"/>
  <c r="GI39" i="6"/>
  <c r="GI51" i="6"/>
  <c r="GI11" i="6"/>
  <c r="GL111" i="6"/>
  <c r="GL95" i="6"/>
  <c r="GK111" i="6"/>
  <c r="GK95" i="6"/>
  <c r="GK79" i="6"/>
  <c r="GK63" i="6"/>
  <c r="GK47" i="6"/>
  <c r="GK31" i="6"/>
  <c r="GK15" i="6"/>
  <c r="GL109" i="6"/>
  <c r="GL93" i="6"/>
  <c r="GL77" i="6"/>
  <c r="GL61" i="6"/>
  <c r="GL45" i="6"/>
  <c r="GL29" i="6"/>
  <c r="GL13" i="6"/>
  <c r="GL112" i="6"/>
  <c r="GL96" i="6"/>
  <c r="GL80" i="6"/>
  <c r="GL64" i="6"/>
  <c r="GL48" i="6"/>
  <c r="GL32" i="6"/>
  <c r="GL16" i="6"/>
  <c r="GK112" i="6"/>
  <c r="GJ93" i="6"/>
  <c r="GL110" i="6"/>
  <c r="GL94" i="6"/>
  <c r="GL78" i="6"/>
  <c r="GL62" i="6"/>
  <c r="GL46" i="6"/>
  <c r="GL30" i="6"/>
  <c r="GL14" i="6"/>
  <c r="GK110" i="6"/>
  <c r="GK94" i="6"/>
  <c r="GK78" i="6"/>
  <c r="GK62" i="6"/>
  <c r="GK46" i="6"/>
  <c r="GK30" i="6"/>
  <c r="GK14" i="6"/>
  <c r="GJ81" i="6"/>
  <c r="GM42" i="6"/>
  <c r="GK80" i="6"/>
  <c r="GK33" i="6"/>
  <c r="GK89" i="6"/>
  <c r="GM62" i="6"/>
  <c r="GK20" i="6"/>
  <c r="GJ49" i="6"/>
  <c r="GM34" i="6"/>
  <c r="GK49" i="6"/>
  <c r="GM74" i="6"/>
  <c r="GJ94" i="6"/>
  <c r="GJ78" i="6"/>
  <c r="GL35" i="6"/>
  <c r="GL116" i="6"/>
  <c r="GK52" i="6"/>
  <c r="GJ6" i="6"/>
  <c r="GI101" i="6"/>
  <c r="GI37" i="6"/>
  <c r="GI84" i="6"/>
  <c r="GI20" i="6"/>
  <c r="GI74" i="6"/>
  <c r="GI10" i="6"/>
  <c r="GI57" i="6"/>
  <c r="GI104" i="6"/>
  <c r="GI40" i="6"/>
  <c r="GI47" i="6"/>
  <c r="GI86" i="6"/>
  <c r="GI19" i="6"/>
  <c r="GI95" i="6"/>
  <c r="GI75" i="6"/>
  <c r="GK108" i="6"/>
  <c r="GK92" i="6"/>
  <c r="GM109" i="6"/>
  <c r="GM93" i="6"/>
  <c r="GM77" i="6"/>
  <c r="GM61" i="6"/>
  <c r="GM45" i="6"/>
  <c r="GM29" i="6"/>
  <c r="GM13" i="6"/>
  <c r="GK106" i="6"/>
  <c r="GK90" i="6"/>
  <c r="GK74" i="6"/>
  <c r="GK58" i="6"/>
  <c r="GK42" i="6"/>
  <c r="GK26" i="6"/>
  <c r="GK10" i="6"/>
  <c r="GK109" i="6"/>
  <c r="GK93" i="6"/>
  <c r="GK77" i="6"/>
  <c r="GK61" i="6"/>
  <c r="GK45" i="6"/>
  <c r="GK29" i="6"/>
  <c r="GK13" i="6"/>
  <c r="GM110" i="6"/>
  <c r="GL91" i="6"/>
  <c r="GK107" i="6"/>
  <c r="GK91" i="6"/>
  <c r="GK75" i="6"/>
  <c r="GK59" i="6"/>
  <c r="GK43" i="6"/>
  <c r="GK27" i="6"/>
  <c r="GK11" i="6"/>
  <c r="GM108" i="6"/>
  <c r="GM92" i="6"/>
  <c r="GM76" i="6"/>
  <c r="GM60" i="6"/>
  <c r="GM44" i="6"/>
  <c r="GM28" i="6"/>
  <c r="GM12" i="6"/>
  <c r="GL76" i="6"/>
  <c r="GJ38" i="6"/>
  <c r="GK76" i="6"/>
  <c r="GJ29" i="6"/>
  <c r="GK17" i="6"/>
  <c r="GM58" i="6"/>
  <c r="GM15" i="6"/>
  <c r="GK36" i="6"/>
  <c r="GL108" i="6"/>
  <c r="GJ45" i="6"/>
  <c r="GK57" i="6"/>
  <c r="GL44" i="6"/>
  <c r="GK65" i="6"/>
  <c r="GL31" i="6"/>
  <c r="GM103" i="6"/>
  <c r="GM47" i="6"/>
  <c r="GJ77" i="6"/>
  <c r="GI93" i="6"/>
  <c r="GI29" i="6"/>
  <c r="GI76" i="6"/>
  <c r="GI12" i="6"/>
  <c r="GI66" i="6"/>
  <c r="GI113" i="6"/>
  <c r="GI49" i="6"/>
  <c r="GI96" i="6"/>
  <c r="GI32" i="6"/>
  <c r="GI27" i="6"/>
  <c r="GI63" i="6"/>
  <c r="GI102" i="6"/>
  <c r="GI35" i="6"/>
  <c r="GI14" i="6"/>
  <c r="GJ76" i="6"/>
  <c r="GM56" i="6"/>
  <c r="GM43" i="6"/>
  <c r="GM57" i="6"/>
  <c r="GJ43" i="6"/>
  <c r="GJ54" i="6"/>
  <c r="GM22" i="6"/>
  <c r="GI58" i="6"/>
  <c r="GI55" i="6"/>
  <c r="GM40" i="6"/>
  <c r="GM27" i="6"/>
  <c r="GJ27" i="6"/>
  <c r="GM82" i="6"/>
  <c r="GI105" i="6"/>
  <c r="GJ60" i="6"/>
  <c r="GM41" i="6"/>
  <c r="GL11" i="6"/>
  <c r="GI71" i="6"/>
  <c r="GJ44" i="6"/>
  <c r="GM24" i="6"/>
  <c r="GM11" i="6"/>
  <c r="GM25" i="6"/>
  <c r="GJ11" i="6"/>
  <c r="GL27" i="6"/>
  <c r="GL43" i="6"/>
  <c r="GI41" i="6"/>
  <c r="GM89" i="6"/>
  <c r="GM73" i="6"/>
  <c r="GI115" i="6"/>
  <c r="GJ28" i="6"/>
  <c r="GM8" i="6"/>
  <c r="GJ109" i="6"/>
  <c r="GM9" i="6"/>
  <c r="GK72" i="6"/>
  <c r="GM95" i="6"/>
  <c r="GK60" i="6"/>
  <c r="GI88" i="6"/>
  <c r="GM72" i="6"/>
  <c r="GJ61" i="6"/>
  <c r="GM106" i="6"/>
  <c r="GJ12" i="6"/>
  <c r="GM107" i="6"/>
  <c r="GK88" i="6"/>
  <c r="GJ107" i="6"/>
  <c r="GK25" i="6"/>
  <c r="GJ41" i="6"/>
  <c r="GI85" i="6"/>
  <c r="GI24" i="6"/>
  <c r="GJ92" i="6"/>
  <c r="GJ59" i="6"/>
  <c r="GI79" i="6"/>
  <c r="GM90" i="6"/>
  <c r="GM104" i="6"/>
  <c r="GM91" i="6"/>
  <c r="GM105" i="6"/>
  <c r="GJ91" i="6"/>
  <c r="GM71" i="6"/>
  <c r="GJ53" i="6"/>
  <c r="GI21" i="6"/>
  <c r="GI110" i="6"/>
  <c r="GJ108" i="6"/>
  <c r="GM88" i="6"/>
  <c r="GJ75" i="6"/>
  <c r="GJ25" i="6"/>
  <c r="GM14" i="6"/>
  <c r="GI68" i="6"/>
  <c r="GI43" i="6"/>
  <c r="GM59" i="6"/>
  <c r="GJ110" i="6"/>
  <c r="GM75" i="6"/>
  <c r="GN49" i="6"/>
  <c r="GN97" i="6"/>
  <c r="GN99" i="6"/>
  <c r="GN7" i="6"/>
  <c r="GN91" i="6"/>
  <c r="GN46" i="6"/>
  <c r="GN85" i="6"/>
  <c r="GN28" i="6"/>
  <c r="GN90" i="6"/>
  <c r="GN75" i="6"/>
  <c r="GN54" i="6"/>
  <c r="GN51" i="6"/>
  <c r="GN32" i="6"/>
  <c r="GN114" i="6"/>
  <c r="GN98" i="6"/>
  <c r="GN33" i="6"/>
  <c r="GN65" i="6"/>
  <c r="GN36" i="6"/>
  <c r="GN109" i="6"/>
  <c r="GN92" i="6"/>
  <c r="GN103" i="6"/>
  <c r="GN110" i="6"/>
  <c r="GN14" i="6"/>
  <c r="GN17" i="6"/>
  <c r="GN57" i="6"/>
  <c r="GN66" i="6"/>
  <c r="GN10" i="6"/>
  <c r="GN88" i="6"/>
  <c r="GN80" i="6"/>
  <c r="GN62" i="6"/>
  <c r="GN27" i="6"/>
  <c r="GN104" i="6"/>
  <c r="GN21" i="6"/>
  <c r="GN86" i="6"/>
  <c r="GN13" i="6"/>
  <c r="GN112" i="6"/>
  <c r="GN87" i="6"/>
  <c r="GN100" i="6"/>
  <c r="GN24" i="6"/>
  <c r="GN58" i="6"/>
  <c r="GN106" i="6"/>
  <c r="GN79" i="6"/>
  <c r="GN117" i="6"/>
  <c r="GN69" i="6"/>
  <c r="GN102" i="6"/>
  <c r="GN64" i="6"/>
  <c r="GN15" i="6"/>
  <c r="GN37" i="6"/>
  <c r="GN42" i="6"/>
  <c r="GN23" i="6"/>
  <c r="GN6" i="6"/>
  <c r="GN67" i="6"/>
  <c r="GN48" i="6"/>
  <c r="GN89" i="6"/>
  <c r="GN76" i="6"/>
  <c r="GN53" i="6"/>
  <c r="GN19" i="6"/>
  <c r="GN84" i="6"/>
  <c r="GN8" i="6"/>
  <c r="GN56" i="6"/>
  <c r="GN9" i="6"/>
  <c r="GN70" i="6"/>
  <c r="GN94" i="6"/>
  <c r="GN101" i="6"/>
  <c r="GN81" i="6"/>
  <c r="GN41" i="6"/>
  <c r="GN113" i="6"/>
  <c r="GN25" i="6"/>
  <c r="GN116" i="6"/>
  <c r="GN44" i="6"/>
  <c r="GN16" i="6"/>
  <c r="GN95" i="6"/>
  <c r="GN59" i="6"/>
  <c r="GN47" i="6"/>
  <c r="GN22" i="6"/>
  <c r="GN45" i="6"/>
  <c r="GN74" i="6"/>
  <c r="GN31" i="6"/>
  <c r="GN77" i="6"/>
  <c r="GN26" i="6"/>
  <c r="GN115" i="6"/>
  <c r="GN96" i="6"/>
  <c r="GN20" i="6"/>
  <c r="GN50" i="6"/>
  <c r="GN35" i="6"/>
  <c r="GN61" i="6"/>
  <c r="GN43" i="6"/>
  <c r="GN72" i="6"/>
  <c r="GN40" i="6"/>
  <c r="GN82" i="6"/>
  <c r="GN111" i="6"/>
  <c r="GN105" i="6"/>
  <c r="GN93" i="6"/>
  <c r="GN107" i="6"/>
  <c r="GN39" i="6"/>
  <c r="GN18" i="6"/>
  <c r="GN73" i="6"/>
  <c r="GN55" i="6"/>
  <c r="GN63" i="6"/>
  <c r="GN71" i="6"/>
  <c r="GN78" i="6"/>
  <c r="GN29" i="6"/>
  <c r="GN34" i="6"/>
  <c r="GN60" i="6"/>
  <c r="GN108" i="6"/>
  <c r="GN11" i="6"/>
  <c r="GN38" i="6"/>
  <c r="GN52" i="6"/>
  <c r="GN83" i="6"/>
  <c r="GN30" i="6"/>
  <c r="GN68" i="6"/>
  <c r="GN12" i="6"/>
  <c r="OU39" i="6"/>
  <c r="KR10" i="6"/>
  <c r="AB94" i="6"/>
  <c r="KR110" i="6"/>
  <c r="JZ104" i="6"/>
  <c r="QW53" i="6"/>
  <c r="QW10" i="6"/>
  <c r="ACT64" i="6"/>
  <c r="RO55" i="6"/>
  <c r="IP104" i="6"/>
  <c r="SG73" i="6"/>
  <c r="HX16" i="6"/>
  <c r="SY57" i="6"/>
  <c r="YV42" i="6"/>
  <c r="ACT101" i="6"/>
  <c r="OU66" i="6"/>
  <c r="SG18" i="6"/>
  <c r="QW34" i="6"/>
  <c r="SG101" i="6"/>
  <c r="MB6" i="6"/>
  <c r="JH111" i="6"/>
  <c r="AAY57" i="6"/>
  <c r="QW80" i="6"/>
  <c r="TQ63" i="6"/>
  <c r="JH55" i="6"/>
  <c r="SY114" i="6"/>
  <c r="JH107" i="6"/>
  <c r="IP55" i="6"/>
  <c r="JZ42" i="6"/>
  <c r="RO80" i="6"/>
  <c r="RO28" i="6"/>
  <c r="RO71" i="6"/>
  <c r="OC12" i="6"/>
  <c r="KR108" i="6"/>
  <c r="OC87" i="6"/>
  <c r="JZ75" i="6"/>
  <c r="YV73" i="6"/>
  <c r="HX59" i="6"/>
  <c r="AAY38" i="6"/>
  <c r="OC37" i="6"/>
  <c r="KR79" i="6"/>
  <c r="SG22" i="6"/>
  <c r="AAY58" i="6"/>
  <c r="LJ115" i="6"/>
  <c r="PM59" i="6"/>
  <c r="OU72" i="6"/>
  <c r="MB14" i="6"/>
  <c r="JZ103" i="6"/>
  <c r="QE63" i="6"/>
  <c r="YV90" i="6"/>
  <c r="JZ106" i="6"/>
  <c r="TQ95" i="6"/>
  <c r="TQ90" i="6"/>
  <c r="OC7" i="6"/>
  <c r="AAY50" i="6"/>
  <c r="ACT86" i="6"/>
  <c r="HX97" i="6"/>
  <c r="QW45" i="6"/>
  <c r="KR74" i="6"/>
  <c r="HX69" i="6"/>
  <c r="QE39" i="6"/>
  <c r="IP86" i="6"/>
  <c r="JZ38" i="6"/>
  <c r="TQ112" i="6"/>
  <c r="LJ99" i="6"/>
  <c r="RO73" i="6"/>
  <c r="AAY55" i="6"/>
  <c r="TQ117" i="6"/>
  <c r="QE111" i="6"/>
  <c r="JZ101" i="6"/>
  <c r="RO34" i="6"/>
  <c r="YV60" i="6"/>
  <c r="IP53" i="6"/>
  <c r="ACT24" i="6"/>
  <c r="TQ22" i="6"/>
  <c r="MB117" i="6"/>
  <c r="SY106" i="6"/>
  <c r="RO50" i="6"/>
  <c r="SY78" i="6"/>
  <c r="SY26" i="6"/>
  <c r="TQ70" i="6"/>
  <c r="KR100" i="6"/>
  <c r="ACT116" i="6"/>
  <c r="RO44" i="6"/>
  <c r="JH95" i="6"/>
  <c r="IP39" i="6"/>
  <c r="RO19" i="6"/>
  <c r="ACT32" i="6"/>
  <c r="CA110" i="6"/>
  <c r="CC99" i="6"/>
  <c r="CE88" i="6"/>
  <c r="CA78" i="6"/>
  <c r="CC67" i="6"/>
  <c r="CE56" i="6"/>
  <c r="CA46" i="6"/>
  <c r="CB35" i="6"/>
  <c r="CD24" i="6"/>
  <c r="CF113" i="6"/>
  <c r="CB103" i="6"/>
  <c r="CD92" i="6"/>
  <c r="CF81" i="6"/>
  <c r="CB71" i="6"/>
  <c r="CD60" i="6"/>
  <c r="CF49" i="6"/>
  <c r="CB39" i="6"/>
  <c r="CC28" i="6"/>
  <c r="CE17" i="6"/>
  <c r="CA115" i="6"/>
  <c r="CC104" i="6"/>
  <c r="CE93" i="6"/>
  <c r="CA83" i="6"/>
  <c r="CC72" i="6"/>
  <c r="CF111" i="6"/>
  <c r="CB101" i="6"/>
  <c r="CD90" i="6"/>
  <c r="CF79" i="6"/>
  <c r="CB69" i="6"/>
  <c r="CD58" i="6"/>
  <c r="CF47" i="6"/>
  <c r="CA37" i="6"/>
  <c r="CC26" i="6"/>
  <c r="CE115" i="6"/>
  <c r="CA105" i="6"/>
  <c r="CC94" i="6"/>
  <c r="CE83" i="6"/>
  <c r="CA73" i="6"/>
  <c r="CC62" i="6"/>
  <c r="CE51" i="6"/>
  <c r="CA41" i="6"/>
  <c r="CB30" i="6"/>
  <c r="CD19" i="6"/>
  <c r="CA116" i="6"/>
  <c r="CD87" i="6"/>
  <c r="CC61" i="6"/>
  <c r="CA40" i="6"/>
  <c r="CD18" i="6"/>
  <c r="BZ116" i="6"/>
  <c r="BZ52" i="6"/>
  <c r="CB108" i="6"/>
  <c r="CA80" i="6"/>
  <c r="CD55" i="6"/>
  <c r="CA34" i="6"/>
  <c r="CD14" i="6"/>
  <c r="BZ99" i="6"/>
  <c r="BZ35" i="6"/>
  <c r="CF100" i="6"/>
  <c r="CB72" i="6"/>
  <c r="CE49" i="6"/>
  <c r="CB28" i="6"/>
  <c r="CE10" i="6"/>
  <c r="BZ82" i="6"/>
  <c r="BZ18" i="6"/>
  <c r="CC93" i="6"/>
  <c r="CD65" i="6"/>
  <c r="CB44" i="6"/>
  <c r="CE22" i="6"/>
  <c r="CE7" i="6"/>
  <c r="BZ65" i="6"/>
  <c r="CF116" i="6"/>
  <c r="CB88" i="6"/>
  <c r="CE61" i="6"/>
  <c r="CC40" i="6"/>
  <c r="CF18" i="6"/>
  <c r="BZ110" i="6"/>
  <c r="BZ46" i="6"/>
  <c r="CB84" i="6"/>
  <c r="CD22" i="6"/>
  <c r="BZ23" i="6"/>
  <c r="CF50" i="6"/>
  <c r="BZ104" i="6"/>
  <c r="CD81" i="6"/>
  <c r="CC21" i="6"/>
  <c r="BZ16" i="6"/>
  <c r="CB56" i="6"/>
  <c r="CB6" i="6"/>
  <c r="CE98" i="6"/>
  <c r="CB33" i="6"/>
  <c r="BZ55" i="6"/>
  <c r="CA68" i="6"/>
  <c r="CD13" i="6"/>
  <c r="CB114" i="6"/>
  <c r="CB46" i="6"/>
  <c r="BZ93" i="6"/>
  <c r="CC85" i="6"/>
  <c r="CA24" i="6"/>
  <c r="BZ24" i="6"/>
  <c r="CE108" i="6"/>
  <c r="CA98" i="6"/>
  <c r="CC87" i="6"/>
  <c r="CE76" i="6"/>
  <c r="CA66" i="6"/>
  <c r="CC55" i="6"/>
  <c r="CE44" i="6"/>
  <c r="CF33" i="6"/>
  <c r="CB23" i="6"/>
  <c r="CD112" i="6"/>
  <c r="CF101" i="6"/>
  <c r="CB91" i="6"/>
  <c r="CD80" i="6"/>
  <c r="CF69" i="6"/>
  <c r="CB59" i="6"/>
  <c r="CD48" i="6"/>
  <c r="CE37" i="6"/>
  <c r="CA27" i="6"/>
  <c r="CC16" i="6"/>
  <c r="CE113" i="6"/>
  <c r="CA103" i="6"/>
  <c r="CC92" i="6"/>
  <c r="CE81" i="6"/>
  <c r="CA71" i="6"/>
  <c r="CD110" i="6"/>
  <c r="CF99" i="6"/>
  <c r="CB89" i="6"/>
  <c r="CD78" i="6"/>
  <c r="CF67" i="6"/>
  <c r="CB57" i="6"/>
  <c r="CD46" i="6"/>
  <c r="CE35" i="6"/>
  <c r="CA25" i="6"/>
  <c r="CC114" i="6"/>
  <c r="CE103" i="6"/>
  <c r="CA93" i="6"/>
  <c r="CC82" i="6"/>
  <c r="CE71" i="6"/>
  <c r="CA61" i="6"/>
  <c r="CC50" i="6"/>
  <c r="CE39" i="6"/>
  <c r="CF28" i="6"/>
  <c r="CB18" i="6"/>
  <c r="CB112" i="6"/>
  <c r="CA84" i="6"/>
  <c r="CE58" i="6"/>
  <c r="CB37" i="6"/>
  <c r="CD16" i="6"/>
  <c r="BZ108" i="6"/>
  <c r="BZ44" i="6"/>
  <c r="CF104" i="6"/>
  <c r="CB76" i="6"/>
  <c r="CF52" i="6"/>
  <c r="CC31" i="6"/>
  <c r="CE12" i="6"/>
  <c r="BZ91" i="6"/>
  <c r="BZ27" i="6"/>
  <c r="CC97" i="6"/>
  <c r="CF68" i="6"/>
  <c r="CA47" i="6"/>
  <c r="CD25" i="6"/>
  <c r="CB9" i="6"/>
  <c r="BZ74" i="6"/>
  <c r="BZ10" i="6"/>
  <c r="CD89" i="6"/>
  <c r="CF62" i="6"/>
  <c r="CD41" i="6"/>
  <c r="CA20" i="6"/>
  <c r="CC6" i="6"/>
  <c r="BZ57" i="6"/>
  <c r="CC113" i="6"/>
  <c r="CF84" i="6"/>
  <c r="CA59" i="6"/>
  <c r="CD37" i="6"/>
  <c r="CA17" i="6"/>
  <c r="BZ102" i="6"/>
  <c r="BZ38" i="6"/>
  <c r="CE74" i="6"/>
  <c r="CE16" i="6"/>
  <c r="CE110" i="6"/>
  <c r="CD43" i="6"/>
  <c r="BZ85" i="6"/>
  <c r="CD71" i="6"/>
  <c r="CC15" i="6"/>
  <c r="CD117" i="6"/>
  <c r="CF48" i="6"/>
  <c r="BZ101" i="6"/>
  <c r="CF88" i="6"/>
  <c r="CE26" i="6"/>
  <c r="BZ32" i="6"/>
  <c r="CD61" i="6"/>
  <c r="CF8" i="6"/>
  <c r="CD105" i="6"/>
  <c r="CD38" i="6"/>
  <c r="BZ71" i="6"/>
  <c r="CF74" i="6"/>
  <c r="CB17" i="6"/>
  <c r="CF38" i="6"/>
  <c r="BZ6" i="6"/>
  <c r="CC107" i="6"/>
  <c r="CE96" i="6"/>
  <c r="CA86" i="6"/>
  <c r="CC75" i="6"/>
  <c r="CE64" i="6"/>
  <c r="CA54" i="6"/>
  <c r="CC43" i="6"/>
  <c r="CD32" i="6"/>
  <c r="CF21" i="6"/>
  <c r="CB111" i="6"/>
  <c r="CD100" i="6"/>
  <c r="CF89" i="6"/>
  <c r="CB79" i="6"/>
  <c r="CD68" i="6"/>
  <c r="CF57" i="6"/>
  <c r="CB47" i="6"/>
  <c r="CC36" i="6"/>
  <c r="CE25" i="6"/>
  <c r="CA15" i="6"/>
  <c r="CC112" i="6"/>
  <c r="CE101" i="6"/>
  <c r="CA91" i="6"/>
  <c r="CC80" i="6"/>
  <c r="CE69" i="6"/>
  <c r="CB109" i="6"/>
  <c r="CD98" i="6"/>
  <c r="CF87" i="6"/>
  <c r="CB77" i="6"/>
  <c r="CD66" i="6"/>
  <c r="CF55" i="6"/>
  <c r="CB45" i="6"/>
  <c r="CC34" i="6"/>
  <c r="CE23" i="6"/>
  <c r="CA113" i="6"/>
  <c r="CC102" i="6"/>
  <c r="CE91" i="6"/>
  <c r="CA81" i="6"/>
  <c r="CC70" i="6"/>
  <c r="CE59" i="6"/>
  <c r="CA49" i="6"/>
  <c r="CB38" i="6"/>
  <c r="CD27" i="6"/>
  <c r="CF16" i="6"/>
  <c r="CF108" i="6"/>
  <c r="CB80" i="6"/>
  <c r="CA56" i="6"/>
  <c r="CD34" i="6"/>
  <c r="CE14" i="6"/>
  <c r="BZ100" i="6"/>
  <c r="BZ36" i="6"/>
  <c r="CC101" i="6"/>
  <c r="CF72" i="6"/>
  <c r="CB50" i="6"/>
  <c r="CE28" i="6"/>
  <c r="CF10" i="6"/>
  <c r="BZ83" i="6"/>
  <c r="BZ19" i="6"/>
  <c r="CD93" i="6"/>
  <c r="CE65" i="6"/>
  <c r="CC44" i="6"/>
  <c r="CF22" i="6"/>
  <c r="CF7" i="6"/>
  <c r="BZ66" i="6"/>
  <c r="CE114" i="6"/>
  <c r="CB86" i="6"/>
  <c r="CB60" i="6"/>
  <c r="CE38" i="6"/>
  <c r="CD17" i="6"/>
  <c r="BZ113" i="6"/>
  <c r="BZ49" i="6"/>
  <c r="CD109" i="6"/>
  <c r="CC81" i="6"/>
  <c r="CC56" i="6"/>
  <c r="CF34" i="6"/>
  <c r="CB15" i="6"/>
  <c r="BZ94" i="6"/>
  <c r="BZ30" i="6"/>
  <c r="CC65" i="6"/>
  <c r="CF11" i="6"/>
  <c r="CB102" i="6"/>
  <c r="CF35" i="6"/>
  <c r="BZ63" i="6"/>
  <c r="CB64" i="6"/>
  <c r="CC10" i="6"/>
  <c r="CC109" i="6"/>
  <c r="CC41" i="6"/>
  <c r="BZ79" i="6"/>
  <c r="CE78" i="6"/>
  <c r="CC19" i="6"/>
  <c r="BZ13" i="6"/>
  <c r="CB54" i="6"/>
  <c r="BZ117" i="6"/>
  <c r="CA96" i="6"/>
  <c r="CA32" i="6"/>
  <c r="BZ48" i="6"/>
  <c r="CF66" i="6"/>
  <c r="CA12" i="6"/>
  <c r="CE116" i="6"/>
  <c r="CA106" i="6"/>
  <c r="CC95" i="6"/>
  <c r="CE84" i="6"/>
  <c r="CA74" i="6"/>
  <c r="CC63" i="6"/>
  <c r="CE52" i="6"/>
  <c r="CA42" i="6"/>
  <c r="CB31" i="6"/>
  <c r="CD20" i="6"/>
  <c r="CF109" i="6"/>
  <c r="CB99" i="6"/>
  <c r="CD88" i="6"/>
  <c r="CF77" i="6"/>
  <c r="CB67" i="6"/>
  <c r="CD56" i="6"/>
  <c r="CF45" i="6"/>
  <c r="CA35" i="6"/>
  <c r="CC24" i="6"/>
  <c r="CE13" i="6"/>
  <c r="CA111" i="6"/>
  <c r="CC100" i="6"/>
  <c r="CE89" i="6"/>
  <c r="CA79" i="6"/>
  <c r="CC68" i="6"/>
  <c r="CF107" i="6"/>
  <c r="CB97" i="6"/>
  <c r="CD86" i="6"/>
  <c r="CF75" i="6"/>
  <c r="CB65" i="6"/>
  <c r="CD54" i="6"/>
  <c r="CF43" i="6"/>
  <c r="CA33" i="6"/>
  <c r="CC22" i="6"/>
  <c r="CE111" i="6"/>
  <c r="CA101" i="6"/>
  <c r="CC90" i="6"/>
  <c r="CE79" i="6"/>
  <c r="CA69" i="6"/>
  <c r="CC58" i="6"/>
  <c r="CE47" i="6"/>
  <c r="CF36" i="6"/>
  <c r="CB26" i="6"/>
  <c r="CD15" i="6"/>
  <c r="CC105" i="6"/>
  <c r="CF76" i="6"/>
  <c r="CC53" i="6"/>
  <c r="CF31" i="6"/>
  <c r="CA13" i="6"/>
  <c r="BZ92" i="6"/>
  <c r="BZ28" i="6"/>
  <c r="CD97" i="6"/>
  <c r="CC69" i="6"/>
  <c r="CD47" i="6"/>
  <c r="CA26" i="6"/>
  <c r="CC9" i="6"/>
  <c r="BZ75" i="6"/>
  <c r="BZ11" i="6"/>
  <c r="CB90" i="6"/>
  <c r="CA63" i="6"/>
  <c r="CE41" i="6"/>
  <c r="CB20" i="6"/>
  <c r="CD6" i="6"/>
  <c r="BZ58" i="6"/>
  <c r="CF110" i="6"/>
  <c r="CE82" i="6"/>
  <c r="CD57" i="6"/>
  <c r="CA36" i="6"/>
  <c r="CF15" i="6"/>
  <c r="BZ105" i="6"/>
  <c r="BZ41" i="6"/>
  <c r="CB106" i="6"/>
  <c r="CD77" i="6"/>
  <c r="CE53" i="6"/>
  <c r="CB32" i="6"/>
  <c r="CC13" i="6"/>
  <c r="BZ86" i="6"/>
  <c r="BZ22" i="6"/>
  <c r="CF58" i="6"/>
  <c r="CD7" i="6"/>
  <c r="CB92" i="6"/>
  <c r="CC29" i="6"/>
  <c r="BZ40" i="6"/>
  <c r="CF56" i="6"/>
  <c r="CA7" i="6"/>
  <c r="CD99" i="6"/>
  <c r="CE34" i="6"/>
  <c r="BZ56" i="6"/>
  <c r="CB70" i="6"/>
  <c r="CF13" i="6"/>
  <c r="CB116" i="6"/>
  <c r="CE46" i="6"/>
  <c r="BZ95" i="6"/>
  <c r="CD85" i="6"/>
  <c r="CE24" i="6"/>
  <c r="BZ29" i="6"/>
  <c r="CD59" i="6"/>
  <c r="CC8" i="6"/>
  <c r="CC115" i="6"/>
  <c r="CE104" i="6"/>
  <c r="CA94" i="6"/>
  <c r="CC83" i="6"/>
  <c r="CE72" i="6"/>
  <c r="CA62" i="6"/>
  <c r="CC51" i="6"/>
  <c r="CE40" i="6"/>
  <c r="CF29" i="6"/>
  <c r="CB19" i="6"/>
  <c r="CD108" i="6"/>
  <c r="CF97" i="6"/>
  <c r="CB87" i="6"/>
  <c r="CD76" i="6"/>
  <c r="CF65" i="6"/>
  <c r="CB55" i="6"/>
  <c r="CD44" i="6"/>
  <c r="CE33" i="6"/>
  <c r="CA23" i="6"/>
  <c r="CC12" i="6"/>
  <c r="CE109" i="6"/>
  <c r="CA99" i="6"/>
  <c r="CC88" i="6"/>
  <c r="CE77" i="6"/>
  <c r="CB117" i="6"/>
  <c r="CD106" i="6"/>
  <c r="CF95" i="6"/>
  <c r="CB85" i="6"/>
  <c r="CD74" i="6"/>
  <c r="CF63" i="6"/>
  <c r="CB53" i="6"/>
  <c r="CD42" i="6"/>
  <c r="CE31" i="6"/>
  <c r="CA21" i="6"/>
  <c r="CC110" i="6"/>
  <c r="CE99" i="6"/>
  <c r="CA89" i="6"/>
  <c r="CC78" i="6"/>
  <c r="CE67" i="6"/>
  <c r="CA57" i="6"/>
  <c r="CC46" i="6"/>
  <c r="CD35" i="6"/>
  <c r="CF24" i="6"/>
  <c r="CB14" i="6"/>
  <c r="CD101" i="6"/>
  <c r="CC73" i="6"/>
  <c r="CE50" i="6"/>
  <c r="CB29" i="6"/>
  <c r="CB11" i="6"/>
  <c r="BZ84" i="6"/>
  <c r="BZ20" i="6"/>
  <c r="CB94" i="6"/>
  <c r="CB66" i="6"/>
  <c r="CF44" i="6"/>
  <c r="CC23" i="6"/>
  <c r="CA8" i="6"/>
  <c r="BZ67" i="6"/>
  <c r="CF114" i="6"/>
  <c r="CE86" i="6"/>
  <c r="CC60" i="6"/>
  <c r="CA39" i="6"/>
  <c r="CF17" i="6"/>
  <c r="BZ114" i="6"/>
  <c r="BZ50" i="6"/>
  <c r="CD107" i="6"/>
  <c r="CF78" i="6"/>
  <c r="CF54" i="6"/>
  <c r="CC33" i="6"/>
  <c r="CA14" i="6"/>
  <c r="BZ97" i="6"/>
  <c r="BZ33" i="6"/>
  <c r="CE102" i="6"/>
  <c r="CB74" i="6"/>
  <c r="CA51" i="6"/>
  <c r="CD29" i="6"/>
  <c r="CE11" i="6"/>
  <c r="BZ78" i="6"/>
  <c r="BZ14" i="6"/>
  <c r="CD51" i="6"/>
  <c r="BZ109" i="6"/>
  <c r="CB82" i="6"/>
  <c r="CA22" i="6"/>
  <c r="BZ21" i="6"/>
  <c r="CC49" i="6"/>
  <c r="BZ103" i="6"/>
  <c r="CC89" i="6"/>
  <c r="CC27" i="6"/>
  <c r="BZ37" i="6"/>
  <c r="CB62" i="6"/>
  <c r="CE9" i="6"/>
  <c r="CE106" i="6"/>
  <c r="CB40" i="6"/>
  <c r="BZ72" i="6"/>
  <c r="CC77" i="6"/>
  <c r="CC17" i="6"/>
  <c r="BZ7" i="6"/>
  <c r="CA52" i="6"/>
  <c r="BZ111" i="6"/>
  <c r="CA114" i="6"/>
  <c r="CC103" i="6"/>
  <c r="CE92" i="6"/>
  <c r="CA82" i="6"/>
  <c r="CC71" i="6"/>
  <c r="CE60" i="6"/>
  <c r="CA50" i="6"/>
  <c r="CC39" i="6"/>
  <c r="CD28" i="6"/>
  <c r="CF117" i="6"/>
  <c r="CB107" i="6"/>
  <c r="CD96" i="6"/>
  <c r="CF85" i="6"/>
  <c r="CB75" i="6"/>
  <c r="CD64" i="6"/>
  <c r="CF53" i="6"/>
  <c r="CB43" i="6"/>
  <c r="CC32" i="6"/>
  <c r="CE21" i="6"/>
  <c r="CA11" i="6"/>
  <c r="CC108" i="6"/>
  <c r="CE97" i="6"/>
  <c r="CA87" i="6"/>
  <c r="CC76" i="6"/>
  <c r="CF115" i="6"/>
  <c r="CB105" i="6"/>
  <c r="CD94" i="6"/>
  <c r="CF83" i="6"/>
  <c r="CB73" i="6"/>
  <c r="CD62" i="6"/>
  <c r="CF51" i="6"/>
  <c r="CB41" i="6"/>
  <c r="CC30" i="6"/>
  <c r="CE19" i="6"/>
  <c r="CA109" i="6"/>
  <c r="CC98" i="6"/>
  <c r="CE87" i="6"/>
  <c r="CA77" i="6"/>
  <c r="CC66" i="6"/>
  <c r="CE55" i="6"/>
  <c r="CA45" i="6"/>
  <c r="CB34" i="6"/>
  <c r="CD23" i="6"/>
  <c r="CF12" i="6"/>
  <c r="CB98" i="6"/>
  <c r="CD69" i="6"/>
  <c r="CA48" i="6"/>
  <c r="CD26" i="6"/>
  <c r="CD9" i="6"/>
  <c r="BZ76" i="6"/>
  <c r="BZ12" i="6"/>
  <c r="CE90" i="6"/>
  <c r="CD63" i="6"/>
  <c r="CB42" i="6"/>
  <c r="CE20" i="6"/>
  <c r="CE6" i="6"/>
  <c r="BZ59" i="6"/>
  <c r="CD111" i="6"/>
  <c r="CF82" i="6"/>
  <c r="CE57" i="6"/>
  <c r="CB36" i="6"/>
  <c r="CA16" i="6"/>
  <c r="BZ106" i="6"/>
  <c r="BZ42" i="6"/>
  <c r="CA104" i="6"/>
  <c r="CD75" i="6"/>
  <c r="CB52" i="6"/>
  <c r="CE30" i="6"/>
  <c r="CB12" i="6"/>
  <c r="BZ89" i="6"/>
  <c r="BZ25" i="6"/>
  <c r="CF98" i="6"/>
  <c r="CE70" i="6"/>
  <c r="CC48" i="6"/>
  <c r="CF26" i="6"/>
  <c r="CF9" i="6"/>
  <c r="BZ70" i="6"/>
  <c r="CF112" i="6"/>
  <c r="CA44" i="6"/>
  <c r="BZ87" i="6"/>
  <c r="CD73" i="6"/>
  <c r="CE15" i="6"/>
  <c r="CB110" i="6"/>
  <c r="CF42" i="6"/>
  <c r="BZ80" i="6"/>
  <c r="CF80" i="6"/>
  <c r="CF19" i="6"/>
  <c r="BZ15" i="6"/>
  <c r="CE54" i="6"/>
  <c r="CA6" i="6"/>
  <c r="CB96" i="6"/>
  <c r="CE32" i="6"/>
  <c r="BZ53" i="6"/>
  <c r="CD67" i="6"/>
  <c r="CB13" i="6"/>
  <c r="CD113" i="6"/>
  <c r="CD45" i="6"/>
  <c r="BZ88" i="6"/>
  <c r="CE112" i="6"/>
  <c r="CA102" i="6"/>
  <c r="CC91" i="6"/>
  <c r="CE80" i="6"/>
  <c r="CA70" i="6"/>
  <c r="CC59" i="6"/>
  <c r="CE48" i="6"/>
  <c r="CF37" i="6"/>
  <c r="CB27" i="6"/>
  <c r="CD116" i="6"/>
  <c r="CF105" i="6"/>
  <c r="CB95" i="6"/>
  <c r="CD84" i="6"/>
  <c r="CF73" i="6"/>
  <c r="CB63" i="6"/>
  <c r="CD52" i="6"/>
  <c r="CF41" i="6"/>
  <c r="CA31" i="6"/>
  <c r="CC20" i="6"/>
  <c r="CE117" i="6"/>
  <c r="CA107" i="6"/>
  <c r="CC96" i="6"/>
  <c r="CE85" i="6"/>
  <c r="CA75" i="6"/>
  <c r="CD114" i="6"/>
  <c r="CF103" i="6"/>
  <c r="CB93" i="6"/>
  <c r="CD82" i="6"/>
  <c r="CF71" i="6"/>
  <c r="CB61" i="6"/>
  <c r="CD50" i="6"/>
  <c r="CF39" i="6"/>
  <c r="CA29" i="6"/>
  <c r="CC18" i="6"/>
  <c r="CE107" i="6"/>
  <c r="CA97" i="6"/>
  <c r="CC86" i="6"/>
  <c r="CE75" i="6"/>
  <c r="CA65" i="6"/>
  <c r="CC54" i="6"/>
  <c r="CE43" i="6"/>
  <c r="CF32" i="6"/>
  <c r="CB22" i="6"/>
  <c r="CD11" i="6"/>
  <c r="CE94" i="6"/>
  <c r="CE66" i="6"/>
  <c r="CC45" i="6"/>
  <c r="CF23" i="6"/>
  <c r="CB8" i="6"/>
  <c r="BZ68" i="6"/>
  <c r="CD115" i="6"/>
  <c r="CF86" i="6"/>
  <c r="CF60" i="6"/>
  <c r="CD39" i="6"/>
  <c r="CA18" i="6"/>
  <c r="BZ115" i="6"/>
  <c r="BZ51" i="6"/>
  <c r="CA108" i="6"/>
  <c r="CD79" i="6"/>
  <c r="CA55" i="6"/>
  <c r="CD33" i="6"/>
  <c r="CC14" i="6"/>
  <c r="BZ98" i="6"/>
  <c r="BZ34" i="6"/>
  <c r="CB100" i="6"/>
  <c r="CA72" i="6"/>
  <c r="CD49" i="6"/>
  <c r="CA28" i="6"/>
  <c r="CD10" i="6"/>
  <c r="BZ81" i="6"/>
  <c r="BZ17" i="6"/>
  <c r="CD95" i="6"/>
  <c r="CA67" i="6"/>
  <c r="CE45" i="6"/>
  <c r="CB24" i="6"/>
  <c r="CD8" i="6"/>
  <c r="BZ62" i="6"/>
  <c r="CF102" i="6"/>
  <c r="CC37" i="6"/>
  <c r="BZ64" i="6"/>
  <c r="CF64" i="6"/>
  <c r="CC11" i="6"/>
  <c r="CA100" i="6"/>
  <c r="CC35" i="6"/>
  <c r="BZ61" i="6"/>
  <c r="CF70" i="6"/>
  <c r="CF14" i="6"/>
  <c r="CC117" i="6"/>
  <c r="CB48" i="6"/>
  <c r="BZ96" i="6"/>
  <c r="CA88" i="6"/>
  <c r="CB25" i="6"/>
  <c r="BZ31" i="6"/>
  <c r="CA60" i="6"/>
  <c r="CE8" i="6"/>
  <c r="CD103" i="6"/>
  <c r="CA38" i="6"/>
  <c r="BZ69" i="6"/>
  <c r="CA90" i="6"/>
  <c r="CD104" i="6"/>
  <c r="CA19" i="6"/>
  <c r="CF91" i="6"/>
  <c r="CC106" i="6"/>
  <c r="CF20" i="6"/>
  <c r="CA112" i="6"/>
  <c r="CA76" i="6"/>
  <c r="CF46" i="6"/>
  <c r="CD21" i="6"/>
  <c r="CD91" i="6"/>
  <c r="CB78" i="6"/>
  <c r="CC79" i="6"/>
  <c r="CC116" i="6"/>
  <c r="CE95" i="6"/>
  <c r="CD83" i="6"/>
  <c r="CC52" i="6"/>
  <c r="CB7" i="6"/>
  <c r="CE18" i="6"/>
  <c r="CF93" i="6"/>
  <c r="CB81" i="6"/>
  <c r="CB10" i="6"/>
  <c r="CC25" i="6"/>
  <c r="CF27" i="6"/>
  <c r="CE68" i="6"/>
  <c r="CB83" i="6"/>
  <c r="CE105" i="6"/>
  <c r="CD70" i="6"/>
  <c r="CA85" i="6"/>
  <c r="CF90" i="6"/>
  <c r="CB58" i="6"/>
  <c r="CF30" i="6"/>
  <c r="CA9" i="6"/>
  <c r="BZ54" i="6"/>
  <c r="BZ39" i="6"/>
  <c r="BZ8" i="6"/>
  <c r="CF25" i="6"/>
  <c r="CC42" i="6"/>
  <c r="CC57" i="6"/>
  <c r="CE100" i="6"/>
  <c r="CA117" i="6"/>
  <c r="CA43" i="6"/>
  <c r="CA58" i="6"/>
  <c r="CD72" i="6"/>
  <c r="CA95" i="6"/>
  <c r="CF59" i="6"/>
  <c r="CC74" i="6"/>
  <c r="CA64" i="6"/>
  <c r="CE36" i="6"/>
  <c r="CD12" i="6"/>
  <c r="BZ73" i="6"/>
  <c r="CF92" i="6"/>
  <c r="CE62" i="6"/>
  <c r="CD53" i="6"/>
  <c r="CC111" i="6"/>
  <c r="CE27" i="6"/>
  <c r="CF96" i="6"/>
  <c r="CD102" i="6"/>
  <c r="CB68" i="6"/>
  <c r="CC47" i="6"/>
  <c r="CF61" i="6"/>
  <c r="CC84" i="6"/>
  <c r="CB49" i="6"/>
  <c r="CE63" i="6"/>
  <c r="CE42" i="6"/>
  <c r="CB16" i="6"/>
  <c r="BZ90" i="6"/>
  <c r="BZ9" i="6"/>
  <c r="CA30" i="6"/>
  <c r="CA10" i="6"/>
  <c r="BZ112" i="6"/>
  <c r="CD40" i="6"/>
  <c r="CF6" i="6"/>
  <c r="CF40" i="6"/>
  <c r="CD31" i="6"/>
  <c r="CC7" i="6"/>
  <c r="CD36" i="6"/>
  <c r="CB51" i="6"/>
  <c r="CE73" i="6"/>
  <c r="CC38" i="6"/>
  <c r="CA53" i="6"/>
  <c r="CB21" i="6"/>
  <c r="BZ107" i="6"/>
  <c r="BZ26" i="6"/>
  <c r="CA92" i="6"/>
  <c r="BZ45" i="6"/>
  <c r="CF106" i="6"/>
  <c r="CF94" i="6"/>
  <c r="CB113" i="6"/>
  <c r="BZ43" i="6"/>
  <c r="CD30" i="6"/>
  <c r="CE29" i="6"/>
  <c r="CB104" i="6"/>
  <c r="BZ47" i="6"/>
  <c r="CC64" i="6"/>
  <c r="CB115" i="6"/>
  <c r="BZ60" i="6"/>
  <c r="BZ77" i="6"/>
  <c r="LJ79" i="6"/>
  <c r="ACT6" i="6"/>
  <c r="QW93" i="6"/>
  <c r="SG70" i="6"/>
  <c r="QW108" i="6"/>
  <c r="AAY101" i="6"/>
  <c r="QE53" i="6"/>
  <c r="AB85" i="6"/>
  <c r="KR113" i="6"/>
  <c r="SY60" i="6"/>
  <c r="KR27" i="6"/>
  <c r="SG85" i="6"/>
  <c r="OU16" i="6"/>
  <c r="YV85" i="6"/>
  <c r="AAY36" i="6"/>
  <c r="PM9" i="6"/>
  <c r="AB88" i="6"/>
  <c r="KR51" i="6"/>
  <c r="JZ21" i="6"/>
  <c r="OU63" i="6"/>
  <c r="YV62" i="6"/>
  <c r="TQ77" i="6"/>
  <c r="SY46" i="6"/>
  <c r="PM24" i="6"/>
  <c r="IP17" i="6"/>
  <c r="PM46" i="6"/>
  <c r="QW113" i="6"/>
  <c r="QE94" i="6"/>
  <c r="OU11" i="6"/>
  <c r="AAY59" i="6"/>
  <c r="ACT28" i="6"/>
  <c r="AAY46" i="6"/>
  <c r="OC25" i="6"/>
  <c r="KR25" i="6"/>
  <c r="ACT111" i="6"/>
  <c r="PM97" i="6"/>
  <c r="JH87" i="6"/>
  <c r="PM31" i="6"/>
  <c r="QE79" i="6"/>
  <c r="JH64" i="6"/>
  <c r="AB44" i="6"/>
  <c r="SY49" i="6"/>
  <c r="AAY85" i="6"/>
  <c r="LJ110" i="6"/>
  <c r="IP42" i="6"/>
  <c r="QE10" i="6"/>
  <c r="SY30" i="6"/>
  <c r="QW74" i="6"/>
  <c r="AAY113" i="6"/>
  <c r="TQ104" i="6"/>
  <c r="OC76" i="6"/>
  <c r="LJ18" i="6"/>
  <c r="AB72" i="6"/>
  <c r="JZ56" i="6"/>
  <c r="OU50" i="6"/>
  <c r="MB29" i="6"/>
  <c r="RO10" i="6"/>
  <c r="AB59" i="6"/>
  <c r="RO70" i="6"/>
  <c r="YV14" i="6"/>
  <c r="AAY39" i="6"/>
  <c r="AAY78" i="6"/>
  <c r="YV87" i="6"/>
  <c r="OU70" i="6"/>
  <c r="SY59" i="6"/>
  <c r="PM101" i="6"/>
  <c r="QE83" i="6"/>
  <c r="SY31" i="6"/>
  <c r="OC71" i="6"/>
  <c r="HX51" i="6"/>
  <c r="HX43" i="6"/>
  <c r="AAY79" i="6"/>
  <c r="ACT63" i="6"/>
  <c r="IP91" i="6"/>
  <c r="YV104" i="6"/>
  <c r="QW65" i="6"/>
  <c r="SY51" i="6"/>
  <c r="QE19" i="6"/>
  <c r="HX112" i="6"/>
  <c r="QW83" i="6"/>
  <c r="ACT34" i="6"/>
  <c r="QE73" i="6"/>
  <c r="SY103" i="6"/>
  <c r="KR24" i="6"/>
  <c r="TQ68" i="6"/>
  <c r="AB18" i="6"/>
  <c r="JH16" i="6"/>
  <c r="OC111" i="6"/>
  <c r="QW98" i="6"/>
  <c r="LJ9" i="6"/>
  <c r="ACT55" i="6"/>
  <c r="AAY106" i="6"/>
  <c r="YV7" i="6"/>
  <c r="TQ40" i="6"/>
  <c r="OC79" i="6"/>
  <c r="SG25" i="6"/>
  <c r="KR103" i="6"/>
  <c r="OU92" i="6"/>
  <c r="MB30" i="6"/>
  <c r="IP113" i="6"/>
  <c r="HX56" i="6"/>
  <c r="AAY13" i="6"/>
  <c r="LJ66" i="6"/>
  <c r="OU81" i="6"/>
  <c r="LJ103" i="6"/>
  <c r="KR68" i="6"/>
  <c r="JH110" i="6"/>
  <c r="OC96" i="6"/>
  <c r="YV61" i="6"/>
  <c r="TQ56" i="6"/>
  <c r="TQ39" i="6"/>
  <c r="SY77" i="6"/>
  <c r="OC91" i="6"/>
  <c r="JH83" i="6"/>
  <c r="AAY64" i="6"/>
  <c r="ACT21" i="6"/>
  <c r="LJ116" i="6"/>
  <c r="HX89" i="6"/>
  <c r="JZ12" i="6"/>
  <c r="LJ54" i="6"/>
  <c r="ACT17" i="6"/>
  <c r="ACT77" i="6"/>
  <c r="SG59" i="6"/>
  <c r="SY47" i="6"/>
  <c r="QW17" i="6"/>
  <c r="PM37" i="6"/>
  <c r="HX104" i="6"/>
  <c r="SY80" i="6"/>
  <c r="HX24" i="6"/>
  <c r="SG55" i="6"/>
  <c r="RO33" i="6"/>
  <c r="TQ71" i="6"/>
  <c r="SY12" i="6"/>
  <c r="MB63" i="6"/>
  <c r="AB62" i="6"/>
  <c r="RO57" i="6"/>
  <c r="SY33" i="6"/>
  <c r="SY115" i="6"/>
  <c r="HX106" i="6"/>
  <c r="TQ41" i="6"/>
  <c r="SG69" i="6"/>
  <c r="HX12" i="6"/>
  <c r="KR65" i="6"/>
  <c r="JH61" i="6"/>
  <c r="RO81" i="6"/>
  <c r="TQ87" i="6"/>
  <c r="HX80" i="6"/>
  <c r="HX63" i="6"/>
  <c r="PM45" i="6"/>
  <c r="QE29" i="6"/>
  <c r="SY107" i="6"/>
  <c r="HX18" i="6"/>
  <c r="YV44" i="6"/>
  <c r="LJ43" i="6"/>
  <c r="SY15" i="6"/>
  <c r="JH27" i="6"/>
  <c r="ACT75" i="6"/>
  <c r="QE107" i="6"/>
  <c r="RO26" i="6"/>
  <c r="IP40" i="6"/>
  <c r="AB98" i="6"/>
  <c r="JH103" i="6"/>
  <c r="RO25" i="6"/>
  <c r="IP60" i="6"/>
  <c r="SG95" i="6"/>
  <c r="LJ88" i="6"/>
  <c r="ACT100" i="6"/>
  <c r="JZ67" i="6"/>
  <c r="ACT46" i="6"/>
  <c r="TQ66" i="6"/>
  <c r="AB75" i="6"/>
  <c r="QE80" i="6"/>
  <c r="JH26" i="6"/>
  <c r="JH65" i="6"/>
  <c r="YV17" i="6"/>
  <c r="OU111" i="6"/>
  <c r="AAY61" i="6"/>
  <c r="JZ50" i="6"/>
  <c r="AB71" i="6"/>
  <c r="AAY97" i="6"/>
  <c r="ACT19" i="6"/>
  <c r="RO36" i="6"/>
  <c r="JZ109" i="6"/>
  <c r="RO22" i="6"/>
  <c r="SG112" i="6"/>
  <c r="HX52" i="6"/>
  <c r="AAY14" i="6"/>
  <c r="QW20" i="6"/>
  <c r="MB64" i="6"/>
  <c r="SG56" i="6"/>
  <c r="ACT114" i="6"/>
  <c r="TQ115" i="6"/>
  <c r="SG108" i="6"/>
  <c r="ACT8" i="6"/>
  <c r="LJ109" i="6"/>
  <c r="SG80" i="6"/>
  <c r="HX33" i="6"/>
  <c r="HX115" i="6"/>
  <c r="QW9" i="6"/>
  <c r="JH94" i="6"/>
  <c r="KR87" i="6"/>
  <c r="YV69" i="6"/>
  <c r="TQ12" i="6"/>
  <c r="QE102" i="6"/>
  <c r="IP22" i="6"/>
  <c r="YV39" i="6"/>
  <c r="HX49" i="6"/>
  <c r="RO113" i="6"/>
  <c r="OC103" i="6"/>
  <c r="LJ98" i="6"/>
  <c r="PM16" i="6"/>
  <c r="YV16" i="6"/>
  <c r="YV76" i="6"/>
  <c r="TQ110" i="6"/>
  <c r="ACT22" i="6"/>
  <c r="AAY48" i="6"/>
  <c r="OU18" i="6"/>
  <c r="PM96" i="6"/>
  <c r="OC22" i="6"/>
  <c r="MB33" i="6"/>
  <c r="KR35" i="6"/>
  <c r="RO112" i="6"/>
  <c r="HX28" i="6"/>
  <c r="AB86" i="6"/>
  <c r="RO108" i="6"/>
  <c r="LJ36" i="6"/>
  <c r="TQ17" i="6"/>
  <c r="QE100" i="6"/>
  <c r="YV111" i="6"/>
  <c r="QE51" i="6"/>
  <c r="JH24" i="6"/>
  <c r="SG24" i="6"/>
  <c r="SG106" i="6"/>
  <c r="QE71" i="6"/>
  <c r="JH60" i="6"/>
  <c r="AB56" i="6"/>
  <c r="QW107" i="6"/>
  <c r="OC102" i="6"/>
  <c r="SY52" i="6"/>
  <c r="OU21" i="6"/>
  <c r="AB43" i="6"/>
  <c r="KR96" i="6"/>
  <c r="HX87" i="6"/>
  <c r="SY6" i="6"/>
  <c r="MB114" i="6"/>
  <c r="OC33" i="6"/>
  <c r="QE37" i="6"/>
  <c r="JH96" i="6"/>
  <c r="QW90" i="6"/>
  <c r="RO38" i="6"/>
  <c r="TQ67" i="6"/>
  <c r="SY8" i="6"/>
  <c r="OC62" i="6"/>
  <c r="QE95" i="6"/>
  <c r="QW91" i="6"/>
  <c r="TQ82" i="6"/>
  <c r="MB22" i="6"/>
  <c r="LJ95" i="6"/>
  <c r="OU105" i="6"/>
  <c r="AB108" i="6"/>
  <c r="AB70" i="6"/>
  <c r="OC39" i="6"/>
  <c r="RO100" i="6"/>
  <c r="HX31" i="6"/>
  <c r="RO72" i="6"/>
  <c r="QE92" i="6"/>
  <c r="YV91" i="6"/>
  <c r="IP71" i="6"/>
  <c r="ACT62" i="6"/>
  <c r="LJ52" i="6"/>
  <c r="HX38" i="6"/>
  <c r="KR71" i="6"/>
  <c r="TQ47" i="6"/>
  <c r="QE18" i="6"/>
  <c r="MB115" i="6"/>
  <c r="JH115" i="6"/>
  <c r="MB110" i="6"/>
  <c r="TQ44" i="6"/>
  <c r="OU113" i="6"/>
  <c r="KR32" i="6"/>
  <c r="RO47" i="6"/>
  <c r="QE105" i="6"/>
  <c r="AAY53" i="6"/>
  <c r="PM12" i="6"/>
  <c r="JH89" i="6"/>
  <c r="ACT104" i="6"/>
  <c r="ACT66" i="6"/>
  <c r="JZ45" i="6"/>
  <c r="LJ112" i="6"/>
  <c r="JZ43" i="6"/>
  <c r="AAY84" i="6"/>
  <c r="QE58" i="6"/>
  <c r="OC50" i="6"/>
  <c r="FD108" i="6"/>
  <c r="FF90" i="6"/>
  <c r="FB62" i="6"/>
  <c r="FE106" i="6"/>
  <c r="FF93" i="6"/>
  <c r="FB81" i="6"/>
  <c r="FC68" i="6"/>
  <c r="FD55" i="6"/>
  <c r="FE42" i="6"/>
  <c r="FD30" i="6"/>
  <c r="FF16" i="6"/>
  <c r="FB74" i="6"/>
  <c r="FE109" i="6"/>
  <c r="FF96" i="6"/>
  <c r="FB84" i="6"/>
  <c r="FC71" i="6"/>
  <c r="FD58" i="6"/>
  <c r="FE45" i="6"/>
  <c r="FF31" i="6"/>
  <c r="FE19" i="6"/>
  <c r="FD7" i="6"/>
  <c r="FC61" i="6"/>
  <c r="FC106" i="6"/>
  <c r="FD93" i="6"/>
  <c r="FE80" i="6"/>
  <c r="FF67" i="6"/>
  <c r="FB55" i="6"/>
  <c r="FC42" i="6"/>
  <c r="FB30" i="6"/>
  <c r="FD16" i="6"/>
  <c r="FE115" i="6"/>
  <c r="FC101" i="6"/>
  <c r="FF86" i="6"/>
  <c r="FB115" i="6"/>
  <c r="FC102" i="6"/>
  <c r="FD89" i="6"/>
  <c r="FE76" i="6"/>
  <c r="FF63" i="6"/>
  <c r="FB51" i="6"/>
  <c r="FD38" i="6"/>
  <c r="FF24" i="6"/>
  <c r="FE12" i="6"/>
  <c r="FC89" i="6"/>
  <c r="FF66" i="6"/>
  <c r="FE78" i="6"/>
  <c r="FD44" i="6"/>
  <c r="FB20" i="6"/>
  <c r="FE89" i="6"/>
  <c r="FB69" i="6"/>
  <c r="FD110" i="6"/>
  <c r="FE59" i="6"/>
  <c r="FD31" i="6"/>
  <c r="FB96" i="6"/>
  <c r="FE94" i="6"/>
  <c r="FD115" i="6"/>
  <c r="FC64" i="6"/>
  <c r="FD37" i="6"/>
  <c r="FB13" i="6"/>
  <c r="FF18" i="6"/>
  <c r="FD20" i="6"/>
  <c r="FC6" i="6"/>
  <c r="FC75" i="6"/>
  <c r="FB42" i="6"/>
  <c r="FE14" i="6"/>
  <c r="FC80" i="6"/>
  <c r="FB45" i="6"/>
  <c r="FE17" i="6"/>
  <c r="FD86" i="6"/>
  <c r="FB48" i="6"/>
  <c r="FC11" i="6"/>
  <c r="FA63" i="6"/>
  <c r="FA110" i="6"/>
  <c r="FA46" i="6"/>
  <c r="FA93" i="6"/>
  <c r="FA29" i="6"/>
  <c r="FA76" i="6"/>
  <c r="FA12" i="6"/>
  <c r="FA58" i="6"/>
  <c r="FA105" i="6"/>
  <c r="FA41" i="6"/>
  <c r="FA19" i="6"/>
  <c r="FA11" i="6"/>
  <c r="FA96" i="6"/>
  <c r="FA24" i="6"/>
  <c r="FF106" i="6"/>
  <c r="FE87" i="6"/>
  <c r="FF117" i="6"/>
  <c r="FB105" i="6"/>
  <c r="FC92" i="6"/>
  <c r="FD79" i="6"/>
  <c r="FE66" i="6"/>
  <c r="FF53" i="6"/>
  <c r="FC41" i="6"/>
  <c r="FB29" i="6"/>
  <c r="FC15" i="6"/>
  <c r="FE67" i="6"/>
  <c r="FB108" i="6"/>
  <c r="FC95" i="6"/>
  <c r="FD82" i="6"/>
  <c r="FE69" i="6"/>
  <c r="FF56" i="6"/>
  <c r="FB44" i="6"/>
  <c r="FC30" i="6"/>
  <c r="FB18" i="6"/>
  <c r="FB106" i="6"/>
  <c r="FD117" i="6"/>
  <c r="FE104" i="6"/>
  <c r="FF91" i="6"/>
  <c r="FB79" i="6"/>
  <c r="FC66" i="6"/>
  <c r="FD53" i="6"/>
  <c r="FF40" i="6"/>
  <c r="FE28" i="6"/>
  <c r="FF14" i="6"/>
  <c r="FB114" i="6"/>
  <c r="FE99" i="6"/>
  <c r="FE83" i="6"/>
  <c r="FD113" i="6"/>
  <c r="FE100" i="6"/>
  <c r="FF87" i="6"/>
  <c r="FB75" i="6"/>
  <c r="FC62" i="6"/>
  <c r="FD49" i="6"/>
  <c r="FB37" i="6"/>
  <c r="FC23" i="6"/>
  <c r="FB11" i="6"/>
  <c r="FB86" i="6"/>
  <c r="FE63" i="6"/>
  <c r="FC72" i="6"/>
  <c r="FD41" i="6"/>
  <c r="FB17" i="6"/>
  <c r="FD70" i="6"/>
  <c r="FD52" i="6"/>
  <c r="FB104" i="6"/>
  <c r="FD56" i="6"/>
  <c r="FD28" i="6"/>
  <c r="FF76" i="6"/>
  <c r="FD75" i="6"/>
  <c r="FB109" i="6"/>
  <c r="FD59" i="6"/>
  <c r="FC34" i="6"/>
  <c r="FF6" i="6"/>
  <c r="FF9" i="6"/>
  <c r="FB31" i="6"/>
  <c r="FD17" i="6"/>
  <c r="FF68" i="6"/>
  <c r="FB39" i="6"/>
  <c r="FE11" i="6"/>
  <c r="FF73" i="6"/>
  <c r="FF38" i="6"/>
  <c r="FD14" i="6"/>
  <c r="FB80" i="6"/>
  <c r="FF44" i="6"/>
  <c r="FC8" i="6"/>
  <c r="FA55" i="6"/>
  <c r="FA102" i="6"/>
  <c r="FA38" i="6"/>
  <c r="FA85" i="6"/>
  <c r="FA21" i="6"/>
  <c r="FA68" i="6"/>
  <c r="FA114" i="6"/>
  <c r="FA50" i="6"/>
  <c r="FA97" i="6"/>
  <c r="FA33" i="6"/>
  <c r="FA112" i="6"/>
  <c r="FA104" i="6"/>
  <c r="FA64" i="6"/>
  <c r="FA6" i="6"/>
  <c r="FC105" i="6"/>
  <c r="FF82" i="6"/>
  <c r="FC116" i="6"/>
  <c r="FD103" i="6"/>
  <c r="FE90" i="6"/>
  <c r="FF77" i="6"/>
  <c r="FB65" i="6"/>
  <c r="FC52" i="6"/>
  <c r="FE39" i="6"/>
  <c r="FD27" i="6"/>
  <c r="FF13" i="6"/>
  <c r="FF62" i="6"/>
  <c r="FD106" i="6"/>
  <c r="FE93" i="6"/>
  <c r="FF80" i="6"/>
  <c r="FB68" i="6"/>
  <c r="FC55" i="6"/>
  <c r="FD42" i="6"/>
  <c r="FF28" i="6"/>
  <c r="FE16" i="6"/>
  <c r="FC85" i="6"/>
  <c r="FF115" i="6"/>
  <c r="FB103" i="6"/>
  <c r="FC90" i="6"/>
  <c r="FD77" i="6"/>
  <c r="FE64" i="6"/>
  <c r="FF51" i="6"/>
  <c r="FC39" i="6"/>
  <c r="FB27" i="6"/>
  <c r="FD13" i="6"/>
  <c r="FD112" i="6"/>
  <c r="FD96" i="6"/>
  <c r="FB82" i="6"/>
  <c r="FF111" i="6"/>
  <c r="FB99" i="6"/>
  <c r="FC86" i="6"/>
  <c r="FD73" i="6"/>
  <c r="FE60" i="6"/>
  <c r="FF47" i="6"/>
  <c r="FD35" i="6"/>
  <c r="FF21" i="6"/>
  <c r="FE9" i="6"/>
  <c r="FD84" i="6"/>
  <c r="FB117" i="6"/>
  <c r="FF65" i="6"/>
  <c r="FC38" i="6"/>
  <c r="FF10" i="6"/>
  <c r="FC59" i="6"/>
  <c r="FF39" i="6"/>
  <c r="FE97" i="6"/>
  <c r="FC53" i="6"/>
  <c r="FD25" i="6"/>
  <c r="FB56" i="6"/>
  <c r="FE55" i="6"/>
  <c r="FE102" i="6"/>
  <c r="FC56" i="6"/>
  <c r="FC31" i="6"/>
  <c r="FF108" i="6"/>
  <c r="FD107" i="6"/>
  <c r="FB101" i="6"/>
  <c r="FE113" i="6"/>
  <c r="FD62" i="6"/>
  <c r="FB36" i="6"/>
  <c r="FE8" i="6"/>
  <c r="FD67" i="6"/>
  <c r="FF35" i="6"/>
  <c r="FD11" i="6"/>
  <c r="FE73" i="6"/>
  <c r="FF41" i="6"/>
  <c r="FA111" i="6"/>
  <c r="FA47" i="6"/>
  <c r="FA94" i="6"/>
  <c r="FA30" i="6"/>
  <c r="FA77" i="6"/>
  <c r="FA13" i="6"/>
  <c r="FA60" i="6"/>
  <c r="FA106" i="6"/>
  <c r="FA42" i="6"/>
  <c r="FA89" i="6"/>
  <c r="FA25" i="6"/>
  <c r="FA80" i="6"/>
  <c r="FA72" i="6"/>
  <c r="FA32" i="6"/>
  <c r="FB6" i="6"/>
  <c r="FD116" i="6"/>
  <c r="FE103" i="6"/>
  <c r="FE79" i="6"/>
  <c r="FE114" i="6"/>
  <c r="FF101" i="6"/>
  <c r="FB89" i="6"/>
  <c r="FC76" i="6"/>
  <c r="FD63" i="6"/>
  <c r="FE50" i="6"/>
  <c r="FB38" i="6"/>
  <c r="FD24" i="6"/>
  <c r="FC12" i="6"/>
  <c r="FE117" i="6"/>
  <c r="FF104" i="6"/>
  <c r="FB92" i="6"/>
  <c r="FC79" i="6"/>
  <c r="FD66" i="6"/>
  <c r="FE53" i="6"/>
  <c r="FB41" i="6"/>
  <c r="FC27" i="6"/>
  <c r="FB15" i="6"/>
  <c r="FD80" i="6"/>
  <c r="FC114" i="6"/>
  <c r="FD101" i="6"/>
  <c r="FE88" i="6"/>
  <c r="FF75" i="6"/>
  <c r="FB63" i="6"/>
  <c r="FC50" i="6"/>
  <c r="FF37" i="6"/>
  <c r="FE25" i="6"/>
  <c r="FF11" i="6"/>
  <c r="FF110" i="6"/>
  <c r="FF94" i="6"/>
  <c r="FF78" i="6"/>
  <c r="FC110" i="6"/>
  <c r="FD97" i="6"/>
  <c r="FE84" i="6"/>
  <c r="FF71" i="6"/>
  <c r="FB59" i="6"/>
  <c r="FC46" i="6"/>
  <c r="FD32" i="6"/>
  <c r="FC20" i="6"/>
  <c r="FB8" i="6"/>
  <c r="FC81" i="6"/>
  <c r="FE110" i="6"/>
  <c r="FD60" i="6"/>
  <c r="FC35" i="6"/>
  <c r="FF7" i="6"/>
  <c r="FF52" i="6"/>
  <c r="FE30" i="6"/>
  <c r="FC91" i="6"/>
  <c r="FB50" i="6"/>
  <c r="FC22" i="6"/>
  <c r="FD46" i="6"/>
  <c r="FB46" i="6"/>
  <c r="FC96" i="6"/>
  <c r="FB53" i="6"/>
  <c r="FC28" i="6"/>
  <c r="FC83" i="6"/>
  <c r="FC88" i="6"/>
  <c r="FF81" i="6"/>
  <c r="FC107" i="6"/>
  <c r="FB58" i="6"/>
  <c r="FB33" i="6"/>
  <c r="FC112" i="6"/>
  <c r="FB61" i="6"/>
  <c r="FF32" i="6"/>
  <c r="FD8" i="6"/>
  <c r="FC67" i="6"/>
  <c r="FE38" i="6"/>
  <c r="FA103" i="6"/>
  <c r="FA39" i="6"/>
  <c r="FA86" i="6"/>
  <c r="FA22" i="6"/>
  <c r="FA69" i="6"/>
  <c r="FA116" i="6"/>
  <c r="FA52" i="6"/>
  <c r="FA98" i="6"/>
  <c r="FA34" i="6"/>
  <c r="FA81" i="6"/>
  <c r="FA17" i="6"/>
  <c r="FA48" i="6"/>
  <c r="FA40" i="6"/>
  <c r="FA91" i="6"/>
  <c r="FF114" i="6"/>
  <c r="FD100" i="6"/>
  <c r="FD76" i="6"/>
  <c r="FB113" i="6"/>
  <c r="FC100" i="6"/>
  <c r="FD87" i="6"/>
  <c r="FE74" i="6"/>
  <c r="FF61" i="6"/>
  <c r="FB49" i="6"/>
  <c r="FE36" i="6"/>
  <c r="FF22" i="6"/>
  <c r="FE10" i="6"/>
  <c r="FB116" i="6"/>
  <c r="FC103" i="6"/>
  <c r="FD90" i="6"/>
  <c r="FE77" i="6"/>
  <c r="FF64" i="6"/>
  <c r="FB52" i="6"/>
  <c r="FD39" i="6"/>
  <c r="FF25" i="6"/>
  <c r="FE13" i="6"/>
  <c r="FC77" i="6"/>
  <c r="FE112" i="6"/>
  <c r="FF99" i="6"/>
  <c r="FB87" i="6"/>
  <c r="FC74" i="6"/>
  <c r="FD61" i="6"/>
  <c r="FE48" i="6"/>
  <c r="FC36" i="6"/>
  <c r="FB24" i="6"/>
  <c r="FC10" i="6"/>
  <c r="FC109" i="6"/>
  <c r="FC93" i="6"/>
  <c r="FE75" i="6"/>
  <c r="FE108" i="6"/>
  <c r="FF95" i="6"/>
  <c r="FB83" i="6"/>
  <c r="FC70" i="6"/>
  <c r="FD57" i="6"/>
  <c r="FE44" i="6"/>
  <c r="FF30" i="6"/>
  <c r="FE18" i="6"/>
  <c r="FD6" i="6"/>
  <c r="FB78" i="6"/>
  <c r="FC104" i="6"/>
  <c r="FC57" i="6"/>
  <c r="FC32" i="6"/>
  <c r="FE37" i="6"/>
  <c r="FC43" i="6"/>
  <c r="FE21" i="6"/>
  <c r="FF84" i="6"/>
  <c r="FF46" i="6"/>
  <c r="FC19" i="6"/>
  <c r="FC37" i="6"/>
  <c r="FF36" i="6"/>
  <c r="FF89" i="6"/>
  <c r="FF49" i="6"/>
  <c r="FC25" i="6"/>
  <c r="FB64" i="6"/>
  <c r="FF58" i="6"/>
  <c r="FE62" i="6"/>
  <c r="FF100" i="6"/>
  <c r="FF54" i="6"/>
  <c r="FF26" i="6"/>
  <c r="FF105" i="6"/>
  <c r="FF57" i="6"/>
  <c r="FF29" i="6"/>
  <c r="FB112" i="6"/>
  <c r="FF60" i="6"/>
  <c r="FE35" i="6"/>
  <c r="FA95" i="6"/>
  <c r="FA31" i="6"/>
  <c r="FA78" i="6"/>
  <c r="FA14" i="6"/>
  <c r="FA61" i="6"/>
  <c r="FA108" i="6"/>
  <c r="FA44" i="6"/>
  <c r="FA90" i="6"/>
  <c r="FA26" i="6"/>
  <c r="FA73" i="6"/>
  <c r="FA9" i="6"/>
  <c r="FA16" i="6"/>
  <c r="FA8" i="6"/>
  <c r="FA88" i="6"/>
  <c r="FC113" i="6"/>
  <c r="FF98" i="6"/>
  <c r="FC73" i="6"/>
  <c r="FD111" i="6"/>
  <c r="FE98" i="6"/>
  <c r="FF85" i="6"/>
  <c r="FB73" i="6"/>
  <c r="FC60" i="6"/>
  <c r="FD47" i="6"/>
  <c r="FB35" i="6"/>
  <c r="FD21" i="6"/>
  <c r="FC9" i="6"/>
  <c r="FD114" i="6"/>
  <c r="FE101" i="6"/>
  <c r="FF88" i="6"/>
  <c r="FB76" i="6"/>
  <c r="FC63" i="6"/>
  <c r="FD50" i="6"/>
  <c r="FD36" i="6"/>
  <c r="FC24" i="6"/>
  <c r="FB12" i="6"/>
  <c r="FD72" i="6"/>
  <c r="FB111" i="6"/>
  <c r="FC98" i="6"/>
  <c r="FD85" i="6"/>
  <c r="FE72" i="6"/>
  <c r="FF59" i="6"/>
  <c r="FB47" i="6"/>
  <c r="FE34" i="6"/>
  <c r="FD22" i="6"/>
  <c r="FF8" i="6"/>
  <c r="FE107" i="6"/>
  <c r="FE91" i="6"/>
  <c r="FF70" i="6"/>
  <c r="FB107" i="6"/>
  <c r="FC94" i="6"/>
  <c r="FD81" i="6"/>
  <c r="FE68" i="6"/>
  <c r="FF55" i="6"/>
  <c r="FB43" i="6"/>
  <c r="FD29" i="6"/>
  <c r="FC17" i="6"/>
  <c r="FB102" i="6"/>
  <c r="FF74" i="6"/>
  <c r="FF97" i="6"/>
  <c r="FB54" i="6"/>
  <c r="FC29" i="6"/>
  <c r="FC13" i="6"/>
  <c r="FB34" i="6"/>
  <c r="FD9" i="6"/>
  <c r="FD78" i="6"/>
  <c r="FE43" i="6"/>
  <c r="FC16" i="6"/>
  <c r="FB25" i="6"/>
  <c r="FE24" i="6"/>
  <c r="FD83" i="6"/>
  <c r="FE46" i="6"/>
  <c r="FB22" i="6"/>
  <c r="FE49" i="6"/>
  <c r="FF42" i="6"/>
  <c r="FC49" i="6"/>
  <c r="FD94" i="6"/>
  <c r="FE51" i="6"/>
  <c r="FF23" i="6"/>
  <c r="FD99" i="6"/>
  <c r="FE54" i="6"/>
  <c r="FE26" i="6"/>
  <c r="FE105" i="6"/>
  <c r="FE57" i="6"/>
  <c r="FE32" i="6"/>
  <c r="FA87" i="6"/>
  <c r="FA23" i="6"/>
  <c r="FA70" i="6"/>
  <c r="FA117" i="6"/>
  <c r="FA53" i="6"/>
  <c r="FA100" i="6"/>
  <c r="FA36" i="6"/>
  <c r="FA82" i="6"/>
  <c r="FA18" i="6"/>
  <c r="FA65" i="6"/>
  <c r="FA115" i="6"/>
  <c r="FA107" i="6"/>
  <c r="FA99" i="6"/>
  <c r="FA59" i="6"/>
  <c r="FE111" i="6"/>
  <c r="FC97" i="6"/>
  <c r="FB70" i="6"/>
  <c r="FF109" i="6"/>
  <c r="FB97" i="6"/>
  <c r="FC84" i="6"/>
  <c r="FD71" i="6"/>
  <c r="FE58" i="6"/>
  <c r="FF45" i="6"/>
  <c r="FE33" i="6"/>
  <c r="FF19" i="6"/>
  <c r="FE7" i="6"/>
  <c r="FF112" i="6"/>
  <c r="FB100" i="6"/>
  <c r="FC87" i="6"/>
  <c r="FD74" i="6"/>
  <c r="FE61" i="6"/>
  <c r="FF48" i="6"/>
  <c r="FF34" i="6"/>
  <c r="FE22" i="6"/>
  <c r="FD10" i="6"/>
  <c r="FC69" i="6"/>
  <c r="FD109" i="6"/>
  <c r="FE96" i="6"/>
  <c r="FF83" i="6"/>
  <c r="FB71" i="6"/>
  <c r="FC58" i="6"/>
  <c r="FD45" i="6"/>
  <c r="FC33" i="6"/>
  <c r="FB21" i="6"/>
  <c r="FC7" i="6"/>
  <c r="FD104" i="6"/>
  <c r="FB90" i="6"/>
  <c r="FB66" i="6"/>
  <c r="FD105" i="6"/>
  <c r="FE92" i="6"/>
  <c r="FF79" i="6"/>
  <c r="FB67" i="6"/>
  <c r="FC54" i="6"/>
  <c r="FE41" i="6"/>
  <c r="FF27" i="6"/>
  <c r="FE15" i="6"/>
  <c r="FE95" i="6"/>
  <c r="FE71" i="6"/>
  <c r="FD91" i="6"/>
  <c r="FF50" i="6"/>
  <c r="FB26" i="6"/>
  <c r="FB7" i="6"/>
  <c r="FF15" i="6"/>
  <c r="FC14" i="6"/>
  <c r="FB72" i="6"/>
  <c r="FE40" i="6"/>
  <c r="FB10" i="6"/>
  <c r="FF12" i="6"/>
  <c r="FD12" i="6"/>
  <c r="FB77" i="6"/>
  <c r="FD43" i="6"/>
  <c r="FB19" i="6"/>
  <c r="FC40" i="6"/>
  <c r="FE27" i="6"/>
  <c r="FF33" i="6"/>
  <c r="FB88" i="6"/>
  <c r="FD48" i="6"/>
  <c r="FF20" i="6"/>
  <c r="FB93" i="6"/>
  <c r="FD51" i="6"/>
  <c r="FE23" i="6"/>
  <c r="FC99" i="6"/>
  <c r="FD54" i="6"/>
  <c r="FE29" i="6"/>
  <c r="FA79" i="6"/>
  <c r="FA15" i="6"/>
  <c r="FA62" i="6"/>
  <c r="FA109" i="6"/>
  <c r="FA45" i="6"/>
  <c r="FA92" i="6"/>
  <c r="FA28" i="6"/>
  <c r="FA74" i="6"/>
  <c r="FA10" i="6"/>
  <c r="FA57" i="6"/>
  <c r="FA83" i="6"/>
  <c r="FA75" i="6"/>
  <c r="FA67" i="6"/>
  <c r="FA56" i="6"/>
  <c r="FC65" i="6"/>
  <c r="FC18" i="6"/>
  <c r="FD33" i="6"/>
  <c r="FE56" i="6"/>
  <c r="FF103" i="6"/>
  <c r="FD92" i="6"/>
  <c r="FE65" i="6"/>
  <c r="FB28" i="6"/>
  <c r="FE20" i="6"/>
  <c r="FA37" i="6"/>
  <c r="FA35" i="6"/>
  <c r="FB98" i="6"/>
  <c r="FC21" i="6"/>
  <c r="FB91" i="6"/>
  <c r="FD34" i="6"/>
  <c r="FF92" i="6"/>
  <c r="FA27" i="6"/>
  <c r="FC108" i="6"/>
  <c r="FF43" i="6"/>
  <c r="FD68" i="6"/>
  <c r="FD15" i="6"/>
  <c r="FA84" i="6"/>
  <c r="FD95" i="6"/>
  <c r="FC111" i="6"/>
  <c r="FB9" i="6"/>
  <c r="FE31" i="6"/>
  <c r="FC78" i="6"/>
  <c r="FB85" i="6"/>
  <c r="FC115" i="6"/>
  <c r="FD18" i="6"/>
  <c r="FC51" i="6"/>
  <c r="FA20" i="6"/>
  <c r="FF113" i="6"/>
  <c r="FC47" i="6"/>
  <c r="FF116" i="6"/>
  <c r="FE82" i="6"/>
  <c r="FD98" i="6"/>
  <c r="FD64" i="6"/>
  <c r="FD19" i="6"/>
  <c r="FD65" i="6"/>
  <c r="FE47" i="6"/>
  <c r="FE6" i="6"/>
  <c r="FE81" i="6"/>
  <c r="FD26" i="6"/>
  <c r="FA66" i="6"/>
  <c r="FB110" i="6"/>
  <c r="FC82" i="6"/>
  <c r="FD40" i="6"/>
  <c r="FA51" i="6"/>
  <c r="FB94" i="6"/>
  <c r="FB14" i="6"/>
  <c r="FA101" i="6"/>
  <c r="FF69" i="6"/>
  <c r="FE85" i="6"/>
  <c r="FF107" i="6"/>
  <c r="FC117" i="6"/>
  <c r="FE52" i="6"/>
  <c r="FB23" i="6"/>
  <c r="FD23" i="6"/>
  <c r="FC45" i="6"/>
  <c r="FA71" i="6"/>
  <c r="FA113" i="6"/>
  <c r="FB60" i="6"/>
  <c r="FC26" i="6"/>
  <c r="FA54" i="6"/>
  <c r="FE116" i="6"/>
  <c r="FA43" i="6"/>
  <c r="FB57" i="6"/>
  <c r="FF72" i="6"/>
  <c r="FB95" i="6"/>
  <c r="FF102" i="6"/>
  <c r="FB40" i="6"/>
  <c r="FD102" i="6"/>
  <c r="FE70" i="6"/>
  <c r="FF17" i="6"/>
  <c r="FA7" i="6"/>
  <c r="FA49" i="6"/>
  <c r="FC44" i="6"/>
  <c r="FD88" i="6"/>
  <c r="FE86" i="6"/>
  <c r="FD69" i="6"/>
  <c r="FC48" i="6"/>
  <c r="FB32" i="6"/>
  <c r="FB16" i="6"/>
  <c r="HX64" i="6"/>
  <c r="SY43" i="6"/>
  <c r="JZ7" i="6"/>
  <c r="RO13" i="6"/>
  <c r="SG51" i="6"/>
  <c r="TQ24" i="6"/>
  <c r="KR78" i="6"/>
  <c r="AAY23" i="6"/>
  <c r="KR69" i="6"/>
  <c r="PM98" i="6"/>
  <c r="OU88" i="6"/>
  <c r="JH30" i="6"/>
  <c r="ACT57" i="6"/>
  <c r="ACT117" i="6"/>
  <c r="OU12" i="6"/>
  <c r="OC68" i="6"/>
  <c r="YV86" i="6"/>
  <c r="WP114" i="6"/>
  <c r="WP82" i="6"/>
  <c r="WP50" i="6"/>
  <c r="WP18" i="6"/>
  <c r="WO79" i="6"/>
  <c r="WO15" i="6"/>
  <c r="WO26" i="6"/>
  <c r="WQ89" i="6"/>
  <c r="WQ57" i="6"/>
  <c r="WQ25" i="6"/>
  <c r="WO86" i="6"/>
  <c r="WO22" i="6"/>
  <c r="WP117" i="6"/>
  <c r="WP85" i="6"/>
  <c r="WP53" i="6"/>
  <c r="WP21" i="6"/>
  <c r="WO85" i="6"/>
  <c r="WO21" i="6"/>
  <c r="WO75" i="6"/>
  <c r="WO42" i="6"/>
  <c r="WQ88" i="6"/>
  <c r="WQ56" i="6"/>
  <c r="WQ24" i="6"/>
  <c r="WO92" i="6"/>
  <c r="WO28" i="6"/>
  <c r="WO35" i="6"/>
  <c r="WO10" i="6"/>
  <c r="WP88" i="6"/>
  <c r="WP48" i="6"/>
  <c r="WO59" i="6"/>
  <c r="WO34" i="6"/>
  <c r="WP87" i="6"/>
  <c r="WP55" i="6"/>
  <c r="WP23" i="6"/>
  <c r="WO89" i="6"/>
  <c r="WO25" i="6"/>
  <c r="WQ114" i="6"/>
  <c r="WQ82" i="6"/>
  <c r="WQ50" i="6"/>
  <c r="WQ18" i="6"/>
  <c r="WO80" i="6"/>
  <c r="WO16" i="6"/>
  <c r="WP110" i="6"/>
  <c r="WP78" i="6"/>
  <c r="WP46" i="6"/>
  <c r="WP14" i="6"/>
  <c r="WO71" i="6"/>
  <c r="WO7" i="6"/>
  <c r="WQ117" i="6"/>
  <c r="WQ85" i="6"/>
  <c r="WQ53" i="6"/>
  <c r="WQ21" i="6"/>
  <c r="WO78" i="6"/>
  <c r="WO14" i="6"/>
  <c r="WP113" i="6"/>
  <c r="WP81" i="6"/>
  <c r="WP49" i="6"/>
  <c r="WP17" i="6"/>
  <c r="WO77" i="6"/>
  <c r="WO13" i="6"/>
  <c r="WO51" i="6"/>
  <c r="WQ116" i="6"/>
  <c r="WQ84" i="6"/>
  <c r="WQ52" i="6"/>
  <c r="WQ20" i="6"/>
  <c r="WO84" i="6"/>
  <c r="WO20" i="6"/>
  <c r="WO11" i="6"/>
  <c r="WP116" i="6"/>
  <c r="WP84" i="6"/>
  <c r="WP44" i="6"/>
  <c r="WO43" i="6"/>
  <c r="WP115" i="6"/>
  <c r="WP83" i="6"/>
  <c r="WP51" i="6"/>
  <c r="WP19" i="6"/>
  <c r="WO81" i="6"/>
  <c r="WO17" i="6"/>
  <c r="WQ110" i="6"/>
  <c r="WQ78" i="6"/>
  <c r="WQ46" i="6"/>
  <c r="WQ14" i="6"/>
  <c r="WO72" i="6"/>
  <c r="WO8" i="6"/>
  <c r="WP106" i="6"/>
  <c r="WP74" i="6"/>
  <c r="WP42" i="6"/>
  <c r="WP10" i="6"/>
  <c r="WO63" i="6"/>
  <c r="WQ111" i="6"/>
  <c r="WQ113" i="6"/>
  <c r="WQ81" i="6"/>
  <c r="WQ49" i="6"/>
  <c r="WQ17" i="6"/>
  <c r="WO70" i="6"/>
  <c r="WQ115" i="6"/>
  <c r="WP109" i="6"/>
  <c r="WP77" i="6"/>
  <c r="WP45" i="6"/>
  <c r="WP13" i="6"/>
  <c r="WO69" i="6"/>
  <c r="WP56" i="6"/>
  <c r="WR56" i="6" s="1"/>
  <c r="WO27" i="6"/>
  <c r="WQ112" i="6"/>
  <c r="WQ80" i="6"/>
  <c r="WQ48" i="6"/>
  <c r="WQ16" i="6"/>
  <c r="WO76" i="6"/>
  <c r="WO12" i="6"/>
  <c r="WQ107" i="6"/>
  <c r="WP112" i="6"/>
  <c r="WP80" i="6"/>
  <c r="WP40" i="6"/>
  <c r="WO19" i="6"/>
  <c r="WP111" i="6"/>
  <c r="WP79" i="6"/>
  <c r="WP47" i="6"/>
  <c r="WP15" i="6"/>
  <c r="WO73" i="6"/>
  <c r="WO9" i="6"/>
  <c r="WQ106" i="6"/>
  <c r="WQ74" i="6"/>
  <c r="WQ42" i="6"/>
  <c r="WQ10" i="6"/>
  <c r="WO64" i="6"/>
  <c r="WQ99" i="6"/>
  <c r="WP102" i="6"/>
  <c r="WP70" i="6"/>
  <c r="WP38" i="6"/>
  <c r="WP6" i="6"/>
  <c r="WO55" i="6"/>
  <c r="WQ83" i="6"/>
  <c r="WQ109" i="6"/>
  <c r="WQ77" i="6"/>
  <c r="WQ45" i="6"/>
  <c r="WQ13" i="6"/>
  <c r="WO62" i="6"/>
  <c r="WQ75" i="6"/>
  <c r="WP105" i="6"/>
  <c r="WP73" i="6"/>
  <c r="WP41" i="6"/>
  <c r="WP9" i="6"/>
  <c r="WO61" i="6"/>
  <c r="WP36" i="6"/>
  <c r="WQ91" i="6"/>
  <c r="WQ108" i="6"/>
  <c r="WQ76" i="6"/>
  <c r="WQ44" i="6"/>
  <c r="WQ12" i="6"/>
  <c r="WO68" i="6"/>
  <c r="WP64" i="6"/>
  <c r="WQ87" i="6"/>
  <c r="WP108" i="6"/>
  <c r="WP76" i="6"/>
  <c r="WP32" i="6"/>
  <c r="WQ103" i="6"/>
  <c r="WP107" i="6"/>
  <c r="WP75" i="6"/>
  <c r="WP43" i="6"/>
  <c r="WP11" i="6"/>
  <c r="WO65" i="6"/>
  <c r="WQ95" i="6"/>
  <c r="WQ102" i="6"/>
  <c r="WQ70" i="6"/>
  <c r="WQ38" i="6"/>
  <c r="WQ6" i="6"/>
  <c r="WO56" i="6"/>
  <c r="WQ71" i="6"/>
  <c r="WP98" i="6"/>
  <c r="WP66" i="6"/>
  <c r="WP34" i="6"/>
  <c r="WO111" i="6"/>
  <c r="WO47" i="6"/>
  <c r="WQ55" i="6"/>
  <c r="WQ105" i="6"/>
  <c r="WQ73" i="6"/>
  <c r="WQ41" i="6"/>
  <c r="WQ9" i="6"/>
  <c r="WO54" i="6"/>
  <c r="WQ39" i="6"/>
  <c r="WP101" i="6"/>
  <c r="WP69" i="6"/>
  <c r="WP37" i="6"/>
  <c r="WO117" i="6"/>
  <c r="WO53" i="6"/>
  <c r="WP28" i="6"/>
  <c r="WQ63" i="6"/>
  <c r="WQ104" i="6"/>
  <c r="WQ72" i="6"/>
  <c r="WQ40" i="6"/>
  <c r="WQ8" i="6"/>
  <c r="WO60" i="6"/>
  <c r="WP16" i="6"/>
  <c r="WQ59" i="6"/>
  <c r="WP104" i="6"/>
  <c r="WP72" i="6"/>
  <c r="WP24" i="6"/>
  <c r="WQ79" i="6"/>
  <c r="WP103" i="6"/>
  <c r="WP71" i="6"/>
  <c r="WR71" i="6" s="1"/>
  <c r="WP39" i="6"/>
  <c r="WP7" i="6"/>
  <c r="WO57" i="6"/>
  <c r="WQ67" i="6"/>
  <c r="WQ98" i="6"/>
  <c r="WQ66" i="6"/>
  <c r="WQ34" i="6"/>
  <c r="WO112" i="6"/>
  <c r="WO48" i="6"/>
  <c r="WQ43" i="6"/>
  <c r="WP94" i="6"/>
  <c r="WP62" i="6"/>
  <c r="WP30" i="6"/>
  <c r="WO103" i="6"/>
  <c r="WO39" i="6"/>
  <c r="WQ27" i="6"/>
  <c r="WQ101" i="6"/>
  <c r="WQ69" i="6"/>
  <c r="WQ37" i="6"/>
  <c r="WO110" i="6"/>
  <c r="WO46" i="6"/>
  <c r="WQ7" i="6"/>
  <c r="WP97" i="6"/>
  <c r="WP65" i="6"/>
  <c r="WP33" i="6"/>
  <c r="WO109" i="6"/>
  <c r="WO45" i="6"/>
  <c r="WP20" i="6"/>
  <c r="WQ47" i="6"/>
  <c r="WQ100" i="6"/>
  <c r="WQ68" i="6"/>
  <c r="WQ36" i="6"/>
  <c r="WO116" i="6"/>
  <c r="WO52" i="6"/>
  <c r="WO115" i="6"/>
  <c r="WQ31" i="6"/>
  <c r="WP100" i="6"/>
  <c r="WP68" i="6"/>
  <c r="WP12" i="6"/>
  <c r="WQ51" i="6"/>
  <c r="WP99" i="6"/>
  <c r="WP67" i="6"/>
  <c r="WP35" i="6"/>
  <c r="WO113" i="6"/>
  <c r="WO49" i="6"/>
  <c r="WQ35" i="6"/>
  <c r="WQ94" i="6"/>
  <c r="WQ62" i="6"/>
  <c r="WQ30" i="6"/>
  <c r="WO104" i="6"/>
  <c r="WO40" i="6"/>
  <c r="WQ15" i="6"/>
  <c r="WP90" i="6"/>
  <c r="WP58" i="6"/>
  <c r="WP26" i="6"/>
  <c r="WO95" i="6"/>
  <c r="WO31" i="6"/>
  <c r="WO106" i="6"/>
  <c r="WQ97" i="6"/>
  <c r="WQ65" i="6"/>
  <c r="WQ33" i="6"/>
  <c r="WO102" i="6"/>
  <c r="WO38" i="6"/>
  <c r="WO74" i="6"/>
  <c r="WP93" i="6"/>
  <c r="WP61" i="6"/>
  <c r="WP29" i="6"/>
  <c r="WO101" i="6"/>
  <c r="WO37" i="6"/>
  <c r="WP8" i="6"/>
  <c r="WQ19" i="6"/>
  <c r="WQ96" i="6"/>
  <c r="WQ64" i="6"/>
  <c r="WQ32" i="6"/>
  <c r="WO108" i="6"/>
  <c r="WO44" i="6"/>
  <c r="WO91" i="6"/>
  <c r="WO114" i="6"/>
  <c r="WP96" i="6"/>
  <c r="WP60" i="6"/>
  <c r="WO107" i="6"/>
  <c r="WQ23" i="6"/>
  <c r="WP95" i="6"/>
  <c r="WP63" i="6"/>
  <c r="WP31" i="6"/>
  <c r="WO105" i="6"/>
  <c r="WO41" i="6"/>
  <c r="WQ11" i="6"/>
  <c r="WQ90" i="6"/>
  <c r="WQ58" i="6"/>
  <c r="WQ26" i="6"/>
  <c r="WO96" i="6"/>
  <c r="WO32" i="6"/>
  <c r="WO50" i="6"/>
  <c r="WO6" i="6"/>
  <c r="WP86" i="6"/>
  <c r="WP54" i="6"/>
  <c r="WP22" i="6"/>
  <c r="WO87" i="6"/>
  <c r="WO23" i="6"/>
  <c r="WO82" i="6"/>
  <c r="WQ93" i="6"/>
  <c r="WQ61" i="6"/>
  <c r="WQ29" i="6"/>
  <c r="WO94" i="6"/>
  <c r="WO30" i="6"/>
  <c r="WO18" i="6"/>
  <c r="WP89" i="6"/>
  <c r="WP57" i="6"/>
  <c r="WP25" i="6"/>
  <c r="WO93" i="6"/>
  <c r="WO29" i="6"/>
  <c r="WO99" i="6"/>
  <c r="WO98" i="6"/>
  <c r="WQ92" i="6"/>
  <c r="WQ60" i="6"/>
  <c r="WQ28" i="6"/>
  <c r="WO100" i="6"/>
  <c r="WO36" i="6"/>
  <c r="WO67" i="6"/>
  <c r="WO66" i="6"/>
  <c r="WP92" i="6"/>
  <c r="WP52" i="6"/>
  <c r="WO83" i="6"/>
  <c r="WO90" i="6"/>
  <c r="WP91" i="6"/>
  <c r="WP59" i="6"/>
  <c r="WP27" i="6"/>
  <c r="WR27" i="6" s="1"/>
  <c r="WO97" i="6"/>
  <c r="WO33" i="6"/>
  <c r="WO58" i="6"/>
  <c r="WQ86" i="6"/>
  <c r="WQ54" i="6"/>
  <c r="WQ22" i="6"/>
  <c r="WO88" i="6"/>
  <c r="WO24" i="6"/>
  <c r="ACT18" i="6"/>
  <c r="RO43" i="6"/>
  <c r="SY110" i="6"/>
  <c r="MB103" i="6"/>
  <c r="HX35" i="6"/>
  <c r="RO76" i="6"/>
  <c r="RO24" i="6"/>
  <c r="TQ7" i="6"/>
  <c r="KR86" i="6"/>
  <c r="OU82" i="6"/>
  <c r="OU26" i="6"/>
  <c r="MB69" i="6"/>
  <c r="YV72" i="6"/>
  <c r="JH99" i="6"/>
  <c r="AAY80" i="6"/>
  <c r="IP56" i="6"/>
  <c r="OC93" i="6"/>
  <c r="YV112" i="6"/>
  <c r="LJ48" i="6"/>
  <c r="JZ99" i="6"/>
  <c r="SY113" i="6"/>
  <c r="ACT42" i="6"/>
  <c r="AAY52" i="6"/>
  <c r="HX30" i="6"/>
  <c r="AAY74" i="6"/>
  <c r="JZ18" i="6"/>
  <c r="QE112" i="6"/>
  <c r="RO77" i="6"/>
  <c r="JH59" i="6"/>
  <c r="SG8" i="6"/>
  <c r="LJ85" i="6"/>
  <c r="JH33" i="6"/>
  <c r="QE66" i="6"/>
  <c r="PM6" i="6"/>
  <c r="YV38" i="6"/>
  <c r="RO58" i="6"/>
  <c r="MB75" i="6"/>
  <c r="OC11" i="6"/>
  <c r="QE87" i="6"/>
  <c r="HX72" i="6"/>
  <c r="RO67" i="6"/>
  <c r="PM85" i="6"/>
  <c r="QW7" i="6"/>
  <c r="YV18" i="6"/>
  <c r="HX19" i="6"/>
  <c r="ACT103" i="6"/>
  <c r="MB104" i="6"/>
  <c r="IP43" i="6"/>
  <c r="IP16" i="6"/>
  <c r="KR62" i="6"/>
  <c r="YV30" i="6"/>
  <c r="SG105" i="6"/>
  <c r="PM100" i="6"/>
  <c r="TQ49" i="6"/>
  <c r="SG16" i="6"/>
  <c r="MB72" i="6"/>
  <c r="TQ96" i="6"/>
  <c r="PM66" i="6"/>
  <c r="SG49" i="6"/>
  <c r="TQ34" i="6"/>
  <c r="TQ116" i="6"/>
  <c r="JZ100" i="6"/>
  <c r="OC49" i="6"/>
  <c r="JZ16" i="6"/>
  <c r="JH37" i="6"/>
  <c r="QW58" i="6"/>
  <c r="KR47" i="6"/>
  <c r="OU83" i="6"/>
  <c r="HX68" i="6"/>
  <c r="ACT92" i="6"/>
  <c r="MB66" i="6"/>
  <c r="MB9" i="6"/>
  <c r="SG94" i="6"/>
  <c r="MB84" i="6"/>
  <c r="JH57" i="6"/>
  <c r="RO20" i="6"/>
  <c r="IP9" i="6"/>
  <c r="SG28" i="6"/>
  <c r="AB79" i="6"/>
  <c r="KR90" i="6"/>
  <c r="OC82" i="6"/>
  <c r="MB47" i="6"/>
  <c r="YV101" i="6"/>
  <c r="PM104" i="6"/>
  <c r="OU67" i="6"/>
  <c r="AB104" i="6"/>
  <c r="RO74" i="6"/>
  <c r="IP41" i="6"/>
  <c r="JH104" i="6"/>
  <c r="SY48" i="6"/>
  <c r="MB15" i="6"/>
  <c r="YV71" i="6"/>
  <c r="ACT80" i="6"/>
  <c r="RO18" i="6"/>
  <c r="RO79" i="6"/>
  <c r="RO27" i="6"/>
  <c r="RO109" i="6"/>
  <c r="OC99" i="6"/>
  <c r="JH19" i="6"/>
  <c r="QE57" i="6"/>
  <c r="QW95" i="6"/>
  <c r="OU42" i="6"/>
  <c r="QW109" i="6"/>
  <c r="JZ102" i="6"/>
  <c r="YV115" i="6"/>
  <c r="OC73" i="6"/>
  <c r="AB58" i="6"/>
  <c r="SY38" i="6"/>
  <c r="TQ8" i="6"/>
  <c r="OC109" i="6"/>
  <c r="TQ83" i="6"/>
  <c r="PM71" i="6"/>
  <c r="QW56" i="6"/>
  <c r="AB19" i="6"/>
  <c r="MB36" i="6"/>
  <c r="OC6" i="6"/>
  <c r="LJ16" i="6"/>
  <c r="RO101" i="6"/>
  <c r="PM89" i="6"/>
  <c r="AAY7" i="6"/>
  <c r="AAY60" i="6"/>
  <c r="QE15" i="6"/>
  <c r="JH73" i="6"/>
  <c r="QE13" i="6"/>
  <c r="SY88" i="6"/>
  <c r="YV75" i="6"/>
  <c r="LJ61" i="6"/>
  <c r="AAY67" i="6"/>
  <c r="RO117" i="6"/>
  <c r="OU74" i="6"/>
  <c r="QE6" i="6"/>
  <c r="ACT29" i="6"/>
  <c r="PM55" i="6"/>
  <c r="SG42" i="6"/>
  <c r="TQ58" i="6"/>
  <c r="AB105" i="6"/>
  <c r="MB111" i="6"/>
  <c r="AB26" i="6"/>
  <c r="HX6" i="6"/>
  <c r="SY55" i="6"/>
  <c r="SY105" i="6"/>
  <c r="OC45" i="6"/>
  <c r="JH81" i="6"/>
  <c r="YV89" i="6"/>
  <c r="HX17" i="6"/>
  <c r="QW101" i="6"/>
  <c r="OC92" i="6"/>
  <c r="RO7" i="6"/>
  <c r="AAY47" i="6"/>
  <c r="OC78" i="6"/>
  <c r="AAY95" i="6"/>
  <c r="QW72" i="6"/>
  <c r="SG61" i="6"/>
  <c r="YV59" i="6"/>
  <c r="HX53" i="6"/>
  <c r="QW13" i="6"/>
  <c r="PM33" i="6"/>
  <c r="SY116" i="6"/>
  <c r="OU96" i="6"/>
  <c r="AB14" i="6"/>
  <c r="OC42" i="6"/>
  <c r="QW21" i="6"/>
  <c r="MB96" i="6"/>
  <c r="MB91" i="6"/>
  <c r="HX45" i="6"/>
  <c r="AB90" i="6"/>
  <c r="OC24" i="6"/>
  <c r="PM42" i="6"/>
  <c r="JZ81" i="6"/>
  <c r="JZ29" i="6"/>
  <c r="QW16" i="6"/>
  <c r="RO83" i="6"/>
  <c r="ACT35" i="6"/>
  <c r="SY21" i="6"/>
  <c r="IP35" i="6"/>
  <c r="HX50" i="6"/>
  <c r="AAY42" i="6"/>
  <c r="MB8" i="6"/>
  <c r="QW112" i="6"/>
  <c r="AAY94" i="6"/>
  <c r="PM82" i="6"/>
  <c r="OC67" i="6"/>
  <c r="OU94" i="6"/>
  <c r="RO78" i="6"/>
  <c r="OU65" i="6"/>
  <c r="YV56" i="6"/>
  <c r="MB95" i="6"/>
  <c r="RO46" i="6"/>
  <c r="TQ10" i="6"/>
  <c r="JZ52" i="6"/>
  <c r="AB17" i="6"/>
  <c r="QE88" i="6"/>
  <c r="YV96" i="6"/>
  <c r="QE43" i="6"/>
  <c r="PM29" i="6"/>
  <c r="ZU102" i="6"/>
  <c r="ZV102" i="6" s="1"/>
  <c r="ZU38" i="6"/>
  <c r="ZV38" i="6" s="1"/>
  <c r="ZT87" i="6"/>
  <c r="ZT23" i="6"/>
  <c r="ZU117" i="6"/>
  <c r="ZV117" i="6" s="1"/>
  <c r="ZU53" i="6"/>
  <c r="ZV53" i="6" s="1"/>
  <c r="ZT94" i="6"/>
  <c r="ZT30" i="6"/>
  <c r="ZT9" i="6"/>
  <c r="ZU60" i="6"/>
  <c r="ZV60" i="6" s="1"/>
  <c r="ZT109" i="6"/>
  <c r="ZT45" i="6"/>
  <c r="ZT89" i="6"/>
  <c r="ZU75" i="6"/>
  <c r="ZV75" i="6" s="1"/>
  <c r="ZU11" i="6"/>
  <c r="ZV11" i="6" s="1"/>
  <c r="ZT60" i="6"/>
  <c r="ZU72" i="6"/>
  <c r="ZV72" i="6" s="1"/>
  <c r="ZU82" i="6"/>
  <c r="ZV82" i="6" s="1"/>
  <c r="ZU18" i="6"/>
  <c r="ZV18" i="6" s="1"/>
  <c r="ZT67" i="6"/>
  <c r="ZU88" i="6"/>
  <c r="ZV88" i="6" s="1"/>
  <c r="ZU89" i="6"/>
  <c r="ZV89" i="6" s="1"/>
  <c r="ZU25" i="6"/>
  <c r="ZV25" i="6" s="1"/>
  <c r="ZT74" i="6"/>
  <c r="ZT10" i="6"/>
  <c r="ZU63" i="6"/>
  <c r="ZV63" i="6" s="1"/>
  <c r="ZT112" i="6"/>
  <c r="ZT48" i="6"/>
  <c r="ZU94" i="6"/>
  <c r="ZV94" i="6" s="1"/>
  <c r="ZU30" i="6"/>
  <c r="ZV30" i="6" s="1"/>
  <c r="ZT79" i="6"/>
  <c r="ZT15" i="6"/>
  <c r="ZU109" i="6"/>
  <c r="ZV109" i="6" s="1"/>
  <c r="ZU45" i="6"/>
  <c r="ZV45" i="6" s="1"/>
  <c r="ZT86" i="6"/>
  <c r="ZT22" i="6"/>
  <c r="ZU116" i="6"/>
  <c r="ZV116" i="6" s="1"/>
  <c r="ZU52" i="6"/>
  <c r="ZV52" i="6" s="1"/>
  <c r="ZT101" i="6"/>
  <c r="ZT37" i="6"/>
  <c r="ZT57" i="6"/>
  <c r="ZU67" i="6"/>
  <c r="ZV67" i="6" s="1"/>
  <c r="ZT116" i="6"/>
  <c r="ZT52" i="6"/>
  <c r="ZU32" i="6"/>
  <c r="ZV32" i="6" s="1"/>
  <c r="ZU74" i="6"/>
  <c r="ZV74" i="6" s="1"/>
  <c r="ZU10" i="6"/>
  <c r="ZV10" i="6" s="1"/>
  <c r="ZT59" i="6"/>
  <c r="ZU48" i="6"/>
  <c r="ZV48" i="6" s="1"/>
  <c r="ZU81" i="6"/>
  <c r="ZV81" i="6" s="1"/>
  <c r="ZU17" i="6"/>
  <c r="ZV17" i="6" s="1"/>
  <c r="ZT66" i="6"/>
  <c r="ZT105" i="6"/>
  <c r="ZU55" i="6"/>
  <c r="ZV55" i="6" s="1"/>
  <c r="ZT104" i="6"/>
  <c r="ZT40" i="6"/>
  <c r="ZU86" i="6"/>
  <c r="ZV86" i="6" s="1"/>
  <c r="ZU22" i="6"/>
  <c r="ZV22" i="6" s="1"/>
  <c r="ZT71" i="6"/>
  <c r="ZT7" i="6"/>
  <c r="ZU101" i="6"/>
  <c r="ZV101" i="6" s="1"/>
  <c r="ZU37" i="6"/>
  <c r="ZV37" i="6" s="1"/>
  <c r="ZT78" i="6"/>
  <c r="ZT14" i="6"/>
  <c r="ZU108" i="6"/>
  <c r="ZV108" i="6" s="1"/>
  <c r="ZU44" i="6"/>
  <c r="ZV44" i="6" s="1"/>
  <c r="ZT93" i="6"/>
  <c r="ZT29" i="6"/>
  <c r="ZT17" i="6"/>
  <c r="ZU59" i="6"/>
  <c r="ZV59" i="6" s="1"/>
  <c r="ZT108" i="6"/>
  <c r="ZT44" i="6"/>
  <c r="ZT97" i="6"/>
  <c r="ZU66" i="6"/>
  <c r="ZV66" i="6" s="1"/>
  <c r="ZT115" i="6"/>
  <c r="ZT51" i="6"/>
  <c r="ZU8" i="6"/>
  <c r="ZV8" i="6" s="1"/>
  <c r="ZU73" i="6"/>
  <c r="ZV73" i="6" s="1"/>
  <c r="ZU9" i="6"/>
  <c r="ZV9" i="6" s="1"/>
  <c r="ZT58" i="6"/>
  <c r="ZU111" i="6"/>
  <c r="ZV111" i="6" s="1"/>
  <c r="ZU47" i="6"/>
  <c r="ZV47" i="6" s="1"/>
  <c r="ZT96" i="6"/>
  <c r="ZT32" i="6"/>
  <c r="ZU78" i="6"/>
  <c r="ZV78" i="6" s="1"/>
  <c r="ZU14" i="6"/>
  <c r="ZV14" i="6" s="1"/>
  <c r="ZT63" i="6"/>
  <c r="ZU80" i="6"/>
  <c r="ZV80" i="6" s="1"/>
  <c r="ZU93" i="6"/>
  <c r="ZV93" i="6" s="1"/>
  <c r="ZU29" i="6"/>
  <c r="ZV29" i="6" s="1"/>
  <c r="ZT70" i="6"/>
  <c r="ZU104" i="6"/>
  <c r="ZV104" i="6" s="1"/>
  <c r="ZU100" i="6"/>
  <c r="ZV100" i="6" s="1"/>
  <c r="ZU36" i="6"/>
  <c r="ZV36" i="6" s="1"/>
  <c r="ZT85" i="6"/>
  <c r="ZT21" i="6"/>
  <c r="ZU115" i="6"/>
  <c r="ZV115" i="6" s="1"/>
  <c r="ZU51" i="6"/>
  <c r="ZV51" i="6" s="1"/>
  <c r="ZT100" i="6"/>
  <c r="ZT36" i="6"/>
  <c r="ZT49" i="6"/>
  <c r="ZU58" i="6"/>
  <c r="ZV58" i="6" s="1"/>
  <c r="ZT107" i="6"/>
  <c r="ZT43" i="6"/>
  <c r="ZT73" i="6"/>
  <c r="ZU65" i="6"/>
  <c r="ZV65" i="6" s="1"/>
  <c r="ZT114" i="6"/>
  <c r="ZT50" i="6"/>
  <c r="ZU103" i="6"/>
  <c r="ZV103" i="6" s="1"/>
  <c r="ZU39" i="6"/>
  <c r="ZV39" i="6" s="1"/>
  <c r="ZT88" i="6"/>
  <c r="ZT24" i="6"/>
  <c r="ZU70" i="6"/>
  <c r="ZV70" i="6" s="1"/>
  <c r="ZU6" i="6"/>
  <c r="ZV6" i="6" s="1"/>
  <c r="ZT55" i="6"/>
  <c r="ZU40" i="6"/>
  <c r="ZV40" i="6" s="1"/>
  <c r="ZU85" i="6"/>
  <c r="ZV85" i="6" s="1"/>
  <c r="ZU21" i="6"/>
  <c r="ZV21" i="6" s="1"/>
  <c r="ZT62" i="6"/>
  <c r="ZU56" i="6"/>
  <c r="ZV56" i="6" s="1"/>
  <c r="ZU92" i="6"/>
  <c r="ZV92" i="6" s="1"/>
  <c r="ZU28" i="6"/>
  <c r="ZV28" i="6" s="1"/>
  <c r="ZT77" i="6"/>
  <c r="ZT13" i="6"/>
  <c r="ZU107" i="6"/>
  <c r="ZV107" i="6" s="1"/>
  <c r="ZU43" i="6"/>
  <c r="ZV43" i="6" s="1"/>
  <c r="ZT92" i="6"/>
  <c r="ZT28" i="6"/>
  <c r="ZU114" i="6"/>
  <c r="ZV114" i="6" s="1"/>
  <c r="ZU50" i="6"/>
  <c r="ZV50" i="6" s="1"/>
  <c r="ZT99" i="6"/>
  <c r="ZT35" i="6"/>
  <c r="ZT33" i="6"/>
  <c r="ZU57" i="6"/>
  <c r="ZV57" i="6" s="1"/>
  <c r="ZT106" i="6"/>
  <c r="ZT42" i="6"/>
  <c r="ZU95" i="6"/>
  <c r="ZV95" i="6" s="1"/>
  <c r="ZU31" i="6"/>
  <c r="ZV31" i="6" s="1"/>
  <c r="ZT80" i="6"/>
  <c r="ZT16" i="6"/>
  <c r="ZU62" i="6"/>
  <c r="ZV62" i="6" s="1"/>
  <c r="ZT111" i="6"/>
  <c r="ZT47" i="6"/>
  <c r="ZT113" i="6"/>
  <c r="ZU77" i="6"/>
  <c r="ZV77" i="6" s="1"/>
  <c r="ZU13" i="6"/>
  <c r="ZV13" i="6" s="1"/>
  <c r="ZT54" i="6"/>
  <c r="ZU16" i="6"/>
  <c r="ZV16" i="6" s="1"/>
  <c r="ZU84" i="6"/>
  <c r="ZV84" i="6" s="1"/>
  <c r="ZU20" i="6"/>
  <c r="ZV20" i="6" s="1"/>
  <c r="ZT69" i="6"/>
  <c r="ZU96" i="6"/>
  <c r="ZV96" i="6" s="1"/>
  <c r="ZU99" i="6"/>
  <c r="ZV99" i="6" s="1"/>
  <c r="ZU35" i="6"/>
  <c r="ZV35" i="6" s="1"/>
  <c r="ZT84" i="6"/>
  <c r="ZT20" i="6"/>
  <c r="ZU106" i="6"/>
  <c r="ZV106" i="6" s="1"/>
  <c r="ZU42" i="6"/>
  <c r="ZV42" i="6" s="1"/>
  <c r="ZT91" i="6"/>
  <c r="ZT27" i="6"/>
  <c r="ZU113" i="6"/>
  <c r="ZV113" i="6" s="1"/>
  <c r="ZU49" i="6"/>
  <c r="ZV49" i="6" s="1"/>
  <c r="ZT98" i="6"/>
  <c r="ZT34" i="6"/>
  <c r="ZU87" i="6"/>
  <c r="ZV87" i="6" s="1"/>
  <c r="ZU23" i="6"/>
  <c r="ZV23" i="6" s="1"/>
  <c r="ZT72" i="6"/>
  <c r="ZT8" i="6"/>
  <c r="ZT6" i="6"/>
  <c r="ZU54" i="6"/>
  <c r="ZV54" i="6" s="1"/>
  <c r="ZT103" i="6"/>
  <c r="ZT39" i="6"/>
  <c r="ZT65" i="6"/>
  <c r="ZU69" i="6"/>
  <c r="ZV69" i="6" s="1"/>
  <c r="ZT110" i="6"/>
  <c r="ZT46" i="6"/>
  <c r="ZT81" i="6"/>
  <c r="ZU76" i="6"/>
  <c r="ZV76" i="6" s="1"/>
  <c r="ZU12" i="6"/>
  <c r="ZV12" i="6" s="1"/>
  <c r="ZT61" i="6"/>
  <c r="ZU64" i="6"/>
  <c r="ZV64" i="6" s="1"/>
  <c r="ZU91" i="6"/>
  <c r="ZV91" i="6" s="1"/>
  <c r="ZU27" i="6"/>
  <c r="ZV27" i="6" s="1"/>
  <c r="ZT76" i="6"/>
  <c r="ZT12" i="6"/>
  <c r="ZU98" i="6"/>
  <c r="ZV98" i="6" s="1"/>
  <c r="ZU34" i="6"/>
  <c r="ZV34" i="6" s="1"/>
  <c r="ZT83" i="6"/>
  <c r="ZT19" i="6"/>
  <c r="ZU105" i="6"/>
  <c r="ZV105" i="6" s="1"/>
  <c r="ZU41" i="6"/>
  <c r="ZV41" i="6" s="1"/>
  <c r="ZT90" i="6"/>
  <c r="ZT26" i="6"/>
  <c r="ZU79" i="6"/>
  <c r="ZV79" i="6" s="1"/>
  <c r="ZU15" i="6"/>
  <c r="ZV15" i="6" s="1"/>
  <c r="ZT64" i="6"/>
  <c r="ZU110" i="6"/>
  <c r="ZV110" i="6" s="1"/>
  <c r="ZU46" i="6"/>
  <c r="ZV46" i="6" s="1"/>
  <c r="ZT95" i="6"/>
  <c r="ZT31" i="6"/>
  <c r="ZT25" i="6"/>
  <c r="ZU61" i="6"/>
  <c r="ZV61" i="6" s="1"/>
  <c r="ZT102" i="6"/>
  <c r="ZT38" i="6"/>
  <c r="ZT41" i="6"/>
  <c r="ZU68" i="6"/>
  <c r="ZV68" i="6" s="1"/>
  <c r="ZT117" i="6"/>
  <c r="ZT53" i="6"/>
  <c r="ZU24" i="6"/>
  <c r="ZV24" i="6" s="1"/>
  <c r="ZU83" i="6"/>
  <c r="ZV83" i="6" s="1"/>
  <c r="ZU19" i="6"/>
  <c r="ZV19" i="6" s="1"/>
  <c r="ZT68" i="6"/>
  <c r="ZU112" i="6"/>
  <c r="ZV112" i="6" s="1"/>
  <c r="ZU90" i="6"/>
  <c r="ZV90" i="6" s="1"/>
  <c r="ZU26" i="6"/>
  <c r="ZV26" i="6" s="1"/>
  <c r="ZT75" i="6"/>
  <c r="ZT11" i="6"/>
  <c r="ZU97" i="6"/>
  <c r="ZV97" i="6" s="1"/>
  <c r="ZU33" i="6"/>
  <c r="ZV33" i="6" s="1"/>
  <c r="ZT82" i="6"/>
  <c r="ZT18" i="6"/>
  <c r="ZU71" i="6"/>
  <c r="ZV71" i="6" s="1"/>
  <c r="ZU7" i="6"/>
  <c r="ZV7" i="6" s="1"/>
  <c r="ZT56" i="6"/>
  <c r="RO93" i="6"/>
  <c r="SG79" i="6"/>
  <c r="PM53" i="6"/>
  <c r="OU31" i="6"/>
  <c r="SG115" i="6"/>
  <c r="LJ100" i="6"/>
  <c r="LJ14" i="6"/>
  <c r="IP61" i="6"/>
  <c r="ACT60" i="6"/>
  <c r="MB55" i="6"/>
  <c r="KR28" i="6"/>
  <c r="QW71" i="6"/>
  <c r="AAY20" i="6"/>
  <c r="MB26" i="6"/>
  <c r="AB74" i="6"/>
  <c r="OU36" i="6"/>
  <c r="OC117" i="6"/>
  <c r="MB27" i="6"/>
  <c r="QW87" i="6"/>
  <c r="AAY81" i="6"/>
  <c r="JH40" i="6"/>
  <c r="PM32" i="6"/>
  <c r="ACT91" i="6"/>
  <c r="OC65" i="6"/>
  <c r="MB32" i="6"/>
  <c r="SG76" i="6"/>
  <c r="IP115" i="6"/>
  <c r="JZ88" i="6"/>
  <c r="QE36" i="6"/>
  <c r="PM78" i="6"/>
  <c r="MB21" i="6"/>
  <c r="HX66" i="6"/>
  <c r="OU86" i="6"/>
  <c r="YV37" i="6"/>
  <c r="MB45" i="6"/>
  <c r="OC9" i="6"/>
  <c r="OC31" i="6"/>
  <c r="HX77" i="6"/>
  <c r="HX25" i="6"/>
  <c r="AAY82" i="6"/>
  <c r="OC19" i="6"/>
  <c r="ACT45" i="6"/>
  <c r="PM20" i="6"/>
  <c r="QE89" i="6"/>
  <c r="PM38" i="6"/>
  <c r="JZ87" i="6"/>
  <c r="IP31" i="6"/>
  <c r="HX116" i="6"/>
  <c r="JZ90" i="6"/>
  <c r="SY81" i="6"/>
  <c r="HX20" i="6"/>
  <c r="JZ66" i="6"/>
  <c r="HX41" i="6"/>
  <c r="RO99" i="6"/>
  <c r="SG39" i="6"/>
  <c r="OC80" i="6"/>
  <c r="SG65" i="6"/>
  <c r="ACT72" i="6"/>
  <c r="KR57" i="6"/>
  <c r="AB76" i="6"/>
  <c r="YV41" i="6"/>
  <c r="OU20" i="6"/>
  <c r="MB105" i="6"/>
  <c r="JZ93" i="6"/>
  <c r="OU52" i="6"/>
  <c r="AB24" i="6"/>
  <c r="MB43" i="6"/>
  <c r="PM113" i="6"/>
  <c r="QW57" i="6"/>
  <c r="ACT89" i="6"/>
  <c r="HX34" i="6"/>
  <c r="ACT83" i="6"/>
  <c r="JH100" i="6"/>
  <c r="SY44" i="6"/>
  <c r="QE70" i="6"/>
  <c r="QE12" i="6"/>
  <c r="QE61" i="6"/>
  <c r="YV58" i="6"/>
  <c r="OC77" i="6"/>
  <c r="YV32" i="6"/>
  <c r="SG14" i="6"/>
  <c r="TQ92" i="6"/>
  <c r="AAY104" i="6"/>
  <c r="KR76" i="6"/>
  <c r="SG58" i="6"/>
  <c r="JH13" i="6"/>
  <c r="SY25" i="6"/>
  <c r="KR112" i="6"/>
  <c r="PM93" i="6"/>
  <c r="JZ23" i="6"/>
  <c r="IP66" i="6"/>
  <c r="ACT53" i="6"/>
  <c r="AAY51" i="6"/>
  <c r="HX37" i="6"/>
  <c r="AB111" i="6"/>
  <c r="RO104" i="6"/>
  <c r="HX44" i="6"/>
  <c r="YV50" i="6"/>
  <c r="SG99" i="6"/>
  <c r="KR91" i="6"/>
  <c r="ACT20" i="6"/>
  <c r="TQ42" i="6"/>
  <c r="PM17" i="6"/>
  <c r="PM74" i="6"/>
  <c r="QW55" i="6"/>
  <c r="LJ50" i="6"/>
  <c r="MB86" i="6"/>
  <c r="OC57" i="6"/>
  <c r="MB41" i="6"/>
  <c r="RO107" i="6"/>
  <c r="SY22" i="6"/>
  <c r="PM68" i="6"/>
  <c r="JZ9" i="6"/>
  <c r="OU106" i="6"/>
  <c r="JH97" i="6"/>
  <c r="YV51" i="6"/>
  <c r="LJ15" i="6"/>
  <c r="IP109" i="6"/>
  <c r="KR48" i="6"/>
  <c r="OC84" i="6"/>
  <c r="RO60" i="6"/>
  <c r="YV12" i="6"/>
  <c r="ACT98" i="6"/>
  <c r="HX39" i="6"/>
  <c r="IP77" i="6"/>
  <c r="IP25" i="6"/>
  <c r="IP68" i="6"/>
  <c r="TQ97" i="6"/>
  <c r="JH62" i="6"/>
  <c r="JZ69" i="6"/>
  <c r="TQ9" i="6"/>
  <c r="AB47" i="6"/>
  <c r="JH98" i="6"/>
  <c r="PM90" i="6"/>
  <c r="IP75" i="6"/>
  <c r="LJ56" i="6"/>
  <c r="KR38" i="6"/>
  <c r="HX29" i="6"/>
  <c r="YV78" i="6"/>
  <c r="LJ37" i="6"/>
  <c r="QE54" i="6"/>
  <c r="KR49" i="6"/>
  <c r="AB78" i="6"/>
  <c r="SY98" i="6"/>
  <c r="JZ26" i="6"/>
  <c r="IP65" i="6"/>
  <c r="IP90" i="6"/>
  <c r="YV65" i="6"/>
  <c r="SY42" i="6"/>
  <c r="LJ94" i="6"/>
  <c r="MB42" i="6"/>
  <c r="OU64" i="6"/>
  <c r="AB48" i="6"/>
  <c r="RO51" i="6"/>
  <c r="QE44" i="6"/>
  <c r="OU41" i="6"/>
  <c r="OC114" i="6"/>
  <c r="HX65" i="6"/>
  <c r="SY87" i="6"/>
  <c r="KR72" i="6"/>
  <c r="TQ74" i="6"/>
  <c r="PM94" i="6"/>
  <c r="QE82" i="6"/>
  <c r="AAY77" i="6"/>
  <c r="LJ11" i="6"/>
  <c r="IP49" i="6"/>
  <c r="SY97" i="6"/>
  <c r="IP47" i="6"/>
  <c r="JZ34" i="6"/>
  <c r="TQ89" i="6"/>
  <c r="AB50" i="6"/>
  <c r="OC48" i="6"/>
  <c r="LJ17" i="6"/>
  <c r="LJ35" i="6"/>
  <c r="JZ80" i="6"/>
  <c r="JZ28" i="6"/>
  <c r="JZ110" i="6"/>
  <c r="RO42" i="6"/>
  <c r="KR58" i="6"/>
  <c r="PM14" i="6"/>
  <c r="HX103" i="6"/>
  <c r="MB92" i="6"/>
  <c r="TQ86" i="6"/>
  <c r="ACT73" i="6"/>
  <c r="JZ57" i="6"/>
  <c r="ACT44" i="6"/>
  <c r="AAY102" i="6"/>
  <c r="OC26" i="6"/>
  <c r="TQ65" i="6"/>
  <c r="OU10" i="6"/>
  <c r="RO32" i="6"/>
  <c r="MB102" i="6"/>
  <c r="JH93" i="6"/>
  <c r="SY73" i="6"/>
  <c r="AAY117" i="6"/>
  <c r="JH102" i="6"/>
  <c r="AB54" i="6"/>
  <c r="JH53" i="6"/>
  <c r="YV6" i="6"/>
  <c r="HX42" i="6"/>
  <c r="OC108" i="6"/>
  <c r="AAY90" i="6"/>
  <c r="AAY21" i="6"/>
  <c r="TQ55" i="6"/>
  <c r="ACT36" i="6"/>
  <c r="QW46" i="6"/>
  <c r="RO82" i="6"/>
  <c r="AAY110" i="6"/>
  <c r="MB54" i="6"/>
  <c r="MB25" i="6"/>
  <c r="ACT23" i="6"/>
  <c r="JH90" i="6"/>
  <c r="HU106" i="6"/>
  <c r="HU90" i="6"/>
  <c r="HU74" i="6"/>
  <c r="HU58" i="6"/>
  <c r="HU42" i="6"/>
  <c r="HU26" i="6"/>
  <c r="HU10" i="6"/>
  <c r="HU109" i="6"/>
  <c r="HU93" i="6"/>
  <c r="HU77" i="6"/>
  <c r="HU61" i="6"/>
  <c r="HU45" i="6"/>
  <c r="HU29" i="6"/>
  <c r="HU112" i="6"/>
  <c r="HU96" i="6"/>
  <c r="HU80" i="6"/>
  <c r="HU64" i="6"/>
  <c r="HU48" i="6"/>
  <c r="HU32" i="6"/>
  <c r="HU16" i="6"/>
  <c r="HR114" i="6"/>
  <c r="HR98" i="6"/>
  <c r="HR82" i="6"/>
  <c r="HR66" i="6"/>
  <c r="HR50" i="6"/>
  <c r="HR34" i="6"/>
  <c r="HR18" i="6"/>
  <c r="HS112" i="6"/>
  <c r="HS96" i="6"/>
  <c r="HS80" i="6"/>
  <c r="HS64" i="6"/>
  <c r="HS48" i="6"/>
  <c r="HS32" i="6"/>
  <c r="HS16" i="6"/>
  <c r="HT105" i="6"/>
  <c r="HT62" i="6"/>
  <c r="HT20" i="6"/>
  <c r="HS15" i="6"/>
  <c r="HR96" i="6"/>
  <c r="HR54" i="6"/>
  <c r="HT9" i="6"/>
  <c r="HR56" i="6"/>
  <c r="HU87" i="6"/>
  <c r="HU44" i="6"/>
  <c r="HS9" i="6"/>
  <c r="HU103" i="6"/>
  <c r="HR70" i="6"/>
  <c r="HS115" i="6"/>
  <c r="HS73" i="6"/>
  <c r="HS30" i="6"/>
  <c r="HU97" i="6"/>
  <c r="HT46" i="6"/>
  <c r="HT97" i="6"/>
  <c r="HT10" i="6"/>
  <c r="HR102" i="6"/>
  <c r="HU13" i="6"/>
  <c r="HQ71" i="6"/>
  <c r="HQ7" i="6"/>
  <c r="HQ54" i="6"/>
  <c r="HQ101" i="6"/>
  <c r="HQ37" i="6"/>
  <c r="HQ84" i="6"/>
  <c r="HQ20" i="6"/>
  <c r="HQ67" i="6"/>
  <c r="HQ114" i="6"/>
  <c r="HQ50" i="6"/>
  <c r="HQ48" i="6"/>
  <c r="HQ33" i="6"/>
  <c r="HQ25" i="6"/>
  <c r="HQ57" i="6"/>
  <c r="HS60" i="6"/>
  <c r="HS63" i="6"/>
  <c r="HS50" i="6"/>
  <c r="HU51" i="6"/>
  <c r="HT35" i="6"/>
  <c r="HU57" i="6"/>
  <c r="HS99" i="6"/>
  <c r="HS110" i="6"/>
  <c r="HQ11" i="6"/>
  <c r="HR105" i="6"/>
  <c r="HR89" i="6"/>
  <c r="HR73" i="6"/>
  <c r="HR57" i="6"/>
  <c r="HR41" i="6"/>
  <c r="HR25" i="6"/>
  <c r="HR9" i="6"/>
  <c r="HR108" i="6"/>
  <c r="HR92" i="6"/>
  <c r="HR76" i="6"/>
  <c r="HR60" i="6"/>
  <c r="HR44" i="6"/>
  <c r="HR28" i="6"/>
  <c r="HR111" i="6"/>
  <c r="HR95" i="6"/>
  <c r="HR79" i="6"/>
  <c r="HR63" i="6"/>
  <c r="HR47" i="6"/>
  <c r="HR31" i="6"/>
  <c r="HR15" i="6"/>
  <c r="HT112" i="6"/>
  <c r="HT96" i="6"/>
  <c r="HT80" i="6"/>
  <c r="HT64" i="6"/>
  <c r="HT48" i="6"/>
  <c r="HT32" i="6"/>
  <c r="HT16" i="6"/>
  <c r="HU110" i="6"/>
  <c r="HU94" i="6"/>
  <c r="HU78" i="6"/>
  <c r="HU62" i="6"/>
  <c r="HU46" i="6"/>
  <c r="HU30" i="6"/>
  <c r="HU14" i="6"/>
  <c r="HS97" i="6"/>
  <c r="HS54" i="6"/>
  <c r="HR16" i="6"/>
  <c r="HS107" i="6"/>
  <c r="HT92" i="6"/>
  <c r="HT49" i="6"/>
  <c r="HS6" i="6"/>
  <c r="HR35" i="6"/>
  <c r="HR83" i="6"/>
  <c r="HR40" i="6"/>
  <c r="HR6" i="6"/>
  <c r="HS86" i="6"/>
  <c r="HU52" i="6"/>
  <c r="HU111" i="6"/>
  <c r="HU68" i="6"/>
  <c r="HU25" i="6"/>
  <c r="HR94" i="6"/>
  <c r="HS38" i="6"/>
  <c r="HS89" i="6"/>
  <c r="HU60" i="6"/>
  <c r="HU84" i="6"/>
  <c r="HS7" i="6"/>
  <c r="HQ63" i="6"/>
  <c r="HQ110" i="6"/>
  <c r="HQ46" i="6"/>
  <c r="HQ93" i="6"/>
  <c r="HQ29" i="6"/>
  <c r="HQ76" i="6"/>
  <c r="HQ12" i="6"/>
  <c r="HQ59" i="6"/>
  <c r="HQ106" i="6"/>
  <c r="HQ42" i="6"/>
  <c r="HQ16" i="6"/>
  <c r="HQ96" i="6"/>
  <c r="HQ105" i="6"/>
  <c r="HQ41" i="6"/>
  <c r="HS12" i="6"/>
  <c r="HS98" i="6"/>
  <c r="HU99" i="6"/>
  <c r="HT99" i="6"/>
  <c r="HR24" i="6"/>
  <c r="HT12" i="6"/>
  <c r="HR51" i="6"/>
  <c r="HQ109" i="6"/>
  <c r="HQ58" i="6"/>
  <c r="HQ6" i="6"/>
  <c r="HT103" i="6"/>
  <c r="HT87" i="6"/>
  <c r="HT71" i="6"/>
  <c r="HT55" i="6"/>
  <c r="HT39" i="6"/>
  <c r="HT23" i="6"/>
  <c r="HT7" i="6"/>
  <c r="HT106" i="6"/>
  <c r="HT90" i="6"/>
  <c r="HT74" i="6"/>
  <c r="HT58" i="6"/>
  <c r="HT42" i="6"/>
  <c r="HT26" i="6"/>
  <c r="HT109" i="6"/>
  <c r="HT93" i="6"/>
  <c r="HT77" i="6"/>
  <c r="HT61" i="6"/>
  <c r="HT45" i="6"/>
  <c r="HT29" i="6"/>
  <c r="HT13" i="6"/>
  <c r="HS109" i="6"/>
  <c r="HS93" i="6"/>
  <c r="HS77" i="6"/>
  <c r="HS61" i="6"/>
  <c r="HS45" i="6"/>
  <c r="HS29" i="6"/>
  <c r="HS13" i="6"/>
  <c r="HR109" i="6"/>
  <c r="HR93" i="6"/>
  <c r="HR77" i="6"/>
  <c r="HR61" i="6"/>
  <c r="HR45" i="6"/>
  <c r="HR29" i="6"/>
  <c r="HR13" i="6"/>
  <c r="HU92" i="6"/>
  <c r="HU49" i="6"/>
  <c r="HU9" i="6"/>
  <c r="HT73" i="6"/>
  <c r="HS83" i="6"/>
  <c r="HS41" i="6"/>
  <c r="HT86" i="6"/>
  <c r="HS22" i="6"/>
  <c r="HT78" i="6"/>
  <c r="HT36" i="6"/>
  <c r="HR112" i="6"/>
  <c r="HS65" i="6"/>
  <c r="HS35" i="6"/>
  <c r="HR107" i="6"/>
  <c r="HR64" i="6"/>
  <c r="HR22" i="6"/>
  <c r="HT89" i="6"/>
  <c r="HU33" i="6"/>
  <c r="HR80" i="6"/>
  <c r="HR8" i="6"/>
  <c r="HT76" i="6"/>
  <c r="HT52" i="6"/>
  <c r="HQ55" i="6"/>
  <c r="HQ102" i="6"/>
  <c r="HQ38" i="6"/>
  <c r="HQ85" i="6"/>
  <c r="HQ21" i="6"/>
  <c r="HQ68" i="6"/>
  <c r="HQ115" i="6"/>
  <c r="HQ51" i="6"/>
  <c r="HQ98" i="6"/>
  <c r="HQ34" i="6"/>
  <c r="HQ104" i="6"/>
  <c r="HQ64" i="6"/>
  <c r="HQ17" i="6"/>
  <c r="HS92" i="6"/>
  <c r="HS95" i="6"/>
  <c r="HS66" i="6"/>
  <c r="HU67" i="6"/>
  <c r="HT67" i="6"/>
  <c r="HU100" i="6"/>
  <c r="HR12" i="6"/>
  <c r="HS25" i="6"/>
  <c r="HQ45" i="6"/>
  <c r="HQ65" i="6"/>
  <c r="HS116" i="6"/>
  <c r="HS100" i="6"/>
  <c r="HS84" i="6"/>
  <c r="HS68" i="6"/>
  <c r="HS52" i="6"/>
  <c r="HS36" i="6"/>
  <c r="HS20" i="6"/>
  <c r="HS23" i="6"/>
  <c r="HS103" i="6"/>
  <c r="HS87" i="6"/>
  <c r="HS71" i="6"/>
  <c r="HS55" i="6"/>
  <c r="HS39" i="6"/>
  <c r="HU21" i="6"/>
  <c r="HS106" i="6"/>
  <c r="HS90" i="6"/>
  <c r="HS74" i="6"/>
  <c r="HS58" i="6"/>
  <c r="HS42" i="6"/>
  <c r="HS26" i="6"/>
  <c r="HS10" i="6"/>
  <c r="HU107" i="6"/>
  <c r="HU91" i="6"/>
  <c r="HU75" i="6"/>
  <c r="HU59" i="6"/>
  <c r="HU43" i="6"/>
  <c r="HU27" i="6"/>
  <c r="HU11" i="6"/>
  <c r="HT107" i="6"/>
  <c r="HT91" i="6"/>
  <c r="HT75" i="6"/>
  <c r="HT59" i="6"/>
  <c r="HT43" i="6"/>
  <c r="HT27" i="6"/>
  <c r="HT11" i="6"/>
  <c r="HR88" i="6"/>
  <c r="HR46" i="6"/>
  <c r="HT6" i="6"/>
  <c r="HT30" i="6"/>
  <c r="HU79" i="6"/>
  <c r="HU36" i="6"/>
  <c r="HU73" i="6"/>
  <c r="HS113" i="6"/>
  <c r="HS70" i="6"/>
  <c r="HS27" i="6"/>
  <c r="HU95" i="6"/>
  <c r="HU39" i="6"/>
  <c r="HT116" i="6"/>
  <c r="HT102" i="6"/>
  <c r="HT60" i="6"/>
  <c r="HT17" i="6"/>
  <c r="HS81" i="6"/>
  <c r="HT25" i="6"/>
  <c r="HU63" i="6"/>
  <c r="HT110" i="6"/>
  <c r="HS67" i="6"/>
  <c r="HQ111" i="6"/>
  <c r="HQ47" i="6"/>
  <c r="HQ94" i="6"/>
  <c r="HQ30" i="6"/>
  <c r="HQ77" i="6"/>
  <c r="HQ13" i="6"/>
  <c r="HQ60" i="6"/>
  <c r="HQ107" i="6"/>
  <c r="HQ43" i="6"/>
  <c r="HQ90" i="6"/>
  <c r="HQ26" i="6"/>
  <c r="HQ72" i="6"/>
  <c r="HQ32" i="6"/>
  <c r="HQ89" i="6"/>
  <c r="HS44" i="6"/>
  <c r="HS31" i="6"/>
  <c r="HU115" i="6"/>
  <c r="HT115" i="6"/>
  <c r="HR110" i="6"/>
  <c r="HS91" i="6"/>
  <c r="HT38" i="6"/>
  <c r="HQ79" i="6"/>
  <c r="HQ28" i="6"/>
  <c r="HU114" i="6"/>
  <c r="HU98" i="6"/>
  <c r="HU82" i="6"/>
  <c r="HU66" i="6"/>
  <c r="HU50" i="6"/>
  <c r="HU34" i="6"/>
  <c r="HU18" i="6"/>
  <c r="HU117" i="6"/>
  <c r="HU101" i="6"/>
  <c r="HU85" i="6"/>
  <c r="HU69" i="6"/>
  <c r="HU53" i="6"/>
  <c r="HU37" i="6"/>
  <c r="HR20" i="6"/>
  <c r="HU104" i="6"/>
  <c r="HU88" i="6"/>
  <c r="HU72" i="6"/>
  <c r="HU56" i="6"/>
  <c r="HU40" i="6"/>
  <c r="HU24" i="6"/>
  <c r="HU8" i="6"/>
  <c r="HR106" i="6"/>
  <c r="HR90" i="6"/>
  <c r="HR74" i="6"/>
  <c r="HR58" i="6"/>
  <c r="HR42" i="6"/>
  <c r="HR26" i="6"/>
  <c r="HR10" i="6"/>
  <c r="HS104" i="6"/>
  <c r="HS88" i="6"/>
  <c r="HS72" i="6"/>
  <c r="HS56" i="6"/>
  <c r="HS40" i="6"/>
  <c r="HS24" i="6"/>
  <c r="HS8" i="6"/>
  <c r="HT84" i="6"/>
  <c r="HT41" i="6"/>
  <c r="HR91" i="6"/>
  <c r="HT14" i="6"/>
  <c r="HR75" i="6"/>
  <c r="HR32" i="6"/>
  <c r="HS57" i="6"/>
  <c r="HU108" i="6"/>
  <c r="HU65" i="6"/>
  <c r="HU23" i="6"/>
  <c r="HS78" i="6"/>
  <c r="HS11" i="6"/>
  <c r="HR99" i="6"/>
  <c r="HS94" i="6"/>
  <c r="HS51" i="6"/>
  <c r="HS14" i="6"/>
  <c r="HU76" i="6"/>
  <c r="HS17" i="6"/>
  <c r="HT54" i="6"/>
  <c r="HR72" i="6"/>
  <c r="HR59" i="6"/>
  <c r="HQ103" i="6"/>
  <c r="HQ39" i="6"/>
  <c r="HQ86" i="6"/>
  <c r="HQ22" i="6"/>
  <c r="HQ69" i="6"/>
  <c r="HQ116" i="6"/>
  <c r="HQ52" i="6"/>
  <c r="HQ99" i="6"/>
  <c r="HQ35" i="6"/>
  <c r="HQ82" i="6"/>
  <c r="HQ18" i="6"/>
  <c r="HQ40" i="6"/>
  <c r="HQ88" i="6"/>
  <c r="HQ9" i="6"/>
  <c r="HS108" i="6"/>
  <c r="HS111" i="6"/>
  <c r="HS114" i="6"/>
  <c r="HU83" i="6"/>
  <c r="HT83" i="6"/>
  <c r="HR67" i="6"/>
  <c r="HS49" i="6"/>
  <c r="HS102" i="6"/>
  <c r="HQ62" i="6"/>
  <c r="HQ80" i="6"/>
  <c r="HR113" i="6"/>
  <c r="HR97" i="6"/>
  <c r="HR81" i="6"/>
  <c r="HR65" i="6"/>
  <c r="HR49" i="6"/>
  <c r="HR33" i="6"/>
  <c r="HR17" i="6"/>
  <c r="HR116" i="6"/>
  <c r="HR100" i="6"/>
  <c r="HR84" i="6"/>
  <c r="HR68" i="6"/>
  <c r="HR52" i="6"/>
  <c r="HR36" i="6"/>
  <c r="HT18" i="6"/>
  <c r="HR103" i="6"/>
  <c r="HR87" i="6"/>
  <c r="HR71" i="6"/>
  <c r="HR55" i="6"/>
  <c r="HR39" i="6"/>
  <c r="HR23" i="6"/>
  <c r="HR7" i="6"/>
  <c r="HT104" i="6"/>
  <c r="HT88" i="6"/>
  <c r="HT72" i="6"/>
  <c r="HT56" i="6"/>
  <c r="HT40" i="6"/>
  <c r="HT24" i="6"/>
  <c r="HT8" i="6"/>
  <c r="HU102" i="6"/>
  <c r="HU86" i="6"/>
  <c r="HU70" i="6"/>
  <c r="HU54" i="6"/>
  <c r="HU38" i="6"/>
  <c r="HU22" i="6"/>
  <c r="HU6" i="6"/>
  <c r="HS75" i="6"/>
  <c r="HS33" i="6"/>
  <c r="HT65" i="6"/>
  <c r="HT113" i="6"/>
  <c r="HT70" i="6"/>
  <c r="HT28" i="6"/>
  <c r="HT22" i="6"/>
  <c r="HR104" i="6"/>
  <c r="HR62" i="6"/>
  <c r="HR19" i="6"/>
  <c r="HT44" i="6"/>
  <c r="HU116" i="6"/>
  <c r="HU81" i="6"/>
  <c r="HU89" i="6"/>
  <c r="HU47" i="6"/>
  <c r="HR11" i="6"/>
  <c r="HT68" i="6"/>
  <c r="HR14" i="6"/>
  <c r="HU41" i="6"/>
  <c r="HU55" i="6"/>
  <c r="HS46" i="6"/>
  <c r="HQ95" i="6"/>
  <c r="HQ31" i="6"/>
  <c r="HQ78" i="6"/>
  <c r="HQ14" i="6"/>
  <c r="HQ61" i="6"/>
  <c r="HQ108" i="6"/>
  <c r="HQ44" i="6"/>
  <c r="HQ91" i="6"/>
  <c r="HQ27" i="6"/>
  <c r="HQ74" i="6"/>
  <c r="HQ10" i="6"/>
  <c r="HQ8" i="6"/>
  <c r="HQ56" i="6"/>
  <c r="HQ81" i="6"/>
  <c r="HS28" i="6"/>
  <c r="HS47" i="6"/>
  <c r="HS34" i="6"/>
  <c r="HU19" i="6"/>
  <c r="HT19" i="6"/>
  <c r="HU12" i="6"/>
  <c r="HT81" i="6"/>
  <c r="HU20" i="6"/>
  <c r="HQ92" i="6"/>
  <c r="HQ73" i="6"/>
  <c r="HT111" i="6"/>
  <c r="HT95" i="6"/>
  <c r="HT79" i="6"/>
  <c r="HT63" i="6"/>
  <c r="HT47" i="6"/>
  <c r="HT31" i="6"/>
  <c r="HT15" i="6"/>
  <c r="HT114" i="6"/>
  <c r="HT98" i="6"/>
  <c r="HT82" i="6"/>
  <c r="HT66" i="6"/>
  <c r="HT50" i="6"/>
  <c r="HT34" i="6"/>
  <c r="HT117" i="6"/>
  <c r="HT101" i="6"/>
  <c r="HT85" i="6"/>
  <c r="HT69" i="6"/>
  <c r="HT53" i="6"/>
  <c r="HT37" i="6"/>
  <c r="HT21" i="6"/>
  <c r="HS117" i="6"/>
  <c r="HS101" i="6"/>
  <c r="HS85" i="6"/>
  <c r="HS69" i="6"/>
  <c r="HS53" i="6"/>
  <c r="HS37" i="6"/>
  <c r="HS21" i="6"/>
  <c r="HR117" i="6"/>
  <c r="HR101" i="6"/>
  <c r="HR85" i="6"/>
  <c r="HR69" i="6"/>
  <c r="HR53" i="6"/>
  <c r="HR37" i="6"/>
  <c r="HR21" i="6"/>
  <c r="HU113" i="6"/>
  <c r="HU71" i="6"/>
  <c r="HU28" i="6"/>
  <c r="HR48" i="6"/>
  <c r="HS105" i="6"/>
  <c r="HS62" i="6"/>
  <c r="HS19" i="6"/>
  <c r="HT94" i="6"/>
  <c r="HT100" i="6"/>
  <c r="HT57" i="6"/>
  <c r="HU15" i="6"/>
  <c r="HR27" i="6"/>
  <c r="HT108" i="6"/>
  <c r="HS43" i="6"/>
  <c r="HR86" i="6"/>
  <c r="HR43" i="6"/>
  <c r="HR115" i="6"/>
  <c r="HS59" i="6"/>
  <c r="HU7" i="6"/>
  <c r="HT33" i="6"/>
  <c r="HR30" i="6"/>
  <c r="HR38" i="6"/>
  <c r="HQ87" i="6"/>
  <c r="HQ23" i="6"/>
  <c r="HQ70" i="6"/>
  <c r="HQ117" i="6"/>
  <c r="HQ53" i="6"/>
  <c r="HQ100" i="6"/>
  <c r="HQ36" i="6"/>
  <c r="HQ83" i="6"/>
  <c r="HQ19" i="6"/>
  <c r="HQ66" i="6"/>
  <c r="HQ112" i="6"/>
  <c r="HQ97" i="6"/>
  <c r="HQ24" i="6"/>
  <c r="HQ49" i="6"/>
  <c r="HS76" i="6"/>
  <c r="HS79" i="6"/>
  <c r="HS82" i="6"/>
  <c r="HS18" i="6"/>
  <c r="HU35" i="6"/>
  <c r="HT51" i="6"/>
  <c r="HU31" i="6"/>
  <c r="HR78" i="6"/>
  <c r="HU17" i="6"/>
  <c r="HU105" i="6"/>
  <c r="HQ15" i="6"/>
  <c r="HQ75" i="6"/>
  <c r="HQ113" i="6"/>
  <c r="HV66" i="6"/>
  <c r="HV48" i="6"/>
  <c r="HV28" i="6"/>
  <c r="HV103" i="6"/>
  <c r="HV6" i="6"/>
  <c r="HV76" i="6"/>
  <c r="HV111" i="6"/>
  <c r="HV16" i="6"/>
  <c r="HV11" i="6"/>
  <c r="HV19" i="6"/>
  <c r="HV57" i="6"/>
  <c r="HV73" i="6"/>
  <c r="HV110" i="6"/>
  <c r="HV72" i="6"/>
  <c r="HV54" i="6"/>
  <c r="HV42" i="6"/>
  <c r="HV34" i="6"/>
  <c r="HV26" i="6"/>
  <c r="HV22" i="6"/>
  <c r="HV113" i="6"/>
  <c r="HV74" i="6"/>
  <c r="HV81" i="6"/>
  <c r="HV27" i="6"/>
  <c r="HV56" i="6"/>
  <c r="HV7" i="6"/>
  <c r="HV63" i="6"/>
  <c r="HV87" i="6"/>
  <c r="HV61" i="6"/>
  <c r="HV49" i="6"/>
  <c r="HV94" i="6"/>
  <c r="HV9" i="6"/>
  <c r="HV75" i="6"/>
  <c r="HV88" i="6"/>
  <c r="HV15" i="6"/>
  <c r="HV23" i="6"/>
  <c r="HV80" i="6"/>
  <c r="HV13" i="6"/>
  <c r="HV68" i="6"/>
  <c r="HV46" i="6"/>
  <c r="HV77" i="6"/>
  <c r="HV78" i="6"/>
  <c r="HV17" i="6"/>
  <c r="HV8" i="6"/>
  <c r="HV84" i="6"/>
  <c r="HV38" i="6"/>
  <c r="HV25" i="6"/>
  <c r="HV32" i="6"/>
  <c r="HV96" i="6"/>
  <c r="HV115" i="6"/>
  <c r="HV29" i="6"/>
  <c r="HV31" i="6"/>
  <c r="HV105" i="6"/>
  <c r="HV82" i="6"/>
  <c r="HV36" i="6"/>
  <c r="HV43" i="6"/>
  <c r="HV33" i="6"/>
  <c r="HV67" i="6"/>
  <c r="HV41" i="6"/>
  <c r="HV44" i="6"/>
  <c r="HV58" i="6"/>
  <c r="HV95" i="6"/>
  <c r="HV109" i="6"/>
  <c r="HV47" i="6"/>
  <c r="HV20" i="6"/>
  <c r="HV18" i="6"/>
  <c r="HV92" i="6"/>
  <c r="HV101" i="6"/>
  <c r="HV114" i="6"/>
  <c r="HV108" i="6"/>
  <c r="HV71" i="6"/>
  <c r="HV52" i="6"/>
  <c r="HV97" i="6"/>
  <c r="HV91" i="6"/>
  <c r="HV83" i="6"/>
  <c r="HV37" i="6"/>
  <c r="HV102" i="6"/>
  <c r="HV106" i="6"/>
  <c r="HV64" i="6"/>
  <c r="HV60" i="6"/>
  <c r="HV35" i="6"/>
  <c r="HV69" i="6"/>
  <c r="HV53" i="6"/>
  <c r="HV104" i="6"/>
  <c r="HV65" i="6"/>
  <c r="HV90" i="6"/>
  <c r="HV21" i="6"/>
  <c r="HV51" i="6"/>
  <c r="HV30" i="6"/>
  <c r="HV116" i="6"/>
  <c r="HV86" i="6"/>
  <c r="HV40" i="6"/>
  <c r="HV45" i="6"/>
  <c r="HV85" i="6"/>
  <c r="HV89" i="6"/>
  <c r="HV117" i="6"/>
  <c r="HV10" i="6"/>
  <c r="HV93" i="6"/>
  <c r="HV98" i="6"/>
  <c r="HV99" i="6"/>
  <c r="HV55" i="6"/>
  <c r="HV14" i="6"/>
  <c r="HV107" i="6"/>
  <c r="HV100" i="6"/>
  <c r="HV50" i="6"/>
  <c r="HV112" i="6"/>
  <c r="HV39" i="6"/>
  <c r="HV70" i="6"/>
  <c r="HV12" i="6"/>
  <c r="HV24" i="6"/>
  <c r="HV59" i="6"/>
  <c r="HV79" i="6"/>
  <c r="HV62" i="6"/>
  <c r="JZ37" i="6"/>
  <c r="QE7" i="6"/>
  <c r="SG83" i="6"/>
  <c r="SY27" i="6"/>
  <c r="KR43" i="6"/>
  <c r="PM64" i="6"/>
  <c r="YV10" i="6"/>
  <c r="SY35" i="6"/>
  <c r="AAY98" i="6"/>
  <c r="MB12" i="6"/>
  <c r="JH113" i="6"/>
  <c r="PM43" i="6"/>
  <c r="KR83" i="6"/>
  <c r="ACT88" i="6"/>
  <c r="PM67" i="6"/>
  <c r="ACT50" i="6"/>
  <c r="QW52" i="6"/>
  <c r="YV117" i="6"/>
  <c r="OU71" i="6"/>
  <c r="IP10" i="6"/>
  <c r="OU101" i="6"/>
  <c r="SY54" i="6"/>
  <c r="QE45" i="6"/>
  <c r="IP23" i="6"/>
  <c r="KR60" i="6"/>
  <c r="QW79" i="6"/>
  <c r="PM72" i="6"/>
  <c r="RO110" i="6"/>
  <c r="QW100" i="6"/>
  <c r="IP84" i="6"/>
  <c r="QW33" i="6"/>
  <c r="QW64" i="6"/>
  <c r="YV52" i="6"/>
  <c r="FT108" i="6"/>
  <c r="FU95" i="6"/>
  <c r="FV82" i="6"/>
  <c r="FW69" i="6"/>
  <c r="FS57" i="6"/>
  <c r="FT44" i="6"/>
  <c r="FU31" i="6"/>
  <c r="FV18" i="6"/>
  <c r="FV117" i="6"/>
  <c r="FW104" i="6"/>
  <c r="FS92" i="6"/>
  <c r="FT79" i="6"/>
  <c r="FU66" i="6"/>
  <c r="FV53" i="6"/>
  <c r="FW40" i="6"/>
  <c r="FS28" i="6"/>
  <c r="FT15" i="6"/>
  <c r="FT114" i="6"/>
  <c r="FU101" i="6"/>
  <c r="FV88" i="6"/>
  <c r="FW75" i="6"/>
  <c r="FS63" i="6"/>
  <c r="FT50" i="6"/>
  <c r="FU37" i="6"/>
  <c r="FV24" i="6"/>
  <c r="FW11" i="6"/>
  <c r="FW110" i="6"/>
  <c r="FS98" i="6"/>
  <c r="FT85" i="6"/>
  <c r="FU72" i="6"/>
  <c r="FV59" i="6"/>
  <c r="FW46" i="6"/>
  <c r="FS34" i="6"/>
  <c r="FT21" i="6"/>
  <c r="FU8" i="6"/>
  <c r="FU107" i="6"/>
  <c r="FV94" i="6"/>
  <c r="FW81" i="6"/>
  <c r="FS69" i="6"/>
  <c r="FT56" i="6"/>
  <c r="FU43" i="6"/>
  <c r="FV105" i="6"/>
  <c r="FW92" i="6"/>
  <c r="FS80" i="6"/>
  <c r="FT67" i="6"/>
  <c r="FU54" i="6"/>
  <c r="FU113" i="6"/>
  <c r="FT62" i="6"/>
  <c r="FS27" i="6"/>
  <c r="FW10" i="6"/>
  <c r="FV63" i="6"/>
  <c r="FV87" i="6"/>
  <c r="FV39" i="6"/>
  <c r="FT102" i="6"/>
  <c r="FU73" i="6"/>
  <c r="FT32" i="6"/>
  <c r="FV6" i="6"/>
  <c r="FV44" i="6"/>
  <c r="FS8" i="6"/>
  <c r="FW66" i="6"/>
  <c r="FW28" i="6"/>
  <c r="FT25" i="6"/>
  <c r="FS21" i="6"/>
  <c r="FV33" i="6"/>
  <c r="FV84" i="6"/>
  <c r="FT38" i="6"/>
  <c r="FV12" i="6"/>
  <c r="FT97" i="6"/>
  <c r="FS46" i="6"/>
  <c r="FU44" i="6"/>
  <c r="FR85" i="6"/>
  <c r="FR21" i="6"/>
  <c r="FR68" i="6"/>
  <c r="FR115" i="6"/>
  <c r="FR51" i="6"/>
  <c r="FR98" i="6"/>
  <c r="FR34" i="6"/>
  <c r="FR81" i="6"/>
  <c r="FR17" i="6"/>
  <c r="FR111" i="6"/>
  <c r="FR46" i="6"/>
  <c r="FR80" i="6"/>
  <c r="FR15" i="6"/>
  <c r="FR54" i="6"/>
  <c r="FV106" i="6"/>
  <c r="FW93" i="6"/>
  <c r="FS81" i="6"/>
  <c r="FT68" i="6"/>
  <c r="FU55" i="6"/>
  <c r="FV42" i="6"/>
  <c r="FW29" i="6"/>
  <c r="FS17" i="6"/>
  <c r="FS116" i="6"/>
  <c r="FT103" i="6"/>
  <c r="FU90" i="6"/>
  <c r="FV77" i="6"/>
  <c r="FW64" i="6"/>
  <c r="FS52" i="6"/>
  <c r="FT39" i="6"/>
  <c r="FU26" i="6"/>
  <c r="FV13" i="6"/>
  <c r="FV112" i="6"/>
  <c r="FW99" i="6"/>
  <c r="FS87" i="6"/>
  <c r="FT74" i="6"/>
  <c r="FU61" i="6"/>
  <c r="FV48" i="6"/>
  <c r="FW35" i="6"/>
  <c r="FS23" i="6"/>
  <c r="FT10" i="6"/>
  <c r="FT109" i="6"/>
  <c r="FU96" i="6"/>
  <c r="FV83" i="6"/>
  <c r="FW70" i="6"/>
  <c r="FS58" i="6"/>
  <c r="FT45" i="6"/>
  <c r="FU32" i="6"/>
  <c r="FV19" i="6"/>
  <c r="FW6" i="6"/>
  <c r="FW105" i="6"/>
  <c r="FS93" i="6"/>
  <c r="FT80" i="6"/>
  <c r="FU67" i="6"/>
  <c r="FV54" i="6"/>
  <c r="FW116" i="6"/>
  <c r="FS104" i="6"/>
  <c r="FT91" i="6"/>
  <c r="FU78" i="6"/>
  <c r="FV65" i="6"/>
  <c r="FW52" i="6"/>
  <c r="FS107" i="6"/>
  <c r="FW55" i="6"/>
  <c r="FW23" i="6"/>
  <c r="FV7" i="6"/>
  <c r="FS40" i="6"/>
  <c r="FT81" i="6"/>
  <c r="FU36" i="6"/>
  <c r="FT89" i="6"/>
  <c r="FS67" i="6"/>
  <c r="FS29" i="6"/>
  <c r="FS22" i="6"/>
  <c r="FW33" i="6"/>
  <c r="FV111" i="6"/>
  <c r="FU60" i="6"/>
  <c r="FV25" i="6"/>
  <c r="FV108" i="6"/>
  <c r="FU11" i="6"/>
  <c r="FS24" i="6"/>
  <c r="FT78" i="6"/>
  <c r="FS35" i="6"/>
  <c r="FU9" i="6"/>
  <c r="FW90" i="6"/>
  <c r="FT41" i="6"/>
  <c r="FT11" i="6"/>
  <c r="FR77" i="6"/>
  <c r="FR13" i="6"/>
  <c r="FR60" i="6"/>
  <c r="FR107" i="6"/>
  <c r="FR43" i="6"/>
  <c r="FR90" i="6"/>
  <c r="FR26" i="6"/>
  <c r="FR73" i="6"/>
  <c r="FR9" i="6"/>
  <c r="FR88" i="6"/>
  <c r="FR23" i="6"/>
  <c r="FR62" i="6"/>
  <c r="FR96" i="6"/>
  <c r="FR31" i="6"/>
  <c r="FR6" i="6"/>
  <c r="FW117" i="6"/>
  <c r="FS105" i="6"/>
  <c r="FT92" i="6"/>
  <c r="FU79" i="6"/>
  <c r="FV66" i="6"/>
  <c r="FW53" i="6"/>
  <c r="FS41" i="6"/>
  <c r="FT28" i="6"/>
  <c r="FU15" i="6"/>
  <c r="FU114" i="6"/>
  <c r="FV101" i="6"/>
  <c r="FW88" i="6"/>
  <c r="FS76" i="6"/>
  <c r="FT63" i="6"/>
  <c r="FU50" i="6"/>
  <c r="FV37" i="6"/>
  <c r="FW24" i="6"/>
  <c r="FS12" i="6"/>
  <c r="FS111" i="6"/>
  <c r="FT98" i="6"/>
  <c r="FU85" i="6"/>
  <c r="FV72" i="6"/>
  <c r="FW59" i="6"/>
  <c r="FS47" i="6"/>
  <c r="FT34" i="6"/>
  <c r="FU21" i="6"/>
  <c r="FV8" i="6"/>
  <c r="FV107" i="6"/>
  <c r="FW94" i="6"/>
  <c r="FS82" i="6"/>
  <c r="FT69" i="6"/>
  <c r="FU56" i="6"/>
  <c r="FV43" i="6"/>
  <c r="FW30" i="6"/>
  <c r="FS18" i="6"/>
  <c r="FS117" i="6"/>
  <c r="FT104" i="6"/>
  <c r="FU91" i="6"/>
  <c r="FV78" i="6"/>
  <c r="FW65" i="6"/>
  <c r="FS53" i="6"/>
  <c r="FT115" i="6"/>
  <c r="FU102" i="6"/>
  <c r="FV89" i="6"/>
  <c r="FW76" i="6"/>
  <c r="FS64" i="6"/>
  <c r="FT51" i="6"/>
  <c r="FV100" i="6"/>
  <c r="FU49" i="6"/>
  <c r="FV20" i="6"/>
  <c r="FT40" i="6"/>
  <c r="FU30" i="6"/>
  <c r="FW74" i="6"/>
  <c r="FT33" i="6"/>
  <c r="FW111" i="6"/>
  <c r="FV60" i="6"/>
  <c r="FW25" i="6"/>
  <c r="FT9" i="6"/>
  <c r="FT24" i="6"/>
  <c r="FT105" i="6"/>
  <c r="FS54" i="6"/>
  <c r="FU22" i="6"/>
  <c r="FU89" i="6"/>
  <c r="FU108" i="6"/>
  <c r="FU14" i="6"/>
  <c r="FW71" i="6"/>
  <c r="FW31" i="6"/>
  <c r="FT6" i="6"/>
  <c r="FU84" i="6"/>
  <c r="FS38" i="6"/>
  <c r="FR69" i="6"/>
  <c r="FR116" i="6"/>
  <c r="FR52" i="6"/>
  <c r="FR99" i="6"/>
  <c r="FR35" i="6"/>
  <c r="FR82" i="6"/>
  <c r="FR18" i="6"/>
  <c r="FR65" i="6"/>
  <c r="FR112" i="6"/>
  <c r="FR70" i="6"/>
  <c r="FR104" i="6"/>
  <c r="FR39" i="6"/>
  <c r="FR78" i="6"/>
  <c r="FR8" i="6"/>
  <c r="FT116" i="6"/>
  <c r="FU103" i="6"/>
  <c r="FV90" i="6"/>
  <c r="FW77" i="6"/>
  <c r="FS65" i="6"/>
  <c r="FT52" i="6"/>
  <c r="FU39" i="6"/>
  <c r="FV26" i="6"/>
  <c r="FW13" i="6"/>
  <c r="FW112" i="6"/>
  <c r="FS100" i="6"/>
  <c r="FT87" i="6"/>
  <c r="FU74" i="6"/>
  <c r="FV61" i="6"/>
  <c r="FW48" i="6"/>
  <c r="FS36" i="6"/>
  <c r="FT23" i="6"/>
  <c r="FU10" i="6"/>
  <c r="FU109" i="6"/>
  <c r="FV96" i="6"/>
  <c r="FW83" i="6"/>
  <c r="FS71" i="6"/>
  <c r="FT58" i="6"/>
  <c r="FU45" i="6"/>
  <c r="FV32" i="6"/>
  <c r="FW19" i="6"/>
  <c r="FS7" i="6"/>
  <c r="FS106" i="6"/>
  <c r="FT93" i="6"/>
  <c r="FU80" i="6"/>
  <c r="FV67" i="6"/>
  <c r="FW54" i="6"/>
  <c r="FS42" i="6"/>
  <c r="FT29" i="6"/>
  <c r="FU16" i="6"/>
  <c r="FU115" i="6"/>
  <c r="FV102" i="6"/>
  <c r="FW89" i="6"/>
  <c r="FS77" i="6"/>
  <c r="FT64" i="6"/>
  <c r="FU51" i="6"/>
  <c r="FV113" i="6"/>
  <c r="FW100" i="6"/>
  <c r="FS88" i="6"/>
  <c r="FT75" i="6"/>
  <c r="FU62" i="6"/>
  <c r="FV49" i="6"/>
  <c r="FT94" i="6"/>
  <c r="FS43" i="6"/>
  <c r="FU17" i="6"/>
  <c r="FU27" i="6"/>
  <c r="FV17" i="6"/>
  <c r="FU68" i="6"/>
  <c r="FS30" i="6"/>
  <c r="FU105" i="6"/>
  <c r="FT54" i="6"/>
  <c r="FV22" i="6"/>
  <c r="FS115" i="6"/>
  <c r="FV14" i="6"/>
  <c r="FW98" i="6"/>
  <c r="FV47" i="6"/>
  <c r="FT19" i="6"/>
  <c r="FV76" i="6"/>
  <c r="FV95" i="6"/>
  <c r="FV116" i="6"/>
  <c r="FU65" i="6"/>
  <c r="FV28" i="6"/>
  <c r="FU28" i="6"/>
  <c r="FS78" i="6"/>
  <c r="FW34" i="6"/>
  <c r="FR61" i="6"/>
  <c r="FR108" i="6"/>
  <c r="FR44" i="6"/>
  <c r="FR91" i="6"/>
  <c r="FR27" i="6"/>
  <c r="FR74" i="6"/>
  <c r="FR10" i="6"/>
  <c r="FR57" i="6"/>
  <c r="FR94" i="6"/>
  <c r="FR47" i="6"/>
  <c r="FR86" i="6"/>
  <c r="FR16" i="6"/>
  <c r="FR55" i="6"/>
  <c r="FV114" i="6"/>
  <c r="FW101" i="6"/>
  <c r="FS89" i="6"/>
  <c r="FT76" i="6"/>
  <c r="FU63" i="6"/>
  <c r="FV50" i="6"/>
  <c r="FW37" i="6"/>
  <c r="FS25" i="6"/>
  <c r="FT12" i="6"/>
  <c r="FT111" i="6"/>
  <c r="FU98" i="6"/>
  <c r="FV85" i="6"/>
  <c r="FW72" i="6"/>
  <c r="FS60" i="6"/>
  <c r="FT47" i="6"/>
  <c r="FU34" i="6"/>
  <c r="FV21" i="6"/>
  <c r="FW8" i="6"/>
  <c r="FW107" i="6"/>
  <c r="FS95" i="6"/>
  <c r="FT82" i="6"/>
  <c r="FU69" i="6"/>
  <c r="FV56" i="6"/>
  <c r="FW43" i="6"/>
  <c r="FS31" i="6"/>
  <c r="FT18" i="6"/>
  <c r="FT117" i="6"/>
  <c r="FU104" i="6"/>
  <c r="FV91" i="6"/>
  <c r="FW78" i="6"/>
  <c r="FS66" i="6"/>
  <c r="FT53" i="6"/>
  <c r="FU40" i="6"/>
  <c r="FV27" i="6"/>
  <c r="FW14" i="6"/>
  <c r="FW113" i="6"/>
  <c r="FS101" i="6"/>
  <c r="FT88" i="6"/>
  <c r="FU75" i="6"/>
  <c r="FV62" i="6"/>
  <c r="FW49" i="6"/>
  <c r="FS112" i="6"/>
  <c r="FT99" i="6"/>
  <c r="FU86" i="6"/>
  <c r="FV73" i="6"/>
  <c r="FW60" i="6"/>
  <c r="FS48" i="6"/>
  <c r="FW87" i="6"/>
  <c r="FW39" i="6"/>
  <c r="FT14" i="6"/>
  <c r="FW17" i="6"/>
  <c r="FT113" i="6"/>
  <c r="FS62" i="6"/>
  <c r="FW26" i="6"/>
  <c r="FS99" i="6"/>
  <c r="FW47" i="6"/>
  <c r="FU19" i="6"/>
  <c r="FW95" i="6"/>
  <c r="FW114" i="6"/>
  <c r="FU92" i="6"/>
  <c r="FV41" i="6"/>
  <c r="FS16" i="6"/>
  <c r="FW63" i="6"/>
  <c r="FW82" i="6"/>
  <c r="FT110" i="6"/>
  <c r="FS59" i="6"/>
  <c r="FU25" i="6"/>
  <c r="FS6" i="6"/>
  <c r="FV71" i="6"/>
  <c r="FV31" i="6"/>
  <c r="FR117" i="6"/>
  <c r="FR53" i="6"/>
  <c r="FR100" i="6"/>
  <c r="FR36" i="6"/>
  <c r="FR83" i="6"/>
  <c r="FR19" i="6"/>
  <c r="FR66" i="6"/>
  <c r="FR113" i="6"/>
  <c r="FR49" i="6"/>
  <c r="FR71" i="6"/>
  <c r="FR24" i="6"/>
  <c r="FR63" i="6"/>
  <c r="FR102" i="6"/>
  <c r="FR32" i="6"/>
  <c r="FS113" i="6"/>
  <c r="FT100" i="6"/>
  <c r="FU87" i="6"/>
  <c r="FV74" i="6"/>
  <c r="FW61" i="6"/>
  <c r="FS49" i="6"/>
  <c r="FT36" i="6"/>
  <c r="FU23" i="6"/>
  <c r="FV10" i="6"/>
  <c r="FV109" i="6"/>
  <c r="FW96" i="6"/>
  <c r="FS84" i="6"/>
  <c r="FT71" i="6"/>
  <c r="FU58" i="6"/>
  <c r="FV45" i="6"/>
  <c r="FW32" i="6"/>
  <c r="FS20" i="6"/>
  <c r="FT7" i="6"/>
  <c r="FT106" i="6"/>
  <c r="FU93" i="6"/>
  <c r="FV80" i="6"/>
  <c r="FW67" i="6"/>
  <c r="FS55" i="6"/>
  <c r="FT42" i="6"/>
  <c r="FU29" i="6"/>
  <c r="FV16" i="6"/>
  <c r="FV115" i="6"/>
  <c r="FW102" i="6"/>
  <c r="FS90" i="6"/>
  <c r="FT77" i="6"/>
  <c r="FU64" i="6"/>
  <c r="FV51" i="6"/>
  <c r="FW38" i="6"/>
  <c r="FS26" i="6"/>
  <c r="FT13" i="6"/>
  <c r="FT112" i="6"/>
  <c r="FU99" i="6"/>
  <c r="FV86" i="6"/>
  <c r="FW73" i="6"/>
  <c r="FS61" i="6"/>
  <c r="FT48" i="6"/>
  <c r="FU110" i="6"/>
  <c r="FV97" i="6"/>
  <c r="FW84" i="6"/>
  <c r="FS72" i="6"/>
  <c r="FT59" i="6"/>
  <c r="FU46" i="6"/>
  <c r="FU81" i="6"/>
  <c r="FV36" i="6"/>
  <c r="FS11" i="6"/>
  <c r="FT8" i="6"/>
  <c r="FW106" i="6"/>
  <c r="FV55" i="6"/>
  <c r="FU20" i="6"/>
  <c r="FV92" i="6"/>
  <c r="FW41" i="6"/>
  <c r="FT16" i="6"/>
  <c r="FS83" i="6"/>
  <c r="FW36" i="6"/>
  <c r="FS86" i="6"/>
  <c r="FU38" i="6"/>
  <c r="FW12" i="6"/>
  <c r="FS51" i="6"/>
  <c r="FS70" i="6"/>
  <c r="FW103" i="6"/>
  <c r="FV52" i="6"/>
  <c r="FT22" i="6"/>
  <c r="FU116" i="6"/>
  <c r="FT65" i="6"/>
  <c r="FW18" i="6"/>
  <c r="FR109" i="6"/>
  <c r="FR45" i="6"/>
  <c r="FR92" i="6"/>
  <c r="FR28" i="6"/>
  <c r="FR75" i="6"/>
  <c r="FR11" i="6"/>
  <c r="FR58" i="6"/>
  <c r="FR105" i="6"/>
  <c r="FR41" i="6"/>
  <c r="FR48" i="6"/>
  <c r="FR110" i="6"/>
  <c r="FR40" i="6"/>
  <c r="FR79" i="6"/>
  <c r="FR14" i="6"/>
  <c r="FU111" i="6"/>
  <c r="FV98" i="6"/>
  <c r="FW85" i="6"/>
  <c r="FS73" i="6"/>
  <c r="FT60" i="6"/>
  <c r="FU47" i="6"/>
  <c r="FV34" i="6"/>
  <c r="FW21" i="6"/>
  <c r="FS9" i="6"/>
  <c r="FS108" i="6"/>
  <c r="FT95" i="6"/>
  <c r="FU82" i="6"/>
  <c r="FV69" i="6"/>
  <c r="FW56" i="6"/>
  <c r="FS44" i="6"/>
  <c r="FT31" i="6"/>
  <c r="FU18" i="6"/>
  <c r="FU117" i="6"/>
  <c r="FV104" i="6"/>
  <c r="FW91" i="6"/>
  <c r="FS79" i="6"/>
  <c r="FT66" i="6"/>
  <c r="FU53" i="6"/>
  <c r="FV40" i="6"/>
  <c r="FW27" i="6"/>
  <c r="FS15" i="6"/>
  <c r="FS114" i="6"/>
  <c r="FT101" i="6"/>
  <c r="FU88" i="6"/>
  <c r="FV75" i="6"/>
  <c r="FW62" i="6"/>
  <c r="FS50" i="6"/>
  <c r="FT37" i="6"/>
  <c r="FU24" i="6"/>
  <c r="FV11" i="6"/>
  <c r="FV110" i="6"/>
  <c r="FW97" i="6"/>
  <c r="FS85" i="6"/>
  <c r="FT72" i="6"/>
  <c r="FU59" i="6"/>
  <c r="FV46" i="6"/>
  <c r="FW108" i="6"/>
  <c r="FS96" i="6"/>
  <c r="FT83" i="6"/>
  <c r="FU70" i="6"/>
  <c r="FV57" i="6"/>
  <c r="FW44" i="6"/>
  <c r="FS75" i="6"/>
  <c r="FU33" i="6"/>
  <c r="FW7" i="6"/>
  <c r="FS102" i="6"/>
  <c r="FU100" i="6"/>
  <c r="FT49" i="6"/>
  <c r="FT17" i="6"/>
  <c r="FT86" i="6"/>
  <c r="FV38" i="6"/>
  <c r="FS13" i="6"/>
  <c r="FT70" i="6"/>
  <c r="FT27" i="6"/>
  <c r="FV79" i="6"/>
  <c r="FT35" i="6"/>
  <c r="FV9" i="6"/>
  <c r="FS37" i="6"/>
  <c r="FT57" i="6"/>
  <c r="FU97" i="6"/>
  <c r="FT46" i="6"/>
  <c r="FS19" i="6"/>
  <c r="FS110" i="6"/>
  <c r="FW58" i="6"/>
  <c r="FV15" i="6"/>
  <c r="FR101" i="6"/>
  <c r="FR37" i="6"/>
  <c r="FR84" i="6"/>
  <c r="FR20" i="6"/>
  <c r="FR67" i="6"/>
  <c r="FR114" i="6"/>
  <c r="FR50" i="6"/>
  <c r="FR97" i="6"/>
  <c r="FR33" i="6"/>
  <c r="FR30" i="6"/>
  <c r="FR87" i="6"/>
  <c r="FR22" i="6"/>
  <c r="FR56" i="6"/>
  <c r="FR95" i="6"/>
  <c r="FS33" i="6"/>
  <c r="FU42" i="6"/>
  <c r="FW51" i="6"/>
  <c r="FT61" i="6"/>
  <c r="FV70" i="6"/>
  <c r="FT43" i="6"/>
  <c r="FW79" i="6"/>
  <c r="FV30" i="6"/>
  <c r="FR93" i="6"/>
  <c r="FR25" i="6"/>
  <c r="FT20" i="6"/>
  <c r="FS39" i="6"/>
  <c r="FW57" i="6"/>
  <c r="FU35" i="6"/>
  <c r="FW50" i="6"/>
  <c r="FR7" i="6"/>
  <c r="FV29" i="6"/>
  <c r="FU48" i="6"/>
  <c r="FV68" i="6"/>
  <c r="FR29" i="6"/>
  <c r="FW109" i="6"/>
  <c r="FU7" i="6"/>
  <c r="FW16" i="6"/>
  <c r="FT26" i="6"/>
  <c r="FV35" i="6"/>
  <c r="FS45" i="6"/>
  <c r="FT30" i="6"/>
  <c r="FW9" i="6"/>
  <c r="FS91" i="6"/>
  <c r="FR76" i="6"/>
  <c r="FR64" i="6"/>
  <c r="FS74" i="6"/>
  <c r="FU6" i="6"/>
  <c r="FS97" i="6"/>
  <c r="FU106" i="6"/>
  <c r="FW115" i="6"/>
  <c r="FU13" i="6"/>
  <c r="FW22" i="6"/>
  <c r="FT107" i="6"/>
  <c r="FV23" i="6"/>
  <c r="FU57" i="6"/>
  <c r="FU41" i="6"/>
  <c r="FR12" i="6"/>
  <c r="FR103" i="6"/>
  <c r="FV58" i="6"/>
  <c r="FT96" i="6"/>
  <c r="FW42" i="6"/>
  <c r="FT55" i="6"/>
  <c r="FS14" i="6"/>
  <c r="FT84" i="6"/>
  <c r="FV93" i="6"/>
  <c r="FS103" i="6"/>
  <c r="FU112" i="6"/>
  <c r="FS10" i="6"/>
  <c r="FU94" i="6"/>
  <c r="FU76" i="6"/>
  <c r="FW20" i="6"/>
  <c r="FW15" i="6"/>
  <c r="FR59" i="6"/>
  <c r="FR38" i="6"/>
  <c r="FU77" i="6"/>
  <c r="FS32" i="6"/>
  <c r="FU83" i="6"/>
  <c r="FU12" i="6"/>
  <c r="FU71" i="6"/>
  <c r="FW80" i="6"/>
  <c r="FT90" i="6"/>
  <c r="FV99" i="6"/>
  <c r="FS109" i="6"/>
  <c r="FV81" i="6"/>
  <c r="FS94" i="6"/>
  <c r="FT73" i="6"/>
  <c r="FV103" i="6"/>
  <c r="FR106" i="6"/>
  <c r="FR72" i="6"/>
  <c r="FS68" i="6"/>
  <c r="FW86" i="6"/>
  <c r="FW68" i="6"/>
  <c r="FU52" i="6"/>
  <c r="FW45" i="6"/>
  <c r="FS56" i="6"/>
  <c r="FR89" i="6"/>
  <c r="FR42" i="6"/>
  <c r="FV64" i="6"/>
  <c r="OC100" i="6"/>
  <c r="AAY76" i="6"/>
  <c r="KR54" i="6"/>
  <c r="QW38" i="6"/>
  <c r="RO12" i="6"/>
  <c r="JH46" i="6"/>
  <c r="LJ75" i="6"/>
  <c r="OU7" i="6"/>
  <c r="TQ45" i="6"/>
  <c r="JH114" i="6"/>
  <c r="OU40" i="6"/>
  <c r="ACT95" i="6"/>
  <c r="MB113" i="6"/>
  <c r="OC90" i="6"/>
  <c r="OC43" i="6"/>
  <c r="MB17" i="6"/>
  <c r="PM36" i="6"/>
  <c r="RO105" i="6"/>
  <c r="PM88" i="6"/>
  <c r="SY75" i="6"/>
  <c r="OU60" i="6"/>
  <c r="OU25" i="6"/>
  <c r="ACT59" i="6"/>
  <c r="SG81" i="6"/>
  <c r="JZ32" i="6"/>
  <c r="AB91" i="6"/>
  <c r="PM106" i="6"/>
  <c r="TQ51" i="6"/>
  <c r="HX60" i="6"/>
  <c r="OU37" i="6"/>
  <c r="QW75" i="6"/>
  <c r="JH67" i="6"/>
  <c r="ACT96" i="6"/>
  <c r="SY72" i="6"/>
  <c r="QE117" i="6"/>
  <c r="SG62" i="6"/>
  <c r="JH23" i="6"/>
  <c r="SY108" i="6"/>
  <c r="OU93" i="6"/>
  <c r="PM79" i="6"/>
  <c r="KR20" i="6"/>
  <c r="HX67" i="6"/>
  <c r="YV64" i="6"/>
  <c r="YV35" i="6"/>
  <c r="IP48" i="6"/>
  <c r="HX47" i="6"/>
  <c r="AAY19" i="6"/>
  <c r="QW69" i="6"/>
  <c r="IP19" i="6"/>
  <c r="OC16" i="6"/>
  <c r="JH106" i="6"/>
  <c r="JH14" i="6"/>
  <c r="QE77" i="6"/>
  <c r="PM107" i="6"/>
  <c r="SG90" i="6"/>
  <c r="OU58" i="6"/>
  <c r="HX7" i="6"/>
  <c r="LJ82" i="6"/>
  <c r="QW59" i="6"/>
  <c r="ACT52" i="6"/>
  <c r="KR114" i="6"/>
  <c r="JZ108" i="6"/>
  <c r="JH58" i="6"/>
  <c r="RO37" i="6"/>
  <c r="QW70" i="6"/>
  <c r="AAY92" i="6"/>
  <c r="HX82" i="6"/>
  <c r="MB78" i="6"/>
  <c r="AAY56" i="6"/>
  <c r="YV20" i="6"/>
  <c r="IP80" i="6"/>
  <c r="IP28" i="6"/>
  <c r="AB87" i="6"/>
  <c r="SG98" i="6"/>
  <c r="LJ70" i="6"/>
  <c r="KR52" i="6"/>
  <c r="RO94" i="6"/>
  <c r="TQ109" i="6"/>
  <c r="PM111" i="6"/>
  <c r="MB57" i="6"/>
  <c r="QE84" i="6"/>
  <c r="MB106" i="6"/>
  <c r="OU84" i="6"/>
  <c r="ACT70" i="6"/>
  <c r="SG41" i="6"/>
  <c r="IP14" i="6"/>
  <c r="HX93" i="6"/>
  <c r="UP102" i="6"/>
  <c r="UQ102" i="6" s="1"/>
  <c r="UP38" i="6"/>
  <c r="UQ38" i="6" s="1"/>
  <c r="UO87" i="6"/>
  <c r="UO23" i="6"/>
  <c r="UP93" i="6"/>
  <c r="UQ93" i="6" s="1"/>
  <c r="UP29" i="6"/>
  <c r="UQ29" i="6" s="1"/>
  <c r="UO70" i="6"/>
  <c r="UP36" i="6"/>
  <c r="UQ36" i="6" s="1"/>
  <c r="UP92" i="6"/>
  <c r="UQ92" i="6" s="1"/>
  <c r="UP20" i="6"/>
  <c r="UQ20" i="6" s="1"/>
  <c r="UO37" i="6"/>
  <c r="UP67" i="6"/>
  <c r="UQ67" i="6" s="1"/>
  <c r="UO116" i="6"/>
  <c r="UO52" i="6"/>
  <c r="UP114" i="6"/>
  <c r="UQ114" i="6" s="1"/>
  <c r="UP50" i="6"/>
  <c r="UQ50" i="6" s="1"/>
  <c r="UO99" i="6"/>
  <c r="UO35" i="6"/>
  <c r="UP113" i="6"/>
  <c r="UQ113" i="6" s="1"/>
  <c r="UP49" i="6"/>
  <c r="UQ49" i="6" s="1"/>
  <c r="UO98" i="6"/>
  <c r="UO34" i="6"/>
  <c r="UP96" i="6"/>
  <c r="UQ96" i="6" s="1"/>
  <c r="UP32" i="6"/>
  <c r="UQ32" i="6" s="1"/>
  <c r="UO41" i="6"/>
  <c r="UP63" i="6"/>
  <c r="UQ63" i="6" s="1"/>
  <c r="UO112" i="6"/>
  <c r="UO48" i="6"/>
  <c r="UP94" i="6"/>
  <c r="UQ94" i="6" s="1"/>
  <c r="UP30" i="6"/>
  <c r="UQ30" i="6" s="1"/>
  <c r="UO79" i="6"/>
  <c r="UO15" i="6"/>
  <c r="UP85" i="6"/>
  <c r="UQ85" i="6" s="1"/>
  <c r="UP21" i="6"/>
  <c r="UQ21" i="6" s="1"/>
  <c r="UO62" i="6"/>
  <c r="UO77" i="6"/>
  <c r="UP84" i="6"/>
  <c r="UQ84" i="6" s="1"/>
  <c r="UP12" i="6"/>
  <c r="UQ12" i="6" s="1"/>
  <c r="UO13" i="6"/>
  <c r="UP59" i="6"/>
  <c r="UQ59" i="6" s="1"/>
  <c r="UO108" i="6"/>
  <c r="UO44" i="6"/>
  <c r="UP106" i="6"/>
  <c r="UQ106" i="6" s="1"/>
  <c r="UP42" i="6"/>
  <c r="UQ42" i="6" s="1"/>
  <c r="UO91" i="6"/>
  <c r="UO27" i="6"/>
  <c r="UP105" i="6"/>
  <c r="UQ105" i="6" s="1"/>
  <c r="UP41" i="6"/>
  <c r="UQ41" i="6" s="1"/>
  <c r="UO90" i="6"/>
  <c r="UO26" i="6"/>
  <c r="UP88" i="6"/>
  <c r="UQ88" i="6" s="1"/>
  <c r="UP24" i="6"/>
  <c r="UQ24" i="6" s="1"/>
  <c r="UO9" i="6"/>
  <c r="UP55" i="6"/>
  <c r="UQ55" i="6" s="1"/>
  <c r="UO104" i="6"/>
  <c r="UO40" i="6"/>
  <c r="UP86" i="6"/>
  <c r="UQ86" i="6" s="1"/>
  <c r="UP22" i="6"/>
  <c r="UQ22" i="6" s="1"/>
  <c r="UO71" i="6"/>
  <c r="UO7" i="6"/>
  <c r="UP77" i="6"/>
  <c r="UQ77" i="6" s="1"/>
  <c r="UP13" i="6"/>
  <c r="UQ13" i="6" s="1"/>
  <c r="UO54" i="6"/>
  <c r="UO61" i="6"/>
  <c r="UP76" i="6"/>
  <c r="UQ76" i="6" s="1"/>
  <c r="UO117" i="6"/>
  <c r="UP115" i="6"/>
  <c r="UQ115" i="6" s="1"/>
  <c r="UP51" i="6"/>
  <c r="UQ51" i="6" s="1"/>
  <c r="UO100" i="6"/>
  <c r="UO36" i="6"/>
  <c r="UP98" i="6"/>
  <c r="UQ98" i="6" s="1"/>
  <c r="UP34" i="6"/>
  <c r="UQ34" i="6" s="1"/>
  <c r="UO83" i="6"/>
  <c r="UO19" i="6"/>
  <c r="UP97" i="6"/>
  <c r="UQ97" i="6" s="1"/>
  <c r="UP33" i="6"/>
  <c r="UQ33" i="6" s="1"/>
  <c r="UO82" i="6"/>
  <c r="UO18" i="6"/>
  <c r="UP80" i="6"/>
  <c r="UQ80" i="6" s="1"/>
  <c r="UP16" i="6"/>
  <c r="UQ16" i="6" s="1"/>
  <c r="UP111" i="6"/>
  <c r="UQ111" i="6" s="1"/>
  <c r="UP47" i="6"/>
  <c r="UQ47" i="6" s="1"/>
  <c r="UO96" i="6"/>
  <c r="UO32" i="6"/>
  <c r="UP78" i="6"/>
  <c r="UQ78" i="6" s="1"/>
  <c r="UP14" i="6"/>
  <c r="UQ14" i="6" s="1"/>
  <c r="UO63" i="6"/>
  <c r="UO109" i="6"/>
  <c r="UP69" i="6"/>
  <c r="UQ69" i="6" s="1"/>
  <c r="UO110" i="6"/>
  <c r="UO46" i="6"/>
  <c r="UO45" i="6"/>
  <c r="UP68" i="6"/>
  <c r="UQ68" i="6" s="1"/>
  <c r="UO101" i="6"/>
  <c r="UP107" i="6"/>
  <c r="UQ107" i="6" s="1"/>
  <c r="UP43" i="6"/>
  <c r="UQ43" i="6" s="1"/>
  <c r="UO92" i="6"/>
  <c r="UO28" i="6"/>
  <c r="UP90" i="6"/>
  <c r="UQ90" i="6" s="1"/>
  <c r="UP26" i="6"/>
  <c r="UQ26" i="6" s="1"/>
  <c r="UO75" i="6"/>
  <c r="UO11" i="6"/>
  <c r="UP89" i="6"/>
  <c r="UQ89" i="6" s="1"/>
  <c r="UP25" i="6"/>
  <c r="UQ25" i="6" s="1"/>
  <c r="UO74" i="6"/>
  <c r="UO10" i="6"/>
  <c r="UP72" i="6"/>
  <c r="UQ72" i="6" s="1"/>
  <c r="UO113" i="6"/>
  <c r="UP103" i="6"/>
  <c r="UQ103" i="6" s="1"/>
  <c r="UP39" i="6"/>
  <c r="UQ39" i="6" s="1"/>
  <c r="UO88" i="6"/>
  <c r="UO24" i="6"/>
  <c r="UP70" i="6"/>
  <c r="UQ70" i="6" s="1"/>
  <c r="UP6" i="6"/>
  <c r="UQ6" i="6" s="1"/>
  <c r="UO55" i="6"/>
  <c r="UO29" i="6"/>
  <c r="UP61" i="6"/>
  <c r="UQ61" i="6" s="1"/>
  <c r="UO102" i="6"/>
  <c r="UO38" i="6"/>
  <c r="UO21" i="6"/>
  <c r="UP60" i="6"/>
  <c r="UQ60" i="6" s="1"/>
  <c r="UO93" i="6"/>
  <c r="UP99" i="6"/>
  <c r="UQ99" i="6" s="1"/>
  <c r="UP35" i="6"/>
  <c r="UQ35" i="6" s="1"/>
  <c r="UO84" i="6"/>
  <c r="UO20" i="6"/>
  <c r="UP82" i="6"/>
  <c r="UQ82" i="6" s="1"/>
  <c r="UP18" i="6"/>
  <c r="UQ18" i="6" s="1"/>
  <c r="UO67" i="6"/>
  <c r="UP8" i="6"/>
  <c r="UQ8" i="6" s="1"/>
  <c r="UP81" i="6"/>
  <c r="UQ81" i="6" s="1"/>
  <c r="UP17" i="6"/>
  <c r="UQ17" i="6" s="1"/>
  <c r="UO66" i="6"/>
  <c r="UO97" i="6"/>
  <c r="UP64" i="6"/>
  <c r="UQ64" i="6" s="1"/>
  <c r="UO89" i="6"/>
  <c r="UP95" i="6"/>
  <c r="UQ95" i="6" s="1"/>
  <c r="UP31" i="6"/>
  <c r="UQ31" i="6" s="1"/>
  <c r="UO80" i="6"/>
  <c r="UO16" i="6"/>
  <c r="UP62" i="6"/>
  <c r="UQ62" i="6" s="1"/>
  <c r="UO111" i="6"/>
  <c r="UO47" i="6"/>
  <c r="UP117" i="6"/>
  <c r="UQ117" i="6" s="1"/>
  <c r="UP53" i="6"/>
  <c r="UQ53" i="6" s="1"/>
  <c r="UO94" i="6"/>
  <c r="UO30" i="6"/>
  <c r="UP116" i="6"/>
  <c r="UQ116" i="6" s="1"/>
  <c r="UP52" i="6"/>
  <c r="UQ52" i="6" s="1"/>
  <c r="UO85" i="6"/>
  <c r="UP91" i="6"/>
  <c r="UQ91" i="6" s="1"/>
  <c r="UP27" i="6"/>
  <c r="UQ27" i="6" s="1"/>
  <c r="UO76" i="6"/>
  <c r="UO12" i="6"/>
  <c r="UP74" i="6"/>
  <c r="UQ74" i="6" s="1"/>
  <c r="UP10" i="6"/>
  <c r="UQ10" i="6" s="1"/>
  <c r="UO59" i="6"/>
  <c r="UO65" i="6"/>
  <c r="UP73" i="6"/>
  <c r="UQ73" i="6" s="1"/>
  <c r="UP9" i="6"/>
  <c r="UQ9" i="6" s="1"/>
  <c r="UO58" i="6"/>
  <c r="UO25" i="6"/>
  <c r="UP56" i="6"/>
  <c r="UQ56" i="6" s="1"/>
  <c r="UO81" i="6"/>
  <c r="UP87" i="6"/>
  <c r="UQ87" i="6" s="1"/>
  <c r="UP23" i="6"/>
  <c r="UQ23" i="6" s="1"/>
  <c r="UO72" i="6"/>
  <c r="UO8" i="6"/>
  <c r="UO6" i="6"/>
  <c r="UP54" i="6"/>
  <c r="UQ54" i="6" s="1"/>
  <c r="UO103" i="6"/>
  <c r="UO39" i="6"/>
  <c r="UP109" i="6"/>
  <c r="UQ109" i="6" s="1"/>
  <c r="UP45" i="6"/>
  <c r="UQ45" i="6" s="1"/>
  <c r="UO86" i="6"/>
  <c r="UO22" i="6"/>
  <c r="UP108" i="6"/>
  <c r="UQ108" i="6" s="1"/>
  <c r="UP44" i="6"/>
  <c r="UQ44" i="6" s="1"/>
  <c r="UO69" i="6"/>
  <c r="UP83" i="6"/>
  <c r="UQ83" i="6" s="1"/>
  <c r="UP19" i="6"/>
  <c r="UQ19" i="6" s="1"/>
  <c r="UO68" i="6"/>
  <c r="UO105" i="6"/>
  <c r="UP66" i="6"/>
  <c r="UQ66" i="6" s="1"/>
  <c r="UO115" i="6"/>
  <c r="UO51" i="6"/>
  <c r="UO49" i="6"/>
  <c r="UP65" i="6"/>
  <c r="UQ65" i="6" s="1"/>
  <c r="UO114" i="6"/>
  <c r="UO50" i="6"/>
  <c r="UP112" i="6"/>
  <c r="UQ112" i="6" s="1"/>
  <c r="UP48" i="6"/>
  <c r="UQ48" i="6" s="1"/>
  <c r="UO73" i="6"/>
  <c r="UP79" i="6"/>
  <c r="UQ79" i="6" s="1"/>
  <c r="UP15" i="6"/>
  <c r="UQ15" i="6" s="1"/>
  <c r="UO64" i="6"/>
  <c r="UP110" i="6"/>
  <c r="UQ110" i="6" s="1"/>
  <c r="UP46" i="6"/>
  <c r="UQ46" i="6" s="1"/>
  <c r="UO95" i="6"/>
  <c r="UO31" i="6"/>
  <c r="UP101" i="6"/>
  <c r="UQ101" i="6" s="1"/>
  <c r="UP37" i="6"/>
  <c r="UQ37" i="6" s="1"/>
  <c r="UO78" i="6"/>
  <c r="UO14" i="6"/>
  <c r="UP100" i="6"/>
  <c r="UQ100" i="6" s="1"/>
  <c r="UP28" i="6"/>
  <c r="UQ28" i="6" s="1"/>
  <c r="UO53" i="6"/>
  <c r="UP75" i="6"/>
  <c r="UQ75" i="6" s="1"/>
  <c r="UP11" i="6"/>
  <c r="UQ11" i="6" s="1"/>
  <c r="UO60" i="6"/>
  <c r="UO17" i="6"/>
  <c r="UP58" i="6"/>
  <c r="UQ58" i="6" s="1"/>
  <c r="UO107" i="6"/>
  <c r="UO43" i="6"/>
  <c r="UO33" i="6"/>
  <c r="UP57" i="6"/>
  <c r="UQ57" i="6" s="1"/>
  <c r="UO106" i="6"/>
  <c r="UO42" i="6"/>
  <c r="UP104" i="6"/>
  <c r="UQ104" i="6" s="1"/>
  <c r="UP40" i="6"/>
  <c r="UQ40" i="6" s="1"/>
  <c r="UO57" i="6"/>
  <c r="UP71" i="6"/>
  <c r="UQ71" i="6" s="1"/>
  <c r="UP7" i="6"/>
  <c r="UQ7" i="6" s="1"/>
  <c r="UO56" i="6"/>
  <c r="TQ31" i="6"/>
  <c r="HX108" i="6"/>
  <c r="LJ87" i="6"/>
  <c r="KR81" i="6"/>
  <c r="ACT49" i="6"/>
  <c r="YV110" i="6"/>
  <c r="SG100" i="6"/>
  <c r="JZ30" i="6"/>
  <c r="JH43" i="6"/>
  <c r="AB110" i="6"/>
  <c r="HX114" i="6"/>
  <c r="IP108" i="6"/>
  <c r="PM81" i="6"/>
  <c r="OC27" i="6"/>
  <c r="HX73" i="6"/>
  <c r="AAY16" i="6"/>
  <c r="SY112" i="6"/>
  <c r="AAY37" i="6"/>
  <c r="RO64" i="6"/>
  <c r="OU55" i="6"/>
  <c r="MB70" i="6"/>
  <c r="AB7" i="6"/>
  <c r="IP33" i="6"/>
  <c r="RO53" i="6"/>
  <c r="QW117" i="6"/>
  <c r="TQ105" i="6"/>
  <c r="YV99" i="6"/>
  <c r="AB42" i="6"/>
  <c r="QE16" i="6"/>
  <c r="MB79" i="6"/>
  <c r="QW12" i="6"/>
  <c r="QE104" i="6"/>
  <c r="LJ96" i="6"/>
  <c r="KR59" i="6"/>
  <c r="YV28" i="6"/>
  <c r="QE38" i="6"/>
  <c r="OC30" i="6"/>
  <c r="SG110" i="6"/>
  <c r="SY36" i="6"/>
  <c r="QE75" i="6"/>
  <c r="JH15" i="6"/>
  <c r="OC63" i="6"/>
  <c r="SY92" i="6"/>
  <c r="ACT109" i="6"/>
  <c r="AB21" i="6"/>
  <c r="IP45" i="6"/>
  <c r="IP36" i="6"/>
  <c r="AB107" i="6"/>
  <c r="AAY116" i="6"/>
  <c r="AAY86" i="6"/>
  <c r="RO30" i="6"/>
  <c r="TQ64" i="6"/>
  <c r="QW42" i="6"/>
  <c r="SY18" i="6"/>
  <c r="ACT106" i="6"/>
  <c r="KR101" i="6"/>
  <c r="MB50" i="6"/>
  <c r="OC18" i="6"/>
  <c r="JH8" i="6"/>
  <c r="IP52" i="6"/>
  <c r="LJ107" i="6"/>
  <c r="HX101" i="6"/>
  <c r="JH50" i="6"/>
  <c r="PM22" i="6"/>
  <c r="PM77" i="6"/>
  <c r="AB55" i="6"/>
  <c r="OC15" i="6"/>
  <c r="QW116" i="6"/>
  <c r="OU38" i="6"/>
  <c r="OU77" i="6"/>
  <c r="SG12" i="6"/>
  <c r="JZ53" i="6"/>
  <c r="OC116" i="6"/>
  <c r="IP105" i="6"/>
  <c r="QE9" i="6"/>
  <c r="JH116" i="6"/>
  <c r="KR109" i="6"/>
  <c r="HX83" i="6"/>
  <c r="SY13" i="6"/>
  <c r="QE62" i="6"/>
  <c r="QW48" i="6"/>
  <c r="OU117" i="6"/>
  <c r="QE30" i="6"/>
  <c r="OC74" i="6"/>
  <c r="IP111" i="6"/>
  <c r="AAY91" i="6"/>
  <c r="TQ81" i="6"/>
  <c r="QW29" i="6"/>
  <c r="SY63" i="6"/>
  <c r="OU48" i="6"/>
  <c r="SY41" i="6"/>
  <c r="RO92" i="6"/>
  <c r="KR36" i="6"/>
  <c r="HX75" i="6"/>
  <c r="LJ59" i="6"/>
  <c r="ACT48" i="6"/>
  <c r="PM91" i="6"/>
  <c r="AB84" i="6"/>
  <c r="IP63" i="6"/>
  <c r="SG19" i="6"/>
  <c r="AAY35" i="6"/>
  <c r="MB87" i="6"/>
  <c r="JZ35" i="6"/>
  <c r="TQ20" i="6"/>
  <c r="AB16" i="6"/>
  <c r="OU89" i="6"/>
  <c r="KR84" i="6"/>
  <c r="MB107" i="6"/>
  <c r="QW32" i="6"/>
  <c r="OC58" i="6"/>
  <c r="AB35" i="6"/>
  <c r="AB101" i="6"/>
  <c r="QE64" i="6"/>
  <c r="YV15" i="6"/>
  <c r="AAY44" i="6"/>
  <c r="SG103" i="6"/>
  <c r="YV95" i="6"/>
  <c r="YV57" i="6"/>
  <c r="SG54" i="6"/>
  <c r="IP97" i="6"/>
  <c r="JZ82" i="6"/>
  <c r="IP69" i="6"/>
  <c r="SG11" i="6"/>
  <c r="QW27" i="6"/>
  <c r="LJ74" i="6"/>
  <c r="SG102" i="6"/>
  <c r="PM35" i="6"/>
  <c r="SG66" i="6"/>
  <c r="QE50" i="6"/>
  <c r="AB20" i="6"/>
  <c r="PM44" i="6"/>
  <c r="QE24" i="6"/>
  <c r="KR56" i="6"/>
  <c r="TQ36" i="6"/>
  <c r="OC75" i="6"/>
  <c r="OC66" i="6"/>
  <c r="YV74" i="6"/>
  <c r="SY95" i="6"/>
  <c r="KR63" i="6"/>
  <c r="YV48" i="6"/>
  <c r="LJ51" i="6"/>
  <c r="JZ44" i="6"/>
  <c r="LJ21" i="6"/>
  <c r="QE59" i="6"/>
  <c r="RO85" i="6"/>
  <c r="YI113" i="6"/>
  <c r="YH109" i="6"/>
  <c r="YH77" i="6"/>
  <c r="YI44" i="6"/>
  <c r="YI12" i="6"/>
  <c r="YI110" i="6"/>
  <c r="YI78" i="6"/>
  <c r="YI46" i="6"/>
  <c r="YH14" i="6"/>
  <c r="YH106" i="6"/>
  <c r="YI60" i="6"/>
  <c r="YI17" i="6"/>
  <c r="YG63" i="6"/>
  <c r="YI116" i="6"/>
  <c r="YH87" i="6"/>
  <c r="YI43" i="6"/>
  <c r="YG109" i="6"/>
  <c r="YG38" i="6"/>
  <c r="YH114" i="6"/>
  <c r="YI67" i="6"/>
  <c r="YH24" i="6"/>
  <c r="YG73" i="6"/>
  <c r="YG9" i="6"/>
  <c r="YH43" i="6"/>
  <c r="YG64" i="6"/>
  <c r="YG10" i="6"/>
  <c r="YH115" i="6"/>
  <c r="YI34" i="6"/>
  <c r="YG50" i="6"/>
  <c r="YH51" i="6"/>
  <c r="YG35" i="6"/>
  <c r="YG105" i="6"/>
  <c r="YG34" i="6"/>
  <c r="YI39" i="6"/>
  <c r="YG58" i="6"/>
  <c r="YH56" i="6"/>
  <c r="YG82" i="6"/>
  <c r="YH83" i="6"/>
  <c r="YH11" i="6"/>
  <c r="YG16" i="6"/>
  <c r="YH45" i="6"/>
  <c r="YG66" i="6"/>
  <c r="YI109" i="6"/>
  <c r="YH105" i="6"/>
  <c r="YH73" i="6"/>
  <c r="YI40" i="6"/>
  <c r="YI8" i="6"/>
  <c r="YI106" i="6"/>
  <c r="YI74" i="6"/>
  <c r="YH42" i="6"/>
  <c r="YH10" i="6"/>
  <c r="YI99" i="6"/>
  <c r="YI55" i="6"/>
  <c r="YH12" i="6"/>
  <c r="YG55" i="6"/>
  <c r="YH104" i="6"/>
  <c r="YI81" i="6"/>
  <c r="YI38" i="6"/>
  <c r="YG98" i="6"/>
  <c r="YG30" i="6"/>
  <c r="YI107" i="6"/>
  <c r="YH62" i="6"/>
  <c r="YH19" i="6"/>
  <c r="YG65" i="6"/>
  <c r="YI115" i="6"/>
  <c r="YI35" i="6"/>
  <c r="YG51" i="6"/>
  <c r="YH110" i="6"/>
  <c r="YH102" i="6"/>
  <c r="YI25" i="6"/>
  <c r="YG36" i="6"/>
  <c r="YI41" i="6"/>
  <c r="YH67" i="6"/>
  <c r="YG21" i="6"/>
  <c r="YI108" i="6"/>
  <c r="YH31" i="6"/>
  <c r="YG44" i="6"/>
  <c r="YI47" i="6"/>
  <c r="YG68" i="6"/>
  <c r="YH72" i="6"/>
  <c r="YG114" i="6"/>
  <c r="YH116" i="6"/>
  <c r="YH36" i="6"/>
  <c r="YG52" i="6"/>
  <c r="YI105" i="6"/>
  <c r="YH101" i="6"/>
  <c r="YH69" i="6"/>
  <c r="YI36" i="6"/>
  <c r="YG116" i="6"/>
  <c r="YI102" i="6"/>
  <c r="YI70" i="6"/>
  <c r="YH38" i="6"/>
  <c r="YH6" i="6"/>
  <c r="YI92" i="6"/>
  <c r="YH50" i="6"/>
  <c r="YH7" i="6"/>
  <c r="YG47" i="6"/>
  <c r="YI91" i="6"/>
  <c r="YH76" i="6"/>
  <c r="YH33" i="6"/>
  <c r="YG88" i="6"/>
  <c r="YG22" i="6"/>
  <c r="YI100" i="6"/>
  <c r="YI56" i="6"/>
  <c r="YI13" i="6"/>
  <c r="YG57" i="6"/>
  <c r="YH103" i="6"/>
  <c r="YI26" i="6"/>
  <c r="YG37" i="6"/>
  <c r="YI48" i="6"/>
  <c r="YI89" i="6"/>
  <c r="YH16" i="6"/>
  <c r="YG24" i="6"/>
  <c r="YH32" i="6"/>
  <c r="YH41" i="6"/>
  <c r="YI85" i="6"/>
  <c r="YH96" i="6"/>
  <c r="YI21" i="6"/>
  <c r="YG32" i="6"/>
  <c r="YI37" i="6"/>
  <c r="YG56" i="6"/>
  <c r="YI63" i="6"/>
  <c r="YG96" i="6"/>
  <c r="YI103" i="6"/>
  <c r="YH27" i="6"/>
  <c r="YG40" i="6"/>
  <c r="YI101" i="6"/>
  <c r="YH97" i="6"/>
  <c r="YH65" i="6"/>
  <c r="YI32" i="6"/>
  <c r="YG108" i="6"/>
  <c r="YI98" i="6"/>
  <c r="YI66" i="6"/>
  <c r="YH34" i="6"/>
  <c r="YG111" i="6"/>
  <c r="YI87" i="6"/>
  <c r="YH44" i="6"/>
  <c r="YG110" i="6"/>
  <c r="YG39" i="6"/>
  <c r="YI80" i="6"/>
  <c r="YH71" i="6"/>
  <c r="YI27" i="6"/>
  <c r="YG78" i="6"/>
  <c r="YG14" i="6"/>
  <c r="YH95" i="6"/>
  <c r="YI51" i="6"/>
  <c r="YH8" i="6"/>
  <c r="YG49" i="6"/>
  <c r="YH90" i="6"/>
  <c r="YI18" i="6"/>
  <c r="YG26" i="6"/>
  <c r="YI23" i="6"/>
  <c r="YH79" i="6"/>
  <c r="YH9" i="6"/>
  <c r="YG11" i="6"/>
  <c r="YH25" i="6"/>
  <c r="YH15" i="6"/>
  <c r="YG72" i="6"/>
  <c r="YI84" i="6"/>
  <c r="YI14" i="6"/>
  <c r="YH108" i="6"/>
  <c r="YI30" i="6"/>
  <c r="YG43" i="6"/>
  <c r="YH54" i="6"/>
  <c r="YG80" i="6"/>
  <c r="YH91" i="6"/>
  <c r="YI19" i="6"/>
  <c r="YG27" i="6"/>
  <c r="YI97" i="6"/>
  <c r="YH93" i="6"/>
  <c r="YH61" i="6"/>
  <c r="YI28" i="6"/>
  <c r="YG100" i="6"/>
  <c r="YI94" i="6"/>
  <c r="YI62" i="6"/>
  <c r="YH30" i="6"/>
  <c r="YG103" i="6"/>
  <c r="YH82" i="6"/>
  <c r="YH39" i="6"/>
  <c r="YG99" i="6"/>
  <c r="YG31" i="6"/>
  <c r="YI111" i="6"/>
  <c r="YI65" i="6"/>
  <c r="YI22" i="6"/>
  <c r="YG70" i="6"/>
  <c r="YH111" i="6"/>
  <c r="YI88" i="6"/>
  <c r="YH46" i="6"/>
  <c r="YG113" i="6"/>
  <c r="YG41" i="6"/>
  <c r="YI79" i="6"/>
  <c r="YI9" i="6"/>
  <c r="YG12" i="6"/>
  <c r="YG104" i="6"/>
  <c r="YI68" i="6"/>
  <c r="YG106" i="6"/>
  <c r="YI112" i="6"/>
  <c r="YI15" i="6"/>
  <c r="YG85" i="6"/>
  <c r="YI96" i="6"/>
  <c r="YH74" i="6"/>
  <c r="YJ74" i="6" s="1"/>
  <c r="YG117" i="6"/>
  <c r="YI95" i="6"/>
  <c r="YH21" i="6"/>
  <c r="YG29" i="6"/>
  <c r="YH47" i="6"/>
  <c r="YJ47" i="6" s="1"/>
  <c r="YG67" i="6"/>
  <c r="YH80" i="6"/>
  <c r="YI10" i="6"/>
  <c r="YG13" i="6"/>
  <c r="YI93" i="6"/>
  <c r="YH89" i="6"/>
  <c r="YH57" i="6"/>
  <c r="YI24" i="6"/>
  <c r="YG92" i="6"/>
  <c r="YI90" i="6"/>
  <c r="YI58" i="6"/>
  <c r="YH26" i="6"/>
  <c r="YG95" i="6"/>
  <c r="YI76" i="6"/>
  <c r="YI33" i="6"/>
  <c r="YG89" i="6"/>
  <c r="YG23" i="6"/>
  <c r="YI104" i="6"/>
  <c r="YH60" i="6"/>
  <c r="YH17" i="6"/>
  <c r="YG62" i="6"/>
  <c r="YH98" i="6"/>
  <c r="YJ98" i="6" s="1"/>
  <c r="YI83" i="6"/>
  <c r="YH40" i="6"/>
  <c r="YJ40" i="6" s="1"/>
  <c r="YG102" i="6"/>
  <c r="YG33" i="6"/>
  <c r="YI69" i="6"/>
  <c r="YG107" i="6"/>
  <c r="YI77" i="6"/>
  <c r="YG59" i="6"/>
  <c r="YI59" i="6"/>
  <c r="YG90" i="6"/>
  <c r="YH88" i="6"/>
  <c r="YI7" i="6"/>
  <c r="YG45" i="6"/>
  <c r="YH75" i="6"/>
  <c r="YI64" i="6"/>
  <c r="YG101" i="6"/>
  <c r="YH84" i="6"/>
  <c r="YH13" i="6"/>
  <c r="YG18" i="6"/>
  <c r="YH37" i="6"/>
  <c r="YJ37" i="6" s="1"/>
  <c r="YG53" i="6"/>
  <c r="YH70" i="6"/>
  <c r="YG112" i="6"/>
  <c r="YI45" i="6"/>
  <c r="YH117" i="6"/>
  <c r="YH85" i="6"/>
  <c r="YH53" i="6"/>
  <c r="YI20" i="6"/>
  <c r="YG84" i="6"/>
  <c r="YI86" i="6"/>
  <c r="YI54" i="6"/>
  <c r="YH22" i="6"/>
  <c r="YG87" i="6"/>
  <c r="YI71" i="6"/>
  <c r="YH28" i="6"/>
  <c r="YG79" i="6"/>
  <c r="YG15" i="6"/>
  <c r="YH99" i="6"/>
  <c r="YH55" i="6"/>
  <c r="YI11" i="6"/>
  <c r="YG54" i="6"/>
  <c r="YH86" i="6"/>
  <c r="YH78" i="6"/>
  <c r="YJ78" i="6" s="1"/>
  <c r="YH35" i="6"/>
  <c r="YG91" i="6"/>
  <c r="YG25" i="6"/>
  <c r="YI61" i="6"/>
  <c r="YG93" i="6"/>
  <c r="YG74" i="6"/>
  <c r="YG8" i="6"/>
  <c r="YH52" i="6"/>
  <c r="YG75" i="6"/>
  <c r="YH68" i="6"/>
  <c r="YG86" i="6"/>
  <c r="YG20" i="6"/>
  <c r="YH58" i="6"/>
  <c r="YI57" i="6"/>
  <c r="YG83" i="6"/>
  <c r="YI73" i="6"/>
  <c r="YG115" i="6"/>
  <c r="YH107" i="6"/>
  <c r="YH29" i="6"/>
  <c r="YG42" i="6"/>
  <c r="YH63" i="6"/>
  <c r="YG94" i="6"/>
  <c r="YG6" i="6"/>
  <c r="YI117" i="6"/>
  <c r="YH113" i="6"/>
  <c r="YH81" i="6"/>
  <c r="YJ81" i="6" s="1"/>
  <c r="YH49" i="6"/>
  <c r="YI16" i="6"/>
  <c r="YI114" i="6"/>
  <c r="YI82" i="6"/>
  <c r="YI50" i="6"/>
  <c r="YH18" i="6"/>
  <c r="YH112" i="6"/>
  <c r="YH66" i="6"/>
  <c r="YH23" i="6"/>
  <c r="YG71" i="6"/>
  <c r="YG7" i="6"/>
  <c r="YH92" i="6"/>
  <c r="YI49" i="6"/>
  <c r="YI6" i="6"/>
  <c r="YG46" i="6"/>
  <c r="YI75" i="6"/>
  <c r="YI72" i="6"/>
  <c r="YI29" i="6"/>
  <c r="YG81" i="6"/>
  <c r="YG17" i="6"/>
  <c r="YI52" i="6"/>
  <c r="YG76" i="6"/>
  <c r="YG48" i="6"/>
  <c r="YG19" i="6"/>
  <c r="YI42" i="6"/>
  <c r="YG61" i="6"/>
  <c r="YH59" i="6"/>
  <c r="YG60" i="6"/>
  <c r="YH100" i="6"/>
  <c r="YI31" i="6"/>
  <c r="YH48" i="6"/>
  <c r="YG69" i="6"/>
  <c r="YH64" i="6"/>
  <c r="YG97" i="6"/>
  <c r="YH94" i="6"/>
  <c r="YH20" i="6"/>
  <c r="YG28" i="6"/>
  <c r="YI53" i="6"/>
  <c r="YG77" i="6"/>
  <c r="AAY70" i="6"/>
  <c r="AB12" i="6"/>
  <c r="CO67" i="6"/>
  <c r="CP67" i="6" s="1"/>
  <c r="CO117" i="6"/>
  <c r="CP117" i="6" s="1"/>
  <c r="CO53" i="6"/>
  <c r="CP53" i="6" s="1"/>
  <c r="CO50" i="6"/>
  <c r="CP50" i="6" s="1"/>
  <c r="CO49" i="6"/>
  <c r="CP49" i="6" s="1"/>
  <c r="CO91" i="6"/>
  <c r="CP91" i="6" s="1"/>
  <c r="CO27" i="6"/>
  <c r="CP27" i="6" s="1"/>
  <c r="CO17" i="6"/>
  <c r="CP17" i="6" s="1"/>
  <c r="CO77" i="6"/>
  <c r="CP77" i="6" s="1"/>
  <c r="CO13" i="6"/>
  <c r="CP13" i="6" s="1"/>
  <c r="CO64" i="6"/>
  <c r="CP64" i="6" s="1"/>
  <c r="CO63" i="6"/>
  <c r="CP63" i="6" s="1"/>
  <c r="CO11" i="6"/>
  <c r="CP11" i="6" s="1"/>
  <c r="CO94" i="6"/>
  <c r="CP94" i="6" s="1"/>
  <c r="CN77" i="6"/>
  <c r="CN13" i="6"/>
  <c r="CN60" i="6"/>
  <c r="CN107" i="6"/>
  <c r="CN43" i="6"/>
  <c r="CN90" i="6"/>
  <c r="CN26" i="6"/>
  <c r="CN73" i="6"/>
  <c r="CN9" i="6"/>
  <c r="CN56" i="6"/>
  <c r="CN103" i="6"/>
  <c r="CN39" i="6"/>
  <c r="CN86" i="6"/>
  <c r="CN22" i="6"/>
  <c r="CO54" i="6"/>
  <c r="CP54" i="6" s="1"/>
  <c r="CO111" i="6"/>
  <c r="CP111" i="6" s="1"/>
  <c r="CO47" i="6"/>
  <c r="CP47" i="6" s="1"/>
  <c r="CO6" i="6"/>
  <c r="CP6" i="6" s="1"/>
  <c r="CO24" i="6"/>
  <c r="CP24" i="6" s="1"/>
  <c r="CO78" i="6"/>
  <c r="CP78" i="6" s="1"/>
  <c r="CO14" i="6"/>
  <c r="CP14" i="6" s="1"/>
  <c r="CO100" i="6"/>
  <c r="CP100" i="6" s="1"/>
  <c r="CO71" i="6"/>
  <c r="CP71" i="6" s="1"/>
  <c r="CO7" i="6"/>
  <c r="CP7" i="6" s="1"/>
  <c r="CO57" i="6"/>
  <c r="CP57" i="6" s="1"/>
  <c r="CO44" i="6"/>
  <c r="CP44" i="6" s="1"/>
  <c r="CO93" i="6"/>
  <c r="CP93" i="6" s="1"/>
  <c r="CO106" i="6"/>
  <c r="CP106" i="6" s="1"/>
  <c r="CN69" i="6"/>
  <c r="CN116" i="6"/>
  <c r="CN52" i="6"/>
  <c r="CN99" i="6"/>
  <c r="CN35" i="6"/>
  <c r="CN82" i="6"/>
  <c r="CN18" i="6"/>
  <c r="CN65" i="6"/>
  <c r="CN112" i="6"/>
  <c r="CN48" i="6"/>
  <c r="CN95" i="6"/>
  <c r="CN31" i="6"/>
  <c r="CN78" i="6"/>
  <c r="CN14" i="6"/>
  <c r="CN6" i="6"/>
  <c r="CO112" i="6"/>
  <c r="CP112" i="6" s="1"/>
  <c r="CO48" i="6"/>
  <c r="CP48" i="6" s="1"/>
  <c r="CO98" i="6"/>
  <c r="CP98" i="6" s="1"/>
  <c r="CO34" i="6"/>
  <c r="CP34" i="6" s="1"/>
  <c r="CO108" i="6"/>
  <c r="CP108" i="6" s="1"/>
  <c r="CO87" i="6"/>
  <c r="CP87" i="6" s="1"/>
  <c r="CO72" i="6"/>
  <c r="CP72" i="6" s="1"/>
  <c r="CO8" i="6"/>
  <c r="CP8" i="6" s="1"/>
  <c r="CO42" i="6"/>
  <c r="CP42" i="6" s="1"/>
  <c r="CO58" i="6"/>
  <c r="CP58" i="6" s="1"/>
  <c r="CO115" i="6"/>
  <c r="CP115" i="6" s="1"/>
  <c r="CO51" i="6"/>
  <c r="CP51" i="6" s="1"/>
  <c r="CO18" i="6"/>
  <c r="CP18" i="6" s="1"/>
  <c r="CO74" i="6"/>
  <c r="CP74" i="6" s="1"/>
  <c r="CN61" i="6"/>
  <c r="CN108" i="6"/>
  <c r="CN44" i="6"/>
  <c r="CN91" i="6"/>
  <c r="CN27" i="6"/>
  <c r="CN74" i="6"/>
  <c r="CN10" i="6"/>
  <c r="CN57" i="6"/>
  <c r="CN104" i="6"/>
  <c r="CN40" i="6"/>
  <c r="CN87" i="6"/>
  <c r="CN23" i="6"/>
  <c r="CN70" i="6"/>
  <c r="CO105" i="6"/>
  <c r="CP105" i="6" s="1"/>
  <c r="CO41" i="6"/>
  <c r="CP41" i="6" s="1"/>
  <c r="CO92" i="6"/>
  <c r="CP92" i="6" s="1"/>
  <c r="CO28" i="6"/>
  <c r="CP28" i="6" s="1"/>
  <c r="CO76" i="6"/>
  <c r="CP76" i="6" s="1"/>
  <c r="CO36" i="6"/>
  <c r="CP36" i="6" s="1"/>
  <c r="CO65" i="6"/>
  <c r="CP65" i="6" s="1"/>
  <c r="CO114" i="6"/>
  <c r="CP114" i="6" s="1"/>
  <c r="CO116" i="6"/>
  <c r="CP116" i="6" s="1"/>
  <c r="CO52" i="6"/>
  <c r="CP52" i="6" s="1"/>
  <c r="CO102" i="6"/>
  <c r="CP102" i="6" s="1"/>
  <c r="CO38" i="6"/>
  <c r="CP38" i="6" s="1"/>
  <c r="CO107" i="6"/>
  <c r="CP107" i="6" s="1"/>
  <c r="CO68" i="6"/>
  <c r="CP68" i="6" s="1"/>
  <c r="CN117" i="6"/>
  <c r="CN53" i="6"/>
  <c r="CN100" i="6"/>
  <c r="CN36" i="6"/>
  <c r="CN83" i="6"/>
  <c r="CN19" i="6"/>
  <c r="CN66" i="6"/>
  <c r="CN113" i="6"/>
  <c r="CN49" i="6"/>
  <c r="CN96" i="6"/>
  <c r="CN32" i="6"/>
  <c r="CN79" i="6"/>
  <c r="CN15" i="6"/>
  <c r="CN62" i="6"/>
  <c r="CO99" i="6"/>
  <c r="CP99" i="6" s="1"/>
  <c r="CO35" i="6"/>
  <c r="CP35" i="6" s="1"/>
  <c r="CO85" i="6"/>
  <c r="CP85" i="6" s="1"/>
  <c r="CO21" i="6"/>
  <c r="CP21" i="6" s="1"/>
  <c r="CO37" i="6"/>
  <c r="CP37" i="6" s="1"/>
  <c r="CO10" i="6"/>
  <c r="CP10" i="6" s="1"/>
  <c r="CO59" i="6"/>
  <c r="CP59" i="6" s="1"/>
  <c r="CO82" i="6"/>
  <c r="CP82" i="6" s="1"/>
  <c r="CO109" i="6"/>
  <c r="CP109" i="6" s="1"/>
  <c r="CO45" i="6"/>
  <c r="CP45" i="6" s="1"/>
  <c r="CO96" i="6"/>
  <c r="CP96" i="6" s="1"/>
  <c r="CO32" i="6"/>
  <c r="CP32" i="6" s="1"/>
  <c r="CO75" i="6"/>
  <c r="CP75" i="6" s="1"/>
  <c r="CO61" i="6"/>
  <c r="CP61" i="6" s="1"/>
  <c r="CN109" i="6"/>
  <c r="CN45" i="6"/>
  <c r="CN92" i="6"/>
  <c r="CN28" i="6"/>
  <c r="CN75" i="6"/>
  <c r="CN11" i="6"/>
  <c r="CN58" i="6"/>
  <c r="CN105" i="6"/>
  <c r="CN41" i="6"/>
  <c r="CN88" i="6"/>
  <c r="CN24" i="6"/>
  <c r="CN71" i="6"/>
  <c r="CN7" i="6"/>
  <c r="CN54" i="6"/>
  <c r="CO86" i="6"/>
  <c r="CP86" i="6" s="1"/>
  <c r="CO22" i="6"/>
  <c r="CP22" i="6" s="1"/>
  <c r="CO79" i="6"/>
  <c r="CP79" i="6" s="1"/>
  <c r="CO15" i="6"/>
  <c r="CP15" i="6" s="1"/>
  <c r="CO12" i="6"/>
  <c r="CP12" i="6" s="1"/>
  <c r="CO110" i="6"/>
  <c r="CP110" i="6" s="1"/>
  <c r="CO46" i="6"/>
  <c r="CP46" i="6" s="1"/>
  <c r="CO31" i="6"/>
  <c r="CP31" i="6" s="1"/>
  <c r="CO103" i="6"/>
  <c r="CP103" i="6" s="1"/>
  <c r="CO39" i="6"/>
  <c r="CP39" i="6" s="1"/>
  <c r="CO89" i="6"/>
  <c r="CP89" i="6" s="1"/>
  <c r="CO25" i="6"/>
  <c r="CP25" i="6" s="1"/>
  <c r="CO62" i="6"/>
  <c r="CP62" i="6" s="1"/>
  <c r="CO55" i="6"/>
  <c r="CP55" i="6" s="1"/>
  <c r="CN101" i="6"/>
  <c r="CN37" i="6"/>
  <c r="CN84" i="6"/>
  <c r="CN20" i="6"/>
  <c r="CN67" i="6"/>
  <c r="CN114" i="6"/>
  <c r="CN50" i="6"/>
  <c r="CN97" i="6"/>
  <c r="CN33" i="6"/>
  <c r="CN80" i="6"/>
  <c r="CN16" i="6"/>
  <c r="CN63" i="6"/>
  <c r="CN110" i="6"/>
  <c r="CN46" i="6"/>
  <c r="CO80" i="6"/>
  <c r="CP80" i="6" s="1"/>
  <c r="CO16" i="6"/>
  <c r="CP16" i="6" s="1"/>
  <c r="CO66" i="6"/>
  <c r="CP66" i="6" s="1"/>
  <c r="CO95" i="6"/>
  <c r="CP95" i="6" s="1"/>
  <c r="CO113" i="6"/>
  <c r="CP113" i="6" s="1"/>
  <c r="CO104" i="6"/>
  <c r="CP104" i="6" s="1"/>
  <c r="CO40" i="6"/>
  <c r="CP40" i="6" s="1"/>
  <c r="CO81" i="6"/>
  <c r="CP81" i="6" s="1"/>
  <c r="CO90" i="6"/>
  <c r="CP90" i="6" s="1"/>
  <c r="CO26" i="6"/>
  <c r="CP26" i="6" s="1"/>
  <c r="CO83" i="6"/>
  <c r="CP83" i="6" s="1"/>
  <c r="CO19" i="6"/>
  <c r="CP19" i="6" s="1"/>
  <c r="CO43" i="6"/>
  <c r="CP43" i="6" s="1"/>
  <c r="CO29" i="6"/>
  <c r="CP29" i="6" s="1"/>
  <c r="CN93" i="6"/>
  <c r="CN29" i="6"/>
  <c r="CN76" i="6"/>
  <c r="CN12" i="6"/>
  <c r="CN59" i="6"/>
  <c r="CN106" i="6"/>
  <c r="CN42" i="6"/>
  <c r="CN89" i="6"/>
  <c r="CN25" i="6"/>
  <c r="CN72" i="6"/>
  <c r="CN8" i="6"/>
  <c r="CN55" i="6"/>
  <c r="CN102" i="6"/>
  <c r="CN38" i="6"/>
  <c r="CO33" i="6"/>
  <c r="CP33" i="6" s="1"/>
  <c r="CN85" i="6"/>
  <c r="CN17" i="6"/>
  <c r="CO56" i="6"/>
  <c r="CP56" i="6" s="1"/>
  <c r="CN21" i="6"/>
  <c r="CN64" i="6"/>
  <c r="CO73" i="6"/>
  <c r="CP73" i="6" s="1"/>
  <c r="CO84" i="6"/>
  <c r="CP84" i="6" s="1"/>
  <c r="CN68" i="6"/>
  <c r="CN111" i="6"/>
  <c r="CO88" i="6"/>
  <c r="CP88" i="6" s="1"/>
  <c r="CO9" i="6"/>
  <c r="CP9" i="6" s="1"/>
  <c r="CO20" i="6"/>
  <c r="CP20" i="6" s="1"/>
  <c r="CN115" i="6"/>
  <c r="CN47" i="6"/>
  <c r="CO23" i="6"/>
  <c r="CP23" i="6" s="1"/>
  <c r="CO60" i="6"/>
  <c r="CP60" i="6" s="1"/>
  <c r="CO70" i="6"/>
  <c r="CP70" i="6" s="1"/>
  <c r="CN51" i="6"/>
  <c r="CN94" i="6"/>
  <c r="CO30" i="6"/>
  <c r="CP30" i="6" s="1"/>
  <c r="CN81" i="6"/>
  <c r="CO69" i="6"/>
  <c r="CP69" i="6" s="1"/>
  <c r="CO101" i="6"/>
  <c r="CP101" i="6" s="1"/>
  <c r="CN98" i="6"/>
  <c r="CN30" i="6"/>
  <c r="CN34" i="6"/>
  <c r="CO97" i="6"/>
  <c r="CP97" i="6" s="1"/>
  <c r="LJ23" i="6"/>
  <c r="AAY66" i="6"/>
  <c r="AB92" i="6"/>
  <c r="QE60" i="6"/>
  <c r="QE34" i="6"/>
  <c r="LJ12" i="6"/>
  <c r="JZ111" i="6"/>
  <c r="HX90" i="6"/>
  <c r="AB37" i="6"/>
  <c r="SY10" i="6"/>
  <c r="SG109" i="6"/>
  <c r="KR13" i="6"/>
  <c r="AB77" i="6"/>
  <c r="RO111" i="6"/>
  <c r="ACT26" i="6"/>
  <c r="JH45" i="6"/>
  <c r="JZ11" i="6"/>
  <c r="LJ31" i="6"/>
  <c r="JZ76" i="6"/>
  <c r="SY83" i="6"/>
  <c r="JZ61" i="6"/>
  <c r="QW25" i="6"/>
  <c r="YV93" i="6"/>
  <c r="AAY111" i="6"/>
  <c r="SG47" i="6"/>
  <c r="QE35" i="6"/>
  <c r="JH31" i="6"/>
  <c r="AAY25" i="6"/>
  <c r="AAY68" i="6"/>
  <c r="IP20" i="6"/>
  <c r="KR37" i="6"/>
  <c r="KR89" i="6"/>
  <c r="TQ76" i="6"/>
  <c r="OU15" i="6"/>
  <c r="ACT56" i="6"/>
  <c r="SG52" i="6"/>
  <c r="HX113" i="6"/>
  <c r="RO45" i="6"/>
  <c r="AB63" i="6"/>
  <c r="PM103" i="6"/>
  <c r="HX95" i="6"/>
  <c r="ACT33" i="6"/>
  <c r="RO48" i="6"/>
  <c r="RO39" i="6"/>
  <c r="JH108" i="6"/>
  <c r="TQ53" i="6"/>
  <c r="AAY32" i="6"/>
  <c r="IP15" i="6"/>
  <c r="SY65" i="6"/>
  <c r="ACT71" i="6"/>
  <c r="IP94" i="6"/>
  <c r="QW11" i="6"/>
  <c r="AAY83" i="6"/>
  <c r="QE46" i="6"/>
  <c r="SG97" i="6"/>
  <c r="JH91" i="6"/>
  <c r="TQ80" i="6"/>
  <c r="MB68" i="6"/>
  <c r="YV49" i="6"/>
  <c r="KR88" i="6"/>
  <c r="TQ48" i="6"/>
  <c r="PM115" i="6"/>
  <c r="JH92" i="6"/>
  <c r="MB83" i="6"/>
  <c r="JZ98" i="6"/>
  <c r="JH88" i="6"/>
  <c r="AB28" i="6"/>
  <c r="OU99" i="6"/>
  <c r="KR31" i="6"/>
  <c r="SG15" i="6"/>
  <c r="IP64" i="6"/>
  <c r="YV34" i="6"/>
  <c r="SG86" i="6"/>
  <c r="KR64" i="6"/>
  <c r="OC52" i="6"/>
  <c r="JZ41" i="6"/>
  <c r="LJ26" i="6"/>
  <c r="RO114" i="6"/>
  <c r="SY99" i="6"/>
  <c r="RO23" i="6"/>
  <c r="NX116" i="6"/>
  <c r="NY103" i="6"/>
  <c r="NZ90" i="6"/>
  <c r="OA77" i="6"/>
  <c r="NW65" i="6"/>
  <c r="NX52" i="6"/>
  <c r="NY39" i="6"/>
  <c r="NZ26" i="6"/>
  <c r="OA13" i="6"/>
  <c r="OA112" i="6"/>
  <c r="NW100" i="6"/>
  <c r="NX87" i="6"/>
  <c r="NY74" i="6"/>
  <c r="NZ61" i="6"/>
  <c r="OA48" i="6"/>
  <c r="NW36" i="6"/>
  <c r="NX23" i="6"/>
  <c r="NY10" i="6"/>
  <c r="NY109" i="6"/>
  <c r="NZ96" i="6"/>
  <c r="OA83" i="6"/>
  <c r="NW71" i="6"/>
  <c r="NX58" i="6"/>
  <c r="NY45" i="6"/>
  <c r="NZ32" i="6"/>
  <c r="OA19" i="6"/>
  <c r="NW7" i="6"/>
  <c r="NW106" i="6"/>
  <c r="NX93" i="6"/>
  <c r="NY80" i="6"/>
  <c r="NZ67" i="6"/>
  <c r="OA54" i="6"/>
  <c r="NW42" i="6"/>
  <c r="NX29" i="6"/>
  <c r="NY16" i="6"/>
  <c r="NY115" i="6"/>
  <c r="NZ102" i="6"/>
  <c r="OA89" i="6"/>
  <c r="NW77" i="6"/>
  <c r="NX64" i="6"/>
  <c r="NY51" i="6"/>
  <c r="NZ38" i="6"/>
  <c r="OA25" i="6"/>
  <c r="NW13" i="6"/>
  <c r="OA111" i="6"/>
  <c r="NW99" i="6"/>
  <c r="NX86" i="6"/>
  <c r="NY73" i="6"/>
  <c r="NZ60" i="6"/>
  <c r="OA47" i="6"/>
  <c r="NW35" i="6"/>
  <c r="NX22" i="6"/>
  <c r="NY9" i="6"/>
  <c r="OA90" i="6"/>
  <c r="OA108" i="6"/>
  <c r="NZ57" i="6"/>
  <c r="NY6" i="6"/>
  <c r="OA84" i="6"/>
  <c r="OA114" i="6"/>
  <c r="NZ63" i="6"/>
  <c r="NY12" i="6"/>
  <c r="NX75" i="6"/>
  <c r="NX11" i="6"/>
  <c r="OA106" i="6"/>
  <c r="NZ55" i="6"/>
  <c r="NW112" i="6"/>
  <c r="OA60" i="6"/>
  <c r="NZ9" i="6"/>
  <c r="NY60" i="6"/>
  <c r="NX59" i="6"/>
  <c r="NV109" i="6"/>
  <c r="NV45" i="6"/>
  <c r="NV91" i="6"/>
  <c r="NV65" i="6"/>
  <c r="NV112" i="6"/>
  <c r="NV48" i="6"/>
  <c r="NV95" i="6"/>
  <c r="NV31" i="6"/>
  <c r="NV116" i="6"/>
  <c r="NV66" i="6"/>
  <c r="NV28" i="6"/>
  <c r="NV98" i="6"/>
  <c r="NV92" i="6"/>
  <c r="NV30" i="6"/>
  <c r="NX62" i="6"/>
  <c r="NX73" i="6"/>
  <c r="NV103" i="6"/>
  <c r="NV70" i="6"/>
  <c r="NZ114" i="6"/>
  <c r="OA101" i="6"/>
  <c r="NW89" i="6"/>
  <c r="NX76" i="6"/>
  <c r="NY63" i="6"/>
  <c r="NZ50" i="6"/>
  <c r="OA37" i="6"/>
  <c r="NW25" i="6"/>
  <c r="NX12" i="6"/>
  <c r="NX111" i="6"/>
  <c r="NY98" i="6"/>
  <c r="NZ85" i="6"/>
  <c r="OA72" i="6"/>
  <c r="NW60" i="6"/>
  <c r="NX47" i="6"/>
  <c r="NY34" i="6"/>
  <c r="NZ21" i="6"/>
  <c r="OA8" i="6"/>
  <c r="OA107" i="6"/>
  <c r="NW95" i="6"/>
  <c r="NX82" i="6"/>
  <c r="NY69" i="6"/>
  <c r="NZ56" i="6"/>
  <c r="OA43" i="6"/>
  <c r="NW31" i="6"/>
  <c r="NX18" i="6"/>
  <c r="NX117" i="6"/>
  <c r="NY104" i="6"/>
  <c r="NZ91" i="6"/>
  <c r="OA78" i="6"/>
  <c r="NW66" i="6"/>
  <c r="NX53" i="6"/>
  <c r="NY40" i="6"/>
  <c r="NZ27" i="6"/>
  <c r="OA14" i="6"/>
  <c r="OA113" i="6"/>
  <c r="NW101" i="6"/>
  <c r="NX88" i="6"/>
  <c r="NY75" i="6"/>
  <c r="NZ62" i="6"/>
  <c r="OA49" i="6"/>
  <c r="NW37" i="6"/>
  <c r="NX24" i="6"/>
  <c r="NY11" i="6"/>
  <c r="NX110" i="6"/>
  <c r="NY97" i="6"/>
  <c r="NZ84" i="6"/>
  <c r="OA71" i="6"/>
  <c r="NW59" i="6"/>
  <c r="NX46" i="6"/>
  <c r="NY33" i="6"/>
  <c r="NZ20" i="6"/>
  <c r="OA7" i="6"/>
  <c r="NY84" i="6"/>
  <c r="NY102" i="6"/>
  <c r="NX51" i="6"/>
  <c r="NX43" i="6"/>
  <c r="NZ65" i="6"/>
  <c r="NY108" i="6"/>
  <c r="NX57" i="6"/>
  <c r="NW6" i="6"/>
  <c r="OA68" i="6"/>
  <c r="NW54" i="6"/>
  <c r="NY100" i="6"/>
  <c r="NX49" i="6"/>
  <c r="NZ105" i="6"/>
  <c r="NY54" i="6"/>
  <c r="NZ111" i="6"/>
  <c r="NZ47" i="6"/>
  <c r="NW40" i="6"/>
  <c r="NV101" i="6"/>
  <c r="NV37" i="6"/>
  <c r="NV83" i="6"/>
  <c r="NV57" i="6"/>
  <c r="NV104" i="6"/>
  <c r="NV40" i="6"/>
  <c r="NV87" i="6"/>
  <c r="NV23" i="6"/>
  <c r="NV84" i="6"/>
  <c r="NV50" i="6"/>
  <c r="NV12" i="6"/>
  <c r="NV74" i="6"/>
  <c r="NV46" i="6"/>
  <c r="NV62" i="6"/>
  <c r="OA10" i="6"/>
  <c r="NW113" i="6"/>
  <c r="NX100" i="6"/>
  <c r="NY87" i="6"/>
  <c r="NZ74" i="6"/>
  <c r="OA61" i="6"/>
  <c r="NW49" i="6"/>
  <c r="NX36" i="6"/>
  <c r="NY23" i="6"/>
  <c r="NZ10" i="6"/>
  <c r="NZ109" i="6"/>
  <c r="OA96" i="6"/>
  <c r="NW84" i="6"/>
  <c r="NX71" i="6"/>
  <c r="NY58" i="6"/>
  <c r="NZ45" i="6"/>
  <c r="OA32" i="6"/>
  <c r="NW20" i="6"/>
  <c r="NX7" i="6"/>
  <c r="NX106" i="6"/>
  <c r="NY93" i="6"/>
  <c r="NZ80" i="6"/>
  <c r="OA67" i="6"/>
  <c r="NW55" i="6"/>
  <c r="NX42" i="6"/>
  <c r="NY29" i="6"/>
  <c r="NZ16" i="6"/>
  <c r="NZ115" i="6"/>
  <c r="OA102" i="6"/>
  <c r="NW90" i="6"/>
  <c r="NX77" i="6"/>
  <c r="NY64" i="6"/>
  <c r="NZ51" i="6"/>
  <c r="OA38" i="6"/>
  <c r="NW26" i="6"/>
  <c r="NX13" i="6"/>
  <c r="NX112" i="6"/>
  <c r="NY99" i="6"/>
  <c r="NZ86" i="6"/>
  <c r="OA73" i="6"/>
  <c r="NW61" i="6"/>
  <c r="NX48" i="6"/>
  <c r="NY35" i="6"/>
  <c r="NZ22" i="6"/>
  <c r="OA9" i="6"/>
  <c r="NZ108" i="6"/>
  <c r="OA95" i="6"/>
  <c r="NW83" i="6"/>
  <c r="NX70" i="6"/>
  <c r="NY57" i="6"/>
  <c r="NZ44" i="6"/>
  <c r="OA31" i="6"/>
  <c r="NW19" i="6"/>
  <c r="NX6" i="6"/>
  <c r="NZ71" i="6"/>
  <c r="NW96" i="6"/>
  <c r="OA44" i="6"/>
  <c r="NZ17" i="6"/>
  <c r="OA52" i="6"/>
  <c r="NW102" i="6"/>
  <c r="OA50" i="6"/>
  <c r="NZ113" i="6"/>
  <c r="NY62" i="6"/>
  <c r="NX9" i="6"/>
  <c r="NW94" i="6"/>
  <c r="OA42" i="6"/>
  <c r="NX99" i="6"/>
  <c r="NW48" i="6"/>
  <c r="NX105" i="6"/>
  <c r="NX41" i="6"/>
  <c r="NX27" i="6"/>
  <c r="NV93" i="6"/>
  <c r="NV29" i="6"/>
  <c r="NV113" i="6"/>
  <c r="NV49" i="6"/>
  <c r="NV96" i="6"/>
  <c r="NV32" i="6"/>
  <c r="NV79" i="6"/>
  <c r="NV15" i="6"/>
  <c r="NV67" i="6"/>
  <c r="NV34" i="6"/>
  <c r="NV100" i="6"/>
  <c r="NV58" i="6"/>
  <c r="NV90" i="6"/>
  <c r="NV68" i="6"/>
  <c r="OA23" i="6"/>
  <c r="NY78" i="6"/>
  <c r="NV39" i="6"/>
  <c r="NY111" i="6"/>
  <c r="NZ98" i="6"/>
  <c r="OA85" i="6"/>
  <c r="NW73" i="6"/>
  <c r="NX60" i="6"/>
  <c r="NY47" i="6"/>
  <c r="NZ34" i="6"/>
  <c r="OA21" i="6"/>
  <c r="NW9" i="6"/>
  <c r="NW108" i="6"/>
  <c r="NX95" i="6"/>
  <c r="NY82" i="6"/>
  <c r="NZ69" i="6"/>
  <c r="OA56" i="6"/>
  <c r="NW44" i="6"/>
  <c r="NX31" i="6"/>
  <c r="NY18" i="6"/>
  <c r="NY117" i="6"/>
  <c r="NZ104" i="6"/>
  <c r="OA91" i="6"/>
  <c r="NW79" i="6"/>
  <c r="NX66" i="6"/>
  <c r="NY53" i="6"/>
  <c r="NZ40" i="6"/>
  <c r="OA27" i="6"/>
  <c r="NW15" i="6"/>
  <c r="NW114" i="6"/>
  <c r="NX101" i="6"/>
  <c r="NY88" i="6"/>
  <c r="NZ75" i="6"/>
  <c r="OA62" i="6"/>
  <c r="NW50" i="6"/>
  <c r="NX37" i="6"/>
  <c r="NY24" i="6"/>
  <c r="NZ11" i="6"/>
  <c r="NZ110" i="6"/>
  <c r="OA97" i="6"/>
  <c r="NW85" i="6"/>
  <c r="NX72" i="6"/>
  <c r="NY59" i="6"/>
  <c r="NZ46" i="6"/>
  <c r="OA33" i="6"/>
  <c r="NW21" i="6"/>
  <c r="NX8" i="6"/>
  <c r="NW107" i="6"/>
  <c r="NX94" i="6"/>
  <c r="NY81" i="6"/>
  <c r="NZ68" i="6"/>
  <c r="OA55" i="6"/>
  <c r="NW43" i="6"/>
  <c r="NX30" i="6"/>
  <c r="NY17" i="6"/>
  <c r="OA116" i="6"/>
  <c r="OA58" i="6"/>
  <c r="NZ89" i="6"/>
  <c r="NY38" i="6"/>
  <c r="OA66" i="6"/>
  <c r="NZ33" i="6"/>
  <c r="NZ95" i="6"/>
  <c r="NY44" i="6"/>
  <c r="NX107" i="6"/>
  <c r="NW56" i="6"/>
  <c r="NW72" i="6"/>
  <c r="NZ87" i="6"/>
  <c r="NY36" i="6"/>
  <c r="OA92" i="6"/>
  <c r="NZ41" i="6"/>
  <c r="OA98" i="6"/>
  <c r="OA34" i="6"/>
  <c r="NW8" i="6"/>
  <c r="NV85" i="6"/>
  <c r="NV21" i="6"/>
  <c r="NV105" i="6"/>
  <c r="NV41" i="6"/>
  <c r="NV88" i="6"/>
  <c r="NV24" i="6"/>
  <c r="NV71" i="6"/>
  <c r="NV7" i="6"/>
  <c r="NV51" i="6"/>
  <c r="NV18" i="6"/>
  <c r="NV75" i="6"/>
  <c r="NV42" i="6"/>
  <c r="NV38" i="6"/>
  <c r="NV22" i="6"/>
  <c r="NW105" i="6"/>
  <c r="NY79" i="6"/>
  <c r="OA53" i="6"/>
  <c r="NX28" i="6"/>
  <c r="NY114" i="6"/>
  <c r="OA88" i="6"/>
  <c r="NX63" i="6"/>
  <c r="NZ37" i="6"/>
  <c r="NW12" i="6"/>
  <c r="NX98" i="6"/>
  <c r="NZ72" i="6"/>
  <c r="NW47" i="6"/>
  <c r="NY21" i="6"/>
  <c r="NZ107" i="6"/>
  <c r="NW82" i="6"/>
  <c r="NY56" i="6"/>
  <c r="OA30" i="6"/>
  <c r="NW117" i="6"/>
  <c r="NY91" i="6"/>
  <c r="OA65" i="6"/>
  <c r="NX40" i="6"/>
  <c r="NZ14" i="6"/>
  <c r="NZ100" i="6"/>
  <c r="NY49" i="6"/>
  <c r="NW11" i="6"/>
  <c r="NX115" i="6"/>
  <c r="OA12" i="6"/>
  <c r="NY20" i="6"/>
  <c r="OA18" i="6"/>
  <c r="NX113" i="6"/>
  <c r="NW16" i="6"/>
  <c r="NV53" i="6"/>
  <c r="NV9" i="6"/>
  <c r="NV86" i="6"/>
  <c r="NV11" i="6"/>
  <c r="OA109" i="6"/>
  <c r="NW97" i="6"/>
  <c r="NX84" i="6"/>
  <c r="NY71" i="6"/>
  <c r="NZ58" i="6"/>
  <c r="OA45" i="6"/>
  <c r="NW33" i="6"/>
  <c r="NX20" i="6"/>
  <c r="NY7" i="6"/>
  <c r="NY106" i="6"/>
  <c r="NZ93" i="6"/>
  <c r="OA80" i="6"/>
  <c r="NW68" i="6"/>
  <c r="NX55" i="6"/>
  <c r="NY42" i="6"/>
  <c r="NZ29" i="6"/>
  <c r="OA16" i="6"/>
  <c r="OA115" i="6"/>
  <c r="NW103" i="6"/>
  <c r="NX90" i="6"/>
  <c r="NY77" i="6"/>
  <c r="NZ64" i="6"/>
  <c r="OA51" i="6"/>
  <c r="NW39" i="6"/>
  <c r="NX26" i="6"/>
  <c r="NY13" i="6"/>
  <c r="NY112" i="6"/>
  <c r="NZ99" i="6"/>
  <c r="OA86" i="6"/>
  <c r="NW74" i="6"/>
  <c r="NX61" i="6"/>
  <c r="NY48" i="6"/>
  <c r="NZ35" i="6"/>
  <c r="OA22" i="6"/>
  <c r="NW10" i="6"/>
  <c r="NW109" i="6"/>
  <c r="NX96" i="6"/>
  <c r="NY83" i="6"/>
  <c r="NZ70" i="6"/>
  <c r="OA57" i="6"/>
  <c r="NW45" i="6"/>
  <c r="NX32" i="6"/>
  <c r="NY19" i="6"/>
  <c r="NZ6" i="6"/>
  <c r="NY105" i="6"/>
  <c r="NZ92" i="6"/>
  <c r="OA79" i="6"/>
  <c r="NW67" i="6"/>
  <c r="NX54" i="6"/>
  <c r="NY41" i="6"/>
  <c r="NZ28" i="6"/>
  <c r="OA15" i="6"/>
  <c r="NY116" i="6"/>
  <c r="NY52" i="6"/>
  <c r="NX83" i="6"/>
  <c r="NW32" i="6"/>
  <c r="NY28" i="6"/>
  <c r="NY14" i="6"/>
  <c r="NX89" i="6"/>
  <c r="NW38" i="6"/>
  <c r="OA100" i="6"/>
  <c r="NZ49" i="6"/>
  <c r="NY46" i="6"/>
  <c r="NX81" i="6"/>
  <c r="NW30" i="6"/>
  <c r="NY86" i="6"/>
  <c r="NX35" i="6"/>
  <c r="NY92" i="6"/>
  <c r="NW22" i="6"/>
  <c r="NW78" i="6"/>
  <c r="NV77" i="6"/>
  <c r="NV13" i="6"/>
  <c r="NV97" i="6"/>
  <c r="NV33" i="6"/>
  <c r="NV80" i="6"/>
  <c r="NV16" i="6"/>
  <c r="NV63" i="6"/>
  <c r="NV110" i="6"/>
  <c r="NV35" i="6"/>
  <c r="NV106" i="6"/>
  <c r="NV59" i="6"/>
  <c r="NV26" i="6"/>
  <c r="NV78" i="6"/>
  <c r="NV54" i="6"/>
  <c r="NW24" i="6"/>
  <c r="NX108" i="6"/>
  <c r="NY95" i="6"/>
  <c r="NZ82" i="6"/>
  <c r="OA69" i="6"/>
  <c r="NW57" i="6"/>
  <c r="NX44" i="6"/>
  <c r="NY31" i="6"/>
  <c r="NZ18" i="6"/>
  <c r="NZ117" i="6"/>
  <c r="OA104" i="6"/>
  <c r="NW92" i="6"/>
  <c r="NX79" i="6"/>
  <c r="NY66" i="6"/>
  <c r="NZ53" i="6"/>
  <c r="OA40" i="6"/>
  <c r="NW28" i="6"/>
  <c r="NX15" i="6"/>
  <c r="NX114" i="6"/>
  <c r="NY101" i="6"/>
  <c r="NZ88" i="6"/>
  <c r="OA75" i="6"/>
  <c r="NW63" i="6"/>
  <c r="NX50" i="6"/>
  <c r="NY37" i="6"/>
  <c r="NZ24" i="6"/>
  <c r="OA11" i="6"/>
  <c r="OA110" i="6"/>
  <c r="NW98" i="6"/>
  <c r="NX85" i="6"/>
  <c r="NY72" i="6"/>
  <c r="NZ59" i="6"/>
  <c r="OA46" i="6"/>
  <c r="NW34" i="6"/>
  <c r="NX21" i="6"/>
  <c r="NY8" i="6"/>
  <c r="NY107" i="6"/>
  <c r="NZ94" i="6"/>
  <c r="OA81" i="6"/>
  <c r="NW69" i="6"/>
  <c r="NX56" i="6"/>
  <c r="NY43" i="6"/>
  <c r="NZ30" i="6"/>
  <c r="OA17" i="6"/>
  <c r="NZ116" i="6"/>
  <c r="OA103" i="6"/>
  <c r="NW91" i="6"/>
  <c r="NX78" i="6"/>
  <c r="NY65" i="6"/>
  <c r="NZ52" i="6"/>
  <c r="OA39" i="6"/>
  <c r="NW27" i="6"/>
  <c r="NX14" i="6"/>
  <c r="NW110" i="6"/>
  <c r="OA26" i="6"/>
  <c r="OA76" i="6"/>
  <c r="NZ25" i="6"/>
  <c r="NZ15" i="6"/>
  <c r="NX65" i="6"/>
  <c r="OA82" i="6"/>
  <c r="NZ31" i="6"/>
  <c r="NY94" i="6"/>
  <c r="OA36" i="6"/>
  <c r="OA20" i="6"/>
  <c r="OA74" i="6"/>
  <c r="NZ23" i="6"/>
  <c r="NW80" i="6"/>
  <c r="OA28" i="6"/>
  <c r="NW86" i="6"/>
  <c r="NW104" i="6"/>
  <c r="NZ39" i="6"/>
  <c r="NV69" i="6"/>
  <c r="NV115" i="6"/>
  <c r="NV89" i="6"/>
  <c r="NV25" i="6"/>
  <c r="NV72" i="6"/>
  <c r="NV8" i="6"/>
  <c r="NV55" i="6"/>
  <c r="NV102" i="6"/>
  <c r="NV19" i="6"/>
  <c r="NV76" i="6"/>
  <c r="NV43" i="6"/>
  <c r="NV10" i="6"/>
  <c r="NV36" i="6"/>
  <c r="NV14" i="6"/>
  <c r="OA117" i="6"/>
  <c r="NX92" i="6"/>
  <c r="NZ66" i="6"/>
  <c r="NW41" i="6"/>
  <c r="NY15" i="6"/>
  <c r="NZ101" i="6"/>
  <c r="NW76" i="6"/>
  <c r="NY50" i="6"/>
  <c r="OA24" i="6"/>
  <c r="NW111" i="6"/>
  <c r="NY85" i="6"/>
  <c r="OA59" i="6"/>
  <c r="NX34" i="6"/>
  <c r="NZ8" i="6"/>
  <c r="OA94" i="6"/>
  <c r="NX69" i="6"/>
  <c r="NZ43" i="6"/>
  <c r="NW18" i="6"/>
  <c r="NX104" i="6"/>
  <c r="NZ78" i="6"/>
  <c r="NW53" i="6"/>
  <c r="NY27" i="6"/>
  <c r="NY113" i="6"/>
  <c r="OA87" i="6"/>
  <c r="NZ36" i="6"/>
  <c r="NX97" i="6"/>
  <c r="NW64" i="6"/>
  <c r="NZ97" i="6"/>
  <c r="NW70" i="6"/>
  <c r="NZ81" i="6"/>
  <c r="NX67" i="6"/>
  <c r="NV117" i="6"/>
  <c r="NV73" i="6"/>
  <c r="NV56" i="6"/>
  <c r="NV44" i="6"/>
  <c r="NV6" i="6"/>
  <c r="NZ106" i="6"/>
  <c r="OA93" i="6"/>
  <c r="NW81" i="6"/>
  <c r="NX68" i="6"/>
  <c r="NY55" i="6"/>
  <c r="NZ42" i="6"/>
  <c r="OA29" i="6"/>
  <c r="NW17" i="6"/>
  <c r="NW116" i="6"/>
  <c r="NX103" i="6"/>
  <c r="NY90" i="6"/>
  <c r="NZ77" i="6"/>
  <c r="OA64" i="6"/>
  <c r="NW52" i="6"/>
  <c r="NX39" i="6"/>
  <c r="NY26" i="6"/>
  <c r="NZ13" i="6"/>
  <c r="NZ112" i="6"/>
  <c r="OA99" i="6"/>
  <c r="NW87" i="6"/>
  <c r="NX74" i="6"/>
  <c r="NY61" i="6"/>
  <c r="NZ48" i="6"/>
  <c r="OA35" i="6"/>
  <c r="NW23" i="6"/>
  <c r="NX10" i="6"/>
  <c r="NX109" i="6"/>
  <c r="NY96" i="6"/>
  <c r="NZ83" i="6"/>
  <c r="OA70" i="6"/>
  <c r="NW58" i="6"/>
  <c r="NX45" i="6"/>
  <c r="NY32" i="6"/>
  <c r="NZ19" i="6"/>
  <c r="OA6" i="6"/>
  <c r="OA105" i="6"/>
  <c r="NW93" i="6"/>
  <c r="NX80" i="6"/>
  <c r="NY67" i="6"/>
  <c r="NZ54" i="6"/>
  <c r="OA41" i="6"/>
  <c r="NW29" i="6"/>
  <c r="NX16" i="6"/>
  <c r="NW115" i="6"/>
  <c r="NX102" i="6"/>
  <c r="NY89" i="6"/>
  <c r="NZ76" i="6"/>
  <c r="OA63" i="6"/>
  <c r="NW51" i="6"/>
  <c r="NX38" i="6"/>
  <c r="NY25" i="6"/>
  <c r="NZ12" i="6"/>
  <c r="NZ103" i="6"/>
  <c r="NZ7" i="6"/>
  <c r="NY70" i="6"/>
  <c r="NX19" i="6"/>
  <c r="NY110" i="6"/>
  <c r="NW46" i="6"/>
  <c r="NY76" i="6"/>
  <c r="NX25" i="6"/>
  <c r="NW88" i="6"/>
  <c r="NY30" i="6"/>
  <c r="NX33" i="6"/>
  <c r="NY68" i="6"/>
  <c r="NX17" i="6"/>
  <c r="NZ73" i="6"/>
  <c r="NY22" i="6"/>
  <c r="NZ79" i="6"/>
  <c r="NX91" i="6"/>
  <c r="NW14" i="6"/>
  <c r="NV61" i="6"/>
  <c r="NV107" i="6"/>
  <c r="NV81" i="6"/>
  <c r="NV17" i="6"/>
  <c r="NV64" i="6"/>
  <c r="NV111" i="6"/>
  <c r="NV47" i="6"/>
  <c r="NV94" i="6"/>
  <c r="NV114" i="6"/>
  <c r="NV60" i="6"/>
  <c r="NV27" i="6"/>
  <c r="NV108" i="6"/>
  <c r="NV20" i="6"/>
  <c r="NW75" i="6"/>
  <c r="NW62" i="6"/>
  <c r="NV99" i="6"/>
  <c r="NV82" i="6"/>
  <c r="NV52" i="6"/>
  <c r="ACT90" i="6"/>
  <c r="PM109" i="6"/>
  <c r="QE52" i="6"/>
  <c r="RO68" i="6"/>
  <c r="SG87" i="6"/>
  <c r="RO66" i="6"/>
  <c r="RO9" i="6"/>
  <c r="RO102" i="6"/>
  <c r="OC60" i="6"/>
  <c r="AB10" i="6"/>
  <c r="KR41" i="6"/>
  <c r="JH78" i="6"/>
  <c r="AB61" i="6"/>
  <c r="IP98" i="6"/>
  <c r="AB80" i="6"/>
  <c r="HX117" i="6"/>
  <c r="TQ23" i="6"/>
  <c r="JZ68" i="6"/>
  <c r="ACT113" i="6"/>
  <c r="TQ61" i="6"/>
  <c r="SG104" i="6"/>
  <c r="PM30" i="6"/>
  <c r="AAY71" i="6"/>
  <c r="OC101" i="6"/>
  <c r="AB53" i="6"/>
  <c r="YV27" i="6"/>
  <c r="QE20" i="6"/>
  <c r="QE106" i="6"/>
  <c r="QW18" i="6"/>
  <c r="PM18" i="6"/>
  <c r="SY89" i="6"/>
  <c r="SG31" i="6"/>
  <c r="JZ107" i="6"/>
  <c r="LJ105" i="6"/>
  <c r="OU61" i="6"/>
  <c r="TQ85" i="6"/>
  <c r="KR92" i="6"/>
  <c r="K4951" i="7" a="1"/>
  <c r="K4951" i="7" s="1"/>
  <c r="I4951" i="7" a="1"/>
  <c r="I4951" i="7" s="1"/>
  <c r="L4951" i="7" a="1"/>
  <c r="L4951" i="7" s="1"/>
  <c r="N4951" i="7" a="1"/>
  <c r="N4951" i="7" s="1"/>
  <c r="J4951" i="7" a="1"/>
  <c r="J4951" i="7" s="1"/>
  <c r="M4951" i="7" a="1"/>
  <c r="M4951" i="7" s="1"/>
  <c r="A292" i="4"/>
  <c r="A231" i="4"/>
  <c r="A241" i="4"/>
  <c r="A242" i="4"/>
  <c r="A244" i="4"/>
  <c r="A243" i="4"/>
  <c r="A233" i="4"/>
  <c r="A291" i="4"/>
  <c r="A232" i="4"/>
  <c r="A293" i="4"/>
  <c r="A294" i="4"/>
  <c r="A284" i="4"/>
  <c r="A285" i="4"/>
  <c r="A287" i="4"/>
  <c r="A288" i="4"/>
  <c r="A286" i="4"/>
  <c r="A31" i="4"/>
  <c r="A224" i="4"/>
  <c r="A20" i="4"/>
  <c r="A226" i="4"/>
  <c r="A227" i="4"/>
  <c r="A22" i="4"/>
  <c r="A225" i="4"/>
  <c r="A26" i="4"/>
  <c r="A25" i="4"/>
  <c r="A19" i="4"/>
  <c r="A34" i="4"/>
  <c r="A33" i="4"/>
  <c r="A30" i="4"/>
  <c r="A18" i="4"/>
  <c r="A21" i="4"/>
  <c r="A24" i="4"/>
  <c r="A32" i="4"/>
  <c r="A23" i="4"/>
  <c r="ACQ56" i="6" l="1"/>
  <c r="ACQ22" i="6"/>
  <c r="ACP99" i="6"/>
  <c r="ACR117" i="6"/>
  <c r="ACP90" i="6"/>
  <c r="ACQ82" i="6"/>
  <c r="ACR67" i="6"/>
  <c r="ACQ28" i="6"/>
  <c r="ACQ39" i="6"/>
  <c r="ACQ40" i="6"/>
  <c r="ACQ99" i="6"/>
  <c r="ACQ116" i="6"/>
  <c r="ACR41" i="6"/>
  <c r="ACQ114" i="6"/>
  <c r="ACR51" i="6"/>
  <c r="ACP88" i="6"/>
  <c r="ACP65" i="6"/>
  <c r="ACR66" i="6"/>
  <c r="ACQ115" i="6"/>
  <c r="ACQ100" i="6"/>
  <c r="ACP15" i="6"/>
  <c r="ACQ33" i="6"/>
  <c r="ACR7" i="6"/>
  <c r="ACP73" i="6"/>
  <c r="ACQ11" i="6"/>
  <c r="ACP56" i="6"/>
  <c r="ACP84" i="6"/>
  <c r="ACP66" i="6"/>
  <c r="ACQ65" i="6"/>
  <c r="ACP64" i="6"/>
  <c r="ACR52" i="6"/>
  <c r="ACP57" i="6"/>
  <c r="ACP43" i="6"/>
  <c r="ACQ85" i="6"/>
  <c r="ACQ70" i="6"/>
  <c r="ACQ87" i="6"/>
  <c r="ACP31" i="6"/>
  <c r="ACR83" i="6"/>
  <c r="ACP61" i="6"/>
  <c r="ACR57" i="6"/>
  <c r="ACR82" i="6"/>
  <c r="ACP63" i="6"/>
  <c r="ACR23" i="6"/>
  <c r="ACQ72" i="6"/>
  <c r="ACP94" i="6"/>
  <c r="ACR22" i="6"/>
  <c r="ACR112" i="6"/>
  <c r="ACP34" i="6"/>
  <c r="ACQ12" i="6"/>
  <c r="ACP53" i="6"/>
  <c r="ACP32" i="6"/>
  <c r="ACP76" i="6"/>
  <c r="ACR104" i="6"/>
  <c r="ACP11" i="6"/>
  <c r="ACQ69" i="6"/>
  <c r="ACQ54" i="6"/>
  <c r="ACQ71" i="6"/>
  <c r="ACP68" i="6"/>
  <c r="ACR99" i="6"/>
  <c r="ACP117" i="6"/>
  <c r="ACR73" i="6"/>
  <c r="ACR98" i="6"/>
  <c r="ACR36" i="6"/>
  <c r="ACR39" i="6"/>
  <c r="ACS39" i="6" s="1"/>
  <c r="ACQ88" i="6"/>
  <c r="ACR13" i="6"/>
  <c r="ACR38" i="6"/>
  <c r="ACQ38" i="6"/>
  <c r="ACR11" i="6"/>
  <c r="ACQ60" i="6"/>
  <c r="ACP70" i="6"/>
  <c r="ACR10" i="6"/>
  <c r="ACQ34" i="6"/>
  <c r="ACP10" i="6"/>
  <c r="ACP107" i="6"/>
  <c r="ACQ117" i="6"/>
  <c r="ACP8" i="6"/>
  <c r="ACP6" i="6"/>
  <c r="ACR44" i="6"/>
  <c r="ACR115" i="6"/>
  <c r="ACS115" i="6" s="1"/>
  <c r="ACQ21" i="6"/>
  <c r="ACR89" i="6"/>
  <c r="ACR114" i="6"/>
  <c r="ACP60" i="6"/>
  <c r="ACR55" i="6"/>
  <c r="ACQ104" i="6"/>
  <c r="ACR29" i="6"/>
  <c r="ACR54" i="6"/>
  <c r="ACP55" i="6"/>
  <c r="ACP98" i="6"/>
  <c r="ACQ44" i="6"/>
  <c r="ACP38" i="6"/>
  <c r="ACP96" i="6"/>
  <c r="ACP47" i="6"/>
  <c r="ACQ19" i="6"/>
  <c r="ACP75" i="6"/>
  <c r="ACQ101" i="6"/>
  <c r="ACQ98" i="6"/>
  <c r="ACQ103" i="6"/>
  <c r="ACP39" i="6"/>
  <c r="ACP89" i="6"/>
  <c r="ACQ37" i="6"/>
  <c r="ACR105" i="6"/>
  <c r="ACP97" i="6"/>
  <c r="ACR40" i="6"/>
  <c r="ACR71" i="6"/>
  <c r="ACP13" i="6"/>
  <c r="ACR45" i="6"/>
  <c r="ACR70" i="6"/>
  <c r="ACR60" i="6"/>
  <c r="ACR43" i="6"/>
  <c r="ACQ92" i="6"/>
  <c r="ACR17" i="6"/>
  <c r="ACR42" i="6"/>
  <c r="ACR20" i="6"/>
  <c r="ACP74" i="6"/>
  <c r="ACQ32" i="6"/>
  <c r="ACP14" i="6"/>
  <c r="ACP72" i="6"/>
  <c r="ACP95" i="6"/>
  <c r="ACQ30" i="6"/>
  <c r="ACQ35" i="6"/>
  <c r="ACQ53" i="6"/>
  <c r="ACQ110" i="6"/>
  <c r="ACQ51" i="6"/>
  <c r="ACQ10" i="6"/>
  <c r="ACR87" i="6"/>
  <c r="ACP77" i="6"/>
  <c r="ACR61" i="6"/>
  <c r="ACR86" i="6"/>
  <c r="ACR96" i="6"/>
  <c r="ACR27" i="6"/>
  <c r="ACQ76" i="6"/>
  <c r="ACP102" i="6"/>
  <c r="ACR26" i="6"/>
  <c r="ACQ26" i="6"/>
  <c r="ACS26" i="6" s="1"/>
  <c r="ACP42" i="6"/>
  <c r="ACQ16" i="6"/>
  <c r="ACP69" i="6"/>
  <c r="ACP40" i="6"/>
  <c r="ACP108" i="6"/>
  <c r="ACQ90" i="6"/>
  <c r="ACP19" i="6"/>
  <c r="ACQ73" i="6"/>
  <c r="ACS73" i="6" s="1"/>
  <c r="ACQ58" i="6"/>
  <c r="ACQ75" i="6"/>
  <c r="ACP100" i="6"/>
  <c r="ACR103" i="6"/>
  <c r="ACQ9" i="6"/>
  <c r="ACR77" i="6"/>
  <c r="ACR102" i="6"/>
  <c r="ACR68" i="6"/>
  <c r="ACR75" i="6"/>
  <c r="ACP29" i="6"/>
  <c r="ACR49" i="6"/>
  <c r="ACR74" i="6"/>
  <c r="ACR64" i="6"/>
  <c r="ACR15" i="6"/>
  <c r="ACQ64" i="6"/>
  <c r="ACP78" i="6"/>
  <c r="ACR14" i="6"/>
  <c r="ACR84" i="6"/>
  <c r="ACP81" i="6"/>
  <c r="ACP51" i="6"/>
  <c r="ACQ89" i="6"/>
  <c r="ACQ74" i="6"/>
  <c r="ACQ91" i="6"/>
  <c r="ACR76" i="6"/>
  <c r="ACS76" i="6" s="1"/>
  <c r="ACP25" i="6"/>
  <c r="ACQ25" i="6"/>
  <c r="ACR93" i="6"/>
  <c r="ACP17" i="6"/>
  <c r="ACP92" i="6"/>
  <c r="ACR59" i="6"/>
  <c r="ACQ108" i="6"/>
  <c r="ACR33" i="6"/>
  <c r="ACS33" i="6" s="1"/>
  <c r="ACR58" i="6"/>
  <c r="ACP87" i="6"/>
  <c r="ACP106" i="6"/>
  <c r="ACQ48" i="6"/>
  <c r="ACP46" i="6"/>
  <c r="ACP104" i="6"/>
  <c r="ACP79" i="6"/>
  <c r="ACQ31" i="6"/>
  <c r="ACP83" i="6"/>
  <c r="ACQ105" i="6"/>
  <c r="ACQ102" i="6"/>
  <c r="ACQ107" i="6"/>
  <c r="ACP71" i="6"/>
  <c r="ACP113" i="6"/>
  <c r="ACQ41" i="6"/>
  <c r="ACR109" i="6"/>
  <c r="ACR12" i="6"/>
  <c r="ACR107" i="6"/>
  <c r="ACQ13" i="6"/>
  <c r="ACR81" i="6"/>
  <c r="ACR106" i="6"/>
  <c r="ACR88" i="6"/>
  <c r="ACR47" i="6"/>
  <c r="ACQ96" i="6"/>
  <c r="ACS96" i="6" s="1"/>
  <c r="ACR21" i="6"/>
  <c r="ACR46" i="6"/>
  <c r="ACR56" i="6"/>
  <c r="ACP18" i="6"/>
  <c r="ACP115" i="6"/>
  <c r="ACP21" i="6"/>
  <c r="ACP16" i="6"/>
  <c r="ACP12" i="6"/>
  <c r="ACR48" i="6"/>
  <c r="ACQ43" i="6"/>
  <c r="ACQ57" i="6"/>
  <c r="ACQ46" i="6"/>
  <c r="ACQ55" i="6"/>
  <c r="ACR72" i="6"/>
  <c r="ACR91" i="6"/>
  <c r="ACP93" i="6"/>
  <c r="ACR65" i="6"/>
  <c r="ACR90" i="6"/>
  <c r="ACP52" i="6"/>
  <c r="ACR31" i="6"/>
  <c r="ACQ80" i="6"/>
  <c r="ACP110" i="6"/>
  <c r="ACR30" i="6"/>
  <c r="ACQ42" i="6"/>
  <c r="ACP50" i="6"/>
  <c r="ACQ20" i="6"/>
  <c r="ACP85" i="6"/>
  <c r="ACP48" i="6"/>
  <c r="ACR16" i="6"/>
  <c r="ACP9" i="6"/>
  <c r="ACP27" i="6"/>
  <c r="ACQ77" i="6"/>
  <c r="ACS77" i="6" s="1"/>
  <c r="ACQ62" i="6"/>
  <c r="ACQ79" i="6"/>
  <c r="ACP103" i="6"/>
  <c r="ACQ15" i="6"/>
  <c r="ACQ45" i="6"/>
  <c r="ACR113" i="6"/>
  <c r="ACS113" i="6" s="1"/>
  <c r="ACQ27" i="6"/>
  <c r="ACQ94" i="6"/>
  <c r="ACR79" i="6"/>
  <c r="ACP45" i="6"/>
  <c r="ACR53" i="6"/>
  <c r="ACR78" i="6"/>
  <c r="ACR116" i="6"/>
  <c r="ACP82" i="6"/>
  <c r="ACQ36" i="6"/>
  <c r="ACP22" i="6"/>
  <c r="ACP80" i="6"/>
  <c r="ACR108" i="6"/>
  <c r="ACP105" i="6"/>
  <c r="ACP59" i="6"/>
  <c r="ACQ93" i="6"/>
  <c r="ACQ78" i="6"/>
  <c r="ACQ95" i="6"/>
  <c r="ACR100" i="6"/>
  <c r="ACS100" i="6" s="1"/>
  <c r="ACP49" i="6"/>
  <c r="ACQ29" i="6"/>
  <c r="ACR97" i="6"/>
  <c r="ACP41" i="6"/>
  <c r="ACR8" i="6"/>
  <c r="ACR63" i="6"/>
  <c r="ACQ112" i="6"/>
  <c r="ACR37" i="6"/>
  <c r="ACR62" i="6"/>
  <c r="ACQ6" i="6"/>
  <c r="ACP114" i="6"/>
  <c r="ACQ52" i="6"/>
  <c r="ACP54" i="6"/>
  <c r="ACP112" i="6"/>
  <c r="ACP111" i="6"/>
  <c r="ACQ47" i="6"/>
  <c r="ACS47" i="6" s="1"/>
  <c r="ACP91" i="6"/>
  <c r="ACQ109" i="6"/>
  <c r="ACQ106" i="6"/>
  <c r="ACQ111" i="6"/>
  <c r="ACR32" i="6"/>
  <c r="ACP33" i="6"/>
  <c r="ACP35" i="6"/>
  <c r="ACQ81" i="6"/>
  <c r="ACS81" i="6" s="1"/>
  <c r="ACQ66" i="6"/>
  <c r="ACQ83" i="6"/>
  <c r="ACR28" i="6"/>
  <c r="ACR111" i="6"/>
  <c r="ACQ17" i="6"/>
  <c r="ACR85" i="6"/>
  <c r="ACR110" i="6"/>
  <c r="ACR92" i="6"/>
  <c r="ACR19" i="6"/>
  <c r="ACQ68" i="6"/>
  <c r="ACP86" i="6"/>
  <c r="ACR18" i="6"/>
  <c r="ACQ86" i="6"/>
  <c r="ACP26" i="6"/>
  <c r="ACQ8" i="6"/>
  <c r="ACP37" i="6"/>
  <c r="ACP24" i="6"/>
  <c r="ACP44" i="6"/>
  <c r="ACR80" i="6"/>
  <c r="ACQ59" i="6"/>
  <c r="ACQ61" i="6"/>
  <c r="ACQ50" i="6"/>
  <c r="ACQ67" i="6"/>
  <c r="ACP36" i="6"/>
  <c r="ACR95" i="6"/>
  <c r="ACP109" i="6"/>
  <c r="ACR69" i="6"/>
  <c r="ACR94" i="6"/>
  <c r="ACP116" i="6"/>
  <c r="ACR35" i="6"/>
  <c r="ACQ84" i="6"/>
  <c r="ACR9" i="6"/>
  <c r="ACS9" i="6" s="1"/>
  <c r="ACR34" i="6"/>
  <c r="ACP20" i="6"/>
  <c r="ACP58" i="6"/>
  <c r="ACQ24" i="6"/>
  <c r="ACP101" i="6"/>
  <c r="Z43" i="6"/>
  <c r="M26" i="6"/>
  <c r="L51" i="6"/>
  <c r="Z104" i="6"/>
  <c r="L83" i="6"/>
  <c r="X113" i="6"/>
  <c r="N35" i="6"/>
  <c r="L74" i="6"/>
  <c r="Y6" i="6"/>
  <c r="L29" i="6"/>
  <c r="M56" i="6"/>
  <c r="Y55" i="6"/>
  <c r="M113" i="6"/>
  <c r="N16" i="6"/>
  <c r="X88" i="6"/>
  <c r="N30" i="6"/>
  <c r="X101" i="6"/>
  <c r="N82" i="6"/>
  <c r="Z24" i="6"/>
  <c r="Y71" i="6"/>
  <c r="N105" i="6"/>
  <c r="M22" i="6"/>
  <c r="X69" i="6"/>
  <c r="Y77" i="6"/>
  <c r="L33" i="6"/>
  <c r="Y11" i="6"/>
  <c r="L69" i="6"/>
  <c r="Y22" i="6"/>
  <c r="M55" i="6"/>
  <c r="M29" i="6"/>
  <c r="M33" i="6"/>
  <c r="L22" i="6"/>
  <c r="N19" i="6"/>
  <c r="N73" i="6"/>
  <c r="M40" i="6"/>
  <c r="X26" i="6"/>
  <c r="Y66" i="6"/>
  <c r="X36" i="6"/>
  <c r="X102" i="6"/>
  <c r="Z32" i="6"/>
  <c r="X38" i="6"/>
  <c r="L60" i="6"/>
  <c r="N58" i="6"/>
  <c r="N37" i="6"/>
  <c r="L92" i="6"/>
  <c r="N104" i="6"/>
  <c r="M108" i="6"/>
  <c r="N33" i="6"/>
  <c r="X66" i="6"/>
  <c r="X108" i="6"/>
  <c r="X104" i="6"/>
  <c r="Z54" i="6"/>
  <c r="Y82" i="6"/>
  <c r="Z25" i="6"/>
  <c r="N13" i="6"/>
  <c r="M96" i="6"/>
  <c r="L31" i="6"/>
  <c r="N83" i="6"/>
  <c r="N50" i="6"/>
  <c r="M18" i="6"/>
  <c r="M66" i="6"/>
  <c r="Y29" i="6"/>
  <c r="X29" i="6"/>
  <c r="X25" i="6"/>
  <c r="Y57" i="6"/>
  <c r="X31" i="6"/>
  <c r="Z29" i="6"/>
  <c r="L26" i="6"/>
  <c r="L65" i="6"/>
  <c r="L42" i="6"/>
  <c r="L101" i="6"/>
  <c r="N112" i="6"/>
  <c r="N72" i="6"/>
  <c r="N29" i="6"/>
  <c r="N26" i="6"/>
  <c r="O26" i="6" s="1"/>
  <c r="X97" i="6"/>
  <c r="Z38" i="6"/>
  <c r="Y104" i="6"/>
  <c r="Z112" i="6"/>
  <c r="Z66" i="6"/>
  <c r="Z26" i="6"/>
  <c r="M87" i="6"/>
  <c r="M111" i="6"/>
  <c r="N56" i="6"/>
  <c r="N31" i="6"/>
  <c r="L72" i="6"/>
  <c r="N114" i="6"/>
  <c r="L110" i="6"/>
  <c r="Z89" i="6"/>
  <c r="Y31" i="6"/>
  <c r="Y49" i="6"/>
  <c r="Z57" i="6"/>
  <c r="X56" i="6"/>
  <c r="Y64" i="6"/>
  <c r="Y26" i="6"/>
  <c r="M30" i="6"/>
  <c r="M104" i="6"/>
  <c r="M94" i="6"/>
  <c r="M58" i="6"/>
  <c r="O58" i="6" s="1"/>
  <c r="L30" i="6"/>
  <c r="L104" i="6"/>
  <c r="Y92" i="6"/>
  <c r="Z41" i="6"/>
  <c r="Z42" i="6"/>
  <c r="Z59" i="6"/>
  <c r="Z60" i="6"/>
  <c r="Z11" i="6"/>
  <c r="M10" i="6"/>
  <c r="L56" i="6"/>
  <c r="M107" i="6"/>
  <c r="L41" i="6"/>
  <c r="M67" i="6"/>
  <c r="M37" i="6"/>
  <c r="L73" i="6"/>
  <c r="L115" i="6"/>
  <c r="N38" i="6"/>
  <c r="M68" i="6"/>
  <c r="N88" i="6"/>
  <c r="L25" i="6"/>
  <c r="L106" i="6"/>
  <c r="N86" i="6"/>
  <c r="N9" i="6"/>
  <c r="M70" i="6"/>
  <c r="L95" i="6"/>
  <c r="N64" i="6"/>
  <c r="M85" i="6"/>
  <c r="N7" i="6"/>
  <c r="L86" i="6"/>
  <c r="L45" i="6"/>
  <c r="M115" i="6"/>
  <c r="N28" i="6"/>
  <c r="N51" i="6"/>
  <c r="L80" i="6"/>
  <c r="L36" i="6"/>
  <c r="M53" i="6"/>
  <c r="N84" i="6"/>
  <c r="M106" i="6"/>
  <c r="L64" i="6"/>
  <c r="L27" i="6"/>
  <c r="M100" i="6"/>
  <c r="N24" i="6"/>
  <c r="M48" i="6"/>
  <c r="M86" i="6"/>
  <c r="L63" i="6"/>
  <c r="N11" i="6"/>
  <c r="M50" i="6"/>
  <c r="M72" i="6"/>
  <c r="N106" i="6"/>
  <c r="X91" i="6"/>
  <c r="Z93" i="6"/>
  <c r="Y35" i="6"/>
  <c r="Z81" i="6"/>
  <c r="X94" i="6"/>
  <c r="X75" i="6"/>
  <c r="X90" i="6"/>
  <c r="Z88" i="6"/>
  <c r="Y99" i="6"/>
  <c r="Z53" i="6"/>
  <c r="Y98" i="6"/>
  <c r="X65" i="6"/>
  <c r="Z94" i="6"/>
  <c r="Y105" i="6"/>
  <c r="Y85" i="6"/>
  <c r="Y38" i="6"/>
  <c r="X93" i="6"/>
  <c r="Y111" i="6"/>
  <c r="Y115" i="6"/>
  <c r="Z91" i="6"/>
  <c r="X32" i="6"/>
  <c r="X68" i="6"/>
  <c r="Z110" i="6"/>
  <c r="Z8" i="6"/>
  <c r="Z31" i="6"/>
  <c r="X33" i="6"/>
  <c r="X13" i="6"/>
  <c r="Z116" i="6"/>
  <c r="Y8" i="6"/>
  <c r="Y75" i="6"/>
  <c r="Y114" i="6"/>
  <c r="X99" i="6"/>
  <c r="Z9" i="6"/>
  <c r="Z20" i="6"/>
  <c r="Z106" i="6"/>
  <c r="Y54" i="6"/>
  <c r="X70" i="6"/>
  <c r="X59" i="6"/>
  <c r="Y83" i="6"/>
  <c r="Y87" i="6"/>
  <c r="Z75" i="6"/>
  <c r="L90" i="6"/>
  <c r="N92" i="6"/>
  <c r="L107" i="6"/>
  <c r="M98" i="6"/>
  <c r="L7" i="6"/>
  <c r="L81" i="6"/>
  <c r="L68" i="6"/>
  <c r="M74" i="6"/>
  <c r="N101" i="6"/>
  <c r="M7" i="6"/>
  <c r="O7" i="6" s="1"/>
  <c r="L97" i="6"/>
  <c r="L59" i="6"/>
  <c r="N8" i="6"/>
  <c r="N39" i="6"/>
  <c r="M62" i="6"/>
  <c r="N99" i="6"/>
  <c r="L50" i="6"/>
  <c r="N59" i="6"/>
  <c r="N97" i="6"/>
  <c r="N116" i="6"/>
  <c r="N41" i="6"/>
  <c r="L39" i="6"/>
  <c r="L109" i="6"/>
  <c r="M35" i="6"/>
  <c r="N61" i="6"/>
  <c r="M92" i="6"/>
  <c r="L100" i="6"/>
  <c r="M90" i="6"/>
  <c r="M116" i="6"/>
  <c r="L91" i="6"/>
  <c r="N23" i="6"/>
  <c r="M54" i="6"/>
  <c r="N75" i="6"/>
  <c r="L6" i="6"/>
  <c r="L18" i="6"/>
  <c r="N45" i="6"/>
  <c r="M84" i="6"/>
  <c r="M102" i="6"/>
  <c r="Y24" i="6"/>
  <c r="X48" i="6"/>
  <c r="Y117" i="6"/>
  <c r="Z92" i="6"/>
  <c r="X54" i="6"/>
  <c r="X111" i="6"/>
  <c r="Y33" i="6"/>
  <c r="Y36" i="6"/>
  <c r="Z96" i="6"/>
  <c r="X114" i="6"/>
  <c r="X22" i="6"/>
  <c r="Y39" i="6"/>
  <c r="Z49" i="6"/>
  <c r="Z16" i="6"/>
  <c r="Y70" i="6"/>
  <c r="X61" i="6"/>
  <c r="Y45" i="6"/>
  <c r="Y56" i="6"/>
  <c r="Y48" i="6"/>
  <c r="Y10" i="6"/>
  <c r="X100" i="6"/>
  <c r="X89" i="6"/>
  <c r="Z61" i="6"/>
  <c r="Z65" i="6"/>
  <c r="Z63" i="6"/>
  <c r="X105" i="6"/>
  <c r="X39" i="6"/>
  <c r="Y61" i="6"/>
  <c r="Y65" i="6"/>
  <c r="Z117" i="6"/>
  <c r="X24" i="6"/>
  <c r="X9" i="6"/>
  <c r="Y67" i="6"/>
  <c r="Z77" i="6"/>
  <c r="Z37" i="6"/>
  <c r="Y86" i="6"/>
  <c r="X27" i="6"/>
  <c r="Y17" i="6"/>
  <c r="Y28" i="6"/>
  <c r="Z107" i="6"/>
  <c r="M80" i="6"/>
  <c r="N53" i="6"/>
  <c r="M31" i="6"/>
  <c r="M117" i="6"/>
  <c r="L77" i="6"/>
  <c r="L62" i="6"/>
  <c r="L21" i="6"/>
  <c r="N17" i="6"/>
  <c r="M41" i="6"/>
  <c r="L105" i="6"/>
  <c r="L12" i="6"/>
  <c r="N42" i="6"/>
  <c r="N71" i="6"/>
  <c r="N91" i="6"/>
  <c r="L57" i="6"/>
  <c r="L114" i="6"/>
  <c r="N89" i="6"/>
  <c r="M13" i="6"/>
  <c r="N36" i="6"/>
  <c r="M73" i="6"/>
  <c r="L103" i="6"/>
  <c r="N34" i="6"/>
  <c r="N67" i="6"/>
  <c r="M88" i="6"/>
  <c r="M11" i="6"/>
  <c r="L94" i="6"/>
  <c r="L53" i="6"/>
  <c r="M9" i="6"/>
  <c r="N32" i="6"/>
  <c r="N55" i="6"/>
  <c r="L112" i="6"/>
  <c r="L44" i="6"/>
  <c r="M60" i="6"/>
  <c r="N87" i="6"/>
  <c r="N109" i="6"/>
  <c r="L24" i="6"/>
  <c r="L82" i="6"/>
  <c r="M77" i="6"/>
  <c r="M112" i="6"/>
  <c r="N21" i="6"/>
  <c r="M59" i="6"/>
  <c r="Z34" i="6"/>
  <c r="Y81" i="6"/>
  <c r="Y62" i="6"/>
  <c r="Z48" i="6"/>
  <c r="X92" i="6"/>
  <c r="X109" i="6"/>
  <c r="X34" i="6"/>
  <c r="Y89" i="6"/>
  <c r="Y93" i="6"/>
  <c r="Z19" i="6"/>
  <c r="X45" i="6"/>
  <c r="X43" i="6"/>
  <c r="Y95" i="6"/>
  <c r="Z105" i="6"/>
  <c r="Y59" i="6"/>
  <c r="AA59" i="6" s="1"/>
  <c r="Y102" i="6"/>
  <c r="X18" i="6"/>
  <c r="Z102" i="6"/>
  <c r="Y113" i="6"/>
  <c r="Z90" i="6"/>
  <c r="Y42" i="6"/>
  <c r="X57" i="6"/>
  <c r="X46" i="6"/>
  <c r="Z6" i="6"/>
  <c r="Z10" i="6"/>
  <c r="Z95" i="6"/>
  <c r="X96" i="6"/>
  <c r="X21" i="6"/>
  <c r="Z12" i="6"/>
  <c r="Y15" i="6"/>
  <c r="Z35" i="6"/>
  <c r="X50" i="6"/>
  <c r="X77" i="6"/>
  <c r="Y12" i="6"/>
  <c r="Z14" i="6"/>
  <c r="Z80" i="6"/>
  <c r="X6" i="6"/>
  <c r="X95" i="6"/>
  <c r="Y73" i="6"/>
  <c r="Y84" i="6"/>
  <c r="Y69" i="6"/>
  <c r="N115" i="6"/>
  <c r="M61" i="6"/>
  <c r="M110" i="6"/>
  <c r="M20" i="6"/>
  <c r="L15" i="6"/>
  <c r="L85" i="6"/>
  <c r="M24" i="6"/>
  <c r="N47" i="6"/>
  <c r="M76" i="6"/>
  <c r="L113" i="6"/>
  <c r="L76" i="6"/>
  <c r="N77" i="6"/>
  <c r="M105" i="6"/>
  <c r="N14" i="6"/>
  <c r="L8" i="6"/>
  <c r="L67" i="6"/>
  <c r="M12" i="6"/>
  <c r="M43" i="6"/>
  <c r="N65" i="6"/>
  <c r="M103" i="6"/>
  <c r="L58" i="6"/>
  <c r="N63" i="6"/>
  <c r="M101" i="6"/>
  <c r="N10" i="6"/>
  <c r="M45" i="6"/>
  <c r="L47" i="6"/>
  <c r="L117" i="6"/>
  <c r="M39" i="6"/>
  <c r="M65" i="6"/>
  <c r="N95" i="6"/>
  <c r="L38" i="6"/>
  <c r="L108" i="6"/>
  <c r="N93" i="6"/>
  <c r="N6" i="6"/>
  <c r="L96" i="6"/>
  <c r="L35" i="6"/>
  <c r="N103" i="6"/>
  <c r="M28" i="6"/>
  <c r="O28" i="6" s="1"/>
  <c r="M51" i="6"/>
  <c r="M89" i="6"/>
  <c r="Y32" i="6"/>
  <c r="Z74" i="6"/>
  <c r="X55" i="6"/>
  <c r="Y94" i="6"/>
  <c r="AA94" i="6" s="1"/>
  <c r="X17" i="6"/>
  <c r="X19" i="6"/>
  <c r="X8" i="6"/>
  <c r="Z40" i="6"/>
  <c r="Z44" i="6"/>
  <c r="Z51" i="6"/>
  <c r="X7" i="6"/>
  <c r="X81" i="6"/>
  <c r="Y40" i="6"/>
  <c r="Y44" i="6"/>
  <c r="Z101" i="6"/>
  <c r="X20" i="6"/>
  <c r="X86" i="6"/>
  <c r="Z45" i="6"/>
  <c r="Z56" i="6"/>
  <c r="Z21" i="6"/>
  <c r="Y74" i="6"/>
  <c r="X14" i="6"/>
  <c r="Y52" i="6"/>
  <c r="Z62" i="6"/>
  <c r="Y53" i="6"/>
  <c r="AA53" i="6" s="1"/>
  <c r="Y14" i="6"/>
  <c r="AA14" i="6" s="1"/>
  <c r="X53" i="6"/>
  <c r="X42" i="6"/>
  <c r="Z68" i="6"/>
  <c r="Z72" i="6"/>
  <c r="Z67" i="6"/>
  <c r="X11" i="6"/>
  <c r="X47" i="6"/>
  <c r="Y68" i="6"/>
  <c r="Y72" i="6"/>
  <c r="Z7" i="6"/>
  <c r="X16" i="6"/>
  <c r="X52" i="6"/>
  <c r="Z17" i="6"/>
  <c r="Z28" i="6"/>
  <c r="Y112" i="6"/>
  <c r="Y58" i="6"/>
  <c r="M75" i="6"/>
  <c r="N25" i="6"/>
  <c r="N85" i="6"/>
  <c r="L54" i="6"/>
  <c r="N43" i="6"/>
  <c r="L79" i="6"/>
  <c r="M19" i="6"/>
  <c r="M57" i="6"/>
  <c r="N78" i="6"/>
  <c r="M114" i="6"/>
  <c r="L70" i="6"/>
  <c r="N107" i="6"/>
  <c r="M21" i="6"/>
  <c r="N44" i="6"/>
  <c r="L16" i="6"/>
  <c r="L20" i="6"/>
  <c r="M46" i="6"/>
  <c r="M78" i="6"/>
  <c r="M95" i="6"/>
  <c r="L89" i="6"/>
  <c r="L11" i="6"/>
  <c r="M93" i="6"/>
  <c r="M17" i="6"/>
  <c r="N40" i="6"/>
  <c r="N76" i="6"/>
  <c r="L111" i="6"/>
  <c r="M38" i="6"/>
  <c r="M71" i="6"/>
  <c r="M91" i="6"/>
  <c r="M15" i="6"/>
  <c r="L102" i="6"/>
  <c r="L61" i="6"/>
  <c r="N12" i="6"/>
  <c r="M36" i="6"/>
  <c r="N62" i="6"/>
  <c r="L9" i="6"/>
  <c r="L99" i="6"/>
  <c r="M27" i="6"/>
  <c r="N57" i="6"/>
  <c r="M82" i="6"/>
  <c r="Z111" i="6"/>
  <c r="Y30" i="6"/>
  <c r="X23" i="6"/>
  <c r="X37" i="6"/>
  <c r="Z82" i="6"/>
  <c r="X87" i="6"/>
  <c r="X76" i="6"/>
  <c r="Z97" i="6"/>
  <c r="Z100" i="6"/>
  <c r="Z83" i="6"/>
  <c r="X15" i="6"/>
  <c r="X98" i="6"/>
  <c r="Y97" i="6"/>
  <c r="Y108" i="6"/>
  <c r="Z23" i="6"/>
  <c r="X62" i="6"/>
  <c r="X107" i="6"/>
  <c r="Y103" i="6"/>
  <c r="Z113" i="6"/>
  <c r="Z64" i="6"/>
  <c r="Y106" i="6"/>
  <c r="X82" i="6"/>
  <c r="Y109" i="6"/>
  <c r="Y7" i="6"/>
  <c r="Y96" i="6"/>
  <c r="Y46" i="6"/>
  <c r="X10" i="6"/>
  <c r="X110" i="6"/>
  <c r="Y13" i="6"/>
  <c r="Y16" i="6"/>
  <c r="Z99" i="6"/>
  <c r="X49" i="6"/>
  <c r="X85" i="6"/>
  <c r="Y19" i="6"/>
  <c r="Y23" i="6"/>
  <c r="Z39" i="6"/>
  <c r="AA39" i="6" s="1"/>
  <c r="X41" i="6"/>
  <c r="X73" i="6"/>
  <c r="Z73" i="6"/>
  <c r="Z84" i="6"/>
  <c r="Y43" i="6"/>
  <c r="Y90" i="6"/>
  <c r="M63" i="6"/>
  <c r="L43" i="6"/>
  <c r="M49" i="6"/>
  <c r="N100" i="6"/>
  <c r="N69" i="6"/>
  <c r="L34" i="6"/>
  <c r="N52" i="6"/>
  <c r="N90" i="6"/>
  <c r="M109" i="6"/>
  <c r="M34" i="6"/>
  <c r="L23" i="6"/>
  <c r="L93" i="6"/>
  <c r="N27" i="6"/>
  <c r="N54" i="6"/>
  <c r="M79" i="6"/>
  <c r="L14" i="6"/>
  <c r="L84" i="6"/>
  <c r="N80" i="6"/>
  <c r="N108" i="6"/>
  <c r="N18" i="6"/>
  <c r="L40" i="6"/>
  <c r="L75" i="6"/>
  <c r="M16" i="6"/>
  <c r="M47" i="6"/>
  <c r="M69" i="6"/>
  <c r="N110" i="6"/>
  <c r="L66" i="6"/>
  <c r="N70" i="6"/>
  <c r="M14" i="6"/>
  <c r="M52" i="6"/>
  <c r="L55" i="6"/>
  <c r="M8" i="6"/>
  <c r="N46" i="6"/>
  <c r="N68" i="6"/>
  <c r="M99" i="6"/>
  <c r="L17" i="6"/>
  <c r="L52" i="6"/>
  <c r="M64" i="6"/>
  <c r="N94" i="6"/>
  <c r="N113" i="6"/>
  <c r="Z47" i="6"/>
  <c r="Z33" i="6"/>
  <c r="X80" i="6"/>
  <c r="Z79" i="6"/>
  <c r="Y25" i="6"/>
  <c r="AA25" i="6" s="1"/>
  <c r="Z86" i="6"/>
  <c r="X44" i="6"/>
  <c r="Z30" i="6"/>
  <c r="Y41" i="6"/>
  <c r="Y37" i="6"/>
  <c r="Z115" i="6"/>
  <c r="X83" i="6"/>
  <c r="X72" i="6"/>
  <c r="Y47" i="6"/>
  <c r="Y51" i="6"/>
  <c r="Z55" i="6"/>
  <c r="X71" i="6"/>
  <c r="X51" i="6"/>
  <c r="Z46" i="6"/>
  <c r="Z50" i="6"/>
  <c r="Y107" i="6"/>
  <c r="X84" i="6"/>
  <c r="X103" i="6"/>
  <c r="Z52" i="6"/>
  <c r="Y63" i="6"/>
  <c r="Y27" i="6"/>
  <c r="Y78" i="6"/>
  <c r="X78" i="6"/>
  <c r="Y60" i="6"/>
  <c r="Z70" i="6"/>
  <c r="Z58" i="6"/>
  <c r="Y18" i="6"/>
  <c r="X117" i="6"/>
  <c r="X106" i="6"/>
  <c r="Z76" i="6"/>
  <c r="Y79" i="6"/>
  <c r="AA79" i="6" s="1"/>
  <c r="Z71" i="6"/>
  <c r="X67" i="6"/>
  <c r="X30" i="6"/>
  <c r="Z18" i="6"/>
  <c r="Z22" i="6"/>
  <c r="Z85" i="6"/>
  <c r="L71" i="6"/>
  <c r="N15" i="6"/>
  <c r="M32" i="6"/>
  <c r="L49" i="6"/>
  <c r="L13" i="6"/>
  <c r="L88" i="6"/>
  <c r="L98" i="6"/>
  <c r="M83" i="6"/>
  <c r="M6" i="6"/>
  <c r="N66" i="6"/>
  <c r="L87" i="6"/>
  <c r="M23" i="6"/>
  <c r="N60" i="6"/>
  <c r="N81" i="6"/>
  <c r="N117" i="6"/>
  <c r="L78" i="6"/>
  <c r="L37" i="6"/>
  <c r="N111" i="6"/>
  <c r="M25" i="6"/>
  <c r="N48" i="6"/>
  <c r="L48" i="6"/>
  <c r="L28" i="6"/>
  <c r="N49" i="6"/>
  <c r="M81" i="6"/>
  <c r="N102" i="6"/>
  <c r="L32" i="6"/>
  <c r="L19" i="6"/>
  <c r="N96" i="6"/>
  <c r="N20" i="6"/>
  <c r="M44" i="6"/>
  <c r="N79" i="6"/>
  <c r="L10" i="6"/>
  <c r="M42" i="6"/>
  <c r="N74" i="6"/>
  <c r="O74" i="6" s="1"/>
  <c r="N98" i="6"/>
  <c r="N22" i="6"/>
  <c r="L46" i="6"/>
  <c r="L116" i="6"/>
  <c r="M97" i="6"/>
  <c r="Z36" i="6"/>
  <c r="X12" i="6"/>
  <c r="X116" i="6"/>
  <c r="X58" i="6"/>
  <c r="Y91" i="6"/>
  <c r="Z15" i="6"/>
  <c r="X112" i="6"/>
  <c r="Y88" i="6"/>
  <c r="Z98" i="6"/>
  <c r="Y80" i="6"/>
  <c r="Y34" i="6"/>
  <c r="AA34" i="6" s="1"/>
  <c r="X40" i="6"/>
  <c r="Z108" i="6"/>
  <c r="Z87" i="6"/>
  <c r="X79" i="6"/>
  <c r="X115" i="6"/>
  <c r="Z114" i="6"/>
  <c r="Z27" i="6"/>
  <c r="X63" i="6"/>
  <c r="X60" i="6"/>
  <c r="Z109" i="6"/>
  <c r="Y100" i="6"/>
  <c r="AA100" i="6" s="1"/>
  <c r="Z69" i="6"/>
  <c r="Y110" i="6"/>
  <c r="X35" i="6"/>
  <c r="Y116" i="6"/>
  <c r="Z13" i="6"/>
  <c r="Y101" i="6"/>
  <c r="Y50" i="6"/>
  <c r="X74" i="6"/>
  <c r="Y9" i="6"/>
  <c r="Y20" i="6"/>
  <c r="Y21" i="6"/>
  <c r="Z103" i="6"/>
  <c r="X28" i="6"/>
  <c r="X64" i="6"/>
  <c r="Y76" i="6"/>
  <c r="Z78" i="6"/>
  <c r="YJ43" i="6"/>
  <c r="ACS7" i="6"/>
  <c r="YU38" i="6"/>
  <c r="YU60" i="6"/>
  <c r="YJ18" i="6"/>
  <c r="YJ112" i="6"/>
  <c r="WR12" i="6"/>
  <c r="YJ99" i="6"/>
  <c r="YJ17" i="6"/>
  <c r="ACS40" i="6"/>
  <c r="YJ12" i="6"/>
  <c r="YJ59" i="6"/>
  <c r="YJ55" i="6"/>
  <c r="XY44" i="6"/>
  <c r="XY63" i="6"/>
  <c r="XC61" i="6"/>
  <c r="YJ66" i="6"/>
  <c r="YJ107" i="6"/>
  <c r="HW10" i="6"/>
  <c r="HW35" i="6"/>
  <c r="HW20" i="6"/>
  <c r="HW96" i="6"/>
  <c r="HW42" i="6"/>
  <c r="WR59" i="6"/>
  <c r="GO74" i="6"/>
  <c r="YJ85" i="6"/>
  <c r="WR25" i="6"/>
  <c r="XY13" i="6"/>
  <c r="WR95" i="6"/>
  <c r="YJ44" i="6"/>
  <c r="OB57" i="6"/>
  <c r="OB87" i="6"/>
  <c r="FX114" i="6"/>
  <c r="OB62" i="6"/>
  <c r="HW38" i="6"/>
  <c r="OB58" i="6"/>
  <c r="YJ92" i="6"/>
  <c r="XN26" i="6"/>
  <c r="XN8" i="6"/>
  <c r="XN84" i="6"/>
  <c r="XY84" i="6"/>
  <c r="XY103" i="6"/>
  <c r="XY24" i="6"/>
  <c r="XY43" i="6"/>
  <c r="YU116" i="6"/>
  <c r="YJ94" i="6"/>
  <c r="YJ21" i="6"/>
  <c r="YJ25" i="6"/>
  <c r="YJ110" i="6"/>
  <c r="FX94" i="6"/>
  <c r="HW55" i="6"/>
  <c r="HW102" i="6"/>
  <c r="XY89" i="6"/>
  <c r="XY22" i="6"/>
  <c r="XC40" i="6"/>
  <c r="YU14" i="6"/>
  <c r="HW98" i="6"/>
  <c r="YU45" i="6"/>
  <c r="YJ48" i="6"/>
  <c r="XY62" i="6"/>
  <c r="XC104" i="6"/>
  <c r="XC101" i="6"/>
  <c r="XC79" i="6"/>
  <c r="XC19" i="6"/>
  <c r="OB115" i="6"/>
  <c r="YJ100" i="6"/>
  <c r="HW52" i="6"/>
  <c r="HW32" i="6"/>
  <c r="HW27" i="6"/>
  <c r="YJ84" i="6"/>
  <c r="HW64" i="6"/>
  <c r="YJ22" i="6"/>
  <c r="YJ89" i="6"/>
  <c r="YJ46" i="6"/>
  <c r="HW106" i="6"/>
  <c r="HW74" i="6"/>
  <c r="OB51" i="6"/>
  <c r="OB23" i="6"/>
  <c r="OB53" i="6"/>
  <c r="YJ8" i="6"/>
  <c r="FX19" i="6"/>
  <c r="HW45" i="6"/>
  <c r="HW65" i="6"/>
  <c r="HW58" i="6"/>
  <c r="HW84" i="6"/>
  <c r="HW80" i="6"/>
  <c r="HW61" i="6"/>
  <c r="HW113" i="6"/>
  <c r="YJ23" i="6"/>
  <c r="FX32" i="6"/>
  <c r="FX10" i="6"/>
  <c r="HW99" i="6"/>
  <c r="HW40" i="6"/>
  <c r="HW22" i="6"/>
  <c r="FX109" i="6"/>
  <c r="HW86" i="6"/>
  <c r="HW83" i="6"/>
  <c r="HW92" i="6"/>
  <c r="OB14" i="6"/>
  <c r="OB111" i="6"/>
  <c r="HW67" i="6"/>
  <c r="HW115" i="6"/>
  <c r="XN25" i="6"/>
  <c r="XN114" i="6"/>
  <c r="XN96" i="6"/>
  <c r="XN54" i="6"/>
  <c r="XN36" i="6"/>
  <c r="XN13" i="6"/>
  <c r="XY112" i="6"/>
  <c r="YU55" i="6"/>
  <c r="ACS65" i="6"/>
  <c r="XY17" i="6"/>
  <c r="XY91" i="6"/>
  <c r="XY12" i="6"/>
  <c r="XY31" i="6"/>
  <c r="YU88" i="6"/>
  <c r="YU28" i="6"/>
  <c r="XN90" i="6"/>
  <c r="YU44" i="6"/>
  <c r="ACS91" i="6"/>
  <c r="YU10" i="6"/>
  <c r="VH65" i="6"/>
  <c r="XN86" i="6"/>
  <c r="ACS70" i="6"/>
  <c r="GO55" i="6"/>
  <c r="GO96" i="6"/>
  <c r="ACG62" i="6"/>
  <c r="DY45" i="6"/>
  <c r="XN61" i="6"/>
  <c r="XY102" i="6"/>
  <c r="XY101" i="6"/>
  <c r="XC9" i="6"/>
  <c r="YU105" i="6"/>
  <c r="VH6" i="6"/>
  <c r="GO115" i="6"/>
  <c r="HF32" i="6"/>
  <c r="DY92" i="6"/>
  <c r="XN67" i="6"/>
  <c r="XN72" i="6"/>
  <c r="XN105" i="6"/>
  <c r="XN12" i="6"/>
  <c r="XY90" i="6"/>
  <c r="XY88" i="6"/>
  <c r="XY107" i="6"/>
  <c r="XY28" i="6"/>
  <c r="XY47" i="6"/>
  <c r="XC28" i="6"/>
  <c r="XC103" i="6"/>
  <c r="XC43" i="6"/>
  <c r="XC94" i="6"/>
  <c r="YU110" i="6"/>
  <c r="YU39" i="6"/>
  <c r="EP55" i="6"/>
  <c r="EP66" i="6"/>
  <c r="ACS89" i="6"/>
  <c r="VC68" i="6"/>
  <c r="XN9" i="6"/>
  <c r="XN89" i="6"/>
  <c r="XN81" i="6"/>
  <c r="XY86" i="6"/>
  <c r="XC31" i="6"/>
  <c r="XC69" i="6"/>
  <c r="XC72" i="6"/>
  <c r="VG65" i="6"/>
  <c r="XN50" i="6"/>
  <c r="XN33" i="6"/>
  <c r="XY41" i="6"/>
  <c r="XY18" i="6"/>
  <c r="XY37" i="6"/>
  <c r="ACS45" i="6"/>
  <c r="XN108" i="6"/>
  <c r="XN48" i="6"/>
  <c r="XY14" i="6"/>
  <c r="XY67" i="6"/>
  <c r="XY7" i="6"/>
  <c r="XY64" i="6"/>
  <c r="YU80" i="6"/>
  <c r="YU20" i="6"/>
  <c r="YU64" i="6"/>
  <c r="ACS66" i="6"/>
  <c r="WR88" i="6"/>
  <c r="ACS30" i="6"/>
  <c r="YJ41" i="6"/>
  <c r="FX102" i="6"/>
  <c r="FX89" i="6"/>
  <c r="HW114" i="6"/>
  <c r="WR103" i="6"/>
  <c r="GO103" i="6"/>
  <c r="VX68" i="6"/>
  <c r="YJ26" i="6"/>
  <c r="HW87" i="6"/>
  <c r="YJ67" i="6"/>
  <c r="FX91" i="6"/>
  <c r="HW53" i="6"/>
  <c r="WR31" i="6"/>
  <c r="YJ28" i="6"/>
  <c r="HW75" i="6"/>
  <c r="GO42" i="6"/>
  <c r="ACG89" i="6"/>
  <c r="XC78" i="6"/>
  <c r="XC18" i="6"/>
  <c r="YJ34" i="6"/>
  <c r="WR67" i="6"/>
  <c r="CG55" i="6"/>
  <c r="YJ20" i="6"/>
  <c r="CG88" i="6"/>
  <c r="GO85" i="6"/>
  <c r="OB46" i="6"/>
  <c r="YJ63" i="6"/>
  <c r="YJ38" i="6"/>
  <c r="GO89" i="6"/>
  <c r="OB116" i="6"/>
  <c r="YJ39" i="6"/>
  <c r="WR8" i="6"/>
  <c r="XC65" i="6"/>
  <c r="YU51" i="6"/>
  <c r="OB18" i="6"/>
  <c r="YJ35" i="6"/>
  <c r="YU41" i="6"/>
  <c r="GO49" i="6"/>
  <c r="OB98" i="6"/>
  <c r="YJ91" i="6"/>
  <c r="GO95" i="6"/>
  <c r="GO43" i="6"/>
  <c r="GO16" i="6"/>
  <c r="VD65" i="6"/>
  <c r="YJ116" i="6"/>
  <c r="HW37" i="6"/>
  <c r="HW8" i="6"/>
  <c r="HW23" i="6"/>
  <c r="VH49" i="6"/>
  <c r="VE65" i="6"/>
  <c r="FG60" i="6"/>
  <c r="GO18" i="6"/>
  <c r="GO101" i="6"/>
  <c r="GO104" i="6"/>
  <c r="GO17" i="6"/>
  <c r="HF91" i="6"/>
  <c r="VX20" i="6"/>
  <c r="XN104" i="6"/>
  <c r="XN44" i="6"/>
  <c r="XY49" i="6"/>
  <c r="XY60" i="6"/>
  <c r="XY79" i="6"/>
  <c r="XC66" i="6"/>
  <c r="XC110" i="6"/>
  <c r="XC50" i="6"/>
  <c r="XC108" i="6"/>
  <c r="YU76" i="6"/>
  <c r="YU16" i="6"/>
  <c r="FG25" i="6"/>
  <c r="GO15" i="6"/>
  <c r="YJ113" i="6"/>
  <c r="YJ80" i="6"/>
  <c r="HW78" i="6"/>
  <c r="HW34" i="6"/>
  <c r="VE43" i="6"/>
  <c r="VC65" i="6"/>
  <c r="WR80" i="6"/>
  <c r="CG108" i="6"/>
  <c r="GO61" i="6"/>
  <c r="GO31" i="6"/>
  <c r="GO70" i="6"/>
  <c r="GO64" i="6"/>
  <c r="GO100" i="6"/>
  <c r="GO62" i="6"/>
  <c r="HF45" i="6"/>
  <c r="HF110" i="6"/>
  <c r="HF21" i="6"/>
  <c r="ACG106" i="6"/>
  <c r="VX41" i="6"/>
  <c r="VX75" i="6"/>
  <c r="VX86" i="6"/>
  <c r="XN65" i="6"/>
  <c r="XY109" i="6"/>
  <c r="XC95" i="6"/>
  <c r="YU37" i="6"/>
  <c r="YU97" i="6"/>
  <c r="YU81" i="6"/>
  <c r="YU103" i="6"/>
  <c r="BN34" i="6"/>
  <c r="EP16" i="6"/>
  <c r="ACS8" i="6"/>
  <c r="HW97" i="6"/>
  <c r="HW33" i="6"/>
  <c r="HW77" i="6"/>
  <c r="HW56" i="6"/>
  <c r="VG98" i="6"/>
  <c r="VF65" i="6"/>
  <c r="CG67" i="6"/>
  <c r="GO9" i="6"/>
  <c r="GO87" i="6"/>
  <c r="HF39" i="6"/>
  <c r="HF108" i="6"/>
  <c r="YU21" i="6"/>
  <c r="EP63" i="6"/>
  <c r="ACS63" i="6"/>
  <c r="OB75" i="6"/>
  <c r="OB86" i="6"/>
  <c r="OB47" i="6"/>
  <c r="YJ13" i="6"/>
  <c r="HW117" i="6"/>
  <c r="HW60" i="6"/>
  <c r="HW47" i="6"/>
  <c r="HW43" i="6"/>
  <c r="VH23" i="6"/>
  <c r="VC49" i="6"/>
  <c r="WR91" i="6"/>
  <c r="FG32" i="6"/>
  <c r="FG14" i="6"/>
  <c r="GO50" i="6"/>
  <c r="GO45" i="6"/>
  <c r="GO56" i="6"/>
  <c r="GO69" i="6"/>
  <c r="ACG86" i="6"/>
  <c r="XN17" i="6"/>
  <c r="EP99" i="6"/>
  <c r="FX56" i="6"/>
  <c r="FX113" i="6"/>
  <c r="HW71" i="6"/>
  <c r="HW81" i="6"/>
  <c r="VE99" i="6"/>
  <c r="VF23" i="6"/>
  <c r="WR57" i="6"/>
  <c r="GO109" i="6"/>
  <c r="XN73" i="6"/>
  <c r="XC73" i="6"/>
  <c r="XC99" i="6"/>
  <c r="XC39" i="6"/>
  <c r="XC115" i="6"/>
  <c r="YU17" i="6"/>
  <c r="EP117" i="6"/>
  <c r="WR16" i="6"/>
  <c r="FG66" i="6"/>
  <c r="GO94" i="6"/>
  <c r="FX74" i="6"/>
  <c r="HW13" i="6"/>
  <c r="HW49" i="6"/>
  <c r="VF108" i="6"/>
  <c r="WR63" i="6"/>
  <c r="WR20" i="6"/>
  <c r="WR72" i="6"/>
  <c r="GO82" i="6"/>
  <c r="GO23" i="6"/>
  <c r="GO86" i="6"/>
  <c r="GO36" i="6"/>
  <c r="ACG21" i="6"/>
  <c r="VX105" i="6"/>
  <c r="VX116" i="6"/>
  <c r="VX11" i="6"/>
  <c r="XN58" i="6"/>
  <c r="XC100" i="6"/>
  <c r="XC48" i="6"/>
  <c r="XC68" i="6"/>
  <c r="EP34" i="6"/>
  <c r="VE61" i="6"/>
  <c r="XC90" i="6"/>
  <c r="XC30" i="6"/>
  <c r="XC34" i="6"/>
  <c r="YU61" i="6"/>
  <c r="ACS105" i="6"/>
  <c r="ACS6" i="6"/>
  <c r="XN41" i="6"/>
  <c r="XC38" i="6"/>
  <c r="XC56" i="6"/>
  <c r="XC114" i="6"/>
  <c r="XC54" i="6"/>
  <c r="ACS17" i="6"/>
  <c r="ACS86" i="6"/>
  <c r="ACS67" i="6"/>
  <c r="YJ111" i="6"/>
  <c r="VF32" i="6"/>
  <c r="VD18" i="6"/>
  <c r="VE40" i="6"/>
  <c r="VG88" i="6"/>
  <c r="VH61" i="6"/>
  <c r="VC20" i="6"/>
  <c r="VD20" i="6"/>
  <c r="VH69" i="6"/>
  <c r="VF69" i="6"/>
  <c r="WR24" i="6"/>
  <c r="FG94" i="6"/>
  <c r="FG100" i="6"/>
  <c r="FG35" i="6"/>
  <c r="CG92" i="6"/>
  <c r="CG95" i="6"/>
  <c r="CG85" i="6"/>
  <c r="CG65" i="6"/>
  <c r="GO111" i="6"/>
  <c r="GO20" i="6"/>
  <c r="GO113" i="6"/>
  <c r="GO54" i="6"/>
  <c r="HF74" i="6"/>
  <c r="HF50" i="6"/>
  <c r="ACG61" i="6"/>
  <c r="ACG42" i="6"/>
  <c r="YU18" i="6"/>
  <c r="YU73" i="6"/>
  <c r="YU117" i="6"/>
  <c r="ACS38" i="6"/>
  <c r="ACS117" i="6"/>
  <c r="ACS101" i="6"/>
  <c r="ACS103" i="6"/>
  <c r="VC23" i="6"/>
  <c r="VG61" i="6"/>
  <c r="VF105" i="6"/>
  <c r="VG60" i="6"/>
  <c r="VE71" i="6"/>
  <c r="VD71" i="6"/>
  <c r="VD23" i="6"/>
  <c r="VC117" i="6"/>
  <c r="VC61" i="6"/>
  <c r="VE23" i="6"/>
  <c r="VD37" i="6"/>
  <c r="FG9" i="6"/>
  <c r="FG10" i="6"/>
  <c r="FG53" i="6"/>
  <c r="CG60" i="6"/>
  <c r="GO79" i="6"/>
  <c r="GO97" i="6"/>
  <c r="ACG71" i="6"/>
  <c r="DY55" i="6"/>
  <c r="XY58" i="6"/>
  <c r="YU7" i="6"/>
  <c r="VG40" i="6"/>
  <c r="VH78" i="6"/>
  <c r="VE14" i="6"/>
  <c r="VF92" i="6"/>
  <c r="VH24" i="6"/>
  <c r="VE53" i="6"/>
  <c r="VF71" i="6"/>
  <c r="VG20" i="6"/>
  <c r="VD45" i="6"/>
  <c r="VH43" i="6"/>
  <c r="VC43" i="6"/>
  <c r="WR104" i="6"/>
  <c r="WR111" i="6"/>
  <c r="FG40" i="6"/>
  <c r="GO65" i="6"/>
  <c r="HF113" i="6"/>
  <c r="VX38" i="6"/>
  <c r="XY26" i="6"/>
  <c r="YU67" i="6"/>
  <c r="YU82" i="6"/>
  <c r="BN31" i="6"/>
  <c r="EP74" i="6"/>
  <c r="ACS25" i="6"/>
  <c r="ACS102" i="6"/>
  <c r="ACS41" i="6"/>
  <c r="VE86" i="6"/>
  <c r="VE55" i="6"/>
  <c r="VD40" i="6"/>
  <c r="VC10" i="6"/>
  <c r="VH26" i="6"/>
  <c r="VG69" i="6"/>
  <c r="VF83" i="6"/>
  <c r="VF61" i="6"/>
  <c r="VD54" i="6"/>
  <c r="VD86" i="6"/>
  <c r="VE20" i="6"/>
  <c r="CG28" i="6"/>
  <c r="CG97" i="6"/>
  <c r="GO72" i="6"/>
  <c r="GO53" i="6"/>
  <c r="GO37" i="6"/>
  <c r="HF103" i="6"/>
  <c r="XN99" i="6"/>
  <c r="XC75" i="6"/>
  <c r="XC15" i="6"/>
  <c r="EP27" i="6"/>
  <c r="ACS13" i="6"/>
  <c r="VD116" i="6"/>
  <c r="VG71" i="6"/>
  <c r="VD109" i="6"/>
  <c r="VF20" i="6"/>
  <c r="VD98" i="6"/>
  <c r="VC21" i="6"/>
  <c r="VH17" i="6"/>
  <c r="VF40" i="6"/>
  <c r="VH20" i="6"/>
  <c r="VC69" i="6"/>
  <c r="VD69" i="6"/>
  <c r="VE69" i="6"/>
  <c r="FG95" i="6"/>
  <c r="FG91" i="6"/>
  <c r="CG117" i="6"/>
  <c r="GO77" i="6"/>
  <c r="YU66" i="6"/>
  <c r="EP35" i="6"/>
  <c r="ACS36" i="6"/>
  <c r="VF52" i="6"/>
  <c r="VE114" i="6"/>
  <c r="VH71" i="6"/>
  <c r="VH27" i="6"/>
  <c r="VC40" i="6"/>
  <c r="VG112" i="6"/>
  <c r="VG73" i="6"/>
  <c r="VG75" i="6"/>
  <c r="VH40" i="6"/>
  <c r="VC101" i="6"/>
  <c r="FG93" i="6"/>
  <c r="FG90" i="6"/>
  <c r="CG64" i="6"/>
  <c r="CG76" i="6"/>
  <c r="CG99" i="6"/>
  <c r="GO107" i="6"/>
  <c r="GO110" i="6"/>
  <c r="GO46" i="6"/>
  <c r="HF59" i="6"/>
  <c r="ACG80" i="6"/>
  <c r="ACG27" i="6"/>
  <c r="ACG81" i="6"/>
  <c r="ACG45" i="6"/>
  <c r="VX52" i="6"/>
  <c r="VX93" i="6"/>
  <c r="XN82" i="6"/>
  <c r="XN64" i="6"/>
  <c r="XN22" i="6"/>
  <c r="XN103" i="6"/>
  <c r="XN11" i="6"/>
  <c r="XN66" i="6"/>
  <c r="XN6" i="6"/>
  <c r="XN87" i="6"/>
  <c r="XN27" i="6"/>
  <c r="XY80" i="6"/>
  <c r="XY10" i="6"/>
  <c r="XC37" i="6"/>
  <c r="YU25" i="6"/>
  <c r="YU74" i="6"/>
  <c r="YU86" i="6"/>
  <c r="YU23" i="6"/>
  <c r="YU22" i="6"/>
  <c r="YU107" i="6"/>
  <c r="BN41" i="6"/>
  <c r="BN76" i="6"/>
  <c r="EP67" i="6"/>
  <c r="EP75" i="6"/>
  <c r="EP42" i="6"/>
  <c r="EP111" i="6"/>
  <c r="EP24" i="6"/>
  <c r="ACS61" i="6"/>
  <c r="ACS50" i="6"/>
  <c r="ACS24" i="6"/>
  <c r="VD68" i="6"/>
  <c r="VD43" i="6"/>
  <c r="VF7" i="6"/>
  <c r="VF43" i="6"/>
  <c r="VD15" i="6"/>
  <c r="VG23" i="6"/>
  <c r="VD61" i="6"/>
  <c r="VH79" i="6"/>
  <c r="VG64" i="6"/>
  <c r="VC71" i="6"/>
  <c r="VG43" i="6"/>
  <c r="GO35" i="6"/>
  <c r="GO32" i="6"/>
  <c r="GO91" i="6"/>
  <c r="XN80" i="6"/>
  <c r="XN20" i="6"/>
  <c r="XY99" i="6"/>
  <c r="XY20" i="6"/>
  <c r="XY39" i="6"/>
  <c r="XY9" i="6"/>
  <c r="XY96" i="6"/>
  <c r="XC24" i="6"/>
  <c r="XC70" i="6"/>
  <c r="XC10" i="6"/>
  <c r="XC86" i="6"/>
  <c r="XC26" i="6"/>
  <c r="YU112" i="6"/>
  <c r="YU52" i="6"/>
  <c r="YU96" i="6"/>
  <c r="BN46" i="6"/>
  <c r="ACS23" i="6"/>
  <c r="ACS99" i="6"/>
  <c r="YJ64" i="6"/>
  <c r="YJ70" i="6"/>
  <c r="YJ9" i="6"/>
  <c r="HW104" i="6"/>
  <c r="HW101" i="6"/>
  <c r="HW44" i="6"/>
  <c r="HW57" i="6"/>
  <c r="VC8" i="6"/>
  <c r="VG15" i="6"/>
  <c r="VF87" i="6"/>
  <c r="VE21" i="6"/>
  <c r="VE64" i="6"/>
  <c r="VD87" i="6"/>
  <c r="VF75" i="6"/>
  <c r="VH73" i="6"/>
  <c r="VG21" i="6"/>
  <c r="VG12" i="6"/>
  <c r="VG110" i="6"/>
  <c r="VG6" i="6"/>
  <c r="VE75" i="6"/>
  <c r="VC73" i="6"/>
  <c r="VC104" i="6"/>
  <c r="VG47" i="6"/>
  <c r="VH112" i="6"/>
  <c r="VG29" i="6"/>
  <c r="VF117" i="6"/>
  <c r="VC54" i="6"/>
  <c r="VG67" i="6"/>
  <c r="VD94" i="6"/>
  <c r="VC39" i="6"/>
  <c r="VD49" i="6"/>
  <c r="VC67" i="6"/>
  <c r="VG38" i="6"/>
  <c r="VC12" i="6"/>
  <c r="VE107" i="6"/>
  <c r="VG105" i="6"/>
  <c r="VC100" i="6"/>
  <c r="VD46" i="6"/>
  <c r="VD85" i="6"/>
  <c r="VE115" i="6"/>
  <c r="VG49" i="6"/>
  <c r="VD107" i="6"/>
  <c r="VE113" i="6"/>
  <c r="VE103" i="6"/>
  <c r="VC114" i="6"/>
  <c r="VG100" i="6"/>
  <c r="VH93" i="6"/>
  <c r="VF57" i="6"/>
  <c r="VD47" i="6"/>
  <c r="VD50" i="6"/>
  <c r="VH21" i="6"/>
  <c r="VH31" i="6"/>
  <c r="VC37" i="6"/>
  <c r="YJ68" i="6"/>
  <c r="YJ60" i="6"/>
  <c r="YJ108" i="6"/>
  <c r="HW41" i="6"/>
  <c r="HW17" i="6"/>
  <c r="HW15" i="6"/>
  <c r="HW63" i="6"/>
  <c r="HW26" i="6"/>
  <c r="VC111" i="6"/>
  <c r="VG50" i="6"/>
  <c r="VF48" i="6"/>
  <c r="VD53" i="6"/>
  <c r="VD96" i="6"/>
  <c r="VD36" i="6"/>
  <c r="VD70" i="6"/>
  <c r="VC28" i="6"/>
  <c r="VD17" i="6"/>
  <c r="VE8" i="6"/>
  <c r="VF38" i="6"/>
  <c r="VG108" i="6"/>
  <c r="VE30" i="6"/>
  <c r="VF36" i="6"/>
  <c r="VG82" i="6"/>
  <c r="VG80" i="6"/>
  <c r="VC74" i="6"/>
  <c r="VG62" i="6"/>
  <c r="VG72" i="6"/>
  <c r="VG42" i="6"/>
  <c r="VF103" i="6"/>
  <c r="VE101" i="6"/>
  <c r="VH22" i="6"/>
  <c r="VF27" i="6"/>
  <c r="VF70" i="6"/>
  <c r="VF26" i="6"/>
  <c r="VH117" i="6"/>
  <c r="VG106" i="6"/>
  <c r="VD108" i="6"/>
  <c r="VC46" i="6"/>
  <c r="VH116" i="6"/>
  <c r="VH12" i="6"/>
  <c r="VD83" i="6"/>
  <c r="VC112" i="6"/>
  <c r="VH10" i="6"/>
  <c r="VD56" i="6"/>
  <c r="VF50" i="6"/>
  <c r="VC75" i="6"/>
  <c r="VF55" i="6"/>
  <c r="VG48" i="6"/>
  <c r="VC31" i="6"/>
  <c r="VC115" i="6"/>
  <c r="VG113" i="6"/>
  <c r="VD63" i="6"/>
  <c r="VE28" i="6"/>
  <c r="OB52" i="6"/>
  <c r="FX39" i="6"/>
  <c r="HW93" i="6"/>
  <c r="HW116" i="6"/>
  <c r="HW69" i="6"/>
  <c r="HW91" i="6"/>
  <c r="HW18" i="6"/>
  <c r="HW88" i="6"/>
  <c r="HW7" i="6"/>
  <c r="HW11" i="6"/>
  <c r="VD90" i="6"/>
  <c r="VF24" i="6"/>
  <c r="VE80" i="6"/>
  <c r="VH84" i="6"/>
  <c r="VC57" i="6"/>
  <c r="VF82" i="6"/>
  <c r="VC78" i="6"/>
  <c r="VC70" i="6"/>
  <c r="VE29" i="6"/>
  <c r="VD60" i="6"/>
  <c r="VE6" i="6"/>
  <c r="VG63" i="6"/>
  <c r="VG58" i="6"/>
  <c r="VH68" i="6"/>
  <c r="VF10" i="6"/>
  <c r="VE42" i="6"/>
  <c r="VH58" i="6"/>
  <c r="VC84" i="6"/>
  <c r="VH32" i="6"/>
  <c r="VF64" i="6"/>
  <c r="VC83" i="6"/>
  <c r="VG54" i="6"/>
  <c r="VE59" i="6"/>
  <c r="VH103" i="6"/>
  <c r="VH115" i="6"/>
  <c r="VE74" i="6"/>
  <c r="VH67" i="6"/>
  <c r="VE66" i="6"/>
  <c r="VF14" i="6"/>
  <c r="VE46" i="6"/>
  <c r="VF116" i="6"/>
  <c r="VD38" i="6"/>
  <c r="VF96" i="6"/>
  <c r="VC63" i="6"/>
  <c r="VH60" i="6"/>
  <c r="VG13" i="6"/>
  <c r="VD44" i="6"/>
  <c r="VH114" i="6"/>
  <c r="VH13" i="6"/>
  <c r="VH105" i="6"/>
  <c r="VC80" i="6"/>
  <c r="VG95" i="6"/>
  <c r="VF66" i="6"/>
  <c r="VH30" i="6"/>
  <c r="VH37" i="6"/>
  <c r="VC86" i="6"/>
  <c r="VE108" i="6"/>
  <c r="VD62" i="6"/>
  <c r="VH55" i="6"/>
  <c r="VC81" i="6"/>
  <c r="VD64" i="6"/>
  <c r="VH33" i="6"/>
  <c r="VE44" i="6"/>
  <c r="VE90" i="6"/>
  <c r="VG36" i="6"/>
  <c r="VE38" i="6"/>
  <c r="VC26" i="6"/>
  <c r="VG78" i="6"/>
  <c r="VD74" i="6"/>
  <c r="VE76" i="6"/>
  <c r="VH42" i="6"/>
  <c r="VH28" i="6"/>
  <c r="VE34" i="6"/>
  <c r="VD100" i="6"/>
  <c r="VC52" i="6"/>
  <c r="VD25" i="6"/>
  <c r="VG87" i="6"/>
  <c r="VF81" i="6"/>
  <c r="VD24" i="6"/>
  <c r="VG89" i="6"/>
  <c r="VF59" i="6"/>
  <c r="VE92" i="6"/>
  <c r="VD52" i="6"/>
  <c r="VC105" i="6"/>
  <c r="VC113" i="6"/>
  <c r="VF98" i="6"/>
  <c r="VD13" i="6"/>
  <c r="VE104" i="6"/>
  <c r="VG99" i="6"/>
  <c r="VH101" i="6"/>
  <c r="VF68" i="6"/>
  <c r="VC38" i="6"/>
  <c r="VH96" i="6"/>
  <c r="VF94" i="6"/>
  <c r="VD11" i="6"/>
  <c r="VD111" i="6"/>
  <c r="VG107" i="6"/>
  <c r="VH16" i="6"/>
  <c r="VF31" i="6"/>
  <c r="VC60" i="6"/>
  <c r="VC92" i="6"/>
  <c r="VH82" i="6"/>
  <c r="VE73" i="6"/>
  <c r="VG28" i="6"/>
  <c r="VF22" i="6"/>
  <c r="VH100" i="6"/>
  <c r="VE32" i="6"/>
  <c r="VC99" i="6"/>
  <c r="VD115" i="6"/>
  <c r="VD42" i="6"/>
  <c r="VC94" i="6"/>
  <c r="VH89" i="6"/>
  <c r="VH46" i="6"/>
  <c r="VD113" i="6"/>
  <c r="VE41" i="6"/>
  <c r="VF9" i="6"/>
  <c r="VC53" i="6"/>
  <c r="VE68" i="6"/>
  <c r="VG96" i="6"/>
  <c r="VD103" i="6"/>
  <c r="VF49" i="6"/>
  <c r="VH98" i="6"/>
  <c r="VE54" i="6"/>
  <c r="VD48" i="6"/>
  <c r="VC50" i="6"/>
  <c r="VH57" i="6"/>
  <c r="VG27" i="6"/>
  <c r="VG81" i="6"/>
  <c r="VE10" i="6"/>
  <c r="VC13" i="6"/>
  <c r="VC116" i="6"/>
  <c r="VG26" i="6"/>
  <c r="VF115" i="6"/>
  <c r="VF72" i="6"/>
  <c r="VC95" i="6"/>
  <c r="VH66" i="6"/>
  <c r="VD35" i="6"/>
  <c r="VE48" i="6"/>
  <c r="VD55" i="6"/>
  <c r="VD12" i="6"/>
  <c r="VF18" i="6"/>
  <c r="VE60" i="6"/>
  <c r="VD22" i="6"/>
  <c r="VF77" i="6"/>
  <c r="VD75" i="6"/>
  <c r="VD28" i="6"/>
  <c r="VF34" i="6"/>
  <c r="VG86" i="6"/>
  <c r="VH39" i="6"/>
  <c r="VC42" i="6"/>
  <c r="VC91" i="6"/>
  <c r="VF104" i="6"/>
  <c r="VF42" i="6"/>
  <c r="VD33" i="6"/>
  <c r="VE87" i="6"/>
  <c r="VD7" i="6"/>
  <c r="VF84" i="6"/>
  <c r="VD58" i="6"/>
  <c r="VC87" i="6"/>
  <c r="VD78" i="6"/>
  <c r="VH7" i="6"/>
  <c r="VH111" i="6"/>
  <c r="VE39" i="6"/>
  <c r="VG41" i="6"/>
  <c r="VH48" i="6"/>
  <c r="VF74" i="6"/>
  <c r="VH54" i="6"/>
  <c r="VE16" i="6"/>
  <c r="VG94" i="6"/>
  <c r="VD26" i="6"/>
  <c r="VH88" i="6"/>
  <c r="VC85" i="6"/>
  <c r="VH59" i="6"/>
  <c r="VF109" i="6"/>
  <c r="VD51" i="6"/>
  <c r="VG83" i="6"/>
  <c r="VE25" i="6"/>
  <c r="VG103" i="6"/>
  <c r="VF33" i="6"/>
  <c r="VC97" i="6"/>
  <c r="VE95" i="6"/>
  <c r="VD6" i="6"/>
  <c r="VF58" i="6"/>
  <c r="VH64" i="6"/>
  <c r="VD16" i="6"/>
  <c r="VC32" i="6"/>
  <c r="VE111" i="6"/>
  <c r="VF80" i="6"/>
  <c r="VD9" i="6"/>
  <c r="VG10" i="6"/>
  <c r="VH80" i="6"/>
  <c r="VF6" i="6"/>
  <c r="VG97" i="6"/>
  <c r="VD93" i="6"/>
  <c r="VE37" i="6"/>
  <c r="VH102" i="6"/>
  <c r="VH104" i="6"/>
  <c r="VH83" i="6"/>
  <c r="VG76" i="6"/>
  <c r="VE88" i="6"/>
  <c r="VH109" i="6"/>
  <c r="VD102" i="6"/>
  <c r="VG44" i="6"/>
  <c r="VE110" i="6"/>
  <c r="VF78" i="6"/>
  <c r="VC76" i="6"/>
  <c r="VG34" i="6"/>
  <c r="VE36" i="6"/>
  <c r="VF13" i="6"/>
  <c r="VD32" i="6"/>
  <c r="VC34" i="6"/>
  <c r="VC11" i="6"/>
  <c r="VH62" i="6"/>
  <c r="VE52" i="6"/>
  <c r="VF93" i="6"/>
  <c r="VG45" i="6"/>
  <c r="VF44" i="6"/>
  <c r="VG93" i="6"/>
  <c r="VF56" i="6"/>
  <c r="VC79" i="6"/>
  <c r="VC48" i="6"/>
  <c r="VE70" i="6"/>
  <c r="VC89" i="6"/>
  <c r="VD104" i="6"/>
  <c r="VF106" i="6"/>
  <c r="VH9" i="6"/>
  <c r="VG16" i="6"/>
  <c r="VE18" i="6"/>
  <c r="VD91" i="6"/>
  <c r="VH29" i="6"/>
  <c r="VD39" i="6"/>
  <c r="VC16" i="6"/>
  <c r="VC24" i="6"/>
  <c r="VF53" i="6"/>
  <c r="VH108" i="6"/>
  <c r="VF63" i="6"/>
  <c r="VE17" i="6"/>
  <c r="VE62" i="6"/>
  <c r="VC45" i="6"/>
  <c r="VD82" i="6"/>
  <c r="VD30" i="6"/>
  <c r="VE12" i="6"/>
  <c r="VC7" i="6"/>
  <c r="VH74" i="6"/>
  <c r="VG68" i="6"/>
  <c r="VE11" i="6"/>
  <c r="VH76" i="6"/>
  <c r="VG46" i="6"/>
  <c r="VG66" i="6"/>
  <c r="VC93" i="6"/>
  <c r="VH87" i="6"/>
  <c r="VF89" i="6"/>
  <c r="VE47" i="6"/>
  <c r="VC90" i="6"/>
  <c r="VF91" i="6"/>
  <c r="VH86" i="6"/>
  <c r="VD89" i="6"/>
  <c r="VG55" i="6"/>
  <c r="VD80" i="6"/>
  <c r="VC108" i="6"/>
  <c r="VE82" i="6"/>
  <c r="VD95" i="6"/>
  <c r="VF39" i="6"/>
  <c r="VE9" i="6"/>
  <c r="VF100" i="6"/>
  <c r="VE94" i="6"/>
  <c r="VH36" i="6"/>
  <c r="VF102" i="6"/>
  <c r="VE72" i="6"/>
  <c r="VH99" i="6"/>
  <c r="VH56" i="6"/>
  <c r="VD73" i="6"/>
  <c r="VC109" i="6"/>
  <c r="VH63" i="6"/>
  <c r="VH72" i="6"/>
  <c r="VC51" i="6"/>
  <c r="VC30" i="6"/>
  <c r="VD77" i="6"/>
  <c r="VD34" i="6"/>
  <c r="VE100" i="6"/>
  <c r="VF28" i="6"/>
  <c r="VC72" i="6"/>
  <c r="VH45" i="6"/>
  <c r="VF45" i="6"/>
  <c r="VH19" i="6"/>
  <c r="VE50" i="6"/>
  <c r="VE33" i="6"/>
  <c r="VE45" i="6"/>
  <c r="VF111" i="6"/>
  <c r="VC64" i="6"/>
  <c r="VD99" i="6"/>
  <c r="VC29" i="6"/>
  <c r="VC41" i="6"/>
  <c r="VE79" i="6"/>
  <c r="VG85" i="6"/>
  <c r="VC107" i="6"/>
  <c r="VG52" i="6"/>
  <c r="VD8" i="6"/>
  <c r="VC106" i="6"/>
  <c r="VH81" i="6"/>
  <c r="VE13" i="6"/>
  <c r="VD106" i="6"/>
  <c r="VG56" i="6"/>
  <c r="VF47" i="6"/>
  <c r="VD84" i="6"/>
  <c r="VE58" i="6"/>
  <c r="VC88" i="6"/>
  <c r="VH70" i="6"/>
  <c r="VF12" i="6"/>
  <c r="VH90" i="6"/>
  <c r="VC33" i="6"/>
  <c r="VF90" i="6"/>
  <c r="VH92" i="6"/>
  <c r="VD79" i="6"/>
  <c r="VH91" i="6"/>
  <c r="VE117" i="6"/>
  <c r="VE78" i="6"/>
  <c r="VG33" i="6"/>
  <c r="VD29" i="6"/>
  <c r="VF107" i="6"/>
  <c r="VH38" i="6"/>
  <c r="VC6" i="6"/>
  <c r="VC82" i="6"/>
  <c r="VD31" i="6"/>
  <c r="VF101" i="6"/>
  <c r="VD41" i="6"/>
  <c r="OB88" i="6"/>
  <c r="OB93" i="6"/>
  <c r="OB9" i="6"/>
  <c r="YJ88" i="6"/>
  <c r="FX37" i="6"/>
  <c r="HW30" i="6"/>
  <c r="VG91" i="6"/>
  <c r="VC27" i="6"/>
  <c r="VE56" i="6"/>
  <c r="VD112" i="6"/>
  <c r="VF114" i="6"/>
  <c r="VD27" i="6"/>
  <c r="VF35" i="6"/>
  <c r="VG104" i="6"/>
  <c r="VE98" i="6"/>
  <c r="VE26" i="6"/>
  <c r="VF73" i="6"/>
  <c r="VE105" i="6"/>
  <c r="VG39" i="6"/>
  <c r="VH110" i="6"/>
  <c r="VG19" i="6"/>
  <c r="VD81" i="6"/>
  <c r="VD76" i="6"/>
  <c r="VG37" i="6"/>
  <c r="VC62" i="6"/>
  <c r="VD101" i="6"/>
  <c r="VD66" i="6"/>
  <c r="VE96" i="6"/>
  <c r="VG30" i="6"/>
  <c r="VF86" i="6"/>
  <c r="VG92" i="6"/>
  <c r="VC96" i="6"/>
  <c r="VE67" i="6"/>
  <c r="VC77" i="6"/>
  <c r="VG109" i="6"/>
  <c r="VE57" i="6"/>
  <c r="VH47" i="6"/>
  <c r="VG79" i="6"/>
  <c r="VD14" i="6"/>
  <c r="VE85" i="6"/>
  <c r="VC59" i="6"/>
  <c r="VG53" i="6"/>
  <c r="VH75" i="6"/>
  <c r="VC98" i="6"/>
  <c r="VH53" i="6"/>
  <c r="VE91" i="6"/>
  <c r="VG59" i="6"/>
  <c r="VD92" i="6"/>
  <c r="VF30" i="6"/>
  <c r="VE35" i="6"/>
  <c r="VF21" i="6"/>
  <c r="VE89" i="6"/>
  <c r="VF25" i="6"/>
  <c r="YJ86" i="6"/>
  <c r="FX97" i="6"/>
  <c r="FX85" i="6"/>
  <c r="HW51" i="6"/>
  <c r="HW46" i="6"/>
  <c r="HW9" i="6"/>
  <c r="VC35" i="6"/>
  <c r="VF19" i="6"/>
  <c r="VD88" i="6"/>
  <c r="VG9" i="6"/>
  <c r="VH15" i="6"/>
  <c r="VF60" i="6"/>
  <c r="VG31" i="6"/>
  <c r="VF37" i="6"/>
  <c r="VG24" i="6"/>
  <c r="VG18" i="6"/>
  <c r="VC47" i="6"/>
  <c r="VH106" i="6"/>
  <c r="VC103" i="6"/>
  <c r="VG74" i="6"/>
  <c r="VF8" i="6"/>
  <c r="VF51" i="6"/>
  <c r="VH35" i="6"/>
  <c r="VE24" i="6"/>
  <c r="VG22" i="6"/>
  <c r="VF85" i="6"/>
  <c r="VE97" i="6"/>
  <c r="VH97" i="6"/>
  <c r="VC58" i="6"/>
  <c r="VF62" i="6"/>
  <c r="VC9" i="6"/>
  <c r="VH34" i="6"/>
  <c r="VF79" i="6"/>
  <c r="VE63" i="6"/>
  <c r="VE106" i="6"/>
  <c r="VF16" i="6"/>
  <c r="VE81" i="6"/>
  <c r="VG114" i="6"/>
  <c r="VF112" i="6"/>
  <c r="VD117" i="6"/>
  <c r="VH25" i="6"/>
  <c r="VF54" i="6"/>
  <c r="VD67" i="6"/>
  <c r="VE7" i="6"/>
  <c r="VE22" i="6"/>
  <c r="VH94" i="6"/>
  <c r="VC44" i="6"/>
  <c r="VF110" i="6"/>
  <c r="FX14" i="6"/>
  <c r="FX33" i="6"/>
  <c r="HW107" i="6"/>
  <c r="HW89" i="6"/>
  <c r="HW21" i="6"/>
  <c r="HW109" i="6"/>
  <c r="HW36" i="6"/>
  <c r="HW25" i="6"/>
  <c r="VD21" i="6"/>
  <c r="VE51" i="6"/>
  <c r="VC17" i="6"/>
  <c r="VE49" i="6"/>
  <c r="VF95" i="6"/>
  <c r="VC22" i="6"/>
  <c r="VF99" i="6"/>
  <c r="VH113" i="6"/>
  <c r="VE15" i="6"/>
  <c r="VC55" i="6"/>
  <c r="VE116" i="6"/>
  <c r="VD114" i="6"/>
  <c r="VG35" i="6"/>
  <c r="VE83" i="6"/>
  <c r="VG77" i="6"/>
  <c r="VH18" i="6"/>
  <c r="VH11" i="6"/>
  <c r="VC110" i="6"/>
  <c r="VC66" i="6"/>
  <c r="VG25" i="6"/>
  <c r="VH95" i="6"/>
  <c r="VF17" i="6"/>
  <c r="VD57" i="6"/>
  <c r="VF29" i="6"/>
  <c r="VF113" i="6"/>
  <c r="VF11" i="6"/>
  <c r="VC36" i="6"/>
  <c r="VF15" i="6"/>
  <c r="VG90" i="6"/>
  <c r="VF88" i="6"/>
  <c r="VD10" i="6"/>
  <c r="VG14" i="6"/>
  <c r="VG57" i="6"/>
  <c r="VH77" i="6"/>
  <c r="VH44" i="6"/>
  <c r="VC25" i="6"/>
  <c r="VC15" i="6"/>
  <c r="VH85" i="6"/>
  <c r="VH14" i="6"/>
  <c r="VF41" i="6"/>
  <c r="VG32" i="6"/>
  <c r="OB29" i="6"/>
  <c r="YJ58" i="6"/>
  <c r="FX110" i="6"/>
  <c r="HW14" i="6"/>
  <c r="HW85" i="6"/>
  <c r="HW90" i="6"/>
  <c r="HW108" i="6"/>
  <c r="HW6" i="6"/>
  <c r="VH52" i="6"/>
  <c r="VG84" i="6"/>
  <c r="VD19" i="6"/>
  <c r="VF76" i="6"/>
  <c r="VE84" i="6"/>
  <c r="VC18" i="6"/>
  <c r="VC102" i="6"/>
  <c r="VD110" i="6"/>
  <c r="VH107" i="6"/>
  <c r="VE77" i="6"/>
  <c r="VG11" i="6"/>
  <c r="VF67" i="6"/>
  <c r="VD72" i="6"/>
  <c r="VG116" i="6"/>
  <c r="VE31" i="6"/>
  <c r="VC14" i="6"/>
  <c r="VG117" i="6"/>
  <c r="VE112" i="6"/>
  <c r="VH8" i="6"/>
  <c r="VE27" i="6"/>
  <c r="VD59" i="6"/>
  <c r="VC56" i="6"/>
  <c r="VH50" i="6"/>
  <c r="VE109" i="6"/>
  <c r="VG17" i="6"/>
  <c r="VG8" i="6"/>
  <c r="VG7" i="6"/>
  <c r="VG101" i="6"/>
  <c r="VG51" i="6"/>
  <c r="VC19" i="6"/>
  <c r="VH41" i="6"/>
  <c r="VF46" i="6"/>
  <c r="VE102" i="6"/>
  <c r="VD105" i="6"/>
  <c r="VG70" i="6"/>
  <c r="VG111" i="6"/>
  <c r="VG102" i="6"/>
  <c r="VE93" i="6"/>
  <c r="VG115" i="6"/>
  <c r="VE19" i="6"/>
  <c r="VH51" i="6"/>
  <c r="VF97" i="6"/>
  <c r="VD97" i="6"/>
  <c r="WR96" i="6"/>
  <c r="FG16" i="6"/>
  <c r="FG57" i="6"/>
  <c r="FG85" i="6"/>
  <c r="FG77" i="6"/>
  <c r="CG112" i="6"/>
  <c r="CG109" i="6"/>
  <c r="GO93" i="6"/>
  <c r="GO116" i="6"/>
  <c r="GO48" i="6"/>
  <c r="GO102" i="6"/>
  <c r="GO80" i="6"/>
  <c r="HF24" i="6"/>
  <c r="ACG66" i="6"/>
  <c r="ACG85" i="6"/>
  <c r="ACG52" i="6"/>
  <c r="VX102" i="6"/>
  <c r="XN117" i="6"/>
  <c r="XN98" i="6"/>
  <c r="XC81" i="6"/>
  <c r="YU98" i="6"/>
  <c r="YU83" i="6"/>
  <c r="ACS97" i="6"/>
  <c r="GO25" i="6"/>
  <c r="GO67" i="6"/>
  <c r="GO112" i="6"/>
  <c r="ACG69" i="6"/>
  <c r="VX84" i="6"/>
  <c r="DY93" i="6"/>
  <c r="WR100" i="6"/>
  <c r="WR101" i="6"/>
  <c r="WR107" i="6"/>
  <c r="WR41" i="6"/>
  <c r="WR106" i="6"/>
  <c r="WR116" i="6"/>
  <c r="WR46" i="6"/>
  <c r="FG23" i="6"/>
  <c r="FG67" i="6"/>
  <c r="GO22" i="6"/>
  <c r="GO8" i="6"/>
  <c r="GO6" i="6"/>
  <c r="GO117" i="6"/>
  <c r="GO13" i="6"/>
  <c r="HF67" i="6"/>
  <c r="ACG16" i="6"/>
  <c r="ACG82" i="6"/>
  <c r="VX89" i="6"/>
  <c r="VX100" i="6"/>
  <c r="DY71" i="6"/>
  <c r="DY63" i="6"/>
  <c r="XN107" i="6"/>
  <c r="XN47" i="6"/>
  <c r="XN63" i="6"/>
  <c r="XY98" i="6"/>
  <c r="XY54" i="6"/>
  <c r="YU63" i="6"/>
  <c r="YU31" i="6"/>
  <c r="YU94" i="6"/>
  <c r="BN103" i="6"/>
  <c r="BN55" i="6"/>
  <c r="EP38" i="6"/>
  <c r="EP82" i="6"/>
  <c r="ACS34" i="6"/>
  <c r="ACS21" i="6"/>
  <c r="WR89" i="6"/>
  <c r="GO47" i="6"/>
  <c r="GO66" i="6"/>
  <c r="HF72" i="6"/>
  <c r="HF70" i="6"/>
  <c r="HF83" i="6"/>
  <c r="ACG29" i="6"/>
  <c r="ACG105" i="6"/>
  <c r="VX22" i="6"/>
  <c r="XN35" i="6"/>
  <c r="XN49" i="6"/>
  <c r="YU30" i="6"/>
  <c r="YU46" i="6"/>
  <c r="YU91" i="6"/>
  <c r="BN29" i="6"/>
  <c r="BN53" i="6"/>
  <c r="EP54" i="6"/>
  <c r="EP15" i="6"/>
  <c r="ACS53" i="6"/>
  <c r="ACS51" i="6"/>
  <c r="ACS16" i="6"/>
  <c r="WR52" i="6"/>
  <c r="WR35" i="6"/>
  <c r="FG28" i="6"/>
  <c r="FG76" i="6"/>
  <c r="CG58" i="6"/>
  <c r="CG19" i="6"/>
  <c r="CG107" i="6"/>
  <c r="CG44" i="6"/>
  <c r="CG87" i="6"/>
  <c r="GO73" i="6"/>
  <c r="GO40" i="6"/>
  <c r="GO59" i="6"/>
  <c r="GO81" i="6"/>
  <c r="GO106" i="6"/>
  <c r="GO21" i="6"/>
  <c r="HF109" i="6"/>
  <c r="HF85" i="6"/>
  <c r="HF40" i="6"/>
  <c r="ACG22" i="6"/>
  <c r="ACG91" i="6"/>
  <c r="VX27" i="6"/>
  <c r="VX45" i="6"/>
  <c r="VX79" i="6"/>
  <c r="DY83" i="6"/>
  <c r="DY20" i="6"/>
  <c r="DY33" i="6"/>
  <c r="DY91" i="6"/>
  <c r="XN7" i="6"/>
  <c r="XN30" i="6"/>
  <c r="XN111" i="6"/>
  <c r="XN51" i="6"/>
  <c r="XN106" i="6"/>
  <c r="XN77" i="6"/>
  <c r="XN46" i="6"/>
  <c r="XY38" i="6"/>
  <c r="XY69" i="6"/>
  <c r="XY30" i="6"/>
  <c r="XC25" i="6"/>
  <c r="XC36" i="6"/>
  <c r="XC96" i="6"/>
  <c r="XC59" i="6"/>
  <c r="YU106" i="6"/>
  <c r="YU27" i="6"/>
  <c r="YU34" i="6"/>
  <c r="BN66" i="6"/>
  <c r="BN108" i="6"/>
  <c r="EP83" i="6"/>
  <c r="EP37" i="6"/>
  <c r="EP7" i="6"/>
  <c r="ACS108" i="6"/>
  <c r="ACS48" i="6"/>
  <c r="WR22" i="6"/>
  <c r="WR7" i="6"/>
  <c r="WR66" i="6"/>
  <c r="FG73" i="6"/>
  <c r="CG43" i="6"/>
  <c r="GO26" i="6"/>
  <c r="GO58" i="6"/>
  <c r="GO33" i="6"/>
  <c r="HF10" i="6"/>
  <c r="ACG17" i="6"/>
  <c r="ACG47" i="6"/>
  <c r="ACG18" i="6"/>
  <c r="XN18" i="6"/>
  <c r="XN39" i="6"/>
  <c r="XN62" i="6"/>
  <c r="XN83" i="6"/>
  <c r="XN23" i="6"/>
  <c r="WR99" i="6"/>
  <c r="FG110" i="6"/>
  <c r="CG53" i="6"/>
  <c r="CG9" i="6"/>
  <c r="GO39" i="6"/>
  <c r="GO76" i="6"/>
  <c r="ACG7" i="6"/>
  <c r="ACG76" i="6"/>
  <c r="DY29" i="6"/>
  <c r="OB64" i="6"/>
  <c r="OB69" i="6"/>
  <c r="OB38" i="6"/>
  <c r="OB109" i="6"/>
  <c r="OB16" i="6"/>
  <c r="OB82" i="6"/>
  <c r="OB21" i="6"/>
  <c r="OB114" i="6"/>
  <c r="OB26" i="6"/>
  <c r="OB54" i="6"/>
  <c r="OB66" i="6"/>
  <c r="OB77" i="6"/>
  <c r="YJ79" i="6"/>
  <c r="YJ95" i="6"/>
  <c r="YJ65" i="6"/>
  <c r="YJ45" i="6"/>
  <c r="YJ14" i="6"/>
  <c r="UQ119" i="6"/>
  <c r="FX13" i="6"/>
  <c r="FX9" i="6"/>
  <c r="FX72" i="6"/>
  <c r="FX90" i="6"/>
  <c r="FX31" i="6"/>
  <c r="FX88" i="6"/>
  <c r="FX106" i="6"/>
  <c r="FX47" i="6"/>
  <c r="FX93" i="6"/>
  <c r="FX27" i="6"/>
  <c r="FX34" i="6"/>
  <c r="HW19" i="6"/>
  <c r="HW24" i="6"/>
  <c r="HW94" i="6"/>
  <c r="HW31" i="6"/>
  <c r="HW73" i="6"/>
  <c r="WR54" i="6"/>
  <c r="WR93" i="6"/>
  <c r="WR33" i="6"/>
  <c r="WR39" i="6"/>
  <c r="WR98" i="6"/>
  <c r="WR108" i="6"/>
  <c r="WR38" i="6"/>
  <c r="WR40" i="6"/>
  <c r="WR109" i="6"/>
  <c r="WR115" i="6"/>
  <c r="WR49" i="6"/>
  <c r="WR55" i="6"/>
  <c r="WR114" i="6"/>
  <c r="FG19" i="6"/>
  <c r="FG71" i="6"/>
  <c r="FG54" i="6"/>
  <c r="FG52" i="6"/>
  <c r="FG89" i="6"/>
  <c r="FG45" i="6"/>
  <c r="FG13" i="6"/>
  <c r="FG115" i="6"/>
  <c r="CG90" i="6"/>
  <c r="CG100" i="6"/>
  <c r="CG13" i="6"/>
  <c r="CG33" i="6"/>
  <c r="CG113" i="6"/>
  <c r="CG84" i="6"/>
  <c r="CG103" i="6"/>
  <c r="CG66" i="6"/>
  <c r="CG40" i="6"/>
  <c r="CG83" i="6"/>
  <c r="CG46" i="6"/>
  <c r="GO24" i="6"/>
  <c r="GO27" i="6"/>
  <c r="GO14" i="6"/>
  <c r="GO108" i="6"/>
  <c r="GO29" i="6"/>
  <c r="GO51" i="6"/>
  <c r="GO84" i="6"/>
  <c r="GO30" i="6"/>
  <c r="GO10" i="6"/>
  <c r="HF19" i="6"/>
  <c r="HF97" i="6"/>
  <c r="HF73" i="6"/>
  <c r="HF55" i="6"/>
  <c r="HF89" i="6"/>
  <c r="HF77" i="6"/>
  <c r="HF34" i="6"/>
  <c r="HF12" i="6"/>
  <c r="HF105" i="6"/>
  <c r="HF93" i="6"/>
  <c r="AA104" i="6"/>
  <c r="ACG67" i="6"/>
  <c r="ACG9" i="6"/>
  <c r="ACG38" i="6"/>
  <c r="ACG107" i="6"/>
  <c r="ACG8" i="6"/>
  <c r="ACG34" i="6"/>
  <c r="ACG103" i="6"/>
  <c r="ACG101" i="6"/>
  <c r="ACG97" i="6"/>
  <c r="ACG20" i="6"/>
  <c r="ACG94" i="6"/>
  <c r="ACG64" i="6"/>
  <c r="ACG11" i="6"/>
  <c r="ACG90" i="6"/>
  <c r="VX25" i="6"/>
  <c r="VX36" i="6"/>
  <c r="VX59" i="6"/>
  <c r="VX70" i="6"/>
  <c r="VX77" i="6"/>
  <c r="VX88" i="6"/>
  <c r="VX111" i="6"/>
  <c r="VX17" i="6"/>
  <c r="VX28" i="6"/>
  <c r="VX51" i="6"/>
  <c r="VX62" i="6"/>
  <c r="VX85" i="6"/>
  <c r="VX96" i="6"/>
  <c r="JX91" i="6"/>
  <c r="JX100" i="6"/>
  <c r="JU110" i="6"/>
  <c r="JX7" i="6"/>
  <c r="JV26" i="6"/>
  <c r="JT34" i="6"/>
  <c r="JU79" i="6"/>
  <c r="JX96" i="6"/>
  <c r="JV60" i="6"/>
  <c r="JX59" i="6"/>
  <c r="JV54" i="6"/>
  <c r="JV49" i="6"/>
  <c r="JU108" i="6"/>
  <c r="JV72" i="6"/>
  <c r="JT74" i="6"/>
  <c r="JT30" i="6"/>
  <c r="JV99" i="6"/>
  <c r="JS26" i="6"/>
  <c r="JX115" i="6"/>
  <c r="JV110" i="6"/>
  <c r="JV105" i="6"/>
  <c r="JX90" i="6"/>
  <c r="JV75" i="6"/>
  <c r="JX53" i="6"/>
  <c r="JU12" i="6"/>
  <c r="JX38" i="6"/>
  <c r="JS52" i="6"/>
  <c r="JS105" i="6"/>
  <c r="JW56" i="6"/>
  <c r="JU51" i="6"/>
  <c r="JW44" i="6"/>
  <c r="JT93" i="6"/>
  <c r="JT62" i="6"/>
  <c r="JT69" i="6"/>
  <c r="JT20" i="6"/>
  <c r="JU72" i="6"/>
  <c r="JS10" i="6"/>
  <c r="JU98" i="6"/>
  <c r="JX92" i="6"/>
  <c r="JX87" i="6"/>
  <c r="JX62" i="6"/>
  <c r="JV44" i="6"/>
  <c r="JU23" i="6"/>
  <c r="JX98" i="6"/>
  <c r="JV87" i="6"/>
  <c r="JS83" i="6"/>
  <c r="JS102" i="6"/>
  <c r="JT23" i="6"/>
  <c r="JW17" i="6"/>
  <c r="JW12" i="6"/>
  <c r="JX113" i="6"/>
  <c r="JU92" i="6"/>
  <c r="JU25" i="6"/>
  <c r="JU17" i="6"/>
  <c r="JS45" i="6"/>
  <c r="JS49" i="6"/>
  <c r="JW64" i="6"/>
  <c r="JU59" i="6"/>
  <c r="JU54" i="6"/>
  <c r="JT9" i="6"/>
  <c r="JV95" i="6"/>
  <c r="JU84" i="6"/>
  <c r="JW50" i="6"/>
  <c r="JW22" i="6"/>
  <c r="JS50" i="6"/>
  <c r="JV61" i="6"/>
  <c r="JT56" i="6"/>
  <c r="JT51" i="6"/>
  <c r="JU113" i="6"/>
  <c r="JW82" i="6"/>
  <c r="JV76" i="6"/>
  <c r="JV35" i="6"/>
  <c r="JT113" i="6"/>
  <c r="JS34" i="6"/>
  <c r="JX107" i="6"/>
  <c r="JS12" i="6"/>
  <c r="JW78" i="6"/>
  <c r="JX13" i="6"/>
  <c r="JW52" i="6"/>
  <c r="JW48" i="6"/>
  <c r="JS88" i="6"/>
  <c r="JU40" i="6"/>
  <c r="JV84" i="6"/>
  <c r="JX82" i="6"/>
  <c r="JW104" i="6"/>
  <c r="JW114" i="6"/>
  <c r="JX106" i="6"/>
  <c r="JV98" i="6"/>
  <c r="JW65" i="6"/>
  <c r="JS74" i="6"/>
  <c r="JV28" i="6"/>
  <c r="JT84" i="6"/>
  <c r="JV16" i="6"/>
  <c r="JV65" i="6"/>
  <c r="JS54" i="6"/>
  <c r="JT106" i="6"/>
  <c r="JT79" i="6"/>
  <c r="JT88" i="6"/>
  <c r="JV97" i="6"/>
  <c r="JU101" i="6"/>
  <c r="JV108" i="6"/>
  <c r="JT110" i="6"/>
  <c r="JW58" i="6"/>
  <c r="JW45" i="6"/>
  <c r="JX17" i="6"/>
  <c r="JV45" i="6"/>
  <c r="JT40" i="6"/>
  <c r="JT35" i="6"/>
  <c r="JW59" i="6"/>
  <c r="JW23" i="6"/>
  <c r="JW111" i="6"/>
  <c r="JT89" i="6"/>
  <c r="JT58" i="6"/>
  <c r="JS72" i="6"/>
  <c r="JV101" i="6"/>
  <c r="JT96" i="6"/>
  <c r="JT91" i="6"/>
  <c r="JT68" i="6"/>
  <c r="JU52" i="6"/>
  <c r="JX30" i="6"/>
  <c r="JU112" i="6"/>
  <c r="JW101" i="6"/>
  <c r="JS99" i="6"/>
  <c r="JS39" i="6"/>
  <c r="JU42" i="6"/>
  <c r="JU35" i="6"/>
  <c r="JU30" i="6"/>
  <c r="JU49" i="6"/>
  <c r="JW13" i="6"/>
  <c r="JX97" i="6"/>
  <c r="JT76" i="6"/>
  <c r="JW10" i="6"/>
  <c r="JS56" i="6"/>
  <c r="JX83" i="6"/>
  <c r="JV78" i="6"/>
  <c r="JV73" i="6"/>
  <c r="JU37" i="6"/>
  <c r="JW21" i="6"/>
  <c r="JV112" i="6"/>
  <c r="JW15" i="6"/>
  <c r="JT33" i="6"/>
  <c r="JS19" i="6"/>
  <c r="JS33" i="6"/>
  <c r="JW8" i="6"/>
  <c r="JT115" i="6"/>
  <c r="JV106" i="6"/>
  <c r="JW90" i="6"/>
  <c r="JW66" i="6"/>
  <c r="JW86" i="6"/>
  <c r="JW74" i="6"/>
  <c r="JS92" i="6"/>
  <c r="JS110" i="6"/>
  <c r="JU50" i="6"/>
  <c r="JX44" i="6"/>
  <c r="JX39" i="6"/>
  <c r="JU80" i="6"/>
  <c r="JX46" i="6"/>
  <c r="JU61" i="6"/>
  <c r="JW109" i="6"/>
  <c r="JV27" i="6"/>
  <c r="JS96" i="6"/>
  <c r="JT47" i="6"/>
  <c r="JW41" i="6"/>
  <c r="JW36" i="6"/>
  <c r="JX69" i="6"/>
  <c r="JT29" i="6"/>
  <c r="JU41" i="6"/>
  <c r="JV96" i="6"/>
  <c r="JX6" i="6"/>
  <c r="JS80" i="6"/>
  <c r="JV102" i="6"/>
  <c r="JS22" i="6"/>
  <c r="JX66" i="6"/>
  <c r="JX104" i="6"/>
  <c r="JW6" i="6"/>
  <c r="JU43" i="6"/>
  <c r="JS95" i="6"/>
  <c r="JS93" i="6"/>
  <c r="JU15" i="6"/>
  <c r="JW61" i="6"/>
  <c r="JW113" i="6"/>
  <c r="JW51" i="6"/>
  <c r="JV24" i="6"/>
  <c r="JV13" i="6"/>
  <c r="JS116" i="6"/>
  <c r="JX16" i="6"/>
  <c r="JW112" i="6"/>
  <c r="JT46" i="6"/>
  <c r="JT32" i="6"/>
  <c r="JS40" i="6"/>
  <c r="JW110" i="6"/>
  <c r="JX26" i="6"/>
  <c r="JU13" i="6"/>
  <c r="JV63" i="6"/>
  <c r="JU66" i="6"/>
  <c r="JU75" i="6"/>
  <c r="JW84" i="6"/>
  <c r="JX80" i="6"/>
  <c r="JU88" i="6"/>
  <c r="JX89" i="6"/>
  <c r="JU77" i="6"/>
  <c r="JT117" i="6"/>
  <c r="JX32" i="6"/>
  <c r="JT31" i="6"/>
  <c r="JW25" i="6"/>
  <c r="JT19" i="6"/>
  <c r="JU16" i="6"/>
  <c r="JW102" i="6"/>
  <c r="JX50" i="6"/>
  <c r="JX29" i="6"/>
  <c r="JS77" i="6"/>
  <c r="JS8" i="6"/>
  <c r="JT87" i="6"/>
  <c r="JW81" i="6"/>
  <c r="JW76" i="6"/>
  <c r="JT45" i="6"/>
  <c r="JU29" i="6"/>
  <c r="JW117" i="6"/>
  <c r="JU36" i="6"/>
  <c r="JV43" i="6"/>
  <c r="JS35" i="6"/>
  <c r="JS78" i="6"/>
  <c r="JU26" i="6"/>
  <c r="JX20" i="6"/>
  <c r="JX15" i="6"/>
  <c r="JV8" i="6"/>
  <c r="JU97" i="6"/>
  <c r="JX40" i="6"/>
  <c r="JU9" i="6"/>
  <c r="JS61" i="6"/>
  <c r="JS94" i="6"/>
  <c r="JV69" i="6"/>
  <c r="JT64" i="6"/>
  <c r="JV57" i="6"/>
  <c r="JT14" i="6"/>
  <c r="JX105" i="6"/>
  <c r="JU89" i="6"/>
  <c r="JU63" i="6"/>
  <c r="JT66" i="6"/>
  <c r="JS66" i="6"/>
  <c r="JT111" i="6"/>
  <c r="JW105" i="6"/>
  <c r="JW100" i="6"/>
  <c r="JV83" i="6"/>
  <c r="JT65" i="6"/>
  <c r="JW43" i="6"/>
  <c r="JX65" i="6"/>
  <c r="JV23" i="6"/>
  <c r="JS28" i="6"/>
  <c r="JS41" i="6"/>
  <c r="JX35" i="6"/>
  <c r="JV30" i="6"/>
  <c r="JV25" i="6"/>
  <c r="JV36" i="6"/>
  <c r="JX112" i="6"/>
  <c r="JX70" i="6"/>
  <c r="JU45" i="6"/>
  <c r="JS101" i="6"/>
  <c r="JS32" i="6"/>
  <c r="JW32" i="6"/>
  <c r="JU27" i="6"/>
  <c r="JU22" i="6"/>
  <c r="JU21" i="6"/>
  <c r="JT105" i="6"/>
  <c r="JX56" i="6"/>
  <c r="JX34" i="6"/>
  <c r="JS85" i="6"/>
  <c r="JS16" i="6"/>
  <c r="JX95" i="6"/>
  <c r="JV93" i="6"/>
  <c r="JS59" i="6"/>
  <c r="JU104" i="6"/>
  <c r="JW87" i="6"/>
  <c r="JU38" i="6"/>
  <c r="JU34" i="6"/>
  <c r="JS24" i="6"/>
  <c r="JT21" i="6"/>
  <c r="JU53" i="6"/>
  <c r="JW99" i="6"/>
  <c r="JX8" i="6"/>
  <c r="JT8" i="6"/>
  <c r="JT71" i="6"/>
  <c r="JW79" i="6"/>
  <c r="JX78" i="6"/>
  <c r="JX41" i="6"/>
  <c r="JW73" i="6"/>
  <c r="JS114" i="6"/>
  <c r="JT90" i="6"/>
  <c r="JW29" i="6"/>
  <c r="JV53" i="6"/>
  <c r="JV62" i="6"/>
  <c r="JX71" i="6"/>
  <c r="JU60" i="6"/>
  <c r="JW67" i="6"/>
  <c r="JU69" i="6"/>
  <c r="JW30" i="6"/>
  <c r="JV55" i="6"/>
  <c r="JW47" i="6"/>
  <c r="JW16" i="6"/>
  <c r="JW9" i="6"/>
  <c r="JV116" i="6"/>
  <c r="JT101" i="6"/>
  <c r="JV79" i="6"/>
  <c r="JX61" i="6"/>
  <c r="JU109" i="6"/>
  <c r="JS13" i="6"/>
  <c r="JS89" i="6"/>
  <c r="JW72" i="6"/>
  <c r="JU67" i="6"/>
  <c r="JU62" i="6"/>
  <c r="JX21" i="6"/>
  <c r="JT116" i="6"/>
  <c r="JW94" i="6"/>
  <c r="JU76" i="6"/>
  <c r="JX93" i="6"/>
  <c r="JS82" i="6"/>
  <c r="JS9" i="6"/>
  <c r="JX11" i="6"/>
  <c r="JV6" i="6"/>
  <c r="JV111" i="6"/>
  <c r="JW95" i="6"/>
  <c r="JV74" i="6"/>
  <c r="JW14" i="6"/>
  <c r="JX88" i="6"/>
  <c r="JS108" i="6"/>
  <c r="JS47" i="6"/>
  <c r="JT55" i="6"/>
  <c r="JT48" i="6"/>
  <c r="JT43" i="6"/>
  <c r="JV90" i="6"/>
  <c r="JT57" i="6"/>
  <c r="JV66" i="6"/>
  <c r="JX14" i="6"/>
  <c r="JV58" i="6"/>
  <c r="JS112" i="6"/>
  <c r="JW96" i="6"/>
  <c r="JU91" i="6"/>
  <c r="JU86" i="6"/>
  <c r="JX57" i="6"/>
  <c r="JT42" i="6"/>
  <c r="JV20" i="6"/>
  <c r="JW91" i="6"/>
  <c r="JT81" i="6"/>
  <c r="JS75" i="6"/>
  <c r="JS79" i="6"/>
  <c r="JV21" i="6"/>
  <c r="JT16" i="6"/>
  <c r="JT11" i="6"/>
  <c r="JU111" i="6"/>
  <c r="JU87" i="6"/>
  <c r="JU20" i="6"/>
  <c r="JU71" i="6"/>
  <c r="JS37" i="6"/>
  <c r="JS30" i="6"/>
  <c r="JU18" i="6"/>
  <c r="JX12" i="6"/>
  <c r="JU6" i="6"/>
  <c r="JV103" i="6"/>
  <c r="JT82" i="6"/>
  <c r="JT10" i="6"/>
  <c r="JW115" i="6"/>
  <c r="JS21" i="6"/>
  <c r="JS111" i="6"/>
  <c r="JW75" i="6"/>
  <c r="JV86" i="6"/>
  <c r="JS103" i="6"/>
  <c r="JV12" i="6"/>
  <c r="JX81" i="6"/>
  <c r="JX74" i="6"/>
  <c r="JX28" i="6"/>
  <c r="JS73" i="6"/>
  <c r="JS29" i="6"/>
  <c r="JT61" i="6"/>
  <c r="JW20" i="6"/>
  <c r="JU74" i="6"/>
  <c r="JW83" i="6"/>
  <c r="JT114" i="6"/>
  <c r="JS70" i="6"/>
  <c r="JW69" i="6"/>
  <c r="JU102" i="6"/>
  <c r="JS63" i="6"/>
  <c r="JV115" i="6"/>
  <c r="JW80" i="6"/>
  <c r="JX22" i="6"/>
  <c r="JV11" i="6"/>
  <c r="JV15" i="6"/>
  <c r="JW98" i="6"/>
  <c r="JW40" i="6"/>
  <c r="JW49" i="6"/>
  <c r="JT59" i="6"/>
  <c r="JW39" i="6"/>
  <c r="JU47" i="6"/>
  <c r="JX48" i="6"/>
  <c r="JV114" i="6"/>
  <c r="JV59" i="6"/>
  <c r="JS6" i="6"/>
  <c r="JT112" i="6"/>
  <c r="JT107" i="6"/>
  <c r="JW93" i="6"/>
  <c r="JX77" i="6"/>
  <c r="JV56" i="6"/>
  <c r="JW27" i="6"/>
  <c r="JT49" i="6"/>
  <c r="JS60" i="6"/>
  <c r="JS23" i="6"/>
  <c r="JU58" i="6"/>
  <c r="JX52" i="6"/>
  <c r="JX47" i="6"/>
  <c r="JT98" i="6"/>
  <c r="JV67" i="6"/>
  <c r="JV71" i="6"/>
  <c r="JT25" i="6"/>
  <c r="JT86" i="6"/>
  <c r="JS18" i="6"/>
  <c r="JU114" i="6"/>
  <c r="JX108" i="6"/>
  <c r="JX103" i="6"/>
  <c r="JV88" i="6"/>
  <c r="JX72" i="6"/>
  <c r="JV51" i="6"/>
  <c r="JV92" i="6"/>
  <c r="JX33" i="6"/>
  <c r="JS44" i="6"/>
  <c r="JS86" i="6"/>
  <c r="JT39" i="6"/>
  <c r="JW33" i="6"/>
  <c r="JW28" i="6"/>
  <c r="JU44" i="6"/>
  <c r="JX117" i="6"/>
  <c r="JV91" i="6"/>
  <c r="JV68" i="6"/>
  <c r="JS117" i="6"/>
  <c r="JS48" i="6"/>
  <c r="JU82" i="6"/>
  <c r="JX76" i="6"/>
  <c r="JU70" i="6"/>
  <c r="JW34" i="6"/>
  <c r="JX18" i="6"/>
  <c r="JX109" i="6"/>
  <c r="JU117" i="6"/>
  <c r="JT28" i="6"/>
  <c r="JS11" i="6"/>
  <c r="JS14" i="6"/>
  <c r="JT7" i="6"/>
  <c r="JV113" i="6"/>
  <c r="JW103" i="6"/>
  <c r="JW85" i="6"/>
  <c r="JU64" i="6"/>
  <c r="JU73" i="6"/>
  <c r="JU68" i="6"/>
  <c r="JS84" i="6"/>
  <c r="JS87" i="6"/>
  <c r="JU115" i="6"/>
  <c r="JW108" i="6"/>
  <c r="JU96" i="6"/>
  <c r="JV80" i="6"/>
  <c r="JX58" i="6"/>
  <c r="JX37" i="6"/>
  <c r="JT54" i="6"/>
  <c r="JS68" i="6"/>
  <c r="JS46" i="6"/>
  <c r="JT60" i="6"/>
  <c r="JV81" i="6"/>
  <c r="JV77" i="6"/>
  <c r="JS106" i="6"/>
  <c r="JV40" i="6"/>
  <c r="JU39" i="6"/>
  <c r="JX23" i="6"/>
  <c r="JX19" i="6"/>
  <c r="JS7" i="6"/>
  <c r="JS76" i="6"/>
  <c r="JU11" i="6"/>
  <c r="JX68" i="6"/>
  <c r="JS90" i="6"/>
  <c r="JX24" i="6"/>
  <c r="JW60" i="6"/>
  <c r="JU107" i="6"/>
  <c r="JS36" i="6"/>
  <c r="JV50" i="6"/>
  <c r="JU32" i="6"/>
  <c r="JV70" i="6"/>
  <c r="JS98" i="6"/>
  <c r="JT17" i="6"/>
  <c r="JX27" i="6"/>
  <c r="JX36" i="6"/>
  <c r="JU46" i="6"/>
  <c r="JV19" i="6"/>
  <c r="JW26" i="6"/>
  <c r="JU28" i="6"/>
  <c r="JW106" i="6"/>
  <c r="JU95" i="6"/>
  <c r="JT103" i="6"/>
  <c r="JW97" i="6"/>
  <c r="JW92" i="6"/>
  <c r="JW70" i="6"/>
  <c r="JX54" i="6"/>
  <c r="JU33" i="6"/>
  <c r="JT22" i="6"/>
  <c r="JT108" i="6"/>
  <c r="JS107" i="6"/>
  <c r="JS62" i="6"/>
  <c r="JX43" i="6"/>
  <c r="JV38" i="6"/>
  <c r="JX31" i="6"/>
  <c r="JW54" i="6"/>
  <c r="JW18" i="6"/>
  <c r="JV104" i="6"/>
  <c r="JV82" i="6"/>
  <c r="JU31" i="6"/>
  <c r="JS64" i="6"/>
  <c r="JX99" i="6"/>
  <c r="JV94" i="6"/>
  <c r="JV89" i="6"/>
  <c r="JU65" i="6"/>
  <c r="JX49" i="6"/>
  <c r="JX25" i="6"/>
  <c r="JU105" i="6"/>
  <c r="JT94" i="6"/>
  <c r="JS91" i="6"/>
  <c r="JS17" i="6"/>
  <c r="JW24" i="6"/>
  <c r="JU19" i="6"/>
  <c r="JU14" i="6"/>
  <c r="JU116" i="6"/>
  <c r="JX94" i="6"/>
  <c r="JW35" i="6"/>
  <c r="JX42" i="6"/>
  <c r="JS53" i="6"/>
  <c r="JS71" i="6"/>
  <c r="JX67" i="6"/>
  <c r="JX60" i="6"/>
  <c r="JX55" i="6"/>
  <c r="JW11" i="6"/>
  <c r="JV100" i="6"/>
  <c r="JX86" i="6"/>
  <c r="JW55" i="6"/>
  <c r="JU48" i="6"/>
  <c r="JS58" i="6"/>
  <c r="JV109" i="6"/>
  <c r="JT104" i="6"/>
  <c r="JT99" i="6"/>
  <c r="JT78" i="6"/>
  <c r="JW62" i="6"/>
  <c r="JT41" i="6"/>
  <c r="JT53" i="6"/>
  <c r="JV18" i="6"/>
  <c r="JS20" i="6"/>
  <c r="JU106" i="6"/>
  <c r="JU99" i="6"/>
  <c r="JU94" i="6"/>
  <c r="JT73" i="6"/>
  <c r="JU57" i="6"/>
  <c r="JT36" i="6"/>
  <c r="JV32" i="6"/>
  <c r="JU8" i="6"/>
  <c r="JS115" i="6"/>
  <c r="JS81" i="6"/>
  <c r="JW38" i="6"/>
  <c r="JV52" i="6"/>
  <c r="JT72" i="6"/>
  <c r="JS57" i="6"/>
  <c r="JU7" i="6"/>
  <c r="JU56" i="6"/>
  <c r="JV31" i="6"/>
  <c r="JV14" i="6"/>
  <c r="JX116" i="6"/>
  <c r="JS65" i="6"/>
  <c r="JW77" i="6"/>
  <c r="JT97" i="6"/>
  <c r="JT77" i="6"/>
  <c r="JX110" i="6"/>
  <c r="JT70" i="6"/>
  <c r="JT27" i="6"/>
  <c r="JV107" i="6"/>
  <c r="JT102" i="6"/>
  <c r="JS38" i="6"/>
  <c r="JV117" i="6"/>
  <c r="JT15" i="6"/>
  <c r="JT24" i="6"/>
  <c r="JV33" i="6"/>
  <c r="JU103" i="6"/>
  <c r="JT6" i="6"/>
  <c r="JW7" i="6"/>
  <c r="JT12" i="6"/>
  <c r="JT44" i="6"/>
  <c r="JW88" i="6"/>
  <c r="JU83" i="6"/>
  <c r="JU78" i="6"/>
  <c r="JV47" i="6"/>
  <c r="JW31" i="6"/>
  <c r="JV10" i="6"/>
  <c r="JW46" i="6"/>
  <c r="JV48" i="6"/>
  <c r="JS43" i="6"/>
  <c r="JS97" i="6"/>
  <c r="JV29" i="6"/>
  <c r="JV22" i="6"/>
  <c r="JV17" i="6"/>
  <c r="JX10" i="6"/>
  <c r="JT100" i="6"/>
  <c r="JX45" i="6"/>
  <c r="JW19" i="6"/>
  <c r="JS69" i="6"/>
  <c r="JS113" i="6"/>
  <c r="JV85" i="6"/>
  <c r="JT80" i="6"/>
  <c r="JT75" i="6"/>
  <c r="JV42" i="6"/>
  <c r="JU24" i="6"/>
  <c r="JX114" i="6"/>
  <c r="JT26" i="6"/>
  <c r="JT38" i="6"/>
  <c r="JS27" i="6"/>
  <c r="JS55" i="6"/>
  <c r="JU10" i="6"/>
  <c r="JW116" i="6"/>
  <c r="JT109" i="6"/>
  <c r="JU93" i="6"/>
  <c r="JW71" i="6"/>
  <c r="JU100" i="6"/>
  <c r="JU81" i="6"/>
  <c r="JS100" i="6"/>
  <c r="JS25" i="6"/>
  <c r="JX51" i="6"/>
  <c r="JV46" i="6"/>
  <c r="JV41" i="6"/>
  <c r="JU85" i="6"/>
  <c r="JT52" i="6"/>
  <c r="JW63" i="6"/>
  <c r="JX9" i="6"/>
  <c r="JW37" i="6"/>
  <c r="JS104" i="6"/>
  <c r="JT95" i="6"/>
  <c r="JW89" i="6"/>
  <c r="JT83" i="6"/>
  <c r="JU55" i="6"/>
  <c r="JV39" i="6"/>
  <c r="JT18" i="6"/>
  <c r="JT85" i="6"/>
  <c r="JX73" i="6"/>
  <c r="JS67" i="6"/>
  <c r="JU90" i="6"/>
  <c r="JX84" i="6"/>
  <c r="JX79" i="6"/>
  <c r="JT50" i="6"/>
  <c r="JV34" i="6"/>
  <c r="JT13" i="6"/>
  <c r="JV64" i="6"/>
  <c r="JW53" i="6"/>
  <c r="JS51" i="6"/>
  <c r="JS15" i="6"/>
  <c r="JW42" i="6"/>
  <c r="JT37" i="6"/>
  <c r="JT67" i="6"/>
  <c r="JT63" i="6"/>
  <c r="JS42" i="6"/>
  <c r="JX102" i="6"/>
  <c r="JW107" i="6"/>
  <c r="JV9" i="6"/>
  <c r="JX111" i="6"/>
  <c r="JX64" i="6"/>
  <c r="JX63" i="6"/>
  <c r="JS31" i="6"/>
  <c r="JX101" i="6"/>
  <c r="JT92" i="6"/>
  <c r="JX85" i="6"/>
  <c r="JV37" i="6"/>
  <c r="JS109" i="6"/>
  <c r="JW68" i="6"/>
  <c r="JX75" i="6"/>
  <c r="JV7" i="6"/>
  <c r="JW57" i="6"/>
  <c r="DY11" i="6"/>
  <c r="DY57" i="6"/>
  <c r="DY109" i="6"/>
  <c r="DY114" i="6"/>
  <c r="DY105" i="6"/>
  <c r="DY74" i="6"/>
  <c r="DY15" i="6"/>
  <c r="DY117" i="6"/>
  <c r="DY77" i="6"/>
  <c r="DY104" i="6"/>
  <c r="DY24" i="6"/>
  <c r="DY68" i="6"/>
  <c r="DY97" i="6"/>
  <c r="DY111" i="6"/>
  <c r="DY102" i="6"/>
  <c r="DY81" i="6"/>
  <c r="XN109" i="6"/>
  <c r="XN32" i="6"/>
  <c r="XN71" i="6"/>
  <c r="XN93" i="6"/>
  <c r="XN85" i="6"/>
  <c r="XN94" i="6"/>
  <c r="XN76" i="6"/>
  <c r="XN34" i="6"/>
  <c r="XN115" i="6"/>
  <c r="XN16" i="6"/>
  <c r="XN55" i="6"/>
  <c r="XN110" i="6"/>
  <c r="XN92" i="6"/>
  <c r="PF6" i="6"/>
  <c r="PG25" i="6"/>
  <c r="PG36" i="6"/>
  <c r="PJ44" i="6"/>
  <c r="PI51" i="6"/>
  <c r="PG106" i="6"/>
  <c r="PH13" i="6"/>
  <c r="PJ94" i="6"/>
  <c r="PI30" i="6"/>
  <c r="PK117" i="6"/>
  <c r="PI15" i="6"/>
  <c r="PI26" i="6"/>
  <c r="PG35" i="6"/>
  <c r="PK35" i="6"/>
  <c r="PH88" i="6"/>
  <c r="PI115" i="6"/>
  <c r="PH53" i="6"/>
  <c r="PH37" i="6"/>
  <c r="PI111" i="6"/>
  <c r="PK88" i="6"/>
  <c r="PK63" i="6"/>
  <c r="PK25" i="6"/>
  <c r="PH24" i="6"/>
  <c r="PJ56" i="6"/>
  <c r="PG56" i="6"/>
  <c r="PF80" i="6"/>
  <c r="PF35" i="6"/>
  <c r="PI7" i="6"/>
  <c r="PH94" i="6"/>
  <c r="PJ79" i="6"/>
  <c r="PI75" i="6"/>
  <c r="PK41" i="6"/>
  <c r="PH45" i="6"/>
  <c r="PF92" i="6"/>
  <c r="PF89" i="6"/>
  <c r="PI39" i="6"/>
  <c r="PH110" i="6"/>
  <c r="PJ104" i="6"/>
  <c r="PJ99" i="6"/>
  <c r="PI67" i="6"/>
  <c r="PK11" i="6"/>
  <c r="PF37" i="6"/>
  <c r="PF91" i="6"/>
  <c r="PI55" i="6"/>
  <c r="PH31" i="6"/>
  <c r="PI116" i="6"/>
  <c r="PI43" i="6"/>
  <c r="PJ110" i="6"/>
  <c r="PI109" i="6"/>
  <c r="PI78" i="6"/>
  <c r="PF55" i="6"/>
  <c r="PK85" i="6"/>
  <c r="PH63" i="6"/>
  <c r="PH38" i="6"/>
  <c r="PK91" i="6"/>
  <c r="PK92" i="6"/>
  <c r="PK67" i="6"/>
  <c r="PJ14" i="6"/>
  <c r="PF86" i="6"/>
  <c r="PF90" i="6"/>
  <c r="PH95" i="6"/>
  <c r="PJ68" i="6"/>
  <c r="PJ38" i="6"/>
  <c r="PH34" i="6"/>
  <c r="PH72" i="6"/>
  <c r="PK57" i="6"/>
  <c r="PF104" i="6"/>
  <c r="PF99" i="6"/>
  <c r="PI31" i="6"/>
  <c r="PH7" i="6"/>
  <c r="PG94" i="6"/>
  <c r="PK113" i="6"/>
  <c r="PH80" i="6"/>
  <c r="PI45" i="6"/>
  <c r="PF77" i="6"/>
  <c r="PF51" i="6"/>
  <c r="PG81" i="6"/>
  <c r="PK56" i="6"/>
  <c r="PH30" i="6"/>
  <c r="PI84" i="6"/>
  <c r="PG80" i="6"/>
  <c r="PJ32" i="6"/>
  <c r="PJ96" i="6"/>
  <c r="PF62" i="6"/>
  <c r="PH76" i="6"/>
  <c r="PH87" i="6"/>
  <c r="PK95" i="6"/>
  <c r="PH105" i="6"/>
  <c r="PK76" i="6"/>
  <c r="PI21" i="6"/>
  <c r="PI44" i="6"/>
  <c r="PI94" i="6"/>
  <c r="PJ75" i="6"/>
  <c r="PJ66" i="6"/>
  <c r="PJ77" i="6"/>
  <c r="PH86" i="6"/>
  <c r="PJ95" i="6"/>
  <c r="PH61" i="6"/>
  <c r="PI6" i="6"/>
  <c r="PG29" i="6"/>
  <c r="PG53" i="6"/>
  <c r="PK34" i="6"/>
  <c r="PH44" i="6"/>
  <c r="PG20" i="6"/>
  <c r="PK106" i="6"/>
  <c r="PJ25" i="6"/>
  <c r="PJ102" i="6"/>
  <c r="PG104" i="6"/>
  <c r="PG50" i="6"/>
  <c r="PF15" i="6"/>
  <c r="PJ74" i="6"/>
  <c r="PJ53" i="6"/>
  <c r="PG27" i="6"/>
  <c r="PG74" i="6"/>
  <c r="PI69" i="6"/>
  <c r="PJ19" i="6"/>
  <c r="PI68" i="6"/>
  <c r="PF46" i="6"/>
  <c r="PH108" i="6"/>
  <c r="PG68" i="6"/>
  <c r="PI41" i="6"/>
  <c r="PH101" i="6"/>
  <c r="PI102" i="6"/>
  <c r="PH81" i="6"/>
  <c r="PH35" i="6"/>
  <c r="PF110" i="6"/>
  <c r="PF66" i="6"/>
  <c r="PI98" i="6"/>
  <c r="PG75" i="6"/>
  <c r="PJ43" i="6"/>
  <c r="PJ39" i="6"/>
  <c r="PI8" i="6"/>
  <c r="PK83" i="6"/>
  <c r="PF12" i="6"/>
  <c r="PF41" i="6"/>
  <c r="PJ18" i="6"/>
  <c r="PI105" i="6"/>
  <c r="PG95" i="6"/>
  <c r="PH93" i="6"/>
  <c r="PJ59" i="6"/>
  <c r="PI93" i="6"/>
  <c r="PF21" i="6"/>
  <c r="PF50" i="6"/>
  <c r="PG49" i="6"/>
  <c r="PG28" i="6"/>
  <c r="PH113" i="6"/>
  <c r="PH33" i="6"/>
  <c r="PG101" i="6"/>
  <c r="PG63" i="6"/>
  <c r="PJ9" i="6"/>
  <c r="PF39" i="6"/>
  <c r="PJ98" i="6"/>
  <c r="PG76" i="6"/>
  <c r="PG51" i="6"/>
  <c r="PH117" i="6"/>
  <c r="PH21" i="6"/>
  <c r="PG16" i="6"/>
  <c r="PK68" i="6"/>
  <c r="PF32" i="6"/>
  <c r="PF17" i="6"/>
  <c r="PJ10" i="6"/>
  <c r="PJ100" i="6"/>
  <c r="PK84" i="6"/>
  <c r="PI80" i="6"/>
  <c r="PK51" i="6"/>
  <c r="PK65" i="6"/>
  <c r="PF108" i="6"/>
  <c r="PF67" i="6"/>
  <c r="PH12" i="6"/>
  <c r="PJ108" i="6"/>
  <c r="PI92" i="6"/>
  <c r="PH83" i="6"/>
  <c r="PJ64" i="6"/>
  <c r="PI86" i="6"/>
  <c r="PG105" i="6"/>
  <c r="PI90" i="6"/>
  <c r="PJ60" i="6"/>
  <c r="PJ15" i="6"/>
  <c r="PK26" i="6"/>
  <c r="PH49" i="6"/>
  <c r="PJ97" i="6"/>
  <c r="PH60" i="6"/>
  <c r="PI97" i="6"/>
  <c r="PK110" i="6"/>
  <c r="PH18" i="6"/>
  <c r="PH58" i="6"/>
  <c r="PF16" i="6"/>
  <c r="PK93" i="6"/>
  <c r="PI18" i="6"/>
  <c r="PJ48" i="6"/>
  <c r="PJ105" i="6"/>
  <c r="PJ86" i="6"/>
  <c r="PF28" i="6"/>
  <c r="PF10" i="6"/>
  <c r="PK32" i="6"/>
  <c r="PH74" i="6"/>
  <c r="PI16" i="6"/>
  <c r="PH43" i="6"/>
  <c r="PF84" i="6"/>
  <c r="PF98" i="6"/>
  <c r="PI66" i="6"/>
  <c r="PI100" i="6"/>
  <c r="PI70" i="6"/>
  <c r="PK73" i="6"/>
  <c r="PF101" i="6"/>
  <c r="PF9" i="6"/>
  <c r="PK96" i="6"/>
  <c r="PJ20" i="6"/>
  <c r="PG10" i="6"/>
  <c r="PG85" i="6"/>
  <c r="PG48" i="6"/>
  <c r="PF97" i="6"/>
  <c r="PG17" i="6"/>
  <c r="PJ52" i="6"/>
  <c r="PG64" i="6"/>
  <c r="PH57" i="6"/>
  <c r="PK75" i="6"/>
  <c r="PF103" i="6"/>
  <c r="PG65" i="6"/>
  <c r="PH102" i="6"/>
  <c r="PJ33" i="6"/>
  <c r="PG31" i="6"/>
  <c r="PH73" i="6"/>
  <c r="PF96" i="6"/>
  <c r="PG113" i="6"/>
  <c r="PK40" i="6"/>
  <c r="PH114" i="6"/>
  <c r="PH29" i="6"/>
  <c r="PI37" i="6"/>
  <c r="PF69" i="6"/>
  <c r="PF58" i="6"/>
  <c r="PH85" i="6"/>
  <c r="PG112" i="6"/>
  <c r="PH25" i="6"/>
  <c r="PK9" i="6"/>
  <c r="PI12" i="6"/>
  <c r="PK33" i="6"/>
  <c r="PH89" i="6"/>
  <c r="PJ91" i="6"/>
  <c r="PF52" i="6"/>
  <c r="PK112" i="6"/>
  <c r="PG83" i="6"/>
  <c r="PG72" i="6"/>
  <c r="PJ62" i="6"/>
  <c r="PG24" i="6"/>
  <c r="PJ24" i="6"/>
  <c r="PH92" i="6"/>
  <c r="PK64" i="6"/>
  <c r="PK47" i="6"/>
  <c r="PI104" i="6"/>
  <c r="PG96" i="6"/>
  <c r="PK116" i="6"/>
  <c r="PH42" i="6"/>
  <c r="PJ26" i="6"/>
  <c r="PK79" i="6"/>
  <c r="PG79" i="6"/>
  <c r="PH75" i="6"/>
  <c r="PK50" i="6"/>
  <c r="PF54" i="6"/>
  <c r="PJ58" i="6"/>
  <c r="PI113" i="6"/>
  <c r="PG23" i="6"/>
  <c r="PH8" i="6"/>
  <c r="PI19" i="6"/>
  <c r="PF72" i="6"/>
  <c r="PJ90" i="6"/>
  <c r="PK16" i="6"/>
  <c r="PI46" i="6"/>
  <c r="PI59" i="6"/>
  <c r="PJ80" i="6"/>
  <c r="PF20" i="6"/>
  <c r="PJ106" i="6"/>
  <c r="PH47" i="6"/>
  <c r="PI101" i="6"/>
  <c r="PG14" i="6"/>
  <c r="PJ6" i="6"/>
  <c r="PF29" i="6"/>
  <c r="PF75" i="6"/>
  <c r="PK80" i="6"/>
  <c r="PK114" i="6"/>
  <c r="PH65" i="6"/>
  <c r="PK28" i="6"/>
  <c r="PH50" i="6"/>
  <c r="PF106" i="6"/>
  <c r="PH111" i="6"/>
  <c r="PJ36" i="6"/>
  <c r="PJ7" i="6"/>
  <c r="PJ31" i="6"/>
  <c r="PG7" i="6"/>
  <c r="PF74" i="6"/>
  <c r="PI47" i="6"/>
  <c r="PJ84" i="6"/>
  <c r="PK86" i="6"/>
  <c r="PH112" i="6"/>
  <c r="PG86" i="6"/>
  <c r="PF70" i="6"/>
  <c r="PG97" i="6"/>
  <c r="PJ21" i="6"/>
  <c r="PH59" i="6"/>
  <c r="PH115" i="6"/>
  <c r="PI22" i="6"/>
  <c r="PF44" i="6"/>
  <c r="PF113" i="6"/>
  <c r="PK37" i="6"/>
  <c r="PH103" i="6"/>
  <c r="PK77" i="6"/>
  <c r="PK109" i="6"/>
  <c r="PF18" i="6"/>
  <c r="PF59" i="6"/>
  <c r="PF73" i="6"/>
  <c r="PG33" i="6"/>
  <c r="PJ82" i="6"/>
  <c r="PK42" i="6"/>
  <c r="PK10" i="6"/>
  <c r="PJ114" i="6"/>
  <c r="PG100" i="6"/>
  <c r="PH70" i="6"/>
  <c r="PK30" i="6"/>
  <c r="PG42" i="6"/>
  <c r="PH77" i="6"/>
  <c r="PH91" i="6"/>
  <c r="PI79" i="6"/>
  <c r="PG52" i="6"/>
  <c r="PH22" i="6"/>
  <c r="PK81" i="6"/>
  <c r="PI64" i="6"/>
  <c r="PK52" i="6"/>
  <c r="PJ88" i="6"/>
  <c r="PG9" i="6"/>
  <c r="PH46" i="6"/>
  <c r="PH51" i="6"/>
  <c r="PK46" i="6"/>
  <c r="PJ55" i="6"/>
  <c r="PF79" i="6"/>
  <c r="PJ42" i="6"/>
  <c r="PH78" i="6"/>
  <c r="PJ107" i="6"/>
  <c r="PI99" i="6"/>
  <c r="PH17" i="6"/>
  <c r="PF8" i="6"/>
  <c r="PG73" i="6"/>
  <c r="PJ92" i="6"/>
  <c r="PK20" i="6"/>
  <c r="PG117" i="6"/>
  <c r="PH32" i="6"/>
  <c r="PF64" i="6"/>
  <c r="PI87" i="6"/>
  <c r="PH15" i="6"/>
  <c r="PH69" i="6"/>
  <c r="PH99" i="6"/>
  <c r="PJ73" i="6"/>
  <c r="PF76" i="6"/>
  <c r="PF83" i="6"/>
  <c r="PJ45" i="6"/>
  <c r="PK98" i="6"/>
  <c r="PG37" i="6"/>
  <c r="PJ17" i="6"/>
  <c r="PF93" i="6"/>
  <c r="PF19" i="6"/>
  <c r="PH79" i="6"/>
  <c r="PI17" i="6"/>
  <c r="PK90" i="6"/>
  <c r="PG21" i="6"/>
  <c r="PI40" i="6"/>
  <c r="PF27" i="6"/>
  <c r="PK13" i="6"/>
  <c r="PG67" i="6"/>
  <c r="PK58" i="6"/>
  <c r="PJ54" i="6"/>
  <c r="PJ22" i="6"/>
  <c r="PF95" i="6"/>
  <c r="PK61" i="6"/>
  <c r="PJ116" i="6"/>
  <c r="PI28" i="6"/>
  <c r="PG26" i="6"/>
  <c r="PI32" i="6"/>
  <c r="PF88" i="6"/>
  <c r="PG40" i="6"/>
  <c r="PJ65" i="6"/>
  <c r="PF36" i="6"/>
  <c r="PF45" i="6"/>
  <c r="PF117" i="6"/>
  <c r="PG55" i="6"/>
  <c r="PF47" i="6"/>
  <c r="PF78" i="6"/>
  <c r="PF25" i="6"/>
  <c r="PK101" i="6"/>
  <c r="PI74" i="6"/>
  <c r="PI57" i="6"/>
  <c r="PH10" i="6"/>
  <c r="PG6" i="6"/>
  <c r="PK38" i="6"/>
  <c r="PI83" i="6"/>
  <c r="PK53" i="6"/>
  <c r="PH39" i="6"/>
  <c r="PI9" i="6"/>
  <c r="PJ40" i="6"/>
  <c r="PJ23" i="6"/>
  <c r="PI91" i="6"/>
  <c r="PJ63" i="6"/>
  <c r="PI106" i="6"/>
  <c r="PJ28" i="6"/>
  <c r="PH109" i="6"/>
  <c r="PH16" i="6"/>
  <c r="PJ81" i="6"/>
  <c r="PF14" i="6"/>
  <c r="PI23" i="6"/>
  <c r="PH62" i="6"/>
  <c r="PI48" i="6"/>
  <c r="PI72" i="6"/>
  <c r="PI35" i="6"/>
  <c r="PF71" i="6"/>
  <c r="PG57" i="6"/>
  <c r="PJ76" i="6"/>
  <c r="PJ71" i="6"/>
  <c r="PH96" i="6"/>
  <c r="PK99" i="6"/>
  <c r="PF38" i="6"/>
  <c r="PI71" i="6"/>
  <c r="PG107" i="6"/>
  <c r="PG18" i="6"/>
  <c r="PJ46" i="6"/>
  <c r="PJ113" i="6"/>
  <c r="PF56" i="6"/>
  <c r="PI103" i="6"/>
  <c r="PJ29" i="6"/>
  <c r="PK66" i="6"/>
  <c r="PI11" i="6"/>
  <c r="PJ83" i="6"/>
  <c r="PF68" i="6"/>
  <c r="PF57" i="6"/>
  <c r="PG60" i="6"/>
  <c r="PH97" i="6"/>
  <c r="PK59" i="6"/>
  <c r="PK60" i="6"/>
  <c r="PF85" i="6"/>
  <c r="PF65" i="6"/>
  <c r="PJ109" i="6"/>
  <c r="PI33" i="6"/>
  <c r="PJ30" i="6"/>
  <c r="PH26" i="6"/>
  <c r="PH107" i="6"/>
  <c r="PF31" i="6"/>
  <c r="PK45" i="6"/>
  <c r="PI81" i="6"/>
  <c r="PG114" i="6"/>
  <c r="PK105" i="6"/>
  <c r="PJ78" i="6"/>
  <c r="PF24" i="6"/>
  <c r="PI10" i="6"/>
  <c r="PI73" i="6"/>
  <c r="PG115" i="6"/>
  <c r="PI34" i="6"/>
  <c r="PI50" i="6"/>
  <c r="PI82" i="6"/>
  <c r="PH54" i="6"/>
  <c r="PK82" i="6"/>
  <c r="PH82" i="6"/>
  <c r="PK54" i="6"/>
  <c r="PG89" i="6"/>
  <c r="PJ61" i="6"/>
  <c r="PK31" i="6"/>
  <c r="PG98" i="6"/>
  <c r="PG90" i="6"/>
  <c r="PH40" i="6"/>
  <c r="PJ27" i="6"/>
  <c r="PG41" i="6"/>
  <c r="PJ13" i="6"/>
  <c r="PI108" i="6"/>
  <c r="PI20" i="6"/>
  <c r="PH90" i="6"/>
  <c r="PK115" i="6"/>
  <c r="PH9" i="6"/>
  <c r="PH71" i="6"/>
  <c r="PJ12" i="6"/>
  <c r="PG78" i="6"/>
  <c r="PH106" i="6"/>
  <c r="PK6" i="6"/>
  <c r="PF26" i="6"/>
  <c r="PK104" i="6"/>
  <c r="PG43" i="6"/>
  <c r="PK22" i="6"/>
  <c r="PI13" i="6"/>
  <c r="PH48" i="6"/>
  <c r="PF7" i="6"/>
  <c r="PK21" i="6"/>
  <c r="PG59" i="6"/>
  <c r="PG46" i="6"/>
  <c r="PG39" i="6"/>
  <c r="PK14" i="6"/>
  <c r="PF63" i="6"/>
  <c r="PH36" i="6"/>
  <c r="PG91" i="6"/>
  <c r="PK94" i="6"/>
  <c r="PG93" i="6"/>
  <c r="PJ11" i="6"/>
  <c r="PF94" i="6"/>
  <c r="PK69" i="6"/>
  <c r="PG12" i="6"/>
  <c r="PH41" i="6"/>
  <c r="PJ41" i="6"/>
  <c r="PG66" i="6"/>
  <c r="PF112" i="6"/>
  <c r="PH100" i="6"/>
  <c r="PG44" i="6"/>
  <c r="PK89" i="6"/>
  <c r="PJ8" i="6"/>
  <c r="PG71" i="6"/>
  <c r="PF13" i="6"/>
  <c r="PF34" i="6"/>
  <c r="PJ93" i="6"/>
  <c r="PK15" i="6"/>
  <c r="PI85" i="6"/>
  <c r="PH67" i="6"/>
  <c r="PI27" i="6"/>
  <c r="PF11" i="6"/>
  <c r="PK29" i="6"/>
  <c r="PI65" i="6"/>
  <c r="PI53" i="6"/>
  <c r="PI77" i="6"/>
  <c r="PJ70" i="6"/>
  <c r="PF87" i="6"/>
  <c r="PG15" i="6"/>
  <c r="PG47" i="6"/>
  <c r="PK74" i="6"/>
  <c r="PH19" i="6"/>
  <c r="PK44" i="6"/>
  <c r="PI96" i="6"/>
  <c r="PI38" i="6"/>
  <c r="PJ89" i="6"/>
  <c r="PI61" i="6"/>
  <c r="PG110" i="6"/>
  <c r="PI63" i="6"/>
  <c r="PK48" i="6"/>
  <c r="PG19" i="6"/>
  <c r="PH56" i="6"/>
  <c r="PJ51" i="6"/>
  <c r="PK100" i="6"/>
  <c r="PK19" i="6"/>
  <c r="PH28" i="6"/>
  <c r="PK111" i="6"/>
  <c r="PH98" i="6"/>
  <c r="PI112" i="6"/>
  <c r="PG70" i="6"/>
  <c r="PG103" i="6"/>
  <c r="PF61" i="6"/>
  <c r="PH55" i="6"/>
  <c r="PG111" i="6"/>
  <c r="PI52" i="6"/>
  <c r="PH27" i="6"/>
  <c r="PF53" i="6"/>
  <c r="PF105" i="6"/>
  <c r="PJ85" i="6"/>
  <c r="PG11" i="6"/>
  <c r="PK102" i="6"/>
  <c r="PI54" i="6"/>
  <c r="PG45" i="6"/>
  <c r="PF114" i="6"/>
  <c r="PJ101" i="6"/>
  <c r="PI25" i="6"/>
  <c r="PK17" i="6"/>
  <c r="PH11" i="6"/>
  <c r="PG61" i="6"/>
  <c r="PF102" i="6"/>
  <c r="PH20" i="6"/>
  <c r="PK55" i="6"/>
  <c r="PG69" i="6"/>
  <c r="PI62" i="6"/>
  <c r="PI107" i="6"/>
  <c r="PF30" i="6"/>
  <c r="PH52" i="6"/>
  <c r="PI89" i="6"/>
  <c r="PG13" i="6"/>
  <c r="PH104" i="6"/>
  <c r="PJ112" i="6"/>
  <c r="PF48" i="6"/>
  <c r="PH84" i="6"/>
  <c r="PK8" i="6"/>
  <c r="PH64" i="6"/>
  <c r="PJ87" i="6"/>
  <c r="PI60" i="6"/>
  <c r="PF60" i="6"/>
  <c r="PF107" i="6"/>
  <c r="PI58" i="6"/>
  <c r="PJ111" i="6"/>
  <c r="PJ57" i="6"/>
  <c r="PJ47" i="6"/>
  <c r="PK97" i="6"/>
  <c r="PF42" i="6"/>
  <c r="PG108" i="6"/>
  <c r="PI49" i="6"/>
  <c r="PK27" i="6"/>
  <c r="PK18" i="6"/>
  <c r="PK62" i="6"/>
  <c r="PF23" i="6"/>
  <c r="PF109" i="6"/>
  <c r="PG34" i="6"/>
  <c r="PI76" i="6"/>
  <c r="PJ50" i="6"/>
  <c r="PH23" i="6"/>
  <c r="PH6" i="6"/>
  <c r="PJ35" i="6"/>
  <c r="PG109" i="6"/>
  <c r="PJ16" i="6"/>
  <c r="PG30" i="6"/>
  <c r="PG116" i="6"/>
  <c r="PG99" i="6"/>
  <c r="PG77" i="6"/>
  <c r="PJ67" i="6"/>
  <c r="PJ49" i="6"/>
  <c r="PG38" i="6"/>
  <c r="PI95" i="6"/>
  <c r="PJ37" i="6"/>
  <c r="PG82" i="6"/>
  <c r="PK108" i="6"/>
  <c r="PI24" i="6"/>
  <c r="PF100" i="6"/>
  <c r="PF49" i="6"/>
  <c r="PJ69" i="6"/>
  <c r="PJ103" i="6"/>
  <c r="PK49" i="6"/>
  <c r="PI88" i="6"/>
  <c r="PI29" i="6"/>
  <c r="PF82" i="6"/>
  <c r="PG84" i="6"/>
  <c r="PK7" i="6"/>
  <c r="PJ72" i="6"/>
  <c r="PK43" i="6"/>
  <c r="PI110" i="6"/>
  <c r="PF43" i="6"/>
  <c r="PJ117" i="6"/>
  <c r="PK39" i="6"/>
  <c r="PK12" i="6"/>
  <c r="PK36" i="6"/>
  <c r="PG22" i="6"/>
  <c r="PF115" i="6"/>
  <c r="PJ34" i="6"/>
  <c r="PK71" i="6"/>
  <c r="PH66" i="6"/>
  <c r="PG88" i="6"/>
  <c r="PK70" i="6"/>
  <c r="PF111" i="6"/>
  <c r="PH68" i="6"/>
  <c r="PK103" i="6"/>
  <c r="PG8" i="6"/>
  <c r="PI36" i="6"/>
  <c r="PK78" i="6"/>
  <c r="PF40" i="6"/>
  <c r="PH116" i="6"/>
  <c r="PI42" i="6"/>
  <c r="PG87" i="6"/>
  <c r="PG32" i="6"/>
  <c r="PG58" i="6"/>
  <c r="PF116" i="6"/>
  <c r="PF81" i="6"/>
  <c r="PG92" i="6"/>
  <c r="PH14" i="6"/>
  <c r="PJ115" i="6"/>
  <c r="PG62" i="6"/>
  <c r="PI14" i="6"/>
  <c r="PF33" i="6"/>
  <c r="PI117" i="6"/>
  <c r="PI56" i="6"/>
  <c r="PG54" i="6"/>
  <c r="PK107" i="6"/>
  <c r="PG102" i="6"/>
  <c r="PK23" i="6"/>
  <c r="PI114" i="6"/>
  <c r="PK87" i="6"/>
  <c r="PK24" i="6"/>
  <c r="PK72" i="6"/>
  <c r="PF22" i="6"/>
  <c r="XY108" i="6"/>
  <c r="XY48" i="6"/>
  <c r="XY35" i="6"/>
  <c r="XY92" i="6"/>
  <c r="XY111" i="6"/>
  <c r="XY32" i="6"/>
  <c r="XY77" i="6"/>
  <c r="XY61" i="6"/>
  <c r="XY51" i="6"/>
  <c r="XY94" i="6"/>
  <c r="XC98" i="6"/>
  <c r="XC63" i="6"/>
  <c r="XC6" i="6"/>
  <c r="XC77" i="6"/>
  <c r="XC44" i="6"/>
  <c r="XC107" i="6"/>
  <c r="XC82" i="6"/>
  <c r="XC47" i="6"/>
  <c r="XC22" i="6"/>
  <c r="XC97" i="6"/>
  <c r="XC41" i="6"/>
  <c r="XC17" i="6"/>
  <c r="XC60" i="6"/>
  <c r="XC116" i="6"/>
  <c r="XC8" i="6"/>
  <c r="YU6" i="6"/>
  <c r="YU108" i="6"/>
  <c r="YU48" i="6"/>
  <c r="YU65" i="6"/>
  <c r="YU71" i="6"/>
  <c r="YU75" i="6"/>
  <c r="YU62" i="6"/>
  <c r="YU70" i="6"/>
  <c r="YU32" i="6"/>
  <c r="YU49" i="6"/>
  <c r="YU35" i="6"/>
  <c r="YU47" i="6"/>
  <c r="AL85" i="6"/>
  <c r="AJ30" i="6"/>
  <c r="AJ93" i="6"/>
  <c r="AL93" i="6"/>
  <c r="AJ8" i="6"/>
  <c r="AK100" i="6"/>
  <c r="AJ79" i="6"/>
  <c r="AL49" i="6"/>
  <c r="AJ9" i="6"/>
  <c r="AL22" i="6"/>
  <c r="AL31" i="6"/>
  <c r="AJ109" i="6"/>
  <c r="AJ17" i="6"/>
  <c r="AJ22" i="6"/>
  <c r="AJ50" i="6"/>
  <c r="AL100" i="6"/>
  <c r="AL78" i="6"/>
  <c r="AJ28" i="6"/>
  <c r="AJ56" i="6"/>
  <c r="AJ69" i="6"/>
  <c r="AL109" i="6"/>
  <c r="AJ19" i="6"/>
  <c r="AJ102" i="6"/>
  <c r="AK53" i="6"/>
  <c r="AJ42" i="6"/>
  <c r="AK19" i="6"/>
  <c r="AJ47" i="6"/>
  <c r="AK66" i="6"/>
  <c r="AL26" i="6"/>
  <c r="AJ80" i="6"/>
  <c r="AJ99" i="6"/>
  <c r="AJ103" i="6"/>
  <c r="AJ73" i="6"/>
  <c r="AL53" i="6"/>
  <c r="AL13" i="6"/>
  <c r="AJ90" i="6"/>
  <c r="AK96" i="6"/>
  <c r="AJ92" i="6"/>
  <c r="AL94" i="6"/>
  <c r="AJ98" i="6"/>
  <c r="AJ116" i="6"/>
  <c r="AK58" i="6"/>
  <c r="AL58" i="6"/>
  <c r="AK30" i="6"/>
  <c r="AL24" i="6"/>
  <c r="AJ77" i="6"/>
  <c r="AJ24" i="6"/>
  <c r="AL106" i="6"/>
  <c r="AJ110" i="6"/>
  <c r="AL41" i="6"/>
  <c r="AJ97" i="6"/>
  <c r="AL52" i="6"/>
  <c r="AJ53" i="6"/>
  <c r="AL114" i="6"/>
  <c r="AJ31" i="6"/>
  <c r="AJ54" i="6"/>
  <c r="AL42" i="6"/>
  <c r="AL38" i="6"/>
  <c r="AL8" i="6"/>
  <c r="AJ44" i="6"/>
  <c r="AK115" i="6"/>
  <c r="AL115" i="6"/>
  <c r="AK70" i="6"/>
  <c r="AL17" i="6"/>
  <c r="AJ62" i="6"/>
  <c r="AJ83" i="6"/>
  <c r="AJ46" i="6"/>
  <c r="AL89" i="6"/>
  <c r="AJ117" i="6"/>
  <c r="AL55" i="6"/>
  <c r="AK75" i="6"/>
  <c r="AL15" i="6"/>
  <c r="AK63" i="6"/>
  <c r="AL27" i="6"/>
  <c r="AK28" i="6"/>
  <c r="AJ29" i="6"/>
  <c r="AL84" i="6"/>
  <c r="AK90" i="6"/>
  <c r="AK50" i="6"/>
  <c r="AL28" i="6"/>
  <c r="AL111" i="6"/>
  <c r="AL102" i="6"/>
  <c r="AJ32" i="6"/>
  <c r="AK37" i="6"/>
  <c r="AK36" i="6"/>
  <c r="AK48" i="6"/>
  <c r="AJ48" i="6"/>
  <c r="AK77" i="6"/>
  <c r="AL48" i="6"/>
  <c r="AK24" i="6"/>
  <c r="AJ106" i="6"/>
  <c r="AK14" i="6"/>
  <c r="AJ111" i="6"/>
  <c r="AL6" i="6"/>
  <c r="AK74" i="6"/>
  <c r="AK79" i="6"/>
  <c r="AK105" i="6"/>
  <c r="AJ41" i="6"/>
  <c r="AK87" i="6"/>
  <c r="AJ59" i="6"/>
  <c r="AL83" i="6"/>
  <c r="AK8" i="6"/>
  <c r="AJ82" i="6"/>
  <c r="AJ57" i="6"/>
  <c r="AK45" i="6"/>
  <c r="AL9" i="6"/>
  <c r="AJ67" i="6"/>
  <c r="AL43" i="6"/>
  <c r="AJ94" i="6"/>
  <c r="AK54" i="6"/>
  <c r="AK55" i="6"/>
  <c r="AK20" i="6"/>
  <c r="AJ104" i="6"/>
  <c r="AL7" i="6"/>
  <c r="AK41" i="6"/>
  <c r="AL92" i="6"/>
  <c r="AL29" i="6"/>
  <c r="AL57" i="6"/>
  <c r="AL99" i="6"/>
  <c r="AL64" i="6"/>
  <c r="AK60" i="6"/>
  <c r="AK43" i="6"/>
  <c r="AJ112" i="6"/>
  <c r="AJ23" i="6"/>
  <c r="AL86" i="6"/>
  <c r="AK65" i="6"/>
  <c r="AJ65" i="6"/>
  <c r="AK15" i="6"/>
  <c r="AM15" i="6" s="1"/>
  <c r="AL72" i="6"/>
  <c r="AL73" i="6"/>
  <c r="AK68" i="6"/>
  <c r="AJ95" i="6"/>
  <c r="AL35" i="6"/>
  <c r="AL30" i="6"/>
  <c r="AK106" i="6"/>
  <c r="AL71" i="6"/>
  <c r="AK18" i="6"/>
  <c r="AJ40" i="6"/>
  <c r="AK6" i="6"/>
  <c r="AL107" i="6"/>
  <c r="AK47" i="6"/>
  <c r="AJ84" i="6"/>
  <c r="AL50" i="6"/>
  <c r="AJ34" i="6"/>
  <c r="AK61" i="6"/>
  <c r="AL25" i="6"/>
  <c r="AL19" i="6"/>
  <c r="AL70" i="6"/>
  <c r="AL81" i="6"/>
  <c r="AK46" i="6"/>
  <c r="AK12" i="6"/>
  <c r="AJ13" i="6"/>
  <c r="AK107" i="6"/>
  <c r="AL90" i="6"/>
  <c r="AL91" i="6"/>
  <c r="AK52" i="6"/>
  <c r="AM52" i="6" s="1"/>
  <c r="AL116" i="6"/>
  <c r="AL44" i="6"/>
  <c r="AK114" i="6"/>
  <c r="AJ27" i="6"/>
  <c r="AK7" i="6"/>
  <c r="AK94" i="6"/>
  <c r="AJ52" i="6"/>
  <c r="AK101" i="6"/>
  <c r="AK92" i="6"/>
  <c r="AL56" i="6"/>
  <c r="AJ10" i="6"/>
  <c r="AJ96" i="6"/>
  <c r="AJ16" i="6"/>
  <c r="AL101" i="6"/>
  <c r="AJ12" i="6"/>
  <c r="AJ26" i="6"/>
  <c r="AK109" i="6"/>
  <c r="AK110" i="6"/>
  <c r="AL95" i="6"/>
  <c r="AL40" i="6"/>
  <c r="AJ18" i="6"/>
  <c r="AK95" i="6"/>
  <c r="AK40" i="6"/>
  <c r="AK71" i="6"/>
  <c r="AL51" i="6"/>
  <c r="AL37" i="6"/>
  <c r="AK25" i="6"/>
  <c r="AL79" i="6"/>
  <c r="AK72" i="6"/>
  <c r="AM72" i="6" s="1"/>
  <c r="AK78" i="6"/>
  <c r="AJ105" i="6"/>
  <c r="AL80" i="6"/>
  <c r="AL61" i="6"/>
  <c r="AL75" i="6"/>
  <c r="AJ15" i="6"/>
  <c r="AL82" i="6"/>
  <c r="AK44" i="6"/>
  <c r="AK98" i="6"/>
  <c r="AJ114" i="6"/>
  <c r="AJ33" i="6"/>
  <c r="AJ63" i="6"/>
  <c r="AK84" i="6"/>
  <c r="AJ37" i="6"/>
  <c r="AK81" i="6"/>
  <c r="AK23" i="6"/>
  <c r="AJ91" i="6"/>
  <c r="AL10" i="6"/>
  <c r="AL12" i="6"/>
  <c r="AK9" i="6"/>
  <c r="AJ81" i="6"/>
  <c r="AJ6" i="6"/>
  <c r="AL20" i="6"/>
  <c r="AK29" i="6"/>
  <c r="AK31" i="6"/>
  <c r="AJ89" i="6"/>
  <c r="AJ43" i="6"/>
  <c r="AK57" i="6"/>
  <c r="AK39" i="6"/>
  <c r="AJ70" i="6"/>
  <c r="AJ100" i="6"/>
  <c r="AK85" i="6"/>
  <c r="AM85" i="6" s="1"/>
  <c r="AJ71" i="6"/>
  <c r="AK35" i="6"/>
  <c r="AJ35" i="6"/>
  <c r="AK13" i="6"/>
  <c r="AL113" i="6"/>
  <c r="AK10" i="6"/>
  <c r="AJ39" i="6"/>
  <c r="AJ76" i="6"/>
  <c r="AL110" i="6"/>
  <c r="AJ38" i="6"/>
  <c r="AL74" i="6"/>
  <c r="AL62" i="6"/>
  <c r="AJ86" i="6"/>
  <c r="AL112" i="6"/>
  <c r="AJ88" i="6"/>
  <c r="AJ45" i="6"/>
  <c r="AK76" i="6"/>
  <c r="AK11" i="6"/>
  <c r="AL39" i="6"/>
  <c r="AJ107" i="6"/>
  <c r="AL14" i="6"/>
  <c r="AK116" i="6"/>
  <c r="AJ74" i="6"/>
  <c r="AL117" i="6"/>
  <c r="AL59" i="6"/>
  <c r="AK56" i="6"/>
  <c r="AJ20" i="6"/>
  <c r="AK49" i="6"/>
  <c r="AL45" i="6"/>
  <c r="AL23" i="6"/>
  <c r="AK83" i="6"/>
  <c r="AK21" i="6"/>
  <c r="AK62" i="6"/>
  <c r="AL67" i="6"/>
  <c r="AL32" i="6"/>
  <c r="AJ108" i="6"/>
  <c r="AK34" i="6"/>
  <c r="AL66" i="6"/>
  <c r="AL54" i="6"/>
  <c r="AK33" i="6"/>
  <c r="AJ85" i="6"/>
  <c r="AJ66" i="6"/>
  <c r="AL18" i="6"/>
  <c r="AL77" i="6"/>
  <c r="AL68" i="6"/>
  <c r="AK16" i="6"/>
  <c r="AK117" i="6"/>
  <c r="AK26" i="6"/>
  <c r="AL97" i="6"/>
  <c r="AK104" i="6"/>
  <c r="AK89" i="6"/>
  <c r="AM89" i="6" s="1"/>
  <c r="AK111" i="6"/>
  <c r="AJ115" i="6"/>
  <c r="AK102" i="6"/>
  <c r="AK67" i="6"/>
  <c r="AK27" i="6"/>
  <c r="AJ101" i="6"/>
  <c r="AK108" i="6"/>
  <c r="AJ21" i="6"/>
  <c r="AL76" i="6"/>
  <c r="AL36" i="6"/>
  <c r="AK51" i="6"/>
  <c r="AJ11" i="6"/>
  <c r="AL88" i="6"/>
  <c r="AJ78" i="6"/>
  <c r="AL96" i="6"/>
  <c r="AK88" i="6"/>
  <c r="AL34" i="6"/>
  <c r="AJ14" i="6"/>
  <c r="AK82" i="6"/>
  <c r="AL60" i="6"/>
  <c r="AK80" i="6"/>
  <c r="AJ36" i="6"/>
  <c r="AL98" i="6"/>
  <c r="AL104" i="6"/>
  <c r="AK69" i="6"/>
  <c r="AK32" i="6"/>
  <c r="AJ49" i="6"/>
  <c r="AK103" i="6"/>
  <c r="AK91" i="6"/>
  <c r="AL69" i="6"/>
  <c r="AJ58" i="6"/>
  <c r="AK93" i="6"/>
  <c r="AM93" i="6" s="1"/>
  <c r="AL16" i="6"/>
  <c r="AK99" i="6"/>
  <c r="AL108" i="6"/>
  <c r="AJ68" i="6"/>
  <c r="AJ60" i="6"/>
  <c r="AK86" i="6"/>
  <c r="AK59" i="6"/>
  <c r="AJ64" i="6"/>
  <c r="AL11" i="6"/>
  <c r="AL103" i="6"/>
  <c r="AL63" i="6"/>
  <c r="AK42" i="6"/>
  <c r="AJ75" i="6"/>
  <c r="AK38" i="6"/>
  <c r="AM38" i="6" s="1"/>
  <c r="AK113" i="6"/>
  <c r="AK73" i="6"/>
  <c r="AL87" i="6"/>
  <c r="AK112" i="6"/>
  <c r="AJ113" i="6"/>
  <c r="AK22" i="6"/>
  <c r="AJ72" i="6"/>
  <c r="AL46" i="6"/>
  <c r="AJ55" i="6"/>
  <c r="AJ87" i="6"/>
  <c r="AJ7" i="6"/>
  <c r="AK97" i="6"/>
  <c r="AL33" i="6"/>
  <c r="AL47" i="6"/>
  <c r="AK17" i="6"/>
  <c r="AJ61" i="6"/>
  <c r="AL105" i="6"/>
  <c r="AK64" i="6"/>
  <c r="AL65" i="6"/>
  <c r="AL21" i="6"/>
  <c r="AJ25" i="6"/>
  <c r="AJ51" i="6"/>
  <c r="BN20" i="6"/>
  <c r="BN114" i="6"/>
  <c r="BN8" i="6"/>
  <c r="BN80" i="6"/>
  <c r="BN44" i="6"/>
  <c r="BN83" i="6"/>
  <c r="BN15" i="6"/>
  <c r="BN107" i="6"/>
  <c r="BN88" i="6"/>
  <c r="BN49" i="6"/>
  <c r="BN84" i="6"/>
  <c r="BN32" i="6"/>
  <c r="EP68" i="6"/>
  <c r="EP101" i="6"/>
  <c r="EP60" i="6"/>
  <c r="EP89" i="6"/>
  <c r="EP33" i="6"/>
  <c r="EP50" i="6"/>
  <c r="EP110" i="6"/>
  <c r="EP93" i="6"/>
  <c r="EP92" i="6"/>
  <c r="EP36" i="6"/>
  <c r="EP41" i="6"/>
  <c r="EP105" i="6"/>
  <c r="RL114" i="6"/>
  <c r="RM101" i="6"/>
  <c r="RI89" i="6"/>
  <c r="RJ76" i="6"/>
  <c r="RK63" i="6"/>
  <c r="RL50" i="6"/>
  <c r="RM37" i="6"/>
  <c r="RI25" i="6"/>
  <c r="RJ12" i="6"/>
  <c r="RJ111" i="6"/>
  <c r="RK98" i="6"/>
  <c r="RL85" i="6"/>
  <c r="RM72" i="6"/>
  <c r="RI60" i="6"/>
  <c r="RJ47" i="6"/>
  <c r="RK34" i="6"/>
  <c r="RL21" i="6"/>
  <c r="RI111" i="6"/>
  <c r="RJ98" i="6"/>
  <c r="RK85" i="6"/>
  <c r="RL72" i="6"/>
  <c r="RM59" i="6"/>
  <c r="RI47" i="6"/>
  <c r="RJ34" i="6"/>
  <c r="RK21" i="6"/>
  <c r="RL8" i="6"/>
  <c r="RJ109" i="6"/>
  <c r="RK96" i="6"/>
  <c r="RL83" i="6"/>
  <c r="RM70" i="6"/>
  <c r="RI58" i="6"/>
  <c r="RJ45" i="6"/>
  <c r="RK32" i="6"/>
  <c r="RL19" i="6"/>
  <c r="RK107" i="6"/>
  <c r="RL94" i="6"/>
  <c r="RM81" i="6"/>
  <c r="RI69" i="6"/>
  <c r="RJ56" i="6"/>
  <c r="RK43" i="6"/>
  <c r="RL92" i="6"/>
  <c r="RM58" i="6"/>
  <c r="RK28" i="6"/>
  <c r="RJ7" i="6"/>
  <c r="RH58" i="6"/>
  <c r="RM114" i="6"/>
  <c r="RL100" i="6"/>
  <c r="RM66" i="6"/>
  <c r="RM33" i="6"/>
  <c r="RJ11" i="6"/>
  <c r="RH73" i="6"/>
  <c r="RM50" i="6"/>
  <c r="RK100" i="6"/>
  <c r="RL65" i="6"/>
  <c r="RL33" i="6"/>
  <c r="RI11" i="6"/>
  <c r="RH72" i="6"/>
  <c r="RH8" i="6"/>
  <c r="RM103" i="6"/>
  <c r="RI70" i="6"/>
  <c r="RL36" i="6"/>
  <c r="RM12" i="6"/>
  <c r="RH79" i="6"/>
  <c r="RH15" i="6"/>
  <c r="RH68" i="6"/>
  <c r="RI14" i="6"/>
  <c r="RL103" i="6"/>
  <c r="RM68" i="6"/>
  <c r="RK36" i="6"/>
  <c r="RL12" i="6"/>
  <c r="RH78" i="6"/>
  <c r="RH14" i="6"/>
  <c r="RK46" i="6"/>
  <c r="RH52" i="6"/>
  <c r="RM31" i="6"/>
  <c r="RK102" i="6"/>
  <c r="RL68" i="6"/>
  <c r="RK35" i="6"/>
  <c r="RK12" i="6"/>
  <c r="RH77" i="6"/>
  <c r="RH13" i="6"/>
  <c r="RI51" i="6"/>
  <c r="RH60" i="6"/>
  <c r="RJ38" i="6"/>
  <c r="RI113" i="6"/>
  <c r="RJ100" i="6"/>
  <c r="RK87" i="6"/>
  <c r="RL74" i="6"/>
  <c r="RM61" i="6"/>
  <c r="RI49" i="6"/>
  <c r="RJ36" i="6"/>
  <c r="RK23" i="6"/>
  <c r="RL10" i="6"/>
  <c r="RL109" i="6"/>
  <c r="RM96" i="6"/>
  <c r="RI84" i="6"/>
  <c r="RJ71" i="6"/>
  <c r="RK58" i="6"/>
  <c r="RL45" i="6"/>
  <c r="RM32" i="6"/>
  <c r="RI20" i="6"/>
  <c r="RK109" i="6"/>
  <c r="RL96" i="6"/>
  <c r="RM83" i="6"/>
  <c r="RK111" i="6"/>
  <c r="RL98" i="6"/>
  <c r="RM85" i="6"/>
  <c r="RI73" i="6"/>
  <c r="RJ60" i="6"/>
  <c r="RK47" i="6"/>
  <c r="RL34" i="6"/>
  <c r="RM21" i="6"/>
  <c r="RI9" i="6"/>
  <c r="RI108" i="6"/>
  <c r="RJ95" i="6"/>
  <c r="RK82" i="6"/>
  <c r="RL69" i="6"/>
  <c r="RM56" i="6"/>
  <c r="RI44" i="6"/>
  <c r="RJ31" i="6"/>
  <c r="RK18" i="6"/>
  <c r="RM107" i="6"/>
  <c r="RI95" i="6"/>
  <c r="RJ82" i="6"/>
  <c r="RK69" i="6"/>
  <c r="RL56" i="6"/>
  <c r="RM43" i="6"/>
  <c r="RI31" i="6"/>
  <c r="RJ18" i="6"/>
  <c r="RH116" i="6"/>
  <c r="RI106" i="6"/>
  <c r="RJ93" i="6"/>
  <c r="RK80" i="6"/>
  <c r="RL67" i="6"/>
  <c r="RM54" i="6"/>
  <c r="RI42" i="6"/>
  <c r="RJ29" i="6"/>
  <c r="RI117" i="6"/>
  <c r="RJ104" i="6"/>
  <c r="RK91" i="6"/>
  <c r="RL78" i="6"/>
  <c r="RM65" i="6"/>
  <c r="RI53" i="6"/>
  <c r="RJ40" i="6"/>
  <c r="RK84" i="6"/>
  <c r="RL49" i="6"/>
  <c r="RI22" i="6"/>
  <c r="RH106" i="6"/>
  <c r="RH42" i="6"/>
  <c r="RL11" i="6"/>
  <c r="RK92" i="6"/>
  <c r="RL57" i="6"/>
  <c r="RK27" i="6"/>
  <c r="RM6" i="6"/>
  <c r="RH57" i="6"/>
  <c r="RH107" i="6"/>
  <c r="RJ91" i="6"/>
  <c r="RK57" i="6"/>
  <c r="RJ27" i="6"/>
  <c r="RL6" i="6"/>
  <c r="RH56" i="6"/>
  <c r="RI16" i="6"/>
  <c r="RL95" i="6"/>
  <c r="RM60" i="6"/>
  <c r="RJ30" i="6"/>
  <c r="RK8" i="6"/>
  <c r="RH63" i="6"/>
  <c r="RM63" i="6"/>
  <c r="RH20" i="6"/>
  <c r="RH75" i="6"/>
  <c r="RK94" i="6"/>
  <c r="RL60" i="6"/>
  <c r="RI30" i="6"/>
  <c r="RJ8" i="6"/>
  <c r="RH62" i="6"/>
  <c r="RM106" i="6"/>
  <c r="RM28" i="6"/>
  <c r="RJ110" i="6"/>
  <c r="RL7" i="6"/>
  <c r="RJ94" i="6"/>
  <c r="RK60" i="6"/>
  <c r="RI29" i="6"/>
  <c r="RI8" i="6"/>
  <c r="RH61" i="6"/>
  <c r="RJ102" i="6"/>
  <c r="RI32" i="6"/>
  <c r="RH12" i="6"/>
  <c r="RL9" i="6"/>
  <c r="RM109" i="6"/>
  <c r="RI97" i="6"/>
  <c r="RJ84" i="6"/>
  <c r="RK71" i="6"/>
  <c r="RL58" i="6"/>
  <c r="RM45" i="6"/>
  <c r="RI33" i="6"/>
  <c r="RJ20" i="6"/>
  <c r="RK7" i="6"/>
  <c r="RK106" i="6"/>
  <c r="RL93" i="6"/>
  <c r="RM80" i="6"/>
  <c r="RI68" i="6"/>
  <c r="RJ55" i="6"/>
  <c r="RK42" i="6"/>
  <c r="RL29" i="6"/>
  <c r="RM16" i="6"/>
  <c r="RJ106" i="6"/>
  <c r="RK93" i="6"/>
  <c r="RL80" i="6"/>
  <c r="RM67" i="6"/>
  <c r="RI55" i="6"/>
  <c r="RJ42" i="6"/>
  <c r="RK29" i="6"/>
  <c r="RL16" i="6"/>
  <c r="RJ117" i="6"/>
  <c r="RK104" i="6"/>
  <c r="RL91" i="6"/>
  <c r="RM78" i="6"/>
  <c r="RI66" i="6"/>
  <c r="RJ53" i="6"/>
  <c r="RK40" i="6"/>
  <c r="RL27" i="6"/>
  <c r="RK115" i="6"/>
  <c r="RL102" i="6"/>
  <c r="RM89" i="6"/>
  <c r="RI77" i="6"/>
  <c r="RJ64" i="6"/>
  <c r="RK51" i="6"/>
  <c r="RL113" i="6"/>
  <c r="RM79" i="6"/>
  <c r="RI46" i="6"/>
  <c r="RM18" i="6"/>
  <c r="RH98" i="6"/>
  <c r="RH34" i="6"/>
  <c r="RH91" i="6"/>
  <c r="RM87" i="6"/>
  <c r="RI54" i="6"/>
  <c r="RJ24" i="6"/>
  <c r="RH113" i="6"/>
  <c r="RH49" i="6"/>
  <c r="RH43" i="6"/>
  <c r="RL87" i="6"/>
  <c r="RM52" i="6"/>
  <c r="RI24" i="6"/>
  <c r="RH112" i="6"/>
  <c r="RH48" i="6"/>
  <c r="RH99" i="6"/>
  <c r="RI91" i="6"/>
  <c r="RJ57" i="6"/>
  <c r="RI27" i="6"/>
  <c r="RK6" i="6"/>
  <c r="RH55" i="6"/>
  <c r="RJ35" i="6"/>
  <c r="RM92" i="6"/>
  <c r="RH51" i="6"/>
  <c r="RM90" i="6"/>
  <c r="RI56" i="6"/>
  <c r="RM26" i="6"/>
  <c r="RJ6" i="6"/>
  <c r="RH54" i="6"/>
  <c r="RL97" i="6"/>
  <c r="RJ19" i="6"/>
  <c r="RI102" i="6"/>
  <c r="RH67" i="6"/>
  <c r="RL89" i="6"/>
  <c r="RM55" i="6"/>
  <c r="RM25" i="6"/>
  <c r="RI6" i="6"/>
  <c r="RH53" i="6"/>
  <c r="RI94" i="6"/>
  <c r="RK22" i="6"/>
  <c r="RL105" i="6"/>
  <c r="RH83" i="6"/>
  <c r="RJ108" i="6"/>
  <c r="RK95" i="6"/>
  <c r="RL82" i="6"/>
  <c r="RM69" i="6"/>
  <c r="RI57" i="6"/>
  <c r="RJ44" i="6"/>
  <c r="RK31" i="6"/>
  <c r="RL18" i="6"/>
  <c r="RL117" i="6"/>
  <c r="RM104" i="6"/>
  <c r="RI92" i="6"/>
  <c r="RJ79" i="6"/>
  <c r="RK66" i="6"/>
  <c r="RL53" i="6"/>
  <c r="RM40" i="6"/>
  <c r="RI28" i="6"/>
  <c r="RK117" i="6"/>
  <c r="RL104" i="6"/>
  <c r="RM91" i="6"/>
  <c r="RI79" i="6"/>
  <c r="RJ66" i="6"/>
  <c r="RK53" i="6"/>
  <c r="RL40" i="6"/>
  <c r="RM27" i="6"/>
  <c r="RI15" i="6"/>
  <c r="RL115" i="6"/>
  <c r="RM102" i="6"/>
  <c r="RI90" i="6"/>
  <c r="RJ77" i="6"/>
  <c r="RK64" i="6"/>
  <c r="RL51" i="6"/>
  <c r="RM38" i="6"/>
  <c r="RI26" i="6"/>
  <c r="RM113" i="6"/>
  <c r="RI101" i="6"/>
  <c r="RJ88" i="6"/>
  <c r="RK75" i="6"/>
  <c r="RL62" i="6"/>
  <c r="RM49" i="6"/>
  <c r="RI110" i="6"/>
  <c r="RJ75" i="6"/>
  <c r="RK41" i="6"/>
  <c r="RM15" i="6"/>
  <c r="RH90" i="6"/>
  <c r="RH26" i="6"/>
  <c r="RH59" i="6"/>
  <c r="RJ83" i="6"/>
  <c r="RK49" i="6"/>
  <c r="RI21" i="6"/>
  <c r="RH105" i="6"/>
  <c r="RH41" i="6"/>
  <c r="RM116" i="6"/>
  <c r="RI83" i="6"/>
  <c r="RJ49" i="6"/>
  <c r="RM20" i="6"/>
  <c r="RH104" i="6"/>
  <c r="RH40" i="6"/>
  <c r="RH35" i="6"/>
  <c r="RK86" i="6"/>
  <c r="RL52" i="6"/>
  <c r="RM23" i="6"/>
  <c r="RH111" i="6"/>
  <c r="RH47" i="6"/>
  <c r="RL25" i="6"/>
  <c r="RI80" i="6"/>
  <c r="RH11" i="6"/>
  <c r="RJ86" i="6"/>
  <c r="RK52" i="6"/>
  <c r="RL23" i="6"/>
  <c r="RH110" i="6"/>
  <c r="RH46" i="6"/>
  <c r="RK89" i="6"/>
  <c r="RI12" i="6"/>
  <c r="RJ89" i="6"/>
  <c r="RH19" i="6"/>
  <c r="RI86" i="6"/>
  <c r="RJ51" i="6"/>
  <c r="RL22" i="6"/>
  <c r="RH109" i="6"/>
  <c r="RH45" i="6"/>
  <c r="RM84" i="6"/>
  <c r="RJ14" i="6"/>
  <c r="RK97" i="6"/>
  <c r="RH27" i="6"/>
  <c r="RH6" i="6"/>
  <c r="RL106" i="6"/>
  <c r="RM93" i="6"/>
  <c r="RI81" i="6"/>
  <c r="RJ68" i="6"/>
  <c r="RK55" i="6"/>
  <c r="RL42" i="6"/>
  <c r="RM29" i="6"/>
  <c r="RI17" i="6"/>
  <c r="RI116" i="6"/>
  <c r="RJ103" i="6"/>
  <c r="RK90" i="6"/>
  <c r="RL77" i="6"/>
  <c r="RM64" i="6"/>
  <c r="RI52" i="6"/>
  <c r="RJ39" i="6"/>
  <c r="RK26" i="6"/>
  <c r="RM115" i="6"/>
  <c r="RI103" i="6"/>
  <c r="RJ90" i="6"/>
  <c r="RK77" i="6"/>
  <c r="RL64" i="6"/>
  <c r="RM51" i="6"/>
  <c r="RI39" i="6"/>
  <c r="RJ26" i="6"/>
  <c r="RK13" i="6"/>
  <c r="RI114" i="6"/>
  <c r="RJ101" i="6"/>
  <c r="RK88" i="6"/>
  <c r="RL75" i="6"/>
  <c r="RM62" i="6"/>
  <c r="RI50" i="6"/>
  <c r="RJ37" i="6"/>
  <c r="RK24" i="6"/>
  <c r="RJ112" i="6"/>
  <c r="RK99" i="6"/>
  <c r="RL86" i="6"/>
  <c r="RM73" i="6"/>
  <c r="RI61" i="6"/>
  <c r="RM117" i="6"/>
  <c r="RI105" i="6"/>
  <c r="RJ92" i="6"/>
  <c r="RK79" i="6"/>
  <c r="RL66" i="6"/>
  <c r="RM53" i="6"/>
  <c r="RI41" i="6"/>
  <c r="RJ28" i="6"/>
  <c r="RK15" i="6"/>
  <c r="RK114" i="6"/>
  <c r="RL101" i="6"/>
  <c r="RM88" i="6"/>
  <c r="RI76" i="6"/>
  <c r="RJ63" i="6"/>
  <c r="RK50" i="6"/>
  <c r="RL37" i="6"/>
  <c r="RM24" i="6"/>
  <c r="RJ114" i="6"/>
  <c r="RK101" i="6"/>
  <c r="RL88" i="6"/>
  <c r="RM75" i="6"/>
  <c r="RI63" i="6"/>
  <c r="RJ50" i="6"/>
  <c r="RK37" i="6"/>
  <c r="RL24" i="6"/>
  <c r="RM11" i="6"/>
  <c r="RK112" i="6"/>
  <c r="RL99" i="6"/>
  <c r="RM86" i="6"/>
  <c r="RI74" i="6"/>
  <c r="RJ61" i="6"/>
  <c r="RK48" i="6"/>
  <c r="RL35" i="6"/>
  <c r="RM22" i="6"/>
  <c r="RL110" i="6"/>
  <c r="RM97" i="6"/>
  <c r="RI85" i="6"/>
  <c r="RJ72" i="6"/>
  <c r="RK59" i="6"/>
  <c r="RL46" i="6"/>
  <c r="RM100" i="6"/>
  <c r="RI67" i="6"/>
  <c r="RM34" i="6"/>
  <c r="RK11" i="6"/>
  <c r="RH74" i="6"/>
  <c r="RH10" i="6"/>
  <c r="RM108" i="6"/>
  <c r="RI75" i="6"/>
  <c r="RJ41" i="6"/>
  <c r="RL15" i="6"/>
  <c r="RH89" i="6"/>
  <c r="RH17" i="6"/>
  <c r="RL108" i="6"/>
  <c r="RM74" i="6"/>
  <c r="RI40" i="6"/>
  <c r="RJ15" i="6"/>
  <c r="RH88" i="6"/>
  <c r="RH24" i="6"/>
  <c r="RI112" i="6"/>
  <c r="RJ78" i="6"/>
  <c r="RK44" i="6"/>
  <c r="RK17" i="6"/>
  <c r="RH95" i="6"/>
  <c r="RH31" i="6"/>
  <c r="RM9" i="6"/>
  <c r="RL41" i="6"/>
  <c r="RM111" i="6"/>
  <c r="RI78" i="6"/>
  <c r="RJ43" i="6"/>
  <c r="RJ17" i="6"/>
  <c r="RH94" i="6"/>
  <c r="RH30" i="6"/>
  <c r="RI72" i="6"/>
  <c r="RH92" i="6"/>
  <c r="RJ67" i="6"/>
  <c r="RL111" i="6"/>
  <c r="RM76" i="6"/>
  <c r="RI43" i="6"/>
  <c r="RK16" i="6"/>
  <c r="RH93" i="6"/>
  <c r="RH29" i="6"/>
  <c r="RK68" i="6"/>
  <c r="RH100" i="6"/>
  <c r="RM71" i="6"/>
  <c r="RJ116" i="6"/>
  <c r="RK103" i="6"/>
  <c r="RL90" i="6"/>
  <c r="RM77" i="6"/>
  <c r="RI65" i="6"/>
  <c r="RJ52" i="6"/>
  <c r="RK39" i="6"/>
  <c r="RL26" i="6"/>
  <c r="RM13" i="6"/>
  <c r="RM112" i="6"/>
  <c r="RI100" i="6"/>
  <c r="RJ87" i="6"/>
  <c r="RK74" i="6"/>
  <c r="RL61" i="6"/>
  <c r="RM48" i="6"/>
  <c r="RI36" i="6"/>
  <c r="RJ23" i="6"/>
  <c r="RL112" i="6"/>
  <c r="RM99" i="6"/>
  <c r="RI87" i="6"/>
  <c r="RJ74" i="6"/>
  <c r="RK61" i="6"/>
  <c r="RL48" i="6"/>
  <c r="RM35" i="6"/>
  <c r="RI23" i="6"/>
  <c r="RJ10" i="6"/>
  <c r="RM110" i="6"/>
  <c r="RI98" i="6"/>
  <c r="RJ85" i="6"/>
  <c r="RK72" i="6"/>
  <c r="RL59" i="6"/>
  <c r="RM46" i="6"/>
  <c r="RI34" i="6"/>
  <c r="RJ21" i="6"/>
  <c r="RI109" i="6"/>
  <c r="RJ96" i="6"/>
  <c r="RK83" i="6"/>
  <c r="RL70" i="6"/>
  <c r="RM57" i="6"/>
  <c r="RI45" i="6"/>
  <c r="RJ97" i="6"/>
  <c r="RK62" i="6"/>
  <c r="RL31" i="6"/>
  <c r="RK9" i="6"/>
  <c r="RH66" i="6"/>
  <c r="RH33" i="6"/>
  <c r="RJ105" i="6"/>
  <c r="RK70" i="6"/>
  <c r="RI37" i="6"/>
  <c r="RJ13" i="6"/>
  <c r="RH81" i="6"/>
  <c r="RH9" i="6"/>
  <c r="RI104" i="6"/>
  <c r="RJ70" i="6"/>
  <c r="RM36" i="6"/>
  <c r="RI13" i="6"/>
  <c r="RH80" i="6"/>
  <c r="RH16" i="6"/>
  <c r="RK108" i="6"/>
  <c r="RL73" i="6"/>
  <c r="RM39" i="6"/>
  <c r="RM14" i="6"/>
  <c r="RH87" i="6"/>
  <c r="RH23" i="6"/>
  <c r="RH108" i="6"/>
  <c r="RL28" i="6"/>
  <c r="RJ107" i="6"/>
  <c r="RK73" i="6"/>
  <c r="RL39" i="6"/>
  <c r="RL14" i="6"/>
  <c r="RH86" i="6"/>
  <c r="RH22" i="6"/>
  <c r="RJ59" i="6"/>
  <c r="RH76" i="6"/>
  <c r="RJ46" i="6"/>
  <c r="RI107" i="6"/>
  <c r="RJ73" i="6"/>
  <c r="RL38" i="6"/>
  <c r="RK14" i="6"/>
  <c r="RH85" i="6"/>
  <c r="RH21" i="6"/>
  <c r="RL55" i="6"/>
  <c r="RH84" i="6"/>
  <c r="RI59" i="6"/>
  <c r="RI7" i="6"/>
  <c r="RI18" i="6"/>
  <c r="RK105" i="6"/>
  <c r="RH82" i="6"/>
  <c r="RM44" i="6"/>
  <c r="RJ113" i="6"/>
  <c r="RH96" i="6"/>
  <c r="RI48" i="6"/>
  <c r="RJ16" i="6"/>
  <c r="RM47" i="6"/>
  <c r="RJ81" i="6"/>
  <c r="RK81" i="6"/>
  <c r="RH37" i="6"/>
  <c r="RM19" i="6"/>
  <c r="RH7" i="6"/>
  <c r="RL107" i="6"/>
  <c r="RM105" i="6"/>
  <c r="RI88" i="6"/>
  <c r="RH50" i="6"/>
  <c r="RL30" i="6"/>
  <c r="RM95" i="6"/>
  <c r="RH64" i="6"/>
  <c r="RK33" i="6"/>
  <c r="RH44" i="6"/>
  <c r="RJ33" i="6"/>
  <c r="RK38" i="6"/>
  <c r="RI64" i="6"/>
  <c r="RK110" i="6"/>
  <c r="RH114" i="6"/>
  <c r="RH69" i="6"/>
  <c r="RM94" i="6"/>
  <c r="RI93" i="6"/>
  <c r="RL71" i="6"/>
  <c r="RH18" i="6"/>
  <c r="RM17" i="6"/>
  <c r="RK78" i="6"/>
  <c r="RH32" i="6"/>
  <c r="RL20" i="6"/>
  <c r="RL63" i="6"/>
  <c r="RK20" i="6"/>
  <c r="RH117" i="6"/>
  <c r="RL47" i="6"/>
  <c r="RL76" i="6"/>
  <c r="RJ62" i="6"/>
  <c r="RJ65" i="6"/>
  <c r="RI71" i="6"/>
  <c r="RI82" i="6"/>
  <c r="RJ80" i="6"/>
  <c r="RJ54" i="6"/>
  <c r="RI35" i="6"/>
  <c r="RJ9" i="6"/>
  <c r="RI62" i="6"/>
  <c r="RK54" i="6"/>
  <c r="RM10" i="6"/>
  <c r="RH115" i="6"/>
  <c r="RK10" i="6"/>
  <c r="RH28" i="6"/>
  <c r="RJ32" i="6"/>
  <c r="RM42" i="6"/>
  <c r="RJ22" i="6"/>
  <c r="RK25" i="6"/>
  <c r="RJ58" i="6"/>
  <c r="RJ69" i="6"/>
  <c r="RK67" i="6"/>
  <c r="RI38" i="6"/>
  <c r="RK113" i="6"/>
  <c r="RH97" i="6"/>
  <c r="RL44" i="6"/>
  <c r="RL116" i="6"/>
  <c r="RH103" i="6"/>
  <c r="RK116" i="6"/>
  <c r="RH102" i="6"/>
  <c r="RK76" i="6"/>
  <c r="RK19" i="6"/>
  <c r="RM7" i="6"/>
  <c r="RM41" i="6"/>
  <c r="RK65" i="6"/>
  <c r="RM98" i="6"/>
  <c r="RK45" i="6"/>
  <c r="RK56" i="6"/>
  <c r="RL54" i="6"/>
  <c r="RJ25" i="6"/>
  <c r="RI96" i="6"/>
  <c r="RH65" i="6"/>
  <c r="RK30" i="6"/>
  <c r="RJ99" i="6"/>
  <c r="RH71" i="6"/>
  <c r="RI99" i="6"/>
  <c r="RH70" i="6"/>
  <c r="RI19" i="6"/>
  <c r="RI10" i="6"/>
  <c r="RH36" i="6"/>
  <c r="RL32" i="6"/>
  <c r="RL43" i="6"/>
  <c r="RJ48" i="6"/>
  <c r="RL13" i="6"/>
  <c r="RL79" i="6"/>
  <c r="RH25" i="6"/>
  <c r="RL17" i="6"/>
  <c r="RM82" i="6"/>
  <c r="RH39" i="6"/>
  <c r="RL81" i="6"/>
  <c r="RH38" i="6"/>
  <c r="RJ115" i="6"/>
  <c r="RH101" i="6"/>
  <c r="RL84" i="6"/>
  <c r="RM30" i="6"/>
  <c r="RM8" i="6"/>
  <c r="RI115" i="6"/>
  <c r="ACS27" i="6"/>
  <c r="ACS93" i="6"/>
  <c r="ACS78" i="6"/>
  <c r="ACS95" i="6"/>
  <c r="ACS29" i="6"/>
  <c r="ACS112" i="6"/>
  <c r="ACS52" i="6"/>
  <c r="ACS106" i="6"/>
  <c r="ACS111" i="6"/>
  <c r="OB91" i="6"/>
  <c r="OB63" i="6"/>
  <c r="OB10" i="6"/>
  <c r="OB103" i="6"/>
  <c r="OB43" i="6"/>
  <c r="OB15" i="6"/>
  <c r="OB108" i="6"/>
  <c r="OB20" i="6"/>
  <c r="OB113" i="6"/>
  <c r="OB40" i="6"/>
  <c r="OB60" i="6"/>
  <c r="OB99" i="6"/>
  <c r="OB71" i="6"/>
  <c r="YJ30" i="6"/>
  <c r="YJ97" i="6"/>
  <c r="YJ16" i="6"/>
  <c r="YJ7" i="6"/>
  <c r="YJ72" i="6"/>
  <c r="YJ104" i="6"/>
  <c r="FX68" i="6"/>
  <c r="FX103" i="6"/>
  <c r="FX75" i="6"/>
  <c r="FX50" i="6"/>
  <c r="FX86" i="6"/>
  <c r="FX84" i="6"/>
  <c r="FX25" i="6"/>
  <c r="FX7" i="6"/>
  <c r="FX100" i="6"/>
  <c r="FX41" i="6"/>
  <c r="FX87" i="6"/>
  <c r="FX28" i="6"/>
  <c r="HW62" i="6"/>
  <c r="HW110" i="6"/>
  <c r="HW76" i="6"/>
  <c r="HW50" i="6"/>
  <c r="WR86" i="6"/>
  <c r="WR60" i="6"/>
  <c r="WR65" i="6"/>
  <c r="WR11" i="6"/>
  <c r="WR36" i="6"/>
  <c r="WR70" i="6"/>
  <c r="WR10" i="6"/>
  <c r="WR81" i="6"/>
  <c r="WR87" i="6"/>
  <c r="WR21" i="6"/>
  <c r="FG12" i="6"/>
  <c r="FG87" i="6"/>
  <c r="FG49" i="6"/>
  <c r="FG15" i="6"/>
  <c r="FG82" i="6"/>
  <c r="FG75" i="6"/>
  <c r="FG106" i="6"/>
  <c r="FG108" i="6"/>
  <c r="FG69" i="6"/>
  <c r="CG72" i="6"/>
  <c r="CG31" i="6"/>
  <c r="CG102" i="6"/>
  <c r="CG11" i="6"/>
  <c r="CG82" i="6"/>
  <c r="CG62" i="6"/>
  <c r="CG79" i="6"/>
  <c r="CG42" i="6"/>
  <c r="CG12" i="6"/>
  <c r="CG20" i="6"/>
  <c r="CG47" i="6"/>
  <c r="CG93" i="6"/>
  <c r="CG34" i="6"/>
  <c r="CG73" i="6"/>
  <c r="GO34" i="6"/>
  <c r="HF96" i="6"/>
  <c r="HF114" i="6"/>
  <c r="HF86" i="6"/>
  <c r="HF57" i="6"/>
  <c r="HF88" i="6"/>
  <c r="HF49" i="6"/>
  <c r="HF37" i="6"/>
  <c r="HF102" i="6"/>
  <c r="HF43" i="6"/>
  <c r="HF71" i="6"/>
  <c r="HF53" i="6"/>
  <c r="HF107" i="6"/>
  <c r="HF87" i="6"/>
  <c r="ACG63" i="6"/>
  <c r="ACG73" i="6"/>
  <c r="ACG54" i="6"/>
  <c r="ACG24" i="6"/>
  <c r="ACG50" i="6"/>
  <c r="ACG36" i="6"/>
  <c r="ACG110" i="6"/>
  <c r="VX104" i="6"/>
  <c r="VX10" i="6"/>
  <c r="VX33" i="6"/>
  <c r="VX44" i="6"/>
  <c r="VX67" i="6"/>
  <c r="VX78" i="6"/>
  <c r="VX101" i="6"/>
  <c r="VX112" i="6"/>
  <c r="VX7" i="6"/>
  <c r="VX18" i="6"/>
  <c r="DY58" i="6"/>
  <c r="DY48" i="6"/>
  <c r="DY61" i="6"/>
  <c r="DY51" i="6"/>
  <c r="DY44" i="6"/>
  <c r="DY35" i="6"/>
  <c r="DY14" i="6"/>
  <c r="DY10" i="6"/>
  <c r="DY65" i="6"/>
  <c r="DY52" i="6"/>
  <c r="DY21" i="6"/>
  <c r="DY12" i="6"/>
  <c r="XN69" i="6"/>
  <c r="XY106" i="6"/>
  <c r="XY57" i="6"/>
  <c r="XY83" i="6"/>
  <c r="XY23" i="6"/>
  <c r="XC13" i="6"/>
  <c r="XC112" i="6"/>
  <c r="YU11" i="6"/>
  <c r="YU29" i="6"/>
  <c r="BN64" i="6"/>
  <c r="BN94" i="6"/>
  <c r="BN26" i="6"/>
  <c r="BN102" i="6"/>
  <c r="BN82" i="6"/>
  <c r="BN70" i="6"/>
  <c r="BN13" i="6"/>
  <c r="BN14" i="6"/>
  <c r="BN112" i="6"/>
  <c r="BN113" i="6"/>
  <c r="BN100" i="6"/>
  <c r="EP103" i="6"/>
  <c r="EP90" i="6"/>
  <c r="EP21" i="6"/>
  <c r="EP62" i="6"/>
  <c r="EP45" i="6"/>
  <c r="EP9" i="6"/>
  <c r="EP28" i="6"/>
  <c r="EP6" i="6"/>
  <c r="EP114" i="6"/>
  <c r="EP98" i="6"/>
  <c r="EP65" i="6"/>
  <c r="EP48" i="6"/>
  <c r="CY119" i="6"/>
  <c r="ACS84" i="6"/>
  <c r="OB104" i="6"/>
  <c r="OB110" i="6"/>
  <c r="OB97" i="6"/>
  <c r="OB94" i="6"/>
  <c r="OB61" i="6"/>
  <c r="OB6" i="6"/>
  <c r="OB101" i="6"/>
  <c r="OB65" i="6"/>
  <c r="YJ52" i="6"/>
  <c r="YJ53" i="6"/>
  <c r="YJ50" i="6"/>
  <c r="YJ69" i="6"/>
  <c r="YJ19" i="6"/>
  <c r="YJ11" i="6"/>
  <c r="YJ87" i="6"/>
  <c r="FX44" i="6"/>
  <c r="FX99" i="6"/>
  <c r="FX48" i="6"/>
  <c r="FX66" i="6"/>
  <c r="FX115" i="6"/>
  <c r="FX38" i="6"/>
  <c r="FX64" i="6"/>
  <c r="FX82" i="6"/>
  <c r="FX40" i="6"/>
  <c r="FX81" i="6"/>
  <c r="FX21" i="6"/>
  <c r="FX69" i="6"/>
  <c r="HW39" i="6"/>
  <c r="HW68" i="6"/>
  <c r="HW29" i="6"/>
  <c r="HW105" i="6"/>
  <c r="HW54" i="6"/>
  <c r="HW66" i="6"/>
  <c r="O53" i="6"/>
  <c r="O48" i="6"/>
  <c r="WR26" i="6"/>
  <c r="WR97" i="6"/>
  <c r="WR37" i="6"/>
  <c r="WR43" i="6"/>
  <c r="WR64" i="6"/>
  <c r="WR102" i="6"/>
  <c r="WR112" i="6"/>
  <c r="WR42" i="6"/>
  <c r="WR44" i="6"/>
  <c r="WR113" i="6"/>
  <c r="WR53" i="6"/>
  <c r="FG98" i="6"/>
  <c r="FG7" i="6"/>
  <c r="FG47" i="6"/>
  <c r="FG50" i="6"/>
  <c r="FG68" i="6"/>
  <c r="FG80" i="6"/>
  <c r="FG31" i="6"/>
  <c r="FG18" i="6"/>
  <c r="FG105" i="6"/>
  <c r="CG38" i="6"/>
  <c r="CG29" i="6"/>
  <c r="CG14" i="6"/>
  <c r="CG39" i="6"/>
  <c r="CG89" i="6"/>
  <c r="CG26" i="6"/>
  <c r="CG69" i="6"/>
  <c r="CG49" i="6"/>
  <c r="CG17" i="6"/>
  <c r="GO44" i="6"/>
  <c r="GO38" i="6"/>
  <c r="GO63" i="6"/>
  <c r="GO83" i="6"/>
  <c r="HF15" i="6"/>
  <c r="HF90" i="6"/>
  <c r="HF62" i="6"/>
  <c r="HF31" i="6"/>
  <c r="HF65" i="6"/>
  <c r="HF47" i="6"/>
  <c r="HF81" i="6"/>
  <c r="ACG23" i="6"/>
  <c r="ACG92" i="6"/>
  <c r="ACG57" i="6"/>
  <c r="ACG14" i="6"/>
  <c r="ACG83" i="6"/>
  <c r="ACG109" i="6"/>
  <c r="ACG53" i="6"/>
  <c r="ACG10" i="6"/>
  <c r="ACG79" i="6"/>
  <c r="ACG70" i="6"/>
  <c r="ACG93" i="6"/>
  <c r="ACG40" i="6"/>
  <c r="VX57" i="6"/>
  <c r="VX91" i="6"/>
  <c r="VX109" i="6"/>
  <c r="VX15" i="6"/>
  <c r="VX26" i="6"/>
  <c r="VX49" i="6"/>
  <c r="VX60" i="6"/>
  <c r="VX83" i="6"/>
  <c r="VX94" i="6"/>
  <c r="VX117" i="6"/>
  <c r="VX23" i="6"/>
  <c r="VX34" i="6"/>
  <c r="LF87" i="6"/>
  <c r="LE71" i="6"/>
  <c r="LE42" i="6"/>
  <c r="LG27" i="6"/>
  <c r="LF11" i="6"/>
  <c r="LE62" i="6"/>
  <c r="LD59" i="6"/>
  <c r="LD113" i="6"/>
  <c r="LE79" i="6"/>
  <c r="LG32" i="6"/>
  <c r="LG110" i="6"/>
  <c r="LD72" i="6"/>
  <c r="LD35" i="6"/>
  <c r="LG31" i="6"/>
  <c r="LC67" i="6"/>
  <c r="LE92" i="6"/>
  <c r="LD60" i="6"/>
  <c r="LF13" i="6"/>
  <c r="LE88" i="6"/>
  <c r="LG49" i="6"/>
  <c r="LD86" i="6"/>
  <c r="LH63" i="6"/>
  <c r="LC51" i="6"/>
  <c r="LG90" i="6"/>
  <c r="LF58" i="6"/>
  <c r="LG8" i="6"/>
  <c r="LG86" i="6"/>
  <c r="LD48" i="6"/>
  <c r="LG79" i="6"/>
  <c r="LC90" i="6"/>
  <c r="LC15" i="6"/>
  <c r="LE68" i="6"/>
  <c r="LD36" i="6"/>
  <c r="LE101" i="6"/>
  <c r="LF67" i="6"/>
  <c r="LE27" i="6"/>
  <c r="LG76" i="6"/>
  <c r="LC10" i="6"/>
  <c r="LC87" i="6"/>
  <c r="LD49" i="6"/>
  <c r="LE114" i="6"/>
  <c r="LD82" i="6"/>
  <c r="LG46" i="6"/>
  <c r="LD8" i="6"/>
  <c r="LG52" i="6"/>
  <c r="LC49" i="6"/>
  <c r="LC21" i="6"/>
  <c r="LG10" i="6"/>
  <c r="LF77" i="6"/>
  <c r="LD42" i="6"/>
  <c r="LG113" i="6"/>
  <c r="LG87" i="6"/>
  <c r="LF20" i="6"/>
  <c r="LC24" i="6"/>
  <c r="LC36" i="6"/>
  <c r="LD100" i="6"/>
  <c r="LF53" i="6"/>
  <c r="LG19" i="6"/>
  <c r="LE91" i="6"/>
  <c r="LF9" i="6"/>
  <c r="LE15" i="6"/>
  <c r="LC54" i="6"/>
  <c r="LD81" i="6"/>
  <c r="LF63" i="6"/>
  <c r="LE44" i="6"/>
  <c r="LC6" i="6"/>
  <c r="LF84" i="6"/>
  <c r="LD112" i="6"/>
  <c r="LE21" i="6"/>
  <c r="LF66" i="6"/>
  <c r="LH47" i="6"/>
  <c r="LH30" i="6"/>
  <c r="LH99" i="6"/>
  <c r="LH98" i="6"/>
  <c r="LH55" i="6"/>
  <c r="LH41" i="6"/>
  <c r="LH38" i="6"/>
  <c r="LH6" i="6"/>
  <c r="LH26" i="6"/>
  <c r="LH18" i="6"/>
  <c r="LH19" i="6"/>
  <c r="LH44" i="6"/>
  <c r="LH88" i="6"/>
  <c r="LH13" i="6"/>
  <c r="LF71" i="6"/>
  <c r="LE26" i="6"/>
  <c r="LF102" i="6"/>
  <c r="LF116" i="6"/>
  <c r="LG61" i="6"/>
  <c r="LD15" i="6"/>
  <c r="LE51" i="6"/>
  <c r="LC106" i="6"/>
  <c r="LG74" i="6"/>
  <c r="LD106" i="6"/>
  <c r="LD32" i="6"/>
  <c r="LC98" i="6"/>
  <c r="LD73" i="6"/>
  <c r="LF104" i="6"/>
  <c r="LF30" i="6"/>
  <c r="LC18" i="6"/>
  <c r="LG50" i="6"/>
  <c r="LG83" i="6"/>
  <c r="LG9" i="6"/>
  <c r="LC57" i="6"/>
  <c r="LF31" i="6"/>
  <c r="LF64" i="6"/>
  <c r="LF49" i="6"/>
  <c r="LC12" i="6"/>
  <c r="LG56" i="6"/>
  <c r="LD96" i="6"/>
  <c r="LE38" i="6"/>
  <c r="LG114" i="6"/>
  <c r="LE34" i="6"/>
  <c r="LG73" i="6"/>
  <c r="LD38" i="6"/>
  <c r="LE47" i="6"/>
  <c r="LD111" i="6"/>
  <c r="LC16" i="6"/>
  <c r="LF94" i="6"/>
  <c r="LH97" i="6"/>
  <c r="LH28" i="6"/>
  <c r="LH75" i="6"/>
  <c r="LH50" i="6"/>
  <c r="LH79" i="6"/>
  <c r="LH31" i="6"/>
  <c r="LH56" i="6"/>
  <c r="LE87" i="6"/>
  <c r="LE50" i="6"/>
  <c r="LG77" i="6"/>
  <c r="LE25" i="6"/>
  <c r="LE14" i="6"/>
  <c r="LC82" i="6"/>
  <c r="LG25" i="6"/>
  <c r="LE24" i="6"/>
  <c r="LF110" i="6"/>
  <c r="LG36" i="6"/>
  <c r="LH95" i="6"/>
  <c r="LH33" i="6"/>
  <c r="LE55" i="6"/>
  <c r="LG11" i="6"/>
  <c r="LE113" i="6"/>
  <c r="LF95" i="6"/>
  <c r="LD93" i="6"/>
  <c r="LF92" i="6"/>
  <c r="LC47" i="6"/>
  <c r="LF42" i="6"/>
  <c r="LG70" i="6"/>
  <c r="LF12" i="6"/>
  <c r="LC31" i="6"/>
  <c r="LG37" i="6"/>
  <c r="LD69" i="6"/>
  <c r="LC101" i="6"/>
  <c r="LC103" i="6"/>
  <c r="LF117" i="6"/>
  <c r="LE48" i="6"/>
  <c r="LF65" i="6"/>
  <c r="LC53" i="6"/>
  <c r="LG96" i="6"/>
  <c r="LD29" i="6"/>
  <c r="LG103" i="6"/>
  <c r="LC96" i="6"/>
  <c r="LF106" i="6"/>
  <c r="LF24" i="6"/>
  <c r="LF17" i="6"/>
  <c r="LC70" i="6"/>
  <c r="LF82" i="6"/>
  <c r="LE112" i="6"/>
  <c r="LE54" i="6"/>
  <c r="LC83" i="6"/>
  <c r="LG29" i="6"/>
  <c r="LF37" i="6"/>
  <c r="LE81" i="6"/>
  <c r="LE18" i="6"/>
  <c r="LH109" i="6"/>
  <c r="LH114" i="6"/>
  <c r="LH10" i="6"/>
  <c r="LH76" i="6"/>
  <c r="LH70" i="6"/>
  <c r="LH46" i="6"/>
  <c r="LH65" i="6"/>
  <c r="LF27" i="6"/>
  <c r="LG89" i="6"/>
  <c r="LE67" i="6"/>
  <c r="LE104" i="6"/>
  <c r="LG53" i="6"/>
  <c r="LG66" i="6"/>
  <c r="LE28" i="6"/>
  <c r="LC107" i="6"/>
  <c r="LC59" i="6"/>
  <c r="LG98" i="6"/>
  <c r="LH112" i="6"/>
  <c r="LH52" i="6"/>
  <c r="LF55" i="6"/>
  <c r="LE39" i="6"/>
  <c r="LE10" i="6"/>
  <c r="LF107" i="6"/>
  <c r="LF86" i="6"/>
  <c r="LE49" i="6"/>
  <c r="LF52" i="6"/>
  <c r="LE76" i="6"/>
  <c r="LD44" i="6"/>
  <c r="LE109" i="6"/>
  <c r="LE72" i="6"/>
  <c r="LG33" i="6"/>
  <c r="LD22" i="6"/>
  <c r="LC34" i="6"/>
  <c r="LC29" i="6"/>
  <c r="LD57" i="6"/>
  <c r="LG21" i="6"/>
  <c r="LF88" i="6"/>
  <c r="LD53" i="6"/>
  <c r="LF14" i="6"/>
  <c r="LG84" i="6"/>
  <c r="LC26" i="6"/>
  <c r="LC13" i="6"/>
  <c r="LE52" i="6"/>
  <c r="LD20" i="6"/>
  <c r="LE85" i="6"/>
  <c r="LF51" i="6"/>
  <c r="LE11" i="6"/>
  <c r="LE78" i="6"/>
  <c r="LC65" i="6"/>
  <c r="LC85" i="6"/>
  <c r="LD33" i="6"/>
  <c r="LE98" i="6"/>
  <c r="LD66" i="6"/>
  <c r="LG30" i="6"/>
  <c r="LG68" i="6"/>
  <c r="LD110" i="6"/>
  <c r="LC104" i="6"/>
  <c r="LC44" i="6"/>
  <c r="LE12" i="6"/>
  <c r="LD79" i="6"/>
  <c r="LE45" i="6"/>
  <c r="LE115" i="6"/>
  <c r="LD94" i="6"/>
  <c r="LE33" i="6"/>
  <c r="LC32" i="6"/>
  <c r="LC68" i="6"/>
  <c r="LG85" i="6"/>
  <c r="LD39" i="6"/>
  <c r="LD117" i="6"/>
  <c r="LF78" i="6"/>
  <c r="LD67" i="6"/>
  <c r="LG63" i="6"/>
  <c r="LC115" i="6"/>
  <c r="LD97" i="6"/>
  <c r="LE63" i="6"/>
  <c r="LG16" i="6"/>
  <c r="LG94" i="6"/>
  <c r="LD56" i="6"/>
  <c r="LE105" i="6"/>
  <c r="LC114" i="6"/>
  <c r="LC63" i="6"/>
  <c r="LD114" i="6"/>
  <c r="LF96" i="6"/>
  <c r="LE77" i="6"/>
  <c r="LE57" i="6"/>
  <c r="LC91" i="6"/>
  <c r="LG15" i="6"/>
  <c r="LG13" i="6"/>
  <c r="LE96" i="6"/>
  <c r="LH103" i="6"/>
  <c r="LH27" i="6"/>
  <c r="LH73" i="6"/>
  <c r="LH77" i="6"/>
  <c r="LH64" i="6"/>
  <c r="LH83" i="6"/>
  <c r="LH90" i="6"/>
  <c r="LH66" i="6"/>
  <c r="LH94" i="6"/>
  <c r="LH53" i="6"/>
  <c r="LH107" i="6"/>
  <c r="LH57" i="6"/>
  <c r="LH96" i="6"/>
  <c r="LH51" i="6"/>
  <c r="LE58" i="6"/>
  <c r="LD18" i="6"/>
  <c r="LD109" i="6"/>
  <c r="LF29" i="6"/>
  <c r="LC35" i="6"/>
  <c r="LC109" i="6"/>
  <c r="LC71" i="6"/>
  <c r="LC88" i="6"/>
  <c r="LD11" i="6"/>
  <c r="LD55" i="6"/>
  <c r="LH62" i="6"/>
  <c r="LF39" i="6"/>
  <c r="LE23" i="6"/>
  <c r="LG107" i="6"/>
  <c r="LF91" i="6"/>
  <c r="LF70" i="6"/>
  <c r="LF105" i="6"/>
  <c r="LG108" i="6"/>
  <c r="LG58" i="6"/>
  <c r="LF26" i="6"/>
  <c r="LD90" i="6"/>
  <c r="LG54" i="6"/>
  <c r="LD16" i="6"/>
  <c r="LD91" i="6"/>
  <c r="LC81" i="6"/>
  <c r="LC7" i="6"/>
  <c r="LE36" i="6"/>
  <c r="LD103" i="6"/>
  <c r="LE69" i="6"/>
  <c r="LF35" i="6"/>
  <c r="LF81" i="6"/>
  <c r="LD12" i="6"/>
  <c r="LC73" i="6"/>
  <c r="LC117" i="6"/>
  <c r="LG34" i="6"/>
  <c r="LF101" i="6"/>
  <c r="LG67" i="6"/>
  <c r="LE32" i="6"/>
  <c r="LD75" i="6"/>
  <c r="LE8" i="6"/>
  <c r="LC112" i="6"/>
  <c r="LC76" i="6"/>
  <c r="LF15" i="6"/>
  <c r="LG80" i="6"/>
  <c r="LF48" i="6"/>
  <c r="LD13" i="6"/>
  <c r="LF100" i="6"/>
  <c r="LG39" i="6"/>
  <c r="LC40" i="6"/>
  <c r="LC100" i="6"/>
  <c r="LD108" i="6"/>
  <c r="LF61" i="6"/>
  <c r="LD26" i="6"/>
  <c r="LG97" i="6"/>
  <c r="LG23" i="6"/>
  <c r="LF57" i="6"/>
  <c r="LC78" i="6"/>
  <c r="LE100" i="6"/>
  <c r="LD68" i="6"/>
  <c r="LF21" i="6"/>
  <c r="LF99" i="6"/>
  <c r="LE59" i="6"/>
  <c r="LE9" i="6"/>
  <c r="LF89" i="6"/>
  <c r="LC95" i="6"/>
  <c r="LF79" i="6"/>
  <c r="LG45" i="6"/>
  <c r="LF112" i="6"/>
  <c r="LD77" i="6"/>
  <c r="LE35" i="6"/>
  <c r="LF28" i="6"/>
  <c r="LC42" i="6"/>
  <c r="LC45" i="6"/>
  <c r="LG78" i="6"/>
  <c r="LD61" i="6"/>
  <c r="LE40" i="6"/>
  <c r="LG26" i="6"/>
  <c r="LF115" i="6"/>
  <c r="LC62" i="6"/>
  <c r="LD19" i="6"/>
  <c r="LG57" i="6"/>
  <c r="LH117" i="6"/>
  <c r="LH100" i="6"/>
  <c r="LH37" i="6"/>
  <c r="LH32" i="6"/>
  <c r="LH92" i="6"/>
  <c r="LH34" i="6"/>
  <c r="LH17" i="6"/>
  <c r="LH61" i="6"/>
  <c r="LH91" i="6"/>
  <c r="LH87" i="6"/>
  <c r="LH20" i="6"/>
  <c r="LH43" i="6"/>
  <c r="LH9" i="6"/>
  <c r="LH106" i="6"/>
  <c r="LF6" i="6"/>
  <c r="LF111" i="6"/>
  <c r="LD76" i="6"/>
  <c r="LD85" i="6"/>
  <c r="LC113" i="6"/>
  <c r="LG117" i="6"/>
  <c r="LC39" i="6"/>
  <c r="LH80" i="6"/>
  <c r="LH14" i="6"/>
  <c r="LF23" i="6"/>
  <c r="LE106" i="6"/>
  <c r="LG91" i="6"/>
  <c r="LF75" i="6"/>
  <c r="LF54" i="6"/>
  <c r="LF41" i="6"/>
  <c r="LF108" i="6"/>
  <c r="LD41" i="6"/>
  <c r="LG104" i="6"/>
  <c r="LF72" i="6"/>
  <c r="LD37" i="6"/>
  <c r="LE94" i="6"/>
  <c r="LG20" i="6"/>
  <c r="LC17" i="6"/>
  <c r="LC20" i="6"/>
  <c r="LG18" i="6"/>
  <c r="LF85" i="6"/>
  <c r="LG51" i="6"/>
  <c r="LE16" i="6"/>
  <c r="LD14" i="6"/>
  <c r="LE65" i="6"/>
  <c r="LC9" i="6"/>
  <c r="LC108" i="6"/>
  <c r="LD17" i="6"/>
  <c r="LE82" i="6"/>
  <c r="LD50" i="6"/>
  <c r="LG14" i="6"/>
  <c r="LG6" i="6"/>
  <c r="LD46" i="6"/>
  <c r="LC48" i="6"/>
  <c r="LC37" i="6"/>
  <c r="LG109" i="6"/>
  <c r="LD63" i="6"/>
  <c r="LE29" i="6"/>
  <c r="LE99" i="6"/>
  <c r="LD30" i="6"/>
  <c r="LE70" i="6"/>
  <c r="LC86" i="6"/>
  <c r="LC92" i="6"/>
  <c r="LF90" i="6"/>
  <c r="LG40" i="6"/>
  <c r="LF8" i="6"/>
  <c r="LD80" i="6"/>
  <c r="LF73" i="6"/>
  <c r="LD70" i="6"/>
  <c r="LC14" i="6"/>
  <c r="LG82" i="6"/>
  <c r="LF50" i="6"/>
  <c r="LG115" i="6"/>
  <c r="LE80" i="6"/>
  <c r="LG41" i="6"/>
  <c r="LD54" i="6"/>
  <c r="LC58" i="6"/>
  <c r="LC77" i="6"/>
  <c r="LE60" i="6"/>
  <c r="LD28" i="6"/>
  <c r="LE93" i="6"/>
  <c r="LE56" i="6"/>
  <c r="LG17" i="6"/>
  <c r="LF97" i="6"/>
  <c r="LC89" i="6"/>
  <c r="LC23" i="6"/>
  <c r="LD40" i="6"/>
  <c r="LE19" i="6"/>
  <c r="LD107" i="6"/>
  <c r="LF93" i="6"/>
  <c r="LC79" i="6"/>
  <c r="LD84" i="6"/>
  <c r="LC99" i="6"/>
  <c r="LD6" i="6"/>
  <c r="LH23" i="6"/>
  <c r="LH111" i="6"/>
  <c r="LH110" i="6"/>
  <c r="LH48" i="6"/>
  <c r="LH104" i="6"/>
  <c r="LH101" i="6"/>
  <c r="LH89" i="6"/>
  <c r="LH42" i="6"/>
  <c r="LH113" i="6"/>
  <c r="LH85" i="6"/>
  <c r="LH35" i="6"/>
  <c r="LH24" i="6"/>
  <c r="LH115" i="6"/>
  <c r="LH45" i="6"/>
  <c r="LF103" i="6"/>
  <c r="LF98" i="6"/>
  <c r="LD102" i="6"/>
  <c r="LG28" i="6"/>
  <c r="LE22" i="6"/>
  <c r="LE73" i="6"/>
  <c r="LE64" i="6"/>
  <c r="LE61" i="6"/>
  <c r="LE37" i="6"/>
  <c r="LC84" i="6"/>
  <c r="LH67" i="6"/>
  <c r="LH108" i="6"/>
  <c r="LF7" i="6"/>
  <c r="LE90" i="6"/>
  <c r="LG75" i="6"/>
  <c r="LF59" i="6"/>
  <c r="LF38" i="6"/>
  <c r="LG111" i="6"/>
  <c r="LF44" i="6"/>
  <c r="LE20" i="6"/>
  <c r="LD87" i="6"/>
  <c r="LE53" i="6"/>
  <c r="LF19" i="6"/>
  <c r="LF18" i="6"/>
  <c r="LG71" i="6"/>
  <c r="LC64" i="6"/>
  <c r="LC11" i="6"/>
  <c r="LF114" i="6"/>
  <c r="LE66" i="6"/>
  <c r="LD34" i="6"/>
  <c r="LG105" i="6"/>
  <c r="LG55" i="6"/>
  <c r="LE102" i="6"/>
  <c r="LC56" i="6"/>
  <c r="LC69" i="6"/>
  <c r="LE111" i="6"/>
  <c r="LG64" i="6"/>
  <c r="LF32" i="6"/>
  <c r="LD104" i="6"/>
  <c r="LF36" i="6"/>
  <c r="LD83" i="6"/>
  <c r="LC94" i="6"/>
  <c r="LC28" i="6"/>
  <c r="LD92" i="6"/>
  <c r="LF45" i="6"/>
  <c r="LD10" i="6"/>
  <c r="LG81" i="6"/>
  <c r="LE86" i="6"/>
  <c r="LF76" i="6"/>
  <c r="LC22" i="6"/>
  <c r="LD105" i="6"/>
  <c r="LG69" i="6"/>
  <c r="LD23" i="6"/>
  <c r="LD101" i="6"/>
  <c r="LF62" i="6"/>
  <c r="LG12" i="6"/>
  <c r="LE7" i="6"/>
  <c r="LC111" i="6"/>
  <c r="LD65" i="6"/>
  <c r="LE31" i="6"/>
  <c r="LD98" i="6"/>
  <c r="LG62" i="6"/>
  <c r="LD24" i="6"/>
  <c r="LG116" i="6"/>
  <c r="LC105" i="6"/>
  <c r="LC55" i="6"/>
  <c r="LG42" i="6"/>
  <c r="LF109" i="6"/>
  <c r="LD74" i="6"/>
  <c r="LG38" i="6"/>
  <c r="LG100" i="6"/>
  <c r="LD27" i="6"/>
  <c r="LC25" i="6"/>
  <c r="LC52" i="6"/>
  <c r="LE41" i="6"/>
  <c r="LE110" i="6"/>
  <c r="LF33" i="6"/>
  <c r="LD58" i="6"/>
  <c r="LD9" i="6"/>
  <c r="LG60" i="6"/>
  <c r="LE116" i="6"/>
  <c r="LF25" i="6"/>
  <c r="LH49" i="6"/>
  <c r="LH15" i="6"/>
  <c r="LH84" i="6"/>
  <c r="LH86" i="6"/>
  <c r="LH105" i="6"/>
  <c r="LH78" i="6"/>
  <c r="LH93" i="6"/>
  <c r="LH39" i="6"/>
  <c r="LH25" i="6"/>
  <c r="LH54" i="6"/>
  <c r="LH81" i="6"/>
  <c r="LH102" i="6"/>
  <c r="LH21" i="6"/>
  <c r="LH74" i="6"/>
  <c r="LG7" i="6"/>
  <c r="LD31" i="6"/>
  <c r="LG65" i="6"/>
  <c r="LF46" i="6"/>
  <c r="LD51" i="6"/>
  <c r="LE97" i="6"/>
  <c r="LF68" i="6"/>
  <c r="LF40" i="6"/>
  <c r="LH11" i="6"/>
  <c r="LE103" i="6"/>
  <c r="LE74" i="6"/>
  <c r="LG59" i="6"/>
  <c r="LF43" i="6"/>
  <c r="LF22" i="6"/>
  <c r="LG47" i="6"/>
  <c r="LG44" i="6"/>
  <c r="LD116" i="6"/>
  <c r="LF69" i="6"/>
  <c r="LG35" i="6"/>
  <c r="LE107" i="6"/>
  <c r="LD62" i="6"/>
  <c r="LD115" i="6"/>
  <c r="LC110" i="6"/>
  <c r="LC27" i="6"/>
  <c r="LE95" i="6"/>
  <c r="LG48" i="6"/>
  <c r="LF16" i="6"/>
  <c r="LD88" i="6"/>
  <c r="LD99" i="6"/>
  <c r="LG95" i="6"/>
  <c r="LC102" i="6"/>
  <c r="LC60" i="6"/>
  <c r="LG93" i="6"/>
  <c r="LD47" i="6"/>
  <c r="LE13" i="6"/>
  <c r="LE83" i="6"/>
  <c r="LG92" i="6"/>
  <c r="LE89" i="6"/>
  <c r="LC30" i="6"/>
  <c r="LG106" i="6"/>
  <c r="LF74" i="6"/>
  <c r="LG24" i="6"/>
  <c r="LG102" i="6"/>
  <c r="LD64" i="6"/>
  <c r="LE17" i="6"/>
  <c r="LF10" i="6"/>
  <c r="LC19" i="6"/>
  <c r="LE84" i="6"/>
  <c r="LD52" i="6"/>
  <c r="LE117" i="6"/>
  <c r="LF83" i="6"/>
  <c r="LE43" i="6"/>
  <c r="LF60" i="6"/>
  <c r="LC74" i="6"/>
  <c r="LC93" i="6"/>
  <c r="LF47" i="6"/>
  <c r="LG112" i="6"/>
  <c r="LF80" i="6"/>
  <c r="LD45" i="6"/>
  <c r="LF113" i="6"/>
  <c r="LE46" i="6"/>
  <c r="LC41" i="6"/>
  <c r="LC116" i="6"/>
  <c r="LD25" i="6"/>
  <c r="LG88" i="6"/>
  <c r="LF56" i="6"/>
  <c r="LD21" i="6"/>
  <c r="LE30" i="6"/>
  <c r="LD78" i="6"/>
  <c r="LC72" i="6"/>
  <c r="LC43" i="6"/>
  <c r="LC97" i="6"/>
  <c r="LC33" i="6"/>
  <c r="LC80" i="6"/>
  <c r="LG22" i="6"/>
  <c r="LG72" i="6"/>
  <c r="LG101" i="6"/>
  <c r="LE75" i="6"/>
  <c r="LC50" i="6"/>
  <c r="LH71" i="6"/>
  <c r="LH68" i="6"/>
  <c r="LH82" i="6"/>
  <c r="LH69" i="6"/>
  <c r="LH8" i="6"/>
  <c r="LH36" i="6"/>
  <c r="LH116" i="6"/>
  <c r="LH12" i="6"/>
  <c r="LH7" i="6"/>
  <c r="LH59" i="6"/>
  <c r="LH29" i="6"/>
  <c r="LH72" i="6"/>
  <c r="LH40" i="6"/>
  <c r="LH16" i="6"/>
  <c r="LC66" i="6"/>
  <c r="LC46" i="6"/>
  <c r="LE108" i="6"/>
  <c r="LD7" i="6"/>
  <c r="LG99" i="6"/>
  <c r="LD43" i="6"/>
  <c r="LC8" i="6"/>
  <c r="LC61" i="6"/>
  <c r="LH58" i="6"/>
  <c r="LG43" i="6"/>
  <c r="LE6" i="6"/>
  <c r="LC38" i="6"/>
  <c r="LD89" i="6"/>
  <c r="LF34" i="6"/>
  <c r="LD95" i="6"/>
  <c r="LD71" i="6"/>
  <c r="LC75" i="6"/>
  <c r="LH22" i="6"/>
  <c r="LH60" i="6"/>
  <c r="DY110" i="6"/>
  <c r="DY8" i="6"/>
  <c r="DY100" i="6"/>
  <c r="DY32" i="6"/>
  <c r="DY113" i="6"/>
  <c r="DY103" i="6"/>
  <c r="DY30" i="6"/>
  <c r="DY54" i="6"/>
  <c r="DY107" i="6"/>
  <c r="ABM28" i="6"/>
  <c r="ABN53" i="6"/>
  <c r="ABK91" i="6"/>
  <c r="ABK32" i="6"/>
  <c r="ABO75" i="6"/>
  <c r="ABL41" i="6"/>
  <c r="ABO103" i="6"/>
  <c r="ABO88" i="6"/>
  <c r="ABO39" i="6"/>
  <c r="ABN72" i="6"/>
  <c r="ABL7" i="6"/>
  <c r="ABO58" i="6"/>
  <c r="ABM10" i="6"/>
  <c r="ABL113" i="6"/>
  <c r="ABN29" i="6"/>
  <c r="ABN37" i="6"/>
  <c r="ABK11" i="6"/>
  <c r="ABK115" i="6"/>
  <c r="ABN113" i="6"/>
  <c r="ABJ56" i="6"/>
  <c r="ABJ51" i="6"/>
  <c r="ABJ18" i="6"/>
  <c r="ABJ7" i="6"/>
  <c r="ABL34" i="6"/>
  <c r="ABM50" i="6"/>
  <c r="ABM25" i="6"/>
  <c r="ABJ102" i="6"/>
  <c r="ABN22" i="6"/>
  <c r="ABO46" i="6"/>
  <c r="ABL60" i="6"/>
  <c r="ABO91" i="6"/>
  <c r="ABO11" i="6"/>
  <c r="ABM76" i="6"/>
  <c r="ABN13" i="6"/>
  <c r="ABM41" i="6"/>
  <c r="ABL35" i="6"/>
  <c r="ABK61" i="6"/>
  <c r="ABN67" i="6"/>
  <c r="ABM63" i="6"/>
  <c r="ABN95" i="6"/>
  <c r="ABK84" i="6"/>
  <c r="ABJ15" i="6"/>
  <c r="ABJ66" i="6"/>
  <c r="ABN68" i="6"/>
  <c r="ABM54" i="6"/>
  <c r="ABN62" i="6"/>
  <c r="ABO70" i="6"/>
  <c r="ABN66" i="6"/>
  <c r="ABL66" i="6"/>
  <c r="ABK20" i="6"/>
  <c r="ABM85" i="6"/>
  <c r="ABK22" i="6"/>
  <c r="ABN44" i="6"/>
  <c r="ABN25" i="6"/>
  <c r="ABL48" i="6"/>
  <c r="ABO54" i="6"/>
  <c r="ABL68" i="6"/>
  <c r="ABN104" i="6"/>
  <c r="ABM58" i="6"/>
  <c r="ABJ76" i="6"/>
  <c r="ABM60" i="6"/>
  <c r="ABL46" i="6"/>
  <c r="ABL27" i="6"/>
  <c r="ABO33" i="6"/>
  <c r="ABK74" i="6"/>
  <c r="ABO69" i="6"/>
  <c r="ABK108" i="6"/>
  <c r="ABO96" i="6"/>
  <c r="ABJ60" i="6"/>
  <c r="ABO98" i="6"/>
  <c r="ABN60" i="6"/>
  <c r="ABM78" i="6"/>
  <c r="ABN86" i="6"/>
  <c r="ABL93" i="6"/>
  <c r="ABJ54" i="6"/>
  <c r="ABJ55" i="6"/>
  <c r="ABL96" i="6"/>
  <c r="ABL69" i="6"/>
  <c r="ABK33" i="6"/>
  <c r="ABL51" i="6"/>
  <c r="ABN38" i="6"/>
  <c r="ABN11" i="6"/>
  <c r="ABK114" i="6"/>
  <c r="ABN90" i="6"/>
  <c r="ABK52" i="6"/>
  <c r="ABJ28" i="6"/>
  <c r="ABJ32" i="6"/>
  <c r="ABL28" i="6"/>
  <c r="ABL63" i="6"/>
  <c r="ABL78" i="6"/>
  <c r="ABN49" i="6"/>
  <c r="ABN77" i="6"/>
  <c r="ABJ110" i="6"/>
  <c r="ABL9" i="6"/>
  <c r="ABJ100" i="6"/>
  <c r="ABJ37" i="6"/>
  <c r="ABM44" i="6"/>
  <c r="ABN48" i="6"/>
  <c r="ABN63" i="6"/>
  <c r="ABJ84" i="6"/>
  <c r="ABO23" i="6"/>
  <c r="ABJ94" i="6"/>
  <c r="ABJ103" i="6"/>
  <c r="ABK10" i="6"/>
  <c r="ABK9" i="6"/>
  <c r="ABK15" i="6"/>
  <c r="ABJ116" i="6"/>
  <c r="ABK68" i="6"/>
  <c r="ABJ106" i="6"/>
  <c r="ABL38" i="6"/>
  <c r="ABN17" i="6"/>
  <c r="ABL40" i="6"/>
  <c r="ABM64" i="6"/>
  <c r="ABL76" i="6"/>
  <c r="ABK14" i="6"/>
  <c r="ABN45" i="6"/>
  <c r="ABK111" i="6"/>
  <c r="ABN47" i="6"/>
  <c r="ABL54" i="6"/>
  <c r="ABO68" i="6"/>
  <c r="ABN78" i="6"/>
  <c r="ABL85" i="6"/>
  <c r="ABK81" i="6"/>
  <c r="ABO26" i="6"/>
  <c r="ABM20" i="6"/>
  <c r="ABL17" i="6"/>
  <c r="ABL95" i="6"/>
  <c r="ABM81" i="6"/>
  <c r="ABK72" i="6"/>
  <c r="ABL80" i="6"/>
  <c r="ABO86" i="6"/>
  <c r="ABN82" i="6"/>
  <c r="ABK100" i="6"/>
  <c r="ABK54" i="6"/>
  <c r="ABJ12" i="6"/>
  <c r="ABN56" i="6"/>
  <c r="ABM57" i="6"/>
  <c r="ABK40" i="6"/>
  <c r="ABO65" i="6"/>
  <c r="ABM72" i="6"/>
  <c r="ABO85" i="6"/>
  <c r="ABO56" i="6"/>
  <c r="ABM92" i="6"/>
  <c r="ABJ41" i="6"/>
  <c r="ABK95" i="6"/>
  <c r="ABK59" i="6"/>
  <c r="ABN41" i="6"/>
  <c r="ABO49" i="6"/>
  <c r="ABN91" i="6"/>
  <c r="ABM87" i="6"/>
  <c r="ABK7" i="6"/>
  <c r="ABK76" i="6"/>
  <c r="ABK30" i="6"/>
  <c r="ABL74" i="6"/>
  <c r="ABL86" i="6"/>
  <c r="ABM94" i="6"/>
  <c r="ABL104" i="6"/>
  <c r="ABO110" i="6"/>
  <c r="ABL19" i="6"/>
  <c r="ABN6" i="6"/>
  <c r="ABK109" i="6"/>
  <c r="ABK82" i="6"/>
  <c r="ABO45" i="6"/>
  <c r="ABK64" i="6"/>
  <c r="ABM51" i="6"/>
  <c r="ABM24" i="6"/>
  <c r="ABJ35" i="6"/>
  <c r="ABM103" i="6"/>
  <c r="ABL52" i="6"/>
  <c r="ABM6" i="6"/>
  <c r="ABL42" i="6"/>
  <c r="ABN32" i="6"/>
  <c r="ABJ52" i="6"/>
  <c r="ABL14" i="6"/>
  <c r="ABJ39" i="6"/>
  <c r="ABL24" i="6"/>
  <c r="ABJ38" i="6"/>
  <c r="ABL67" i="6"/>
  <c r="ABO29" i="6"/>
  <c r="ABL111" i="6"/>
  <c r="ABM65" i="6"/>
  <c r="ABK79" i="6"/>
  <c r="ABJ97" i="6"/>
  <c r="ABL98" i="6"/>
  <c r="ABO34" i="6"/>
  <c r="ABN36" i="6"/>
  <c r="ABK16" i="6"/>
  <c r="ABK21" i="6"/>
  <c r="ABN27" i="6"/>
  <c r="ABK25" i="6"/>
  <c r="ABO48" i="6"/>
  <c r="ABM37" i="6"/>
  <c r="ABK102" i="6"/>
  <c r="ABL39" i="6"/>
  <c r="ABK51" i="6"/>
  <c r="ABK48" i="6"/>
  <c r="ABL56" i="6"/>
  <c r="ABM80" i="6"/>
  <c r="ABO93" i="6"/>
  <c r="ABJ50" i="6"/>
  <c r="ABN79" i="6"/>
  <c r="ABL106" i="6"/>
  <c r="ABL82" i="6"/>
  <c r="ABK67" i="6"/>
  <c r="ABM86" i="6"/>
  <c r="ABN94" i="6"/>
  <c r="ABO102" i="6"/>
  <c r="ABN98" i="6"/>
  <c r="ABK62" i="6"/>
  <c r="ABL97" i="6"/>
  <c r="ABO51" i="6"/>
  <c r="ABJ53" i="6"/>
  <c r="ABL94" i="6"/>
  <c r="ABK88" i="6"/>
  <c r="ABO97" i="6"/>
  <c r="ABM104" i="6"/>
  <c r="ABL100" i="6"/>
  <c r="ABN39" i="6"/>
  <c r="ABN88" i="6"/>
  <c r="ABJ25" i="6"/>
  <c r="ABM90" i="6"/>
  <c r="ABL70" i="6"/>
  <c r="ABK56" i="6"/>
  <c r="ABO81" i="6"/>
  <c r="ABK90" i="6"/>
  <c r="ABO101" i="6"/>
  <c r="ABJ114" i="6"/>
  <c r="ABN71" i="6"/>
  <c r="ABL26" i="6"/>
  <c r="ABN69" i="6"/>
  <c r="ABO71" i="6"/>
  <c r="ABL59" i="6"/>
  <c r="ABM67" i="6"/>
  <c r="ABL109" i="6"/>
  <c r="ABK105" i="6"/>
  <c r="ABO40" i="6"/>
  <c r="ABJ57" i="6"/>
  <c r="ABN64" i="6"/>
  <c r="ABJ13" i="6"/>
  <c r="ABK99" i="6"/>
  <c r="ABK112" i="6"/>
  <c r="ABJ40" i="6"/>
  <c r="ABJ43" i="6"/>
  <c r="ABO44" i="6"/>
  <c r="ABM19" i="6"/>
  <c r="ABJ48" i="6"/>
  <c r="ABO94" i="6"/>
  <c r="ABN58" i="6"/>
  <c r="ABO76" i="6"/>
  <c r="ABL64" i="6"/>
  <c r="ABL37" i="6"/>
  <c r="ABJ99" i="6"/>
  <c r="ABK6" i="6"/>
  <c r="ABM73" i="6"/>
  <c r="ABL73" i="6"/>
  <c r="ABL6" i="6"/>
  <c r="ABN33" i="6"/>
  <c r="ABM47" i="6"/>
  <c r="ABJ72" i="6"/>
  <c r="ABO41" i="6"/>
  <c r="ABM59" i="6"/>
  <c r="ABN87" i="6"/>
  <c r="ABK87" i="6"/>
  <c r="ABO20" i="6"/>
  <c r="ABO112" i="6"/>
  <c r="ABO66" i="6"/>
  <c r="ABL33" i="6"/>
  <c r="ABM69" i="6"/>
  <c r="ABM49" i="6"/>
  <c r="ABM30" i="6"/>
  <c r="ABK37" i="6"/>
  <c r="ABL45" i="6"/>
  <c r="ABN42" i="6"/>
  <c r="ABO82" i="6"/>
  <c r="ABL71" i="6"/>
  <c r="ABK46" i="6"/>
  <c r="ABO107" i="6"/>
  <c r="ABO63" i="6"/>
  <c r="ABN65" i="6"/>
  <c r="ABM91" i="6"/>
  <c r="ABK98" i="6"/>
  <c r="ABM111" i="6"/>
  <c r="ABN23" i="6"/>
  <c r="ABL114" i="6"/>
  <c r="ABM13" i="6"/>
  <c r="ABK116" i="6"/>
  <c r="ABO79" i="6"/>
  <c r="ABK104" i="6"/>
  <c r="ABL112" i="6"/>
  <c r="ABM117" i="6"/>
  <c r="ABN114" i="6"/>
  <c r="ABN96" i="6"/>
  <c r="ABK110" i="6"/>
  <c r="ABN85" i="6"/>
  <c r="ABJ117" i="6"/>
  <c r="ABK107" i="6"/>
  <c r="ABN105" i="6"/>
  <c r="ABO113" i="6"/>
  <c r="ABJ11" i="6"/>
  <c r="ABO117" i="6"/>
  <c r="ABJ92" i="6"/>
  <c r="ABO67" i="6"/>
  <c r="ABN21" i="6"/>
  <c r="ABL65" i="6"/>
  <c r="ABK83" i="6"/>
  <c r="ABL91" i="6"/>
  <c r="ABM99" i="6"/>
  <c r="ABK106" i="6"/>
  <c r="ABJ87" i="6"/>
  <c r="ABM36" i="6"/>
  <c r="ABJ23" i="6"/>
  <c r="ABK60" i="6"/>
  <c r="ABM116" i="6"/>
  <c r="ABN84" i="6"/>
  <c r="ABL75" i="6"/>
  <c r="ABK85" i="6"/>
  <c r="ABJ27" i="6"/>
  <c r="ABO12" i="6"/>
  <c r="ABO74" i="6"/>
  <c r="ABJ36" i="6"/>
  <c r="ABM98" i="6"/>
  <c r="ABJ77" i="6"/>
  <c r="ABM113" i="6"/>
  <c r="ABJ95" i="6"/>
  <c r="ABM8" i="6"/>
  <c r="ABM23" i="6"/>
  <c r="ABN57" i="6"/>
  <c r="ABL32" i="6"/>
  <c r="ABJ112" i="6"/>
  <c r="ABN107" i="6"/>
  <c r="ABM71" i="6"/>
  <c r="ABN89" i="6"/>
  <c r="ABK77" i="6"/>
  <c r="ABK50" i="6"/>
  <c r="ABO13" i="6"/>
  <c r="ABO32" i="6"/>
  <c r="ABK93" i="6"/>
  <c r="ABO28" i="6"/>
  <c r="ABO52" i="6"/>
  <c r="ABL8" i="6"/>
  <c r="ABJ31" i="6"/>
  <c r="ABL117" i="6"/>
  <c r="ABJ75" i="6"/>
  <c r="ABO14" i="6"/>
  <c r="ABM106" i="6"/>
  <c r="ABL12" i="6"/>
  <c r="ABO84" i="6"/>
  <c r="ABJ9" i="6"/>
  <c r="ABM101" i="6"/>
  <c r="ABJ82" i="6"/>
  <c r="ABL103" i="6"/>
  <c r="ABL62" i="6"/>
  <c r="ABM46" i="6"/>
  <c r="ABN54" i="6"/>
  <c r="ABL61" i="6"/>
  <c r="ABK57" i="6"/>
  <c r="ABJ20" i="6"/>
  <c r="ABL105" i="6"/>
  <c r="ABJ105" i="6"/>
  <c r="ABM82" i="6"/>
  <c r="ABN76" i="6"/>
  <c r="ABN81" i="6"/>
  <c r="ABM107" i="6"/>
  <c r="ABN115" i="6"/>
  <c r="ABM18" i="6"/>
  <c r="ABL58" i="6"/>
  <c r="ABM93" i="6"/>
  <c r="ABL47" i="6"/>
  <c r="ABO90" i="6"/>
  <c r="ABN92" i="6"/>
  <c r="ABJ47" i="6"/>
  <c r="ABJ88" i="6"/>
  <c r="ABJ83" i="6"/>
  <c r="ABL31" i="6"/>
  <c r="ABJ108" i="6"/>
  <c r="ABM12" i="6"/>
  <c r="ABJ34" i="6"/>
  <c r="ABM17" i="6"/>
  <c r="ABJ62" i="6"/>
  <c r="ABJ63" i="6"/>
  <c r="ABJ96" i="6"/>
  <c r="ABJ91" i="6"/>
  <c r="ABL116" i="6"/>
  <c r="ABM66" i="6"/>
  <c r="ABM114" i="6"/>
  <c r="ABN55" i="6"/>
  <c r="ABO99" i="6"/>
  <c r="ABO95" i="6"/>
  <c r="ABL107" i="6"/>
  <c r="ABK117" i="6"/>
  <c r="ABJ19" i="6"/>
  <c r="ABM61" i="6"/>
  <c r="ABK71" i="6"/>
  <c r="ABJ24" i="6"/>
  <c r="ABK94" i="6"/>
  <c r="ABJ69" i="6"/>
  <c r="ABM97" i="6"/>
  <c r="ABO92" i="6"/>
  <c r="ABK101" i="6"/>
  <c r="ABJ115" i="6"/>
  <c r="ABN103" i="6"/>
  <c r="ABM109" i="6"/>
  <c r="ABL25" i="6"/>
  <c r="ABO24" i="6"/>
  <c r="ABM9" i="6"/>
  <c r="ABJ86" i="6"/>
  <c r="ABO17" i="6"/>
  <c r="ABK26" i="6"/>
  <c r="ABK41" i="6"/>
  <c r="ABM70" i="6"/>
  <c r="ABK45" i="6"/>
  <c r="ABK18" i="6"/>
  <c r="ABN117" i="6"/>
  <c r="ABL84" i="6"/>
  <c r="ABM102" i="6"/>
  <c r="ABO89" i="6"/>
  <c r="ABO62" i="6"/>
  <c r="ABN26" i="6"/>
  <c r="ABK73" i="6"/>
  <c r="ABO6" i="6"/>
  <c r="ABN52" i="6"/>
  <c r="ABK113" i="6"/>
  <c r="ABM32" i="6"/>
  <c r="ABJ6" i="6"/>
  <c r="ABN99" i="6"/>
  <c r="ABN109" i="6"/>
  <c r="ABO61" i="6"/>
  <c r="ABO19" i="6"/>
  <c r="ABM79" i="6"/>
  <c r="ABO43" i="6"/>
  <c r="ABM95" i="6"/>
  <c r="ABM75" i="6"/>
  <c r="ABO10" i="6"/>
  <c r="ABN80" i="6"/>
  <c r="ABM34" i="6"/>
  <c r="ABK78" i="6"/>
  <c r="ABK75" i="6"/>
  <c r="ABM62" i="6"/>
  <c r="ABL72" i="6"/>
  <c r="ABO78" i="6"/>
  <c r="ABN74" i="6"/>
  <c r="ABL15" i="6"/>
  <c r="ABM84" i="6"/>
  <c r="ABK39" i="6"/>
  <c r="ABJ29" i="6"/>
  <c r="ABM89" i="6"/>
  <c r="ABL99" i="6"/>
  <c r="ABJ64" i="6"/>
  <c r="ABJ59" i="6"/>
  <c r="ABJ49" i="6"/>
  <c r="ABK92" i="6"/>
  <c r="ABK55" i="6"/>
  <c r="ABL81" i="6"/>
  <c r="ABJ45" i="6"/>
  <c r="ABM105" i="6"/>
  <c r="ABO9" i="6"/>
  <c r="ABM16" i="6"/>
  <c r="ABM15" i="6"/>
  <c r="ABJ68" i="6"/>
  <c r="ABJ22" i="6"/>
  <c r="ABK47" i="6"/>
  <c r="ABJ16" i="6"/>
  <c r="ABL30" i="6"/>
  <c r="ABK8" i="6"/>
  <c r="ABM11" i="6"/>
  <c r="ABN19" i="6"/>
  <c r="ABK17" i="6"/>
  <c r="ABK44" i="6"/>
  <c r="ABM100" i="6"/>
  <c r="ABJ14" i="6"/>
  <c r="ABL90" i="6"/>
  <c r="ABJ61" i="6"/>
  <c r="ABL110" i="6"/>
  <c r="ABJ71" i="6"/>
  <c r="ABJ104" i="6"/>
  <c r="ABJ107" i="6"/>
  <c r="ABJ113" i="6"/>
  <c r="ABO104" i="6"/>
  <c r="ABM21" i="6"/>
  <c r="ABN7" i="6"/>
  <c r="ABO7" i="6"/>
  <c r="ABO111" i="6"/>
  <c r="ABM110" i="6"/>
  <c r="ABO22" i="6"/>
  <c r="ABO21" i="6"/>
  <c r="ABN40" i="6"/>
  <c r="ABO35" i="6"/>
  <c r="ABO59" i="6"/>
  <c r="ABJ65" i="6"/>
  <c r="ABL22" i="6"/>
  <c r="ABM14" i="6"/>
  <c r="ABM35" i="6"/>
  <c r="ABK42" i="6"/>
  <c r="ABM55" i="6"/>
  <c r="ABL83" i="6"/>
  <c r="ABO57" i="6"/>
  <c r="ABO30" i="6"/>
  <c r="ABJ67" i="6"/>
  <c r="ABK97" i="6"/>
  <c r="ABL115" i="6"/>
  <c r="ABN102" i="6"/>
  <c r="ABN75" i="6"/>
  <c r="ABM39" i="6"/>
  <c r="ABK28" i="6"/>
  <c r="ABN73" i="6"/>
  <c r="ABO73" i="6"/>
  <c r="ABJ73" i="6"/>
  <c r="ABM52" i="6"/>
  <c r="ABJ89" i="6"/>
  <c r="ABO100" i="6"/>
  <c r="ABO8" i="6"/>
  <c r="ABJ30" i="6"/>
  <c r="ABM77" i="6"/>
  <c r="ABN106" i="6"/>
  <c r="ABN110" i="6"/>
  <c r="ABM53" i="6"/>
  <c r="ABM48" i="6"/>
  <c r="ABM45" i="6"/>
  <c r="ABK12" i="6"/>
  <c r="ABM68" i="6"/>
  <c r="ABJ21" i="6"/>
  <c r="ABO87" i="6"/>
  <c r="ABK80" i="6"/>
  <c r="ABL88" i="6"/>
  <c r="ABM96" i="6"/>
  <c r="ABL92" i="6"/>
  <c r="ABL49" i="6"/>
  <c r="ABM29" i="6"/>
  <c r="ABO72" i="6"/>
  <c r="ABJ93" i="6"/>
  <c r="ABL102" i="6"/>
  <c r="ABO116" i="6"/>
  <c r="ABL13" i="6"/>
  <c r="ABN10" i="6"/>
  <c r="ABL23" i="6"/>
  <c r="ABJ44" i="6"/>
  <c r="ABN8" i="6"/>
  <c r="ABO115" i="6"/>
  <c r="ABJ109" i="6"/>
  <c r="ABJ46" i="6"/>
  <c r="ABM27" i="6"/>
  <c r="ABK34" i="6"/>
  <c r="ABM31" i="6"/>
  <c r="ABO27" i="6"/>
  <c r="ABN15" i="6"/>
  <c r="ABO80" i="6"/>
  <c r="ABL18" i="6"/>
  <c r="ABK43" i="6"/>
  <c r="ABK24" i="6"/>
  <c r="ABK29" i="6"/>
  <c r="ABN35" i="6"/>
  <c r="ABN34" i="6"/>
  <c r="ABJ90" i="6"/>
  <c r="ABL10" i="6"/>
  <c r="ABO16" i="6"/>
  <c r="ABJ98" i="6"/>
  <c r="ABK19" i="6"/>
  <c r="ABJ70" i="6"/>
  <c r="ABN14" i="6"/>
  <c r="ABL21" i="6"/>
  <c r="ABN18" i="6"/>
  <c r="ABK36" i="6"/>
  <c r="ABK23" i="6"/>
  <c r="ABL55" i="6"/>
  <c r="ABJ42" i="6"/>
  <c r="ABN20" i="6"/>
  <c r="ABJ78" i="6"/>
  <c r="ABJ79" i="6"/>
  <c r="ABM40" i="6"/>
  <c r="ABO37" i="6"/>
  <c r="ABM74" i="6"/>
  <c r="ABJ74" i="6"/>
  <c r="ABN93" i="6"/>
  <c r="ABK31" i="6"/>
  <c r="ABK35" i="6"/>
  <c r="ABL43" i="6"/>
  <c r="ABK53" i="6"/>
  <c r="ABN59" i="6"/>
  <c r="ABK89" i="6"/>
  <c r="ABK96" i="6"/>
  <c r="ABN70" i="6"/>
  <c r="ABN43" i="6"/>
  <c r="ABM7" i="6"/>
  <c r="ABO109" i="6"/>
  <c r="ABK13" i="6"/>
  <c r="ABM115" i="6"/>
  <c r="ABM88" i="6"/>
  <c r="ABK65" i="6"/>
  <c r="ABN28" i="6"/>
  <c r="ABN83" i="6"/>
  <c r="ABO42" i="6"/>
  <c r="ABJ101" i="6"/>
  <c r="ABJ17" i="6"/>
  <c r="ABK66" i="6"/>
  <c r="ABK27" i="6"/>
  <c r="ABN112" i="6"/>
  <c r="ABN111" i="6"/>
  <c r="ABL87" i="6"/>
  <c r="ABO18" i="6"/>
  <c r="ABK38" i="6"/>
  <c r="ABJ8" i="6"/>
  <c r="ABL79" i="6"/>
  <c r="ABJ58" i="6"/>
  <c r="ABK103" i="6"/>
  <c r="ABJ85" i="6"/>
  <c r="ABN100" i="6"/>
  <c r="ABN97" i="6"/>
  <c r="ABO105" i="6"/>
  <c r="ABM112" i="6"/>
  <c r="ABL108" i="6"/>
  <c r="ABO83" i="6"/>
  <c r="ABJ81" i="6"/>
  <c r="ABO106" i="6"/>
  <c r="ABN12" i="6"/>
  <c r="ABN116" i="6"/>
  <c r="ABJ111" i="6"/>
  <c r="ABL29" i="6"/>
  <c r="ABL44" i="6"/>
  <c r="ABL57" i="6"/>
  <c r="ABJ10" i="6"/>
  <c r="ABM42" i="6"/>
  <c r="ABN101" i="6"/>
  <c r="ABO15" i="6"/>
  <c r="ABM22" i="6"/>
  <c r="ABM43" i="6"/>
  <c r="ABN51" i="6"/>
  <c r="ABK49" i="6"/>
  <c r="ABN61" i="6"/>
  <c r="ABL50" i="6"/>
  <c r="ABO114" i="6"/>
  <c r="ABK86" i="6"/>
  <c r="ABO55" i="6"/>
  <c r="ABO36" i="6"/>
  <c r="ABN46" i="6"/>
  <c r="ABL53" i="6"/>
  <c r="ABN50" i="6"/>
  <c r="ABN31" i="6"/>
  <c r="ABJ33" i="6"/>
  <c r="ABO50" i="6"/>
  <c r="ABJ26" i="6"/>
  <c r="ABO31" i="6"/>
  <c r="ABN9" i="6"/>
  <c r="ABN30" i="6"/>
  <c r="ABO38" i="6"/>
  <c r="ABL36" i="6"/>
  <c r="ABK70" i="6"/>
  <c r="ABN24" i="6"/>
  <c r="ABL89" i="6"/>
  <c r="ABM26" i="6"/>
  <c r="ABM33" i="6"/>
  <c r="ABL11" i="6"/>
  <c r="ABL16" i="6"/>
  <c r="ABK58" i="6"/>
  <c r="ABO53" i="6"/>
  <c r="ABM108" i="6"/>
  <c r="ABK63" i="6"/>
  <c r="ABN16" i="6"/>
  <c r="ABO64" i="6"/>
  <c r="ABO47" i="6"/>
  <c r="ABO60" i="6"/>
  <c r="ABK69" i="6"/>
  <c r="ABL77" i="6"/>
  <c r="ABN108" i="6"/>
  <c r="ABO108" i="6"/>
  <c r="ABM83" i="6"/>
  <c r="ABM56" i="6"/>
  <c r="ABL20" i="6"/>
  <c r="ABM38" i="6"/>
  <c r="ABO25" i="6"/>
  <c r="ABJ80" i="6"/>
  <c r="ABL101" i="6"/>
  <c r="ABO77" i="6"/>
  <c r="WG119" i="6"/>
  <c r="XN97" i="6"/>
  <c r="XN43" i="6"/>
  <c r="XN38" i="6"/>
  <c r="XN59" i="6"/>
  <c r="XY21" i="6"/>
  <c r="XY78" i="6"/>
  <c r="XY70" i="6"/>
  <c r="XY115" i="6"/>
  <c r="XY36" i="6"/>
  <c r="XY81" i="6"/>
  <c r="XY110" i="6"/>
  <c r="XY55" i="6"/>
  <c r="XC84" i="6"/>
  <c r="XC35" i="6"/>
  <c r="XC64" i="6"/>
  <c r="XC111" i="6"/>
  <c r="XC51" i="6"/>
  <c r="XC109" i="6"/>
  <c r="XC57" i="6"/>
  <c r="XC33" i="6"/>
  <c r="YU43" i="6"/>
  <c r="YU114" i="6"/>
  <c r="YU69" i="6"/>
  <c r="YU79" i="6"/>
  <c r="YU13" i="6"/>
  <c r="YU113" i="6"/>
  <c r="YU78" i="6"/>
  <c r="YU102" i="6"/>
  <c r="YU36" i="6"/>
  <c r="YU53" i="6"/>
  <c r="BN51" i="6"/>
  <c r="BN17" i="6"/>
  <c r="BN23" i="6"/>
  <c r="BN35" i="6"/>
  <c r="BN98" i="6"/>
  <c r="BN73" i="6"/>
  <c r="BN36" i="6"/>
  <c r="BN90" i="6"/>
  <c r="BN24" i="6"/>
  <c r="BN105" i="6"/>
  <c r="BN58" i="6"/>
  <c r="BN50" i="6"/>
  <c r="BN89" i="6"/>
  <c r="EP56" i="6"/>
  <c r="EP30" i="6"/>
  <c r="EP104" i="6"/>
  <c r="EP25" i="6"/>
  <c r="EP70" i="6"/>
  <c r="EP53" i="6"/>
  <c r="EP113" i="6"/>
  <c r="EP96" i="6"/>
  <c r="ACS18" i="6"/>
  <c r="ACS114" i="6"/>
  <c r="ACS14" i="6"/>
  <c r="ACS49" i="6"/>
  <c r="ACS82" i="6"/>
  <c r="ACS116" i="6"/>
  <c r="ACS22" i="6"/>
  <c r="ACS56" i="6"/>
  <c r="OB30" i="6"/>
  <c r="OB45" i="6"/>
  <c r="OB50" i="6"/>
  <c r="OB96" i="6"/>
  <c r="OB83" i="6"/>
  <c r="OB55" i="6"/>
  <c r="OB95" i="6"/>
  <c r="OB13" i="6"/>
  <c r="OB106" i="6"/>
  <c r="YJ101" i="6"/>
  <c r="YJ62" i="6"/>
  <c r="YJ83" i="6"/>
  <c r="YJ51" i="6"/>
  <c r="FX45" i="6"/>
  <c r="FX83" i="6"/>
  <c r="FX11" i="6"/>
  <c r="FX26" i="6"/>
  <c r="FX16" i="6"/>
  <c r="FX60" i="6"/>
  <c r="FX43" i="6"/>
  <c r="FX42" i="6"/>
  <c r="FX54" i="6"/>
  <c r="FX76" i="6"/>
  <c r="FX35" i="6"/>
  <c r="FX104" i="6"/>
  <c r="FX63" i="6"/>
  <c r="HW79" i="6"/>
  <c r="HW70" i="6"/>
  <c r="HW82" i="6"/>
  <c r="O92" i="6"/>
  <c r="WR58" i="6"/>
  <c r="WR68" i="6"/>
  <c r="WR69" i="6"/>
  <c r="WR75" i="6"/>
  <c r="WR9" i="6"/>
  <c r="WR15" i="6"/>
  <c r="WR74" i="6"/>
  <c r="WR84" i="6"/>
  <c r="WR14" i="6"/>
  <c r="WR85" i="6"/>
  <c r="FG26" i="6"/>
  <c r="FG102" i="6"/>
  <c r="FG107" i="6"/>
  <c r="FG8" i="6"/>
  <c r="FG63" i="6"/>
  <c r="FG41" i="6"/>
  <c r="FG36" i="6"/>
  <c r="FG103" i="6"/>
  <c r="FG65" i="6"/>
  <c r="FG86" i="6"/>
  <c r="FG42" i="6"/>
  <c r="FG20" i="6"/>
  <c r="FG51" i="6"/>
  <c r="FG84" i="6"/>
  <c r="TN109" i="6"/>
  <c r="TO96" i="6"/>
  <c r="TK84" i="6"/>
  <c r="TL71" i="6"/>
  <c r="TM58" i="6"/>
  <c r="TN45" i="6"/>
  <c r="TO32" i="6"/>
  <c r="TK20" i="6"/>
  <c r="TL7" i="6"/>
  <c r="TL106" i="6"/>
  <c r="TM93" i="6"/>
  <c r="TN80" i="6"/>
  <c r="TO67" i="6"/>
  <c r="TK55" i="6"/>
  <c r="TL42" i="6"/>
  <c r="TM29" i="6"/>
  <c r="TN16" i="6"/>
  <c r="TM115" i="6"/>
  <c r="TN102" i="6"/>
  <c r="TO89" i="6"/>
  <c r="TK77" i="6"/>
  <c r="TL64" i="6"/>
  <c r="TM51" i="6"/>
  <c r="TN38" i="6"/>
  <c r="TO25" i="6"/>
  <c r="TK112" i="6"/>
  <c r="TL99" i="6"/>
  <c r="TM86" i="6"/>
  <c r="TN73" i="6"/>
  <c r="TO60" i="6"/>
  <c r="TK48" i="6"/>
  <c r="TL35" i="6"/>
  <c r="TM22" i="6"/>
  <c r="TN108" i="6"/>
  <c r="TO95" i="6"/>
  <c r="TK83" i="6"/>
  <c r="TL70" i="6"/>
  <c r="TM57" i="6"/>
  <c r="TN44" i="6"/>
  <c r="TO31" i="6"/>
  <c r="TK19" i="6"/>
  <c r="TL6" i="6"/>
  <c r="TL84" i="6"/>
  <c r="TK50" i="6"/>
  <c r="TK17" i="6"/>
  <c r="TM100" i="6"/>
  <c r="TN66" i="6"/>
  <c r="TM32" i="6"/>
  <c r="TM6" i="6"/>
  <c r="TM87" i="6"/>
  <c r="TL53" i="6"/>
  <c r="TO18" i="6"/>
  <c r="TL108" i="6"/>
  <c r="TK74" i="6"/>
  <c r="TN39" i="6"/>
  <c r="TO10" i="6"/>
  <c r="TN111" i="6"/>
  <c r="TO77" i="6"/>
  <c r="TN43" i="6"/>
  <c r="TK13" i="6"/>
  <c r="TL17" i="6"/>
  <c r="TK94" i="6"/>
  <c r="TL60" i="6"/>
  <c r="TK26" i="6"/>
  <c r="TL93" i="6"/>
  <c r="TO110" i="6"/>
  <c r="TM76" i="6"/>
  <c r="TN42" i="6"/>
  <c r="TM12" i="6"/>
  <c r="TK46" i="6"/>
  <c r="TJ85" i="6"/>
  <c r="TJ21" i="6"/>
  <c r="TJ68" i="6"/>
  <c r="TJ111" i="6"/>
  <c r="TJ47" i="6"/>
  <c r="TJ90" i="6"/>
  <c r="TJ102" i="6"/>
  <c r="TJ106" i="6"/>
  <c r="TJ113" i="6"/>
  <c r="TJ72" i="6"/>
  <c r="TJ27" i="6"/>
  <c r="TJ83" i="6"/>
  <c r="TJ19" i="6"/>
  <c r="TJ74" i="6"/>
  <c r="TK108" i="6"/>
  <c r="TL95" i="6"/>
  <c r="TM82" i="6"/>
  <c r="TN69" i="6"/>
  <c r="TO56" i="6"/>
  <c r="TK44" i="6"/>
  <c r="TL31" i="6"/>
  <c r="TM18" i="6"/>
  <c r="TM117" i="6"/>
  <c r="TN104" i="6"/>
  <c r="TO91" i="6"/>
  <c r="TK79" i="6"/>
  <c r="TL66" i="6"/>
  <c r="TM53" i="6"/>
  <c r="TN40" i="6"/>
  <c r="TO27" i="6"/>
  <c r="TK15" i="6"/>
  <c r="TO113" i="6"/>
  <c r="TK101" i="6"/>
  <c r="TL88" i="6"/>
  <c r="TM75" i="6"/>
  <c r="TN62" i="6"/>
  <c r="TO49" i="6"/>
  <c r="TK37" i="6"/>
  <c r="TL24" i="6"/>
  <c r="TM110" i="6"/>
  <c r="TN97" i="6"/>
  <c r="TO84" i="6"/>
  <c r="TK72" i="6"/>
  <c r="TL59" i="6"/>
  <c r="TM46" i="6"/>
  <c r="TN33" i="6"/>
  <c r="TO20" i="6"/>
  <c r="TK107" i="6"/>
  <c r="TL94" i="6"/>
  <c r="TM81" i="6"/>
  <c r="TN68" i="6"/>
  <c r="TO55" i="6"/>
  <c r="TK43" i="6"/>
  <c r="TL30" i="6"/>
  <c r="TM17" i="6"/>
  <c r="TK114" i="6"/>
  <c r="TN79" i="6"/>
  <c r="TO45" i="6"/>
  <c r="TN11" i="6"/>
  <c r="TM96" i="6"/>
  <c r="TK62" i="6"/>
  <c r="TL28" i="6"/>
  <c r="TL117" i="6"/>
  <c r="TO82" i="6"/>
  <c r="TK49" i="6"/>
  <c r="TL16" i="6"/>
  <c r="TN103" i="6"/>
  <c r="TO69" i="6"/>
  <c r="TN35" i="6"/>
  <c r="TL8" i="6"/>
  <c r="TN107" i="6"/>
  <c r="TL73" i="6"/>
  <c r="TM39" i="6"/>
  <c r="TN10" i="6"/>
  <c r="TO6" i="6"/>
  <c r="TK90" i="6"/>
  <c r="TN55" i="6"/>
  <c r="TO21" i="6"/>
  <c r="TM84" i="6"/>
  <c r="TN106" i="6"/>
  <c r="TM72" i="6"/>
  <c r="TK38" i="6"/>
  <c r="TO9" i="6"/>
  <c r="TK25" i="6"/>
  <c r="TJ77" i="6"/>
  <c r="TJ13" i="6"/>
  <c r="TJ60" i="6"/>
  <c r="TJ103" i="6"/>
  <c r="TJ39" i="6"/>
  <c r="TJ78" i="6"/>
  <c r="TJ89" i="6"/>
  <c r="TJ94" i="6"/>
  <c r="TJ96" i="6"/>
  <c r="TJ49" i="6"/>
  <c r="TJ8" i="6"/>
  <c r="TJ62" i="6"/>
  <c r="TJ98" i="6"/>
  <c r="TJ34" i="6"/>
  <c r="TJ6" i="6"/>
  <c r="TM106" i="6"/>
  <c r="TN93" i="6"/>
  <c r="TO80" i="6"/>
  <c r="TK68" i="6"/>
  <c r="TL55" i="6"/>
  <c r="TM42" i="6"/>
  <c r="TN29" i="6"/>
  <c r="TO16" i="6"/>
  <c r="TO115" i="6"/>
  <c r="TK103" i="6"/>
  <c r="TL90" i="6"/>
  <c r="TM77" i="6"/>
  <c r="TN64" i="6"/>
  <c r="TO51" i="6"/>
  <c r="TK39" i="6"/>
  <c r="TL26" i="6"/>
  <c r="TM13" i="6"/>
  <c r="TL112" i="6"/>
  <c r="TM99" i="6"/>
  <c r="TN86" i="6"/>
  <c r="TO73" i="6"/>
  <c r="TK61" i="6"/>
  <c r="TL48" i="6"/>
  <c r="TM35" i="6"/>
  <c r="TN22" i="6"/>
  <c r="TO108" i="6"/>
  <c r="TK96" i="6"/>
  <c r="TL83" i="6"/>
  <c r="TM70" i="6"/>
  <c r="TN57" i="6"/>
  <c r="TO44" i="6"/>
  <c r="TK32" i="6"/>
  <c r="TL19" i="6"/>
  <c r="TM105" i="6"/>
  <c r="TN92" i="6"/>
  <c r="TO79" i="6"/>
  <c r="TK67" i="6"/>
  <c r="TL54" i="6"/>
  <c r="TM41" i="6"/>
  <c r="TN28" i="6"/>
  <c r="TO15" i="6"/>
  <c r="TO109" i="6"/>
  <c r="TN75" i="6"/>
  <c r="TL41" i="6"/>
  <c r="TL9" i="6"/>
  <c r="TL92" i="6"/>
  <c r="TK58" i="6"/>
  <c r="TN23" i="6"/>
  <c r="TK113" i="6"/>
  <c r="TO78" i="6"/>
  <c r="TM44" i="6"/>
  <c r="TO13" i="6"/>
  <c r="TN99" i="6"/>
  <c r="TL65" i="6"/>
  <c r="TM31" i="6"/>
  <c r="TK106" i="6"/>
  <c r="TM103" i="6"/>
  <c r="TL69" i="6"/>
  <c r="TO34" i="6"/>
  <c r="TK8" i="6"/>
  <c r="TM14" i="6"/>
  <c r="TO85" i="6"/>
  <c r="TN51" i="6"/>
  <c r="TO17" i="6"/>
  <c r="TN71" i="6"/>
  <c r="TK102" i="6"/>
  <c r="TL68" i="6"/>
  <c r="TK34" i="6"/>
  <c r="TM7" i="6"/>
  <c r="TL12" i="6"/>
  <c r="TJ69" i="6"/>
  <c r="TJ116" i="6"/>
  <c r="TJ52" i="6"/>
  <c r="TJ95" i="6"/>
  <c r="TJ31" i="6"/>
  <c r="TJ65" i="6"/>
  <c r="TJ75" i="6"/>
  <c r="TJ81" i="6"/>
  <c r="TJ73" i="6"/>
  <c r="TJ32" i="6"/>
  <c r="TJ107" i="6"/>
  <c r="TJ43" i="6"/>
  <c r="TJ80" i="6"/>
  <c r="TJ16" i="6"/>
  <c r="TN117" i="6"/>
  <c r="TO104" i="6"/>
  <c r="TK92" i="6"/>
  <c r="TL79" i="6"/>
  <c r="TM66" i="6"/>
  <c r="TN53" i="6"/>
  <c r="TO40" i="6"/>
  <c r="TK28" i="6"/>
  <c r="TL15" i="6"/>
  <c r="TL114" i="6"/>
  <c r="TM101" i="6"/>
  <c r="TN88" i="6"/>
  <c r="TO75" i="6"/>
  <c r="TK63" i="6"/>
  <c r="TL50" i="6"/>
  <c r="TM37" i="6"/>
  <c r="TN24" i="6"/>
  <c r="TO11" i="6"/>
  <c r="TN110" i="6"/>
  <c r="TO97" i="6"/>
  <c r="TK85" i="6"/>
  <c r="TL72" i="6"/>
  <c r="TM59" i="6"/>
  <c r="TN46" i="6"/>
  <c r="TO33" i="6"/>
  <c r="TK21" i="6"/>
  <c r="TL107" i="6"/>
  <c r="TM94" i="6"/>
  <c r="TN81" i="6"/>
  <c r="TO68" i="6"/>
  <c r="TK56" i="6"/>
  <c r="TL43" i="6"/>
  <c r="TM30" i="6"/>
  <c r="TN116" i="6"/>
  <c r="TO103" i="6"/>
  <c r="TK91" i="6"/>
  <c r="TL78" i="6"/>
  <c r="TM65" i="6"/>
  <c r="TN52" i="6"/>
  <c r="TO39" i="6"/>
  <c r="TK27" i="6"/>
  <c r="TL14" i="6"/>
  <c r="TL105" i="6"/>
  <c r="TM71" i="6"/>
  <c r="TL37" i="6"/>
  <c r="TN6" i="6"/>
  <c r="TN87" i="6"/>
  <c r="TO53" i="6"/>
  <c r="TN19" i="6"/>
  <c r="TM108" i="6"/>
  <c r="TN74" i="6"/>
  <c r="TM40" i="6"/>
  <c r="TM8" i="6"/>
  <c r="TM95" i="6"/>
  <c r="TL61" i="6"/>
  <c r="TO26" i="6"/>
  <c r="TO54" i="6"/>
  <c r="TO98" i="6"/>
  <c r="TK65" i="6"/>
  <c r="TO30" i="6"/>
  <c r="TO101" i="6"/>
  <c r="TN115" i="6"/>
  <c r="TL81" i="6"/>
  <c r="TM47" i="6"/>
  <c r="TM15" i="6"/>
  <c r="TO58" i="6"/>
  <c r="TK98" i="6"/>
  <c r="TN63" i="6"/>
  <c r="TO29" i="6"/>
  <c r="TK110" i="6"/>
  <c r="TJ61" i="6"/>
  <c r="TJ108" i="6"/>
  <c r="TJ44" i="6"/>
  <c r="TJ87" i="6"/>
  <c r="TJ23" i="6"/>
  <c r="TJ51" i="6"/>
  <c r="TJ64" i="6"/>
  <c r="TJ67" i="6"/>
  <c r="TJ54" i="6"/>
  <c r="TJ9" i="6"/>
  <c r="TJ86" i="6"/>
  <c r="TJ22" i="6"/>
  <c r="TJ58" i="6"/>
  <c r="TK116" i="6"/>
  <c r="TL103" i="6"/>
  <c r="TM90" i="6"/>
  <c r="TN77" i="6"/>
  <c r="TO64" i="6"/>
  <c r="TK52" i="6"/>
  <c r="TL39" i="6"/>
  <c r="TM26" i="6"/>
  <c r="TN13" i="6"/>
  <c r="TN112" i="6"/>
  <c r="TO99" i="6"/>
  <c r="TK87" i="6"/>
  <c r="TL74" i="6"/>
  <c r="TM61" i="6"/>
  <c r="TN48" i="6"/>
  <c r="TO35" i="6"/>
  <c r="TK23" i="6"/>
  <c r="TL10" i="6"/>
  <c r="TK109" i="6"/>
  <c r="TL96" i="6"/>
  <c r="TM83" i="6"/>
  <c r="TN70" i="6"/>
  <c r="TO57" i="6"/>
  <c r="TK45" i="6"/>
  <c r="TL32" i="6"/>
  <c r="TM19" i="6"/>
  <c r="TN105" i="6"/>
  <c r="TO92" i="6"/>
  <c r="TK80" i="6"/>
  <c r="TL67" i="6"/>
  <c r="TM54" i="6"/>
  <c r="TN41" i="6"/>
  <c r="TO28" i="6"/>
  <c r="TK115" i="6"/>
  <c r="TL102" i="6"/>
  <c r="TM89" i="6"/>
  <c r="TN76" i="6"/>
  <c r="TO63" i="6"/>
  <c r="TK51" i="6"/>
  <c r="TL38" i="6"/>
  <c r="TM25" i="6"/>
  <c r="TN12" i="6"/>
  <c r="TL101" i="6"/>
  <c r="TO66" i="6"/>
  <c r="TK33" i="6"/>
  <c r="TO117" i="6"/>
  <c r="TN83" i="6"/>
  <c r="TL49" i="6"/>
  <c r="TM16" i="6"/>
  <c r="TM104" i="6"/>
  <c r="TK70" i="6"/>
  <c r="TL36" i="6"/>
  <c r="TK6" i="6"/>
  <c r="TO90" i="6"/>
  <c r="TK57" i="6"/>
  <c r="TO22" i="6"/>
  <c r="TO37" i="6"/>
  <c r="TO94" i="6"/>
  <c r="TM60" i="6"/>
  <c r="TN26" i="6"/>
  <c r="TM80" i="6"/>
  <c r="TM111" i="6"/>
  <c r="TL77" i="6"/>
  <c r="TO42" i="6"/>
  <c r="TO12" i="6"/>
  <c r="TK42" i="6"/>
  <c r="TO93" i="6"/>
  <c r="TN59" i="6"/>
  <c r="TL25" i="6"/>
  <c r="TL97" i="6"/>
  <c r="TJ117" i="6"/>
  <c r="TJ53" i="6"/>
  <c r="TJ100" i="6"/>
  <c r="TJ36" i="6"/>
  <c r="TJ79" i="6"/>
  <c r="TJ15" i="6"/>
  <c r="TJ40" i="6"/>
  <c r="TJ50" i="6"/>
  <c r="TJ56" i="6"/>
  <c r="TJ33" i="6"/>
  <c r="TJ110" i="6"/>
  <c r="TJ66" i="6"/>
  <c r="TJ99" i="6"/>
  <c r="TJ35" i="6"/>
  <c r="TM114" i="6"/>
  <c r="TN101" i="6"/>
  <c r="TO88" i="6"/>
  <c r="TK76" i="6"/>
  <c r="TL63" i="6"/>
  <c r="TM50" i="6"/>
  <c r="TN37" i="6"/>
  <c r="TO24" i="6"/>
  <c r="TK12" i="6"/>
  <c r="TK111" i="6"/>
  <c r="TL98" i="6"/>
  <c r="TM85" i="6"/>
  <c r="TN72" i="6"/>
  <c r="TO59" i="6"/>
  <c r="TK47" i="6"/>
  <c r="TL34" i="6"/>
  <c r="TM21" i="6"/>
  <c r="TN8" i="6"/>
  <c r="TM107" i="6"/>
  <c r="TN94" i="6"/>
  <c r="TO81" i="6"/>
  <c r="TK69" i="6"/>
  <c r="TL56" i="6"/>
  <c r="TM43" i="6"/>
  <c r="TN30" i="6"/>
  <c r="TO116" i="6"/>
  <c r="TK104" i="6"/>
  <c r="TL91" i="6"/>
  <c r="TM78" i="6"/>
  <c r="TN65" i="6"/>
  <c r="TO52" i="6"/>
  <c r="TK40" i="6"/>
  <c r="TL27" i="6"/>
  <c r="TM113" i="6"/>
  <c r="TN100" i="6"/>
  <c r="TO87" i="6"/>
  <c r="TK75" i="6"/>
  <c r="TL62" i="6"/>
  <c r="TM49" i="6"/>
  <c r="TN36" i="6"/>
  <c r="TO23" i="6"/>
  <c r="TK11" i="6"/>
  <c r="TK97" i="6"/>
  <c r="TO62" i="6"/>
  <c r="TM28" i="6"/>
  <c r="TL113" i="6"/>
  <c r="TM79" i="6"/>
  <c r="TL45" i="6"/>
  <c r="TK14" i="6"/>
  <c r="TL100" i="6"/>
  <c r="TK66" i="6"/>
  <c r="TN31" i="6"/>
  <c r="TL11" i="6"/>
  <c r="TO86" i="6"/>
  <c r="TM52" i="6"/>
  <c r="TN18" i="6"/>
  <c r="TM20" i="6"/>
  <c r="TN90" i="6"/>
  <c r="TM56" i="6"/>
  <c r="TK22" i="6"/>
  <c r="TN67" i="6"/>
  <c r="TO106" i="6"/>
  <c r="TK73" i="6"/>
  <c r="TO38" i="6"/>
  <c r="TK10" i="6"/>
  <c r="TL29" i="6"/>
  <c r="TL89" i="6"/>
  <c r="TM55" i="6"/>
  <c r="TL21" i="6"/>
  <c r="TK89" i="6"/>
  <c r="TJ109" i="6"/>
  <c r="TJ45" i="6"/>
  <c r="TJ92" i="6"/>
  <c r="TJ28" i="6"/>
  <c r="TJ71" i="6"/>
  <c r="TJ7" i="6"/>
  <c r="TJ26" i="6"/>
  <c r="TJ38" i="6"/>
  <c r="TJ42" i="6"/>
  <c r="TJ10" i="6"/>
  <c r="TJ88" i="6"/>
  <c r="TJ46" i="6"/>
  <c r="TJ82" i="6"/>
  <c r="TJ18" i="6"/>
  <c r="TO112" i="6"/>
  <c r="TK100" i="6"/>
  <c r="TL87" i="6"/>
  <c r="TM74" i="6"/>
  <c r="TN61" i="6"/>
  <c r="TO48" i="6"/>
  <c r="TK36" i="6"/>
  <c r="TL23" i="6"/>
  <c r="TM10" i="6"/>
  <c r="TM109" i="6"/>
  <c r="TN96" i="6"/>
  <c r="TO83" i="6"/>
  <c r="TK71" i="6"/>
  <c r="TL58" i="6"/>
  <c r="TM45" i="6"/>
  <c r="TN32" i="6"/>
  <c r="TO19" i="6"/>
  <c r="TK7" i="6"/>
  <c r="TO105" i="6"/>
  <c r="TK93" i="6"/>
  <c r="TL80" i="6"/>
  <c r="TM67" i="6"/>
  <c r="TN54" i="6"/>
  <c r="TO41" i="6"/>
  <c r="TK29" i="6"/>
  <c r="TL115" i="6"/>
  <c r="TM102" i="6"/>
  <c r="TN89" i="6"/>
  <c r="TO76" i="6"/>
  <c r="TK64" i="6"/>
  <c r="TL51" i="6"/>
  <c r="TM38" i="6"/>
  <c r="TN25" i="6"/>
  <c r="TO111" i="6"/>
  <c r="TK99" i="6"/>
  <c r="TL86" i="6"/>
  <c r="TM73" i="6"/>
  <c r="TN60" i="6"/>
  <c r="TO47" i="6"/>
  <c r="TK35" i="6"/>
  <c r="TL22" i="6"/>
  <c r="TM9" i="6"/>
  <c r="TM92" i="6"/>
  <c r="TN58" i="6"/>
  <c r="TM24" i="6"/>
  <c r="TL109" i="6"/>
  <c r="TO74" i="6"/>
  <c r="TK41" i="6"/>
  <c r="TM11" i="6"/>
  <c r="TN95" i="6"/>
  <c r="TO61" i="6"/>
  <c r="TN27" i="6"/>
  <c r="TM116" i="6"/>
  <c r="TN82" i="6"/>
  <c r="TM48" i="6"/>
  <c r="TK16" i="6"/>
  <c r="TN9" i="6"/>
  <c r="TK86" i="6"/>
  <c r="TL52" i="6"/>
  <c r="TK18" i="6"/>
  <c r="TN50" i="6"/>
  <c r="TO102" i="6"/>
  <c r="TM68" i="6"/>
  <c r="TN34" i="6"/>
  <c r="TN7" i="6"/>
  <c r="TN14" i="6"/>
  <c r="TL85" i="6"/>
  <c r="TO50" i="6"/>
  <c r="TN17" i="6"/>
  <c r="TL76" i="6"/>
  <c r="TJ101" i="6"/>
  <c r="TJ37" i="6"/>
  <c r="TJ84" i="6"/>
  <c r="TJ20" i="6"/>
  <c r="TJ63" i="6"/>
  <c r="TJ115" i="6"/>
  <c r="TJ14" i="6"/>
  <c r="TJ25" i="6"/>
  <c r="TJ30" i="6"/>
  <c r="TJ112" i="6"/>
  <c r="TJ70" i="6"/>
  <c r="TJ24" i="6"/>
  <c r="TJ59" i="6"/>
  <c r="TJ97" i="6"/>
  <c r="TL111" i="6"/>
  <c r="TM98" i="6"/>
  <c r="TN85" i="6"/>
  <c r="TO72" i="6"/>
  <c r="TK60" i="6"/>
  <c r="TL47" i="6"/>
  <c r="TM34" i="6"/>
  <c r="TN21" i="6"/>
  <c r="TO8" i="6"/>
  <c r="TO107" i="6"/>
  <c r="TK95" i="6"/>
  <c r="TL82" i="6"/>
  <c r="TM69" i="6"/>
  <c r="TN56" i="6"/>
  <c r="TO43" i="6"/>
  <c r="TK31" i="6"/>
  <c r="TL18" i="6"/>
  <c r="TK117" i="6"/>
  <c r="TL104" i="6"/>
  <c r="TM91" i="6"/>
  <c r="TN78" i="6"/>
  <c r="TO65" i="6"/>
  <c r="TK53" i="6"/>
  <c r="TL40" i="6"/>
  <c r="TM27" i="6"/>
  <c r="TN113" i="6"/>
  <c r="TO100" i="6"/>
  <c r="TK88" i="6"/>
  <c r="TL75" i="6"/>
  <c r="TM62" i="6"/>
  <c r="TN49" i="6"/>
  <c r="TO36" i="6"/>
  <c r="TK24" i="6"/>
  <c r="TL110" i="6"/>
  <c r="TM97" i="6"/>
  <c r="TN84" i="6"/>
  <c r="TO71" i="6"/>
  <c r="TK59" i="6"/>
  <c r="TL46" i="6"/>
  <c r="TM33" i="6"/>
  <c r="TN20" i="6"/>
  <c r="TO7" i="6"/>
  <c r="TM88" i="6"/>
  <c r="TK54" i="6"/>
  <c r="TL20" i="6"/>
  <c r="TK105" i="6"/>
  <c r="TO70" i="6"/>
  <c r="TM36" i="6"/>
  <c r="TK9" i="6"/>
  <c r="TN91" i="6"/>
  <c r="TL57" i="6"/>
  <c r="TM23" i="6"/>
  <c r="TM112" i="6"/>
  <c r="TK78" i="6"/>
  <c r="TL44" i="6"/>
  <c r="TL13" i="6"/>
  <c r="TL116" i="6"/>
  <c r="TK82" i="6"/>
  <c r="TN47" i="6"/>
  <c r="TN15" i="6"/>
  <c r="TL33" i="6"/>
  <c r="TN98" i="6"/>
  <c r="TM64" i="6"/>
  <c r="TK30" i="6"/>
  <c r="TN114" i="6"/>
  <c r="TO114" i="6"/>
  <c r="TK81" i="6"/>
  <c r="TO46" i="6"/>
  <c r="TO14" i="6"/>
  <c r="TM63" i="6"/>
  <c r="TJ93" i="6"/>
  <c r="TJ29" i="6"/>
  <c r="TJ76" i="6"/>
  <c r="TJ12" i="6"/>
  <c r="TJ55" i="6"/>
  <c r="TJ104" i="6"/>
  <c r="TJ114" i="6"/>
  <c r="TJ11" i="6"/>
  <c r="TJ17" i="6"/>
  <c r="TJ91" i="6"/>
  <c r="TJ48" i="6"/>
  <c r="TJ105" i="6"/>
  <c r="TJ41" i="6"/>
  <c r="TJ57" i="6"/>
  <c r="CG10" i="6"/>
  <c r="CG75" i="6"/>
  <c r="CG6" i="6"/>
  <c r="CG27" i="6"/>
  <c r="CG98" i="6"/>
  <c r="CG80" i="6"/>
  <c r="CG116" i="6"/>
  <c r="CG115" i="6"/>
  <c r="CG78" i="6"/>
  <c r="MN116" i="6"/>
  <c r="MM6" i="6"/>
  <c r="MO15" i="6"/>
  <c r="MP104" i="6"/>
  <c r="MN112" i="6"/>
  <c r="MP89" i="6"/>
  <c r="MP36" i="6"/>
  <c r="MN18" i="6"/>
  <c r="MQ26" i="6"/>
  <c r="MM99" i="6"/>
  <c r="MN108" i="6"/>
  <c r="MQ69" i="6"/>
  <c r="MQ8" i="6"/>
  <c r="MP110" i="6"/>
  <c r="MQ68" i="6"/>
  <c r="MN38" i="6"/>
  <c r="MO73" i="6"/>
  <c r="MM48" i="6"/>
  <c r="MM26" i="6"/>
  <c r="MN79" i="6"/>
  <c r="MQ70" i="6"/>
  <c r="MO35" i="6"/>
  <c r="MN73" i="6"/>
  <c r="MN82" i="6"/>
  <c r="MM108" i="6"/>
  <c r="MM34" i="6"/>
  <c r="MQ61" i="6"/>
  <c r="MO117" i="6"/>
  <c r="MQ105" i="6"/>
  <c r="MP65" i="6"/>
  <c r="MO25" i="6"/>
  <c r="MO92" i="6"/>
  <c r="MM32" i="6"/>
  <c r="MP111" i="6"/>
  <c r="MQ56" i="6"/>
  <c r="MQ46" i="6"/>
  <c r="MQ116" i="6"/>
  <c r="MQ10" i="6"/>
  <c r="MO84" i="6"/>
  <c r="MM20" i="6"/>
  <c r="MM77" i="6"/>
  <c r="MQ29" i="6"/>
  <c r="MQ91" i="6"/>
  <c r="MO83" i="6"/>
  <c r="MN43" i="6"/>
  <c r="MQ67" i="6"/>
  <c r="MQ27" i="6"/>
  <c r="MM46" i="6"/>
  <c r="MO103" i="6"/>
  <c r="MQ32" i="6"/>
  <c r="MO24" i="6"/>
  <c r="MO94" i="6"/>
  <c r="MP8" i="6"/>
  <c r="MP24" i="6"/>
  <c r="MM33" i="6"/>
  <c r="MM103" i="6"/>
  <c r="MP85" i="6"/>
  <c r="MN77" i="6"/>
  <c r="MQ41" i="6"/>
  <c r="MN90" i="6"/>
  <c r="MN12" i="6"/>
  <c r="MN6" i="6"/>
  <c r="MM98" i="6"/>
  <c r="MQ45" i="6"/>
  <c r="MN106" i="6"/>
  <c r="MP94" i="6"/>
  <c r="MQ52" i="6"/>
  <c r="MN94" i="6"/>
  <c r="MO53" i="6"/>
  <c r="MM94" i="6"/>
  <c r="MR44" i="6"/>
  <c r="MR104" i="6"/>
  <c r="MR35" i="6"/>
  <c r="MR30" i="6"/>
  <c r="MR43" i="6"/>
  <c r="MR40" i="6"/>
  <c r="MR102" i="6"/>
  <c r="MR53" i="6"/>
  <c r="MR94" i="6"/>
  <c r="MR9" i="6"/>
  <c r="MR66" i="6"/>
  <c r="MR83" i="6"/>
  <c r="MR33" i="6"/>
  <c r="MR106" i="6"/>
  <c r="MP103" i="6"/>
  <c r="MO112" i="6"/>
  <c r="MN96" i="6"/>
  <c r="MQ95" i="6"/>
  <c r="MM60" i="6"/>
  <c r="MN92" i="6"/>
  <c r="MO101" i="6"/>
  <c r="MN51" i="6"/>
  <c r="MN49" i="6"/>
  <c r="MO116" i="6"/>
  <c r="MN53" i="6"/>
  <c r="MO17" i="6"/>
  <c r="MM36" i="6"/>
  <c r="MQ37" i="6"/>
  <c r="MN88" i="6"/>
  <c r="MP80" i="6"/>
  <c r="MM62" i="6"/>
  <c r="MP37" i="6"/>
  <c r="MN99" i="6"/>
  <c r="MN33" i="6"/>
  <c r="MM57" i="6"/>
  <c r="MN111" i="6"/>
  <c r="MQ65" i="6"/>
  <c r="MP16" i="6"/>
  <c r="MM53" i="6"/>
  <c r="MN15" i="6"/>
  <c r="MQ76" i="6"/>
  <c r="MQ63" i="6"/>
  <c r="MM72" i="6"/>
  <c r="MO66" i="6"/>
  <c r="MN24" i="6"/>
  <c r="MQ47" i="6"/>
  <c r="MM47" i="6"/>
  <c r="MQ110" i="6"/>
  <c r="MN35" i="6"/>
  <c r="MN9" i="6"/>
  <c r="MM22" i="6"/>
  <c r="MR19" i="6"/>
  <c r="MR31" i="6"/>
  <c r="MR74" i="6"/>
  <c r="MR95" i="6"/>
  <c r="MR80" i="6"/>
  <c r="MR27" i="6"/>
  <c r="MR76" i="6"/>
  <c r="MN26" i="6"/>
  <c r="MO86" i="6"/>
  <c r="MQ96" i="6"/>
  <c r="MP21" i="6"/>
  <c r="MO74" i="6"/>
  <c r="MM111" i="6"/>
  <c r="MM8" i="6"/>
  <c r="MM113" i="6"/>
  <c r="MM21" i="6"/>
  <c r="MM42" i="6"/>
  <c r="MR63" i="6"/>
  <c r="MN100" i="6"/>
  <c r="MN103" i="6"/>
  <c r="MP73" i="6"/>
  <c r="MQ58" i="6"/>
  <c r="MM82" i="6"/>
  <c r="MP42" i="6"/>
  <c r="MO91" i="6"/>
  <c r="MN89" i="6"/>
  <c r="MM86" i="6"/>
  <c r="MP61" i="6"/>
  <c r="MQ17" i="6"/>
  <c r="MO93" i="6"/>
  <c r="MM109" i="6"/>
  <c r="MN98" i="6"/>
  <c r="MO46" i="6"/>
  <c r="MP40" i="6"/>
  <c r="MQ109" i="6"/>
  <c r="MN29" i="6"/>
  <c r="MP39" i="6"/>
  <c r="MM43" i="6"/>
  <c r="MN101" i="6"/>
  <c r="MO22" i="6"/>
  <c r="MN74" i="6"/>
  <c r="MQ77" i="6"/>
  <c r="MQ6" i="6"/>
  <c r="MQ19" i="6"/>
  <c r="MM74" i="6"/>
  <c r="MP59" i="6"/>
  <c r="MP47" i="6"/>
  <c r="MM68" i="6"/>
  <c r="MQ21" i="6"/>
  <c r="MO75" i="6"/>
  <c r="MN46" i="6"/>
  <c r="MR65" i="6"/>
  <c r="MR85" i="6"/>
  <c r="MR81" i="6"/>
  <c r="MR107" i="6"/>
  <c r="MR23" i="6"/>
  <c r="MR20" i="6"/>
  <c r="MR14" i="6"/>
  <c r="MO31" i="6"/>
  <c r="MQ90" i="6"/>
  <c r="MP19" i="6"/>
  <c r="MM55" i="6"/>
  <c r="MM67" i="6"/>
  <c r="MM104" i="6"/>
  <c r="MN65" i="6"/>
  <c r="MN17" i="6"/>
  <c r="MP79" i="6"/>
  <c r="MO59" i="6"/>
  <c r="MQ113" i="6"/>
  <c r="MR29" i="6"/>
  <c r="MR18" i="6"/>
  <c r="MN84" i="6"/>
  <c r="MO111" i="6"/>
  <c r="MN87" i="6"/>
  <c r="MO96" i="6"/>
  <c r="MN80" i="6"/>
  <c r="MP57" i="6"/>
  <c r="MQ59" i="6"/>
  <c r="MO20" i="6"/>
  <c r="MM105" i="6"/>
  <c r="MM63" i="6"/>
  <c r="MN76" i="6"/>
  <c r="MP18" i="6"/>
  <c r="MN109" i="6"/>
  <c r="MQ73" i="6"/>
  <c r="MP33" i="6"/>
  <c r="MN42" i="6"/>
  <c r="MP6" i="6"/>
  <c r="MM14" i="6"/>
  <c r="MQ117" i="6"/>
  <c r="MO42" i="6"/>
  <c r="MP35" i="6"/>
  <c r="MO102" i="6"/>
  <c r="MP15" i="6"/>
  <c r="MO41" i="6"/>
  <c r="MM73" i="6"/>
  <c r="MM75" i="6"/>
  <c r="MO114" i="6"/>
  <c r="MO104" i="6"/>
  <c r="MP70" i="6"/>
  <c r="MQ28" i="6"/>
  <c r="MO29" i="6"/>
  <c r="MQ82" i="6"/>
  <c r="MM85" i="6"/>
  <c r="MQ85" i="6"/>
  <c r="MO18" i="6"/>
  <c r="MP11" i="6"/>
  <c r="MP81" i="6"/>
  <c r="MP72" i="6"/>
  <c r="MN58" i="6"/>
  <c r="MM96" i="6"/>
  <c r="MM106" i="6"/>
  <c r="MO90" i="6"/>
  <c r="MP83" i="6"/>
  <c r="MP46" i="6"/>
  <c r="MN110" i="6"/>
  <c r="MO45" i="6"/>
  <c r="MP31" i="6"/>
  <c r="MM19" i="6"/>
  <c r="MQ53" i="6"/>
  <c r="MP112" i="6"/>
  <c r="MO99" i="6"/>
  <c r="MN59" i="6"/>
  <c r="MP10" i="6"/>
  <c r="MN66" i="6"/>
  <c r="MM110" i="6"/>
  <c r="MO100" i="6"/>
  <c r="MQ48" i="6"/>
  <c r="MO40" i="6"/>
  <c r="MO110" i="6"/>
  <c r="MN62" i="6"/>
  <c r="MP71" i="6"/>
  <c r="MM97" i="6"/>
  <c r="MM13" i="6"/>
  <c r="MP101" i="6"/>
  <c r="MN93" i="6"/>
  <c r="MQ57" i="6"/>
  <c r="MP17" i="6"/>
  <c r="MP7" i="6"/>
  <c r="MN57" i="6"/>
  <c r="MM115" i="6"/>
  <c r="MR75" i="6"/>
  <c r="MR52" i="6"/>
  <c r="MR91" i="6"/>
  <c r="MR38" i="6"/>
  <c r="MR16" i="6"/>
  <c r="MR22" i="6"/>
  <c r="MR86" i="6"/>
  <c r="MR32" i="6"/>
  <c r="MR46" i="6"/>
  <c r="MR6" i="6"/>
  <c r="MR100" i="6"/>
  <c r="MR8" i="6"/>
  <c r="MR69" i="6"/>
  <c r="MR49" i="6"/>
  <c r="MP105" i="6"/>
  <c r="MM117" i="6"/>
  <c r="MQ9" i="6"/>
  <c r="MO44" i="6"/>
  <c r="MP76" i="6"/>
  <c r="MO60" i="6"/>
  <c r="MP102" i="6"/>
  <c r="MP43" i="6"/>
  <c r="MQ94" i="6"/>
  <c r="MO10" i="6"/>
  <c r="MR59" i="6"/>
  <c r="MR57" i="6"/>
  <c r="MN68" i="6"/>
  <c r="MO95" i="6"/>
  <c r="MN71" i="6"/>
  <c r="MO80" i="6"/>
  <c r="MN64" i="6"/>
  <c r="MP41" i="6"/>
  <c r="MO13" i="6"/>
  <c r="MP32" i="6"/>
  <c r="MM41" i="6"/>
  <c r="MM45" i="6"/>
  <c r="MN60" i="6"/>
  <c r="MO98" i="6"/>
  <c r="MP91" i="6"/>
  <c r="MN56" i="6"/>
  <c r="MO14" i="6"/>
  <c r="MP116" i="6"/>
  <c r="MP52" i="6"/>
  <c r="MM83" i="6"/>
  <c r="MP90" i="6"/>
  <c r="MQ24" i="6"/>
  <c r="MQ14" i="6"/>
  <c r="MQ84" i="6"/>
  <c r="MN81" i="6"/>
  <c r="MO7" i="6"/>
  <c r="MM112" i="6"/>
  <c r="MM39" i="6"/>
  <c r="MN95" i="6"/>
  <c r="MQ86" i="6"/>
  <c r="MO51" i="6"/>
  <c r="MN11" i="6"/>
  <c r="MQ83" i="6"/>
  <c r="MQ39" i="6"/>
  <c r="MM51" i="6"/>
  <c r="MP58" i="6"/>
  <c r="MQ115" i="6"/>
  <c r="MN104" i="6"/>
  <c r="MO62" i="6"/>
  <c r="MO21" i="6"/>
  <c r="MP87" i="6"/>
  <c r="MM16" i="6"/>
  <c r="MR58" i="6"/>
  <c r="MQ72" i="6"/>
  <c r="MQ62" i="6"/>
  <c r="MO27" i="6"/>
  <c r="MQ55" i="6"/>
  <c r="MP60" i="6"/>
  <c r="MM84" i="6"/>
  <c r="MM95" i="6"/>
  <c r="MP26" i="6"/>
  <c r="MN117" i="6"/>
  <c r="MQ81" i="6"/>
  <c r="MO38" i="6"/>
  <c r="MP63" i="6"/>
  <c r="MP23" i="6"/>
  <c r="MM38" i="6"/>
  <c r="MQ101" i="6"/>
  <c r="MN31" i="6"/>
  <c r="MQ22" i="6"/>
  <c r="MQ92" i="6"/>
  <c r="MP108" i="6"/>
  <c r="MQ15" i="6"/>
  <c r="MM25" i="6"/>
  <c r="MM87" i="6"/>
  <c r="MO82" i="6"/>
  <c r="MP75" i="6"/>
  <c r="MN40" i="6"/>
  <c r="MO81" i="6"/>
  <c r="MN14" i="6"/>
  <c r="MP56" i="6"/>
  <c r="MM66" i="6"/>
  <c r="MR12" i="6"/>
  <c r="MR10" i="6"/>
  <c r="MR89" i="6"/>
  <c r="MR114" i="6"/>
  <c r="MR79" i="6"/>
  <c r="MR105" i="6"/>
  <c r="MR72" i="6"/>
  <c r="MR45" i="6"/>
  <c r="MR60" i="6"/>
  <c r="MR28" i="6"/>
  <c r="MR87" i="6"/>
  <c r="MR17" i="6"/>
  <c r="MR62" i="6"/>
  <c r="MR11" i="6"/>
  <c r="MN7" i="6"/>
  <c r="MO26" i="6"/>
  <c r="MO88" i="6"/>
  <c r="MN83" i="6"/>
  <c r="MM92" i="6"/>
  <c r="MO50" i="6"/>
  <c r="MN19" i="6"/>
  <c r="MQ42" i="6"/>
  <c r="MR90" i="6"/>
  <c r="MN52" i="6"/>
  <c r="MO79" i="6"/>
  <c r="MN55" i="6"/>
  <c r="MO64" i="6"/>
  <c r="MN48" i="6"/>
  <c r="MP25" i="6"/>
  <c r="MQ71" i="6"/>
  <c r="MQ74" i="6"/>
  <c r="MM88" i="6"/>
  <c r="MM27" i="6"/>
  <c r="MN44" i="6"/>
  <c r="MQ80" i="6"/>
  <c r="MO72" i="6"/>
  <c r="MP38" i="6"/>
  <c r="MO77" i="6"/>
  <c r="MQ111" i="6"/>
  <c r="MM116" i="6"/>
  <c r="MM50" i="6"/>
  <c r="MP66" i="6"/>
  <c r="MO109" i="6"/>
  <c r="MO107" i="6"/>
  <c r="MN67" i="6"/>
  <c r="MN34" i="6"/>
  <c r="MN102" i="6"/>
  <c r="MM40" i="6"/>
  <c r="MM10" i="6"/>
  <c r="MP77" i="6"/>
  <c r="MN69" i="6"/>
  <c r="MQ33" i="6"/>
  <c r="MP64" i="6"/>
  <c r="MO69" i="6"/>
  <c r="MM100" i="6"/>
  <c r="MM18" i="6"/>
  <c r="MP34" i="6"/>
  <c r="MP96" i="6"/>
  <c r="MP86" i="6"/>
  <c r="MQ44" i="6"/>
  <c r="MO76" i="6"/>
  <c r="MQ31" i="6"/>
  <c r="MM54" i="6"/>
  <c r="MO108" i="6"/>
  <c r="MP53" i="6"/>
  <c r="MN45" i="6"/>
  <c r="MN115" i="6"/>
  <c r="MN8" i="6"/>
  <c r="MQ79" i="6"/>
  <c r="MM12" i="6"/>
  <c r="MM61" i="6"/>
  <c r="MP109" i="6"/>
  <c r="MP99" i="6"/>
  <c r="MP62" i="6"/>
  <c r="MQ20" i="6"/>
  <c r="MP12" i="6"/>
  <c r="MO65" i="6"/>
  <c r="MM37" i="6"/>
  <c r="MP74" i="6"/>
  <c r="MP13" i="6"/>
  <c r="MO115" i="6"/>
  <c r="MN75" i="6"/>
  <c r="MP55" i="6"/>
  <c r="MO9" i="6"/>
  <c r="MM64" i="6"/>
  <c r="MM58" i="6"/>
  <c r="MQ64" i="6"/>
  <c r="MO56" i="6"/>
  <c r="MP22" i="6"/>
  <c r="MQ34" i="6"/>
  <c r="MQ43" i="6"/>
  <c r="MM52" i="6"/>
  <c r="MM31" i="6"/>
  <c r="MR36" i="6"/>
  <c r="MR92" i="6"/>
  <c r="MR56" i="6"/>
  <c r="MR116" i="6"/>
  <c r="MR103" i="6"/>
  <c r="MR117" i="6"/>
  <c r="MR39" i="6"/>
  <c r="MR34" i="6"/>
  <c r="MR48" i="6"/>
  <c r="MR96" i="6"/>
  <c r="MR25" i="6"/>
  <c r="MR99" i="6"/>
  <c r="MR109" i="6"/>
  <c r="MR108" i="6"/>
  <c r="MO16" i="6"/>
  <c r="MQ98" i="6"/>
  <c r="MM9" i="6"/>
  <c r="MP92" i="6"/>
  <c r="MN13" i="6"/>
  <c r="MP67" i="6"/>
  <c r="MO55" i="6"/>
  <c r="MN105" i="6"/>
  <c r="MM29" i="6"/>
  <c r="MO61" i="6"/>
  <c r="MM56" i="6"/>
  <c r="MR88" i="6"/>
  <c r="MR71" i="6"/>
  <c r="MN36" i="6"/>
  <c r="MO63" i="6"/>
  <c r="MN39" i="6"/>
  <c r="MO48" i="6"/>
  <c r="MN32" i="6"/>
  <c r="MP9" i="6"/>
  <c r="MN25" i="6"/>
  <c r="MO36" i="6"/>
  <c r="MM24" i="6"/>
  <c r="MM7" i="6"/>
  <c r="MN28" i="6"/>
  <c r="MN63" i="6"/>
  <c r="MQ54" i="6"/>
  <c r="MO19" i="6"/>
  <c r="MN30" i="6"/>
  <c r="MO105" i="6"/>
  <c r="MM44" i="6"/>
  <c r="MM15" i="6"/>
  <c r="MO39" i="6"/>
  <c r="MQ99" i="6"/>
  <c r="MQ89" i="6"/>
  <c r="MP49" i="6"/>
  <c r="MP84" i="6"/>
  <c r="MP44" i="6"/>
  <c r="MM78" i="6"/>
  <c r="MN113" i="6"/>
  <c r="MO58" i="6"/>
  <c r="MP51" i="6"/>
  <c r="MP14" i="6"/>
  <c r="MQ13" i="6"/>
  <c r="MP88" i="6"/>
  <c r="MM28" i="6"/>
  <c r="MM93" i="6"/>
  <c r="MQ112" i="6"/>
  <c r="MQ102" i="6"/>
  <c r="MO67" i="6"/>
  <c r="MN27" i="6"/>
  <c r="MP20" i="6"/>
  <c r="MN78" i="6"/>
  <c r="MM69" i="6"/>
  <c r="MP106" i="6"/>
  <c r="MO34" i="6"/>
  <c r="MP27" i="6"/>
  <c r="MP97" i="6"/>
  <c r="MN22" i="6"/>
  <c r="MP28" i="6"/>
  <c r="MM49" i="6"/>
  <c r="MM11" i="6"/>
  <c r="MQ88" i="6"/>
  <c r="MQ78" i="6"/>
  <c r="MO43" i="6"/>
  <c r="MO97" i="6"/>
  <c r="MQ23" i="6"/>
  <c r="MQ18" i="6"/>
  <c r="MM114" i="6"/>
  <c r="MP50" i="6"/>
  <c r="MQ107" i="6"/>
  <c r="MQ97" i="6"/>
  <c r="MO54" i="6"/>
  <c r="MQ7" i="6"/>
  <c r="MO57" i="6"/>
  <c r="MM102" i="6"/>
  <c r="MN97" i="6"/>
  <c r="MN47" i="6"/>
  <c r="MQ38" i="6"/>
  <c r="MQ108" i="6"/>
  <c r="MO49" i="6"/>
  <c r="MN54" i="6"/>
  <c r="MM89" i="6"/>
  <c r="MM107" i="6"/>
  <c r="MR54" i="6"/>
  <c r="MR101" i="6"/>
  <c r="MR61" i="6"/>
  <c r="MR68" i="6"/>
  <c r="MR67" i="6"/>
  <c r="MR110" i="6"/>
  <c r="MR78" i="6"/>
  <c r="MR50" i="6"/>
  <c r="MR112" i="6"/>
  <c r="MR93" i="6"/>
  <c r="MR26" i="6"/>
  <c r="MR111" i="6"/>
  <c r="MR73" i="6"/>
  <c r="MR97" i="6"/>
  <c r="MO106" i="6"/>
  <c r="MO85" i="6"/>
  <c r="MO87" i="6"/>
  <c r="MP30" i="6"/>
  <c r="MN70" i="6"/>
  <c r="MQ104" i="6"/>
  <c r="MO70" i="6"/>
  <c r="MR64" i="6"/>
  <c r="MR47" i="6"/>
  <c r="MN20" i="6"/>
  <c r="MO47" i="6"/>
  <c r="MN23" i="6"/>
  <c r="MO32" i="6"/>
  <c r="MN16" i="6"/>
  <c r="MP68" i="6"/>
  <c r="MQ87" i="6"/>
  <c r="MP100" i="6"/>
  <c r="MM70" i="6"/>
  <c r="MQ114" i="6"/>
  <c r="MP95" i="6"/>
  <c r="MP45" i="6"/>
  <c r="MN37" i="6"/>
  <c r="MN107" i="6"/>
  <c r="MO28" i="6"/>
  <c r="MN50" i="6"/>
  <c r="MM81" i="6"/>
  <c r="MM91" i="6"/>
  <c r="MP117" i="6"/>
  <c r="MP107" i="6"/>
  <c r="MN72" i="6"/>
  <c r="MO30" i="6"/>
  <c r="MO33" i="6"/>
  <c r="MO113" i="6"/>
  <c r="MM101" i="6"/>
  <c r="MP114" i="6"/>
  <c r="MQ40" i="6"/>
  <c r="MQ30" i="6"/>
  <c r="MQ100" i="6"/>
  <c r="MN86" i="6"/>
  <c r="MO37" i="6"/>
  <c r="MM65" i="6"/>
  <c r="MM59" i="6"/>
  <c r="MP93" i="6"/>
  <c r="MN85" i="6"/>
  <c r="MQ49" i="6"/>
  <c r="MO6" i="6"/>
  <c r="MQ66" i="6"/>
  <c r="MQ35" i="6"/>
  <c r="MM35" i="6"/>
  <c r="MP82" i="6"/>
  <c r="MQ16" i="6"/>
  <c r="MO8" i="6"/>
  <c r="MO78" i="6"/>
  <c r="MO68" i="6"/>
  <c r="MN41" i="6"/>
  <c r="MM80" i="6"/>
  <c r="MM90" i="6"/>
  <c r="MP69" i="6"/>
  <c r="MN61" i="6"/>
  <c r="MQ25" i="6"/>
  <c r="MQ51" i="6"/>
  <c r="MO52" i="6"/>
  <c r="MM76" i="6"/>
  <c r="MM79" i="6"/>
  <c r="MO23" i="6"/>
  <c r="MP115" i="6"/>
  <c r="MP78" i="6"/>
  <c r="MQ36" i="6"/>
  <c r="MQ50" i="6"/>
  <c r="MQ11" i="6"/>
  <c r="MM30" i="6"/>
  <c r="MP98" i="6"/>
  <c r="MP29" i="6"/>
  <c r="MN21" i="6"/>
  <c r="MN91" i="6"/>
  <c r="MO89" i="6"/>
  <c r="MO12" i="6"/>
  <c r="MM17" i="6"/>
  <c r="MM71" i="6"/>
  <c r="MR115" i="6"/>
  <c r="MR24" i="6"/>
  <c r="MR7" i="6"/>
  <c r="MR113" i="6"/>
  <c r="MR15" i="6"/>
  <c r="MR70" i="6"/>
  <c r="MR13" i="6"/>
  <c r="MR41" i="6"/>
  <c r="MR37" i="6"/>
  <c r="MR82" i="6"/>
  <c r="MR77" i="6"/>
  <c r="MR98" i="6"/>
  <c r="MR55" i="6"/>
  <c r="MR42" i="6"/>
  <c r="MQ106" i="6"/>
  <c r="MQ93" i="6"/>
  <c r="MP54" i="6"/>
  <c r="MQ103" i="6"/>
  <c r="MN114" i="6"/>
  <c r="MP113" i="6"/>
  <c r="MN10" i="6"/>
  <c r="MO11" i="6"/>
  <c r="MR21" i="6"/>
  <c r="MP48" i="6"/>
  <c r="MQ12" i="6"/>
  <c r="MM23" i="6"/>
  <c r="MQ60" i="6"/>
  <c r="MQ75" i="6"/>
  <c r="MO71" i="6"/>
  <c r="MR84" i="6"/>
  <c r="MR51" i="6"/>
  <c r="GO105" i="6"/>
  <c r="GO88" i="6"/>
  <c r="GO92" i="6"/>
  <c r="GO99" i="6"/>
  <c r="GO57" i="6"/>
  <c r="GO71" i="6"/>
  <c r="HF80" i="6"/>
  <c r="HF33" i="6"/>
  <c r="HF9" i="6"/>
  <c r="HF35" i="6"/>
  <c r="HF84" i="6"/>
  <c r="HF28" i="6"/>
  <c r="HF48" i="6"/>
  <c r="HF25" i="6"/>
  <c r="HF64" i="6"/>
  <c r="HF13" i="6"/>
  <c r="HF106" i="6"/>
  <c r="HF78" i="6"/>
  <c r="HF92" i="6"/>
  <c r="HF14" i="6"/>
  <c r="HF112" i="6"/>
  <c r="HF41" i="6"/>
  <c r="HF98" i="6"/>
  <c r="HF29" i="6"/>
  <c r="HF94" i="6"/>
  <c r="AA67" i="6"/>
  <c r="AA86" i="6"/>
  <c r="ACG65" i="6"/>
  <c r="ACG12" i="6"/>
  <c r="ACG56" i="6"/>
  <c r="ACG96" i="6"/>
  <c r="ACG43" i="6"/>
  <c r="ACG39" i="6"/>
  <c r="ACG108" i="6"/>
  <c r="ACG30" i="6"/>
  <c r="ACG99" i="6"/>
  <c r="ACG26" i="6"/>
  <c r="ACG95" i="6"/>
  <c r="VX73" i="6"/>
  <c r="VX107" i="6"/>
  <c r="VX8" i="6"/>
  <c r="VX31" i="6"/>
  <c r="VX42" i="6"/>
  <c r="VX65" i="6"/>
  <c r="VX76" i="6"/>
  <c r="VX99" i="6"/>
  <c r="VX110" i="6"/>
  <c r="VX16" i="6"/>
  <c r="VX39" i="6"/>
  <c r="VX50" i="6"/>
  <c r="DY19" i="6"/>
  <c r="DY50" i="6"/>
  <c r="DY41" i="6"/>
  <c r="DY84" i="6"/>
  <c r="DY88" i="6"/>
  <c r="DY53" i="6"/>
  <c r="DY13" i="6"/>
  <c r="DY87" i="6"/>
  <c r="DY40" i="6"/>
  <c r="DY69" i="6"/>
  <c r="DY106" i="6"/>
  <c r="DY47" i="6"/>
  <c r="DY38" i="6"/>
  <c r="DY17" i="6"/>
  <c r="DY31" i="6"/>
  <c r="UC110" i="6"/>
  <c r="UD97" i="6"/>
  <c r="UE84" i="6"/>
  <c r="UD116" i="6"/>
  <c r="UE103" i="6"/>
  <c r="UF90" i="6"/>
  <c r="UG77" i="6"/>
  <c r="UC65" i="6"/>
  <c r="UD52" i="6"/>
  <c r="UE39" i="6"/>
  <c r="UF26" i="6"/>
  <c r="UG13" i="6"/>
  <c r="UG112" i="6"/>
  <c r="UC100" i="6"/>
  <c r="UD87" i="6"/>
  <c r="UE74" i="6"/>
  <c r="UF61" i="6"/>
  <c r="UG48" i="6"/>
  <c r="UC36" i="6"/>
  <c r="UD23" i="6"/>
  <c r="UG107" i="6"/>
  <c r="UC95" i="6"/>
  <c r="UD82" i="6"/>
  <c r="UE69" i="6"/>
  <c r="UF56" i="6"/>
  <c r="UG43" i="6"/>
  <c r="UC31" i="6"/>
  <c r="UF115" i="6"/>
  <c r="UG102" i="6"/>
  <c r="UC90" i="6"/>
  <c r="UD77" i="6"/>
  <c r="UD104" i="6"/>
  <c r="UF71" i="6"/>
  <c r="UG50" i="6"/>
  <c r="UD30" i="6"/>
  <c r="UG12" i="6"/>
  <c r="UB84" i="6"/>
  <c r="UB20" i="6"/>
  <c r="UD91" i="6"/>
  <c r="UG62" i="6"/>
  <c r="UG42" i="6"/>
  <c r="UD22" i="6"/>
  <c r="UC7" i="6"/>
  <c r="UB59" i="6"/>
  <c r="UF110" i="6"/>
  <c r="UG76" i="6"/>
  <c r="UE54" i="6"/>
  <c r="UG33" i="6"/>
  <c r="UF15" i="6"/>
  <c r="UB96" i="6"/>
  <c r="UB32" i="6"/>
  <c r="UF97" i="6"/>
  <c r="UC67" i="6"/>
  <c r="UE46" i="6"/>
  <c r="UG66" i="6"/>
  <c r="UC29" i="6"/>
  <c r="UB106" i="6"/>
  <c r="UF38" i="6"/>
  <c r="UB33" i="6"/>
  <c r="UB57" i="6"/>
  <c r="UC61" i="6"/>
  <c r="UD24" i="6"/>
  <c r="UB93" i="6"/>
  <c r="UC112" i="6"/>
  <c r="UG54" i="6"/>
  <c r="UE20" i="6"/>
  <c r="UB78" i="6"/>
  <c r="UB61" i="6"/>
  <c r="UB95" i="6"/>
  <c r="UD65" i="6"/>
  <c r="UF27" i="6"/>
  <c r="UB102" i="6"/>
  <c r="UC109" i="6"/>
  <c r="UC16" i="6"/>
  <c r="UB97" i="6"/>
  <c r="UD110" i="6"/>
  <c r="UC54" i="6"/>
  <c r="UE19" i="6"/>
  <c r="UB74" i="6"/>
  <c r="UG58" i="6"/>
  <c r="UB22" i="6"/>
  <c r="UG46" i="6"/>
  <c r="UF73" i="6"/>
  <c r="UD29" i="6"/>
  <c r="UE108" i="6"/>
  <c r="UF95" i="6"/>
  <c r="UG82" i="6"/>
  <c r="UF114" i="6"/>
  <c r="UG101" i="6"/>
  <c r="UC89" i="6"/>
  <c r="UD76" i="6"/>
  <c r="UE63" i="6"/>
  <c r="UF50" i="6"/>
  <c r="UG37" i="6"/>
  <c r="UC25" i="6"/>
  <c r="UD12" i="6"/>
  <c r="UD111" i="6"/>
  <c r="UE98" i="6"/>
  <c r="UF85" i="6"/>
  <c r="UG72" i="6"/>
  <c r="UC60" i="6"/>
  <c r="UD47" i="6"/>
  <c r="UE34" i="6"/>
  <c r="UF21" i="6"/>
  <c r="UD106" i="6"/>
  <c r="UE93" i="6"/>
  <c r="UF80" i="6"/>
  <c r="UG67" i="6"/>
  <c r="UC55" i="6"/>
  <c r="UD42" i="6"/>
  <c r="UE29" i="6"/>
  <c r="UC114" i="6"/>
  <c r="UD101" i="6"/>
  <c r="UE88" i="6"/>
  <c r="UF75" i="6"/>
  <c r="UF100" i="6"/>
  <c r="UF68" i="6"/>
  <c r="UC48" i="6"/>
  <c r="UE27" i="6"/>
  <c r="UC11" i="6"/>
  <c r="UB76" i="6"/>
  <c r="UB12" i="6"/>
  <c r="UF86" i="6"/>
  <c r="UF60" i="6"/>
  <c r="UC40" i="6"/>
  <c r="UG19" i="6"/>
  <c r="UB115" i="6"/>
  <c r="UB51" i="6"/>
  <c r="UC107" i="6"/>
  <c r="UD73" i="6"/>
  <c r="UF51" i="6"/>
  <c r="UF31" i="6"/>
  <c r="UF13" i="6"/>
  <c r="UB88" i="6"/>
  <c r="UB24" i="6"/>
  <c r="UC93" i="6"/>
  <c r="UD64" i="6"/>
  <c r="UF43" i="6"/>
  <c r="UD61" i="6"/>
  <c r="UE25" i="6"/>
  <c r="UB94" i="6"/>
  <c r="UB98" i="6"/>
  <c r="UG89" i="6"/>
  <c r="UF113" i="6"/>
  <c r="UC56" i="6"/>
  <c r="UF20" i="6"/>
  <c r="UB79" i="6"/>
  <c r="UG103" i="6"/>
  <c r="UG49" i="6"/>
  <c r="UD17" i="6"/>
  <c r="UB65" i="6"/>
  <c r="UF67" i="6"/>
  <c r="UB31" i="6"/>
  <c r="UF59" i="6"/>
  <c r="UF23" i="6"/>
  <c r="UB89" i="6"/>
  <c r="UF92" i="6"/>
  <c r="UF7" i="6"/>
  <c r="UB58" i="6"/>
  <c r="UC101" i="6"/>
  <c r="UE48" i="6"/>
  <c r="UF16" i="6"/>
  <c r="UB62" i="6"/>
  <c r="UD48" i="6"/>
  <c r="UG81" i="6"/>
  <c r="UD21" i="6"/>
  <c r="UF57" i="6"/>
  <c r="UF6" i="6"/>
  <c r="UG106" i="6"/>
  <c r="UC94" i="6"/>
  <c r="UD81" i="6"/>
  <c r="UC113" i="6"/>
  <c r="UD100" i="6"/>
  <c r="UE87" i="6"/>
  <c r="UF74" i="6"/>
  <c r="UG61" i="6"/>
  <c r="UC49" i="6"/>
  <c r="UD36" i="6"/>
  <c r="UE23" i="6"/>
  <c r="UF10" i="6"/>
  <c r="UF109" i="6"/>
  <c r="UG96" i="6"/>
  <c r="UC84" i="6"/>
  <c r="UD71" i="6"/>
  <c r="UE58" i="6"/>
  <c r="UF45" i="6"/>
  <c r="UG32" i="6"/>
  <c r="UE117" i="6"/>
  <c r="UF104" i="6"/>
  <c r="UG91" i="6"/>
  <c r="UC79" i="6"/>
  <c r="UD66" i="6"/>
  <c r="UE53" i="6"/>
  <c r="UF40" i="6"/>
  <c r="UG27" i="6"/>
  <c r="UE112" i="6"/>
  <c r="UF99" i="6"/>
  <c r="UG86" i="6"/>
  <c r="UC74" i="6"/>
  <c r="UC96" i="6"/>
  <c r="UG65" i="6"/>
  <c r="UD45" i="6"/>
  <c r="UD25" i="6"/>
  <c r="UD9" i="6"/>
  <c r="UB68" i="6"/>
  <c r="UG116" i="6"/>
  <c r="UC83" i="6"/>
  <c r="UG57" i="6"/>
  <c r="UD37" i="6"/>
  <c r="UC18" i="6"/>
  <c r="UB107" i="6"/>
  <c r="UB43" i="6"/>
  <c r="UE102" i="6"/>
  <c r="UC70" i="6"/>
  <c r="UE49" i="6"/>
  <c r="UG28" i="6"/>
  <c r="UG11" i="6"/>
  <c r="UB80" i="6"/>
  <c r="UB16" i="6"/>
  <c r="UE89" i="6"/>
  <c r="UC62" i="6"/>
  <c r="UG113" i="6"/>
  <c r="UD56" i="6"/>
  <c r="UG20" i="6"/>
  <c r="UB81" i="6"/>
  <c r="UB34" i="6"/>
  <c r="UE73" i="6"/>
  <c r="UE105" i="6"/>
  <c r="UC51" i="6"/>
  <c r="UF17" i="6"/>
  <c r="UB66" i="6"/>
  <c r="UF94" i="6"/>
  <c r="UG44" i="6"/>
  <c r="UD14" i="6"/>
  <c r="UB53" i="6"/>
  <c r="UG18" i="6"/>
  <c r="UG111" i="6"/>
  <c r="UF54" i="6"/>
  <c r="UF19" i="6"/>
  <c r="UB77" i="6"/>
  <c r="UD75" i="6"/>
  <c r="UB86" i="6"/>
  <c r="UE67" i="6"/>
  <c r="UG92" i="6"/>
  <c r="UE43" i="6"/>
  <c r="UE13" i="6"/>
  <c r="UB49" i="6"/>
  <c r="UG34" i="6"/>
  <c r="UF47" i="6"/>
  <c r="UF9" i="6"/>
  <c r="UF52" i="6"/>
  <c r="UB45" i="6"/>
  <c r="UB6" i="6"/>
  <c r="UD105" i="6"/>
  <c r="UE92" i="6"/>
  <c r="UF79" i="6"/>
  <c r="UE111" i="6"/>
  <c r="UF98" i="6"/>
  <c r="UG85" i="6"/>
  <c r="UC73" i="6"/>
  <c r="UD60" i="6"/>
  <c r="UE47" i="6"/>
  <c r="UF34" i="6"/>
  <c r="UG21" i="6"/>
  <c r="UC9" i="6"/>
  <c r="UC108" i="6"/>
  <c r="UD95" i="6"/>
  <c r="UE82" i="6"/>
  <c r="UF69" i="6"/>
  <c r="UG56" i="6"/>
  <c r="UC44" i="6"/>
  <c r="UD31" i="6"/>
  <c r="UG115" i="6"/>
  <c r="UC103" i="6"/>
  <c r="UD90" i="6"/>
  <c r="UE77" i="6"/>
  <c r="UF64" i="6"/>
  <c r="UG51" i="6"/>
  <c r="UC39" i="6"/>
  <c r="UD26" i="6"/>
  <c r="UG110" i="6"/>
  <c r="UC98" i="6"/>
  <c r="UD85" i="6"/>
  <c r="UE72" i="6"/>
  <c r="UE91" i="6"/>
  <c r="UF63" i="6"/>
  <c r="UC43" i="6"/>
  <c r="UE22" i="6"/>
  <c r="UD7" i="6"/>
  <c r="UB60" i="6"/>
  <c r="UD112" i="6"/>
  <c r="UE78" i="6"/>
  <c r="UF55" i="6"/>
  <c r="UC35" i="6"/>
  <c r="UD16" i="6"/>
  <c r="UB99" i="6"/>
  <c r="UB35" i="6"/>
  <c r="UG97" i="6"/>
  <c r="UD67" i="6"/>
  <c r="UF46" i="6"/>
  <c r="UC26" i="6"/>
  <c r="UC10" i="6"/>
  <c r="UB72" i="6"/>
  <c r="UB8" i="6"/>
  <c r="UG84" i="6"/>
  <c r="UD59" i="6"/>
  <c r="UF105" i="6"/>
  <c r="UD51" i="6"/>
  <c r="UG17" i="6"/>
  <c r="UB69" i="6"/>
  <c r="UC91" i="6"/>
  <c r="UE62" i="6"/>
  <c r="UD96" i="6"/>
  <c r="UC46" i="6"/>
  <c r="UG14" i="6"/>
  <c r="UB54" i="6"/>
  <c r="UE86" i="6"/>
  <c r="UE40" i="6"/>
  <c r="UE11" i="6"/>
  <c r="UB39" i="6"/>
  <c r="UB110" i="6"/>
  <c r="UF102" i="6"/>
  <c r="UF49" i="6"/>
  <c r="UG16" i="6"/>
  <c r="UB63" i="6"/>
  <c r="UG63" i="6"/>
  <c r="UB47" i="6"/>
  <c r="UE57" i="6"/>
  <c r="UF84" i="6"/>
  <c r="UF39" i="6"/>
  <c r="UE10" i="6"/>
  <c r="UB37" i="6"/>
  <c r="UG26" i="6"/>
  <c r="UE30" i="6"/>
  <c r="UB70" i="6"/>
  <c r="UE38" i="6"/>
  <c r="UE116" i="6"/>
  <c r="UF103" i="6"/>
  <c r="UG90" i="6"/>
  <c r="UC78" i="6"/>
  <c r="UG109" i="6"/>
  <c r="UC97" i="6"/>
  <c r="UD84" i="6"/>
  <c r="UE71" i="6"/>
  <c r="UF58" i="6"/>
  <c r="UG45" i="6"/>
  <c r="UC33" i="6"/>
  <c r="UD20" i="6"/>
  <c r="UE7" i="6"/>
  <c r="UE106" i="6"/>
  <c r="UF93" i="6"/>
  <c r="UG80" i="6"/>
  <c r="UC68" i="6"/>
  <c r="UD55" i="6"/>
  <c r="UE42" i="6"/>
  <c r="UF29" i="6"/>
  <c r="UD114" i="6"/>
  <c r="UE101" i="6"/>
  <c r="UF88" i="6"/>
  <c r="UG75" i="6"/>
  <c r="UC63" i="6"/>
  <c r="UD50" i="6"/>
  <c r="UE37" i="6"/>
  <c r="UF24" i="6"/>
  <c r="UD109" i="6"/>
  <c r="UE96" i="6"/>
  <c r="UF83" i="6"/>
  <c r="UG70" i="6"/>
  <c r="UG87" i="6"/>
  <c r="UG60" i="6"/>
  <c r="UD40" i="6"/>
  <c r="UC20" i="6"/>
  <c r="UB116" i="6"/>
  <c r="UB52" i="6"/>
  <c r="UF108" i="6"/>
  <c r="UG73" i="6"/>
  <c r="UG52" i="6"/>
  <c r="UD32" i="6"/>
  <c r="UE14" i="6"/>
  <c r="UB91" i="6"/>
  <c r="UB27" i="6"/>
  <c r="UD94" i="6"/>
  <c r="UE64" i="6"/>
  <c r="UE44" i="6"/>
  <c r="UG23" i="6"/>
  <c r="UD8" i="6"/>
  <c r="UB64" i="6"/>
  <c r="UC115" i="6"/>
  <c r="UD80" i="6"/>
  <c r="UE56" i="6"/>
  <c r="UE97" i="6"/>
  <c r="UD46" i="6"/>
  <c r="UC15" i="6"/>
  <c r="UB55" i="6"/>
  <c r="UC42" i="6"/>
  <c r="UE52" i="6"/>
  <c r="UC88" i="6"/>
  <c r="UD41" i="6"/>
  <c r="UF11" i="6"/>
  <c r="UB41" i="6"/>
  <c r="UD78" i="6"/>
  <c r="UE36" i="6"/>
  <c r="UE8" i="6"/>
  <c r="UB26" i="6"/>
  <c r="UB46" i="6"/>
  <c r="UE94" i="6"/>
  <c r="UF44" i="6"/>
  <c r="UC14" i="6"/>
  <c r="UB50" i="6"/>
  <c r="UD53" i="6"/>
  <c r="UB9" i="6"/>
  <c r="UG41" i="6"/>
  <c r="UE75" i="6"/>
  <c r="UE35" i="6"/>
  <c r="UG7" i="6"/>
  <c r="UB23" i="6"/>
  <c r="UC19" i="6"/>
  <c r="UG15" i="6"/>
  <c r="UB18" i="6"/>
  <c r="UC22" i="6"/>
  <c r="UG114" i="6"/>
  <c r="UC102" i="6"/>
  <c r="UD89" i="6"/>
  <c r="UE76" i="6"/>
  <c r="UD108" i="6"/>
  <c r="UE95" i="6"/>
  <c r="UF82" i="6"/>
  <c r="UG69" i="6"/>
  <c r="UC57" i="6"/>
  <c r="UD44" i="6"/>
  <c r="UE31" i="6"/>
  <c r="UF18" i="6"/>
  <c r="UF117" i="6"/>
  <c r="UG104" i="6"/>
  <c r="UC92" i="6"/>
  <c r="UD79" i="6"/>
  <c r="UE66" i="6"/>
  <c r="UF53" i="6"/>
  <c r="UG40" i="6"/>
  <c r="UC28" i="6"/>
  <c r="UF112" i="6"/>
  <c r="UG99" i="6"/>
  <c r="UC87" i="6"/>
  <c r="UD74" i="6"/>
  <c r="UE61" i="6"/>
  <c r="UF48" i="6"/>
  <c r="UG35" i="6"/>
  <c r="UC23" i="6"/>
  <c r="UF107" i="6"/>
  <c r="UG94" i="6"/>
  <c r="UC82" i="6"/>
  <c r="UC117" i="6"/>
  <c r="UD83" i="6"/>
  <c r="UC58" i="6"/>
  <c r="UC38" i="6"/>
  <c r="UD18" i="6"/>
  <c r="UB108" i="6"/>
  <c r="UB44" i="6"/>
  <c r="UC104" i="6"/>
  <c r="UF70" i="6"/>
  <c r="UC50" i="6"/>
  <c r="UC30" i="6"/>
  <c r="UF12" i="6"/>
  <c r="UB83" i="6"/>
  <c r="UB19" i="6"/>
  <c r="UF89" i="6"/>
  <c r="UD62" i="6"/>
  <c r="UF41" i="6"/>
  <c r="UC21" i="6"/>
  <c r="UE6" i="6"/>
  <c r="UB56" i="6"/>
  <c r="UE110" i="6"/>
  <c r="UF76" i="6"/>
  <c r="UD54" i="6"/>
  <c r="UD88" i="6"/>
  <c r="UE41" i="6"/>
  <c r="UC12" i="6"/>
  <c r="UB42" i="6"/>
  <c r="UC34" i="6"/>
  <c r="UF33" i="6"/>
  <c r="UG79" i="6"/>
  <c r="UG36" i="6"/>
  <c r="UF8" i="6"/>
  <c r="UB29" i="6"/>
  <c r="UE70" i="6"/>
  <c r="UC32" i="6"/>
  <c r="UB117" i="6"/>
  <c r="UB14" i="6"/>
  <c r="UE115" i="6"/>
  <c r="UD86" i="6"/>
  <c r="UG39" i="6"/>
  <c r="UD11" i="6"/>
  <c r="UB38" i="6"/>
  <c r="UD43" i="6"/>
  <c r="UF62" i="6"/>
  <c r="UF25" i="6"/>
  <c r="UC69" i="6"/>
  <c r="UG30" i="6"/>
  <c r="UB113" i="6"/>
  <c r="UB10" i="6"/>
  <c r="UD13" i="6"/>
  <c r="UB71" i="6"/>
  <c r="UF116" i="6"/>
  <c r="UG6" i="6"/>
  <c r="UD113" i="6"/>
  <c r="UE100" i="6"/>
  <c r="UF87" i="6"/>
  <c r="UG74" i="6"/>
  <c r="UF106" i="6"/>
  <c r="UG93" i="6"/>
  <c r="UC81" i="6"/>
  <c r="UD68" i="6"/>
  <c r="UE55" i="6"/>
  <c r="UF42" i="6"/>
  <c r="UG29" i="6"/>
  <c r="UC17" i="6"/>
  <c r="UC116" i="6"/>
  <c r="UD103" i="6"/>
  <c r="UE90" i="6"/>
  <c r="UF77" i="6"/>
  <c r="UG64" i="6"/>
  <c r="UC52" i="6"/>
  <c r="UD39" i="6"/>
  <c r="UE26" i="6"/>
  <c r="UC111" i="6"/>
  <c r="UD98" i="6"/>
  <c r="UE85" i="6"/>
  <c r="UF72" i="6"/>
  <c r="UG59" i="6"/>
  <c r="UC47" i="6"/>
  <c r="UD34" i="6"/>
  <c r="UE21" i="6"/>
  <c r="UC106" i="6"/>
  <c r="UD93" i="6"/>
  <c r="UE80" i="6"/>
  <c r="UE113" i="6"/>
  <c r="UF78" i="6"/>
  <c r="UG55" i="6"/>
  <c r="UD35" i="6"/>
  <c r="UE16" i="6"/>
  <c r="UB100" i="6"/>
  <c r="UB36" i="6"/>
  <c r="UE99" i="6"/>
  <c r="UE68" i="6"/>
  <c r="UG47" i="6"/>
  <c r="UD27" i="6"/>
  <c r="UG10" i="6"/>
  <c r="UB75" i="6"/>
  <c r="UB11" i="6"/>
  <c r="UC85" i="6"/>
  <c r="UE59" i="6"/>
  <c r="UG38" i="6"/>
  <c r="UD19" i="6"/>
  <c r="UB112" i="6"/>
  <c r="UB48" i="6"/>
  <c r="UG105" i="6"/>
  <c r="UD72" i="6"/>
  <c r="UE51" i="6"/>
  <c r="UC80" i="6"/>
  <c r="UC37" i="6"/>
  <c r="UE9" i="6"/>
  <c r="UB30" i="6"/>
  <c r="UC13" i="6"/>
  <c r="UE18" i="6"/>
  <c r="UG71" i="6"/>
  <c r="UD33" i="6"/>
  <c r="UC6" i="6"/>
  <c r="UB15" i="6"/>
  <c r="UE65" i="6"/>
  <c r="UE28" i="6"/>
  <c r="UB103" i="6"/>
  <c r="UG100" i="6"/>
  <c r="UD38" i="6"/>
  <c r="UC77" i="6"/>
  <c r="UF35" i="6"/>
  <c r="UC8" i="6"/>
  <c r="UB25" i="6"/>
  <c r="UF30" i="6"/>
  <c r="UG25" i="6"/>
  <c r="UE12" i="6"/>
  <c r="UC64" i="6"/>
  <c r="UC27" i="6"/>
  <c r="UB101" i="6"/>
  <c r="UE83" i="6"/>
  <c r="UB111" i="6"/>
  <c r="UB21" i="6"/>
  <c r="UE107" i="6"/>
  <c r="UB7" i="6"/>
  <c r="UF111" i="6"/>
  <c r="UG98" i="6"/>
  <c r="UC86" i="6"/>
  <c r="UG117" i="6"/>
  <c r="UC105" i="6"/>
  <c r="UD92" i="6"/>
  <c r="UE79" i="6"/>
  <c r="UF66" i="6"/>
  <c r="UG53" i="6"/>
  <c r="UC41" i="6"/>
  <c r="UD28" i="6"/>
  <c r="UE15" i="6"/>
  <c r="UE114" i="6"/>
  <c r="UF101" i="6"/>
  <c r="UG88" i="6"/>
  <c r="UC76" i="6"/>
  <c r="UD63" i="6"/>
  <c r="UE50" i="6"/>
  <c r="UF37" i="6"/>
  <c r="UG24" i="6"/>
  <c r="UE109" i="6"/>
  <c r="UF96" i="6"/>
  <c r="UG83" i="6"/>
  <c r="UC71" i="6"/>
  <c r="UD58" i="6"/>
  <c r="UE45" i="6"/>
  <c r="UF32" i="6"/>
  <c r="UD117" i="6"/>
  <c r="UE104" i="6"/>
  <c r="UF91" i="6"/>
  <c r="UG78" i="6"/>
  <c r="UG108" i="6"/>
  <c r="UC75" i="6"/>
  <c r="UC53" i="6"/>
  <c r="UE32" i="6"/>
  <c r="UF14" i="6"/>
  <c r="UB92" i="6"/>
  <c r="UB28" i="6"/>
  <c r="UG95" i="6"/>
  <c r="UF65" i="6"/>
  <c r="UC45" i="6"/>
  <c r="UE24" i="6"/>
  <c r="UG8" i="6"/>
  <c r="UB67" i="6"/>
  <c r="UD115" i="6"/>
  <c r="UE81" i="6"/>
  <c r="UD57" i="6"/>
  <c r="UF36" i="6"/>
  <c r="UE17" i="6"/>
  <c r="UB104" i="6"/>
  <c r="UB40" i="6"/>
  <c r="UD102" i="6"/>
  <c r="UD69" i="6"/>
  <c r="UD49" i="6"/>
  <c r="UC72" i="6"/>
  <c r="UE33" i="6"/>
  <c r="UD6" i="6"/>
  <c r="UB17" i="6"/>
  <c r="UB85" i="6"/>
  <c r="UB109" i="6"/>
  <c r="UC66" i="6"/>
  <c r="UF28" i="6"/>
  <c r="UB105" i="6"/>
  <c r="UC99" i="6"/>
  <c r="UE60" i="6"/>
  <c r="UC24" i="6"/>
  <c r="UB90" i="6"/>
  <c r="UD10" i="6"/>
  <c r="UD15" i="6"/>
  <c r="UD70" i="6"/>
  <c r="UG31" i="6"/>
  <c r="UB114" i="6"/>
  <c r="UB13" i="6"/>
  <c r="UF22" i="6"/>
  <c r="UG9" i="6"/>
  <c r="UB82" i="6"/>
  <c r="UC59" i="6"/>
  <c r="UG22" i="6"/>
  <c r="UB87" i="6"/>
  <c r="UG68" i="6"/>
  <c r="UB73" i="6"/>
  <c r="UD107" i="6"/>
  <c r="UD99" i="6"/>
  <c r="UF81" i="6"/>
  <c r="XN29" i="6"/>
  <c r="XN68" i="6"/>
  <c r="XN75" i="6"/>
  <c r="XN15" i="6"/>
  <c r="XN112" i="6"/>
  <c r="XN70" i="6"/>
  <c r="XN52" i="6"/>
  <c r="XN101" i="6"/>
  <c r="XN10" i="6"/>
  <c r="XN91" i="6"/>
  <c r="XN31" i="6"/>
  <c r="XY45" i="6"/>
  <c r="XY27" i="6"/>
  <c r="XY29" i="6"/>
  <c r="XY52" i="6"/>
  <c r="XY97" i="6"/>
  <c r="XY25" i="6"/>
  <c r="XY71" i="6"/>
  <c r="XY42" i="6"/>
  <c r="XY11" i="6"/>
  <c r="XY66" i="6"/>
  <c r="XY82" i="6"/>
  <c r="XY68" i="6"/>
  <c r="XY113" i="6"/>
  <c r="XY6" i="6"/>
  <c r="XY73" i="6"/>
  <c r="XY87" i="6"/>
  <c r="XY8" i="6"/>
  <c r="XC49" i="6"/>
  <c r="XC102" i="6"/>
  <c r="XC67" i="6"/>
  <c r="XC42" i="6"/>
  <c r="XC7" i="6"/>
  <c r="XC29" i="6"/>
  <c r="XC76" i="6"/>
  <c r="XC52" i="6"/>
  <c r="XC83" i="6"/>
  <c r="XC58" i="6"/>
  <c r="XC23" i="6"/>
  <c r="SA113" i="6"/>
  <c r="SB100" i="6"/>
  <c r="SC87" i="6"/>
  <c r="SD74" i="6"/>
  <c r="SE61" i="6"/>
  <c r="SA49" i="6"/>
  <c r="SB36" i="6"/>
  <c r="SA116" i="6"/>
  <c r="SB103" i="6"/>
  <c r="SC90" i="6"/>
  <c r="SD77" i="6"/>
  <c r="SE64" i="6"/>
  <c r="SA52" i="6"/>
  <c r="SB39" i="6"/>
  <c r="SC26" i="6"/>
  <c r="SD13" i="6"/>
  <c r="SE111" i="6"/>
  <c r="SA99" i="6"/>
  <c r="SB86" i="6"/>
  <c r="SC73" i="6"/>
  <c r="SD60" i="6"/>
  <c r="SE47" i="6"/>
  <c r="SA35" i="6"/>
  <c r="SB22" i="6"/>
  <c r="SC9" i="6"/>
  <c r="SB104" i="6"/>
  <c r="SD83" i="6"/>
  <c r="SA63" i="6"/>
  <c r="SE42" i="6"/>
  <c r="SE22" i="6"/>
  <c r="SE116" i="6"/>
  <c r="SB96" i="6"/>
  <c r="SD75" i="6"/>
  <c r="SD107" i="6"/>
  <c r="SA87" i="6"/>
  <c r="SE66" i="6"/>
  <c r="SC46" i="6"/>
  <c r="SE25" i="6"/>
  <c r="SD8" i="6"/>
  <c r="SD104" i="6"/>
  <c r="SC84" i="6"/>
  <c r="SA64" i="6"/>
  <c r="SC43" i="6"/>
  <c r="SC23" i="6"/>
  <c r="SE113" i="6"/>
  <c r="SD72" i="6"/>
  <c r="SE38" i="6"/>
  <c r="SB9" i="6"/>
  <c r="SC67" i="6"/>
  <c r="SB8" i="6"/>
  <c r="SE97" i="6"/>
  <c r="SE57" i="6"/>
  <c r="SD11" i="6"/>
  <c r="SD91" i="6"/>
  <c r="SB53" i="6"/>
  <c r="SE21" i="6"/>
  <c r="SC85" i="6"/>
  <c r="SD95" i="6"/>
  <c r="SD56" i="6"/>
  <c r="SB24" i="6"/>
  <c r="SB89" i="6"/>
  <c r="SE19" i="6"/>
  <c r="SA9" i="6"/>
  <c r="SD110" i="6"/>
  <c r="SC69" i="6"/>
  <c r="SC35" i="6"/>
  <c r="SE6" i="6"/>
  <c r="SA47" i="6"/>
  <c r="SA34" i="6"/>
  <c r="SE33" i="6"/>
  <c r="RZ101" i="6"/>
  <c r="RZ37" i="6"/>
  <c r="RZ79" i="6"/>
  <c r="RZ15" i="6"/>
  <c r="RZ52" i="6"/>
  <c r="RZ99" i="6"/>
  <c r="RZ14" i="6"/>
  <c r="RZ88" i="6"/>
  <c r="RZ97" i="6"/>
  <c r="RZ49" i="6"/>
  <c r="RZ83" i="6"/>
  <c r="RZ18" i="6"/>
  <c r="RZ58" i="6"/>
  <c r="RZ73" i="6"/>
  <c r="SC111" i="6"/>
  <c r="SD98" i="6"/>
  <c r="SE85" i="6"/>
  <c r="SA73" i="6"/>
  <c r="SB60" i="6"/>
  <c r="SC47" i="6"/>
  <c r="SD34" i="6"/>
  <c r="SC114" i="6"/>
  <c r="SD101" i="6"/>
  <c r="SE88" i="6"/>
  <c r="SA76" i="6"/>
  <c r="SB63" i="6"/>
  <c r="SC50" i="6"/>
  <c r="SD37" i="6"/>
  <c r="SE24" i="6"/>
  <c r="SA12" i="6"/>
  <c r="SB110" i="6"/>
  <c r="SC97" i="6"/>
  <c r="SD84" i="6"/>
  <c r="SE71" i="6"/>
  <c r="SA59" i="6"/>
  <c r="SB46" i="6"/>
  <c r="SC33" i="6"/>
  <c r="SD20" i="6"/>
  <c r="SE7" i="6"/>
  <c r="SC101" i="6"/>
  <c r="SB81" i="6"/>
  <c r="SE60" i="6"/>
  <c r="SB40" i="6"/>
  <c r="SE20" i="6"/>
  <c r="SA114" i="6"/>
  <c r="SC93" i="6"/>
  <c r="SB73" i="6"/>
  <c r="SB105" i="6"/>
  <c r="SE84" i="6"/>
  <c r="SB64" i="6"/>
  <c r="SD43" i="6"/>
  <c r="SD23" i="6"/>
  <c r="SD6" i="6"/>
  <c r="SC102" i="6"/>
  <c r="SE81" i="6"/>
  <c r="SB61" i="6"/>
  <c r="SD40" i="6"/>
  <c r="SB21" i="6"/>
  <c r="SE108" i="6"/>
  <c r="SD67" i="6"/>
  <c r="SB34" i="6"/>
  <c r="SD113" i="6"/>
  <c r="SD62" i="6"/>
  <c r="SA101" i="6"/>
  <c r="SE92" i="6"/>
  <c r="SC54" i="6"/>
  <c r="SC80" i="6"/>
  <c r="SD86" i="6"/>
  <c r="SD49" i="6"/>
  <c r="SA18" i="6"/>
  <c r="SC75" i="6"/>
  <c r="SB90" i="6"/>
  <c r="SC52" i="6"/>
  <c r="SC20" i="6"/>
  <c r="SE78" i="6"/>
  <c r="SB13" i="6"/>
  <c r="SB25" i="6"/>
  <c r="SD105" i="6"/>
  <c r="SC64" i="6"/>
  <c r="SD31" i="6"/>
  <c r="SE114" i="6"/>
  <c r="SA39" i="6"/>
  <c r="SC22" i="6"/>
  <c r="SA106" i="6"/>
  <c r="RZ93" i="6"/>
  <c r="RZ29" i="6"/>
  <c r="RZ71" i="6"/>
  <c r="RZ7" i="6"/>
  <c r="RZ42" i="6"/>
  <c r="RZ89" i="6"/>
  <c r="RZ107" i="6"/>
  <c r="RZ76" i="6"/>
  <c r="RZ75" i="6"/>
  <c r="RZ27" i="6"/>
  <c r="RZ62" i="6"/>
  <c r="RZ102" i="6"/>
  <c r="RZ36" i="6"/>
  <c r="RZ51" i="6"/>
  <c r="SE109" i="6"/>
  <c r="SA97" i="6"/>
  <c r="SB84" i="6"/>
  <c r="SC71" i="6"/>
  <c r="SD58" i="6"/>
  <c r="SE45" i="6"/>
  <c r="SA33" i="6"/>
  <c r="SE112" i="6"/>
  <c r="SA100" i="6"/>
  <c r="SB87" i="6"/>
  <c r="SC74" i="6"/>
  <c r="SD61" i="6"/>
  <c r="SE48" i="6"/>
  <c r="SA36" i="6"/>
  <c r="SB23" i="6"/>
  <c r="SC10" i="6"/>
  <c r="SD108" i="6"/>
  <c r="SE95" i="6"/>
  <c r="SA83" i="6"/>
  <c r="SB70" i="6"/>
  <c r="SC57" i="6"/>
  <c r="SD44" i="6"/>
  <c r="SE31" i="6"/>
  <c r="SA19" i="6"/>
  <c r="SB6" i="6"/>
  <c r="SB99" i="6"/>
  <c r="SD78" i="6"/>
  <c r="SA58" i="6"/>
  <c r="SC37" i="6"/>
  <c r="SD18" i="6"/>
  <c r="SD111" i="6"/>
  <c r="SB91" i="6"/>
  <c r="SD70" i="6"/>
  <c r="SD102" i="6"/>
  <c r="SA82" i="6"/>
  <c r="SC61" i="6"/>
  <c r="SB41" i="6"/>
  <c r="SC21" i="6"/>
  <c r="SC6" i="6"/>
  <c r="SD99" i="6"/>
  <c r="SA79" i="6"/>
  <c r="SE58" i="6"/>
  <c r="SC38" i="6"/>
  <c r="SB19" i="6"/>
  <c r="SD103" i="6"/>
  <c r="SE62" i="6"/>
  <c r="SC30" i="6"/>
  <c r="SC108" i="6"/>
  <c r="SB58" i="6"/>
  <c r="SC70" i="6"/>
  <c r="SD87" i="6"/>
  <c r="SE49" i="6"/>
  <c r="SB11" i="6"/>
  <c r="SD81" i="6"/>
  <c r="SA45" i="6"/>
  <c r="SD14" i="6"/>
  <c r="SE52" i="6"/>
  <c r="SB85" i="6"/>
  <c r="SB48" i="6"/>
  <c r="SD17" i="6"/>
  <c r="SE68" i="6"/>
  <c r="SA6" i="6"/>
  <c r="SE90" i="6"/>
  <c r="SC100" i="6"/>
  <c r="SE59" i="6"/>
  <c r="SB27" i="6"/>
  <c r="SC104" i="6"/>
  <c r="SA31" i="6"/>
  <c r="SE11" i="6"/>
  <c r="SB65" i="6"/>
  <c r="RZ85" i="6"/>
  <c r="RZ21" i="6"/>
  <c r="RZ63" i="6"/>
  <c r="RZ116" i="6"/>
  <c r="RZ32" i="6"/>
  <c r="RZ78" i="6"/>
  <c r="RZ86" i="6"/>
  <c r="RZ66" i="6"/>
  <c r="RZ54" i="6"/>
  <c r="RZ113" i="6"/>
  <c r="RZ41" i="6"/>
  <c r="RZ81" i="6"/>
  <c r="RZ16" i="6"/>
  <c r="RZ30" i="6"/>
  <c r="RZ6" i="6"/>
  <c r="SB108" i="6"/>
  <c r="SC95" i="6"/>
  <c r="SD82" i="6"/>
  <c r="SE69" i="6"/>
  <c r="SA57" i="6"/>
  <c r="SB44" i="6"/>
  <c r="SC31" i="6"/>
  <c r="SB111" i="6"/>
  <c r="SC98" i="6"/>
  <c r="SD85" i="6"/>
  <c r="SE72" i="6"/>
  <c r="SA60" i="6"/>
  <c r="SB47" i="6"/>
  <c r="SC34" i="6"/>
  <c r="SD21" i="6"/>
  <c r="SE8" i="6"/>
  <c r="SA107" i="6"/>
  <c r="SB94" i="6"/>
  <c r="SC81" i="6"/>
  <c r="SD68" i="6"/>
  <c r="SE55" i="6"/>
  <c r="SA43" i="6"/>
  <c r="SB30" i="6"/>
  <c r="SC17" i="6"/>
  <c r="SA117" i="6"/>
  <c r="SC96" i="6"/>
  <c r="SE75" i="6"/>
  <c r="SD55" i="6"/>
  <c r="SB35" i="6"/>
  <c r="SC16" i="6"/>
  <c r="SA109" i="6"/>
  <c r="SC88" i="6"/>
  <c r="SE67" i="6"/>
  <c r="SE99" i="6"/>
  <c r="SD79" i="6"/>
  <c r="SB59" i="6"/>
  <c r="SD38" i="6"/>
  <c r="SC19" i="6"/>
  <c r="SC117" i="6"/>
  <c r="SB97" i="6"/>
  <c r="SE76" i="6"/>
  <c r="SB56" i="6"/>
  <c r="SD35" i="6"/>
  <c r="SA17" i="6"/>
  <c r="SB98" i="6"/>
  <c r="SC59" i="6"/>
  <c r="SB26" i="6"/>
  <c r="SA103" i="6"/>
  <c r="SD46" i="6"/>
  <c r="SB49" i="6"/>
  <c r="SB82" i="6"/>
  <c r="SC45" i="6"/>
  <c r="SB117" i="6"/>
  <c r="SC76" i="6"/>
  <c r="SD41" i="6"/>
  <c r="SC11" i="6"/>
  <c r="SA14" i="6"/>
  <c r="SB80" i="6"/>
  <c r="SC44" i="6"/>
  <c r="SE13" i="6"/>
  <c r="SD59" i="6"/>
  <c r="SC77" i="6"/>
  <c r="SA61" i="6"/>
  <c r="SA95" i="6"/>
  <c r="SA56" i="6"/>
  <c r="SA24" i="6"/>
  <c r="SC94" i="6"/>
  <c r="SA23" i="6"/>
  <c r="SB18" i="6"/>
  <c r="SC40" i="6"/>
  <c r="RZ77" i="6"/>
  <c r="RZ13" i="6"/>
  <c r="RZ55" i="6"/>
  <c r="RZ106" i="6"/>
  <c r="RZ20" i="6"/>
  <c r="RZ67" i="6"/>
  <c r="RZ65" i="6"/>
  <c r="RZ56" i="6"/>
  <c r="RZ33" i="6"/>
  <c r="RZ90" i="6"/>
  <c r="RZ19" i="6"/>
  <c r="RZ59" i="6"/>
  <c r="RZ92" i="6"/>
  <c r="RZ9" i="6"/>
  <c r="SD106" i="6"/>
  <c r="SE93" i="6"/>
  <c r="SA81" i="6"/>
  <c r="SB68" i="6"/>
  <c r="SC55" i="6"/>
  <c r="SD42" i="6"/>
  <c r="SE29" i="6"/>
  <c r="SD109" i="6"/>
  <c r="SE96" i="6"/>
  <c r="SA84" i="6"/>
  <c r="SB71" i="6"/>
  <c r="SC58" i="6"/>
  <c r="SD45" i="6"/>
  <c r="SE32" i="6"/>
  <c r="SA20" i="6"/>
  <c r="SB7" i="6"/>
  <c r="SC105" i="6"/>
  <c r="SD92" i="6"/>
  <c r="SE79" i="6"/>
  <c r="SA67" i="6"/>
  <c r="SB54" i="6"/>
  <c r="SC41" i="6"/>
  <c r="SD28" i="6"/>
  <c r="SE15" i="6"/>
  <c r="SB114" i="6"/>
  <c r="SA94" i="6"/>
  <c r="SD73" i="6"/>
  <c r="SA53" i="6"/>
  <c r="SC32" i="6"/>
  <c r="SC14" i="6"/>
  <c r="SB106" i="6"/>
  <c r="SA86" i="6"/>
  <c r="SD65" i="6"/>
  <c r="SD97" i="6"/>
  <c r="SA77" i="6"/>
  <c r="SC56" i="6"/>
  <c r="SE35" i="6"/>
  <c r="SB17" i="6"/>
  <c r="SB115" i="6"/>
  <c r="SD94" i="6"/>
  <c r="SA74" i="6"/>
  <c r="SC53" i="6"/>
  <c r="SB33" i="6"/>
  <c r="SE14" i="6"/>
  <c r="SB93" i="6"/>
  <c r="SE54" i="6"/>
  <c r="SD22" i="6"/>
  <c r="SA98" i="6"/>
  <c r="SA38" i="6"/>
  <c r="SC24" i="6"/>
  <c r="SB77" i="6"/>
  <c r="SE41" i="6"/>
  <c r="SB112" i="6"/>
  <c r="SA71" i="6"/>
  <c r="SA37" i="6"/>
  <c r="SD7" i="6"/>
  <c r="SE115" i="6"/>
  <c r="SB75" i="6"/>
  <c r="SA40" i="6"/>
  <c r="SB10" i="6"/>
  <c r="SD51" i="6"/>
  <c r="SD54" i="6"/>
  <c r="SE44" i="6"/>
  <c r="SA90" i="6"/>
  <c r="SE51" i="6"/>
  <c r="SB20" i="6"/>
  <c r="SE83" i="6"/>
  <c r="SB16" i="6"/>
  <c r="SA96" i="6"/>
  <c r="SA21" i="6"/>
  <c r="RZ69" i="6"/>
  <c r="RZ111" i="6"/>
  <c r="RZ47" i="6"/>
  <c r="RZ96" i="6"/>
  <c r="RZ10" i="6"/>
  <c r="RZ57" i="6"/>
  <c r="RZ43" i="6"/>
  <c r="RZ44" i="6"/>
  <c r="RZ11" i="6"/>
  <c r="RZ68" i="6"/>
  <c r="RZ104" i="6"/>
  <c r="RZ38" i="6"/>
  <c r="RZ50" i="6"/>
  <c r="RZ72" i="6"/>
  <c r="SE117" i="6"/>
  <c r="SA105" i="6"/>
  <c r="SB92" i="6"/>
  <c r="SC79" i="6"/>
  <c r="SD66" i="6"/>
  <c r="SE53" i="6"/>
  <c r="SA41" i="6"/>
  <c r="SB28" i="6"/>
  <c r="SA108" i="6"/>
  <c r="SB95" i="6"/>
  <c r="SC82" i="6"/>
  <c r="SD69" i="6"/>
  <c r="SE56" i="6"/>
  <c r="SA44" i="6"/>
  <c r="SB31" i="6"/>
  <c r="SC18" i="6"/>
  <c r="SD116" i="6"/>
  <c r="SE103" i="6"/>
  <c r="SA91" i="6"/>
  <c r="SB78" i="6"/>
  <c r="SC65" i="6"/>
  <c r="SD52" i="6"/>
  <c r="SE39" i="6"/>
  <c r="SA27" i="6"/>
  <c r="SB14" i="6"/>
  <c r="SA112" i="6"/>
  <c r="SC91" i="6"/>
  <c r="SE70" i="6"/>
  <c r="SB50" i="6"/>
  <c r="SA30" i="6"/>
  <c r="SB12" i="6"/>
  <c r="SA104" i="6"/>
  <c r="SC83" i="6"/>
  <c r="SC115" i="6"/>
  <c r="SE94" i="6"/>
  <c r="SB74" i="6"/>
  <c r="SA54" i="6"/>
  <c r="SD33" i="6"/>
  <c r="SA15" i="6"/>
  <c r="SC112" i="6"/>
  <c r="SE91" i="6"/>
  <c r="SD71" i="6"/>
  <c r="SB51" i="6"/>
  <c r="SD30" i="6"/>
  <c r="SE12" i="6"/>
  <c r="SB88" i="6"/>
  <c r="SE50" i="6"/>
  <c r="SD19" i="6"/>
  <c r="SA93" i="6"/>
  <c r="SA26" i="6"/>
  <c r="SB113" i="6"/>
  <c r="SB72" i="6"/>
  <c r="SB37" i="6"/>
  <c r="SB107" i="6"/>
  <c r="SA66" i="6"/>
  <c r="SD32" i="6"/>
  <c r="SB32" i="6"/>
  <c r="SE110" i="6"/>
  <c r="SA70" i="6"/>
  <c r="SC36" i="6"/>
  <c r="SA7" i="6"/>
  <c r="SB43" i="6"/>
  <c r="SA42" i="6"/>
  <c r="SE28" i="6"/>
  <c r="SA85" i="6"/>
  <c r="SD47" i="6"/>
  <c r="SD16" i="6"/>
  <c r="SE73" i="6"/>
  <c r="SD9" i="6"/>
  <c r="SB57" i="6"/>
  <c r="RZ61" i="6"/>
  <c r="RZ103" i="6"/>
  <c r="RZ39" i="6"/>
  <c r="RZ84" i="6"/>
  <c r="RZ115" i="6"/>
  <c r="RZ46" i="6"/>
  <c r="RZ22" i="6"/>
  <c r="RZ34" i="6"/>
  <c r="RZ114" i="6"/>
  <c r="RZ48" i="6"/>
  <c r="RZ82" i="6"/>
  <c r="RZ17" i="6"/>
  <c r="RZ28" i="6"/>
  <c r="SB116" i="6"/>
  <c r="SC103" i="6"/>
  <c r="SD90" i="6"/>
  <c r="SE77" i="6"/>
  <c r="SA65" i="6"/>
  <c r="SB52" i="6"/>
  <c r="SC39" i="6"/>
  <c r="SD26" i="6"/>
  <c r="SC106" i="6"/>
  <c r="SD93" i="6"/>
  <c r="SE80" i="6"/>
  <c r="SA68" i="6"/>
  <c r="SB55" i="6"/>
  <c r="SC42" i="6"/>
  <c r="SD29" i="6"/>
  <c r="SE16" i="6"/>
  <c r="SA115" i="6"/>
  <c r="SB102" i="6"/>
  <c r="SC89" i="6"/>
  <c r="SD76" i="6"/>
  <c r="SE63" i="6"/>
  <c r="SA51" i="6"/>
  <c r="SB38" i="6"/>
  <c r="SC25" i="6"/>
  <c r="SD12" i="6"/>
  <c r="SB109" i="6"/>
  <c r="SD88" i="6"/>
  <c r="SC68" i="6"/>
  <c r="SA48" i="6"/>
  <c r="SC27" i="6"/>
  <c r="SA10" i="6"/>
  <c r="SB101" i="6"/>
  <c r="SD80" i="6"/>
  <c r="SD112" i="6"/>
  <c r="SC92" i="6"/>
  <c r="SA72" i="6"/>
  <c r="SC51" i="6"/>
  <c r="SE30" i="6"/>
  <c r="SA13" i="6"/>
  <c r="SA110" i="6"/>
  <c r="SD89" i="6"/>
  <c r="SA69" i="6"/>
  <c r="SC48" i="6"/>
  <c r="SE27" i="6"/>
  <c r="SD10" i="6"/>
  <c r="SB83" i="6"/>
  <c r="SE46" i="6"/>
  <c r="SA16" i="6"/>
  <c r="SE82" i="6"/>
  <c r="SD15" i="6"/>
  <c r="SE107" i="6"/>
  <c r="SB67" i="6"/>
  <c r="SB29" i="6"/>
  <c r="SA102" i="6"/>
  <c r="SA62" i="6"/>
  <c r="SA29" i="6"/>
  <c r="SC116" i="6"/>
  <c r="SE105" i="6"/>
  <c r="SD64" i="6"/>
  <c r="SA32" i="6"/>
  <c r="SC109" i="6"/>
  <c r="SE34" i="6"/>
  <c r="SC29" i="6"/>
  <c r="SC7" i="6"/>
  <c r="SA80" i="6"/>
  <c r="SE43" i="6"/>
  <c r="SC13" i="6"/>
  <c r="SD63" i="6"/>
  <c r="SA88" i="6"/>
  <c r="SE36" i="6"/>
  <c r="RZ117" i="6"/>
  <c r="RZ53" i="6"/>
  <c r="RZ95" i="6"/>
  <c r="RZ31" i="6"/>
  <c r="RZ74" i="6"/>
  <c r="RZ105" i="6"/>
  <c r="RZ35" i="6"/>
  <c r="RZ108" i="6"/>
  <c r="RZ24" i="6"/>
  <c r="RZ91" i="6"/>
  <c r="RZ26" i="6"/>
  <c r="RZ60" i="6"/>
  <c r="RZ100" i="6"/>
  <c r="RZ8" i="6"/>
  <c r="SD114" i="6"/>
  <c r="SE101" i="6"/>
  <c r="SA89" i="6"/>
  <c r="SB76" i="6"/>
  <c r="SC63" i="6"/>
  <c r="SD50" i="6"/>
  <c r="SE37" i="6"/>
  <c r="SD117" i="6"/>
  <c r="SE104" i="6"/>
  <c r="SA92" i="6"/>
  <c r="SB79" i="6"/>
  <c r="SC66" i="6"/>
  <c r="SD53" i="6"/>
  <c r="SE40" i="6"/>
  <c r="SA28" i="6"/>
  <c r="SB15" i="6"/>
  <c r="SC113" i="6"/>
  <c r="SD100" i="6"/>
  <c r="SE87" i="6"/>
  <c r="SA75" i="6"/>
  <c r="SB62" i="6"/>
  <c r="SC49" i="6"/>
  <c r="SD36" i="6"/>
  <c r="SE23" i="6"/>
  <c r="SA11" i="6"/>
  <c r="SF11" i="6" s="1"/>
  <c r="SE106" i="6"/>
  <c r="SC86" i="6"/>
  <c r="SE65" i="6"/>
  <c r="SB45" i="6"/>
  <c r="SA25" i="6"/>
  <c r="SA8" i="6"/>
  <c r="SE98" i="6"/>
  <c r="SC78" i="6"/>
  <c r="SC110" i="6"/>
  <c r="SE89" i="6"/>
  <c r="SB69" i="6"/>
  <c r="SD48" i="6"/>
  <c r="SC28" i="6"/>
  <c r="SE10" i="6"/>
  <c r="SC107" i="6"/>
  <c r="SE86" i="6"/>
  <c r="SB66" i="6"/>
  <c r="SA46" i="6"/>
  <c r="SD25" i="6"/>
  <c r="SC8" i="6"/>
  <c r="SA78" i="6"/>
  <c r="SB42" i="6"/>
  <c r="SC12" i="6"/>
  <c r="SC72" i="6"/>
  <c r="SA22" i="6"/>
  <c r="SE102" i="6"/>
  <c r="SC62" i="6"/>
  <c r="SC15" i="6"/>
  <c r="SD96" i="6"/>
  <c r="SD57" i="6"/>
  <c r="SD24" i="6"/>
  <c r="SA111" i="6"/>
  <c r="SE100" i="6"/>
  <c r="SC60" i="6"/>
  <c r="SD27" i="6"/>
  <c r="SC99" i="6"/>
  <c r="SE26" i="6"/>
  <c r="SE18" i="6"/>
  <c r="SD115" i="6"/>
  <c r="SE74" i="6"/>
  <c r="SD39" i="6"/>
  <c r="SE9" i="6"/>
  <c r="SA55" i="6"/>
  <c r="SA50" i="6"/>
  <c r="SE17" i="6"/>
  <c r="RZ109" i="6"/>
  <c r="RZ45" i="6"/>
  <c r="RZ87" i="6"/>
  <c r="RZ23" i="6"/>
  <c r="RZ64" i="6"/>
  <c r="RZ110" i="6"/>
  <c r="RZ25" i="6"/>
  <c r="RZ98" i="6"/>
  <c r="RZ12" i="6"/>
  <c r="RZ70" i="6"/>
  <c r="RZ112" i="6"/>
  <c r="RZ40" i="6"/>
  <c r="RZ80" i="6"/>
  <c r="RZ94" i="6"/>
  <c r="YU33" i="6"/>
  <c r="YU115" i="6"/>
  <c r="YU111" i="6"/>
  <c r="YU9" i="6"/>
  <c r="YU84" i="6"/>
  <c r="YU101" i="6"/>
  <c r="YU24" i="6"/>
  <c r="YU50" i="6"/>
  <c r="YU90" i="6"/>
  <c r="YU68" i="6"/>
  <c r="YU85" i="6"/>
  <c r="YU8" i="6"/>
  <c r="BN59" i="6"/>
  <c r="BN110" i="6"/>
  <c r="BN57" i="6"/>
  <c r="BN117" i="6"/>
  <c r="BN72" i="6"/>
  <c r="BN48" i="6"/>
  <c r="BN111" i="6"/>
  <c r="BN37" i="6"/>
  <c r="BN95" i="6"/>
  <c r="BN21" i="6"/>
  <c r="BN22" i="6"/>
  <c r="BN116" i="6"/>
  <c r="BN65" i="6"/>
  <c r="BN109" i="6"/>
  <c r="BN104" i="6"/>
  <c r="BN93" i="6"/>
  <c r="BN92" i="6"/>
  <c r="BN9" i="6"/>
  <c r="BN12" i="6"/>
  <c r="BN45" i="6"/>
  <c r="BN56" i="6"/>
  <c r="EP116" i="6"/>
  <c r="EP109" i="6"/>
  <c r="EP57" i="6"/>
  <c r="EP29" i="6"/>
  <c r="EP86" i="6"/>
  <c r="EP107" i="6"/>
  <c r="EP85" i="6"/>
  <c r="EP52" i="6"/>
  <c r="EP32" i="6"/>
  <c r="EP31" i="6"/>
  <c r="LY106" i="6"/>
  <c r="LV116" i="6"/>
  <c r="LY13" i="6"/>
  <c r="LV23" i="6"/>
  <c r="LX32" i="6"/>
  <c r="LZ41" i="6"/>
  <c r="LW51" i="6"/>
  <c r="LX60" i="6"/>
  <c r="LV99" i="6"/>
  <c r="LZ77" i="6"/>
  <c r="LZ72" i="6"/>
  <c r="LZ67" i="6"/>
  <c r="LZ62" i="6"/>
  <c r="LZ57" i="6"/>
  <c r="LZ52" i="6"/>
  <c r="LV46" i="6"/>
  <c r="LZ7" i="6"/>
  <c r="LU115" i="6"/>
  <c r="LU96" i="6"/>
  <c r="LX114" i="6"/>
  <c r="LX109" i="6"/>
  <c r="LX104" i="6"/>
  <c r="LX99" i="6"/>
  <c r="LX94" i="6"/>
  <c r="LW89" i="6"/>
  <c r="LY36" i="6"/>
  <c r="LU70" i="6"/>
  <c r="LU65" i="6"/>
  <c r="LW60" i="6"/>
  <c r="LW55" i="6"/>
  <c r="LW50" i="6"/>
  <c r="LY43" i="6"/>
  <c r="LY38" i="6"/>
  <c r="LY33" i="6"/>
  <c r="LX28" i="6"/>
  <c r="LZ31" i="6"/>
  <c r="LU35" i="6"/>
  <c r="LW116" i="6"/>
  <c r="LW111" i="6"/>
  <c r="LW106" i="6"/>
  <c r="LW101" i="6"/>
  <c r="LW96" i="6"/>
  <c r="LW91" i="6"/>
  <c r="LX84" i="6"/>
  <c r="LW54" i="6"/>
  <c r="LU54" i="6"/>
  <c r="LU24" i="6"/>
  <c r="LV57" i="6"/>
  <c r="LX50" i="6"/>
  <c r="LX45" i="6"/>
  <c r="LX40" i="6"/>
  <c r="LX35" i="6"/>
  <c r="LX30" i="6"/>
  <c r="LW25" i="6"/>
  <c r="LW6" i="6"/>
  <c r="LU66" i="6"/>
  <c r="LY98" i="6"/>
  <c r="LY93" i="6"/>
  <c r="LY88" i="6"/>
  <c r="LV82" i="6"/>
  <c r="LV77" i="6"/>
  <c r="LV72" i="6"/>
  <c r="LZ66" i="6"/>
  <c r="LV35" i="6"/>
  <c r="LU21" i="6"/>
  <c r="LU56" i="6"/>
  <c r="LV9" i="6"/>
  <c r="LY50" i="6"/>
  <c r="LY45" i="6"/>
  <c r="LY40" i="6"/>
  <c r="LY35" i="6"/>
  <c r="LY30" i="6"/>
  <c r="LV24" i="6"/>
  <c r="LZ18" i="6"/>
  <c r="LY68" i="6"/>
  <c r="LU106" i="6"/>
  <c r="LX80" i="6"/>
  <c r="LV71" i="6"/>
  <c r="LZ89" i="6"/>
  <c r="LV83" i="6"/>
  <c r="LX20" i="6"/>
  <c r="LZ17" i="6"/>
  <c r="LY113" i="6"/>
  <c r="LW104" i="6"/>
  <c r="LU6" i="6"/>
  <c r="LW73" i="6"/>
  <c r="LW67" i="6"/>
  <c r="LV12" i="6"/>
  <c r="LU8" i="6"/>
  <c r="LY28" i="6"/>
  <c r="LY105" i="6"/>
  <c r="LZ59" i="6"/>
  <c r="LV108" i="6"/>
  <c r="LU85" i="6"/>
  <c r="LV50" i="6"/>
  <c r="LY79" i="6"/>
  <c r="LZ110" i="6"/>
  <c r="LZ93" i="6"/>
  <c r="LW103" i="6"/>
  <c r="LY112" i="6"/>
  <c r="LW10" i="6"/>
  <c r="LY19" i="6"/>
  <c r="LV29" i="6"/>
  <c r="LX38" i="6"/>
  <c r="LY47" i="6"/>
  <c r="LX41" i="6"/>
  <c r="LX63" i="6"/>
  <c r="LX58" i="6"/>
  <c r="LX53" i="6"/>
  <c r="LX48" i="6"/>
  <c r="LX43" i="6"/>
  <c r="LZ36" i="6"/>
  <c r="LY31" i="6"/>
  <c r="LX57" i="6"/>
  <c r="LU51" i="6"/>
  <c r="LV105" i="6"/>
  <c r="LV100" i="6"/>
  <c r="LV95" i="6"/>
  <c r="LV90" i="6"/>
  <c r="LV85" i="6"/>
  <c r="LV80" i="6"/>
  <c r="LZ74" i="6"/>
  <c r="LW86" i="6"/>
  <c r="LU117" i="6"/>
  <c r="LU104" i="6"/>
  <c r="LZ45" i="6"/>
  <c r="LZ40" i="6"/>
  <c r="LW34" i="6"/>
  <c r="LW29" i="6"/>
  <c r="LW24" i="6"/>
  <c r="LW19" i="6"/>
  <c r="LV14" i="6"/>
  <c r="LX17" i="6"/>
  <c r="LU82" i="6"/>
  <c r="LZ101" i="6"/>
  <c r="LZ96" i="6"/>
  <c r="LZ91" i="6"/>
  <c r="LZ86" i="6"/>
  <c r="LZ81" i="6"/>
  <c r="LW75" i="6"/>
  <c r="LV70" i="6"/>
  <c r="LY60" i="6"/>
  <c r="LU101" i="6"/>
  <c r="LU60" i="6"/>
  <c r="LV41" i="6"/>
  <c r="LV36" i="6"/>
  <c r="LV31" i="6"/>
  <c r="LV26" i="6"/>
  <c r="LV21" i="6"/>
  <c r="LV16" i="6"/>
  <c r="LZ10" i="6"/>
  <c r="LU63" i="6"/>
  <c r="LU113" i="6"/>
  <c r="LW84" i="6"/>
  <c r="LW79" i="6"/>
  <c r="LY72" i="6"/>
  <c r="LY67" i="6"/>
  <c r="LY62" i="6"/>
  <c r="LY57" i="6"/>
  <c r="LX52" i="6"/>
  <c r="LV59" i="6"/>
  <c r="LU75" i="6"/>
  <c r="LX111" i="6"/>
  <c r="LX106" i="6"/>
  <c r="LW36" i="6"/>
  <c r="LW31" i="6"/>
  <c r="LW26" i="6"/>
  <c r="LW21" i="6"/>
  <c r="LY14" i="6"/>
  <c r="LY9" i="6"/>
  <c r="LW30" i="6"/>
  <c r="LU103" i="6"/>
  <c r="LU42" i="6"/>
  <c r="LX75" i="6"/>
  <c r="LV66" i="6"/>
  <c r="LU47" i="6"/>
  <c r="LU77" i="6"/>
  <c r="LX81" i="6"/>
  <c r="LW11" i="6"/>
  <c r="LX108" i="6"/>
  <c r="LW99" i="6"/>
  <c r="LV17" i="6"/>
  <c r="LZ23" i="6"/>
  <c r="LV91" i="6"/>
  <c r="LZ108" i="6"/>
  <c r="LY69" i="6"/>
  <c r="LU99" i="6"/>
  <c r="LX100" i="6"/>
  <c r="LZ54" i="6"/>
  <c r="LV113" i="6"/>
  <c r="LW81" i="6"/>
  <c r="LV55" i="6"/>
  <c r="LX85" i="6"/>
  <c r="LV81" i="6"/>
  <c r="LX90" i="6"/>
  <c r="LZ99" i="6"/>
  <c r="LW109" i="6"/>
  <c r="LZ6" i="6"/>
  <c r="LW16" i="6"/>
  <c r="LY25" i="6"/>
  <c r="LZ34" i="6"/>
  <c r="LX33" i="6"/>
  <c r="LV49" i="6"/>
  <c r="LV44" i="6"/>
  <c r="LV39" i="6"/>
  <c r="LV34" i="6"/>
  <c r="LX27" i="6"/>
  <c r="LX22" i="6"/>
  <c r="LW17" i="6"/>
  <c r="LZ55" i="6"/>
  <c r="LU98" i="6"/>
  <c r="LY90" i="6"/>
  <c r="LY85" i="6"/>
  <c r="LY80" i="6"/>
  <c r="LY75" i="6"/>
  <c r="LY70" i="6"/>
  <c r="LY65" i="6"/>
  <c r="LZ58" i="6"/>
  <c r="LW110" i="6"/>
  <c r="LU53" i="6"/>
  <c r="LU36" i="6"/>
  <c r="LX31" i="6"/>
  <c r="LZ24" i="6"/>
  <c r="LZ19" i="6"/>
  <c r="LZ14" i="6"/>
  <c r="LZ9" i="6"/>
  <c r="LX116" i="6"/>
  <c r="LW14" i="6"/>
  <c r="LU79" i="6"/>
  <c r="LU18" i="6"/>
  <c r="LX87" i="6"/>
  <c r="LX82" i="6"/>
  <c r="LX77" i="6"/>
  <c r="LX72" i="6"/>
  <c r="LZ65" i="6"/>
  <c r="LZ60" i="6"/>
  <c r="LY55" i="6"/>
  <c r="LY84" i="6"/>
  <c r="LU37" i="6"/>
  <c r="LU97" i="6"/>
  <c r="LY26" i="6"/>
  <c r="LY21" i="6"/>
  <c r="LY16" i="6"/>
  <c r="LY11" i="6"/>
  <c r="LY6" i="6"/>
  <c r="LW113" i="6"/>
  <c r="LW102" i="6"/>
  <c r="LU110" i="6"/>
  <c r="LU68" i="6"/>
  <c r="LZ69" i="6"/>
  <c r="LW63" i="6"/>
  <c r="LW58" i="6"/>
  <c r="LW53" i="6"/>
  <c r="LW48" i="6"/>
  <c r="LW43" i="6"/>
  <c r="LV38" i="6"/>
  <c r="LY108" i="6"/>
  <c r="LU11" i="6"/>
  <c r="LV97" i="6"/>
  <c r="LV92" i="6"/>
  <c r="LZ21" i="6"/>
  <c r="LZ16" i="6"/>
  <c r="LZ11" i="6"/>
  <c r="LV117" i="6"/>
  <c r="LV112" i="6"/>
  <c r="LZ106" i="6"/>
  <c r="LZ63" i="6"/>
  <c r="LU39" i="6"/>
  <c r="LU49" i="6"/>
  <c r="LX70" i="6"/>
  <c r="LV61" i="6"/>
  <c r="LY61" i="6"/>
  <c r="LU100" i="6"/>
  <c r="LU13" i="6"/>
  <c r="LV6" i="6"/>
  <c r="LY76" i="6"/>
  <c r="LV94" i="6"/>
  <c r="LV64" i="6"/>
  <c r="LW77" i="6"/>
  <c r="LY18" i="6"/>
  <c r="LU23" i="6"/>
  <c r="LV48" i="6"/>
  <c r="LY110" i="6"/>
  <c r="LX66" i="6"/>
  <c r="LU19" i="6"/>
  <c r="LX86" i="6"/>
  <c r="LV60" i="6"/>
  <c r="LW33" i="6"/>
  <c r="LW27" i="6"/>
  <c r="LW68" i="6"/>
  <c r="LY77" i="6"/>
  <c r="LV87" i="6"/>
  <c r="LX96" i="6"/>
  <c r="LZ105" i="6"/>
  <c r="LW115" i="6"/>
  <c r="LZ12" i="6"/>
  <c r="LV22" i="6"/>
  <c r="LZ95" i="6"/>
  <c r="LY34" i="6"/>
  <c r="LY29" i="6"/>
  <c r="LY24" i="6"/>
  <c r="LV18" i="6"/>
  <c r="LV13" i="6"/>
  <c r="LV8" i="6"/>
  <c r="LZ15" i="6"/>
  <c r="LU95" i="6"/>
  <c r="LU34" i="6"/>
  <c r="LW76" i="6"/>
  <c r="LW71" i="6"/>
  <c r="LW66" i="6"/>
  <c r="LW61" i="6"/>
  <c r="LW56" i="6"/>
  <c r="LY49" i="6"/>
  <c r="LX44" i="6"/>
  <c r="LX105" i="6"/>
  <c r="LU107" i="6"/>
  <c r="LU73" i="6"/>
  <c r="LX15" i="6"/>
  <c r="LX10" i="6"/>
  <c r="LW117" i="6"/>
  <c r="LW112" i="6"/>
  <c r="LW107" i="6"/>
  <c r="LV102" i="6"/>
  <c r="LX25" i="6"/>
  <c r="LU15" i="6"/>
  <c r="LU112" i="6"/>
  <c r="LV73" i="6"/>
  <c r="LV68" i="6"/>
  <c r="LV63" i="6"/>
  <c r="LX56" i="6"/>
  <c r="LX51" i="6"/>
  <c r="LX46" i="6"/>
  <c r="LW41" i="6"/>
  <c r="LW78" i="6"/>
  <c r="LU91" i="6"/>
  <c r="LU32" i="6"/>
  <c r="LW12" i="6"/>
  <c r="LW7" i="6"/>
  <c r="LV114" i="6"/>
  <c r="LV109" i="6"/>
  <c r="LV104" i="6"/>
  <c r="LW97" i="6"/>
  <c r="LY100" i="6"/>
  <c r="LU46" i="6"/>
  <c r="LU105" i="6"/>
  <c r="LZ53" i="6"/>
  <c r="LZ48" i="6"/>
  <c r="LZ43" i="6"/>
  <c r="LZ38" i="6"/>
  <c r="LZ33" i="6"/>
  <c r="LZ28" i="6"/>
  <c r="LY23" i="6"/>
  <c r="LW94" i="6"/>
  <c r="LU58" i="6"/>
  <c r="LY82" i="6"/>
  <c r="LV76" i="6"/>
  <c r="LX7" i="6"/>
  <c r="LW114" i="6"/>
  <c r="LY107" i="6"/>
  <c r="LY102" i="6"/>
  <c r="LY97" i="6"/>
  <c r="LX92" i="6"/>
  <c r="LW62" i="6"/>
  <c r="LU86" i="6"/>
  <c r="LU108" i="6"/>
  <c r="LW65" i="6"/>
  <c r="LV56" i="6"/>
  <c r="LY56" i="6"/>
  <c r="LW47" i="6"/>
  <c r="LU33" i="6"/>
  <c r="LU67" i="6"/>
  <c r="LU114" i="6"/>
  <c r="LV75" i="6"/>
  <c r="LW45" i="6"/>
  <c r="LW87" i="6"/>
  <c r="LU61" i="6"/>
  <c r="LY103" i="6"/>
  <c r="LY64" i="6"/>
  <c r="LU52" i="6"/>
  <c r="LX113" i="6"/>
  <c r="LZ49" i="6"/>
  <c r="LV103" i="6"/>
  <c r="LU17" i="6"/>
  <c r="LV45" i="6"/>
  <c r="LU64" i="6"/>
  <c r="LX55" i="6"/>
  <c r="LZ64" i="6"/>
  <c r="LW74" i="6"/>
  <c r="LY83" i="6"/>
  <c r="LV93" i="6"/>
  <c r="LX102" i="6"/>
  <c r="LY111" i="6"/>
  <c r="LW9" i="6"/>
  <c r="LV107" i="6"/>
  <c r="LW20" i="6"/>
  <c r="LW15" i="6"/>
  <c r="LY8" i="6"/>
  <c r="LX115" i="6"/>
  <c r="LX110" i="6"/>
  <c r="LW105" i="6"/>
  <c r="LV51" i="6"/>
  <c r="LU31" i="6"/>
  <c r="LU28" i="6"/>
  <c r="LZ61" i="6"/>
  <c r="LZ56" i="6"/>
  <c r="LZ51" i="6"/>
  <c r="LZ46" i="6"/>
  <c r="LW40" i="6"/>
  <c r="LW35" i="6"/>
  <c r="LV30" i="6"/>
  <c r="LY44" i="6"/>
  <c r="LU43" i="6"/>
  <c r="LZ117" i="6"/>
  <c r="LZ112" i="6"/>
  <c r="LZ107" i="6"/>
  <c r="LZ102" i="6"/>
  <c r="LZ97" i="6"/>
  <c r="LZ92" i="6"/>
  <c r="LY87" i="6"/>
  <c r="LY92" i="6"/>
  <c r="LU62" i="6"/>
  <c r="LU44" i="6"/>
  <c r="LY58" i="6"/>
  <c r="LY53" i="6"/>
  <c r="LV47" i="6"/>
  <c r="LV42" i="6"/>
  <c r="LV37" i="6"/>
  <c r="LV32" i="6"/>
  <c r="LZ26" i="6"/>
  <c r="LV19" i="6"/>
  <c r="LU27" i="6"/>
  <c r="LY114" i="6"/>
  <c r="LY109" i="6"/>
  <c r="LY104" i="6"/>
  <c r="LY99" i="6"/>
  <c r="LY94" i="6"/>
  <c r="LV88" i="6"/>
  <c r="LZ82" i="6"/>
  <c r="LZ103" i="6"/>
  <c r="LU93" i="6"/>
  <c r="LU40" i="6"/>
  <c r="LX39" i="6"/>
  <c r="LX34" i="6"/>
  <c r="LX29" i="6"/>
  <c r="LX24" i="6"/>
  <c r="LX19" i="6"/>
  <c r="LX14" i="6"/>
  <c r="LY7" i="6"/>
  <c r="LU55" i="6"/>
  <c r="LU92" i="6"/>
  <c r="LY66" i="6"/>
  <c r="LZ109" i="6"/>
  <c r="LZ104" i="6"/>
  <c r="LW98" i="6"/>
  <c r="LW93" i="6"/>
  <c r="LW88" i="6"/>
  <c r="LW83" i="6"/>
  <c r="LV78" i="6"/>
  <c r="LV27" i="6"/>
  <c r="LU22" i="6"/>
  <c r="LU41" i="6"/>
  <c r="LW22" i="6"/>
  <c r="LZ50" i="6"/>
  <c r="LY51" i="6"/>
  <c r="LW42" i="6"/>
  <c r="LZ94" i="6"/>
  <c r="LZ84" i="6"/>
  <c r="LX101" i="6"/>
  <c r="LU111" i="6"/>
  <c r="LY54" i="6"/>
  <c r="LW82" i="6"/>
  <c r="LU57" i="6"/>
  <c r="LW38" i="6"/>
  <c r="LY59" i="6"/>
  <c r="LZ13" i="6"/>
  <c r="LU7" i="6"/>
  <c r="LZ44" i="6"/>
  <c r="LV98" i="6"/>
  <c r="LX23" i="6"/>
  <c r="LW70" i="6"/>
  <c r="LZ22" i="6"/>
  <c r="LY42" i="6"/>
  <c r="LV52" i="6"/>
  <c r="LX61" i="6"/>
  <c r="LZ70" i="6"/>
  <c r="LW80" i="6"/>
  <c r="LY89" i="6"/>
  <c r="LZ98" i="6"/>
  <c r="LV115" i="6"/>
  <c r="LY116" i="6"/>
  <c r="LY117" i="6"/>
  <c r="LV111" i="6"/>
  <c r="LV106" i="6"/>
  <c r="LV101" i="6"/>
  <c r="LV96" i="6"/>
  <c r="LZ90" i="6"/>
  <c r="LX49" i="6"/>
  <c r="LU78" i="6"/>
  <c r="LU88" i="6"/>
  <c r="LX47" i="6"/>
  <c r="LX42" i="6"/>
  <c r="LX37" i="6"/>
  <c r="LZ30" i="6"/>
  <c r="LZ25" i="6"/>
  <c r="LZ20" i="6"/>
  <c r="LY15" i="6"/>
  <c r="LV43" i="6"/>
  <c r="LU90" i="6"/>
  <c r="LX103" i="6"/>
  <c r="LX98" i="6"/>
  <c r="LX93" i="6"/>
  <c r="LX88" i="6"/>
  <c r="LX83" i="6"/>
  <c r="LX78" i="6"/>
  <c r="LY71" i="6"/>
  <c r="LX73" i="6"/>
  <c r="LU109" i="6"/>
  <c r="LU81" i="6"/>
  <c r="LW44" i="6"/>
  <c r="LY37" i="6"/>
  <c r="LY32" i="6"/>
  <c r="LY27" i="6"/>
  <c r="LY22" i="6"/>
  <c r="LY17" i="6"/>
  <c r="LX12" i="6"/>
  <c r="LV67" i="6"/>
  <c r="LU74" i="6"/>
  <c r="LW100" i="6"/>
  <c r="LW95" i="6"/>
  <c r="LW90" i="6"/>
  <c r="LW85" i="6"/>
  <c r="LY78" i="6"/>
  <c r="LY73" i="6"/>
  <c r="LX68" i="6"/>
  <c r="LZ47" i="6"/>
  <c r="LU29" i="6"/>
  <c r="LU76" i="6"/>
  <c r="LV25" i="6"/>
  <c r="LV20" i="6"/>
  <c r="LV15" i="6"/>
  <c r="LV10" i="6"/>
  <c r="LZ116" i="6"/>
  <c r="LV110" i="6"/>
  <c r="LX89" i="6"/>
  <c r="LU102" i="6"/>
  <c r="LU48" i="6"/>
  <c r="LW52" i="6"/>
  <c r="LX95" i="6"/>
  <c r="LZ88" i="6"/>
  <c r="LZ83" i="6"/>
  <c r="LZ78" i="6"/>
  <c r="LZ73" i="6"/>
  <c r="LZ68" i="6"/>
  <c r="LY63" i="6"/>
  <c r="LX9" i="6"/>
  <c r="LU69" i="6"/>
  <c r="LU80" i="6"/>
  <c r="LU94" i="6"/>
  <c r="LW46" i="6"/>
  <c r="LY46" i="6"/>
  <c r="LW37" i="6"/>
  <c r="LZ32" i="6"/>
  <c r="LX18" i="6"/>
  <c r="LU72" i="6"/>
  <c r="LU50" i="6"/>
  <c r="LZ35" i="6"/>
  <c r="LW72" i="6"/>
  <c r="LZ113" i="6"/>
  <c r="LV53" i="6"/>
  <c r="LZ8" i="6"/>
  <c r="LX71" i="6"/>
  <c r="LZ39" i="6"/>
  <c r="LV11" i="6"/>
  <c r="LV40" i="6"/>
  <c r="LX36" i="6"/>
  <c r="LZ29" i="6"/>
  <c r="LW39" i="6"/>
  <c r="LY48" i="6"/>
  <c r="LV58" i="6"/>
  <c r="LX67" i="6"/>
  <c r="LZ76" i="6"/>
  <c r="LV86" i="6"/>
  <c r="LY12" i="6"/>
  <c r="LW108" i="6"/>
  <c r="LY101" i="6"/>
  <c r="LY96" i="6"/>
  <c r="LY91" i="6"/>
  <c r="LY86" i="6"/>
  <c r="LY81" i="6"/>
  <c r="LX76" i="6"/>
  <c r="LZ111" i="6"/>
  <c r="LU14" i="6"/>
  <c r="LU20" i="6"/>
  <c r="LV33" i="6"/>
  <c r="LV28" i="6"/>
  <c r="LX21" i="6"/>
  <c r="LX16" i="6"/>
  <c r="LX11" i="6"/>
  <c r="LX6" i="6"/>
  <c r="LY52" i="6"/>
  <c r="LU87" i="6"/>
  <c r="LU26" i="6"/>
  <c r="LV89" i="6"/>
  <c r="LV84" i="6"/>
  <c r="LV79" i="6"/>
  <c r="LV74" i="6"/>
  <c r="LV69" i="6"/>
  <c r="LX62" i="6"/>
  <c r="LW57" i="6"/>
  <c r="LX97" i="6"/>
  <c r="LU45" i="6"/>
  <c r="LU16" i="6"/>
  <c r="LW28" i="6"/>
  <c r="LW23" i="6"/>
  <c r="LW18" i="6"/>
  <c r="LW13" i="6"/>
  <c r="LW8" i="6"/>
  <c r="LZ114" i="6"/>
  <c r="LZ79" i="6"/>
  <c r="LU71" i="6"/>
  <c r="LU10" i="6"/>
  <c r="LZ85" i="6"/>
  <c r="LZ80" i="6"/>
  <c r="LZ75" i="6"/>
  <c r="LW69" i="6"/>
  <c r="LW64" i="6"/>
  <c r="LW59" i="6"/>
  <c r="LV54" i="6"/>
  <c r="LZ71" i="6"/>
  <c r="LU83" i="6"/>
  <c r="LU9" i="6"/>
  <c r="LY10" i="6"/>
  <c r="LX117" i="6"/>
  <c r="LX112" i="6"/>
  <c r="LX107" i="6"/>
  <c r="LZ100" i="6"/>
  <c r="LY95" i="6"/>
  <c r="LZ87" i="6"/>
  <c r="LU38" i="6"/>
  <c r="LU84" i="6"/>
  <c r="LZ37" i="6"/>
  <c r="LX79" i="6"/>
  <c r="LX74" i="6"/>
  <c r="LX69" i="6"/>
  <c r="LX64" i="6"/>
  <c r="LX59" i="6"/>
  <c r="LX54" i="6"/>
  <c r="LW49" i="6"/>
  <c r="LY20" i="6"/>
  <c r="LU116" i="6"/>
  <c r="LU12" i="6"/>
  <c r="LU25" i="6"/>
  <c r="LU30" i="6"/>
  <c r="LY41" i="6"/>
  <c r="LW32" i="6"/>
  <c r="LZ27" i="6"/>
  <c r="LX13" i="6"/>
  <c r="LZ115" i="6"/>
  <c r="LX65" i="6"/>
  <c r="LX26" i="6"/>
  <c r="LW92" i="6"/>
  <c r="LV62" i="6"/>
  <c r="LV7" i="6"/>
  <c r="LY74" i="6"/>
  <c r="LZ42" i="6"/>
  <c r="LY115" i="6"/>
  <c r="LU89" i="6"/>
  <c r="LY39" i="6"/>
  <c r="LX91" i="6"/>
  <c r="LV65" i="6"/>
  <c r="LU59" i="6"/>
  <c r="LX8" i="6"/>
  <c r="ACS28" i="6"/>
  <c r="ACS85" i="6"/>
  <c r="ACS87" i="6"/>
  <c r="ACS12" i="6"/>
  <c r="ACS69" i="6"/>
  <c r="ACS71" i="6"/>
  <c r="ACS88" i="6"/>
  <c r="OB81" i="6"/>
  <c r="OB76" i="6"/>
  <c r="OB27" i="6"/>
  <c r="OB92" i="6"/>
  <c r="OB32" i="6"/>
  <c r="OB67" i="6"/>
  <c r="OB39" i="6"/>
  <c r="OB72" i="6"/>
  <c r="OB44" i="6"/>
  <c r="OB49" i="6"/>
  <c r="OB89" i="6"/>
  <c r="OB35" i="6"/>
  <c r="OB7" i="6"/>
  <c r="OB100" i="6"/>
  <c r="YJ117" i="6"/>
  <c r="YJ57" i="6"/>
  <c r="YJ15" i="6"/>
  <c r="YJ90" i="6"/>
  <c r="YJ71" i="6"/>
  <c r="YJ27" i="6"/>
  <c r="YJ96" i="6"/>
  <c r="YJ6" i="6"/>
  <c r="YJ102" i="6"/>
  <c r="YJ73" i="6"/>
  <c r="YJ24" i="6"/>
  <c r="FX79" i="6"/>
  <c r="FX20" i="6"/>
  <c r="FX62" i="6"/>
  <c r="FX101" i="6"/>
  <c r="FX36" i="6"/>
  <c r="FX117" i="6"/>
  <c r="FX22" i="6"/>
  <c r="FX23" i="6"/>
  <c r="FX116" i="6"/>
  <c r="FX46" i="6"/>
  <c r="FX57" i="6"/>
  <c r="HW100" i="6"/>
  <c r="HW95" i="6"/>
  <c r="ZV119" i="6"/>
  <c r="O59" i="6"/>
  <c r="WR90" i="6"/>
  <c r="WR30" i="6"/>
  <c r="WR47" i="6"/>
  <c r="WR48" i="6"/>
  <c r="WR117" i="6"/>
  <c r="FG88" i="6"/>
  <c r="FG21" i="6"/>
  <c r="FG22" i="6"/>
  <c r="FG24" i="6"/>
  <c r="FG61" i="6"/>
  <c r="FG38" i="6"/>
  <c r="FG104" i="6"/>
  <c r="FG11" i="6"/>
  <c r="FG44" i="6"/>
  <c r="FG29" i="6"/>
  <c r="FG81" i="6"/>
  <c r="CG30" i="6"/>
  <c r="CG18" i="6"/>
  <c r="CG104" i="6"/>
  <c r="CG45" i="6"/>
  <c r="CG114" i="6"/>
  <c r="CG23" i="6"/>
  <c r="CG94" i="6"/>
  <c r="CG7" i="6"/>
  <c r="CG111" i="6"/>
  <c r="CG74" i="6"/>
  <c r="CG32" i="6"/>
  <c r="CG56" i="6"/>
  <c r="CG91" i="6"/>
  <c r="CG54" i="6"/>
  <c r="CG59" i="6"/>
  <c r="CG25" i="6"/>
  <c r="CG68" i="6"/>
  <c r="CG105" i="6"/>
  <c r="GO12" i="6"/>
  <c r="HF46" i="6"/>
  <c r="HF63" i="6"/>
  <c r="HF22" i="6"/>
  <c r="HF66" i="6"/>
  <c r="HF38" i="6"/>
  <c r="HF69" i="6"/>
  <c r="HF99" i="6"/>
  <c r="HF7" i="6"/>
  <c r="HF100" i="6"/>
  <c r="HF27" i="6"/>
  <c r="HF82" i="6"/>
  <c r="HF54" i="6"/>
  <c r="HF11" i="6"/>
  <c r="HF23" i="6"/>
  <c r="HF116" i="6"/>
  <c r="AA89" i="6"/>
  <c r="AA84" i="6"/>
  <c r="ACG117" i="6"/>
  <c r="ACG111" i="6"/>
  <c r="ACG68" i="6"/>
  <c r="ACG112" i="6"/>
  <c r="ACG59" i="6"/>
  <c r="ACG49" i="6"/>
  <c r="ACG13" i="6"/>
  <c r="ACG55" i="6"/>
  <c r="ACG41" i="6"/>
  <c r="ACG46" i="6"/>
  <c r="ACG115" i="6"/>
  <c r="VX6" i="6"/>
  <c r="VX13" i="6"/>
  <c r="VX24" i="6"/>
  <c r="VX47" i="6"/>
  <c r="VX58" i="6"/>
  <c r="VX81" i="6"/>
  <c r="VX92" i="6"/>
  <c r="VX115" i="6"/>
  <c r="VX21" i="6"/>
  <c r="VX32" i="6"/>
  <c r="VX55" i="6"/>
  <c r="VX66" i="6"/>
  <c r="DY34" i="6"/>
  <c r="DY86" i="6"/>
  <c r="DY66" i="6"/>
  <c r="DY89" i="6"/>
  <c r="DY82" i="6"/>
  <c r="DY73" i="6"/>
  <c r="DY7" i="6"/>
  <c r="DY90" i="6"/>
  <c r="DY80" i="6"/>
  <c r="DY60" i="6"/>
  <c r="XN57" i="6"/>
  <c r="XN100" i="6"/>
  <c r="XN21" i="6"/>
  <c r="XN102" i="6"/>
  <c r="XN45" i="6"/>
  <c r="XN42" i="6"/>
  <c r="XN24" i="6"/>
  <c r="XY59" i="6"/>
  <c r="XY100" i="6"/>
  <c r="XY40" i="6"/>
  <c r="XY85" i="6"/>
  <c r="XC16" i="6"/>
  <c r="XC74" i="6"/>
  <c r="XC14" i="6"/>
  <c r="XC85" i="6"/>
  <c r="XC12" i="6"/>
  <c r="XC80" i="6"/>
  <c r="XC55" i="6"/>
  <c r="YU42" i="6"/>
  <c r="YU56" i="6"/>
  <c r="YU19" i="6"/>
  <c r="YU100" i="6"/>
  <c r="YU40" i="6"/>
  <c r="YU57" i="6"/>
  <c r="BN30" i="6"/>
  <c r="BN85" i="6"/>
  <c r="BN86" i="6"/>
  <c r="BN74" i="6"/>
  <c r="BN43" i="6"/>
  <c r="BN67" i="6"/>
  <c r="BN62" i="6"/>
  <c r="BN10" i="6"/>
  <c r="BN52" i="6"/>
  <c r="BN71" i="6"/>
  <c r="BN38" i="6"/>
  <c r="EP59" i="6"/>
  <c r="EP46" i="6"/>
  <c r="EP76" i="6"/>
  <c r="EP8" i="6"/>
  <c r="EP94" i="6"/>
  <c r="EP87" i="6"/>
  <c r="EP77" i="6"/>
  <c r="EP95" i="6"/>
  <c r="EP49" i="6"/>
  <c r="EP11" i="6"/>
  <c r="EP97" i="6"/>
  <c r="EP80" i="6"/>
  <c r="EP14" i="6"/>
  <c r="EP102" i="6"/>
  <c r="EP100" i="6"/>
  <c r="KO83" i="6"/>
  <c r="KL93" i="6"/>
  <c r="KN70" i="6"/>
  <c r="KN81" i="6"/>
  <c r="KN92" i="6"/>
  <c r="KN103" i="6"/>
  <c r="KN82" i="6"/>
  <c r="KN69" i="6"/>
  <c r="KO6" i="6"/>
  <c r="KN56" i="6"/>
  <c r="KP65" i="6"/>
  <c r="KM43" i="6"/>
  <c r="KM54" i="6"/>
  <c r="KM65" i="6"/>
  <c r="KM76" i="6"/>
  <c r="KN16" i="6"/>
  <c r="KO105" i="6"/>
  <c r="KO116" i="6"/>
  <c r="KM14" i="6"/>
  <c r="KK6" i="6"/>
  <c r="KL26" i="6"/>
  <c r="KM115" i="6"/>
  <c r="KP12" i="6"/>
  <c r="KP23" i="6"/>
  <c r="KP34" i="6"/>
  <c r="KP45" i="6"/>
  <c r="KP24" i="6"/>
  <c r="KN7" i="6"/>
  <c r="KM37" i="6"/>
  <c r="KO46" i="6"/>
  <c r="KL24" i="6"/>
  <c r="KL35" i="6"/>
  <c r="KL46" i="6"/>
  <c r="KL57" i="6"/>
  <c r="KL36" i="6"/>
  <c r="KO40" i="6"/>
  <c r="KK95" i="6"/>
  <c r="KP22" i="6"/>
  <c r="KL112" i="6"/>
  <c r="KO9" i="6"/>
  <c r="KO20" i="6"/>
  <c r="KO31" i="6"/>
  <c r="KN39" i="6"/>
  <c r="KO21" i="6"/>
  <c r="KL103" i="6"/>
  <c r="KP110" i="6"/>
  <c r="KN8" i="6"/>
  <c r="KO97" i="6"/>
  <c r="KO108" i="6"/>
  <c r="KM6" i="6"/>
  <c r="KM17" i="6"/>
  <c r="KO109" i="6"/>
  <c r="KM7" i="6"/>
  <c r="KP19" i="6"/>
  <c r="KN14" i="6"/>
  <c r="KL71" i="6"/>
  <c r="KK46" i="6"/>
  <c r="KK106" i="6"/>
  <c r="KO12" i="6"/>
  <c r="KN93" i="6"/>
  <c r="KK85" i="6"/>
  <c r="KK18" i="6"/>
  <c r="KP85" i="6"/>
  <c r="KL39" i="6"/>
  <c r="KK60" i="6"/>
  <c r="KO91" i="6"/>
  <c r="KN90" i="6"/>
  <c r="KP9" i="6"/>
  <c r="KK35" i="6"/>
  <c r="KO65" i="6"/>
  <c r="KM15" i="6"/>
  <c r="KK78" i="6"/>
  <c r="KK89" i="6"/>
  <c r="KP74" i="6"/>
  <c r="KP91" i="6"/>
  <c r="KK53" i="6"/>
  <c r="KK40" i="6"/>
  <c r="KP61" i="6"/>
  <c r="KO112" i="6"/>
  <c r="KK28" i="6"/>
  <c r="KN40" i="6"/>
  <c r="KL68" i="6"/>
  <c r="KK71" i="6"/>
  <c r="KK114" i="6"/>
  <c r="KM95" i="6"/>
  <c r="KL78" i="6"/>
  <c r="KM48" i="6"/>
  <c r="KL50" i="6"/>
  <c r="KL31" i="6"/>
  <c r="KP33" i="6"/>
  <c r="KP37" i="6"/>
  <c r="KK110" i="6"/>
  <c r="KP11" i="6"/>
  <c r="KL52" i="6"/>
  <c r="KN111" i="6"/>
  <c r="KP70" i="6"/>
  <c r="KM80" i="6"/>
  <c r="KO57" i="6"/>
  <c r="KO68" i="6"/>
  <c r="KO79" i="6"/>
  <c r="KO90" i="6"/>
  <c r="KO69" i="6"/>
  <c r="KL13" i="6"/>
  <c r="KM32" i="6"/>
  <c r="KO43" i="6"/>
  <c r="KL53" i="6"/>
  <c r="KN30" i="6"/>
  <c r="KN41" i="6"/>
  <c r="KN52" i="6"/>
  <c r="KL106" i="6"/>
  <c r="KN115" i="6"/>
  <c r="KP92" i="6"/>
  <c r="KP103" i="6"/>
  <c r="KP114" i="6"/>
  <c r="KO115" i="6"/>
  <c r="KM13" i="6"/>
  <c r="KN102" i="6"/>
  <c r="KN113" i="6"/>
  <c r="KL11" i="6"/>
  <c r="KL22" i="6"/>
  <c r="KN114" i="6"/>
  <c r="KL12" i="6"/>
  <c r="KL33" i="6"/>
  <c r="KN24" i="6"/>
  <c r="KO113" i="6"/>
  <c r="KM11" i="6"/>
  <c r="KM22" i="6"/>
  <c r="KM33" i="6"/>
  <c r="KL41" i="6"/>
  <c r="KM23" i="6"/>
  <c r="KP115" i="6"/>
  <c r="KN112" i="6"/>
  <c r="KL10" i="6"/>
  <c r="KM99" i="6"/>
  <c r="KM110" i="6"/>
  <c r="KP7" i="6"/>
  <c r="KP18" i="6"/>
  <c r="KM111" i="6"/>
  <c r="KP8" i="6"/>
  <c r="KM24" i="6"/>
  <c r="KL98" i="6"/>
  <c r="KN107" i="6"/>
  <c r="KP84" i="6"/>
  <c r="KP95" i="6"/>
  <c r="KP106" i="6"/>
  <c r="KP117" i="6"/>
  <c r="KP96" i="6"/>
  <c r="KO30" i="6"/>
  <c r="KL63" i="6"/>
  <c r="KN25" i="6"/>
  <c r="KM106" i="6"/>
  <c r="KK93" i="6"/>
  <c r="KK41" i="6"/>
  <c r="KM25" i="6"/>
  <c r="KM16" i="6"/>
  <c r="KK21" i="6"/>
  <c r="KK97" i="6"/>
  <c r="KN47" i="6"/>
  <c r="KN27" i="6"/>
  <c r="KK107" i="6"/>
  <c r="KL101" i="6"/>
  <c r="KO53" i="6"/>
  <c r="KK39" i="6"/>
  <c r="KK32" i="6"/>
  <c r="KO76" i="6"/>
  <c r="KO56" i="6"/>
  <c r="KK14" i="6"/>
  <c r="KK24" i="6"/>
  <c r="KL113" i="6"/>
  <c r="KM40" i="6"/>
  <c r="KK100" i="6"/>
  <c r="KK57" i="6"/>
  <c r="KN106" i="6"/>
  <c r="KO72" i="6"/>
  <c r="KK75" i="6"/>
  <c r="KP49" i="6"/>
  <c r="KM39" i="6"/>
  <c r="KK7" i="6"/>
  <c r="KK72" i="6"/>
  <c r="KM105" i="6"/>
  <c r="KM50" i="6"/>
  <c r="KM29" i="6"/>
  <c r="KL16" i="6"/>
  <c r="KO36" i="6"/>
  <c r="KN59" i="6"/>
  <c r="KP48" i="6"/>
  <c r="KL45" i="6"/>
  <c r="KK87" i="6"/>
  <c r="KL20" i="6"/>
  <c r="KP21" i="6"/>
  <c r="KK10" i="6"/>
  <c r="KK9" i="6"/>
  <c r="KK92" i="6"/>
  <c r="KL58" i="6"/>
  <c r="KN67" i="6"/>
  <c r="KP44" i="6"/>
  <c r="KP55" i="6"/>
  <c r="KP66" i="6"/>
  <c r="KP77" i="6"/>
  <c r="KP56" i="6"/>
  <c r="KM34" i="6"/>
  <c r="KN85" i="6"/>
  <c r="KP30" i="6"/>
  <c r="KO38" i="6"/>
  <c r="KO17" i="6"/>
  <c r="KO28" i="6"/>
  <c r="KO39" i="6"/>
  <c r="KM93" i="6"/>
  <c r="KO102" i="6"/>
  <c r="KL80" i="6"/>
  <c r="KL91" i="6"/>
  <c r="KL102" i="6"/>
  <c r="KP102" i="6"/>
  <c r="KM112" i="6"/>
  <c r="KO89" i="6"/>
  <c r="KO100" i="6"/>
  <c r="KO111" i="6"/>
  <c r="KM9" i="6"/>
  <c r="KO101" i="6"/>
  <c r="KM58" i="6"/>
  <c r="KL114" i="6"/>
  <c r="KO11" i="6"/>
  <c r="KP100" i="6"/>
  <c r="KP111" i="6"/>
  <c r="KN9" i="6"/>
  <c r="KN20" i="6"/>
  <c r="KP112" i="6"/>
  <c r="KN10" i="6"/>
  <c r="KM28" i="6"/>
  <c r="KO99" i="6"/>
  <c r="KL109" i="6"/>
  <c r="KN86" i="6"/>
  <c r="KN97" i="6"/>
  <c r="KN108" i="6"/>
  <c r="KL6" i="6"/>
  <c r="KN98" i="6"/>
  <c r="KP35" i="6"/>
  <c r="KP75" i="6"/>
  <c r="KM85" i="6"/>
  <c r="KO94" i="6"/>
  <c r="KL72" i="6"/>
  <c r="KL83" i="6"/>
  <c r="KL94" i="6"/>
  <c r="KL105" i="6"/>
  <c r="KL84" i="6"/>
  <c r="KM82" i="6"/>
  <c r="KO10" i="6"/>
  <c r="KN36" i="6"/>
  <c r="KM20" i="6"/>
  <c r="KK29" i="6"/>
  <c r="KK16" i="6"/>
  <c r="KN87" i="6"/>
  <c r="KN101" i="6"/>
  <c r="KK68" i="6"/>
  <c r="KN104" i="6"/>
  <c r="KL92" i="6"/>
  <c r="KP13" i="6"/>
  <c r="KK43" i="6"/>
  <c r="KN78" i="6"/>
  <c r="KP16" i="6"/>
  <c r="KK86" i="6"/>
  <c r="KK112" i="6"/>
  <c r="KO87" i="6"/>
  <c r="KL21" i="6"/>
  <c r="KK61" i="6"/>
  <c r="KK58" i="6"/>
  <c r="KN63" i="6"/>
  <c r="KN23" i="6"/>
  <c r="KK36" i="6"/>
  <c r="KM53" i="6"/>
  <c r="KO77" i="6"/>
  <c r="KK79" i="6"/>
  <c r="KK11" i="6"/>
  <c r="KM27" i="6"/>
  <c r="KP83" i="6"/>
  <c r="KK54" i="6"/>
  <c r="KK25" i="6"/>
  <c r="KM116" i="6"/>
  <c r="KL67" i="6"/>
  <c r="KL38" i="6"/>
  <c r="KO37" i="6"/>
  <c r="KP69" i="6"/>
  <c r="KN44" i="6"/>
  <c r="KN110" i="6"/>
  <c r="KP116" i="6"/>
  <c r="KO23" i="6"/>
  <c r="KM88" i="6"/>
  <c r="KK105" i="6"/>
  <c r="KK67" i="6"/>
  <c r="KM45" i="6"/>
  <c r="KO54" i="6"/>
  <c r="KL32" i="6"/>
  <c r="KL43" i="6"/>
  <c r="KL54" i="6"/>
  <c r="KL65" i="6"/>
  <c r="KL44" i="6"/>
  <c r="KO104" i="6"/>
  <c r="KM18" i="6"/>
  <c r="KL18" i="6"/>
  <c r="KM107" i="6"/>
  <c r="KO42" i="6"/>
  <c r="KP15" i="6"/>
  <c r="KP26" i="6"/>
  <c r="KN80" i="6"/>
  <c r="KP89" i="6"/>
  <c r="KM67" i="6"/>
  <c r="KM78" i="6"/>
  <c r="KM89" i="6"/>
  <c r="KL90" i="6"/>
  <c r="KN99" i="6"/>
  <c r="KP76" i="6"/>
  <c r="KP87" i="6"/>
  <c r="KP98" i="6"/>
  <c r="KP109" i="6"/>
  <c r="KP88" i="6"/>
  <c r="KL9" i="6"/>
  <c r="KM101" i="6"/>
  <c r="KO110" i="6"/>
  <c r="KL88" i="6"/>
  <c r="KL99" i="6"/>
  <c r="KL110" i="6"/>
  <c r="KO7" i="6"/>
  <c r="KL100" i="6"/>
  <c r="KN45" i="6"/>
  <c r="KO88" i="6"/>
  <c r="KP86" i="6"/>
  <c r="KM96" i="6"/>
  <c r="KO73" i="6"/>
  <c r="KO84" i="6"/>
  <c r="KO95" i="6"/>
  <c r="KO106" i="6"/>
  <c r="KO85" i="6"/>
  <c r="KL95" i="6"/>
  <c r="KL15" i="6"/>
  <c r="KN72" i="6"/>
  <c r="KP81" i="6"/>
  <c r="KM59" i="6"/>
  <c r="KM70" i="6"/>
  <c r="KM81" i="6"/>
  <c r="KM92" i="6"/>
  <c r="KM71" i="6"/>
  <c r="KL17" i="6"/>
  <c r="KN37" i="6"/>
  <c r="KO98" i="6"/>
  <c r="KM114" i="6"/>
  <c r="KK76" i="6"/>
  <c r="KK34" i="6"/>
  <c r="KL49" i="6"/>
  <c r="KM74" i="6"/>
  <c r="KK115" i="6"/>
  <c r="KP113" i="6"/>
  <c r="KM55" i="6"/>
  <c r="KK47" i="6"/>
  <c r="KK50" i="6"/>
  <c r="KN89" i="6"/>
  <c r="KN13" i="6"/>
  <c r="KK22" i="6"/>
  <c r="KK42" i="6"/>
  <c r="KP10" i="6"/>
  <c r="KP51" i="6"/>
  <c r="KK108" i="6"/>
  <c r="KK74" i="6"/>
  <c r="KL116" i="6"/>
  <c r="KO14" i="6"/>
  <c r="KK83" i="6"/>
  <c r="KO62" i="6"/>
  <c r="KP40" i="6"/>
  <c r="KK15" i="6"/>
  <c r="KK90" i="6"/>
  <c r="KM38" i="6"/>
  <c r="KO8" i="6"/>
  <c r="KK101" i="6"/>
  <c r="KK64" i="6"/>
  <c r="KP105" i="6"/>
  <c r="KM26" i="6"/>
  <c r="KL89" i="6"/>
  <c r="KP38" i="6"/>
  <c r="KO47" i="6"/>
  <c r="KP36" i="6"/>
  <c r="KO35" i="6"/>
  <c r="KN34" i="6"/>
  <c r="KL19" i="6"/>
  <c r="KO29" i="6"/>
  <c r="KK88" i="6"/>
  <c r="KN31" i="6"/>
  <c r="KP63" i="6"/>
  <c r="KP104" i="6"/>
  <c r="KN32" i="6"/>
  <c r="KP41" i="6"/>
  <c r="KM19" i="6"/>
  <c r="KM30" i="6"/>
  <c r="KM41" i="6"/>
  <c r="KM52" i="6"/>
  <c r="KM31" i="6"/>
  <c r="KO24" i="6"/>
  <c r="KO107" i="6"/>
  <c r="KL117" i="6"/>
  <c r="KN94" i="6"/>
  <c r="KN105" i="6"/>
  <c r="KN116" i="6"/>
  <c r="KL14" i="6"/>
  <c r="KO67" i="6"/>
  <c r="KL77" i="6"/>
  <c r="KN54" i="6"/>
  <c r="KN65" i="6"/>
  <c r="KN76" i="6"/>
  <c r="KM77" i="6"/>
  <c r="KO86" i="6"/>
  <c r="KL64" i="6"/>
  <c r="KL75" i="6"/>
  <c r="KL86" i="6"/>
  <c r="KL97" i="6"/>
  <c r="KL76" i="6"/>
  <c r="KP29" i="6"/>
  <c r="KN88" i="6"/>
  <c r="KP97" i="6"/>
  <c r="KM75" i="6"/>
  <c r="KM86" i="6"/>
  <c r="KM97" i="6"/>
  <c r="KM108" i="6"/>
  <c r="KM87" i="6"/>
  <c r="KP107" i="6"/>
  <c r="KN19" i="6"/>
  <c r="KL74" i="6"/>
  <c r="KN83" i="6"/>
  <c r="KP60" i="6"/>
  <c r="KP71" i="6"/>
  <c r="KP82" i="6"/>
  <c r="KP93" i="6"/>
  <c r="KP72" i="6"/>
  <c r="KN21" i="6"/>
  <c r="KO48" i="6"/>
  <c r="KO59" i="6"/>
  <c r="KL69" i="6"/>
  <c r="KN46" i="6"/>
  <c r="KN57" i="6"/>
  <c r="KN68" i="6"/>
  <c r="KN79" i="6"/>
  <c r="KN58" i="6"/>
  <c r="KM42" i="6"/>
  <c r="KM98" i="6"/>
  <c r="KO50" i="6"/>
  <c r="KL87" i="6"/>
  <c r="KK12" i="6"/>
  <c r="KM117" i="6"/>
  <c r="KO93" i="6"/>
  <c r="KM36" i="6"/>
  <c r="KK51" i="6"/>
  <c r="KM91" i="6"/>
  <c r="KN26" i="6"/>
  <c r="KK94" i="6"/>
  <c r="KK8" i="6"/>
  <c r="KN100" i="6"/>
  <c r="KL25" i="6"/>
  <c r="KK69" i="6"/>
  <c r="KK81" i="6"/>
  <c r="KL73" i="6"/>
  <c r="KP27" i="6"/>
  <c r="KK44" i="6"/>
  <c r="KL66" i="6"/>
  <c r="KM79" i="6"/>
  <c r="KK103" i="6"/>
  <c r="KK19" i="6"/>
  <c r="KL40" i="6"/>
  <c r="KO96" i="6"/>
  <c r="KK62" i="6"/>
  <c r="KK48" i="6"/>
  <c r="KM49" i="6"/>
  <c r="KM66" i="6"/>
  <c r="KK37" i="6"/>
  <c r="KK98" i="6"/>
  <c r="KM83" i="6"/>
  <c r="KO78" i="6"/>
  <c r="KL37" i="6"/>
  <c r="KO58" i="6"/>
  <c r="KP58" i="6"/>
  <c r="KN33" i="6"/>
  <c r="KM21" i="6"/>
  <c r="KM90" i="6"/>
  <c r="KK38" i="6"/>
  <c r="KL23" i="6"/>
  <c r="KP43" i="6"/>
  <c r="KK33" i="6"/>
  <c r="KO19" i="6"/>
  <c r="KP108" i="6"/>
  <c r="KN6" i="6"/>
  <c r="KN17" i="6"/>
  <c r="KN28" i="6"/>
  <c r="KO34" i="6"/>
  <c r="KN18" i="6"/>
  <c r="KN77" i="6"/>
  <c r="KP94" i="6"/>
  <c r="KM104" i="6"/>
  <c r="KO81" i="6"/>
  <c r="KO92" i="6"/>
  <c r="KO103" i="6"/>
  <c r="KO114" i="6"/>
  <c r="KP54" i="6"/>
  <c r="KM64" i="6"/>
  <c r="KO41" i="6"/>
  <c r="KO52" i="6"/>
  <c r="KO63" i="6"/>
  <c r="KN64" i="6"/>
  <c r="KP73" i="6"/>
  <c r="KM51" i="6"/>
  <c r="KM62" i="6"/>
  <c r="KM73" i="6"/>
  <c r="KM84" i="6"/>
  <c r="KM63" i="6"/>
  <c r="KO80" i="6"/>
  <c r="KO75" i="6"/>
  <c r="KL85" i="6"/>
  <c r="KN62" i="6"/>
  <c r="KN73" i="6"/>
  <c r="KN84" i="6"/>
  <c r="KN95" i="6"/>
  <c r="KN74" i="6"/>
  <c r="KP25" i="6"/>
  <c r="KN61" i="6"/>
  <c r="KM61" i="6"/>
  <c r="KO70" i="6"/>
  <c r="KL48" i="6"/>
  <c r="KL59" i="6"/>
  <c r="KL70" i="6"/>
  <c r="KL81" i="6"/>
  <c r="KL60" i="6"/>
  <c r="KL55" i="6"/>
  <c r="KL111" i="6"/>
  <c r="KP46" i="6"/>
  <c r="KM56" i="6"/>
  <c r="KO33" i="6"/>
  <c r="KO44" i="6"/>
  <c r="KO55" i="6"/>
  <c r="KO66" i="6"/>
  <c r="KO45" i="6"/>
  <c r="KN117" i="6"/>
  <c r="KO22" i="6"/>
  <c r="KM103" i="6"/>
  <c r="KL47" i="6"/>
  <c r="KK59" i="6"/>
  <c r="KP14" i="6"/>
  <c r="KP64" i="6"/>
  <c r="KK55" i="6"/>
  <c r="KK73" i="6"/>
  <c r="KM102" i="6"/>
  <c r="KP17" i="6"/>
  <c r="KK30" i="6"/>
  <c r="KK65" i="6"/>
  <c r="KN12" i="6"/>
  <c r="KO64" i="6"/>
  <c r="KK116" i="6"/>
  <c r="KK80" i="6"/>
  <c r="KO117" i="6"/>
  <c r="KO18" i="6"/>
  <c r="KK91" i="6"/>
  <c r="KN75" i="6"/>
  <c r="KN42" i="6"/>
  <c r="KK23" i="6"/>
  <c r="KK113" i="6"/>
  <c r="KL51" i="6"/>
  <c r="KN35" i="6"/>
  <c r="KK109" i="6"/>
  <c r="KK82" i="6"/>
  <c r="KM100" i="6"/>
  <c r="KL7" i="6"/>
  <c r="KK84" i="6"/>
  <c r="KK56" i="6"/>
  <c r="KN96" i="6"/>
  <c r="KM69" i="6"/>
  <c r="KO25" i="6"/>
  <c r="KP47" i="6"/>
  <c r="KN22" i="6"/>
  <c r="KL8" i="6"/>
  <c r="KL115" i="6"/>
  <c r="KK99" i="6"/>
  <c r="KN11" i="6"/>
  <c r="KM109" i="6"/>
  <c r="KP6" i="6"/>
  <c r="KL96" i="6"/>
  <c r="KL107" i="6"/>
  <c r="KM44" i="6"/>
  <c r="KO15" i="6"/>
  <c r="KL108" i="6"/>
  <c r="KN109" i="6"/>
  <c r="KN15" i="6"/>
  <c r="KL82" i="6"/>
  <c r="KN91" i="6"/>
  <c r="KP68" i="6"/>
  <c r="KP79" i="6"/>
  <c r="KP90" i="6"/>
  <c r="KP101" i="6"/>
  <c r="KL42" i="6"/>
  <c r="KN51" i="6"/>
  <c r="KP28" i="6"/>
  <c r="KP39" i="6"/>
  <c r="KP50" i="6"/>
  <c r="KO51" i="6"/>
  <c r="KL61" i="6"/>
  <c r="KN38" i="6"/>
  <c r="KN49" i="6"/>
  <c r="KN60" i="6"/>
  <c r="KN71" i="6"/>
  <c r="KN50" i="6"/>
  <c r="KO16" i="6"/>
  <c r="KP62" i="6"/>
  <c r="KM72" i="6"/>
  <c r="KO49" i="6"/>
  <c r="KO60" i="6"/>
  <c r="KO71" i="6"/>
  <c r="KO82" i="6"/>
  <c r="KO61" i="6"/>
  <c r="KP67" i="6"/>
  <c r="KM10" i="6"/>
  <c r="KN48" i="6"/>
  <c r="KP57" i="6"/>
  <c r="KM35" i="6"/>
  <c r="KM46" i="6"/>
  <c r="KM57" i="6"/>
  <c r="KM68" i="6"/>
  <c r="KM47" i="6"/>
  <c r="KM8" i="6"/>
  <c r="KO26" i="6"/>
  <c r="KL34" i="6"/>
  <c r="KN43" i="6"/>
  <c r="KP20" i="6"/>
  <c r="KP31" i="6"/>
  <c r="KP42" i="6"/>
  <c r="KP53" i="6"/>
  <c r="KP32" i="6"/>
  <c r="KL29" i="6"/>
  <c r="KO27" i="6"/>
  <c r="KN66" i="6"/>
  <c r="KK63" i="6"/>
  <c r="KK96" i="6"/>
  <c r="KL104" i="6"/>
  <c r="KL28" i="6"/>
  <c r="KK102" i="6"/>
  <c r="KK26" i="6"/>
  <c r="KM113" i="6"/>
  <c r="KN29" i="6"/>
  <c r="KK77" i="6"/>
  <c r="KK104" i="6"/>
  <c r="KO74" i="6"/>
  <c r="KO32" i="6"/>
  <c r="KK52" i="6"/>
  <c r="KP78" i="6"/>
  <c r="KP80" i="6"/>
  <c r="KK111" i="6"/>
  <c r="KK27" i="6"/>
  <c r="KP52" i="6"/>
  <c r="KO13" i="6"/>
  <c r="KK70" i="6"/>
  <c r="KK66" i="6"/>
  <c r="KL62" i="6"/>
  <c r="KL79" i="6"/>
  <c r="KK45" i="6"/>
  <c r="KK17" i="6"/>
  <c r="KM60" i="6"/>
  <c r="KP99" i="6"/>
  <c r="KK20" i="6"/>
  <c r="KM94" i="6"/>
  <c r="KL56" i="6"/>
  <c r="KL27" i="6"/>
  <c r="KN53" i="6"/>
  <c r="KM12" i="6"/>
  <c r="KN55" i="6"/>
  <c r="KL30" i="6"/>
  <c r="KK49" i="6"/>
  <c r="KK13" i="6"/>
  <c r="KK31" i="6"/>
  <c r="KK117" i="6"/>
  <c r="KP59" i="6"/>
  <c r="JF80" i="6"/>
  <c r="JC90" i="6"/>
  <c r="JE99" i="6"/>
  <c r="JB109" i="6"/>
  <c r="JE6" i="6"/>
  <c r="JB16" i="6"/>
  <c r="JD25" i="6"/>
  <c r="JF34" i="6"/>
  <c r="JB116" i="6"/>
  <c r="JE13" i="6"/>
  <c r="JB23" i="6"/>
  <c r="JD32" i="6"/>
  <c r="JF41" i="6"/>
  <c r="JC51" i="6"/>
  <c r="JE60" i="6"/>
  <c r="JB70" i="6"/>
  <c r="JC116" i="6"/>
  <c r="JE101" i="6"/>
  <c r="JB111" i="6"/>
  <c r="JE8" i="6"/>
  <c r="JB18" i="6"/>
  <c r="JD27" i="6"/>
  <c r="JF36" i="6"/>
  <c r="JC46" i="6"/>
  <c r="JE55" i="6"/>
  <c r="JF101" i="6"/>
  <c r="JB100" i="6"/>
  <c r="JD109" i="6"/>
  <c r="JB7" i="6"/>
  <c r="JD16" i="6"/>
  <c r="JF25" i="6"/>
  <c r="JC35" i="6"/>
  <c r="JE44" i="6"/>
  <c r="JB54" i="6"/>
  <c r="JB89" i="6"/>
  <c r="JB20" i="6"/>
  <c r="JD29" i="6"/>
  <c r="JF38" i="6"/>
  <c r="JC48" i="6"/>
  <c r="JE57" i="6"/>
  <c r="JB67" i="6"/>
  <c r="JD76" i="6"/>
  <c r="JF53" i="6"/>
  <c r="JB108" i="6"/>
  <c r="JD117" i="6"/>
  <c r="JB15" i="6"/>
  <c r="JD24" i="6"/>
  <c r="JF33" i="6"/>
  <c r="JC43" i="6"/>
  <c r="JE52" i="6"/>
  <c r="JB62" i="6"/>
  <c r="JC52" i="6"/>
  <c r="JE21" i="6"/>
  <c r="JC59" i="6"/>
  <c r="JD7" i="6"/>
  <c r="JA104" i="6"/>
  <c r="JD66" i="6"/>
  <c r="JB104" i="6"/>
  <c r="JF85" i="6"/>
  <c r="JA49" i="6"/>
  <c r="JB60" i="6"/>
  <c r="JE97" i="6"/>
  <c r="JD47" i="6"/>
  <c r="JA41" i="6"/>
  <c r="JE53" i="6"/>
  <c r="JC91" i="6"/>
  <c r="JE34" i="6"/>
  <c r="JA33" i="6"/>
  <c r="JC47" i="6"/>
  <c r="JF84" i="6"/>
  <c r="JF109" i="6"/>
  <c r="JA25" i="6"/>
  <c r="JF40" i="6"/>
  <c r="JD78" i="6"/>
  <c r="JB97" i="6"/>
  <c r="JA17" i="6"/>
  <c r="JD34" i="6"/>
  <c r="JB72" i="6"/>
  <c r="JE58" i="6"/>
  <c r="JA9" i="6"/>
  <c r="JB28" i="6"/>
  <c r="JE65" i="6"/>
  <c r="JF45" i="6"/>
  <c r="JA112" i="6"/>
  <c r="JD19" i="6"/>
  <c r="JE54" i="6"/>
  <c r="JB12" i="6"/>
  <c r="JD68" i="6"/>
  <c r="JB48" i="6"/>
  <c r="JE51" i="6"/>
  <c r="JD18" i="6"/>
  <c r="JB41" i="6"/>
  <c r="JD43" i="6"/>
  <c r="JF104" i="6"/>
  <c r="JC76" i="6"/>
  <c r="JD11" i="6"/>
  <c r="JA65" i="6"/>
  <c r="JB68" i="6"/>
  <c r="JD77" i="6"/>
  <c r="JF86" i="6"/>
  <c r="JC96" i="6"/>
  <c r="JE105" i="6"/>
  <c r="JB115" i="6"/>
  <c r="JE12" i="6"/>
  <c r="JB22" i="6"/>
  <c r="JC103" i="6"/>
  <c r="JE112" i="6"/>
  <c r="JC10" i="6"/>
  <c r="JE19" i="6"/>
  <c r="JB29" i="6"/>
  <c r="JD38" i="6"/>
  <c r="JF47" i="6"/>
  <c r="JC57" i="6"/>
  <c r="JF13" i="6"/>
  <c r="JF88" i="6"/>
  <c r="JC98" i="6"/>
  <c r="JE107" i="6"/>
  <c r="JB117" i="6"/>
  <c r="JE14" i="6"/>
  <c r="JB24" i="6"/>
  <c r="JD33" i="6"/>
  <c r="JF42" i="6"/>
  <c r="JD87" i="6"/>
  <c r="JC87" i="6"/>
  <c r="JE96" i="6"/>
  <c r="JB106" i="6"/>
  <c r="JD115" i="6"/>
  <c r="JB13" i="6"/>
  <c r="JD22" i="6"/>
  <c r="JF31" i="6"/>
  <c r="JC41" i="6"/>
  <c r="JE109" i="6"/>
  <c r="JC7" i="6"/>
  <c r="JE16" i="6"/>
  <c r="JB26" i="6"/>
  <c r="JD35" i="6"/>
  <c r="JF44" i="6"/>
  <c r="JC54" i="6"/>
  <c r="JE63" i="6"/>
  <c r="JB65" i="6"/>
  <c r="JC95" i="6"/>
  <c r="JE104" i="6"/>
  <c r="JB114" i="6"/>
  <c r="JE11" i="6"/>
  <c r="JB21" i="6"/>
  <c r="JD30" i="6"/>
  <c r="JF39" i="6"/>
  <c r="JC49" i="6"/>
  <c r="JE50" i="6"/>
  <c r="JC82" i="6"/>
  <c r="JB8" i="6"/>
  <c r="JA61" i="6"/>
  <c r="JA94" i="6"/>
  <c r="JC15" i="6"/>
  <c r="JF52" i="6"/>
  <c r="JC108" i="6"/>
  <c r="JA96" i="6"/>
  <c r="JF8" i="6"/>
  <c r="JD46" i="6"/>
  <c r="JF69" i="6"/>
  <c r="JA88" i="6"/>
  <c r="JC114" i="6"/>
  <c r="JB40" i="6"/>
  <c r="JB57" i="6"/>
  <c r="JA80" i="6"/>
  <c r="JF107" i="6"/>
  <c r="JE33" i="6"/>
  <c r="JE18" i="6"/>
  <c r="JA72" i="6"/>
  <c r="JD101" i="6"/>
  <c r="JC27" i="6"/>
  <c r="JA117" i="6"/>
  <c r="JA64" i="6"/>
  <c r="JB95" i="6"/>
  <c r="JF20" i="6"/>
  <c r="JA93" i="6"/>
  <c r="JA110" i="6"/>
  <c r="JE88" i="6"/>
  <c r="JD14" i="6"/>
  <c r="JA85" i="6"/>
  <c r="JA102" i="6"/>
  <c r="JD112" i="6"/>
  <c r="JD26" i="6"/>
  <c r="JD73" i="6"/>
  <c r="JC40" i="6"/>
  <c r="JC29" i="6"/>
  <c r="JF32" i="6"/>
  <c r="JA77" i="6"/>
  <c r="JF74" i="6"/>
  <c r="JE117" i="6"/>
  <c r="JA105" i="6"/>
  <c r="JC24" i="6"/>
  <c r="JA81" i="6"/>
  <c r="JF116" i="6"/>
  <c r="JC55" i="6"/>
  <c r="JE64" i="6"/>
  <c r="JB74" i="6"/>
  <c r="JD83" i="6"/>
  <c r="JF92" i="6"/>
  <c r="JC102" i="6"/>
  <c r="JE111" i="6"/>
  <c r="JC9" i="6"/>
  <c r="JD90" i="6"/>
  <c r="JF99" i="6"/>
  <c r="JC109" i="6"/>
  <c r="JF6" i="6"/>
  <c r="JC16" i="6"/>
  <c r="JE25" i="6"/>
  <c r="JB35" i="6"/>
  <c r="JD44" i="6"/>
  <c r="JB113" i="6"/>
  <c r="JB76" i="6"/>
  <c r="JD85" i="6"/>
  <c r="JF94" i="6"/>
  <c r="JC104" i="6"/>
  <c r="JE113" i="6"/>
  <c r="JC11" i="6"/>
  <c r="JE20" i="6"/>
  <c r="JB30" i="6"/>
  <c r="JC60" i="6"/>
  <c r="JD74" i="6"/>
  <c r="JF83" i="6"/>
  <c r="JC93" i="6"/>
  <c r="JE102" i="6"/>
  <c r="JB112" i="6"/>
  <c r="JE9" i="6"/>
  <c r="JB19" i="6"/>
  <c r="JD28" i="6"/>
  <c r="JF96" i="6"/>
  <c r="JC106" i="6"/>
  <c r="JE115" i="6"/>
  <c r="JC13" i="6"/>
  <c r="JE22" i="6"/>
  <c r="JB32" i="6"/>
  <c r="JD41" i="6"/>
  <c r="JF50" i="6"/>
  <c r="JD63" i="6"/>
  <c r="JD82" i="6"/>
  <c r="JF91" i="6"/>
  <c r="JC101" i="6"/>
  <c r="JE110" i="6"/>
  <c r="JC8" i="6"/>
  <c r="JE17" i="6"/>
  <c r="JB27" i="6"/>
  <c r="JD36" i="6"/>
  <c r="JD111" i="6"/>
  <c r="JB31" i="6"/>
  <c r="JE68" i="6"/>
  <c r="JA100" i="6"/>
  <c r="JA30" i="6"/>
  <c r="JF75" i="6"/>
  <c r="JD113" i="6"/>
  <c r="JA53" i="6"/>
  <c r="JA86" i="6"/>
  <c r="JD69" i="6"/>
  <c r="JB107" i="6"/>
  <c r="JA45" i="6"/>
  <c r="JA78" i="6"/>
  <c r="JB63" i="6"/>
  <c r="JE100" i="6"/>
  <c r="JA29" i="6"/>
  <c r="JA70" i="6"/>
  <c r="JE56" i="6"/>
  <c r="JC94" i="6"/>
  <c r="JA21" i="6"/>
  <c r="JA62" i="6"/>
  <c r="JC50" i="6"/>
  <c r="JF87" i="6"/>
  <c r="JA13" i="6"/>
  <c r="JA54" i="6"/>
  <c r="JF43" i="6"/>
  <c r="JD81" i="6"/>
  <c r="JA116" i="6"/>
  <c r="JA46" i="6"/>
  <c r="JD37" i="6"/>
  <c r="JB75" i="6"/>
  <c r="JA108" i="6"/>
  <c r="JA38" i="6"/>
  <c r="JE93" i="6"/>
  <c r="JE47" i="6"/>
  <c r="JB64" i="6"/>
  <c r="JF30" i="6"/>
  <c r="JF112" i="6"/>
  <c r="JF66" i="6"/>
  <c r="JF79" i="6"/>
  <c r="JC37" i="6"/>
  <c r="JD110" i="6"/>
  <c r="JA113" i="6"/>
  <c r="JE26" i="6"/>
  <c r="JF17" i="6"/>
  <c r="JA73" i="6"/>
  <c r="JD42" i="6"/>
  <c r="JF51" i="6"/>
  <c r="JC61" i="6"/>
  <c r="JE70" i="6"/>
  <c r="JB80" i="6"/>
  <c r="JD89" i="6"/>
  <c r="JF98" i="6"/>
  <c r="JE42" i="6"/>
  <c r="JE77" i="6"/>
  <c r="JB87" i="6"/>
  <c r="JD96" i="6"/>
  <c r="JF105" i="6"/>
  <c r="JC115" i="6"/>
  <c r="JF12" i="6"/>
  <c r="JC22" i="6"/>
  <c r="JE31" i="6"/>
  <c r="JB73" i="6"/>
  <c r="JC63" i="6"/>
  <c r="JE72" i="6"/>
  <c r="JB82" i="6"/>
  <c r="JD91" i="6"/>
  <c r="JF100" i="6"/>
  <c r="JC110" i="6"/>
  <c r="JF7" i="6"/>
  <c r="JC17" i="6"/>
  <c r="JD71" i="6"/>
  <c r="JE61" i="6"/>
  <c r="JB71" i="6"/>
  <c r="JD80" i="6"/>
  <c r="JF89" i="6"/>
  <c r="JC99" i="6"/>
  <c r="JE108" i="6"/>
  <c r="JC6" i="6"/>
  <c r="JE15" i="6"/>
  <c r="JB84" i="6"/>
  <c r="JD93" i="6"/>
  <c r="JF102" i="6"/>
  <c r="JC112" i="6"/>
  <c r="JF9" i="6"/>
  <c r="JC19" i="6"/>
  <c r="JE28" i="6"/>
  <c r="JB38" i="6"/>
  <c r="JE10" i="6"/>
  <c r="JE69" i="6"/>
  <c r="JB79" i="6"/>
  <c r="JD88" i="6"/>
  <c r="JF97" i="6"/>
  <c r="JC107" i="6"/>
  <c r="JE116" i="6"/>
  <c r="JC14" i="6"/>
  <c r="JE23" i="6"/>
  <c r="JB9" i="6"/>
  <c r="JE91" i="6"/>
  <c r="JD17" i="6"/>
  <c r="JA91" i="6"/>
  <c r="JA55" i="6"/>
  <c r="JE24" i="6"/>
  <c r="JC62" i="6"/>
  <c r="JA92" i="6"/>
  <c r="JA22" i="6"/>
  <c r="JC18" i="6"/>
  <c r="JF55" i="6"/>
  <c r="JA84" i="6"/>
  <c r="JA14" i="6"/>
  <c r="JF11" i="6"/>
  <c r="JD49" i="6"/>
  <c r="JA76" i="6"/>
  <c r="JA111" i="6"/>
  <c r="JC117" i="6"/>
  <c r="JB43" i="6"/>
  <c r="JA68" i="6"/>
  <c r="JA56" i="6"/>
  <c r="JF110" i="6"/>
  <c r="JE36" i="6"/>
  <c r="JA115" i="6"/>
  <c r="JA36" i="6"/>
  <c r="JD104" i="6"/>
  <c r="JC30" i="6"/>
  <c r="JA107" i="6"/>
  <c r="JA15" i="6"/>
  <c r="JB98" i="6"/>
  <c r="JF23" i="6"/>
  <c r="JA99" i="6"/>
  <c r="JA103" i="6"/>
  <c r="JF28" i="6"/>
  <c r="JF35" i="6"/>
  <c r="JB105" i="6"/>
  <c r="JB59" i="6"/>
  <c r="JE38" i="6"/>
  <c r="JB61" i="6"/>
  <c r="JF27" i="6"/>
  <c r="JF72" i="6"/>
  <c r="JD15" i="6"/>
  <c r="JE30" i="6"/>
  <c r="JB92" i="6"/>
  <c r="JF61" i="6"/>
  <c r="JE29" i="6"/>
  <c r="JB39" i="6"/>
  <c r="JD48" i="6"/>
  <c r="JF57" i="6"/>
  <c r="JC67" i="6"/>
  <c r="JE76" i="6"/>
  <c r="JB86" i="6"/>
  <c r="JD23" i="6"/>
  <c r="JF64" i="6"/>
  <c r="JC74" i="6"/>
  <c r="JE83" i="6"/>
  <c r="JB93" i="6"/>
  <c r="JD102" i="6"/>
  <c r="JF111" i="6"/>
  <c r="JD9" i="6"/>
  <c r="JF18" i="6"/>
  <c r="JC84" i="6"/>
  <c r="JD50" i="6"/>
  <c r="JF59" i="6"/>
  <c r="JC69" i="6"/>
  <c r="JE78" i="6"/>
  <c r="JB88" i="6"/>
  <c r="JD97" i="6"/>
  <c r="JF106" i="6"/>
  <c r="JE106" i="6"/>
  <c r="JE82" i="6"/>
  <c r="JF48" i="6"/>
  <c r="JC58" i="6"/>
  <c r="JE67" i="6"/>
  <c r="JB77" i="6"/>
  <c r="JD86" i="6"/>
  <c r="JF95" i="6"/>
  <c r="JC105" i="6"/>
  <c r="JF93" i="6"/>
  <c r="JC71" i="6"/>
  <c r="JE80" i="6"/>
  <c r="JB90" i="6"/>
  <c r="JD99" i="6"/>
  <c r="JF108" i="6"/>
  <c r="JD6" i="6"/>
  <c r="JF15" i="6"/>
  <c r="JC25" i="6"/>
  <c r="JF21" i="6"/>
  <c r="JF56" i="6"/>
  <c r="JC66" i="6"/>
  <c r="JE75" i="6"/>
  <c r="JB85" i="6"/>
  <c r="JD94" i="6"/>
  <c r="JF103" i="6"/>
  <c r="JC113" i="6"/>
  <c r="JF10" i="6"/>
  <c r="JC20" i="6"/>
  <c r="JD40" i="6"/>
  <c r="JB78" i="6"/>
  <c r="JA27" i="6"/>
  <c r="JA48" i="6"/>
  <c r="JC85" i="6"/>
  <c r="JB11" i="6"/>
  <c r="JA83" i="6"/>
  <c r="JA32" i="6"/>
  <c r="JF78" i="6"/>
  <c r="JD116" i="6"/>
  <c r="JA75" i="6"/>
  <c r="JA12" i="6"/>
  <c r="JD72" i="6"/>
  <c r="JB110" i="6"/>
  <c r="JA67" i="6"/>
  <c r="JA95" i="6"/>
  <c r="JB66" i="6"/>
  <c r="JE103" i="6"/>
  <c r="JA59" i="6"/>
  <c r="JA52" i="6"/>
  <c r="JE59" i="6"/>
  <c r="JC97" i="6"/>
  <c r="JA51" i="6"/>
  <c r="JA31" i="6"/>
  <c r="JC53" i="6"/>
  <c r="JF90" i="6"/>
  <c r="JA43" i="6"/>
  <c r="JA8" i="6"/>
  <c r="JF46" i="6"/>
  <c r="JD84" i="6"/>
  <c r="JA35" i="6"/>
  <c r="JA87" i="6"/>
  <c r="JB10" i="6"/>
  <c r="JC45" i="6"/>
  <c r="JD21" i="6"/>
  <c r="JD103" i="6"/>
  <c r="JD57" i="6"/>
  <c r="JC42" i="6"/>
  <c r="JE74" i="6"/>
  <c r="JB56" i="6"/>
  <c r="JA57" i="6"/>
  <c r="JF77" i="6"/>
  <c r="JD98" i="6"/>
  <c r="JE85" i="6"/>
  <c r="JF16" i="6"/>
  <c r="JC26" i="6"/>
  <c r="JE35" i="6"/>
  <c r="JB45" i="6"/>
  <c r="JD54" i="6"/>
  <c r="JF63" i="6"/>
  <c r="JC73" i="6"/>
  <c r="JC28" i="6"/>
  <c r="JB52" i="6"/>
  <c r="JD61" i="6"/>
  <c r="JF70" i="6"/>
  <c r="JC80" i="6"/>
  <c r="JE89" i="6"/>
  <c r="JB99" i="6"/>
  <c r="JD108" i="6"/>
  <c r="JB6" i="6"/>
  <c r="JD95" i="6"/>
  <c r="JE37" i="6"/>
  <c r="JB47" i="6"/>
  <c r="JD56" i="6"/>
  <c r="JF65" i="6"/>
  <c r="JC75" i="6"/>
  <c r="JE84" i="6"/>
  <c r="JB94" i="6"/>
  <c r="JE114" i="6"/>
  <c r="JA101" i="6"/>
  <c r="JB36" i="6"/>
  <c r="JD45" i="6"/>
  <c r="JF54" i="6"/>
  <c r="JC64" i="6"/>
  <c r="JE73" i="6"/>
  <c r="JB83" i="6"/>
  <c r="JD92" i="6"/>
  <c r="JB25" i="6"/>
  <c r="JD58" i="6"/>
  <c r="JF67" i="6"/>
  <c r="JC77" i="6"/>
  <c r="JE86" i="6"/>
  <c r="JB96" i="6"/>
  <c r="JD105" i="6"/>
  <c r="JF114" i="6"/>
  <c r="JD12" i="6"/>
  <c r="JB33" i="6"/>
  <c r="JB44" i="6"/>
  <c r="JD53" i="6"/>
  <c r="JF62" i="6"/>
  <c r="JC72" i="6"/>
  <c r="JE81" i="6"/>
  <c r="JB91" i="6"/>
  <c r="JD100" i="6"/>
  <c r="JD55" i="6"/>
  <c r="JD31" i="6"/>
  <c r="JB101" i="6"/>
  <c r="JF26" i="6"/>
  <c r="JA74" i="6"/>
  <c r="JA16" i="6"/>
  <c r="JB34" i="6"/>
  <c r="JE71" i="6"/>
  <c r="JA19" i="6"/>
  <c r="JA28" i="6"/>
  <c r="JE27" i="6"/>
  <c r="JC65" i="6"/>
  <c r="JA11" i="6"/>
  <c r="JA7" i="6"/>
  <c r="JC21" i="6"/>
  <c r="JF58" i="6"/>
  <c r="JA114" i="6"/>
  <c r="JA79" i="6"/>
  <c r="JF14" i="6"/>
  <c r="JD52" i="6"/>
  <c r="JA106" i="6"/>
  <c r="JA47" i="6"/>
  <c r="JD8" i="6"/>
  <c r="JB46" i="6"/>
  <c r="JA98" i="6"/>
  <c r="JA24" i="6"/>
  <c r="JF113" i="6"/>
  <c r="JE39" i="6"/>
  <c r="JA90" i="6"/>
  <c r="JA60" i="6"/>
  <c r="JD107" i="6"/>
  <c r="JC33" i="6"/>
  <c r="JA82" i="6"/>
  <c r="JA39" i="6"/>
  <c r="JC38" i="6"/>
  <c r="JD114" i="6"/>
  <c r="JD10" i="6"/>
  <c r="JD70" i="6"/>
  <c r="JD65" i="6"/>
  <c r="JC111" i="6"/>
  <c r="JA89" i="6"/>
  <c r="JC79" i="6"/>
  <c r="JD106" i="6"/>
  <c r="JF115" i="6"/>
  <c r="JD13" i="6"/>
  <c r="JF22" i="6"/>
  <c r="JC32" i="6"/>
  <c r="JE41" i="6"/>
  <c r="JB51" i="6"/>
  <c r="JD60" i="6"/>
  <c r="JD39" i="6"/>
  <c r="JC39" i="6"/>
  <c r="JE48" i="6"/>
  <c r="JB58" i="6"/>
  <c r="JD67" i="6"/>
  <c r="JF76" i="6"/>
  <c r="JC86" i="6"/>
  <c r="JE95" i="6"/>
  <c r="JB17" i="6"/>
  <c r="JA109" i="6"/>
  <c r="JF24" i="6"/>
  <c r="JC34" i="6"/>
  <c r="JE43" i="6"/>
  <c r="JB53" i="6"/>
  <c r="JD62" i="6"/>
  <c r="JF71" i="6"/>
  <c r="JC81" i="6"/>
  <c r="JC92" i="6"/>
  <c r="JA37" i="6"/>
  <c r="JC23" i="6"/>
  <c r="JE32" i="6"/>
  <c r="JB42" i="6"/>
  <c r="JD51" i="6"/>
  <c r="JF60" i="6"/>
  <c r="JC70" i="6"/>
  <c r="JE79" i="6"/>
  <c r="JD79" i="6"/>
  <c r="JE45" i="6"/>
  <c r="JB55" i="6"/>
  <c r="JD64" i="6"/>
  <c r="JF73" i="6"/>
  <c r="JC83" i="6"/>
  <c r="JE92" i="6"/>
  <c r="JB102" i="6"/>
  <c r="JC68" i="6"/>
  <c r="JC44" i="6"/>
  <c r="JC31" i="6"/>
  <c r="JE40" i="6"/>
  <c r="JB50" i="6"/>
  <c r="JD59" i="6"/>
  <c r="JF68" i="6"/>
  <c r="JC78" i="6"/>
  <c r="JE87" i="6"/>
  <c r="JB49" i="6"/>
  <c r="JA69" i="6"/>
  <c r="JF49" i="6"/>
  <c r="JE66" i="6"/>
  <c r="JA10" i="6"/>
  <c r="JA6" i="6"/>
  <c r="JE94" i="6"/>
  <c r="JD20" i="6"/>
  <c r="JA66" i="6"/>
  <c r="JA71" i="6"/>
  <c r="JC88" i="6"/>
  <c r="JB14" i="6"/>
  <c r="JA58" i="6"/>
  <c r="JA63" i="6"/>
  <c r="JF81" i="6"/>
  <c r="JE7" i="6"/>
  <c r="JA50" i="6"/>
  <c r="JA44" i="6"/>
  <c r="JD75" i="6"/>
  <c r="JB81" i="6"/>
  <c r="JA42" i="6"/>
  <c r="JA40" i="6"/>
  <c r="JB69" i="6"/>
  <c r="JF29" i="6"/>
  <c r="JA34" i="6"/>
  <c r="JA20" i="6"/>
  <c r="JE62" i="6"/>
  <c r="JC100" i="6"/>
  <c r="JA26" i="6"/>
  <c r="JA23" i="6"/>
  <c r="JC56" i="6"/>
  <c r="JF117" i="6"/>
  <c r="JA18" i="6"/>
  <c r="JB103" i="6"/>
  <c r="JF37" i="6"/>
  <c r="JF82" i="6"/>
  <c r="JE49" i="6"/>
  <c r="JF19" i="6"/>
  <c r="JE90" i="6"/>
  <c r="JC89" i="6"/>
  <c r="JE46" i="6"/>
  <c r="JE98" i="6"/>
  <c r="JB37" i="6"/>
  <c r="JA97" i="6"/>
  <c r="JC12" i="6"/>
  <c r="JC36" i="6"/>
  <c r="ACS60" i="6"/>
  <c r="ACS44" i="6"/>
  <c r="ACS19" i="6"/>
  <c r="OB80" i="6"/>
  <c r="OB33" i="6"/>
  <c r="OB117" i="6"/>
  <c r="OB8" i="6"/>
  <c r="OB56" i="6"/>
  <c r="OB85" i="6"/>
  <c r="OB90" i="6"/>
  <c r="OB37" i="6"/>
  <c r="OB112" i="6"/>
  <c r="YJ54" i="6"/>
  <c r="YJ33" i="6"/>
  <c r="YJ31" i="6"/>
  <c r="YJ105" i="6"/>
  <c r="YJ56" i="6"/>
  <c r="FX73" i="6"/>
  <c r="FX70" i="6"/>
  <c r="FX61" i="6"/>
  <c r="FX6" i="6"/>
  <c r="FX95" i="6"/>
  <c r="FX77" i="6"/>
  <c r="FX18" i="6"/>
  <c r="FX111" i="6"/>
  <c r="FX24" i="6"/>
  <c r="FX29" i="6"/>
  <c r="FX17" i="6"/>
  <c r="FX80" i="6"/>
  <c r="FX98" i="6"/>
  <c r="HW59" i="6"/>
  <c r="HW111" i="6"/>
  <c r="OO37" i="6"/>
  <c r="ON15" i="6"/>
  <c r="ON82" i="6"/>
  <c r="OR39" i="6"/>
  <c r="OP15" i="6"/>
  <c r="OP9" i="6"/>
  <c r="ON50" i="6"/>
  <c r="OR105" i="6"/>
  <c r="OR40" i="6"/>
  <c r="OS93" i="6"/>
  <c r="OS104" i="6"/>
  <c r="OR59" i="6"/>
  <c r="OQ44" i="6"/>
  <c r="OO22" i="6"/>
  <c r="OR73" i="6"/>
  <c r="ON100" i="6"/>
  <c r="OS66" i="6"/>
  <c r="OO115" i="6"/>
  <c r="OR71" i="6"/>
  <c r="OS101" i="6"/>
  <c r="OP87" i="6"/>
  <c r="OP25" i="6"/>
  <c r="OO94" i="6"/>
  <c r="OR7" i="6"/>
  <c r="ON73" i="6"/>
  <c r="OS85" i="6"/>
  <c r="OS96" i="6"/>
  <c r="OQ72" i="6"/>
  <c r="ON55" i="6"/>
  <c r="OP83" i="6"/>
  <c r="OQ33" i="6"/>
  <c r="OR78" i="6"/>
  <c r="OR104" i="6"/>
  <c r="ON108" i="6"/>
  <c r="OP33" i="6"/>
  <c r="OQ89" i="6"/>
  <c r="OQ65" i="6"/>
  <c r="OO66" i="6"/>
  <c r="OO108" i="6"/>
  <c r="ON33" i="6"/>
  <c r="OR111" i="6"/>
  <c r="OR31" i="6"/>
  <c r="OP24" i="6"/>
  <c r="OR48" i="6"/>
  <c r="OP89" i="6"/>
  <c r="ON116" i="6"/>
  <c r="OO54" i="6"/>
  <c r="OP65" i="6"/>
  <c r="OO45" i="6"/>
  <c r="OR72" i="6"/>
  <c r="ON52" i="6"/>
  <c r="ON42" i="6"/>
  <c r="OP59" i="6"/>
  <c r="OQ27" i="6"/>
  <c r="OP34" i="6"/>
  <c r="OO57" i="6"/>
  <c r="ON103" i="6"/>
  <c r="OR47" i="6"/>
  <c r="OS98" i="6"/>
  <c r="OR70" i="6"/>
  <c r="OP98" i="6"/>
  <c r="ON29" i="6"/>
  <c r="ON58" i="6"/>
  <c r="OQ25" i="6"/>
  <c r="OR79" i="6"/>
  <c r="OO93" i="6"/>
  <c r="OR67" i="6"/>
  <c r="OQ81" i="6"/>
  <c r="OO104" i="6"/>
  <c r="OR94" i="6"/>
  <c r="OO39" i="6"/>
  <c r="OS8" i="6"/>
  <c r="OP111" i="6"/>
  <c r="OP100" i="6"/>
  <c r="OP8" i="6"/>
  <c r="OR110" i="6"/>
  <c r="OO55" i="6"/>
  <c r="OS24" i="6"/>
  <c r="OS13" i="6"/>
  <c r="OP116" i="6"/>
  <c r="OQ35" i="6"/>
  <c r="OS110" i="6"/>
  <c r="OP82" i="6"/>
  <c r="OO52" i="6"/>
  <c r="OO41" i="6"/>
  <c r="ON6" i="6"/>
  <c r="OQ37" i="6"/>
  <c r="OO50" i="6"/>
  <c r="OS50" i="6"/>
  <c r="OR14" i="6"/>
  <c r="OQ61" i="6"/>
  <c r="OO81" i="6"/>
  <c r="OO92" i="6"/>
  <c r="OS6" i="6"/>
  <c r="OO75" i="6"/>
  <c r="OP27" i="6"/>
  <c r="OQ20" i="6"/>
  <c r="ON110" i="6"/>
  <c r="OR65" i="6"/>
  <c r="OO72" i="6"/>
  <c r="OQ40" i="6"/>
  <c r="OO89" i="6"/>
  <c r="OQ74" i="6"/>
  <c r="OO40" i="6"/>
  <c r="OS74" i="6"/>
  <c r="ON114" i="6"/>
  <c r="ON84" i="6"/>
  <c r="OO73" i="6"/>
  <c r="OO84" i="6"/>
  <c r="OP114" i="6"/>
  <c r="ON24" i="6"/>
  <c r="OR95" i="6"/>
  <c r="OP13" i="6"/>
  <c r="OO101" i="6"/>
  <c r="OO114" i="6"/>
  <c r="ON35" i="6"/>
  <c r="OS58" i="6"/>
  <c r="OQ70" i="6"/>
  <c r="OR89" i="6"/>
  <c r="OP53" i="6"/>
  <c r="OP44" i="6"/>
  <c r="ON46" i="6"/>
  <c r="OS87" i="6"/>
  <c r="OO16" i="6"/>
  <c r="OS41" i="6"/>
  <c r="OO71" i="6"/>
  <c r="ON79" i="6"/>
  <c r="OS34" i="6"/>
  <c r="OR23" i="6"/>
  <c r="OS65" i="6"/>
  <c r="OS91" i="6"/>
  <c r="ON92" i="6"/>
  <c r="OP21" i="6"/>
  <c r="OR25" i="6"/>
  <c r="OS49" i="6"/>
  <c r="OQ53" i="6"/>
  <c r="OP108" i="6"/>
  <c r="ON80" i="6"/>
  <c r="OP22" i="6"/>
  <c r="OQ46" i="6"/>
  <c r="OQ91" i="6"/>
  <c r="OS62" i="6"/>
  <c r="ON57" i="6"/>
  <c r="OQ86" i="6"/>
  <c r="OR68" i="6"/>
  <c r="OO42" i="6"/>
  <c r="OQ115" i="6"/>
  <c r="OQ42" i="6"/>
  <c r="OQ36" i="6"/>
  <c r="OS116" i="6"/>
  <c r="OQ107" i="6"/>
  <c r="OS51" i="6"/>
  <c r="OR21" i="6"/>
  <c r="OR10" i="6"/>
  <c r="OO113" i="6"/>
  <c r="OO21" i="6"/>
  <c r="OR75" i="6"/>
  <c r="OS67" i="6"/>
  <c r="OR37" i="6"/>
  <c r="OR26" i="6"/>
  <c r="OQ32" i="6"/>
  <c r="OP48" i="6"/>
  <c r="OO74" i="6"/>
  <c r="OO95" i="6"/>
  <c r="OS64" i="6"/>
  <c r="OS53" i="6"/>
  <c r="OQ56" i="6"/>
  <c r="ON109" i="6"/>
  <c r="OR50" i="6"/>
  <c r="OR15" i="6"/>
  <c r="OO77" i="6"/>
  <c r="OS83" i="6"/>
  <c r="OP68" i="6"/>
  <c r="OP79" i="6"/>
  <c r="OO83" i="6"/>
  <c r="OQ49" i="6"/>
  <c r="OQ92" i="6"/>
  <c r="ON74" i="6"/>
  <c r="ON9" i="6"/>
  <c r="OS90" i="6"/>
  <c r="OQ41" i="6"/>
  <c r="OS14" i="6"/>
  <c r="OP76" i="6"/>
  <c r="OR61" i="6"/>
  <c r="OO11" i="6"/>
  <c r="OS26" i="6"/>
  <c r="ON104" i="6"/>
  <c r="ON83" i="6"/>
  <c r="OP60" i="6"/>
  <c r="OP71" i="6"/>
  <c r="ON28" i="6"/>
  <c r="ON112" i="6"/>
  <c r="OS31" i="6"/>
  <c r="OR52" i="6"/>
  <c r="OP117" i="6"/>
  <c r="OP55" i="6"/>
  <c r="ON49" i="6"/>
  <c r="OS46" i="6"/>
  <c r="OS18" i="6"/>
  <c r="OO112" i="6"/>
  <c r="OO7" i="6"/>
  <c r="OP84" i="6"/>
  <c r="ON75" i="6"/>
  <c r="OO107" i="6"/>
  <c r="OQ116" i="6"/>
  <c r="OP64" i="6"/>
  <c r="OR88" i="6"/>
  <c r="ON38" i="6"/>
  <c r="ON34" i="6"/>
  <c r="OR12" i="6"/>
  <c r="OP11" i="6"/>
  <c r="OP88" i="6"/>
  <c r="OR112" i="6"/>
  <c r="ON59" i="6"/>
  <c r="OO59" i="6"/>
  <c r="OS68" i="6"/>
  <c r="OQ67" i="6"/>
  <c r="OP74" i="6"/>
  <c r="ON65" i="6"/>
  <c r="OQ57" i="6"/>
  <c r="OQ60" i="6"/>
  <c r="OS38" i="6"/>
  <c r="OS113" i="6"/>
  <c r="OP31" i="6"/>
  <c r="ON97" i="6"/>
  <c r="OQ78" i="6"/>
  <c r="OP70" i="6"/>
  <c r="OS103" i="6"/>
  <c r="OR107" i="6"/>
  <c r="OR93" i="6"/>
  <c r="OO43" i="6"/>
  <c r="OS17" i="6"/>
  <c r="OO58" i="6"/>
  <c r="OR64" i="6"/>
  <c r="OQ34" i="6"/>
  <c r="OQ23" i="6"/>
  <c r="OP113" i="6"/>
  <c r="OS33" i="6"/>
  <c r="OP109" i="6"/>
  <c r="OR80" i="6"/>
  <c r="OQ50" i="6"/>
  <c r="OQ39" i="6"/>
  <c r="OS60" i="6"/>
  <c r="OO61" i="6"/>
  <c r="OQ112" i="6"/>
  <c r="OS107" i="6"/>
  <c r="OR77" i="6"/>
  <c r="OR66" i="6"/>
  <c r="ON102" i="6"/>
  <c r="OQ71" i="6"/>
  <c r="OO33" i="6"/>
  <c r="ON43" i="6"/>
  <c r="OR41" i="6"/>
  <c r="OP96" i="6"/>
  <c r="OQ101" i="6"/>
  <c r="OQ55" i="6"/>
  <c r="OQ66" i="6"/>
  <c r="OP78" i="6"/>
  <c r="OO14" i="6"/>
  <c r="OP17" i="6"/>
  <c r="ON10" i="6"/>
  <c r="ON20" i="6"/>
  <c r="OS28" i="6"/>
  <c r="OS71" i="6"/>
  <c r="OQ105" i="6"/>
  <c r="OQ63" i="6"/>
  <c r="OS48" i="6"/>
  <c r="OP102" i="6"/>
  <c r="OR100" i="6"/>
  <c r="ON40" i="6"/>
  <c r="ON81" i="6"/>
  <c r="OQ47" i="6"/>
  <c r="OQ58" i="6"/>
  <c r="ON54" i="6"/>
  <c r="ON90" i="6"/>
  <c r="OS84" i="6"/>
  <c r="OR116" i="6"/>
  <c r="OQ96" i="6"/>
  <c r="OQ106" i="6"/>
  <c r="ON76" i="6"/>
  <c r="OP94" i="6"/>
  <c r="OS12" i="6"/>
  <c r="OQ19" i="6"/>
  <c r="OR24" i="6"/>
  <c r="OS117" i="6"/>
  <c r="ON101" i="6"/>
  <c r="OQ28" i="6"/>
  <c r="OS111" i="6"/>
  <c r="OQ83" i="6"/>
  <c r="OO111" i="6"/>
  <c r="ON67" i="6"/>
  <c r="ON117" i="6"/>
  <c r="OP51" i="6"/>
  <c r="OO26" i="6"/>
  <c r="OS105" i="6"/>
  <c r="OQ18" i="6"/>
  <c r="ON85" i="6"/>
  <c r="OP105" i="6"/>
  <c r="OP49" i="6"/>
  <c r="OS89" i="6"/>
  <c r="OR96" i="6"/>
  <c r="ON105" i="6"/>
  <c r="OP46" i="6"/>
  <c r="OO46" i="6"/>
  <c r="OP86" i="6"/>
  <c r="OQ104" i="6"/>
  <c r="OQ82" i="6"/>
  <c r="ON11" i="6"/>
  <c r="OR27" i="6"/>
  <c r="OQ100" i="6"/>
  <c r="OQ102" i="6"/>
  <c r="OS86" i="6"/>
  <c r="OQ31" i="6"/>
  <c r="OQ62" i="6"/>
  <c r="OR30" i="6"/>
  <c r="OO106" i="6"/>
  <c r="OQ77" i="6"/>
  <c r="OP47" i="6"/>
  <c r="OP36" i="6"/>
  <c r="OP29" i="6"/>
  <c r="OR46" i="6"/>
  <c r="OP69" i="6"/>
  <c r="OQ93" i="6"/>
  <c r="OP63" i="6"/>
  <c r="OP52" i="6"/>
  <c r="OQ97" i="6"/>
  <c r="OS73" i="6"/>
  <c r="OP18" i="6"/>
  <c r="OS54" i="6"/>
  <c r="OQ90" i="6"/>
  <c r="OQ79" i="6"/>
  <c r="OO102" i="6"/>
  <c r="OQ84" i="6"/>
  <c r="ON39" i="6"/>
  <c r="OS30" i="6"/>
  <c r="OO86" i="6"/>
  <c r="OO117" i="6"/>
  <c r="OP101" i="6"/>
  <c r="OR42" i="6"/>
  <c r="OR53" i="6"/>
  <c r="OP97" i="6"/>
  <c r="OR76" i="6"/>
  <c r="OP75" i="6"/>
  <c r="ON64" i="6"/>
  <c r="ON19" i="6"/>
  <c r="OS114" i="6"/>
  <c r="OQ12" i="6"/>
  <c r="OS52" i="6"/>
  <c r="OO25" i="6"/>
  <c r="OO36" i="6"/>
  <c r="OO64" i="6"/>
  <c r="OR63" i="6"/>
  <c r="ON87" i="6"/>
  <c r="ON78" i="6"/>
  <c r="OR34" i="6"/>
  <c r="OR45" i="6"/>
  <c r="ON94" i="6"/>
  <c r="OS106" i="6"/>
  <c r="OS23" i="6"/>
  <c r="OQ110" i="6"/>
  <c r="OO23" i="6"/>
  <c r="OR82" i="6"/>
  <c r="ON63" i="6"/>
  <c r="OO27" i="6"/>
  <c r="OQ52" i="6"/>
  <c r="OP40" i="6"/>
  <c r="OO47" i="6"/>
  <c r="OS70" i="6"/>
  <c r="ON71" i="6"/>
  <c r="OP6" i="6"/>
  <c r="OR19" i="6"/>
  <c r="OP104" i="6"/>
  <c r="OS16" i="6"/>
  <c r="ON107" i="6"/>
  <c r="OQ17" i="6"/>
  <c r="OR108" i="6"/>
  <c r="OQ73" i="6"/>
  <c r="OO98" i="6"/>
  <c r="OR69" i="6"/>
  <c r="ON115" i="6"/>
  <c r="OR87" i="6"/>
  <c r="OR35" i="6"/>
  <c r="OO109" i="6"/>
  <c r="OQ117" i="6"/>
  <c r="ON44" i="6"/>
  <c r="OQ24" i="6"/>
  <c r="OR49" i="6"/>
  <c r="OS100" i="6"/>
  <c r="OO82" i="6"/>
  <c r="OP20" i="6"/>
  <c r="ON25" i="6"/>
  <c r="OS79" i="6"/>
  <c r="OQ76" i="6"/>
  <c r="OO13" i="6"/>
  <c r="OS19" i="6"/>
  <c r="OS69" i="6"/>
  <c r="OS22" i="6"/>
  <c r="OQ43" i="6"/>
  <c r="OP61" i="6"/>
  <c r="OP90" i="6"/>
  <c r="OO60" i="6"/>
  <c r="OO49" i="6"/>
  <c r="OP57" i="6"/>
  <c r="OQ59" i="6"/>
  <c r="OR99" i="6"/>
  <c r="OP106" i="6"/>
  <c r="OO76" i="6"/>
  <c r="OO65" i="6"/>
  <c r="OO96" i="6"/>
  <c r="OR86" i="6"/>
  <c r="OO31" i="6"/>
  <c r="OQ88" i="6"/>
  <c r="OP103" i="6"/>
  <c r="OP92" i="6"/>
  <c r="OQ30" i="6"/>
  <c r="OS20" i="6"/>
  <c r="OO15" i="6"/>
  <c r="OP30" i="6"/>
  <c r="OS82" i="6"/>
  <c r="ON30" i="6"/>
  <c r="OR20" i="6"/>
  <c r="OR115" i="6"/>
  <c r="OO44" i="6"/>
  <c r="OS29" i="6"/>
  <c r="OS40" i="6"/>
  <c r="OR60" i="6"/>
  <c r="OR44" i="6"/>
  <c r="OR43" i="6"/>
  <c r="ON111" i="6"/>
  <c r="ON17" i="6"/>
  <c r="OO38" i="6"/>
  <c r="OQ14" i="6"/>
  <c r="ON66" i="6"/>
  <c r="OP12" i="6"/>
  <c r="OP23" i="6"/>
  <c r="OO35" i="6"/>
  <c r="OO34" i="6"/>
  <c r="ON23" i="6"/>
  <c r="ON77" i="6"/>
  <c r="OS21" i="6"/>
  <c r="OS32" i="6"/>
  <c r="ON21" i="6"/>
  <c r="OS36" i="6"/>
  <c r="OR9" i="6"/>
  <c r="OP16" i="6"/>
  <c r="OQ45" i="6"/>
  <c r="OR28" i="6"/>
  <c r="ON32" i="6"/>
  <c r="OO6" i="6"/>
  <c r="OO110" i="6"/>
  <c r="OR62" i="6"/>
  <c r="OP66" i="6"/>
  <c r="ON13" i="6"/>
  <c r="ON48" i="6"/>
  <c r="OS47" i="6"/>
  <c r="OO70" i="6"/>
  <c r="OR91" i="6"/>
  <c r="OO68" i="6"/>
  <c r="ON45" i="6"/>
  <c r="OR11" i="6"/>
  <c r="OR17" i="6"/>
  <c r="OR97" i="6"/>
  <c r="OQ64" i="6"/>
  <c r="OQ7" i="6"/>
  <c r="ON7" i="6"/>
  <c r="OP41" i="6"/>
  <c r="OO78" i="6"/>
  <c r="OS102" i="6"/>
  <c r="OR29" i="6"/>
  <c r="ON70" i="6"/>
  <c r="OP67" i="6"/>
  <c r="OQ68" i="6"/>
  <c r="OQ11" i="6"/>
  <c r="OS35" i="6"/>
  <c r="OR58" i="6"/>
  <c r="ON31" i="6"/>
  <c r="OS10" i="6"/>
  <c r="OQ38" i="6"/>
  <c r="OP32" i="6"/>
  <c r="OS59" i="6"/>
  <c r="OR84" i="6"/>
  <c r="OQ48" i="6"/>
  <c r="OP56" i="6"/>
  <c r="OP93" i="6"/>
  <c r="OO103" i="6"/>
  <c r="OS72" i="6"/>
  <c r="OS61" i="6"/>
  <c r="OO91" i="6"/>
  <c r="OP72" i="6"/>
  <c r="OR16" i="6"/>
  <c r="OR51" i="6"/>
  <c r="OS88" i="6"/>
  <c r="OS77" i="6"/>
  <c r="OS108" i="6"/>
  <c r="OQ99" i="6"/>
  <c r="OS43" i="6"/>
  <c r="OR13" i="6"/>
  <c r="OO116" i="6"/>
  <c r="OO105" i="6"/>
  <c r="OS56" i="6"/>
  <c r="ON56" i="6"/>
  <c r="ON22" i="6"/>
  <c r="OS39" i="6"/>
  <c r="OS15" i="6"/>
  <c r="ON16" i="6"/>
  <c r="OR54" i="6"/>
  <c r="ON96" i="6"/>
  <c r="OP45" i="6"/>
  <c r="OO90" i="6"/>
  <c r="OP95" i="6"/>
  <c r="OO17" i="6"/>
  <c r="OO28" i="6"/>
  <c r="OO32" i="6"/>
  <c r="OO19" i="6"/>
  <c r="OO18" i="6"/>
  <c r="ON47" i="6"/>
  <c r="ON14" i="6"/>
  <c r="OO67" i="6"/>
  <c r="OO62" i="6"/>
  <c r="ON113" i="6"/>
  <c r="OS112" i="6"/>
  <c r="OQ10" i="6"/>
  <c r="OQ9" i="6"/>
  <c r="OQ8" i="6"/>
  <c r="ON51" i="6"/>
  <c r="OQ111" i="6"/>
  <c r="OO9" i="6"/>
  <c r="OO20" i="6"/>
  <c r="ON36" i="6"/>
  <c r="OO88" i="6"/>
  <c r="OS44" i="6"/>
  <c r="OR38" i="6"/>
  <c r="OO63" i="6"/>
  <c r="ON41" i="6"/>
  <c r="ON18" i="6"/>
  <c r="OQ108" i="6"/>
  <c r="OR57" i="6"/>
  <c r="OP80" i="6"/>
  <c r="OO87" i="6"/>
  <c r="ON53" i="6"/>
  <c r="ON26" i="6"/>
  <c r="OS95" i="6"/>
  <c r="OS92" i="6"/>
  <c r="OR8" i="6"/>
  <c r="OS45" i="6"/>
  <c r="ON60" i="6"/>
  <c r="OQ54" i="6"/>
  <c r="OO51" i="6"/>
  <c r="OP115" i="6"/>
  <c r="OP10" i="6"/>
  <c r="OO97" i="6"/>
  <c r="ON95" i="6"/>
  <c r="OS55" i="6"/>
  <c r="OP99" i="6"/>
  <c r="OS78" i="6"/>
  <c r="OS80" i="6"/>
  <c r="ON99" i="6"/>
  <c r="OO99" i="6"/>
  <c r="OP35" i="6"/>
  <c r="OO29" i="6"/>
  <c r="OP58" i="6"/>
  <c r="OS109" i="6"/>
  <c r="ON8" i="6"/>
  <c r="OP54" i="6"/>
  <c r="OS76" i="6"/>
  <c r="OO53" i="6"/>
  <c r="OO79" i="6"/>
  <c r="OQ22" i="6"/>
  <c r="OR81" i="6"/>
  <c r="OO69" i="6"/>
  <c r="OQ13" i="6"/>
  <c r="OS115" i="6"/>
  <c r="OR85" i="6"/>
  <c r="OR74" i="6"/>
  <c r="OQ94" i="6"/>
  <c r="OO85" i="6"/>
  <c r="OQ29" i="6"/>
  <c r="OP85" i="6"/>
  <c r="OR101" i="6"/>
  <c r="OR90" i="6"/>
  <c r="OS9" i="6"/>
  <c r="OP112" i="6"/>
  <c r="OR56" i="6"/>
  <c r="OQ26" i="6"/>
  <c r="OQ15" i="6"/>
  <c r="OO30" i="6"/>
  <c r="OO56" i="6"/>
  <c r="OP50" i="6"/>
  <c r="ON37" i="6"/>
  <c r="OR33" i="6"/>
  <c r="OO10" i="6"/>
  <c r="OS37" i="6"/>
  <c r="OP37" i="6"/>
  <c r="ON69" i="6"/>
  <c r="OP110" i="6"/>
  <c r="OQ21" i="6"/>
  <c r="OR106" i="6"/>
  <c r="OR117" i="6"/>
  <c r="OS94" i="6"/>
  <c r="OQ6" i="6"/>
  <c r="OO80" i="6"/>
  <c r="OO8" i="6"/>
  <c r="ON89" i="6"/>
  <c r="ON27" i="6"/>
  <c r="OR36" i="6"/>
  <c r="OQ113" i="6"/>
  <c r="OR114" i="6"/>
  <c r="OO100" i="6"/>
  <c r="OQ80" i="6"/>
  <c r="OR55" i="6"/>
  <c r="OP62" i="6"/>
  <c r="ON61" i="6"/>
  <c r="OR98" i="6"/>
  <c r="OR109" i="6"/>
  <c r="OP7" i="6"/>
  <c r="ON62" i="6"/>
  <c r="OP14" i="6"/>
  <c r="OR103" i="6"/>
  <c r="OS57" i="6"/>
  <c r="OQ85" i="6"/>
  <c r="ON68" i="6"/>
  <c r="ON98" i="6"/>
  <c r="OP38" i="6"/>
  <c r="OQ16" i="6"/>
  <c r="OR102" i="6"/>
  <c r="OQ109" i="6"/>
  <c r="ON93" i="6"/>
  <c r="ON106" i="6"/>
  <c r="OR92" i="6"/>
  <c r="OR113" i="6"/>
  <c r="OS27" i="6"/>
  <c r="OQ95" i="6"/>
  <c r="ON86" i="6"/>
  <c r="OS42" i="6"/>
  <c r="OP19" i="6"/>
  <c r="OS25" i="6"/>
  <c r="OR32" i="6"/>
  <c r="OP81" i="6"/>
  <c r="ON72" i="6"/>
  <c r="OO24" i="6"/>
  <c r="OR6" i="6"/>
  <c r="OS11" i="6"/>
  <c r="OR18" i="6"/>
  <c r="ON12" i="6"/>
  <c r="OP43" i="6"/>
  <c r="OP73" i="6"/>
  <c r="OQ51" i="6"/>
  <c r="OS75" i="6"/>
  <c r="ON91" i="6"/>
  <c r="ON88" i="6"/>
  <c r="OS63" i="6"/>
  <c r="OS7" i="6"/>
  <c r="OQ75" i="6"/>
  <c r="OS99" i="6"/>
  <c r="OO48" i="6"/>
  <c r="OP91" i="6"/>
  <c r="OS81" i="6"/>
  <c r="OP26" i="6"/>
  <c r="OP77" i="6"/>
  <c r="OQ98" i="6"/>
  <c r="OQ87" i="6"/>
  <c r="OP107" i="6"/>
  <c r="OS97" i="6"/>
  <c r="OP42" i="6"/>
  <c r="OO12" i="6"/>
  <c r="OQ114" i="6"/>
  <c r="OQ103" i="6"/>
  <c r="OR22" i="6"/>
  <c r="OR83" i="6"/>
  <c r="OQ69" i="6"/>
  <c r="OP39" i="6"/>
  <c r="OP28" i="6"/>
  <c r="O43" i="6"/>
  <c r="O51" i="6"/>
  <c r="WR62" i="6"/>
  <c r="WR73" i="6"/>
  <c r="WR79" i="6"/>
  <c r="WR13" i="6"/>
  <c r="WR19" i="6"/>
  <c r="WR78" i="6"/>
  <c r="WR18" i="6"/>
  <c r="FG97" i="6"/>
  <c r="FG34" i="6"/>
  <c r="FG83" i="6"/>
  <c r="FG116" i="6"/>
  <c r="FG56" i="6"/>
  <c r="FG27" i="6"/>
  <c r="FG79" i="6"/>
  <c r="FG48" i="6"/>
  <c r="FG96" i="6"/>
  <c r="FG30" i="6"/>
  <c r="ADE114" i="6"/>
  <c r="ADD93" i="6"/>
  <c r="ADF71" i="6"/>
  <c r="ADE50" i="6"/>
  <c r="ADD29" i="6"/>
  <c r="ADF7" i="6"/>
  <c r="ADC63" i="6"/>
  <c r="ADF116" i="6"/>
  <c r="ADE95" i="6"/>
  <c r="ADD74" i="6"/>
  <c r="ADF52" i="6"/>
  <c r="ADE31" i="6"/>
  <c r="ADD10" i="6"/>
  <c r="ADC62" i="6"/>
  <c r="ADF113" i="6"/>
  <c r="ADE92" i="6"/>
  <c r="ADD71" i="6"/>
  <c r="ADF49" i="6"/>
  <c r="ADE28" i="6"/>
  <c r="ADD7" i="6"/>
  <c r="ADC69" i="6"/>
  <c r="ADD116" i="6"/>
  <c r="ADF94" i="6"/>
  <c r="ADE73" i="6"/>
  <c r="ADD52" i="6"/>
  <c r="ADF30" i="6"/>
  <c r="ADE9" i="6"/>
  <c r="ADC60" i="6"/>
  <c r="ADD113" i="6"/>
  <c r="ADF91" i="6"/>
  <c r="ADE70" i="6"/>
  <c r="ADD49" i="6"/>
  <c r="ADF27" i="6"/>
  <c r="ADF6" i="6"/>
  <c r="ADC59" i="6"/>
  <c r="ADD115" i="6"/>
  <c r="ADF93" i="6"/>
  <c r="ADE72" i="6"/>
  <c r="ADD51" i="6"/>
  <c r="ADF29" i="6"/>
  <c r="ADE8" i="6"/>
  <c r="ADC65" i="6"/>
  <c r="ADE117" i="6"/>
  <c r="ADD32" i="6"/>
  <c r="ADF56" i="6"/>
  <c r="ADF40" i="6"/>
  <c r="ADF88" i="6"/>
  <c r="ADE61" i="6"/>
  <c r="ADC34" i="6"/>
  <c r="ADD70" i="6"/>
  <c r="ADC32" i="6"/>
  <c r="ADE69" i="6"/>
  <c r="ADC26" i="6"/>
  <c r="ADE43" i="6"/>
  <c r="ADF66" i="6"/>
  <c r="ADF64" i="6"/>
  <c r="ADF111" i="6"/>
  <c r="ADE90" i="6"/>
  <c r="ADD69" i="6"/>
  <c r="ADF47" i="6"/>
  <c r="ADE26" i="6"/>
  <c r="ADD6" i="6"/>
  <c r="ADC55" i="6"/>
  <c r="ADD114" i="6"/>
  <c r="ADF92" i="6"/>
  <c r="ADE71" i="6"/>
  <c r="ADD50" i="6"/>
  <c r="ADF28" i="6"/>
  <c r="ADE7" i="6"/>
  <c r="ADC54" i="6"/>
  <c r="ADD111" i="6"/>
  <c r="ADF89" i="6"/>
  <c r="ADE68" i="6"/>
  <c r="ADD47" i="6"/>
  <c r="ADF25" i="6"/>
  <c r="ADC6" i="6"/>
  <c r="ADC61" i="6"/>
  <c r="ADE113" i="6"/>
  <c r="ADD92" i="6"/>
  <c r="ADF70" i="6"/>
  <c r="ADE49" i="6"/>
  <c r="ADD28" i="6"/>
  <c r="ADC116" i="6"/>
  <c r="ADC52" i="6"/>
  <c r="ADE110" i="6"/>
  <c r="ADD89" i="6"/>
  <c r="ADF67" i="6"/>
  <c r="ADE46" i="6"/>
  <c r="ADD25" i="6"/>
  <c r="ADC115" i="6"/>
  <c r="ADC51" i="6"/>
  <c r="ADE112" i="6"/>
  <c r="ADD91" i="6"/>
  <c r="ADF69" i="6"/>
  <c r="ADE48" i="6"/>
  <c r="ADD27" i="6"/>
  <c r="ADE6" i="6"/>
  <c r="ADC57" i="6"/>
  <c r="ADF106" i="6"/>
  <c r="ADE21" i="6"/>
  <c r="ADE115" i="6"/>
  <c r="ADD30" i="6"/>
  <c r="ADD14" i="6"/>
  <c r="ADF50" i="6"/>
  <c r="ADE67" i="6"/>
  <c r="ADE59" i="6"/>
  <c r="ADD78" i="6"/>
  <c r="ADF58" i="6"/>
  <c r="ADE99" i="6"/>
  <c r="ADC18" i="6"/>
  <c r="ADC112" i="6"/>
  <c r="ADC50" i="6"/>
  <c r="ADD109" i="6"/>
  <c r="ADF87" i="6"/>
  <c r="ADE66" i="6"/>
  <c r="ADD45" i="6"/>
  <c r="ADF23" i="6"/>
  <c r="ADC111" i="6"/>
  <c r="ADC47" i="6"/>
  <c r="ADE111" i="6"/>
  <c r="ADD90" i="6"/>
  <c r="ADF68" i="6"/>
  <c r="ADE47" i="6"/>
  <c r="ADD26" i="6"/>
  <c r="ADC110" i="6"/>
  <c r="ADC46" i="6"/>
  <c r="ADE108" i="6"/>
  <c r="ADD87" i="6"/>
  <c r="ADF65" i="6"/>
  <c r="ADE44" i="6"/>
  <c r="ADD23" i="6"/>
  <c r="ADC117" i="6"/>
  <c r="ADC53" i="6"/>
  <c r="ADF110" i="6"/>
  <c r="ADE89" i="6"/>
  <c r="ADD68" i="6"/>
  <c r="ADF46" i="6"/>
  <c r="ADE25" i="6"/>
  <c r="ADC108" i="6"/>
  <c r="ADC44" i="6"/>
  <c r="ADF107" i="6"/>
  <c r="ADE86" i="6"/>
  <c r="ADD65" i="6"/>
  <c r="ADF43" i="6"/>
  <c r="ADE22" i="6"/>
  <c r="ADC107" i="6"/>
  <c r="ADC43" i="6"/>
  <c r="ADF109" i="6"/>
  <c r="ADE88" i="6"/>
  <c r="ADD67" i="6"/>
  <c r="ADF45" i="6"/>
  <c r="ADE24" i="6"/>
  <c r="ADC113" i="6"/>
  <c r="ADC49" i="6"/>
  <c r="ADD96" i="6"/>
  <c r="ADF10" i="6"/>
  <c r="ADF104" i="6"/>
  <c r="ADE19" i="6"/>
  <c r="ADC24" i="6"/>
  <c r="ADD40" i="6"/>
  <c r="ADE35" i="6"/>
  <c r="ADF48" i="6"/>
  <c r="ADD46" i="6"/>
  <c r="ADD48" i="6"/>
  <c r="ADF24" i="6"/>
  <c r="ADD22" i="6"/>
  <c r="ADE107" i="6"/>
  <c r="ADF98" i="6"/>
  <c r="ADE106" i="6"/>
  <c r="ADD85" i="6"/>
  <c r="ADF63" i="6"/>
  <c r="ADE42" i="6"/>
  <c r="ADD21" i="6"/>
  <c r="ADC103" i="6"/>
  <c r="ADC39" i="6"/>
  <c r="ADF108" i="6"/>
  <c r="ADE87" i="6"/>
  <c r="ADD66" i="6"/>
  <c r="ADF44" i="6"/>
  <c r="ADE23" i="6"/>
  <c r="ADC102" i="6"/>
  <c r="ADC38" i="6"/>
  <c r="ADF105" i="6"/>
  <c r="ADE84" i="6"/>
  <c r="ADD63" i="6"/>
  <c r="ADF41" i="6"/>
  <c r="ADE20" i="6"/>
  <c r="ADC109" i="6"/>
  <c r="ADC45" i="6"/>
  <c r="ADD108" i="6"/>
  <c r="ADF86" i="6"/>
  <c r="ADE65" i="6"/>
  <c r="ADD44" i="6"/>
  <c r="ADF22" i="6"/>
  <c r="ADC100" i="6"/>
  <c r="ADC36" i="6"/>
  <c r="ADD105" i="6"/>
  <c r="ADF83" i="6"/>
  <c r="ADE62" i="6"/>
  <c r="ADD41" i="6"/>
  <c r="ADF19" i="6"/>
  <c r="ADC99" i="6"/>
  <c r="ADC35" i="6"/>
  <c r="ADD107" i="6"/>
  <c r="ADF85" i="6"/>
  <c r="ADE64" i="6"/>
  <c r="ADD43" i="6"/>
  <c r="ADF21" i="6"/>
  <c r="ADC105" i="6"/>
  <c r="ADC41" i="6"/>
  <c r="ADE85" i="6"/>
  <c r="ADC106" i="6"/>
  <c r="ADD94" i="6"/>
  <c r="ADF8" i="6"/>
  <c r="ADF114" i="6"/>
  <c r="ADE29" i="6"/>
  <c r="ADC56" i="6"/>
  <c r="ADD38" i="6"/>
  <c r="ADC88" i="6"/>
  <c r="ADE37" i="6"/>
  <c r="ADD88" i="6"/>
  <c r="ADC82" i="6"/>
  <c r="ADE75" i="6"/>
  <c r="ADD56" i="6"/>
  <c r="ADF103" i="6"/>
  <c r="ADE82" i="6"/>
  <c r="ADD61" i="6"/>
  <c r="ADF39" i="6"/>
  <c r="ADE18" i="6"/>
  <c r="ADC95" i="6"/>
  <c r="ADC31" i="6"/>
  <c r="ADD106" i="6"/>
  <c r="ADF84" i="6"/>
  <c r="ADE63" i="6"/>
  <c r="ADD42" i="6"/>
  <c r="ADF20" i="6"/>
  <c r="ADC94" i="6"/>
  <c r="ADC30" i="6"/>
  <c r="ADD103" i="6"/>
  <c r="ADF81" i="6"/>
  <c r="ADE60" i="6"/>
  <c r="ADD39" i="6"/>
  <c r="ADF17" i="6"/>
  <c r="ADC101" i="6"/>
  <c r="ADC37" i="6"/>
  <c r="ADE105" i="6"/>
  <c r="ADD84" i="6"/>
  <c r="ADF62" i="6"/>
  <c r="ADE41" i="6"/>
  <c r="ADD20" i="6"/>
  <c r="ADC92" i="6"/>
  <c r="ADC28" i="6"/>
  <c r="ADE102" i="6"/>
  <c r="ADD81" i="6"/>
  <c r="ADF59" i="6"/>
  <c r="ADE38" i="6"/>
  <c r="ADD17" i="6"/>
  <c r="ADC91" i="6"/>
  <c r="ADC27" i="6"/>
  <c r="ADE104" i="6"/>
  <c r="ADD83" i="6"/>
  <c r="ADF61" i="6"/>
  <c r="ADE40" i="6"/>
  <c r="ADD19" i="6"/>
  <c r="ADC97" i="6"/>
  <c r="ADC33" i="6"/>
  <c r="ADF74" i="6"/>
  <c r="ADC74" i="6"/>
  <c r="ADE83" i="6"/>
  <c r="ADC104" i="6"/>
  <c r="ADD104" i="6"/>
  <c r="ADF18" i="6"/>
  <c r="ADF112" i="6"/>
  <c r="ADE27" i="6"/>
  <c r="ADD112" i="6"/>
  <c r="ADF26" i="6"/>
  <c r="ADE45" i="6"/>
  <c r="ADE11" i="6"/>
  <c r="ADF32" i="6"/>
  <c r="ADE13" i="6"/>
  <c r="ADD101" i="6"/>
  <c r="ADF79" i="6"/>
  <c r="ADE58" i="6"/>
  <c r="ADD37" i="6"/>
  <c r="ADF15" i="6"/>
  <c r="ADC87" i="6"/>
  <c r="ADC23" i="6"/>
  <c r="ADE103" i="6"/>
  <c r="ADD82" i="6"/>
  <c r="ADF60" i="6"/>
  <c r="ADE39" i="6"/>
  <c r="ADD18" i="6"/>
  <c r="ADC86" i="6"/>
  <c r="ADC22" i="6"/>
  <c r="ADE100" i="6"/>
  <c r="ADD79" i="6"/>
  <c r="ADF57" i="6"/>
  <c r="ADE36" i="6"/>
  <c r="ADD15" i="6"/>
  <c r="ADC93" i="6"/>
  <c r="ADC29" i="6"/>
  <c r="ADF102" i="6"/>
  <c r="ADE81" i="6"/>
  <c r="ADD60" i="6"/>
  <c r="ADF38" i="6"/>
  <c r="ADE17" i="6"/>
  <c r="ADC84" i="6"/>
  <c r="ADC20" i="6"/>
  <c r="ADF99" i="6"/>
  <c r="ADE78" i="6"/>
  <c r="ADD57" i="6"/>
  <c r="ADF35" i="6"/>
  <c r="ADE14" i="6"/>
  <c r="ADC83" i="6"/>
  <c r="ADC19" i="6"/>
  <c r="ADF101" i="6"/>
  <c r="ADE80" i="6"/>
  <c r="ADD59" i="6"/>
  <c r="ADF37" i="6"/>
  <c r="ADE16" i="6"/>
  <c r="ADC89" i="6"/>
  <c r="ADC25" i="6"/>
  <c r="ADD64" i="6"/>
  <c r="ADC42" i="6"/>
  <c r="ADF72" i="6"/>
  <c r="ADC72" i="6"/>
  <c r="ADE93" i="6"/>
  <c r="ADD8" i="6"/>
  <c r="ADD102" i="6"/>
  <c r="ADF16" i="6"/>
  <c r="ADE101" i="6"/>
  <c r="ADD16" i="6"/>
  <c r="ADC48" i="6"/>
  <c r="ADE77" i="6"/>
  <c r="ADC114" i="6"/>
  <c r="ADC80" i="6"/>
  <c r="ADE98" i="6"/>
  <c r="ADD77" i="6"/>
  <c r="ADF55" i="6"/>
  <c r="ADE34" i="6"/>
  <c r="ADD13" i="6"/>
  <c r="ADC79" i="6"/>
  <c r="ADC15" i="6"/>
  <c r="ADF100" i="6"/>
  <c r="ADE79" i="6"/>
  <c r="ADD58" i="6"/>
  <c r="ADF36" i="6"/>
  <c r="ADE15" i="6"/>
  <c r="ADC78" i="6"/>
  <c r="ADC14" i="6"/>
  <c r="ADF97" i="6"/>
  <c r="ADE76" i="6"/>
  <c r="ADD55" i="6"/>
  <c r="ADF33" i="6"/>
  <c r="ADE12" i="6"/>
  <c r="ADC85" i="6"/>
  <c r="ADC21" i="6"/>
  <c r="ADD100" i="6"/>
  <c r="ADF78" i="6"/>
  <c r="ADE57" i="6"/>
  <c r="ADD36" i="6"/>
  <c r="ADF14" i="6"/>
  <c r="ADC76" i="6"/>
  <c r="ADC12" i="6"/>
  <c r="ADD97" i="6"/>
  <c r="ADF75" i="6"/>
  <c r="ADE54" i="6"/>
  <c r="ADD33" i="6"/>
  <c r="ADF11" i="6"/>
  <c r="ADC75" i="6"/>
  <c r="ADC11" i="6"/>
  <c r="ADD99" i="6"/>
  <c r="ADF77" i="6"/>
  <c r="ADE56" i="6"/>
  <c r="ADD35" i="6"/>
  <c r="ADF13" i="6"/>
  <c r="ADC81" i="6"/>
  <c r="ADC17" i="6"/>
  <c r="ADE53" i="6"/>
  <c r="ADC10" i="6"/>
  <c r="ADD62" i="6"/>
  <c r="ADC40" i="6"/>
  <c r="ADF82" i="6"/>
  <c r="ADC98" i="6"/>
  <c r="ADE91" i="6"/>
  <c r="ADC96" i="6"/>
  <c r="ADF90" i="6"/>
  <c r="ADC90" i="6"/>
  <c r="ADF96" i="6"/>
  <c r="ADF34" i="6"/>
  <c r="ADE109" i="6"/>
  <c r="ADD54" i="6"/>
  <c r="ADD117" i="6"/>
  <c r="ADF95" i="6"/>
  <c r="ADE74" i="6"/>
  <c r="ADD53" i="6"/>
  <c r="ADF31" i="6"/>
  <c r="ADE10" i="6"/>
  <c r="ADC71" i="6"/>
  <c r="ADC7" i="6"/>
  <c r="ADD98" i="6"/>
  <c r="ADF76" i="6"/>
  <c r="ADE55" i="6"/>
  <c r="ADD34" i="6"/>
  <c r="ADF12" i="6"/>
  <c r="ADC70" i="6"/>
  <c r="ADE116" i="6"/>
  <c r="ADD95" i="6"/>
  <c r="ADF73" i="6"/>
  <c r="ADE52" i="6"/>
  <c r="ADD31" i="6"/>
  <c r="ADF9" i="6"/>
  <c r="ADC77" i="6"/>
  <c r="ADC13" i="6"/>
  <c r="ADE97" i="6"/>
  <c r="ADD76" i="6"/>
  <c r="ADF54" i="6"/>
  <c r="ADE33" i="6"/>
  <c r="ADD12" i="6"/>
  <c r="ADC68" i="6"/>
  <c r="ADF115" i="6"/>
  <c r="ADE94" i="6"/>
  <c r="ADD73" i="6"/>
  <c r="ADF51" i="6"/>
  <c r="ADE30" i="6"/>
  <c r="ADD9" i="6"/>
  <c r="ADC67" i="6"/>
  <c r="ADF117" i="6"/>
  <c r="ADE96" i="6"/>
  <c r="ADD75" i="6"/>
  <c r="ADF53" i="6"/>
  <c r="ADE32" i="6"/>
  <c r="ADD11" i="6"/>
  <c r="ADC73" i="6"/>
  <c r="ADC9" i="6"/>
  <c r="ADF42" i="6"/>
  <c r="ADD110" i="6"/>
  <c r="ADE51" i="6"/>
  <c r="ADC8" i="6"/>
  <c r="ADD72" i="6"/>
  <c r="ADC66" i="6"/>
  <c r="ADF80" i="6"/>
  <c r="ADC64" i="6"/>
  <c r="ADD80" i="6"/>
  <c r="ADC58" i="6"/>
  <c r="ADD86" i="6"/>
  <c r="ADC16" i="6"/>
  <c r="ADD24" i="6"/>
  <c r="CG22" i="6"/>
  <c r="CG51" i="6"/>
  <c r="CG21" i="6"/>
  <c r="CG36" i="6"/>
  <c r="CG63" i="6"/>
  <c r="CG101" i="6"/>
  <c r="CG96" i="6"/>
  <c r="CG81" i="6"/>
  <c r="CG71" i="6"/>
  <c r="GO75" i="6"/>
  <c r="GO78" i="6"/>
  <c r="GO98" i="6"/>
  <c r="GO90" i="6"/>
  <c r="HF68" i="6"/>
  <c r="HF56" i="6"/>
  <c r="HF44" i="6"/>
  <c r="HF26" i="6"/>
  <c r="HF115" i="6"/>
  <c r="HF60" i="6"/>
  <c r="HF51" i="6"/>
  <c r="HF76" i="6"/>
  <c r="HF16" i="6"/>
  <c r="HF17" i="6"/>
  <c r="ACG28" i="6"/>
  <c r="ACG102" i="6"/>
  <c r="ACG72" i="6"/>
  <c r="ACG19" i="6"/>
  <c r="ACG98" i="6"/>
  <c r="ACG15" i="6"/>
  <c r="ACG84" i="6"/>
  <c r="ACG25" i="6"/>
  <c r="ACG75" i="6"/>
  <c r="ACG113" i="6"/>
  <c r="ACG77" i="6"/>
  <c r="SR16" i="6"/>
  <c r="SV114" i="6"/>
  <c r="SW101" i="6"/>
  <c r="SS89" i="6"/>
  <c r="ST76" i="6"/>
  <c r="SU63" i="6"/>
  <c r="SV50" i="6"/>
  <c r="SW37" i="6"/>
  <c r="SS25" i="6"/>
  <c r="ST12" i="6"/>
  <c r="ST111" i="6"/>
  <c r="SU98" i="6"/>
  <c r="SV85" i="6"/>
  <c r="SW72" i="6"/>
  <c r="SS60" i="6"/>
  <c r="ST47" i="6"/>
  <c r="SU34" i="6"/>
  <c r="SV21" i="6"/>
  <c r="SW8" i="6"/>
  <c r="SW107" i="6"/>
  <c r="SS95" i="6"/>
  <c r="ST82" i="6"/>
  <c r="SU69" i="6"/>
  <c r="SV56" i="6"/>
  <c r="SW43" i="6"/>
  <c r="SS31" i="6"/>
  <c r="ST18" i="6"/>
  <c r="ST117" i="6"/>
  <c r="SU104" i="6"/>
  <c r="SV91" i="6"/>
  <c r="SW78" i="6"/>
  <c r="SS66" i="6"/>
  <c r="ST53" i="6"/>
  <c r="SU40" i="6"/>
  <c r="SV27" i="6"/>
  <c r="SW14" i="6"/>
  <c r="SW113" i="6"/>
  <c r="SS101" i="6"/>
  <c r="ST88" i="6"/>
  <c r="SU75" i="6"/>
  <c r="SV62" i="6"/>
  <c r="SW49" i="6"/>
  <c r="SS37" i="6"/>
  <c r="ST24" i="6"/>
  <c r="SU11" i="6"/>
  <c r="SU110" i="6"/>
  <c r="SV97" i="6"/>
  <c r="SW84" i="6"/>
  <c r="SS72" i="6"/>
  <c r="ST59" i="6"/>
  <c r="SU46" i="6"/>
  <c r="SV33" i="6"/>
  <c r="SW20" i="6"/>
  <c r="SS8" i="6"/>
  <c r="SS75" i="6"/>
  <c r="SW23" i="6"/>
  <c r="SS70" i="6"/>
  <c r="ST81" i="6"/>
  <c r="SS30" i="6"/>
  <c r="SU105" i="6"/>
  <c r="ST54" i="6"/>
  <c r="SS110" i="6"/>
  <c r="SS102" i="6"/>
  <c r="SU92" i="6"/>
  <c r="ST41" i="6"/>
  <c r="SV39" i="6"/>
  <c r="SW114" i="6"/>
  <c r="SU97" i="6"/>
  <c r="ST46" i="6"/>
  <c r="SV103" i="6"/>
  <c r="SV76" i="6"/>
  <c r="SR101" i="6"/>
  <c r="SR93" i="6"/>
  <c r="SR35" i="6"/>
  <c r="SR97" i="6"/>
  <c r="SR47" i="6"/>
  <c r="SR24" i="6"/>
  <c r="SR84" i="6"/>
  <c r="SR99" i="6"/>
  <c r="SR106" i="6"/>
  <c r="SR79" i="6"/>
  <c r="SR89" i="6"/>
  <c r="SR33" i="6"/>
  <c r="SR95" i="6"/>
  <c r="SR23" i="6"/>
  <c r="SS113" i="6"/>
  <c r="ST100" i="6"/>
  <c r="SU87" i="6"/>
  <c r="SV74" i="6"/>
  <c r="SW61" i="6"/>
  <c r="SS49" i="6"/>
  <c r="ST36" i="6"/>
  <c r="SU23" i="6"/>
  <c r="SV10" i="6"/>
  <c r="SV109" i="6"/>
  <c r="SW96" i="6"/>
  <c r="SS84" i="6"/>
  <c r="ST71" i="6"/>
  <c r="SU58" i="6"/>
  <c r="SV45" i="6"/>
  <c r="SW32" i="6"/>
  <c r="SS20" i="6"/>
  <c r="ST7" i="6"/>
  <c r="ST106" i="6"/>
  <c r="SU93" i="6"/>
  <c r="SV80" i="6"/>
  <c r="SW67" i="6"/>
  <c r="SS55" i="6"/>
  <c r="ST42" i="6"/>
  <c r="SU29" i="6"/>
  <c r="SV16" i="6"/>
  <c r="SV115" i="6"/>
  <c r="SW102" i="6"/>
  <c r="SS90" i="6"/>
  <c r="ST77" i="6"/>
  <c r="SU64" i="6"/>
  <c r="SV51" i="6"/>
  <c r="SW38" i="6"/>
  <c r="SS26" i="6"/>
  <c r="ST13" i="6"/>
  <c r="ST112" i="6"/>
  <c r="SU99" i="6"/>
  <c r="SV86" i="6"/>
  <c r="SW73" i="6"/>
  <c r="SS61" i="6"/>
  <c r="ST48" i="6"/>
  <c r="SU35" i="6"/>
  <c r="SV22" i="6"/>
  <c r="SW9" i="6"/>
  <c r="SW108" i="6"/>
  <c r="SS96" i="6"/>
  <c r="ST83" i="6"/>
  <c r="SU70" i="6"/>
  <c r="SV57" i="6"/>
  <c r="SW44" i="6"/>
  <c r="SS32" i="6"/>
  <c r="ST19" i="6"/>
  <c r="SU6" i="6"/>
  <c r="SV68" i="6"/>
  <c r="SU17" i="6"/>
  <c r="SU44" i="6"/>
  <c r="SW74" i="6"/>
  <c r="SV23" i="6"/>
  <c r="SS99" i="6"/>
  <c r="SW47" i="6"/>
  <c r="SS78" i="6"/>
  <c r="SU76" i="6"/>
  <c r="SS86" i="6"/>
  <c r="SW34" i="6"/>
  <c r="SW26" i="6"/>
  <c r="SW82" i="6"/>
  <c r="SS91" i="6"/>
  <c r="SW39" i="6"/>
  <c r="ST97" i="6"/>
  <c r="ST38" i="6"/>
  <c r="SR105" i="6"/>
  <c r="SR69" i="6"/>
  <c r="SR22" i="6"/>
  <c r="SR107" i="6"/>
  <c r="SR111" i="6"/>
  <c r="SR41" i="6"/>
  <c r="SR37" i="6"/>
  <c r="SR54" i="6"/>
  <c r="SR112" i="6"/>
  <c r="SR36" i="6"/>
  <c r="SR114" i="6"/>
  <c r="SR43" i="6"/>
  <c r="SR52" i="6"/>
  <c r="SR117" i="6"/>
  <c r="SU111" i="6"/>
  <c r="SV98" i="6"/>
  <c r="SW85" i="6"/>
  <c r="SS73" i="6"/>
  <c r="ST60" i="6"/>
  <c r="SU47" i="6"/>
  <c r="SV34" i="6"/>
  <c r="SW21" i="6"/>
  <c r="SS9" i="6"/>
  <c r="SS108" i="6"/>
  <c r="ST95" i="6"/>
  <c r="SU82" i="6"/>
  <c r="SV69" i="6"/>
  <c r="SW56" i="6"/>
  <c r="SS44" i="6"/>
  <c r="ST31" i="6"/>
  <c r="SU18" i="6"/>
  <c r="SU117" i="6"/>
  <c r="SV104" i="6"/>
  <c r="SW91" i="6"/>
  <c r="SS79" i="6"/>
  <c r="ST66" i="6"/>
  <c r="SU53" i="6"/>
  <c r="SV40" i="6"/>
  <c r="SW27" i="6"/>
  <c r="SS15" i="6"/>
  <c r="SS114" i="6"/>
  <c r="ST101" i="6"/>
  <c r="SU88" i="6"/>
  <c r="SV75" i="6"/>
  <c r="SW62" i="6"/>
  <c r="SS50" i="6"/>
  <c r="ST37" i="6"/>
  <c r="SU24" i="6"/>
  <c r="SV11" i="6"/>
  <c r="SV110" i="6"/>
  <c r="SW97" i="6"/>
  <c r="SS85" i="6"/>
  <c r="ST72" i="6"/>
  <c r="SU59" i="6"/>
  <c r="SV46" i="6"/>
  <c r="SW33" i="6"/>
  <c r="SS21" i="6"/>
  <c r="ST8" i="6"/>
  <c r="ST107" i="6"/>
  <c r="SU94" i="6"/>
  <c r="SV81" i="6"/>
  <c r="SW68" i="6"/>
  <c r="SS56" i="6"/>
  <c r="ST43" i="6"/>
  <c r="SU30" i="6"/>
  <c r="SV17" i="6"/>
  <c r="SU113" i="6"/>
  <c r="ST62" i="6"/>
  <c r="SS11" i="6"/>
  <c r="SW18" i="6"/>
  <c r="SU68" i="6"/>
  <c r="ST17" i="6"/>
  <c r="SV92" i="6"/>
  <c r="SU41" i="6"/>
  <c r="SW58" i="6"/>
  <c r="ST57" i="6"/>
  <c r="SV79" i="6"/>
  <c r="SU28" i="6"/>
  <c r="SV7" i="6"/>
  <c r="SW50" i="6"/>
  <c r="SV84" i="6"/>
  <c r="SU33" i="6"/>
  <c r="SW90" i="6"/>
  <c r="ST6" i="6"/>
  <c r="SR76" i="6"/>
  <c r="SR90" i="6"/>
  <c r="SR86" i="6"/>
  <c r="SR113" i="6"/>
  <c r="SR68" i="6"/>
  <c r="SR66" i="6"/>
  <c r="SR32" i="6"/>
  <c r="SR7" i="6"/>
  <c r="SR56" i="6"/>
  <c r="SR100" i="6"/>
  <c r="SR70" i="6"/>
  <c r="SR49" i="6"/>
  <c r="SR116" i="6"/>
  <c r="SR6" i="6"/>
  <c r="SR55" i="6"/>
  <c r="SR38" i="6"/>
  <c r="SW109" i="6"/>
  <c r="SS97" i="6"/>
  <c r="ST84" i="6"/>
  <c r="SU71" i="6"/>
  <c r="SV58" i="6"/>
  <c r="SW45" i="6"/>
  <c r="SS33" i="6"/>
  <c r="ST20" i="6"/>
  <c r="SU7" i="6"/>
  <c r="SU106" i="6"/>
  <c r="SV93" i="6"/>
  <c r="SW80" i="6"/>
  <c r="SS68" i="6"/>
  <c r="ST55" i="6"/>
  <c r="SU42" i="6"/>
  <c r="SV29" i="6"/>
  <c r="SW16" i="6"/>
  <c r="SW115" i="6"/>
  <c r="SS103" i="6"/>
  <c r="ST90" i="6"/>
  <c r="SU77" i="6"/>
  <c r="SV64" i="6"/>
  <c r="SW51" i="6"/>
  <c r="SS39" i="6"/>
  <c r="ST26" i="6"/>
  <c r="SU13" i="6"/>
  <c r="SU112" i="6"/>
  <c r="SV99" i="6"/>
  <c r="SW86" i="6"/>
  <c r="SS74" i="6"/>
  <c r="ST61" i="6"/>
  <c r="SU48" i="6"/>
  <c r="SV35" i="6"/>
  <c r="SW22" i="6"/>
  <c r="SS10" i="6"/>
  <c r="SS109" i="6"/>
  <c r="ST96" i="6"/>
  <c r="SU83" i="6"/>
  <c r="SV70" i="6"/>
  <c r="SW57" i="6"/>
  <c r="SS45" i="6"/>
  <c r="ST32" i="6"/>
  <c r="SU19" i="6"/>
  <c r="SV6" i="6"/>
  <c r="SV105" i="6"/>
  <c r="SW92" i="6"/>
  <c r="SS80" i="6"/>
  <c r="ST67" i="6"/>
  <c r="SU54" i="6"/>
  <c r="SV41" i="6"/>
  <c r="SW28" i="6"/>
  <c r="SS16" i="6"/>
  <c r="SS107" i="6"/>
  <c r="SW55" i="6"/>
  <c r="SS115" i="6"/>
  <c r="ST113" i="6"/>
  <c r="SS62" i="6"/>
  <c r="SW10" i="6"/>
  <c r="ST86" i="6"/>
  <c r="SS35" i="6"/>
  <c r="SS46" i="6"/>
  <c r="SV31" i="6"/>
  <c r="ST73" i="6"/>
  <c r="SS22" i="6"/>
  <c r="ST102" i="6"/>
  <c r="ST25" i="6"/>
  <c r="ST78" i="6"/>
  <c r="SS27" i="6"/>
  <c r="SV71" i="6"/>
  <c r="ST89" i="6"/>
  <c r="SR26" i="6"/>
  <c r="SR65" i="6"/>
  <c r="SR39" i="6"/>
  <c r="SR9" i="6"/>
  <c r="SR21" i="6"/>
  <c r="SR83" i="6"/>
  <c r="SR74" i="6"/>
  <c r="SR71" i="6"/>
  <c r="SR73" i="6"/>
  <c r="SR53" i="6"/>
  <c r="SR87" i="6"/>
  <c r="SR88" i="6"/>
  <c r="SR8" i="6"/>
  <c r="ST108" i="6"/>
  <c r="SU95" i="6"/>
  <c r="SV82" i="6"/>
  <c r="SW69" i="6"/>
  <c r="SS57" i="6"/>
  <c r="ST44" i="6"/>
  <c r="SU31" i="6"/>
  <c r="SV18" i="6"/>
  <c r="SV117" i="6"/>
  <c r="SW104" i="6"/>
  <c r="SS92" i="6"/>
  <c r="ST79" i="6"/>
  <c r="SU66" i="6"/>
  <c r="SV53" i="6"/>
  <c r="SW40" i="6"/>
  <c r="SS28" i="6"/>
  <c r="ST15" i="6"/>
  <c r="ST114" i="6"/>
  <c r="SU101" i="6"/>
  <c r="SV88" i="6"/>
  <c r="SW75" i="6"/>
  <c r="SS63" i="6"/>
  <c r="ST50" i="6"/>
  <c r="SU37" i="6"/>
  <c r="SV24" i="6"/>
  <c r="SW11" i="6"/>
  <c r="SW110" i="6"/>
  <c r="SS98" i="6"/>
  <c r="ST85" i="6"/>
  <c r="SU72" i="6"/>
  <c r="SV59" i="6"/>
  <c r="SW46" i="6"/>
  <c r="SS34" i="6"/>
  <c r="ST21" i="6"/>
  <c r="SU8" i="6"/>
  <c r="SU107" i="6"/>
  <c r="SV94" i="6"/>
  <c r="SW81" i="6"/>
  <c r="SS69" i="6"/>
  <c r="ST56" i="6"/>
  <c r="SU43" i="6"/>
  <c r="SV30" i="6"/>
  <c r="SW17" i="6"/>
  <c r="SW116" i="6"/>
  <c r="SS104" i="6"/>
  <c r="ST91" i="6"/>
  <c r="SU78" i="6"/>
  <c r="SV65" i="6"/>
  <c r="SW52" i="6"/>
  <c r="SS40" i="6"/>
  <c r="ST27" i="6"/>
  <c r="SU14" i="6"/>
  <c r="SV100" i="6"/>
  <c r="SU49" i="6"/>
  <c r="SS83" i="6"/>
  <c r="SW106" i="6"/>
  <c r="SV55" i="6"/>
  <c r="SW63" i="6"/>
  <c r="SW79" i="6"/>
  <c r="SV28" i="6"/>
  <c r="SU20" i="6"/>
  <c r="SU12" i="6"/>
  <c r="SW66" i="6"/>
  <c r="SV15" i="6"/>
  <c r="SU89" i="6"/>
  <c r="SS6" i="6"/>
  <c r="SW71" i="6"/>
  <c r="SV20" i="6"/>
  <c r="SU52" i="6"/>
  <c r="SV63" i="6"/>
  <c r="SR50" i="6"/>
  <c r="SR75" i="6"/>
  <c r="SR103" i="6"/>
  <c r="SR34" i="6"/>
  <c r="SR85" i="6"/>
  <c r="SR46" i="6"/>
  <c r="SR80" i="6"/>
  <c r="SR28" i="6"/>
  <c r="SR98" i="6"/>
  <c r="SR96" i="6"/>
  <c r="SR44" i="6"/>
  <c r="SR19" i="6"/>
  <c r="SR10" i="6"/>
  <c r="SR109" i="6"/>
  <c r="SV106" i="6"/>
  <c r="SW93" i="6"/>
  <c r="SS81" i="6"/>
  <c r="ST68" i="6"/>
  <c r="SU55" i="6"/>
  <c r="SV42" i="6"/>
  <c r="SW29" i="6"/>
  <c r="SS17" i="6"/>
  <c r="SS116" i="6"/>
  <c r="ST103" i="6"/>
  <c r="SU90" i="6"/>
  <c r="SV77" i="6"/>
  <c r="SW64" i="6"/>
  <c r="SS52" i="6"/>
  <c r="ST39" i="6"/>
  <c r="SU26" i="6"/>
  <c r="SV13" i="6"/>
  <c r="SV112" i="6"/>
  <c r="SW99" i="6"/>
  <c r="SS87" i="6"/>
  <c r="ST74" i="6"/>
  <c r="SU61" i="6"/>
  <c r="SV48" i="6"/>
  <c r="SW35" i="6"/>
  <c r="SS23" i="6"/>
  <c r="ST10" i="6"/>
  <c r="ST109" i="6"/>
  <c r="SU96" i="6"/>
  <c r="SV83" i="6"/>
  <c r="SW70" i="6"/>
  <c r="SS58" i="6"/>
  <c r="ST45" i="6"/>
  <c r="SU32" i="6"/>
  <c r="SV19" i="6"/>
  <c r="SW6" i="6"/>
  <c r="SW105" i="6"/>
  <c r="SS93" i="6"/>
  <c r="ST80" i="6"/>
  <c r="SU67" i="6"/>
  <c r="SV54" i="6"/>
  <c r="SW41" i="6"/>
  <c r="SS29" i="6"/>
  <c r="ST16" i="6"/>
  <c r="ST115" i="6"/>
  <c r="SU102" i="6"/>
  <c r="SV89" i="6"/>
  <c r="SW76" i="6"/>
  <c r="SS64" i="6"/>
  <c r="ST51" i="6"/>
  <c r="SU38" i="6"/>
  <c r="SV25" i="6"/>
  <c r="SW12" i="6"/>
  <c r="ST94" i="6"/>
  <c r="SS43" i="6"/>
  <c r="SV44" i="6"/>
  <c r="SU100" i="6"/>
  <c r="ST49" i="6"/>
  <c r="SS19" i="6"/>
  <c r="SU73" i="6"/>
  <c r="ST22" i="6"/>
  <c r="SV108" i="6"/>
  <c r="SV111" i="6"/>
  <c r="SU60" i="6"/>
  <c r="ST9" i="6"/>
  <c r="ST70" i="6"/>
  <c r="SV116" i="6"/>
  <c r="SU65" i="6"/>
  <c r="ST14" i="6"/>
  <c r="ST33" i="6"/>
  <c r="SS38" i="6"/>
  <c r="SR29" i="6"/>
  <c r="SR81" i="6"/>
  <c r="SR60" i="6"/>
  <c r="SR51" i="6"/>
  <c r="SR91" i="6"/>
  <c r="SR110" i="6"/>
  <c r="SR40" i="6"/>
  <c r="SR92" i="6"/>
  <c r="SR115" i="6"/>
  <c r="SR11" i="6"/>
  <c r="SR108" i="6"/>
  <c r="SR14" i="6"/>
  <c r="SR102" i="6"/>
  <c r="SW117" i="6"/>
  <c r="SS105" i="6"/>
  <c r="ST92" i="6"/>
  <c r="SU79" i="6"/>
  <c r="SV66" i="6"/>
  <c r="SW53" i="6"/>
  <c r="SS41" i="6"/>
  <c r="ST28" i="6"/>
  <c r="SU15" i="6"/>
  <c r="SU114" i="6"/>
  <c r="SV101" i="6"/>
  <c r="SW88" i="6"/>
  <c r="SS76" i="6"/>
  <c r="ST63" i="6"/>
  <c r="SU50" i="6"/>
  <c r="SV37" i="6"/>
  <c r="SW24" i="6"/>
  <c r="SS12" i="6"/>
  <c r="SS111" i="6"/>
  <c r="ST98" i="6"/>
  <c r="SU85" i="6"/>
  <c r="SV72" i="6"/>
  <c r="SW59" i="6"/>
  <c r="SS47" i="6"/>
  <c r="ST34" i="6"/>
  <c r="SU21" i="6"/>
  <c r="SV8" i="6"/>
  <c r="SV107" i="6"/>
  <c r="SW94" i="6"/>
  <c r="SS82" i="6"/>
  <c r="ST69" i="6"/>
  <c r="SU56" i="6"/>
  <c r="SV43" i="6"/>
  <c r="SW30" i="6"/>
  <c r="SS18" i="6"/>
  <c r="SS117" i="6"/>
  <c r="ST104" i="6"/>
  <c r="SU91" i="6"/>
  <c r="SV78" i="6"/>
  <c r="SW65" i="6"/>
  <c r="SS53" i="6"/>
  <c r="ST40" i="6"/>
  <c r="SU27" i="6"/>
  <c r="SV14" i="6"/>
  <c r="SV113" i="6"/>
  <c r="SW100" i="6"/>
  <c r="SS88" i="6"/>
  <c r="ST75" i="6"/>
  <c r="SU62" i="6"/>
  <c r="SV49" i="6"/>
  <c r="SW36" i="6"/>
  <c r="SS24" i="6"/>
  <c r="ST11" i="6"/>
  <c r="SW87" i="6"/>
  <c r="SV36" i="6"/>
  <c r="SV12" i="6"/>
  <c r="SS94" i="6"/>
  <c r="SW42" i="6"/>
  <c r="SU108" i="6"/>
  <c r="SS67" i="6"/>
  <c r="SW15" i="6"/>
  <c r="SU57" i="6"/>
  <c r="ST105" i="6"/>
  <c r="SS54" i="6"/>
  <c r="SU84" i="6"/>
  <c r="SS51" i="6"/>
  <c r="ST110" i="6"/>
  <c r="SS59" i="6"/>
  <c r="SW7" i="6"/>
  <c r="SS14" i="6"/>
  <c r="SR25" i="6"/>
  <c r="SR27" i="6"/>
  <c r="SR104" i="6"/>
  <c r="SR13" i="6"/>
  <c r="SR30" i="6"/>
  <c r="SR42" i="6"/>
  <c r="SR63" i="6"/>
  <c r="SR57" i="6"/>
  <c r="SR45" i="6"/>
  <c r="SR62" i="6"/>
  <c r="SR17" i="6"/>
  <c r="SR61" i="6"/>
  <c r="SR78" i="6"/>
  <c r="SR59" i="6"/>
  <c r="ST116" i="6"/>
  <c r="SU103" i="6"/>
  <c r="SV90" i="6"/>
  <c r="SW77" i="6"/>
  <c r="SS65" i="6"/>
  <c r="ST52" i="6"/>
  <c r="SU39" i="6"/>
  <c r="SV26" i="6"/>
  <c r="SW13" i="6"/>
  <c r="SW112" i="6"/>
  <c r="SS100" i="6"/>
  <c r="ST87" i="6"/>
  <c r="SU74" i="6"/>
  <c r="SV61" i="6"/>
  <c r="SW48" i="6"/>
  <c r="SS36" i="6"/>
  <c r="ST23" i="6"/>
  <c r="SU10" i="6"/>
  <c r="SU109" i="6"/>
  <c r="SV96" i="6"/>
  <c r="SW83" i="6"/>
  <c r="SS71" i="6"/>
  <c r="ST58" i="6"/>
  <c r="SU45" i="6"/>
  <c r="SV32" i="6"/>
  <c r="SW19" i="6"/>
  <c r="SS7" i="6"/>
  <c r="SS106" i="6"/>
  <c r="ST93" i="6"/>
  <c r="SU80" i="6"/>
  <c r="SV67" i="6"/>
  <c r="SW54" i="6"/>
  <c r="SS42" i="6"/>
  <c r="ST29" i="6"/>
  <c r="SU16" i="6"/>
  <c r="SU115" i="6"/>
  <c r="SV102" i="6"/>
  <c r="SW89" i="6"/>
  <c r="SS77" i="6"/>
  <c r="ST64" i="6"/>
  <c r="SU51" i="6"/>
  <c r="SV38" i="6"/>
  <c r="SW25" i="6"/>
  <c r="SS13" i="6"/>
  <c r="SS112" i="6"/>
  <c r="ST99" i="6"/>
  <c r="SU86" i="6"/>
  <c r="SV73" i="6"/>
  <c r="SW60" i="6"/>
  <c r="SS48" i="6"/>
  <c r="ST35" i="6"/>
  <c r="SU22" i="6"/>
  <c r="SV9" i="6"/>
  <c r="SU81" i="6"/>
  <c r="ST30" i="6"/>
  <c r="SV95" i="6"/>
  <c r="SV87" i="6"/>
  <c r="SU36" i="6"/>
  <c r="SW111" i="6"/>
  <c r="SV60" i="6"/>
  <c r="SU9" i="6"/>
  <c r="SW31" i="6"/>
  <c r="SW98" i="6"/>
  <c r="SV47" i="6"/>
  <c r="ST65" i="6"/>
  <c r="SU25" i="6"/>
  <c r="SW103" i="6"/>
  <c r="SV52" i="6"/>
  <c r="SU116" i="6"/>
  <c r="SW95" i="6"/>
  <c r="SR12" i="6"/>
  <c r="SR67" i="6"/>
  <c r="SR18" i="6"/>
  <c r="SR77" i="6"/>
  <c r="SR94" i="6"/>
  <c r="SR48" i="6"/>
  <c r="SR20" i="6"/>
  <c r="SR82" i="6"/>
  <c r="SR64" i="6"/>
  <c r="SR15" i="6"/>
  <c r="SR72" i="6"/>
  <c r="SR58" i="6"/>
  <c r="SR31" i="6"/>
  <c r="VX29" i="6"/>
  <c r="VX40" i="6"/>
  <c r="VX63" i="6"/>
  <c r="VX74" i="6"/>
  <c r="VX97" i="6"/>
  <c r="VX108" i="6"/>
  <c r="VX14" i="6"/>
  <c r="VX37" i="6"/>
  <c r="VX48" i="6"/>
  <c r="VX71" i="6"/>
  <c r="VX82" i="6"/>
  <c r="DY76" i="6"/>
  <c r="DY67" i="6"/>
  <c r="DY46" i="6"/>
  <c r="DY36" i="6"/>
  <c r="DY6" i="6"/>
  <c r="DY37" i="6"/>
  <c r="DY56" i="6"/>
  <c r="DY79" i="6"/>
  <c r="DY70" i="6"/>
  <c r="DY49" i="6"/>
  <c r="DY39" i="6"/>
  <c r="DY9" i="6"/>
  <c r="DY95" i="6"/>
  <c r="DY59" i="6"/>
  <c r="DY64" i="6"/>
  <c r="DY43" i="6"/>
  <c r="XN40" i="6"/>
  <c r="XN79" i="6"/>
  <c r="XN19" i="6"/>
  <c r="XN53" i="6"/>
  <c r="XN116" i="6"/>
  <c r="XN74" i="6"/>
  <c r="XN56" i="6"/>
  <c r="XN14" i="6"/>
  <c r="XN95" i="6"/>
  <c r="XY65" i="6"/>
  <c r="XY116" i="6"/>
  <c r="XY56" i="6"/>
  <c r="XY75" i="6"/>
  <c r="XY53" i="6"/>
  <c r="XY15" i="6"/>
  <c r="XY114" i="6"/>
  <c r="XY72" i="6"/>
  <c r="XY117" i="6"/>
  <c r="XC106" i="6"/>
  <c r="XC71" i="6"/>
  <c r="XC46" i="6"/>
  <c r="XC11" i="6"/>
  <c r="XC45" i="6"/>
  <c r="XC92" i="6"/>
  <c r="XC87" i="6"/>
  <c r="XC62" i="6"/>
  <c r="XC27" i="6"/>
  <c r="YU12" i="6"/>
  <c r="YU87" i="6"/>
  <c r="YU72" i="6"/>
  <c r="YU89" i="6"/>
  <c r="BN61" i="6"/>
  <c r="BN63" i="6"/>
  <c r="BN101" i="6"/>
  <c r="BN81" i="6"/>
  <c r="BN91" i="6"/>
  <c r="BN28" i="6"/>
  <c r="BN75" i="6"/>
  <c r="BN16" i="6"/>
  <c r="BN7" i="6"/>
  <c r="BN87" i="6"/>
  <c r="BN19" i="6"/>
  <c r="BN25" i="6"/>
  <c r="EP108" i="6"/>
  <c r="EP58" i="6"/>
  <c r="EP44" i="6"/>
  <c r="EP88" i="6"/>
  <c r="ACS32" i="6"/>
  <c r="ACS110" i="6"/>
  <c r="ACS58" i="6"/>
  <c r="ACS75" i="6"/>
  <c r="OB70" i="6"/>
  <c r="OB34" i="6"/>
  <c r="OB78" i="6"/>
  <c r="OB74" i="6"/>
  <c r="OB11" i="6"/>
  <c r="OB12" i="6"/>
  <c r="OB105" i="6"/>
  <c r="OB107" i="6"/>
  <c r="OB79" i="6"/>
  <c r="OB19" i="6"/>
  <c r="OB84" i="6"/>
  <c r="OB59" i="6"/>
  <c r="OB31" i="6"/>
  <c r="OB42" i="6"/>
  <c r="YJ61" i="6"/>
  <c r="YJ103" i="6"/>
  <c r="YJ76" i="6"/>
  <c r="YJ36" i="6"/>
  <c r="YJ10" i="6"/>
  <c r="YJ115" i="6"/>
  <c r="YJ114" i="6"/>
  <c r="YJ77" i="6"/>
  <c r="FX96" i="6"/>
  <c r="FX51" i="6"/>
  <c r="FX55" i="6"/>
  <c r="FX30" i="6"/>
  <c r="FX71" i="6"/>
  <c r="FX12" i="6"/>
  <c r="FX105" i="6"/>
  <c r="FX67" i="6"/>
  <c r="FX107" i="6"/>
  <c r="FX58" i="6"/>
  <c r="FX8" i="6"/>
  <c r="FX92" i="6"/>
  <c r="HW103" i="6"/>
  <c r="HW72" i="6"/>
  <c r="HW112" i="6"/>
  <c r="HW16" i="6"/>
  <c r="HW28" i="6"/>
  <c r="IL92" i="6"/>
  <c r="IL103" i="6"/>
  <c r="IN112" i="6"/>
  <c r="IL10" i="6"/>
  <c r="IN19" i="6"/>
  <c r="IK29" i="6"/>
  <c r="IM38" i="6"/>
  <c r="IJ48" i="6"/>
  <c r="IK6" i="6"/>
  <c r="IJ78" i="6"/>
  <c r="IJ89" i="6"/>
  <c r="IL98" i="6"/>
  <c r="IN107" i="6"/>
  <c r="IK117" i="6"/>
  <c r="IN14" i="6"/>
  <c r="IK24" i="6"/>
  <c r="IM33" i="6"/>
  <c r="IL17" i="6"/>
  <c r="IN50" i="6"/>
  <c r="IN74" i="6"/>
  <c r="IN85" i="6"/>
  <c r="IK95" i="6"/>
  <c r="IM104" i="6"/>
  <c r="IJ114" i="6"/>
  <c r="IM11" i="6"/>
  <c r="IK33" i="6"/>
  <c r="IK44" i="6"/>
  <c r="IM53" i="6"/>
  <c r="IJ63" i="6"/>
  <c r="IL72" i="6"/>
  <c r="IN81" i="6"/>
  <c r="IK91" i="6"/>
  <c r="IJ99" i="6"/>
  <c r="IN82" i="6"/>
  <c r="IN80" i="6"/>
  <c r="IM99" i="6"/>
  <c r="IL27" i="6"/>
  <c r="IK110" i="6"/>
  <c r="II35" i="6"/>
  <c r="II102" i="6"/>
  <c r="IM42" i="6"/>
  <c r="IL61" i="6"/>
  <c r="IJ85" i="6"/>
  <c r="IJ32" i="6"/>
  <c r="II108" i="6"/>
  <c r="II78" i="6"/>
  <c r="IK92" i="6"/>
  <c r="IJ111" i="6"/>
  <c r="IJ18" i="6"/>
  <c r="IL70" i="6"/>
  <c r="IL65" i="6"/>
  <c r="II113" i="6"/>
  <c r="IJ70" i="6"/>
  <c r="IK71" i="6"/>
  <c r="IJ90" i="6"/>
  <c r="IL19" i="6"/>
  <c r="IK46" i="6"/>
  <c r="II75" i="6"/>
  <c r="II23" i="6"/>
  <c r="IJ33" i="6"/>
  <c r="IN51" i="6"/>
  <c r="IM78" i="6"/>
  <c r="IM25" i="6"/>
  <c r="II37" i="6"/>
  <c r="II47" i="6"/>
  <c r="IM106" i="6"/>
  <c r="IM13" i="6"/>
  <c r="IL32" i="6"/>
  <c r="IK83" i="6"/>
  <c r="IK54" i="6"/>
  <c r="II42" i="6"/>
  <c r="IJ94" i="6"/>
  <c r="IN88" i="6"/>
  <c r="IM107" i="6"/>
  <c r="IK32" i="6"/>
  <c r="IK22" i="6"/>
  <c r="II115" i="6"/>
  <c r="II38" i="6"/>
  <c r="IJ49" i="6"/>
  <c r="IN67" i="6"/>
  <c r="IL91" i="6"/>
  <c r="IL38" i="6"/>
  <c r="II77" i="6"/>
  <c r="II16" i="6"/>
  <c r="IJ42" i="6"/>
  <c r="IN8" i="6"/>
  <c r="IM87" i="6"/>
  <c r="IJ57" i="6"/>
  <c r="IK102" i="6"/>
  <c r="II25" i="6"/>
  <c r="IJ6" i="6"/>
  <c r="IM115" i="6"/>
  <c r="IN97" i="6"/>
  <c r="IJ58" i="6"/>
  <c r="IJ53" i="6"/>
  <c r="IM57" i="6"/>
  <c r="IM79" i="6"/>
  <c r="IM90" i="6"/>
  <c r="IJ100" i="6"/>
  <c r="IL109" i="6"/>
  <c r="IJ7" i="6"/>
  <c r="IL16" i="6"/>
  <c r="IN25" i="6"/>
  <c r="IK35" i="6"/>
  <c r="IK30" i="6"/>
  <c r="IK65" i="6"/>
  <c r="IK76" i="6"/>
  <c r="IM85" i="6"/>
  <c r="IJ95" i="6"/>
  <c r="IL104" i="6"/>
  <c r="IN113" i="6"/>
  <c r="IL11" i="6"/>
  <c r="IN20" i="6"/>
  <c r="IM28" i="6"/>
  <c r="IJ38" i="6"/>
  <c r="IJ62" i="6"/>
  <c r="IJ73" i="6"/>
  <c r="IL82" i="6"/>
  <c r="IN91" i="6"/>
  <c r="IK101" i="6"/>
  <c r="IM110" i="6"/>
  <c r="IL20" i="6"/>
  <c r="IL31" i="6"/>
  <c r="IN40" i="6"/>
  <c r="IK50" i="6"/>
  <c r="IM59" i="6"/>
  <c r="IJ69" i="6"/>
  <c r="IL78" i="6"/>
  <c r="IL25" i="6"/>
  <c r="IM47" i="6"/>
  <c r="IK55" i="6"/>
  <c r="IJ74" i="6"/>
  <c r="IM6" i="6"/>
  <c r="IK70" i="6"/>
  <c r="II82" i="6"/>
  <c r="II39" i="6"/>
  <c r="IJ17" i="6"/>
  <c r="IN35" i="6"/>
  <c r="IN65" i="6"/>
  <c r="IN12" i="6"/>
  <c r="II44" i="6"/>
  <c r="II56" i="6"/>
  <c r="IM66" i="6"/>
  <c r="IL85" i="6"/>
  <c r="IK104" i="6"/>
  <c r="IK51" i="6"/>
  <c r="II117" i="6"/>
  <c r="II96" i="6"/>
  <c r="IN34" i="6"/>
  <c r="IM45" i="6"/>
  <c r="IL64" i="6"/>
  <c r="IN108" i="6"/>
  <c r="IJ19" i="6"/>
  <c r="II11" i="6"/>
  <c r="II89" i="6"/>
  <c r="IL7" i="6"/>
  <c r="IK26" i="6"/>
  <c r="IN57" i="6"/>
  <c r="IL113" i="6"/>
  <c r="II84" i="6"/>
  <c r="II30" i="6"/>
  <c r="IJ81" i="6"/>
  <c r="IN99" i="6"/>
  <c r="IN6" i="6"/>
  <c r="IJ64" i="6"/>
  <c r="IJ115" i="6"/>
  <c r="II65" i="6"/>
  <c r="IK57" i="6"/>
  <c r="IK63" i="6"/>
  <c r="IJ82" i="6"/>
  <c r="IN9" i="6"/>
  <c r="IM12" i="6"/>
  <c r="II51" i="6"/>
  <c r="II57" i="6"/>
  <c r="IL23" i="6"/>
  <c r="IK42" i="6"/>
  <c r="IM70" i="6"/>
  <c r="IM17" i="6"/>
  <c r="II13" i="6"/>
  <c r="II110" i="6"/>
  <c r="IK23" i="6"/>
  <c r="IN101" i="6"/>
  <c r="IK38" i="6"/>
  <c r="IL24" i="6"/>
  <c r="IJ104" i="6"/>
  <c r="II99" i="6"/>
  <c r="II95" i="6"/>
  <c r="IN106" i="6"/>
  <c r="II24" i="6"/>
  <c r="IJ30" i="6"/>
  <c r="II7" i="6"/>
  <c r="II104" i="6"/>
  <c r="IN66" i="6"/>
  <c r="IN77" i="6"/>
  <c r="IK87" i="6"/>
  <c r="IM96" i="6"/>
  <c r="IJ106" i="6"/>
  <c r="IL115" i="6"/>
  <c r="IJ13" i="6"/>
  <c r="IL22" i="6"/>
  <c r="IL41" i="6"/>
  <c r="IL52" i="6"/>
  <c r="IL63" i="6"/>
  <c r="IN72" i="6"/>
  <c r="IK82" i="6"/>
  <c r="IM91" i="6"/>
  <c r="IJ101" i="6"/>
  <c r="IL110" i="6"/>
  <c r="IJ8" i="6"/>
  <c r="IN39" i="6"/>
  <c r="IK25" i="6"/>
  <c r="IK49" i="6"/>
  <c r="IK60" i="6"/>
  <c r="IM69" i="6"/>
  <c r="IJ79" i="6"/>
  <c r="IL88" i="6"/>
  <c r="IJ110" i="6"/>
  <c r="IM7" i="6"/>
  <c r="IM18" i="6"/>
  <c r="IJ28" i="6"/>
  <c r="IL37" i="6"/>
  <c r="IN46" i="6"/>
  <c r="IK56" i="6"/>
  <c r="IM65" i="6"/>
  <c r="IM20" i="6"/>
  <c r="IK17" i="6"/>
  <c r="IM29" i="6"/>
  <c r="IL48" i="6"/>
  <c r="IJ96" i="6"/>
  <c r="IJ43" i="6"/>
  <c r="II18" i="6"/>
  <c r="IM111" i="6"/>
  <c r="IK103" i="6"/>
  <c r="IK10" i="6"/>
  <c r="IJ45" i="6"/>
  <c r="IJ11" i="6"/>
  <c r="II91" i="6"/>
  <c r="II105" i="6"/>
  <c r="IJ41" i="6"/>
  <c r="IN59" i="6"/>
  <c r="IL83" i="6"/>
  <c r="IL30" i="6"/>
  <c r="II53" i="6"/>
  <c r="II79" i="6"/>
  <c r="IN117" i="6"/>
  <c r="IJ20" i="6"/>
  <c r="IN38" i="6"/>
  <c r="IM89" i="6"/>
  <c r="IM92" i="6"/>
  <c r="II58" i="6"/>
  <c r="IN98" i="6"/>
  <c r="IM93" i="6"/>
  <c r="IL112" i="6"/>
  <c r="IL35" i="6"/>
  <c r="IL73" i="6"/>
  <c r="II20" i="6"/>
  <c r="II8" i="6"/>
  <c r="IL55" i="6"/>
  <c r="IK74" i="6"/>
  <c r="IK96" i="6"/>
  <c r="IK43" i="6"/>
  <c r="II93" i="6"/>
  <c r="II48" i="6"/>
  <c r="IJ22" i="6"/>
  <c r="IM37" i="6"/>
  <c r="IL56" i="6"/>
  <c r="IL102" i="6"/>
  <c r="IL81" i="6"/>
  <c r="II98" i="6"/>
  <c r="II41" i="6"/>
  <c r="IM109" i="6"/>
  <c r="IM16" i="6"/>
  <c r="IK48" i="6"/>
  <c r="IK62" i="6"/>
  <c r="II60" i="6"/>
  <c r="II88" i="6"/>
  <c r="IN13" i="6"/>
  <c r="IM108" i="6"/>
  <c r="IM27" i="6"/>
  <c r="IJ108" i="6"/>
  <c r="IL66" i="6"/>
  <c r="IL106" i="6"/>
  <c r="IJ87" i="6"/>
  <c r="IN24" i="6"/>
  <c r="IN96" i="6"/>
  <c r="IL77" i="6"/>
  <c r="IK39" i="6"/>
  <c r="IL21" i="6"/>
  <c r="IK112" i="6"/>
  <c r="IJ54" i="6"/>
  <c r="IJ65" i="6"/>
  <c r="IL74" i="6"/>
  <c r="IN83" i="6"/>
  <c r="IK93" i="6"/>
  <c r="IM102" i="6"/>
  <c r="IJ112" i="6"/>
  <c r="IM9" i="6"/>
  <c r="IM52" i="6"/>
  <c r="IM39" i="6"/>
  <c r="IM50" i="6"/>
  <c r="IJ60" i="6"/>
  <c r="IL69" i="6"/>
  <c r="IN78" i="6"/>
  <c r="IK88" i="6"/>
  <c r="IM97" i="6"/>
  <c r="IM36" i="6"/>
  <c r="IN114" i="6"/>
  <c r="IL12" i="6"/>
  <c r="IL36" i="6"/>
  <c r="IL47" i="6"/>
  <c r="IN56" i="6"/>
  <c r="IK66" i="6"/>
  <c r="IM75" i="6"/>
  <c r="IK97" i="6"/>
  <c r="IK108" i="6"/>
  <c r="IM117" i="6"/>
  <c r="IK15" i="6"/>
  <c r="IM24" i="6"/>
  <c r="IJ34" i="6"/>
  <c r="IL43" i="6"/>
  <c r="IN52" i="6"/>
  <c r="IM44" i="6"/>
  <c r="IJ97" i="6"/>
  <c r="IN115" i="6"/>
  <c r="IN22" i="6"/>
  <c r="IN76" i="6"/>
  <c r="IN103" i="6"/>
  <c r="II17" i="6"/>
  <c r="IK81" i="6"/>
  <c r="IM77" i="6"/>
  <c r="IL96" i="6"/>
  <c r="IM22" i="6"/>
  <c r="IL97" i="6"/>
  <c r="II27" i="6"/>
  <c r="II55" i="6"/>
  <c r="IL15" i="6"/>
  <c r="IK34" i="6"/>
  <c r="IJ61" i="6"/>
  <c r="IK11" i="6"/>
  <c r="II100" i="6"/>
  <c r="II62" i="6"/>
  <c r="IL87" i="6"/>
  <c r="IK106" i="6"/>
  <c r="IK13" i="6"/>
  <c r="IN68" i="6"/>
  <c r="IJ27" i="6"/>
  <c r="II97" i="6"/>
  <c r="IL68" i="6"/>
  <c r="IJ68" i="6"/>
  <c r="IN86" i="6"/>
  <c r="IK16" i="6"/>
  <c r="IL33" i="6"/>
  <c r="II67" i="6"/>
  <c r="II87" i="6"/>
  <c r="IN29" i="6"/>
  <c r="IM48" i="6"/>
  <c r="IN73" i="6"/>
  <c r="IJ24" i="6"/>
  <c r="II29" i="6"/>
  <c r="II31" i="6"/>
  <c r="IJ105" i="6"/>
  <c r="IJ12" i="6"/>
  <c r="IN30" i="6"/>
  <c r="IM81" i="6"/>
  <c r="IN15" i="6"/>
  <c r="II34" i="6"/>
  <c r="IJ86" i="6"/>
  <c r="IJ84" i="6"/>
  <c r="IN102" i="6"/>
  <c r="IJ29" i="6"/>
  <c r="IL9" i="6"/>
  <c r="II107" i="6"/>
  <c r="II71" i="6"/>
  <c r="IK105" i="6"/>
  <c r="IL51" i="6"/>
  <c r="IK18" i="6"/>
  <c r="IM98" i="6"/>
  <c r="IJ46" i="6"/>
  <c r="IN87" i="6"/>
  <c r="IN23" i="6"/>
  <c r="II61" i="6"/>
  <c r="II66" i="6"/>
  <c r="II28" i="6"/>
  <c r="II64" i="6"/>
  <c r="IL114" i="6"/>
  <c r="IM74" i="6"/>
  <c r="IK41" i="6"/>
  <c r="IK52" i="6"/>
  <c r="IM61" i="6"/>
  <c r="IJ71" i="6"/>
  <c r="IL80" i="6"/>
  <c r="IN89" i="6"/>
  <c r="IK99" i="6"/>
  <c r="IL49" i="6"/>
  <c r="IN63" i="6"/>
  <c r="IN26" i="6"/>
  <c r="IN37" i="6"/>
  <c r="IK47" i="6"/>
  <c r="IM56" i="6"/>
  <c r="IJ66" i="6"/>
  <c r="IL75" i="6"/>
  <c r="IN84" i="6"/>
  <c r="IN47" i="6"/>
  <c r="IJ102" i="6"/>
  <c r="IJ113" i="6"/>
  <c r="IM23" i="6"/>
  <c r="IM34" i="6"/>
  <c r="IJ44" i="6"/>
  <c r="IL53" i="6"/>
  <c r="IN62" i="6"/>
  <c r="IL84" i="6"/>
  <c r="IL95" i="6"/>
  <c r="IN104" i="6"/>
  <c r="IK114" i="6"/>
  <c r="IN11" i="6"/>
  <c r="IK21" i="6"/>
  <c r="IM30" i="6"/>
  <c r="IJ40" i="6"/>
  <c r="IM68" i="6"/>
  <c r="IL71" i="6"/>
  <c r="IK90" i="6"/>
  <c r="IJ109" i="6"/>
  <c r="IJ56" i="6"/>
  <c r="II69" i="6"/>
  <c r="II111" i="6"/>
  <c r="IL44" i="6"/>
  <c r="IJ52" i="6"/>
  <c r="IN70" i="6"/>
  <c r="IK115" i="6"/>
  <c r="IL57" i="6"/>
  <c r="II74" i="6"/>
  <c r="IL108" i="6"/>
  <c r="IM101" i="6"/>
  <c r="IM8" i="6"/>
  <c r="IN41" i="6"/>
  <c r="IN111" i="6"/>
  <c r="II36" i="6"/>
  <c r="II40" i="6"/>
  <c r="IN61" i="6"/>
  <c r="IM80" i="6"/>
  <c r="IL99" i="6"/>
  <c r="IM49" i="6"/>
  <c r="II109" i="6"/>
  <c r="II80" i="6"/>
  <c r="IM31" i="6"/>
  <c r="IL42" i="6"/>
  <c r="IK61" i="6"/>
  <c r="IK107" i="6"/>
  <c r="IJ107" i="6"/>
  <c r="II114" i="6"/>
  <c r="II54" i="6"/>
  <c r="IJ116" i="6"/>
  <c r="IJ23" i="6"/>
  <c r="IM54" i="6"/>
  <c r="IM100" i="6"/>
  <c r="II76" i="6"/>
  <c r="II14" i="6"/>
  <c r="IL79" i="6"/>
  <c r="IK98" i="6"/>
  <c r="IJ117" i="6"/>
  <c r="IL62" i="6"/>
  <c r="IL89" i="6"/>
  <c r="II49" i="6"/>
  <c r="IM55" i="6"/>
  <c r="IL58" i="6"/>
  <c r="IK77" i="6"/>
  <c r="IK8" i="6"/>
  <c r="IJ83" i="6"/>
  <c r="II43" i="6"/>
  <c r="II22" i="6"/>
  <c r="IK116" i="6"/>
  <c r="IN90" i="6"/>
  <c r="IJ37" i="6"/>
  <c r="IL117" i="6"/>
  <c r="IN75" i="6"/>
  <c r="IL13" i="6"/>
  <c r="IN105" i="6"/>
  <c r="IM43" i="6"/>
  <c r="IK40" i="6"/>
  <c r="IN44" i="6"/>
  <c r="IM105" i="6"/>
  <c r="IJ75" i="6"/>
  <c r="IM76" i="6"/>
  <c r="IL28" i="6"/>
  <c r="IL39" i="6"/>
  <c r="IN48" i="6"/>
  <c r="IK58" i="6"/>
  <c r="IM67" i="6"/>
  <c r="IJ77" i="6"/>
  <c r="IL86" i="6"/>
  <c r="IM60" i="6"/>
  <c r="IL116" i="6"/>
  <c r="IJ14" i="6"/>
  <c r="IJ25" i="6"/>
  <c r="IL34" i="6"/>
  <c r="IN43" i="6"/>
  <c r="IK53" i="6"/>
  <c r="IM62" i="6"/>
  <c r="IJ72" i="6"/>
  <c r="IN71" i="6"/>
  <c r="IK89" i="6"/>
  <c r="IK113" i="6"/>
  <c r="IN10" i="6"/>
  <c r="IN21" i="6"/>
  <c r="IK31" i="6"/>
  <c r="IM40" i="6"/>
  <c r="IJ50" i="6"/>
  <c r="IM71" i="6"/>
  <c r="IM82" i="6"/>
  <c r="IJ92" i="6"/>
  <c r="IL101" i="6"/>
  <c r="IN110" i="6"/>
  <c r="IL8" i="6"/>
  <c r="IN17" i="6"/>
  <c r="IK27" i="6"/>
  <c r="IN79" i="6"/>
  <c r="IN45" i="6"/>
  <c r="IM64" i="6"/>
  <c r="IM86" i="6"/>
  <c r="IN36" i="6"/>
  <c r="II116" i="6"/>
  <c r="II94" i="6"/>
  <c r="IK9" i="6"/>
  <c r="IL26" i="6"/>
  <c r="IK45" i="6"/>
  <c r="IL94" i="6"/>
  <c r="IJ51" i="6"/>
  <c r="II10" i="6"/>
  <c r="IK73" i="6"/>
  <c r="IJ76" i="6"/>
  <c r="IN94" i="6"/>
  <c r="IJ21" i="6"/>
  <c r="IJ59" i="6"/>
  <c r="II83" i="6"/>
  <c r="II70" i="6"/>
  <c r="IK36" i="6"/>
  <c r="IJ55" i="6"/>
  <c r="IK80" i="6"/>
  <c r="IN28" i="6"/>
  <c r="II45" i="6"/>
  <c r="II63" i="6"/>
  <c r="IN109" i="6"/>
  <c r="IN16" i="6"/>
  <c r="IM35" i="6"/>
  <c r="IJ88" i="6"/>
  <c r="IJ67" i="6"/>
  <c r="II50" i="6"/>
  <c r="IM95" i="6"/>
  <c r="IL90" i="6"/>
  <c r="IK109" i="6"/>
  <c r="IN33" i="6"/>
  <c r="IJ35" i="6"/>
  <c r="II12" i="6"/>
  <c r="II73" i="6"/>
  <c r="IN53" i="6"/>
  <c r="IM72" i="6"/>
  <c r="IJ93" i="6"/>
  <c r="IM41" i="6"/>
  <c r="II85" i="6"/>
  <c r="II32" i="6"/>
  <c r="IN18" i="6"/>
  <c r="IN32" i="6"/>
  <c r="IM51" i="6"/>
  <c r="IN100" i="6"/>
  <c r="IN55" i="6"/>
  <c r="II90" i="6"/>
  <c r="II86" i="6"/>
  <c r="IN60" i="6"/>
  <c r="IM63" i="6"/>
  <c r="IM94" i="6"/>
  <c r="IK68" i="6"/>
  <c r="IL105" i="6"/>
  <c r="IM58" i="6"/>
  <c r="IK94" i="6"/>
  <c r="IL93" i="6"/>
  <c r="II6" i="6"/>
  <c r="IM15" i="6"/>
  <c r="IM26" i="6"/>
  <c r="IJ36" i="6"/>
  <c r="IL45" i="6"/>
  <c r="IN54" i="6"/>
  <c r="IK64" i="6"/>
  <c r="IM73" i="6"/>
  <c r="IM84" i="6"/>
  <c r="IM103" i="6"/>
  <c r="IM114" i="6"/>
  <c r="IK12" i="6"/>
  <c r="IM21" i="6"/>
  <c r="IJ31" i="6"/>
  <c r="IL40" i="6"/>
  <c r="IN49" i="6"/>
  <c r="IK59" i="6"/>
  <c r="IN95" i="6"/>
  <c r="IL76" i="6"/>
  <c r="IL100" i="6"/>
  <c r="IL111" i="6"/>
  <c r="IJ9" i="6"/>
  <c r="IL18" i="6"/>
  <c r="IN27" i="6"/>
  <c r="IK37" i="6"/>
  <c r="IN58" i="6"/>
  <c r="IN69" i="6"/>
  <c r="IK79" i="6"/>
  <c r="IM88" i="6"/>
  <c r="IJ98" i="6"/>
  <c r="IL107" i="6"/>
  <c r="IN116" i="6"/>
  <c r="IL14" i="6"/>
  <c r="IJ91" i="6"/>
  <c r="IK20" i="6"/>
  <c r="IJ39" i="6"/>
  <c r="IL67" i="6"/>
  <c r="IJ16" i="6"/>
  <c r="II52" i="6"/>
  <c r="II72" i="6"/>
  <c r="IN93" i="6"/>
  <c r="IM112" i="6"/>
  <c r="IM19" i="6"/>
  <c r="IK75" i="6"/>
  <c r="IK78" i="6"/>
  <c r="II112" i="6"/>
  <c r="IN42" i="6"/>
  <c r="IL50" i="6"/>
  <c r="IK69" i="6"/>
  <c r="IM113" i="6"/>
  <c r="IN31" i="6"/>
  <c r="II19" i="6"/>
  <c r="II9" i="6"/>
  <c r="IM10" i="6"/>
  <c r="IL29" i="6"/>
  <c r="IL59" i="6"/>
  <c r="IL6" i="6"/>
  <c r="II92" i="6"/>
  <c r="II46" i="6"/>
  <c r="IK84" i="6"/>
  <c r="IJ103" i="6"/>
  <c r="IJ10" i="6"/>
  <c r="IK67" i="6"/>
  <c r="IK14" i="6"/>
  <c r="II81" i="6"/>
  <c r="IL60" i="6"/>
  <c r="IN64" i="6"/>
  <c r="IM83" i="6"/>
  <c r="IM14" i="6"/>
  <c r="IN7" i="6"/>
  <c r="II59" i="6"/>
  <c r="II103" i="6"/>
  <c r="IK28" i="6"/>
  <c r="IJ47" i="6"/>
  <c r="IK72" i="6"/>
  <c r="IK19" i="6"/>
  <c r="II21" i="6"/>
  <c r="II15" i="6"/>
  <c r="IK100" i="6"/>
  <c r="IK7" i="6"/>
  <c r="IJ26" i="6"/>
  <c r="IJ80" i="6"/>
  <c r="IM116" i="6"/>
  <c r="II26" i="6"/>
  <c r="IM32" i="6"/>
  <c r="IK111" i="6"/>
  <c r="IL46" i="6"/>
  <c r="IJ15" i="6"/>
  <c r="IK85" i="6"/>
  <c r="IM46" i="6"/>
  <c r="IL54" i="6"/>
  <c r="IN92" i="6"/>
  <c r="IK86" i="6"/>
  <c r="II101" i="6"/>
  <c r="II106" i="6"/>
  <c r="II68" i="6"/>
  <c r="II33" i="6"/>
  <c r="QP73" i="6"/>
  <c r="QP7" i="6"/>
  <c r="QP35" i="6"/>
  <c r="QP46" i="6"/>
  <c r="QP77" i="6"/>
  <c r="QP34" i="6"/>
  <c r="QP95" i="6"/>
  <c r="QP48" i="6"/>
  <c r="QP76" i="6"/>
  <c r="QQ113" i="6"/>
  <c r="QR100" i="6"/>
  <c r="QS87" i="6"/>
  <c r="QT74" i="6"/>
  <c r="QU61" i="6"/>
  <c r="QQ49" i="6"/>
  <c r="QR36" i="6"/>
  <c r="QS23" i="6"/>
  <c r="QT10" i="6"/>
  <c r="QT109" i="6"/>
  <c r="QU96" i="6"/>
  <c r="QQ84" i="6"/>
  <c r="QR71" i="6"/>
  <c r="QS58" i="6"/>
  <c r="QT45" i="6"/>
  <c r="QU32" i="6"/>
  <c r="QQ20" i="6"/>
  <c r="QR7" i="6"/>
  <c r="QR106" i="6"/>
  <c r="QS93" i="6"/>
  <c r="QT80" i="6"/>
  <c r="QU67" i="6"/>
  <c r="QQ55" i="6"/>
  <c r="QR42" i="6"/>
  <c r="QS29" i="6"/>
  <c r="QQ115" i="6"/>
  <c r="QR102" i="6"/>
  <c r="QS89" i="6"/>
  <c r="QT76" i="6"/>
  <c r="QU63" i="6"/>
  <c r="QQ51" i="6"/>
  <c r="QR38" i="6"/>
  <c r="QS25" i="6"/>
  <c r="QT12" i="6"/>
  <c r="QT107" i="6"/>
  <c r="QQ82" i="6"/>
  <c r="QS56" i="6"/>
  <c r="QU30" i="6"/>
  <c r="QR8" i="6"/>
  <c r="QS107" i="6"/>
  <c r="QU81" i="6"/>
  <c r="QR56" i="6"/>
  <c r="QT30" i="6"/>
  <c r="QQ8" i="6"/>
  <c r="QU116" i="6"/>
  <c r="QR91" i="6"/>
  <c r="QT65" i="6"/>
  <c r="QQ40" i="6"/>
  <c r="QQ15" i="6"/>
  <c r="QS116" i="6"/>
  <c r="QU90" i="6"/>
  <c r="QR65" i="6"/>
  <c r="QS36" i="6"/>
  <c r="QR109" i="6"/>
  <c r="QT83" i="6"/>
  <c r="QQ58" i="6"/>
  <c r="QS32" i="6"/>
  <c r="QT9" i="6"/>
  <c r="QR96" i="6"/>
  <c r="QT70" i="6"/>
  <c r="QQ45" i="6"/>
  <c r="QT16" i="6"/>
  <c r="QR51" i="6"/>
  <c r="QU98" i="6"/>
  <c r="QS76" i="6"/>
  <c r="QU60" i="6"/>
  <c r="QQ32" i="6"/>
  <c r="QR16" i="6"/>
  <c r="QQ70" i="6"/>
  <c r="QS16" i="6"/>
  <c r="QP33" i="6"/>
  <c r="QP101" i="6"/>
  <c r="QP41" i="6"/>
  <c r="QP56" i="6"/>
  <c r="QP83" i="6"/>
  <c r="QP40" i="6"/>
  <c r="QP70" i="6"/>
  <c r="QP52" i="6"/>
  <c r="QP9" i="6"/>
  <c r="QP87" i="6"/>
  <c r="QP51" i="6"/>
  <c r="QP94" i="6"/>
  <c r="QP25" i="6"/>
  <c r="QP93" i="6"/>
  <c r="QU109" i="6"/>
  <c r="QQ97" i="6"/>
  <c r="QR84" i="6"/>
  <c r="QS71" i="6"/>
  <c r="QT58" i="6"/>
  <c r="QU45" i="6"/>
  <c r="QQ33" i="6"/>
  <c r="QR20" i="6"/>
  <c r="QS7" i="6"/>
  <c r="QS106" i="6"/>
  <c r="QT93" i="6"/>
  <c r="QU80" i="6"/>
  <c r="QQ68" i="6"/>
  <c r="QR55" i="6"/>
  <c r="QS42" i="6"/>
  <c r="QT29" i="6"/>
  <c r="QU16" i="6"/>
  <c r="QU115" i="6"/>
  <c r="QQ103" i="6"/>
  <c r="QR90" i="6"/>
  <c r="QS77" i="6"/>
  <c r="QT64" i="6"/>
  <c r="QU51" i="6"/>
  <c r="QQ39" i="6"/>
  <c r="QR26" i="6"/>
  <c r="QU111" i="6"/>
  <c r="QQ99" i="6"/>
  <c r="QR86" i="6"/>
  <c r="QS73" i="6"/>
  <c r="QT60" i="6"/>
  <c r="QU47" i="6"/>
  <c r="QQ35" i="6"/>
  <c r="QR22" i="6"/>
  <c r="QS9" i="6"/>
  <c r="QR101" i="6"/>
  <c r="QT75" i="6"/>
  <c r="QQ50" i="6"/>
  <c r="QS24" i="6"/>
  <c r="QU14" i="6"/>
  <c r="QQ101" i="6"/>
  <c r="QS75" i="6"/>
  <c r="QU49" i="6"/>
  <c r="QR24" i="6"/>
  <c r="QS12" i="6"/>
  <c r="QS110" i="6"/>
  <c r="QU84" i="6"/>
  <c r="QR59" i="6"/>
  <c r="QT33" i="6"/>
  <c r="QQ10" i="6"/>
  <c r="QQ110" i="6"/>
  <c r="QS84" i="6"/>
  <c r="QU58" i="6"/>
  <c r="QT23" i="6"/>
  <c r="QU102" i="6"/>
  <c r="QR77" i="6"/>
  <c r="QT51" i="6"/>
  <c r="QQ26" i="6"/>
  <c r="QS115" i="6"/>
  <c r="QU89" i="6"/>
  <c r="QR64" i="6"/>
  <c r="QT38" i="6"/>
  <c r="QR9" i="6"/>
  <c r="QT25" i="6"/>
  <c r="QU44" i="6"/>
  <c r="QU50" i="6"/>
  <c r="QR35" i="6"/>
  <c r="QR67" i="6"/>
  <c r="QQ86" i="6"/>
  <c r="QS44" i="6"/>
  <c r="QQ54" i="6"/>
  <c r="QP50" i="6"/>
  <c r="QP111" i="6"/>
  <c r="QP58" i="6"/>
  <c r="QP62" i="6"/>
  <c r="QP100" i="6"/>
  <c r="QP86" i="6"/>
  <c r="QP88" i="6"/>
  <c r="QP116" i="6"/>
  <c r="QP26" i="6"/>
  <c r="QP72" i="6"/>
  <c r="QP115" i="6"/>
  <c r="QP57" i="6"/>
  <c r="QP89" i="6"/>
  <c r="QP39" i="6"/>
  <c r="QR108" i="6"/>
  <c r="QS95" i="6"/>
  <c r="QT82" i="6"/>
  <c r="QU69" i="6"/>
  <c r="QQ57" i="6"/>
  <c r="QR44" i="6"/>
  <c r="QS31" i="6"/>
  <c r="QT18" i="6"/>
  <c r="QT117" i="6"/>
  <c r="QU104" i="6"/>
  <c r="QQ92" i="6"/>
  <c r="QR79" i="6"/>
  <c r="QS66" i="6"/>
  <c r="QT53" i="6"/>
  <c r="QU40" i="6"/>
  <c r="QQ28" i="6"/>
  <c r="QR15" i="6"/>
  <c r="QR114" i="6"/>
  <c r="QS101" i="6"/>
  <c r="QT88" i="6"/>
  <c r="QU75" i="6"/>
  <c r="QQ63" i="6"/>
  <c r="QR50" i="6"/>
  <c r="QS37" i="6"/>
  <c r="QT24" i="6"/>
  <c r="QR110" i="6"/>
  <c r="QS97" i="6"/>
  <c r="QT84" i="6"/>
  <c r="QU71" i="6"/>
  <c r="QQ59" i="6"/>
  <c r="QR46" i="6"/>
  <c r="QS33" i="6"/>
  <c r="QT20" i="6"/>
  <c r="QU7" i="6"/>
  <c r="QQ98" i="6"/>
  <c r="QS72" i="6"/>
  <c r="QU46" i="6"/>
  <c r="QR21" i="6"/>
  <c r="QQ7" i="6"/>
  <c r="QU97" i="6"/>
  <c r="QR72" i="6"/>
  <c r="QT46" i="6"/>
  <c r="QQ21" i="6"/>
  <c r="QT11" i="6"/>
  <c r="QR107" i="6"/>
  <c r="QT81" i="6"/>
  <c r="QQ56" i="6"/>
  <c r="QS30" i="6"/>
  <c r="QT7" i="6"/>
  <c r="QU106" i="6"/>
  <c r="QR81" i="6"/>
  <c r="QT55" i="6"/>
  <c r="QS20" i="6"/>
  <c r="QT99" i="6"/>
  <c r="QQ74" i="6"/>
  <c r="QS48" i="6"/>
  <c r="QU22" i="6"/>
  <c r="QR112" i="6"/>
  <c r="QT86" i="6"/>
  <c r="QQ61" i="6"/>
  <c r="QS35" i="6"/>
  <c r="QS102" i="6"/>
  <c r="QQ14" i="6"/>
  <c r="QR19" i="6"/>
  <c r="QQ38" i="6"/>
  <c r="QS22" i="6"/>
  <c r="QU28" i="6"/>
  <c r="QR73" i="6"/>
  <c r="QT31" i="6"/>
  <c r="QS28" i="6"/>
  <c r="QP114" i="6"/>
  <c r="QP11" i="6"/>
  <c r="QP54" i="6"/>
  <c r="QP53" i="6"/>
  <c r="QP10" i="6"/>
  <c r="QP32" i="6"/>
  <c r="QP69" i="6"/>
  <c r="QP90" i="6"/>
  <c r="QP102" i="6"/>
  <c r="QP68" i="6"/>
  <c r="QP74" i="6"/>
  <c r="QP42" i="6"/>
  <c r="QP103" i="6"/>
  <c r="QT106" i="6"/>
  <c r="QU93" i="6"/>
  <c r="QQ81" i="6"/>
  <c r="QR68" i="6"/>
  <c r="QS55" i="6"/>
  <c r="QT42" i="6"/>
  <c r="QU29" i="6"/>
  <c r="QQ17" i="6"/>
  <c r="QQ116" i="6"/>
  <c r="QR103" i="6"/>
  <c r="QS90" i="6"/>
  <c r="QT77" i="6"/>
  <c r="QU64" i="6"/>
  <c r="QQ52" i="6"/>
  <c r="QR39" i="6"/>
  <c r="QS26" i="6"/>
  <c r="QT13" i="6"/>
  <c r="QT112" i="6"/>
  <c r="QU99" i="6"/>
  <c r="QQ87" i="6"/>
  <c r="QR74" i="6"/>
  <c r="QS61" i="6"/>
  <c r="QT48" i="6"/>
  <c r="QU35" i="6"/>
  <c r="QQ23" i="6"/>
  <c r="QT108" i="6"/>
  <c r="QU95" i="6"/>
  <c r="QQ83" i="6"/>
  <c r="QR70" i="6"/>
  <c r="QS57" i="6"/>
  <c r="QT44" i="6"/>
  <c r="QU31" i="6"/>
  <c r="QQ19" i="6"/>
  <c r="QR6" i="6"/>
  <c r="QU94" i="6"/>
  <c r="QR69" i="6"/>
  <c r="QT43" i="6"/>
  <c r="QR18" i="6"/>
  <c r="QU25" i="6"/>
  <c r="QT94" i="6"/>
  <c r="QQ69" i="6"/>
  <c r="QS43" i="6"/>
  <c r="QQ18" i="6"/>
  <c r="QR115" i="6"/>
  <c r="QQ104" i="6"/>
  <c r="QS78" i="6"/>
  <c r="QU52" i="6"/>
  <c r="QR27" i="6"/>
  <c r="QU26" i="6"/>
  <c r="QT103" i="6"/>
  <c r="QQ78" i="6"/>
  <c r="QS52" i="6"/>
  <c r="QT17" i="6"/>
  <c r="QS96" i="6"/>
  <c r="QU70" i="6"/>
  <c r="QR45" i="6"/>
  <c r="QT19" i="6"/>
  <c r="QQ109" i="6"/>
  <c r="QS83" i="6"/>
  <c r="QU57" i="6"/>
  <c r="QR32" i="6"/>
  <c r="QT111" i="6"/>
  <c r="QT73" i="6"/>
  <c r="QT41" i="6"/>
  <c r="QR25" i="6"/>
  <c r="QS60" i="6"/>
  <c r="QS6" i="6"/>
  <c r="QU34" i="6"/>
  <c r="QU18" i="6"/>
  <c r="QQ6" i="6"/>
  <c r="QP67" i="6"/>
  <c r="QP8" i="6"/>
  <c r="QP28" i="6"/>
  <c r="QP49" i="6"/>
  <c r="QP117" i="6"/>
  <c r="QP75" i="6"/>
  <c r="QP60" i="6"/>
  <c r="QP44" i="6"/>
  <c r="QP18" i="6"/>
  <c r="QP79" i="6"/>
  <c r="QP107" i="6"/>
  <c r="QP17" i="6"/>
  <c r="QP85" i="6"/>
  <c r="QP108" i="6"/>
  <c r="QP59" i="6"/>
  <c r="QR116" i="6"/>
  <c r="QS103" i="6"/>
  <c r="QT90" i="6"/>
  <c r="QU77" i="6"/>
  <c r="QQ65" i="6"/>
  <c r="QR52" i="6"/>
  <c r="QS39" i="6"/>
  <c r="QT26" i="6"/>
  <c r="QU13" i="6"/>
  <c r="QU112" i="6"/>
  <c r="QQ100" i="6"/>
  <c r="QR87" i="6"/>
  <c r="QS74" i="6"/>
  <c r="QT61" i="6"/>
  <c r="QU48" i="6"/>
  <c r="QQ36" i="6"/>
  <c r="QR23" i="6"/>
  <c r="QS10" i="6"/>
  <c r="QS109" i="6"/>
  <c r="QT96" i="6"/>
  <c r="QU83" i="6"/>
  <c r="QQ71" i="6"/>
  <c r="QR58" i="6"/>
  <c r="QS45" i="6"/>
  <c r="QT32" i="6"/>
  <c r="QU19" i="6"/>
  <c r="QS105" i="6"/>
  <c r="QT92" i="6"/>
  <c r="QU79" i="6"/>
  <c r="QQ67" i="6"/>
  <c r="QR54" i="6"/>
  <c r="QS41" i="6"/>
  <c r="QT28" i="6"/>
  <c r="QU15" i="6"/>
  <c r="QQ114" i="6"/>
  <c r="QS88" i="6"/>
  <c r="QU62" i="6"/>
  <c r="QR37" i="6"/>
  <c r="QR13" i="6"/>
  <c r="QU113" i="6"/>
  <c r="QR88" i="6"/>
  <c r="QT62" i="6"/>
  <c r="QQ37" i="6"/>
  <c r="QQ13" i="6"/>
  <c r="QT105" i="6"/>
  <c r="QT97" i="6"/>
  <c r="QQ72" i="6"/>
  <c r="QS46" i="6"/>
  <c r="QU20" i="6"/>
  <c r="QU108" i="6"/>
  <c r="QR97" i="6"/>
  <c r="QT71" i="6"/>
  <c r="QQ46" i="6"/>
  <c r="QT115" i="6"/>
  <c r="QQ90" i="6"/>
  <c r="QS64" i="6"/>
  <c r="QU38" i="6"/>
  <c r="QT14" i="6"/>
  <c r="QT102" i="6"/>
  <c r="QQ77" i="6"/>
  <c r="QS51" i="6"/>
  <c r="QT22" i="6"/>
  <c r="QU76" i="6"/>
  <c r="QT47" i="6"/>
  <c r="QS108" i="6"/>
  <c r="QR105" i="6"/>
  <c r="QR83" i="6"/>
  <c r="QU66" i="6"/>
  <c r="QT95" i="6"/>
  <c r="QU92" i="6"/>
  <c r="QP112" i="6"/>
  <c r="QP84" i="6"/>
  <c r="QP30" i="6"/>
  <c r="QP45" i="6"/>
  <c r="QP66" i="6"/>
  <c r="QP55" i="6"/>
  <c r="QP61" i="6"/>
  <c r="QP82" i="6"/>
  <c r="QP16" i="6"/>
  <c r="QP13" i="6"/>
  <c r="QP81" i="6"/>
  <c r="QP31" i="6"/>
  <c r="QP24" i="6"/>
  <c r="QP12" i="6"/>
  <c r="QT114" i="6"/>
  <c r="QU101" i="6"/>
  <c r="QQ89" i="6"/>
  <c r="QR76" i="6"/>
  <c r="QS63" i="6"/>
  <c r="QT50" i="6"/>
  <c r="QU37" i="6"/>
  <c r="QQ25" i="6"/>
  <c r="QR12" i="6"/>
  <c r="QR111" i="6"/>
  <c r="QS98" i="6"/>
  <c r="QT85" i="6"/>
  <c r="QU72" i="6"/>
  <c r="QQ60" i="6"/>
  <c r="QR47" i="6"/>
  <c r="QS34" i="6"/>
  <c r="QT21" i="6"/>
  <c r="QU8" i="6"/>
  <c r="QU107" i="6"/>
  <c r="QQ95" i="6"/>
  <c r="QR82" i="6"/>
  <c r="QS69" i="6"/>
  <c r="QT56" i="6"/>
  <c r="QU43" i="6"/>
  <c r="QQ31" i="6"/>
  <c r="QT116" i="6"/>
  <c r="QU103" i="6"/>
  <c r="QQ91" i="6"/>
  <c r="QR78" i="6"/>
  <c r="QS65" i="6"/>
  <c r="QT52" i="6"/>
  <c r="QU39" i="6"/>
  <c r="QQ27" i="6"/>
  <c r="QR14" i="6"/>
  <c r="QU110" i="6"/>
  <c r="QR85" i="6"/>
  <c r="QT59" i="6"/>
  <c r="QQ34" i="6"/>
  <c r="QU10" i="6"/>
  <c r="QT110" i="6"/>
  <c r="QQ85" i="6"/>
  <c r="QS59" i="6"/>
  <c r="QU33" i="6"/>
  <c r="QR10" i="6"/>
  <c r="QQ96" i="6"/>
  <c r="QS94" i="6"/>
  <c r="QU68" i="6"/>
  <c r="QR43" i="6"/>
  <c r="QU17" i="6"/>
  <c r="QR99" i="6"/>
  <c r="QQ94" i="6"/>
  <c r="QS68" i="6"/>
  <c r="QU42" i="6"/>
  <c r="QS112" i="6"/>
  <c r="QU86" i="6"/>
  <c r="QR61" i="6"/>
  <c r="QT35" i="6"/>
  <c r="QU11" i="6"/>
  <c r="QS99" i="6"/>
  <c r="QU73" i="6"/>
  <c r="QR48" i="6"/>
  <c r="QS19" i="6"/>
  <c r="QQ64" i="6"/>
  <c r="QR11" i="6"/>
  <c r="QR89" i="6"/>
  <c r="QS86" i="6"/>
  <c r="QT57" i="6"/>
  <c r="QR41" i="6"/>
  <c r="QU82" i="6"/>
  <c r="QS54" i="6"/>
  <c r="QP110" i="6"/>
  <c r="QP37" i="6"/>
  <c r="QP22" i="6"/>
  <c r="QP109" i="6"/>
  <c r="QP19" i="6"/>
  <c r="QP6" i="6"/>
  <c r="QP43" i="6"/>
  <c r="QP106" i="6"/>
  <c r="QS79" i="6"/>
  <c r="QR28" i="6"/>
  <c r="QU88" i="6"/>
  <c r="QT37" i="6"/>
  <c r="QR98" i="6"/>
  <c r="QQ47" i="6"/>
  <c r="QR94" i="6"/>
  <c r="QQ43" i="6"/>
  <c r="QT91" i="6"/>
  <c r="QQ117" i="6"/>
  <c r="QT15" i="6"/>
  <c r="QT49" i="6"/>
  <c r="QU74" i="6"/>
  <c r="QT67" i="6"/>
  <c r="QR80" i="6"/>
  <c r="QS11" i="6"/>
  <c r="QU114" i="6"/>
  <c r="QP20" i="6"/>
  <c r="QP104" i="6"/>
  <c r="QS53" i="6"/>
  <c r="QS62" i="6"/>
  <c r="QP97" i="6"/>
  <c r="QP63" i="6"/>
  <c r="QP23" i="6"/>
  <c r="QP29" i="6"/>
  <c r="QQ73" i="6"/>
  <c r="QU21" i="6"/>
  <c r="QS82" i="6"/>
  <c r="QR31" i="6"/>
  <c r="QU91" i="6"/>
  <c r="QT40" i="6"/>
  <c r="QU87" i="6"/>
  <c r="QT36" i="6"/>
  <c r="QU78" i="6"/>
  <c r="QR104" i="6"/>
  <c r="QR33" i="6"/>
  <c r="QU36" i="6"/>
  <c r="QQ62" i="6"/>
  <c r="QU54" i="6"/>
  <c r="QS67" i="6"/>
  <c r="QS70" i="6"/>
  <c r="QQ102" i="6"/>
  <c r="QP47" i="6"/>
  <c r="QQ44" i="6"/>
  <c r="QT39" i="6"/>
  <c r="QS38" i="6"/>
  <c r="QP91" i="6"/>
  <c r="QP96" i="6"/>
  <c r="QU117" i="6"/>
  <c r="QT66" i="6"/>
  <c r="QS15" i="6"/>
  <c r="QQ76" i="6"/>
  <c r="QU24" i="6"/>
  <c r="QS85" i="6"/>
  <c r="QR34" i="6"/>
  <c r="QS81" i="6"/>
  <c r="QR30" i="6"/>
  <c r="QQ66" i="6"/>
  <c r="QS91" i="6"/>
  <c r="QQ112" i="6"/>
  <c r="QQ24" i="6"/>
  <c r="QR49" i="6"/>
  <c r="QQ42" i="6"/>
  <c r="QT54" i="6"/>
  <c r="QT79" i="6"/>
  <c r="QQ80" i="6"/>
  <c r="QP38" i="6"/>
  <c r="QU85" i="6"/>
  <c r="QT100" i="6"/>
  <c r="QT87" i="6"/>
  <c r="QP71" i="6"/>
  <c r="QP98" i="6"/>
  <c r="QS111" i="6"/>
  <c r="QR60" i="6"/>
  <c r="QQ9" i="6"/>
  <c r="QT69" i="6"/>
  <c r="QS18" i="6"/>
  <c r="QQ79" i="6"/>
  <c r="QU27" i="6"/>
  <c r="QQ75" i="6"/>
  <c r="QU23" i="6"/>
  <c r="QR53" i="6"/>
  <c r="QT78" i="6"/>
  <c r="QT113" i="6"/>
  <c r="QU12" i="6"/>
  <c r="QQ30" i="6"/>
  <c r="QR29" i="6"/>
  <c r="QU41" i="6"/>
  <c r="QT63" i="6"/>
  <c r="QR57" i="6"/>
  <c r="QP105" i="6"/>
  <c r="QT104" i="6"/>
  <c r="QS27" i="6"/>
  <c r="QT8" i="6"/>
  <c r="QP65" i="6"/>
  <c r="QP21" i="6"/>
  <c r="QQ105" i="6"/>
  <c r="QU53" i="6"/>
  <c r="QS114" i="6"/>
  <c r="QR63" i="6"/>
  <c r="QQ12" i="6"/>
  <c r="QT72" i="6"/>
  <c r="QS21" i="6"/>
  <c r="QT68" i="6"/>
  <c r="QS17" i="6"/>
  <c r="QS40" i="6"/>
  <c r="QU65" i="6"/>
  <c r="QU100" i="6"/>
  <c r="QT6" i="6"/>
  <c r="QU9" i="6"/>
  <c r="QR17" i="6"/>
  <c r="QQ29" i="6"/>
  <c r="QS13" i="6"/>
  <c r="QS8" i="6"/>
  <c r="QP92" i="6"/>
  <c r="QR95" i="6"/>
  <c r="QS49" i="6"/>
  <c r="QS80" i="6"/>
  <c r="QP99" i="6"/>
  <c r="QP14" i="6"/>
  <c r="QT98" i="6"/>
  <c r="QS47" i="6"/>
  <c r="QQ108" i="6"/>
  <c r="QU56" i="6"/>
  <c r="QS117" i="6"/>
  <c r="QR66" i="6"/>
  <c r="QS113" i="6"/>
  <c r="QR62" i="6"/>
  <c r="QQ11" i="6"/>
  <c r="QT27" i="6"/>
  <c r="QQ53" i="6"/>
  <c r="QQ88" i="6"/>
  <c r="QR113" i="6"/>
  <c r="QQ106" i="6"/>
  <c r="QU6" i="6"/>
  <c r="QS14" i="6"/>
  <c r="QQ48" i="6"/>
  <c r="QS92" i="6"/>
  <c r="QP80" i="6"/>
  <c r="QP64" i="6"/>
  <c r="QP15" i="6"/>
  <c r="QP27" i="6"/>
  <c r="QR92" i="6"/>
  <c r="QQ41" i="6"/>
  <c r="QT101" i="6"/>
  <c r="QS50" i="6"/>
  <c r="QQ111" i="6"/>
  <c r="QU59" i="6"/>
  <c r="QQ107" i="6"/>
  <c r="QU55" i="6"/>
  <c r="QR117" i="6"/>
  <c r="QQ16" i="6"/>
  <c r="QR40" i="6"/>
  <c r="QR75" i="6"/>
  <c r="QS100" i="6"/>
  <c r="QR93" i="6"/>
  <c r="QU105" i="6"/>
  <c r="QT89" i="6"/>
  <c r="QQ22" i="6"/>
  <c r="QP78" i="6"/>
  <c r="QP113" i="6"/>
  <c r="QT34" i="6"/>
  <c r="QS104" i="6"/>
  <c r="QQ93" i="6"/>
  <c r="QP36" i="6"/>
  <c r="O38" i="6"/>
  <c r="WR29" i="6"/>
  <c r="WR94" i="6"/>
  <c r="WR34" i="6"/>
  <c r="WR32" i="6"/>
  <c r="WR105" i="6"/>
  <c r="WR45" i="6"/>
  <c r="WR51" i="6"/>
  <c r="WR110" i="6"/>
  <c r="WR50" i="6"/>
  <c r="FG43" i="6"/>
  <c r="FG112" i="6"/>
  <c r="FG78" i="6"/>
  <c r="FG113" i="6"/>
  <c r="FG33" i="6"/>
  <c r="FG6" i="6"/>
  <c r="FG101" i="6"/>
  <c r="FG117" i="6"/>
  <c r="FG37" i="6"/>
  <c r="FG74" i="6"/>
  <c r="CG70" i="6"/>
  <c r="CG48" i="6"/>
  <c r="CG50" i="6"/>
  <c r="CG52" i="6"/>
  <c r="CG61" i="6"/>
  <c r="CG24" i="6"/>
  <c r="CG41" i="6"/>
  <c r="CG110" i="6"/>
  <c r="GO11" i="6"/>
  <c r="GO60" i="6"/>
  <c r="GO114" i="6"/>
  <c r="GO19" i="6"/>
  <c r="GO52" i="6"/>
  <c r="HF20" i="6"/>
  <c r="HF101" i="6"/>
  <c r="HF42" i="6"/>
  <c r="HF117" i="6"/>
  <c r="HF58" i="6"/>
  <c r="HF30" i="6"/>
  <c r="AA97" i="6"/>
  <c r="ACG32" i="6"/>
  <c r="ACG58" i="6"/>
  <c r="ACG44" i="6"/>
  <c r="ACG6" i="6"/>
  <c r="ACG88" i="6"/>
  <c r="ACG35" i="6"/>
  <c r="ACG114" i="6"/>
  <c r="ACG31" i="6"/>
  <c r="ACG100" i="6"/>
  <c r="VX56" i="6"/>
  <c r="VX90" i="6"/>
  <c r="VX113" i="6"/>
  <c r="VX19" i="6"/>
  <c r="VX30" i="6"/>
  <c r="VX53" i="6"/>
  <c r="VX64" i="6"/>
  <c r="VX87" i="6"/>
  <c r="VX98" i="6"/>
  <c r="DY112" i="6"/>
  <c r="DY23" i="6"/>
  <c r="DY115" i="6"/>
  <c r="DY108" i="6"/>
  <c r="DY99" i="6"/>
  <c r="DY78" i="6"/>
  <c r="DY62" i="6"/>
  <c r="DY42" i="6"/>
  <c r="DY116" i="6"/>
  <c r="DY85" i="6"/>
  <c r="XN88" i="6"/>
  <c r="XN28" i="6"/>
  <c r="XY104" i="6"/>
  <c r="XC93" i="6"/>
  <c r="YU104" i="6"/>
  <c r="BN99" i="6"/>
  <c r="BN96" i="6"/>
  <c r="BN79" i="6"/>
  <c r="BN39" i="6"/>
  <c r="BN106" i="6"/>
  <c r="BN97" i="6"/>
  <c r="BN6" i="6"/>
  <c r="BN40" i="6"/>
  <c r="EP73" i="6"/>
  <c r="EP91" i="6"/>
  <c r="EP26" i="6"/>
  <c r="EP40" i="6"/>
  <c r="EP13" i="6"/>
  <c r="EP10" i="6"/>
  <c r="EP106" i="6"/>
  <c r="ACS64" i="6"/>
  <c r="ACS74" i="6"/>
  <c r="ACS107" i="6"/>
  <c r="ACS11" i="6"/>
  <c r="OB17" i="6"/>
  <c r="OB41" i="6"/>
  <c r="OB28" i="6"/>
  <c r="OB24" i="6"/>
  <c r="OB22" i="6"/>
  <c r="OB68" i="6"/>
  <c r="OB73" i="6"/>
  <c r="OB48" i="6"/>
  <c r="OB102" i="6"/>
  <c r="OB25" i="6"/>
  <c r="OB36" i="6"/>
  <c r="CP119" i="6"/>
  <c r="YJ49" i="6"/>
  <c r="YJ29" i="6"/>
  <c r="YJ75" i="6"/>
  <c r="YJ82" i="6"/>
  <c r="YJ93" i="6"/>
  <c r="YJ32" i="6"/>
  <c r="YJ42" i="6"/>
  <c r="YJ106" i="6"/>
  <c r="YJ109" i="6"/>
  <c r="FX15" i="6"/>
  <c r="FX108" i="6"/>
  <c r="FX49" i="6"/>
  <c r="FX59" i="6"/>
  <c r="FX112" i="6"/>
  <c r="FX78" i="6"/>
  <c r="FX65" i="6"/>
  <c r="FX53" i="6"/>
  <c r="FX52" i="6"/>
  <c r="HW48" i="6"/>
  <c r="HW12" i="6"/>
  <c r="ZJ108" i="6"/>
  <c r="ZK95" i="6"/>
  <c r="ZH108" i="6"/>
  <c r="ZI95" i="6"/>
  <c r="ZK115" i="6"/>
  <c r="ZL102" i="6"/>
  <c r="ZH90" i="6"/>
  <c r="ZI77" i="6"/>
  <c r="ZJ64" i="6"/>
  <c r="ZK51" i="6"/>
  <c r="ZL38" i="6"/>
  <c r="ZH26" i="6"/>
  <c r="ZI13" i="6"/>
  <c r="ZK113" i="6"/>
  <c r="ZL100" i="6"/>
  <c r="ZH88" i="6"/>
  <c r="ZI75" i="6"/>
  <c r="ZJ62" i="6"/>
  <c r="ZK49" i="6"/>
  <c r="ZL36" i="6"/>
  <c r="ZH24" i="6"/>
  <c r="ZI11" i="6"/>
  <c r="ZL101" i="6"/>
  <c r="ZK80" i="6"/>
  <c r="ZJ63" i="6"/>
  <c r="ZI46" i="6"/>
  <c r="ZJ29" i="6"/>
  <c r="ZI12" i="6"/>
  <c r="ZG75" i="6"/>
  <c r="ZG11" i="6"/>
  <c r="ZJ35" i="6"/>
  <c r="ZH95" i="6"/>
  <c r="ZL73" i="6"/>
  <c r="ZJ52" i="6"/>
  <c r="ZI104" i="6"/>
  <c r="ZI82" i="6"/>
  <c r="ZH65" i="6"/>
  <c r="ZL47" i="6"/>
  <c r="ZI94" i="6"/>
  <c r="ZJ75" i="6"/>
  <c r="ZJ58" i="6"/>
  <c r="ZL109" i="6"/>
  <c r="ZH86" i="6"/>
  <c r="ZK68" i="6"/>
  <c r="ZL51" i="6"/>
  <c r="ZH103" i="6"/>
  <c r="ZI81" i="6"/>
  <c r="ZI64" i="6"/>
  <c r="ZI47" i="6"/>
  <c r="ZH30" i="6"/>
  <c r="ZH13" i="6"/>
  <c r="ZG70" i="6"/>
  <c r="ZJ115" i="6"/>
  <c r="ZL59" i="6"/>
  <c r="ZI26" i="6"/>
  <c r="ZG105" i="6"/>
  <c r="ZG20" i="6"/>
  <c r="ZG29" i="6"/>
  <c r="ZG10" i="6"/>
  <c r="ZJ44" i="6"/>
  <c r="ZH17" i="6"/>
  <c r="ZK61" i="6"/>
  <c r="ZI66" i="6"/>
  <c r="ZI28" i="6"/>
  <c r="ZG113" i="6"/>
  <c r="ZG28" i="6"/>
  <c r="ZJ43" i="6"/>
  <c r="ZG80" i="6"/>
  <c r="ZG32" i="6"/>
  <c r="ZG112" i="6"/>
  <c r="ZG85" i="6"/>
  <c r="ZH47" i="6"/>
  <c r="ZL21" i="6"/>
  <c r="ZG100" i="6"/>
  <c r="ZG15" i="6"/>
  <c r="ZI72" i="6"/>
  <c r="ZL29" i="6"/>
  <c r="ZI7" i="6"/>
  <c r="ZG45" i="6"/>
  <c r="ZL61" i="6"/>
  <c r="ZK26" i="6"/>
  <c r="ZH6" i="6"/>
  <c r="ZG33" i="6"/>
  <c r="ZG117" i="6"/>
  <c r="ZL106" i="6"/>
  <c r="ZH94" i="6"/>
  <c r="ZJ106" i="6"/>
  <c r="ZK93" i="6"/>
  <c r="ZH114" i="6"/>
  <c r="ZI101" i="6"/>
  <c r="ZJ88" i="6"/>
  <c r="ZK75" i="6"/>
  <c r="ZL62" i="6"/>
  <c r="ZH50" i="6"/>
  <c r="ZI37" i="6"/>
  <c r="ZJ24" i="6"/>
  <c r="ZK11" i="6"/>
  <c r="ZH112" i="6"/>
  <c r="ZI99" i="6"/>
  <c r="ZJ86" i="6"/>
  <c r="ZK73" i="6"/>
  <c r="ZL60" i="6"/>
  <c r="ZH48" i="6"/>
  <c r="ZI35" i="6"/>
  <c r="ZJ22" i="6"/>
  <c r="ZK9" i="6"/>
  <c r="ZK98" i="6"/>
  <c r="ZI78" i="6"/>
  <c r="ZJ61" i="6"/>
  <c r="ZI44" i="6"/>
  <c r="ZH27" i="6"/>
  <c r="ZI10" i="6"/>
  <c r="ZG67" i="6"/>
  <c r="ZH76" i="6"/>
  <c r="ZJ117" i="6"/>
  <c r="ZI92" i="6"/>
  <c r="ZK71" i="6"/>
  <c r="ZI48" i="6"/>
  <c r="ZH101" i="6"/>
  <c r="ZL79" i="6"/>
  <c r="ZH63" i="6"/>
  <c r="ZK116" i="6"/>
  <c r="ZJ91" i="6"/>
  <c r="ZI73" i="6"/>
  <c r="ZI56" i="6"/>
  <c r="ZK106" i="6"/>
  <c r="ZL83" i="6"/>
  <c r="ZK66" i="6"/>
  <c r="ZJ49" i="6"/>
  <c r="ZL99" i="6"/>
  <c r="ZI79" i="6"/>
  <c r="ZH62" i="6"/>
  <c r="ZH45" i="6"/>
  <c r="ZH28" i="6"/>
  <c r="ZL10" i="6"/>
  <c r="ZG62" i="6"/>
  <c r="ZI112" i="6"/>
  <c r="ZH51" i="6"/>
  <c r="ZI23" i="6"/>
  <c r="ZG95" i="6"/>
  <c r="ZG9" i="6"/>
  <c r="ZG8" i="6"/>
  <c r="ZK108" i="6"/>
  <c r="ZH41" i="6"/>
  <c r="ZH14" i="6"/>
  <c r="ZJ20" i="6"/>
  <c r="ZJ57" i="6"/>
  <c r="ZI25" i="6"/>
  <c r="ZG103" i="6"/>
  <c r="ZG17" i="6"/>
  <c r="ZK36" i="6"/>
  <c r="ZG58" i="6"/>
  <c r="ZJ105" i="6"/>
  <c r="ZG101" i="6"/>
  <c r="ZG21" i="6"/>
  <c r="ZH43" i="6"/>
  <c r="ZL18" i="6"/>
  <c r="ZG89" i="6"/>
  <c r="ZH115" i="6"/>
  <c r="ZK63" i="6"/>
  <c r="ZL26" i="6"/>
  <c r="ZJ6" i="6"/>
  <c r="ZG34" i="6"/>
  <c r="ZJ53" i="6"/>
  <c r="ZL23" i="6"/>
  <c r="ZG108" i="6"/>
  <c r="ZG23" i="6"/>
  <c r="ZG53" i="6"/>
  <c r="ZG6" i="6"/>
  <c r="ZI105" i="6"/>
  <c r="ZK117" i="6"/>
  <c r="ZL104" i="6"/>
  <c r="ZH92" i="6"/>
  <c r="ZJ112" i="6"/>
  <c r="ZK99" i="6"/>
  <c r="ZL86" i="6"/>
  <c r="ZH74" i="6"/>
  <c r="ZI61" i="6"/>
  <c r="ZJ48" i="6"/>
  <c r="ZK35" i="6"/>
  <c r="ZL22" i="6"/>
  <c r="ZH10" i="6"/>
  <c r="ZJ110" i="6"/>
  <c r="ZK97" i="6"/>
  <c r="ZL84" i="6"/>
  <c r="ZH72" i="6"/>
  <c r="ZI59" i="6"/>
  <c r="ZJ46" i="6"/>
  <c r="ZK33" i="6"/>
  <c r="ZL20" i="6"/>
  <c r="ZH8" i="6"/>
  <c r="ZJ95" i="6"/>
  <c r="ZI76" i="6"/>
  <c r="ZH59" i="6"/>
  <c r="ZI42" i="6"/>
  <c r="ZH25" i="6"/>
  <c r="ZL7" i="6"/>
  <c r="ZG59" i="6"/>
  <c r="ZL58" i="6"/>
  <c r="ZI114" i="6"/>
  <c r="ZJ89" i="6"/>
  <c r="ZK69" i="6"/>
  <c r="ZH44" i="6"/>
  <c r="ZL97" i="6"/>
  <c r="ZL77" i="6"/>
  <c r="ZK60" i="6"/>
  <c r="ZJ113" i="6"/>
  <c r="ZH89" i="6"/>
  <c r="ZI71" i="6"/>
  <c r="ZH54" i="6"/>
  <c r="ZJ103" i="6"/>
  <c r="ZJ81" i="6"/>
  <c r="ZK64" i="6"/>
  <c r="ZJ47" i="6"/>
  <c r="ZK96" i="6"/>
  <c r="ZH77" i="6"/>
  <c r="ZH60" i="6"/>
  <c r="ZL42" i="6"/>
  <c r="ZL25" i="6"/>
  <c r="ZL8" i="6"/>
  <c r="ZG54" i="6"/>
  <c r="ZH109" i="6"/>
  <c r="ZK44" i="6"/>
  <c r="ZI20" i="6"/>
  <c r="ZG84" i="6"/>
  <c r="ZJ25" i="6"/>
  <c r="ZK78" i="6"/>
  <c r="ZL95" i="6"/>
  <c r="ZJ37" i="6"/>
  <c r="ZK8" i="6"/>
  <c r="ZG106" i="6"/>
  <c r="ZH49" i="6"/>
  <c r="ZI22" i="6"/>
  <c r="ZG92" i="6"/>
  <c r="ZG7" i="6"/>
  <c r="ZI33" i="6"/>
  <c r="ZG37" i="6"/>
  <c r="ZI57" i="6"/>
  <c r="ZG90" i="6"/>
  <c r="ZK102" i="6"/>
  <c r="ZJ39" i="6"/>
  <c r="ZL15" i="6"/>
  <c r="ZG79" i="6"/>
  <c r="ZL31" i="6"/>
  <c r="ZI55" i="6"/>
  <c r="ZI24" i="6"/>
  <c r="ZG109" i="6"/>
  <c r="ZG24" i="6"/>
  <c r="ZL45" i="6"/>
  <c r="ZH21" i="6"/>
  <c r="ZG97" i="6"/>
  <c r="ZG12" i="6"/>
  <c r="ZJ116" i="6"/>
  <c r="ZK103" i="6"/>
  <c r="ZH116" i="6"/>
  <c r="ZI103" i="6"/>
  <c r="ZJ90" i="6"/>
  <c r="ZL110" i="6"/>
  <c r="ZH98" i="6"/>
  <c r="ZI85" i="6"/>
  <c r="ZJ72" i="6"/>
  <c r="ZK59" i="6"/>
  <c r="ZL46" i="6"/>
  <c r="ZH34" i="6"/>
  <c r="ZI21" i="6"/>
  <c r="ZJ8" i="6"/>
  <c r="ZL108" i="6"/>
  <c r="ZH96" i="6"/>
  <c r="ZI83" i="6"/>
  <c r="ZJ70" i="6"/>
  <c r="ZK57" i="6"/>
  <c r="ZL44" i="6"/>
  <c r="ZH32" i="6"/>
  <c r="ZI19" i="6"/>
  <c r="ZL117" i="6"/>
  <c r="ZJ92" i="6"/>
  <c r="ZI74" i="6"/>
  <c r="ZH57" i="6"/>
  <c r="ZL39" i="6"/>
  <c r="ZH23" i="6"/>
  <c r="ZG115" i="6"/>
  <c r="ZG51" i="6"/>
  <c r="ZK54" i="6"/>
  <c r="ZH111" i="6"/>
  <c r="ZH87" i="6"/>
  <c r="ZJ67" i="6"/>
  <c r="ZK37" i="6"/>
  <c r="ZK94" i="6"/>
  <c r="ZL75" i="6"/>
  <c r="ZK58" i="6"/>
  <c r="ZI110" i="6"/>
  <c r="ZI86" i="6"/>
  <c r="ZH69" i="6"/>
  <c r="ZH52" i="6"/>
  <c r="ZI100" i="6"/>
  <c r="ZJ79" i="6"/>
  <c r="ZI62" i="6"/>
  <c r="ZJ45" i="6"/>
  <c r="ZJ93" i="6"/>
  <c r="ZL74" i="6"/>
  <c r="ZL57" i="6"/>
  <c r="ZL40" i="6"/>
  <c r="ZK23" i="6"/>
  <c r="ZG110" i="6"/>
  <c r="ZG46" i="6"/>
  <c r="ZL111" i="6"/>
  <c r="ZI41" i="6"/>
  <c r="ZJ17" i="6"/>
  <c r="ZG73" i="6"/>
  <c r="ZJ11" i="6"/>
  <c r="ZK45" i="6"/>
  <c r="ZH85" i="6"/>
  <c r="ZI34" i="6"/>
  <c r="ZG114" i="6"/>
  <c r="ZG42" i="6"/>
  <c r="ZL43" i="6"/>
  <c r="ZL19" i="6"/>
  <c r="ZG81" i="6"/>
  <c r="ZK92" i="6"/>
  <c r="ZL27" i="6"/>
  <c r="ZG26" i="6"/>
  <c r="ZI40" i="6"/>
  <c r="ZG69" i="6"/>
  <c r="ZK90" i="6"/>
  <c r="ZI36" i="6"/>
  <c r="ZJ13" i="6"/>
  <c r="ZG68" i="6"/>
  <c r="ZH12" i="6"/>
  <c r="ZK46" i="6"/>
  <c r="ZJ21" i="6"/>
  <c r="ZG98" i="6"/>
  <c r="ZG13" i="6"/>
  <c r="ZJ42" i="6"/>
  <c r="ZI18" i="6"/>
  <c r="ZG87" i="6"/>
  <c r="ZK87" i="6"/>
  <c r="ZL114" i="6"/>
  <c r="ZH102" i="6"/>
  <c r="ZJ114" i="6"/>
  <c r="ZK101" i="6"/>
  <c r="ZL88" i="6"/>
  <c r="ZI109" i="6"/>
  <c r="ZJ96" i="6"/>
  <c r="ZK83" i="6"/>
  <c r="ZL70" i="6"/>
  <c r="ZH58" i="6"/>
  <c r="ZI45" i="6"/>
  <c r="ZJ32" i="6"/>
  <c r="ZK19" i="6"/>
  <c r="ZL6" i="6"/>
  <c r="ZI107" i="6"/>
  <c r="ZJ94" i="6"/>
  <c r="ZK81" i="6"/>
  <c r="ZL68" i="6"/>
  <c r="ZH56" i="6"/>
  <c r="ZI43" i="6"/>
  <c r="ZJ30" i="6"/>
  <c r="ZK17" i="6"/>
  <c r="ZK114" i="6"/>
  <c r="ZL89" i="6"/>
  <c r="ZL71" i="6"/>
  <c r="ZH55" i="6"/>
  <c r="ZL37" i="6"/>
  <c r="ZK20" i="6"/>
  <c r="ZG107" i="6"/>
  <c r="ZG43" i="6"/>
  <c r="ZJ50" i="6"/>
  <c r="ZL107" i="6"/>
  <c r="ZJ84" i="6"/>
  <c r="ZI65" i="6"/>
  <c r="ZH117" i="6"/>
  <c r="ZL91" i="6"/>
  <c r="ZJ73" i="6"/>
  <c r="ZK56" i="6"/>
  <c r="ZH107" i="6"/>
  <c r="ZH84" i="6"/>
  <c r="ZL66" i="6"/>
  <c r="ZL49" i="6"/>
  <c r="ZH97" i="6"/>
  <c r="ZJ77" i="6"/>
  <c r="ZI60" i="6"/>
  <c r="ZL115" i="6"/>
  <c r="ZL90" i="6"/>
  <c r="ZL72" i="6"/>
  <c r="ZK55" i="6"/>
  <c r="ZK38" i="6"/>
  <c r="ZK21" i="6"/>
  <c r="ZG102" i="6"/>
  <c r="ZG38" i="6"/>
  <c r="ZI96" i="6"/>
  <c r="ZH38" i="6"/>
  <c r="ZK14" i="6"/>
  <c r="ZG63" i="6"/>
  <c r="ZG104" i="6"/>
  <c r="ZL34" i="6"/>
  <c r="ZJ76" i="6"/>
  <c r="ZI31" i="6"/>
  <c r="ZG93" i="6"/>
  <c r="ZL105" i="6"/>
  <c r="ZK40" i="6"/>
  <c r="ZL16" i="6"/>
  <c r="ZG71" i="6"/>
  <c r="ZL82" i="6"/>
  <c r="ZL24" i="6"/>
  <c r="ZH70" i="6"/>
  <c r="ZK30" i="6"/>
  <c r="ZG48" i="6"/>
  <c r="ZH81" i="6"/>
  <c r="ZH33" i="6"/>
  <c r="ZJ10" i="6"/>
  <c r="ZG57" i="6"/>
  <c r="ZG64" i="6"/>
  <c r="ZK42" i="6"/>
  <c r="ZJ18" i="6"/>
  <c r="ZG88" i="6"/>
  <c r="ZJ99" i="6"/>
  <c r="ZH39" i="6"/>
  <c r="ZJ15" i="6"/>
  <c r="ZG76" i="6"/>
  <c r="ZH53" i="6"/>
  <c r="ZI113" i="6"/>
  <c r="ZJ100" i="6"/>
  <c r="ZL112" i="6"/>
  <c r="ZH100" i="6"/>
  <c r="ZI87" i="6"/>
  <c r="ZK107" i="6"/>
  <c r="ZL94" i="6"/>
  <c r="ZH82" i="6"/>
  <c r="ZI69" i="6"/>
  <c r="ZJ56" i="6"/>
  <c r="ZK43" i="6"/>
  <c r="ZL30" i="6"/>
  <c r="ZH18" i="6"/>
  <c r="ZI6" i="6"/>
  <c r="ZK105" i="6"/>
  <c r="ZL92" i="6"/>
  <c r="ZH80" i="6"/>
  <c r="ZI67" i="6"/>
  <c r="ZJ54" i="6"/>
  <c r="ZK41" i="6"/>
  <c r="ZL28" i="6"/>
  <c r="ZH16" i="6"/>
  <c r="ZJ111" i="6"/>
  <c r="ZJ87" i="6"/>
  <c r="ZL69" i="6"/>
  <c r="ZK52" i="6"/>
  <c r="ZL35" i="6"/>
  <c r="ZK18" i="6"/>
  <c r="ZG99" i="6"/>
  <c r="ZG35" i="6"/>
  <c r="ZH46" i="6"/>
  <c r="ZK104" i="6"/>
  <c r="ZJ82" i="6"/>
  <c r="ZI63" i="6"/>
  <c r="ZL113" i="6"/>
  <c r="ZI89" i="6"/>
  <c r="ZJ71" i="6"/>
  <c r="ZI54" i="6"/>
  <c r="ZL103" i="6"/>
  <c r="ZL81" i="6"/>
  <c r="ZL64" i="6"/>
  <c r="ZK47" i="6"/>
  <c r="ZL93" i="6"/>
  <c r="ZH75" i="6"/>
  <c r="ZI58" i="6"/>
  <c r="ZK112" i="6"/>
  <c r="ZI88" i="6"/>
  <c r="ZK70" i="6"/>
  <c r="ZK53" i="6"/>
  <c r="ZJ36" i="6"/>
  <c r="ZJ19" i="6"/>
  <c r="ZG94" i="6"/>
  <c r="ZG30" i="6"/>
  <c r="ZJ85" i="6"/>
  <c r="ZK34" i="6"/>
  <c r="ZL11" i="6"/>
  <c r="ZG52" i="6"/>
  <c r="ZG82" i="6"/>
  <c r="ZJ23" i="6"/>
  <c r="ZH68" i="6"/>
  <c r="ZJ28" i="6"/>
  <c r="ZG61" i="6"/>
  <c r="ZH93" i="6"/>
  <c r="ZH37" i="6"/>
  <c r="ZL13" i="6"/>
  <c r="ZG60" i="6"/>
  <c r="ZJ74" i="6"/>
  <c r="ZH19" i="6"/>
  <c r="ZI38" i="6"/>
  <c r="ZH22" i="6"/>
  <c r="ZG16" i="6"/>
  <c r="ZK72" i="6"/>
  <c r="ZI30" i="6"/>
  <c r="ZJ7" i="6"/>
  <c r="ZG47" i="6"/>
  <c r="ZI102" i="6"/>
  <c r="ZI39" i="6"/>
  <c r="ZK15" i="6"/>
  <c r="ZG77" i="6"/>
  <c r="ZL87" i="6"/>
  <c r="ZH35" i="6"/>
  <c r="ZJ12" i="6"/>
  <c r="ZG65" i="6"/>
  <c r="ZJ41" i="6"/>
  <c r="ZK111" i="6"/>
  <c r="ZL98" i="6"/>
  <c r="ZI111" i="6"/>
  <c r="ZJ98" i="6"/>
  <c r="ZK85" i="6"/>
  <c r="ZH106" i="6"/>
  <c r="ZI93" i="6"/>
  <c r="ZJ80" i="6"/>
  <c r="ZK67" i="6"/>
  <c r="ZL54" i="6"/>
  <c r="ZH42" i="6"/>
  <c r="ZI29" i="6"/>
  <c r="ZJ16" i="6"/>
  <c r="ZL116" i="6"/>
  <c r="ZH104" i="6"/>
  <c r="ZI91" i="6"/>
  <c r="ZJ78" i="6"/>
  <c r="ZK65" i="6"/>
  <c r="ZL52" i="6"/>
  <c r="ZH40" i="6"/>
  <c r="ZI27" i="6"/>
  <c r="ZJ14" i="6"/>
  <c r="ZI108" i="6"/>
  <c r="ZK84" i="6"/>
  <c r="ZL67" i="6"/>
  <c r="ZK50" i="6"/>
  <c r="ZJ33" i="6"/>
  <c r="ZK16" i="6"/>
  <c r="ZG91" i="6"/>
  <c r="ZG27" i="6"/>
  <c r="ZL41" i="6"/>
  <c r="ZJ101" i="6"/>
  <c r="ZI80" i="6"/>
  <c r="ZH61" i="6"/>
  <c r="ZK110" i="6"/>
  <c r="ZK86" i="6"/>
  <c r="ZJ69" i="6"/>
  <c r="ZI52" i="6"/>
  <c r="ZK100" i="6"/>
  <c r="ZK79" i="6"/>
  <c r="ZK62" i="6"/>
  <c r="ZI116" i="6"/>
  <c r="ZH91" i="6"/>
  <c r="ZH73" i="6"/>
  <c r="ZL55" i="6"/>
  <c r="ZJ109" i="6"/>
  <c r="ZL85" i="6"/>
  <c r="ZJ68" i="6"/>
  <c r="ZJ51" i="6"/>
  <c r="ZJ34" i="6"/>
  <c r="ZI17" i="6"/>
  <c r="ZG86" i="6"/>
  <c r="ZG22" i="6"/>
  <c r="ZK76" i="6"/>
  <c r="ZK31" i="6"/>
  <c r="ZH9" i="6"/>
  <c r="ZG41" i="6"/>
  <c r="ZG72" i="6"/>
  <c r="ZI9" i="6"/>
  <c r="ZJ59" i="6"/>
  <c r="ZK22" i="6"/>
  <c r="ZG40" i="6"/>
  <c r="ZH83" i="6"/>
  <c r="ZL33" i="6"/>
  <c r="ZH11" i="6"/>
  <c r="ZG49" i="6"/>
  <c r="ZL65" i="6"/>
  <c r="ZK13" i="6"/>
  <c r="ZJ26" i="6"/>
  <c r="ZI16" i="6"/>
  <c r="ZH99" i="6"/>
  <c r="ZL63" i="6"/>
  <c r="ZJ27" i="6"/>
  <c r="ZK6" i="6"/>
  <c r="ZG36" i="6"/>
  <c r="ZI90" i="6"/>
  <c r="ZH36" i="6"/>
  <c r="ZK12" i="6"/>
  <c r="ZG66" i="6"/>
  <c r="ZH79" i="6"/>
  <c r="ZK32" i="6"/>
  <c r="ZJ9" i="6"/>
  <c r="ZG55" i="6"/>
  <c r="ZH29" i="6"/>
  <c r="ZH110" i="6"/>
  <c r="ZI97" i="6"/>
  <c r="ZK109" i="6"/>
  <c r="ZL96" i="6"/>
  <c r="ZI117" i="6"/>
  <c r="ZJ104" i="6"/>
  <c r="ZK91" i="6"/>
  <c r="ZL78" i="6"/>
  <c r="ZH66" i="6"/>
  <c r="ZI53" i="6"/>
  <c r="ZJ40" i="6"/>
  <c r="ZK27" i="6"/>
  <c r="ZL14" i="6"/>
  <c r="ZI115" i="6"/>
  <c r="ZJ102" i="6"/>
  <c r="ZK89" i="6"/>
  <c r="ZL76" i="6"/>
  <c r="ZH64" i="6"/>
  <c r="ZI51" i="6"/>
  <c r="ZJ38" i="6"/>
  <c r="ZK25" i="6"/>
  <c r="ZL12" i="6"/>
  <c r="ZH105" i="6"/>
  <c r="ZK82" i="6"/>
  <c r="ZJ65" i="6"/>
  <c r="ZK48" i="6"/>
  <c r="ZJ31" i="6"/>
  <c r="ZI14" i="6"/>
  <c r="ZG83" i="6"/>
  <c r="ZG19" i="6"/>
  <c r="ZK39" i="6"/>
  <c r="ZI98" i="6"/>
  <c r="ZH78" i="6"/>
  <c r="ZL56" i="6"/>
  <c r="ZJ107" i="6"/>
  <c r="ZI84" i="6"/>
  <c r="ZH67" i="6"/>
  <c r="ZI50" i="6"/>
  <c r="ZJ97" i="6"/>
  <c r="ZK77" i="6"/>
  <c r="ZJ60" i="6"/>
  <c r="ZH113" i="6"/>
  <c r="ZK88" i="6"/>
  <c r="ZH71" i="6"/>
  <c r="ZL53" i="6"/>
  <c r="ZI106" i="6"/>
  <c r="ZJ83" i="6"/>
  <c r="ZJ66" i="6"/>
  <c r="ZI49" i="6"/>
  <c r="ZI32" i="6"/>
  <c r="ZI15" i="6"/>
  <c r="ZG78" i="6"/>
  <c r="ZG14" i="6"/>
  <c r="ZI68" i="6"/>
  <c r="ZK28" i="6"/>
  <c r="ZG116" i="6"/>
  <c r="ZG31" i="6"/>
  <c r="ZG50" i="6"/>
  <c r="ZG74" i="6"/>
  <c r="ZL50" i="6"/>
  <c r="ZH20" i="6"/>
  <c r="ZG18" i="6"/>
  <c r="ZK74" i="6"/>
  <c r="ZH31" i="6"/>
  <c r="ZI8" i="6"/>
  <c r="ZG39" i="6"/>
  <c r="ZL48" i="6"/>
  <c r="ZK7" i="6"/>
  <c r="ZG96" i="6"/>
  <c r="ZK10" i="6"/>
  <c r="ZH15" i="6"/>
  <c r="ZJ55" i="6"/>
  <c r="ZK24" i="6"/>
  <c r="ZG111" i="6"/>
  <c r="ZG25" i="6"/>
  <c r="ZL80" i="6"/>
  <c r="ZL32" i="6"/>
  <c r="ZL9" i="6"/>
  <c r="ZG56" i="6"/>
  <c r="ZI70" i="6"/>
  <c r="ZK29" i="6"/>
  <c r="ZH7" i="6"/>
  <c r="ZG44" i="6"/>
  <c r="ZL17" i="6"/>
  <c r="O47" i="6"/>
  <c r="QA106" i="6"/>
  <c r="QB93" i="6"/>
  <c r="QC80" i="6"/>
  <c r="PY68" i="6"/>
  <c r="PZ55" i="6"/>
  <c r="QA42" i="6"/>
  <c r="QB29" i="6"/>
  <c r="QC16" i="6"/>
  <c r="QC115" i="6"/>
  <c r="PY103" i="6"/>
  <c r="PZ90" i="6"/>
  <c r="QA77" i="6"/>
  <c r="QB64" i="6"/>
  <c r="QC51" i="6"/>
  <c r="PY39" i="6"/>
  <c r="PZ26" i="6"/>
  <c r="QA13" i="6"/>
  <c r="PZ112" i="6"/>
  <c r="QA99" i="6"/>
  <c r="QB86" i="6"/>
  <c r="QC73" i="6"/>
  <c r="PY61" i="6"/>
  <c r="PZ48" i="6"/>
  <c r="QA35" i="6"/>
  <c r="QB22" i="6"/>
  <c r="QC9" i="6"/>
  <c r="QC101" i="6"/>
  <c r="PZ81" i="6"/>
  <c r="QB60" i="6"/>
  <c r="PY40" i="6"/>
  <c r="QB19" i="6"/>
  <c r="PY59" i="6"/>
  <c r="QA79" i="6"/>
  <c r="QB116" i="6"/>
  <c r="PY96" i="6"/>
  <c r="QB75" i="6"/>
  <c r="QA55" i="6"/>
  <c r="QC34" i="6"/>
  <c r="PZ14" i="6"/>
  <c r="QC76" i="6"/>
  <c r="PZ107" i="6"/>
  <c r="PY116" i="6"/>
  <c r="PZ103" i="6"/>
  <c r="QA90" i="6"/>
  <c r="QB77" i="6"/>
  <c r="QC64" i="6"/>
  <c r="PY52" i="6"/>
  <c r="PZ39" i="6"/>
  <c r="QA26" i="6"/>
  <c r="QB13" i="6"/>
  <c r="QB112" i="6"/>
  <c r="QC99" i="6"/>
  <c r="PY87" i="6"/>
  <c r="PZ74" i="6"/>
  <c r="QA61" i="6"/>
  <c r="QB48" i="6"/>
  <c r="QC35" i="6"/>
  <c r="PY23" i="6"/>
  <c r="PZ10" i="6"/>
  <c r="PY109" i="6"/>
  <c r="PZ96" i="6"/>
  <c r="QA83" i="6"/>
  <c r="QB70" i="6"/>
  <c r="QC57" i="6"/>
  <c r="PY45" i="6"/>
  <c r="PZ32" i="6"/>
  <c r="QA19" i="6"/>
  <c r="QC116" i="6"/>
  <c r="QA96" i="6"/>
  <c r="PZ76" i="6"/>
  <c r="QB55" i="6"/>
  <c r="PY35" i="6"/>
  <c r="QA14" i="6"/>
  <c r="PZ36" i="6"/>
  <c r="QC53" i="6"/>
  <c r="QB111" i="6"/>
  <c r="PY91" i="6"/>
  <c r="QA70" i="6"/>
  <c r="PY50" i="6"/>
  <c r="QC29" i="6"/>
  <c r="PZ9" i="6"/>
  <c r="QA56" i="6"/>
  <c r="PZ92" i="6"/>
  <c r="QA114" i="6"/>
  <c r="QB101" i="6"/>
  <c r="QC88" i="6"/>
  <c r="PY76" i="6"/>
  <c r="PZ63" i="6"/>
  <c r="QA50" i="6"/>
  <c r="QB37" i="6"/>
  <c r="QC24" i="6"/>
  <c r="PY12" i="6"/>
  <c r="PY111" i="6"/>
  <c r="PZ98" i="6"/>
  <c r="QA85" i="6"/>
  <c r="QB72" i="6"/>
  <c r="QC59" i="6"/>
  <c r="PY47" i="6"/>
  <c r="PZ34" i="6"/>
  <c r="QA21" i="6"/>
  <c r="QB8" i="6"/>
  <c r="QA107" i="6"/>
  <c r="QB94" i="6"/>
  <c r="QC81" i="6"/>
  <c r="PY69" i="6"/>
  <c r="PZ56" i="6"/>
  <c r="QA43" i="6"/>
  <c r="QB30" i="6"/>
  <c r="QC17" i="6"/>
  <c r="QB114" i="6"/>
  <c r="PY94" i="6"/>
  <c r="QA73" i="6"/>
  <c r="QC52" i="6"/>
  <c r="QA32" i="6"/>
  <c r="PZ12" i="6"/>
  <c r="QA28" i="6"/>
  <c r="PY46" i="6"/>
  <c r="QC108" i="6"/>
  <c r="QA88" i="6"/>
  <c r="PZ68" i="6"/>
  <c r="QB47" i="6"/>
  <c r="PY27" i="6"/>
  <c r="QB6" i="6"/>
  <c r="PY49" i="6"/>
  <c r="QA84" i="6"/>
  <c r="QA116" i="6"/>
  <c r="QC95" i="6"/>
  <c r="PZ75" i="6"/>
  <c r="QC54" i="6"/>
  <c r="QB34" i="6"/>
  <c r="PY14" i="6"/>
  <c r="QB79" i="6"/>
  <c r="QA25" i="6"/>
  <c r="QB105" i="6"/>
  <c r="PZ85" i="6"/>
  <c r="PY65" i="6"/>
  <c r="QA44" i="6"/>
  <c r="QC23" i="6"/>
  <c r="PZ69" i="6"/>
  <c r="PZ33" i="6"/>
  <c r="QC102" i="6"/>
  <c r="QB82" i="6"/>
  <c r="PY62" i="6"/>
  <c r="QA41" i="6"/>
  <c r="QC20" i="6"/>
  <c r="QB107" i="6"/>
  <c r="QB25" i="6"/>
  <c r="QB71" i="6"/>
  <c r="QC60" i="6"/>
  <c r="PZ94" i="6"/>
  <c r="PZ30" i="6"/>
  <c r="QA86" i="6"/>
  <c r="QA22" i="6"/>
  <c r="PX69" i="6"/>
  <c r="PX100" i="6"/>
  <c r="PX98" i="6"/>
  <c r="PX81" i="6"/>
  <c r="PX17" i="6"/>
  <c r="PX56" i="6"/>
  <c r="PX79" i="6"/>
  <c r="PX15" i="6"/>
  <c r="PX94" i="6"/>
  <c r="PX30" i="6"/>
  <c r="PX107" i="6"/>
  <c r="PX35" i="6"/>
  <c r="PX11" i="6"/>
  <c r="PX42" i="6"/>
  <c r="QC112" i="6"/>
  <c r="PY100" i="6"/>
  <c r="PZ87" i="6"/>
  <c r="QA74" i="6"/>
  <c r="QB61" i="6"/>
  <c r="QC48" i="6"/>
  <c r="PY36" i="6"/>
  <c r="PZ23" i="6"/>
  <c r="QA10" i="6"/>
  <c r="QA109" i="6"/>
  <c r="QB96" i="6"/>
  <c r="QC83" i="6"/>
  <c r="PY71" i="6"/>
  <c r="PZ58" i="6"/>
  <c r="QA45" i="6"/>
  <c r="QB32" i="6"/>
  <c r="QC19" i="6"/>
  <c r="PY7" i="6"/>
  <c r="QC105" i="6"/>
  <c r="PY93" i="6"/>
  <c r="PZ80" i="6"/>
  <c r="QA67" i="6"/>
  <c r="QB54" i="6"/>
  <c r="QC41" i="6"/>
  <c r="PY29" i="6"/>
  <c r="PZ16" i="6"/>
  <c r="QC111" i="6"/>
  <c r="PZ91" i="6"/>
  <c r="QC70" i="6"/>
  <c r="QB50" i="6"/>
  <c r="PY30" i="6"/>
  <c r="QA9" i="6"/>
  <c r="QB15" i="6"/>
  <c r="QB35" i="6"/>
  <c r="QB106" i="6"/>
  <c r="PY86" i="6"/>
  <c r="QA65" i="6"/>
  <c r="QC44" i="6"/>
  <c r="QA24" i="6"/>
  <c r="PZ110" i="6"/>
  <c r="PZ41" i="6"/>
  <c r="QB109" i="6"/>
  <c r="QC96" i="6"/>
  <c r="PY84" i="6"/>
  <c r="PZ71" i="6"/>
  <c r="QA58" i="6"/>
  <c r="QB45" i="6"/>
  <c r="QC32" i="6"/>
  <c r="PY20" i="6"/>
  <c r="PZ7" i="6"/>
  <c r="PZ106" i="6"/>
  <c r="QA93" i="6"/>
  <c r="QB80" i="6"/>
  <c r="QC67" i="6"/>
  <c r="PY55" i="6"/>
  <c r="PZ42" i="6"/>
  <c r="QA29" i="6"/>
  <c r="QB16" i="6"/>
  <c r="QA115" i="6"/>
  <c r="QB102" i="6"/>
  <c r="QC89" i="6"/>
  <c r="PY77" i="6"/>
  <c r="PZ64" i="6"/>
  <c r="QA51" i="6"/>
  <c r="QB38" i="6"/>
  <c r="QC25" i="6"/>
  <c r="PY13" i="6"/>
  <c r="QC106" i="6"/>
  <c r="PZ86" i="6"/>
  <c r="QB65" i="6"/>
  <c r="PZ45" i="6"/>
  <c r="PY25" i="6"/>
  <c r="QB89" i="6"/>
  <c r="PZ102" i="6"/>
  <c r="QB7" i="6"/>
  <c r="PZ101" i="6"/>
  <c r="PY81" i="6"/>
  <c r="QA60" i="6"/>
  <c r="QC39" i="6"/>
  <c r="PZ19" i="6"/>
  <c r="QA92" i="6"/>
  <c r="PY18" i="6"/>
  <c r="PY108" i="6"/>
  <c r="PZ95" i="6"/>
  <c r="QA82" i="6"/>
  <c r="QB69" i="6"/>
  <c r="QC56" i="6"/>
  <c r="PY44" i="6"/>
  <c r="PZ31" i="6"/>
  <c r="QA18" i="6"/>
  <c r="QA117" i="6"/>
  <c r="QB104" i="6"/>
  <c r="QC91" i="6"/>
  <c r="PY79" i="6"/>
  <c r="PZ66" i="6"/>
  <c r="QA53" i="6"/>
  <c r="QB40" i="6"/>
  <c r="QC27" i="6"/>
  <c r="PY15" i="6"/>
  <c r="QC113" i="6"/>
  <c r="PY101" i="6"/>
  <c r="PZ88" i="6"/>
  <c r="QA75" i="6"/>
  <c r="QB62" i="6"/>
  <c r="QC49" i="6"/>
  <c r="PY37" i="6"/>
  <c r="PZ24" i="6"/>
  <c r="QA11" i="6"/>
  <c r="PY104" i="6"/>
  <c r="QB83" i="6"/>
  <c r="QA63" i="6"/>
  <c r="QC42" i="6"/>
  <c r="PZ22" i="6"/>
  <c r="QC71" i="6"/>
  <c r="QA89" i="6"/>
  <c r="PY112" i="6"/>
  <c r="QC98" i="6"/>
  <c r="PZ78" i="6"/>
  <c r="QB57" i="6"/>
  <c r="PZ37" i="6"/>
  <c r="PY17" i="6"/>
  <c r="PY82" i="6"/>
  <c r="PY115" i="6"/>
  <c r="QA48" i="6"/>
  <c r="PY106" i="6"/>
  <c r="QC85" i="6"/>
  <c r="PZ65" i="6"/>
  <c r="QB44" i="6"/>
  <c r="PY24" i="6"/>
  <c r="PY113" i="6"/>
  <c r="QC30" i="6"/>
  <c r="PZ116" i="6"/>
  <c r="QB95" i="6"/>
  <c r="PY75" i="6"/>
  <c r="QA54" i="6"/>
  <c r="PY34" i="6"/>
  <c r="QC13" i="6"/>
  <c r="QB76" i="6"/>
  <c r="PZ113" i="6"/>
  <c r="QB92" i="6"/>
  <c r="PY72" i="6"/>
  <c r="QB51" i="6"/>
  <c r="QA31" i="6"/>
  <c r="QC10" i="6"/>
  <c r="QB74" i="6"/>
  <c r="PY105" i="6"/>
  <c r="QB17" i="6"/>
  <c r="QA76" i="6"/>
  <c r="QA12" i="6"/>
  <c r="PY48" i="6"/>
  <c r="QA104" i="6"/>
  <c r="PY38" i="6"/>
  <c r="PX101" i="6"/>
  <c r="PX37" i="6"/>
  <c r="PX44" i="6"/>
  <c r="PX113" i="6"/>
  <c r="PX49" i="6"/>
  <c r="PX88" i="6"/>
  <c r="PX111" i="6"/>
  <c r="PX47" i="6"/>
  <c r="PX36" i="6"/>
  <c r="PX62" i="6"/>
  <c r="PX84" i="6"/>
  <c r="PX51" i="6"/>
  <c r="PX83" i="6"/>
  <c r="PX10" i="6"/>
  <c r="PX6" i="6"/>
  <c r="QC72" i="6"/>
  <c r="QB21" i="6"/>
  <c r="PZ82" i="6"/>
  <c r="PY31" i="6"/>
  <c r="QA91" i="6"/>
  <c r="PZ40" i="6"/>
  <c r="PY89" i="6"/>
  <c r="QC6" i="6"/>
  <c r="PZ83" i="6"/>
  <c r="PZ100" i="6"/>
  <c r="QA30" i="6"/>
  <c r="PZ93" i="6"/>
  <c r="QB67" i="6"/>
  <c r="QB39" i="6"/>
  <c r="PZ11" i="6"/>
  <c r="QB43" i="6"/>
  <c r="QC110" i="6"/>
  <c r="QC82" i="6"/>
  <c r="PZ57" i="6"/>
  <c r="QC28" i="6"/>
  <c r="QA23" i="6"/>
  <c r="QB115" i="6"/>
  <c r="QB87" i="6"/>
  <c r="PZ59" i="6"/>
  <c r="QB33" i="6"/>
  <c r="PY6" i="6"/>
  <c r="QC12" i="6"/>
  <c r="PZ28" i="6"/>
  <c r="PZ35" i="6"/>
  <c r="QB9" i="6"/>
  <c r="PZ25" i="6"/>
  <c r="PX61" i="6"/>
  <c r="PX108" i="6"/>
  <c r="PX97" i="6"/>
  <c r="PX9" i="6"/>
  <c r="PX104" i="6"/>
  <c r="PX31" i="6"/>
  <c r="PX86" i="6"/>
  <c r="PX116" i="6"/>
  <c r="PX18" i="6"/>
  <c r="PX43" i="6"/>
  <c r="QB46" i="6"/>
  <c r="QB98" i="6"/>
  <c r="QB59" i="6"/>
  <c r="PY8" i="6"/>
  <c r="QA17" i="6"/>
  <c r="PX39" i="6"/>
  <c r="QB117" i="6"/>
  <c r="QA66" i="6"/>
  <c r="PZ15" i="6"/>
  <c r="QC75" i="6"/>
  <c r="QB24" i="6"/>
  <c r="PY85" i="6"/>
  <c r="QC33" i="6"/>
  <c r="QA78" i="6"/>
  <c r="PZ46" i="6"/>
  <c r="PZ73" i="6"/>
  <c r="QC66" i="6"/>
  <c r="QA15" i="6"/>
  <c r="QC90" i="6"/>
  <c r="QA62" i="6"/>
  <c r="QC36" i="6"/>
  <c r="PY9" i="6"/>
  <c r="QB20" i="6"/>
  <c r="QA108" i="6"/>
  <c r="PY80" i="6"/>
  <c r="PZ52" i="6"/>
  <c r="QB26" i="6"/>
  <c r="QC7" i="6"/>
  <c r="QA110" i="6"/>
  <c r="QC84" i="6"/>
  <c r="PY57" i="6"/>
  <c r="QB28" i="6"/>
  <c r="PZ115" i="6"/>
  <c r="QC117" i="6"/>
  <c r="PZ117" i="6"/>
  <c r="QC14" i="6"/>
  <c r="PZ89" i="6"/>
  <c r="PZ84" i="6"/>
  <c r="PX53" i="6"/>
  <c r="PX115" i="6"/>
  <c r="PX89" i="6"/>
  <c r="PX112" i="6"/>
  <c r="PX103" i="6"/>
  <c r="PX23" i="6"/>
  <c r="PX78" i="6"/>
  <c r="PX76" i="6"/>
  <c r="PX67" i="6"/>
  <c r="PX59" i="6"/>
  <c r="QB88" i="6"/>
  <c r="PZ38" i="6"/>
  <c r="QA113" i="6"/>
  <c r="PY10" i="6"/>
  <c r="QA38" i="6"/>
  <c r="PX77" i="6"/>
  <c r="PX102" i="6"/>
  <c r="PZ111" i="6"/>
  <c r="PY60" i="6"/>
  <c r="QC8" i="6"/>
  <c r="QA69" i="6"/>
  <c r="PZ18" i="6"/>
  <c r="QB78" i="6"/>
  <c r="QA27" i="6"/>
  <c r="QA68" i="6"/>
  <c r="PY110" i="6"/>
  <c r="QC62" i="6"/>
  <c r="QA33" i="6"/>
  <c r="QB113" i="6"/>
  <c r="PY88" i="6"/>
  <c r="PZ60" i="6"/>
  <c r="QC31" i="6"/>
  <c r="QA6" i="6"/>
  <c r="QB10" i="6"/>
  <c r="QA103" i="6"/>
  <c r="QC77" i="6"/>
  <c r="QA49" i="6"/>
  <c r="PZ21" i="6"/>
  <c r="QC86" i="6"/>
  <c r="PZ108" i="6"/>
  <c r="QC79" i="6"/>
  <c r="PZ54" i="6"/>
  <c r="PY26" i="6"/>
  <c r="QA102" i="6"/>
  <c r="QA112" i="6"/>
  <c r="PZ99" i="6"/>
  <c r="QB73" i="6"/>
  <c r="QB68" i="6"/>
  <c r="QB63" i="6"/>
  <c r="PX45" i="6"/>
  <c r="PX114" i="6"/>
  <c r="PX73" i="6"/>
  <c r="PX96" i="6"/>
  <c r="PX95" i="6"/>
  <c r="PX7" i="6"/>
  <c r="PX70" i="6"/>
  <c r="PX52" i="6"/>
  <c r="PX16" i="6"/>
  <c r="PX32" i="6"/>
  <c r="PY28" i="6"/>
  <c r="PZ17" i="6"/>
  <c r="PZ70" i="6"/>
  <c r="QC87" i="6"/>
  <c r="QA64" i="6"/>
  <c r="QC45" i="6"/>
  <c r="PX40" i="6"/>
  <c r="QC104" i="6"/>
  <c r="QB53" i="6"/>
  <c r="PZ114" i="6"/>
  <c r="PY63" i="6"/>
  <c r="QC11" i="6"/>
  <c r="PZ72" i="6"/>
  <c r="PY21" i="6"/>
  <c r="PY58" i="6"/>
  <c r="QC63" i="6"/>
  <c r="QB52" i="6"/>
  <c r="QB99" i="6"/>
  <c r="QA111" i="6"/>
  <c r="PY83" i="6"/>
  <c r="QA57" i="6"/>
  <c r="PZ29" i="6"/>
  <c r="PZ105" i="6"/>
  <c r="QC68" i="6"/>
  <c r="QB100" i="6"/>
  <c r="QA72" i="6"/>
  <c r="QC46" i="6"/>
  <c r="QC18" i="6"/>
  <c r="QB66" i="6"/>
  <c r="QA105" i="6"/>
  <c r="PZ77" i="6"/>
  <c r="PZ49" i="6"/>
  <c r="QB23" i="6"/>
  <c r="QC94" i="6"/>
  <c r="PZ97" i="6"/>
  <c r="PY102" i="6"/>
  <c r="PZ53" i="6"/>
  <c r="QB27" i="6"/>
  <c r="PY43" i="6"/>
  <c r="PX117" i="6"/>
  <c r="PX29" i="6"/>
  <c r="PX106" i="6"/>
  <c r="PX65" i="6"/>
  <c r="PX80" i="6"/>
  <c r="PX87" i="6"/>
  <c r="PX92" i="6"/>
  <c r="PX54" i="6"/>
  <c r="PX20" i="6"/>
  <c r="PX26" i="6"/>
  <c r="PX99" i="6"/>
  <c r="PY99" i="6"/>
  <c r="PY42" i="6"/>
  <c r="QB31" i="6"/>
  <c r="QA36" i="6"/>
  <c r="QC50" i="6"/>
  <c r="PX28" i="6"/>
  <c r="PX14" i="6"/>
  <c r="QA98" i="6"/>
  <c r="PZ47" i="6"/>
  <c r="QC107" i="6"/>
  <c r="QB56" i="6"/>
  <c r="PY117" i="6"/>
  <c r="QC65" i="6"/>
  <c r="QB14" i="6"/>
  <c r="QC47" i="6"/>
  <c r="QA20" i="6"/>
  <c r="QB42" i="6"/>
  <c r="PY74" i="6"/>
  <c r="QB108" i="6"/>
  <c r="QA80" i="6"/>
  <c r="QA52" i="6"/>
  <c r="QC26" i="6"/>
  <c r="QA97" i="6"/>
  <c r="QB12" i="6"/>
  <c r="PY98" i="6"/>
  <c r="PY70" i="6"/>
  <c r="QB41" i="6"/>
  <c r="PY16" i="6"/>
  <c r="PY51" i="6"/>
  <c r="QA100" i="6"/>
  <c r="QC74" i="6"/>
  <c r="QA46" i="6"/>
  <c r="QB18" i="6"/>
  <c r="QB84" i="6"/>
  <c r="QA94" i="6"/>
  <c r="QA40" i="6"/>
  <c r="PY33" i="6"/>
  <c r="QA7" i="6"/>
  <c r="QA81" i="6"/>
  <c r="PX109" i="6"/>
  <c r="PX21" i="6"/>
  <c r="PX90" i="6"/>
  <c r="PX57" i="6"/>
  <c r="PX72" i="6"/>
  <c r="PX71" i="6"/>
  <c r="PX60" i="6"/>
  <c r="PX46" i="6"/>
  <c r="PX58" i="6"/>
  <c r="PX24" i="6"/>
  <c r="PX50" i="6"/>
  <c r="PZ79" i="6"/>
  <c r="QC97" i="6"/>
  <c r="QB11" i="6"/>
  <c r="PY54" i="6"/>
  <c r="PY90" i="6"/>
  <c r="QC55" i="6"/>
  <c r="PX25" i="6"/>
  <c r="PX34" i="6"/>
  <c r="PY92" i="6"/>
  <c r="QC40" i="6"/>
  <c r="QA101" i="6"/>
  <c r="PZ50" i="6"/>
  <c r="QB110" i="6"/>
  <c r="QA59" i="6"/>
  <c r="PZ8" i="6"/>
  <c r="QC37" i="6"/>
  <c r="PY114" i="6"/>
  <c r="PY32" i="6"/>
  <c r="PZ61" i="6"/>
  <c r="QB103" i="6"/>
  <c r="PY78" i="6"/>
  <c r="QB49" i="6"/>
  <c r="QC21" i="6"/>
  <c r="QA87" i="6"/>
  <c r="QC114" i="6"/>
  <c r="QC92" i="6"/>
  <c r="PZ67" i="6"/>
  <c r="QA39" i="6"/>
  <c r="PY11" i="6"/>
  <c r="PZ43" i="6"/>
  <c r="QB97" i="6"/>
  <c r="QC69" i="6"/>
  <c r="PZ44" i="6"/>
  <c r="QC15" i="6"/>
  <c r="QC61" i="6"/>
  <c r="QB81" i="6"/>
  <c r="QB58" i="6"/>
  <c r="QB91" i="6"/>
  <c r="QC109" i="6"/>
  <c r="PZ20" i="6"/>
  <c r="PX93" i="6"/>
  <c r="PX13" i="6"/>
  <c r="PX82" i="6"/>
  <c r="PX41" i="6"/>
  <c r="PX64" i="6"/>
  <c r="PX63" i="6"/>
  <c r="PX12" i="6"/>
  <c r="PX38" i="6"/>
  <c r="PX27" i="6"/>
  <c r="PX75" i="6"/>
  <c r="PX19" i="6"/>
  <c r="QB85" i="6"/>
  <c r="QA34" i="6"/>
  <c r="PY95" i="6"/>
  <c r="QC43" i="6"/>
  <c r="PZ104" i="6"/>
  <c r="PY53" i="6"/>
  <c r="PZ109" i="6"/>
  <c r="PZ27" i="6"/>
  <c r="QC103" i="6"/>
  <c r="PY22" i="6"/>
  <c r="QC58" i="6"/>
  <c r="QC100" i="6"/>
  <c r="PY73" i="6"/>
  <c r="QA47" i="6"/>
  <c r="PY19" i="6"/>
  <c r="PY64" i="6"/>
  <c r="PY107" i="6"/>
  <c r="QB90" i="6"/>
  <c r="PZ62" i="6"/>
  <c r="QB36" i="6"/>
  <c r="QA8" i="6"/>
  <c r="QC22" i="6"/>
  <c r="QA95" i="6"/>
  <c r="PY67" i="6"/>
  <c r="QC38" i="6"/>
  <c r="PZ13" i="6"/>
  <c r="PZ51" i="6"/>
  <c r="PY56" i="6"/>
  <c r="PY97" i="6"/>
  <c r="QA71" i="6"/>
  <c r="PY66" i="6"/>
  <c r="QC78" i="6"/>
  <c r="PX85" i="6"/>
  <c r="PX68" i="6"/>
  <c r="PX74" i="6"/>
  <c r="PX33" i="6"/>
  <c r="PX48" i="6"/>
  <c r="PX55" i="6"/>
  <c r="PX110" i="6"/>
  <c r="PX22" i="6"/>
  <c r="PX8" i="6"/>
  <c r="PX66" i="6"/>
  <c r="QA37" i="6"/>
  <c r="QC93" i="6"/>
  <c r="QA16" i="6"/>
  <c r="PZ6" i="6"/>
  <c r="PY41" i="6"/>
  <c r="PX105" i="6"/>
  <c r="PX91" i="6"/>
  <c r="WR92" i="6"/>
  <c r="WR61" i="6"/>
  <c r="WR28" i="6"/>
  <c r="WR76" i="6"/>
  <c r="WR6" i="6"/>
  <c r="WR77" i="6"/>
  <c r="WR83" i="6"/>
  <c r="WR17" i="6"/>
  <c r="WR23" i="6"/>
  <c r="WR82" i="6"/>
  <c r="FG72" i="6"/>
  <c r="FG70" i="6"/>
  <c r="FG111" i="6"/>
  <c r="FG64" i="6"/>
  <c r="FG58" i="6"/>
  <c r="FG46" i="6"/>
  <c r="FG59" i="6"/>
  <c r="FG92" i="6"/>
  <c r="FG99" i="6"/>
  <c r="FG39" i="6"/>
  <c r="FG109" i="6"/>
  <c r="FG17" i="6"/>
  <c r="FG114" i="6"/>
  <c r="FG55" i="6"/>
  <c r="FG62" i="6"/>
  <c r="CG16" i="6"/>
  <c r="CG77" i="6"/>
  <c r="CG8" i="6"/>
  <c r="CG57" i="6"/>
  <c r="CG35" i="6"/>
  <c r="CG106" i="6"/>
  <c r="CG15" i="6"/>
  <c r="CG86" i="6"/>
  <c r="CG37" i="6"/>
  <c r="GO41" i="6"/>
  <c r="GO28" i="6"/>
  <c r="GO68" i="6"/>
  <c r="GO7" i="6"/>
  <c r="HF75" i="6"/>
  <c r="HF79" i="6"/>
  <c r="HF61" i="6"/>
  <c r="HF95" i="6"/>
  <c r="HF104" i="6"/>
  <c r="HF36" i="6"/>
  <c r="HF18" i="6"/>
  <c r="HF111" i="6"/>
  <c r="HF6" i="6"/>
  <c r="HF8" i="6"/>
  <c r="HF52" i="6"/>
  <c r="ACG116" i="6"/>
  <c r="ACG87" i="6"/>
  <c r="ACG37" i="6"/>
  <c r="ACG33" i="6"/>
  <c r="ACG78" i="6"/>
  <c r="ACG48" i="6"/>
  <c r="ACG74" i="6"/>
  <c r="ACG60" i="6"/>
  <c r="ACG104" i="6"/>
  <c r="ACG51" i="6"/>
  <c r="VX9" i="6"/>
  <c r="VX43" i="6"/>
  <c r="VX54" i="6"/>
  <c r="VX61" i="6"/>
  <c r="VX72" i="6"/>
  <c r="VX95" i="6"/>
  <c r="VX106" i="6"/>
  <c r="VX12" i="6"/>
  <c r="VX35" i="6"/>
  <c r="VX46" i="6"/>
  <c r="VX69" i="6"/>
  <c r="VX80" i="6"/>
  <c r="VX103" i="6"/>
  <c r="VX114" i="6"/>
  <c r="DY94" i="6"/>
  <c r="DY72" i="6"/>
  <c r="DY101" i="6"/>
  <c r="DY22" i="6"/>
  <c r="DY96" i="6"/>
  <c r="DY75" i="6"/>
  <c r="DY25" i="6"/>
  <c r="DY18" i="6"/>
  <c r="DY28" i="6"/>
  <c r="DY27" i="6"/>
  <c r="DY26" i="6"/>
  <c r="DY16" i="6"/>
  <c r="DY98" i="6"/>
  <c r="XN37" i="6"/>
  <c r="XN78" i="6"/>
  <c r="XN60" i="6"/>
  <c r="DH119" i="6"/>
  <c r="XY76" i="6"/>
  <c r="XY95" i="6"/>
  <c r="XY16" i="6"/>
  <c r="XY50" i="6"/>
  <c r="XY74" i="6"/>
  <c r="XY105" i="6"/>
  <c r="XY46" i="6"/>
  <c r="XY19" i="6"/>
  <c r="XC117" i="6"/>
  <c r="XC89" i="6"/>
  <c r="XC21" i="6"/>
  <c r="XC88" i="6"/>
  <c r="XC91" i="6"/>
  <c r="YU26" i="6"/>
  <c r="YU93" i="6"/>
  <c r="YU58" i="6"/>
  <c r="YU54" i="6"/>
  <c r="YU15" i="6"/>
  <c r="YU92" i="6"/>
  <c r="YU95" i="6"/>
  <c r="YU99" i="6"/>
  <c r="BN42" i="6"/>
  <c r="BN77" i="6"/>
  <c r="BN54" i="6"/>
  <c r="BN27" i="6"/>
  <c r="BN33" i="6"/>
  <c r="BN60" i="6"/>
  <c r="BN69" i="6"/>
  <c r="BN68" i="6"/>
  <c r="BN47" i="6"/>
  <c r="BN115" i="6"/>
  <c r="BN11" i="6"/>
  <c r="BN18" i="6"/>
  <c r="BN78" i="6"/>
  <c r="EP51" i="6"/>
  <c r="EP47" i="6"/>
  <c r="EP43" i="6"/>
  <c r="EP39" i="6"/>
  <c r="EP20" i="6"/>
  <c r="EP81" i="6"/>
  <c r="EP71" i="6"/>
  <c r="EP64" i="6"/>
  <c r="EP79" i="6"/>
  <c r="EP69" i="6"/>
  <c r="EP19" i="6"/>
  <c r="EP112" i="6"/>
  <c r="EP23" i="6"/>
  <c r="EP84" i="6"/>
  <c r="EP72" i="6"/>
  <c r="EP22" i="6"/>
  <c r="EP115" i="6"/>
  <c r="EP18" i="6"/>
  <c r="EP12" i="6"/>
  <c r="EP17" i="6"/>
  <c r="EP78" i="6"/>
  <c r="EP61" i="6"/>
  <c r="ACS43" i="6"/>
  <c r="ACS46" i="6"/>
  <c r="ACS55" i="6"/>
  <c r="ACS80" i="6"/>
  <c r="ACS42" i="6"/>
  <c r="ACS20" i="6"/>
  <c r="ACS62" i="6"/>
  <c r="ACS79" i="6"/>
  <c r="N231" i="4"/>
  <c r="N293" i="4"/>
  <c r="N233" i="4"/>
  <c r="Z243" i="4"/>
  <c r="Q293" i="4"/>
  <c r="N294" i="4"/>
  <c r="Y243" i="4"/>
  <c r="AA243" i="4"/>
  <c r="N232" i="4"/>
  <c r="Q224" i="4"/>
  <c r="Q231" i="4"/>
  <c r="Q288" i="4"/>
  <c r="Q284" i="4"/>
  <c r="Z240" i="4"/>
  <c r="Q232" i="4"/>
  <c r="Q292" i="4"/>
  <c r="Q291" i="4"/>
  <c r="AA241" i="4"/>
  <c r="Y240" i="4"/>
  <c r="AA240" i="4"/>
  <c r="Z241" i="4"/>
  <c r="Y242" i="4"/>
  <c r="Y241" i="4"/>
  <c r="AA242" i="4"/>
  <c r="Z242" i="4"/>
  <c r="Q294" i="4"/>
  <c r="N284" i="4"/>
  <c r="N291" i="4"/>
  <c r="N292" i="4"/>
  <c r="Q233" i="4"/>
  <c r="N286" i="4"/>
  <c r="Q285" i="4"/>
  <c r="N285" i="4"/>
  <c r="N226" i="4"/>
  <c r="N287" i="4"/>
  <c r="N288" i="4"/>
  <c r="N224" i="4"/>
  <c r="Q286" i="4"/>
  <c r="Q287" i="4"/>
  <c r="N18" i="4"/>
  <c r="N227" i="4"/>
  <c r="Q225" i="4"/>
  <c r="Q226" i="4"/>
  <c r="Q227" i="4"/>
  <c r="N225" i="4"/>
  <c r="N25" i="4"/>
  <c r="Q26" i="4"/>
  <c r="N21" i="4"/>
  <c r="N26" i="4"/>
  <c r="Q25" i="4"/>
  <c r="Q18" i="4"/>
  <c r="N24" i="4"/>
  <c r="Q22" i="4"/>
  <c r="Q19" i="4"/>
  <c r="Q24" i="4"/>
  <c r="N22" i="4"/>
  <c r="N19" i="4"/>
  <c r="Q20" i="4"/>
  <c r="N20" i="4"/>
  <c r="N23" i="4"/>
  <c r="Q23" i="4"/>
  <c r="Q21" i="4"/>
  <c r="N33" i="4"/>
  <c r="Q34" i="4"/>
  <c r="N32" i="4"/>
  <c r="Q33" i="4"/>
  <c r="N31" i="4"/>
  <c r="Q32" i="4"/>
  <c r="Q31" i="4"/>
  <c r="N30" i="4"/>
  <c r="Q30" i="4"/>
  <c r="N34" i="4"/>
  <c r="MV6" i="6"/>
  <c r="MU6" i="6" s="1"/>
  <c r="MV62" i="6"/>
  <c r="MU62" i="6" s="1"/>
  <c r="MV102" i="6"/>
  <c r="MU102" i="6" s="1"/>
  <c r="MV42" i="6"/>
  <c r="MU42" i="6" s="1"/>
  <c r="MV96" i="6"/>
  <c r="MU96" i="6" s="1"/>
  <c r="MV8" i="6"/>
  <c r="MU8" i="6" s="1"/>
  <c r="MV13" i="6"/>
  <c r="MU13" i="6" s="1"/>
  <c r="MV92" i="6"/>
  <c r="MU92" i="6" s="1"/>
  <c r="MV29" i="6"/>
  <c r="MU29" i="6" s="1"/>
  <c r="MV53" i="6"/>
  <c r="MU53" i="6" s="1"/>
  <c r="MV60" i="6"/>
  <c r="MU60" i="6" s="1"/>
  <c r="MV55" i="6"/>
  <c r="MU55" i="6" s="1"/>
  <c r="MV68" i="6"/>
  <c r="MU68" i="6" s="1"/>
  <c r="MV71" i="6"/>
  <c r="MU71" i="6" s="1"/>
  <c r="MV115" i="6"/>
  <c r="MU115" i="6" s="1"/>
  <c r="MV32" i="6"/>
  <c r="MU32" i="6" s="1"/>
  <c r="MV69" i="6"/>
  <c r="MU69" i="6" s="1"/>
  <c r="MV37" i="6"/>
  <c r="MU37" i="6" s="1"/>
  <c r="MV111" i="6"/>
  <c r="MU111" i="6" s="1"/>
  <c r="MV74" i="6"/>
  <c r="MU74" i="6" s="1"/>
  <c r="MV100" i="6"/>
  <c r="MU100" i="6" s="1"/>
  <c r="MV78" i="6"/>
  <c r="MU78" i="6" s="1"/>
  <c r="MV23" i="6"/>
  <c r="MU23" i="6" s="1"/>
  <c r="MV16" i="6"/>
  <c r="MU16" i="6" s="1"/>
  <c r="MV63" i="6"/>
  <c r="MU63" i="6" s="1"/>
  <c r="MV28" i="6"/>
  <c r="MU28" i="6" s="1"/>
  <c r="MV47" i="6"/>
  <c r="MU47" i="6" s="1"/>
  <c r="MV54" i="6"/>
  <c r="MU54" i="6" s="1"/>
  <c r="MV30" i="6"/>
  <c r="MU30" i="6" s="1"/>
  <c r="MV105" i="6"/>
  <c r="MU105" i="6" s="1"/>
  <c r="MV80" i="6"/>
  <c r="MU80" i="6" s="1"/>
  <c r="MV104" i="6"/>
  <c r="MU104" i="6" s="1"/>
  <c r="MV97" i="6"/>
  <c r="MU97" i="6" s="1"/>
  <c r="MV59" i="6"/>
  <c r="MU59" i="6" s="1"/>
  <c r="MV72" i="6"/>
  <c r="MU72" i="6" s="1"/>
  <c r="MV56" i="6"/>
  <c r="MU56" i="6" s="1"/>
  <c r="MV94" i="6"/>
  <c r="MU94" i="6" s="1"/>
  <c r="MV95" i="6"/>
  <c r="MU95" i="6" s="1"/>
  <c r="MV114" i="6"/>
  <c r="MU114" i="6" s="1"/>
  <c r="MV109" i="6"/>
  <c r="MU109" i="6" s="1"/>
  <c r="MV24" i="6"/>
  <c r="MU24" i="6" s="1"/>
  <c r="MV106" i="6"/>
  <c r="MU106" i="6" s="1"/>
  <c r="MV43" i="6"/>
  <c r="MU43" i="6" s="1"/>
  <c r="MV34" i="6"/>
  <c r="MU34" i="6" s="1"/>
  <c r="MV82" i="6"/>
  <c r="MU82" i="6" s="1"/>
  <c r="MV10" i="6"/>
  <c r="MU10" i="6" s="1"/>
  <c r="MV20" i="6"/>
  <c r="MU20" i="6" s="1"/>
  <c r="MV25" i="6"/>
  <c r="MU25" i="6" s="1"/>
  <c r="MV77" i="6"/>
  <c r="MU77" i="6" s="1"/>
  <c r="MV89" i="6"/>
  <c r="MU89" i="6" s="1"/>
  <c r="MV64" i="6"/>
  <c r="MU64" i="6" s="1"/>
  <c r="MV12" i="6"/>
  <c r="MU12" i="6" s="1"/>
  <c r="MV45" i="6"/>
  <c r="MU45" i="6" s="1"/>
  <c r="MV33" i="6"/>
  <c r="MU33" i="6" s="1"/>
  <c r="MV113" i="6"/>
  <c r="MU113" i="6" s="1"/>
  <c r="MV18" i="6"/>
  <c r="MU18" i="6" s="1"/>
  <c r="MV85" i="6"/>
  <c r="MU85" i="6" s="1"/>
  <c r="MV51" i="6"/>
  <c r="MU51" i="6" s="1"/>
  <c r="MV58" i="6"/>
  <c r="MU58" i="6" s="1"/>
  <c r="MV14" i="6"/>
  <c r="MU14" i="6" s="1"/>
  <c r="MV15" i="6"/>
  <c r="MU15" i="6" s="1"/>
  <c r="MV116" i="6"/>
  <c r="MU116" i="6" s="1"/>
  <c r="MV50" i="6"/>
  <c r="MU50" i="6" s="1"/>
  <c r="MV117" i="6"/>
  <c r="MU117" i="6" s="1"/>
  <c r="MV17" i="6"/>
  <c r="MU17" i="6" s="1"/>
  <c r="MV75" i="6"/>
  <c r="MU75" i="6" s="1"/>
  <c r="MV52" i="6"/>
  <c r="MU52" i="6" s="1"/>
  <c r="MV93" i="6"/>
  <c r="MU93" i="6" s="1"/>
  <c r="MV67" i="6"/>
  <c r="MU67" i="6" s="1"/>
  <c r="MV31" i="6"/>
  <c r="MU31" i="6" s="1"/>
  <c r="MV101" i="6"/>
  <c r="MU101" i="6" s="1"/>
  <c r="MV38" i="6"/>
  <c r="MU38" i="6" s="1"/>
  <c r="MV86" i="6"/>
  <c r="MU86" i="6" s="1"/>
  <c r="MV44" i="6"/>
  <c r="MU44" i="6" s="1"/>
  <c r="MV57" i="6"/>
  <c r="MU57" i="6" s="1"/>
  <c r="MV41" i="6"/>
  <c r="MU41" i="6" s="1"/>
  <c r="MV99" i="6"/>
  <c r="MU99" i="6" s="1"/>
  <c r="MV110" i="6"/>
  <c r="MU110" i="6" s="1"/>
  <c r="MV35" i="6"/>
  <c r="MU35" i="6" s="1"/>
  <c r="MV39" i="6"/>
  <c r="MU39" i="6" s="1"/>
  <c r="MV81" i="6"/>
  <c r="MU81" i="6" s="1"/>
  <c r="MV84" i="6"/>
  <c r="MU84" i="6" s="1"/>
  <c r="MV46" i="6"/>
  <c r="MU46" i="6" s="1"/>
  <c r="MV22" i="6"/>
  <c r="MU22" i="6" s="1"/>
  <c r="MV19" i="6"/>
  <c r="MU19" i="6" s="1"/>
  <c r="MV7" i="6"/>
  <c r="MU7" i="6" s="1"/>
  <c r="MV76" i="6"/>
  <c r="MU76" i="6" s="1"/>
  <c r="MV9" i="6"/>
  <c r="MU9" i="6" s="1"/>
  <c r="MV98" i="6"/>
  <c r="MU98" i="6" s="1"/>
  <c r="MV87" i="6"/>
  <c r="MU87" i="6" s="1"/>
  <c r="MV40" i="6"/>
  <c r="MU40" i="6" s="1"/>
  <c r="MV27" i="6"/>
  <c r="MU27" i="6" s="1"/>
  <c r="MV61" i="6"/>
  <c r="MU61" i="6" s="1"/>
  <c r="MV103" i="6"/>
  <c r="MU103" i="6" s="1"/>
  <c r="MV79" i="6"/>
  <c r="MU79" i="6" s="1"/>
  <c r="MV11" i="6"/>
  <c r="MU11" i="6" s="1"/>
  <c r="MV108" i="6"/>
  <c r="MU108" i="6" s="1"/>
  <c r="MV36" i="6"/>
  <c r="MU36" i="6" s="1"/>
  <c r="MV49" i="6"/>
  <c r="MU49" i="6" s="1"/>
  <c r="MV73" i="6"/>
  <c r="MU73" i="6" s="1"/>
  <c r="MV26" i="6"/>
  <c r="MU26" i="6" s="1"/>
  <c r="MV70" i="6"/>
  <c r="MU70" i="6" s="1"/>
  <c r="MV88" i="6"/>
  <c r="MU88" i="6" s="1"/>
  <c r="MV66" i="6"/>
  <c r="MU66" i="6" s="1"/>
  <c r="MV48" i="6"/>
  <c r="MU48" i="6" s="1"/>
  <c r="MV112" i="6"/>
  <c r="MU112" i="6" s="1"/>
  <c r="MV21" i="6"/>
  <c r="MU21" i="6" s="1"/>
  <c r="MV91" i="6"/>
  <c r="MU91" i="6" s="1"/>
  <c r="MV90" i="6"/>
  <c r="MU90" i="6" s="1"/>
  <c r="MV65" i="6"/>
  <c r="MU65" i="6" s="1"/>
  <c r="MV107" i="6"/>
  <c r="MU107" i="6" s="1"/>
  <c r="MV83" i="6"/>
  <c r="MU83" i="6" s="1"/>
  <c r="ACS35" i="6" l="1"/>
  <c r="ACS72" i="6"/>
  <c r="ACS104" i="6"/>
  <c r="O17" i="6"/>
  <c r="AA36" i="6"/>
  <c r="O40" i="6"/>
  <c r="O56" i="6"/>
  <c r="ACS94" i="6"/>
  <c r="ACS109" i="6"/>
  <c r="ACS68" i="6"/>
  <c r="ACS92" i="6"/>
  <c r="ACS10" i="6"/>
  <c r="ACS54" i="6"/>
  <c r="ACS57" i="6"/>
  <c r="ACS59" i="6"/>
  <c r="ACS15" i="6"/>
  <c r="ACS90" i="6"/>
  <c r="ACS98" i="6"/>
  <c r="ACS83" i="6"/>
  <c r="ACS37" i="6"/>
  <c r="ACS31" i="6"/>
  <c r="AA43" i="6"/>
  <c r="AA6" i="6"/>
  <c r="O108" i="6"/>
  <c r="AA41" i="6"/>
  <c r="AA71" i="6"/>
  <c r="O81" i="6"/>
  <c r="AA22" i="6"/>
  <c r="AA55" i="6"/>
  <c r="O111" i="6"/>
  <c r="O60" i="6"/>
  <c r="O10" i="6"/>
  <c r="AA54" i="6"/>
  <c r="O89" i="6"/>
  <c r="O14" i="6"/>
  <c r="AA73" i="6"/>
  <c r="AA83" i="6"/>
  <c r="O50" i="6"/>
  <c r="AA58" i="6"/>
  <c r="AA51" i="6"/>
  <c r="AA72" i="6"/>
  <c r="AA65" i="6"/>
  <c r="AA49" i="6"/>
  <c r="O33" i="6"/>
  <c r="AA24" i="6"/>
  <c r="O39" i="6"/>
  <c r="O52" i="6"/>
  <c r="AA112" i="6"/>
  <c r="O30" i="6"/>
  <c r="O114" i="6"/>
  <c r="O13" i="6"/>
  <c r="O35" i="6"/>
  <c r="AA28" i="6"/>
  <c r="O110" i="6"/>
  <c r="O71" i="6"/>
  <c r="AA44" i="6"/>
  <c r="O96" i="6"/>
  <c r="AA32" i="6"/>
  <c r="AA77" i="6"/>
  <c r="O112" i="6"/>
  <c r="O67" i="6"/>
  <c r="AA90" i="6"/>
  <c r="AA42" i="6"/>
  <c r="O15" i="6"/>
  <c r="AA62" i="6"/>
  <c r="AA10" i="6"/>
  <c r="AA56" i="6"/>
  <c r="O54" i="6"/>
  <c r="O99" i="6"/>
  <c r="O64" i="6"/>
  <c r="O68" i="6"/>
  <c r="O66" i="6"/>
  <c r="O117" i="6"/>
  <c r="AA47" i="6"/>
  <c r="AA113" i="6"/>
  <c r="AA68" i="6"/>
  <c r="AA74" i="6"/>
  <c r="AA61" i="6"/>
  <c r="O84" i="6"/>
  <c r="AA40" i="6"/>
  <c r="O65" i="6"/>
  <c r="O105" i="6"/>
  <c r="AA15" i="6"/>
  <c r="AA70" i="6"/>
  <c r="AA33" i="6"/>
  <c r="AA75" i="6"/>
  <c r="AA105" i="6"/>
  <c r="O9" i="6"/>
  <c r="O82" i="6"/>
  <c r="AA9" i="6"/>
  <c r="O113" i="6"/>
  <c r="O78" i="6"/>
  <c r="AA99" i="6"/>
  <c r="O31" i="6"/>
  <c r="AA29" i="6"/>
  <c r="AA82" i="6"/>
  <c r="O24" i="6"/>
  <c r="AA38" i="6"/>
  <c r="O8" i="6"/>
  <c r="O27" i="6"/>
  <c r="O69" i="6"/>
  <c r="AA23" i="6"/>
  <c r="O115" i="6"/>
  <c r="O109" i="6"/>
  <c r="AA37" i="6"/>
  <c r="AA48" i="6"/>
  <c r="O101" i="6"/>
  <c r="AA20" i="6"/>
  <c r="AA111" i="6"/>
  <c r="AA93" i="6"/>
  <c r="O85" i="6"/>
  <c r="O88" i="6"/>
  <c r="AA92" i="6"/>
  <c r="O83" i="6"/>
  <c r="AA11" i="6"/>
  <c r="O93" i="6"/>
  <c r="AA57" i="6"/>
  <c r="AA64" i="6"/>
  <c r="O107" i="6"/>
  <c r="O72" i="6"/>
  <c r="O29" i="6"/>
  <c r="AA19" i="6"/>
  <c r="O36" i="6"/>
  <c r="O104" i="6"/>
  <c r="O16" i="6"/>
  <c r="O12" i="6"/>
  <c r="O76" i="6"/>
  <c r="O75" i="6"/>
  <c r="O22" i="6"/>
  <c r="O61" i="6"/>
  <c r="AA69" i="6"/>
  <c r="O44" i="6"/>
  <c r="O55" i="6"/>
  <c r="O103" i="6"/>
  <c r="AA12" i="6"/>
  <c r="O41" i="6"/>
  <c r="AA66" i="6"/>
  <c r="AA60" i="6"/>
  <c r="O94" i="6"/>
  <c r="AA31" i="6"/>
  <c r="O87" i="6"/>
  <c r="O73" i="6"/>
  <c r="AA30" i="6"/>
  <c r="O25" i="6"/>
  <c r="AA7" i="6"/>
  <c r="AA21" i="6"/>
  <c r="O20" i="6"/>
  <c r="O77" i="6"/>
  <c r="O34" i="6"/>
  <c r="O91" i="6"/>
  <c r="AA16" i="6"/>
  <c r="O45" i="6"/>
  <c r="O90" i="6"/>
  <c r="O116" i="6"/>
  <c r="O86" i="6"/>
  <c r="O37" i="6"/>
  <c r="AA26" i="6"/>
  <c r="O19" i="6"/>
  <c r="O79" i="6"/>
  <c r="O46" i="6"/>
  <c r="O97" i="6"/>
  <c r="AA81" i="6"/>
  <c r="AA50" i="6"/>
  <c r="O18" i="6"/>
  <c r="O95" i="6"/>
  <c r="O63" i="6"/>
  <c r="AA107" i="6"/>
  <c r="AA114" i="6"/>
  <c r="AA110" i="6"/>
  <c r="AA85" i="6"/>
  <c r="O70" i="6"/>
  <c r="AA76" i="6"/>
  <c r="AA91" i="6"/>
  <c r="AA98" i="6"/>
  <c r="AA35" i="6"/>
  <c r="O32" i="6"/>
  <c r="AA116" i="6"/>
  <c r="AA27" i="6"/>
  <c r="AA80" i="6"/>
  <c r="O102" i="6"/>
  <c r="O21" i="6"/>
  <c r="AA102" i="6"/>
  <c r="O98" i="6"/>
  <c r="AA109" i="6"/>
  <c r="AA117" i="6"/>
  <c r="AA108" i="6"/>
  <c r="AA103" i="6"/>
  <c r="O42" i="6"/>
  <c r="O6" i="6"/>
  <c r="AA78" i="6"/>
  <c r="AA46" i="6"/>
  <c r="AA115" i="6"/>
  <c r="O49" i="6"/>
  <c r="AA13" i="6"/>
  <c r="AA106" i="6"/>
  <c r="AA17" i="6"/>
  <c r="AA52" i="6"/>
  <c r="AA101" i="6"/>
  <c r="O11" i="6"/>
  <c r="O80" i="6"/>
  <c r="AA63" i="6"/>
  <c r="AA45" i="6"/>
  <c r="AA96" i="6"/>
  <c r="O23" i="6"/>
  <c r="O62" i="6"/>
  <c r="AA87" i="6"/>
  <c r="AA8" i="6"/>
  <c r="AA88" i="6"/>
  <c r="O100" i="6"/>
  <c r="AA18" i="6"/>
  <c r="AA95" i="6"/>
  <c r="O106" i="6"/>
  <c r="O57" i="6"/>
  <c r="VI75" i="6"/>
  <c r="VI113" i="6"/>
  <c r="ADG75" i="6"/>
  <c r="ADG86" i="6"/>
  <c r="AM94" i="6"/>
  <c r="AM99" i="6"/>
  <c r="VI76" i="6"/>
  <c r="VI103" i="6"/>
  <c r="VI107" i="6"/>
  <c r="VI98" i="6"/>
  <c r="VI67" i="6"/>
  <c r="VI61" i="6"/>
  <c r="TP54" i="6"/>
  <c r="VI28" i="6"/>
  <c r="TP99" i="6"/>
  <c r="RN93" i="6"/>
  <c r="TP59" i="6"/>
  <c r="ABP96" i="6"/>
  <c r="LI78" i="6"/>
  <c r="LI63" i="6"/>
  <c r="VI93" i="6"/>
  <c r="UH80" i="6"/>
  <c r="JY13" i="6"/>
  <c r="TP95" i="6"/>
  <c r="SX76" i="6"/>
  <c r="ADG24" i="6"/>
  <c r="MS91" i="6"/>
  <c r="RN96" i="6"/>
  <c r="VI62" i="6"/>
  <c r="VI38" i="6"/>
  <c r="VI64" i="6"/>
  <c r="PL84" i="6"/>
  <c r="SF61" i="6"/>
  <c r="UH72" i="6"/>
  <c r="UH82" i="6"/>
  <c r="AM31" i="6"/>
  <c r="KQ107" i="6"/>
  <c r="LI62" i="6"/>
  <c r="OT53" i="6"/>
  <c r="MA33" i="6"/>
  <c r="SX41" i="6"/>
  <c r="QV41" i="6"/>
  <c r="ZM42" i="6"/>
  <c r="QV42" i="6"/>
  <c r="ADG106" i="6"/>
  <c r="OT12" i="6"/>
  <c r="SF75" i="6"/>
  <c r="SF16" i="6"/>
  <c r="ADG59" i="6"/>
  <c r="TP16" i="6"/>
  <c r="TP35" i="6"/>
  <c r="AM42" i="6"/>
  <c r="MS10" i="6"/>
  <c r="TP66" i="6"/>
  <c r="JY95" i="6"/>
  <c r="PL109" i="6"/>
  <c r="UH27" i="6"/>
  <c r="AM111" i="6"/>
  <c r="SF88" i="6"/>
  <c r="UH20" i="6"/>
  <c r="RN87" i="6"/>
  <c r="MA53" i="6"/>
  <c r="AM78" i="6"/>
  <c r="QD33" i="6"/>
  <c r="QV107" i="6"/>
  <c r="SF22" i="6"/>
  <c r="SF108" i="6"/>
  <c r="ZM113" i="6"/>
  <c r="IO23" i="6"/>
  <c r="JG6" i="6"/>
  <c r="MA7" i="6"/>
  <c r="MA110" i="6"/>
  <c r="UH59" i="6"/>
  <c r="UH66" i="6"/>
  <c r="ZM31" i="6"/>
  <c r="JG96" i="6"/>
  <c r="MA62" i="6"/>
  <c r="VI51" i="6"/>
  <c r="VI37" i="6"/>
  <c r="VI92" i="6"/>
  <c r="VI84" i="6"/>
  <c r="VI106" i="6"/>
  <c r="VI42" i="6"/>
  <c r="VI22" i="6"/>
  <c r="VI71" i="6"/>
  <c r="VI65" i="6"/>
  <c r="AM109" i="6"/>
  <c r="ZM71" i="6"/>
  <c r="ZM75" i="6"/>
  <c r="QV112" i="6"/>
  <c r="OT24" i="6"/>
  <c r="OT70" i="6"/>
  <c r="VI8" i="6"/>
  <c r="VI105" i="6"/>
  <c r="VI100" i="6"/>
  <c r="VI82" i="6"/>
  <c r="VI6" i="6"/>
  <c r="VI54" i="6"/>
  <c r="VI108" i="6"/>
  <c r="VI50" i="6"/>
  <c r="VI43" i="6"/>
  <c r="VI20" i="6"/>
  <c r="IO25" i="6"/>
  <c r="IO24" i="6"/>
  <c r="ADG67" i="6"/>
  <c r="OT48" i="6"/>
  <c r="JG102" i="6"/>
  <c r="VI97" i="6"/>
  <c r="VI15" i="6"/>
  <c r="QV102" i="6"/>
  <c r="IO16" i="6"/>
  <c r="ZM64" i="6"/>
  <c r="IO98" i="6"/>
  <c r="IO9" i="6"/>
  <c r="SX112" i="6"/>
  <c r="SX53" i="6"/>
  <c r="ADG99" i="6"/>
  <c r="ADG107" i="6"/>
  <c r="KQ79" i="6"/>
  <c r="KQ34" i="6"/>
  <c r="ADG12" i="6"/>
  <c r="ABP113" i="6"/>
  <c r="QD67" i="6"/>
  <c r="QD64" i="6"/>
  <c r="JG37" i="6"/>
  <c r="JG53" i="6"/>
  <c r="JG11" i="6"/>
  <c r="KQ81" i="6"/>
  <c r="ZM73" i="6"/>
  <c r="ZM105" i="6"/>
  <c r="ZM46" i="6"/>
  <c r="QV22" i="6"/>
  <c r="IO91" i="6"/>
  <c r="JG55" i="6"/>
  <c r="LI51" i="6"/>
  <c r="VI10" i="6"/>
  <c r="QD41" i="6"/>
  <c r="QD66" i="6"/>
  <c r="QD19" i="6"/>
  <c r="QV30" i="6"/>
  <c r="SX106" i="6"/>
  <c r="ADG31" i="6"/>
  <c r="TP30" i="6"/>
  <c r="ABP63" i="6"/>
  <c r="LI70" i="6"/>
  <c r="LI77" i="6"/>
  <c r="QD53" i="6"/>
  <c r="ADG9" i="6"/>
  <c r="MA25" i="6"/>
  <c r="SF111" i="6"/>
  <c r="TP53" i="6"/>
  <c r="ABP86" i="6"/>
  <c r="QD97" i="6"/>
  <c r="QD73" i="6"/>
  <c r="QD70" i="6"/>
  <c r="QD102" i="6"/>
  <c r="QD83" i="6"/>
  <c r="SF32" i="6"/>
  <c r="SF81" i="6"/>
  <c r="UH13" i="6"/>
  <c r="MS86" i="6"/>
  <c r="TP86" i="6"/>
  <c r="LI9" i="6"/>
  <c r="QD88" i="6"/>
  <c r="OT96" i="6"/>
  <c r="SF84" i="6"/>
  <c r="SX59" i="6"/>
  <c r="ADG104" i="6"/>
  <c r="OT100" i="6"/>
  <c r="OT65" i="6"/>
  <c r="MA60" i="6"/>
  <c r="SF54" i="6"/>
  <c r="UH105" i="6"/>
  <c r="TP41" i="6"/>
  <c r="VI99" i="6"/>
  <c r="SX77" i="6"/>
  <c r="SX18" i="6"/>
  <c r="OT10" i="6"/>
  <c r="OT17" i="6"/>
  <c r="RN40" i="6"/>
  <c r="MA106" i="6"/>
  <c r="UH86" i="6"/>
  <c r="TP117" i="6"/>
  <c r="AM17" i="6"/>
  <c r="VI30" i="6"/>
  <c r="VI55" i="6"/>
  <c r="VI69" i="6"/>
  <c r="VI40" i="6"/>
  <c r="VI21" i="6"/>
  <c r="VI110" i="6"/>
  <c r="VI117" i="6"/>
  <c r="VI35" i="6"/>
  <c r="VI16" i="6"/>
  <c r="VI56" i="6"/>
  <c r="VI44" i="6"/>
  <c r="VI33" i="6"/>
  <c r="VI39" i="6"/>
  <c r="VI34" i="6"/>
  <c r="VI32" i="6"/>
  <c r="VI68" i="6"/>
  <c r="VI52" i="6"/>
  <c r="VI115" i="6"/>
  <c r="VI58" i="6"/>
  <c r="VI29" i="6"/>
  <c r="VI12" i="6"/>
  <c r="VI87" i="6"/>
  <c r="VI114" i="6"/>
  <c r="VI23" i="6"/>
  <c r="IO47" i="6"/>
  <c r="ADG73" i="6"/>
  <c r="ADG35" i="6"/>
  <c r="ADG84" i="6"/>
  <c r="ADG92" i="6"/>
  <c r="OT20" i="6"/>
  <c r="KQ115" i="6"/>
  <c r="QV24" i="6"/>
  <c r="IO35" i="6"/>
  <c r="ADG100" i="6"/>
  <c r="ADG108" i="6"/>
  <c r="OT79" i="6"/>
  <c r="JG25" i="6"/>
  <c r="AM22" i="6"/>
  <c r="AM117" i="6"/>
  <c r="JY15" i="6"/>
  <c r="ZM79" i="6"/>
  <c r="QV76" i="6"/>
  <c r="IO56" i="6"/>
  <c r="ZM99" i="6"/>
  <c r="QV111" i="6"/>
  <c r="QV108" i="6"/>
  <c r="SX94" i="6"/>
  <c r="ADG18" i="6"/>
  <c r="JG58" i="6"/>
  <c r="KQ30" i="6"/>
  <c r="KQ104" i="6"/>
  <c r="ABP103" i="6"/>
  <c r="ABP65" i="6"/>
  <c r="LI98" i="6"/>
  <c r="LI23" i="6"/>
  <c r="LI87" i="6"/>
  <c r="RN64" i="6"/>
  <c r="RN112" i="6"/>
  <c r="AM97" i="6"/>
  <c r="AM112" i="6"/>
  <c r="AM32" i="6"/>
  <c r="AM39" i="6"/>
  <c r="AM48" i="6"/>
  <c r="PL38" i="6"/>
  <c r="JY72" i="6"/>
  <c r="QV73" i="6"/>
  <c r="QV25" i="6"/>
  <c r="QV77" i="6"/>
  <c r="SX13" i="6"/>
  <c r="ADG46" i="6"/>
  <c r="RN19" i="6"/>
  <c r="VI11" i="6"/>
  <c r="SX7" i="6"/>
  <c r="SX100" i="6"/>
  <c r="SX88" i="6"/>
  <c r="OT31" i="6"/>
  <c r="JG69" i="6"/>
  <c r="ABP66" i="6"/>
  <c r="RN104" i="6"/>
  <c r="AM88" i="6"/>
  <c r="IO52" i="6"/>
  <c r="IO65" i="6"/>
  <c r="ADG98" i="6"/>
  <c r="AM59" i="6"/>
  <c r="AM41" i="6"/>
  <c r="PL92" i="6"/>
  <c r="AM73" i="6"/>
  <c r="VI109" i="6"/>
  <c r="PL30" i="6"/>
  <c r="AM102" i="6"/>
  <c r="AM25" i="6"/>
  <c r="JY100" i="6"/>
  <c r="VI85" i="6"/>
  <c r="VI49" i="6"/>
  <c r="VI47" i="6"/>
  <c r="VI73" i="6"/>
  <c r="ZM15" i="6"/>
  <c r="SF38" i="6"/>
  <c r="TP22" i="6"/>
  <c r="VI88" i="6"/>
  <c r="VI91" i="6"/>
  <c r="VI79" i="6"/>
  <c r="VI86" i="6"/>
  <c r="VI81" i="6"/>
  <c r="VI104" i="6"/>
  <c r="VI31" i="6"/>
  <c r="VI45" i="6"/>
  <c r="VI102" i="6"/>
  <c r="VI89" i="6"/>
  <c r="VI63" i="6"/>
  <c r="VI18" i="6"/>
  <c r="VI80" i="6"/>
  <c r="VI41" i="6"/>
  <c r="VI7" i="6"/>
  <c r="VI26" i="6"/>
  <c r="VI48" i="6"/>
  <c r="VI9" i="6"/>
  <c r="VI25" i="6"/>
  <c r="VI78" i="6"/>
  <c r="VI95" i="6"/>
  <c r="VI74" i="6"/>
  <c r="VI60" i="6"/>
  <c r="VI83" i="6"/>
  <c r="VI17" i="6"/>
  <c r="VI116" i="6"/>
  <c r="VI14" i="6"/>
  <c r="VI57" i="6"/>
  <c r="VI77" i="6"/>
  <c r="VI24" i="6"/>
  <c r="VI19" i="6"/>
  <c r="SX38" i="6"/>
  <c r="SX40" i="6"/>
  <c r="ADG6" i="6"/>
  <c r="OT109" i="6"/>
  <c r="QD110" i="6"/>
  <c r="QD25" i="6"/>
  <c r="ZM19" i="6"/>
  <c r="AM10" i="6"/>
  <c r="JY97" i="6"/>
  <c r="JY36" i="6"/>
  <c r="JY98" i="6"/>
  <c r="LI99" i="6"/>
  <c r="AM8" i="6"/>
  <c r="AM100" i="6"/>
  <c r="PL87" i="6"/>
  <c r="VI101" i="6"/>
  <c r="ZM57" i="6"/>
  <c r="ADG112" i="6"/>
  <c r="TP73" i="6"/>
  <c r="KQ110" i="6"/>
  <c r="IO10" i="6"/>
  <c r="ADG110" i="6"/>
  <c r="JG99" i="6"/>
  <c r="KQ23" i="6"/>
  <c r="MA86" i="6"/>
  <c r="MA40" i="6"/>
  <c r="MA67" i="6"/>
  <c r="SF50" i="6"/>
  <c r="SF80" i="6"/>
  <c r="SF90" i="6"/>
  <c r="UH23" i="6"/>
  <c r="MS85" i="6"/>
  <c r="MS13" i="6"/>
  <c r="MS52" i="6"/>
  <c r="TP81" i="6"/>
  <c r="ABP49" i="6"/>
  <c r="ABP27" i="6"/>
  <c r="ABP23" i="6"/>
  <c r="ABP80" i="6"/>
  <c r="ABP17" i="6"/>
  <c r="ABP94" i="6"/>
  <c r="LI95" i="6"/>
  <c r="LI64" i="6"/>
  <c r="LI88" i="6"/>
  <c r="RN38" i="6"/>
  <c r="RN72" i="6"/>
  <c r="AM64" i="6"/>
  <c r="AM71" i="6"/>
  <c r="PL10" i="6"/>
  <c r="JY67" i="6"/>
  <c r="JY18" i="6"/>
  <c r="JY80" i="6"/>
  <c r="JY6" i="6"/>
  <c r="JY59" i="6"/>
  <c r="VI59" i="6"/>
  <c r="VI72" i="6"/>
  <c r="VI90" i="6"/>
  <c r="VI46" i="6"/>
  <c r="QD107" i="6"/>
  <c r="QD54" i="6"/>
  <c r="ZM29" i="6"/>
  <c r="ZM37" i="6"/>
  <c r="QV16" i="6"/>
  <c r="QV29" i="6"/>
  <c r="QV43" i="6"/>
  <c r="IO39" i="6"/>
  <c r="IO36" i="6"/>
  <c r="OT34" i="6"/>
  <c r="JG17" i="6"/>
  <c r="JG101" i="6"/>
  <c r="JG10" i="6"/>
  <c r="JG66" i="6"/>
  <c r="KQ42" i="6"/>
  <c r="KQ111" i="6"/>
  <c r="KQ85" i="6"/>
  <c r="KQ40" i="6"/>
  <c r="KQ89" i="6"/>
  <c r="MA10" i="6"/>
  <c r="MA75" i="6"/>
  <c r="SF55" i="6"/>
  <c r="SF29" i="6"/>
  <c r="SF70" i="6"/>
  <c r="SF20" i="6"/>
  <c r="UH43" i="6"/>
  <c r="MS61" i="6"/>
  <c r="TP82" i="6"/>
  <c r="TP11" i="6"/>
  <c r="ABP36" i="6"/>
  <c r="LI21" i="6"/>
  <c r="LI45" i="6"/>
  <c r="RN99" i="6"/>
  <c r="RN59" i="6"/>
  <c r="RN98" i="6"/>
  <c r="RN75" i="6"/>
  <c r="RN52" i="6"/>
  <c r="AM113" i="6"/>
  <c r="AM56" i="6"/>
  <c r="AM11" i="6"/>
  <c r="AM35" i="6"/>
  <c r="AM40" i="6"/>
  <c r="AM6" i="6"/>
  <c r="AM87" i="6"/>
  <c r="AM28" i="6"/>
  <c r="PL54" i="6"/>
  <c r="PL88" i="6"/>
  <c r="PL77" i="6"/>
  <c r="PL46" i="6"/>
  <c r="JY37" i="6"/>
  <c r="JY50" i="6"/>
  <c r="JY27" i="6"/>
  <c r="JY86" i="6"/>
  <c r="JY112" i="6"/>
  <c r="JY61" i="6"/>
  <c r="JY21" i="6"/>
  <c r="VI27" i="6"/>
  <c r="VI70" i="6"/>
  <c r="VI94" i="6"/>
  <c r="XN119" i="6"/>
  <c r="I4248" i="7" s="1" a="1"/>
  <c r="I4248" i="7" s="1"/>
  <c r="HF119" i="6"/>
  <c r="L1530" i="7" s="1" a="1"/>
  <c r="L1530" i="7" s="1"/>
  <c r="QV96" i="6"/>
  <c r="SX81" i="6"/>
  <c r="SX97" i="6"/>
  <c r="ADG64" i="6"/>
  <c r="JG9" i="6"/>
  <c r="KQ27" i="6"/>
  <c r="KQ108" i="6"/>
  <c r="SF46" i="6"/>
  <c r="RN109" i="6"/>
  <c r="RN100" i="6"/>
  <c r="AM86" i="6"/>
  <c r="AM62" i="6"/>
  <c r="AM76" i="6"/>
  <c r="AM95" i="6"/>
  <c r="AM43" i="6"/>
  <c r="AM24" i="6"/>
  <c r="AM58" i="6"/>
  <c r="PL99" i="6"/>
  <c r="PL19" i="6"/>
  <c r="PL59" i="6"/>
  <c r="PL98" i="6"/>
  <c r="PL26" i="6"/>
  <c r="PL86" i="6"/>
  <c r="JY52" i="6"/>
  <c r="JY38" i="6"/>
  <c r="JY70" i="6"/>
  <c r="JY104" i="6"/>
  <c r="JY7" i="6"/>
  <c r="VI66" i="6"/>
  <c r="VI36" i="6"/>
  <c r="GO119" i="6"/>
  <c r="I1412" i="7" s="1" a="1"/>
  <c r="I1412" i="7" s="1"/>
  <c r="QD32" i="6"/>
  <c r="QD117" i="6"/>
  <c r="QD57" i="6"/>
  <c r="ZM61" i="6"/>
  <c r="ZM22" i="6"/>
  <c r="ZM58" i="6"/>
  <c r="QV106" i="6"/>
  <c r="QV79" i="6"/>
  <c r="QV36" i="6"/>
  <c r="IO80" i="6"/>
  <c r="IO88" i="6"/>
  <c r="IO77" i="6"/>
  <c r="IO37" i="6"/>
  <c r="SX19" i="6"/>
  <c r="SX29" i="6"/>
  <c r="ADG58" i="6"/>
  <c r="ADG20" i="6"/>
  <c r="ADG38" i="6"/>
  <c r="ADG66" i="6"/>
  <c r="ADG28" i="6"/>
  <c r="OT105" i="6"/>
  <c r="KQ56" i="6"/>
  <c r="MA89" i="6"/>
  <c r="MA58" i="6"/>
  <c r="MA43" i="6"/>
  <c r="SF92" i="6"/>
  <c r="SF102" i="6"/>
  <c r="SF85" i="6"/>
  <c r="SF6" i="6"/>
  <c r="UH45" i="6"/>
  <c r="UH75" i="6"/>
  <c r="UH64" i="6"/>
  <c r="UH106" i="6"/>
  <c r="UH50" i="6"/>
  <c r="MS22" i="6"/>
  <c r="MS19" i="6"/>
  <c r="TP31" i="6"/>
  <c r="TP18" i="6"/>
  <c r="TP93" i="6"/>
  <c r="ABP28" i="6"/>
  <c r="LI52" i="6"/>
  <c r="LI79" i="6"/>
  <c r="AM26" i="6"/>
  <c r="AM29" i="6"/>
  <c r="VI112" i="6"/>
  <c r="VI111" i="6"/>
  <c r="VI96" i="6"/>
  <c r="ZM20" i="6"/>
  <c r="ZM67" i="6"/>
  <c r="JG42" i="6"/>
  <c r="JG110" i="6"/>
  <c r="KQ7" i="6"/>
  <c r="KQ76" i="6"/>
  <c r="SF95" i="6"/>
  <c r="UH71" i="6"/>
  <c r="UH76" i="6"/>
  <c r="UH22" i="6"/>
  <c r="MS63" i="6"/>
  <c r="ABP35" i="6"/>
  <c r="LI25" i="6"/>
  <c r="LI27" i="6"/>
  <c r="RN37" i="6"/>
  <c r="RN23" i="6"/>
  <c r="AM83" i="6"/>
  <c r="AM81" i="6"/>
  <c r="AM77" i="6"/>
  <c r="PL8" i="6"/>
  <c r="PL45" i="6"/>
  <c r="PL57" i="6"/>
  <c r="VI13" i="6"/>
  <c r="VI53" i="6"/>
  <c r="QD74" i="6"/>
  <c r="QD106" i="6"/>
  <c r="HW119" i="6"/>
  <c r="K1648" i="7" s="1" a="1"/>
  <c r="K1648" i="7" s="1"/>
  <c r="QV93" i="6"/>
  <c r="QV88" i="6"/>
  <c r="QV44" i="6"/>
  <c r="IO15" i="6"/>
  <c r="SX42" i="6"/>
  <c r="SX17" i="6"/>
  <c r="ADG72" i="6"/>
  <c r="ADG54" i="6"/>
  <c r="ADG8" i="6"/>
  <c r="ADG19" i="6"/>
  <c r="OT60" i="6"/>
  <c r="JG103" i="6"/>
  <c r="JG91" i="6"/>
  <c r="KQ28" i="6"/>
  <c r="KQ9" i="6"/>
  <c r="MA51" i="6"/>
  <c r="SF41" i="6"/>
  <c r="UH92" i="6"/>
  <c r="UH42" i="6"/>
  <c r="MS107" i="6"/>
  <c r="MS105" i="6"/>
  <c r="MS69" i="6"/>
  <c r="MS31" i="6"/>
  <c r="TP78" i="6"/>
  <c r="TP105" i="6"/>
  <c r="TP69" i="6"/>
  <c r="ABP70" i="6"/>
  <c r="ABP31" i="6"/>
  <c r="ABP29" i="6"/>
  <c r="ABP117" i="6"/>
  <c r="LI24" i="6"/>
  <c r="LI104" i="6"/>
  <c r="LI80" i="6"/>
  <c r="RN62" i="6"/>
  <c r="RN114" i="6"/>
  <c r="RN103" i="6"/>
  <c r="AM82" i="6"/>
  <c r="AM51" i="6"/>
  <c r="AM16" i="6"/>
  <c r="AM116" i="6"/>
  <c r="AM114" i="6"/>
  <c r="AM12" i="6"/>
  <c r="AM106" i="6"/>
  <c r="AM55" i="6"/>
  <c r="AM70" i="6"/>
  <c r="PL32" i="6"/>
  <c r="PL111" i="6"/>
  <c r="PL110" i="6"/>
  <c r="PL71" i="6"/>
  <c r="JY92" i="6"/>
  <c r="JY109" i="6"/>
  <c r="JY44" i="6"/>
  <c r="QD56" i="6"/>
  <c r="QD98" i="6"/>
  <c r="QD99" i="6"/>
  <c r="QV53" i="6"/>
  <c r="QV31" i="6"/>
  <c r="QV109" i="6"/>
  <c r="IO71" i="6"/>
  <c r="SX36" i="6"/>
  <c r="SX24" i="6"/>
  <c r="SX117" i="6"/>
  <c r="ADG43" i="6"/>
  <c r="OT86" i="6"/>
  <c r="KQ18" i="6"/>
  <c r="ABP69" i="6"/>
  <c r="RN10" i="6"/>
  <c r="AM34" i="6"/>
  <c r="AM84" i="6"/>
  <c r="AM65" i="6"/>
  <c r="PL62" i="6"/>
  <c r="PL22" i="6"/>
  <c r="PL61" i="6"/>
  <c r="PL15" i="6"/>
  <c r="PL21" i="6"/>
  <c r="JY12" i="6"/>
  <c r="JY41" i="6"/>
  <c r="JY10" i="6"/>
  <c r="QD22" i="6"/>
  <c r="QD11" i="6"/>
  <c r="QD78" i="6"/>
  <c r="QD90" i="6"/>
  <c r="QD28" i="6"/>
  <c r="QD105" i="6"/>
  <c r="QD113" i="6"/>
  <c r="QD82" i="6"/>
  <c r="QD37" i="6"/>
  <c r="QD18" i="6"/>
  <c r="QD7" i="6"/>
  <c r="QD100" i="6"/>
  <c r="QD69" i="6"/>
  <c r="QD45" i="6"/>
  <c r="ZM78" i="6"/>
  <c r="ZM66" i="6"/>
  <c r="ZM110" i="6"/>
  <c r="ZM36" i="6"/>
  <c r="ZM35" i="6"/>
  <c r="ZM80" i="6"/>
  <c r="ZM70" i="6"/>
  <c r="ZM69" i="6"/>
  <c r="ZM87" i="6"/>
  <c r="ZM92" i="6"/>
  <c r="ZM45" i="6"/>
  <c r="ZM17" i="6"/>
  <c r="ZM65" i="6"/>
  <c r="ZM24" i="6"/>
  <c r="QV48" i="6"/>
  <c r="QV11" i="6"/>
  <c r="QV105" i="6"/>
  <c r="QV64" i="6"/>
  <c r="QV37" i="6"/>
  <c r="QV114" i="6"/>
  <c r="QV100" i="6"/>
  <c r="QV17" i="6"/>
  <c r="QV21" i="6"/>
  <c r="QV98" i="6"/>
  <c r="QV92" i="6"/>
  <c r="QV33" i="6"/>
  <c r="QV32" i="6"/>
  <c r="IO103" i="6"/>
  <c r="IO21" i="6"/>
  <c r="IO83" i="6"/>
  <c r="IO117" i="6"/>
  <c r="IO116" i="6"/>
  <c r="IO102" i="6"/>
  <c r="IO11" i="6"/>
  <c r="IO28" i="6"/>
  <c r="IO74" i="6"/>
  <c r="IO62" i="6"/>
  <c r="IO33" i="6"/>
  <c r="IO32" i="6"/>
  <c r="SX71" i="6"/>
  <c r="SX51" i="6"/>
  <c r="SX12" i="6"/>
  <c r="SX105" i="6"/>
  <c r="SX93" i="6"/>
  <c r="SX34" i="6"/>
  <c r="SX27" i="6"/>
  <c r="SX35" i="6"/>
  <c r="SX16" i="6"/>
  <c r="SX109" i="6"/>
  <c r="SX15" i="6"/>
  <c r="SX108" i="6"/>
  <c r="SX96" i="6"/>
  <c r="SX49" i="6"/>
  <c r="SX30" i="6"/>
  <c r="SX37" i="6"/>
  <c r="ADG62" i="6"/>
  <c r="ADG97" i="6"/>
  <c r="ADG13" i="6"/>
  <c r="ADG83" i="6"/>
  <c r="ADG88" i="6"/>
  <c r="ADG94" i="6"/>
  <c r="ADG105" i="6"/>
  <c r="ADG21" i="6"/>
  <c r="ADG91" i="6"/>
  <c r="ADG113" i="6"/>
  <c r="ADG10" i="6"/>
  <c r="ADG29" i="6"/>
  <c r="OT99" i="6"/>
  <c r="OT67" i="6"/>
  <c r="OT36" i="6"/>
  <c r="OT26" i="6"/>
  <c r="OT71" i="6"/>
  <c r="OT89" i="6"/>
  <c r="OT66" i="6"/>
  <c r="OT22" i="6"/>
  <c r="JG85" i="6"/>
  <c r="JG86" i="6"/>
  <c r="JG92" i="6"/>
  <c r="JG105" i="6"/>
  <c r="JG32" i="6"/>
  <c r="JG68" i="6"/>
  <c r="JG104" i="6"/>
  <c r="JG54" i="6"/>
  <c r="KQ82" i="6"/>
  <c r="KQ48" i="6"/>
  <c r="KQ37" i="6"/>
  <c r="KQ69" i="6"/>
  <c r="KQ75" i="6"/>
  <c r="KQ83" i="6"/>
  <c r="KQ80" i="6"/>
  <c r="KQ58" i="6"/>
  <c r="KQ12" i="6"/>
  <c r="KQ53" i="6"/>
  <c r="KQ68" i="6"/>
  <c r="KQ57" i="6"/>
  <c r="KQ93" i="6"/>
  <c r="MA45" i="6"/>
  <c r="MA68" i="6"/>
  <c r="MA8" i="6"/>
  <c r="MA117" i="6"/>
  <c r="MA38" i="6"/>
  <c r="MA55" i="6"/>
  <c r="MA91" i="6"/>
  <c r="MA85" i="6"/>
  <c r="MA12" i="6"/>
  <c r="MA83" i="6"/>
  <c r="MA35" i="6"/>
  <c r="MA57" i="6"/>
  <c r="MA46" i="6"/>
  <c r="SF8" i="6"/>
  <c r="SF28" i="6"/>
  <c r="SF30" i="6"/>
  <c r="SF44" i="6"/>
  <c r="SF94" i="6"/>
  <c r="SF43" i="6"/>
  <c r="SF82" i="6"/>
  <c r="SF83" i="6"/>
  <c r="SF114" i="6"/>
  <c r="SF87" i="6"/>
  <c r="UH47" i="6"/>
  <c r="UH52" i="6"/>
  <c r="UH46" i="6"/>
  <c r="UH98" i="6"/>
  <c r="UH103" i="6"/>
  <c r="UH108" i="6"/>
  <c r="UH18" i="6"/>
  <c r="UH94" i="6"/>
  <c r="UH89" i="6"/>
  <c r="UH16" i="6"/>
  <c r="MS72" i="6"/>
  <c r="MS37" i="6"/>
  <c r="MS16" i="6"/>
  <c r="MS113" i="6"/>
  <c r="MS75" i="6"/>
  <c r="MS45" i="6"/>
  <c r="MS44" i="6"/>
  <c r="MS55" i="6"/>
  <c r="MS83" i="6"/>
  <c r="MS42" i="6"/>
  <c r="MS101" i="6"/>
  <c r="MS9" i="6"/>
  <c r="MS33" i="6"/>
  <c r="MS82" i="6"/>
  <c r="MS38" i="6"/>
  <c r="MS18" i="6"/>
  <c r="TP60" i="6"/>
  <c r="TP29" i="6"/>
  <c r="TP75" i="6"/>
  <c r="TP23" i="6"/>
  <c r="TP116" i="6"/>
  <c r="TP91" i="6"/>
  <c r="TP106" i="6"/>
  <c r="TP32" i="6"/>
  <c r="TP72" i="6"/>
  <c r="TP19" i="6"/>
  <c r="ABP58" i="6"/>
  <c r="ABP19" i="6"/>
  <c r="ABP24" i="6"/>
  <c r="ABP42" i="6"/>
  <c r="ABP47" i="6"/>
  <c r="ABP75" i="6"/>
  <c r="ABP77" i="6"/>
  <c r="ABP110" i="6"/>
  <c r="ABP6" i="6"/>
  <c r="ABP100" i="6"/>
  <c r="ABP111" i="6"/>
  <c r="ABP52" i="6"/>
  <c r="ABP61" i="6"/>
  <c r="LI115" i="6"/>
  <c r="LI58" i="6"/>
  <c r="LI101" i="6"/>
  <c r="LI10" i="6"/>
  <c r="LI34" i="6"/>
  <c r="LI50" i="6"/>
  <c r="LI76" i="6"/>
  <c r="LI55" i="6"/>
  <c r="LI18" i="6"/>
  <c r="LI96" i="6"/>
  <c r="LI106" i="6"/>
  <c r="RN71" i="6"/>
  <c r="RN43" i="6"/>
  <c r="RN74" i="6"/>
  <c r="RN63" i="6"/>
  <c r="RN12" i="6"/>
  <c r="RN80" i="6"/>
  <c r="RN21" i="6"/>
  <c r="RN26" i="6"/>
  <c r="RN15" i="6"/>
  <c r="RN27" i="6"/>
  <c r="RN77" i="6"/>
  <c r="RN68" i="6"/>
  <c r="RN9" i="6"/>
  <c r="AM91" i="6"/>
  <c r="AM80" i="6"/>
  <c r="AM27" i="6"/>
  <c r="AM33" i="6"/>
  <c r="AM21" i="6"/>
  <c r="AM23" i="6"/>
  <c r="AM44" i="6"/>
  <c r="AM7" i="6"/>
  <c r="AM107" i="6"/>
  <c r="AM61" i="6"/>
  <c r="AM18" i="6"/>
  <c r="AM60" i="6"/>
  <c r="AM45" i="6"/>
  <c r="AM105" i="6"/>
  <c r="AM63" i="6"/>
  <c r="PL82" i="6"/>
  <c r="PL116" i="6"/>
  <c r="PL108" i="6"/>
  <c r="PL66" i="6"/>
  <c r="PL114" i="6"/>
  <c r="PL23" i="6"/>
  <c r="PL31" i="6"/>
  <c r="PL106" i="6"/>
  <c r="JY83" i="6"/>
  <c r="JY26" i="6"/>
  <c r="JY24" i="6"/>
  <c r="JY108" i="6"/>
  <c r="JY17" i="6"/>
  <c r="JY54" i="6"/>
  <c r="JY49" i="6"/>
  <c r="JY16" i="6"/>
  <c r="JY57" i="6"/>
  <c r="JY14" i="6"/>
  <c r="JY76" i="6"/>
  <c r="JY40" i="6"/>
  <c r="JY56" i="6"/>
  <c r="JY20" i="6"/>
  <c r="QD26" i="6"/>
  <c r="QD60" i="6"/>
  <c r="QD80" i="6"/>
  <c r="QD6" i="6"/>
  <c r="QD24" i="6"/>
  <c r="QD17" i="6"/>
  <c r="QD20" i="6"/>
  <c r="QD29" i="6"/>
  <c r="QD65" i="6"/>
  <c r="QD35" i="6"/>
  <c r="QD59" i="6"/>
  <c r="ZM40" i="6"/>
  <c r="ZM82" i="6"/>
  <c r="ZM53" i="6"/>
  <c r="ZM111" i="6"/>
  <c r="ZM96" i="6"/>
  <c r="ZM25" i="6"/>
  <c r="ZM43" i="6"/>
  <c r="ZM62" i="6"/>
  <c r="ZM26" i="6"/>
  <c r="I588" i="7" a="1"/>
  <c r="I588" i="7" s="1"/>
  <c r="J588" i="7" a="1"/>
  <c r="J588" i="7" s="1"/>
  <c r="BN119" i="6"/>
  <c r="QV75" i="6"/>
  <c r="QV34" i="6"/>
  <c r="QV60" i="6"/>
  <c r="QV54" i="6"/>
  <c r="QV115" i="6"/>
  <c r="IO50" i="6"/>
  <c r="IO72" i="6"/>
  <c r="IO97" i="6"/>
  <c r="IO87" i="6"/>
  <c r="IO45" i="6"/>
  <c r="IO38" i="6"/>
  <c r="IO100" i="6"/>
  <c r="IO6" i="6"/>
  <c r="IO85" i="6"/>
  <c r="IO89" i="6"/>
  <c r="SX65" i="6"/>
  <c r="SX87" i="6"/>
  <c r="SX28" i="6"/>
  <c r="SX10" i="6"/>
  <c r="SX103" i="6"/>
  <c r="SX56" i="6"/>
  <c r="SX9" i="6"/>
  <c r="SX78" i="6"/>
  <c r="SX90" i="6"/>
  <c r="SX31" i="6"/>
  <c r="ADG80" i="6"/>
  <c r="ADG34" i="6"/>
  <c r="ADG53" i="6"/>
  <c r="ADG16" i="6"/>
  <c r="ADG37" i="6"/>
  <c r="ADG48" i="6"/>
  <c r="ADG26" i="6"/>
  <c r="ADG45" i="6"/>
  <c r="ADG32" i="6"/>
  <c r="ADG115" i="6"/>
  <c r="ADG7" i="6"/>
  <c r="OT63" i="6"/>
  <c r="OT90" i="6"/>
  <c r="OT103" i="6"/>
  <c r="OT82" i="6"/>
  <c r="OT25" i="6"/>
  <c r="OT84" i="6"/>
  <c r="OT92" i="6"/>
  <c r="OT41" i="6"/>
  <c r="OT55" i="6"/>
  <c r="OT104" i="6"/>
  <c r="JG78" i="6"/>
  <c r="JG77" i="6"/>
  <c r="JG88" i="6"/>
  <c r="JG43" i="6"/>
  <c r="JG64" i="6"/>
  <c r="JG112" i="6"/>
  <c r="JG35" i="6"/>
  <c r="JG21" i="6"/>
  <c r="JG22" i="6"/>
  <c r="JG48" i="6"/>
  <c r="JG28" i="6"/>
  <c r="JG67" i="6"/>
  <c r="JG116" i="6"/>
  <c r="KQ73" i="6"/>
  <c r="KQ64" i="6"/>
  <c r="KQ14" i="6"/>
  <c r="KQ72" i="6"/>
  <c r="KQ113" i="6"/>
  <c r="KQ101" i="6"/>
  <c r="KQ41" i="6"/>
  <c r="KQ31" i="6"/>
  <c r="KQ46" i="6"/>
  <c r="VX119" i="6"/>
  <c r="I4834" i="7" a="1"/>
  <c r="I4834" i="7" s="1"/>
  <c r="J4834" i="7" a="1"/>
  <c r="J4834" i="7" s="1"/>
  <c r="MA69" i="6"/>
  <c r="MA96" i="6"/>
  <c r="MA56" i="6"/>
  <c r="MA73" i="6"/>
  <c r="MA13" i="6"/>
  <c r="MA61" i="6"/>
  <c r="MA66" i="6"/>
  <c r="MA90" i="6"/>
  <c r="MA29" i="6"/>
  <c r="MA50" i="6"/>
  <c r="SF78" i="6"/>
  <c r="SF25" i="6"/>
  <c r="SF69" i="6"/>
  <c r="SF7" i="6"/>
  <c r="SF74" i="6"/>
  <c r="SF57" i="6"/>
  <c r="SF97" i="6"/>
  <c r="SF106" i="6"/>
  <c r="SF64" i="6"/>
  <c r="SF99" i="6"/>
  <c r="XY119" i="6"/>
  <c r="UH69" i="6"/>
  <c r="UH19" i="6"/>
  <c r="UH15" i="6"/>
  <c r="UH63" i="6"/>
  <c r="UH68" i="6"/>
  <c r="UH9" i="6"/>
  <c r="UH49" i="6"/>
  <c r="UH56" i="6"/>
  <c r="UH107" i="6"/>
  <c r="UH109" i="6"/>
  <c r="UH110" i="6"/>
  <c r="MS70" i="6"/>
  <c r="MS36" i="6"/>
  <c r="MS81" i="6"/>
  <c r="MS58" i="6"/>
  <c r="MS35" i="6"/>
  <c r="MS99" i="6"/>
  <c r="MS53" i="6"/>
  <c r="MS96" i="6"/>
  <c r="MS73" i="6"/>
  <c r="TP88" i="6"/>
  <c r="TP76" i="6"/>
  <c r="TP45" i="6"/>
  <c r="TP98" i="6"/>
  <c r="TP65" i="6"/>
  <c r="TP92" i="6"/>
  <c r="TP58" i="6"/>
  <c r="TP39" i="6"/>
  <c r="TP38" i="6"/>
  <c r="TP79" i="6"/>
  <c r="TP26" i="6"/>
  <c r="TP20" i="6"/>
  <c r="ABP43" i="6"/>
  <c r="ABP44" i="6"/>
  <c r="ABP55" i="6"/>
  <c r="ABP39" i="6"/>
  <c r="ABP78" i="6"/>
  <c r="ABP18" i="6"/>
  <c r="ABP57" i="6"/>
  <c r="ABP85" i="6"/>
  <c r="ABP106" i="6"/>
  <c r="ABP46" i="6"/>
  <c r="ABP67" i="6"/>
  <c r="ABP48" i="6"/>
  <c r="ABP21" i="6"/>
  <c r="ABP64" i="6"/>
  <c r="ABP68" i="6"/>
  <c r="ABP22" i="6"/>
  <c r="ABP32" i="6"/>
  <c r="LI71" i="6"/>
  <c r="LI74" i="6"/>
  <c r="LI107" i="6"/>
  <c r="LI11" i="6"/>
  <c r="LI110" i="6"/>
  <c r="LI22" i="6"/>
  <c r="LI111" i="6"/>
  <c r="LI86" i="6"/>
  <c r="LI35" i="6"/>
  <c r="EP119" i="6"/>
  <c r="RN115" i="6"/>
  <c r="RN34" i="6"/>
  <c r="RN85" i="6"/>
  <c r="RN76" i="6"/>
  <c r="RN81" i="6"/>
  <c r="RN110" i="6"/>
  <c r="RN28" i="6"/>
  <c r="RN56" i="6"/>
  <c r="RN42" i="6"/>
  <c r="RN31" i="6"/>
  <c r="RN84" i="6"/>
  <c r="RN11" i="6"/>
  <c r="RN25" i="6"/>
  <c r="AM103" i="6"/>
  <c r="AM67" i="6"/>
  <c r="AM20" i="6"/>
  <c r="AM79" i="6"/>
  <c r="AM53" i="6"/>
  <c r="XC119" i="6"/>
  <c r="PL58" i="6"/>
  <c r="PL34" i="6"/>
  <c r="PL13" i="6"/>
  <c r="PL91" i="6"/>
  <c r="PL18" i="6"/>
  <c r="PL73" i="6"/>
  <c r="PL24" i="6"/>
  <c r="PL17" i="6"/>
  <c r="PL16" i="6"/>
  <c r="PL63" i="6"/>
  <c r="PL50" i="6"/>
  <c r="PL53" i="6"/>
  <c r="PL81" i="6"/>
  <c r="PL35" i="6"/>
  <c r="JY77" i="6"/>
  <c r="JY22" i="6"/>
  <c r="JY71" i="6"/>
  <c r="JY117" i="6"/>
  <c r="JY47" i="6"/>
  <c r="JY88" i="6"/>
  <c r="JY69" i="6"/>
  <c r="I822" i="7" a="1"/>
  <c r="I822" i="7" s="1"/>
  <c r="J822" i="7" a="1"/>
  <c r="J822" i="7" s="1"/>
  <c r="QD51" i="6"/>
  <c r="QD43" i="6"/>
  <c r="QD58" i="6"/>
  <c r="QD38" i="6"/>
  <c r="QD34" i="6"/>
  <c r="QD44" i="6"/>
  <c r="QD62" i="6"/>
  <c r="QD94" i="6"/>
  <c r="QD76" i="6"/>
  <c r="QD50" i="6"/>
  <c r="QD52" i="6"/>
  <c r="QD39" i="6"/>
  <c r="ZM91" i="6"/>
  <c r="ZM93" i="6"/>
  <c r="ZM97" i="6"/>
  <c r="ZM117" i="6"/>
  <c r="ZM56" i="6"/>
  <c r="ZM98" i="6"/>
  <c r="ZM44" i="6"/>
  <c r="ZM13" i="6"/>
  <c r="ZM86" i="6"/>
  <c r="ZM108" i="6"/>
  <c r="QV6" i="6"/>
  <c r="QV52" i="6"/>
  <c r="QV38" i="6"/>
  <c r="QV50" i="6"/>
  <c r="QV68" i="6"/>
  <c r="QV15" i="6"/>
  <c r="QV20" i="6"/>
  <c r="QV113" i="6"/>
  <c r="IO67" i="6"/>
  <c r="IO76" i="6"/>
  <c r="IO75" i="6"/>
  <c r="IO40" i="6"/>
  <c r="IO46" i="6"/>
  <c r="IO29" i="6"/>
  <c r="IO12" i="6"/>
  <c r="IO27" i="6"/>
  <c r="IO61" i="6"/>
  <c r="IO54" i="6"/>
  <c r="IO82" i="6"/>
  <c r="IO81" i="6"/>
  <c r="IO78" i="6"/>
  <c r="SX54" i="6"/>
  <c r="SX47" i="6"/>
  <c r="SX83" i="6"/>
  <c r="SX69" i="6"/>
  <c r="SX50" i="6"/>
  <c r="SX84" i="6"/>
  <c r="SX70" i="6"/>
  <c r="SX72" i="6"/>
  <c r="SX25" i="6"/>
  <c r="ADG15" i="6"/>
  <c r="ADG42" i="6"/>
  <c r="ADG61" i="6"/>
  <c r="ADG96" i="6"/>
  <c r="ADG23" i="6"/>
  <c r="ADG78" i="6"/>
  <c r="ADG50" i="6"/>
  <c r="ADG69" i="6"/>
  <c r="OT51" i="6"/>
  <c r="OT35" i="6"/>
  <c r="OT27" i="6"/>
  <c r="OT102" i="6"/>
  <c r="OT106" i="6"/>
  <c r="OT61" i="6"/>
  <c r="OT107" i="6"/>
  <c r="OT95" i="6"/>
  <c r="OT21" i="6"/>
  <c r="OT16" i="6"/>
  <c r="OT73" i="6"/>
  <c r="OT72" i="6"/>
  <c r="OT81" i="6"/>
  <c r="OT52" i="6"/>
  <c r="JG90" i="6"/>
  <c r="JG79" i="6"/>
  <c r="JG80" i="6"/>
  <c r="JG107" i="6"/>
  <c r="JG13" i="6"/>
  <c r="JG24" i="6"/>
  <c r="JG70" i="6"/>
  <c r="KQ51" i="6"/>
  <c r="KQ74" i="6"/>
  <c r="KQ99" i="6"/>
  <c r="KQ44" i="6"/>
  <c r="KQ38" i="6"/>
  <c r="KQ21" i="6"/>
  <c r="KQ92" i="6"/>
  <c r="KQ22" i="6"/>
  <c r="KQ50" i="6"/>
  <c r="KQ39" i="6"/>
  <c r="KQ71" i="6"/>
  <c r="KQ35" i="6"/>
  <c r="YJ119" i="6"/>
  <c r="MA65" i="6"/>
  <c r="MA74" i="6"/>
  <c r="MA101" i="6"/>
  <c r="MA98" i="6"/>
  <c r="MA19" i="6"/>
  <c r="MA93" i="6"/>
  <c r="MA103" i="6"/>
  <c r="MA18" i="6"/>
  <c r="MA64" i="6"/>
  <c r="MA34" i="6"/>
  <c r="MA113" i="6"/>
  <c r="MA17" i="6"/>
  <c r="MA16" i="6"/>
  <c r="MA95" i="6"/>
  <c r="MA71" i="6"/>
  <c r="MA72" i="6"/>
  <c r="SF115" i="6"/>
  <c r="SF98" i="6"/>
  <c r="SF86" i="6"/>
  <c r="SF23" i="6"/>
  <c r="SF17" i="6"/>
  <c r="SF60" i="6"/>
  <c r="SF79" i="6"/>
  <c r="SF100" i="6"/>
  <c r="SF59" i="6"/>
  <c r="SF113" i="6"/>
  <c r="UH8" i="6"/>
  <c r="UH37" i="6"/>
  <c r="UH28" i="6"/>
  <c r="UH14" i="6"/>
  <c r="UH96" i="6"/>
  <c r="UH101" i="6"/>
  <c r="UH93" i="6"/>
  <c r="UH11" i="6"/>
  <c r="UH114" i="6"/>
  <c r="UH112" i="6"/>
  <c r="UH29" i="6"/>
  <c r="UH65" i="6"/>
  <c r="MS23" i="6"/>
  <c r="MS47" i="6"/>
  <c r="MS11" i="6"/>
  <c r="MS56" i="6"/>
  <c r="MS66" i="6"/>
  <c r="MS15" i="6"/>
  <c r="MS6" i="6"/>
  <c r="TP36" i="6"/>
  <c r="TP97" i="6"/>
  <c r="TP104" i="6"/>
  <c r="TP57" i="6"/>
  <c r="TP51" i="6"/>
  <c r="TP21" i="6"/>
  <c r="TP61" i="6"/>
  <c r="TP49" i="6"/>
  <c r="TP101" i="6"/>
  <c r="TP48" i="6"/>
  <c r="ABP89" i="6"/>
  <c r="ABP97" i="6"/>
  <c r="ABP92" i="6"/>
  <c r="ABP73" i="6"/>
  <c r="ABP45" i="6"/>
  <c r="ABP105" i="6"/>
  <c r="ABP51" i="6"/>
  <c r="ABP16" i="6"/>
  <c r="ABP81" i="6"/>
  <c r="ABP14" i="6"/>
  <c r="ABP114" i="6"/>
  <c r="ABP108" i="6"/>
  <c r="ABP91" i="6"/>
  <c r="LI92" i="6"/>
  <c r="LI28" i="6"/>
  <c r="LI17" i="6"/>
  <c r="LI41" i="6"/>
  <c r="LI19" i="6"/>
  <c r="LI12" i="6"/>
  <c r="LI91" i="6"/>
  <c r="LI67" i="6"/>
  <c r="LI94" i="6"/>
  <c r="LI112" i="6"/>
  <c r="LI8" i="6"/>
  <c r="LI48" i="6"/>
  <c r="LI72" i="6"/>
  <c r="RN13" i="6"/>
  <c r="RN45" i="6"/>
  <c r="RN36" i="6"/>
  <c r="RN78" i="6"/>
  <c r="RN91" i="6"/>
  <c r="RN8" i="6"/>
  <c r="RN53" i="6"/>
  <c r="RN44" i="6"/>
  <c r="RN58" i="6"/>
  <c r="RN47" i="6"/>
  <c r="AM74" i="6"/>
  <c r="AM50" i="6"/>
  <c r="AM75" i="6"/>
  <c r="PL47" i="6"/>
  <c r="PL78" i="6"/>
  <c r="PL89" i="6"/>
  <c r="PL115" i="6"/>
  <c r="PL107" i="6"/>
  <c r="PL37" i="6"/>
  <c r="PL100" i="6"/>
  <c r="PL101" i="6"/>
  <c r="PL104" i="6"/>
  <c r="PL29" i="6"/>
  <c r="JY53" i="6"/>
  <c r="JY28" i="6"/>
  <c r="JY39" i="6"/>
  <c r="JY114" i="6"/>
  <c r="JY43" i="6"/>
  <c r="JY8" i="6"/>
  <c r="JY111" i="6"/>
  <c r="JY64" i="6"/>
  <c r="JY115" i="6"/>
  <c r="JY58" i="6"/>
  <c r="JY79" i="6"/>
  <c r="JY113" i="6"/>
  <c r="JY62" i="6"/>
  <c r="QD16" i="6"/>
  <c r="QD21" i="6"/>
  <c r="QD55" i="6"/>
  <c r="QD30" i="6"/>
  <c r="QD36" i="6"/>
  <c r="QD40" i="6"/>
  <c r="QD61" i="6"/>
  <c r="ZM16" i="6"/>
  <c r="ZM55" i="6"/>
  <c r="ZM102" i="6"/>
  <c r="ZM21" i="6"/>
  <c r="ZM54" i="6"/>
  <c r="ZM59" i="6"/>
  <c r="ZM72" i="6"/>
  <c r="ZM51" i="6"/>
  <c r="ZM76" i="6"/>
  <c r="ZM112" i="6"/>
  <c r="ZM6" i="6"/>
  <c r="ZM30" i="6"/>
  <c r="QV62" i="6"/>
  <c r="QV47" i="6"/>
  <c r="QV91" i="6"/>
  <c r="QV95" i="6"/>
  <c r="QV104" i="6"/>
  <c r="QV28" i="6"/>
  <c r="QV86" i="6"/>
  <c r="QV58" i="6"/>
  <c r="QV40" i="6"/>
  <c r="IO55" i="6"/>
  <c r="IO107" i="6"/>
  <c r="IO105" i="6"/>
  <c r="IO110" i="6"/>
  <c r="IO8" i="6"/>
  <c r="IO104" i="6"/>
  <c r="IO19" i="6"/>
  <c r="IO17" i="6"/>
  <c r="IO18" i="6"/>
  <c r="IO99" i="6"/>
  <c r="DY119" i="6"/>
  <c r="SX63" i="6"/>
  <c r="SX62" i="6"/>
  <c r="SX45" i="6"/>
  <c r="SX11" i="6"/>
  <c r="SX44" i="6"/>
  <c r="SX91" i="6"/>
  <c r="SX99" i="6"/>
  <c r="SX32" i="6"/>
  <c r="SX66" i="6"/>
  <c r="ADG77" i="6"/>
  <c r="ADG39" i="6"/>
  <c r="ADG85" i="6"/>
  <c r="ADG47" i="6"/>
  <c r="ADG70" i="6"/>
  <c r="ADG74" i="6"/>
  <c r="ADG93" i="6"/>
  <c r="OT56" i="6"/>
  <c r="OT87" i="6"/>
  <c r="OT18" i="6"/>
  <c r="OT78" i="6"/>
  <c r="OT14" i="6"/>
  <c r="OT33" i="6"/>
  <c r="OT77" i="6"/>
  <c r="OT74" i="6"/>
  <c r="OT113" i="6"/>
  <c r="OT114" i="6"/>
  <c r="JG44" i="6"/>
  <c r="JG45" i="6"/>
  <c r="JG56" i="6"/>
  <c r="JG93" i="6"/>
  <c r="JG71" i="6"/>
  <c r="JG82" i="6"/>
  <c r="JG31" i="6"/>
  <c r="JG8" i="6"/>
  <c r="JG114" i="6"/>
  <c r="JG26" i="6"/>
  <c r="JG115" i="6"/>
  <c r="JG12" i="6"/>
  <c r="KQ55" i="6"/>
  <c r="KQ88" i="6"/>
  <c r="KQ65" i="6"/>
  <c r="KQ67" i="6"/>
  <c r="KQ109" i="6"/>
  <c r="KQ16" i="6"/>
  <c r="KQ11" i="6"/>
  <c r="KQ13" i="6"/>
  <c r="KQ112" i="6"/>
  <c r="KQ24" i="6"/>
  <c r="MA79" i="6"/>
  <c r="MA11" i="6"/>
  <c r="MA88" i="6"/>
  <c r="MA104" i="6"/>
  <c r="MA94" i="6"/>
  <c r="MA39" i="6"/>
  <c r="MA21" i="6"/>
  <c r="MA70" i="6"/>
  <c r="MA100" i="6"/>
  <c r="MA108" i="6"/>
  <c r="MA77" i="6"/>
  <c r="SF110" i="6"/>
  <c r="SF91" i="6"/>
  <c r="SF37" i="6"/>
  <c r="SF19" i="6"/>
  <c r="SF39" i="6"/>
  <c r="SF73" i="6"/>
  <c r="SF116" i="6"/>
  <c r="UH6" i="6"/>
  <c r="UH81" i="6"/>
  <c r="UH34" i="6"/>
  <c r="UH38" i="6"/>
  <c r="UH91" i="6"/>
  <c r="UH39" i="6"/>
  <c r="UH44" i="6"/>
  <c r="UH83" i="6"/>
  <c r="UH74" i="6"/>
  <c r="UH79" i="6"/>
  <c r="UH84" i="6"/>
  <c r="UH25" i="6"/>
  <c r="MS97" i="6"/>
  <c r="MS78" i="6"/>
  <c r="MS30" i="6"/>
  <c r="MS25" i="6"/>
  <c r="MS102" i="6"/>
  <c r="MS7" i="6"/>
  <c r="MS64" i="6"/>
  <c r="MS57" i="6"/>
  <c r="MS110" i="6"/>
  <c r="MS109" i="6"/>
  <c r="MS80" i="6"/>
  <c r="MS29" i="6"/>
  <c r="MS103" i="6"/>
  <c r="MS49" i="6"/>
  <c r="MS12" i="6"/>
  <c r="MS43" i="6"/>
  <c r="MS112" i="6"/>
  <c r="TP64" i="6"/>
  <c r="TP111" i="6"/>
  <c r="TP52" i="6"/>
  <c r="TP27" i="6"/>
  <c r="TP67" i="6"/>
  <c r="TP114" i="6"/>
  <c r="TP107" i="6"/>
  <c r="TP46" i="6"/>
  <c r="TP94" i="6"/>
  <c r="TP74" i="6"/>
  <c r="TP55" i="6"/>
  <c r="ABP82" i="6"/>
  <c r="ABP59" i="6"/>
  <c r="ABP40" i="6"/>
  <c r="ABP15" i="6"/>
  <c r="ABP20" i="6"/>
  <c r="ABP115" i="6"/>
  <c r="LI43" i="6"/>
  <c r="LI65" i="6"/>
  <c r="LI105" i="6"/>
  <c r="LI102" i="6"/>
  <c r="LI40" i="6"/>
  <c r="LI75" i="6"/>
  <c r="LI16" i="6"/>
  <c r="LI56" i="6"/>
  <c r="LI53" i="6"/>
  <c r="LI38" i="6"/>
  <c r="OB119" i="6"/>
  <c r="RN116" i="6"/>
  <c r="RN102" i="6"/>
  <c r="RN46" i="6"/>
  <c r="RN97" i="6"/>
  <c r="RN29" i="6"/>
  <c r="RN69" i="6"/>
  <c r="RN60" i="6"/>
  <c r="AM110" i="6"/>
  <c r="AM46" i="6"/>
  <c r="AM54" i="6"/>
  <c r="AM90" i="6"/>
  <c r="PL12" i="6"/>
  <c r="PL41" i="6"/>
  <c r="PL52" i="6"/>
  <c r="PL14" i="6"/>
  <c r="PL96" i="6"/>
  <c r="PL72" i="6"/>
  <c r="PL65" i="6"/>
  <c r="PL48" i="6"/>
  <c r="PL36" i="6"/>
  <c r="JY48" i="6"/>
  <c r="JY116" i="6"/>
  <c r="JY90" i="6"/>
  <c r="JY105" i="6"/>
  <c r="JY45" i="6"/>
  <c r="JY89" i="6"/>
  <c r="JY106" i="6"/>
  <c r="JY23" i="6"/>
  <c r="JY93" i="6"/>
  <c r="JY30" i="6"/>
  <c r="WR119" i="6"/>
  <c r="QD114" i="6"/>
  <c r="QD92" i="6"/>
  <c r="QD9" i="6"/>
  <c r="QD89" i="6"/>
  <c r="QD48" i="6"/>
  <c r="QD75" i="6"/>
  <c r="QD79" i="6"/>
  <c r="QD77" i="6"/>
  <c r="QD46" i="6"/>
  <c r="QD111" i="6"/>
  <c r="QD91" i="6"/>
  <c r="QD87" i="6"/>
  <c r="ZM11" i="6"/>
  <c r="ZM18" i="6"/>
  <c r="ZM39" i="6"/>
  <c r="ZM33" i="6"/>
  <c r="ZM32" i="6"/>
  <c r="ZM60" i="6"/>
  <c r="ZM74" i="6"/>
  <c r="ZM14" i="6"/>
  <c r="ZM63" i="6"/>
  <c r="ZM114" i="6"/>
  <c r="FG119" i="6"/>
  <c r="QV12" i="6"/>
  <c r="QV94" i="6"/>
  <c r="QV89" i="6"/>
  <c r="QV90" i="6"/>
  <c r="QV72" i="6"/>
  <c r="QV83" i="6"/>
  <c r="QV87" i="6"/>
  <c r="QV14" i="6"/>
  <c r="QV74" i="6"/>
  <c r="QV56" i="6"/>
  <c r="QV7" i="6"/>
  <c r="QV99" i="6"/>
  <c r="QV103" i="6"/>
  <c r="QV51" i="6"/>
  <c r="QV55" i="6"/>
  <c r="IO26" i="6"/>
  <c r="IO44" i="6"/>
  <c r="IO66" i="6"/>
  <c r="IO84" i="6"/>
  <c r="IO112" i="6"/>
  <c r="IO108" i="6"/>
  <c r="IO22" i="6"/>
  <c r="IO57" i="6"/>
  <c r="IO94" i="6"/>
  <c r="IO111" i="6"/>
  <c r="IO114" i="6"/>
  <c r="IO48" i="6"/>
  <c r="SX48" i="6"/>
  <c r="SX14" i="6"/>
  <c r="SX82" i="6"/>
  <c r="SX23" i="6"/>
  <c r="SX116" i="6"/>
  <c r="SX104" i="6"/>
  <c r="SX57" i="6"/>
  <c r="SX22" i="6"/>
  <c r="SX39" i="6"/>
  <c r="SX85" i="6"/>
  <c r="SX26" i="6"/>
  <c r="SX102" i="6"/>
  <c r="SX75" i="6"/>
  <c r="SX60" i="6"/>
  <c r="ADG11" i="6"/>
  <c r="ADG117" i="6"/>
  <c r="ADG36" i="6"/>
  <c r="ADG55" i="6"/>
  <c r="ADG102" i="6"/>
  <c r="ADG82" i="6"/>
  <c r="ADG101" i="6"/>
  <c r="ADG17" i="6"/>
  <c r="ADG44" i="6"/>
  <c r="ADG63" i="6"/>
  <c r="ADG90" i="6"/>
  <c r="ADG109" i="6"/>
  <c r="ADG25" i="6"/>
  <c r="ADG52" i="6"/>
  <c r="ADG71" i="6"/>
  <c r="OT8" i="6"/>
  <c r="OT30" i="6"/>
  <c r="OT69" i="6"/>
  <c r="OT88" i="6"/>
  <c r="OT19" i="6"/>
  <c r="OT116" i="6"/>
  <c r="OT68" i="6"/>
  <c r="OT110" i="6"/>
  <c r="OT49" i="6"/>
  <c r="OT13" i="6"/>
  <c r="OT98" i="6"/>
  <c r="OT111" i="6"/>
  <c r="OT42" i="6"/>
  <c r="OT101" i="6"/>
  <c r="OT93" i="6"/>
  <c r="OT115" i="6"/>
  <c r="JG81" i="6"/>
  <c r="JG14" i="6"/>
  <c r="JG50" i="6"/>
  <c r="JG51" i="6"/>
  <c r="JG33" i="6"/>
  <c r="JG36" i="6"/>
  <c r="JG47" i="6"/>
  <c r="JG84" i="6"/>
  <c r="JG95" i="6"/>
  <c r="JG106" i="6"/>
  <c r="JG117" i="6"/>
  <c r="JG29" i="6"/>
  <c r="JG72" i="6"/>
  <c r="JG15" i="6"/>
  <c r="JG16" i="6"/>
  <c r="KQ62" i="6"/>
  <c r="KQ29" i="6"/>
  <c r="KQ61" i="6"/>
  <c r="KQ60" i="6"/>
  <c r="KQ25" i="6"/>
  <c r="KQ19" i="6"/>
  <c r="KQ17" i="6"/>
  <c r="KQ15" i="6"/>
  <c r="KQ54" i="6"/>
  <c r="KQ106" i="6"/>
  <c r="KQ52" i="6"/>
  <c r="KQ78" i="6"/>
  <c r="MA54" i="6"/>
  <c r="MA84" i="6"/>
  <c r="MA15" i="6"/>
  <c r="MA111" i="6"/>
  <c r="MA32" i="6"/>
  <c r="MA76" i="6"/>
  <c r="MA109" i="6"/>
  <c r="MA87" i="6"/>
  <c r="MA92" i="6"/>
  <c r="MA44" i="6"/>
  <c r="MA26" i="6"/>
  <c r="MA14" i="6"/>
  <c r="MA105" i="6"/>
  <c r="MA82" i="6"/>
  <c r="MA23" i="6"/>
  <c r="SF89" i="6"/>
  <c r="SF62" i="6"/>
  <c r="SF13" i="6"/>
  <c r="SF10" i="6"/>
  <c r="SF26" i="6"/>
  <c r="SF112" i="6"/>
  <c r="SF105" i="6"/>
  <c r="SF21" i="6"/>
  <c r="SF71" i="6"/>
  <c r="SF24" i="6"/>
  <c r="SF45" i="6"/>
  <c r="SF33" i="6"/>
  <c r="SF76" i="6"/>
  <c r="SF9" i="6"/>
  <c r="SF35" i="6"/>
  <c r="UH24" i="6"/>
  <c r="UH53" i="6"/>
  <c r="UH41" i="6"/>
  <c r="UH77" i="6"/>
  <c r="UH85" i="6"/>
  <c r="UH32" i="6"/>
  <c r="UH30" i="6"/>
  <c r="UH58" i="6"/>
  <c r="UH102" i="6"/>
  <c r="UH97" i="6"/>
  <c r="UH10" i="6"/>
  <c r="UH35" i="6"/>
  <c r="UH70" i="6"/>
  <c r="UH48" i="6"/>
  <c r="UH90" i="6"/>
  <c r="UH95" i="6"/>
  <c r="UH100" i="6"/>
  <c r="MS114" i="6"/>
  <c r="MS21" i="6"/>
  <c r="MS20" i="6"/>
  <c r="MS34" i="6"/>
  <c r="MS14" i="6"/>
  <c r="MS104" i="6"/>
  <c r="MS62" i="6"/>
  <c r="MS59" i="6"/>
  <c r="MS46" i="6"/>
  <c r="MS100" i="6"/>
  <c r="MS51" i="6"/>
  <c r="MS94" i="6"/>
  <c r="MS90" i="6"/>
  <c r="MS79" i="6"/>
  <c r="TP9" i="6"/>
  <c r="TP24" i="6"/>
  <c r="TP71" i="6"/>
  <c r="TP10" i="6"/>
  <c r="TP14" i="6"/>
  <c r="TP12" i="6"/>
  <c r="TP6" i="6"/>
  <c r="TP33" i="6"/>
  <c r="TP80" i="6"/>
  <c r="TP28" i="6"/>
  <c r="TP34" i="6"/>
  <c r="TP8" i="6"/>
  <c r="TP68" i="6"/>
  <c r="TP15" i="6"/>
  <c r="TP108" i="6"/>
  <c r="TP17" i="6"/>
  <c r="TP77" i="6"/>
  <c r="I3896" i="7" a="1"/>
  <c r="I3896" i="7" s="1"/>
  <c r="J3896" i="7" a="1"/>
  <c r="J3896" i="7" s="1"/>
  <c r="ABP13" i="6"/>
  <c r="ABP53" i="6"/>
  <c r="ABP41" i="6"/>
  <c r="ABP71" i="6"/>
  <c r="ABP93" i="6"/>
  <c r="ABP83" i="6"/>
  <c r="ABP98" i="6"/>
  <c r="ABP112" i="6"/>
  <c r="ABP90" i="6"/>
  <c r="ABP62" i="6"/>
  <c r="ABP102" i="6"/>
  <c r="ABP109" i="6"/>
  <c r="ABP30" i="6"/>
  <c r="ABP95" i="6"/>
  <c r="ABP72" i="6"/>
  <c r="ABP9" i="6"/>
  <c r="ABP74" i="6"/>
  <c r="ABP84" i="6"/>
  <c r="ABP11" i="6"/>
  <c r="LI89" i="6"/>
  <c r="LI47" i="6"/>
  <c r="LI31" i="6"/>
  <c r="LI6" i="6"/>
  <c r="LI13" i="6"/>
  <c r="LI117" i="6"/>
  <c r="LI66" i="6"/>
  <c r="LI15" i="6"/>
  <c r="LI42" i="6"/>
  <c r="LI82" i="6"/>
  <c r="I705" i="7" a="1"/>
  <c r="I705" i="7" s="1"/>
  <c r="J705" i="7" a="1"/>
  <c r="J705" i="7" s="1"/>
  <c r="RN35" i="6"/>
  <c r="RN88" i="6"/>
  <c r="RN18" i="6"/>
  <c r="RN67" i="6"/>
  <c r="RN105" i="6"/>
  <c r="RN17" i="6"/>
  <c r="RN83" i="6"/>
  <c r="RN57" i="6"/>
  <c r="RN94" i="6"/>
  <c r="RN30" i="6"/>
  <c r="RN20" i="6"/>
  <c r="RN113" i="6"/>
  <c r="AM69" i="6"/>
  <c r="AM49" i="6"/>
  <c r="AM13" i="6"/>
  <c r="AM57" i="6"/>
  <c r="AM9" i="6"/>
  <c r="AM92" i="6"/>
  <c r="AM47" i="6"/>
  <c r="AM36" i="6"/>
  <c r="AM115" i="6"/>
  <c r="AM96" i="6"/>
  <c r="YU119" i="6"/>
  <c r="PL102" i="6"/>
  <c r="PL11" i="6"/>
  <c r="PL40" i="6"/>
  <c r="PL83" i="6"/>
  <c r="PL85" i="6"/>
  <c r="PL51" i="6"/>
  <c r="PL95" i="6"/>
  <c r="PL74" i="6"/>
  <c r="PL25" i="6"/>
  <c r="JY63" i="6"/>
  <c r="JY85" i="6"/>
  <c r="JY75" i="6"/>
  <c r="JY102" i="6"/>
  <c r="JY73" i="6"/>
  <c r="JY82" i="6"/>
  <c r="JY81" i="6"/>
  <c r="JY55" i="6"/>
  <c r="JY66" i="6"/>
  <c r="JY74" i="6"/>
  <c r="QD42" i="6"/>
  <c r="QD72" i="6"/>
  <c r="QD104" i="6"/>
  <c r="QD101" i="6"/>
  <c r="QD81" i="6"/>
  <c r="QD71" i="6"/>
  <c r="QD49" i="6"/>
  <c r="QD12" i="6"/>
  <c r="QD109" i="6"/>
  <c r="QD68" i="6"/>
  <c r="ZM9" i="6"/>
  <c r="ZM68" i="6"/>
  <c r="ZM100" i="6"/>
  <c r="ZM81" i="6"/>
  <c r="ZM84" i="6"/>
  <c r="ZM12" i="6"/>
  <c r="ZM85" i="6"/>
  <c r="ZM23" i="6"/>
  <c r="ZM34" i="6"/>
  <c r="ZM49" i="6"/>
  <c r="ZM77" i="6"/>
  <c r="ZM89" i="6"/>
  <c r="ZM41" i="6"/>
  <c r="ZM47" i="6"/>
  <c r="ZM95" i="6"/>
  <c r="ZM88" i="6"/>
  <c r="ACG119" i="6"/>
  <c r="QV67" i="6"/>
  <c r="QV71" i="6"/>
  <c r="QV78" i="6"/>
  <c r="QV18" i="6"/>
  <c r="QV81" i="6"/>
  <c r="QV59" i="6"/>
  <c r="QV63" i="6"/>
  <c r="QV110" i="6"/>
  <c r="QV97" i="6"/>
  <c r="QV49" i="6"/>
  <c r="IO51" i="6"/>
  <c r="IO86" i="6"/>
  <c r="IO34" i="6"/>
  <c r="IO41" i="6"/>
  <c r="IO79" i="6"/>
  <c r="IO101" i="6"/>
  <c r="IO13" i="6"/>
  <c r="IO69" i="6"/>
  <c r="IO53" i="6"/>
  <c r="IO49" i="6"/>
  <c r="IO90" i="6"/>
  <c r="SX64" i="6"/>
  <c r="SX98" i="6"/>
  <c r="SX115" i="6"/>
  <c r="SX80" i="6"/>
  <c r="SX33" i="6"/>
  <c r="SX79" i="6"/>
  <c r="SX20" i="6"/>
  <c r="SX113" i="6"/>
  <c r="SX110" i="6"/>
  <c r="SX8" i="6"/>
  <c r="SX101" i="6"/>
  <c r="ADG76" i="6"/>
  <c r="ADG95" i="6"/>
  <c r="ADG33" i="6"/>
  <c r="ADG60" i="6"/>
  <c r="ADG79" i="6"/>
  <c r="ADG56" i="6"/>
  <c r="ADG41" i="6"/>
  <c r="ADG40" i="6"/>
  <c r="ADG68" i="6"/>
  <c r="ADG87" i="6"/>
  <c r="ADG27" i="6"/>
  <c r="ADG114" i="6"/>
  <c r="ADG49" i="6"/>
  <c r="OT80" i="6"/>
  <c r="OT32" i="6"/>
  <c r="OT6" i="6"/>
  <c r="OT15" i="6"/>
  <c r="OT23" i="6"/>
  <c r="OT117" i="6"/>
  <c r="OT58" i="6"/>
  <c r="OT7" i="6"/>
  <c r="OT11" i="6"/>
  <c r="OT45" i="6"/>
  <c r="OT37" i="6"/>
  <c r="FX119" i="6"/>
  <c r="JG46" i="6"/>
  <c r="JG39" i="6"/>
  <c r="JG61" i="6"/>
  <c r="JG38" i="6"/>
  <c r="JG87" i="6"/>
  <c r="JG74" i="6"/>
  <c r="JG60" i="6"/>
  <c r="JG7" i="6"/>
  <c r="JG18" i="6"/>
  <c r="KQ8" i="6"/>
  <c r="KQ117" i="6"/>
  <c r="KQ95" i="6"/>
  <c r="KQ90" i="6"/>
  <c r="KQ43" i="6"/>
  <c r="KQ84" i="6"/>
  <c r="KQ114" i="6"/>
  <c r="KQ20" i="6"/>
  <c r="KQ63" i="6"/>
  <c r="KQ98" i="6"/>
  <c r="KQ10" i="6"/>
  <c r="KQ103" i="6"/>
  <c r="KQ26" i="6"/>
  <c r="MA28" i="6"/>
  <c r="MA20" i="6"/>
  <c r="MA52" i="6"/>
  <c r="MA27" i="6"/>
  <c r="MA37" i="6"/>
  <c r="MA114" i="6"/>
  <c r="MA102" i="6"/>
  <c r="MA6" i="6"/>
  <c r="MA97" i="6"/>
  <c r="MA49" i="6"/>
  <c r="MA31" i="6"/>
  <c r="MA9" i="6"/>
  <c r="SF51" i="6"/>
  <c r="SF93" i="6"/>
  <c r="SF96" i="6"/>
  <c r="SF56" i="6"/>
  <c r="SF14" i="6"/>
  <c r="SF117" i="6"/>
  <c r="SF107" i="6"/>
  <c r="SF36" i="6"/>
  <c r="SF101" i="6"/>
  <c r="SF49" i="6"/>
  <c r="UH111" i="6"/>
  <c r="UH116" i="6"/>
  <c r="UH12" i="6"/>
  <c r="UH21" i="6"/>
  <c r="UH57" i="6"/>
  <c r="UH88" i="6"/>
  <c r="UH26" i="6"/>
  <c r="UH51" i="6"/>
  <c r="UH62" i="6"/>
  <c r="UH40" i="6"/>
  <c r="UH55" i="6"/>
  <c r="UH60" i="6"/>
  <c r="UH54" i="6"/>
  <c r="UH61" i="6"/>
  <c r="UH67" i="6"/>
  <c r="MS50" i="6"/>
  <c r="MS27" i="6"/>
  <c r="MS32" i="6"/>
  <c r="MS67" i="6"/>
  <c r="MS95" i="6"/>
  <c r="MS60" i="6"/>
  <c r="MS71" i="6"/>
  <c r="MS76" i="6"/>
  <c r="MS87" i="6"/>
  <c r="MS17" i="6"/>
  <c r="MS89" i="6"/>
  <c r="MS24" i="6"/>
  <c r="MS88" i="6"/>
  <c r="MS108" i="6"/>
  <c r="TP40" i="6"/>
  <c r="TP87" i="6"/>
  <c r="TP56" i="6"/>
  <c r="TP96" i="6"/>
  <c r="TP37" i="6"/>
  <c r="TP13" i="6"/>
  <c r="TP50" i="6"/>
  <c r="TP83" i="6"/>
  <c r="ABP38" i="6"/>
  <c r="ABP8" i="6"/>
  <c r="ABP26" i="6"/>
  <c r="ABP60" i="6"/>
  <c r="ABP107" i="6"/>
  <c r="ABP104" i="6"/>
  <c r="ABP99" i="6"/>
  <c r="ABP76" i="6"/>
  <c r="ABP10" i="6"/>
  <c r="LI7" i="6"/>
  <c r="LI116" i="6"/>
  <c r="LI83" i="6"/>
  <c r="LI46" i="6"/>
  <c r="LI26" i="6"/>
  <c r="LI90" i="6"/>
  <c r="LI39" i="6"/>
  <c r="LI20" i="6"/>
  <c r="LI44" i="6"/>
  <c r="LI73" i="6"/>
  <c r="LI36" i="6"/>
  <c r="LI60" i="6"/>
  <c r="RN7" i="6"/>
  <c r="RN65" i="6"/>
  <c r="RN50" i="6"/>
  <c r="RN39" i="6"/>
  <c r="RN86" i="6"/>
  <c r="RN90" i="6"/>
  <c r="RN79" i="6"/>
  <c r="RN54" i="6"/>
  <c r="RN73" i="6"/>
  <c r="RN70" i="6"/>
  <c r="AM104" i="6"/>
  <c r="AM101" i="6"/>
  <c r="AM14" i="6"/>
  <c r="AM37" i="6"/>
  <c r="AM30" i="6"/>
  <c r="AM66" i="6"/>
  <c r="PL103" i="6"/>
  <c r="PL44" i="6"/>
  <c r="PL39" i="6"/>
  <c r="PL43" i="6"/>
  <c r="PL9" i="6"/>
  <c r="PL97" i="6"/>
  <c r="PL7" i="6"/>
  <c r="PL112" i="6"/>
  <c r="PL113" i="6"/>
  <c r="PL76" i="6"/>
  <c r="PL28" i="6"/>
  <c r="PL75" i="6"/>
  <c r="PL27" i="6"/>
  <c r="PL80" i="6"/>
  <c r="PL56" i="6"/>
  <c r="JY78" i="6"/>
  <c r="JY94" i="6"/>
  <c r="JY60" i="6"/>
  <c r="JY107" i="6"/>
  <c r="JY101" i="6"/>
  <c r="JY19" i="6"/>
  <c r="JY29" i="6"/>
  <c r="JY68" i="6"/>
  <c r="JY110" i="6"/>
  <c r="JY34" i="6"/>
  <c r="QD63" i="6"/>
  <c r="QD10" i="6"/>
  <c r="QD85" i="6"/>
  <c r="QD8" i="6"/>
  <c r="QD112" i="6"/>
  <c r="QD84" i="6"/>
  <c r="QD86" i="6"/>
  <c r="QD93" i="6"/>
  <c r="QD14" i="6"/>
  <c r="QD96" i="6"/>
  <c r="ZM83" i="6"/>
  <c r="ZM104" i="6"/>
  <c r="ZM38" i="6"/>
  <c r="ZM107" i="6"/>
  <c r="ZM116" i="6"/>
  <c r="ZM8" i="6"/>
  <c r="ZM115" i="6"/>
  <c r="ZM101" i="6"/>
  <c r="ZM27" i="6"/>
  <c r="ZM48" i="6"/>
  <c r="ZM90" i="6"/>
  <c r="QV9" i="6"/>
  <c r="QV85" i="6"/>
  <c r="QV27" i="6"/>
  <c r="QV46" i="6"/>
  <c r="QV65" i="6"/>
  <c r="QV57" i="6"/>
  <c r="QV26" i="6"/>
  <c r="QV10" i="6"/>
  <c r="QV70" i="6"/>
  <c r="QV45" i="6"/>
  <c r="IO92" i="6"/>
  <c r="IO109" i="6"/>
  <c r="IO20" i="6"/>
  <c r="IO43" i="6"/>
  <c r="IO30" i="6"/>
  <c r="IO115" i="6"/>
  <c r="IO58" i="6"/>
  <c r="SX67" i="6"/>
  <c r="SX58" i="6"/>
  <c r="SX92" i="6"/>
  <c r="SX74" i="6"/>
  <c r="SX73" i="6"/>
  <c r="SX61" i="6"/>
  <c r="SX95" i="6"/>
  <c r="ADG57" i="6"/>
  <c r="ADG103" i="6"/>
  <c r="ADG65" i="6"/>
  <c r="ADG14" i="6"/>
  <c r="ADG111" i="6"/>
  <c r="ADG51" i="6"/>
  <c r="OT85" i="6"/>
  <c r="OT29" i="6"/>
  <c r="OT28" i="6"/>
  <c r="OT91" i="6"/>
  <c r="OT46" i="6"/>
  <c r="OT112" i="6"/>
  <c r="OT40" i="6"/>
  <c r="OT50" i="6"/>
  <c r="OT57" i="6"/>
  <c r="JG34" i="6"/>
  <c r="JG52" i="6"/>
  <c r="JG98" i="6"/>
  <c r="JG73" i="6"/>
  <c r="JG75" i="6"/>
  <c r="JG27" i="6"/>
  <c r="JG76" i="6"/>
  <c r="JG57" i="6"/>
  <c r="JG65" i="6"/>
  <c r="JG41" i="6"/>
  <c r="JG108" i="6"/>
  <c r="JG20" i="6"/>
  <c r="JG109" i="6"/>
  <c r="KQ70" i="6"/>
  <c r="KQ66" i="6"/>
  <c r="KQ97" i="6"/>
  <c r="KQ49" i="6"/>
  <c r="KQ32" i="6"/>
  <c r="KQ105" i="6"/>
  <c r="KQ102" i="6"/>
  <c r="MA78" i="6"/>
  <c r="MA42" i="6"/>
  <c r="MA30" i="6"/>
  <c r="MA107" i="6"/>
  <c r="MA48" i="6"/>
  <c r="MA81" i="6"/>
  <c r="MA36" i="6"/>
  <c r="MA116" i="6"/>
  <c r="SF48" i="6"/>
  <c r="SF65" i="6"/>
  <c r="SF104" i="6"/>
  <c r="SF27" i="6"/>
  <c r="SF53" i="6"/>
  <c r="SF67" i="6"/>
  <c r="SF103" i="6"/>
  <c r="SF34" i="6"/>
  <c r="SF52" i="6"/>
  <c r="UH99" i="6"/>
  <c r="UH17" i="6"/>
  <c r="UH117" i="6"/>
  <c r="UH115" i="6"/>
  <c r="UH78" i="6"/>
  <c r="UH73" i="6"/>
  <c r="UH113" i="6"/>
  <c r="MS54" i="6"/>
  <c r="MS8" i="6"/>
  <c r="MS48" i="6"/>
  <c r="MS40" i="6"/>
  <c r="MS117" i="6"/>
  <c r="MS65" i="6"/>
  <c r="MS74" i="6"/>
  <c r="MS111" i="6"/>
  <c r="MS92" i="6"/>
  <c r="MS77" i="6"/>
  <c r="CG119" i="6"/>
  <c r="TP47" i="6"/>
  <c r="TP70" i="6"/>
  <c r="TP109" i="6"/>
  <c r="TP110" i="6"/>
  <c r="TP63" i="6"/>
  <c r="TP102" i="6"/>
  <c r="TP103" i="6"/>
  <c r="TP62" i="6"/>
  <c r="TP43" i="6"/>
  <c r="TP84" i="6"/>
  <c r="ABP12" i="6"/>
  <c r="ABP101" i="6"/>
  <c r="ABP37" i="6"/>
  <c r="ABP87" i="6"/>
  <c r="ABP56" i="6"/>
  <c r="ABP7" i="6"/>
  <c r="ABP33" i="6"/>
  <c r="LI84" i="6"/>
  <c r="LI54" i="6"/>
  <c r="LI30" i="6"/>
  <c r="LI14" i="6"/>
  <c r="LI103" i="6"/>
  <c r="LI33" i="6"/>
  <c r="LI57" i="6"/>
  <c r="LI100" i="6"/>
  <c r="LI49" i="6"/>
  <c r="LI113" i="6"/>
  <c r="RN48" i="6"/>
  <c r="RN107" i="6"/>
  <c r="RN61" i="6"/>
  <c r="RN101" i="6"/>
  <c r="RN92" i="6"/>
  <c r="RN6" i="6"/>
  <c r="RN24" i="6"/>
  <c r="RN33" i="6"/>
  <c r="RN22" i="6"/>
  <c r="RN106" i="6"/>
  <c r="RN95" i="6"/>
  <c r="RN89" i="6"/>
  <c r="AM108" i="6"/>
  <c r="AM68" i="6"/>
  <c r="PL70" i="6"/>
  <c r="PL90" i="6"/>
  <c r="PL60" i="6"/>
  <c r="PL117" i="6"/>
  <c r="PL79" i="6"/>
  <c r="PL49" i="6"/>
  <c r="PL68" i="6"/>
  <c r="PL20" i="6"/>
  <c r="JY99" i="6"/>
  <c r="JY65" i="6"/>
  <c r="JY87" i="6"/>
  <c r="JY32" i="6"/>
  <c r="JY33" i="6"/>
  <c r="JY91" i="6"/>
  <c r="I3545" i="7" a="1"/>
  <c r="I3545" i="7" s="1"/>
  <c r="J3545" i="7" a="1"/>
  <c r="J3545" i="7" s="1"/>
  <c r="QD95" i="6"/>
  <c r="QD31" i="6"/>
  <c r="QD115" i="6"/>
  <c r="QD15" i="6"/>
  <c r="QD108" i="6"/>
  <c r="QD13" i="6"/>
  <c r="QD27" i="6"/>
  <c r="QD47" i="6"/>
  <c r="QD23" i="6"/>
  <c r="QD116" i="6"/>
  <c r="QD103" i="6"/>
  <c r="ZM7" i="6"/>
  <c r="ZM106" i="6"/>
  <c r="ZM52" i="6"/>
  <c r="ZM109" i="6"/>
  <c r="ZM10" i="6"/>
  <c r="ZM28" i="6"/>
  <c r="ZM50" i="6"/>
  <c r="ZM94" i="6"/>
  <c r="ZM103" i="6"/>
  <c r="QV80" i="6"/>
  <c r="QV66" i="6"/>
  <c r="QV117" i="6"/>
  <c r="QV13" i="6"/>
  <c r="QV69" i="6"/>
  <c r="QV19" i="6"/>
  <c r="QV23" i="6"/>
  <c r="QV116" i="6"/>
  <c r="QV61" i="6"/>
  <c r="QV101" i="6"/>
  <c r="QV35" i="6"/>
  <c r="QV39" i="6"/>
  <c r="QV8" i="6"/>
  <c r="QV82" i="6"/>
  <c r="QV84" i="6"/>
  <c r="IO31" i="6"/>
  <c r="IO93" i="6"/>
  <c r="IO59" i="6"/>
  <c r="IO14" i="6"/>
  <c r="IO113" i="6"/>
  <c r="IO68" i="6"/>
  <c r="IO60" i="6"/>
  <c r="IO96" i="6"/>
  <c r="IO106" i="6"/>
  <c r="IO64" i="6"/>
  <c r="IO73" i="6"/>
  <c r="IO95" i="6"/>
  <c r="IO7" i="6"/>
  <c r="IO42" i="6"/>
  <c r="IO70" i="6"/>
  <c r="IO63" i="6"/>
  <c r="SX111" i="6"/>
  <c r="SX43" i="6"/>
  <c r="SX52" i="6"/>
  <c r="SX6" i="6"/>
  <c r="SX46" i="6"/>
  <c r="SX107" i="6"/>
  <c r="SX68" i="6"/>
  <c r="SX21" i="6"/>
  <c r="SX114" i="6"/>
  <c r="SX86" i="6"/>
  <c r="SX55" i="6"/>
  <c r="SX89" i="6"/>
  <c r="ADG81" i="6"/>
  <c r="ADG22" i="6"/>
  <c r="ADG30" i="6"/>
  <c r="ADG89" i="6"/>
  <c r="ADG116" i="6"/>
  <c r="OT97" i="6"/>
  <c r="OT9" i="6"/>
  <c r="OT62" i="6"/>
  <c r="OT38" i="6"/>
  <c r="OT44" i="6"/>
  <c r="OT76" i="6"/>
  <c r="OT47" i="6"/>
  <c r="OT64" i="6"/>
  <c r="OT43" i="6"/>
  <c r="OT59" i="6"/>
  <c r="OT83" i="6"/>
  <c r="OT75" i="6"/>
  <c r="OT39" i="6"/>
  <c r="OT54" i="6"/>
  <c r="OT108" i="6"/>
  <c r="OT94" i="6"/>
  <c r="JG49" i="6"/>
  <c r="JG83" i="6"/>
  <c r="JG94" i="6"/>
  <c r="JG59" i="6"/>
  <c r="JG63" i="6"/>
  <c r="JG19" i="6"/>
  <c r="JG30" i="6"/>
  <c r="JG113" i="6"/>
  <c r="JG40" i="6"/>
  <c r="JG97" i="6"/>
  <c r="JG62" i="6"/>
  <c r="JG89" i="6"/>
  <c r="JG100" i="6"/>
  <c r="JG111" i="6"/>
  <c r="JG23" i="6"/>
  <c r="KQ96" i="6"/>
  <c r="KQ47" i="6"/>
  <c r="KQ59" i="6"/>
  <c r="KQ87" i="6"/>
  <c r="KQ86" i="6"/>
  <c r="KQ77" i="6"/>
  <c r="KQ116" i="6"/>
  <c r="KQ100" i="6"/>
  <c r="KQ94" i="6"/>
  <c r="KQ6" i="6"/>
  <c r="KQ91" i="6"/>
  <c r="KQ45" i="6"/>
  <c r="KQ33" i="6"/>
  <c r="KQ36" i="6"/>
  <c r="MA115" i="6"/>
  <c r="MA47" i="6"/>
  <c r="MA63" i="6"/>
  <c r="MA22" i="6"/>
  <c r="MA112" i="6"/>
  <c r="MA59" i="6"/>
  <c r="MA41" i="6"/>
  <c r="MA80" i="6"/>
  <c r="MA24" i="6"/>
  <c r="MA99" i="6"/>
  <c r="SF72" i="6"/>
  <c r="SF68" i="6"/>
  <c r="SF42" i="6"/>
  <c r="SF66" i="6"/>
  <c r="SF15" i="6"/>
  <c r="SF40" i="6"/>
  <c r="SF77" i="6"/>
  <c r="SF109" i="6"/>
  <c r="SF31" i="6"/>
  <c r="SF58" i="6"/>
  <c r="SF18" i="6"/>
  <c r="SF12" i="6"/>
  <c r="SF47" i="6"/>
  <c r="SF63" i="6"/>
  <c r="UH104" i="6"/>
  <c r="UH87" i="6"/>
  <c r="UH33" i="6"/>
  <c r="UH7" i="6"/>
  <c r="UH31" i="6"/>
  <c r="UH36" i="6"/>
  <c r="MS41" i="6"/>
  <c r="MS28" i="6"/>
  <c r="MS39" i="6"/>
  <c r="MS115" i="6"/>
  <c r="MS68" i="6"/>
  <c r="MS93" i="6"/>
  <c r="MS84" i="6"/>
  <c r="MS98" i="6"/>
  <c r="MS26" i="6"/>
  <c r="MS106" i="6"/>
  <c r="MS116" i="6"/>
  <c r="TP7" i="6"/>
  <c r="TP100" i="6"/>
  <c r="TP89" i="6"/>
  <c r="TP42" i="6"/>
  <c r="TP115" i="6"/>
  <c r="TP85" i="6"/>
  <c r="TP113" i="6"/>
  <c r="TP25" i="6"/>
  <c r="TP90" i="6"/>
  <c r="TP44" i="6"/>
  <c r="TP112" i="6"/>
  <c r="ABP34" i="6"/>
  <c r="ABP50" i="6"/>
  <c r="ABP116" i="6"/>
  <c r="ABP88" i="6"/>
  <c r="ABP25" i="6"/>
  <c r="ABP79" i="6"/>
  <c r="ABP54" i="6"/>
  <c r="LI37" i="6"/>
  <c r="LI85" i="6"/>
  <c r="LI61" i="6"/>
  <c r="LI68" i="6"/>
  <c r="LI108" i="6"/>
  <c r="LI109" i="6"/>
  <c r="LI114" i="6"/>
  <c r="LI97" i="6"/>
  <c r="LI29" i="6"/>
  <c r="LI69" i="6"/>
  <c r="LI93" i="6"/>
  <c r="LI32" i="6"/>
  <c r="LI81" i="6"/>
  <c r="LI59" i="6"/>
  <c r="RN82" i="6"/>
  <c r="RN41" i="6"/>
  <c r="RN66" i="6"/>
  <c r="RN55" i="6"/>
  <c r="RN32" i="6"/>
  <c r="RN16" i="6"/>
  <c r="RN117" i="6"/>
  <c r="RN108" i="6"/>
  <c r="RN49" i="6"/>
  <c r="RN51" i="6"/>
  <c r="RN14" i="6"/>
  <c r="RN111" i="6"/>
  <c r="AM98" i="6"/>
  <c r="AM19" i="6"/>
  <c r="PL69" i="6"/>
  <c r="PL93" i="6"/>
  <c r="PL6" i="6"/>
  <c r="PL55" i="6"/>
  <c r="PL67" i="6"/>
  <c r="PL42" i="6"/>
  <c r="PL33" i="6"/>
  <c r="PL64" i="6"/>
  <c r="PL105" i="6"/>
  <c r="PL94" i="6"/>
  <c r="JY103" i="6"/>
  <c r="JY25" i="6"/>
  <c r="JY11" i="6"/>
  <c r="JY42" i="6"/>
  <c r="JY31" i="6"/>
  <c r="JY46" i="6"/>
  <c r="JY96" i="6"/>
  <c r="JY35" i="6"/>
  <c r="JY84" i="6"/>
  <c r="JY51" i="6"/>
  <c r="JY9" i="6"/>
  <c r="MT11" i="6"/>
  <c r="MT91" i="6"/>
  <c r="MT22" i="6"/>
  <c r="MT70" i="6"/>
  <c r="MT33" i="6"/>
  <c r="MT13" i="6"/>
  <c r="MT21" i="6"/>
  <c r="MT79" i="6"/>
  <c r="MT98" i="6"/>
  <c r="MT46" i="6"/>
  <c r="MT110" i="6"/>
  <c r="MT38" i="6"/>
  <c r="MT17" i="6"/>
  <c r="MT51" i="6"/>
  <c r="MT45" i="6"/>
  <c r="MT20" i="6"/>
  <c r="MT54" i="6"/>
  <c r="MT23" i="6"/>
  <c r="MT69" i="6"/>
  <c r="MT35" i="6"/>
  <c r="MT55" i="6"/>
  <c r="MT26" i="6"/>
  <c r="MT112" i="6"/>
  <c r="MT73" i="6"/>
  <c r="MT103" i="6"/>
  <c r="MT99" i="6"/>
  <c r="MT101" i="6"/>
  <c r="MT12" i="6"/>
  <c r="MT10" i="6"/>
  <c r="MT109" i="6"/>
  <c r="MT97" i="6"/>
  <c r="MT47" i="6"/>
  <c r="MT78" i="6"/>
  <c r="MT24" i="6"/>
  <c r="MT61" i="6"/>
  <c r="MT84" i="6"/>
  <c r="MT41" i="6"/>
  <c r="MT31" i="6"/>
  <c r="MT117" i="6"/>
  <c r="MT85" i="6"/>
  <c r="MT64" i="6"/>
  <c r="MT82" i="6"/>
  <c r="MT114" i="6"/>
  <c r="MT28" i="6"/>
  <c r="MT100" i="6"/>
  <c r="MT32" i="6"/>
  <c r="MT53" i="6"/>
  <c r="MT96" i="6"/>
  <c r="MT25" i="6"/>
  <c r="MT49" i="6"/>
  <c r="MT48" i="6"/>
  <c r="MT50" i="6"/>
  <c r="MT89" i="6"/>
  <c r="MT34" i="6"/>
  <c r="MT95" i="6"/>
  <c r="MT104" i="6"/>
  <c r="MT74" i="6"/>
  <c r="MT115" i="6"/>
  <c r="MT29" i="6"/>
  <c r="MT42" i="6"/>
  <c r="MT59" i="6"/>
  <c r="MT36" i="6"/>
  <c r="MT57" i="6"/>
  <c r="MT107" i="6"/>
  <c r="MT40" i="6"/>
  <c r="MT76" i="6"/>
  <c r="MT81" i="6"/>
  <c r="MT44" i="6"/>
  <c r="MT93" i="6"/>
  <c r="MT116" i="6"/>
  <c r="MT18" i="6"/>
  <c r="MT43" i="6"/>
  <c r="MT94" i="6"/>
  <c r="MT63" i="6"/>
  <c r="MT30" i="6"/>
  <c r="MT27" i="6"/>
  <c r="MT67" i="6"/>
  <c r="MT65" i="6"/>
  <c r="MT66" i="6"/>
  <c r="MT108" i="6"/>
  <c r="MT7" i="6"/>
  <c r="MT52" i="6"/>
  <c r="MT15" i="6"/>
  <c r="MT77" i="6"/>
  <c r="MT106" i="6"/>
  <c r="MT56" i="6"/>
  <c r="MT80" i="6"/>
  <c r="MT92" i="6"/>
  <c r="MT58" i="6"/>
  <c r="MT8" i="6"/>
  <c r="MT71" i="6"/>
  <c r="MT6" i="6"/>
  <c r="MT60" i="6"/>
  <c r="MT102" i="6"/>
  <c r="MT111" i="6"/>
  <c r="MT9" i="6"/>
  <c r="MT83" i="6"/>
  <c r="MT90" i="6"/>
  <c r="MT88" i="6"/>
  <c r="MT87" i="6"/>
  <c r="MT19" i="6"/>
  <c r="MT39" i="6"/>
  <c r="MT86" i="6"/>
  <c r="MT75" i="6"/>
  <c r="MT14" i="6"/>
  <c r="MT113" i="6"/>
  <c r="MT72" i="6"/>
  <c r="MT105" i="6"/>
  <c r="MT16" i="6"/>
  <c r="MT37" i="6"/>
  <c r="MT68" i="6"/>
  <c r="MT62" i="6"/>
  <c r="ACS119" i="6" l="1"/>
  <c r="J5259" i="7" s="1" a="1"/>
  <c r="J5259" i="7" s="1"/>
  <c r="O119" i="6"/>
  <c r="I5" i="7" s="1" a="1"/>
  <c r="I5" i="7" s="1"/>
  <c r="AA119" i="6"/>
  <c r="I123" i="7" s="1" a="1"/>
  <c r="I123" i="7" s="1"/>
  <c r="M1530" i="7" a="1"/>
  <c r="M1530" i="7" s="1"/>
  <c r="K1530" i="7" a="1"/>
  <c r="K1530" i="7" s="1"/>
  <c r="I1530" i="7" a="1"/>
  <c r="I1530" i="7" s="1"/>
  <c r="N1530" i="7" a="1"/>
  <c r="N1530" i="7" s="1"/>
  <c r="J1530" i="7" a="1"/>
  <c r="J1530" i="7" s="1"/>
  <c r="K4248" i="7" a="1"/>
  <c r="K4248" i="7" s="1"/>
  <c r="J1412" i="7" a="1"/>
  <c r="J1412" i="7" s="1"/>
  <c r="J4248" i="7" a="1"/>
  <c r="J4248" i="7" s="1"/>
  <c r="M1412" i="7" a="1"/>
  <c r="M1412" i="7" s="1"/>
  <c r="VI119" i="6"/>
  <c r="N3662" i="7" s="1" a="1"/>
  <c r="N3662" i="7" s="1"/>
  <c r="AM119" i="6"/>
  <c r="J241" i="7" s="1" a="1"/>
  <c r="J241" i="7" s="1"/>
  <c r="L1648" i="7" a="1"/>
  <c r="L1648" i="7" s="1"/>
  <c r="K1412" i="7" a="1"/>
  <c r="K1412" i="7" s="1"/>
  <c r="M1648" i="7" a="1"/>
  <c r="M1648" i="7" s="1"/>
  <c r="L1412" i="7" a="1"/>
  <c r="L1412" i="7" s="1"/>
  <c r="N1648" i="7" a="1"/>
  <c r="N1648" i="7" s="1"/>
  <c r="SF119" i="6"/>
  <c r="L3374" i="7" s="1" a="1"/>
  <c r="L3374" i="7" s="1"/>
  <c r="KQ119" i="6"/>
  <c r="N2099" i="7" s="1" a="1"/>
  <c r="N2099" i="7" s="1"/>
  <c r="ADG119" i="6"/>
  <c r="I5376" i="7" s="1" a="1"/>
  <c r="I5376" i="7" s="1"/>
  <c r="J1648" i="7" a="1"/>
  <c r="J1648" i="7" s="1"/>
  <c r="JG119" i="6"/>
  <c r="M1875" i="7" s="1" a="1"/>
  <c r="M1875" i="7" s="1"/>
  <c r="JY119" i="6"/>
  <c r="M1981" i="7" s="1" a="1"/>
  <c r="M1981" i="7" s="1"/>
  <c r="I1648" i="7" a="1"/>
  <c r="I1648" i="7" s="1"/>
  <c r="N1412" i="7" a="1"/>
  <c r="N1412" i="7" s="1"/>
  <c r="PL119" i="6"/>
  <c r="QV119" i="6"/>
  <c r="I4483" i="7" a="1"/>
  <c r="I4483" i="7" s="1"/>
  <c r="K4483" i="7" a="1"/>
  <c r="K4483" i="7" s="1"/>
  <c r="J4483" i="7" a="1"/>
  <c r="J4483" i="7" s="1"/>
  <c r="I3779" i="7" a="1"/>
  <c r="I3779" i="7" s="1"/>
  <c r="J3779" i="7" a="1"/>
  <c r="J3779" i="7" s="1"/>
  <c r="M3779" i="7" a="1"/>
  <c r="M3779" i="7" s="1"/>
  <c r="K3779" i="7" a="1"/>
  <c r="K3779" i="7" s="1"/>
  <c r="L3779" i="7" a="1"/>
  <c r="L3779" i="7" s="1"/>
  <c r="IO119" i="6"/>
  <c r="QD119" i="6"/>
  <c r="LI119" i="6"/>
  <c r="I2686" i="7" a="1"/>
  <c r="I2686" i="7" s="1"/>
  <c r="L2686" i="7" a="1"/>
  <c r="L2686" i="7" s="1"/>
  <c r="K2686" i="7" a="1"/>
  <c r="K2686" i="7" s="1"/>
  <c r="N2686" i="7" a="1"/>
  <c r="N2686" i="7" s="1"/>
  <c r="J2686" i="7" a="1"/>
  <c r="J2686" i="7" s="1"/>
  <c r="M2686" i="7" a="1"/>
  <c r="M2686" i="7" s="1"/>
  <c r="UH119" i="6"/>
  <c r="ZM119" i="6"/>
  <c r="I4366" i="7" a="1"/>
  <c r="I4366" i="7" s="1"/>
  <c r="K4366" i="7" a="1"/>
  <c r="K4366" i="7" s="1"/>
  <c r="J4366" i="7" a="1"/>
  <c r="J4366" i="7" s="1"/>
  <c r="I1294" i="7" a="1"/>
  <c r="I1294" i="7" s="1"/>
  <c r="N1294" i="7" a="1"/>
  <c r="N1294" i="7" s="1"/>
  <c r="M1294" i="7" a="1"/>
  <c r="M1294" i="7" s="1"/>
  <c r="L1294" i="7" a="1"/>
  <c r="L1294" i="7" s="1"/>
  <c r="K1294" i="7" a="1"/>
  <c r="K1294" i="7" s="1"/>
  <c r="J1294" i="7" a="1"/>
  <c r="J1294" i="7" s="1"/>
  <c r="I4014" i="7" a="1"/>
  <c r="I4014" i="7" s="1"/>
  <c r="J4014" i="7" a="1"/>
  <c r="J4014" i="7" s="1"/>
  <c r="K4014" i="7" a="1"/>
  <c r="K4014" i="7" s="1"/>
  <c r="I4600" i="7" a="1"/>
  <c r="I4600" i="7" s="1"/>
  <c r="J4600" i="7" a="1"/>
  <c r="J4600" i="7" s="1"/>
  <c r="K4600" i="7" a="1"/>
  <c r="K4600" i="7" s="1"/>
  <c r="OT119" i="6"/>
  <c r="I1176" i="7" a="1"/>
  <c r="I1176" i="7" s="1"/>
  <c r="N1176" i="7" a="1"/>
  <c r="N1176" i="7" s="1"/>
  <c r="M1176" i="7" a="1"/>
  <c r="M1176" i="7" s="1"/>
  <c r="L1176" i="7" a="1"/>
  <c r="L1176" i="7" s="1"/>
  <c r="K1176" i="7" a="1"/>
  <c r="K1176" i="7" s="1"/>
  <c r="J1176" i="7" a="1"/>
  <c r="J1176" i="7" s="1"/>
  <c r="MS119" i="6"/>
  <c r="I4131" i="7" a="1"/>
  <c r="I4131" i="7" s="1"/>
  <c r="K4131" i="7" a="1"/>
  <c r="K4131" i="7" s="1"/>
  <c r="J4131" i="7" a="1"/>
  <c r="J4131" i="7" s="1"/>
  <c r="MA119" i="6"/>
  <c r="I5142" i="7" a="1"/>
  <c r="I5142" i="7" s="1"/>
  <c r="L5142" i="7" a="1"/>
  <c r="L5142" i="7" s="1"/>
  <c r="K5142" i="7" a="1"/>
  <c r="K5142" i="7" s="1"/>
  <c r="J5142" i="7" a="1"/>
  <c r="J5142" i="7" s="1"/>
  <c r="M5142" i="7" a="1"/>
  <c r="M5142" i="7" s="1"/>
  <c r="N5142" i="7" a="1"/>
  <c r="N5142" i="7" s="1"/>
  <c r="TP119" i="6"/>
  <c r="L940" i="7" a="1"/>
  <c r="L940" i="7" s="1"/>
  <c r="M940" i="7" a="1"/>
  <c r="M940" i="7" s="1"/>
  <c r="K940" i="7" a="1"/>
  <c r="K940" i="7" s="1"/>
  <c r="I940" i="7" a="1"/>
  <c r="I940" i="7" s="1"/>
  <c r="J940" i="7" a="1"/>
  <c r="J940" i="7" s="1"/>
  <c r="N940" i="7" a="1"/>
  <c r="N940" i="7" s="1"/>
  <c r="SX119" i="6"/>
  <c r="RN119" i="6"/>
  <c r="I354" i="7" a="1"/>
  <c r="I354" i="7" s="1"/>
  <c r="J354" i="7" a="1"/>
  <c r="J354" i="7" s="1"/>
  <c r="N354" i="7" a="1"/>
  <c r="N354" i="7" s="1"/>
  <c r="Q354" i="7" a="1"/>
  <c r="Q354" i="7" s="1"/>
  <c r="M354" i="7" a="1"/>
  <c r="M354" i="7" s="1"/>
  <c r="P354" i="7" a="1"/>
  <c r="P354" i="7" s="1"/>
  <c r="L354" i="7" a="1"/>
  <c r="L354" i="7" s="1"/>
  <c r="R354" i="7" a="1"/>
  <c r="R354" i="7" s="1"/>
  <c r="S354" i="7" a="1"/>
  <c r="S354" i="7" s="1"/>
  <c r="K354" i="7" a="1"/>
  <c r="K354" i="7" s="1"/>
  <c r="O354" i="7" a="1"/>
  <c r="O354" i="7" s="1"/>
  <c r="ABP119" i="6"/>
  <c r="M471" i="7" a="1"/>
  <c r="M471" i="7" s="1"/>
  <c r="N471" i="7" a="1"/>
  <c r="N471" i="7" s="1"/>
  <c r="I471" i="7" a="1"/>
  <c r="I471" i="7" s="1"/>
  <c r="L471" i="7" a="1"/>
  <c r="L471" i="7" s="1"/>
  <c r="K471" i="7" a="1"/>
  <c r="K471" i="7" s="1"/>
  <c r="J471" i="7" a="1"/>
  <c r="J471" i="7" s="1"/>
  <c r="O471" i="7" a="1"/>
  <c r="O471" i="7" s="1"/>
  <c r="I1058" i="7" a="1"/>
  <c r="I1058" i="7" s="1"/>
  <c r="M1058" i="7" a="1"/>
  <c r="M1058" i="7" s="1"/>
  <c r="N1058" i="7" a="1"/>
  <c r="N1058" i="7" s="1"/>
  <c r="L1058" i="7" a="1"/>
  <c r="L1058" i="7" s="1"/>
  <c r="K1058" i="7" a="1"/>
  <c r="K1058" i="7" s="1"/>
  <c r="J1058" i="7" a="1"/>
  <c r="J1058" i="7" s="1"/>
  <c r="NE6" i="6"/>
  <c r="NE7" i="6"/>
  <c r="NJ69" i="6"/>
  <c r="NG20" i="6"/>
  <c r="NG78" i="6"/>
  <c r="NG7" i="6"/>
  <c r="NJ89" i="6"/>
  <c r="NI102" i="6"/>
  <c r="NG117" i="6"/>
  <c r="NE50" i="6"/>
  <c r="NH54" i="6"/>
  <c r="NG68" i="6"/>
  <c r="NH75" i="6"/>
  <c r="NI51" i="6"/>
  <c r="NI80" i="6"/>
  <c r="NI69" i="6"/>
  <c r="NJ117" i="6"/>
  <c r="NE64" i="6"/>
  <c r="NE100" i="6"/>
  <c r="NG10" i="6"/>
  <c r="NJ28" i="6"/>
  <c r="NH41" i="6"/>
  <c r="NG107" i="6"/>
  <c r="NH80" i="6"/>
  <c r="NH34" i="6"/>
  <c r="NH95" i="6"/>
  <c r="NH108" i="6"/>
  <c r="NE44" i="6"/>
  <c r="NH11" i="6"/>
  <c r="NJ55" i="6"/>
  <c r="NG83" i="6"/>
  <c r="NI43" i="6"/>
  <c r="NG98" i="6"/>
  <c r="NH71" i="6"/>
  <c r="NH84" i="6"/>
  <c r="NE99" i="6"/>
  <c r="NH43" i="6"/>
  <c r="NG12" i="6"/>
  <c r="NG6" i="6"/>
  <c r="NJ84" i="6"/>
  <c r="NG45" i="6"/>
  <c r="NI112" i="6"/>
  <c r="NJ85" i="6"/>
  <c r="NJ98" i="6"/>
  <c r="NE43" i="6"/>
  <c r="NE103" i="6"/>
  <c r="NH16" i="6"/>
  <c r="NI20" i="6"/>
  <c r="NF6" i="6"/>
  <c r="NF88" i="6"/>
  <c r="NF63" i="6"/>
  <c r="NF77" i="6"/>
  <c r="NF79" i="6"/>
  <c r="NF41" i="6"/>
  <c r="NF117" i="6"/>
  <c r="NF50" i="6"/>
  <c r="NF86" i="6"/>
  <c r="NF56" i="6"/>
  <c r="NF64" i="6"/>
  <c r="NF22" i="6"/>
  <c r="NF67" i="6"/>
  <c r="NF99" i="6"/>
  <c r="NF21" i="6"/>
  <c r="NF36" i="6"/>
  <c r="NF58" i="6"/>
  <c r="NF59" i="6"/>
  <c r="NF60" i="6"/>
  <c r="NF110" i="6"/>
  <c r="NF62" i="6"/>
  <c r="NF82" i="6"/>
  <c r="NF8" i="6"/>
  <c r="NG28" i="6"/>
  <c r="NE62" i="6"/>
  <c r="NH65" i="6"/>
  <c r="NG64" i="6"/>
  <c r="NI109" i="6"/>
  <c r="NI91" i="6"/>
  <c r="NH104" i="6"/>
  <c r="NI45" i="6"/>
  <c r="NE114" i="6"/>
  <c r="NE63" i="6"/>
  <c r="NF25" i="6"/>
  <c r="NI12" i="6"/>
  <c r="NF115" i="6"/>
  <c r="NG88" i="6"/>
  <c r="NH64" i="6"/>
  <c r="NH93" i="6"/>
  <c r="NH82" i="6"/>
  <c r="NI15" i="6"/>
  <c r="NE89" i="6"/>
  <c r="NE53" i="6"/>
  <c r="NG34" i="6"/>
  <c r="NI6" i="6"/>
  <c r="NG54" i="6"/>
  <c r="NJ65" i="6"/>
  <c r="NG93" i="6"/>
  <c r="NG47" i="6"/>
  <c r="NG108" i="6"/>
  <c r="NE81" i="6"/>
  <c r="NE108" i="6"/>
  <c r="NF37" i="6"/>
  <c r="NH35" i="6"/>
  <c r="NF61" i="6"/>
  <c r="NI68" i="6"/>
  <c r="NH56" i="6"/>
  <c r="NH10" i="6"/>
  <c r="NG84" i="6"/>
  <c r="NG97" i="6"/>
  <c r="NE52" i="6"/>
  <c r="NH15" i="6"/>
  <c r="NG35" i="6"/>
  <c r="NJ31" i="6"/>
  <c r="NI97" i="6"/>
  <c r="NJ70" i="6"/>
  <c r="NJ24" i="6"/>
  <c r="NI98" i="6"/>
  <c r="NE113" i="6"/>
  <c r="NJ51" i="6"/>
  <c r="NG26" i="6"/>
  <c r="NI105" i="6"/>
  <c r="NJ107" i="6"/>
  <c r="NH68" i="6"/>
  <c r="NG81" i="6"/>
  <c r="NJ32" i="6"/>
  <c r="NJ93" i="6"/>
  <c r="NE67" i="6"/>
  <c r="NJ14" i="6"/>
  <c r="NI50" i="6"/>
  <c r="NF23" i="6"/>
  <c r="NH25" i="6"/>
  <c r="NI65" i="6"/>
  <c r="NG77" i="6"/>
  <c r="NG106" i="6"/>
  <c r="NG95" i="6"/>
  <c r="NH28" i="6"/>
  <c r="NE9" i="6"/>
  <c r="NE117" i="6"/>
  <c r="NG8" i="6"/>
  <c r="NH29" i="6"/>
  <c r="NJ79" i="6"/>
  <c r="NI78" i="6"/>
  <c r="NI56" i="6"/>
  <c r="NJ72" i="6"/>
  <c r="NJ18" i="6"/>
  <c r="NE33" i="6"/>
  <c r="NE61" i="6"/>
  <c r="NG27" i="6"/>
  <c r="NI26" i="6"/>
  <c r="NH81" i="6"/>
  <c r="NF96" i="6"/>
  <c r="NG69" i="6"/>
  <c r="NG23" i="6"/>
  <c r="NJ109" i="6"/>
  <c r="NE96" i="6"/>
  <c r="NE116" i="6"/>
  <c r="NI40" i="6"/>
  <c r="NI11" i="6"/>
  <c r="NI44" i="6"/>
  <c r="NH110" i="6"/>
  <c r="NI83" i="6"/>
  <c r="NI37" i="6"/>
  <c r="NH111" i="6"/>
  <c r="NF24" i="6"/>
  <c r="NF113" i="6"/>
  <c r="NF18" i="6"/>
  <c r="NF38" i="6"/>
  <c r="NF89" i="6"/>
  <c r="NF69" i="6"/>
  <c r="NF81" i="6"/>
  <c r="NF92" i="6"/>
  <c r="NF72" i="6"/>
  <c r="NF65" i="6"/>
  <c r="NF28" i="6"/>
  <c r="NF83" i="6"/>
  <c r="NF84" i="6"/>
  <c r="NF93" i="6"/>
  <c r="NF112" i="6"/>
  <c r="NF10" i="6"/>
  <c r="NF11" i="6"/>
  <c r="NF76" i="6"/>
  <c r="NF40" i="6"/>
  <c r="NF78" i="6"/>
  <c r="NF33" i="6"/>
  <c r="NF71" i="6"/>
  <c r="NJ57" i="6"/>
  <c r="NI52" i="6"/>
  <c r="NH69" i="6"/>
  <c r="NG53" i="6"/>
  <c r="NJ96" i="6"/>
  <c r="NE49" i="6"/>
  <c r="NE57" i="6"/>
  <c r="NE104" i="6"/>
  <c r="NJ106" i="6"/>
  <c r="NE20" i="6"/>
  <c r="NH27" i="6"/>
  <c r="NI48" i="6"/>
  <c r="NG38" i="6"/>
  <c r="NH78" i="6"/>
  <c r="NF101" i="6"/>
  <c r="NH18" i="6"/>
  <c r="NG41" i="6"/>
  <c r="NE112" i="6"/>
  <c r="NE70" i="6"/>
  <c r="NH31" i="6"/>
  <c r="NI92" i="6"/>
  <c r="NH91" i="6"/>
  <c r="NJ83" i="6"/>
  <c r="NI85" i="6"/>
  <c r="NI31" i="6"/>
  <c r="NE41" i="6"/>
  <c r="NE14" i="6"/>
  <c r="NF13" i="6"/>
  <c r="NG52" i="6"/>
  <c r="NG94" i="6"/>
  <c r="NJ108" i="6"/>
  <c r="NJ94" i="6"/>
  <c r="NJ48" i="6"/>
  <c r="NI7" i="6"/>
  <c r="NE65" i="6"/>
  <c r="NE69" i="6"/>
  <c r="NG13" i="6"/>
  <c r="NJ35" i="6"/>
  <c r="NH57" i="6"/>
  <c r="NJ81" i="6"/>
  <c r="NH96" i="6"/>
  <c r="NH50" i="6"/>
  <c r="NG9" i="6"/>
  <c r="NE24" i="6"/>
  <c r="NE13" i="6"/>
  <c r="NG18" i="6"/>
  <c r="NH14" i="6"/>
  <c r="NJ71" i="6"/>
  <c r="NI70" i="6"/>
  <c r="NH72" i="6"/>
  <c r="NI13" i="6"/>
  <c r="NH87" i="6"/>
  <c r="NH100" i="6"/>
  <c r="NE51" i="6"/>
  <c r="NE111" i="6"/>
  <c r="NI41" i="6"/>
  <c r="NG22" i="6"/>
  <c r="NJ100" i="6"/>
  <c r="NJ39" i="6"/>
  <c r="NJ92" i="6"/>
  <c r="NI106" i="6"/>
  <c r="NG17" i="6"/>
  <c r="NE28" i="6"/>
  <c r="NE92" i="6"/>
  <c r="NE45" i="6"/>
  <c r="NE109" i="6"/>
  <c r="NE32" i="6"/>
  <c r="NE84" i="6"/>
  <c r="NF48" i="6"/>
  <c r="NJ63" i="6"/>
  <c r="NG91" i="6"/>
  <c r="NJ113" i="6"/>
  <c r="NF90" i="6"/>
  <c r="NG31" i="6"/>
  <c r="NF108" i="6"/>
  <c r="NJ66" i="6"/>
  <c r="NE66" i="6"/>
  <c r="NE15" i="6"/>
  <c r="NI58" i="6"/>
  <c r="NF55" i="6"/>
  <c r="NH105" i="6"/>
  <c r="NG104" i="6"/>
  <c r="NI96" i="6"/>
  <c r="NH98" i="6"/>
  <c r="NH44" i="6"/>
  <c r="NE10" i="6"/>
  <c r="NE78" i="6"/>
  <c r="NH37" i="6"/>
  <c r="NF32" i="6"/>
  <c r="NG43" i="6"/>
  <c r="NH67" i="6"/>
  <c r="NI107" i="6"/>
  <c r="NI61" i="6"/>
  <c r="NH20" i="6"/>
  <c r="NE73" i="6"/>
  <c r="NE22" i="6"/>
  <c r="NJ37" i="6"/>
  <c r="NJ6" i="6"/>
  <c r="NG70" i="6"/>
  <c r="NI94" i="6"/>
  <c r="NG109" i="6"/>
  <c r="NG63" i="6"/>
  <c r="NJ34" i="6"/>
  <c r="NE97" i="6"/>
  <c r="NE77" i="6"/>
  <c r="NF14" i="6"/>
  <c r="NF39" i="6"/>
  <c r="NF106" i="6"/>
  <c r="NF116" i="6"/>
  <c r="NF35" i="6"/>
  <c r="NF46" i="6"/>
  <c r="NF91" i="6"/>
  <c r="NF45" i="6"/>
  <c r="NF97" i="6"/>
  <c r="NF27" i="6"/>
  <c r="NF47" i="6"/>
  <c r="NF100" i="6"/>
  <c r="NF7" i="6"/>
  <c r="NF75" i="6"/>
  <c r="NF73" i="6"/>
  <c r="NF20" i="6"/>
  <c r="NF74" i="6"/>
  <c r="NF15" i="6"/>
  <c r="NF95" i="6"/>
  <c r="NF53" i="6"/>
  <c r="NF12" i="6"/>
  <c r="NF49" i="6"/>
  <c r="NI27" i="6"/>
  <c r="NH40" i="6"/>
  <c r="NE11" i="6"/>
  <c r="NE75" i="6"/>
  <c r="NI33" i="6"/>
  <c r="NI30" i="6"/>
  <c r="NH22" i="6"/>
  <c r="NH59" i="6"/>
  <c r="NE25" i="6"/>
  <c r="NE37" i="6"/>
  <c r="NF57" i="6"/>
  <c r="NJ25" i="6"/>
  <c r="NF17" i="6"/>
  <c r="NI76" i="6"/>
  <c r="NJ102" i="6"/>
  <c r="NH63" i="6"/>
  <c r="NI79" i="6"/>
  <c r="NE19" i="6"/>
  <c r="NE79" i="6"/>
  <c r="NI8" i="6"/>
  <c r="NH23" i="6"/>
  <c r="NJ68" i="6"/>
  <c r="NG29" i="6"/>
  <c r="NH109" i="6"/>
  <c r="NG111" i="6"/>
  <c r="NG57" i="6"/>
  <c r="NE74" i="6"/>
  <c r="NE23" i="6"/>
  <c r="NI10" i="6"/>
  <c r="NG40" i="6"/>
  <c r="NF107" i="6"/>
  <c r="NG80" i="6"/>
  <c r="NG58" i="6"/>
  <c r="NH74" i="6"/>
  <c r="NG33" i="6"/>
  <c r="NE18" i="6"/>
  <c r="NE86" i="6"/>
  <c r="NH30" i="6"/>
  <c r="NJ29" i="6"/>
  <c r="NJ95" i="6"/>
  <c r="NH107" i="6"/>
  <c r="NJ59" i="6"/>
  <c r="NJ88" i="6"/>
  <c r="NI47" i="6"/>
  <c r="NE105" i="6"/>
  <c r="NE30" i="6"/>
  <c r="NI62" i="6"/>
  <c r="NF102" i="6"/>
  <c r="NF87" i="6"/>
  <c r="NF94" i="6"/>
  <c r="NF30" i="6"/>
  <c r="NF52" i="6"/>
  <c r="NF43" i="6"/>
  <c r="NF42" i="6"/>
  <c r="NF98" i="6"/>
  <c r="NF54" i="6"/>
  <c r="NF80" i="6"/>
  <c r="NF34" i="6"/>
  <c r="NF70" i="6"/>
  <c r="NF68" i="6"/>
  <c r="NF103" i="6"/>
  <c r="NF19" i="6"/>
  <c r="NF29" i="6"/>
  <c r="NF51" i="6"/>
  <c r="NF111" i="6"/>
  <c r="NF31" i="6"/>
  <c r="NF85" i="6"/>
  <c r="NF105" i="6"/>
  <c r="NF66" i="6"/>
  <c r="NE58" i="6"/>
  <c r="NG71" i="6"/>
  <c r="NJ53" i="6"/>
  <c r="NJ45" i="6"/>
  <c r="NJ78" i="6"/>
  <c r="NJ103" i="6"/>
  <c r="NI116" i="6"/>
  <c r="NH115" i="6"/>
  <c r="NE80" i="6"/>
  <c r="NE54" i="6"/>
  <c r="NH53" i="6"/>
  <c r="NG19" i="6"/>
  <c r="NJ20" i="6"/>
  <c r="NG102" i="6"/>
  <c r="NJ116" i="6"/>
  <c r="NJ38" i="6"/>
  <c r="NJ67" i="6"/>
  <c r="NJ56" i="6"/>
  <c r="NG92" i="6"/>
  <c r="NG105" i="6"/>
  <c r="NE36" i="6"/>
  <c r="NJ33" i="6"/>
  <c r="NG60" i="6"/>
  <c r="NI28" i="6"/>
  <c r="NH94" i="6"/>
  <c r="NI67" i="6"/>
  <c r="NI21" i="6"/>
  <c r="NI82" i="6"/>
  <c r="NI95" i="6"/>
  <c r="NE91" i="6"/>
  <c r="NJ12" i="6"/>
  <c r="NJ44" i="6"/>
  <c r="NI32" i="6"/>
  <c r="NG30" i="6"/>
  <c r="NH70" i="6"/>
  <c r="NJ30" i="6"/>
  <c r="NH85" i="6"/>
  <c r="NJ112" i="6"/>
  <c r="NI71" i="6"/>
  <c r="NE35" i="6"/>
  <c r="NE95" i="6"/>
  <c r="NI38" i="6"/>
  <c r="NH46" i="6"/>
  <c r="NG59" i="6"/>
  <c r="NH32" i="6"/>
  <c r="NJ99" i="6"/>
  <c r="NH114" i="6"/>
  <c r="NG73" i="6"/>
  <c r="NE90" i="6"/>
  <c r="NE39" i="6"/>
  <c r="NH6" i="6"/>
  <c r="NH51" i="6"/>
  <c r="NH92" i="6"/>
  <c r="NI66" i="6"/>
  <c r="NJ105" i="6"/>
  <c r="NI108" i="6"/>
  <c r="NE107" i="6"/>
  <c r="NJ41" i="6"/>
  <c r="NH97" i="6"/>
  <c r="NJ75" i="6"/>
  <c r="NH90" i="6"/>
  <c r="NJ74" i="6"/>
  <c r="NE98" i="6"/>
  <c r="NJ49" i="6"/>
  <c r="NG42" i="6"/>
  <c r="NH73" i="6"/>
  <c r="NI110" i="6"/>
  <c r="NI64" i="6"/>
  <c r="NG79" i="6"/>
  <c r="NJ50" i="6"/>
  <c r="NE48" i="6"/>
  <c r="NE46" i="6"/>
  <c r="NI25" i="6"/>
  <c r="NH39" i="6"/>
  <c r="NI100" i="6"/>
  <c r="NH99" i="6"/>
  <c r="NH42" i="6"/>
  <c r="NH103" i="6"/>
  <c r="NJ36" i="6"/>
  <c r="NI42" i="6"/>
  <c r="NE83" i="6"/>
  <c r="NJ82" i="6"/>
  <c r="NI72" i="6"/>
  <c r="NI19" i="6"/>
  <c r="NE60" i="6"/>
  <c r="NH38" i="6"/>
  <c r="NG110" i="6"/>
  <c r="NF109" i="6"/>
  <c r="NI88" i="6"/>
  <c r="NG103" i="6"/>
  <c r="NI87" i="6"/>
  <c r="NE115" i="6"/>
  <c r="NH21" i="6"/>
  <c r="NJ11" i="6"/>
  <c r="NG86" i="6"/>
  <c r="NJ22" i="6"/>
  <c r="NH77" i="6"/>
  <c r="NJ104" i="6"/>
  <c r="NI63" i="6"/>
  <c r="NE42" i="6"/>
  <c r="NE110" i="6"/>
  <c r="NI22" i="6"/>
  <c r="NI17" i="6"/>
  <c r="NH113" i="6"/>
  <c r="NG112" i="6"/>
  <c r="NF114" i="6"/>
  <c r="NG55" i="6"/>
  <c r="NG116" i="6"/>
  <c r="NI54" i="6"/>
  <c r="NH89" i="6"/>
  <c r="NH7" i="6"/>
  <c r="NE27" i="6"/>
  <c r="NG87" i="6"/>
  <c r="NG74" i="6"/>
  <c r="NE94" i="6"/>
  <c r="NI9" i="6"/>
  <c r="NJ60" i="6"/>
  <c r="NG21" i="6"/>
  <c r="NH101" i="6"/>
  <c r="NI74" i="6"/>
  <c r="NG113" i="6"/>
  <c r="NE68" i="6"/>
  <c r="NI18" i="6"/>
  <c r="NG36" i="6"/>
  <c r="NJ111" i="6"/>
  <c r="NI35" i="6"/>
  <c r="NG90" i="6"/>
  <c r="NI117" i="6"/>
  <c r="NH76" i="6"/>
  <c r="NE106" i="6"/>
  <c r="NE55" i="6"/>
  <c r="NG48" i="6"/>
  <c r="NG56" i="6"/>
  <c r="NJ76" i="6"/>
  <c r="NH24" i="6"/>
  <c r="NG66" i="6"/>
  <c r="NJ80" i="6"/>
  <c r="NJ26" i="6"/>
  <c r="NG14" i="6"/>
  <c r="NF104" i="6"/>
  <c r="NG32" i="6"/>
  <c r="NE87" i="6"/>
  <c r="NJ58" i="6"/>
  <c r="NI101" i="6"/>
  <c r="NJ17" i="6"/>
  <c r="NI49" i="6"/>
  <c r="NI73" i="6"/>
  <c r="NJ46" i="6"/>
  <c r="NG114" i="6"/>
  <c r="NG100" i="6"/>
  <c r="NI55" i="6"/>
  <c r="NE21" i="6"/>
  <c r="NG44" i="6"/>
  <c r="NJ9" i="6"/>
  <c r="NH62" i="6"/>
  <c r="NH48" i="6"/>
  <c r="NJ115" i="6"/>
  <c r="NG76" i="6"/>
  <c r="NG89" i="6"/>
  <c r="NE59" i="6"/>
  <c r="NG24" i="6"/>
  <c r="NH13" i="6"/>
  <c r="NJ23" i="6"/>
  <c r="NI89" i="6"/>
  <c r="NG37" i="6"/>
  <c r="NJ91" i="6"/>
  <c r="NI93" i="6"/>
  <c r="NI39" i="6"/>
  <c r="NH116" i="6"/>
  <c r="NH79" i="6"/>
  <c r="NH55" i="6"/>
  <c r="NG11" i="6"/>
  <c r="NH61" i="6"/>
  <c r="NE34" i="6"/>
  <c r="NI16" i="6"/>
  <c r="NJ97" i="6"/>
  <c r="NE40" i="6"/>
  <c r="NH47" i="6"/>
  <c r="NJ87" i="6"/>
  <c r="NI29" i="6"/>
  <c r="NG67" i="6"/>
  <c r="NF26" i="6"/>
  <c r="NJ15" i="6"/>
  <c r="NI34" i="6"/>
  <c r="NE82" i="6"/>
  <c r="NH60" i="6"/>
  <c r="NI46" i="6"/>
  <c r="NJ7" i="6"/>
  <c r="NH86" i="6"/>
  <c r="NI59" i="6"/>
  <c r="NH26" i="6"/>
  <c r="NJ10" i="6"/>
  <c r="NE56" i="6"/>
  <c r="NE85" i="6"/>
  <c r="NG16" i="6"/>
  <c r="NJ52" i="6"/>
  <c r="NG75" i="6"/>
  <c r="NG61" i="6"/>
  <c r="NG15" i="6"/>
  <c r="NJ101" i="6"/>
  <c r="NJ114" i="6"/>
  <c r="NE12" i="6"/>
  <c r="NI24" i="6"/>
  <c r="NG51" i="6"/>
  <c r="NI36" i="6"/>
  <c r="NH102" i="6"/>
  <c r="NJ62" i="6"/>
  <c r="NI104" i="6"/>
  <c r="NH106" i="6"/>
  <c r="NH52" i="6"/>
  <c r="NH66" i="6"/>
  <c r="NI86" i="6"/>
  <c r="NI103" i="6"/>
  <c r="NH58" i="6"/>
  <c r="NE72" i="6"/>
  <c r="NI115" i="6"/>
  <c r="NI81" i="6"/>
  <c r="NF9" i="6"/>
  <c r="NE31" i="6"/>
  <c r="NI111" i="6"/>
  <c r="NJ43" i="6"/>
  <c r="NH33" i="6"/>
  <c r="NG99" i="6"/>
  <c r="NG85" i="6"/>
  <c r="NG39" i="6"/>
  <c r="NI23" i="6"/>
  <c r="NE8" i="6"/>
  <c r="NE38" i="6"/>
  <c r="NH19" i="6"/>
  <c r="NH9" i="6"/>
  <c r="NI113" i="6"/>
  <c r="NJ86" i="6"/>
  <c r="NJ40" i="6"/>
  <c r="NI114" i="6"/>
  <c r="NE17" i="6"/>
  <c r="NE76" i="6"/>
  <c r="NG50" i="6"/>
  <c r="NJ19" i="6"/>
  <c r="NH49" i="6"/>
  <c r="NG115" i="6"/>
  <c r="NI75" i="6"/>
  <c r="NH117" i="6"/>
  <c r="NJ61" i="6"/>
  <c r="NG65" i="6"/>
  <c r="NJ27" i="6"/>
  <c r="NI57" i="6"/>
  <c r="NI84" i="6"/>
  <c r="NI77" i="6"/>
  <c r="NE47" i="6"/>
  <c r="NH112" i="6"/>
  <c r="NE93" i="6"/>
  <c r="NG101" i="6"/>
  <c r="NG82" i="6"/>
  <c r="NE101" i="6"/>
  <c r="NF44" i="6"/>
  <c r="NJ54" i="6"/>
  <c r="NH17" i="6"/>
  <c r="NJ13" i="6"/>
  <c r="NJ42" i="6"/>
  <c r="NF16" i="6"/>
  <c r="NG46" i="6"/>
  <c r="NH83" i="6"/>
  <c r="NJ110" i="6"/>
  <c r="NJ64" i="6"/>
  <c r="NH36" i="6"/>
  <c r="NE16" i="6"/>
  <c r="NE102" i="6"/>
  <c r="NH8" i="6"/>
  <c r="NJ47" i="6"/>
  <c r="NG72" i="6"/>
  <c r="NI99" i="6"/>
  <c r="NI53" i="6"/>
  <c r="NH12" i="6"/>
  <c r="NE88" i="6"/>
  <c r="NE29" i="6"/>
  <c r="NJ21" i="6"/>
  <c r="NH45" i="6"/>
  <c r="NG62" i="6"/>
  <c r="NJ73" i="6"/>
  <c r="NH88" i="6"/>
  <c r="NJ16" i="6"/>
  <c r="NJ77" i="6"/>
  <c r="NJ90" i="6"/>
  <c r="NE71" i="6"/>
  <c r="NJ8" i="6"/>
  <c r="NE26" i="6"/>
  <c r="NG96" i="6"/>
  <c r="NG49" i="6"/>
  <c r="NI60" i="6"/>
  <c r="NG25" i="6"/>
  <c r="NI14" i="6"/>
  <c r="NI90" i="6"/>
  <c r="I5259" i="7" l="1" a="1"/>
  <c r="I5259" i="7" s="1"/>
  <c r="K5259" i="7" a="1"/>
  <c r="K5259" i="7" s="1"/>
  <c r="K5" i="7" a="1"/>
  <c r="K5" i="7" s="1"/>
  <c r="J5" i="7" a="1"/>
  <c r="J5" i="7" s="1"/>
  <c r="K123" i="7" a="1"/>
  <c r="K123" i="7" s="1"/>
  <c r="J123" i="7" a="1"/>
  <c r="J123" i="7" s="1"/>
  <c r="I2099" i="7" a="1"/>
  <c r="I2099" i="7" s="1"/>
  <c r="K241" i="7" a="1"/>
  <c r="K241" i="7" s="1"/>
  <c r="I1875" i="7" a="1"/>
  <c r="I1875" i="7" s="1"/>
  <c r="J1875" i="7" a="1"/>
  <c r="J1875" i="7" s="1"/>
  <c r="K1875" i="7" a="1"/>
  <c r="K1875" i="7" s="1"/>
  <c r="K3374" i="7" a="1"/>
  <c r="K3374" i="7" s="1"/>
  <c r="I3374" i="7" a="1"/>
  <c r="I3374" i="7" s="1"/>
  <c r="K5376" i="7" a="1"/>
  <c r="K5376" i="7" s="1"/>
  <c r="I1981" i="7" a="1"/>
  <c r="I1981" i="7" s="1"/>
  <c r="J3662" i="7" a="1"/>
  <c r="J3662" i="7" s="1"/>
  <c r="L1875" i="7" a="1"/>
  <c r="L1875" i="7" s="1"/>
  <c r="L3662" i="7" a="1"/>
  <c r="L3662" i="7" s="1"/>
  <c r="K1981" i="7" a="1"/>
  <c r="K1981" i="7" s="1"/>
  <c r="J1981" i="7" a="1"/>
  <c r="J1981" i="7" s="1"/>
  <c r="K3662" i="7" a="1"/>
  <c r="K3662" i="7" s="1"/>
  <c r="M3662" i="7" a="1"/>
  <c r="M3662" i="7" s="1"/>
  <c r="I3662" i="7" a="1"/>
  <c r="I3662" i="7" s="1"/>
  <c r="M3374" i="7" a="1"/>
  <c r="M3374" i="7" s="1"/>
  <c r="I241" i="7" a="1"/>
  <c r="I241" i="7" s="1"/>
  <c r="N3374" i="7" a="1"/>
  <c r="N3374" i="7" s="1"/>
  <c r="J3374" i="7" a="1"/>
  <c r="J3374" i="7" s="1"/>
  <c r="N1981" i="7" a="1"/>
  <c r="N1981" i="7" s="1"/>
  <c r="L1981" i="7" a="1"/>
  <c r="L1981" i="7" s="1"/>
  <c r="L5376" i="7" a="1"/>
  <c r="L5376" i="7" s="1"/>
  <c r="J5376" i="7" a="1"/>
  <c r="J5376" i="7" s="1"/>
  <c r="N1875" i="7" a="1"/>
  <c r="N1875" i="7" s="1"/>
  <c r="J2099" i="7" a="1"/>
  <c r="J2099" i="7" s="1"/>
  <c r="K2099" i="7" a="1"/>
  <c r="K2099" i="7" s="1"/>
  <c r="M2099" i="7" a="1"/>
  <c r="M2099" i="7" s="1"/>
  <c r="L2099" i="7" a="1"/>
  <c r="L2099" i="7" s="1"/>
  <c r="I5064" i="7" a="1"/>
  <c r="I5064" i="7" s="1"/>
  <c r="M5064" i="7" a="1"/>
  <c r="M5064" i="7" s="1"/>
  <c r="N5064" i="7" a="1"/>
  <c r="N5064" i="7" s="1"/>
  <c r="L5064" i="7" a="1"/>
  <c r="L5064" i="7" s="1"/>
  <c r="K5064" i="7" a="1"/>
  <c r="K5064" i="7" s="1"/>
  <c r="J5064" i="7" a="1"/>
  <c r="J5064" i="7" s="1"/>
  <c r="I3482" i="7" a="1"/>
  <c r="I3482" i="7" s="1"/>
  <c r="J3482" i="7" a="1"/>
  <c r="J3482" i="7" s="1"/>
  <c r="N3482" i="7" a="1"/>
  <c r="N3482" i="7" s="1"/>
  <c r="L3482" i="7" a="1"/>
  <c r="L3482" i="7" s="1"/>
  <c r="M3482" i="7" a="1"/>
  <c r="M3482" i="7" s="1"/>
  <c r="K3482" i="7" a="1"/>
  <c r="K3482" i="7" s="1"/>
  <c r="I2451" i="7" a="1"/>
  <c r="I2451" i="7" s="1"/>
  <c r="M2451" i="7" a="1"/>
  <c r="M2451" i="7" s="1"/>
  <c r="J2451" i="7" a="1"/>
  <c r="J2451" i="7" s="1"/>
  <c r="L2451" i="7" a="1"/>
  <c r="L2451" i="7" s="1"/>
  <c r="N2451" i="7" a="1"/>
  <c r="N2451" i="7" s="1"/>
  <c r="K2451" i="7" a="1"/>
  <c r="K2451" i="7" s="1"/>
  <c r="I3524" i="7" a="1"/>
  <c r="I3524" i="7" s="1"/>
  <c r="N3524" i="7" a="1"/>
  <c r="N3524" i="7" s="1"/>
  <c r="K3524" i="7" a="1"/>
  <c r="K3524" i="7" s="1"/>
  <c r="M3524" i="7" a="1"/>
  <c r="M3524" i="7" s="1"/>
  <c r="J3524" i="7" a="1"/>
  <c r="J3524" i="7" s="1"/>
  <c r="L3524" i="7" a="1"/>
  <c r="L3524" i="7" s="1"/>
  <c r="I3034" i="7" a="1"/>
  <c r="I3034" i="7" s="1"/>
  <c r="N3034" i="7" a="1"/>
  <c r="N3034" i="7" s="1"/>
  <c r="M3034" i="7" a="1"/>
  <c r="M3034" i="7" s="1"/>
  <c r="K3034" i="7" a="1"/>
  <c r="K3034" i="7" s="1"/>
  <c r="J3034" i="7" a="1"/>
  <c r="J3034" i="7" s="1"/>
  <c r="L3034" i="7" a="1"/>
  <c r="L3034" i="7" s="1"/>
  <c r="I1766" i="7" a="1"/>
  <c r="I1766" i="7" s="1"/>
  <c r="J1766" i="7" a="1"/>
  <c r="J1766" i="7" s="1"/>
  <c r="L1766" i="7" a="1"/>
  <c r="L1766" i="7" s="1"/>
  <c r="K1766" i="7" a="1"/>
  <c r="K1766" i="7" s="1"/>
  <c r="N1766" i="7" a="1"/>
  <c r="N1766" i="7" s="1"/>
  <c r="M1766" i="7" a="1"/>
  <c r="M1766" i="7" s="1"/>
  <c r="I3152" i="7" a="1"/>
  <c r="I3152" i="7" s="1"/>
  <c r="N3152" i="7" a="1"/>
  <c r="N3152" i="7" s="1"/>
  <c r="M3152" i="7" a="1"/>
  <c r="M3152" i="7" s="1"/>
  <c r="L3152" i="7" a="1"/>
  <c r="L3152" i="7" s="1"/>
  <c r="J3152" i="7" a="1"/>
  <c r="J3152" i="7" s="1"/>
  <c r="K3152" i="7" a="1"/>
  <c r="K3152" i="7" s="1"/>
  <c r="I2918" i="7" a="1"/>
  <c r="I2918" i="7" s="1"/>
  <c r="N2918" i="7" a="1"/>
  <c r="N2918" i="7" s="1"/>
  <c r="L2918" i="7" a="1"/>
  <c r="L2918" i="7" s="1"/>
  <c r="M2918" i="7" a="1"/>
  <c r="M2918" i="7" s="1"/>
  <c r="K2918" i="7" a="1"/>
  <c r="K2918" i="7" s="1"/>
  <c r="J2918" i="7" a="1"/>
  <c r="J2918" i="7" s="1"/>
  <c r="I3268" i="7" a="1"/>
  <c r="I3268" i="7" s="1"/>
  <c r="N3268" i="7" a="1"/>
  <c r="N3268" i="7" s="1"/>
  <c r="M3268" i="7" a="1"/>
  <c r="M3268" i="7" s="1"/>
  <c r="L3268" i="7" a="1"/>
  <c r="L3268" i="7" s="1"/>
  <c r="J3268" i="7" a="1"/>
  <c r="J3268" i="7" s="1"/>
  <c r="K3268" i="7" a="1"/>
  <c r="K3268" i="7" s="1"/>
  <c r="I2334" i="7" a="1"/>
  <c r="I2334" i="7" s="1"/>
  <c r="K2334" i="7" a="1"/>
  <c r="K2334" i="7" s="1"/>
  <c r="J2334" i="7" a="1"/>
  <c r="J2334" i="7" s="1"/>
  <c r="L2334" i="7" a="1"/>
  <c r="L2334" i="7" s="1"/>
  <c r="N2334" i="7" a="1"/>
  <c r="N2334" i="7" s="1"/>
  <c r="M2334" i="7" a="1"/>
  <c r="M2334" i="7" s="1"/>
  <c r="I3503" i="7" a="1"/>
  <c r="I3503" i="7" s="1"/>
  <c r="M3503" i="7" a="1"/>
  <c r="M3503" i="7" s="1"/>
  <c r="L3503" i="7" a="1"/>
  <c r="L3503" i="7" s="1"/>
  <c r="K3503" i="7" a="1"/>
  <c r="K3503" i="7" s="1"/>
  <c r="J3503" i="7" a="1"/>
  <c r="J3503" i="7" s="1"/>
  <c r="N3503" i="7" a="1"/>
  <c r="N3503" i="7" s="1"/>
  <c r="I2804" i="7" a="1"/>
  <c r="I2804" i="7" s="1"/>
  <c r="L2804" i="7" a="1"/>
  <c r="L2804" i="7" s="1"/>
  <c r="K2804" i="7" a="1"/>
  <c r="K2804" i="7" s="1"/>
  <c r="J2804" i="7" a="1"/>
  <c r="J2804" i="7" s="1"/>
  <c r="N2804" i="7" a="1"/>
  <c r="N2804" i="7" s="1"/>
  <c r="M2804" i="7" a="1"/>
  <c r="M2804" i="7" s="1"/>
  <c r="I4717" i="7" a="1"/>
  <c r="I4717" i="7" s="1"/>
  <c r="N4717" i="7" a="1"/>
  <c r="N4717" i="7" s="1"/>
  <c r="M4717" i="7" a="1"/>
  <c r="M4717" i="7" s="1"/>
  <c r="L4717" i="7" a="1"/>
  <c r="L4717" i="7" s="1"/>
  <c r="K4717" i="7" a="1"/>
  <c r="K4717" i="7" s="1"/>
  <c r="J4717" i="7" a="1"/>
  <c r="J4717" i="7" s="1"/>
  <c r="I2217" i="7" a="1"/>
  <c r="I2217" i="7" s="1"/>
  <c r="M2217" i="7" a="1"/>
  <c r="M2217" i="7" s="1"/>
  <c r="L2217" i="7" a="1"/>
  <c r="L2217" i="7" s="1"/>
  <c r="K2217" i="7" a="1"/>
  <c r="K2217" i="7" s="1"/>
  <c r="J2217" i="7" a="1"/>
  <c r="J2217" i="7" s="1"/>
  <c r="N2217" i="7" a="1"/>
  <c r="N2217" i="7" s="1"/>
  <c r="NK109" i="6"/>
  <c r="NK98" i="6"/>
  <c r="NK44" i="6"/>
  <c r="NK16" i="6"/>
  <c r="NK104" i="6"/>
  <c r="NK80" i="6"/>
  <c r="NK87" i="6"/>
  <c r="NK73" i="6"/>
  <c r="NK91" i="6"/>
  <c r="NK55" i="6"/>
  <c r="NK93" i="6"/>
  <c r="NK69" i="6"/>
  <c r="NK36" i="6"/>
  <c r="NK51" i="6"/>
  <c r="NK54" i="6"/>
  <c r="NK102" i="6"/>
  <c r="NK49" i="6"/>
  <c r="NK75" i="6"/>
  <c r="NK46" i="6"/>
  <c r="NK101" i="6"/>
  <c r="NK33" i="6"/>
  <c r="NK84" i="6"/>
  <c r="NK89" i="6"/>
  <c r="NK61" i="6"/>
  <c r="NK8" i="6"/>
  <c r="NK21" i="6"/>
  <c r="NK117" i="6"/>
  <c r="NK9" i="6"/>
  <c r="NK114" i="6"/>
  <c r="NK29" i="6"/>
  <c r="NK107" i="6"/>
  <c r="NK12" i="6"/>
  <c r="NK7" i="6"/>
  <c r="NK35" i="6"/>
  <c r="NK78" i="6"/>
  <c r="NK83" i="6"/>
  <c r="NK38" i="6"/>
  <c r="NK96" i="6"/>
  <c r="NK82" i="6"/>
  <c r="NK99" i="6"/>
  <c r="NK41" i="6"/>
  <c r="NK19" i="6"/>
  <c r="NK42" i="6"/>
  <c r="NK53" i="6"/>
  <c r="NK100" i="6"/>
  <c r="NK116" i="6"/>
  <c r="NK48" i="6"/>
  <c r="NK40" i="6"/>
  <c r="NK28" i="6"/>
  <c r="NK18" i="6"/>
  <c r="NK37" i="6"/>
  <c r="NK62" i="6"/>
  <c r="NK67" i="6"/>
  <c r="NK79" i="6"/>
  <c r="NK111" i="6"/>
  <c r="NK66" i="6"/>
  <c r="NK103" i="6"/>
  <c r="NK43" i="6"/>
  <c r="NK17" i="6"/>
  <c r="NK95" i="6"/>
  <c r="NK47" i="6"/>
  <c r="NK106" i="6"/>
  <c r="NK13" i="6"/>
  <c r="NK76" i="6"/>
  <c r="NK65" i="6"/>
  <c r="NK113" i="6"/>
  <c r="NK115" i="6"/>
  <c r="NK110" i="6"/>
  <c r="NK22" i="6"/>
  <c r="NK77" i="6"/>
  <c r="NK105" i="6"/>
  <c r="NK68" i="6"/>
  <c r="NK52" i="6"/>
  <c r="NK15" i="6"/>
  <c r="NK27" i="6"/>
  <c r="NK39" i="6"/>
  <c r="NK108" i="6"/>
  <c r="NK11" i="6"/>
  <c r="NK72" i="6"/>
  <c r="NK24" i="6"/>
  <c r="NK60" i="6"/>
  <c r="NK64" i="6"/>
  <c r="NK63" i="6"/>
  <c r="NK71" i="6"/>
  <c r="NK26" i="6"/>
  <c r="NK85" i="6"/>
  <c r="NK70" i="6"/>
  <c r="NK30" i="6"/>
  <c r="NK57" i="6"/>
  <c r="NK74" i="6"/>
  <c r="NK97" i="6"/>
  <c r="NK14" i="6"/>
  <c r="NK10" i="6"/>
  <c r="NK92" i="6"/>
  <c r="NK25" i="6"/>
  <c r="NK59" i="6"/>
  <c r="NK56" i="6"/>
  <c r="NK88" i="6"/>
  <c r="NK50" i="6"/>
  <c r="NK31" i="6"/>
  <c r="NK34" i="6"/>
  <c r="NK94" i="6"/>
  <c r="NK20" i="6"/>
  <c r="NK45" i="6"/>
  <c r="NK32" i="6"/>
  <c r="NK90" i="6"/>
  <c r="NK112" i="6"/>
  <c r="NK81" i="6"/>
  <c r="NK23" i="6"/>
  <c r="NK58" i="6"/>
  <c r="NK86" i="6"/>
  <c r="NK6" i="6"/>
  <c r="NK119" i="6" l="1"/>
  <c r="I2569" i="7" s="1" a="1"/>
  <c r="I2569" i="7" s="1"/>
  <c r="N2569" i="7" l="1" a="1"/>
  <c r="N2569" i="7" s="1"/>
  <c r="M2569" i="7" a="1"/>
  <c r="M2569" i="7" s="1"/>
  <c r="L2569" i="7" a="1"/>
  <c r="L2569" i="7" s="1"/>
  <c r="K2569" i="7" a="1"/>
  <c r="K2569" i="7" s="1"/>
  <c r="J2569" i="7" a="1"/>
  <c r="J2569" i="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<sst xmlns="http://schemas.openxmlformats.org/spreadsheetml/2006/main" count="6513" uniqueCount="637">
  <si>
    <t>ARCHON</t>
  </si>
  <si>
    <t>Q1A_yes</t>
  </si>
  <si>
    <t>Q1A_no</t>
  </si>
  <si>
    <t>Q1A_base</t>
  </si>
  <si>
    <t>Q1B_yes</t>
  </si>
  <si>
    <t>Q1B_no</t>
  </si>
  <si>
    <t>Q1B_base</t>
  </si>
  <si>
    <t>Q1C_yes</t>
  </si>
  <si>
    <t>Q1C_no</t>
  </si>
  <si>
    <t>Q1C_base</t>
  </si>
  <si>
    <t>Q2_BASE</t>
  </si>
  <si>
    <t>Q2_BASE_TOTAL</t>
  </si>
  <si>
    <t>Q2A1_COUNT</t>
  </si>
  <si>
    <t>Q2A2_COUNT</t>
  </si>
  <si>
    <t>Q2A3_COUNT</t>
  </si>
  <si>
    <t>Q2A4_COUNT</t>
  </si>
  <si>
    <t>Q2A5_COUNT</t>
  </si>
  <si>
    <t>Q2A6_COUNT</t>
  </si>
  <si>
    <t>Q2A7_COUNT</t>
  </si>
  <si>
    <t>Q2A8_COUNT</t>
  </si>
  <si>
    <t>Q2A9_COUNT</t>
  </si>
  <si>
    <t>Q2A10_COUNT</t>
  </si>
  <si>
    <t>Q2A1_PCT</t>
  </si>
  <si>
    <t>Q2A2_PCT</t>
  </si>
  <si>
    <t>Q2A3_PCT</t>
  </si>
  <si>
    <t>Q2A4_PCT</t>
  </si>
  <si>
    <t>Q2A5_PCT</t>
  </si>
  <si>
    <t>Q2A6_PCT</t>
  </si>
  <si>
    <t>Q2A7_PCT</t>
  </si>
  <si>
    <t>Q2A8_PCT</t>
  </si>
  <si>
    <t>Q2A9_PCT</t>
  </si>
  <si>
    <t>Q2A10_PCT</t>
  </si>
  <si>
    <t>Q2_BASE_UNW</t>
  </si>
  <si>
    <t>Q2_BASE_TOTAL_UNW</t>
  </si>
  <si>
    <t>Q3_BASE</t>
  </si>
  <si>
    <t>Q3_BASE_TOTAL</t>
  </si>
  <si>
    <t>Q3A_COUNT</t>
  </si>
  <si>
    <t>Q3B_COUNT</t>
  </si>
  <si>
    <t>Q3C_COUNT</t>
  </si>
  <si>
    <t>Q3D_COUNT</t>
  </si>
  <si>
    <t>Q3E_COUNT</t>
  </si>
  <si>
    <t>Q3F_COUNT</t>
  </si>
  <si>
    <t>Q3A_PCT</t>
  </si>
  <si>
    <t>Q3B_PCT</t>
  </si>
  <si>
    <t>Q3C_PCT</t>
  </si>
  <si>
    <t>Q3D_PCT</t>
  </si>
  <si>
    <t>Q3E_PCT</t>
  </si>
  <si>
    <t>Q3F_PCT</t>
  </si>
  <si>
    <t>Q3_BASE_UNW</t>
  </si>
  <si>
    <t>Q3_BASE_TOTAL_UNW</t>
  </si>
  <si>
    <t>Q4A_N</t>
  </si>
  <si>
    <t>Q4B_N</t>
  </si>
  <si>
    <t>Q4C_N</t>
  </si>
  <si>
    <t>Q4A_1</t>
  </si>
  <si>
    <t>Q4A_2</t>
  </si>
  <si>
    <t>Q4A_3</t>
  </si>
  <si>
    <t>Q4A_4</t>
  </si>
  <si>
    <t>Q4A_5</t>
  </si>
  <si>
    <t>Q4A_6</t>
  </si>
  <si>
    <t>Q4A_7</t>
  </si>
  <si>
    <t>Q4A_8</t>
  </si>
  <si>
    <t>Q4A_9</t>
  </si>
  <si>
    <t>Q4A_10</t>
  </si>
  <si>
    <t>Q4A_AVG</t>
  </si>
  <si>
    <t>Q4A_BASE</t>
  </si>
  <si>
    <t>Q4B_1</t>
  </si>
  <si>
    <t>Q4B_2</t>
  </si>
  <si>
    <t>Q4B_3</t>
  </si>
  <si>
    <t>Q4B_4</t>
  </si>
  <si>
    <t>Q4B_5</t>
  </si>
  <si>
    <t>Q4B_6</t>
  </si>
  <si>
    <t>Q4B_7</t>
  </si>
  <si>
    <t>Q4B_8</t>
  </si>
  <si>
    <t>Q4B_9</t>
  </si>
  <si>
    <t>Q4B_10</t>
  </si>
  <si>
    <t>Q4B_AVG</t>
  </si>
  <si>
    <t>Q4B_BASE</t>
  </si>
  <si>
    <t>Q4C_1</t>
  </si>
  <si>
    <t>Q4C_2</t>
  </si>
  <si>
    <t>Q4C_3</t>
  </si>
  <si>
    <t>Q4C_4</t>
  </si>
  <si>
    <t>Q4C_5</t>
  </si>
  <si>
    <t>Q4C_6</t>
  </si>
  <si>
    <t>Q4C_7</t>
  </si>
  <si>
    <t>Q4C_8</t>
  </si>
  <si>
    <t>Q4C_9</t>
  </si>
  <si>
    <t>Q4C_10</t>
  </si>
  <si>
    <t>Q4C_AVG</t>
  </si>
  <si>
    <t>Q4C_BASE</t>
  </si>
  <si>
    <t>Q5A_VS</t>
  </si>
  <si>
    <t>Q5A_S</t>
  </si>
  <si>
    <t>Q5A_N</t>
  </si>
  <si>
    <t>Q5A_NS</t>
  </si>
  <si>
    <t>Q5A_NAAS</t>
  </si>
  <si>
    <t>Q5A_BASE</t>
  </si>
  <si>
    <t>Q5B_VS</t>
  </si>
  <si>
    <t>Q5B_S</t>
  </si>
  <si>
    <t>Q5B_N</t>
  </si>
  <si>
    <t>Q5B_NS</t>
  </si>
  <si>
    <t>Q5B_NAAS</t>
  </si>
  <si>
    <t>Q5B_BASE</t>
  </si>
  <si>
    <t>Q5C_VS</t>
  </si>
  <si>
    <t>Q5C_S</t>
  </si>
  <si>
    <t>Q5C_N</t>
  </si>
  <si>
    <t>Q5C_NS</t>
  </si>
  <si>
    <t>Q5C_NAAS</t>
  </si>
  <si>
    <t>Q5C_BASE</t>
  </si>
  <si>
    <t>Q5D_VS</t>
  </si>
  <si>
    <t>Q5D_S</t>
  </si>
  <si>
    <t>Q5D_N</t>
  </si>
  <si>
    <t>Q5D_NS</t>
  </si>
  <si>
    <t>Q5D_NAAS</t>
  </si>
  <si>
    <t>Q5D_BASE</t>
  </si>
  <si>
    <t>Q5E_VS</t>
  </si>
  <si>
    <t>Q5E_S</t>
  </si>
  <si>
    <t>Q5E_N</t>
  </si>
  <si>
    <t>Q5E_NS</t>
  </si>
  <si>
    <t>Q5E_NAAS</t>
  </si>
  <si>
    <t>Q5E_BASE</t>
  </si>
  <si>
    <t>Q5F_VS</t>
  </si>
  <si>
    <t>Q5F_S</t>
  </si>
  <si>
    <t>Q5F_N</t>
  </si>
  <si>
    <t>Q5F_NS</t>
  </si>
  <si>
    <t>Q5F_NAAS</t>
  </si>
  <si>
    <t>Q5F_BASE</t>
  </si>
  <si>
    <t>Q5G_VS</t>
  </si>
  <si>
    <t>Q5G_S</t>
  </si>
  <si>
    <t>Q5G_N</t>
  </si>
  <si>
    <t>Q5G_NS</t>
  </si>
  <si>
    <t>Q5G_NAAS</t>
  </si>
  <si>
    <t>Q5G_BASE</t>
  </si>
  <si>
    <t>Q6A_VG</t>
  </si>
  <si>
    <t>Q6A_G</t>
  </si>
  <si>
    <t>Q6A_N</t>
  </si>
  <si>
    <t>Q6A_P</t>
  </si>
  <si>
    <t>Q6A_VP</t>
  </si>
  <si>
    <t>Q6A_BASE</t>
  </si>
  <si>
    <t>Q6B_VG</t>
  </si>
  <si>
    <t>Q6B_G</t>
  </si>
  <si>
    <t>Q6B_N</t>
  </si>
  <si>
    <t>Q6B_P</t>
  </si>
  <si>
    <t>Q6B_VP</t>
  </si>
  <si>
    <t>Q6B_BASE</t>
  </si>
  <si>
    <t>Q6C_VG</t>
  </si>
  <si>
    <t>Q6C_G</t>
  </si>
  <si>
    <t>Q6C_N</t>
  </si>
  <si>
    <t>Q6C_P</t>
  </si>
  <si>
    <t>Q6C_VP</t>
  </si>
  <si>
    <t>Q6C_BASE</t>
  </si>
  <si>
    <t>Q6D_VG</t>
  </si>
  <si>
    <t>Q6D_G</t>
  </si>
  <si>
    <t>Q6D_N</t>
  </si>
  <si>
    <t>Q6D_P</t>
  </si>
  <si>
    <t>Q6D_VP</t>
  </si>
  <si>
    <t>Q6D_BASE</t>
  </si>
  <si>
    <t>Q6E_VG</t>
  </si>
  <si>
    <t>Q6E_G</t>
  </si>
  <si>
    <t>Q6E_N</t>
  </si>
  <si>
    <t>Q6E_P</t>
  </si>
  <si>
    <t>Q6E_VP</t>
  </si>
  <si>
    <t>Q6E_BASE</t>
  </si>
  <si>
    <t>Q6F_VG</t>
  </si>
  <si>
    <t>Q6F_G</t>
  </si>
  <si>
    <t>Q6F_N</t>
  </si>
  <si>
    <t>Q6F_P</t>
  </si>
  <si>
    <t>Q6F_VP</t>
  </si>
  <si>
    <t>Q6F_BASE</t>
  </si>
  <si>
    <t>Q6G_VG</t>
  </si>
  <si>
    <t>Q6G_G</t>
  </si>
  <si>
    <t>Q6G_N</t>
  </si>
  <si>
    <t>Q6G_P</t>
  </si>
  <si>
    <t>Q6G_VP</t>
  </si>
  <si>
    <t>Q6G_BASE</t>
  </si>
  <si>
    <t>Q6H_VG</t>
  </si>
  <si>
    <t>Q6H_G</t>
  </si>
  <si>
    <t>Q6H_N</t>
  </si>
  <si>
    <t>Q6H_P</t>
  </si>
  <si>
    <t>Q6H_VP</t>
  </si>
  <si>
    <t>Q6H_BASE</t>
  </si>
  <si>
    <t>Q7A1_VS</t>
  </si>
  <si>
    <t>Q7A1_S</t>
  </si>
  <si>
    <t>Q7A1_N</t>
  </si>
  <si>
    <t>Q7A1_NS</t>
  </si>
  <si>
    <t>Q7A1_NAAS</t>
  </si>
  <si>
    <t>Q7A1_BASE</t>
  </si>
  <si>
    <t>Q7A2_VS</t>
  </si>
  <si>
    <t>Q7A2_S</t>
  </si>
  <si>
    <t>Q7A2_N</t>
  </si>
  <si>
    <t>Q7A2_NS</t>
  </si>
  <si>
    <t>Q7A2_NAAS</t>
  </si>
  <si>
    <t>Q7A2_BASE</t>
  </si>
  <si>
    <t>Q7A3_VS</t>
  </si>
  <si>
    <t>Q7A3_S</t>
  </si>
  <si>
    <t>Q7A3_N</t>
  </si>
  <si>
    <t>Q7A3_NS</t>
  </si>
  <si>
    <t>Q7A3_NAAS</t>
  </si>
  <si>
    <t>Q7A3_BASE</t>
  </si>
  <si>
    <t>Q7A4_VS</t>
  </si>
  <si>
    <t>Q7A4_S</t>
  </si>
  <si>
    <t>Q7A4_N</t>
  </si>
  <si>
    <t>Q7A4_NS</t>
  </si>
  <si>
    <t>Q7A4_NAAS</t>
  </si>
  <si>
    <t>Q7A4_BASE</t>
  </si>
  <si>
    <t>Q7A5_VS</t>
  </si>
  <si>
    <t>Q7A5_S</t>
  </si>
  <si>
    <t>Q7A5_N</t>
  </si>
  <si>
    <t>Q7A5_NS</t>
  </si>
  <si>
    <t>Q7A5_NAAS</t>
  </si>
  <si>
    <t>Q7A5_BASE</t>
  </si>
  <si>
    <t>Q7A6_VS</t>
  </si>
  <si>
    <t>Q7A6_S</t>
  </si>
  <si>
    <t>Q7A6_N</t>
  </si>
  <si>
    <t>Q7A6_NS</t>
  </si>
  <si>
    <t>Q7A6_NAAS</t>
  </si>
  <si>
    <t>Q7A6_BASE</t>
  </si>
  <si>
    <t>Q7A7_VS</t>
  </si>
  <si>
    <t>Q7A7_S</t>
  </si>
  <si>
    <t>Q7A7_N</t>
  </si>
  <si>
    <t>Q7A7_NS</t>
  </si>
  <si>
    <t>Q7A7_NAAS</t>
  </si>
  <si>
    <t>Q7A7_BASE</t>
  </si>
  <si>
    <t>Q7B1_VS</t>
  </si>
  <si>
    <t>Q7B1_S</t>
  </si>
  <si>
    <t>Q7B1_N</t>
  </si>
  <si>
    <t>Q7B1_NS</t>
  </si>
  <si>
    <t>Q7B1_NAAS</t>
  </si>
  <si>
    <t>Q7B1_BASE</t>
  </si>
  <si>
    <t>Q7B2_VS</t>
  </si>
  <si>
    <t>Q7B2_S</t>
  </si>
  <si>
    <t>Q7B2_N</t>
  </si>
  <si>
    <t>Q7B2_NS</t>
  </si>
  <si>
    <t>Q7B2_NAAS</t>
  </si>
  <si>
    <t>Q7B2_BASE</t>
  </si>
  <si>
    <t>Q7B3_VS</t>
  </si>
  <si>
    <t>Q7B3_S</t>
  </si>
  <si>
    <t>Q7B3_N</t>
  </si>
  <si>
    <t>Q7B3_NS</t>
  </si>
  <si>
    <t>Q7B3_NAAS</t>
  </si>
  <si>
    <t>Q7B3_BASE</t>
  </si>
  <si>
    <t>Q8_N</t>
  </si>
  <si>
    <t>Q8_1</t>
  </si>
  <si>
    <t>Q8_2</t>
  </si>
  <si>
    <t>Q8_3</t>
  </si>
  <si>
    <t>Q8_4</t>
  </si>
  <si>
    <t>Q8_5</t>
  </si>
  <si>
    <t>Q8_6</t>
  </si>
  <si>
    <t>Q8_7</t>
  </si>
  <si>
    <t>Q8_8</t>
  </si>
  <si>
    <t>Q8_9</t>
  </si>
  <si>
    <t>Q8_10</t>
  </si>
  <si>
    <t>Q8_AVG</t>
  </si>
  <si>
    <t>Q8_BASE</t>
  </si>
  <si>
    <t>Q9_1</t>
  </si>
  <si>
    <t>Q9_2</t>
  </si>
  <si>
    <t>Q9_3</t>
  </si>
  <si>
    <t>Q9_4</t>
  </si>
  <si>
    <t>Q9_5</t>
  </si>
  <si>
    <t>Q9_BASE</t>
  </si>
  <si>
    <t>Q10_BASE</t>
  </si>
  <si>
    <t>Q10_BASE_TOTAL</t>
  </si>
  <si>
    <t>Q10A_COUNT</t>
  </si>
  <si>
    <t>Q10B_COUNT</t>
  </si>
  <si>
    <t>Q10C_COUNT</t>
  </si>
  <si>
    <t>Q10D_COUNT</t>
  </si>
  <si>
    <t>Q10A_PCT</t>
  </si>
  <si>
    <t>Q10B_PCT</t>
  </si>
  <si>
    <t>Q10C_PCT</t>
  </si>
  <si>
    <t>Q10D_PCT</t>
  </si>
  <si>
    <t>Q10_BASE_UNW</t>
  </si>
  <si>
    <t>Q10_BASE_TOTAL_UNW</t>
  </si>
  <si>
    <t>Q11_NUM</t>
  </si>
  <si>
    <t>Q11_AVG</t>
  </si>
  <si>
    <t>Q11_BASE</t>
  </si>
  <si>
    <t>Q13A_A</t>
  </si>
  <si>
    <t>Q13A_D</t>
  </si>
  <si>
    <t>Q13A_BASE</t>
  </si>
  <si>
    <t>Q13B_A</t>
  </si>
  <si>
    <t>Q13B_D</t>
  </si>
  <si>
    <t>Q13B_BASE</t>
  </si>
  <si>
    <t>Q13C_A</t>
  </si>
  <si>
    <t>Q13C_D</t>
  </si>
  <si>
    <t>Q13C_BASE</t>
  </si>
  <si>
    <t>Q13D_A</t>
  </si>
  <si>
    <t>Q13D_D</t>
  </si>
  <si>
    <t>Q13D_BASE</t>
  </si>
  <si>
    <t>Q15_F</t>
  </si>
  <si>
    <t>Q15_M</t>
  </si>
  <si>
    <t>Q15_BASE</t>
  </si>
  <si>
    <t>Q16A_Y</t>
  </si>
  <si>
    <t>Q16A_N</t>
  </si>
  <si>
    <t>Q16A_BASE</t>
  </si>
  <si>
    <t>AgeGroup</t>
  </si>
  <si>
    <t>AgeGroup_1</t>
  </si>
  <si>
    <t>AgeGroup_2</t>
  </si>
  <si>
    <t>AgeGroup_3</t>
  </si>
  <si>
    <t>AgeGroup_4</t>
  </si>
  <si>
    <t>AgeGroup_5</t>
  </si>
  <si>
    <t>AgeGroup_BASE</t>
  </si>
  <si>
    <t>AverageAge</t>
  </si>
  <si>
    <t>REGION_CODE</t>
  </si>
  <si>
    <t>AFRICA</t>
  </si>
  <si>
    <t>OCEANIA</t>
  </si>
  <si>
    <t>AMERICAS</t>
  </si>
  <si>
    <t>ASIA</t>
  </si>
  <si>
    <t>EUROPE</t>
  </si>
  <si>
    <t>REGION_BASE</t>
  </si>
  <si>
    <t>Q19_1</t>
  </si>
  <si>
    <t>Q19_2</t>
  </si>
  <si>
    <t>Q19_3</t>
  </si>
  <si>
    <t>Q19_4</t>
  </si>
  <si>
    <t>Q19_5</t>
  </si>
  <si>
    <t>Q19_BASE</t>
  </si>
  <si>
    <t>Q20A_Y</t>
  </si>
  <si>
    <t>Q20A_N</t>
  </si>
  <si>
    <t>Q20A_BASE</t>
  </si>
  <si>
    <t>Q20B_1</t>
  </si>
  <si>
    <t>Q20B_2</t>
  </si>
  <si>
    <t>Q20B_3</t>
  </si>
  <si>
    <t>Q20B_BASE</t>
  </si>
  <si>
    <t>SECTION A: THE REASON FOR YOUR VISIT</t>
  </si>
  <si>
    <t>SECTION B: OUR STAFF, SERVICES &amp; FACILITIES</t>
  </si>
  <si>
    <t>SECTION C: YOUR VISIT</t>
  </si>
  <si>
    <t>SECTION D: OUTCOMES</t>
  </si>
  <si>
    <t>SECTION E: ABOUT YOU</t>
  </si>
  <si>
    <t>1. About your visit</t>
  </si>
  <si>
    <t xml:space="preserve">2. (a) Why are you visiting this archive today? </t>
  </si>
  <si>
    <t>3. What, if any, of the following did you do to prepare for your visit today?</t>
  </si>
  <si>
    <t>5. How satisfied are you with the following:</t>
  </si>
  <si>
    <t>6.  Please rate the following services used during your visit to this archive</t>
  </si>
  <si>
    <t>7 (a) Please rate how satisfied you are with the following services.</t>
  </si>
  <si>
    <t xml:space="preserve">	(b) Regarding Welsh language provision, how satisfied are you with the following services? 
[For users of Welsh archives only]</t>
  </si>
  <si>
    <t>9. What was your primary method of travel to this area / archive today?</t>
  </si>
  <si>
    <t>10. What else are you doing in the area today, in addition to visiting this archive?</t>
  </si>
  <si>
    <t>11. Approximately how many hours have you spent at this archive today?</t>
  </si>
  <si>
    <t>15. What is your sex?</t>
  </si>
  <si>
    <t>16. Is the gender you identify with the same as your sex registered at birth?</t>
  </si>
  <si>
    <t>17. Your age?</t>
  </si>
  <si>
    <t>18. (a) If you are a UK resident, what is your postcode?</t>
  </si>
  <si>
    <t>(b) If not a UK resident, what is your country of residence?</t>
  </si>
  <si>
    <t xml:space="preserve">19. What is your ethnic group? </t>
  </si>
  <si>
    <t>20. (a) Do you have any long-lasting physical or mental health conditions?</t>
  </si>
  <si>
    <t>(b) If yes, have you experienced any barriers to accessing this service?</t>
  </si>
  <si>
    <t>(b) If No at (a) above, have you visited this archive before?</t>
  </si>
  <si>
    <t>(c) If Yes at (b) above, are you a regular user of this archive?</t>
  </si>
  <si>
    <t>Academic research</t>
  </si>
  <si>
    <t>Architectural / building / site research</t>
  </si>
  <si>
    <t>Family history</t>
  </si>
  <si>
    <t>Military history</t>
  </si>
  <si>
    <t>Local history</t>
  </si>
  <si>
    <t>General browsing / familiarising myself with the archive</t>
  </si>
  <si>
    <t>To find evidence relating to rights and entitlements</t>
  </si>
  <si>
    <t>To find information or evidence relating to my work or for the organisation I volunteer for</t>
  </si>
  <si>
    <t>To gather information for a talk / publication / presentation</t>
  </si>
  <si>
    <t>Went online to check archive opening times / find directions etc.</t>
  </si>
  <si>
    <t>Emailed / telephoned archive</t>
  </si>
  <si>
    <t>Conducted online research / used the archive's online guides to resources</t>
  </si>
  <si>
    <t xml:space="preserve">Searched archive's online catalogue to find records </t>
  </si>
  <si>
    <t>Visited another archive</t>
  </si>
  <si>
    <t>Availability of staff</t>
  </si>
  <si>
    <t>Attitude of staff</t>
  </si>
  <si>
    <t>Quality and appropriateness of the staff's advice</t>
  </si>
  <si>
    <t>Opening hours</t>
  </si>
  <si>
    <t>Ease with which you found us</t>
  </si>
  <si>
    <t>Appearance / upkeep of the building</t>
  </si>
  <si>
    <t>Access to and in the building</t>
  </si>
  <si>
    <t>Lockers / toilets / rest or refreshment area</t>
  </si>
  <si>
    <t>Welcome / reception</t>
  </si>
  <si>
    <t>Appointment / online booking system (if applicable)</t>
  </si>
  <si>
    <t>Availability of our computers</t>
  </si>
  <si>
    <t>Speed of our computers</t>
  </si>
  <si>
    <t>Usability of our online catalogue</t>
  </si>
  <si>
    <t>Quality of our online catalogue</t>
  </si>
  <si>
    <t>Quality of our other online resources</t>
  </si>
  <si>
    <t>Access to other online resources</t>
  </si>
  <si>
    <t>Access to wifi</t>
  </si>
  <si>
    <t>Facilities to charge personal computing devices</t>
  </si>
  <si>
    <t>Availability of seating</t>
  </si>
  <si>
    <t>Quality of our paper catalogues</t>
  </si>
  <si>
    <t>Quality of our other paper resources</t>
  </si>
  <si>
    <t>Document ordering system</t>
  </si>
  <si>
    <t>Document delivery system</t>
  </si>
  <si>
    <t>Microfilm and microfiche facilities</t>
  </si>
  <si>
    <t>Our copy services</t>
  </si>
  <si>
    <t>Verbal communication</t>
  </si>
  <si>
    <t>Printed catalogues or resources</t>
  </si>
  <si>
    <t>Online catalogue or resources</t>
  </si>
  <si>
    <t>Overall, how do you rate this archive?</t>
  </si>
  <si>
    <t>I developed new skills or improved existing skills (in research, use of ICT, etc.)</t>
  </si>
  <si>
    <t>I have a greater understanding of my community, its history and people</t>
  </si>
  <si>
    <t>Found the evidence I was looking for</t>
  </si>
  <si>
    <t>Learnt something unexpected</t>
  </si>
  <si>
    <t>Other</t>
  </si>
  <si>
    <t>Yes</t>
  </si>
  <si>
    <t>No</t>
  </si>
  <si>
    <t>Cases</t>
  </si>
  <si>
    <t>%</t>
  </si>
  <si>
    <t>Average</t>
  </si>
  <si>
    <t>Very statisfied</t>
  </si>
  <si>
    <t>Satisfied</t>
  </si>
  <si>
    <t>Neither</t>
  </si>
  <si>
    <t>Not very satisfied</t>
  </si>
  <si>
    <t>Not at all satisfied</t>
  </si>
  <si>
    <t>Very good</t>
  </si>
  <si>
    <t>Fairly good</t>
  </si>
  <si>
    <t>Poor</t>
  </si>
  <si>
    <t>Very poor</t>
  </si>
  <si>
    <t>Private transport, e.g. car, motorbike</t>
  </si>
  <si>
    <t>Public transport, e.g. bus, train, metro / tram</t>
  </si>
  <si>
    <t>On foot</t>
  </si>
  <si>
    <t>Bicycle</t>
  </si>
  <si>
    <t>Nothing else</t>
  </si>
  <si>
    <t xml:space="preserve">Using local hospitality, retail and / or transport facilities </t>
  </si>
  <si>
    <t>Visiting other places of interest</t>
  </si>
  <si>
    <t>N</t>
  </si>
  <si>
    <t>Cases (N)</t>
  </si>
  <si>
    <t>N.N</t>
  </si>
  <si>
    <t xml:space="preserve">13. What benefits have you experienced from using archives?  </t>
  </si>
  <si>
    <t>Agree</t>
  </si>
  <si>
    <t>Disagree</t>
  </si>
  <si>
    <t>Female</t>
  </si>
  <si>
    <t>Male</t>
  </si>
  <si>
    <t>Under 25</t>
  </si>
  <si>
    <t>25 to 44</t>
  </si>
  <si>
    <t>45 to 64</t>
  </si>
  <si>
    <t>65 to 74</t>
  </si>
  <si>
    <t>75 or over</t>
  </si>
  <si>
    <t>1st decile (most deprived)</t>
  </si>
  <si>
    <t>2nd decile</t>
  </si>
  <si>
    <t>3rd decile</t>
  </si>
  <si>
    <t>4th decile</t>
  </si>
  <si>
    <t>5th decile</t>
  </si>
  <si>
    <t>6th decile</t>
  </si>
  <si>
    <t>7th decile</t>
  </si>
  <si>
    <t>8th decile</t>
  </si>
  <si>
    <t>9th decile</t>
  </si>
  <si>
    <t>10th decile (least deprived)</t>
  </si>
  <si>
    <t>Africa</t>
  </si>
  <si>
    <t>Oceania</t>
  </si>
  <si>
    <t>Americas</t>
  </si>
  <si>
    <t>Asia</t>
  </si>
  <si>
    <t>Europe</t>
  </si>
  <si>
    <t>Asian</t>
  </si>
  <si>
    <t>Black</t>
  </si>
  <si>
    <t>Mixed</t>
  </si>
  <si>
    <t>White</t>
  </si>
  <si>
    <t>A lot</t>
  </si>
  <si>
    <t>A little</t>
  </si>
  <si>
    <t>None at all</t>
  </si>
  <si>
    <t>8. Please mark the archive overall out of 10</t>
  </si>
  <si>
    <t>4. Please mark our staff out of 10 for the following aspects; where 10 is the highest and 1 is the lowest score</t>
  </si>
  <si>
    <t>Code</t>
  </si>
  <si>
    <t>Name</t>
  </si>
  <si>
    <t>Region</t>
  </si>
  <si>
    <t>England</t>
  </si>
  <si>
    <t>Local</t>
  </si>
  <si>
    <t>Bristol Archives</t>
  </si>
  <si>
    <t>Berkshire Record Office</t>
  </si>
  <si>
    <t>University</t>
  </si>
  <si>
    <t>University of Reading, Special Collections and The Museum of English Rural Life</t>
  </si>
  <si>
    <t>Buckinghamshire Archives</t>
  </si>
  <si>
    <t>Cambridgeshire Archives</t>
  </si>
  <si>
    <t>Huntingdonshire Archives</t>
  </si>
  <si>
    <t>Cheshire Archives &amp; Local Studies</t>
  </si>
  <si>
    <t>Warrington Archives</t>
  </si>
  <si>
    <t>Kresen Kernow</t>
  </si>
  <si>
    <t>Cumbria Archive Centre: Carlisle</t>
  </si>
  <si>
    <t>Cumbria Archive Centre: Kendal</t>
  </si>
  <si>
    <t>Cumbria Archive Centre: Barrow In Furness</t>
  </si>
  <si>
    <t>Derbyshire Record Office</t>
  </si>
  <si>
    <t>South West Heritage Trust: Devon Archives &amp; Local Studies</t>
  </si>
  <si>
    <t>Dorset History Centre</t>
  </si>
  <si>
    <t>Gloucestershire Archives</t>
  </si>
  <si>
    <t>Hampshire Archives and Local Studies</t>
  </si>
  <si>
    <t>Herefordshire Archive Service</t>
  </si>
  <si>
    <t>Worcestershire Archive and Archaeology Service</t>
  </si>
  <si>
    <t>Hertfordshire Archives and Local Studies</t>
  </si>
  <si>
    <t>East Riding Archives and Local Studies</t>
  </si>
  <si>
    <t>Kent Archives Service</t>
  </si>
  <si>
    <t>Lancashire Archives</t>
  </si>
  <si>
    <t>The Record Office for Leicestershire, Leicester &amp; Rutland</t>
  </si>
  <si>
    <t>National</t>
  </si>
  <si>
    <t>Parliamentary Archives</t>
  </si>
  <si>
    <t>National Maritime Museum: The Caird Library and Archive</t>
  </si>
  <si>
    <t>The National Archives</t>
  </si>
  <si>
    <t>Science Museum Group: Science Museum Libray &amp; Archive, Wroughton</t>
  </si>
  <si>
    <t>Bexley Local Studies and Archive Centre</t>
  </si>
  <si>
    <t>Hackney Archives</t>
  </si>
  <si>
    <t>Southwark Archives</t>
  </si>
  <si>
    <t>Tower Hamlets Local History Library and Archives</t>
  </si>
  <si>
    <t>UCL, Senate House Library</t>
  </si>
  <si>
    <t>King's College London</t>
  </si>
  <si>
    <t>UCL, Special Collections, South Junction Reading Room</t>
  </si>
  <si>
    <t>Manchester Archives</t>
  </si>
  <si>
    <t>Bury Archives</t>
  </si>
  <si>
    <t>Manchester and Lancashire Family History Society</t>
  </si>
  <si>
    <t>Cadbury Research Library, University of Birmingham</t>
  </si>
  <si>
    <t>University of Warwick, Modern Records Centre</t>
  </si>
  <si>
    <t>Norfolk Record Office</t>
  </si>
  <si>
    <t>Northumberland Archives: QEII Country Park</t>
  </si>
  <si>
    <t>University of Nottingham, Manuscripts and Special Collections</t>
  </si>
  <si>
    <t>Oxfordshire History Centre</t>
  </si>
  <si>
    <t>Shropshire Archives</t>
  </si>
  <si>
    <t>South West Heritage Trust: Somerset Archives &amp; Local Studies</t>
  </si>
  <si>
    <t>Surrey History Centre</t>
  </si>
  <si>
    <t>West Sussex Record Office</t>
  </si>
  <si>
    <t>Tyne and Wear Archives</t>
  </si>
  <si>
    <t>Warwickshire County Record Office</t>
  </si>
  <si>
    <t>North Yorkshire County Record Office</t>
  </si>
  <si>
    <t>Explore York Libraries and Archives</t>
  </si>
  <si>
    <t>Borthwick Institute for Archives</t>
  </si>
  <si>
    <t>Rotherham Archives &amp; Local Studies</t>
  </si>
  <si>
    <t>West Yorkshire Archive Service, Wakefield</t>
  </si>
  <si>
    <t>West Yorkshire Archive Service, Bradford</t>
  </si>
  <si>
    <t>West Yorkshire Archive Service, Calderdale</t>
  </si>
  <si>
    <t>West Yorkshire Archive Service, Leeds</t>
  </si>
  <si>
    <t>University of Leeds, Special Collections</t>
  </si>
  <si>
    <t>Wales</t>
  </si>
  <si>
    <t>The National Library of Wales</t>
  </si>
  <si>
    <t>Carmarthenshire Archives</t>
  </si>
  <si>
    <t>Ceredigion Archives</t>
  </si>
  <si>
    <t>Pembrokeshire Archives and Local Studies</t>
  </si>
  <si>
    <t>Glamorgan Archives</t>
  </si>
  <si>
    <t>West Glamorgan Archive Service</t>
  </si>
  <si>
    <t>University of Swansea, Richard Burton Archives</t>
  </si>
  <si>
    <t>Gwent Archives</t>
  </si>
  <si>
    <t>Anglesey Archives</t>
  </si>
  <si>
    <t>University of Bangor</t>
  </si>
  <si>
    <t>Scotland</t>
  </si>
  <si>
    <t>University of St Andrews, University Collections</t>
  </si>
  <si>
    <t>University of Aberdeen, Special Collections Centre</t>
  </si>
  <si>
    <t>Highland Archive Service: Highland Archive Centre, Inverness</t>
  </si>
  <si>
    <t>National Library of Scotland</t>
  </si>
  <si>
    <t>Glasgow City Archives</t>
  </si>
  <si>
    <t>University of Glasgow, Archives &amp; Special Collections, Library Level 12</t>
  </si>
  <si>
    <t>University of Glasgow, Archives &amp; Special Collections, Thurso St</t>
  </si>
  <si>
    <t>Perth &amp; Kinross Archive</t>
  </si>
  <si>
    <t>Special</t>
  </si>
  <si>
    <t>Royal Archives</t>
  </si>
  <si>
    <t>Wandsworth Heritage Service</t>
  </si>
  <si>
    <t>London Borough of Croydon Archives</t>
  </si>
  <si>
    <t>Richmond upon Thames Local Studies Library and Archive</t>
  </si>
  <si>
    <t>UCL, Institute of Education</t>
  </si>
  <si>
    <t>Science Museum Group: Science and Industry Museum</t>
  </si>
  <si>
    <t>Historic Environment Scotland</t>
  </si>
  <si>
    <t>Science Museum Group: National Railway Museum Research Centre - Search Engine</t>
  </si>
  <si>
    <t>Northumberland Archives: Berwick Record Office</t>
  </si>
  <si>
    <t>The Postal Museum: the Royal Mail Archive</t>
  </si>
  <si>
    <t>National Museum of the Royal Navy</t>
  </si>
  <si>
    <t>Business</t>
  </si>
  <si>
    <t>Bank of England Archive</t>
  </si>
  <si>
    <t>Cardiff University, Special Collections and Archives</t>
  </si>
  <si>
    <t>Channel Islands</t>
  </si>
  <si>
    <t>Jersey Archive</t>
  </si>
  <si>
    <t>Historic England Archive</t>
  </si>
  <si>
    <t>Liverpool Record Office</t>
  </si>
  <si>
    <t>Highland Archive Service: The Nuclear and Caithness Archive</t>
  </si>
  <si>
    <t>The Keep Archive Centre</t>
  </si>
  <si>
    <t>Cumbria Archive Centre: Whitehaven</t>
  </si>
  <si>
    <t>Royal Commission On The Ancient And Historical Monuments Of Wales</t>
  </si>
  <si>
    <t>Conwy Archive Service</t>
  </si>
  <si>
    <t>Kingston University, Archives and Special Collections</t>
  </si>
  <si>
    <t>The Paul Mellon Centre</t>
  </si>
  <si>
    <t>Archives &amp; Collections, Library of Birmingham</t>
  </si>
  <si>
    <t>Highland Archive Service: Lochaber Archive Centre</t>
  </si>
  <si>
    <t>Highland Archive Service: Skye and Lochalsh Archive Centre</t>
  </si>
  <si>
    <t>Science Museum Group: Science Museum Libray &amp; Archive, London</t>
  </si>
  <si>
    <t>Northern Ireland</t>
  </si>
  <si>
    <t>Derry City and Strabane District Council, Tower Museum</t>
  </si>
  <si>
    <t>University of Glasgow, Library Research Annexe</t>
  </si>
  <si>
    <t>Country</t>
  </si>
  <si>
    <t>Type</t>
  </si>
  <si>
    <t>E12000009</t>
  </si>
  <si>
    <t>South West</t>
  </si>
  <si>
    <t>E12000006</t>
  </si>
  <si>
    <t>East of England</t>
  </si>
  <si>
    <t>E12000008</t>
  </si>
  <si>
    <t>South East</t>
  </si>
  <si>
    <t>E12000002</t>
  </si>
  <si>
    <t>North West</t>
  </si>
  <si>
    <t>E12000001</t>
  </si>
  <si>
    <t>North East</t>
  </si>
  <si>
    <t>E12000004</t>
  </si>
  <si>
    <t>East Midlands</t>
  </si>
  <si>
    <t>E12000005</t>
  </si>
  <si>
    <t>West Midlands</t>
  </si>
  <si>
    <t>E12000003</t>
  </si>
  <si>
    <t>Yorkshire and The Humber</t>
  </si>
  <si>
    <t>E12000007</t>
  </si>
  <si>
    <t>London</t>
  </si>
  <si>
    <t>REGION_NAME</t>
  </si>
  <si>
    <t>Archive details:</t>
  </si>
  <si>
    <t>TOTAL</t>
  </si>
  <si>
    <t>(a) Is this your first visit to any archive?</t>
  </si>
  <si>
    <t>Average age</t>
  </si>
  <si>
    <t>18. (a) If you are a UK resident, what is your postcode? 
By Index of Multiple Deprivation (IMD)</t>
  </si>
  <si>
    <t xml:space="preserve">	(b) Regarding Welsh language provision, how satisfied are you with the following services? 
[For users of Welsh archives only]</t>
  </si>
  <si>
    <t>(b) If not a UK resident, what is your country of residence? 
By region</t>
  </si>
  <si>
    <t>Very satisfied</t>
  </si>
  <si>
    <t>London Metropolitan Archives</t>
  </si>
  <si>
    <t>Plymouth Archives, The Box</t>
  </si>
  <si>
    <t>NATIONAL</t>
  </si>
  <si>
    <t>&gt;0</t>
  </si>
  <si>
    <t>Selected</t>
  </si>
  <si>
    <t>2nd quintile</t>
  </si>
  <si>
    <t>3rd quintile</t>
  </si>
  <si>
    <t>4th quintile</t>
  </si>
  <si>
    <t>5th quintile (least deprived)</t>
  </si>
  <si>
    <t>1st quintile (most deprived)</t>
  </si>
  <si>
    <t>..</t>
  </si>
  <si>
    <t>Heritage Quay - University of Huddersfield Archives</t>
  </si>
  <si>
    <t>North East Wales Archives (Hawarden)</t>
  </si>
  <si>
    <t>North East Wales Archives (Ruthin)</t>
  </si>
  <si>
    <t>ranked on combined quintiles</t>
  </si>
  <si>
    <t>4. Please mark our staff out of 10 for the following aspects</t>
  </si>
  <si>
    <t>_select archive</t>
  </si>
  <si>
    <t>(b) Regarding Welsh language provision, how satisfied are you with the following services? [For users of Welsh archives only]</t>
  </si>
  <si>
    <t>18. (a) If you are a UK resident, what is your postcode? By Index of Multiple Deprivation (IMD)</t>
  </si>
  <si>
    <t>(b) If not a UK resident, what is your country of residence? By region</t>
  </si>
  <si>
    <r>
      <t xml:space="preserve">(a) Is this your first visit to </t>
    </r>
    <r>
      <rPr>
        <b/>
        <u/>
        <sz val="11"/>
        <color rgb="FF000000"/>
        <rFont val="Georgia"/>
        <family val="1"/>
      </rPr>
      <t>any</t>
    </r>
    <r>
      <rPr>
        <b/>
        <sz val="11"/>
        <color rgb="FF000000"/>
        <rFont val="Georgia"/>
        <family val="1"/>
      </rPr>
      <t xml:space="preserve"> archive?</t>
    </r>
  </si>
  <si>
    <t>X</t>
  </si>
  <si>
    <t>This workbook contains the following sections / tabs:</t>
  </si>
  <si>
    <t>Archive Results</t>
  </si>
  <si>
    <t>Individual Report</t>
  </si>
  <si>
    <t>Comparison Selection</t>
  </si>
  <si>
    <t>Comparison Report</t>
  </si>
  <si>
    <t xml:space="preserve">Click on the drop-down arrow to the right of the green box, at the top of the page, to view the list of archives presented in alphabetical order. Once a selection has been made the tables and charts will automatically populate / fill. However, do note that as you scroll down it may take a while for the charts to display. Whilst it is not possible to edit the tables within this document you will be able to do so if you copy and paste a table into an alternative program, eg Word. However, you can make changes to the charts, ie change the chart type from column (vertical) to clustered or stacked bar (horizontal). </t>
  </si>
  <si>
    <t xml:space="preserve">A list of the 111 participating archives is shown here. You can, if you so wish compare yourself all other listed archives or a narrower selection. By default the only item selected is that for the TOTAL, which you can optionally change by removing the X. To add to the list simply insert an X in each row for each archive you want to compare yourself against - using the filters may assist in narrowing the options you can see. However, if a hidden row is selected it will still appear in the comparison report!  </t>
  </si>
  <si>
    <t>20. (b) If yes, have you experienced any barriers to accessing this service?</t>
  </si>
  <si>
    <t>Using the filters, where provided;</t>
  </si>
  <si>
    <t>Changing the fonts, currently a combination of Georgia and Arial, and font sizes to something of your own choice; and</t>
  </si>
  <si>
    <t>On this page you can see the results for all questions for all participating archives. You will note that there are some filters on the items in the first 5 columns. You can use these filters to select an individual archive, ie your own, or a number of archives according to one or more specifications, eg archives in Wales where the type is Local. However, do note that you will not be able to use the sort function.</t>
  </si>
  <si>
    <t>Changing the height and width of the rows and columns.</t>
  </si>
  <si>
    <t>Whilst all sections / tabs have restricted access, ie they are protected, you can still make the following changes:</t>
  </si>
  <si>
    <t>Science Museum Group: Science Museum Library &amp; Archive, Wroughton</t>
  </si>
  <si>
    <t>Science Museum Group: Science Museum Library &amp; Archive, London</t>
  </si>
  <si>
    <t>The Postal Museum: The Royal Mail Archive</t>
  </si>
  <si>
    <t>A series of tables and charts are presented for all questions realting to the archives selected. The tables and charts are listed in the order of asking, ie from Q1 through to Q20b. You should note that in some cases not all the chosen archives will be listed, simply because they had zero responses to a particular question. This is especially true for questions that require filtering. For example, if a respondent answered 'No' to the Q20a then any response to Q20b is automatically invalidated / ignored.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</si>
</sst>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19" x14ac:knownFonts="1">
    <font>
      <sz val="11"/>
      <color theme="1"/>
      <name val="Calibri"/>
      <family val="2"/>
      <scheme val="minor"/>
    </font>
    <font>
      <sz val="11"/>
      <color theme="1"/>
      <name val="Calibri"/>
      <family val="2"/>
      <scheme val="minor"/>
    </font>
    <font>
      <sz val="10"/>
      <color theme="1"/>
      <name val="Arial"/>
      <family val="2"/>
    </font>
    <font>
      <b/>
      <sz val="10"/>
      <color theme="1"/>
      <name val="Georgia"/>
      <family val="1"/>
    </font>
    <font>
      <b/>
      <sz val="11"/>
      <color theme="1"/>
      <name val="Georgia"/>
      <family val="1"/>
    </font>
    <font>
      <b/>
      <sz val="10"/>
      <color theme="6" tint="-0.499984740745262"/>
      <name val="Georgia"/>
      <family val="1"/>
    </font>
    <font>
      <sz val="10"/>
      <color theme="1"/>
      <name val="Georgia"/>
      <family val="1"/>
    </font>
    <font>
      <b/>
      <sz val="10"/>
      <color theme="1"/>
      <name val="Arial"/>
      <family val="2"/>
    </font>
    <font>
      <sz val="10"/>
      <color theme="0"/>
      <name val="Arial"/>
      <family val="2"/>
    </font>
    <font>
      <i/>
      <sz val="10"/>
      <color theme="0"/>
      <name val="Arial"/>
      <family val="2"/>
    </font>
    <font>
      <sz val="8"/>
      <color theme="1"/>
      <name val="Arial"/>
      <family val="2"/>
    </font>
    <font>
      <sz val="8"/>
      <color theme="2" tint="-0.499984740745262"/>
      <name val="Arial"/>
      <family val="2"/>
    </font>
    <font>
      <sz val="11"/>
      <color theme="1"/>
      <name val="Arial"/>
      <family val="2"/>
    </font>
    <font>
      <sz val="11"/>
      <color theme="1"/>
      <name val="Georgia"/>
      <family val="1"/>
    </font>
    <font>
      <sz val="8"/>
      <color theme="1" tint="0.499984740745262"/>
      <name val="Arial"/>
      <family val="2"/>
    </font>
    <font>
      <b/>
      <u/>
      <sz val="11"/>
      <color rgb="FF000000"/>
      <name val="Georgia"/>
      <family val="1"/>
    </font>
    <font>
      <b/>
      <sz val="11"/>
      <color rgb="FF000000"/>
      <name val="Georgia"/>
      <family val="1"/>
    </font>
    <font>
      <u/>
      <sz val="11"/>
      <color theme="10"/>
      <name val="Calibri"/>
      <family val="2"/>
      <scheme val="minor"/>
    </font>
    <font>
      <u/>
      <sz val="11"/>
      <color theme="10"/>
      <name val="Georgia"/>
      <family val="1"/>
    </font>
  </fonts>
  <fills count="7">
    <fill>
      <patternFill patternType="none"/>
    </fill>
    <fill>
      <patternFill patternType="gray125"/>
    </fill>
    <fill>
      <patternFill patternType="solid">
        <fgColor theme="1"/>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9"/>
        <bgColor indexed="64"/>
      </patternFill>
    </fill>
    <fill>
      <patternFill patternType="solid">
        <fgColor rgb="FFFFFF00"/>
        <bgColor indexed="64"/>
      </patternFill>
    </fill>
  </fills>
  <borders count="5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right/>
      <top/>
      <bottom style="hair">
        <color auto="1"/>
      </bottom>
      <diagonal/>
    </border>
    <border>
      <left/>
      <right/>
      <top style="hair">
        <color auto="1"/>
      </top>
      <bottom style="hair">
        <color auto="1"/>
      </bottom>
      <diagonal/>
    </border>
    <border>
      <left/>
      <right/>
      <top style="hair">
        <color auto="1"/>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style="hair">
        <color indexed="64"/>
      </right>
      <top style="hair">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auto="1"/>
      </left>
      <right style="medium">
        <color indexed="64"/>
      </right>
      <top style="hair">
        <color auto="1"/>
      </top>
      <bottom/>
      <diagonal/>
    </border>
    <border>
      <left style="hair">
        <color indexed="64"/>
      </left>
      <right/>
      <top style="hair">
        <color indexed="64"/>
      </top>
      <bottom style="medium">
        <color indexed="64"/>
      </bottom>
      <diagonal/>
    </border>
    <border>
      <left style="medium">
        <color indexed="64"/>
      </left>
      <right style="hair">
        <color indexed="64"/>
      </right>
      <top/>
      <bottom/>
      <diagonal/>
    </border>
    <border>
      <left style="hair">
        <color auto="1"/>
      </left>
      <right style="hair">
        <color auto="1"/>
      </right>
      <top/>
      <bottom/>
      <diagonal/>
    </border>
    <border>
      <left style="hair">
        <color indexed="64"/>
      </left>
      <right style="medium">
        <color indexed="64"/>
      </right>
      <top/>
      <bottom/>
      <diagonal/>
    </border>
    <border>
      <left/>
      <right style="hair">
        <color auto="1"/>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hair">
        <color auto="1"/>
      </left>
      <right/>
      <top/>
      <bottom/>
      <diagonal/>
    </border>
  </borders>
  <cellStyleXfs count="3">
    <xf numFmtId="0" fontId="0" fillId="0" borderId="0"/>
    <xf numFmtId="9" fontId="1" fillId="0" borderId="0" applyFont="0" applyFill="0" applyBorder="0" applyAlignment="0" applyProtection="0"/>
    <xf numFmtId="0" fontId="17" fillId="0" borderId="0" applyNumberFormat="0" applyFill="0" applyBorder="0" applyAlignment="0" applyProtection="0"/>
  </cellStyleXfs>
  <cellXfs count="246">
    <xf numFmtId="0" fontId="0" fillId="0" borderId="0" xfId="0"/>
    <xf numFmtId="0" fontId="0" fillId="0" borderId="0" xfId="0" applyAlignment="1">
      <alignment horizontal="center"/>
    </xf>
    <xf numFmtId="0" fontId="0" fillId="0" borderId="0" xfId="0" applyAlignment="1">
      <alignment horizontal="center" vertical="center" wrapText="1"/>
    </xf>
    <xf numFmtId="0" fontId="4" fillId="0" borderId="0" xfId="0" applyFont="1" applyAlignment="1">
      <alignment vertical="center"/>
    </xf>
    <xf numFmtId="0" fontId="0" fillId="0" borderId="0" xfId="0" applyAlignment="1">
      <alignment horizontal="left" vertical="center"/>
    </xf>
    <xf numFmtId="0" fontId="0" fillId="0" borderId="0" xfId="0"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right" vertical="center" indent="1"/>
    </xf>
    <xf numFmtId="0" fontId="6" fillId="0" borderId="0" xfId="0" applyFont="1" applyAlignment="1">
      <alignment horizontal="right" vertical="center" indent="1"/>
    </xf>
    <xf numFmtId="0" fontId="2" fillId="0" borderId="0" xfId="0" applyFont="1" applyAlignment="1" applyProtection="1">
      <alignment vertical="center"/>
      <protection hidden="1"/>
    </xf>
    <xf numFmtId="0" fontId="2" fillId="0" borderId="0" xfId="0" applyFont="1" applyAlignment="1" applyProtection="1">
      <alignment horizontal="right" vertical="center" indent="1"/>
      <protection hidden="1"/>
    </xf>
    <xf numFmtId="0" fontId="7" fillId="0" borderId="0" xfId="0" applyFont="1" applyAlignment="1">
      <alignment horizontal="right" vertical="center" wrapText="1" indent="1"/>
    </xf>
    <xf numFmtId="0" fontId="3" fillId="0" borderId="0" xfId="0" applyFont="1" applyAlignment="1">
      <alignment horizontal="right" vertical="center" wrapText="1" indent="1"/>
    </xf>
    <xf numFmtId="0" fontId="2" fillId="0" borderId="0" xfId="0" applyFont="1" applyAlignment="1">
      <alignment horizontal="right" vertical="center" wrapText="1" indent="1"/>
    </xf>
    <xf numFmtId="0" fontId="6" fillId="0" borderId="0" xfId="0" applyFont="1" applyAlignment="1">
      <alignment horizontal="right" vertical="center" wrapText="1" indent="1"/>
    </xf>
    <xf numFmtId="0" fontId="8" fillId="0" borderId="0" xfId="0" applyFont="1" applyAlignment="1" applyProtection="1">
      <alignment vertical="center"/>
      <protection hidden="1"/>
    </xf>
    <xf numFmtId="165" fontId="9" fillId="0" borderId="0" xfId="0" applyNumberFormat="1" applyFont="1" applyAlignment="1" applyProtection="1">
      <alignment horizontal="center" vertical="center"/>
      <protection hidden="1"/>
    </xf>
    <xf numFmtId="0" fontId="9" fillId="0" borderId="0" xfId="0" applyFont="1" applyAlignment="1" applyProtection="1">
      <alignment horizontal="center" vertical="center"/>
      <protection hidden="1"/>
    </xf>
    <xf numFmtId="0" fontId="7" fillId="0" borderId="0" xfId="0" applyFont="1" applyAlignment="1" applyProtection="1">
      <alignment horizontal="right" vertical="center" wrapText="1" indent="1"/>
      <protection hidden="1"/>
    </xf>
    <xf numFmtId="0" fontId="2" fillId="0" borderId="0" xfId="0" applyFont="1" applyAlignment="1" applyProtection="1">
      <alignment horizontal="right" vertical="center" wrapText="1" indent="1"/>
      <protection hidden="1"/>
    </xf>
    <xf numFmtId="0" fontId="3" fillId="0" borderId="0" xfId="0" applyFont="1" applyAlignment="1" applyProtection="1">
      <alignment horizontal="right" vertical="center" wrapText="1" indent="1"/>
      <protection hidden="1"/>
    </xf>
    <xf numFmtId="0" fontId="6" fillId="0" borderId="0" xfId="0" applyFont="1" applyAlignment="1" applyProtection="1">
      <alignment horizontal="right" vertical="center" wrapText="1" indent="1"/>
      <protection hidden="1"/>
    </xf>
    <xf numFmtId="0" fontId="6" fillId="0" borderId="9" xfId="0" applyFont="1" applyBorder="1" applyAlignment="1" applyProtection="1">
      <alignment horizontal="right" vertical="center" indent="1"/>
      <protection hidden="1"/>
    </xf>
    <xf numFmtId="0" fontId="2" fillId="0" borderId="10" xfId="0" applyFont="1" applyBorder="1" applyAlignment="1" applyProtection="1">
      <alignment horizontal="center" vertical="center"/>
      <protection hidden="1"/>
    </xf>
    <xf numFmtId="9" fontId="2" fillId="0" borderId="11" xfId="1" applyFont="1" applyBorder="1" applyAlignment="1" applyProtection="1">
      <alignment vertical="center"/>
      <protection hidden="1"/>
    </xf>
    <xf numFmtId="0" fontId="6" fillId="0" borderId="12" xfId="0" applyFont="1" applyBorder="1" applyAlignment="1" applyProtection="1">
      <alignment horizontal="right" vertical="center" indent="1"/>
      <protection hidden="1"/>
    </xf>
    <xf numFmtId="0" fontId="2" fillId="0" borderId="13" xfId="0" applyFont="1" applyBorder="1" applyAlignment="1" applyProtection="1">
      <alignment horizontal="center" vertical="center"/>
      <protection hidden="1"/>
    </xf>
    <xf numFmtId="9" fontId="2" fillId="0" borderId="14" xfId="1" applyFont="1" applyBorder="1" applyAlignment="1" applyProtection="1">
      <alignment vertical="center"/>
      <protection hidden="1"/>
    </xf>
    <xf numFmtId="0" fontId="6" fillId="0" borderId="15" xfId="0" applyFont="1" applyBorder="1" applyAlignment="1" applyProtection="1">
      <alignment horizontal="right" vertical="center" indent="1"/>
      <protection hidden="1"/>
    </xf>
    <xf numFmtId="0" fontId="2" fillId="0" borderId="16" xfId="0" applyFont="1" applyBorder="1" applyAlignment="1" applyProtection="1">
      <alignment horizontal="center" vertical="center"/>
      <protection hidden="1"/>
    </xf>
    <xf numFmtId="3" fontId="2" fillId="0" borderId="17" xfId="1" applyNumberFormat="1" applyFont="1" applyBorder="1" applyAlignment="1" applyProtection="1">
      <alignment vertical="center"/>
      <protection hidden="1"/>
    </xf>
    <xf numFmtId="0" fontId="6" fillId="0" borderId="0" xfId="0" applyFont="1" applyAlignment="1" applyProtection="1">
      <alignment horizontal="right" vertical="center" indent="1"/>
      <protection hidden="1"/>
    </xf>
    <xf numFmtId="0" fontId="2" fillId="0" borderId="0" xfId="0" applyFont="1" applyAlignment="1" applyProtection="1">
      <alignment horizontal="center" vertical="center"/>
      <protection hidden="1"/>
    </xf>
    <xf numFmtId="3" fontId="2" fillId="0" borderId="0" xfId="1" applyNumberFormat="1" applyFont="1" applyAlignment="1" applyProtection="1">
      <alignment vertical="center"/>
      <protection hidden="1"/>
    </xf>
    <xf numFmtId="0" fontId="6" fillId="0" borderId="18" xfId="0" applyFont="1" applyBorder="1" applyAlignment="1" applyProtection="1">
      <alignment horizontal="right" vertical="center" wrapText="1" indent="1"/>
      <protection hidden="1"/>
    </xf>
    <xf numFmtId="0" fontId="6" fillId="0" borderId="19" xfId="0" applyFont="1" applyBorder="1" applyAlignment="1" applyProtection="1">
      <alignment horizontal="right" vertical="center" wrapText="1" indent="1"/>
      <protection hidden="1"/>
    </xf>
    <xf numFmtId="0" fontId="6" fillId="0" borderId="20" xfId="0" applyFont="1" applyBorder="1" applyAlignment="1" applyProtection="1">
      <alignment horizontal="right" vertical="center" wrapText="1" indent="1"/>
      <protection hidden="1"/>
    </xf>
    <xf numFmtId="165" fontId="2" fillId="0" borderId="11" xfId="1" applyNumberFormat="1" applyFont="1" applyBorder="1" applyAlignment="1" applyProtection="1">
      <alignment vertical="center"/>
      <protection hidden="1"/>
    </xf>
    <xf numFmtId="3" fontId="2" fillId="0" borderId="14" xfId="1" applyNumberFormat="1" applyFont="1" applyBorder="1" applyAlignment="1" applyProtection="1">
      <alignment vertical="center"/>
      <protection hidden="1"/>
    </xf>
    <xf numFmtId="165" fontId="2" fillId="0" borderId="14" xfId="1" applyNumberFormat="1" applyFont="1" applyBorder="1" applyAlignment="1" applyProtection="1">
      <alignment vertical="center"/>
      <protection hidden="1"/>
    </xf>
    <xf numFmtId="164" fontId="2" fillId="0" borderId="11" xfId="1" applyNumberFormat="1" applyFont="1" applyBorder="1" applyAlignment="1" applyProtection="1">
      <alignment vertical="center"/>
      <protection hidden="1"/>
    </xf>
    <xf numFmtId="165" fontId="2" fillId="0" borderId="0" xfId="0" applyNumberFormat="1" applyFont="1" applyAlignment="1" applyProtection="1">
      <alignment vertical="center"/>
      <protection hidden="1"/>
    </xf>
    <xf numFmtId="0" fontId="10" fillId="0" borderId="0" xfId="0" applyFont="1" applyAlignment="1">
      <alignment vertical="center" wrapText="1"/>
    </xf>
    <xf numFmtId="0" fontId="10" fillId="0" borderId="4" xfId="0" applyFont="1" applyBorder="1" applyAlignment="1">
      <alignment vertical="center" wrapText="1"/>
    </xf>
    <xf numFmtId="0" fontId="10" fillId="0" borderId="0" xfId="0" applyFont="1" applyAlignment="1">
      <alignment horizontal="center" vertical="center" wrapText="1"/>
    </xf>
    <xf numFmtId="0" fontId="10" fillId="0" borderId="0" xfId="0" applyFont="1" applyAlignment="1">
      <alignment horizontal="center" vertical="center"/>
    </xf>
    <xf numFmtId="0" fontId="10" fillId="0" borderId="5"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wrapText="1"/>
    </xf>
    <xf numFmtId="0" fontId="10" fillId="0" borderId="0" xfId="0" applyFont="1" applyAlignment="1">
      <alignment vertical="center"/>
    </xf>
    <xf numFmtId="166" fontId="10" fillId="0" borderId="0" xfId="0" applyNumberFormat="1" applyFont="1" applyAlignment="1">
      <alignment horizontal="center" vertical="center" wrapText="1"/>
    </xf>
    <xf numFmtId="166" fontId="10" fillId="0" borderId="4" xfId="0" applyNumberFormat="1" applyFont="1" applyBorder="1" applyAlignment="1">
      <alignment horizontal="center" vertical="center" wrapText="1"/>
    </xf>
    <xf numFmtId="0" fontId="10" fillId="4" borderId="0" xfId="0" applyFont="1" applyFill="1" applyAlignment="1">
      <alignment horizontal="center" vertical="center" wrapText="1"/>
    </xf>
    <xf numFmtId="9" fontId="10" fillId="0" borderId="0" xfId="1" applyFont="1" applyBorder="1" applyAlignment="1">
      <alignment horizontal="center" vertical="center" wrapText="1"/>
    </xf>
    <xf numFmtId="0" fontId="10" fillId="5" borderId="5" xfId="0" applyFont="1" applyFill="1" applyBorder="1" applyAlignment="1">
      <alignment horizontal="center" vertical="center" wrapText="1"/>
    </xf>
    <xf numFmtId="9" fontId="10" fillId="0" borderId="0" xfId="1" applyFont="1" applyAlignment="1">
      <alignment horizontal="center" vertical="center" wrapText="1"/>
    </xf>
    <xf numFmtId="9" fontId="10" fillId="0" borderId="0" xfId="1" applyFont="1" applyAlignment="1">
      <alignment horizontal="center" vertical="center"/>
    </xf>
    <xf numFmtId="166" fontId="10" fillId="0" borderId="6" xfId="0" applyNumberFormat="1" applyFont="1" applyBorder="1" applyAlignment="1">
      <alignment horizontal="center" vertical="center" wrapText="1"/>
    </xf>
    <xf numFmtId="166" fontId="10" fillId="0" borderId="7" xfId="0" applyNumberFormat="1" applyFont="1" applyBorder="1" applyAlignment="1">
      <alignment horizontal="center" vertical="center" wrapText="1"/>
    </xf>
    <xf numFmtId="0" fontId="10" fillId="0" borderId="7" xfId="0" applyFont="1" applyBorder="1" applyAlignment="1">
      <alignment horizontal="center" vertical="center" wrapText="1"/>
    </xf>
    <xf numFmtId="0" fontId="10" fillId="4" borderId="7" xfId="0" applyFont="1" applyFill="1" applyBorder="1" applyAlignment="1">
      <alignment horizontal="center" vertical="center" wrapText="1"/>
    </xf>
    <xf numFmtId="0" fontId="10" fillId="0" borderId="7" xfId="0" applyFont="1" applyBorder="1" applyAlignment="1">
      <alignment vertical="center"/>
    </xf>
    <xf numFmtId="9" fontId="10" fillId="0" borderId="7" xfId="1" applyFont="1" applyBorder="1" applyAlignment="1">
      <alignment horizontal="center" vertical="center" wrapText="1"/>
    </xf>
    <xf numFmtId="0" fontId="10" fillId="5" borderId="8" xfId="0" applyFont="1" applyFill="1" applyBorder="1" applyAlignment="1">
      <alignment horizontal="center" vertical="center" wrapText="1"/>
    </xf>
    <xf numFmtId="0" fontId="10" fillId="0" borderId="6" xfId="0" applyFont="1" applyBorder="1" applyAlignment="1">
      <alignment horizontal="center" vertical="center" wrapText="1"/>
    </xf>
    <xf numFmtId="9" fontId="10" fillId="5" borderId="5" xfId="0" applyNumberFormat="1" applyFont="1" applyFill="1" applyBorder="1" applyAlignment="1">
      <alignment horizontal="center" vertical="center" wrapText="1"/>
    </xf>
    <xf numFmtId="0" fontId="10" fillId="5" borderId="0" xfId="0" applyFont="1" applyFill="1" applyAlignment="1">
      <alignment vertical="center" wrapText="1"/>
    </xf>
    <xf numFmtId="0" fontId="10" fillId="5" borderId="0" xfId="0" applyFont="1" applyFill="1" applyAlignment="1">
      <alignment horizontal="center" vertical="center" wrapText="1"/>
    </xf>
    <xf numFmtId="166" fontId="10" fillId="0" borderId="0" xfId="0" applyNumberFormat="1" applyFont="1" applyAlignment="1">
      <alignment horizontal="center" vertical="center"/>
    </xf>
    <xf numFmtId="166" fontId="10" fillId="0" borderId="4" xfId="0" applyNumberFormat="1" applyFont="1" applyBorder="1" applyAlignment="1">
      <alignment horizontal="center" vertical="center"/>
    </xf>
    <xf numFmtId="0" fontId="10" fillId="4" borderId="0" xfId="0" applyFont="1" applyFill="1" applyAlignment="1">
      <alignment horizontal="center" vertical="center"/>
    </xf>
    <xf numFmtId="9" fontId="10" fillId="0" borderId="0" xfId="1" applyFont="1" applyBorder="1" applyAlignment="1">
      <alignment horizontal="center" vertical="center"/>
    </xf>
    <xf numFmtId="0" fontId="10" fillId="5" borderId="5" xfId="0" applyFont="1" applyFill="1" applyBorder="1" applyAlignment="1">
      <alignment horizontal="center" vertical="center"/>
    </xf>
    <xf numFmtId="0" fontId="10" fillId="0" borderId="4" xfId="0" applyFont="1" applyBorder="1" applyAlignment="1">
      <alignment horizontal="center" vertical="center"/>
    </xf>
    <xf numFmtId="9" fontId="10" fillId="5" borderId="5" xfId="0" applyNumberFormat="1" applyFont="1" applyFill="1" applyBorder="1" applyAlignment="1">
      <alignment horizontal="center" vertical="center"/>
    </xf>
    <xf numFmtId="0" fontId="10" fillId="0" borderId="0" xfId="1" applyNumberFormat="1" applyFont="1"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12" fillId="0" borderId="0" xfId="0" applyFont="1" applyAlignment="1">
      <alignment vertical="center"/>
    </xf>
    <xf numFmtId="9" fontId="12" fillId="0" borderId="0" xfId="1" applyFont="1" applyAlignment="1">
      <alignment horizontal="center" vertical="center"/>
    </xf>
    <xf numFmtId="0" fontId="13" fillId="0" borderId="0" xfId="0" applyFont="1" applyAlignment="1">
      <alignment horizontal="left" vertical="center" indent="1"/>
    </xf>
    <xf numFmtId="0" fontId="14" fillId="0" borderId="0" xfId="0" applyFont="1" applyAlignment="1">
      <alignment horizontal="left" vertical="center"/>
    </xf>
    <xf numFmtId="0" fontId="11" fillId="0" borderId="0" xfId="0" quotePrefix="1" applyFont="1" applyAlignment="1">
      <alignment horizontal="center" vertical="center"/>
    </xf>
    <xf numFmtId="1" fontId="10" fillId="6" borderId="0" xfId="0" applyNumberFormat="1" applyFont="1" applyFill="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left" vertical="center" indent="1"/>
    </xf>
    <xf numFmtId="0" fontId="4" fillId="0" borderId="11"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left" vertical="center" indent="1"/>
    </xf>
    <xf numFmtId="0" fontId="13" fillId="0" borderId="15" xfId="0" applyFont="1" applyBorder="1" applyAlignment="1">
      <alignment horizontal="center" vertical="center"/>
    </xf>
    <xf numFmtId="0" fontId="13" fillId="0" borderId="16" xfId="0" applyFont="1" applyBorder="1" applyAlignment="1">
      <alignment horizontal="left" vertical="center" indent="1"/>
    </xf>
    <xf numFmtId="0" fontId="10" fillId="0" borderId="14" xfId="0" applyFont="1" applyBorder="1" applyAlignment="1" applyProtection="1">
      <alignment horizontal="center" vertical="center" wrapText="1"/>
      <protection locked="0"/>
    </xf>
    <xf numFmtId="0" fontId="4" fillId="0" borderId="0" xfId="0" applyFont="1" applyAlignment="1">
      <alignment wrapText="1"/>
    </xf>
    <xf numFmtId="0" fontId="4" fillId="0" borderId="7" xfId="0" applyFont="1" applyBorder="1" applyAlignment="1">
      <alignment horizontal="center" vertical="center" wrapText="1"/>
    </xf>
    <xf numFmtId="0" fontId="4" fillId="0" borderId="0" xfId="0" applyFont="1" applyAlignment="1">
      <alignment vertical="center" wrapText="1"/>
    </xf>
    <xf numFmtId="0" fontId="13" fillId="0" borderId="0" xfId="0" applyFont="1"/>
    <xf numFmtId="0" fontId="13" fillId="0" borderId="0" xfId="0" applyFont="1" applyAlignment="1">
      <alignment horizontal="right" vertical="center" indent="1"/>
    </xf>
    <xf numFmtId="0" fontId="18" fillId="0" borderId="0" xfId="2" applyFont="1" applyAlignment="1">
      <alignment horizontal="right" vertical="center" indent="1"/>
    </xf>
    <xf numFmtId="0" fontId="13" fillId="0" borderId="0" xfId="0" applyFont="1" applyAlignment="1">
      <alignment wrapText="1"/>
    </xf>
    <xf numFmtId="0" fontId="13" fillId="0" borderId="0" xfId="0" applyFont="1" applyAlignment="1">
      <alignment vertical="center" wrapText="1"/>
    </xf>
    <xf numFmtId="0" fontId="13" fillId="0" borderId="0" xfId="0" applyFont="1" applyAlignment="1">
      <alignment vertical="center"/>
    </xf>
    <xf numFmtId="0" fontId="13" fillId="0" borderId="0" xfId="0" applyFont="1" applyAlignment="1">
      <alignment horizontal="right" vertical="center"/>
    </xf>
    <xf numFmtId="0" fontId="4" fillId="0" borderId="13" xfId="0" applyFont="1" applyBorder="1" applyAlignment="1">
      <alignment horizontal="left" vertical="center" indent="1"/>
    </xf>
    <xf numFmtId="1" fontId="4" fillId="0" borderId="13" xfId="0" applyNumberFormat="1" applyFont="1" applyBorder="1" applyAlignment="1">
      <alignment horizontal="center" vertical="center"/>
    </xf>
    <xf numFmtId="0" fontId="4" fillId="0" borderId="12" xfId="0" applyFont="1" applyBorder="1" applyAlignment="1">
      <alignment horizontal="left" vertical="center" indent="1"/>
    </xf>
    <xf numFmtId="0" fontId="4" fillId="0" borderId="15" xfId="0" applyFont="1" applyBorder="1" applyAlignment="1">
      <alignment horizontal="left" vertical="center" indent="1"/>
    </xf>
    <xf numFmtId="0" fontId="4" fillId="0" borderId="16" xfId="0" applyFont="1" applyBorder="1" applyAlignment="1">
      <alignment horizontal="left" vertical="center" indent="1"/>
    </xf>
    <xf numFmtId="0" fontId="4" fillId="2" borderId="16" xfId="0" applyFont="1" applyFill="1" applyBorder="1" applyAlignment="1">
      <alignment horizontal="left" vertical="center" indent="1"/>
    </xf>
    <xf numFmtId="0" fontId="4" fillId="2" borderId="16" xfId="0" applyFont="1" applyFill="1" applyBorder="1" applyAlignment="1">
      <alignment vertical="center"/>
    </xf>
    <xf numFmtId="0" fontId="4" fillId="0" borderId="9" xfId="0" applyFont="1" applyBorder="1" applyAlignment="1">
      <alignment horizontal="left" vertical="center" indent="1"/>
    </xf>
    <xf numFmtId="1" fontId="4" fillId="0" borderId="10" xfId="0" applyNumberFormat="1" applyFont="1" applyBorder="1" applyAlignment="1">
      <alignment horizontal="center" vertical="center"/>
    </xf>
    <xf numFmtId="0" fontId="4" fillId="0" borderId="45" xfId="0" applyFont="1" applyBorder="1" applyAlignment="1">
      <alignment horizontal="left" vertical="center" indent="1"/>
    </xf>
    <xf numFmtId="0" fontId="4" fillId="0" borderId="46" xfId="0" applyFont="1" applyBorder="1" applyAlignment="1">
      <alignment horizontal="left" vertical="center" indent="1"/>
    </xf>
    <xf numFmtId="0" fontId="4" fillId="0" borderId="46" xfId="0" applyFont="1" applyBorder="1" applyAlignment="1">
      <alignment horizontal="center" vertical="center"/>
    </xf>
    <xf numFmtId="0" fontId="4" fillId="0" borderId="45" xfId="0" applyFont="1" applyBorder="1" applyAlignment="1">
      <alignment horizontal="center" vertical="center" wrapText="1"/>
    </xf>
    <xf numFmtId="0" fontId="4" fillId="0" borderId="46" xfId="0" applyFont="1" applyBorder="1" applyAlignment="1">
      <alignment horizontal="center" vertical="center" wrapText="1"/>
    </xf>
    <xf numFmtId="0" fontId="4" fillId="0" borderId="47" xfId="0" applyFont="1" applyBorder="1" applyAlignment="1">
      <alignment horizontal="center" vertical="center" wrapText="1"/>
    </xf>
    <xf numFmtId="2" fontId="4" fillId="0" borderId="45" xfId="0" applyNumberFormat="1" applyFont="1" applyBorder="1" applyAlignment="1">
      <alignment horizontal="center" vertical="center" wrapText="1"/>
    </xf>
    <xf numFmtId="2" fontId="4" fillId="0" borderId="46" xfId="0" applyNumberFormat="1" applyFont="1" applyBorder="1" applyAlignment="1">
      <alignment horizontal="center" vertical="center" wrapText="1"/>
    </xf>
    <xf numFmtId="0" fontId="4" fillId="0" borderId="48"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41" xfId="0" applyFont="1" applyBorder="1" applyAlignment="1">
      <alignment horizontal="center" wrapText="1"/>
    </xf>
    <xf numFmtId="0" fontId="4" fillId="0" borderId="42" xfId="0" applyFont="1" applyBorder="1" applyAlignment="1">
      <alignment horizontal="center" wrapText="1"/>
    </xf>
    <xf numFmtId="0" fontId="4" fillId="0" borderId="43" xfId="0" applyFont="1" applyBorder="1" applyAlignment="1">
      <alignment horizontal="center" wrapText="1"/>
    </xf>
    <xf numFmtId="0" fontId="4" fillId="0" borderId="44" xfId="0" applyFont="1" applyBorder="1" applyAlignment="1">
      <alignment horizontal="center" wrapText="1"/>
    </xf>
    <xf numFmtId="0" fontId="16" fillId="0" borderId="41" xfId="0" applyFont="1" applyBorder="1" applyAlignment="1">
      <alignment horizontal="center" wrapText="1"/>
    </xf>
    <xf numFmtId="0" fontId="16" fillId="0" borderId="42" xfId="0" applyFont="1" applyBorder="1" applyAlignment="1">
      <alignment horizontal="center" wrapText="1"/>
    </xf>
    <xf numFmtId="0" fontId="4" fillId="0" borderId="41" xfId="0" applyFont="1" applyBorder="1" applyAlignment="1">
      <alignment horizontal="center"/>
    </xf>
    <xf numFmtId="0" fontId="4" fillId="0" borderId="43" xfId="0" applyFont="1" applyBorder="1" applyAlignment="1">
      <alignment horizontal="center"/>
    </xf>
    <xf numFmtId="0" fontId="4" fillId="0" borderId="42" xfId="0" applyFont="1" applyBorder="1" applyAlignment="1">
      <alignment horizontal="center"/>
    </xf>
    <xf numFmtId="0" fontId="4" fillId="0" borderId="50" xfId="0" applyFont="1" applyBorder="1" applyAlignment="1">
      <alignment horizontal="center"/>
    </xf>
    <xf numFmtId="0" fontId="4" fillId="0" borderId="47" xfId="0" applyFont="1" applyBorder="1" applyAlignment="1">
      <alignment horizontal="left" vertical="center" wrapText="1" indent="1"/>
    </xf>
    <xf numFmtId="0" fontId="4" fillId="0" borderId="11" xfId="0" applyFont="1" applyBorder="1" applyAlignment="1">
      <alignment horizontal="left" vertical="center" wrapText="1" indent="1"/>
    </xf>
    <xf numFmtId="0" fontId="4" fillId="0" borderId="14" xfId="0" applyFont="1" applyBorder="1" applyAlignment="1">
      <alignment horizontal="left" vertical="center" wrapText="1" indent="1"/>
    </xf>
    <xf numFmtId="0" fontId="4" fillId="0" borderId="17" xfId="0" applyFont="1" applyBorder="1" applyAlignment="1">
      <alignment horizontal="left" vertical="center" wrapText="1" indent="1"/>
    </xf>
    <xf numFmtId="0" fontId="4" fillId="0" borderId="0" xfId="0" applyFont="1" applyAlignment="1">
      <alignment horizontal="left" vertical="center" wrapText="1" indent="1"/>
    </xf>
    <xf numFmtId="9" fontId="12" fillId="0" borderId="34" xfId="1" applyFont="1" applyBorder="1" applyAlignment="1" applyProtection="1">
      <alignment horizontal="center" vertical="center"/>
      <protection hidden="1"/>
    </xf>
    <xf numFmtId="9" fontId="12" fillId="0" borderId="10" xfId="1" applyFont="1" applyBorder="1" applyAlignment="1" applyProtection="1">
      <alignment horizontal="center" vertical="center"/>
      <protection hidden="1"/>
    </xf>
    <xf numFmtId="3" fontId="12" fillId="0" borderId="35" xfId="1" applyNumberFormat="1" applyFont="1" applyBorder="1" applyAlignment="1" applyProtection="1">
      <alignment horizontal="center" vertical="center"/>
      <protection hidden="1"/>
    </xf>
    <xf numFmtId="164" fontId="12" fillId="0" borderId="34" xfId="0" applyNumberFormat="1" applyFont="1" applyBorder="1" applyAlignment="1" applyProtection="1">
      <alignment horizontal="center" vertical="center"/>
      <protection hidden="1"/>
    </xf>
    <xf numFmtId="3" fontId="12" fillId="0" borderId="10" xfId="1" applyNumberFormat="1" applyFont="1" applyBorder="1" applyAlignment="1" applyProtection="1">
      <alignment horizontal="center" vertical="center"/>
      <protection hidden="1"/>
    </xf>
    <xf numFmtId="164" fontId="12" fillId="0" borderId="10" xfId="0" applyNumberFormat="1" applyFont="1" applyBorder="1" applyAlignment="1" applyProtection="1">
      <alignment horizontal="center" vertical="center"/>
      <protection hidden="1"/>
    </xf>
    <xf numFmtId="9" fontId="12" fillId="0" borderId="9" xfId="1" applyFont="1" applyBorder="1" applyAlignment="1" applyProtection="1">
      <alignment horizontal="center" vertical="center"/>
      <protection hidden="1"/>
    </xf>
    <xf numFmtId="1" fontId="12" fillId="0" borderId="35" xfId="0" applyNumberFormat="1" applyFont="1" applyBorder="1" applyAlignment="1" applyProtection="1">
      <alignment horizontal="center" vertical="center"/>
      <protection hidden="1"/>
    </xf>
    <xf numFmtId="164" fontId="12" fillId="0" borderId="9" xfId="0" applyNumberFormat="1" applyFont="1" applyBorder="1" applyAlignment="1" applyProtection="1">
      <alignment horizontal="center" vertical="center"/>
      <protection hidden="1"/>
    </xf>
    <xf numFmtId="1" fontId="12" fillId="0" borderId="11" xfId="0" applyNumberFormat="1" applyFont="1" applyBorder="1" applyAlignment="1" applyProtection="1">
      <alignment horizontal="center" vertical="center"/>
      <protection hidden="1"/>
    </xf>
    <xf numFmtId="9" fontId="1" fillId="0" borderId="34" xfId="1" applyFont="1" applyBorder="1" applyAlignment="1" applyProtection="1">
      <alignment horizontal="center" vertical="center"/>
      <protection hidden="1"/>
    </xf>
    <xf numFmtId="9" fontId="1" fillId="0" borderId="10" xfId="1" applyFont="1" applyBorder="1" applyAlignment="1" applyProtection="1">
      <alignment horizontal="center" vertical="center"/>
      <protection hidden="1"/>
    </xf>
    <xf numFmtId="1" fontId="1" fillId="0" borderId="35" xfId="0" applyNumberFormat="1" applyFont="1" applyBorder="1" applyAlignment="1" applyProtection="1">
      <alignment horizontal="center" vertical="center"/>
      <protection hidden="1"/>
    </xf>
    <xf numFmtId="9" fontId="12" fillId="0" borderId="24" xfId="1" applyFont="1" applyBorder="1" applyAlignment="1" applyProtection="1">
      <alignment horizontal="center" vertical="center"/>
      <protection hidden="1"/>
    </xf>
    <xf numFmtId="9" fontId="12" fillId="0" borderId="13" xfId="1" applyFont="1" applyBorder="1" applyAlignment="1" applyProtection="1">
      <alignment horizontal="center" vertical="center"/>
      <protection hidden="1"/>
    </xf>
    <xf numFmtId="3" fontId="12" fillId="0" borderId="25" xfId="1" applyNumberFormat="1" applyFont="1" applyBorder="1" applyAlignment="1" applyProtection="1">
      <alignment horizontal="center" vertical="center"/>
      <protection hidden="1"/>
    </xf>
    <xf numFmtId="164" fontId="12" fillId="0" borderId="24" xfId="0" applyNumberFormat="1" applyFont="1" applyBorder="1" applyAlignment="1" applyProtection="1">
      <alignment horizontal="center" vertical="center"/>
      <protection hidden="1"/>
    </xf>
    <xf numFmtId="3" fontId="12" fillId="0" borderId="13" xfId="1" applyNumberFormat="1" applyFont="1" applyBorder="1" applyAlignment="1" applyProtection="1">
      <alignment horizontal="center" vertical="center"/>
      <protection hidden="1"/>
    </xf>
    <xf numFmtId="164" fontId="12" fillId="0" borderId="13" xfId="0" applyNumberFormat="1" applyFont="1" applyBorder="1" applyAlignment="1" applyProtection="1">
      <alignment horizontal="center" vertical="center"/>
      <protection hidden="1"/>
    </xf>
    <xf numFmtId="9" fontId="12" fillId="0" borderId="12" xfId="1" applyFont="1" applyBorder="1" applyAlignment="1" applyProtection="1">
      <alignment horizontal="center" vertical="center"/>
      <protection hidden="1"/>
    </xf>
    <xf numFmtId="1" fontId="12" fillId="0" borderId="25" xfId="0" applyNumberFormat="1" applyFont="1" applyBorder="1" applyAlignment="1" applyProtection="1">
      <alignment horizontal="center" vertical="center"/>
      <protection hidden="1"/>
    </xf>
    <xf numFmtId="164" fontId="12" fillId="0" borderId="12" xfId="0" applyNumberFormat="1" applyFont="1" applyBorder="1" applyAlignment="1" applyProtection="1">
      <alignment horizontal="center" vertical="center"/>
      <protection hidden="1"/>
    </xf>
    <xf numFmtId="1" fontId="12" fillId="0" borderId="14" xfId="0" applyNumberFormat="1" applyFont="1" applyBorder="1" applyAlignment="1" applyProtection="1">
      <alignment horizontal="center" vertical="center"/>
      <protection hidden="1"/>
    </xf>
    <xf numFmtId="9" fontId="1" fillId="0" borderId="24" xfId="1" applyFont="1" applyBorder="1" applyAlignment="1" applyProtection="1">
      <alignment horizontal="center" vertical="center"/>
      <protection hidden="1"/>
    </xf>
    <xf numFmtId="9" fontId="1" fillId="0" borderId="13" xfId="1" applyFont="1" applyBorder="1" applyAlignment="1" applyProtection="1">
      <alignment horizontal="center" vertical="center"/>
      <protection hidden="1"/>
    </xf>
    <xf numFmtId="1" fontId="1" fillId="0" borderId="25" xfId="0" applyNumberFormat="1" applyFont="1" applyBorder="1" applyAlignment="1" applyProtection="1">
      <alignment horizontal="center" vertical="center"/>
      <protection hidden="1"/>
    </xf>
    <xf numFmtId="9" fontId="1" fillId="0" borderId="24" xfId="1" quotePrefix="1" applyFont="1" applyBorder="1" applyAlignment="1" applyProtection="1">
      <alignment horizontal="center" vertical="center"/>
      <protection hidden="1"/>
    </xf>
    <xf numFmtId="9" fontId="1" fillId="0" borderId="13" xfId="1" quotePrefix="1" applyFont="1" applyBorder="1" applyAlignment="1" applyProtection="1">
      <alignment horizontal="center" vertical="center"/>
      <protection hidden="1"/>
    </xf>
    <xf numFmtId="9" fontId="1" fillId="0" borderId="25" xfId="1" quotePrefix="1" applyFont="1" applyBorder="1" applyAlignment="1" applyProtection="1">
      <alignment horizontal="center" vertical="center"/>
      <protection hidden="1"/>
    </xf>
    <xf numFmtId="3" fontId="12" fillId="0" borderId="39" xfId="0" applyNumberFormat="1" applyFont="1" applyBorder="1" applyAlignment="1" applyProtection="1">
      <alignment horizontal="center" vertical="center"/>
      <protection hidden="1"/>
    </xf>
    <xf numFmtId="9" fontId="12" fillId="0" borderId="26" xfId="1" applyFont="1" applyBorder="1" applyAlignment="1" applyProtection="1">
      <alignment horizontal="center" vertical="center"/>
      <protection hidden="1"/>
    </xf>
    <xf numFmtId="9" fontId="12" fillId="0" borderId="27" xfId="1" applyFont="1" applyBorder="1" applyAlignment="1" applyProtection="1">
      <alignment horizontal="center" vertical="center"/>
      <protection hidden="1"/>
    </xf>
    <xf numFmtId="3" fontId="12" fillId="0" borderId="28" xfId="1" applyNumberFormat="1" applyFont="1" applyBorder="1" applyAlignment="1" applyProtection="1">
      <alignment horizontal="center" vertical="center"/>
      <protection hidden="1"/>
    </xf>
    <xf numFmtId="164" fontId="12" fillId="0" borderId="26" xfId="0" applyNumberFormat="1" applyFont="1" applyBorder="1" applyAlignment="1" applyProtection="1">
      <alignment horizontal="center" vertical="center"/>
      <protection hidden="1"/>
    </xf>
    <xf numFmtId="3" fontId="12" fillId="0" borderId="27" xfId="1" applyNumberFormat="1" applyFont="1" applyBorder="1" applyAlignment="1" applyProtection="1">
      <alignment horizontal="center" vertical="center"/>
      <protection hidden="1"/>
    </xf>
    <xf numFmtId="164" fontId="12" fillId="0" borderId="27" xfId="0" applyNumberFormat="1" applyFont="1" applyBorder="1" applyAlignment="1" applyProtection="1">
      <alignment horizontal="center" vertical="center"/>
      <protection hidden="1"/>
    </xf>
    <xf numFmtId="9" fontId="12" fillId="0" borderId="29" xfId="1" applyFont="1" applyBorder="1" applyAlignment="1" applyProtection="1">
      <alignment horizontal="center" vertical="center"/>
      <protection hidden="1"/>
    </xf>
    <xf numFmtId="3" fontId="12" fillId="0" borderId="28" xfId="0" applyNumberFormat="1" applyFont="1" applyBorder="1" applyAlignment="1" applyProtection="1">
      <alignment horizontal="center" vertical="center"/>
      <protection hidden="1"/>
    </xf>
    <xf numFmtId="164" fontId="12" fillId="0" borderId="29" xfId="0" applyNumberFormat="1" applyFont="1" applyBorder="1" applyAlignment="1" applyProtection="1">
      <alignment horizontal="center" vertical="center"/>
      <protection hidden="1"/>
    </xf>
    <xf numFmtId="3" fontId="12" fillId="0" borderId="40" xfId="0" applyNumberFormat="1" applyFont="1" applyBorder="1" applyAlignment="1" applyProtection="1">
      <alignment horizontal="center" vertical="center"/>
      <protection hidden="1"/>
    </xf>
    <xf numFmtId="9" fontId="1" fillId="0" borderId="26" xfId="1" applyFont="1" applyBorder="1" applyAlignment="1" applyProtection="1">
      <alignment horizontal="center" vertical="center"/>
      <protection hidden="1"/>
    </xf>
    <xf numFmtId="9" fontId="1" fillId="0" borderId="27" xfId="1" applyFont="1" applyBorder="1" applyAlignment="1" applyProtection="1">
      <alignment horizontal="center" vertical="center"/>
      <protection hidden="1"/>
    </xf>
    <xf numFmtId="0" fontId="3" fillId="0" borderId="0" xfId="0" applyFont="1" applyAlignment="1" applyProtection="1">
      <alignment horizontal="right" vertical="center" wrapText="1"/>
      <protection hidden="1"/>
    </xf>
    <xf numFmtId="9" fontId="3" fillId="0" borderId="0" xfId="1" applyFont="1" applyAlignment="1" applyProtection="1">
      <alignment horizontal="center" vertical="center" wrapText="1"/>
      <protection hidden="1"/>
    </xf>
    <xf numFmtId="9" fontId="6" fillId="0" borderId="0" xfId="1" applyFont="1" applyAlignment="1" applyProtection="1">
      <alignment horizontal="center" vertical="center" wrapText="1"/>
      <protection hidden="1"/>
    </xf>
    <xf numFmtId="0" fontId="6" fillId="0" borderId="0" xfId="0" applyFont="1" applyAlignment="1" applyProtection="1">
      <alignment vertical="center" wrapText="1"/>
      <protection hidden="1"/>
    </xf>
    <xf numFmtId="0" fontId="3" fillId="0" borderId="0" xfId="0" applyFont="1" applyAlignment="1" applyProtection="1">
      <alignment horizontal="right" vertical="center" indent="1"/>
      <protection hidden="1"/>
    </xf>
    <xf numFmtId="9" fontId="3" fillId="0" borderId="0" xfId="1" applyFont="1" applyAlignment="1" applyProtection="1">
      <alignment horizontal="center" vertical="center"/>
      <protection hidden="1"/>
    </xf>
    <xf numFmtId="9" fontId="6" fillId="0" borderId="0" xfId="1" applyFont="1" applyAlignment="1" applyProtection="1">
      <alignment horizontal="center" vertical="center"/>
      <protection hidden="1"/>
    </xf>
    <xf numFmtId="0" fontId="6" fillId="0" borderId="0" xfId="0" applyFont="1" applyAlignment="1" applyProtection="1">
      <alignment vertical="center"/>
      <protection hidden="1"/>
    </xf>
    <xf numFmtId="9" fontId="2" fillId="0" borderId="0" xfId="1" applyFont="1" applyAlignment="1" applyProtection="1">
      <alignment horizontal="center" vertical="center"/>
      <protection hidden="1"/>
    </xf>
    <xf numFmtId="9" fontId="3" fillId="0" borderId="13" xfId="1" applyFont="1" applyBorder="1" applyAlignment="1" applyProtection="1">
      <alignment horizontal="center" vertical="center" wrapText="1"/>
      <protection hidden="1"/>
    </xf>
    <xf numFmtId="164" fontId="2" fillId="0" borderId="0" xfId="1" applyNumberFormat="1" applyFont="1" applyAlignment="1" applyProtection="1">
      <alignment horizontal="center" vertical="center"/>
      <protection hidden="1"/>
    </xf>
    <xf numFmtId="164" fontId="6" fillId="0" borderId="0" xfId="1" applyNumberFormat="1" applyFont="1" applyAlignment="1" applyProtection="1">
      <alignment horizontal="center" vertical="center"/>
      <protection hidden="1"/>
    </xf>
    <xf numFmtId="0" fontId="4" fillId="0" borderId="41" xfId="0" applyFont="1" applyBorder="1" applyAlignment="1">
      <alignment horizontal="center" wrapText="1"/>
    </xf>
    <xf numFmtId="0" fontId="4" fillId="0" borderId="42" xfId="0" applyFont="1" applyBorder="1" applyAlignment="1">
      <alignment horizontal="center" wrapText="1"/>
    </xf>
    <xf numFmtId="0" fontId="4" fillId="0" borderId="43" xfId="0" applyFont="1" applyBorder="1" applyAlignment="1">
      <alignment horizontal="center" wrapText="1"/>
    </xf>
    <xf numFmtId="0" fontId="4" fillId="0" borderId="44" xfId="0" applyFont="1" applyBorder="1" applyAlignment="1">
      <alignment horizontal="center" wrapText="1"/>
    </xf>
    <xf numFmtId="0" fontId="4" fillId="0" borderId="31"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21" xfId="0" applyFont="1" applyBorder="1" applyAlignment="1">
      <alignment horizontal="left" vertical="center" indent="1"/>
    </xf>
    <xf numFmtId="0" fontId="4" fillId="0" borderId="22" xfId="0" applyFont="1" applyBorder="1" applyAlignment="1">
      <alignment horizontal="left" vertical="center" indent="1"/>
    </xf>
    <xf numFmtId="0" fontId="4" fillId="0" borderId="23" xfId="0" applyFont="1" applyBorder="1" applyAlignment="1">
      <alignment horizontal="left" vertical="center" indent="1"/>
    </xf>
    <xf numFmtId="0" fontId="4" fillId="0" borderId="24" xfId="0" applyFont="1" applyBorder="1" applyAlignment="1">
      <alignment horizontal="left" vertical="center" indent="1"/>
    </xf>
    <xf numFmtId="0" fontId="4" fillId="0" borderId="13" xfId="0" applyFont="1" applyBorder="1" applyAlignment="1">
      <alignment horizontal="left" vertical="center" indent="1"/>
    </xf>
    <xf numFmtId="0" fontId="4" fillId="0" borderId="25" xfId="0" applyFont="1" applyBorder="1" applyAlignment="1">
      <alignment horizontal="left" vertical="center" indent="1"/>
    </xf>
    <xf numFmtId="0" fontId="4" fillId="0" borderId="30" xfId="0" applyFont="1" applyBorder="1" applyAlignment="1">
      <alignment horizontal="left" vertical="center" indent="1"/>
    </xf>
    <xf numFmtId="0" fontId="4" fillId="0" borderId="16" xfId="0" applyFont="1" applyBorder="1" applyAlignment="1">
      <alignment horizontal="left" vertical="center" indent="1"/>
    </xf>
    <xf numFmtId="0" fontId="4" fillId="0" borderId="39" xfId="0" applyFont="1" applyBorder="1" applyAlignment="1">
      <alignment horizontal="left" vertical="center" indent="1"/>
    </xf>
    <xf numFmtId="0" fontId="4" fillId="0" borderId="36"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2" xfId="0" applyFont="1" applyBorder="1" applyAlignment="1">
      <alignment horizontal="center" vertical="center" wrapText="1"/>
    </xf>
    <xf numFmtId="0" fontId="5" fillId="3" borderId="0" xfId="0" applyFont="1" applyFill="1" applyAlignment="1" applyProtection="1">
      <alignment horizontal="left" vertical="center" indent="1"/>
      <protection locked="0"/>
    </xf>
    <xf numFmtId="0" fontId="6" fillId="0" borderId="0" xfId="0" applyFont="1" applyAlignment="1" applyProtection="1">
      <alignment horizontal="right" vertical="center" wrapText="1" indent="1"/>
      <protection hidden="1"/>
    </xf>
    <xf numFmtId="0" fontId="3" fillId="0" borderId="0" xfId="0" applyFont="1" applyAlignment="1" applyProtection="1">
      <alignment horizontal="right" vertical="center" wrapText="1" indent="1"/>
      <protection hidden="1"/>
    </xf>
    <xf numFmtId="0" fontId="6" fillId="0" borderId="19" xfId="0" applyFont="1" applyBorder="1" applyAlignment="1" applyProtection="1">
      <alignment horizontal="right" vertical="center" wrapText="1" indent="1"/>
      <protection hidden="1"/>
    </xf>
    <xf numFmtId="0" fontId="6" fillId="0" borderId="20" xfId="0" applyFont="1" applyBorder="1" applyAlignment="1" applyProtection="1">
      <alignment horizontal="right" vertical="center" wrapText="1" indent="1"/>
      <protection hidden="1"/>
    </xf>
    <xf numFmtId="0" fontId="6" fillId="0" borderId="18" xfId="0" applyFont="1" applyBorder="1" applyAlignment="1" applyProtection="1">
      <alignment horizontal="right" vertical="center" wrapText="1" indent="1"/>
      <protection hidden="1"/>
    </xf>
    <xf numFmtId="0" fontId="12" fillId="0" borderId="0" xfId="0" applyFont="1" applyAlignment="1">
      <alignment horizontal="center" vertical="center"/>
    </xf>
    <xf numFmtId="0" fontId="10" fillId="0" borderId="0" xfId="0" applyFont="1" applyAlignment="1">
      <alignment horizontal="center" vertical="center" wrapText="1"/>
    </xf>
    <xf numFmtId="9" fontId="3" fillId="0" borderId="0" xfId="1" applyFont="1" applyAlignment="1" applyProtection="1">
      <alignment horizontal="center" vertical="center" wrapText="1"/>
      <protection hidden="1"/>
    </xf>
    <xf numFmtId="9" fontId="3" fillId="0" borderId="14" xfId="1" applyFont="1" applyBorder="1" applyAlignment="1" applyProtection="1">
      <alignment horizontal="center" vertical="center" wrapText="1"/>
      <protection hidden="1"/>
    </xf>
    <xf numFmtId="9" fontId="3" fillId="0" borderId="19" xfId="1" applyFont="1" applyBorder="1" applyAlignment="1" applyProtection="1">
      <alignment horizontal="center" vertical="center" wrapText="1"/>
      <protection hidden="1"/>
    </xf>
    <xf numFmtId="9" fontId="3" fillId="0" borderId="12" xfId="1" applyFont="1" applyBorder="1" applyAlignment="1" applyProtection="1">
      <alignment horizontal="center" vertical="center" wrapText="1"/>
      <protection hidden="1"/>
    </xf>
    <xf numFmtId="9" fontId="3" fillId="0" borderId="14" xfId="1" applyFont="1" applyBorder="1" applyAlignment="1" applyProtection="1">
      <alignment horizontal="center" vertical="center"/>
      <protection hidden="1"/>
    </xf>
    <xf numFmtId="9" fontId="3" fillId="0" borderId="19" xfId="1" applyFont="1" applyBorder="1" applyAlignment="1" applyProtection="1">
      <alignment horizontal="center" vertical="center"/>
      <protection hidden="1"/>
    </xf>
    <xf numFmtId="9" fontId="3" fillId="0" borderId="12" xfId="1" applyFont="1" applyBorder="1" applyAlignment="1" applyProtection="1">
      <alignment horizontal="center" vertical="center"/>
      <protection hidden="1"/>
    </xf>
    <xf numFmtId="9" fontId="3" fillId="0" borderId="11" xfId="1" applyFont="1" applyBorder="1" applyAlignment="1" applyProtection="1">
      <alignment horizontal="center" vertical="center"/>
      <protection hidden="1"/>
    </xf>
    <xf numFmtId="9" fontId="3" fillId="0" borderId="18" xfId="1" applyFont="1" applyBorder="1" applyAlignment="1" applyProtection="1">
      <alignment horizontal="center" vertical="center"/>
      <protection hidden="1"/>
    </xf>
    <xf numFmtId="9" fontId="3" fillId="0" borderId="9" xfId="1" applyFont="1" applyBorder="1" applyAlignment="1" applyProtection="1">
      <alignment horizontal="center" vertical="center"/>
      <protection hidden="1"/>
    </xf>
    <xf numFmtId="9" fontId="2" fillId="0" borderId="11" xfId="1" applyNumberFormat="1" applyFont="1" applyBorder="1" applyAlignment="1" applyProtection="1">
      <alignment vertical="center"/>
      <protection hidden="1"/>
    </xf>
    <xf numFmtId="9" fontId="2" fillId="0" borderId="14" xfId="1" applyNumberFormat="1" applyFont="1" applyBorder="1" applyAlignment="1" applyProtection="1">
      <alignment vertical="center"/>
      <protection hidden="1"/>
    </xf>
  </cellXfs>
  <cellStyles count="3">
    <cellStyle name="Hyperlink" xfId="2" builtinId="8"/>
    <cellStyle name="Normal" xfId="0" builtinId="0"/>
    <cellStyle name="Percent" xfId="1" builtinId="5"/>
  </cellStyles>
  <dxfs count="1">
    <dxf>
      <border>
        <left style="hair">
          <color theme="2" tint="-0.499984740745262"/>
        </left>
        <right style="hair">
          <color theme="2" tint="-0.499984740745262"/>
        </right>
        <top style="hair">
          <color theme="2" tint="-0.499984740745262"/>
        </top>
        <bottom style="hair">
          <color theme="2" tint="-0.499984740745262"/>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6.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39.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1.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2.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3.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4.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5.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48.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49.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1.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2.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3.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4.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5.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6.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57.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58.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59.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1.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2.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3.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4.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5.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66.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67.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68.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69.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1.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2.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3.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4.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5.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76.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77.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78.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79.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1.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2.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3.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4.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5.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86.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87.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88.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89.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Ex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Ex3.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Ex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clustered"/>
        <c:varyColors val="0"/>
        <c:ser>
          <c:idx val="0"/>
          <c:order val="0"/>
          <c:tx>
            <c:strRef>
              <c:f>IndividualReport!$M$18</c:f>
              <c:strCache>
                <c:ptCount val="1"/>
                <c:pt idx="0">
                  <c:v>2. (a) Why are you visiting this archive today? </c:v>
                </c:pt>
              </c:strCache>
            </c:strRef>
          </c:tx>
          <c:spPr>
            <a:solidFill>
              <a:schemeClr val="accent4">
                <a:lumMod val="75000"/>
              </a:schemeClr>
            </a:solidFill>
            <a:ln>
              <a:noFill/>
            </a:ln>
            <a:effectLst/>
          </c:spPr>
          <c:invertIfNegative val="0"/>
          <c:dLbls>
            <c:spPr>
              <a:solidFill>
                <a:schemeClr val="accent4">
                  <a:lumMod val="75000"/>
                </a:schemeClr>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eorgia" panose="02040502050405020303" pitchFamily="18"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IndividualReport!$N$18:$N$27</c:f>
              <c:strCache>
                <c:ptCount val="10"/>
                <c:pt idx="0">
                  <c:v>#N/A</c:v>
                </c:pt>
                <c:pt idx="1">
                  <c:v>#N/A</c:v>
                </c:pt>
                <c:pt idx="2">
                  <c:v>#N/A</c:v>
                </c:pt>
                <c:pt idx="3">
                  <c:v>#N/A</c:v>
                </c:pt>
                <c:pt idx="4">
                  <c:v>#N/A</c:v>
                </c:pt>
                <c:pt idx="5">
                  <c:v>#N/A</c:v>
                </c:pt>
                <c:pt idx="6">
                  <c:v>#N/A</c:v>
                </c:pt>
                <c:pt idx="7">
                  <c:v>#N/A</c:v>
                </c:pt>
                <c:pt idx="8">
                  <c:v>#N/A</c:v>
                </c:pt>
                <c:pt idx="9">
                  <c:v>Other</c:v>
                </c:pt>
              </c:strCache>
            </c:strRef>
          </c:cat>
          <c:val>
            <c:numRef>
              <c:f>IndividualReport!$Q$18:$Q$27</c:f>
              <c:numCache>
                <c:formatCode>0%</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40EE-4CC7-BB3B-3EADEA818130}"/>
            </c:ext>
          </c:extLst>
        </c:ser>
        <c:dLbls>
          <c:showLegendKey val="0"/>
          <c:showVal val="0"/>
          <c:showCatName val="0"/>
          <c:showSerName val="0"/>
          <c:showPercent val="0"/>
          <c:showBubbleSize val="0"/>
        </c:dLbls>
        <c:gapWidth val="25"/>
        <c:axId val="1589063775"/>
        <c:axId val="1560635919"/>
      </c:barChart>
      <c:catAx>
        <c:axId val="158906377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560635919"/>
        <c:crosses val="autoZero"/>
        <c:auto val="1"/>
        <c:lblAlgn val="ctr"/>
        <c:lblOffset val="100"/>
        <c:noMultiLvlLbl val="0"/>
      </c:catAx>
      <c:valAx>
        <c:axId val="1560635919"/>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89063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IndividualReport!$N$87</c:f>
              <c:strCache>
                <c:ptCount val="1"/>
                <c:pt idx="0">
                  <c:v>Appointment / online booking system (if applicable)</c:v>
                </c:pt>
              </c:strCache>
            </c:strRef>
          </c:tx>
          <c:spPr>
            <a:solidFill>
              <a:schemeClr val="accent4">
                <a:lumMod val="75000"/>
              </a:schemeClr>
            </a:solidFill>
            <a:ln>
              <a:noFill/>
            </a:ln>
            <a:effectLst/>
          </c:spPr>
          <c:invertIfNegative val="0"/>
          <c:dLbls>
            <c:spPr>
              <a:solidFill>
                <a:schemeClr val="accent4">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IndividualReport!$O$87:$O$91</c:f>
              <c:strCache>
                <c:ptCount val="5"/>
                <c:pt idx="0">
                  <c:v>Very statisfied</c:v>
                </c:pt>
                <c:pt idx="1">
                  <c:v>Satisfied</c:v>
                </c:pt>
                <c:pt idx="2">
                  <c:v>Neither</c:v>
                </c:pt>
                <c:pt idx="3">
                  <c:v>Not very satisfied</c:v>
                </c:pt>
                <c:pt idx="4">
                  <c:v>Not at all satisfied</c:v>
                </c:pt>
              </c:strCache>
            </c:strRef>
          </c:cat>
          <c:val>
            <c:numRef>
              <c:f>IndividualReport!$Q$87:$Q$91</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A2A9-4D31-A737-7370DD1E32EC}"/>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IndividualReport!$N$94</c:f>
              <c:strCache>
                <c:ptCount val="1"/>
                <c:pt idx="0">
                  <c:v>Availability of our computers</c:v>
                </c:pt>
              </c:strCache>
            </c:strRef>
          </c:tx>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IndividualReport!$O$94:$O$98</c:f>
              <c:strCache>
                <c:ptCount val="5"/>
                <c:pt idx="0">
                  <c:v>Very good</c:v>
                </c:pt>
                <c:pt idx="1">
                  <c:v>Fairly good</c:v>
                </c:pt>
                <c:pt idx="2">
                  <c:v>Neither</c:v>
                </c:pt>
                <c:pt idx="3">
                  <c:v>Poor</c:v>
                </c:pt>
                <c:pt idx="4">
                  <c:v>Very poor</c:v>
                </c:pt>
              </c:strCache>
            </c:strRef>
          </c:cat>
          <c:val>
            <c:numRef>
              <c:f>IndividualReport!$Q$94:$Q$98</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2FF9-47EE-A07C-37C4C80845BB}"/>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IndividualReport!$N$101</c:f>
              <c:strCache>
                <c:ptCount val="1"/>
                <c:pt idx="0">
                  <c:v>Speed of our computers</c:v>
                </c:pt>
              </c:strCache>
            </c:strRef>
          </c:tx>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IndividualReport!$O$101:$O$105</c:f>
              <c:strCache>
                <c:ptCount val="5"/>
                <c:pt idx="0">
                  <c:v>Very good</c:v>
                </c:pt>
                <c:pt idx="1">
                  <c:v>Fairly good</c:v>
                </c:pt>
                <c:pt idx="2">
                  <c:v>Neither</c:v>
                </c:pt>
                <c:pt idx="3">
                  <c:v>Poor</c:v>
                </c:pt>
                <c:pt idx="4">
                  <c:v>Very poor</c:v>
                </c:pt>
              </c:strCache>
            </c:strRef>
          </c:cat>
          <c:val>
            <c:numRef>
              <c:f>IndividualReport!$Q$101:$Q$105</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D72F-4EB9-B4E6-CDA6B788B0FF}"/>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IndividualReport!$N$108</c:f>
              <c:strCache>
                <c:ptCount val="1"/>
                <c:pt idx="0">
                  <c:v>Usability of our online catalogue</c:v>
                </c:pt>
              </c:strCache>
            </c:strRef>
          </c:tx>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IndividualReport!$O$108:$O$112</c:f>
              <c:strCache>
                <c:ptCount val="5"/>
                <c:pt idx="0">
                  <c:v>Very good</c:v>
                </c:pt>
                <c:pt idx="1">
                  <c:v>Fairly good</c:v>
                </c:pt>
                <c:pt idx="2">
                  <c:v>Neither</c:v>
                </c:pt>
                <c:pt idx="3">
                  <c:v>Poor</c:v>
                </c:pt>
                <c:pt idx="4">
                  <c:v>Very poor</c:v>
                </c:pt>
              </c:strCache>
            </c:strRef>
          </c:cat>
          <c:val>
            <c:numRef>
              <c:f>IndividualReport!$Q$108:$Q$112</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52B4-4256-A057-270B8FA03CCB}"/>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IndividualReport!$N$115</c:f>
              <c:strCache>
                <c:ptCount val="1"/>
                <c:pt idx="0">
                  <c:v>Quality of our online catalogue</c:v>
                </c:pt>
              </c:strCache>
            </c:strRef>
          </c:tx>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IndividualReport!$O$115:$O$119</c:f>
              <c:strCache>
                <c:ptCount val="5"/>
                <c:pt idx="0">
                  <c:v>Very good</c:v>
                </c:pt>
                <c:pt idx="1">
                  <c:v>Fairly good</c:v>
                </c:pt>
                <c:pt idx="2">
                  <c:v>Neither</c:v>
                </c:pt>
                <c:pt idx="3">
                  <c:v>Poor</c:v>
                </c:pt>
                <c:pt idx="4">
                  <c:v>Very poor</c:v>
                </c:pt>
              </c:strCache>
            </c:strRef>
          </c:cat>
          <c:val>
            <c:numRef>
              <c:f>IndividualReport!$Q$115:$Q$119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260B-436E-B75A-E211B18ED5FD}"/>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IndividualReport!$N$122</c:f>
              <c:strCache>
                <c:ptCount val="1"/>
                <c:pt idx="0">
                  <c:v>Quality of our other online resources</c:v>
                </c:pt>
              </c:strCache>
            </c:strRef>
          </c:tx>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IndividualReport!$O$122:$O$126</c:f>
              <c:strCache>
                <c:ptCount val="5"/>
                <c:pt idx="0">
                  <c:v>Very good</c:v>
                </c:pt>
                <c:pt idx="1">
                  <c:v>Fairly good</c:v>
                </c:pt>
                <c:pt idx="2">
                  <c:v>Neither</c:v>
                </c:pt>
                <c:pt idx="3">
                  <c:v>Poor</c:v>
                </c:pt>
                <c:pt idx="4">
                  <c:v>Very poor</c:v>
                </c:pt>
              </c:strCache>
            </c:strRef>
          </c:cat>
          <c:val>
            <c:numRef>
              <c:f>IndividualReport!$Q$122:$Q$126</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B116-4E2D-A4FD-CCD624A7513C}"/>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IndividualReport!$N$129</c:f>
              <c:strCache>
                <c:ptCount val="1"/>
                <c:pt idx="0">
                  <c:v>Access to other online resources</c:v>
                </c:pt>
              </c:strCache>
            </c:strRef>
          </c:tx>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IndividualReport!$O$129:$O$133</c:f>
              <c:strCache>
                <c:ptCount val="5"/>
                <c:pt idx="0">
                  <c:v>Very good</c:v>
                </c:pt>
                <c:pt idx="1">
                  <c:v>Fairly good</c:v>
                </c:pt>
                <c:pt idx="2">
                  <c:v>Neither</c:v>
                </c:pt>
                <c:pt idx="3">
                  <c:v>Poor</c:v>
                </c:pt>
                <c:pt idx="4">
                  <c:v>Very poor</c:v>
                </c:pt>
              </c:strCache>
            </c:strRef>
          </c:cat>
          <c:val>
            <c:numRef>
              <c:f>IndividualReport!$Q$129:$Q$133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0BEE-45E9-8E19-6E05325E7CE9}"/>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IndividualReport!$N$136</c:f>
              <c:strCache>
                <c:ptCount val="1"/>
                <c:pt idx="0">
                  <c:v>Access to wifi</c:v>
                </c:pt>
              </c:strCache>
            </c:strRef>
          </c:tx>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IndividualReport!$O$136:$O$140</c:f>
              <c:strCache>
                <c:ptCount val="5"/>
                <c:pt idx="0">
                  <c:v>Very good</c:v>
                </c:pt>
                <c:pt idx="1">
                  <c:v>Fairly good</c:v>
                </c:pt>
                <c:pt idx="2">
                  <c:v>Neither</c:v>
                </c:pt>
                <c:pt idx="3">
                  <c:v>Poor</c:v>
                </c:pt>
                <c:pt idx="4">
                  <c:v>Very poor</c:v>
                </c:pt>
              </c:strCache>
            </c:strRef>
          </c:cat>
          <c:val>
            <c:numRef>
              <c:f>IndividualReport!$Q$136:$Q$140</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B70B-48F6-AC79-9EE11F5D77FA}"/>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IndividualReport!$N$143</c:f>
              <c:strCache>
                <c:ptCount val="1"/>
                <c:pt idx="0">
                  <c:v>Facilities to charge personal computing devices</c:v>
                </c:pt>
              </c:strCache>
            </c:strRef>
          </c:tx>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IndividualReport!$O$143:$O$147</c:f>
              <c:strCache>
                <c:ptCount val="5"/>
                <c:pt idx="0">
                  <c:v>Very good</c:v>
                </c:pt>
                <c:pt idx="1">
                  <c:v>Fairly good</c:v>
                </c:pt>
                <c:pt idx="2">
                  <c:v>Neither</c:v>
                </c:pt>
                <c:pt idx="3">
                  <c:v>Poor</c:v>
                </c:pt>
                <c:pt idx="4">
                  <c:v>Very poor</c:v>
                </c:pt>
              </c:strCache>
            </c:strRef>
          </c:cat>
          <c:val>
            <c:numRef>
              <c:f>IndividualReport!$Q$143:$Q$147</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C9AA-4AED-A7B6-8059C884D0FB}"/>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IndividualReport!$N$151</c:f>
              <c:strCache>
                <c:ptCount val="1"/>
                <c:pt idx="0">
                  <c:v>Availability of seating</c:v>
                </c:pt>
              </c:strCache>
            </c:strRef>
          </c:tx>
          <c:spPr>
            <a:solidFill>
              <a:schemeClr val="accent4">
                <a:lumMod val="75000"/>
              </a:schemeClr>
            </a:solidFill>
            <a:ln>
              <a:noFill/>
            </a:ln>
            <a:effectLst/>
          </c:spPr>
          <c:invertIfNegative val="0"/>
          <c:dLbls>
            <c:spPr>
              <a:solidFill>
                <a:schemeClr val="accent4">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IndividualReport!$O$151:$O$155</c:f>
              <c:strCache>
                <c:ptCount val="5"/>
                <c:pt idx="0">
                  <c:v>Very statisfied</c:v>
                </c:pt>
                <c:pt idx="1">
                  <c:v>Satisfied</c:v>
                </c:pt>
                <c:pt idx="2">
                  <c:v>Neither</c:v>
                </c:pt>
                <c:pt idx="3">
                  <c:v>Not very satisfied</c:v>
                </c:pt>
                <c:pt idx="4">
                  <c:v>Not at all satisfied</c:v>
                </c:pt>
              </c:strCache>
            </c:strRef>
          </c:cat>
          <c:val>
            <c:numRef>
              <c:f>IndividualReport!$Q$151:$Q$155</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56BD-4691-82D2-F8C6043FF110}"/>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clustered"/>
        <c:varyColors val="0"/>
        <c:ser>
          <c:idx val="0"/>
          <c:order val="0"/>
          <c:tx>
            <c:strRef>
              <c:f>IndividualReport!$M$30</c:f>
              <c:strCache>
                <c:ptCount val="1"/>
                <c:pt idx="0">
                  <c:v>3. What, if any, of the following did you do to prepare for your visit today?</c:v>
                </c:pt>
              </c:strCache>
            </c:strRef>
          </c:tx>
          <c:spPr>
            <a:solidFill>
              <a:schemeClr val="accent4">
                <a:lumMod val="75000"/>
              </a:schemeClr>
            </a:solidFill>
            <a:ln>
              <a:noFill/>
            </a:ln>
            <a:effectLst/>
          </c:spPr>
          <c:invertIfNegative val="0"/>
          <c:dLbls>
            <c:spPr>
              <a:solidFill>
                <a:schemeClr val="accent4">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IndividualReport!$N$30:$N$35</c:f>
              <c:strCache>
                <c:ptCount val="6"/>
                <c:pt idx="0">
                  <c:v>#N/A</c:v>
                </c:pt>
                <c:pt idx="1">
                  <c:v>#N/A</c:v>
                </c:pt>
                <c:pt idx="2">
                  <c:v>#N/A</c:v>
                </c:pt>
                <c:pt idx="3">
                  <c:v>#N/A</c:v>
                </c:pt>
                <c:pt idx="4">
                  <c:v>#N/A</c:v>
                </c:pt>
                <c:pt idx="5">
                  <c:v>Other</c:v>
                </c:pt>
              </c:strCache>
            </c:strRef>
          </c:cat>
          <c:val>
            <c:numRef>
              <c:f>IndividualReport!$Q$30:$Q$35</c:f>
              <c:numCache>
                <c:formatCode>0%</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5FBA-4F7E-86BC-46E496707EB4}"/>
            </c:ext>
          </c:extLst>
        </c:ser>
        <c:dLbls>
          <c:showLegendKey val="0"/>
          <c:showVal val="0"/>
          <c:showCatName val="0"/>
          <c:showSerName val="0"/>
          <c:showPercent val="0"/>
          <c:showBubbleSize val="0"/>
        </c:dLbls>
        <c:gapWidth val="25"/>
        <c:axId val="139799871"/>
        <c:axId val="1589541535"/>
      </c:barChart>
      <c:catAx>
        <c:axId val="1397998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589541535"/>
        <c:crosses val="autoZero"/>
        <c:auto val="1"/>
        <c:lblAlgn val="ctr"/>
        <c:lblOffset val="100"/>
        <c:noMultiLvlLbl val="0"/>
      </c:catAx>
      <c:valAx>
        <c:axId val="1589541535"/>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397998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IndividualReport!$N$158</c:f>
              <c:strCache>
                <c:ptCount val="1"/>
                <c:pt idx="0">
                  <c:v>Quality of our paper catalogues</c:v>
                </c:pt>
              </c:strCache>
            </c:strRef>
          </c:tx>
          <c:spPr>
            <a:solidFill>
              <a:schemeClr val="accent4">
                <a:lumMod val="75000"/>
              </a:schemeClr>
            </a:solidFill>
            <a:ln>
              <a:noFill/>
            </a:ln>
            <a:effectLst/>
          </c:spPr>
          <c:invertIfNegative val="0"/>
          <c:dLbls>
            <c:spPr>
              <a:solidFill>
                <a:schemeClr val="accent4">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IndividualReport!$O$158:$O$162</c:f>
              <c:strCache>
                <c:ptCount val="5"/>
                <c:pt idx="0">
                  <c:v>Very statisfied</c:v>
                </c:pt>
                <c:pt idx="1">
                  <c:v>Satisfied</c:v>
                </c:pt>
                <c:pt idx="2">
                  <c:v>Neither</c:v>
                </c:pt>
                <c:pt idx="3">
                  <c:v>Not very satisfied</c:v>
                </c:pt>
                <c:pt idx="4">
                  <c:v>Not at all satisfied</c:v>
                </c:pt>
              </c:strCache>
            </c:strRef>
          </c:cat>
          <c:val>
            <c:numRef>
              <c:f>IndividualReport!$Q$158:$Q$162</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26E6-43A6-958D-15BB4528D5C8}"/>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IndividualReport!$N$165</c:f>
              <c:strCache>
                <c:ptCount val="1"/>
                <c:pt idx="0">
                  <c:v>Quality of our other paper resources</c:v>
                </c:pt>
              </c:strCache>
            </c:strRef>
          </c:tx>
          <c:spPr>
            <a:solidFill>
              <a:schemeClr val="accent4">
                <a:lumMod val="75000"/>
              </a:schemeClr>
            </a:solidFill>
            <a:ln>
              <a:noFill/>
            </a:ln>
            <a:effectLst/>
          </c:spPr>
          <c:invertIfNegative val="0"/>
          <c:dLbls>
            <c:spPr>
              <a:solidFill>
                <a:schemeClr val="accent4">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IndividualReport!$O$165:$O$169</c:f>
              <c:strCache>
                <c:ptCount val="5"/>
                <c:pt idx="0">
                  <c:v>Very statisfied</c:v>
                </c:pt>
                <c:pt idx="1">
                  <c:v>Satisfied</c:v>
                </c:pt>
                <c:pt idx="2">
                  <c:v>Neither</c:v>
                </c:pt>
                <c:pt idx="3">
                  <c:v>Not very satisfied</c:v>
                </c:pt>
                <c:pt idx="4">
                  <c:v>Not at all satisfied</c:v>
                </c:pt>
              </c:strCache>
            </c:strRef>
          </c:cat>
          <c:val>
            <c:numRef>
              <c:f>IndividualReport!$Q$165:$Q$169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4F5F-411C-B79C-A1336F2A83BA}"/>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IndividualReport!$N$172</c:f>
              <c:strCache>
                <c:ptCount val="1"/>
                <c:pt idx="0">
                  <c:v>Document ordering system</c:v>
                </c:pt>
              </c:strCache>
            </c:strRef>
          </c:tx>
          <c:spPr>
            <a:solidFill>
              <a:schemeClr val="accent4">
                <a:lumMod val="75000"/>
              </a:schemeClr>
            </a:solidFill>
            <a:ln>
              <a:noFill/>
            </a:ln>
            <a:effectLst/>
          </c:spPr>
          <c:invertIfNegative val="0"/>
          <c:dLbls>
            <c:spPr>
              <a:solidFill>
                <a:schemeClr val="accent4">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IndividualReport!$O$172:$O$176</c:f>
              <c:strCache>
                <c:ptCount val="5"/>
                <c:pt idx="0">
                  <c:v>Very statisfied</c:v>
                </c:pt>
                <c:pt idx="1">
                  <c:v>Satisfied</c:v>
                </c:pt>
                <c:pt idx="2">
                  <c:v>Neither</c:v>
                </c:pt>
                <c:pt idx="3">
                  <c:v>Not very satisfied</c:v>
                </c:pt>
                <c:pt idx="4">
                  <c:v>Not at all satisfied</c:v>
                </c:pt>
              </c:strCache>
            </c:strRef>
          </c:cat>
          <c:val>
            <c:numRef>
              <c:f>IndividualReport!$Q$172:$Q$176</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D300-43AE-8C30-49E0B2C70F96}"/>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IndividualReport!$N$179</c:f>
              <c:strCache>
                <c:ptCount val="1"/>
                <c:pt idx="0">
                  <c:v>Document delivery system</c:v>
                </c:pt>
              </c:strCache>
            </c:strRef>
          </c:tx>
          <c:spPr>
            <a:solidFill>
              <a:schemeClr val="accent4">
                <a:lumMod val="75000"/>
              </a:schemeClr>
            </a:solidFill>
            <a:ln>
              <a:noFill/>
            </a:ln>
            <a:effectLst/>
          </c:spPr>
          <c:invertIfNegative val="0"/>
          <c:dLbls>
            <c:spPr>
              <a:solidFill>
                <a:schemeClr val="accent4">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IndividualReport!$O$179:$O$183</c:f>
              <c:strCache>
                <c:ptCount val="5"/>
                <c:pt idx="0">
                  <c:v>Very statisfied</c:v>
                </c:pt>
                <c:pt idx="1">
                  <c:v>Satisfied</c:v>
                </c:pt>
                <c:pt idx="2">
                  <c:v>Neither</c:v>
                </c:pt>
                <c:pt idx="3">
                  <c:v>Not very satisfied</c:v>
                </c:pt>
                <c:pt idx="4">
                  <c:v>Not at all satisfied</c:v>
                </c:pt>
              </c:strCache>
            </c:strRef>
          </c:cat>
          <c:val>
            <c:numRef>
              <c:f>IndividualReport!$Q$179:$Q$183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7080-4225-BF4B-BE8ED87766BB}"/>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IndividualReport!$N$186</c:f>
              <c:strCache>
                <c:ptCount val="1"/>
                <c:pt idx="0">
                  <c:v>Microfilm and microfiche facilities</c:v>
                </c:pt>
              </c:strCache>
            </c:strRef>
          </c:tx>
          <c:spPr>
            <a:solidFill>
              <a:schemeClr val="accent4">
                <a:lumMod val="75000"/>
              </a:schemeClr>
            </a:solidFill>
            <a:ln>
              <a:noFill/>
            </a:ln>
            <a:effectLst/>
          </c:spPr>
          <c:invertIfNegative val="0"/>
          <c:dLbls>
            <c:spPr>
              <a:solidFill>
                <a:schemeClr val="accent4">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IndividualReport!$O$186:$O$190</c:f>
              <c:strCache>
                <c:ptCount val="5"/>
                <c:pt idx="0">
                  <c:v>Very statisfied</c:v>
                </c:pt>
                <c:pt idx="1">
                  <c:v>Satisfied</c:v>
                </c:pt>
                <c:pt idx="2">
                  <c:v>Neither</c:v>
                </c:pt>
                <c:pt idx="3">
                  <c:v>Not very satisfied</c:v>
                </c:pt>
                <c:pt idx="4">
                  <c:v>Not at all satisfied</c:v>
                </c:pt>
              </c:strCache>
            </c:strRef>
          </c:cat>
          <c:val>
            <c:numRef>
              <c:f>IndividualReport!$Q$186:$Q$190</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FB6C-4C66-AD64-34AE9CCC4F76}"/>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IndividualReport!$N$193</c:f>
              <c:strCache>
                <c:ptCount val="1"/>
                <c:pt idx="0">
                  <c:v>Our copy services</c:v>
                </c:pt>
              </c:strCache>
            </c:strRef>
          </c:tx>
          <c:spPr>
            <a:solidFill>
              <a:schemeClr val="accent4">
                <a:lumMod val="75000"/>
              </a:schemeClr>
            </a:solidFill>
            <a:ln>
              <a:noFill/>
            </a:ln>
            <a:effectLst/>
          </c:spPr>
          <c:invertIfNegative val="0"/>
          <c:dLbls>
            <c:spPr>
              <a:solidFill>
                <a:schemeClr val="accent4">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IndividualReport!$O$193:$O$197</c:f>
              <c:strCache>
                <c:ptCount val="5"/>
                <c:pt idx="0">
                  <c:v>Very statisfied</c:v>
                </c:pt>
                <c:pt idx="1">
                  <c:v>Satisfied</c:v>
                </c:pt>
                <c:pt idx="2">
                  <c:v>Neither</c:v>
                </c:pt>
                <c:pt idx="3">
                  <c:v>Not very satisfied</c:v>
                </c:pt>
                <c:pt idx="4">
                  <c:v>Not at all satisfied</c:v>
                </c:pt>
              </c:strCache>
            </c:strRef>
          </c:cat>
          <c:val>
            <c:numRef>
              <c:f>IndividualReport!$Q$193:$Q$197</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FE03-4CE2-A584-274036CEDE7C}"/>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IndividualReport!$N$200</c:f>
              <c:strCache>
                <c:ptCount val="1"/>
                <c:pt idx="0">
                  <c:v>Verbal communication</c:v>
                </c:pt>
              </c:strCache>
            </c:strRef>
          </c:tx>
          <c:spPr>
            <a:solidFill>
              <a:schemeClr val="accent6">
                <a:lumMod val="75000"/>
              </a:schemeClr>
            </a:solidFill>
            <a:ln>
              <a:noFill/>
            </a:ln>
            <a:effectLst/>
          </c:spPr>
          <c:invertIfNegative val="0"/>
          <c:dLbls>
            <c:spPr>
              <a:solidFill>
                <a:schemeClr val="accent6">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IndividualReport!$O$200:$O$204</c:f>
              <c:strCache>
                <c:ptCount val="5"/>
                <c:pt idx="0">
                  <c:v>Very statisfied</c:v>
                </c:pt>
                <c:pt idx="1">
                  <c:v>Satisfied</c:v>
                </c:pt>
                <c:pt idx="2">
                  <c:v>Neither</c:v>
                </c:pt>
                <c:pt idx="3">
                  <c:v>Not very satisfied</c:v>
                </c:pt>
                <c:pt idx="4">
                  <c:v>Not at all satisfied</c:v>
                </c:pt>
              </c:strCache>
            </c:strRef>
          </c:cat>
          <c:val>
            <c:numRef>
              <c:f>IndividualReport!$Q$200:$Q$204</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3F14-4D10-8F50-C70D109B19E3}"/>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IndividualReport!$N$207</c:f>
              <c:strCache>
                <c:ptCount val="1"/>
                <c:pt idx="0">
                  <c:v>Printed catalogues or resources</c:v>
                </c:pt>
              </c:strCache>
            </c:strRef>
          </c:tx>
          <c:spPr>
            <a:solidFill>
              <a:schemeClr val="accent6">
                <a:lumMod val="75000"/>
              </a:schemeClr>
            </a:solidFill>
            <a:ln>
              <a:noFill/>
            </a:ln>
            <a:effectLst/>
          </c:spPr>
          <c:invertIfNegative val="0"/>
          <c:dLbls>
            <c:spPr>
              <a:solidFill>
                <a:schemeClr val="accent6">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IndividualReport!$O$207:$O$211</c:f>
              <c:strCache>
                <c:ptCount val="5"/>
                <c:pt idx="0">
                  <c:v>Very statisfied</c:v>
                </c:pt>
                <c:pt idx="1">
                  <c:v>Satisfied</c:v>
                </c:pt>
                <c:pt idx="2">
                  <c:v>Neither</c:v>
                </c:pt>
                <c:pt idx="3">
                  <c:v>Not very satisfied</c:v>
                </c:pt>
                <c:pt idx="4">
                  <c:v>Not at all satisfied</c:v>
                </c:pt>
              </c:strCache>
            </c:strRef>
          </c:cat>
          <c:val>
            <c:numRef>
              <c:f>IndividualReport!$Q$207:$Q$211</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B9B9-4EDF-A77F-F2C58FD7D183}"/>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IndividualReport!$N$214</c:f>
              <c:strCache>
                <c:ptCount val="1"/>
                <c:pt idx="0">
                  <c:v>Online catalogue or resources</c:v>
                </c:pt>
              </c:strCache>
            </c:strRef>
          </c:tx>
          <c:spPr>
            <a:solidFill>
              <a:schemeClr val="accent6">
                <a:lumMod val="75000"/>
              </a:schemeClr>
            </a:solidFill>
            <a:ln>
              <a:noFill/>
            </a:ln>
            <a:effectLst/>
          </c:spPr>
          <c:invertIfNegative val="0"/>
          <c:dLbls>
            <c:spPr>
              <a:solidFill>
                <a:schemeClr val="accent6">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IndividualReport!$O$214:$O$218</c:f>
              <c:strCache>
                <c:ptCount val="5"/>
                <c:pt idx="0">
                  <c:v>Very statisfied</c:v>
                </c:pt>
                <c:pt idx="1">
                  <c:v>Satisfied</c:v>
                </c:pt>
                <c:pt idx="2">
                  <c:v>Neither</c:v>
                </c:pt>
                <c:pt idx="3">
                  <c:v>Not very satisfied</c:v>
                </c:pt>
                <c:pt idx="4">
                  <c:v>Not at all satisfied</c:v>
                </c:pt>
              </c:strCache>
            </c:strRef>
          </c:cat>
          <c:val>
            <c:numRef>
              <c:f>IndividualReport!$Q$214:$Q$218</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D7ED-441C-9A95-78DB84651663}"/>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a:t>Overall, how do you rate this archive?</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spPr>
            <a:solidFill>
              <a:schemeClr val="accent1"/>
            </a:solidFill>
            <a:ln>
              <a:noFill/>
            </a:ln>
            <a:effectLst/>
          </c:spPr>
          <c:invertIfNegative val="0"/>
          <c:dPt>
            <c:idx val="0"/>
            <c:invertIfNegative val="0"/>
            <c:bubble3D val="0"/>
            <c:spPr>
              <a:solidFill>
                <a:schemeClr val="accent3">
                  <a:lumMod val="75000"/>
                </a:schemeClr>
              </a:solidFill>
              <a:ln>
                <a:noFill/>
              </a:ln>
              <a:effectLst/>
            </c:spPr>
            <c:extLst>
              <c:ext xmlns:c16="http://schemas.microsoft.com/office/drawing/2014/chart" uri="{C3380CC4-5D6E-409C-BE32-E72D297353CC}">
                <c16:uniqueId val="{00000002-A096-4057-8C40-A58317FC44A9}"/>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IndividualReport!$O$221</c:f>
              <c:strCache>
                <c:ptCount val="1"/>
                <c:pt idx="0">
                  <c:v>Average</c:v>
                </c:pt>
              </c:strCache>
            </c:strRef>
          </c:cat>
          <c:val>
            <c:numRef>
              <c:f>IndividualReport!$Q$221</c:f>
              <c:numCache>
                <c:formatCode>0.0</c:formatCode>
                <c:ptCount val="1"/>
                <c:pt idx="0">
                  <c:v>#N/A</c:v>
                </c:pt>
              </c:numCache>
            </c:numRef>
          </c:val>
          <c:extLst>
            <c:ext xmlns:c16="http://schemas.microsoft.com/office/drawing/2014/chart" uri="{C3380CC4-5D6E-409C-BE32-E72D297353CC}">
              <c16:uniqueId val="{00000000-A096-4057-8C40-A58317FC44A9}"/>
            </c:ext>
          </c:extLst>
        </c:ser>
        <c:ser>
          <c:idx val="1"/>
          <c:order val="1"/>
          <c:spPr>
            <a:solidFill>
              <a:schemeClr val="accent3">
                <a:lumMod val="20000"/>
                <a:lumOff val="80000"/>
              </a:schemeClr>
            </a:solidFill>
            <a:ln>
              <a:noFill/>
            </a:ln>
            <a:effectLst/>
          </c:spPr>
          <c:invertIfNegative val="0"/>
          <c:cat>
            <c:strRef>
              <c:f>IndividualReport!$O$221</c:f>
              <c:strCache>
                <c:ptCount val="1"/>
                <c:pt idx="0">
                  <c:v>Average</c:v>
                </c:pt>
              </c:strCache>
            </c:strRef>
          </c:cat>
          <c:val>
            <c:numRef>
              <c:f>IndividualReport!$R$221</c:f>
              <c:numCache>
                <c:formatCode>#,##0.0</c:formatCode>
                <c:ptCount val="1"/>
                <c:pt idx="0">
                  <c:v>#N/A</c:v>
                </c:pt>
              </c:numCache>
            </c:numRef>
          </c:val>
          <c:extLst>
            <c:ext xmlns:c16="http://schemas.microsoft.com/office/drawing/2014/chart" uri="{C3380CC4-5D6E-409C-BE32-E72D297353CC}">
              <c16:uniqueId val="{00000001-A096-4057-8C40-A58317FC44A9}"/>
            </c:ext>
          </c:extLst>
        </c:ser>
        <c:dLbls>
          <c:showLegendKey val="0"/>
          <c:showVal val="0"/>
          <c:showCatName val="0"/>
          <c:showSerName val="0"/>
          <c:showPercent val="0"/>
          <c:showBubbleSize val="0"/>
        </c:dLbls>
        <c:gapWidth val="25"/>
        <c:overlap val="100"/>
        <c:axId val="763408447"/>
        <c:axId val="763396447"/>
      </c:barChart>
      <c:catAx>
        <c:axId val="763408447"/>
        <c:scaling>
          <c:orientation val="minMax"/>
        </c:scaling>
        <c:delete val="1"/>
        <c:axPos val="l"/>
        <c:numFmt formatCode="General" sourceLinked="1"/>
        <c:majorTickMark val="none"/>
        <c:minorTickMark val="none"/>
        <c:tickLblPos val="nextTo"/>
        <c:crossAx val="763396447"/>
        <c:crosses val="autoZero"/>
        <c:auto val="1"/>
        <c:lblAlgn val="ctr"/>
        <c:lblOffset val="100"/>
        <c:noMultiLvlLbl val="0"/>
      </c:catAx>
      <c:valAx>
        <c:axId val="763396447"/>
        <c:scaling>
          <c:orientation val="minMax"/>
          <c:min val="0"/>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63408447"/>
        <c:crosses val="autoZero"/>
        <c:crossBetween val="between"/>
        <c:maj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a:t>1. About your visit</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eorgia" panose="02040502050405020303" pitchFamily="18" charset="0"/>
                    <a:ea typeface="+mn-ea"/>
                    <a:cs typeface="+mn-cs"/>
                  </a:defRPr>
                </a:pPr>
                <a:endParaRPr lang="en-U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(IndividualReport!$N$38,IndividualReport!$N$40,IndividualReport!$N$40)</c:f>
              <c:strCache>
                <c:ptCount val="3"/>
                <c:pt idx="0">
                  <c:v>Availability of staff</c:v>
                </c:pt>
                <c:pt idx="1">
                  <c:v>Attitude of staff</c:v>
                </c:pt>
                <c:pt idx="2">
                  <c:v>Attitude of staff</c:v>
                </c:pt>
              </c:strCache>
            </c:strRef>
          </c:cat>
          <c:val>
            <c:numRef>
              <c:f>(IndividualReport!$Q$38,IndividualReport!$Q$40,IndividualReport!$Q$40)</c:f>
              <c:numCache>
                <c:formatCode>#,##0.0</c:formatCode>
                <c:ptCount val="3"/>
                <c:pt idx="0">
                  <c:v>#N/A</c:v>
                </c:pt>
                <c:pt idx="1">
                  <c:v>#N/A</c:v>
                </c:pt>
                <c:pt idx="2">
                  <c:v>#N/A</c:v>
                </c:pt>
              </c:numCache>
            </c:numRef>
          </c:val>
          <c:extLst>
            <c:ext xmlns:c16="http://schemas.microsoft.com/office/drawing/2014/chart" uri="{C3380CC4-5D6E-409C-BE32-E72D297353CC}">
              <c16:uniqueId val="{00000000-5B21-43BF-84E2-B0435234C072}"/>
            </c:ext>
          </c:extLst>
        </c:ser>
        <c:ser>
          <c:idx val="1"/>
          <c:order val="1"/>
          <c:spPr>
            <a:solidFill>
              <a:schemeClr val="accent3">
                <a:lumMod val="20000"/>
                <a:lumOff val="80000"/>
              </a:schemeClr>
            </a:solidFill>
            <a:ln>
              <a:noFill/>
            </a:ln>
            <a:effectLst/>
          </c:spPr>
          <c:invertIfNegative val="0"/>
          <c:cat>
            <c:strRef>
              <c:f>(IndividualReport!$N$38,IndividualReport!$N$40,IndividualReport!$N$40)</c:f>
              <c:strCache>
                <c:ptCount val="3"/>
                <c:pt idx="0">
                  <c:v>Availability of staff</c:v>
                </c:pt>
                <c:pt idx="1">
                  <c:v>Attitude of staff</c:v>
                </c:pt>
                <c:pt idx="2">
                  <c:v>Attitude of staff</c:v>
                </c:pt>
              </c:strCache>
            </c:strRef>
          </c:cat>
          <c:val>
            <c:numRef>
              <c:f>(IndividualReport!$R$38,IndividualReport!$R$40,IndividualReport!$R$42)</c:f>
              <c:numCache>
                <c:formatCode>#,##0.0</c:formatCode>
                <c:ptCount val="3"/>
                <c:pt idx="0">
                  <c:v>#N/A</c:v>
                </c:pt>
                <c:pt idx="1">
                  <c:v>#N/A</c:v>
                </c:pt>
                <c:pt idx="2">
                  <c:v>#N/A</c:v>
                </c:pt>
              </c:numCache>
            </c:numRef>
          </c:val>
          <c:extLst>
            <c:ext xmlns:c16="http://schemas.microsoft.com/office/drawing/2014/chart" uri="{C3380CC4-5D6E-409C-BE32-E72D297353CC}">
              <c16:uniqueId val="{00000001-5B21-43BF-84E2-B0435234C072}"/>
            </c:ext>
          </c:extLst>
        </c:ser>
        <c:dLbls>
          <c:showLegendKey val="0"/>
          <c:showVal val="0"/>
          <c:showCatName val="0"/>
          <c:showSerName val="0"/>
          <c:showPercent val="0"/>
          <c:showBubbleSize val="0"/>
        </c:dLbls>
        <c:gapWidth val="25"/>
        <c:overlap val="100"/>
        <c:axId val="1560465551"/>
        <c:axId val="312752303"/>
      </c:barChart>
      <c:catAx>
        <c:axId val="15604655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312752303"/>
        <c:crosses val="autoZero"/>
        <c:auto val="1"/>
        <c:lblAlgn val="ctr"/>
        <c:lblOffset val="100"/>
        <c:noMultiLvlLbl val="0"/>
      </c:catAx>
      <c:valAx>
        <c:axId val="312752303"/>
        <c:scaling>
          <c:orientation val="minMax"/>
          <c:min val="0"/>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1560465551"/>
        <c:crosses val="autoZero"/>
        <c:crossBetween val="between"/>
        <c:maj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a:t>11. Approximately how many hours have you spent at this archive today?</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spPr>
            <a:solidFill>
              <a:schemeClr val="accent1"/>
            </a:solidFill>
            <a:ln>
              <a:noFill/>
            </a:ln>
            <a:effectLst/>
          </c:spPr>
          <c:invertIfNegative val="0"/>
          <c:dPt>
            <c:idx val="0"/>
            <c:invertIfNegative val="0"/>
            <c:bubble3D val="0"/>
            <c:spPr>
              <a:solidFill>
                <a:schemeClr val="accent3">
                  <a:lumMod val="75000"/>
                </a:schemeClr>
              </a:solidFill>
              <a:ln>
                <a:noFill/>
              </a:ln>
              <a:effectLst/>
            </c:spPr>
            <c:extLst>
              <c:ext xmlns:c16="http://schemas.microsoft.com/office/drawing/2014/chart" uri="{C3380CC4-5D6E-409C-BE32-E72D297353CC}">
                <c16:uniqueId val="{00000001-7499-45E6-99D9-0791BB3B3892}"/>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IndividualReport!$N$237</c:f>
              <c:strCache>
                <c:ptCount val="1"/>
                <c:pt idx="0">
                  <c:v>Average</c:v>
                </c:pt>
              </c:strCache>
            </c:strRef>
          </c:cat>
          <c:val>
            <c:numRef>
              <c:f>IndividualReport!$Q$237</c:f>
              <c:numCache>
                <c:formatCode>#,##0.0</c:formatCode>
                <c:ptCount val="1"/>
                <c:pt idx="0">
                  <c:v>#N/A</c:v>
                </c:pt>
              </c:numCache>
            </c:numRef>
          </c:val>
          <c:extLst>
            <c:ext xmlns:c16="http://schemas.microsoft.com/office/drawing/2014/chart" uri="{C3380CC4-5D6E-409C-BE32-E72D297353CC}">
              <c16:uniqueId val="{00000002-7499-45E6-99D9-0791BB3B3892}"/>
            </c:ext>
          </c:extLst>
        </c:ser>
        <c:ser>
          <c:idx val="1"/>
          <c:order val="1"/>
          <c:spPr>
            <a:solidFill>
              <a:schemeClr val="accent3">
                <a:lumMod val="20000"/>
                <a:lumOff val="80000"/>
              </a:schemeClr>
            </a:solidFill>
            <a:ln>
              <a:noFill/>
            </a:ln>
            <a:effectLst/>
          </c:spPr>
          <c:invertIfNegative val="0"/>
          <c:cat>
            <c:strRef>
              <c:f>IndividualReport!$N$237</c:f>
              <c:strCache>
                <c:ptCount val="1"/>
                <c:pt idx="0">
                  <c:v>Average</c:v>
                </c:pt>
              </c:strCache>
            </c:strRef>
          </c:cat>
          <c:val>
            <c:numRef>
              <c:f>IndividualReport!$R$237</c:f>
              <c:numCache>
                <c:formatCode>#,##0.0</c:formatCode>
                <c:ptCount val="1"/>
                <c:pt idx="0">
                  <c:v>#N/A</c:v>
                </c:pt>
              </c:numCache>
            </c:numRef>
          </c:val>
          <c:extLst>
            <c:ext xmlns:c16="http://schemas.microsoft.com/office/drawing/2014/chart" uri="{C3380CC4-5D6E-409C-BE32-E72D297353CC}">
              <c16:uniqueId val="{00000003-7499-45E6-99D9-0791BB3B3892}"/>
            </c:ext>
          </c:extLst>
        </c:ser>
        <c:dLbls>
          <c:showLegendKey val="0"/>
          <c:showVal val="0"/>
          <c:showCatName val="0"/>
          <c:showSerName val="0"/>
          <c:showPercent val="0"/>
          <c:showBubbleSize val="0"/>
        </c:dLbls>
        <c:gapWidth val="25"/>
        <c:overlap val="100"/>
        <c:axId val="763408447"/>
        <c:axId val="763396447"/>
      </c:barChart>
      <c:catAx>
        <c:axId val="763408447"/>
        <c:scaling>
          <c:orientation val="minMax"/>
        </c:scaling>
        <c:delete val="1"/>
        <c:axPos val="l"/>
        <c:numFmt formatCode="General" sourceLinked="1"/>
        <c:majorTickMark val="none"/>
        <c:minorTickMark val="none"/>
        <c:tickLblPos val="nextTo"/>
        <c:crossAx val="763396447"/>
        <c:crosses val="autoZero"/>
        <c:auto val="1"/>
        <c:lblAlgn val="ctr"/>
        <c:lblOffset val="100"/>
        <c:noMultiLvlLbl val="0"/>
      </c:catAx>
      <c:valAx>
        <c:axId val="763396447"/>
        <c:scaling>
          <c:orientation val="minMax"/>
          <c:min val="0"/>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63408447"/>
        <c:crosses val="autoZero"/>
        <c:crossBetween val="between"/>
        <c:maj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a:t>15. What is your sex?</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IndividualReport!$N$256</c:f>
              <c:strCache>
                <c:ptCount val="1"/>
                <c:pt idx="0">
                  <c:v>Female</c:v>
                </c:pt>
              </c:strCache>
            </c:strRef>
          </c:tx>
          <c:spPr>
            <a:solidFill>
              <a:schemeClr val="accent1"/>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4-B427-4E69-BE0C-A64AAA8DCC88}"/>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IndividualReport!$Q$256</c:f>
              <c:numCache>
                <c:formatCode>0%</c:formatCode>
                <c:ptCount val="1"/>
                <c:pt idx="0">
                  <c:v>#N/A</c:v>
                </c:pt>
              </c:numCache>
            </c:numRef>
          </c:val>
          <c:extLst>
            <c:ext xmlns:c16="http://schemas.microsoft.com/office/drawing/2014/chart" uri="{C3380CC4-5D6E-409C-BE32-E72D297353CC}">
              <c16:uniqueId val="{00000002-B427-4E69-BE0C-A64AAA8DCC88}"/>
            </c:ext>
          </c:extLst>
        </c:ser>
        <c:ser>
          <c:idx val="1"/>
          <c:order val="1"/>
          <c:tx>
            <c:strRef>
              <c:f>IndividualReport!$N$257</c:f>
              <c:strCache>
                <c:ptCount val="1"/>
                <c:pt idx="0">
                  <c:v>Male</c:v>
                </c:pt>
              </c:strCache>
            </c:strRef>
          </c:tx>
          <c:spPr>
            <a:solidFill>
              <a:schemeClr val="accent2"/>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5-B427-4E69-BE0C-A64AAA8DCC88}"/>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IndividualReport!$Q$257</c:f>
              <c:numCache>
                <c:formatCode>0%</c:formatCode>
                <c:ptCount val="1"/>
                <c:pt idx="0">
                  <c:v>#N/A</c:v>
                </c:pt>
              </c:numCache>
            </c:numRef>
          </c:val>
          <c:extLst>
            <c:ext xmlns:c16="http://schemas.microsoft.com/office/drawing/2014/chart" uri="{C3380CC4-5D6E-409C-BE32-E72D297353CC}">
              <c16:uniqueId val="{00000003-B427-4E69-BE0C-A64AAA8DCC88}"/>
            </c:ext>
          </c:extLst>
        </c:ser>
        <c:dLbls>
          <c:showLegendKey val="0"/>
          <c:showVal val="0"/>
          <c:showCatName val="0"/>
          <c:showSerName val="0"/>
          <c:showPercent val="0"/>
          <c:showBubbleSize val="0"/>
        </c:dLbls>
        <c:gapWidth val="25"/>
        <c:overlap val="100"/>
        <c:axId val="100745824"/>
        <c:axId val="100751104"/>
      </c:barChart>
      <c:catAx>
        <c:axId val="100745824"/>
        <c:scaling>
          <c:orientation val="minMax"/>
        </c:scaling>
        <c:delete val="1"/>
        <c:axPos val="l"/>
        <c:numFmt formatCode="General" sourceLinked="1"/>
        <c:majorTickMark val="none"/>
        <c:minorTickMark val="none"/>
        <c:tickLblPos val="nextTo"/>
        <c:crossAx val="100751104"/>
        <c:crosses val="autoZero"/>
        <c:auto val="1"/>
        <c:lblAlgn val="ctr"/>
        <c:lblOffset val="100"/>
        <c:noMultiLvlLbl val="0"/>
      </c:catAx>
      <c:valAx>
        <c:axId val="1007511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00745824"/>
        <c:crosses val="autoZero"/>
        <c:crossBetween val="between"/>
        <c:maj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a:t>16. Is the gender you identify with the same as your sex registered at birth?</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IndividualReport!$N$260</c:f>
              <c:strCache>
                <c:ptCount val="1"/>
                <c:pt idx="0">
                  <c:v>Yes</c:v>
                </c:pt>
              </c:strCache>
            </c:strRef>
          </c:tx>
          <c:spPr>
            <a:solidFill>
              <a:schemeClr val="accent1"/>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1-729C-4EFB-9D6A-CB9B76F7ABA9}"/>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IndividualReport!$Q$260</c:f>
              <c:numCache>
                <c:formatCode>0%</c:formatCode>
                <c:ptCount val="1"/>
                <c:pt idx="0">
                  <c:v>#N/A</c:v>
                </c:pt>
              </c:numCache>
            </c:numRef>
          </c:val>
          <c:extLst>
            <c:ext xmlns:c16="http://schemas.microsoft.com/office/drawing/2014/chart" uri="{C3380CC4-5D6E-409C-BE32-E72D297353CC}">
              <c16:uniqueId val="{00000002-729C-4EFB-9D6A-CB9B76F7ABA9}"/>
            </c:ext>
          </c:extLst>
        </c:ser>
        <c:ser>
          <c:idx val="1"/>
          <c:order val="1"/>
          <c:tx>
            <c:strRef>
              <c:f>IndividualReport!$N$261</c:f>
              <c:strCache>
                <c:ptCount val="1"/>
                <c:pt idx="0">
                  <c:v>No</c:v>
                </c:pt>
              </c:strCache>
            </c:strRef>
          </c:tx>
          <c:spPr>
            <a:solidFill>
              <a:schemeClr val="accent2"/>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4-729C-4EFB-9D6A-CB9B76F7ABA9}"/>
              </c:ext>
            </c:extLst>
          </c:dPt>
          <c:dLbls>
            <c:dLbl>
              <c:idx val="0"/>
              <c:spPr>
                <a:solidFill>
                  <a:schemeClr val="accent6">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729C-4EFB-9D6A-CB9B76F7ABA9}"/>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IndividualReport!$Q$261</c:f>
              <c:numCache>
                <c:formatCode>0%</c:formatCode>
                <c:ptCount val="1"/>
                <c:pt idx="0">
                  <c:v>#N/A</c:v>
                </c:pt>
              </c:numCache>
            </c:numRef>
          </c:val>
          <c:extLst>
            <c:ext xmlns:c16="http://schemas.microsoft.com/office/drawing/2014/chart" uri="{C3380CC4-5D6E-409C-BE32-E72D297353CC}">
              <c16:uniqueId val="{00000005-729C-4EFB-9D6A-CB9B76F7ABA9}"/>
            </c:ext>
          </c:extLst>
        </c:ser>
        <c:dLbls>
          <c:showLegendKey val="0"/>
          <c:showVal val="0"/>
          <c:showCatName val="0"/>
          <c:showSerName val="0"/>
          <c:showPercent val="0"/>
          <c:showBubbleSize val="0"/>
        </c:dLbls>
        <c:gapWidth val="25"/>
        <c:overlap val="100"/>
        <c:axId val="100745824"/>
        <c:axId val="100751104"/>
      </c:barChart>
      <c:catAx>
        <c:axId val="100745824"/>
        <c:scaling>
          <c:orientation val="minMax"/>
        </c:scaling>
        <c:delete val="1"/>
        <c:axPos val="l"/>
        <c:numFmt formatCode="General" sourceLinked="1"/>
        <c:majorTickMark val="none"/>
        <c:minorTickMark val="none"/>
        <c:tickLblPos val="nextTo"/>
        <c:crossAx val="100751104"/>
        <c:crosses val="autoZero"/>
        <c:auto val="1"/>
        <c:lblAlgn val="ctr"/>
        <c:lblOffset val="100"/>
        <c:noMultiLvlLbl val="0"/>
      </c:catAx>
      <c:valAx>
        <c:axId val="100751104"/>
        <c:scaling>
          <c:orientation val="minMax"/>
          <c:max val="1"/>
          <c:min val="0"/>
        </c:scaling>
        <c:delete val="1"/>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100745824"/>
        <c:crosses val="autoZero"/>
        <c:crossBetween val="between"/>
        <c:maj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IndividualReport!$M$264</c:f>
              <c:strCache>
                <c:ptCount val="1"/>
                <c:pt idx="0">
                  <c:v>17. Your age?</c:v>
                </c:pt>
              </c:strCache>
            </c:strRef>
          </c:tx>
          <c:spPr>
            <a:solidFill>
              <a:schemeClr val="accent4">
                <a:lumMod val="75000"/>
              </a:schemeClr>
            </a:solidFill>
            <a:ln>
              <a:noFill/>
            </a:ln>
            <a:effectLst/>
          </c:spPr>
          <c:invertIfNegative val="0"/>
          <c:dLbls>
            <c:spPr>
              <a:solidFill>
                <a:schemeClr val="accent4">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IndividualReport!$N$264:$N$268</c:f>
              <c:strCache>
                <c:ptCount val="5"/>
                <c:pt idx="0">
                  <c:v>Under 25</c:v>
                </c:pt>
                <c:pt idx="1">
                  <c:v>25 to 44</c:v>
                </c:pt>
                <c:pt idx="2">
                  <c:v>45 to 64</c:v>
                </c:pt>
                <c:pt idx="3">
                  <c:v>65 to 74</c:v>
                </c:pt>
                <c:pt idx="4">
                  <c:v>75 or over</c:v>
                </c:pt>
              </c:strCache>
            </c:strRef>
          </c:cat>
          <c:val>
            <c:numRef>
              <c:f>IndividualReport!$Q$264:$Q$268</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4CF8-4131-95B9-1998A6CB6E53}"/>
            </c:ext>
          </c:extLst>
        </c:ser>
        <c:dLbls>
          <c:showLegendKey val="0"/>
          <c:showVal val="0"/>
          <c:showCatName val="0"/>
          <c:showSerName val="0"/>
          <c:showPercent val="0"/>
          <c:showBubbleSize val="0"/>
        </c:dLbls>
        <c:gapWidth val="25"/>
        <c:overlap val="-27"/>
        <c:axId val="1994782416"/>
        <c:axId val="1994784336"/>
      </c:barChart>
      <c:catAx>
        <c:axId val="1994782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4784336"/>
        <c:crosses val="autoZero"/>
        <c:auto val="1"/>
        <c:lblAlgn val="ctr"/>
        <c:lblOffset val="100"/>
        <c:noMultiLvlLbl val="0"/>
      </c:catAx>
      <c:valAx>
        <c:axId val="199478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4782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IndividualReport!$N$269</c:f>
              <c:strCache>
                <c:ptCount val="1"/>
                <c:pt idx="0">
                  <c:v>Average age</c:v>
                </c:pt>
              </c:strCache>
            </c:strRef>
          </c:tx>
          <c:spPr>
            <a:solidFill>
              <a:schemeClr val="accent1"/>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2-3BCA-40A7-AA94-B2CBFDED3371}"/>
              </c:ext>
            </c:extLst>
          </c:dPt>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Georgia" panose="02040502050405020303" pitchFamily="18" charset="0"/>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IndividualReport!$Q$269</c:f>
              <c:numCache>
                <c:formatCode>#,##0.0</c:formatCode>
                <c:ptCount val="1"/>
                <c:pt idx="0">
                  <c:v>#N/A</c:v>
                </c:pt>
              </c:numCache>
            </c:numRef>
          </c:val>
          <c:extLst>
            <c:ext xmlns:c16="http://schemas.microsoft.com/office/drawing/2014/chart" uri="{C3380CC4-5D6E-409C-BE32-E72D297353CC}">
              <c16:uniqueId val="{00000000-3BCA-40A7-AA94-B2CBFDED3371}"/>
            </c:ext>
          </c:extLst>
        </c:ser>
        <c:ser>
          <c:idx val="1"/>
          <c:order val="1"/>
          <c:tx>
            <c:strRef>
              <c:f>IndividualReport!$R$269</c:f>
              <c:strCache>
                <c:ptCount val="1"/>
                <c:pt idx="0">
                  <c:v>#N/A</c:v>
                </c:pt>
              </c:strCache>
            </c:strRef>
          </c:tx>
          <c:spPr>
            <a:solidFill>
              <a:schemeClr val="accent4">
                <a:lumMod val="20000"/>
                <a:lumOff val="80000"/>
              </a:schemeClr>
            </a:solidFill>
            <a:ln>
              <a:noFill/>
            </a:ln>
            <a:effectLst/>
          </c:spPr>
          <c:invertIfNegative val="0"/>
          <c:val>
            <c:numRef>
              <c:f>IndividualReport!$R$269</c:f>
              <c:numCache>
                <c:formatCode>#,##0.0</c:formatCode>
                <c:ptCount val="1"/>
                <c:pt idx="0">
                  <c:v>#N/A</c:v>
                </c:pt>
              </c:numCache>
            </c:numRef>
          </c:val>
          <c:extLst>
            <c:ext xmlns:c16="http://schemas.microsoft.com/office/drawing/2014/chart" uri="{C3380CC4-5D6E-409C-BE32-E72D297353CC}">
              <c16:uniqueId val="{00000001-3BCA-40A7-AA94-B2CBFDED3371}"/>
            </c:ext>
          </c:extLst>
        </c:ser>
        <c:dLbls>
          <c:showLegendKey val="0"/>
          <c:showVal val="0"/>
          <c:showCatName val="0"/>
          <c:showSerName val="0"/>
          <c:showPercent val="0"/>
          <c:showBubbleSize val="0"/>
        </c:dLbls>
        <c:gapWidth val="25"/>
        <c:overlap val="100"/>
        <c:axId val="49857056"/>
        <c:axId val="49858016"/>
      </c:barChart>
      <c:catAx>
        <c:axId val="49857056"/>
        <c:scaling>
          <c:orientation val="minMax"/>
        </c:scaling>
        <c:delete val="1"/>
        <c:axPos val="l"/>
        <c:majorTickMark val="none"/>
        <c:minorTickMark val="none"/>
        <c:tickLblPos val="nextTo"/>
        <c:crossAx val="49858016"/>
        <c:crosses val="autoZero"/>
        <c:auto val="1"/>
        <c:lblAlgn val="ctr"/>
        <c:lblOffset val="100"/>
        <c:noMultiLvlLbl val="0"/>
      </c:catAx>
      <c:valAx>
        <c:axId val="49858016"/>
        <c:scaling>
          <c:orientation val="minMax"/>
          <c:min val="0"/>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49857056"/>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IndividualReport!$M$272</c:f>
              <c:strCache>
                <c:ptCount val="1"/>
                <c:pt idx="0">
                  <c:v>18. (a) If you are a UK resident, what is your postcode? 
By Index of Multiple Deprivation (IMD)</c:v>
                </c:pt>
              </c:strCache>
            </c:strRef>
          </c:tx>
          <c:spPr>
            <a:solidFill>
              <a:schemeClr val="accent4">
                <a:lumMod val="75000"/>
              </a:schemeClr>
            </a:solidFill>
            <a:ln>
              <a:noFill/>
            </a:ln>
            <a:effectLst/>
          </c:spPr>
          <c:invertIfNegative val="0"/>
          <c:dLbls>
            <c:spPr>
              <a:solidFill>
                <a:schemeClr val="accent4">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IndividualReport!$N$272:$N$281</c:f>
              <c:strCache>
                <c:ptCount val="10"/>
                <c:pt idx="0">
                  <c:v>1st decile (most deprived)</c:v>
                </c:pt>
                <c:pt idx="1">
                  <c:v>2nd decile</c:v>
                </c:pt>
                <c:pt idx="2">
                  <c:v>3rd decile</c:v>
                </c:pt>
                <c:pt idx="3">
                  <c:v>4th decile</c:v>
                </c:pt>
                <c:pt idx="4">
                  <c:v>5th decile</c:v>
                </c:pt>
                <c:pt idx="5">
                  <c:v>6th decile</c:v>
                </c:pt>
                <c:pt idx="6">
                  <c:v>7th decile</c:v>
                </c:pt>
                <c:pt idx="7">
                  <c:v>8th decile</c:v>
                </c:pt>
                <c:pt idx="8">
                  <c:v>9th decile</c:v>
                </c:pt>
                <c:pt idx="9">
                  <c:v>10th decile (least deprived)</c:v>
                </c:pt>
              </c:strCache>
            </c:strRef>
          </c:cat>
          <c:val>
            <c:numRef>
              <c:f>IndividualReport!$Q$272:$Q$281</c:f>
              <c:numCache>
                <c:formatCode>0%</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D5CE-4E8E-8AE0-F98A34A9A938}"/>
            </c:ext>
          </c:extLst>
        </c:ser>
        <c:dLbls>
          <c:showLegendKey val="0"/>
          <c:showVal val="0"/>
          <c:showCatName val="0"/>
          <c:showSerName val="0"/>
          <c:showPercent val="0"/>
          <c:showBubbleSize val="0"/>
        </c:dLbls>
        <c:gapWidth val="25"/>
        <c:overlap val="-27"/>
        <c:axId val="106376256"/>
        <c:axId val="106365696"/>
      </c:barChart>
      <c:catAx>
        <c:axId val="10637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06365696"/>
        <c:crosses val="autoZero"/>
        <c:auto val="1"/>
        <c:lblAlgn val="ctr"/>
        <c:lblOffset val="100"/>
        <c:noMultiLvlLbl val="0"/>
      </c:catAx>
      <c:valAx>
        <c:axId val="10636569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063762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ofPieChart>
        <c:ofPieType val="bar"/>
        <c:varyColors val="1"/>
        <c:ser>
          <c:idx val="0"/>
          <c:order val="0"/>
          <c:tx>
            <c:strRef>
              <c:f>IndividualReport!$M$291</c:f>
              <c:strCache>
                <c:ptCount val="1"/>
                <c:pt idx="0">
                  <c:v>19. What is your ethnic group? </c:v>
                </c:pt>
              </c:strCache>
            </c:strRef>
          </c:tx>
          <c:dPt>
            <c:idx val="0"/>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2-59D9-4FDC-9BD8-94BA38FF09EE}"/>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3-59D9-4FDC-9BD8-94BA38FF09EE}"/>
              </c:ext>
            </c:extLst>
          </c:dPt>
          <c:dPt>
            <c:idx val="2"/>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4-59D9-4FDC-9BD8-94BA38FF09EE}"/>
              </c:ext>
            </c:extLst>
          </c:dPt>
          <c:dPt>
            <c:idx val="3"/>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5-59D9-4FDC-9BD8-94BA38FF09EE}"/>
              </c:ext>
            </c:extLst>
          </c:dPt>
          <c:dPt>
            <c:idx val="4"/>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06-59D9-4FDC-9BD8-94BA38FF09EE}"/>
              </c:ext>
            </c:extLst>
          </c:dPt>
          <c:dPt>
            <c:idx val="5"/>
            <c:bubble3D val="0"/>
            <c:spPr>
              <a:noFill/>
              <a:ln w="19050">
                <a:solidFill>
                  <a:schemeClr val="lt1"/>
                </a:solidFill>
              </a:ln>
              <a:effectLst/>
            </c:spPr>
            <c:extLst>
              <c:ext xmlns:c16="http://schemas.microsoft.com/office/drawing/2014/chart" uri="{C3380CC4-5D6E-409C-BE32-E72D297353CC}">
                <c16:uniqueId val="{00000001-59D9-4FDC-9BD8-94BA38FF09EE}"/>
              </c:ext>
            </c:extLst>
          </c:dPt>
          <c:dLbls>
            <c:dLbl>
              <c:idx val="5"/>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D9-4FDC-9BD8-94BA38FF09EE}"/>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ct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IndividualReport!$N$291:$N$295</c:f>
              <c:strCache>
                <c:ptCount val="5"/>
                <c:pt idx="0">
                  <c:v>#N/A</c:v>
                </c:pt>
                <c:pt idx="1">
                  <c:v>#N/A</c:v>
                </c:pt>
                <c:pt idx="2">
                  <c:v>#N/A</c:v>
                </c:pt>
                <c:pt idx="3">
                  <c:v>#N/A</c:v>
                </c:pt>
                <c:pt idx="4">
                  <c:v>Other</c:v>
                </c:pt>
              </c:strCache>
            </c:strRef>
          </c:cat>
          <c:val>
            <c:numRef>
              <c:f>IndividualReport!$Q$291:$Q$295</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59D9-4FDC-9BD8-94BA38FF09EE}"/>
            </c:ext>
          </c:extLst>
        </c:ser>
        <c:dLbls>
          <c:showLegendKey val="0"/>
          <c:showVal val="0"/>
          <c:showCatName val="0"/>
          <c:showSerName val="0"/>
          <c:showPercent val="0"/>
          <c:showBubbleSize val="0"/>
          <c:showLeaderLines val="1"/>
        </c:dLbls>
        <c:gapWidth val="100"/>
        <c:splitType val="percent"/>
        <c:splitPos val="10"/>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a:t>20. (a) Do you have any long-lasting physical or mental health conditions?</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IndividualReport!$N$298</c:f>
              <c:strCache>
                <c:ptCount val="1"/>
                <c:pt idx="0">
                  <c:v>Yes</c:v>
                </c:pt>
              </c:strCache>
            </c:strRef>
          </c:tx>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IndividualReport!$Q$298</c:f>
              <c:numCache>
                <c:formatCode>0%</c:formatCode>
                <c:ptCount val="1"/>
                <c:pt idx="0">
                  <c:v>#N/A</c:v>
                </c:pt>
              </c:numCache>
            </c:numRef>
          </c:val>
          <c:extLst>
            <c:ext xmlns:c16="http://schemas.microsoft.com/office/drawing/2014/chart" uri="{C3380CC4-5D6E-409C-BE32-E72D297353CC}">
              <c16:uniqueId val="{00000000-1B5C-4D39-AC00-382201FE9876}"/>
            </c:ext>
          </c:extLst>
        </c:ser>
        <c:ser>
          <c:idx val="1"/>
          <c:order val="1"/>
          <c:tx>
            <c:strRef>
              <c:f>IndividualReport!$N$299</c:f>
              <c:strCache>
                <c:ptCount val="1"/>
                <c:pt idx="0">
                  <c:v>No</c:v>
                </c:pt>
              </c:strCache>
            </c:strRef>
          </c:tx>
          <c:spPr>
            <a:solidFill>
              <a:schemeClr val="accent2"/>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2-1B5C-4D39-AC00-382201FE9876}"/>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IndividualReport!$Q$299</c:f>
              <c:numCache>
                <c:formatCode>0%</c:formatCode>
                <c:ptCount val="1"/>
                <c:pt idx="0">
                  <c:v>#N/A</c:v>
                </c:pt>
              </c:numCache>
            </c:numRef>
          </c:val>
          <c:extLst>
            <c:ext xmlns:c16="http://schemas.microsoft.com/office/drawing/2014/chart" uri="{C3380CC4-5D6E-409C-BE32-E72D297353CC}">
              <c16:uniqueId val="{00000001-1B5C-4D39-AC00-382201FE9876}"/>
            </c:ext>
          </c:extLst>
        </c:ser>
        <c:dLbls>
          <c:showLegendKey val="0"/>
          <c:showVal val="0"/>
          <c:showCatName val="0"/>
          <c:showSerName val="0"/>
          <c:showPercent val="0"/>
          <c:showBubbleSize val="0"/>
        </c:dLbls>
        <c:gapWidth val="25"/>
        <c:overlap val="100"/>
        <c:axId val="103574224"/>
        <c:axId val="103588144"/>
      </c:barChart>
      <c:catAx>
        <c:axId val="103574224"/>
        <c:scaling>
          <c:orientation val="minMax"/>
        </c:scaling>
        <c:delete val="1"/>
        <c:axPos val="l"/>
        <c:majorTickMark val="none"/>
        <c:minorTickMark val="none"/>
        <c:tickLblPos val="nextTo"/>
        <c:crossAx val="103588144"/>
        <c:crosses val="autoZero"/>
        <c:auto val="1"/>
        <c:lblAlgn val="ctr"/>
        <c:lblOffset val="100"/>
        <c:noMultiLvlLbl val="0"/>
      </c:catAx>
      <c:valAx>
        <c:axId val="10358814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03574224"/>
        <c:crosses val="autoZero"/>
        <c:crossBetween val="between"/>
        <c:maj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a:t>1. About your visit</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percentStacked"/>
        <c:varyColors val="0"/>
        <c:ser>
          <c:idx val="0"/>
          <c:order val="0"/>
          <c:tx>
            <c:strRef>
              <c:f>IndividualReport!$Y$6</c:f>
              <c:strCache>
                <c:ptCount val="1"/>
                <c:pt idx="0">
                  <c:v>Yes</c:v>
                </c:pt>
              </c:strCache>
            </c:strRef>
          </c:tx>
          <c:spPr>
            <a:solidFill>
              <a:schemeClr val="accent4">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IndividualReport!$X$7:$X$9</c:f>
              <c:strCache>
                <c:ptCount val="3"/>
                <c:pt idx="0">
                  <c:v>(a) Is this your first visit to any archive?</c:v>
                </c:pt>
                <c:pt idx="1">
                  <c:v>(b) If No at (a) above, have you visited this archive before?</c:v>
                </c:pt>
                <c:pt idx="2">
                  <c:v>(c) If Yes at (b) above, are you a regular user of this archive?</c:v>
                </c:pt>
              </c:strCache>
            </c:strRef>
          </c:cat>
          <c:val>
            <c:numRef>
              <c:f>IndividualReport!$Y$7:$Y$9</c:f>
              <c:numCache>
                <c:formatCode>General</c:formatCode>
                <c:ptCount val="3"/>
                <c:pt idx="0">
                  <c:v>#N/A</c:v>
                </c:pt>
                <c:pt idx="1">
                  <c:v>#N/A</c:v>
                </c:pt>
                <c:pt idx="2">
                  <c:v>#N/A</c:v>
                </c:pt>
              </c:numCache>
            </c:numRef>
          </c:val>
          <c:extLst>
            <c:ext xmlns:c16="http://schemas.microsoft.com/office/drawing/2014/chart" uri="{C3380CC4-5D6E-409C-BE32-E72D297353CC}">
              <c16:uniqueId val="{00000000-A5D7-45F5-BC8B-080A202EC7F1}"/>
            </c:ext>
          </c:extLst>
        </c:ser>
        <c:ser>
          <c:idx val="1"/>
          <c:order val="1"/>
          <c:tx>
            <c:strRef>
              <c:f>IndividualReport!$Z$6</c:f>
              <c:strCache>
                <c:ptCount val="1"/>
                <c:pt idx="0">
                  <c:v>No</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IndividualReport!$X$7:$X$9</c:f>
              <c:strCache>
                <c:ptCount val="3"/>
                <c:pt idx="0">
                  <c:v>(a) Is this your first visit to any archive?</c:v>
                </c:pt>
                <c:pt idx="1">
                  <c:v>(b) If No at (a) above, have you visited this archive before?</c:v>
                </c:pt>
                <c:pt idx="2">
                  <c:v>(c) If Yes at (b) above, are you a regular user of this archive?</c:v>
                </c:pt>
              </c:strCache>
            </c:strRef>
          </c:cat>
          <c:val>
            <c:numRef>
              <c:f>IndividualReport!$Z$7:$Z$9</c:f>
              <c:numCache>
                <c:formatCode>General</c:formatCode>
                <c:ptCount val="3"/>
                <c:pt idx="0">
                  <c:v>#N/A</c:v>
                </c:pt>
                <c:pt idx="1">
                  <c:v>#N/A</c:v>
                </c:pt>
                <c:pt idx="2">
                  <c:v>#N/A</c:v>
                </c:pt>
              </c:numCache>
            </c:numRef>
          </c:val>
          <c:extLst>
            <c:ext xmlns:c16="http://schemas.microsoft.com/office/drawing/2014/chart" uri="{C3380CC4-5D6E-409C-BE32-E72D297353CC}">
              <c16:uniqueId val="{00000001-A5D7-45F5-BC8B-080A202EC7F1}"/>
            </c:ext>
          </c:extLst>
        </c:ser>
        <c:dLbls>
          <c:showLegendKey val="0"/>
          <c:showVal val="0"/>
          <c:showCatName val="0"/>
          <c:showSerName val="0"/>
          <c:showPercent val="0"/>
          <c:showBubbleSize val="0"/>
        </c:dLbls>
        <c:gapWidth val="25"/>
        <c:overlap val="100"/>
        <c:axId val="166206656"/>
        <c:axId val="166209536"/>
      </c:barChart>
      <c:catAx>
        <c:axId val="16620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66209536"/>
        <c:crosses val="autoZero"/>
        <c:auto val="1"/>
        <c:lblAlgn val="ctr"/>
        <c:lblOffset val="100"/>
        <c:noMultiLvlLbl val="0"/>
      </c:catAx>
      <c:valAx>
        <c:axId val="16620953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66206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a:t>13. What benefits have you experienced from using archives?  </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percentStacked"/>
        <c:varyColors val="0"/>
        <c:ser>
          <c:idx val="0"/>
          <c:order val="0"/>
          <c:tx>
            <c:strRef>
              <c:f>IndividualReport!$G$240</c:f>
              <c:strCache>
                <c:ptCount val="1"/>
                <c:pt idx="0">
                  <c:v>Agree</c:v>
                </c:pt>
              </c:strCache>
            </c:strRef>
          </c:tx>
          <c:spPr>
            <a:solidFill>
              <a:schemeClr val="accent3">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IndividualReport!$Y$240:$Y$243</c:f>
              <c:numCache>
                <c:formatCode>General</c:formatCode>
                <c:ptCount val="4"/>
                <c:pt idx="0">
                  <c:v>#N/A</c:v>
                </c:pt>
                <c:pt idx="1">
                  <c:v>#N/A</c:v>
                </c:pt>
                <c:pt idx="2">
                  <c:v>#N/A</c:v>
                </c:pt>
                <c:pt idx="3">
                  <c:v>#N/A</c:v>
                </c:pt>
              </c:numCache>
            </c:numRef>
          </c:cat>
          <c:val>
            <c:numRef>
              <c:f>IndividualReport!$Z$240:$Z$243</c:f>
              <c:numCache>
                <c:formatCode>General</c:formatCode>
                <c:ptCount val="4"/>
                <c:pt idx="0">
                  <c:v>#N/A</c:v>
                </c:pt>
                <c:pt idx="1">
                  <c:v>#N/A</c:v>
                </c:pt>
                <c:pt idx="2">
                  <c:v>#N/A</c:v>
                </c:pt>
                <c:pt idx="3">
                  <c:v>#N/A</c:v>
                </c:pt>
              </c:numCache>
            </c:numRef>
          </c:val>
          <c:extLst>
            <c:ext xmlns:c16="http://schemas.microsoft.com/office/drawing/2014/chart" uri="{C3380CC4-5D6E-409C-BE32-E72D297353CC}">
              <c16:uniqueId val="{00000000-DBC6-43F6-9EEE-46A47108A917}"/>
            </c:ext>
          </c:extLst>
        </c:ser>
        <c:ser>
          <c:idx val="1"/>
          <c:order val="1"/>
          <c:tx>
            <c:strRef>
              <c:f>IndividualReport!$H$240</c:f>
              <c:strCache>
                <c:ptCount val="1"/>
                <c:pt idx="0">
                  <c:v>Disagree</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IndividualReport!$Y$240:$Y$243</c:f>
              <c:numCache>
                <c:formatCode>General</c:formatCode>
                <c:ptCount val="4"/>
                <c:pt idx="0">
                  <c:v>#N/A</c:v>
                </c:pt>
                <c:pt idx="1">
                  <c:v>#N/A</c:v>
                </c:pt>
                <c:pt idx="2">
                  <c:v>#N/A</c:v>
                </c:pt>
                <c:pt idx="3">
                  <c:v>#N/A</c:v>
                </c:pt>
              </c:numCache>
            </c:numRef>
          </c:cat>
          <c:val>
            <c:numRef>
              <c:f>IndividualReport!$AA$240:$AA$243</c:f>
              <c:numCache>
                <c:formatCode>General</c:formatCode>
                <c:ptCount val="4"/>
                <c:pt idx="0">
                  <c:v>#N/A</c:v>
                </c:pt>
                <c:pt idx="1">
                  <c:v>#N/A</c:v>
                </c:pt>
                <c:pt idx="2">
                  <c:v>#N/A</c:v>
                </c:pt>
                <c:pt idx="3">
                  <c:v>#N/A</c:v>
                </c:pt>
              </c:numCache>
            </c:numRef>
          </c:val>
          <c:extLst>
            <c:ext xmlns:c16="http://schemas.microsoft.com/office/drawing/2014/chart" uri="{C3380CC4-5D6E-409C-BE32-E72D297353CC}">
              <c16:uniqueId val="{00000001-DBC6-43F6-9EEE-46A47108A917}"/>
            </c:ext>
          </c:extLst>
        </c:ser>
        <c:dLbls>
          <c:showLegendKey val="0"/>
          <c:showVal val="0"/>
          <c:showCatName val="0"/>
          <c:showSerName val="0"/>
          <c:showPercent val="0"/>
          <c:showBubbleSize val="0"/>
        </c:dLbls>
        <c:gapWidth val="25"/>
        <c:overlap val="100"/>
        <c:axId val="103580464"/>
        <c:axId val="103600624"/>
      </c:barChart>
      <c:catAx>
        <c:axId val="103580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03600624"/>
        <c:crosses val="autoZero"/>
        <c:auto val="1"/>
        <c:lblAlgn val="ctr"/>
        <c:lblOffset val="100"/>
        <c:noMultiLvlLbl val="0"/>
      </c:catAx>
      <c:valAx>
        <c:axId val="103600624"/>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035804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IndividualReport!$N$45</c:f>
              <c:strCache>
                <c:ptCount val="1"/>
                <c:pt idx="0">
                  <c:v>Opening hours</c:v>
                </c:pt>
              </c:strCache>
            </c:strRef>
          </c:tx>
          <c:spPr>
            <a:solidFill>
              <a:schemeClr val="accent4">
                <a:lumMod val="75000"/>
              </a:schemeClr>
            </a:solidFill>
            <a:ln>
              <a:noFill/>
            </a:ln>
            <a:effectLst/>
          </c:spPr>
          <c:invertIfNegative val="0"/>
          <c:dLbls>
            <c:spPr>
              <a:solidFill>
                <a:schemeClr val="accent4">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IndividualReport!$O$45:$O$49</c:f>
              <c:strCache>
                <c:ptCount val="5"/>
                <c:pt idx="0">
                  <c:v>Very statisfied</c:v>
                </c:pt>
                <c:pt idx="1">
                  <c:v>Satisfied</c:v>
                </c:pt>
                <c:pt idx="2">
                  <c:v>Neither</c:v>
                </c:pt>
                <c:pt idx="3">
                  <c:v>Not very satisfied</c:v>
                </c:pt>
                <c:pt idx="4">
                  <c:v>Not at all satisfied</c:v>
                </c:pt>
              </c:strCache>
            </c:strRef>
          </c:cat>
          <c:val>
            <c:numRef>
              <c:f>IndividualReport!$Q$45:$Q$49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C409-46F2-A7FC-AA6547827E7F}"/>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A: THE REASON FOR YOUR VISIT</a:t>
            </a:r>
            <a:r>
              <a:rPr lang="en-GB" sz="1050" b="0" i="0" u="none" strike="noStrike" baseline="0"/>
              <a:t> </a:t>
            </a:r>
            <a:r>
              <a:rPr lang="en-GB" sz="1050" b="1" i="0" u="none" strike="noStrike" baseline="0">
                <a:effectLst/>
              </a:rPr>
              <a:t>1. About your visit</a:t>
            </a:r>
            <a:r>
              <a:rPr lang="en-GB" sz="1050" b="0" i="0" u="none" strike="noStrike" baseline="0"/>
              <a:t> </a:t>
            </a:r>
            <a:r>
              <a:rPr lang="en-GB" sz="1050" b="1" i="0" u="none" strike="noStrike" baseline="0">
                <a:effectLst/>
              </a:rPr>
              <a:t>(a) Is this your first visit to any archive?</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ComparisonReport!$J$4</c:f>
              <c:strCache>
                <c:ptCount val="1"/>
                <c:pt idx="0">
                  <c:v>Yes</c:v>
                </c:pt>
              </c:strCache>
            </c:strRef>
          </c:tx>
          <c:spPr>
            <a:solidFill>
              <a:schemeClr val="accent4">
                <a:lumMod val="75000"/>
              </a:schemeClr>
            </a:solidFill>
            <a:ln>
              <a:noFill/>
            </a:ln>
            <a:effectLst/>
          </c:spPr>
          <c:invertIfNegative val="0"/>
          <c:cat>
            <c:strRef>
              <c:f>[0]!a__Is_this_your_first_visit_to_any_archive?_lbl</c:f>
              <c:strCache>
                <c:ptCount val="1"/>
                <c:pt idx="0">
                  <c:v>TOTAL</c:v>
                </c:pt>
              </c:strCache>
            </c:strRef>
          </c:cat>
          <c:val>
            <c:numRef>
              <c:f>[0]!a__Is_this_your_first_visit_to_any_archive?_y</c:f>
              <c:numCache>
                <c:formatCode>0%</c:formatCode>
                <c:ptCount val="1"/>
                <c:pt idx="0">
                  <c:v>0.19353999999999999</c:v>
                </c:pt>
              </c:numCache>
            </c:numRef>
          </c:val>
          <c:extLst>
            <c:ext xmlns:c16="http://schemas.microsoft.com/office/drawing/2014/chart" uri="{C3380CC4-5D6E-409C-BE32-E72D297353CC}">
              <c16:uniqueId val="{00000000-7D53-406C-86F0-5CF12027AA6E}"/>
            </c:ext>
          </c:extLst>
        </c:ser>
        <c:ser>
          <c:idx val="1"/>
          <c:order val="1"/>
          <c:tx>
            <c:strRef>
              <c:f>ComparisonReport!$K$4</c:f>
              <c:strCache>
                <c:ptCount val="1"/>
                <c:pt idx="0">
                  <c:v>No</c:v>
                </c:pt>
              </c:strCache>
            </c:strRef>
          </c:tx>
          <c:spPr>
            <a:solidFill>
              <a:schemeClr val="accent6">
                <a:lumMod val="75000"/>
              </a:schemeClr>
            </a:solidFill>
            <a:ln>
              <a:noFill/>
            </a:ln>
            <a:effectLst/>
          </c:spPr>
          <c:invertIfNegative val="0"/>
          <c:cat>
            <c:strRef>
              <c:f>[0]!a__Is_this_your_first_visit_to_any_archive?_lbl</c:f>
              <c:strCache>
                <c:ptCount val="1"/>
                <c:pt idx="0">
                  <c:v>TOTAL</c:v>
                </c:pt>
              </c:strCache>
            </c:strRef>
          </c:cat>
          <c:val>
            <c:numRef>
              <c:f>[0]!a__Is_this_your_first_visit_to_any_archive?_n</c:f>
              <c:numCache>
                <c:formatCode>0%</c:formatCode>
                <c:ptCount val="1"/>
                <c:pt idx="0">
                  <c:v>0.80645999999999995</c:v>
                </c:pt>
              </c:numCache>
            </c:numRef>
          </c:val>
          <c:extLst>
            <c:ext xmlns:c16="http://schemas.microsoft.com/office/drawing/2014/chart" uri="{C3380CC4-5D6E-409C-BE32-E72D297353CC}">
              <c16:uniqueId val="{00000001-7D53-406C-86F0-5CF12027AA6E}"/>
            </c:ext>
          </c:extLst>
        </c:ser>
        <c:dLbls>
          <c:showLegendKey val="0"/>
          <c:showVal val="0"/>
          <c:showCatName val="0"/>
          <c:showSerName val="0"/>
          <c:showPercent val="0"/>
          <c:showBubbleSize val="0"/>
        </c:dLbls>
        <c:gapWidth val="25"/>
        <c:overlap val="100"/>
        <c:axId val="1821177583"/>
        <c:axId val="1821176143"/>
      </c:barChart>
      <c:catAx>
        <c:axId val="182117758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821176143"/>
        <c:crosses val="autoZero"/>
        <c:auto val="1"/>
        <c:lblAlgn val="ctr"/>
        <c:lblOffset val="100"/>
        <c:noMultiLvlLbl val="0"/>
      </c:catAx>
      <c:valAx>
        <c:axId val="1821176143"/>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21177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A: THE REASON FOR YOUR VISIT</a:t>
            </a:r>
            <a:r>
              <a:rPr lang="en-GB" sz="1050" b="0" i="0" u="none" strike="noStrike" baseline="0"/>
              <a:t> </a:t>
            </a:r>
            <a:r>
              <a:rPr lang="en-GB" sz="1050" b="1" i="0" u="none" strike="noStrike" baseline="0">
                <a:effectLst/>
              </a:rPr>
              <a:t>1. About your visit</a:t>
            </a:r>
            <a:r>
              <a:rPr lang="en-GB" sz="1050" b="0" i="0" u="none" strike="noStrike" baseline="0"/>
              <a:t> </a:t>
            </a:r>
            <a:r>
              <a:rPr lang="en-GB" sz="1050" b="1" i="0" u="none" strike="noStrike" baseline="0">
                <a:effectLst/>
              </a:rPr>
              <a:t>(b) If No at (a) above, have you visited this archive before?</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ComparisonReport!$J$122</c:f>
              <c:strCache>
                <c:ptCount val="1"/>
                <c:pt idx="0">
                  <c:v>Yes</c:v>
                </c:pt>
              </c:strCache>
            </c:strRef>
          </c:tx>
          <c:spPr>
            <a:solidFill>
              <a:schemeClr val="accent4">
                <a:lumMod val="75000"/>
              </a:schemeClr>
            </a:solidFill>
            <a:ln>
              <a:noFill/>
            </a:ln>
            <a:effectLst/>
          </c:spPr>
          <c:invertIfNegative val="0"/>
          <c:cat>
            <c:strRef>
              <c:f>[0]!b__If_No_at__a__above__have_you_visited_this_archive_before?_lbl</c:f>
              <c:strCache>
                <c:ptCount val="1"/>
                <c:pt idx="0">
                  <c:v>TOTAL</c:v>
                </c:pt>
              </c:strCache>
            </c:strRef>
          </c:cat>
          <c:val>
            <c:numRef>
              <c:f>[0]!b__If_No_at__a__above__have_you_visited_this_archive_before?_y</c:f>
              <c:numCache>
                <c:formatCode>0%</c:formatCode>
                <c:ptCount val="1"/>
                <c:pt idx="0">
                  <c:v>0.82584000000000002</c:v>
                </c:pt>
              </c:numCache>
            </c:numRef>
          </c:val>
          <c:extLst>
            <c:ext xmlns:c16="http://schemas.microsoft.com/office/drawing/2014/chart" uri="{C3380CC4-5D6E-409C-BE32-E72D297353CC}">
              <c16:uniqueId val="{00000000-CC0D-485B-9DCF-DAF85CA4A046}"/>
            </c:ext>
          </c:extLst>
        </c:ser>
        <c:ser>
          <c:idx val="1"/>
          <c:order val="1"/>
          <c:tx>
            <c:strRef>
              <c:f>ComparisonReport!$K$122</c:f>
              <c:strCache>
                <c:ptCount val="1"/>
                <c:pt idx="0">
                  <c:v>No</c:v>
                </c:pt>
              </c:strCache>
            </c:strRef>
          </c:tx>
          <c:spPr>
            <a:solidFill>
              <a:schemeClr val="accent6">
                <a:lumMod val="75000"/>
              </a:schemeClr>
            </a:solidFill>
            <a:ln>
              <a:noFill/>
            </a:ln>
            <a:effectLst/>
          </c:spPr>
          <c:invertIfNegative val="0"/>
          <c:cat>
            <c:strRef>
              <c:f>[0]!b__If_No_at__a__above__have_you_visited_this_archive_before?_lbl</c:f>
              <c:strCache>
                <c:ptCount val="1"/>
                <c:pt idx="0">
                  <c:v>TOTAL</c:v>
                </c:pt>
              </c:strCache>
            </c:strRef>
          </c:cat>
          <c:val>
            <c:numRef>
              <c:f>[0]!b__If_No_at__a__above__have_you_visited_this_archive_before?_n</c:f>
              <c:numCache>
                <c:formatCode>0%</c:formatCode>
                <c:ptCount val="1"/>
                <c:pt idx="0">
                  <c:v>0.17416000000000001</c:v>
                </c:pt>
              </c:numCache>
            </c:numRef>
          </c:val>
          <c:extLst>
            <c:ext xmlns:c16="http://schemas.microsoft.com/office/drawing/2014/chart" uri="{C3380CC4-5D6E-409C-BE32-E72D297353CC}">
              <c16:uniqueId val="{00000001-CC0D-485B-9DCF-DAF85CA4A046}"/>
            </c:ext>
          </c:extLst>
        </c:ser>
        <c:dLbls>
          <c:showLegendKey val="0"/>
          <c:showVal val="0"/>
          <c:showCatName val="0"/>
          <c:showSerName val="0"/>
          <c:showPercent val="0"/>
          <c:showBubbleSize val="0"/>
        </c:dLbls>
        <c:gapWidth val="25"/>
        <c:overlap val="100"/>
        <c:axId val="569042351"/>
        <c:axId val="569044271"/>
      </c:barChart>
      <c:catAx>
        <c:axId val="5690423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569044271"/>
        <c:crosses val="autoZero"/>
        <c:auto val="1"/>
        <c:lblAlgn val="ctr"/>
        <c:lblOffset val="100"/>
        <c:noMultiLvlLbl val="0"/>
      </c:catAx>
      <c:valAx>
        <c:axId val="569044271"/>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690423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A: THE REASON FOR YOUR VISIT</a:t>
            </a:r>
            <a:r>
              <a:rPr lang="en-GB" sz="1050" b="0" i="0" u="none" strike="noStrike" baseline="0"/>
              <a:t> </a:t>
            </a:r>
            <a:r>
              <a:rPr lang="en-GB" sz="1050" b="1" i="0" u="none" strike="noStrike" baseline="0">
                <a:effectLst/>
              </a:rPr>
              <a:t>1. About your visit</a:t>
            </a:r>
            <a:r>
              <a:rPr lang="en-GB" sz="1050" b="0" i="0" u="none" strike="noStrike" baseline="0"/>
              <a:t> </a:t>
            </a:r>
            <a:r>
              <a:rPr lang="en-GB" sz="1050" b="1" i="0" u="none" strike="noStrike" baseline="0">
                <a:effectLst/>
              </a:rPr>
              <a:t>(c) If Yes at (b) above, are you a regular user of this archive?</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ComparisonReport!$J$240</c:f>
              <c:strCache>
                <c:ptCount val="1"/>
                <c:pt idx="0">
                  <c:v>Yes</c:v>
                </c:pt>
              </c:strCache>
            </c:strRef>
          </c:tx>
          <c:spPr>
            <a:solidFill>
              <a:schemeClr val="accent4">
                <a:lumMod val="75000"/>
              </a:schemeClr>
            </a:solidFill>
            <a:ln>
              <a:noFill/>
            </a:ln>
            <a:effectLst/>
          </c:spPr>
          <c:invertIfNegative val="0"/>
          <c:cat>
            <c:strRef>
              <c:f>[0]!c__If_Yes_at__b__above__are_you_a_regular_user_of_this_archive?_lbl</c:f>
              <c:strCache>
                <c:ptCount val="1"/>
                <c:pt idx="0">
                  <c:v>TOTAL</c:v>
                </c:pt>
              </c:strCache>
            </c:strRef>
          </c:cat>
          <c:val>
            <c:numRef>
              <c:f>[0]!c__If_Yes_at__b__above__are_you_a_regular_user_of_this_archive?_y</c:f>
              <c:numCache>
                <c:formatCode>0%</c:formatCode>
                <c:ptCount val="1"/>
                <c:pt idx="0">
                  <c:v>0.61368999999999996</c:v>
                </c:pt>
              </c:numCache>
            </c:numRef>
          </c:val>
          <c:extLst>
            <c:ext xmlns:c16="http://schemas.microsoft.com/office/drawing/2014/chart" uri="{C3380CC4-5D6E-409C-BE32-E72D297353CC}">
              <c16:uniqueId val="{00000000-7B7C-4601-B57F-97BDA90525BF}"/>
            </c:ext>
          </c:extLst>
        </c:ser>
        <c:ser>
          <c:idx val="1"/>
          <c:order val="1"/>
          <c:tx>
            <c:strRef>
              <c:f>ComparisonReport!$K$240</c:f>
              <c:strCache>
                <c:ptCount val="1"/>
                <c:pt idx="0">
                  <c:v>No</c:v>
                </c:pt>
              </c:strCache>
            </c:strRef>
          </c:tx>
          <c:spPr>
            <a:solidFill>
              <a:schemeClr val="accent6">
                <a:lumMod val="75000"/>
              </a:schemeClr>
            </a:solidFill>
            <a:ln>
              <a:noFill/>
            </a:ln>
            <a:effectLst/>
          </c:spPr>
          <c:invertIfNegative val="0"/>
          <c:cat>
            <c:strRef>
              <c:f>[0]!c__If_Yes_at__b__above__are_you_a_regular_user_of_this_archive?_lbl</c:f>
              <c:strCache>
                <c:ptCount val="1"/>
                <c:pt idx="0">
                  <c:v>TOTAL</c:v>
                </c:pt>
              </c:strCache>
            </c:strRef>
          </c:cat>
          <c:val>
            <c:numRef>
              <c:f>[0]!c__If_Yes_at__b__above__are_you_a_regular_user_of_this_archive?_n</c:f>
              <c:numCache>
                <c:formatCode>0%</c:formatCode>
                <c:ptCount val="1"/>
                <c:pt idx="0">
                  <c:v>0.38630999999999999</c:v>
                </c:pt>
              </c:numCache>
            </c:numRef>
          </c:val>
          <c:extLst>
            <c:ext xmlns:c16="http://schemas.microsoft.com/office/drawing/2014/chart" uri="{C3380CC4-5D6E-409C-BE32-E72D297353CC}">
              <c16:uniqueId val="{00000001-7B7C-4601-B57F-97BDA90525BF}"/>
            </c:ext>
          </c:extLst>
        </c:ser>
        <c:dLbls>
          <c:showLegendKey val="0"/>
          <c:showVal val="0"/>
          <c:showCatName val="0"/>
          <c:showSerName val="0"/>
          <c:showPercent val="0"/>
          <c:showBubbleSize val="0"/>
        </c:dLbls>
        <c:gapWidth val="25"/>
        <c:overlap val="100"/>
        <c:axId val="1894730575"/>
        <c:axId val="1894715695"/>
      </c:barChart>
      <c:catAx>
        <c:axId val="189473057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894715695"/>
        <c:crosses val="autoZero"/>
        <c:auto val="1"/>
        <c:lblAlgn val="ctr"/>
        <c:lblOffset val="100"/>
        <c:noMultiLvlLbl val="0"/>
      </c:catAx>
      <c:valAx>
        <c:axId val="1894715695"/>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94730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A: THE REASON FOR YOUR VISIT</a:t>
            </a:r>
            <a:r>
              <a:rPr lang="en-GB" sz="1050" b="0" i="0" u="none" strike="noStrike" baseline="0"/>
              <a:t> </a:t>
            </a:r>
            <a:r>
              <a:rPr lang="en-GB" sz="1050" b="1" i="0" u="none" strike="noStrike" baseline="0">
                <a:effectLst/>
              </a:rPr>
              <a:t>2. (a) Why are you visiting this archive today? </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stacked"/>
        <c:varyColors val="0"/>
        <c:ser>
          <c:idx val="0"/>
          <c:order val="0"/>
          <c:tx>
            <c:strRef>
              <c:f>ComparisonReport!$J$353</c:f>
              <c:strCache>
                <c:ptCount val="1"/>
                <c:pt idx="0">
                  <c:v>Academic research</c:v>
                </c:pt>
              </c:strCache>
            </c:strRef>
          </c:tx>
          <c:spPr>
            <a:solidFill>
              <a:schemeClr val="accent1"/>
            </a:solidFill>
            <a:ln>
              <a:noFill/>
            </a:ln>
            <a:effectLst/>
          </c:spPr>
          <c:invertIfNegative val="0"/>
          <c:cat>
            <c:strRef>
              <c:f>[0]!_2.__a__Why_are_you_visiting_this_archive_today?_lbl</c:f>
              <c:strCache>
                <c:ptCount val="1"/>
                <c:pt idx="0">
                  <c:v>TOTAL</c:v>
                </c:pt>
              </c:strCache>
            </c:strRef>
          </c:cat>
          <c:val>
            <c:numRef>
              <c:f>[0]!_2.__a__Why_are_you_visiting_this_archive_today?_a</c:f>
              <c:numCache>
                <c:formatCode>0%</c:formatCode>
                <c:ptCount val="1"/>
                <c:pt idx="0">
                  <c:v>0.36812</c:v>
                </c:pt>
              </c:numCache>
            </c:numRef>
          </c:val>
          <c:extLst>
            <c:ext xmlns:c16="http://schemas.microsoft.com/office/drawing/2014/chart" uri="{C3380CC4-5D6E-409C-BE32-E72D297353CC}">
              <c16:uniqueId val="{00000000-2154-43B4-BBC9-F964CD0F5247}"/>
            </c:ext>
          </c:extLst>
        </c:ser>
        <c:ser>
          <c:idx val="1"/>
          <c:order val="1"/>
          <c:tx>
            <c:strRef>
              <c:f>ComparisonReport!$K$353</c:f>
              <c:strCache>
                <c:ptCount val="1"/>
                <c:pt idx="0">
                  <c:v>Family history</c:v>
                </c:pt>
              </c:strCache>
            </c:strRef>
          </c:tx>
          <c:spPr>
            <a:solidFill>
              <a:schemeClr val="accent2"/>
            </a:solidFill>
            <a:ln>
              <a:noFill/>
            </a:ln>
            <a:effectLst/>
          </c:spPr>
          <c:invertIfNegative val="0"/>
          <c:cat>
            <c:strRef>
              <c:f>[0]!_2.__a__Why_are_you_visiting_this_archive_today?_lbl</c:f>
              <c:strCache>
                <c:ptCount val="1"/>
                <c:pt idx="0">
                  <c:v>TOTAL</c:v>
                </c:pt>
              </c:strCache>
            </c:strRef>
          </c:cat>
          <c:val>
            <c:numRef>
              <c:f>[0]!_2.__a__Why_are_you_visiting_this_archive_today?_b</c:f>
              <c:numCache>
                <c:formatCode>0%</c:formatCode>
                <c:ptCount val="1"/>
                <c:pt idx="0">
                  <c:v>0.27817999999999998</c:v>
                </c:pt>
              </c:numCache>
            </c:numRef>
          </c:val>
          <c:extLst>
            <c:ext xmlns:c16="http://schemas.microsoft.com/office/drawing/2014/chart" uri="{C3380CC4-5D6E-409C-BE32-E72D297353CC}">
              <c16:uniqueId val="{00000001-2154-43B4-BBC9-F964CD0F5247}"/>
            </c:ext>
          </c:extLst>
        </c:ser>
        <c:ser>
          <c:idx val="2"/>
          <c:order val="2"/>
          <c:tx>
            <c:strRef>
              <c:f>ComparisonReport!$L$353</c:f>
              <c:strCache>
                <c:ptCount val="1"/>
                <c:pt idx="0">
                  <c:v>Local history</c:v>
                </c:pt>
              </c:strCache>
            </c:strRef>
          </c:tx>
          <c:spPr>
            <a:solidFill>
              <a:schemeClr val="accent3"/>
            </a:solidFill>
            <a:ln>
              <a:noFill/>
            </a:ln>
            <a:effectLst/>
          </c:spPr>
          <c:invertIfNegative val="0"/>
          <c:cat>
            <c:strRef>
              <c:f>[0]!_2.__a__Why_are_you_visiting_this_archive_today?_lbl</c:f>
              <c:strCache>
                <c:ptCount val="1"/>
                <c:pt idx="0">
                  <c:v>TOTAL</c:v>
                </c:pt>
              </c:strCache>
            </c:strRef>
          </c:cat>
          <c:val>
            <c:numRef>
              <c:f>[0]!_2.__a__Why_are_you_visiting_this_archive_today?_c</c:f>
              <c:numCache>
                <c:formatCode>0%</c:formatCode>
                <c:ptCount val="1"/>
                <c:pt idx="0">
                  <c:v>0.24177000000000001</c:v>
                </c:pt>
              </c:numCache>
            </c:numRef>
          </c:val>
          <c:extLst>
            <c:ext xmlns:c16="http://schemas.microsoft.com/office/drawing/2014/chart" uri="{C3380CC4-5D6E-409C-BE32-E72D297353CC}">
              <c16:uniqueId val="{00000002-2154-43B4-BBC9-F964CD0F5247}"/>
            </c:ext>
          </c:extLst>
        </c:ser>
        <c:ser>
          <c:idx val="3"/>
          <c:order val="3"/>
          <c:tx>
            <c:strRef>
              <c:f>ComparisonReport!$M$353</c:f>
              <c:strCache>
                <c:ptCount val="1"/>
                <c:pt idx="0">
                  <c:v>To gather information for a talk / publication / presentation</c:v>
                </c:pt>
              </c:strCache>
            </c:strRef>
          </c:tx>
          <c:spPr>
            <a:solidFill>
              <a:schemeClr val="accent4"/>
            </a:solidFill>
            <a:ln>
              <a:noFill/>
            </a:ln>
            <a:effectLst/>
          </c:spPr>
          <c:invertIfNegative val="0"/>
          <c:cat>
            <c:strRef>
              <c:f>[0]!_2.__a__Why_are_you_visiting_this_archive_today?_lbl</c:f>
              <c:strCache>
                <c:ptCount val="1"/>
                <c:pt idx="0">
                  <c:v>TOTAL</c:v>
                </c:pt>
              </c:strCache>
            </c:strRef>
          </c:cat>
          <c:val>
            <c:numRef>
              <c:f>[0]!_2.__a__Why_are_you_visiting_this_archive_today?_d</c:f>
              <c:numCache>
                <c:formatCode>0%</c:formatCode>
                <c:ptCount val="1"/>
                <c:pt idx="0">
                  <c:v>0.12375</c:v>
                </c:pt>
              </c:numCache>
            </c:numRef>
          </c:val>
          <c:extLst>
            <c:ext xmlns:c16="http://schemas.microsoft.com/office/drawing/2014/chart" uri="{C3380CC4-5D6E-409C-BE32-E72D297353CC}">
              <c16:uniqueId val="{00000004-2154-43B4-BBC9-F964CD0F5247}"/>
            </c:ext>
          </c:extLst>
        </c:ser>
        <c:ser>
          <c:idx val="4"/>
          <c:order val="4"/>
          <c:tx>
            <c:strRef>
              <c:f>ComparisonReport!$N$353</c:f>
              <c:strCache>
                <c:ptCount val="1"/>
                <c:pt idx="0">
                  <c:v>Architectural / building / site research</c:v>
                </c:pt>
              </c:strCache>
            </c:strRef>
          </c:tx>
          <c:spPr>
            <a:solidFill>
              <a:schemeClr val="accent5"/>
            </a:solidFill>
            <a:ln>
              <a:noFill/>
            </a:ln>
            <a:effectLst/>
          </c:spPr>
          <c:invertIfNegative val="0"/>
          <c:cat>
            <c:strRef>
              <c:f>[0]!_2.__a__Why_are_you_visiting_this_archive_today?_lbl</c:f>
              <c:strCache>
                <c:ptCount val="1"/>
                <c:pt idx="0">
                  <c:v>TOTAL</c:v>
                </c:pt>
              </c:strCache>
            </c:strRef>
          </c:cat>
          <c:val>
            <c:numRef>
              <c:f>[0]!_2.__a__Why_are_you_visiting_this_archive_today?_e</c:f>
              <c:numCache>
                <c:formatCode>0%</c:formatCode>
                <c:ptCount val="1"/>
                <c:pt idx="0">
                  <c:v>0.1076</c:v>
                </c:pt>
              </c:numCache>
            </c:numRef>
          </c:val>
          <c:extLst>
            <c:ext xmlns:c16="http://schemas.microsoft.com/office/drawing/2014/chart" uri="{C3380CC4-5D6E-409C-BE32-E72D297353CC}">
              <c16:uniqueId val="{00000005-2154-43B4-BBC9-F964CD0F5247}"/>
            </c:ext>
          </c:extLst>
        </c:ser>
        <c:ser>
          <c:idx val="5"/>
          <c:order val="5"/>
          <c:tx>
            <c:strRef>
              <c:f>ComparisonReport!$O$353</c:f>
              <c:strCache>
                <c:ptCount val="1"/>
                <c:pt idx="0">
                  <c:v>To find information or evidence relating to my work or for the organisation I volunteer for</c:v>
                </c:pt>
              </c:strCache>
            </c:strRef>
          </c:tx>
          <c:spPr>
            <a:solidFill>
              <a:schemeClr val="accent6"/>
            </a:solidFill>
            <a:ln>
              <a:noFill/>
            </a:ln>
            <a:effectLst/>
          </c:spPr>
          <c:invertIfNegative val="0"/>
          <c:cat>
            <c:strRef>
              <c:f>[0]!_2.__a__Why_are_you_visiting_this_archive_today?_lbl</c:f>
              <c:strCache>
                <c:ptCount val="1"/>
                <c:pt idx="0">
                  <c:v>TOTAL</c:v>
                </c:pt>
              </c:strCache>
            </c:strRef>
          </c:cat>
          <c:val>
            <c:numRef>
              <c:f>[0]!_2.__a__Why_are_you_visiting_this_archive_today?_f</c:f>
              <c:numCache>
                <c:formatCode>0%</c:formatCode>
                <c:ptCount val="1"/>
                <c:pt idx="0">
                  <c:v>0.10231</c:v>
                </c:pt>
              </c:numCache>
            </c:numRef>
          </c:val>
          <c:extLst>
            <c:ext xmlns:c16="http://schemas.microsoft.com/office/drawing/2014/chart" uri="{C3380CC4-5D6E-409C-BE32-E72D297353CC}">
              <c16:uniqueId val="{00000006-2154-43B4-BBC9-F964CD0F5247}"/>
            </c:ext>
          </c:extLst>
        </c:ser>
        <c:ser>
          <c:idx val="6"/>
          <c:order val="6"/>
          <c:tx>
            <c:strRef>
              <c:f>ComparisonReport!$P$353</c:f>
              <c:strCache>
                <c:ptCount val="1"/>
                <c:pt idx="0">
                  <c:v>Military history</c:v>
                </c:pt>
              </c:strCache>
            </c:strRef>
          </c:tx>
          <c:spPr>
            <a:solidFill>
              <a:schemeClr val="accent1">
                <a:lumMod val="60000"/>
              </a:schemeClr>
            </a:solidFill>
            <a:ln>
              <a:noFill/>
            </a:ln>
            <a:effectLst/>
          </c:spPr>
          <c:invertIfNegative val="0"/>
          <c:cat>
            <c:strRef>
              <c:f>[0]!_2.__a__Why_are_you_visiting_this_archive_today?_lbl</c:f>
              <c:strCache>
                <c:ptCount val="1"/>
                <c:pt idx="0">
                  <c:v>TOTAL</c:v>
                </c:pt>
              </c:strCache>
            </c:strRef>
          </c:cat>
          <c:val>
            <c:numRef>
              <c:f>[0]!_2.__a__Why_are_you_visiting_this_archive_today?_g</c:f>
              <c:numCache>
                <c:formatCode>0%</c:formatCode>
                <c:ptCount val="1"/>
                <c:pt idx="0">
                  <c:v>9.2700000000000005E-2</c:v>
                </c:pt>
              </c:numCache>
            </c:numRef>
          </c:val>
          <c:extLst>
            <c:ext xmlns:c16="http://schemas.microsoft.com/office/drawing/2014/chart" uri="{C3380CC4-5D6E-409C-BE32-E72D297353CC}">
              <c16:uniqueId val="{00000007-2154-43B4-BBC9-F964CD0F5247}"/>
            </c:ext>
          </c:extLst>
        </c:ser>
        <c:ser>
          <c:idx val="7"/>
          <c:order val="7"/>
          <c:tx>
            <c:strRef>
              <c:f>ComparisonReport!$Q$353</c:f>
              <c:strCache>
                <c:ptCount val="1"/>
                <c:pt idx="0">
                  <c:v>General browsing / familiarising myself with the archive</c:v>
                </c:pt>
              </c:strCache>
            </c:strRef>
          </c:tx>
          <c:spPr>
            <a:solidFill>
              <a:schemeClr val="accent2">
                <a:lumMod val="60000"/>
              </a:schemeClr>
            </a:solidFill>
            <a:ln>
              <a:noFill/>
            </a:ln>
            <a:effectLst/>
          </c:spPr>
          <c:invertIfNegative val="0"/>
          <c:cat>
            <c:strRef>
              <c:f>[0]!_2.__a__Why_are_you_visiting_this_archive_today?_lbl</c:f>
              <c:strCache>
                <c:ptCount val="1"/>
                <c:pt idx="0">
                  <c:v>TOTAL</c:v>
                </c:pt>
              </c:strCache>
            </c:strRef>
          </c:cat>
          <c:val>
            <c:numRef>
              <c:f>[0]!_2.__a__Why_are_you_visiting_this_archive_today?_h</c:f>
              <c:numCache>
                <c:formatCode>0%</c:formatCode>
                <c:ptCount val="1"/>
                <c:pt idx="0">
                  <c:v>6.1120000000000001E-2</c:v>
                </c:pt>
              </c:numCache>
            </c:numRef>
          </c:val>
          <c:extLst>
            <c:ext xmlns:c16="http://schemas.microsoft.com/office/drawing/2014/chart" uri="{C3380CC4-5D6E-409C-BE32-E72D297353CC}">
              <c16:uniqueId val="{00000008-2154-43B4-BBC9-F964CD0F5247}"/>
            </c:ext>
          </c:extLst>
        </c:ser>
        <c:ser>
          <c:idx val="8"/>
          <c:order val="8"/>
          <c:tx>
            <c:strRef>
              <c:f>ComparisonReport!$R$353</c:f>
              <c:strCache>
                <c:ptCount val="1"/>
                <c:pt idx="0">
                  <c:v>To find evidence relating to rights and entitlements</c:v>
                </c:pt>
              </c:strCache>
            </c:strRef>
          </c:tx>
          <c:spPr>
            <a:solidFill>
              <a:schemeClr val="accent3">
                <a:lumMod val="60000"/>
              </a:schemeClr>
            </a:solidFill>
            <a:ln>
              <a:noFill/>
            </a:ln>
            <a:effectLst/>
          </c:spPr>
          <c:invertIfNegative val="0"/>
          <c:cat>
            <c:strRef>
              <c:f>[0]!_2.__a__Why_are_you_visiting_this_archive_today?_lbl</c:f>
              <c:strCache>
                <c:ptCount val="1"/>
                <c:pt idx="0">
                  <c:v>TOTAL</c:v>
                </c:pt>
              </c:strCache>
            </c:strRef>
          </c:cat>
          <c:val>
            <c:numRef>
              <c:f>[0]!_2.__a__Why_are_you_visiting_this_archive_today?_i</c:f>
              <c:numCache>
                <c:formatCode>0%</c:formatCode>
                <c:ptCount val="1"/>
                <c:pt idx="0">
                  <c:v>2.3099999999999999E-2</c:v>
                </c:pt>
              </c:numCache>
            </c:numRef>
          </c:val>
          <c:extLst>
            <c:ext xmlns:c16="http://schemas.microsoft.com/office/drawing/2014/chart" uri="{C3380CC4-5D6E-409C-BE32-E72D297353CC}">
              <c16:uniqueId val="{00000009-2154-43B4-BBC9-F964CD0F5247}"/>
            </c:ext>
          </c:extLst>
        </c:ser>
        <c:ser>
          <c:idx val="9"/>
          <c:order val="9"/>
          <c:tx>
            <c:strRef>
              <c:f>ComparisonReport!$S$353</c:f>
              <c:strCache>
                <c:ptCount val="1"/>
                <c:pt idx="0">
                  <c:v>Other</c:v>
                </c:pt>
              </c:strCache>
            </c:strRef>
          </c:tx>
          <c:spPr>
            <a:solidFill>
              <a:schemeClr val="accent4">
                <a:lumMod val="60000"/>
              </a:schemeClr>
            </a:solidFill>
            <a:ln>
              <a:noFill/>
            </a:ln>
            <a:effectLst/>
          </c:spPr>
          <c:invertIfNegative val="0"/>
          <c:cat>
            <c:strRef>
              <c:f>[0]!_2.__a__Why_are_you_visiting_this_archive_today?_lbl</c:f>
              <c:strCache>
                <c:ptCount val="1"/>
                <c:pt idx="0">
                  <c:v>TOTAL</c:v>
                </c:pt>
              </c:strCache>
            </c:strRef>
          </c:cat>
          <c:val>
            <c:numRef>
              <c:f>[0]!_2.__a__Why_are_you_visiting_this_archive_today?_j</c:f>
              <c:numCache>
                <c:formatCode>0%</c:formatCode>
                <c:ptCount val="1"/>
                <c:pt idx="0">
                  <c:v>0.11119999999999999</c:v>
                </c:pt>
              </c:numCache>
            </c:numRef>
          </c:val>
          <c:extLst>
            <c:ext xmlns:c16="http://schemas.microsoft.com/office/drawing/2014/chart" uri="{C3380CC4-5D6E-409C-BE32-E72D297353CC}">
              <c16:uniqueId val="{0000000A-2154-43B4-BBC9-F964CD0F5247}"/>
            </c:ext>
          </c:extLst>
        </c:ser>
        <c:dLbls>
          <c:showLegendKey val="0"/>
          <c:showVal val="0"/>
          <c:showCatName val="0"/>
          <c:showSerName val="0"/>
          <c:showPercent val="0"/>
          <c:showBubbleSize val="0"/>
        </c:dLbls>
        <c:gapWidth val="25"/>
        <c:overlap val="100"/>
        <c:axId val="492232879"/>
        <c:axId val="492236239"/>
      </c:barChart>
      <c:catAx>
        <c:axId val="49223287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492236239"/>
        <c:crosses val="autoZero"/>
        <c:auto val="1"/>
        <c:lblAlgn val="ctr"/>
        <c:lblOffset val="100"/>
        <c:noMultiLvlLbl val="0"/>
      </c:catAx>
      <c:valAx>
        <c:axId val="492236239"/>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492232879"/>
        <c:crosses val="autoZero"/>
        <c:crossBetween val="between"/>
      </c:valAx>
      <c:spPr>
        <a:noFill/>
        <a:ln>
          <a:noFill/>
        </a:ln>
        <a:effectLst/>
      </c:spPr>
    </c:plotArea>
    <c:legend>
      <c:legendPos val="b"/>
      <c:layout>
        <c:manualLayout>
          <c:xMode val="edge"/>
          <c:yMode val="edge"/>
          <c:x val="0"/>
          <c:y val="0.91486320411507993"/>
          <c:w val="1"/>
          <c:h val="8.205541130155621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A: THE REASON FOR YOUR VISIT</a:t>
            </a:r>
            <a:r>
              <a:rPr lang="en-GB" sz="1050" b="0" i="0" u="none" strike="noStrike" baseline="0"/>
              <a:t> </a:t>
            </a:r>
            <a:r>
              <a:rPr lang="en-GB" sz="1050" b="1" i="0" u="none" strike="noStrike" baseline="0">
                <a:effectLst/>
              </a:rPr>
              <a:t>3. What, if any, of the following did you do to prepare for your visit today?</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stacked"/>
        <c:varyColors val="0"/>
        <c:ser>
          <c:idx val="0"/>
          <c:order val="0"/>
          <c:tx>
            <c:strRef>
              <c:f>ComparisonReport!$J$470</c:f>
              <c:strCache>
                <c:ptCount val="1"/>
                <c:pt idx="0">
                  <c:v>Went online to check archive opening times / find directions etc.</c:v>
                </c:pt>
              </c:strCache>
            </c:strRef>
          </c:tx>
          <c:spPr>
            <a:solidFill>
              <a:schemeClr val="accent1"/>
            </a:solidFill>
            <a:ln>
              <a:noFill/>
            </a:ln>
            <a:effectLst/>
          </c:spPr>
          <c:invertIfNegative val="0"/>
          <c:cat>
            <c:strRef>
              <c:f>[0]!_3._What__if_any__of_the_following_did_you_do_to_prepare_for_your_visit_today?_lbl</c:f>
              <c:strCache>
                <c:ptCount val="1"/>
                <c:pt idx="0">
                  <c:v>TOTAL</c:v>
                </c:pt>
              </c:strCache>
            </c:strRef>
          </c:cat>
          <c:val>
            <c:numRef>
              <c:f>[0]!_3._What__if_any__of_the_following_did_you_do_to_prepare_for_your_visit_today?_a</c:f>
              <c:numCache>
                <c:formatCode>0%</c:formatCode>
                <c:ptCount val="1"/>
                <c:pt idx="0">
                  <c:v>0.66725999999999996</c:v>
                </c:pt>
              </c:numCache>
            </c:numRef>
          </c:val>
          <c:extLst>
            <c:ext xmlns:c16="http://schemas.microsoft.com/office/drawing/2014/chart" uri="{C3380CC4-5D6E-409C-BE32-E72D297353CC}">
              <c16:uniqueId val="{00000000-BA20-460A-BC66-6C5A1A731894}"/>
            </c:ext>
          </c:extLst>
        </c:ser>
        <c:ser>
          <c:idx val="1"/>
          <c:order val="1"/>
          <c:tx>
            <c:strRef>
              <c:f>ComparisonReport!$K$470</c:f>
              <c:strCache>
                <c:ptCount val="1"/>
                <c:pt idx="0">
                  <c:v>Searched archive's online catalogue to find records </c:v>
                </c:pt>
              </c:strCache>
            </c:strRef>
          </c:tx>
          <c:spPr>
            <a:solidFill>
              <a:schemeClr val="accent2"/>
            </a:solidFill>
            <a:ln>
              <a:noFill/>
            </a:ln>
            <a:effectLst/>
          </c:spPr>
          <c:invertIfNegative val="0"/>
          <c:cat>
            <c:strRef>
              <c:f>[0]!_3._What__if_any__of_the_following_did_you_do_to_prepare_for_your_visit_today?_lbl</c:f>
              <c:strCache>
                <c:ptCount val="1"/>
                <c:pt idx="0">
                  <c:v>TOTAL</c:v>
                </c:pt>
              </c:strCache>
            </c:strRef>
          </c:cat>
          <c:val>
            <c:numRef>
              <c:f>[0]!_3._What__if_any__of_the_following_did_you_do_to_prepare_for_your_visit_today?_b</c:f>
              <c:numCache>
                <c:formatCode>0%</c:formatCode>
                <c:ptCount val="1"/>
                <c:pt idx="0">
                  <c:v>0.62524000000000002</c:v>
                </c:pt>
              </c:numCache>
            </c:numRef>
          </c:val>
          <c:extLst>
            <c:ext xmlns:c16="http://schemas.microsoft.com/office/drawing/2014/chart" uri="{C3380CC4-5D6E-409C-BE32-E72D297353CC}">
              <c16:uniqueId val="{00000001-BA20-460A-BC66-6C5A1A731894}"/>
            </c:ext>
          </c:extLst>
        </c:ser>
        <c:ser>
          <c:idx val="2"/>
          <c:order val="2"/>
          <c:tx>
            <c:strRef>
              <c:f>ComparisonReport!$L$470</c:f>
              <c:strCache>
                <c:ptCount val="1"/>
                <c:pt idx="0">
                  <c:v>Conducted online research / used the archive's online guides to resources</c:v>
                </c:pt>
              </c:strCache>
            </c:strRef>
          </c:tx>
          <c:spPr>
            <a:solidFill>
              <a:schemeClr val="accent3"/>
            </a:solidFill>
            <a:ln>
              <a:noFill/>
            </a:ln>
            <a:effectLst/>
          </c:spPr>
          <c:invertIfNegative val="0"/>
          <c:cat>
            <c:strRef>
              <c:f>[0]!_3._What__if_any__of_the_following_did_you_do_to_prepare_for_your_visit_today?_lbl</c:f>
              <c:strCache>
                <c:ptCount val="1"/>
                <c:pt idx="0">
                  <c:v>TOTAL</c:v>
                </c:pt>
              </c:strCache>
            </c:strRef>
          </c:cat>
          <c:val>
            <c:numRef>
              <c:f>[0]!_3._What__if_any__of_the_following_did_you_do_to_prepare_for_your_visit_today?_c</c:f>
              <c:numCache>
                <c:formatCode>0%</c:formatCode>
                <c:ptCount val="1"/>
                <c:pt idx="0">
                  <c:v>0.47197</c:v>
                </c:pt>
              </c:numCache>
            </c:numRef>
          </c:val>
          <c:extLst>
            <c:ext xmlns:c16="http://schemas.microsoft.com/office/drawing/2014/chart" uri="{C3380CC4-5D6E-409C-BE32-E72D297353CC}">
              <c16:uniqueId val="{00000002-BA20-460A-BC66-6C5A1A731894}"/>
            </c:ext>
          </c:extLst>
        </c:ser>
        <c:ser>
          <c:idx val="3"/>
          <c:order val="3"/>
          <c:tx>
            <c:strRef>
              <c:f>ComparisonReport!$M$470</c:f>
              <c:strCache>
                <c:ptCount val="1"/>
                <c:pt idx="0">
                  <c:v>Emailed / telephoned archive</c:v>
                </c:pt>
              </c:strCache>
            </c:strRef>
          </c:tx>
          <c:spPr>
            <a:solidFill>
              <a:schemeClr val="accent4"/>
            </a:solidFill>
            <a:ln>
              <a:noFill/>
            </a:ln>
            <a:effectLst/>
          </c:spPr>
          <c:invertIfNegative val="0"/>
          <c:cat>
            <c:strRef>
              <c:f>[0]!_3._What__if_any__of_the_following_did_you_do_to_prepare_for_your_visit_today?_lbl</c:f>
              <c:strCache>
                <c:ptCount val="1"/>
                <c:pt idx="0">
                  <c:v>TOTAL</c:v>
                </c:pt>
              </c:strCache>
            </c:strRef>
          </c:cat>
          <c:val>
            <c:numRef>
              <c:f>[0]!_3._What__if_any__of_the_following_did_you_do_to_prepare_for_your_visit_today?_d</c:f>
              <c:numCache>
                <c:formatCode>0%</c:formatCode>
                <c:ptCount val="1"/>
                <c:pt idx="0">
                  <c:v>0.42454999999999998</c:v>
                </c:pt>
              </c:numCache>
            </c:numRef>
          </c:val>
          <c:extLst>
            <c:ext xmlns:c16="http://schemas.microsoft.com/office/drawing/2014/chart" uri="{C3380CC4-5D6E-409C-BE32-E72D297353CC}">
              <c16:uniqueId val="{00000003-BA20-460A-BC66-6C5A1A731894}"/>
            </c:ext>
          </c:extLst>
        </c:ser>
        <c:ser>
          <c:idx val="4"/>
          <c:order val="4"/>
          <c:tx>
            <c:strRef>
              <c:f>ComparisonReport!$N$470</c:f>
              <c:strCache>
                <c:ptCount val="1"/>
                <c:pt idx="0">
                  <c:v>Visited another archive</c:v>
                </c:pt>
              </c:strCache>
            </c:strRef>
          </c:tx>
          <c:spPr>
            <a:solidFill>
              <a:schemeClr val="accent5"/>
            </a:solidFill>
            <a:ln>
              <a:noFill/>
            </a:ln>
            <a:effectLst/>
          </c:spPr>
          <c:invertIfNegative val="0"/>
          <c:cat>
            <c:strRef>
              <c:f>[0]!_3._What__if_any__of_the_following_did_you_do_to_prepare_for_your_visit_today?_lbl</c:f>
              <c:strCache>
                <c:ptCount val="1"/>
                <c:pt idx="0">
                  <c:v>TOTAL</c:v>
                </c:pt>
              </c:strCache>
            </c:strRef>
          </c:cat>
          <c:val>
            <c:numRef>
              <c:f>[0]!_3._What__if_any__of_the_following_did_you_do_to_prepare_for_your_visit_today?_e</c:f>
              <c:numCache>
                <c:formatCode>0%</c:formatCode>
                <c:ptCount val="1"/>
                <c:pt idx="0">
                  <c:v>9.4619999999999996E-2</c:v>
                </c:pt>
              </c:numCache>
            </c:numRef>
          </c:val>
          <c:extLst>
            <c:ext xmlns:c16="http://schemas.microsoft.com/office/drawing/2014/chart" uri="{C3380CC4-5D6E-409C-BE32-E72D297353CC}">
              <c16:uniqueId val="{00000004-BA20-460A-BC66-6C5A1A731894}"/>
            </c:ext>
          </c:extLst>
        </c:ser>
        <c:ser>
          <c:idx val="5"/>
          <c:order val="5"/>
          <c:tx>
            <c:strRef>
              <c:f>ComparisonReport!$O$470</c:f>
              <c:strCache>
                <c:ptCount val="1"/>
                <c:pt idx="0">
                  <c:v>Other</c:v>
                </c:pt>
              </c:strCache>
            </c:strRef>
          </c:tx>
          <c:spPr>
            <a:solidFill>
              <a:schemeClr val="accent6"/>
            </a:solidFill>
            <a:ln>
              <a:noFill/>
            </a:ln>
            <a:effectLst/>
          </c:spPr>
          <c:invertIfNegative val="0"/>
          <c:cat>
            <c:strRef>
              <c:f>[0]!_3._What__if_any__of_the_following_did_you_do_to_prepare_for_your_visit_today?_lbl</c:f>
              <c:strCache>
                <c:ptCount val="1"/>
                <c:pt idx="0">
                  <c:v>TOTAL</c:v>
                </c:pt>
              </c:strCache>
            </c:strRef>
          </c:cat>
          <c:val>
            <c:numRef>
              <c:f>[0]!_3._What__if_any__of_the_following_did_you_do_to_prepare_for_your_visit_today?_f</c:f>
              <c:numCache>
                <c:formatCode>0%</c:formatCode>
                <c:ptCount val="1"/>
                <c:pt idx="0">
                  <c:v>0.12681999999999999</c:v>
                </c:pt>
              </c:numCache>
            </c:numRef>
          </c:val>
          <c:extLst>
            <c:ext xmlns:c16="http://schemas.microsoft.com/office/drawing/2014/chart" uri="{C3380CC4-5D6E-409C-BE32-E72D297353CC}">
              <c16:uniqueId val="{00000005-BA20-460A-BC66-6C5A1A731894}"/>
            </c:ext>
          </c:extLst>
        </c:ser>
        <c:dLbls>
          <c:showLegendKey val="0"/>
          <c:showVal val="0"/>
          <c:showCatName val="0"/>
          <c:showSerName val="0"/>
          <c:showPercent val="0"/>
          <c:showBubbleSize val="0"/>
        </c:dLbls>
        <c:gapWidth val="25"/>
        <c:overlap val="100"/>
        <c:axId val="699751663"/>
        <c:axId val="699757903"/>
      </c:barChart>
      <c:catAx>
        <c:axId val="69975166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699757903"/>
        <c:crosses val="autoZero"/>
        <c:auto val="1"/>
        <c:lblAlgn val="ctr"/>
        <c:lblOffset val="100"/>
        <c:noMultiLvlLbl val="0"/>
      </c:catAx>
      <c:valAx>
        <c:axId val="699757903"/>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6997516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4. Please mark our staff out of 10 for the following aspects:</a:t>
            </a:r>
            <a:r>
              <a:rPr lang="en-GB" sz="1050" b="0" i="0" u="none" strike="noStrike" baseline="0"/>
              <a:t> </a:t>
            </a:r>
            <a:r>
              <a:rPr lang="en-GB" sz="1050" b="1" i="0" u="none" strike="noStrike" baseline="0">
                <a:effectLst/>
              </a:rPr>
              <a:t>Availability of staff</a:t>
            </a:r>
            <a:r>
              <a:rPr lang="en-GB" sz="1050" b="0" i="0" u="none" strike="noStrike" baseline="0"/>
              <a:t> (Average score)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clustered"/>
        <c:varyColors val="0"/>
        <c:ser>
          <c:idx val="0"/>
          <c:order val="0"/>
          <c:spPr>
            <a:solidFill>
              <a:schemeClr val="accent4">
                <a:lumMod val="75000"/>
              </a:schemeClr>
            </a:solidFill>
            <a:ln>
              <a:noFill/>
            </a:ln>
            <a:effectLst/>
          </c:spPr>
          <c:invertIfNegative val="0"/>
          <c:cat>
            <c:strRef>
              <c:f>[0]!Availability_of_staff_lbl</c:f>
              <c:strCache>
                <c:ptCount val="1"/>
                <c:pt idx="0">
                  <c:v>TOTAL</c:v>
                </c:pt>
              </c:strCache>
            </c:strRef>
          </c:cat>
          <c:val>
            <c:numRef>
              <c:f>[0]!Availability_of_staff_avg</c:f>
              <c:numCache>
                <c:formatCode>General</c:formatCode>
                <c:ptCount val="1"/>
                <c:pt idx="0">
                  <c:v>9.7321399999999993</c:v>
                </c:pt>
              </c:numCache>
            </c:numRef>
          </c:val>
          <c:extLst>
            <c:ext xmlns:c16="http://schemas.microsoft.com/office/drawing/2014/chart" uri="{C3380CC4-5D6E-409C-BE32-E72D297353CC}">
              <c16:uniqueId val="{00000000-5028-4930-A25D-EFDE4051031E}"/>
            </c:ext>
          </c:extLst>
        </c:ser>
        <c:dLbls>
          <c:showLegendKey val="0"/>
          <c:showVal val="0"/>
          <c:showCatName val="0"/>
          <c:showSerName val="0"/>
          <c:showPercent val="0"/>
          <c:showBubbleSize val="0"/>
        </c:dLbls>
        <c:gapWidth val="25"/>
        <c:axId val="547834655"/>
        <c:axId val="547837535"/>
      </c:barChart>
      <c:catAx>
        <c:axId val="54783465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547837535"/>
        <c:crosses val="autoZero"/>
        <c:auto val="1"/>
        <c:lblAlgn val="ctr"/>
        <c:lblOffset val="100"/>
        <c:noMultiLvlLbl val="0"/>
      </c:catAx>
      <c:valAx>
        <c:axId val="547837535"/>
        <c:scaling>
          <c:orientation val="minMax"/>
          <c:max val="10"/>
          <c:min val="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5478346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4. Please mark our staff out of 10 for the following aspects:</a:t>
            </a:r>
            <a:r>
              <a:rPr lang="en-GB" sz="1050" b="0" i="0" u="none" strike="noStrike" baseline="0"/>
              <a:t> </a:t>
            </a:r>
            <a:r>
              <a:rPr lang="en-GB" sz="1050" b="1" i="0" u="none" strike="noStrike" baseline="0">
                <a:effectLst/>
              </a:rPr>
              <a:t>Attitude of staff</a:t>
            </a:r>
            <a:r>
              <a:rPr lang="en-GB" sz="1050" b="0" i="0" u="none" strike="noStrike" baseline="0">
                <a:effectLst/>
              </a:rPr>
              <a:t> </a:t>
            </a:r>
            <a:r>
              <a:rPr lang="en-GB" sz="1050" b="0" i="0" u="none" strike="noStrike" baseline="0"/>
              <a:t>(Average score)</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clustered"/>
        <c:varyColors val="0"/>
        <c:ser>
          <c:idx val="0"/>
          <c:order val="0"/>
          <c:spPr>
            <a:solidFill>
              <a:schemeClr val="accent4">
                <a:lumMod val="75000"/>
              </a:schemeClr>
            </a:solidFill>
            <a:ln>
              <a:noFill/>
            </a:ln>
            <a:effectLst/>
          </c:spPr>
          <c:invertIfNegative val="0"/>
          <c:cat>
            <c:strRef>
              <c:f>[0]!Attitude_of_staff_lbl</c:f>
              <c:strCache>
                <c:ptCount val="1"/>
                <c:pt idx="0">
                  <c:v>TOTAL</c:v>
                </c:pt>
              </c:strCache>
            </c:strRef>
          </c:cat>
          <c:val>
            <c:numRef>
              <c:f>[0]!Attitude_of_staff_avg</c:f>
              <c:numCache>
                <c:formatCode>General</c:formatCode>
                <c:ptCount val="1"/>
                <c:pt idx="0">
                  <c:v>9.7970400000000009</c:v>
                </c:pt>
              </c:numCache>
            </c:numRef>
          </c:val>
          <c:extLst>
            <c:ext xmlns:c16="http://schemas.microsoft.com/office/drawing/2014/chart" uri="{C3380CC4-5D6E-409C-BE32-E72D297353CC}">
              <c16:uniqueId val="{00000000-8B2A-4AE8-B7C0-34A307F465C9}"/>
            </c:ext>
          </c:extLst>
        </c:ser>
        <c:dLbls>
          <c:showLegendKey val="0"/>
          <c:showVal val="0"/>
          <c:showCatName val="0"/>
          <c:showSerName val="0"/>
          <c:showPercent val="0"/>
          <c:showBubbleSize val="0"/>
        </c:dLbls>
        <c:gapWidth val="25"/>
        <c:axId val="893052607"/>
        <c:axId val="893043007"/>
      </c:barChart>
      <c:catAx>
        <c:axId val="893052607"/>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893043007"/>
        <c:crosses val="autoZero"/>
        <c:auto val="1"/>
        <c:lblAlgn val="ctr"/>
        <c:lblOffset val="100"/>
        <c:noMultiLvlLbl val="0"/>
      </c:catAx>
      <c:valAx>
        <c:axId val="893043007"/>
        <c:scaling>
          <c:orientation val="minMax"/>
          <c:max val="10"/>
          <c:min val="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893052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4. Please mark our staff out of 10 for the following aspects</a:t>
            </a:r>
            <a:r>
              <a:rPr lang="en-GB" sz="1050" b="0" i="0" u="none" strike="noStrike" baseline="0"/>
              <a:t> </a:t>
            </a:r>
            <a:r>
              <a:rPr lang="en-GB" sz="1050" b="1" i="0" u="none" strike="noStrike" baseline="0">
                <a:effectLst/>
              </a:rPr>
              <a:t>Quality and appropriateness of the staff's advice</a:t>
            </a:r>
            <a:r>
              <a:rPr lang="en-GB" sz="1050" b="0" i="0" u="none" strike="noStrike" baseline="0"/>
              <a:t> (Average score)</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clustered"/>
        <c:varyColors val="0"/>
        <c:ser>
          <c:idx val="0"/>
          <c:order val="0"/>
          <c:spPr>
            <a:solidFill>
              <a:schemeClr val="accent4">
                <a:lumMod val="75000"/>
              </a:schemeClr>
            </a:solidFill>
            <a:ln>
              <a:noFill/>
            </a:ln>
            <a:effectLst/>
          </c:spPr>
          <c:invertIfNegative val="0"/>
          <c:cat>
            <c:strRef>
              <c:f>[0]!Quality_and_appropriateness_of_the_staff_s_advice_lbl</c:f>
              <c:strCache>
                <c:ptCount val="1"/>
                <c:pt idx="0">
                  <c:v>TOTAL</c:v>
                </c:pt>
              </c:strCache>
            </c:strRef>
          </c:cat>
          <c:val>
            <c:numRef>
              <c:f>[0]!Quality_and_appropriateness_of_the_staff_s_advice_avg</c:f>
              <c:numCache>
                <c:formatCode>General</c:formatCode>
                <c:ptCount val="1"/>
                <c:pt idx="0">
                  <c:v>9.7543100000000003</c:v>
                </c:pt>
              </c:numCache>
            </c:numRef>
          </c:val>
          <c:extLst>
            <c:ext xmlns:c16="http://schemas.microsoft.com/office/drawing/2014/chart" uri="{C3380CC4-5D6E-409C-BE32-E72D297353CC}">
              <c16:uniqueId val="{00000000-5AD8-4EDE-AE85-7487C406CCF5}"/>
            </c:ext>
          </c:extLst>
        </c:ser>
        <c:dLbls>
          <c:showLegendKey val="0"/>
          <c:showVal val="0"/>
          <c:showCatName val="0"/>
          <c:showSerName val="0"/>
          <c:showPercent val="0"/>
          <c:showBubbleSize val="0"/>
        </c:dLbls>
        <c:gapWidth val="25"/>
        <c:axId val="701495135"/>
        <c:axId val="701470655"/>
      </c:barChart>
      <c:catAx>
        <c:axId val="70149513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701470655"/>
        <c:crosses val="autoZero"/>
        <c:auto val="1"/>
        <c:lblAlgn val="ctr"/>
        <c:lblOffset val="100"/>
        <c:noMultiLvlLbl val="0"/>
      </c:catAx>
      <c:valAx>
        <c:axId val="701470655"/>
        <c:scaling>
          <c:orientation val="minMax"/>
          <c:max val="10"/>
          <c:min val="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014951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5. How satisfied are you with the following:</a:t>
            </a:r>
            <a:r>
              <a:rPr lang="en-GB" sz="1050" b="0" i="0" u="none" strike="noStrike" baseline="0"/>
              <a:t> </a:t>
            </a:r>
            <a:r>
              <a:rPr lang="en-GB" sz="1050" b="1" i="0" u="none" strike="noStrike" baseline="0">
                <a:effectLst/>
              </a:rPr>
              <a:t>Opening hours</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ComparisonReport!$J$939</c:f>
              <c:strCache>
                <c:ptCount val="1"/>
                <c:pt idx="0">
                  <c:v>Very satisfied</c:v>
                </c:pt>
              </c:strCache>
            </c:strRef>
          </c:tx>
          <c:spPr>
            <a:solidFill>
              <a:schemeClr val="accent3">
                <a:shade val="53000"/>
              </a:schemeClr>
            </a:solidFill>
            <a:ln>
              <a:noFill/>
            </a:ln>
            <a:effectLst/>
          </c:spPr>
          <c:invertIfNegative val="0"/>
          <c:cat>
            <c:strRef>
              <c:f>[0]!Opening_hours_lbl</c:f>
              <c:strCache>
                <c:ptCount val="1"/>
                <c:pt idx="0">
                  <c:v>TOTAL</c:v>
                </c:pt>
              </c:strCache>
            </c:strRef>
          </c:cat>
          <c:val>
            <c:numRef>
              <c:f>[0]!Opening_hours_1</c:f>
              <c:numCache>
                <c:formatCode>0%</c:formatCode>
                <c:ptCount val="1"/>
                <c:pt idx="0">
                  <c:v>0.58443999999999996</c:v>
                </c:pt>
              </c:numCache>
            </c:numRef>
          </c:val>
          <c:extLst>
            <c:ext xmlns:c16="http://schemas.microsoft.com/office/drawing/2014/chart" uri="{C3380CC4-5D6E-409C-BE32-E72D297353CC}">
              <c16:uniqueId val="{00000000-B17B-4AE0-B23B-25CCF170F346}"/>
            </c:ext>
          </c:extLst>
        </c:ser>
        <c:ser>
          <c:idx val="1"/>
          <c:order val="1"/>
          <c:tx>
            <c:strRef>
              <c:f>ComparisonReport!$K$939</c:f>
              <c:strCache>
                <c:ptCount val="1"/>
                <c:pt idx="0">
                  <c:v>Satisfied</c:v>
                </c:pt>
              </c:strCache>
            </c:strRef>
          </c:tx>
          <c:spPr>
            <a:solidFill>
              <a:schemeClr val="accent3">
                <a:shade val="76000"/>
              </a:schemeClr>
            </a:solidFill>
            <a:ln>
              <a:noFill/>
            </a:ln>
            <a:effectLst/>
          </c:spPr>
          <c:invertIfNegative val="0"/>
          <c:cat>
            <c:strRef>
              <c:f>[0]!Opening_hours_lbl</c:f>
              <c:strCache>
                <c:ptCount val="1"/>
                <c:pt idx="0">
                  <c:v>TOTAL</c:v>
                </c:pt>
              </c:strCache>
            </c:strRef>
          </c:cat>
          <c:val>
            <c:numRef>
              <c:f>[0]!Opening_hours_2</c:f>
              <c:numCache>
                <c:formatCode>0%</c:formatCode>
                <c:ptCount val="1"/>
                <c:pt idx="0">
                  <c:v>0.31924000000000002</c:v>
                </c:pt>
              </c:numCache>
            </c:numRef>
          </c:val>
          <c:extLst>
            <c:ext xmlns:c16="http://schemas.microsoft.com/office/drawing/2014/chart" uri="{C3380CC4-5D6E-409C-BE32-E72D297353CC}">
              <c16:uniqueId val="{00000001-B17B-4AE0-B23B-25CCF170F346}"/>
            </c:ext>
          </c:extLst>
        </c:ser>
        <c:ser>
          <c:idx val="2"/>
          <c:order val="2"/>
          <c:tx>
            <c:strRef>
              <c:f>ComparisonReport!$L$939</c:f>
              <c:strCache>
                <c:ptCount val="1"/>
                <c:pt idx="0">
                  <c:v>Neither</c:v>
                </c:pt>
              </c:strCache>
            </c:strRef>
          </c:tx>
          <c:spPr>
            <a:solidFill>
              <a:schemeClr val="accent3"/>
            </a:solidFill>
            <a:ln>
              <a:noFill/>
            </a:ln>
            <a:effectLst/>
          </c:spPr>
          <c:invertIfNegative val="0"/>
          <c:cat>
            <c:strRef>
              <c:f>[0]!Opening_hours_lbl</c:f>
              <c:strCache>
                <c:ptCount val="1"/>
                <c:pt idx="0">
                  <c:v>TOTAL</c:v>
                </c:pt>
              </c:strCache>
            </c:strRef>
          </c:cat>
          <c:val>
            <c:numRef>
              <c:f>[0]!Opening_hours_3</c:f>
              <c:numCache>
                <c:formatCode>0%</c:formatCode>
                <c:ptCount val="1"/>
                <c:pt idx="0">
                  <c:v>3.058E-2</c:v>
                </c:pt>
              </c:numCache>
            </c:numRef>
          </c:val>
          <c:extLst>
            <c:ext xmlns:c16="http://schemas.microsoft.com/office/drawing/2014/chart" uri="{C3380CC4-5D6E-409C-BE32-E72D297353CC}">
              <c16:uniqueId val="{00000002-B17B-4AE0-B23B-25CCF170F346}"/>
            </c:ext>
          </c:extLst>
        </c:ser>
        <c:ser>
          <c:idx val="3"/>
          <c:order val="3"/>
          <c:tx>
            <c:strRef>
              <c:f>ComparisonReport!$M$939</c:f>
              <c:strCache>
                <c:ptCount val="1"/>
                <c:pt idx="0">
                  <c:v>Not very satisfied</c:v>
                </c:pt>
              </c:strCache>
            </c:strRef>
          </c:tx>
          <c:spPr>
            <a:solidFill>
              <a:schemeClr val="accent3">
                <a:tint val="77000"/>
              </a:schemeClr>
            </a:solidFill>
            <a:ln>
              <a:noFill/>
            </a:ln>
            <a:effectLst/>
          </c:spPr>
          <c:invertIfNegative val="0"/>
          <c:cat>
            <c:strRef>
              <c:f>[0]!Opening_hours_lbl</c:f>
              <c:strCache>
                <c:ptCount val="1"/>
                <c:pt idx="0">
                  <c:v>TOTAL</c:v>
                </c:pt>
              </c:strCache>
            </c:strRef>
          </c:cat>
          <c:val>
            <c:numRef>
              <c:f>[0]!Opening_hours_4</c:f>
              <c:numCache>
                <c:formatCode>0%</c:formatCode>
                <c:ptCount val="1"/>
                <c:pt idx="0">
                  <c:v>5.3539999999999997E-2</c:v>
                </c:pt>
              </c:numCache>
            </c:numRef>
          </c:val>
          <c:extLst>
            <c:ext xmlns:c16="http://schemas.microsoft.com/office/drawing/2014/chart" uri="{C3380CC4-5D6E-409C-BE32-E72D297353CC}">
              <c16:uniqueId val="{00000003-B17B-4AE0-B23B-25CCF170F346}"/>
            </c:ext>
          </c:extLst>
        </c:ser>
        <c:ser>
          <c:idx val="4"/>
          <c:order val="4"/>
          <c:tx>
            <c:strRef>
              <c:f>ComparisonReport!$N$939</c:f>
              <c:strCache>
                <c:ptCount val="1"/>
                <c:pt idx="0">
                  <c:v>Not at all satisfied</c:v>
                </c:pt>
              </c:strCache>
            </c:strRef>
          </c:tx>
          <c:spPr>
            <a:solidFill>
              <a:schemeClr val="accent3">
                <a:tint val="54000"/>
              </a:schemeClr>
            </a:solidFill>
            <a:ln>
              <a:noFill/>
            </a:ln>
            <a:effectLst/>
          </c:spPr>
          <c:invertIfNegative val="0"/>
          <c:cat>
            <c:strRef>
              <c:f>[0]!Opening_hours_lbl</c:f>
              <c:strCache>
                <c:ptCount val="1"/>
                <c:pt idx="0">
                  <c:v>TOTAL</c:v>
                </c:pt>
              </c:strCache>
            </c:strRef>
          </c:cat>
          <c:val>
            <c:numRef>
              <c:f>[0]!Opening_hours_5</c:f>
              <c:numCache>
                <c:formatCode>0%</c:formatCode>
                <c:ptCount val="1"/>
                <c:pt idx="0">
                  <c:v>1.2194064317467756E-2</c:v>
                </c:pt>
              </c:numCache>
            </c:numRef>
          </c:val>
          <c:extLst>
            <c:ext xmlns:c16="http://schemas.microsoft.com/office/drawing/2014/chart" uri="{C3380CC4-5D6E-409C-BE32-E72D297353CC}">
              <c16:uniqueId val="{00000004-B17B-4AE0-B23B-25CCF170F346}"/>
            </c:ext>
          </c:extLst>
        </c:ser>
        <c:dLbls>
          <c:showLegendKey val="0"/>
          <c:showVal val="0"/>
          <c:showCatName val="0"/>
          <c:showSerName val="0"/>
          <c:showPercent val="0"/>
          <c:showBubbleSize val="0"/>
        </c:dLbls>
        <c:gapWidth val="25"/>
        <c:overlap val="100"/>
        <c:axId val="701471615"/>
        <c:axId val="701469215"/>
      </c:barChart>
      <c:catAx>
        <c:axId val="7014716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701469215"/>
        <c:crosses val="autoZero"/>
        <c:auto val="1"/>
        <c:lblAlgn val="ctr"/>
        <c:lblOffset val="100"/>
        <c:noMultiLvlLbl val="0"/>
      </c:catAx>
      <c:valAx>
        <c:axId val="701469215"/>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014716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5. How satisfied are you with the following:</a:t>
            </a:r>
            <a:r>
              <a:rPr lang="en-GB" sz="1050" b="0" i="0" u="none" strike="noStrike" baseline="0"/>
              <a:t> </a:t>
            </a:r>
            <a:r>
              <a:rPr lang="en-GB" sz="1050" b="1" i="0" u="none" strike="noStrike" baseline="0">
                <a:effectLst/>
              </a:rPr>
              <a:t>Ease with which you found us</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ComparisonReport!$J$1057</c:f>
              <c:strCache>
                <c:ptCount val="1"/>
                <c:pt idx="0">
                  <c:v>Very satisfied</c:v>
                </c:pt>
              </c:strCache>
            </c:strRef>
          </c:tx>
          <c:spPr>
            <a:solidFill>
              <a:schemeClr val="accent3">
                <a:shade val="53000"/>
              </a:schemeClr>
            </a:solidFill>
            <a:ln>
              <a:noFill/>
            </a:ln>
            <a:effectLst/>
          </c:spPr>
          <c:invertIfNegative val="0"/>
          <c:cat>
            <c:strRef>
              <c:f>[0]!Ease_with_which_you_found_us_lbl</c:f>
              <c:strCache>
                <c:ptCount val="1"/>
                <c:pt idx="0">
                  <c:v>TOTAL</c:v>
                </c:pt>
              </c:strCache>
            </c:strRef>
          </c:cat>
          <c:val>
            <c:numRef>
              <c:f>[0]!Ease_with_which_you_found_us_1</c:f>
              <c:numCache>
                <c:formatCode>0%</c:formatCode>
                <c:ptCount val="1"/>
                <c:pt idx="0">
                  <c:v>0.83972000000000002</c:v>
                </c:pt>
              </c:numCache>
            </c:numRef>
          </c:val>
          <c:extLst>
            <c:ext xmlns:c16="http://schemas.microsoft.com/office/drawing/2014/chart" uri="{C3380CC4-5D6E-409C-BE32-E72D297353CC}">
              <c16:uniqueId val="{00000000-B11C-4AA9-A5D5-016786914A61}"/>
            </c:ext>
          </c:extLst>
        </c:ser>
        <c:ser>
          <c:idx val="1"/>
          <c:order val="1"/>
          <c:tx>
            <c:strRef>
              <c:f>ComparisonReport!$K$1057</c:f>
              <c:strCache>
                <c:ptCount val="1"/>
                <c:pt idx="0">
                  <c:v>Satisfied</c:v>
                </c:pt>
              </c:strCache>
            </c:strRef>
          </c:tx>
          <c:spPr>
            <a:solidFill>
              <a:schemeClr val="accent3">
                <a:shade val="76000"/>
              </a:schemeClr>
            </a:solidFill>
            <a:ln>
              <a:noFill/>
            </a:ln>
            <a:effectLst/>
          </c:spPr>
          <c:invertIfNegative val="0"/>
          <c:cat>
            <c:strRef>
              <c:f>[0]!Ease_with_which_you_found_us_lbl</c:f>
              <c:strCache>
                <c:ptCount val="1"/>
                <c:pt idx="0">
                  <c:v>TOTAL</c:v>
                </c:pt>
              </c:strCache>
            </c:strRef>
          </c:cat>
          <c:val>
            <c:numRef>
              <c:f>[0]!Ease_with_which_you_found_us_2</c:f>
              <c:numCache>
                <c:formatCode>0%</c:formatCode>
                <c:ptCount val="1"/>
                <c:pt idx="0">
                  <c:v>0.13768</c:v>
                </c:pt>
              </c:numCache>
            </c:numRef>
          </c:val>
          <c:extLst>
            <c:ext xmlns:c16="http://schemas.microsoft.com/office/drawing/2014/chart" uri="{C3380CC4-5D6E-409C-BE32-E72D297353CC}">
              <c16:uniqueId val="{00000001-B11C-4AA9-A5D5-016786914A61}"/>
            </c:ext>
          </c:extLst>
        </c:ser>
        <c:ser>
          <c:idx val="2"/>
          <c:order val="2"/>
          <c:tx>
            <c:strRef>
              <c:f>ComparisonReport!$L$1057</c:f>
              <c:strCache>
                <c:ptCount val="1"/>
                <c:pt idx="0">
                  <c:v>Neither</c:v>
                </c:pt>
              </c:strCache>
            </c:strRef>
          </c:tx>
          <c:spPr>
            <a:solidFill>
              <a:schemeClr val="accent3"/>
            </a:solidFill>
            <a:ln>
              <a:noFill/>
            </a:ln>
            <a:effectLst/>
          </c:spPr>
          <c:invertIfNegative val="0"/>
          <c:cat>
            <c:strRef>
              <c:f>[0]!Ease_with_which_you_found_us_lbl</c:f>
              <c:strCache>
                <c:ptCount val="1"/>
                <c:pt idx="0">
                  <c:v>TOTAL</c:v>
                </c:pt>
              </c:strCache>
            </c:strRef>
          </c:cat>
          <c:val>
            <c:numRef>
              <c:f>[0]!Ease_with_which_you_found_us_3</c:f>
              <c:numCache>
                <c:formatCode>0%</c:formatCode>
                <c:ptCount val="1"/>
                <c:pt idx="0">
                  <c:v>1.417E-2</c:v>
                </c:pt>
              </c:numCache>
            </c:numRef>
          </c:val>
          <c:extLst>
            <c:ext xmlns:c16="http://schemas.microsoft.com/office/drawing/2014/chart" uri="{C3380CC4-5D6E-409C-BE32-E72D297353CC}">
              <c16:uniqueId val="{00000002-B11C-4AA9-A5D5-016786914A61}"/>
            </c:ext>
          </c:extLst>
        </c:ser>
        <c:ser>
          <c:idx val="3"/>
          <c:order val="3"/>
          <c:tx>
            <c:strRef>
              <c:f>ComparisonReport!$M$1057</c:f>
              <c:strCache>
                <c:ptCount val="1"/>
                <c:pt idx="0">
                  <c:v>Not very satisfied</c:v>
                </c:pt>
              </c:strCache>
            </c:strRef>
          </c:tx>
          <c:spPr>
            <a:solidFill>
              <a:schemeClr val="accent3">
                <a:tint val="77000"/>
              </a:schemeClr>
            </a:solidFill>
            <a:ln>
              <a:noFill/>
            </a:ln>
            <a:effectLst/>
          </c:spPr>
          <c:invertIfNegative val="0"/>
          <c:cat>
            <c:strRef>
              <c:f>[0]!Ease_with_which_you_found_us_lbl</c:f>
              <c:strCache>
                <c:ptCount val="1"/>
                <c:pt idx="0">
                  <c:v>TOTAL</c:v>
                </c:pt>
              </c:strCache>
            </c:strRef>
          </c:cat>
          <c:val>
            <c:numRef>
              <c:f>[0]!Ease_with_which_you_found_us_4</c:f>
              <c:numCache>
                <c:formatCode>0%</c:formatCode>
                <c:ptCount val="1"/>
                <c:pt idx="0">
                  <c:v>7.6800000000000002E-3</c:v>
                </c:pt>
              </c:numCache>
            </c:numRef>
          </c:val>
          <c:extLst>
            <c:ext xmlns:c16="http://schemas.microsoft.com/office/drawing/2014/chart" uri="{C3380CC4-5D6E-409C-BE32-E72D297353CC}">
              <c16:uniqueId val="{00000003-B11C-4AA9-A5D5-016786914A61}"/>
            </c:ext>
          </c:extLst>
        </c:ser>
        <c:ser>
          <c:idx val="4"/>
          <c:order val="4"/>
          <c:tx>
            <c:strRef>
              <c:f>ComparisonReport!$N$1057</c:f>
              <c:strCache>
                <c:ptCount val="1"/>
                <c:pt idx="0">
                  <c:v>Not at all satisfied</c:v>
                </c:pt>
              </c:strCache>
            </c:strRef>
          </c:tx>
          <c:spPr>
            <a:solidFill>
              <a:schemeClr val="accent3">
                <a:tint val="54000"/>
              </a:schemeClr>
            </a:solidFill>
            <a:ln>
              <a:noFill/>
            </a:ln>
            <a:effectLst/>
          </c:spPr>
          <c:invertIfNegative val="0"/>
          <c:cat>
            <c:strRef>
              <c:f>[0]!Ease_with_which_you_found_us_lbl</c:f>
              <c:strCache>
                <c:ptCount val="1"/>
                <c:pt idx="0">
                  <c:v>TOTAL</c:v>
                </c:pt>
              </c:strCache>
            </c:strRef>
          </c:cat>
          <c:val>
            <c:numRef>
              <c:f>[0]!Ease_with_which_you_found_us_5</c:f>
              <c:numCache>
                <c:formatCode>0%</c:formatCode>
                <c:ptCount val="1"/>
                <c:pt idx="0">
                  <c:v>7.4641892651941088E-4</c:v>
                </c:pt>
              </c:numCache>
            </c:numRef>
          </c:val>
          <c:extLst>
            <c:ext xmlns:c16="http://schemas.microsoft.com/office/drawing/2014/chart" uri="{C3380CC4-5D6E-409C-BE32-E72D297353CC}">
              <c16:uniqueId val="{00000004-B11C-4AA9-A5D5-016786914A61}"/>
            </c:ext>
          </c:extLst>
        </c:ser>
        <c:dLbls>
          <c:showLegendKey val="0"/>
          <c:showVal val="0"/>
          <c:showCatName val="0"/>
          <c:showSerName val="0"/>
          <c:showPercent val="0"/>
          <c:showBubbleSize val="0"/>
        </c:dLbls>
        <c:gapWidth val="25"/>
        <c:overlap val="100"/>
        <c:axId val="701455775"/>
        <c:axId val="701449055"/>
      </c:barChart>
      <c:catAx>
        <c:axId val="70145577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701449055"/>
        <c:crosses val="autoZero"/>
        <c:auto val="1"/>
        <c:lblAlgn val="ctr"/>
        <c:lblOffset val="100"/>
        <c:noMultiLvlLbl val="0"/>
      </c:catAx>
      <c:valAx>
        <c:axId val="701449055"/>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014557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IndividualReport!$N$52</c:f>
              <c:strCache>
                <c:ptCount val="1"/>
                <c:pt idx="0">
                  <c:v>Ease with which you found us</c:v>
                </c:pt>
              </c:strCache>
            </c:strRef>
          </c:tx>
          <c:spPr>
            <a:solidFill>
              <a:schemeClr val="accent4">
                <a:lumMod val="75000"/>
              </a:schemeClr>
            </a:solidFill>
            <a:ln>
              <a:noFill/>
            </a:ln>
            <a:effectLst/>
          </c:spPr>
          <c:invertIfNegative val="0"/>
          <c:dLbls>
            <c:spPr>
              <a:solidFill>
                <a:schemeClr val="accent4">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IndividualReport!$O$52:$O$56</c:f>
              <c:strCache>
                <c:ptCount val="5"/>
                <c:pt idx="0">
                  <c:v>Very statisfied</c:v>
                </c:pt>
                <c:pt idx="1">
                  <c:v>Satisfied</c:v>
                </c:pt>
                <c:pt idx="2">
                  <c:v>Neither</c:v>
                </c:pt>
                <c:pt idx="3">
                  <c:v>Not very satisfied</c:v>
                </c:pt>
                <c:pt idx="4">
                  <c:v>Not at all satisfied</c:v>
                </c:pt>
              </c:strCache>
            </c:strRef>
          </c:cat>
          <c:val>
            <c:numRef>
              <c:f>IndividualReport!$Q$52:$Q$56</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CAAA-49C1-95FB-8369C86EA7B3}"/>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5. How satisfied are you with the following:</a:t>
            </a:r>
            <a:r>
              <a:rPr lang="en-GB" sz="1050" b="0" i="0" u="none" strike="noStrike" baseline="0"/>
              <a:t> </a:t>
            </a:r>
            <a:r>
              <a:rPr lang="en-GB" sz="1050" b="1" i="0" u="none" strike="noStrike" baseline="0">
                <a:effectLst/>
              </a:rPr>
              <a:t>Appearance / upkeep of the building</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ComparisonReport!$J$1175</c:f>
              <c:strCache>
                <c:ptCount val="1"/>
                <c:pt idx="0">
                  <c:v>Very satisfied</c:v>
                </c:pt>
              </c:strCache>
            </c:strRef>
          </c:tx>
          <c:spPr>
            <a:solidFill>
              <a:schemeClr val="accent3">
                <a:shade val="53000"/>
              </a:schemeClr>
            </a:solidFill>
            <a:ln>
              <a:noFill/>
            </a:ln>
            <a:effectLst/>
          </c:spPr>
          <c:invertIfNegative val="0"/>
          <c:cat>
            <c:strRef>
              <c:f>[0]!Appearance___upkeep_of_the_building_lbl</c:f>
              <c:strCache>
                <c:ptCount val="1"/>
                <c:pt idx="0">
                  <c:v>TOTAL</c:v>
                </c:pt>
              </c:strCache>
            </c:strRef>
          </c:cat>
          <c:val>
            <c:numRef>
              <c:f>[0]!Appearance___upkeep_of_the_building_1</c:f>
              <c:numCache>
                <c:formatCode>0%</c:formatCode>
                <c:ptCount val="1"/>
                <c:pt idx="0">
                  <c:v>0.80511999999999995</c:v>
                </c:pt>
              </c:numCache>
            </c:numRef>
          </c:val>
          <c:extLst>
            <c:ext xmlns:c16="http://schemas.microsoft.com/office/drawing/2014/chart" uri="{C3380CC4-5D6E-409C-BE32-E72D297353CC}">
              <c16:uniqueId val="{00000000-3756-419E-A396-743C5B35059E}"/>
            </c:ext>
          </c:extLst>
        </c:ser>
        <c:ser>
          <c:idx val="1"/>
          <c:order val="1"/>
          <c:tx>
            <c:strRef>
              <c:f>ComparisonReport!$K$1175</c:f>
              <c:strCache>
                <c:ptCount val="1"/>
                <c:pt idx="0">
                  <c:v>Satisfied</c:v>
                </c:pt>
              </c:strCache>
            </c:strRef>
          </c:tx>
          <c:spPr>
            <a:solidFill>
              <a:schemeClr val="accent3">
                <a:shade val="76000"/>
              </a:schemeClr>
            </a:solidFill>
            <a:ln>
              <a:noFill/>
            </a:ln>
            <a:effectLst/>
          </c:spPr>
          <c:invertIfNegative val="0"/>
          <c:cat>
            <c:strRef>
              <c:f>[0]!Appearance___upkeep_of_the_building_lbl</c:f>
              <c:strCache>
                <c:ptCount val="1"/>
                <c:pt idx="0">
                  <c:v>TOTAL</c:v>
                </c:pt>
              </c:strCache>
            </c:strRef>
          </c:cat>
          <c:val>
            <c:numRef>
              <c:f>[0]!Appearance___upkeep_of_the_building_2</c:f>
              <c:numCache>
                <c:formatCode>0%</c:formatCode>
                <c:ptCount val="1"/>
                <c:pt idx="0">
                  <c:v>0.16395999999999999</c:v>
                </c:pt>
              </c:numCache>
            </c:numRef>
          </c:val>
          <c:extLst>
            <c:ext xmlns:c16="http://schemas.microsoft.com/office/drawing/2014/chart" uri="{C3380CC4-5D6E-409C-BE32-E72D297353CC}">
              <c16:uniqueId val="{00000001-3756-419E-A396-743C5B35059E}"/>
            </c:ext>
          </c:extLst>
        </c:ser>
        <c:ser>
          <c:idx val="2"/>
          <c:order val="2"/>
          <c:tx>
            <c:strRef>
              <c:f>ComparisonReport!$L$1175</c:f>
              <c:strCache>
                <c:ptCount val="1"/>
                <c:pt idx="0">
                  <c:v>Neither</c:v>
                </c:pt>
              </c:strCache>
            </c:strRef>
          </c:tx>
          <c:spPr>
            <a:solidFill>
              <a:schemeClr val="accent3"/>
            </a:solidFill>
            <a:ln>
              <a:noFill/>
            </a:ln>
            <a:effectLst/>
          </c:spPr>
          <c:invertIfNegative val="0"/>
          <c:cat>
            <c:strRef>
              <c:f>[0]!Appearance___upkeep_of_the_building_lbl</c:f>
              <c:strCache>
                <c:ptCount val="1"/>
                <c:pt idx="0">
                  <c:v>TOTAL</c:v>
                </c:pt>
              </c:strCache>
            </c:strRef>
          </c:cat>
          <c:val>
            <c:numRef>
              <c:f>[0]!Appearance___upkeep_of_the_building_3</c:f>
              <c:numCache>
                <c:formatCode>0%</c:formatCode>
                <c:ptCount val="1"/>
                <c:pt idx="0">
                  <c:v>2.444E-2</c:v>
                </c:pt>
              </c:numCache>
            </c:numRef>
          </c:val>
          <c:extLst>
            <c:ext xmlns:c16="http://schemas.microsoft.com/office/drawing/2014/chart" uri="{C3380CC4-5D6E-409C-BE32-E72D297353CC}">
              <c16:uniqueId val="{00000002-3756-419E-A396-743C5B35059E}"/>
            </c:ext>
          </c:extLst>
        </c:ser>
        <c:ser>
          <c:idx val="3"/>
          <c:order val="3"/>
          <c:tx>
            <c:strRef>
              <c:f>ComparisonReport!$M$1175</c:f>
              <c:strCache>
                <c:ptCount val="1"/>
                <c:pt idx="0">
                  <c:v>Not very satisfied</c:v>
                </c:pt>
              </c:strCache>
            </c:strRef>
          </c:tx>
          <c:spPr>
            <a:solidFill>
              <a:schemeClr val="accent3">
                <a:tint val="77000"/>
              </a:schemeClr>
            </a:solidFill>
            <a:ln>
              <a:noFill/>
            </a:ln>
            <a:effectLst/>
          </c:spPr>
          <c:invertIfNegative val="0"/>
          <c:cat>
            <c:strRef>
              <c:f>[0]!Appearance___upkeep_of_the_building_lbl</c:f>
              <c:strCache>
                <c:ptCount val="1"/>
                <c:pt idx="0">
                  <c:v>TOTAL</c:v>
                </c:pt>
              </c:strCache>
            </c:strRef>
          </c:cat>
          <c:val>
            <c:numRef>
              <c:f>[0]!Appearance___upkeep_of_the_building_4</c:f>
              <c:numCache>
                <c:formatCode>0%</c:formatCode>
                <c:ptCount val="1"/>
                <c:pt idx="0">
                  <c:v>4.6299999999999996E-3</c:v>
                </c:pt>
              </c:numCache>
            </c:numRef>
          </c:val>
          <c:extLst>
            <c:ext xmlns:c16="http://schemas.microsoft.com/office/drawing/2014/chart" uri="{C3380CC4-5D6E-409C-BE32-E72D297353CC}">
              <c16:uniqueId val="{00000003-3756-419E-A396-743C5B35059E}"/>
            </c:ext>
          </c:extLst>
        </c:ser>
        <c:ser>
          <c:idx val="4"/>
          <c:order val="4"/>
          <c:tx>
            <c:strRef>
              <c:f>ComparisonReport!$N$1175</c:f>
              <c:strCache>
                <c:ptCount val="1"/>
                <c:pt idx="0">
                  <c:v>Not at all satisfied</c:v>
                </c:pt>
              </c:strCache>
            </c:strRef>
          </c:tx>
          <c:spPr>
            <a:solidFill>
              <a:schemeClr val="accent3">
                <a:tint val="54000"/>
              </a:schemeClr>
            </a:solidFill>
            <a:ln>
              <a:noFill/>
            </a:ln>
            <a:effectLst/>
          </c:spPr>
          <c:invertIfNegative val="0"/>
          <c:cat>
            <c:strRef>
              <c:f>[0]!Appearance___upkeep_of_the_building_lbl</c:f>
              <c:strCache>
                <c:ptCount val="1"/>
                <c:pt idx="0">
                  <c:v>TOTAL</c:v>
                </c:pt>
              </c:strCache>
            </c:strRef>
          </c:cat>
          <c:val>
            <c:numRef>
              <c:f>[0]!Appearance___upkeep_of_the_building_5</c:f>
              <c:numCache>
                <c:formatCode>0%</c:formatCode>
                <c:ptCount val="1"/>
                <c:pt idx="0">
                  <c:v>1.8488321120624872E-3</c:v>
                </c:pt>
              </c:numCache>
            </c:numRef>
          </c:val>
          <c:extLst>
            <c:ext xmlns:c16="http://schemas.microsoft.com/office/drawing/2014/chart" uri="{C3380CC4-5D6E-409C-BE32-E72D297353CC}">
              <c16:uniqueId val="{00000004-3756-419E-A396-743C5B35059E}"/>
            </c:ext>
          </c:extLst>
        </c:ser>
        <c:dLbls>
          <c:showLegendKey val="0"/>
          <c:showVal val="0"/>
          <c:showCatName val="0"/>
          <c:showSerName val="0"/>
          <c:showPercent val="0"/>
          <c:showBubbleSize val="0"/>
        </c:dLbls>
        <c:gapWidth val="25"/>
        <c:overlap val="100"/>
        <c:axId val="1878934991"/>
        <c:axId val="1878931631"/>
      </c:barChart>
      <c:catAx>
        <c:axId val="18789349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878931631"/>
        <c:crosses val="autoZero"/>
        <c:auto val="1"/>
        <c:lblAlgn val="ctr"/>
        <c:lblOffset val="100"/>
        <c:noMultiLvlLbl val="0"/>
      </c:catAx>
      <c:valAx>
        <c:axId val="1878931631"/>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789349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5. How satisfied are you with the following:</a:t>
            </a:r>
            <a:r>
              <a:rPr lang="en-GB" sz="1050" b="0" i="0" u="none" strike="noStrike" baseline="0"/>
              <a:t> </a:t>
            </a:r>
            <a:r>
              <a:rPr lang="en-GB" sz="1050" b="1" i="0" u="none" strike="noStrike" baseline="0">
                <a:effectLst/>
              </a:rPr>
              <a:t>Access to and in the building</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ComparisonReport!$J$1293</c:f>
              <c:strCache>
                <c:ptCount val="1"/>
                <c:pt idx="0">
                  <c:v>Very satisfied</c:v>
                </c:pt>
              </c:strCache>
            </c:strRef>
          </c:tx>
          <c:spPr>
            <a:solidFill>
              <a:schemeClr val="accent3">
                <a:shade val="53000"/>
              </a:schemeClr>
            </a:solidFill>
            <a:ln>
              <a:noFill/>
            </a:ln>
            <a:effectLst/>
          </c:spPr>
          <c:invertIfNegative val="0"/>
          <c:cat>
            <c:strRef>
              <c:f>[0]!Access_to_and_in_the_building_lbl</c:f>
              <c:strCache>
                <c:ptCount val="1"/>
                <c:pt idx="0">
                  <c:v>TOTAL</c:v>
                </c:pt>
              </c:strCache>
            </c:strRef>
          </c:cat>
          <c:val>
            <c:numRef>
              <c:f>[0]!Access_to_and_in_the_building_1</c:f>
              <c:numCache>
                <c:formatCode>0%</c:formatCode>
                <c:ptCount val="1"/>
                <c:pt idx="0">
                  <c:v>0.85409000000000002</c:v>
                </c:pt>
              </c:numCache>
            </c:numRef>
          </c:val>
          <c:extLst>
            <c:ext xmlns:c16="http://schemas.microsoft.com/office/drawing/2014/chart" uri="{C3380CC4-5D6E-409C-BE32-E72D297353CC}">
              <c16:uniqueId val="{00000000-C3AF-47B6-A9DE-1C257D8CDCD1}"/>
            </c:ext>
          </c:extLst>
        </c:ser>
        <c:ser>
          <c:idx val="1"/>
          <c:order val="1"/>
          <c:tx>
            <c:strRef>
              <c:f>ComparisonReport!$K$1293</c:f>
              <c:strCache>
                <c:ptCount val="1"/>
                <c:pt idx="0">
                  <c:v>Satisfied</c:v>
                </c:pt>
              </c:strCache>
            </c:strRef>
          </c:tx>
          <c:spPr>
            <a:solidFill>
              <a:schemeClr val="accent3">
                <a:shade val="76000"/>
              </a:schemeClr>
            </a:solidFill>
            <a:ln>
              <a:noFill/>
            </a:ln>
            <a:effectLst/>
          </c:spPr>
          <c:invertIfNegative val="0"/>
          <c:cat>
            <c:strRef>
              <c:f>[0]!Access_to_and_in_the_building_lbl</c:f>
              <c:strCache>
                <c:ptCount val="1"/>
                <c:pt idx="0">
                  <c:v>TOTAL</c:v>
                </c:pt>
              </c:strCache>
            </c:strRef>
          </c:cat>
          <c:val>
            <c:numRef>
              <c:f>[0]!Access_to_and_in_the_building_2</c:f>
              <c:numCache>
                <c:formatCode>0%</c:formatCode>
                <c:ptCount val="1"/>
                <c:pt idx="0">
                  <c:v>0.12791</c:v>
                </c:pt>
              </c:numCache>
            </c:numRef>
          </c:val>
          <c:extLst>
            <c:ext xmlns:c16="http://schemas.microsoft.com/office/drawing/2014/chart" uri="{C3380CC4-5D6E-409C-BE32-E72D297353CC}">
              <c16:uniqueId val="{00000001-C3AF-47B6-A9DE-1C257D8CDCD1}"/>
            </c:ext>
          </c:extLst>
        </c:ser>
        <c:ser>
          <c:idx val="2"/>
          <c:order val="2"/>
          <c:tx>
            <c:strRef>
              <c:f>ComparisonReport!$L$1293</c:f>
              <c:strCache>
                <c:ptCount val="1"/>
                <c:pt idx="0">
                  <c:v>Neither</c:v>
                </c:pt>
              </c:strCache>
            </c:strRef>
          </c:tx>
          <c:spPr>
            <a:solidFill>
              <a:schemeClr val="accent3"/>
            </a:solidFill>
            <a:ln>
              <a:noFill/>
            </a:ln>
            <a:effectLst/>
          </c:spPr>
          <c:invertIfNegative val="0"/>
          <c:cat>
            <c:strRef>
              <c:f>[0]!Access_to_and_in_the_building_lbl</c:f>
              <c:strCache>
                <c:ptCount val="1"/>
                <c:pt idx="0">
                  <c:v>TOTAL</c:v>
                </c:pt>
              </c:strCache>
            </c:strRef>
          </c:cat>
          <c:val>
            <c:numRef>
              <c:f>[0]!Access_to_and_in_the_building_3</c:f>
              <c:numCache>
                <c:formatCode>0%</c:formatCode>
                <c:ptCount val="1"/>
                <c:pt idx="0">
                  <c:v>1.2659999999999999E-2</c:v>
                </c:pt>
              </c:numCache>
            </c:numRef>
          </c:val>
          <c:extLst>
            <c:ext xmlns:c16="http://schemas.microsoft.com/office/drawing/2014/chart" uri="{C3380CC4-5D6E-409C-BE32-E72D297353CC}">
              <c16:uniqueId val="{00000002-C3AF-47B6-A9DE-1C257D8CDCD1}"/>
            </c:ext>
          </c:extLst>
        </c:ser>
        <c:ser>
          <c:idx val="3"/>
          <c:order val="3"/>
          <c:tx>
            <c:strRef>
              <c:f>ComparisonReport!$M$1293</c:f>
              <c:strCache>
                <c:ptCount val="1"/>
                <c:pt idx="0">
                  <c:v>Not very satisfied</c:v>
                </c:pt>
              </c:strCache>
            </c:strRef>
          </c:tx>
          <c:spPr>
            <a:solidFill>
              <a:schemeClr val="accent3">
                <a:tint val="77000"/>
              </a:schemeClr>
            </a:solidFill>
            <a:ln>
              <a:noFill/>
            </a:ln>
            <a:effectLst/>
          </c:spPr>
          <c:invertIfNegative val="0"/>
          <c:cat>
            <c:strRef>
              <c:f>[0]!Access_to_and_in_the_building_lbl</c:f>
              <c:strCache>
                <c:ptCount val="1"/>
                <c:pt idx="0">
                  <c:v>TOTAL</c:v>
                </c:pt>
              </c:strCache>
            </c:strRef>
          </c:cat>
          <c:val>
            <c:numRef>
              <c:f>[0]!Access_to_and_in_the_building_4</c:f>
              <c:numCache>
                <c:formatCode>0%</c:formatCode>
                <c:ptCount val="1"/>
                <c:pt idx="0">
                  <c:v>4.2399999999999998E-3</c:v>
                </c:pt>
              </c:numCache>
            </c:numRef>
          </c:val>
          <c:extLst>
            <c:ext xmlns:c16="http://schemas.microsoft.com/office/drawing/2014/chart" uri="{C3380CC4-5D6E-409C-BE32-E72D297353CC}">
              <c16:uniqueId val="{00000003-C3AF-47B6-A9DE-1C257D8CDCD1}"/>
            </c:ext>
          </c:extLst>
        </c:ser>
        <c:ser>
          <c:idx val="4"/>
          <c:order val="4"/>
          <c:tx>
            <c:strRef>
              <c:f>ComparisonReport!$N$1293</c:f>
              <c:strCache>
                <c:ptCount val="1"/>
                <c:pt idx="0">
                  <c:v>Not at all satisfied</c:v>
                </c:pt>
              </c:strCache>
            </c:strRef>
          </c:tx>
          <c:spPr>
            <a:solidFill>
              <a:schemeClr val="accent3">
                <a:tint val="54000"/>
              </a:schemeClr>
            </a:solidFill>
            <a:ln>
              <a:noFill/>
            </a:ln>
            <a:effectLst/>
          </c:spPr>
          <c:invertIfNegative val="0"/>
          <c:cat>
            <c:strRef>
              <c:f>[0]!Access_to_and_in_the_building_lbl</c:f>
              <c:strCache>
                <c:ptCount val="1"/>
                <c:pt idx="0">
                  <c:v>TOTAL</c:v>
                </c:pt>
              </c:strCache>
            </c:strRef>
          </c:cat>
          <c:val>
            <c:numRef>
              <c:f>[0]!Access_to_and_in_the_building_5</c:f>
              <c:numCache>
                <c:formatCode>0%</c:formatCode>
                <c:ptCount val="1"/>
                <c:pt idx="0">
                  <c:v>1.0861417337088553E-3</c:v>
                </c:pt>
              </c:numCache>
            </c:numRef>
          </c:val>
          <c:extLst>
            <c:ext xmlns:c16="http://schemas.microsoft.com/office/drawing/2014/chart" uri="{C3380CC4-5D6E-409C-BE32-E72D297353CC}">
              <c16:uniqueId val="{00000004-C3AF-47B6-A9DE-1C257D8CDCD1}"/>
            </c:ext>
          </c:extLst>
        </c:ser>
        <c:dLbls>
          <c:showLegendKey val="0"/>
          <c:showVal val="0"/>
          <c:showCatName val="0"/>
          <c:showSerName val="0"/>
          <c:showPercent val="0"/>
          <c:showBubbleSize val="0"/>
        </c:dLbls>
        <c:gapWidth val="25"/>
        <c:overlap val="100"/>
        <c:axId val="798282031"/>
        <c:axId val="798267151"/>
      </c:barChart>
      <c:catAx>
        <c:axId val="79828203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798267151"/>
        <c:crosses val="autoZero"/>
        <c:auto val="1"/>
        <c:lblAlgn val="ctr"/>
        <c:lblOffset val="100"/>
        <c:noMultiLvlLbl val="0"/>
      </c:catAx>
      <c:valAx>
        <c:axId val="798267151"/>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9828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5. How satisfied are you with the following:</a:t>
            </a:r>
            <a:r>
              <a:rPr lang="en-GB" sz="1050" b="0" i="0" u="none" strike="noStrike" baseline="0"/>
              <a:t> </a:t>
            </a:r>
            <a:r>
              <a:rPr lang="en-GB" sz="1050" b="1" i="0" u="none" strike="noStrike" baseline="0">
                <a:effectLst/>
              </a:rPr>
              <a:t>Lockers / toilets / rest or refreshment area</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ComparisonReport!$J$1411</c:f>
              <c:strCache>
                <c:ptCount val="1"/>
                <c:pt idx="0">
                  <c:v>Very satisfied</c:v>
                </c:pt>
              </c:strCache>
            </c:strRef>
          </c:tx>
          <c:spPr>
            <a:solidFill>
              <a:schemeClr val="accent3">
                <a:shade val="53000"/>
              </a:schemeClr>
            </a:solidFill>
            <a:ln>
              <a:noFill/>
            </a:ln>
            <a:effectLst/>
          </c:spPr>
          <c:invertIfNegative val="0"/>
          <c:cat>
            <c:strRef>
              <c:f>[0]!Lockers___toilets___rest_or_refreshment_area_lbl</c:f>
              <c:strCache>
                <c:ptCount val="1"/>
                <c:pt idx="0">
                  <c:v>TOTAL</c:v>
                </c:pt>
              </c:strCache>
            </c:strRef>
          </c:cat>
          <c:val>
            <c:numRef>
              <c:f>[0]!Lockers___toilets___rest_or_refreshment_area_1</c:f>
              <c:numCache>
                <c:formatCode>0%</c:formatCode>
                <c:ptCount val="1"/>
                <c:pt idx="0">
                  <c:v>0.74204999999999999</c:v>
                </c:pt>
              </c:numCache>
            </c:numRef>
          </c:val>
          <c:extLst>
            <c:ext xmlns:c16="http://schemas.microsoft.com/office/drawing/2014/chart" uri="{C3380CC4-5D6E-409C-BE32-E72D297353CC}">
              <c16:uniqueId val="{00000000-9541-404C-B276-0F008566D259}"/>
            </c:ext>
          </c:extLst>
        </c:ser>
        <c:ser>
          <c:idx val="1"/>
          <c:order val="1"/>
          <c:tx>
            <c:strRef>
              <c:f>ComparisonReport!$K$1411</c:f>
              <c:strCache>
                <c:ptCount val="1"/>
                <c:pt idx="0">
                  <c:v>Satisfied</c:v>
                </c:pt>
              </c:strCache>
            </c:strRef>
          </c:tx>
          <c:spPr>
            <a:solidFill>
              <a:schemeClr val="accent3">
                <a:shade val="76000"/>
              </a:schemeClr>
            </a:solidFill>
            <a:ln>
              <a:noFill/>
            </a:ln>
            <a:effectLst/>
          </c:spPr>
          <c:invertIfNegative val="0"/>
          <c:cat>
            <c:strRef>
              <c:f>[0]!Lockers___toilets___rest_or_refreshment_area_lbl</c:f>
              <c:strCache>
                <c:ptCount val="1"/>
                <c:pt idx="0">
                  <c:v>TOTAL</c:v>
                </c:pt>
              </c:strCache>
            </c:strRef>
          </c:cat>
          <c:val>
            <c:numRef>
              <c:f>[0]!Lockers___toilets___rest_or_refreshment_area_2</c:f>
              <c:numCache>
                <c:formatCode>0%</c:formatCode>
                <c:ptCount val="1"/>
                <c:pt idx="0">
                  <c:v>0.20868</c:v>
                </c:pt>
              </c:numCache>
            </c:numRef>
          </c:val>
          <c:extLst>
            <c:ext xmlns:c16="http://schemas.microsoft.com/office/drawing/2014/chart" uri="{C3380CC4-5D6E-409C-BE32-E72D297353CC}">
              <c16:uniqueId val="{00000001-9541-404C-B276-0F008566D259}"/>
            </c:ext>
          </c:extLst>
        </c:ser>
        <c:ser>
          <c:idx val="2"/>
          <c:order val="2"/>
          <c:tx>
            <c:strRef>
              <c:f>ComparisonReport!$L$1411</c:f>
              <c:strCache>
                <c:ptCount val="1"/>
                <c:pt idx="0">
                  <c:v>Neither</c:v>
                </c:pt>
              </c:strCache>
            </c:strRef>
          </c:tx>
          <c:spPr>
            <a:solidFill>
              <a:schemeClr val="accent3"/>
            </a:solidFill>
            <a:ln>
              <a:noFill/>
            </a:ln>
            <a:effectLst/>
          </c:spPr>
          <c:invertIfNegative val="0"/>
          <c:cat>
            <c:strRef>
              <c:f>[0]!Lockers___toilets___rest_or_refreshment_area_lbl</c:f>
              <c:strCache>
                <c:ptCount val="1"/>
                <c:pt idx="0">
                  <c:v>TOTAL</c:v>
                </c:pt>
              </c:strCache>
            </c:strRef>
          </c:cat>
          <c:val>
            <c:numRef>
              <c:f>[0]!Lockers___toilets___rest_or_refreshment_area_3</c:f>
              <c:numCache>
                <c:formatCode>0%</c:formatCode>
                <c:ptCount val="1"/>
                <c:pt idx="0">
                  <c:v>2.563E-2</c:v>
                </c:pt>
              </c:numCache>
            </c:numRef>
          </c:val>
          <c:extLst>
            <c:ext xmlns:c16="http://schemas.microsoft.com/office/drawing/2014/chart" uri="{C3380CC4-5D6E-409C-BE32-E72D297353CC}">
              <c16:uniqueId val="{00000002-9541-404C-B276-0F008566D259}"/>
            </c:ext>
          </c:extLst>
        </c:ser>
        <c:ser>
          <c:idx val="3"/>
          <c:order val="3"/>
          <c:tx>
            <c:strRef>
              <c:f>ComparisonReport!$M$1411</c:f>
              <c:strCache>
                <c:ptCount val="1"/>
                <c:pt idx="0">
                  <c:v>Not very satisfied</c:v>
                </c:pt>
              </c:strCache>
            </c:strRef>
          </c:tx>
          <c:spPr>
            <a:solidFill>
              <a:schemeClr val="accent3">
                <a:tint val="77000"/>
              </a:schemeClr>
            </a:solidFill>
            <a:ln>
              <a:noFill/>
            </a:ln>
            <a:effectLst/>
          </c:spPr>
          <c:invertIfNegative val="0"/>
          <c:cat>
            <c:strRef>
              <c:f>[0]!Lockers___toilets___rest_or_refreshment_area_lbl</c:f>
              <c:strCache>
                <c:ptCount val="1"/>
                <c:pt idx="0">
                  <c:v>TOTAL</c:v>
                </c:pt>
              </c:strCache>
            </c:strRef>
          </c:cat>
          <c:val>
            <c:numRef>
              <c:f>[0]!Lockers___toilets___rest_or_refreshment_area_4</c:f>
              <c:numCache>
                <c:formatCode>0%</c:formatCode>
                <c:ptCount val="1"/>
                <c:pt idx="0">
                  <c:v>1.788E-2</c:v>
                </c:pt>
              </c:numCache>
            </c:numRef>
          </c:val>
          <c:extLst>
            <c:ext xmlns:c16="http://schemas.microsoft.com/office/drawing/2014/chart" uri="{C3380CC4-5D6E-409C-BE32-E72D297353CC}">
              <c16:uniqueId val="{00000003-9541-404C-B276-0F008566D259}"/>
            </c:ext>
          </c:extLst>
        </c:ser>
        <c:ser>
          <c:idx val="4"/>
          <c:order val="4"/>
          <c:tx>
            <c:strRef>
              <c:f>ComparisonReport!$N$1411</c:f>
              <c:strCache>
                <c:ptCount val="1"/>
                <c:pt idx="0">
                  <c:v>Not at all satisfied</c:v>
                </c:pt>
              </c:strCache>
            </c:strRef>
          </c:tx>
          <c:spPr>
            <a:solidFill>
              <a:schemeClr val="accent3">
                <a:tint val="54000"/>
              </a:schemeClr>
            </a:solidFill>
            <a:ln>
              <a:noFill/>
            </a:ln>
            <a:effectLst/>
          </c:spPr>
          <c:invertIfNegative val="0"/>
          <c:cat>
            <c:strRef>
              <c:f>[0]!Lockers___toilets___rest_or_refreshment_area_lbl</c:f>
              <c:strCache>
                <c:ptCount val="1"/>
                <c:pt idx="0">
                  <c:v>TOTAL</c:v>
                </c:pt>
              </c:strCache>
            </c:strRef>
          </c:cat>
          <c:val>
            <c:numRef>
              <c:f>[0]!Lockers___toilets___rest_or_refreshment_area_5</c:f>
              <c:numCache>
                <c:formatCode>0%</c:formatCode>
                <c:ptCount val="1"/>
                <c:pt idx="0">
                  <c:v>5.7536071305144855E-3</c:v>
                </c:pt>
              </c:numCache>
            </c:numRef>
          </c:val>
          <c:extLst>
            <c:ext xmlns:c16="http://schemas.microsoft.com/office/drawing/2014/chart" uri="{C3380CC4-5D6E-409C-BE32-E72D297353CC}">
              <c16:uniqueId val="{00000004-9541-404C-B276-0F008566D259}"/>
            </c:ext>
          </c:extLst>
        </c:ser>
        <c:dLbls>
          <c:showLegendKey val="0"/>
          <c:showVal val="0"/>
          <c:showCatName val="0"/>
          <c:showSerName val="0"/>
          <c:showPercent val="0"/>
          <c:showBubbleSize val="0"/>
        </c:dLbls>
        <c:gapWidth val="25"/>
        <c:overlap val="100"/>
        <c:axId val="1143062671"/>
        <c:axId val="1143083311"/>
      </c:barChart>
      <c:catAx>
        <c:axId val="11430626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143083311"/>
        <c:crosses val="autoZero"/>
        <c:auto val="1"/>
        <c:lblAlgn val="ctr"/>
        <c:lblOffset val="100"/>
        <c:noMultiLvlLbl val="0"/>
      </c:catAx>
      <c:valAx>
        <c:axId val="1143083311"/>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143062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5. How satisfied are you with the following:</a:t>
            </a:r>
            <a:r>
              <a:rPr lang="en-GB" sz="1050" b="0" i="0" u="none" strike="noStrike" baseline="0"/>
              <a:t> </a:t>
            </a:r>
            <a:r>
              <a:rPr lang="en-GB" sz="1050" b="1" i="0" u="none" strike="noStrike" baseline="0">
                <a:effectLst/>
              </a:rPr>
              <a:t>Welcome / reception</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ComparisonReport!$J$1529</c:f>
              <c:strCache>
                <c:ptCount val="1"/>
                <c:pt idx="0">
                  <c:v>Very satisfied</c:v>
                </c:pt>
              </c:strCache>
            </c:strRef>
          </c:tx>
          <c:spPr>
            <a:solidFill>
              <a:schemeClr val="accent3">
                <a:shade val="53000"/>
              </a:schemeClr>
            </a:solidFill>
            <a:ln>
              <a:noFill/>
            </a:ln>
            <a:effectLst/>
          </c:spPr>
          <c:invertIfNegative val="0"/>
          <c:cat>
            <c:strRef>
              <c:f>[0]!Welcome___reception_lbl</c:f>
              <c:strCache>
                <c:ptCount val="1"/>
                <c:pt idx="0">
                  <c:v>TOTAL</c:v>
                </c:pt>
              </c:strCache>
            </c:strRef>
          </c:cat>
          <c:val>
            <c:numRef>
              <c:f>[0]!Welcome___reception_1</c:f>
              <c:numCache>
                <c:formatCode>0%</c:formatCode>
                <c:ptCount val="1"/>
                <c:pt idx="0">
                  <c:v>0.84221999999999997</c:v>
                </c:pt>
              </c:numCache>
            </c:numRef>
          </c:val>
          <c:extLst>
            <c:ext xmlns:c16="http://schemas.microsoft.com/office/drawing/2014/chart" uri="{C3380CC4-5D6E-409C-BE32-E72D297353CC}">
              <c16:uniqueId val="{00000000-AFD1-4816-96B3-C669940CD86C}"/>
            </c:ext>
          </c:extLst>
        </c:ser>
        <c:ser>
          <c:idx val="1"/>
          <c:order val="1"/>
          <c:tx>
            <c:strRef>
              <c:f>ComparisonReport!$K$1529</c:f>
              <c:strCache>
                <c:ptCount val="1"/>
                <c:pt idx="0">
                  <c:v>Satisfied</c:v>
                </c:pt>
              </c:strCache>
            </c:strRef>
          </c:tx>
          <c:spPr>
            <a:solidFill>
              <a:schemeClr val="accent3">
                <a:shade val="76000"/>
              </a:schemeClr>
            </a:solidFill>
            <a:ln>
              <a:noFill/>
            </a:ln>
            <a:effectLst/>
          </c:spPr>
          <c:invertIfNegative val="0"/>
          <c:cat>
            <c:strRef>
              <c:f>[0]!Welcome___reception_lbl</c:f>
              <c:strCache>
                <c:ptCount val="1"/>
                <c:pt idx="0">
                  <c:v>TOTAL</c:v>
                </c:pt>
              </c:strCache>
            </c:strRef>
          </c:cat>
          <c:val>
            <c:numRef>
              <c:f>[0]!Welcome___reception_2</c:f>
              <c:numCache>
                <c:formatCode>0%</c:formatCode>
                <c:ptCount val="1"/>
                <c:pt idx="0">
                  <c:v>0.13314000000000001</c:v>
                </c:pt>
              </c:numCache>
            </c:numRef>
          </c:val>
          <c:extLst>
            <c:ext xmlns:c16="http://schemas.microsoft.com/office/drawing/2014/chart" uri="{C3380CC4-5D6E-409C-BE32-E72D297353CC}">
              <c16:uniqueId val="{00000001-AFD1-4816-96B3-C669940CD86C}"/>
            </c:ext>
          </c:extLst>
        </c:ser>
        <c:ser>
          <c:idx val="2"/>
          <c:order val="2"/>
          <c:tx>
            <c:strRef>
              <c:f>ComparisonReport!$L$1529</c:f>
              <c:strCache>
                <c:ptCount val="1"/>
                <c:pt idx="0">
                  <c:v>Neither</c:v>
                </c:pt>
              </c:strCache>
            </c:strRef>
          </c:tx>
          <c:spPr>
            <a:solidFill>
              <a:schemeClr val="accent3"/>
            </a:solidFill>
            <a:ln>
              <a:noFill/>
            </a:ln>
            <a:effectLst/>
          </c:spPr>
          <c:invertIfNegative val="0"/>
          <c:cat>
            <c:strRef>
              <c:f>[0]!Welcome___reception_lbl</c:f>
              <c:strCache>
                <c:ptCount val="1"/>
                <c:pt idx="0">
                  <c:v>TOTAL</c:v>
                </c:pt>
              </c:strCache>
            </c:strRef>
          </c:cat>
          <c:val>
            <c:numRef>
              <c:f>[0]!Welcome___reception_3</c:f>
              <c:numCache>
                <c:formatCode>0%</c:formatCode>
                <c:ptCount val="1"/>
                <c:pt idx="0">
                  <c:v>1.77E-2</c:v>
                </c:pt>
              </c:numCache>
            </c:numRef>
          </c:val>
          <c:extLst>
            <c:ext xmlns:c16="http://schemas.microsoft.com/office/drawing/2014/chart" uri="{C3380CC4-5D6E-409C-BE32-E72D297353CC}">
              <c16:uniqueId val="{00000002-AFD1-4816-96B3-C669940CD86C}"/>
            </c:ext>
          </c:extLst>
        </c:ser>
        <c:ser>
          <c:idx val="3"/>
          <c:order val="3"/>
          <c:tx>
            <c:strRef>
              <c:f>ComparisonReport!$M$1529</c:f>
              <c:strCache>
                <c:ptCount val="1"/>
                <c:pt idx="0">
                  <c:v>Not very satisfied</c:v>
                </c:pt>
              </c:strCache>
            </c:strRef>
          </c:tx>
          <c:spPr>
            <a:solidFill>
              <a:schemeClr val="accent3">
                <a:tint val="77000"/>
              </a:schemeClr>
            </a:solidFill>
            <a:ln>
              <a:noFill/>
            </a:ln>
            <a:effectLst/>
          </c:spPr>
          <c:invertIfNegative val="0"/>
          <c:cat>
            <c:strRef>
              <c:f>[0]!Welcome___reception_lbl</c:f>
              <c:strCache>
                <c:ptCount val="1"/>
                <c:pt idx="0">
                  <c:v>TOTAL</c:v>
                </c:pt>
              </c:strCache>
            </c:strRef>
          </c:cat>
          <c:val>
            <c:numRef>
              <c:f>[0]!Welcome___reception_4</c:f>
              <c:numCache>
                <c:formatCode>0%</c:formatCode>
                <c:ptCount val="1"/>
                <c:pt idx="0">
                  <c:v>6.8500000000000002E-3</c:v>
                </c:pt>
              </c:numCache>
            </c:numRef>
          </c:val>
          <c:extLst>
            <c:ext xmlns:c16="http://schemas.microsoft.com/office/drawing/2014/chart" uri="{C3380CC4-5D6E-409C-BE32-E72D297353CC}">
              <c16:uniqueId val="{00000003-AFD1-4816-96B3-C669940CD86C}"/>
            </c:ext>
          </c:extLst>
        </c:ser>
        <c:ser>
          <c:idx val="4"/>
          <c:order val="4"/>
          <c:tx>
            <c:strRef>
              <c:f>ComparisonReport!$N$1529</c:f>
              <c:strCache>
                <c:ptCount val="1"/>
                <c:pt idx="0">
                  <c:v>Not at all satisfied</c:v>
                </c:pt>
              </c:strCache>
            </c:strRef>
          </c:tx>
          <c:spPr>
            <a:solidFill>
              <a:schemeClr val="accent3">
                <a:tint val="54000"/>
              </a:schemeClr>
            </a:solidFill>
            <a:ln>
              <a:noFill/>
            </a:ln>
            <a:effectLst/>
          </c:spPr>
          <c:invertIfNegative val="0"/>
          <c:cat>
            <c:strRef>
              <c:f>[0]!Welcome___reception_lbl</c:f>
              <c:strCache>
                <c:ptCount val="1"/>
                <c:pt idx="0">
                  <c:v>TOTAL</c:v>
                </c:pt>
              </c:strCache>
            </c:strRef>
          </c:cat>
          <c:val>
            <c:numRef>
              <c:f>[0]!Welcome___reception_5</c:f>
              <c:numCache>
                <c:formatCode>0%</c:formatCode>
                <c:ptCount val="1"/>
                <c:pt idx="0">
                  <c:v>8.6741121813139601E-5</c:v>
                </c:pt>
              </c:numCache>
            </c:numRef>
          </c:val>
          <c:extLst>
            <c:ext xmlns:c16="http://schemas.microsoft.com/office/drawing/2014/chart" uri="{C3380CC4-5D6E-409C-BE32-E72D297353CC}">
              <c16:uniqueId val="{00000004-AFD1-4816-96B3-C669940CD86C}"/>
            </c:ext>
          </c:extLst>
        </c:ser>
        <c:dLbls>
          <c:showLegendKey val="0"/>
          <c:showVal val="0"/>
          <c:showCatName val="0"/>
          <c:showSerName val="0"/>
          <c:showPercent val="0"/>
          <c:showBubbleSize val="0"/>
        </c:dLbls>
        <c:gapWidth val="25"/>
        <c:overlap val="100"/>
        <c:axId val="881738095"/>
        <c:axId val="881737615"/>
      </c:barChart>
      <c:catAx>
        <c:axId val="88173809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881737615"/>
        <c:crosses val="autoZero"/>
        <c:auto val="1"/>
        <c:lblAlgn val="ctr"/>
        <c:lblOffset val="100"/>
        <c:noMultiLvlLbl val="0"/>
      </c:catAx>
      <c:valAx>
        <c:axId val="881737615"/>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8817380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5. How satisfied are you with the following:</a:t>
            </a:r>
            <a:r>
              <a:rPr lang="en-GB" sz="1050" b="0" i="0" u="none" strike="noStrike" baseline="0"/>
              <a:t> </a:t>
            </a:r>
            <a:r>
              <a:rPr lang="en-GB" sz="1050" b="1" i="0" u="none" strike="noStrike" baseline="0">
                <a:effectLst/>
              </a:rPr>
              <a:t>Appointment / online booking system (if applicable)</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ComparisonReport!$J$1647</c:f>
              <c:strCache>
                <c:ptCount val="1"/>
                <c:pt idx="0">
                  <c:v>Very satisfied</c:v>
                </c:pt>
              </c:strCache>
            </c:strRef>
          </c:tx>
          <c:spPr>
            <a:solidFill>
              <a:schemeClr val="accent3">
                <a:shade val="53000"/>
              </a:schemeClr>
            </a:solidFill>
            <a:ln>
              <a:noFill/>
            </a:ln>
            <a:effectLst/>
          </c:spPr>
          <c:invertIfNegative val="0"/>
          <c:cat>
            <c:strRef>
              <c:f>[0]!Appointment___online_booking_system__if_applicable_lbl</c:f>
              <c:strCache>
                <c:ptCount val="1"/>
                <c:pt idx="0">
                  <c:v>TOTAL</c:v>
                </c:pt>
              </c:strCache>
            </c:strRef>
          </c:cat>
          <c:val>
            <c:numRef>
              <c:f>[0]!Appointment___online_booking_system__if_applicable_1</c:f>
              <c:numCache>
                <c:formatCode>0%</c:formatCode>
                <c:ptCount val="1"/>
                <c:pt idx="0">
                  <c:v>0.74123000000000006</c:v>
                </c:pt>
              </c:numCache>
            </c:numRef>
          </c:val>
          <c:extLst>
            <c:ext xmlns:c16="http://schemas.microsoft.com/office/drawing/2014/chart" uri="{C3380CC4-5D6E-409C-BE32-E72D297353CC}">
              <c16:uniqueId val="{00000000-6813-404E-91AA-D839E85CA199}"/>
            </c:ext>
          </c:extLst>
        </c:ser>
        <c:ser>
          <c:idx val="1"/>
          <c:order val="1"/>
          <c:tx>
            <c:strRef>
              <c:f>ComparisonReport!$K$1647</c:f>
              <c:strCache>
                <c:ptCount val="1"/>
                <c:pt idx="0">
                  <c:v>Satisfied</c:v>
                </c:pt>
              </c:strCache>
            </c:strRef>
          </c:tx>
          <c:spPr>
            <a:solidFill>
              <a:schemeClr val="accent3">
                <a:shade val="76000"/>
              </a:schemeClr>
            </a:solidFill>
            <a:ln>
              <a:noFill/>
            </a:ln>
            <a:effectLst/>
          </c:spPr>
          <c:invertIfNegative val="0"/>
          <c:cat>
            <c:strRef>
              <c:f>[0]!Appointment___online_booking_system__if_applicable_lbl</c:f>
              <c:strCache>
                <c:ptCount val="1"/>
                <c:pt idx="0">
                  <c:v>TOTAL</c:v>
                </c:pt>
              </c:strCache>
            </c:strRef>
          </c:cat>
          <c:val>
            <c:numRef>
              <c:f>[0]!Appointment___online_booking_system__if_applicable_2</c:f>
              <c:numCache>
                <c:formatCode>0%</c:formatCode>
                <c:ptCount val="1"/>
                <c:pt idx="0">
                  <c:v>0.17649000000000001</c:v>
                </c:pt>
              </c:numCache>
            </c:numRef>
          </c:val>
          <c:extLst>
            <c:ext xmlns:c16="http://schemas.microsoft.com/office/drawing/2014/chart" uri="{C3380CC4-5D6E-409C-BE32-E72D297353CC}">
              <c16:uniqueId val="{00000001-6813-404E-91AA-D839E85CA199}"/>
            </c:ext>
          </c:extLst>
        </c:ser>
        <c:ser>
          <c:idx val="2"/>
          <c:order val="2"/>
          <c:tx>
            <c:strRef>
              <c:f>ComparisonReport!$L$1647</c:f>
              <c:strCache>
                <c:ptCount val="1"/>
                <c:pt idx="0">
                  <c:v>Neither</c:v>
                </c:pt>
              </c:strCache>
            </c:strRef>
          </c:tx>
          <c:spPr>
            <a:solidFill>
              <a:schemeClr val="accent3"/>
            </a:solidFill>
            <a:ln>
              <a:noFill/>
            </a:ln>
            <a:effectLst/>
          </c:spPr>
          <c:invertIfNegative val="0"/>
          <c:cat>
            <c:strRef>
              <c:f>[0]!Appointment___online_booking_system__if_applicable_lbl</c:f>
              <c:strCache>
                <c:ptCount val="1"/>
                <c:pt idx="0">
                  <c:v>TOTAL</c:v>
                </c:pt>
              </c:strCache>
            </c:strRef>
          </c:cat>
          <c:val>
            <c:numRef>
              <c:f>[0]!Appointment___online_booking_system__if_applicable_3</c:f>
              <c:numCache>
                <c:formatCode>0%</c:formatCode>
                <c:ptCount val="1"/>
                <c:pt idx="0">
                  <c:v>3.798E-2</c:v>
                </c:pt>
              </c:numCache>
            </c:numRef>
          </c:val>
          <c:extLst>
            <c:ext xmlns:c16="http://schemas.microsoft.com/office/drawing/2014/chart" uri="{C3380CC4-5D6E-409C-BE32-E72D297353CC}">
              <c16:uniqueId val="{00000002-6813-404E-91AA-D839E85CA199}"/>
            </c:ext>
          </c:extLst>
        </c:ser>
        <c:ser>
          <c:idx val="3"/>
          <c:order val="3"/>
          <c:tx>
            <c:strRef>
              <c:f>ComparisonReport!$M$1647</c:f>
              <c:strCache>
                <c:ptCount val="1"/>
                <c:pt idx="0">
                  <c:v>Not very satisfied</c:v>
                </c:pt>
              </c:strCache>
            </c:strRef>
          </c:tx>
          <c:spPr>
            <a:solidFill>
              <a:schemeClr val="accent3">
                <a:tint val="77000"/>
              </a:schemeClr>
            </a:solidFill>
            <a:ln>
              <a:noFill/>
            </a:ln>
            <a:effectLst/>
          </c:spPr>
          <c:invertIfNegative val="0"/>
          <c:cat>
            <c:strRef>
              <c:f>[0]!Appointment___online_booking_system__if_applicable_lbl</c:f>
              <c:strCache>
                <c:ptCount val="1"/>
                <c:pt idx="0">
                  <c:v>TOTAL</c:v>
                </c:pt>
              </c:strCache>
            </c:strRef>
          </c:cat>
          <c:val>
            <c:numRef>
              <c:f>[0]!Appointment___online_booking_system__if_applicable_4</c:f>
              <c:numCache>
                <c:formatCode>0%</c:formatCode>
                <c:ptCount val="1"/>
                <c:pt idx="0">
                  <c:v>3.2480000000000002E-2</c:v>
                </c:pt>
              </c:numCache>
            </c:numRef>
          </c:val>
          <c:extLst>
            <c:ext xmlns:c16="http://schemas.microsoft.com/office/drawing/2014/chart" uri="{C3380CC4-5D6E-409C-BE32-E72D297353CC}">
              <c16:uniqueId val="{00000003-6813-404E-91AA-D839E85CA199}"/>
            </c:ext>
          </c:extLst>
        </c:ser>
        <c:ser>
          <c:idx val="4"/>
          <c:order val="4"/>
          <c:tx>
            <c:strRef>
              <c:f>ComparisonReport!$N$1647</c:f>
              <c:strCache>
                <c:ptCount val="1"/>
                <c:pt idx="0">
                  <c:v>Not at all satisfied</c:v>
                </c:pt>
              </c:strCache>
            </c:strRef>
          </c:tx>
          <c:spPr>
            <a:solidFill>
              <a:schemeClr val="accent3">
                <a:tint val="54000"/>
              </a:schemeClr>
            </a:solidFill>
            <a:ln>
              <a:noFill/>
            </a:ln>
            <a:effectLst/>
          </c:spPr>
          <c:invertIfNegative val="0"/>
          <c:cat>
            <c:strRef>
              <c:f>[0]!Appointment___online_booking_system__if_applicable_lbl</c:f>
              <c:strCache>
                <c:ptCount val="1"/>
                <c:pt idx="0">
                  <c:v>TOTAL</c:v>
                </c:pt>
              </c:strCache>
            </c:strRef>
          </c:cat>
          <c:val>
            <c:numRef>
              <c:f>[0]!Appointment___online_booking_system__if_applicable_5</c:f>
              <c:numCache>
                <c:formatCode>0%</c:formatCode>
                <c:ptCount val="1"/>
                <c:pt idx="0">
                  <c:v>1.1816717721876889E-2</c:v>
                </c:pt>
              </c:numCache>
            </c:numRef>
          </c:val>
          <c:extLst>
            <c:ext xmlns:c16="http://schemas.microsoft.com/office/drawing/2014/chart" uri="{C3380CC4-5D6E-409C-BE32-E72D297353CC}">
              <c16:uniqueId val="{00000004-6813-404E-91AA-D839E85CA199}"/>
            </c:ext>
          </c:extLst>
        </c:ser>
        <c:dLbls>
          <c:showLegendKey val="0"/>
          <c:showVal val="0"/>
          <c:showCatName val="0"/>
          <c:showSerName val="0"/>
          <c:showPercent val="0"/>
          <c:showBubbleSize val="0"/>
        </c:dLbls>
        <c:gapWidth val="25"/>
        <c:overlap val="100"/>
        <c:axId val="1126996431"/>
        <c:axId val="1126980111"/>
      </c:barChart>
      <c:catAx>
        <c:axId val="112699643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126980111"/>
        <c:crosses val="autoZero"/>
        <c:auto val="1"/>
        <c:lblAlgn val="ctr"/>
        <c:lblOffset val="100"/>
        <c:noMultiLvlLbl val="0"/>
      </c:catAx>
      <c:valAx>
        <c:axId val="1126980111"/>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126996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6.  Please rate the following services used during your visit to this archive:</a:t>
            </a:r>
            <a:r>
              <a:rPr lang="en-GB" sz="1050" b="0" i="0" u="none" strike="noStrike" baseline="0"/>
              <a:t> </a:t>
            </a:r>
            <a:r>
              <a:rPr lang="en-GB" sz="1050" b="1" i="0" u="none" strike="noStrike" baseline="0">
                <a:effectLst/>
              </a:rPr>
              <a:t>Availability of our computers</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ComparisonReport!$J$1765</c:f>
              <c:strCache>
                <c:ptCount val="1"/>
                <c:pt idx="0">
                  <c:v>Very good</c:v>
                </c:pt>
              </c:strCache>
            </c:strRef>
          </c:tx>
          <c:spPr>
            <a:solidFill>
              <a:schemeClr val="accent6">
                <a:shade val="53000"/>
              </a:schemeClr>
            </a:solidFill>
            <a:ln>
              <a:noFill/>
            </a:ln>
            <a:effectLst/>
          </c:spPr>
          <c:invertIfNegative val="0"/>
          <c:cat>
            <c:strRef>
              <c:f>[0]!Availability_of_our_computers_lbl</c:f>
              <c:strCache>
                <c:ptCount val="1"/>
                <c:pt idx="0">
                  <c:v>TOTAL</c:v>
                </c:pt>
              </c:strCache>
            </c:strRef>
          </c:cat>
          <c:val>
            <c:numRef>
              <c:f>[0]!Availability_of_our_computers_1</c:f>
              <c:numCache>
                <c:formatCode>0%</c:formatCode>
                <c:ptCount val="1"/>
                <c:pt idx="0">
                  <c:v>0.81316999999999995</c:v>
                </c:pt>
              </c:numCache>
            </c:numRef>
          </c:val>
          <c:extLst>
            <c:ext xmlns:c16="http://schemas.microsoft.com/office/drawing/2014/chart" uri="{C3380CC4-5D6E-409C-BE32-E72D297353CC}">
              <c16:uniqueId val="{00000000-D34E-4EC3-9265-9D7E546D61B8}"/>
            </c:ext>
          </c:extLst>
        </c:ser>
        <c:ser>
          <c:idx val="1"/>
          <c:order val="1"/>
          <c:tx>
            <c:strRef>
              <c:f>ComparisonReport!$K$1765</c:f>
              <c:strCache>
                <c:ptCount val="1"/>
                <c:pt idx="0">
                  <c:v>Fairly good</c:v>
                </c:pt>
              </c:strCache>
            </c:strRef>
          </c:tx>
          <c:spPr>
            <a:solidFill>
              <a:schemeClr val="accent6">
                <a:shade val="76000"/>
              </a:schemeClr>
            </a:solidFill>
            <a:ln>
              <a:noFill/>
            </a:ln>
            <a:effectLst/>
          </c:spPr>
          <c:invertIfNegative val="0"/>
          <c:cat>
            <c:strRef>
              <c:f>[0]!Availability_of_our_computers_lbl</c:f>
              <c:strCache>
                <c:ptCount val="1"/>
                <c:pt idx="0">
                  <c:v>TOTAL</c:v>
                </c:pt>
              </c:strCache>
            </c:strRef>
          </c:cat>
          <c:val>
            <c:numRef>
              <c:f>[0]!Availability_of_our_computers_2</c:f>
              <c:numCache>
                <c:formatCode>0%</c:formatCode>
                <c:ptCount val="1"/>
                <c:pt idx="0">
                  <c:v>0.15622</c:v>
                </c:pt>
              </c:numCache>
            </c:numRef>
          </c:val>
          <c:extLst>
            <c:ext xmlns:c16="http://schemas.microsoft.com/office/drawing/2014/chart" uri="{C3380CC4-5D6E-409C-BE32-E72D297353CC}">
              <c16:uniqueId val="{00000001-D34E-4EC3-9265-9D7E546D61B8}"/>
            </c:ext>
          </c:extLst>
        </c:ser>
        <c:ser>
          <c:idx val="2"/>
          <c:order val="2"/>
          <c:tx>
            <c:strRef>
              <c:f>ComparisonReport!$L$1765</c:f>
              <c:strCache>
                <c:ptCount val="1"/>
                <c:pt idx="0">
                  <c:v>Neither</c:v>
                </c:pt>
              </c:strCache>
            </c:strRef>
          </c:tx>
          <c:spPr>
            <a:solidFill>
              <a:schemeClr val="accent6"/>
            </a:solidFill>
            <a:ln>
              <a:noFill/>
            </a:ln>
            <a:effectLst/>
          </c:spPr>
          <c:invertIfNegative val="0"/>
          <c:cat>
            <c:strRef>
              <c:f>[0]!Availability_of_our_computers_lbl</c:f>
              <c:strCache>
                <c:ptCount val="1"/>
                <c:pt idx="0">
                  <c:v>TOTAL</c:v>
                </c:pt>
              </c:strCache>
            </c:strRef>
          </c:cat>
          <c:val>
            <c:numRef>
              <c:f>[0]!Availability_of_our_computers_3</c:f>
              <c:numCache>
                <c:formatCode>0%</c:formatCode>
                <c:ptCount val="1"/>
                <c:pt idx="0">
                  <c:v>2.3900000000000001E-2</c:v>
                </c:pt>
              </c:numCache>
            </c:numRef>
          </c:val>
          <c:extLst>
            <c:ext xmlns:c16="http://schemas.microsoft.com/office/drawing/2014/chart" uri="{C3380CC4-5D6E-409C-BE32-E72D297353CC}">
              <c16:uniqueId val="{00000002-D34E-4EC3-9265-9D7E546D61B8}"/>
            </c:ext>
          </c:extLst>
        </c:ser>
        <c:ser>
          <c:idx val="3"/>
          <c:order val="3"/>
          <c:tx>
            <c:strRef>
              <c:f>ComparisonReport!$M$1765</c:f>
              <c:strCache>
                <c:ptCount val="1"/>
                <c:pt idx="0">
                  <c:v>Poor</c:v>
                </c:pt>
              </c:strCache>
            </c:strRef>
          </c:tx>
          <c:spPr>
            <a:solidFill>
              <a:schemeClr val="accent6">
                <a:tint val="77000"/>
              </a:schemeClr>
            </a:solidFill>
            <a:ln>
              <a:noFill/>
            </a:ln>
            <a:effectLst/>
          </c:spPr>
          <c:invertIfNegative val="0"/>
          <c:cat>
            <c:strRef>
              <c:f>[0]!Availability_of_our_computers_lbl</c:f>
              <c:strCache>
                <c:ptCount val="1"/>
                <c:pt idx="0">
                  <c:v>TOTAL</c:v>
                </c:pt>
              </c:strCache>
            </c:strRef>
          </c:cat>
          <c:val>
            <c:numRef>
              <c:f>[0]!Availability_of_our_computers_4</c:f>
              <c:numCache>
                <c:formatCode>0%</c:formatCode>
                <c:ptCount val="1"/>
                <c:pt idx="0">
                  <c:v>5.4799999999999996E-3</c:v>
                </c:pt>
              </c:numCache>
            </c:numRef>
          </c:val>
          <c:extLst>
            <c:ext xmlns:c16="http://schemas.microsoft.com/office/drawing/2014/chart" uri="{C3380CC4-5D6E-409C-BE32-E72D297353CC}">
              <c16:uniqueId val="{00000003-D34E-4EC3-9265-9D7E546D61B8}"/>
            </c:ext>
          </c:extLst>
        </c:ser>
        <c:ser>
          <c:idx val="4"/>
          <c:order val="4"/>
          <c:tx>
            <c:strRef>
              <c:f>ComparisonReport!$N$1765</c:f>
              <c:strCache>
                <c:ptCount val="1"/>
                <c:pt idx="0">
                  <c:v>Very poor</c:v>
                </c:pt>
              </c:strCache>
            </c:strRef>
          </c:tx>
          <c:spPr>
            <a:solidFill>
              <a:schemeClr val="accent6">
                <a:tint val="54000"/>
              </a:schemeClr>
            </a:solidFill>
            <a:ln>
              <a:noFill/>
            </a:ln>
            <a:effectLst/>
          </c:spPr>
          <c:invertIfNegative val="0"/>
          <c:cat>
            <c:strRef>
              <c:f>[0]!Availability_of_our_computers_lbl</c:f>
              <c:strCache>
                <c:ptCount val="1"/>
                <c:pt idx="0">
                  <c:v>TOTAL</c:v>
                </c:pt>
              </c:strCache>
            </c:strRef>
          </c:cat>
          <c:val>
            <c:numRef>
              <c:f>[0]!Availability_of_our_computers_5</c:f>
              <c:numCache>
                <c:formatCode>0%</c:formatCode>
                <c:ptCount val="1"/>
                <c:pt idx="0">
                  <c:v>1.237790383125676E-3</c:v>
                </c:pt>
              </c:numCache>
            </c:numRef>
          </c:val>
          <c:extLst>
            <c:ext xmlns:c16="http://schemas.microsoft.com/office/drawing/2014/chart" uri="{C3380CC4-5D6E-409C-BE32-E72D297353CC}">
              <c16:uniqueId val="{00000004-D34E-4EC3-9265-9D7E546D61B8}"/>
            </c:ext>
          </c:extLst>
        </c:ser>
        <c:dLbls>
          <c:showLegendKey val="0"/>
          <c:showVal val="0"/>
          <c:showCatName val="0"/>
          <c:showSerName val="0"/>
          <c:showPercent val="0"/>
          <c:showBubbleSize val="0"/>
        </c:dLbls>
        <c:gapWidth val="25"/>
        <c:overlap val="100"/>
        <c:axId val="1112048159"/>
        <c:axId val="1112024159"/>
      </c:barChart>
      <c:catAx>
        <c:axId val="111204815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112024159"/>
        <c:crosses val="autoZero"/>
        <c:auto val="1"/>
        <c:lblAlgn val="ctr"/>
        <c:lblOffset val="100"/>
        <c:noMultiLvlLbl val="0"/>
      </c:catAx>
      <c:valAx>
        <c:axId val="1112024159"/>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112048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6.  Please rate the following services used during your visit to this archive:</a:t>
            </a:r>
            <a:r>
              <a:rPr lang="en-GB" sz="1050" b="0" i="0" u="none" strike="noStrike" baseline="0"/>
              <a:t> </a:t>
            </a:r>
            <a:r>
              <a:rPr lang="en-GB" sz="1050" b="1" i="0" u="none" strike="noStrike" baseline="0">
                <a:effectLst/>
              </a:rPr>
              <a:t>Speed of our computers</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ComparisonReport!$J$1874</c:f>
              <c:strCache>
                <c:ptCount val="1"/>
                <c:pt idx="0">
                  <c:v>Very good</c:v>
                </c:pt>
              </c:strCache>
            </c:strRef>
          </c:tx>
          <c:spPr>
            <a:solidFill>
              <a:schemeClr val="accent6">
                <a:shade val="53000"/>
              </a:schemeClr>
            </a:solidFill>
            <a:ln>
              <a:noFill/>
            </a:ln>
            <a:effectLst/>
          </c:spPr>
          <c:invertIfNegative val="0"/>
          <c:cat>
            <c:strRef>
              <c:f>[0]!Speed_of_our_computers_lbl</c:f>
              <c:strCache>
                <c:ptCount val="1"/>
                <c:pt idx="0">
                  <c:v>TOTAL</c:v>
                </c:pt>
              </c:strCache>
            </c:strRef>
          </c:cat>
          <c:val>
            <c:numRef>
              <c:f>[0]!Speed_of_our_computers_1</c:f>
              <c:numCache>
                <c:formatCode>0%</c:formatCode>
                <c:ptCount val="1"/>
                <c:pt idx="0">
                  <c:v>0.65446000000000004</c:v>
                </c:pt>
              </c:numCache>
            </c:numRef>
          </c:val>
          <c:extLst>
            <c:ext xmlns:c16="http://schemas.microsoft.com/office/drawing/2014/chart" uri="{C3380CC4-5D6E-409C-BE32-E72D297353CC}">
              <c16:uniqueId val="{00000000-68A8-4B77-97AA-175EA4C404A0}"/>
            </c:ext>
          </c:extLst>
        </c:ser>
        <c:ser>
          <c:idx val="1"/>
          <c:order val="1"/>
          <c:tx>
            <c:strRef>
              <c:f>ComparisonReport!$K$1874</c:f>
              <c:strCache>
                <c:ptCount val="1"/>
                <c:pt idx="0">
                  <c:v>Fairly good</c:v>
                </c:pt>
              </c:strCache>
            </c:strRef>
          </c:tx>
          <c:spPr>
            <a:solidFill>
              <a:schemeClr val="accent6">
                <a:shade val="76000"/>
              </a:schemeClr>
            </a:solidFill>
            <a:ln>
              <a:noFill/>
            </a:ln>
            <a:effectLst/>
          </c:spPr>
          <c:invertIfNegative val="0"/>
          <c:cat>
            <c:strRef>
              <c:f>[0]!Speed_of_our_computers_lbl</c:f>
              <c:strCache>
                <c:ptCount val="1"/>
                <c:pt idx="0">
                  <c:v>TOTAL</c:v>
                </c:pt>
              </c:strCache>
            </c:strRef>
          </c:cat>
          <c:val>
            <c:numRef>
              <c:f>[0]!Speed_of_our_computers_2</c:f>
              <c:numCache>
                <c:formatCode>0%</c:formatCode>
                <c:ptCount val="1"/>
                <c:pt idx="0">
                  <c:v>0.27461999999999998</c:v>
                </c:pt>
              </c:numCache>
            </c:numRef>
          </c:val>
          <c:extLst>
            <c:ext xmlns:c16="http://schemas.microsoft.com/office/drawing/2014/chart" uri="{C3380CC4-5D6E-409C-BE32-E72D297353CC}">
              <c16:uniqueId val="{00000001-68A8-4B77-97AA-175EA4C404A0}"/>
            </c:ext>
          </c:extLst>
        </c:ser>
        <c:ser>
          <c:idx val="2"/>
          <c:order val="2"/>
          <c:tx>
            <c:strRef>
              <c:f>ComparisonReport!$L$1874</c:f>
              <c:strCache>
                <c:ptCount val="1"/>
                <c:pt idx="0">
                  <c:v>Neither</c:v>
                </c:pt>
              </c:strCache>
            </c:strRef>
          </c:tx>
          <c:spPr>
            <a:solidFill>
              <a:schemeClr val="accent6"/>
            </a:solidFill>
            <a:ln>
              <a:noFill/>
            </a:ln>
            <a:effectLst/>
          </c:spPr>
          <c:invertIfNegative val="0"/>
          <c:cat>
            <c:strRef>
              <c:f>[0]!Speed_of_our_computers_lbl</c:f>
              <c:strCache>
                <c:ptCount val="1"/>
                <c:pt idx="0">
                  <c:v>TOTAL</c:v>
                </c:pt>
              </c:strCache>
            </c:strRef>
          </c:cat>
          <c:val>
            <c:numRef>
              <c:f>[0]!Speed_of_our_computers_3</c:f>
              <c:numCache>
                <c:formatCode>0%</c:formatCode>
                <c:ptCount val="1"/>
                <c:pt idx="0">
                  <c:v>4.5109999999999997E-2</c:v>
                </c:pt>
              </c:numCache>
            </c:numRef>
          </c:val>
          <c:extLst>
            <c:ext xmlns:c16="http://schemas.microsoft.com/office/drawing/2014/chart" uri="{C3380CC4-5D6E-409C-BE32-E72D297353CC}">
              <c16:uniqueId val="{00000002-68A8-4B77-97AA-175EA4C404A0}"/>
            </c:ext>
          </c:extLst>
        </c:ser>
        <c:ser>
          <c:idx val="3"/>
          <c:order val="3"/>
          <c:tx>
            <c:strRef>
              <c:f>ComparisonReport!$M$1874</c:f>
              <c:strCache>
                <c:ptCount val="1"/>
                <c:pt idx="0">
                  <c:v>Poor</c:v>
                </c:pt>
              </c:strCache>
            </c:strRef>
          </c:tx>
          <c:spPr>
            <a:solidFill>
              <a:schemeClr val="accent6">
                <a:tint val="77000"/>
              </a:schemeClr>
            </a:solidFill>
            <a:ln>
              <a:noFill/>
            </a:ln>
            <a:effectLst/>
          </c:spPr>
          <c:invertIfNegative val="0"/>
          <c:cat>
            <c:strRef>
              <c:f>[0]!Speed_of_our_computers_lbl</c:f>
              <c:strCache>
                <c:ptCount val="1"/>
                <c:pt idx="0">
                  <c:v>TOTAL</c:v>
                </c:pt>
              </c:strCache>
            </c:strRef>
          </c:cat>
          <c:val>
            <c:numRef>
              <c:f>[0]!Speed_of_our_computers_4</c:f>
              <c:numCache>
                <c:formatCode>0%</c:formatCode>
                <c:ptCount val="1"/>
                <c:pt idx="0">
                  <c:v>2.1690000000000001E-2</c:v>
                </c:pt>
              </c:numCache>
            </c:numRef>
          </c:val>
          <c:extLst>
            <c:ext xmlns:c16="http://schemas.microsoft.com/office/drawing/2014/chart" uri="{C3380CC4-5D6E-409C-BE32-E72D297353CC}">
              <c16:uniqueId val="{00000003-68A8-4B77-97AA-175EA4C404A0}"/>
            </c:ext>
          </c:extLst>
        </c:ser>
        <c:ser>
          <c:idx val="4"/>
          <c:order val="4"/>
          <c:tx>
            <c:strRef>
              <c:f>ComparisonReport!$N$1874</c:f>
              <c:strCache>
                <c:ptCount val="1"/>
                <c:pt idx="0">
                  <c:v>Very poor</c:v>
                </c:pt>
              </c:strCache>
            </c:strRef>
          </c:tx>
          <c:spPr>
            <a:solidFill>
              <a:schemeClr val="accent6">
                <a:tint val="54000"/>
              </a:schemeClr>
            </a:solidFill>
            <a:ln>
              <a:noFill/>
            </a:ln>
            <a:effectLst/>
          </c:spPr>
          <c:invertIfNegative val="0"/>
          <c:cat>
            <c:strRef>
              <c:f>[0]!Speed_of_our_computers_lbl</c:f>
              <c:strCache>
                <c:ptCount val="1"/>
                <c:pt idx="0">
                  <c:v>TOTAL</c:v>
                </c:pt>
              </c:strCache>
            </c:strRef>
          </c:cat>
          <c:val>
            <c:numRef>
              <c:f>[0]!Speed_of_our_computers_5</c:f>
              <c:numCache>
                <c:formatCode>0%</c:formatCode>
                <c:ptCount val="1"/>
                <c:pt idx="0">
                  <c:v>4.1208982349612714E-3</c:v>
                </c:pt>
              </c:numCache>
            </c:numRef>
          </c:val>
          <c:extLst>
            <c:ext xmlns:c16="http://schemas.microsoft.com/office/drawing/2014/chart" uri="{C3380CC4-5D6E-409C-BE32-E72D297353CC}">
              <c16:uniqueId val="{00000004-68A8-4B77-97AA-175EA4C404A0}"/>
            </c:ext>
          </c:extLst>
        </c:ser>
        <c:dLbls>
          <c:showLegendKey val="0"/>
          <c:showVal val="0"/>
          <c:showCatName val="0"/>
          <c:showSerName val="0"/>
          <c:showPercent val="0"/>
          <c:showBubbleSize val="0"/>
        </c:dLbls>
        <c:gapWidth val="25"/>
        <c:overlap val="100"/>
        <c:axId val="1175035455"/>
        <c:axId val="1175046975"/>
      </c:barChart>
      <c:catAx>
        <c:axId val="117503545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175046975"/>
        <c:crosses val="autoZero"/>
        <c:auto val="1"/>
        <c:lblAlgn val="ctr"/>
        <c:lblOffset val="100"/>
        <c:noMultiLvlLbl val="0"/>
      </c:catAx>
      <c:valAx>
        <c:axId val="1175046975"/>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175035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6.  Please rate the following services used during your visit to this archive:</a:t>
            </a:r>
            <a:r>
              <a:rPr lang="en-GB" sz="1050" b="0" i="0" u="none" strike="noStrike" baseline="0"/>
              <a:t> </a:t>
            </a:r>
            <a:r>
              <a:rPr lang="en-GB" sz="1050" b="1" i="0" u="none" strike="noStrike" baseline="0">
                <a:effectLst/>
              </a:rPr>
              <a:t>Usability of our online catalogue</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ComparisonReport!$J$1980</c:f>
              <c:strCache>
                <c:ptCount val="1"/>
                <c:pt idx="0">
                  <c:v>Very good</c:v>
                </c:pt>
              </c:strCache>
            </c:strRef>
          </c:tx>
          <c:spPr>
            <a:solidFill>
              <a:schemeClr val="accent6">
                <a:shade val="53000"/>
              </a:schemeClr>
            </a:solidFill>
            <a:ln>
              <a:noFill/>
            </a:ln>
            <a:effectLst/>
          </c:spPr>
          <c:invertIfNegative val="0"/>
          <c:cat>
            <c:strRef>
              <c:f>[0]!Usability_of_our_online_catalogue_lbl</c:f>
              <c:strCache>
                <c:ptCount val="1"/>
                <c:pt idx="0">
                  <c:v>TOTAL</c:v>
                </c:pt>
              </c:strCache>
            </c:strRef>
          </c:cat>
          <c:val>
            <c:numRef>
              <c:f>[0]!Usability_of_our_online_catalogue_1</c:f>
              <c:numCache>
                <c:formatCode>0%</c:formatCode>
                <c:ptCount val="1"/>
                <c:pt idx="0">
                  <c:v>0.52966000000000002</c:v>
                </c:pt>
              </c:numCache>
            </c:numRef>
          </c:val>
          <c:extLst>
            <c:ext xmlns:c16="http://schemas.microsoft.com/office/drawing/2014/chart" uri="{C3380CC4-5D6E-409C-BE32-E72D297353CC}">
              <c16:uniqueId val="{00000000-4EDC-4DB3-BF25-E67D860275E0}"/>
            </c:ext>
          </c:extLst>
        </c:ser>
        <c:ser>
          <c:idx val="1"/>
          <c:order val="1"/>
          <c:tx>
            <c:strRef>
              <c:f>ComparisonReport!$K$1980</c:f>
              <c:strCache>
                <c:ptCount val="1"/>
                <c:pt idx="0">
                  <c:v>Fairly good</c:v>
                </c:pt>
              </c:strCache>
            </c:strRef>
          </c:tx>
          <c:spPr>
            <a:solidFill>
              <a:schemeClr val="accent6">
                <a:shade val="76000"/>
              </a:schemeClr>
            </a:solidFill>
            <a:ln>
              <a:noFill/>
            </a:ln>
            <a:effectLst/>
          </c:spPr>
          <c:invertIfNegative val="0"/>
          <c:cat>
            <c:strRef>
              <c:f>[0]!Usability_of_our_online_catalogue_lbl</c:f>
              <c:strCache>
                <c:ptCount val="1"/>
                <c:pt idx="0">
                  <c:v>TOTAL</c:v>
                </c:pt>
              </c:strCache>
            </c:strRef>
          </c:cat>
          <c:val>
            <c:numRef>
              <c:f>[0]!Usability_of_our_online_catalogue_2</c:f>
              <c:numCache>
                <c:formatCode>0%</c:formatCode>
                <c:ptCount val="1"/>
                <c:pt idx="0">
                  <c:v>0.35549999999999998</c:v>
                </c:pt>
              </c:numCache>
            </c:numRef>
          </c:val>
          <c:extLst>
            <c:ext xmlns:c16="http://schemas.microsoft.com/office/drawing/2014/chart" uri="{C3380CC4-5D6E-409C-BE32-E72D297353CC}">
              <c16:uniqueId val="{00000001-4EDC-4DB3-BF25-E67D860275E0}"/>
            </c:ext>
          </c:extLst>
        </c:ser>
        <c:ser>
          <c:idx val="2"/>
          <c:order val="2"/>
          <c:tx>
            <c:strRef>
              <c:f>ComparisonReport!$L$1980</c:f>
              <c:strCache>
                <c:ptCount val="1"/>
                <c:pt idx="0">
                  <c:v>Neither</c:v>
                </c:pt>
              </c:strCache>
            </c:strRef>
          </c:tx>
          <c:spPr>
            <a:solidFill>
              <a:schemeClr val="accent6"/>
            </a:solidFill>
            <a:ln>
              <a:noFill/>
            </a:ln>
            <a:effectLst/>
          </c:spPr>
          <c:invertIfNegative val="0"/>
          <c:cat>
            <c:strRef>
              <c:f>[0]!Usability_of_our_online_catalogue_lbl</c:f>
              <c:strCache>
                <c:ptCount val="1"/>
                <c:pt idx="0">
                  <c:v>TOTAL</c:v>
                </c:pt>
              </c:strCache>
            </c:strRef>
          </c:cat>
          <c:val>
            <c:numRef>
              <c:f>[0]!Usability_of_our_online_catalogue_3</c:f>
              <c:numCache>
                <c:formatCode>0%</c:formatCode>
                <c:ptCount val="1"/>
                <c:pt idx="0">
                  <c:v>6.8959999999999994E-2</c:v>
                </c:pt>
              </c:numCache>
            </c:numRef>
          </c:val>
          <c:extLst>
            <c:ext xmlns:c16="http://schemas.microsoft.com/office/drawing/2014/chart" uri="{C3380CC4-5D6E-409C-BE32-E72D297353CC}">
              <c16:uniqueId val="{00000002-4EDC-4DB3-BF25-E67D860275E0}"/>
            </c:ext>
          </c:extLst>
        </c:ser>
        <c:ser>
          <c:idx val="3"/>
          <c:order val="3"/>
          <c:tx>
            <c:strRef>
              <c:f>ComparisonReport!$M$1980</c:f>
              <c:strCache>
                <c:ptCount val="1"/>
                <c:pt idx="0">
                  <c:v>Poor</c:v>
                </c:pt>
              </c:strCache>
            </c:strRef>
          </c:tx>
          <c:spPr>
            <a:solidFill>
              <a:schemeClr val="accent6">
                <a:tint val="77000"/>
              </a:schemeClr>
            </a:solidFill>
            <a:ln>
              <a:noFill/>
            </a:ln>
            <a:effectLst/>
          </c:spPr>
          <c:invertIfNegative val="0"/>
          <c:cat>
            <c:strRef>
              <c:f>[0]!Usability_of_our_online_catalogue_lbl</c:f>
              <c:strCache>
                <c:ptCount val="1"/>
                <c:pt idx="0">
                  <c:v>TOTAL</c:v>
                </c:pt>
              </c:strCache>
            </c:strRef>
          </c:cat>
          <c:val>
            <c:numRef>
              <c:f>[0]!Usability_of_our_online_catalogue_4</c:f>
              <c:numCache>
                <c:formatCode>0%</c:formatCode>
                <c:ptCount val="1"/>
                <c:pt idx="0">
                  <c:v>3.5700000000000003E-2</c:v>
                </c:pt>
              </c:numCache>
            </c:numRef>
          </c:val>
          <c:extLst>
            <c:ext xmlns:c16="http://schemas.microsoft.com/office/drawing/2014/chart" uri="{C3380CC4-5D6E-409C-BE32-E72D297353CC}">
              <c16:uniqueId val="{00000003-4EDC-4DB3-BF25-E67D860275E0}"/>
            </c:ext>
          </c:extLst>
        </c:ser>
        <c:ser>
          <c:idx val="4"/>
          <c:order val="4"/>
          <c:tx>
            <c:strRef>
              <c:f>ComparisonReport!$N$1980</c:f>
              <c:strCache>
                <c:ptCount val="1"/>
                <c:pt idx="0">
                  <c:v>Very poor</c:v>
                </c:pt>
              </c:strCache>
            </c:strRef>
          </c:tx>
          <c:spPr>
            <a:solidFill>
              <a:schemeClr val="accent6">
                <a:tint val="54000"/>
              </a:schemeClr>
            </a:solidFill>
            <a:ln>
              <a:noFill/>
            </a:ln>
            <a:effectLst/>
          </c:spPr>
          <c:invertIfNegative val="0"/>
          <c:cat>
            <c:strRef>
              <c:f>[0]!Usability_of_our_online_catalogue_lbl</c:f>
              <c:strCache>
                <c:ptCount val="1"/>
                <c:pt idx="0">
                  <c:v>TOTAL</c:v>
                </c:pt>
              </c:strCache>
            </c:strRef>
          </c:cat>
          <c:val>
            <c:numRef>
              <c:f>[0]!Usability_of_our_online_catalogue_5</c:f>
              <c:numCache>
                <c:formatCode>0%</c:formatCode>
                <c:ptCount val="1"/>
                <c:pt idx="0">
                  <c:v>1.0174292985251038E-2</c:v>
                </c:pt>
              </c:numCache>
            </c:numRef>
          </c:val>
          <c:extLst>
            <c:ext xmlns:c16="http://schemas.microsoft.com/office/drawing/2014/chart" uri="{C3380CC4-5D6E-409C-BE32-E72D297353CC}">
              <c16:uniqueId val="{00000004-4EDC-4DB3-BF25-E67D860275E0}"/>
            </c:ext>
          </c:extLst>
        </c:ser>
        <c:dLbls>
          <c:showLegendKey val="0"/>
          <c:showVal val="0"/>
          <c:showCatName val="0"/>
          <c:showSerName val="0"/>
          <c:showPercent val="0"/>
          <c:showBubbleSize val="0"/>
        </c:dLbls>
        <c:gapWidth val="25"/>
        <c:overlap val="100"/>
        <c:axId val="993375343"/>
        <c:axId val="993365263"/>
      </c:barChart>
      <c:catAx>
        <c:axId val="99337534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993365263"/>
        <c:crosses val="autoZero"/>
        <c:auto val="1"/>
        <c:lblAlgn val="ctr"/>
        <c:lblOffset val="100"/>
        <c:noMultiLvlLbl val="0"/>
      </c:catAx>
      <c:valAx>
        <c:axId val="993365263"/>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9933753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6.  Please rate the following services used during your visit to this archive:</a:t>
            </a:r>
            <a:r>
              <a:rPr lang="en-GB" sz="1050" b="0" i="0" u="none" strike="noStrike" baseline="0"/>
              <a:t> </a:t>
            </a:r>
            <a:r>
              <a:rPr lang="en-GB" sz="1050" b="1" i="0" u="none" strike="noStrike" baseline="0">
                <a:effectLst/>
              </a:rPr>
              <a:t>Quality of our online catalogue</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ComparisonReport!$J$2098</c:f>
              <c:strCache>
                <c:ptCount val="1"/>
                <c:pt idx="0">
                  <c:v>Very good</c:v>
                </c:pt>
              </c:strCache>
            </c:strRef>
          </c:tx>
          <c:spPr>
            <a:solidFill>
              <a:schemeClr val="accent6">
                <a:shade val="53000"/>
              </a:schemeClr>
            </a:solidFill>
            <a:ln>
              <a:noFill/>
            </a:ln>
            <a:effectLst/>
          </c:spPr>
          <c:invertIfNegative val="0"/>
          <c:cat>
            <c:strRef>
              <c:f>[0]!Quality_of_our_online_catalogue_lbl</c:f>
              <c:strCache>
                <c:ptCount val="1"/>
                <c:pt idx="0">
                  <c:v>TOTAL</c:v>
                </c:pt>
              </c:strCache>
            </c:strRef>
          </c:cat>
          <c:val>
            <c:numRef>
              <c:f>[0]!Quality_of_our_online_catalogue_1</c:f>
              <c:numCache>
                <c:formatCode>0%</c:formatCode>
                <c:ptCount val="1"/>
                <c:pt idx="0">
                  <c:v>0.54774999999999996</c:v>
                </c:pt>
              </c:numCache>
            </c:numRef>
          </c:val>
          <c:extLst>
            <c:ext xmlns:c16="http://schemas.microsoft.com/office/drawing/2014/chart" uri="{C3380CC4-5D6E-409C-BE32-E72D297353CC}">
              <c16:uniqueId val="{00000000-970D-4A69-B24D-5A3D3E1AC9B9}"/>
            </c:ext>
          </c:extLst>
        </c:ser>
        <c:ser>
          <c:idx val="1"/>
          <c:order val="1"/>
          <c:tx>
            <c:strRef>
              <c:f>ComparisonReport!$K$2098</c:f>
              <c:strCache>
                <c:ptCount val="1"/>
                <c:pt idx="0">
                  <c:v>Fairly good</c:v>
                </c:pt>
              </c:strCache>
            </c:strRef>
          </c:tx>
          <c:spPr>
            <a:solidFill>
              <a:schemeClr val="accent6">
                <a:shade val="76000"/>
              </a:schemeClr>
            </a:solidFill>
            <a:ln>
              <a:noFill/>
            </a:ln>
            <a:effectLst/>
          </c:spPr>
          <c:invertIfNegative val="0"/>
          <c:cat>
            <c:strRef>
              <c:f>[0]!Quality_of_our_online_catalogue_lbl</c:f>
              <c:strCache>
                <c:ptCount val="1"/>
                <c:pt idx="0">
                  <c:v>TOTAL</c:v>
                </c:pt>
              </c:strCache>
            </c:strRef>
          </c:cat>
          <c:val>
            <c:numRef>
              <c:f>[0]!Quality_of_our_online_catalogue_2</c:f>
              <c:numCache>
                <c:formatCode>0%</c:formatCode>
                <c:ptCount val="1"/>
                <c:pt idx="0">
                  <c:v>0.34059</c:v>
                </c:pt>
              </c:numCache>
            </c:numRef>
          </c:val>
          <c:extLst>
            <c:ext xmlns:c16="http://schemas.microsoft.com/office/drawing/2014/chart" uri="{C3380CC4-5D6E-409C-BE32-E72D297353CC}">
              <c16:uniqueId val="{00000001-970D-4A69-B24D-5A3D3E1AC9B9}"/>
            </c:ext>
          </c:extLst>
        </c:ser>
        <c:ser>
          <c:idx val="2"/>
          <c:order val="2"/>
          <c:tx>
            <c:strRef>
              <c:f>ComparisonReport!$L$2098</c:f>
              <c:strCache>
                <c:ptCount val="1"/>
                <c:pt idx="0">
                  <c:v>Neither</c:v>
                </c:pt>
              </c:strCache>
            </c:strRef>
          </c:tx>
          <c:spPr>
            <a:solidFill>
              <a:schemeClr val="accent6"/>
            </a:solidFill>
            <a:ln>
              <a:noFill/>
            </a:ln>
            <a:effectLst/>
          </c:spPr>
          <c:invertIfNegative val="0"/>
          <c:cat>
            <c:strRef>
              <c:f>[0]!Quality_of_our_online_catalogue_lbl</c:f>
              <c:strCache>
                <c:ptCount val="1"/>
                <c:pt idx="0">
                  <c:v>TOTAL</c:v>
                </c:pt>
              </c:strCache>
            </c:strRef>
          </c:cat>
          <c:val>
            <c:numRef>
              <c:f>[0]!Quality_of_our_online_catalogue_3</c:f>
              <c:numCache>
                <c:formatCode>0%</c:formatCode>
                <c:ptCount val="1"/>
                <c:pt idx="0">
                  <c:v>7.4560000000000001E-2</c:v>
                </c:pt>
              </c:numCache>
            </c:numRef>
          </c:val>
          <c:extLst>
            <c:ext xmlns:c16="http://schemas.microsoft.com/office/drawing/2014/chart" uri="{C3380CC4-5D6E-409C-BE32-E72D297353CC}">
              <c16:uniqueId val="{00000002-970D-4A69-B24D-5A3D3E1AC9B9}"/>
            </c:ext>
          </c:extLst>
        </c:ser>
        <c:ser>
          <c:idx val="3"/>
          <c:order val="3"/>
          <c:tx>
            <c:strRef>
              <c:f>ComparisonReport!$M$2098</c:f>
              <c:strCache>
                <c:ptCount val="1"/>
                <c:pt idx="0">
                  <c:v>Poor</c:v>
                </c:pt>
              </c:strCache>
            </c:strRef>
          </c:tx>
          <c:spPr>
            <a:solidFill>
              <a:schemeClr val="accent6">
                <a:tint val="77000"/>
              </a:schemeClr>
            </a:solidFill>
            <a:ln>
              <a:noFill/>
            </a:ln>
            <a:effectLst/>
          </c:spPr>
          <c:invertIfNegative val="0"/>
          <c:cat>
            <c:strRef>
              <c:f>[0]!Quality_of_our_online_catalogue_lbl</c:f>
              <c:strCache>
                <c:ptCount val="1"/>
                <c:pt idx="0">
                  <c:v>TOTAL</c:v>
                </c:pt>
              </c:strCache>
            </c:strRef>
          </c:cat>
          <c:val>
            <c:numRef>
              <c:f>[0]!Quality_of_our_online_catalogue_4</c:f>
              <c:numCache>
                <c:formatCode>0%</c:formatCode>
                <c:ptCount val="1"/>
                <c:pt idx="0">
                  <c:v>2.9329999999999998E-2</c:v>
                </c:pt>
              </c:numCache>
            </c:numRef>
          </c:val>
          <c:extLst>
            <c:ext xmlns:c16="http://schemas.microsoft.com/office/drawing/2014/chart" uri="{C3380CC4-5D6E-409C-BE32-E72D297353CC}">
              <c16:uniqueId val="{00000003-970D-4A69-B24D-5A3D3E1AC9B9}"/>
            </c:ext>
          </c:extLst>
        </c:ser>
        <c:ser>
          <c:idx val="4"/>
          <c:order val="4"/>
          <c:tx>
            <c:strRef>
              <c:f>ComparisonReport!$N$2098</c:f>
              <c:strCache>
                <c:ptCount val="1"/>
                <c:pt idx="0">
                  <c:v>Very poor</c:v>
                </c:pt>
              </c:strCache>
            </c:strRef>
          </c:tx>
          <c:spPr>
            <a:solidFill>
              <a:schemeClr val="accent6">
                <a:tint val="54000"/>
              </a:schemeClr>
            </a:solidFill>
            <a:ln>
              <a:noFill/>
            </a:ln>
            <a:effectLst/>
          </c:spPr>
          <c:invertIfNegative val="0"/>
          <c:cat>
            <c:strRef>
              <c:f>[0]!Quality_of_our_online_catalogue_lbl</c:f>
              <c:strCache>
                <c:ptCount val="1"/>
                <c:pt idx="0">
                  <c:v>TOTAL</c:v>
                </c:pt>
              </c:strCache>
            </c:strRef>
          </c:cat>
          <c:val>
            <c:numRef>
              <c:f>[0]!Quality_of_our_online_catalogue_5</c:f>
              <c:numCache>
                <c:formatCode>0%</c:formatCode>
                <c:ptCount val="1"/>
                <c:pt idx="0">
                  <c:v>7.7751314782685621E-3</c:v>
                </c:pt>
              </c:numCache>
            </c:numRef>
          </c:val>
          <c:extLst>
            <c:ext xmlns:c16="http://schemas.microsoft.com/office/drawing/2014/chart" uri="{C3380CC4-5D6E-409C-BE32-E72D297353CC}">
              <c16:uniqueId val="{00000004-970D-4A69-B24D-5A3D3E1AC9B9}"/>
            </c:ext>
          </c:extLst>
        </c:ser>
        <c:dLbls>
          <c:showLegendKey val="0"/>
          <c:showVal val="0"/>
          <c:showCatName val="0"/>
          <c:showSerName val="0"/>
          <c:showPercent val="0"/>
          <c:showBubbleSize val="0"/>
        </c:dLbls>
        <c:gapWidth val="25"/>
        <c:overlap val="100"/>
        <c:axId val="1175081535"/>
        <c:axId val="1175088255"/>
      </c:barChart>
      <c:catAx>
        <c:axId val="117508153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175088255"/>
        <c:crosses val="autoZero"/>
        <c:auto val="1"/>
        <c:lblAlgn val="ctr"/>
        <c:lblOffset val="100"/>
        <c:noMultiLvlLbl val="0"/>
      </c:catAx>
      <c:valAx>
        <c:axId val="1175088255"/>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1750815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Georgia" panose="02040502050405020303" pitchFamily="18" charset="0"/>
                <a:ea typeface="+mn-ea"/>
                <a:cs typeface="+mn-cs"/>
              </a:defRPr>
            </a:pPr>
            <a:r>
              <a:rPr lang="en-GB" sz="1400" b="1" i="0" u="none" strike="noStrike" baseline="0">
                <a:effectLst/>
              </a:rPr>
              <a:t>SECTION B: OUR STAFF, SERVICES &amp; FACILITIES</a:t>
            </a:r>
            <a:r>
              <a:rPr lang="en-GB" sz="1400" b="0" i="0" u="none" strike="noStrike" baseline="0"/>
              <a:t> </a:t>
            </a:r>
            <a:r>
              <a:rPr lang="en-GB" sz="1400" b="1" i="0" u="none" strike="noStrike" baseline="0">
                <a:effectLst/>
              </a:rPr>
              <a:t>6.  Please rate the following services used during your visit to this archive</a:t>
            </a:r>
            <a:r>
              <a:rPr lang="en-GB" sz="1400" b="0" i="0" u="none" strike="noStrike" baseline="0"/>
              <a:t> </a:t>
            </a:r>
            <a:r>
              <a:rPr lang="en-GB" sz="1400" b="1" i="0" u="none" strike="noStrike" baseline="0">
                <a:effectLst/>
              </a:rPr>
              <a:t>Quality of our other online resources</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ComparisonReport!$J$2216</c:f>
              <c:strCache>
                <c:ptCount val="1"/>
                <c:pt idx="0">
                  <c:v>Very good</c:v>
                </c:pt>
              </c:strCache>
            </c:strRef>
          </c:tx>
          <c:spPr>
            <a:solidFill>
              <a:schemeClr val="accent6">
                <a:shade val="53000"/>
              </a:schemeClr>
            </a:solidFill>
            <a:ln>
              <a:noFill/>
            </a:ln>
            <a:effectLst/>
          </c:spPr>
          <c:invertIfNegative val="0"/>
          <c:cat>
            <c:strRef>
              <c:f>[0]!Quality_of_our_other_online_resources_lbl</c:f>
              <c:strCache>
                <c:ptCount val="1"/>
                <c:pt idx="0">
                  <c:v>TOTAL</c:v>
                </c:pt>
              </c:strCache>
            </c:strRef>
          </c:cat>
          <c:val>
            <c:numRef>
              <c:f>[0]!Quality_of_our_other_online_resources_1</c:f>
              <c:numCache>
                <c:formatCode>0%</c:formatCode>
                <c:ptCount val="1"/>
                <c:pt idx="0">
                  <c:v>0.60001000000000004</c:v>
                </c:pt>
              </c:numCache>
            </c:numRef>
          </c:val>
          <c:extLst>
            <c:ext xmlns:c16="http://schemas.microsoft.com/office/drawing/2014/chart" uri="{C3380CC4-5D6E-409C-BE32-E72D297353CC}">
              <c16:uniqueId val="{00000000-D25B-4A5A-808A-ED7945550C58}"/>
            </c:ext>
          </c:extLst>
        </c:ser>
        <c:ser>
          <c:idx val="1"/>
          <c:order val="1"/>
          <c:tx>
            <c:strRef>
              <c:f>ComparisonReport!$K$2216</c:f>
              <c:strCache>
                <c:ptCount val="1"/>
                <c:pt idx="0">
                  <c:v>Fairly good</c:v>
                </c:pt>
              </c:strCache>
            </c:strRef>
          </c:tx>
          <c:spPr>
            <a:solidFill>
              <a:schemeClr val="accent6">
                <a:shade val="76000"/>
              </a:schemeClr>
            </a:solidFill>
            <a:ln>
              <a:noFill/>
            </a:ln>
            <a:effectLst/>
          </c:spPr>
          <c:invertIfNegative val="0"/>
          <c:cat>
            <c:strRef>
              <c:f>[0]!Quality_of_our_other_online_resources_lbl</c:f>
              <c:strCache>
                <c:ptCount val="1"/>
                <c:pt idx="0">
                  <c:v>TOTAL</c:v>
                </c:pt>
              </c:strCache>
            </c:strRef>
          </c:cat>
          <c:val>
            <c:numRef>
              <c:f>[0]!Quality_of_our_other_online_resources_2</c:f>
              <c:numCache>
                <c:formatCode>0%</c:formatCode>
                <c:ptCount val="1"/>
                <c:pt idx="0">
                  <c:v>0.30358000000000002</c:v>
                </c:pt>
              </c:numCache>
            </c:numRef>
          </c:val>
          <c:extLst>
            <c:ext xmlns:c16="http://schemas.microsoft.com/office/drawing/2014/chart" uri="{C3380CC4-5D6E-409C-BE32-E72D297353CC}">
              <c16:uniqueId val="{00000001-D25B-4A5A-808A-ED7945550C58}"/>
            </c:ext>
          </c:extLst>
        </c:ser>
        <c:ser>
          <c:idx val="2"/>
          <c:order val="2"/>
          <c:tx>
            <c:strRef>
              <c:f>ComparisonReport!$L$2216</c:f>
              <c:strCache>
                <c:ptCount val="1"/>
                <c:pt idx="0">
                  <c:v>Neither</c:v>
                </c:pt>
              </c:strCache>
            </c:strRef>
          </c:tx>
          <c:spPr>
            <a:solidFill>
              <a:schemeClr val="accent6"/>
            </a:solidFill>
            <a:ln>
              <a:noFill/>
            </a:ln>
            <a:effectLst/>
          </c:spPr>
          <c:invertIfNegative val="0"/>
          <c:cat>
            <c:strRef>
              <c:f>[0]!Quality_of_our_other_online_resources_lbl</c:f>
              <c:strCache>
                <c:ptCount val="1"/>
                <c:pt idx="0">
                  <c:v>TOTAL</c:v>
                </c:pt>
              </c:strCache>
            </c:strRef>
          </c:cat>
          <c:val>
            <c:numRef>
              <c:f>[0]!Quality_of_our_other_online_resources_3</c:f>
              <c:numCache>
                <c:formatCode>0%</c:formatCode>
                <c:ptCount val="1"/>
                <c:pt idx="0">
                  <c:v>7.9560000000000006E-2</c:v>
                </c:pt>
              </c:numCache>
            </c:numRef>
          </c:val>
          <c:extLst>
            <c:ext xmlns:c16="http://schemas.microsoft.com/office/drawing/2014/chart" uri="{C3380CC4-5D6E-409C-BE32-E72D297353CC}">
              <c16:uniqueId val="{00000002-D25B-4A5A-808A-ED7945550C58}"/>
            </c:ext>
          </c:extLst>
        </c:ser>
        <c:ser>
          <c:idx val="3"/>
          <c:order val="3"/>
          <c:tx>
            <c:strRef>
              <c:f>ComparisonReport!$M$2216</c:f>
              <c:strCache>
                <c:ptCount val="1"/>
                <c:pt idx="0">
                  <c:v>Poor</c:v>
                </c:pt>
              </c:strCache>
            </c:strRef>
          </c:tx>
          <c:spPr>
            <a:solidFill>
              <a:schemeClr val="accent6">
                <a:tint val="77000"/>
              </a:schemeClr>
            </a:solidFill>
            <a:ln>
              <a:noFill/>
            </a:ln>
            <a:effectLst/>
          </c:spPr>
          <c:invertIfNegative val="0"/>
          <c:cat>
            <c:strRef>
              <c:f>[0]!Quality_of_our_other_online_resources_lbl</c:f>
              <c:strCache>
                <c:ptCount val="1"/>
                <c:pt idx="0">
                  <c:v>TOTAL</c:v>
                </c:pt>
              </c:strCache>
            </c:strRef>
          </c:cat>
          <c:val>
            <c:numRef>
              <c:f>[0]!Quality_of_our_other_online_resources_4</c:f>
              <c:numCache>
                <c:formatCode>0%</c:formatCode>
                <c:ptCount val="1"/>
                <c:pt idx="0">
                  <c:v>1.453E-2</c:v>
                </c:pt>
              </c:numCache>
            </c:numRef>
          </c:val>
          <c:extLst>
            <c:ext xmlns:c16="http://schemas.microsoft.com/office/drawing/2014/chart" uri="{C3380CC4-5D6E-409C-BE32-E72D297353CC}">
              <c16:uniqueId val="{00000003-D25B-4A5A-808A-ED7945550C58}"/>
            </c:ext>
          </c:extLst>
        </c:ser>
        <c:ser>
          <c:idx val="4"/>
          <c:order val="4"/>
          <c:tx>
            <c:strRef>
              <c:f>ComparisonReport!$N$2216</c:f>
              <c:strCache>
                <c:ptCount val="1"/>
                <c:pt idx="0">
                  <c:v>Very poor</c:v>
                </c:pt>
              </c:strCache>
            </c:strRef>
          </c:tx>
          <c:spPr>
            <a:solidFill>
              <a:schemeClr val="accent6">
                <a:tint val="54000"/>
              </a:schemeClr>
            </a:solidFill>
            <a:ln>
              <a:noFill/>
            </a:ln>
            <a:effectLst/>
          </c:spPr>
          <c:invertIfNegative val="0"/>
          <c:cat>
            <c:strRef>
              <c:f>[0]!Quality_of_our_other_online_resources_lbl</c:f>
              <c:strCache>
                <c:ptCount val="1"/>
                <c:pt idx="0">
                  <c:v>TOTAL</c:v>
                </c:pt>
              </c:strCache>
            </c:strRef>
          </c:cat>
          <c:val>
            <c:numRef>
              <c:f>[0]!Quality_of_our_other_online_resources_5</c:f>
              <c:numCache>
                <c:formatCode>0%</c:formatCode>
                <c:ptCount val="1"/>
                <c:pt idx="0">
                  <c:v>2.3255468259591535E-3</c:v>
                </c:pt>
              </c:numCache>
            </c:numRef>
          </c:val>
          <c:extLst>
            <c:ext xmlns:c16="http://schemas.microsoft.com/office/drawing/2014/chart" uri="{C3380CC4-5D6E-409C-BE32-E72D297353CC}">
              <c16:uniqueId val="{00000004-D25B-4A5A-808A-ED7945550C58}"/>
            </c:ext>
          </c:extLst>
        </c:ser>
        <c:dLbls>
          <c:showLegendKey val="0"/>
          <c:showVal val="0"/>
          <c:showCatName val="0"/>
          <c:showSerName val="0"/>
          <c:showPercent val="0"/>
          <c:showBubbleSize val="0"/>
        </c:dLbls>
        <c:gapWidth val="25"/>
        <c:overlap val="100"/>
        <c:axId val="1434497727"/>
        <c:axId val="1434517887"/>
      </c:barChart>
      <c:catAx>
        <c:axId val="1434497727"/>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434517887"/>
        <c:crosses val="autoZero"/>
        <c:auto val="1"/>
        <c:lblAlgn val="ctr"/>
        <c:lblOffset val="100"/>
        <c:noMultiLvlLbl val="0"/>
      </c:catAx>
      <c:valAx>
        <c:axId val="1434517887"/>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344977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IndividualReport!$N$59</c:f>
              <c:strCache>
                <c:ptCount val="1"/>
                <c:pt idx="0">
                  <c:v>Appearance / upkeep of the building</c:v>
                </c:pt>
              </c:strCache>
            </c:strRef>
          </c:tx>
          <c:spPr>
            <a:solidFill>
              <a:schemeClr val="accent4">
                <a:lumMod val="75000"/>
              </a:schemeClr>
            </a:solidFill>
            <a:ln>
              <a:noFill/>
            </a:ln>
            <a:effectLst/>
          </c:spPr>
          <c:invertIfNegative val="0"/>
          <c:dLbls>
            <c:spPr>
              <a:solidFill>
                <a:schemeClr val="accent4">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IndividualReport!$O$59:$O$63</c:f>
              <c:strCache>
                <c:ptCount val="5"/>
                <c:pt idx="0">
                  <c:v>Very statisfied</c:v>
                </c:pt>
                <c:pt idx="1">
                  <c:v>Satisfied</c:v>
                </c:pt>
                <c:pt idx="2">
                  <c:v>Neither</c:v>
                </c:pt>
                <c:pt idx="3">
                  <c:v>Not very satisfied</c:v>
                </c:pt>
                <c:pt idx="4">
                  <c:v>Not at all satisfied</c:v>
                </c:pt>
              </c:strCache>
            </c:strRef>
          </c:cat>
          <c:val>
            <c:numRef>
              <c:f>IndividualReport!$Q$59:$Q$63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CC74-4891-B037-A1D92427F144}"/>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Georgia" panose="02040502050405020303" pitchFamily="18" charset="0"/>
                <a:ea typeface="+mn-ea"/>
                <a:cs typeface="+mn-cs"/>
              </a:defRPr>
            </a:pPr>
            <a:r>
              <a:rPr lang="en-GB" sz="1400" b="1" i="0" u="none" strike="noStrike" baseline="0">
                <a:effectLst/>
              </a:rPr>
              <a:t>SECTION B: OUR STAFF, SERVICES &amp; FACILITIES</a:t>
            </a:r>
            <a:r>
              <a:rPr lang="en-GB" sz="1400" b="0" i="0" u="none" strike="noStrike" baseline="0"/>
              <a:t> </a:t>
            </a:r>
            <a:r>
              <a:rPr lang="en-GB" sz="1400" b="1" i="0" u="none" strike="noStrike" baseline="0">
                <a:effectLst/>
              </a:rPr>
              <a:t>6.  Please rate the following services used during your visit to this archive</a:t>
            </a:r>
            <a:r>
              <a:rPr lang="en-GB" sz="1400" b="0" i="0" u="none" strike="noStrike" baseline="0"/>
              <a:t> </a:t>
            </a:r>
            <a:r>
              <a:rPr lang="en-GB" sz="1400" b="1" i="0" u="none" strike="noStrike" baseline="0">
                <a:effectLst/>
              </a:rPr>
              <a:t>Access to other online resources</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ComparisonReport!$J$2333</c:f>
              <c:strCache>
                <c:ptCount val="1"/>
                <c:pt idx="0">
                  <c:v>Very good</c:v>
                </c:pt>
              </c:strCache>
            </c:strRef>
          </c:tx>
          <c:spPr>
            <a:solidFill>
              <a:schemeClr val="accent6">
                <a:shade val="53000"/>
              </a:schemeClr>
            </a:solidFill>
            <a:ln>
              <a:noFill/>
            </a:ln>
            <a:effectLst/>
          </c:spPr>
          <c:invertIfNegative val="0"/>
          <c:cat>
            <c:strRef>
              <c:f>[0]!Access_to_other_online_resources_lbl</c:f>
              <c:strCache>
                <c:ptCount val="1"/>
                <c:pt idx="0">
                  <c:v>TOTAL</c:v>
                </c:pt>
              </c:strCache>
            </c:strRef>
          </c:cat>
          <c:val>
            <c:numRef>
              <c:f>[0]!Access_to_other_online_resources_1</c:f>
              <c:numCache>
                <c:formatCode>0%</c:formatCode>
                <c:ptCount val="1"/>
                <c:pt idx="0">
                  <c:v>0.59543000000000001</c:v>
                </c:pt>
              </c:numCache>
            </c:numRef>
          </c:val>
          <c:extLst>
            <c:ext xmlns:c16="http://schemas.microsoft.com/office/drawing/2014/chart" uri="{C3380CC4-5D6E-409C-BE32-E72D297353CC}">
              <c16:uniqueId val="{00000000-CD57-46C0-B538-CC44652B9BC0}"/>
            </c:ext>
          </c:extLst>
        </c:ser>
        <c:ser>
          <c:idx val="1"/>
          <c:order val="1"/>
          <c:tx>
            <c:strRef>
              <c:f>ComparisonReport!$K$2333</c:f>
              <c:strCache>
                <c:ptCount val="1"/>
                <c:pt idx="0">
                  <c:v>Fairly good</c:v>
                </c:pt>
              </c:strCache>
            </c:strRef>
          </c:tx>
          <c:spPr>
            <a:solidFill>
              <a:schemeClr val="accent6">
                <a:shade val="76000"/>
              </a:schemeClr>
            </a:solidFill>
            <a:ln>
              <a:noFill/>
            </a:ln>
            <a:effectLst/>
          </c:spPr>
          <c:invertIfNegative val="0"/>
          <c:cat>
            <c:strRef>
              <c:f>[0]!Access_to_other_online_resources_lbl</c:f>
              <c:strCache>
                <c:ptCount val="1"/>
                <c:pt idx="0">
                  <c:v>TOTAL</c:v>
                </c:pt>
              </c:strCache>
            </c:strRef>
          </c:cat>
          <c:val>
            <c:numRef>
              <c:f>[0]!Access_to_other_online_resources_2</c:f>
              <c:numCache>
                <c:formatCode>0%</c:formatCode>
                <c:ptCount val="1"/>
                <c:pt idx="0">
                  <c:v>0.29685</c:v>
                </c:pt>
              </c:numCache>
            </c:numRef>
          </c:val>
          <c:extLst>
            <c:ext xmlns:c16="http://schemas.microsoft.com/office/drawing/2014/chart" uri="{C3380CC4-5D6E-409C-BE32-E72D297353CC}">
              <c16:uniqueId val="{00000001-CD57-46C0-B538-CC44652B9BC0}"/>
            </c:ext>
          </c:extLst>
        </c:ser>
        <c:ser>
          <c:idx val="2"/>
          <c:order val="2"/>
          <c:tx>
            <c:strRef>
              <c:f>ComparisonReport!$L$2333</c:f>
              <c:strCache>
                <c:ptCount val="1"/>
                <c:pt idx="0">
                  <c:v>Neither</c:v>
                </c:pt>
              </c:strCache>
            </c:strRef>
          </c:tx>
          <c:spPr>
            <a:solidFill>
              <a:schemeClr val="accent6"/>
            </a:solidFill>
            <a:ln>
              <a:noFill/>
            </a:ln>
            <a:effectLst/>
          </c:spPr>
          <c:invertIfNegative val="0"/>
          <c:cat>
            <c:strRef>
              <c:f>[0]!Access_to_other_online_resources_lbl</c:f>
              <c:strCache>
                <c:ptCount val="1"/>
                <c:pt idx="0">
                  <c:v>TOTAL</c:v>
                </c:pt>
              </c:strCache>
            </c:strRef>
          </c:cat>
          <c:val>
            <c:numRef>
              <c:f>[0]!Access_to_other_online_resources_3</c:f>
              <c:numCache>
                <c:formatCode>0%</c:formatCode>
                <c:ptCount val="1"/>
                <c:pt idx="0">
                  <c:v>8.9990000000000001E-2</c:v>
                </c:pt>
              </c:numCache>
            </c:numRef>
          </c:val>
          <c:extLst>
            <c:ext xmlns:c16="http://schemas.microsoft.com/office/drawing/2014/chart" uri="{C3380CC4-5D6E-409C-BE32-E72D297353CC}">
              <c16:uniqueId val="{00000002-CD57-46C0-B538-CC44652B9BC0}"/>
            </c:ext>
          </c:extLst>
        </c:ser>
        <c:ser>
          <c:idx val="3"/>
          <c:order val="3"/>
          <c:tx>
            <c:strRef>
              <c:f>ComparisonReport!$M$2333</c:f>
              <c:strCache>
                <c:ptCount val="1"/>
                <c:pt idx="0">
                  <c:v>Poor</c:v>
                </c:pt>
              </c:strCache>
            </c:strRef>
          </c:tx>
          <c:spPr>
            <a:solidFill>
              <a:schemeClr val="accent6">
                <a:tint val="77000"/>
              </a:schemeClr>
            </a:solidFill>
            <a:ln>
              <a:noFill/>
            </a:ln>
            <a:effectLst/>
          </c:spPr>
          <c:invertIfNegative val="0"/>
          <c:cat>
            <c:strRef>
              <c:f>[0]!Access_to_other_online_resources_lbl</c:f>
              <c:strCache>
                <c:ptCount val="1"/>
                <c:pt idx="0">
                  <c:v>TOTAL</c:v>
                </c:pt>
              </c:strCache>
            </c:strRef>
          </c:cat>
          <c:val>
            <c:numRef>
              <c:f>[0]!Access_to_other_online_resources_4</c:f>
              <c:numCache>
                <c:formatCode>0%</c:formatCode>
                <c:ptCount val="1"/>
                <c:pt idx="0">
                  <c:v>1.2670000000000001E-2</c:v>
                </c:pt>
              </c:numCache>
            </c:numRef>
          </c:val>
          <c:extLst>
            <c:ext xmlns:c16="http://schemas.microsoft.com/office/drawing/2014/chart" uri="{C3380CC4-5D6E-409C-BE32-E72D297353CC}">
              <c16:uniqueId val="{00000003-CD57-46C0-B538-CC44652B9BC0}"/>
            </c:ext>
          </c:extLst>
        </c:ser>
        <c:ser>
          <c:idx val="4"/>
          <c:order val="4"/>
          <c:tx>
            <c:strRef>
              <c:f>ComparisonReport!$N$2333</c:f>
              <c:strCache>
                <c:ptCount val="1"/>
                <c:pt idx="0">
                  <c:v>Very poor</c:v>
                </c:pt>
              </c:strCache>
            </c:strRef>
          </c:tx>
          <c:spPr>
            <a:solidFill>
              <a:schemeClr val="accent6">
                <a:tint val="54000"/>
              </a:schemeClr>
            </a:solidFill>
            <a:ln>
              <a:noFill/>
            </a:ln>
            <a:effectLst/>
          </c:spPr>
          <c:invertIfNegative val="0"/>
          <c:cat>
            <c:strRef>
              <c:f>[0]!Access_to_other_online_resources_lbl</c:f>
              <c:strCache>
                <c:ptCount val="1"/>
                <c:pt idx="0">
                  <c:v>TOTAL</c:v>
                </c:pt>
              </c:strCache>
            </c:strRef>
          </c:cat>
          <c:val>
            <c:numRef>
              <c:f>[0]!Access_to_other_online_resources_5</c:f>
              <c:numCache>
                <c:formatCode>0%</c:formatCode>
                <c:ptCount val="1"/>
                <c:pt idx="0">
                  <c:v>5.0683003819069327E-3</c:v>
                </c:pt>
              </c:numCache>
            </c:numRef>
          </c:val>
          <c:extLst>
            <c:ext xmlns:c16="http://schemas.microsoft.com/office/drawing/2014/chart" uri="{C3380CC4-5D6E-409C-BE32-E72D297353CC}">
              <c16:uniqueId val="{00000004-CD57-46C0-B538-CC44652B9BC0}"/>
            </c:ext>
          </c:extLst>
        </c:ser>
        <c:dLbls>
          <c:showLegendKey val="0"/>
          <c:showVal val="0"/>
          <c:showCatName val="0"/>
          <c:showSerName val="0"/>
          <c:showPercent val="0"/>
          <c:showBubbleSize val="0"/>
        </c:dLbls>
        <c:gapWidth val="25"/>
        <c:overlap val="100"/>
        <c:axId val="1434472767"/>
        <c:axId val="1434461727"/>
      </c:barChart>
      <c:catAx>
        <c:axId val="1434472767"/>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434461727"/>
        <c:crosses val="autoZero"/>
        <c:auto val="1"/>
        <c:lblAlgn val="ctr"/>
        <c:lblOffset val="100"/>
        <c:noMultiLvlLbl val="0"/>
      </c:catAx>
      <c:valAx>
        <c:axId val="1434461727"/>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344727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6.  Please rate the following services used during your visit to this archive</a:t>
            </a:r>
            <a:r>
              <a:rPr lang="en-GB" sz="1050" b="0" i="0" u="none" strike="noStrike" baseline="0"/>
              <a:t> </a:t>
            </a:r>
            <a:r>
              <a:rPr lang="en-GB" sz="1050" b="1" i="0" u="none" strike="noStrike" baseline="0">
                <a:effectLst/>
              </a:rPr>
              <a:t>Access to wifi</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ComparisonReport!$J$2450</c:f>
              <c:strCache>
                <c:ptCount val="1"/>
                <c:pt idx="0">
                  <c:v>Very good</c:v>
                </c:pt>
              </c:strCache>
            </c:strRef>
          </c:tx>
          <c:spPr>
            <a:solidFill>
              <a:schemeClr val="accent6">
                <a:shade val="53000"/>
              </a:schemeClr>
            </a:solidFill>
            <a:ln>
              <a:noFill/>
            </a:ln>
            <a:effectLst/>
          </c:spPr>
          <c:invertIfNegative val="0"/>
          <c:cat>
            <c:strRef>
              <c:f>[0]!Access_to_wifi_lbl</c:f>
              <c:strCache>
                <c:ptCount val="1"/>
                <c:pt idx="0">
                  <c:v>TOTAL</c:v>
                </c:pt>
              </c:strCache>
            </c:strRef>
          </c:cat>
          <c:val>
            <c:numRef>
              <c:f>[0]!Access_to_wifi_1</c:f>
              <c:numCache>
                <c:formatCode>0%</c:formatCode>
                <c:ptCount val="1"/>
                <c:pt idx="0">
                  <c:v>0.67139000000000004</c:v>
                </c:pt>
              </c:numCache>
            </c:numRef>
          </c:val>
          <c:extLst>
            <c:ext xmlns:c16="http://schemas.microsoft.com/office/drawing/2014/chart" uri="{C3380CC4-5D6E-409C-BE32-E72D297353CC}">
              <c16:uniqueId val="{00000000-9CE3-4079-80C8-93F6EA191D68}"/>
            </c:ext>
          </c:extLst>
        </c:ser>
        <c:ser>
          <c:idx val="1"/>
          <c:order val="1"/>
          <c:tx>
            <c:strRef>
              <c:f>ComparisonReport!$K$2450</c:f>
              <c:strCache>
                <c:ptCount val="1"/>
                <c:pt idx="0">
                  <c:v>Fairly good</c:v>
                </c:pt>
              </c:strCache>
            </c:strRef>
          </c:tx>
          <c:spPr>
            <a:solidFill>
              <a:schemeClr val="accent6">
                <a:shade val="76000"/>
              </a:schemeClr>
            </a:solidFill>
            <a:ln>
              <a:noFill/>
            </a:ln>
            <a:effectLst/>
          </c:spPr>
          <c:invertIfNegative val="0"/>
          <c:cat>
            <c:strRef>
              <c:f>[0]!Access_to_wifi_lbl</c:f>
              <c:strCache>
                <c:ptCount val="1"/>
                <c:pt idx="0">
                  <c:v>TOTAL</c:v>
                </c:pt>
              </c:strCache>
            </c:strRef>
          </c:cat>
          <c:val>
            <c:numRef>
              <c:f>[0]!Access_to_wifi_2</c:f>
              <c:numCache>
                <c:formatCode>0%</c:formatCode>
                <c:ptCount val="1"/>
                <c:pt idx="0">
                  <c:v>0.21332999999999999</c:v>
                </c:pt>
              </c:numCache>
            </c:numRef>
          </c:val>
          <c:extLst>
            <c:ext xmlns:c16="http://schemas.microsoft.com/office/drawing/2014/chart" uri="{C3380CC4-5D6E-409C-BE32-E72D297353CC}">
              <c16:uniqueId val="{00000001-9CE3-4079-80C8-93F6EA191D68}"/>
            </c:ext>
          </c:extLst>
        </c:ser>
        <c:ser>
          <c:idx val="2"/>
          <c:order val="2"/>
          <c:tx>
            <c:strRef>
              <c:f>ComparisonReport!$L$2450</c:f>
              <c:strCache>
                <c:ptCount val="1"/>
                <c:pt idx="0">
                  <c:v>Neither</c:v>
                </c:pt>
              </c:strCache>
            </c:strRef>
          </c:tx>
          <c:spPr>
            <a:solidFill>
              <a:schemeClr val="accent6"/>
            </a:solidFill>
            <a:ln>
              <a:noFill/>
            </a:ln>
            <a:effectLst/>
          </c:spPr>
          <c:invertIfNegative val="0"/>
          <c:cat>
            <c:strRef>
              <c:f>[0]!Access_to_wifi_lbl</c:f>
              <c:strCache>
                <c:ptCount val="1"/>
                <c:pt idx="0">
                  <c:v>TOTAL</c:v>
                </c:pt>
              </c:strCache>
            </c:strRef>
          </c:cat>
          <c:val>
            <c:numRef>
              <c:f>[0]!Access_to_wifi_3</c:f>
              <c:numCache>
                <c:formatCode>0%</c:formatCode>
                <c:ptCount val="1"/>
                <c:pt idx="0">
                  <c:v>5.9950000000000003E-2</c:v>
                </c:pt>
              </c:numCache>
            </c:numRef>
          </c:val>
          <c:extLst>
            <c:ext xmlns:c16="http://schemas.microsoft.com/office/drawing/2014/chart" uri="{C3380CC4-5D6E-409C-BE32-E72D297353CC}">
              <c16:uniqueId val="{00000002-9CE3-4079-80C8-93F6EA191D68}"/>
            </c:ext>
          </c:extLst>
        </c:ser>
        <c:ser>
          <c:idx val="3"/>
          <c:order val="3"/>
          <c:tx>
            <c:strRef>
              <c:f>ComparisonReport!$M$2450</c:f>
              <c:strCache>
                <c:ptCount val="1"/>
                <c:pt idx="0">
                  <c:v>Poor</c:v>
                </c:pt>
              </c:strCache>
            </c:strRef>
          </c:tx>
          <c:spPr>
            <a:solidFill>
              <a:schemeClr val="accent6">
                <a:tint val="77000"/>
              </a:schemeClr>
            </a:solidFill>
            <a:ln>
              <a:noFill/>
            </a:ln>
            <a:effectLst/>
          </c:spPr>
          <c:invertIfNegative val="0"/>
          <c:cat>
            <c:strRef>
              <c:f>[0]!Access_to_wifi_lbl</c:f>
              <c:strCache>
                <c:ptCount val="1"/>
                <c:pt idx="0">
                  <c:v>TOTAL</c:v>
                </c:pt>
              </c:strCache>
            </c:strRef>
          </c:cat>
          <c:val>
            <c:numRef>
              <c:f>[0]!Access_to_wifi_4</c:f>
              <c:numCache>
                <c:formatCode>0%</c:formatCode>
                <c:ptCount val="1"/>
                <c:pt idx="0">
                  <c:v>4.2540000000000001E-2</c:v>
                </c:pt>
              </c:numCache>
            </c:numRef>
          </c:val>
          <c:extLst>
            <c:ext xmlns:c16="http://schemas.microsoft.com/office/drawing/2014/chart" uri="{C3380CC4-5D6E-409C-BE32-E72D297353CC}">
              <c16:uniqueId val="{00000003-9CE3-4079-80C8-93F6EA191D68}"/>
            </c:ext>
          </c:extLst>
        </c:ser>
        <c:ser>
          <c:idx val="4"/>
          <c:order val="4"/>
          <c:tx>
            <c:strRef>
              <c:f>ComparisonReport!$N$2450</c:f>
              <c:strCache>
                <c:ptCount val="1"/>
                <c:pt idx="0">
                  <c:v>Very poor</c:v>
                </c:pt>
              </c:strCache>
            </c:strRef>
          </c:tx>
          <c:spPr>
            <a:solidFill>
              <a:schemeClr val="accent6">
                <a:tint val="54000"/>
              </a:schemeClr>
            </a:solidFill>
            <a:ln>
              <a:noFill/>
            </a:ln>
            <a:effectLst/>
          </c:spPr>
          <c:invertIfNegative val="0"/>
          <c:cat>
            <c:strRef>
              <c:f>[0]!Access_to_wifi_lbl</c:f>
              <c:strCache>
                <c:ptCount val="1"/>
                <c:pt idx="0">
                  <c:v>TOTAL</c:v>
                </c:pt>
              </c:strCache>
            </c:strRef>
          </c:cat>
          <c:val>
            <c:numRef>
              <c:f>[0]!Access_to_wifi_5</c:f>
              <c:numCache>
                <c:formatCode>0%</c:formatCode>
                <c:ptCount val="1"/>
                <c:pt idx="0">
                  <c:v>1.2782677924626165E-2</c:v>
                </c:pt>
              </c:numCache>
            </c:numRef>
          </c:val>
          <c:extLst>
            <c:ext xmlns:c16="http://schemas.microsoft.com/office/drawing/2014/chart" uri="{C3380CC4-5D6E-409C-BE32-E72D297353CC}">
              <c16:uniqueId val="{00000004-9CE3-4079-80C8-93F6EA191D68}"/>
            </c:ext>
          </c:extLst>
        </c:ser>
        <c:dLbls>
          <c:showLegendKey val="0"/>
          <c:showVal val="0"/>
          <c:showCatName val="0"/>
          <c:showSerName val="0"/>
          <c:showPercent val="0"/>
          <c:showBubbleSize val="0"/>
        </c:dLbls>
        <c:gapWidth val="25"/>
        <c:overlap val="100"/>
        <c:axId val="1434542367"/>
        <c:axId val="1434539967"/>
      </c:barChart>
      <c:catAx>
        <c:axId val="1434542367"/>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434539967"/>
        <c:crosses val="autoZero"/>
        <c:auto val="1"/>
        <c:lblAlgn val="ctr"/>
        <c:lblOffset val="100"/>
        <c:noMultiLvlLbl val="0"/>
      </c:catAx>
      <c:valAx>
        <c:axId val="1434539967"/>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345423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6.  Please rate the following services used during your visit to this archive</a:t>
            </a:r>
            <a:r>
              <a:rPr lang="en-GB" sz="1050" b="0" i="0" u="none" strike="noStrike" baseline="0"/>
              <a:t> </a:t>
            </a:r>
            <a:r>
              <a:rPr lang="en-GB" sz="1050" b="1" i="0" u="none" strike="noStrike" baseline="0">
                <a:effectLst/>
              </a:rPr>
              <a:t>Facilities to charge personal computing devices</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ComparisonReport!$J$2568</c:f>
              <c:strCache>
                <c:ptCount val="1"/>
                <c:pt idx="0">
                  <c:v>Very good</c:v>
                </c:pt>
              </c:strCache>
            </c:strRef>
          </c:tx>
          <c:spPr>
            <a:solidFill>
              <a:schemeClr val="accent6">
                <a:shade val="53000"/>
              </a:schemeClr>
            </a:solidFill>
            <a:ln>
              <a:noFill/>
            </a:ln>
            <a:effectLst/>
          </c:spPr>
          <c:invertIfNegative val="0"/>
          <c:cat>
            <c:strRef>
              <c:f>[0]!Facilities_to_charge_personal_computing_devices_lbl</c:f>
              <c:strCache>
                <c:ptCount val="1"/>
                <c:pt idx="0">
                  <c:v>TOTAL</c:v>
                </c:pt>
              </c:strCache>
            </c:strRef>
          </c:cat>
          <c:val>
            <c:numRef>
              <c:f>[0]!Facilities_to_charge_personal_computing_devices_1</c:f>
              <c:numCache>
                <c:formatCode>0%</c:formatCode>
                <c:ptCount val="1"/>
                <c:pt idx="0">
                  <c:v>0.71304999999999996</c:v>
                </c:pt>
              </c:numCache>
            </c:numRef>
          </c:val>
          <c:extLst>
            <c:ext xmlns:c16="http://schemas.microsoft.com/office/drawing/2014/chart" uri="{C3380CC4-5D6E-409C-BE32-E72D297353CC}">
              <c16:uniqueId val="{00000000-E96D-4D6C-AA51-7D71B8F5A212}"/>
            </c:ext>
          </c:extLst>
        </c:ser>
        <c:ser>
          <c:idx val="1"/>
          <c:order val="1"/>
          <c:tx>
            <c:strRef>
              <c:f>ComparisonReport!$K$2568</c:f>
              <c:strCache>
                <c:ptCount val="1"/>
                <c:pt idx="0">
                  <c:v>Fairly good</c:v>
                </c:pt>
              </c:strCache>
            </c:strRef>
          </c:tx>
          <c:spPr>
            <a:solidFill>
              <a:schemeClr val="accent6">
                <a:shade val="76000"/>
              </a:schemeClr>
            </a:solidFill>
            <a:ln>
              <a:noFill/>
            </a:ln>
            <a:effectLst/>
          </c:spPr>
          <c:invertIfNegative val="0"/>
          <c:cat>
            <c:strRef>
              <c:f>[0]!Facilities_to_charge_personal_computing_devices_lbl</c:f>
              <c:strCache>
                <c:ptCount val="1"/>
                <c:pt idx="0">
                  <c:v>TOTAL</c:v>
                </c:pt>
              </c:strCache>
            </c:strRef>
          </c:cat>
          <c:val>
            <c:numRef>
              <c:f>[0]!Facilities_to_charge_personal_computing_devices_2</c:f>
              <c:numCache>
                <c:formatCode>0%</c:formatCode>
                <c:ptCount val="1"/>
                <c:pt idx="0">
                  <c:v>0.18931999999999999</c:v>
                </c:pt>
              </c:numCache>
            </c:numRef>
          </c:val>
          <c:extLst>
            <c:ext xmlns:c16="http://schemas.microsoft.com/office/drawing/2014/chart" uri="{C3380CC4-5D6E-409C-BE32-E72D297353CC}">
              <c16:uniqueId val="{00000001-E96D-4D6C-AA51-7D71B8F5A212}"/>
            </c:ext>
          </c:extLst>
        </c:ser>
        <c:ser>
          <c:idx val="2"/>
          <c:order val="2"/>
          <c:tx>
            <c:strRef>
              <c:f>ComparisonReport!$L$2568</c:f>
              <c:strCache>
                <c:ptCount val="1"/>
                <c:pt idx="0">
                  <c:v>Neither</c:v>
                </c:pt>
              </c:strCache>
            </c:strRef>
          </c:tx>
          <c:spPr>
            <a:solidFill>
              <a:schemeClr val="accent6"/>
            </a:solidFill>
            <a:ln>
              <a:noFill/>
            </a:ln>
            <a:effectLst/>
          </c:spPr>
          <c:invertIfNegative val="0"/>
          <c:cat>
            <c:strRef>
              <c:f>[0]!Facilities_to_charge_personal_computing_devices_lbl</c:f>
              <c:strCache>
                <c:ptCount val="1"/>
                <c:pt idx="0">
                  <c:v>TOTAL</c:v>
                </c:pt>
              </c:strCache>
            </c:strRef>
          </c:cat>
          <c:val>
            <c:numRef>
              <c:f>[0]!Facilities_to_charge_personal_computing_devices_3</c:f>
              <c:numCache>
                <c:formatCode>0%</c:formatCode>
                <c:ptCount val="1"/>
                <c:pt idx="0">
                  <c:v>6.0970000000000003E-2</c:v>
                </c:pt>
              </c:numCache>
            </c:numRef>
          </c:val>
          <c:extLst>
            <c:ext xmlns:c16="http://schemas.microsoft.com/office/drawing/2014/chart" uri="{C3380CC4-5D6E-409C-BE32-E72D297353CC}">
              <c16:uniqueId val="{00000002-E96D-4D6C-AA51-7D71B8F5A212}"/>
            </c:ext>
          </c:extLst>
        </c:ser>
        <c:ser>
          <c:idx val="3"/>
          <c:order val="3"/>
          <c:tx>
            <c:strRef>
              <c:f>ComparisonReport!$M$2568</c:f>
              <c:strCache>
                <c:ptCount val="1"/>
                <c:pt idx="0">
                  <c:v>Poor</c:v>
                </c:pt>
              </c:strCache>
            </c:strRef>
          </c:tx>
          <c:spPr>
            <a:solidFill>
              <a:schemeClr val="accent6">
                <a:tint val="77000"/>
              </a:schemeClr>
            </a:solidFill>
            <a:ln>
              <a:noFill/>
            </a:ln>
            <a:effectLst/>
          </c:spPr>
          <c:invertIfNegative val="0"/>
          <c:cat>
            <c:strRef>
              <c:f>[0]!Facilities_to_charge_personal_computing_devices_lbl</c:f>
              <c:strCache>
                <c:ptCount val="1"/>
                <c:pt idx="0">
                  <c:v>TOTAL</c:v>
                </c:pt>
              </c:strCache>
            </c:strRef>
          </c:cat>
          <c:val>
            <c:numRef>
              <c:f>[0]!Facilities_to_charge_personal_computing_devices_4</c:f>
              <c:numCache>
                <c:formatCode>0%</c:formatCode>
                <c:ptCount val="1"/>
                <c:pt idx="0">
                  <c:v>3.209E-2</c:v>
                </c:pt>
              </c:numCache>
            </c:numRef>
          </c:val>
          <c:extLst>
            <c:ext xmlns:c16="http://schemas.microsoft.com/office/drawing/2014/chart" uri="{C3380CC4-5D6E-409C-BE32-E72D297353CC}">
              <c16:uniqueId val="{00000003-E96D-4D6C-AA51-7D71B8F5A212}"/>
            </c:ext>
          </c:extLst>
        </c:ser>
        <c:ser>
          <c:idx val="4"/>
          <c:order val="4"/>
          <c:tx>
            <c:strRef>
              <c:f>ComparisonReport!$N$2568</c:f>
              <c:strCache>
                <c:ptCount val="1"/>
                <c:pt idx="0">
                  <c:v>Very poor</c:v>
                </c:pt>
              </c:strCache>
            </c:strRef>
          </c:tx>
          <c:spPr>
            <a:solidFill>
              <a:schemeClr val="accent6">
                <a:tint val="54000"/>
              </a:schemeClr>
            </a:solidFill>
            <a:ln>
              <a:noFill/>
            </a:ln>
            <a:effectLst/>
          </c:spPr>
          <c:invertIfNegative val="0"/>
          <c:cat>
            <c:strRef>
              <c:f>[0]!Facilities_to_charge_personal_computing_devices_lbl</c:f>
              <c:strCache>
                <c:ptCount val="1"/>
                <c:pt idx="0">
                  <c:v>TOTAL</c:v>
                </c:pt>
              </c:strCache>
            </c:strRef>
          </c:cat>
          <c:val>
            <c:numRef>
              <c:f>[0]!Facilities_to_charge_personal_computing_devices_5</c:f>
              <c:numCache>
                <c:formatCode>0%</c:formatCode>
                <c:ptCount val="1"/>
                <c:pt idx="0">
                  <c:v>4.5694393269730595E-3</c:v>
                </c:pt>
              </c:numCache>
            </c:numRef>
          </c:val>
          <c:extLst>
            <c:ext xmlns:c16="http://schemas.microsoft.com/office/drawing/2014/chart" uri="{C3380CC4-5D6E-409C-BE32-E72D297353CC}">
              <c16:uniqueId val="{00000004-E96D-4D6C-AA51-7D71B8F5A212}"/>
            </c:ext>
          </c:extLst>
        </c:ser>
        <c:dLbls>
          <c:showLegendKey val="0"/>
          <c:showVal val="0"/>
          <c:showCatName val="0"/>
          <c:showSerName val="0"/>
          <c:showPercent val="0"/>
          <c:showBubbleSize val="0"/>
        </c:dLbls>
        <c:gapWidth val="25"/>
        <c:overlap val="100"/>
        <c:axId val="1241240991"/>
        <c:axId val="1241245311"/>
      </c:barChart>
      <c:catAx>
        <c:axId val="12412409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241245311"/>
        <c:crosses val="autoZero"/>
        <c:auto val="1"/>
        <c:lblAlgn val="ctr"/>
        <c:lblOffset val="100"/>
        <c:noMultiLvlLbl val="0"/>
      </c:catAx>
      <c:valAx>
        <c:axId val="1241245311"/>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2412409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7 (a) Please rate how satisfied you are with the following services.</a:t>
            </a:r>
            <a:r>
              <a:rPr lang="en-GB" sz="1050" b="0" i="0" u="none" strike="noStrike" baseline="0"/>
              <a:t> </a:t>
            </a:r>
            <a:r>
              <a:rPr lang="en-GB" sz="1050" b="1" i="0" u="none" strike="noStrike" baseline="0">
                <a:effectLst/>
              </a:rPr>
              <a:t>Availability of seating</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ComparisonReport!$J$2685</c:f>
              <c:strCache>
                <c:ptCount val="1"/>
                <c:pt idx="0">
                  <c:v>Very satisfied</c:v>
                </c:pt>
              </c:strCache>
            </c:strRef>
          </c:tx>
          <c:spPr>
            <a:solidFill>
              <a:schemeClr val="accent4">
                <a:shade val="53000"/>
              </a:schemeClr>
            </a:solidFill>
            <a:ln>
              <a:noFill/>
            </a:ln>
            <a:effectLst/>
          </c:spPr>
          <c:invertIfNegative val="0"/>
          <c:cat>
            <c:strRef>
              <c:f>[0]!Availability_of_seating_lbl</c:f>
              <c:strCache>
                <c:ptCount val="1"/>
                <c:pt idx="0">
                  <c:v>TOTAL</c:v>
                </c:pt>
              </c:strCache>
            </c:strRef>
          </c:cat>
          <c:val>
            <c:numRef>
              <c:f>[0]!Availability_of_seating_1</c:f>
              <c:numCache>
                <c:formatCode>0%</c:formatCode>
                <c:ptCount val="1"/>
                <c:pt idx="0">
                  <c:v>0.89205000000000001</c:v>
                </c:pt>
              </c:numCache>
            </c:numRef>
          </c:val>
          <c:extLst>
            <c:ext xmlns:c16="http://schemas.microsoft.com/office/drawing/2014/chart" uri="{C3380CC4-5D6E-409C-BE32-E72D297353CC}">
              <c16:uniqueId val="{00000000-CC34-4F12-B4CB-F928003EC8E4}"/>
            </c:ext>
          </c:extLst>
        </c:ser>
        <c:ser>
          <c:idx val="1"/>
          <c:order val="1"/>
          <c:tx>
            <c:strRef>
              <c:f>ComparisonReport!$K$2685</c:f>
              <c:strCache>
                <c:ptCount val="1"/>
                <c:pt idx="0">
                  <c:v>Satisfied</c:v>
                </c:pt>
              </c:strCache>
            </c:strRef>
          </c:tx>
          <c:spPr>
            <a:solidFill>
              <a:schemeClr val="accent4">
                <a:shade val="76000"/>
              </a:schemeClr>
            </a:solidFill>
            <a:ln>
              <a:noFill/>
            </a:ln>
            <a:effectLst/>
          </c:spPr>
          <c:invertIfNegative val="0"/>
          <c:cat>
            <c:strRef>
              <c:f>[0]!Availability_of_seating_lbl</c:f>
              <c:strCache>
                <c:ptCount val="1"/>
                <c:pt idx="0">
                  <c:v>TOTAL</c:v>
                </c:pt>
              </c:strCache>
            </c:strRef>
          </c:cat>
          <c:val>
            <c:numRef>
              <c:f>[0]!Availability_of_seating_2</c:f>
              <c:numCache>
                <c:formatCode>0%</c:formatCode>
                <c:ptCount val="1"/>
                <c:pt idx="0">
                  <c:v>9.5939999999999998E-2</c:v>
                </c:pt>
              </c:numCache>
            </c:numRef>
          </c:val>
          <c:extLst>
            <c:ext xmlns:c16="http://schemas.microsoft.com/office/drawing/2014/chart" uri="{C3380CC4-5D6E-409C-BE32-E72D297353CC}">
              <c16:uniqueId val="{00000001-CC34-4F12-B4CB-F928003EC8E4}"/>
            </c:ext>
          </c:extLst>
        </c:ser>
        <c:ser>
          <c:idx val="2"/>
          <c:order val="2"/>
          <c:tx>
            <c:strRef>
              <c:f>ComparisonReport!$L$2685</c:f>
              <c:strCache>
                <c:ptCount val="1"/>
                <c:pt idx="0">
                  <c:v>Neither</c:v>
                </c:pt>
              </c:strCache>
            </c:strRef>
          </c:tx>
          <c:spPr>
            <a:solidFill>
              <a:schemeClr val="accent4"/>
            </a:solidFill>
            <a:ln>
              <a:noFill/>
            </a:ln>
            <a:effectLst/>
          </c:spPr>
          <c:invertIfNegative val="0"/>
          <c:cat>
            <c:strRef>
              <c:f>[0]!Availability_of_seating_lbl</c:f>
              <c:strCache>
                <c:ptCount val="1"/>
                <c:pt idx="0">
                  <c:v>TOTAL</c:v>
                </c:pt>
              </c:strCache>
            </c:strRef>
          </c:cat>
          <c:val>
            <c:numRef>
              <c:f>[0]!Availability_of_seating_3</c:f>
              <c:numCache>
                <c:formatCode>0%</c:formatCode>
                <c:ptCount val="1"/>
                <c:pt idx="0">
                  <c:v>7.5700000000000003E-3</c:v>
                </c:pt>
              </c:numCache>
            </c:numRef>
          </c:val>
          <c:extLst>
            <c:ext xmlns:c16="http://schemas.microsoft.com/office/drawing/2014/chart" uri="{C3380CC4-5D6E-409C-BE32-E72D297353CC}">
              <c16:uniqueId val="{00000002-CC34-4F12-B4CB-F928003EC8E4}"/>
            </c:ext>
          </c:extLst>
        </c:ser>
        <c:ser>
          <c:idx val="3"/>
          <c:order val="3"/>
          <c:tx>
            <c:strRef>
              <c:f>ComparisonReport!$M$2685</c:f>
              <c:strCache>
                <c:ptCount val="1"/>
                <c:pt idx="0">
                  <c:v>Not very satisfied</c:v>
                </c:pt>
              </c:strCache>
            </c:strRef>
          </c:tx>
          <c:spPr>
            <a:solidFill>
              <a:schemeClr val="accent4">
                <a:tint val="77000"/>
              </a:schemeClr>
            </a:solidFill>
            <a:ln>
              <a:noFill/>
            </a:ln>
            <a:effectLst/>
          </c:spPr>
          <c:invertIfNegative val="0"/>
          <c:cat>
            <c:strRef>
              <c:f>[0]!Availability_of_seating_lbl</c:f>
              <c:strCache>
                <c:ptCount val="1"/>
                <c:pt idx="0">
                  <c:v>TOTAL</c:v>
                </c:pt>
              </c:strCache>
            </c:strRef>
          </c:cat>
          <c:val>
            <c:numRef>
              <c:f>[0]!Availability_of_seating_4</c:f>
              <c:numCache>
                <c:formatCode>0%</c:formatCode>
                <c:ptCount val="1"/>
                <c:pt idx="0">
                  <c:v>3.32E-3</c:v>
                </c:pt>
              </c:numCache>
            </c:numRef>
          </c:val>
          <c:extLst>
            <c:ext xmlns:c16="http://schemas.microsoft.com/office/drawing/2014/chart" uri="{C3380CC4-5D6E-409C-BE32-E72D297353CC}">
              <c16:uniqueId val="{00000003-CC34-4F12-B4CB-F928003EC8E4}"/>
            </c:ext>
          </c:extLst>
        </c:ser>
        <c:ser>
          <c:idx val="4"/>
          <c:order val="4"/>
          <c:tx>
            <c:strRef>
              <c:f>ComparisonReport!$N$2685</c:f>
              <c:strCache>
                <c:ptCount val="1"/>
                <c:pt idx="0">
                  <c:v>Not at all satisfied</c:v>
                </c:pt>
              </c:strCache>
            </c:strRef>
          </c:tx>
          <c:spPr>
            <a:solidFill>
              <a:schemeClr val="accent4">
                <a:tint val="54000"/>
              </a:schemeClr>
            </a:solidFill>
            <a:ln>
              <a:noFill/>
            </a:ln>
            <a:effectLst/>
          </c:spPr>
          <c:invertIfNegative val="0"/>
          <c:cat>
            <c:strRef>
              <c:f>[0]!Availability_of_seating_lbl</c:f>
              <c:strCache>
                <c:ptCount val="1"/>
                <c:pt idx="0">
                  <c:v>TOTAL</c:v>
                </c:pt>
              </c:strCache>
            </c:strRef>
          </c:cat>
          <c:val>
            <c:numRef>
              <c:f>[0]!Availability_of_seating_5</c:f>
              <c:numCache>
                <c:formatCode>0%</c:formatCode>
                <c:ptCount val="1"/>
                <c:pt idx="0">
                  <c:v>1.1268161465969239E-3</c:v>
                </c:pt>
              </c:numCache>
            </c:numRef>
          </c:val>
          <c:extLst>
            <c:ext xmlns:c16="http://schemas.microsoft.com/office/drawing/2014/chart" uri="{C3380CC4-5D6E-409C-BE32-E72D297353CC}">
              <c16:uniqueId val="{00000004-CC34-4F12-B4CB-F928003EC8E4}"/>
            </c:ext>
          </c:extLst>
        </c:ser>
        <c:dLbls>
          <c:showLegendKey val="0"/>
          <c:showVal val="0"/>
          <c:showCatName val="0"/>
          <c:showSerName val="0"/>
          <c:showPercent val="0"/>
          <c:showBubbleSize val="0"/>
        </c:dLbls>
        <c:gapWidth val="25"/>
        <c:overlap val="100"/>
        <c:axId val="291269711"/>
        <c:axId val="291268751"/>
      </c:barChart>
      <c:catAx>
        <c:axId val="2912697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291268751"/>
        <c:crosses val="autoZero"/>
        <c:auto val="1"/>
        <c:lblAlgn val="ctr"/>
        <c:lblOffset val="100"/>
        <c:noMultiLvlLbl val="0"/>
      </c:catAx>
      <c:valAx>
        <c:axId val="291268751"/>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912697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7 (a) Please rate how satisfied you are with the following services.</a:t>
            </a:r>
            <a:r>
              <a:rPr lang="en-GB" sz="1050" b="0" i="0" u="none" strike="noStrike" baseline="0"/>
              <a:t> </a:t>
            </a:r>
            <a:r>
              <a:rPr lang="en-GB" sz="1050" b="1" i="0" u="none" strike="noStrike" baseline="0">
                <a:effectLst/>
              </a:rPr>
              <a:t>Quality of our paper catalogues</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ComparisonReport!$J$2803</c:f>
              <c:strCache>
                <c:ptCount val="1"/>
                <c:pt idx="0">
                  <c:v>Very satisfied</c:v>
                </c:pt>
              </c:strCache>
            </c:strRef>
          </c:tx>
          <c:spPr>
            <a:solidFill>
              <a:schemeClr val="accent4">
                <a:shade val="53000"/>
              </a:schemeClr>
            </a:solidFill>
            <a:ln>
              <a:noFill/>
            </a:ln>
            <a:effectLst/>
          </c:spPr>
          <c:invertIfNegative val="0"/>
          <c:cat>
            <c:strRef>
              <c:f>[0]!Quality_of_our_paper_catalogues_lbl</c:f>
              <c:strCache>
                <c:ptCount val="1"/>
                <c:pt idx="0">
                  <c:v>TOTAL</c:v>
                </c:pt>
              </c:strCache>
            </c:strRef>
          </c:cat>
          <c:val>
            <c:numRef>
              <c:f>[0]!Quality_of_our_paper_catalogues_1</c:f>
              <c:numCache>
                <c:formatCode>0%</c:formatCode>
                <c:ptCount val="1"/>
                <c:pt idx="0">
                  <c:v>0.73585</c:v>
                </c:pt>
              </c:numCache>
            </c:numRef>
          </c:val>
          <c:extLst>
            <c:ext xmlns:c16="http://schemas.microsoft.com/office/drawing/2014/chart" uri="{C3380CC4-5D6E-409C-BE32-E72D297353CC}">
              <c16:uniqueId val="{00000000-D255-44C7-B23D-F613EC03D043}"/>
            </c:ext>
          </c:extLst>
        </c:ser>
        <c:ser>
          <c:idx val="1"/>
          <c:order val="1"/>
          <c:tx>
            <c:strRef>
              <c:f>ComparisonReport!$K$2803</c:f>
              <c:strCache>
                <c:ptCount val="1"/>
                <c:pt idx="0">
                  <c:v>Satisfied</c:v>
                </c:pt>
              </c:strCache>
            </c:strRef>
          </c:tx>
          <c:spPr>
            <a:solidFill>
              <a:schemeClr val="accent4">
                <a:shade val="76000"/>
              </a:schemeClr>
            </a:solidFill>
            <a:ln>
              <a:noFill/>
            </a:ln>
            <a:effectLst/>
          </c:spPr>
          <c:invertIfNegative val="0"/>
          <c:cat>
            <c:strRef>
              <c:f>[0]!Quality_of_our_paper_catalogues_lbl</c:f>
              <c:strCache>
                <c:ptCount val="1"/>
                <c:pt idx="0">
                  <c:v>TOTAL</c:v>
                </c:pt>
              </c:strCache>
            </c:strRef>
          </c:cat>
          <c:val>
            <c:numRef>
              <c:f>[0]!Quality_of_our_paper_catalogues_2</c:f>
              <c:numCache>
                <c:formatCode>0%</c:formatCode>
                <c:ptCount val="1"/>
                <c:pt idx="0">
                  <c:v>0.21784999999999999</c:v>
                </c:pt>
              </c:numCache>
            </c:numRef>
          </c:val>
          <c:extLst>
            <c:ext xmlns:c16="http://schemas.microsoft.com/office/drawing/2014/chart" uri="{C3380CC4-5D6E-409C-BE32-E72D297353CC}">
              <c16:uniqueId val="{00000001-D255-44C7-B23D-F613EC03D043}"/>
            </c:ext>
          </c:extLst>
        </c:ser>
        <c:ser>
          <c:idx val="2"/>
          <c:order val="2"/>
          <c:tx>
            <c:strRef>
              <c:f>ComparisonReport!$L$2803</c:f>
              <c:strCache>
                <c:ptCount val="1"/>
                <c:pt idx="0">
                  <c:v>Neither</c:v>
                </c:pt>
              </c:strCache>
            </c:strRef>
          </c:tx>
          <c:spPr>
            <a:solidFill>
              <a:schemeClr val="accent4"/>
            </a:solidFill>
            <a:ln>
              <a:noFill/>
            </a:ln>
            <a:effectLst/>
          </c:spPr>
          <c:invertIfNegative val="0"/>
          <c:cat>
            <c:strRef>
              <c:f>[0]!Quality_of_our_paper_catalogues_lbl</c:f>
              <c:strCache>
                <c:ptCount val="1"/>
                <c:pt idx="0">
                  <c:v>TOTAL</c:v>
                </c:pt>
              </c:strCache>
            </c:strRef>
          </c:cat>
          <c:val>
            <c:numRef>
              <c:f>[0]!Quality_of_our_paper_catalogues_3</c:f>
              <c:numCache>
                <c:formatCode>0%</c:formatCode>
                <c:ptCount val="1"/>
                <c:pt idx="0">
                  <c:v>3.0450000000000001E-2</c:v>
                </c:pt>
              </c:numCache>
            </c:numRef>
          </c:val>
          <c:extLst>
            <c:ext xmlns:c16="http://schemas.microsoft.com/office/drawing/2014/chart" uri="{C3380CC4-5D6E-409C-BE32-E72D297353CC}">
              <c16:uniqueId val="{00000002-D255-44C7-B23D-F613EC03D043}"/>
            </c:ext>
          </c:extLst>
        </c:ser>
        <c:ser>
          <c:idx val="3"/>
          <c:order val="3"/>
          <c:tx>
            <c:strRef>
              <c:f>ComparisonReport!$M$2803</c:f>
              <c:strCache>
                <c:ptCount val="1"/>
                <c:pt idx="0">
                  <c:v>Not very satisfied</c:v>
                </c:pt>
              </c:strCache>
            </c:strRef>
          </c:tx>
          <c:spPr>
            <a:solidFill>
              <a:schemeClr val="accent4">
                <a:tint val="77000"/>
              </a:schemeClr>
            </a:solidFill>
            <a:ln>
              <a:noFill/>
            </a:ln>
            <a:effectLst/>
          </c:spPr>
          <c:invertIfNegative val="0"/>
          <c:cat>
            <c:strRef>
              <c:f>[0]!Quality_of_our_paper_catalogues_lbl</c:f>
              <c:strCache>
                <c:ptCount val="1"/>
                <c:pt idx="0">
                  <c:v>TOTAL</c:v>
                </c:pt>
              </c:strCache>
            </c:strRef>
          </c:cat>
          <c:val>
            <c:numRef>
              <c:f>[0]!Quality_of_our_paper_catalogues_4</c:f>
              <c:numCache>
                <c:formatCode>0%</c:formatCode>
                <c:ptCount val="1"/>
                <c:pt idx="0">
                  <c:v>1.3849999999999999E-2</c:v>
                </c:pt>
              </c:numCache>
            </c:numRef>
          </c:val>
          <c:extLst>
            <c:ext xmlns:c16="http://schemas.microsoft.com/office/drawing/2014/chart" uri="{C3380CC4-5D6E-409C-BE32-E72D297353CC}">
              <c16:uniqueId val="{00000003-D255-44C7-B23D-F613EC03D043}"/>
            </c:ext>
          </c:extLst>
        </c:ser>
        <c:ser>
          <c:idx val="4"/>
          <c:order val="4"/>
          <c:tx>
            <c:strRef>
              <c:f>ComparisonReport!$N$2803</c:f>
              <c:strCache>
                <c:ptCount val="1"/>
                <c:pt idx="0">
                  <c:v>Not at all satisfied</c:v>
                </c:pt>
              </c:strCache>
            </c:strRef>
          </c:tx>
          <c:spPr>
            <a:solidFill>
              <a:schemeClr val="accent4">
                <a:tint val="54000"/>
              </a:schemeClr>
            </a:solidFill>
            <a:ln>
              <a:noFill/>
            </a:ln>
            <a:effectLst/>
          </c:spPr>
          <c:invertIfNegative val="0"/>
          <c:cat>
            <c:strRef>
              <c:f>[0]!Quality_of_our_paper_catalogues_lbl</c:f>
              <c:strCache>
                <c:ptCount val="1"/>
                <c:pt idx="0">
                  <c:v>TOTAL</c:v>
                </c:pt>
              </c:strCache>
            </c:strRef>
          </c:cat>
          <c:val>
            <c:numRef>
              <c:f>[0]!Quality_of_our_paper_catalogues_5</c:f>
              <c:numCache>
                <c:formatCode>0%</c:formatCode>
                <c:ptCount val="1"/>
                <c:pt idx="0">
                  <c:v>2.0021400002681825E-3</c:v>
                </c:pt>
              </c:numCache>
            </c:numRef>
          </c:val>
          <c:extLst>
            <c:ext xmlns:c16="http://schemas.microsoft.com/office/drawing/2014/chart" uri="{C3380CC4-5D6E-409C-BE32-E72D297353CC}">
              <c16:uniqueId val="{00000004-D255-44C7-B23D-F613EC03D043}"/>
            </c:ext>
          </c:extLst>
        </c:ser>
        <c:dLbls>
          <c:showLegendKey val="0"/>
          <c:showVal val="0"/>
          <c:showCatName val="0"/>
          <c:showSerName val="0"/>
          <c:showPercent val="0"/>
          <c:showBubbleSize val="0"/>
        </c:dLbls>
        <c:gapWidth val="25"/>
        <c:overlap val="100"/>
        <c:axId val="675448799"/>
        <c:axId val="675440159"/>
      </c:barChart>
      <c:catAx>
        <c:axId val="67544879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675440159"/>
        <c:crosses val="autoZero"/>
        <c:auto val="1"/>
        <c:lblAlgn val="ctr"/>
        <c:lblOffset val="100"/>
        <c:noMultiLvlLbl val="0"/>
      </c:catAx>
      <c:valAx>
        <c:axId val="675440159"/>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6754487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a:t>SECTION B: OUR STAFF, SERVICES &amp; FACILITIES 7 (a) Please rate how satisfied you are with the following services. Quality of our other paper resources </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ComparisonReport!$J$2917</c:f>
              <c:strCache>
                <c:ptCount val="1"/>
                <c:pt idx="0">
                  <c:v>Very satisfied</c:v>
                </c:pt>
              </c:strCache>
            </c:strRef>
          </c:tx>
          <c:spPr>
            <a:solidFill>
              <a:schemeClr val="accent4">
                <a:shade val="53000"/>
              </a:schemeClr>
            </a:solidFill>
            <a:ln>
              <a:noFill/>
            </a:ln>
            <a:effectLst/>
          </c:spPr>
          <c:invertIfNegative val="0"/>
          <c:cat>
            <c:strRef>
              <c:f>[0]!Quality_of_our_other_paper_resources_lbl</c:f>
              <c:strCache>
                <c:ptCount val="1"/>
                <c:pt idx="0">
                  <c:v>TOTAL</c:v>
                </c:pt>
              </c:strCache>
            </c:strRef>
          </c:cat>
          <c:val>
            <c:numRef>
              <c:f>[0]!Quality_of_our_other_paper_resources_1</c:f>
              <c:numCache>
                <c:formatCode>0%</c:formatCode>
                <c:ptCount val="1"/>
                <c:pt idx="0">
                  <c:v>0.74673</c:v>
                </c:pt>
              </c:numCache>
            </c:numRef>
          </c:val>
          <c:extLst>
            <c:ext xmlns:c16="http://schemas.microsoft.com/office/drawing/2014/chart" uri="{C3380CC4-5D6E-409C-BE32-E72D297353CC}">
              <c16:uniqueId val="{00000000-E38A-4F03-AA88-6846078C6ED2}"/>
            </c:ext>
          </c:extLst>
        </c:ser>
        <c:ser>
          <c:idx val="1"/>
          <c:order val="1"/>
          <c:tx>
            <c:strRef>
              <c:f>ComparisonReport!$K$2917</c:f>
              <c:strCache>
                <c:ptCount val="1"/>
                <c:pt idx="0">
                  <c:v>Satisfied</c:v>
                </c:pt>
              </c:strCache>
            </c:strRef>
          </c:tx>
          <c:spPr>
            <a:solidFill>
              <a:schemeClr val="accent4">
                <a:shade val="76000"/>
              </a:schemeClr>
            </a:solidFill>
            <a:ln>
              <a:noFill/>
            </a:ln>
            <a:effectLst/>
          </c:spPr>
          <c:invertIfNegative val="0"/>
          <c:cat>
            <c:strRef>
              <c:f>[0]!Quality_of_our_other_paper_resources_lbl</c:f>
              <c:strCache>
                <c:ptCount val="1"/>
                <c:pt idx="0">
                  <c:v>TOTAL</c:v>
                </c:pt>
              </c:strCache>
            </c:strRef>
          </c:cat>
          <c:val>
            <c:numRef>
              <c:f>[0]!Quality_of_our_other_paper_resources_2</c:f>
              <c:numCache>
                <c:formatCode>0%</c:formatCode>
                <c:ptCount val="1"/>
                <c:pt idx="0">
                  <c:v>0.20773</c:v>
                </c:pt>
              </c:numCache>
            </c:numRef>
          </c:val>
          <c:extLst>
            <c:ext xmlns:c16="http://schemas.microsoft.com/office/drawing/2014/chart" uri="{C3380CC4-5D6E-409C-BE32-E72D297353CC}">
              <c16:uniqueId val="{00000001-E38A-4F03-AA88-6846078C6ED2}"/>
            </c:ext>
          </c:extLst>
        </c:ser>
        <c:ser>
          <c:idx val="2"/>
          <c:order val="2"/>
          <c:tx>
            <c:strRef>
              <c:f>ComparisonReport!$L$2917</c:f>
              <c:strCache>
                <c:ptCount val="1"/>
                <c:pt idx="0">
                  <c:v>Neither</c:v>
                </c:pt>
              </c:strCache>
            </c:strRef>
          </c:tx>
          <c:spPr>
            <a:solidFill>
              <a:schemeClr val="accent4"/>
            </a:solidFill>
            <a:ln>
              <a:noFill/>
            </a:ln>
            <a:effectLst/>
          </c:spPr>
          <c:invertIfNegative val="0"/>
          <c:cat>
            <c:strRef>
              <c:f>[0]!Quality_of_our_other_paper_resources_lbl</c:f>
              <c:strCache>
                <c:ptCount val="1"/>
                <c:pt idx="0">
                  <c:v>TOTAL</c:v>
                </c:pt>
              </c:strCache>
            </c:strRef>
          </c:cat>
          <c:val>
            <c:numRef>
              <c:f>[0]!Quality_of_our_other_paper_resources_3</c:f>
              <c:numCache>
                <c:formatCode>0%</c:formatCode>
                <c:ptCount val="1"/>
                <c:pt idx="0">
                  <c:v>4.1270000000000001E-2</c:v>
                </c:pt>
              </c:numCache>
            </c:numRef>
          </c:val>
          <c:extLst>
            <c:ext xmlns:c16="http://schemas.microsoft.com/office/drawing/2014/chart" uri="{C3380CC4-5D6E-409C-BE32-E72D297353CC}">
              <c16:uniqueId val="{00000002-E38A-4F03-AA88-6846078C6ED2}"/>
            </c:ext>
          </c:extLst>
        </c:ser>
        <c:ser>
          <c:idx val="3"/>
          <c:order val="3"/>
          <c:tx>
            <c:strRef>
              <c:f>ComparisonReport!$M$2917</c:f>
              <c:strCache>
                <c:ptCount val="1"/>
                <c:pt idx="0">
                  <c:v>Not very satisfied</c:v>
                </c:pt>
              </c:strCache>
            </c:strRef>
          </c:tx>
          <c:spPr>
            <a:solidFill>
              <a:schemeClr val="accent4">
                <a:tint val="77000"/>
              </a:schemeClr>
            </a:solidFill>
            <a:ln>
              <a:noFill/>
            </a:ln>
            <a:effectLst/>
          </c:spPr>
          <c:invertIfNegative val="0"/>
          <c:cat>
            <c:strRef>
              <c:f>[0]!Quality_of_our_other_paper_resources_lbl</c:f>
              <c:strCache>
                <c:ptCount val="1"/>
                <c:pt idx="0">
                  <c:v>TOTAL</c:v>
                </c:pt>
              </c:strCache>
            </c:strRef>
          </c:cat>
          <c:val>
            <c:numRef>
              <c:f>[0]!Quality_of_our_other_paper_resources_4</c:f>
              <c:numCache>
                <c:formatCode>0%</c:formatCode>
                <c:ptCount val="1"/>
                <c:pt idx="0">
                  <c:v>4.0000000000000001E-3</c:v>
                </c:pt>
              </c:numCache>
            </c:numRef>
          </c:val>
          <c:extLst>
            <c:ext xmlns:c16="http://schemas.microsoft.com/office/drawing/2014/chart" uri="{C3380CC4-5D6E-409C-BE32-E72D297353CC}">
              <c16:uniqueId val="{00000003-E38A-4F03-AA88-6846078C6ED2}"/>
            </c:ext>
          </c:extLst>
        </c:ser>
        <c:ser>
          <c:idx val="4"/>
          <c:order val="4"/>
          <c:tx>
            <c:strRef>
              <c:f>ComparisonReport!$N$2917</c:f>
              <c:strCache>
                <c:ptCount val="1"/>
                <c:pt idx="0">
                  <c:v>Not at all satisfied</c:v>
                </c:pt>
              </c:strCache>
            </c:strRef>
          </c:tx>
          <c:spPr>
            <a:solidFill>
              <a:schemeClr val="accent4">
                <a:tint val="54000"/>
              </a:schemeClr>
            </a:solidFill>
            <a:ln>
              <a:noFill/>
            </a:ln>
            <a:effectLst/>
          </c:spPr>
          <c:invertIfNegative val="0"/>
          <c:cat>
            <c:strRef>
              <c:f>[0]!Quality_of_our_other_paper_resources_lbl</c:f>
              <c:strCache>
                <c:ptCount val="1"/>
                <c:pt idx="0">
                  <c:v>TOTAL</c:v>
                </c:pt>
              </c:strCache>
            </c:strRef>
          </c:cat>
          <c:val>
            <c:numRef>
              <c:f>[0]!Quality_of_our_other_paper_resources_5</c:f>
              <c:numCache>
                <c:formatCode>0%</c:formatCode>
                <c:ptCount val="1"/>
                <c:pt idx="0">
                  <c:v>2.7608512898112528E-4</c:v>
                </c:pt>
              </c:numCache>
            </c:numRef>
          </c:val>
          <c:extLst>
            <c:ext xmlns:c16="http://schemas.microsoft.com/office/drawing/2014/chart" uri="{C3380CC4-5D6E-409C-BE32-E72D297353CC}">
              <c16:uniqueId val="{00000004-E38A-4F03-AA88-6846078C6ED2}"/>
            </c:ext>
          </c:extLst>
        </c:ser>
        <c:dLbls>
          <c:showLegendKey val="0"/>
          <c:showVal val="0"/>
          <c:showCatName val="0"/>
          <c:showSerName val="0"/>
          <c:showPercent val="0"/>
          <c:showBubbleSize val="0"/>
        </c:dLbls>
        <c:gapWidth val="25"/>
        <c:overlap val="100"/>
        <c:axId val="1877074975"/>
        <c:axId val="1877073055"/>
      </c:barChart>
      <c:catAx>
        <c:axId val="187707497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877073055"/>
        <c:crosses val="autoZero"/>
        <c:auto val="1"/>
        <c:lblAlgn val="ctr"/>
        <c:lblOffset val="100"/>
        <c:noMultiLvlLbl val="0"/>
      </c:catAx>
      <c:valAx>
        <c:axId val="1877073055"/>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770749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7 (a) Please rate how satisfied you are with the following services.</a:t>
            </a:r>
            <a:r>
              <a:rPr lang="en-GB" sz="1050" b="0" i="0" u="none" strike="noStrike" baseline="0"/>
              <a:t> </a:t>
            </a:r>
            <a:r>
              <a:rPr lang="en-GB" sz="1050" b="1" i="0" u="none" strike="noStrike" baseline="0">
                <a:effectLst/>
              </a:rPr>
              <a:t>Document ordering system</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ComparisonReport!$J$3033</c:f>
              <c:strCache>
                <c:ptCount val="1"/>
                <c:pt idx="0">
                  <c:v>Very satisfied</c:v>
                </c:pt>
              </c:strCache>
            </c:strRef>
          </c:tx>
          <c:spPr>
            <a:solidFill>
              <a:schemeClr val="accent4">
                <a:shade val="53000"/>
              </a:schemeClr>
            </a:solidFill>
            <a:ln>
              <a:noFill/>
            </a:ln>
            <a:effectLst/>
          </c:spPr>
          <c:invertIfNegative val="0"/>
          <c:cat>
            <c:strRef>
              <c:f>[0]!Document_ordering_system_lbl</c:f>
              <c:strCache>
                <c:ptCount val="1"/>
                <c:pt idx="0">
                  <c:v>TOTAL</c:v>
                </c:pt>
              </c:strCache>
            </c:strRef>
          </c:cat>
          <c:val>
            <c:numRef>
              <c:f>[0]!Document_ordering_system_1</c:f>
              <c:numCache>
                <c:formatCode>0%</c:formatCode>
                <c:ptCount val="1"/>
                <c:pt idx="0">
                  <c:v>0.74504999999999999</c:v>
                </c:pt>
              </c:numCache>
            </c:numRef>
          </c:val>
          <c:extLst>
            <c:ext xmlns:c16="http://schemas.microsoft.com/office/drawing/2014/chart" uri="{C3380CC4-5D6E-409C-BE32-E72D297353CC}">
              <c16:uniqueId val="{00000000-85F8-4B12-BA8F-98B43DE74E81}"/>
            </c:ext>
          </c:extLst>
        </c:ser>
        <c:ser>
          <c:idx val="1"/>
          <c:order val="1"/>
          <c:tx>
            <c:strRef>
              <c:f>ComparisonReport!$K$3033</c:f>
              <c:strCache>
                <c:ptCount val="1"/>
                <c:pt idx="0">
                  <c:v>Satisfied</c:v>
                </c:pt>
              </c:strCache>
            </c:strRef>
          </c:tx>
          <c:spPr>
            <a:solidFill>
              <a:schemeClr val="accent4">
                <a:shade val="76000"/>
              </a:schemeClr>
            </a:solidFill>
            <a:ln>
              <a:noFill/>
            </a:ln>
            <a:effectLst/>
          </c:spPr>
          <c:invertIfNegative val="0"/>
          <c:cat>
            <c:strRef>
              <c:f>[0]!Document_ordering_system_lbl</c:f>
              <c:strCache>
                <c:ptCount val="1"/>
                <c:pt idx="0">
                  <c:v>TOTAL</c:v>
                </c:pt>
              </c:strCache>
            </c:strRef>
          </c:cat>
          <c:val>
            <c:numRef>
              <c:f>[0]!Document_ordering_system_2</c:f>
              <c:numCache>
                <c:formatCode>0%</c:formatCode>
                <c:ptCount val="1"/>
                <c:pt idx="0">
                  <c:v>0.20102999999999999</c:v>
                </c:pt>
              </c:numCache>
            </c:numRef>
          </c:val>
          <c:extLst>
            <c:ext xmlns:c16="http://schemas.microsoft.com/office/drawing/2014/chart" uri="{C3380CC4-5D6E-409C-BE32-E72D297353CC}">
              <c16:uniqueId val="{00000001-85F8-4B12-BA8F-98B43DE74E81}"/>
            </c:ext>
          </c:extLst>
        </c:ser>
        <c:ser>
          <c:idx val="2"/>
          <c:order val="2"/>
          <c:tx>
            <c:strRef>
              <c:f>ComparisonReport!$L$3033</c:f>
              <c:strCache>
                <c:ptCount val="1"/>
                <c:pt idx="0">
                  <c:v>Neither</c:v>
                </c:pt>
              </c:strCache>
            </c:strRef>
          </c:tx>
          <c:spPr>
            <a:solidFill>
              <a:schemeClr val="accent4"/>
            </a:solidFill>
            <a:ln>
              <a:noFill/>
            </a:ln>
            <a:effectLst/>
          </c:spPr>
          <c:invertIfNegative val="0"/>
          <c:cat>
            <c:strRef>
              <c:f>[0]!Document_ordering_system_lbl</c:f>
              <c:strCache>
                <c:ptCount val="1"/>
                <c:pt idx="0">
                  <c:v>TOTAL</c:v>
                </c:pt>
              </c:strCache>
            </c:strRef>
          </c:cat>
          <c:val>
            <c:numRef>
              <c:f>[0]!Document_ordering_system_3</c:f>
              <c:numCache>
                <c:formatCode>0%</c:formatCode>
                <c:ptCount val="1"/>
                <c:pt idx="0">
                  <c:v>2.741E-2</c:v>
                </c:pt>
              </c:numCache>
            </c:numRef>
          </c:val>
          <c:extLst>
            <c:ext xmlns:c16="http://schemas.microsoft.com/office/drawing/2014/chart" uri="{C3380CC4-5D6E-409C-BE32-E72D297353CC}">
              <c16:uniqueId val="{00000002-85F8-4B12-BA8F-98B43DE74E81}"/>
            </c:ext>
          </c:extLst>
        </c:ser>
        <c:ser>
          <c:idx val="3"/>
          <c:order val="3"/>
          <c:tx>
            <c:strRef>
              <c:f>ComparisonReport!$M$3033</c:f>
              <c:strCache>
                <c:ptCount val="1"/>
                <c:pt idx="0">
                  <c:v>Not very satisfied</c:v>
                </c:pt>
              </c:strCache>
            </c:strRef>
          </c:tx>
          <c:spPr>
            <a:solidFill>
              <a:schemeClr val="accent4">
                <a:tint val="77000"/>
              </a:schemeClr>
            </a:solidFill>
            <a:ln>
              <a:noFill/>
            </a:ln>
            <a:effectLst/>
          </c:spPr>
          <c:invertIfNegative val="0"/>
          <c:cat>
            <c:strRef>
              <c:f>[0]!Document_ordering_system_lbl</c:f>
              <c:strCache>
                <c:ptCount val="1"/>
                <c:pt idx="0">
                  <c:v>TOTAL</c:v>
                </c:pt>
              </c:strCache>
            </c:strRef>
          </c:cat>
          <c:val>
            <c:numRef>
              <c:f>[0]!Document_ordering_system_4</c:f>
              <c:numCache>
                <c:formatCode>0%</c:formatCode>
                <c:ptCount val="1"/>
                <c:pt idx="0">
                  <c:v>1.72E-2</c:v>
                </c:pt>
              </c:numCache>
            </c:numRef>
          </c:val>
          <c:extLst>
            <c:ext xmlns:c16="http://schemas.microsoft.com/office/drawing/2014/chart" uri="{C3380CC4-5D6E-409C-BE32-E72D297353CC}">
              <c16:uniqueId val="{00000003-85F8-4B12-BA8F-98B43DE74E81}"/>
            </c:ext>
          </c:extLst>
        </c:ser>
        <c:ser>
          <c:idx val="4"/>
          <c:order val="4"/>
          <c:tx>
            <c:strRef>
              <c:f>ComparisonReport!$N$3033</c:f>
              <c:strCache>
                <c:ptCount val="1"/>
                <c:pt idx="0">
                  <c:v>Not at all satisfied</c:v>
                </c:pt>
              </c:strCache>
            </c:strRef>
          </c:tx>
          <c:spPr>
            <a:solidFill>
              <a:schemeClr val="accent4">
                <a:tint val="54000"/>
              </a:schemeClr>
            </a:solidFill>
            <a:ln>
              <a:noFill/>
            </a:ln>
            <a:effectLst/>
          </c:spPr>
          <c:invertIfNegative val="0"/>
          <c:cat>
            <c:strRef>
              <c:f>[0]!Document_ordering_system_lbl</c:f>
              <c:strCache>
                <c:ptCount val="1"/>
                <c:pt idx="0">
                  <c:v>TOTAL</c:v>
                </c:pt>
              </c:strCache>
            </c:strRef>
          </c:cat>
          <c:val>
            <c:numRef>
              <c:f>[0]!Document_ordering_system_5</c:f>
              <c:numCache>
                <c:formatCode>0%</c:formatCode>
                <c:ptCount val="1"/>
                <c:pt idx="0">
                  <c:v>9.316451233584596E-3</c:v>
                </c:pt>
              </c:numCache>
            </c:numRef>
          </c:val>
          <c:extLst>
            <c:ext xmlns:c16="http://schemas.microsoft.com/office/drawing/2014/chart" uri="{C3380CC4-5D6E-409C-BE32-E72D297353CC}">
              <c16:uniqueId val="{00000004-85F8-4B12-BA8F-98B43DE74E81}"/>
            </c:ext>
          </c:extLst>
        </c:ser>
        <c:dLbls>
          <c:showLegendKey val="0"/>
          <c:showVal val="0"/>
          <c:showCatName val="0"/>
          <c:showSerName val="0"/>
          <c:showPercent val="0"/>
          <c:showBubbleSize val="0"/>
        </c:dLbls>
        <c:gapWidth val="25"/>
        <c:overlap val="100"/>
        <c:axId val="661666415"/>
        <c:axId val="661679375"/>
      </c:barChart>
      <c:catAx>
        <c:axId val="6616664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661679375"/>
        <c:crosses val="autoZero"/>
        <c:auto val="1"/>
        <c:lblAlgn val="ctr"/>
        <c:lblOffset val="100"/>
        <c:noMultiLvlLbl val="0"/>
      </c:catAx>
      <c:valAx>
        <c:axId val="661679375"/>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661666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7 (a) Please rate how satisfied you are with the following services.</a:t>
            </a:r>
            <a:r>
              <a:rPr lang="en-GB" sz="1050" b="0" i="0" u="none" strike="noStrike" baseline="0"/>
              <a:t> </a:t>
            </a:r>
            <a:r>
              <a:rPr lang="en-GB" sz="1050" b="1" i="0" u="none" strike="noStrike" baseline="0">
                <a:effectLst/>
              </a:rPr>
              <a:t>Document delivery system</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ComparisonReport!$J$3151</c:f>
              <c:strCache>
                <c:ptCount val="1"/>
                <c:pt idx="0">
                  <c:v>Very satisfied</c:v>
                </c:pt>
              </c:strCache>
            </c:strRef>
          </c:tx>
          <c:spPr>
            <a:solidFill>
              <a:schemeClr val="accent4">
                <a:shade val="53000"/>
              </a:schemeClr>
            </a:solidFill>
            <a:ln>
              <a:noFill/>
            </a:ln>
            <a:effectLst/>
          </c:spPr>
          <c:invertIfNegative val="0"/>
          <c:cat>
            <c:strRef>
              <c:f>[0]!Document_delivery_system_lbl</c:f>
              <c:strCache>
                <c:ptCount val="1"/>
                <c:pt idx="0">
                  <c:v>TOTAL</c:v>
                </c:pt>
              </c:strCache>
            </c:strRef>
          </c:cat>
          <c:val>
            <c:numRef>
              <c:f>[0]!Document_delivery_system_1</c:f>
              <c:numCache>
                <c:formatCode>0%</c:formatCode>
                <c:ptCount val="1"/>
                <c:pt idx="0">
                  <c:v>0.82020000000000004</c:v>
                </c:pt>
              </c:numCache>
            </c:numRef>
          </c:val>
          <c:extLst>
            <c:ext xmlns:c16="http://schemas.microsoft.com/office/drawing/2014/chart" uri="{C3380CC4-5D6E-409C-BE32-E72D297353CC}">
              <c16:uniqueId val="{00000000-10C8-47BC-92DB-EAA3F470F4F2}"/>
            </c:ext>
          </c:extLst>
        </c:ser>
        <c:ser>
          <c:idx val="1"/>
          <c:order val="1"/>
          <c:tx>
            <c:strRef>
              <c:f>ComparisonReport!$K$3151</c:f>
              <c:strCache>
                <c:ptCount val="1"/>
                <c:pt idx="0">
                  <c:v>Satisfied</c:v>
                </c:pt>
              </c:strCache>
            </c:strRef>
          </c:tx>
          <c:spPr>
            <a:solidFill>
              <a:schemeClr val="accent4">
                <a:shade val="76000"/>
              </a:schemeClr>
            </a:solidFill>
            <a:ln>
              <a:noFill/>
            </a:ln>
            <a:effectLst/>
          </c:spPr>
          <c:invertIfNegative val="0"/>
          <c:cat>
            <c:strRef>
              <c:f>[0]!Document_delivery_system_lbl</c:f>
              <c:strCache>
                <c:ptCount val="1"/>
                <c:pt idx="0">
                  <c:v>TOTAL</c:v>
                </c:pt>
              </c:strCache>
            </c:strRef>
          </c:cat>
          <c:val>
            <c:numRef>
              <c:f>[0]!Document_delivery_system_2</c:f>
              <c:numCache>
                <c:formatCode>0%</c:formatCode>
                <c:ptCount val="1"/>
                <c:pt idx="0">
                  <c:v>0.14695</c:v>
                </c:pt>
              </c:numCache>
            </c:numRef>
          </c:val>
          <c:extLst>
            <c:ext xmlns:c16="http://schemas.microsoft.com/office/drawing/2014/chart" uri="{C3380CC4-5D6E-409C-BE32-E72D297353CC}">
              <c16:uniqueId val="{00000001-10C8-47BC-92DB-EAA3F470F4F2}"/>
            </c:ext>
          </c:extLst>
        </c:ser>
        <c:ser>
          <c:idx val="2"/>
          <c:order val="2"/>
          <c:tx>
            <c:strRef>
              <c:f>ComparisonReport!$L$3151</c:f>
              <c:strCache>
                <c:ptCount val="1"/>
                <c:pt idx="0">
                  <c:v>Neither</c:v>
                </c:pt>
              </c:strCache>
            </c:strRef>
          </c:tx>
          <c:spPr>
            <a:solidFill>
              <a:schemeClr val="accent4"/>
            </a:solidFill>
            <a:ln>
              <a:noFill/>
            </a:ln>
            <a:effectLst/>
          </c:spPr>
          <c:invertIfNegative val="0"/>
          <c:cat>
            <c:strRef>
              <c:f>[0]!Document_delivery_system_lbl</c:f>
              <c:strCache>
                <c:ptCount val="1"/>
                <c:pt idx="0">
                  <c:v>TOTAL</c:v>
                </c:pt>
              </c:strCache>
            </c:strRef>
          </c:cat>
          <c:val>
            <c:numRef>
              <c:f>[0]!Document_delivery_system_3</c:f>
              <c:numCache>
                <c:formatCode>0%</c:formatCode>
                <c:ptCount val="1"/>
                <c:pt idx="0">
                  <c:v>1.831E-2</c:v>
                </c:pt>
              </c:numCache>
            </c:numRef>
          </c:val>
          <c:extLst>
            <c:ext xmlns:c16="http://schemas.microsoft.com/office/drawing/2014/chart" uri="{C3380CC4-5D6E-409C-BE32-E72D297353CC}">
              <c16:uniqueId val="{00000002-10C8-47BC-92DB-EAA3F470F4F2}"/>
            </c:ext>
          </c:extLst>
        </c:ser>
        <c:ser>
          <c:idx val="3"/>
          <c:order val="3"/>
          <c:tx>
            <c:strRef>
              <c:f>ComparisonReport!$M$3151</c:f>
              <c:strCache>
                <c:ptCount val="1"/>
                <c:pt idx="0">
                  <c:v>Not very satisfied</c:v>
                </c:pt>
              </c:strCache>
            </c:strRef>
          </c:tx>
          <c:spPr>
            <a:solidFill>
              <a:schemeClr val="accent4">
                <a:tint val="77000"/>
              </a:schemeClr>
            </a:solidFill>
            <a:ln>
              <a:noFill/>
            </a:ln>
            <a:effectLst/>
          </c:spPr>
          <c:invertIfNegative val="0"/>
          <c:cat>
            <c:strRef>
              <c:f>[0]!Document_delivery_system_lbl</c:f>
              <c:strCache>
                <c:ptCount val="1"/>
                <c:pt idx="0">
                  <c:v>TOTAL</c:v>
                </c:pt>
              </c:strCache>
            </c:strRef>
          </c:cat>
          <c:val>
            <c:numRef>
              <c:f>[0]!Document_delivery_system_4</c:f>
              <c:numCache>
                <c:formatCode>0%</c:formatCode>
                <c:ptCount val="1"/>
                <c:pt idx="0">
                  <c:v>8.3700000000000007E-3</c:v>
                </c:pt>
              </c:numCache>
            </c:numRef>
          </c:val>
          <c:extLst>
            <c:ext xmlns:c16="http://schemas.microsoft.com/office/drawing/2014/chart" uri="{C3380CC4-5D6E-409C-BE32-E72D297353CC}">
              <c16:uniqueId val="{00000003-10C8-47BC-92DB-EAA3F470F4F2}"/>
            </c:ext>
          </c:extLst>
        </c:ser>
        <c:ser>
          <c:idx val="4"/>
          <c:order val="4"/>
          <c:tx>
            <c:strRef>
              <c:f>ComparisonReport!$N$3151</c:f>
              <c:strCache>
                <c:ptCount val="1"/>
                <c:pt idx="0">
                  <c:v>Not at all satisfied</c:v>
                </c:pt>
              </c:strCache>
            </c:strRef>
          </c:tx>
          <c:spPr>
            <a:solidFill>
              <a:schemeClr val="accent4">
                <a:tint val="54000"/>
              </a:schemeClr>
            </a:solidFill>
            <a:ln>
              <a:noFill/>
            </a:ln>
            <a:effectLst/>
          </c:spPr>
          <c:invertIfNegative val="0"/>
          <c:cat>
            <c:strRef>
              <c:f>[0]!Document_delivery_system_lbl</c:f>
              <c:strCache>
                <c:ptCount val="1"/>
                <c:pt idx="0">
                  <c:v>TOTAL</c:v>
                </c:pt>
              </c:strCache>
            </c:strRef>
          </c:cat>
          <c:val>
            <c:numRef>
              <c:f>[0]!Document_delivery_system_5</c:f>
              <c:numCache>
                <c:formatCode>0%</c:formatCode>
                <c:ptCount val="1"/>
                <c:pt idx="0">
                  <c:v>6.1790679747836209E-3</c:v>
                </c:pt>
              </c:numCache>
            </c:numRef>
          </c:val>
          <c:extLst>
            <c:ext xmlns:c16="http://schemas.microsoft.com/office/drawing/2014/chart" uri="{C3380CC4-5D6E-409C-BE32-E72D297353CC}">
              <c16:uniqueId val="{00000004-10C8-47BC-92DB-EAA3F470F4F2}"/>
            </c:ext>
          </c:extLst>
        </c:ser>
        <c:dLbls>
          <c:showLegendKey val="0"/>
          <c:showVal val="0"/>
          <c:showCatName val="0"/>
          <c:showSerName val="0"/>
          <c:showPercent val="0"/>
          <c:showBubbleSize val="0"/>
        </c:dLbls>
        <c:gapWidth val="25"/>
        <c:overlap val="100"/>
        <c:axId val="661741775"/>
        <c:axId val="661734575"/>
      </c:barChart>
      <c:catAx>
        <c:axId val="66174177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661734575"/>
        <c:crosses val="autoZero"/>
        <c:auto val="1"/>
        <c:lblAlgn val="ctr"/>
        <c:lblOffset val="100"/>
        <c:noMultiLvlLbl val="0"/>
      </c:catAx>
      <c:valAx>
        <c:axId val="661734575"/>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6617417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7 (a) Please rate how satisfied you are with the following services.</a:t>
            </a:r>
            <a:r>
              <a:rPr lang="en-GB" sz="1050" b="0" i="0" u="none" strike="noStrike" baseline="0"/>
              <a:t> </a:t>
            </a:r>
            <a:r>
              <a:rPr lang="en-GB" sz="1050" b="1" i="0" u="none" strike="noStrike" baseline="0">
                <a:effectLst/>
              </a:rPr>
              <a:t>Microfilm and microfiche facilities</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ComparisonReport!$J$3267</c:f>
              <c:strCache>
                <c:ptCount val="1"/>
                <c:pt idx="0">
                  <c:v>Very satisfied</c:v>
                </c:pt>
              </c:strCache>
            </c:strRef>
          </c:tx>
          <c:spPr>
            <a:solidFill>
              <a:schemeClr val="accent4">
                <a:shade val="53000"/>
              </a:schemeClr>
            </a:solidFill>
            <a:ln>
              <a:noFill/>
            </a:ln>
            <a:effectLst/>
          </c:spPr>
          <c:invertIfNegative val="0"/>
          <c:cat>
            <c:strRef>
              <c:f>[0]!Microfilm_and_microfiche_facilities_lbl</c:f>
              <c:strCache>
                <c:ptCount val="1"/>
                <c:pt idx="0">
                  <c:v>TOTAL</c:v>
                </c:pt>
              </c:strCache>
            </c:strRef>
          </c:cat>
          <c:val>
            <c:numRef>
              <c:f>[0]!Microfilm_and_microfiche_facilities_1</c:f>
              <c:numCache>
                <c:formatCode>0%</c:formatCode>
                <c:ptCount val="1"/>
                <c:pt idx="0">
                  <c:v>0.60207999999999995</c:v>
                </c:pt>
              </c:numCache>
            </c:numRef>
          </c:val>
          <c:extLst>
            <c:ext xmlns:c16="http://schemas.microsoft.com/office/drawing/2014/chart" uri="{C3380CC4-5D6E-409C-BE32-E72D297353CC}">
              <c16:uniqueId val="{00000000-20D3-4CEE-8BBD-7A35F42FB298}"/>
            </c:ext>
          </c:extLst>
        </c:ser>
        <c:ser>
          <c:idx val="1"/>
          <c:order val="1"/>
          <c:tx>
            <c:strRef>
              <c:f>ComparisonReport!$K$3267</c:f>
              <c:strCache>
                <c:ptCount val="1"/>
                <c:pt idx="0">
                  <c:v>Satisfied</c:v>
                </c:pt>
              </c:strCache>
            </c:strRef>
          </c:tx>
          <c:spPr>
            <a:solidFill>
              <a:schemeClr val="accent4">
                <a:shade val="76000"/>
              </a:schemeClr>
            </a:solidFill>
            <a:ln>
              <a:noFill/>
            </a:ln>
            <a:effectLst/>
          </c:spPr>
          <c:invertIfNegative val="0"/>
          <c:cat>
            <c:strRef>
              <c:f>[0]!Microfilm_and_microfiche_facilities_lbl</c:f>
              <c:strCache>
                <c:ptCount val="1"/>
                <c:pt idx="0">
                  <c:v>TOTAL</c:v>
                </c:pt>
              </c:strCache>
            </c:strRef>
          </c:cat>
          <c:val>
            <c:numRef>
              <c:f>[0]!Microfilm_and_microfiche_facilities_2</c:f>
              <c:numCache>
                <c:formatCode>0%</c:formatCode>
                <c:ptCount val="1"/>
                <c:pt idx="0">
                  <c:v>0.25142999999999999</c:v>
                </c:pt>
              </c:numCache>
            </c:numRef>
          </c:val>
          <c:extLst>
            <c:ext xmlns:c16="http://schemas.microsoft.com/office/drawing/2014/chart" uri="{C3380CC4-5D6E-409C-BE32-E72D297353CC}">
              <c16:uniqueId val="{00000001-20D3-4CEE-8BBD-7A35F42FB298}"/>
            </c:ext>
          </c:extLst>
        </c:ser>
        <c:ser>
          <c:idx val="2"/>
          <c:order val="2"/>
          <c:tx>
            <c:strRef>
              <c:f>ComparisonReport!$L$3267</c:f>
              <c:strCache>
                <c:ptCount val="1"/>
                <c:pt idx="0">
                  <c:v>Neither</c:v>
                </c:pt>
              </c:strCache>
            </c:strRef>
          </c:tx>
          <c:spPr>
            <a:solidFill>
              <a:schemeClr val="accent4"/>
            </a:solidFill>
            <a:ln>
              <a:noFill/>
            </a:ln>
            <a:effectLst/>
          </c:spPr>
          <c:invertIfNegative val="0"/>
          <c:cat>
            <c:strRef>
              <c:f>[0]!Microfilm_and_microfiche_facilities_lbl</c:f>
              <c:strCache>
                <c:ptCount val="1"/>
                <c:pt idx="0">
                  <c:v>TOTAL</c:v>
                </c:pt>
              </c:strCache>
            </c:strRef>
          </c:cat>
          <c:val>
            <c:numRef>
              <c:f>[0]!Microfilm_and_microfiche_facilities_3</c:f>
              <c:numCache>
                <c:formatCode>0%</c:formatCode>
                <c:ptCount val="1"/>
                <c:pt idx="0">
                  <c:v>8.7279999999999996E-2</c:v>
                </c:pt>
              </c:numCache>
            </c:numRef>
          </c:val>
          <c:extLst>
            <c:ext xmlns:c16="http://schemas.microsoft.com/office/drawing/2014/chart" uri="{C3380CC4-5D6E-409C-BE32-E72D297353CC}">
              <c16:uniqueId val="{00000002-20D3-4CEE-8BBD-7A35F42FB298}"/>
            </c:ext>
          </c:extLst>
        </c:ser>
        <c:ser>
          <c:idx val="3"/>
          <c:order val="3"/>
          <c:tx>
            <c:strRef>
              <c:f>ComparisonReport!$M$3267</c:f>
              <c:strCache>
                <c:ptCount val="1"/>
                <c:pt idx="0">
                  <c:v>Not very satisfied</c:v>
                </c:pt>
              </c:strCache>
            </c:strRef>
          </c:tx>
          <c:spPr>
            <a:solidFill>
              <a:schemeClr val="accent4">
                <a:tint val="77000"/>
              </a:schemeClr>
            </a:solidFill>
            <a:ln>
              <a:noFill/>
            </a:ln>
            <a:effectLst/>
          </c:spPr>
          <c:invertIfNegative val="0"/>
          <c:cat>
            <c:strRef>
              <c:f>[0]!Microfilm_and_microfiche_facilities_lbl</c:f>
              <c:strCache>
                <c:ptCount val="1"/>
                <c:pt idx="0">
                  <c:v>TOTAL</c:v>
                </c:pt>
              </c:strCache>
            </c:strRef>
          </c:cat>
          <c:val>
            <c:numRef>
              <c:f>[0]!Microfilm_and_microfiche_facilities_4</c:f>
              <c:numCache>
                <c:formatCode>0%</c:formatCode>
                <c:ptCount val="1"/>
                <c:pt idx="0">
                  <c:v>4.1079999999999998E-2</c:v>
                </c:pt>
              </c:numCache>
            </c:numRef>
          </c:val>
          <c:extLst>
            <c:ext xmlns:c16="http://schemas.microsoft.com/office/drawing/2014/chart" uri="{C3380CC4-5D6E-409C-BE32-E72D297353CC}">
              <c16:uniqueId val="{00000003-20D3-4CEE-8BBD-7A35F42FB298}"/>
            </c:ext>
          </c:extLst>
        </c:ser>
        <c:ser>
          <c:idx val="4"/>
          <c:order val="4"/>
          <c:tx>
            <c:strRef>
              <c:f>ComparisonReport!$N$3267</c:f>
              <c:strCache>
                <c:ptCount val="1"/>
                <c:pt idx="0">
                  <c:v>Not at all satisfied</c:v>
                </c:pt>
              </c:strCache>
            </c:strRef>
          </c:tx>
          <c:spPr>
            <a:solidFill>
              <a:schemeClr val="accent4">
                <a:tint val="54000"/>
              </a:schemeClr>
            </a:solidFill>
            <a:ln>
              <a:noFill/>
            </a:ln>
            <a:effectLst/>
          </c:spPr>
          <c:invertIfNegative val="0"/>
          <c:cat>
            <c:strRef>
              <c:f>[0]!Microfilm_and_microfiche_facilities_lbl</c:f>
              <c:strCache>
                <c:ptCount val="1"/>
                <c:pt idx="0">
                  <c:v>TOTAL</c:v>
                </c:pt>
              </c:strCache>
            </c:strRef>
          </c:cat>
          <c:val>
            <c:numRef>
              <c:f>[0]!Microfilm_and_microfiche_facilities_5</c:f>
              <c:numCache>
                <c:formatCode>0%</c:formatCode>
                <c:ptCount val="1"/>
                <c:pt idx="0">
                  <c:v>1.8127144493384352E-2</c:v>
                </c:pt>
              </c:numCache>
            </c:numRef>
          </c:val>
          <c:extLst>
            <c:ext xmlns:c16="http://schemas.microsoft.com/office/drawing/2014/chart" uri="{C3380CC4-5D6E-409C-BE32-E72D297353CC}">
              <c16:uniqueId val="{00000004-20D3-4CEE-8BBD-7A35F42FB298}"/>
            </c:ext>
          </c:extLst>
        </c:ser>
        <c:dLbls>
          <c:showLegendKey val="0"/>
          <c:showVal val="0"/>
          <c:showCatName val="0"/>
          <c:showSerName val="0"/>
          <c:showPercent val="0"/>
          <c:showBubbleSize val="0"/>
        </c:dLbls>
        <c:gapWidth val="25"/>
        <c:overlap val="100"/>
        <c:axId val="51570175"/>
        <c:axId val="51579775"/>
      </c:barChart>
      <c:catAx>
        <c:axId val="5157017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51579775"/>
        <c:crosses val="autoZero"/>
        <c:auto val="1"/>
        <c:lblAlgn val="ctr"/>
        <c:lblOffset val="100"/>
        <c:noMultiLvlLbl val="0"/>
      </c:catAx>
      <c:valAx>
        <c:axId val="51579775"/>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1570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7 (a) Please rate how satisfied you are with the following services.</a:t>
            </a:r>
            <a:r>
              <a:rPr lang="en-GB" sz="1050" b="0" i="0" u="none" strike="noStrike" baseline="0"/>
              <a:t> </a:t>
            </a:r>
            <a:r>
              <a:rPr lang="en-GB" sz="1050" b="1" i="0" u="none" strike="noStrike" baseline="0">
                <a:effectLst/>
              </a:rPr>
              <a:t>Our copy services</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ComparisonReport!$J$3373</c:f>
              <c:strCache>
                <c:ptCount val="1"/>
                <c:pt idx="0">
                  <c:v>Very satisfied</c:v>
                </c:pt>
              </c:strCache>
            </c:strRef>
          </c:tx>
          <c:spPr>
            <a:solidFill>
              <a:schemeClr val="accent4">
                <a:shade val="53000"/>
              </a:schemeClr>
            </a:solidFill>
            <a:ln>
              <a:noFill/>
            </a:ln>
            <a:effectLst/>
          </c:spPr>
          <c:invertIfNegative val="0"/>
          <c:cat>
            <c:strRef>
              <c:f>[0]!Our_copy_services_lbl</c:f>
              <c:strCache>
                <c:ptCount val="1"/>
                <c:pt idx="0">
                  <c:v>TOTAL</c:v>
                </c:pt>
              </c:strCache>
            </c:strRef>
          </c:cat>
          <c:val>
            <c:numRef>
              <c:f>[0]!Our_copy_services_1</c:f>
              <c:numCache>
                <c:formatCode>0%</c:formatCode>
                <c:ptCount val="1"/>
                <c:pt idx="0">
                  <c:v>0.68491999999999997</c:v>
                </c:pt>
              </c:numCache>
            </c:numRef>
          </c:val>
          <c:extLst>
            <c:ext xmlns:c16="http://schemas.microsoft.com/office/drawing/2014/chart" uri="{C3380CC4-5D6E-409C-BE32-E72D297353CC}">
              <c16:uniqueId val="{00000000-8A28-4EC3-9B1E-F7F1938E3EAD}"/>
            </c:ext>
          </c:extLst>
        </c:ser>
        <c:ser>
          <c:idx val="1"/>
          <c:order val="1"/>
          <c:tx>
            <c:strRef>
              <c:f>ComparisonReport!$K$3373</c:f>
              <c:strCache>
                <c:ptCount val="1"/>
                <c:pt idx="0">
                  <c:v>Satisfied</c:v>
                </c:pt>
              </c:strCache>
            </c:strRef>
          </c:tx>
          <c:spPr>
            <a:solidFill>
              <a:schemeClr val="accent4">
                <a:shade val="76000"/>
              </a:schemeClr>
            </a:solidFill>
            <a:ln>
              <a:noFill/>
            </a:ln>
            <a:effectLst/>
          </c:spPr>
          <c:invertIfNegative val="0"/>
          <c:cat>
            <c:strRef>
              <c:f>[0]!Our_copy_services_lbl</c:f>
              <c:strCache>
                <c:ptCount val="1"/>
                <c:pt idx="0">
                  <c:v>TOTAL</c:v>
                </c:pt>
              </c:strCache>
            </c:strRef>
          </c:cat>
          <c:val>
            <c:numRef>
              <c:f>[0]!Our_copy_services_2</c:f>
              <c:numCache>
                <c:formatCode>0%</c:formatCode>
                <c:ptCount val="1"/>
                <c:pt idx="0">
                  <c:v>0.15828</c:v>
                </c:pt>
              </c:numCache>
            </c:numRef>
          </c:val>
          <c:extLst>
            <c:ext xmlns:c16="http://schemas.microsoft.com/office/drawing/2014/chart" uri="{C3380CC4-5D6E-409C-BE32-E72D297353CC}">
              <c16:uniqueId val="{00000001-8A28-4EC3-9B1E-F7F1938E3EAD}"/>
            </c:ext>
          </c:extLst>
        </c:ser>
        <c:ser>
          <c:idx val="2"/>
          <c:order val="2"/>
          <c:tx>
            <c:strRef>
              <c:f>ComparisonReport!$L$3373</c:f>
              <c:strCache>
                <c:ptCount val="1"/>
                <c:pt idx="0">
                  <c:v>Neither</c:v>
                </c:pt>
              </c:strCache>
            </c:strRef>
          </c:tx>
          <c:spPr>
            <a:solidFill>
              <a:schemeClr val="accent4"/>
            </a:solidFill>
            <a:ln>
              <a:noFill/>
            </a:ln>
            <a:effectLst/>
          </c:spPr>
          <c:invertIfNegative val="0"/>
          <c:cat>
            <c:strRef>
              <c:f>[0]!Our_copy_services_lbl</c:f>
              <c:strCache>
                <c:ptCount val="1"/>
                <c:pt idx="0">
                  <c:v>TOTAL</c:v>
                </c:pt>
              </c:strCache>
            </c:strRef>
          </c:cat>
          <c:val>
            <c:numRef>
              <c:f>[0]!Our_copy_services_3</c:f>
              <c:numCache>
                <c:formatCode>0%</c:formatCode>
                <c:ptCount val="1"/>
                <c:pt idx="0">
                  <c:v>7.5359999999999996E-2</c:v>
                </c:pt>
              </c:numCache>
            </c:numRef>
          </c:val>
          <c:extLst>
            <c:ext xmlns:c16="http://schemas.microsoft.com/office/drawing/2014/chart" uri="{C3380CC4-5D6E-409C-BE32-E72D297353CC}">
              <c16:uniqueId val="{00000002-8A28-4EC3-9B1E-F7F1938E3EAD}"/>
            </c:ext>
          </c:extLst>
        </c:ser>
        <c:ser>
          <c:idx val="3"/>
          <c:order val="3"/>
          <c:tx>
            <c:strRef>
              <c:f>ComparisonReport!$M$3373</c:f>
              <c:strCache>
                <c:ptCount val="1"/>
                <c:pt idx="0">
                  <c:v>Not very satisfied</c:v>
                </c:pt>
              </c:strCache>
            </c:strRef>
          </c:tx>
          <c:spPr>
            <a:solidFill>
              <a:schemeClr val="accent4">
                <a:tint val="77000"/>
              </a:schemeClr>
            </a:solidFill>
            <a:ln>
              <a:noFill/>
            </a:ln>
            <a:effectLst/>
          </c:spPr>
          <c:invertIfNegative val="0"/>
          <c:cat>
            <c:strRef>
              <c:f>[0]!Our_copy_services_lbl</c:f>
              <c:strCache>
                <c:ptCount val="1"/>
                <c:pt idx="0">
                  <c:v>TOTAL</c:v>
                </c:pt>
              </c:strCache>
            </c:strRef>
          </c:cat>
          <c:val>
            <c:numRef>
              <c:f>[0]!Our_copy_services_4</c:f>
              <c:numCache>
                <c:formatCode>0%</c:formatCode>
                <c:ptCount val="1"/>
                <c:pt idx="0">
                  <c:v>3.7859999999999998E-2</c:v>
                </c:pt>
              </c:numCache>
            </c:numRef>
          </c:val>
          <c:extLst>
            <c:ext xmlns:c16="http://schemas.microsoft.com/office/drawing/2014/chart" uri="{C3380CC4-5D6E-409C-BE32-E72D297353CC}">
              <c16:uniqueId val="{00000006-8A28-4EC3-9B1E-F7F1938E3EAD}"/>
            </c:ext>
          </c:extLst>
        </c:ser>
        <c:ser>
          <c:idx val="4"/>
          <c:order val="4"/>
          <c:tx>
            <c:strRef>
              <c:f>ComparisonReport!$N$3373</c:f>
              <c:strCache>
                <c:ptCount val="1"/>
                <c:pt idx="0">
                  <c:v>Not at all satisfied</c:v>
                </c:pt>
              </c:strCache>
            </c:strRef>
          </c:tx>
          <c:spPr>
            <a:solidFill>
              <a:schemeClr val="accent4">
                <a:tint val="54000"/>
              </a:schemeClr>
            </a:solidFill>
            <a:ln>
              <a:noFill/>
            </a:ln>
            <a:effectLst/>
          </c:spPr>
          <c:invertIfNegative val="0"/>
          <c:cat>
            <c:strRef>
              <c:f>[0]!Our_copy_services_lbl</c:f>
              <c:strCache>
                <c:ptCount val="1"/>
                <c:pt idx="0">
                  <c:v>TOTAL</c:v>
                </c:pt>
              </c:strCache>
            </c:strRef>
          </c:cat>
          <c:val>
            <c:numRef>
              <c:f>[0]!Our_copy_services_5</c:f>
              <c:numCache>
                <c:formatCode>0%</c:formatCode>
                <c:ptCount val="1"/>
                <c:pt idx="0">
                  <c:v>4.3585958572584717E-2</c:v>
                </c:pt>
              </c:numCache>
            </c:numRef>
          </c:val>
          <c:extLst>
            <c:ext xmlns:c16="http://schemas.microsoft.com/office/drawing/2014/chart" uri="{C3380CC4-5D6E-409C-BE32-E72D297353CC}">
              <c16:uniqueId val="{00000007-8A28-4EC3-9B1E-F7F1938E3EAD}"/>
            </c:ext>
          </c:extLst>
        </c:ser>
        <c:dLbls>
          <c:showLegendKey val="0"/>
          <c:showVal val="0"/>
          <c:showCatName val="0"/>
          <c:showSerName val="0"/>
          <c:showPercent val="0"/>
          <c:showBubbleSize val="0"/>
        </c:dLbls>
        <c:gapWidth val="25"/>
        <c:overlap val="100"/>
        <c:axId val="350079407"/>
        <c:axId val="350083247"/>
      </c:barChart>
      <c:catAx>
        <c:axId val="350079407"/>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350083247"/>
        <c:crosses val="autoZero"/>
        <c:auto val="1"/>
        <c:lblAlgn val="ctr"/>
        <c:lblOffset val="100"/>
        <c:noMultiLvlLbl val="0"/>
      </c:catAx>
      <c:valAx>
        <c:axId val="350083247"/>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3500794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IndividualReport!$N$66</c:f>
              <c:strCache>
                <c:ptCount val="1"/>
                <c:pt idx="0">
                  <c:v>Access to and in the building</c:v>
                </c:pt>
              </c:strCache>
            </c:strRef>
          </c:tx>
          <c:spPr>
            <a:solidFill>
              <a:schemeClr val="accent4">
                <a:lumMod val="75000"/>
              </a:schemeClr>
            </a:solidFill>
            <a:ln>
              <a:noFill/>
            </a:ln>
            <a:effectLst/>
          </c:spPr>
          <c:invertIfNegative val="0"/>
          <c:dLbls>
            <c:spPr>
              <a:solidFill>
                <a:schemeClr val="accent4">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IndividualReport!$O$66:$O$70</c:f>
              <c:strCache>
                <c:ptCount val="5"/>
                <c:pt idx="0">
                  <c:v>Very statisfied</c:v>
                </c:pt>
                <c:pt idx="1">
                  <c:v>Satisfied</c:v>
                </c:pt>
                <c:pt idx="2">
                  <c:v>Neither</c:v>
                </c:pt>
                <c:pt idx="3">
                  <c:v>Not very satisfied</c:v>
                </c:pt>
                <c:pt idx="4">
                  <c:v>Not at all satisfied</c:v>
                </c:pt>
              </c:strCache>
            </c:strRef>
          </c:cat>
          <c:val>
            <c:numRef>
              <c:f>IndividualReport!$Q$66:$Q$70</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ACDF-4F91-9D6E-A25764513411}"/>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(b) Regarding Welsh language provision, how satisfied are you with the following services? [For users of Welsh archives only]</a:t>
            </a:r>
            <a:r>
              <a:rPr lang="en-GB" sz="1050" b="0" i="0" u="none" strike="noStrike" baseline="0"/>
              <a:t> </a:t>
            </a:r>
            <a:r>
              <a:rPr lang="en-GB" sz="1050" b="1" i="0" u="none" strike="noStrike" baseline="0">
                <a:effectLst/>
              </a:rPr>
              <a:t>Verbal communication</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ComparisonReport!$J$3481</c:f>
              <c:strCache>
                <c:ptCount val="1"/>
                <c:pt idx="0">
                  <c:v>Very satisfied</c:v>
                </c:pt>
              </c:strCache>
            </c:strRef>
          </c:tx>
          <c:spPr>
            <a:solidFill>
              <a:schemeClr val="accent3">
                <a:shade val="53000"/>
              </a:schemeClr>
            </a:solidFill>
            <a:ln>
              <a:noFill/>
            </a:ln>
            <a:effectLst/>
          </c:spPr>
          <c:invertIfNegative val="0"/>
          <c:cat>
            <c:strRef>
              <c:f>[0]!Verbal_communication_lbl</c:f>
              <c:strCache>
                <c:ptCount val="1"/>
                <c:pt idx="0">
                  <c:v>TOTAL</c:v>
                </c:pt>
              </c:strCache>
            </c:strRef>
          </c:cat>
          <c:val>
            <c:numRef>
              <c:f>[0]!Verbal_communication_1</c:f>
              <c:numCache>
                <c:formatCode>0%</c:formatCode>
                <c:ptCount val="1"/>
                <c:pt idx="0">
                  <c:v>0.87960000000000005</c:v>
                </c:pt>
              </c:numCache>
            </c:numRef>
          </c:val>
          <c:extLst>
            <c:ext xmlns:c16="http://schemas.microsoft.com/office/drawing/2014/chart" uri="{C3380CC4-5D6E-409C-BE32-E72D297353CC}">
              <c16:uniqueId val="{00000000-69A5-46C5-B4B4-432774E12F67}"/>
            </c:ext>
          </c:extLst>
        </c:ser>
        <c:ser>
          <c:idx val="1"/>
          <c:order val="1"/>
          <c:tx>
            <c:strRef>
              <c:f>ComparisonReport!$K$3481</c:f>
              <c:strCache>
                <c:ptCount val="1"/>
                <c:pt idx="0">
                  <c:v>Satisfied</c:v>
                </c:pt>
              </c:strCache>
            </c:strRef>
          </c:tx>
          <c:spPr>
            <a:solidFill>
              <a:schemeClr val="accent3">
                <a:shade val="76000"/>
              </a:schemeClr>
            </a:solidFill>
            <a:ln>
              <a:noFill/>
            </a:ln>
            <a:effectLst/>
          </c:spPr>
          <c:invertIfNegative val="0"/>
          <c:cat>
            <c:strRef>
              <c:f>[0]!Verbal_communication_lbl</c:f>
              <c:strCache>
                <c:ptCount val="1"/>
                <c:pt idx="0">
                  <c:v>TOTAL</c:v>
                </c:pt>
              </c:strCache>
            </c:strRef>
          </c:cat>
          <c:val>
            <c:numRef>
              <c:f>[0]!Verbal_communication_2</c:f>
              <c:numCache>
                <c:formatCode>0%</c:formatCode>
                <c:ptCount val="1"/>
                <c:pt idx="0">
                  <c:v>7.213E-2</c:v>
                </c:pt>
              </c:numCache>
            </c:numRef>
          </c:val>
          <c:extLst>
            <c:ext xmlns:c16="http://schemas.microsoft.com/office/drawing/2014/chart" uri="{C3380CC4-5D6E-409C-BE32-E72D297353CC}">
              <c16:uniqueId val="{00000001-69A5-46C5-B4B4-432774E12F67}"/>
            </c:ext>
          </c:extLst>
        </c:ser>
        <c:ser>
          <c:idx val="2"/>
          <c:order val="2"/>
          <c:tx>
            <c:strRef>
              <c:f>ComparisonReport!$L$3481</c:f>
              <c:strCache>
                <c:ptCount val="1"/>
                <c:pt idx="0">
                  <c:v>Neither</c:v>
                </c:pt>
              </c:strCache>
            </c:strRef>
          </c:tx>
          <c:spPr>
            <a:solidFill>
              <a:schemeClr val="accent3"/>
            </a:solidFill>
            <a:ln>
              <a:noFill/>
            </a:ln>
            <a:effectLst/>
          </c:spPr>
          <c:invertIfNegative val="0"/>
          <c:cat>
            <c:strRef>
              <c:f>[0]!Verbal_communication_lbl</c:f>
              <c:strCache>
                <c:ptCount val="1"/>
                <c:pt idx="0">
                  <c:v>TOTAL</c:v>
                </c:pt>
              </c:strCache>
            </c:strRef>
          </c:cat>
          <c:val>
            <c:numRef>
              <c:f>[0]!Verbal_communication_3</c:f>
              <c:numCache>
                <c:formatCode>0%</c:formatCode>
                <c:ptCount val="1"/>
                <c:pt idx="0">
                  <c:v>4.2569999999999997E-2</c:v>
                </c:pt>
              </c:numCache>
            </c:numRef>
          </c:val>
          <c:extLst>
            <c:ext xmlns:c16="http://schemas.microsoft.com/office/drawing/2014/chart" uri="{C3380CC4-5D6E-409C-BE32-E72D297353CC}">
              <c16:uniqueId val="{00000002-69A5-46C5-B4B4-432774E12F67}"/>
            </c:ext>
          </c:extLst>
        </c:ser>
        <c:ser>
          <c:idx val="3"/>
          <c:order val="3"/>
          <c:tx>
            <c:strRef>
              <c:f>ComparisonReport!$M$3481</c:f>
              <c:strCache>
                <c:ptCount val="1"/>
                <c:pt idx="0">
                  <c:v>Not very satisfied</c:v>
                </c:pt>
              </c:strCache>
            </c:strRef>
          </c:tx>
          <c:spPr>
            <a:solidFill>
              <a:schemeClr val="accent3">
                <a:tint val="77000"/>
              </a:schemeClr>
            </a:solidFill>
            <a:ln>
              <a:noFill/>
            </a:ln>
            <a:effectLst/>
          </c:spPr>
          <c:invertIfNegative val="0"/>
          <c:cat>
            <c:strRef>
              <c:f>[0]!Verbal_communication_lbl</c:f>
              <c:strCache>
                <c:ptCount val="1"/>
                <c:pt idx="0">
                  <c:v>TOTAL</c:v>
                </c:pt>
              </c:strCache>
            </c:strRef>
          </c:cat>
          <c:val>
            <c:numRef>
              <c:f>[0]!Verbal_communication_4</c:f>
              <c:numCache>
                <c:formatCode>0%</c:formatCode>
                <c:ptCount val="1"/>
                <c:pt idx="0">
                  <c:v>5.7000000000000002E-3</c:v>
                </c:pt>
              </c:numCache>
            </c:numRef>
          </c:val>
          <c:extLst>
            <c:ext xmlns:c16="http://schemas.microsoft.com/office/drawing/2014/chart" uri="{C3380CC4-5D6E-409C-BE32-E72D297353CC}">
              <c16:uniqueId val="{00000003-69A5-46C5-B4B4-432774E12F67}"/>
            </c:ext>
          </c:extLst>
        </c:ser>
        <c:ser>
          <c:idx val="4"/>
          <c:order val="4"/>
          <c:tx>
            <c:strRef>
              <c:f>ComparisonReport!$N$3481</c:f>
              <c:strCache>
                <c:ptCount val="1"/>
                <c:pt idx="0">
                  <c:v>Not at all satisfied</c:v>
                </c:pt>
              </c:strCache>
            </c:strRef>
          </c:tx>
          <c:spPr>
            <a:solidFill>
              <a:schemeClr val="accent3">
                <a:tint val="54000"/>
              </a:schemeClr>
            </a:solidFill>
            <a:ln>
              <a:noFill/>
            </a:ln>
            <a:effectLst/>
          </c:spPr>
          <c:invertIfNegative val="0"/>
          <c:cat>
            <c:strRef>
              <c:f>[0]!Verbal_communication_lbl</c:f>
              <c:strCache>
                <c:ptCount val="1"/>
                <c:pt idx="0">
                  <c:v>TOTAL</c:v>
                </c:pt>
              </c:strCache>
            </c:strRef>
          </c:cat>
          <c:val>
            <c:numRef>
              <c:f>[0]!Verbal_communication_5</c:f>
              <c:numCache>
                <c:formatCode>0%</c:formatCode>
                <c:ptCount val="1"/>
                <c:pt idx="0">
                  <c:v>0</c:v>
                </c:pt>
              </c:numCache>
            </c:numRef>
          </c:val>
          <c:extLst>
            <c:ext xmlns:c16="http://schemas.microsoft.com/office/drawing/2014/chart" uri="{C3380CC4-5D6E-409C-BE32-E72D297353CC}">
              <c16:uniqueId val="{00000004-69A5-46C5-B4B4-432774E12F67}"/>
            </c:ext>
          </c:extLst>
        </c:ser>
        <c:dLbls>
          <c:showLegendKey val="0"/>
          <c:showVal val="0"/>
          <c:showCatName val="0"/>
          <c:showSerName val="0"/>
          <c:showPercent val="0"/>
          <c:showBubbleSize val="0"/>
        </c:dLbls>
        <c:gapWidth val="25"/>
        <c:overlap val="100"/>
        <c:axId val="1754721695"/>
        <c:axId val="1754720735"/>
      </c:barChart>
      <c:catAx>
        <c:axId val="175472169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754720735"/>
        <c:crosses val="autoZero"/>
        <c:auto val="1"/>
        <c:lblAlgn val="ctr"/>
        <c:lblOffset val="100"/>
        <c:noMultiLvlLbl val="0"/>
      </c:catAx>
      <c:valAx>
        <c:axId val="1754720735"/>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754721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(b) Regarding Welsh language provision, how satisfied are you with the following services? [For users of Welsh archives only]</a:t>
            </a:r>
            <a:r>
              <a:rPr lang="en-GB" sz="1050" b="0" i="0" u="none" strike="noStrike" baseline="0"/>
              <a:t> </a:t>
            </a:r>
            <a:r>
              <a:rPr lang="en-GB" sz="1050" b="1" i="0" u="none" strike="noStrike" baseline="0">
                <a:effectLst/>
              </a:rPr>
              <a:t>Printed catalogues or resources</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ComparisonReport!$J$3502</c:f>
              <c:strCache>
                <c:ptCount val="1"/>
                <c:pt idx="0">
                  <c:v>Very satisfied</c:v>
                </c:pt>
              </c:strCache>
            </c:strRef>
          </c:tx>
          <c:spPr>
            <a:solidFill>
              <a:schemeClr val="accent3">
                <a:shade val="53000"/>
              </a:schemeClr>
            </a:solidFill>
            <a:ln>
              <a:noFill/>
            </a:ln>
            <a:effectLst/>
          </c:spPr>
          <c:invertIfNegative val="0"/>
          <c:cat>
            <c:strRef>
              <c:f>[0]!Printed_catalogues_or_resources_lbl</c:f>
              <c:strCache>
                <c:ptCount val="1"/>
                <c:pt idx="0">
                  <c:v>TOTAL</c:v>
                </c:pt>
              </c:strCache>
            </c:strRef>
          </c:cat>
          <c:val>
            <c:numRef>
              <c:f>[0]!Printed_catalogues_or_resources_1</c:f>
              <c:numCache>
                <c:formatCode>0%</c:formatCode>
                <c:ptCount val="1"/>
                <c:pt idx="0">
                  <c:v>0.75073999999999996</c:v>
                </c:pt>
              </c:numCache>
            </c:numRef>
          </c:val>
          <c:extLst>
            <c:ext xmlns:c16="http://schemas.microsoft.com/office/drawing/2014/chart" uri="{C3380CC4-5D6E-409C-BE32-E72D297353CC}">
              <c16:uniqueId val="{00000000-C52A-4553-81DC-C7B5D5B5A110}"/>
            </c:ext>
          </c:extLst>
        </c:ser>
        <c:ser>
          <c:idx val="1"/>
          <c:order val="1"/>
          <c:tx>
            <c:strRef>
              <c:f>ComparisonReport!$K$3502</c:f>
              <c:strCache>
                <c:ptCount val="1"/>
                <c:pt idx="0">
                  <c:v>Satisfied</c:v>
                </c:pt>
              </c:strCache>
            </c:strRef>
          </c:tx>
          <c:spPr>
            <a:solidFill>
              <a:schemeClr val="accent3">
                <a:shade val="76000"/>
              </a:schemeClr>
            </a:solidFill>
            <a:ln>
              <a:noFill/>
            </a:ln>
            <a:effectLst/>
          </c:spPr>
          <c:invertIfNegative val="0"/>
          <c:cat>
            <c:strRef>
              <c:f>[0]!Printed_catalogues_or_resources_lbl</c:f>
              <c:strCache>
                <c:ptCount val="1"/>
                <c:pt idx="0">
                  <c:v>TOTAL</c:v>
                </c:pt>
              </c:strCache>
            </c:strRef>
          </c:cat>
          <c:val>
            <c:numRef>
              <c:f>[0]!Printed_catalogues_or_resources_2</c:f>
              <c:numCache>
                <c:formatCode>0%</c:formatCode>
                <c:ptCount val="1"/>
                <c:pt idx="0">
                  <c:v>0.19216</c:v>
                </c:pt>
              </c:numCache>
            </c:numRef>
          </c:val>
          <c:extLst>
            <c:ext xmlns:c16="http://schemas.microsoft.com/office/drawing/2014/chart" uri="{C3380CC4-5D6E-409C-BE32-E72D297353CC}">
              <c16:uniqueId val="{00000001-C52A-4553-81DC-C7B5D5B5A110}"/>
            </c:ext>
          </c:extLst>
        </c:ser>
        <c:ser>
          <c:idx val="2"/>
          <c:order val="2"/>
          <c:tx>
            <c:strRef>
              <c:f>ComparisonReport!$L$3502</c:f>
              <c:strCache>
                <c:ptCount val="1"/>
                <c:pt idx="0">
                  <c:v>Neither</c:v>
                </c:pt>
              </c:strCache>
            </c:strRef>
          </c:tx>
          <c:spPr>
            <a:solidFill>
              <a:schemeClr val="accent3"/>
            </a:solidFill>
            <a:ln>
              <a:noFill/>
            </a:ln>
            <a:effectLst/>
          </c:spPr>
          <c:invertIfNegative val="0"/>
          <c:cat>
            <c:strRef>
              <c:f>[0]!Printed_catalogues_or_resources_lbl</c:f>
              <c:strCache>
                <c:ptCount val="1"/>
                <c:pt idx="0">
                  <c:v>TOTAL</c:v>
                </c:pt>
              </c:strCache>
            </c:strRef>
          </c:cat>
          <c:val>
            <c:numRef>
              <c:f>[0]!Printed_catalogues_or_resources_3</c:f>
              <c:numCache>
                <c:formatCode>0%</c:formatCode>
                <c:ptCount val="1"/>
                <c:pt idx="0">
                  <c:v>5.7090000000000002E-2</c:v>
                </c:pt>
              </c:numCache>
            </c:numRef>
          </c:val>
          <c:extLst>
            <c:ext xmlns:c16="http://schemas.microsoft.com/office/drawing/2014/chart" uri="{C3380CC4-5D6E-409C-BE32-E72D297353CC}">
              <c16:uniqueId val="{00000002-C52A-4553-81DC-C7B5D5B5A110}"/>
            </c:ext>
          </c:extLst>
        </c:ser>
        <c:ser>
          <c:idx val="3"/>
          <c:order val="3"/>
          <c:tx>
            <c:strRef>
              <c:f>ComparisonReport!$M$3502</c:f>
              <c:strCache>
                <c:ptCount val="1"/>
                <c:pt idx="0">
                  <c:v>Not very satisfied</c:v>
                </c:pt>
              </c:strCache>
            </c:strRef>
          </c:tx>
          <c:spPr>
            <a:solidFill>
              <a:schemeClr val="accent3">
                <a:tint val="77000"/>
              </a:schemeClr>
            </a:solidFill>
            <a:ln>
              <a:noFill/>
            </a:ln>
            <a:effectLst/>
          </c:spPr>
          <c:invertIfNegative val="0"/>
          <c:cat>
            <c:strRef>
              <c:f>[0]!Printed_catalogues_or_resources_lbl</c:f>
              <c:strCache>
                <c:ptCount val="1"/>
                <c:pt idx="0">
                  <c:v>TOTAL</c:v>
                </c:pt>
              </c:strCache>
            </c:strRef>
          </c:cat>
          <c:val>
            <c:numRef>
              <c:f>[0]!Printed_catalogues_or_resources_4</c:f>
              <c:numCache>
                <c:formatCode>0%</c:formatCode>
                <c:ptCount val="1"/>
                <c:pt idx="0">
                  <c:v>0</c:v>
                </c:pt>
              </c:numCache>
            </c:numRef>
          </c:val>
          <c:extLst>
            <c:ext xmlns:c16="http://schemas.microsoft.com/office/drawing/2014/chart" uri="{C3380CC4-5D6E-409C-BE32-E72D297353CC}">
              <c16:uniqueId val="{00000003-C52A-4553-81DC-C7B5D5B5A110}"/>
            </c:ext>
          </c:extLst>
        </c:ser>
        <c:ser>
          <c:idx val="4"/>
          <c:order val="4"/>
          <c:tx>
            <c:strRef>
              <c:f>ComparisonReport!$N$3502</c:f>
              <c:strCache>
                <c:ptCount val="1"/>
                <c:pt idx="0">
                  <c:v>Not at all satisfied</c:v>
                </c:pt>
              </c:strCache>
            </c:strRef>
          </c:tx>
          <c:spPr>
            <a:solidFill>
              <a:schemeClr val="accent3">
                <a:tint val="54000"/>
              </a:schemeClr>
            </a:solidFill>
            <a:ln>
              <a:noFill/>
            </a:ln>
            <a:effectLst/>
          </c:spPr>
          <c:invertIfNegative val="0"/>
          <c:cat>
            <c:strRef>
              <c:f>[0]!Printed_catalogues_or_resources_lbl</c:f>
              <c:strCache>
                <c:ptCount val="1"/>
                <c:pt idx="0">
                  <c:v>TOTAL</c:v>
                </c:pt>
              </c:strCache>
            </c:strRef>
          </c:cat>
          <c:val>
            <c:numRef>
              <c:f>[0]!Printed_catalogues_or_resources_5</c:f>
              <c:numCache>
                <c:formatCode>0%</c:formatCode>
                <c:ptCount val="1"/>
                <c:pt idx="0">
                  <c:v>0</c:v>
                </c:pt>
              </c:numCache>
            </c:numRef>
          </c:val>
          <c:extLst>
            <c:ext xmlns:c16="http://schemas.microsoft.com/office/drawing/2014/chart" uri="{C3380CC4-5D6E-409C-BE32-E72D297353CC}">
              <c16:uniqueId val="{00000004-C52A-4553-81DC-C7B5D5B5A110}"/>
            </c:ext>
          </c:extLst>
        </c:ser>
        <c:dLbls>
          <c:showLegendKey val="0"/>
          <c:showVal val="0"/>
          <c:showCatName val="0"/>
          <c:showSerName val="0"/>
          <c:showPercent val="0"/>
          <c:showBubbleSize val="0"/>
        </c:dLbls>
        <c:gapWidth val="25"/>
        <c:overlap val="100"/>
        <c:axId val="1561265295"/>
        <c:axId val="1561265775"/>
      </c:barChart>
      <c:catAx>
        <c:axId val="156126529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561265775"/>
        <c:crosses val="autoZero"/>
        <c:auto val="1"/>
        <c:lblAlgn val="ctr"/>
        <c:lblOffset val="100"/>
        <c:noMultiLvlLbl val="0"/>
      </c:catAx>
      <c:valAx>
        <c:axId val="1561265775"/>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612652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B: OUR STAFF, SERVICES &amp; FACILITIES</a:t>
            </a:r>
            <a:r>
              <a:rPr lang="en-GB" sz="1050" b="0" i="0" u="none" strike="noStrike" baseline="0"/>
              <a:t> </a:t>
            </a:r>
            <a:r>
              <a:rPr lang="en-GB" sz="1050" b="1" i="0" u="none" strike="noStrike" baseline="0">
                <a:effectLst/>
              </a:rPr>
              <a:t>(b) Regarding Welsh language provision, how satisfied are you with the following services? [For users of Welsh archives only]</a:t>
            </a:r>
            <a:r>
              <a:rPr lang="en-GB" sz="1050" b="0" i="0" u="none" strike="noStrike" baseline="0"/>
              <a:t> </a:t>
            </a:r>
            <a:r>
              <a:rPr lang="en-GB" sz="1050" b="1" i="0" u="none" strike="noStrike" baseline="0">
                <a:effectLst/>
              </a:rPr>
              <a:t>Online catalogue or resources</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ComparisonReport!$J$3523</c:f>
              <c:strCache>
                <c:ptCount val="1"/>
                <c:pt idx="0">
                  <c:v>Very satisfied</c:v>
                </c:pt>
              </c:strCache>
            </c:strRef>
          </c:tx>
          <c:spPr>
            <a:solidFill>
              <a:schemeClr val="accent3">
                <a:shade val="53000"/>
              </a:schemeClr>
            </a:solidFill>
            <a:ln>
              <a:noFill/>
            </a:ln>
            <a:effectLst/>
          </c:spPr>
          <c:invertIfNegative val="0"/>
          <c:cat>
            <c:strRef>
              <c:f>[0]!Online_catalogue_or_resources_lbl</c:f>
              <c:strCache>
                <c:ptCount val="1"/>
                <c:pt idx="0">
                  <c:v>TOTAL</c:v>
                </c:pt>
              </c:strCache>
            </c:strRef>
          </c:cat>
          <c:val>
            <c:numRef>
              <c:f>[0]!Online_catalogue_or_resources_1</c:f>
              <c:numCache>
                <c:formatCode>0%</c:formatCode>
                <c:ptCount val="1"/>
                <c:pt idx="0">
                  <c:v>0.71926999999999996</c:v>
                </c:pt>
              </c:numCache>
            </c:numRef>
          </c:val>
          <c:extLst>
            <c:ext xmlns:c16="http://schemas.microsoft.com/office/drawing/2014/chart" uri="{C3380CC4-5D6E-409C-BE32-E72D297353CC}">
              <c16:uniqueId val="{00000000-6595-4D1D-9B12-7E7A27D90987}"/>
            </c:ext>
          </c:extLst>
        </c:ser>
        <c:ser>
          <c:idx val="1"/>
          <c:order val="1"/>
          <c:tx>
            <c:strRef>
              <c:f>ComparisonReport!$K$3523</c:f>
              <c:strCache>
                <c:ptCount val="1"/>
                <c:pt idx="0">
                  <c:v>Satisfied</c:v>
                </c:pt>
              </c:strCache>
            </c:strRef>
          </c:tx>
          <c:spPr>
            <a:solidFill>
              <a:schemeClr val="accent3">
                <a:shade val="76000"/>
              </a:schemeClr>
            </a:solidFill>
            <a:ln>
              <a:noFill/>
            </a:ln>
            <a:effectLst/>
          </c:spPr>
          <c:invertIfNegative val="0"/>
          <c:cat>
            <c:strRef>
              <c:f>[0]!Online_catalogue_or_resources_lbl</c:f>
              <c:strCache>
                <c:ptCount val="1"/>
                <c:pt idx="0">
                  <c:v>TOTAL</c:v>
                </c:pt>
              </c:strCache>
            </c:strRef>
          </c:cat>
          <c:val>
            <c:numRef>
              <c:f>[0]!Online_catalogue_or_resources_2</c:f>
              <c:numCache>
                <c:formatCode>0%</c:formatCode>
                <c:ptCount val="1"/>
                <c:pt idx="0">
                  <c:v>0.21410999999999999</c:v>
                </c:pt>
              </c:numCache>
            </c:numRef>
          </c:val>
          <c:extLst>
            <c:ext xmlns:c16="http://schemas.microsoft.com/office/drawing/2014/chart" uri="{C3380CC4-5D6E-409C-BE32-E72D297353CC}">
              <c16:uniqueId val="{00000001-6595-4D1D-9B12-7E7A27D90987}"/>
            </c:ext>
          </c:extLst>
        </c:ser>
        <c:ser>
          <c:idx val="2"/>
          <c:order val="2"/>
          <c:tx>
            <c:strRef>
              <c:f>ComparisonReport!$L$3523</c:f>
              <c:strCache>
                <c:ptCount val="1"/>
                <c:pt idx="0">
                  <c:v>Neither</c:v>
                </c:pt>
              </c:strCache>
            </c:strRef>
          </c:tx>
          <c:spPr>
            <a:solidFill>
              <a:schemeClr val="accent3"/>
            </a:solidFill>
            <a:ln>
              <a:noFill/>
            </a:ln>
            <a:effectLst/>
          </c:spPr>
          <c:invertIfNegative val="0"/>
          <c:cat>
            <c:strRef>
              <c:f>[0]!Online_catalogue_or_resources_lbl</c:f>
              <c:strCache>
                <c:ptCount val="1"/>
                <c:pt idx="0">
                  <c:v>TOTAL</c:v>
                </c:pt>
              </c:strCache>
            </c:strRef>
          </c:cat>
          <c:val>
            <c:numRef>
              <c:f>[0]!Online_catalogue_or_resources_3</c:f>
              <c:numCache>
                <c:formatCode>0%</c:formatCode>
                <c:ptCount val="1"/>
                <c:pt idx="0">
                  <c:v>6.0100000000000001E-2</c:v>
                </c:pt>
              </c:numCache>
            </c:numRef>
          </c:val>
          <c:extLst>
            <c:ext xmlns:c16="http://schemas.microsoft.com/office/drawing/2014/chart" uri="{C3380CC4-5D6E-409C-BE32-E72D297353CC}">
              <c16:uniqueId val="{00000002-6595-4D1D-9B12-7E7A27D90987}"/>
            </c:ext>
          </c:extLst>
        </c:ser>
        <c:ser>
          <c:idx val="3"/>
          <c:order val="3"/>
          <c:tx>
            <c:strRef>
              <c:f>ComparisonReport!$M$3523</c:f>
              <c:strCache>
                <c:ptCount val="1"/>
                <c:pt idx="0">
                  <c:v>Not very satisfied</c:v>
                </c:pt>
              </c:strCache>
            </c:strRef>
          </c:tx>
          <c:spPr>
            <a:solidFill>
              <a:schemeClr val="accent3">
                <a:tint val="77000"/>
              </a:schemeClr>
            </a:solidFill>
            <a:ln>
              <a:noFill/>
            </a:ln>
            <a:effectLst/>
          </c:spPr>
          <c:invertIfNegative val="0"/>
          <c:cat>
            <c:strRef>
              <c:f>[0]!Online_catalogue_or_resources_lbl</c:f>
              <c:strCache>
                <c:ptCount val="1"/>
                <c:pt idx="0">
                  <c:v>TOTAL</c:v>
                </c:pt>
              </c:strCache>
            </c:strRef>
          </c:cat>
          <c:val>
            <c:numRef>
              <c:f>[0]!Online_catalogue_or_resources_4</c:f>
              <c:numCache>
                <c:formatCode>0%</c:formatCode>
                <c:ptCount val="1"/>
                <c:pt idx="0">
                  <c:v>6.5199999999999998E-3</c:v>
                </c:pt>
              </c:numCache>
            </c:numRef>
          </c:val>
          <c:extLst>
            <c:ext xmlns:c16="http://schemas.microsoft.com/office/drawing/2014/chart" uri="{C3380CC4-5D6E-409C-BE32-E72D297353CC}">
              <c16:uniqueId val="{00000003-6595-4D1D-9B12-7E7A27D90987}"/>
            </c:ext>
          </c:extLst>
        </c:ser>
        <c:ser>
          <c:idx val="4"/>
          <c:order val="4"/>
          <c:tx>
            <c:strRef>
              <c:f>ComparisonReport!$N$3523</c:f>
              <c:strCache>
                <c:ptCount val="1"/>
                <c:pt idx="0">
                  <c:v>Not at all satisfied</c:v>
                </c:pt>
              </c:strCache>
            </c:strRef>
          </c:tx>
          <c:spPr>
            <a:solidFill>
              <a:schemeClr val="accent3">
                <a:tint val="54000"/>
              </a:schemeClr>
            </a:solidFill>
            <a:ln>
              <a:noFill/>
            </a:ln>
            <a:effectLst/>
          </c:spPr>
          <c:invertIfNegative val="0"/>
          <c:cat>
            <c:strRef>
              <c:f>[0]!Online_catalogue_or_resources_lbl</c:f>
              <c:strCache>
                <c:ptCount val="1"/>
                <c:pt idx="0">
                  <c:v>TOTAL</c:v>
                </c:pt>
              </c:strCache>
            </c:strRef>
          </c:cat>
          <c:val>
            <c:numRef>
              <c:f>[0]!Online_catalogue_or_resources_5</c:f>
              <c:numCache>
                <c:formatCode>0%</c:formatCode>
                <c:ptCount val="1"/>
                <c:pt idx="0">
                  <c:v>0</c:v>
                </c:pt>
              </c:numCache>
            </c:numRef>
          </c:val>
          <c:extLst>
            <c:ext xmlns:c16="http://schemas.microsoft.com/office/drawing/2014/chart" uri="{C3380CC4-5D6E-409C-BE32-E72D297353CC}">
              <c16:uniqueId val="{00000004-6595-4D1D-9B12-7E7A27D90987}"/>
            </c:ext>
          </c:extLst>
        </c:ser>
        <c:dLbls>
          <c:showLegendKey val="0"/>
          <c:showVal val="0"/>
          <c:showCatName val="0"/>
          <c:showSerName val="0"/>
          <c:showPercent val="0"/>
          <c:showBubbleSize val="0"/>
        </c:dLbls>
        <c:gapWidth val="25"/>
        <c:overlap val="100"/>
        <c:axId val="347686335"/>
        <c:axId val="347687775"/>
      </c:barChart>
      <c:catAx>
        <c:axId val="34768633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347687775"/>
        <c:crosses val="autoZero"/>
        <c:auto val="1"/>
        <c:lblAlgn val="ctr"/>
        <c:lblOffset val="100"/>
        <c:noMultiLvlLbl val="0"/>
      </c:catAx>
      <c:valAx>
        <c:axId val="347687775"/>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3476863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r>
              <a:rPr lang="en-GB"/>
              <a:t>SECTION B: OUR STAFF, SERVICES &amp; FACILITIES 8. Please mark the archive overall out of 10 Overall, how do you rate this archive? Average</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clustered"/>
        <c:varyColors val="0"/>
        <c:ser>
          <c:idx val="0"/>
          <c:order val="0"/>
          <c:tx>
            <c:strRef>
              <c:f>ComparisonReport!$J$3541:$J$3543</c:f>
              <c:strCache>
                <c:ptCount val="1"/>
                <c:pt idx="0">
                  <c:v>SECTION B: OUR STAFF, SERVICES &amp; FACILITIES 8. Please mark the archive overall out of 10 Overall, how do you rate this archive?</c:v>
                </c:pt>
              </c:strCache>
            </c:strRef>
          </c:tx>
          <c:spPr>
            <a:solidFill>
              <a:schemeClr val="accent4">
                <a:lumMod val="75000"/>
              </a:schemeClr>
            </a:solidFill>
            <a:ln>
              <a:noFill/>
            </a:ln>
            <a:effectLst/>
          </c:spPr>
          <c:invertIfNegative val="0"/>
          <c:cat>
            <c:strRef>
              <c:f>[0]!Overall__how_do_you_rate_this_archive?_lbl</c:f>
              <c:strCache>
                <c:ptCount val="1"/>
                <c:pt idx="0">
                  <c:v>TOTAL</c:v>
                </c:pt>
              </c:strCache>
            </c:strRef>
          </c:cat>
          <c:val>
            <c:numRef>
              <c:f>[0]!Overall__how_do_you_rate_this_archive?_avg</c:f>
              <c:numCache>
                <c:formatCode>General</c:formatCode>
                <c:ptCount val="1"/>
                <c:pt idx="0">
                  <c:v>9.3738700000000001</c:v>
                </c:pt>
              </c:numCache>
            </c:numRef>
          </c:val>
          <c:extLst>
            <c:ext xmlns:c16="http://schemas.microsoft.com/office/drawing/2014/chart" uri="{C3380CC4-5D6E-409C-BE32-E72D297353CC}">
              <c16:uniqueId val="{00000000-A8AA-42A8-8632-C6E2D6DA30F9}"/>
            </c:ext>
          </c:extLst>
        </c:ser>
        <c:dLbls>
          <c:showLegendKey val="0"/>
          <c:showVal val="0"/>
          <c:showCatName val="0"/>
          <c:showSerName val="0"/>
          <c:showPercent val="0"/>
          <c:showBubbleSize val="0"/>
        </c:dLbls>
        <c:gapWidth val="25"/>
        <c:axId val="347690175"/>
        <c:axId val="347675775"/>
      </c:barChart>
      <c:catAx>
        <c:axId val="34769017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347675775"/>
        <c:crosses val="autoZero"/>
        <c:auto val="1"/>
        <c:lblAlgn val="ctr"/>
        <c:lblOffset val="100"/>
        <c:noMultiLvlLbl val="0"/>
      </c:catAx>
      <c:valAx>
        <c:axId val="347675775"/>
        <c:scaling>
          <c:orientation val="minMax"/>
          <c:max val="10"/>
          <c:min val="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4769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C: YOUR VISIT</a:t>
            </a:r>
            <a:r>
              <a:rPr lang="en-GB" sz="1050" b="0" i="0" u="none" strike="noStrike" baseline="0"/>
              <a:t> </a:t>
            </a:r>
            <a:r>
              <a:rPr lang="en-GB" sz="1050" b="1" i="0" u="none" strike="noStrike" baseline="0">
                <a:effectLst/>
              </a:rPr>
              <a:t>9. What was your primary method of travel to this area / archive today?</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ComparisonReport!$J$3661</c:f>
              <c:strCache>
                <c:ptCount val="1"/>
                <c:pt idx="0">
                  <c:v>Private transport, e.g. car, motorbike</c:v>
                </c:pt>
              </c:strCache>
            </c:strRef>
          </c:tx>
          <c:spPr>
            <a:solidFill>
              <a:schemeClr val="accent4">
                <a:lumMod val="75000"/>
              </a:schemeClr>
            </a:solidFill>
            <a:ln>
              <a:noFill/>
            </a:ln>
            <a:effectLst/>
          </c:spPr>
          <c:invertIfNegative val="0"/>
          <c:cat>
            <c:strRef>
              <c:f>[0]!_9._What_was_your_primary_method_of_travel_to_this_area___archive_today?_lbl</c:f>
              <c:strCache>
                <c:ptCount val="1"/>
                <c:pt idx="0">
                  <c:v>TOTAL</c:v>
                </c:pt>
              </c:strCache>
            </c:strRef>
          </c:cat>
          <c:val>
            <c:numRef>
              <c:f>[0]!_9._What_was_your_primary_method_of_travel_to_this_area___archive_today?_1</c:f>
              <c:numCache>
                <c:formatCode>0%</c:formatCode>
                <c:ptCount val="1"/>
                <c:pt idx="0">
                  <c:v>0.42669000000000001</c:v>
                </c:pt>
              </c:numCache>
            </c:numRef>
          </c:val>
          <c:extLst>
            <c:ext xmlns:c16="http://schemas.microsoft.com/office/drawing/2014/chart" uri="{C3380CC4-5D6E-409C-BE32-E72D297353CC}">
              <c16:uniqueId val="{00000000-1147-4E4A-9176-29F4DFC31D79}"/>
            </c:ext>
          </c:extLst>
        </c:ser>
        <c:ser>
          <c:idx val="1"/>
          <c:order val="1"/>
          <c:tx>
            <c:strRef>
              <c:f>ComparisonReport!$K$3661</c:f>
              <c:strCache>
                <c:ptCount val="1"/>
                <c:pt idx="0">
                  <c:v>Public transport, e.g. bus, train, metro / tram</c:v>
                </c:pt>
              </c:strCache>
            </c:strRef>
          </c:tx>
          <c:spPr>
            <a:solidFill>
              <a:schemeClr val="accent6">
                <a:lumMod val="75000"/>
              </a:schemeClr>
            </a:solidFill>
            <a:ln>
              <a:noFill/>
            </a:ln>
            <a:effectLst/>
          </c:spPr>
          <c:invertIfNegative val="0"/>
          <c:cat>
            <c:strRef>
              <c:f>[0]!_9._What_was_your_primary_method_of_travel_to_this_area___archive_today?_lbl</c:f>
              <c:strCache>
                <c:ptCount val="1"/>
                <c:pt idx="0">
                  <c:v>TOTAL</c:v>
                </c:pt>
              </c:strCache>
            </c:strRef>
          </c:cat>
          <c:val>
            <c:numRef>
              <c:f>[0]!_9._What_was_your_primary_method_of_travel_to_this_area___archive_today?_2</c:f>
              <c:numCache>
                <c:formatCode>0%</c:formatCode>
                <c:ptCount val="1"/>
                <c:pt idx="0">
                  <c:v>0.40654000000000001</c:v>
                </c:pt>
              </c:numCache>
            </c:numRef>
          </c:val>
          <c:extLst>
            <c:ext xmlns:c16="http://schemas.microsoft.com/office/drawing/2014/chart" uri="{C3380CC4-5D6E-409C-BE32-E72D297353CC}">
              <c16:uniqueId val="{00000001-1147-4E4A-9176-29F4DFC31D79}"/>
            </c:ext>
          </c:extLst>
        </c:ser>
        <c:ser>
          <c:idx val="2"/>
          <c:order val="2"/>
          <c:tx>
            <c:strRef>
              <c:f>ComparisonReport!$L$3661</c:f>
              <c:strCache>
                <c:ptCount val="1"/>
                <c:pt idx="0">
                  <c:v>On foot</c:v>
                </c:pt>
              </c:strCache>
            </c:strRef>
          </c:tx>
          <c:spPr>
            <a:solidFill>
              <a:schemeClr val="accent3">
                <a:lumMod val="75000"/>
              </a:schemeClr>
            </a:solidFill>
            <a:ln>
              <a:noFill/>
            </a:ln>
            <a:effectLst/>
          </c:spPr>
          <c:invertIfNegative val="0"/>
          <c:cat>
            <c:strRef>
              <c:f>[0]!_9._What_was_your_primary_method_of_travel_to_this_area___archive_today?_lbl</c:f>
              <c:strCache>
                <c:ptCount val="1"/>
                <c:pt idx="0">
                  <c:v>TOTAL</c:v>
                </c:pt>
              </c:strCache>
            </c:strRef>
          </c:cat>
          <c:val>
            <c:numRef>
              <c:f>[0]!_9._What_was_your_primary_method_of_travel_to_this_area___archive_today?_3</c:f>
              <c:numCache>
                <c:formatCode>0%</c:formatCode>
                <c:ptCount val="1"/>
                <c:pt idx="0">
                  <c:v>0.12698999999999999</c:v>
                </c:pt>
              </c:numCache>
            </c:numRef>
          </c:val>
          <c:extLst>
            <c:ext xmlns:c16="http://schemas.microsoft.com/office/drawing/2014/chart" uri="{C3380CC4-5D6E-409C-BE32-E72D297353CC}">
              <c16:uniqueId val="{00000002-1147-4E4A-9176-29F4DFC31D79}"/>
            </c:ext>
          </c:extLst>
        </c:ser>
        <c:ser>
          <c:idx val="3"/>
          <c:order val="3"/>
          <c:tx>
            <c:strRef>
              <c:f>ComparisonReport!$M$3661</c:f>
              <c:strCache>
                <c:ptCount val="1"/>
                <c:pt idx="0">
                  <c:v>Bicycle</c:v>
                </c:pt>
              </c:strCache>
            </c:strRef>
          </c:tx>
          <c:spPr>
            <a:solidFill>
              <a:schemeClr val="accent5">
                <a:lumMod val="75000"/>
              </a:schemeClr>
            </a:solidFill>
            <a:ln>
              <a:noFill/>
            </a:ln>
            <a:effectLst/>
          </c:spPr>
          <c:invertIfNegative val="0"/>
          <c:cat>
            <c:strRef>
              <c:f>[0]!_9._What_was_your_primary_method_of_travel_to_this_area___archive_today?_lbl</c:f>
              <c:strCache>
                <c:ptCount val="1"/>
                <c:pt idx="0">
                  <c:v>TOTAL</c:v>
                </c:pt>
              </c:strCache>
            </c:strRef>
          </c:cat>
          <c:val>
            <c:numRef>
              <c:f>[0]!_9._What_was_your_primary_method_of_travel_to_this_area___archive_today?_4</c:f>
              <c:numCache>
                <c:formatCode>0%</c:formatCode>
                <c:ptCount val="1"/>
                <c:pt idx="0">
                  <c:v>1.5339999999999999E-2</c:v>
                </c:pt>
              </c:numCache>
            </c:numRef>
          </c:val>
          <c:extLst>
            <c:ext xmlns:c16="http://schemas.microsoft.com/office/drawing/2014/chart" uri="{C3380CC4-5D6E-409C-BE32-E72D297353CC}">
              <c16:uniqueId val="{00000003-1147-4E4A-9176-29F4DFC31D79}"/>
            </c:ext>
          </c:extLst>
        </c:ser>
        <c:ser>
          <c:idx val="4"/>
          <c:order val="4"/>
          <c:tx>
            <c:strRef>
              <c:f>ComparisonReport!$N$3661</c:f>
              <c:strCache>
                <c:ptCount val="1"/>
                <c:pt idx="0">
                  <c:v>Other</c:v>
                </c:pt>
              </c:strCache>
            </c:strRef>
          </c:tx>
          <c:spPr>
            <a:solidFill>
              <a:schemeClr val="tx1"/>
            </a:solidFill>
            <a:ln>
              <a:noFill/>
            </a:ln>
            <a:effectLst/>
          </c:spPr>
          <c:invertIfNegative val="0"/>
          <c:cat>
            <c:strRef>
              <c:f>[0]!_9._What_was_your_primary_method_of_travel_to_this_area___archive_today?_lbl</c:f>
              <c:strCache>
                <c:ptCount val="1"/>
                <c:pt idx="0">
                  <c:v>TOTAL</c:v>
                </c:pt>
              </c:strCache>
            </c:strRef>
          </c:cat>
          <c:val>
            <c:numRef>
              <c:f>[0]!_9._What_was_your_primary_method_of_travel_to_this_area___archive_today?_5</c:f>
              <c:numCache>
                <c:formatCode>0%</c:formatCode>
                <c:ptCount val="1"/>
                <c:pt idx="0">
                  <c:v>2.444E-2</c:v>
                </c:pt>
              </c:numCache>
            </c:numRef>
          </c:val>
          <c:extLst>
            <c:ext xmlns:c16="http://schemas.microsoft.com/office/drawing/2014/chart" uri="{C3380CC4-5D6E-409C-BE32-E72D297353CC}">
              <c16:uniqueId val="{00000004-1147-4E4A-9176-29F4DFC31D79}"/>
            </c:ext>
          </c:extLst>
        </c:ser>
        <c:dLbls>
          <c:showLegendKey val="0"/>
          <c:showVal val="0"/>
          <c:showCatName val="0"/>
          <c:showSerName val="0"/>
          <c:showPercent val="0"/>
          <c:showBubbleSize val="0"/>
        </c:dLbls>
        <c:gapWidth val="25"/>
        <c:overlap val="100"/>
        <c:axId val="492542655"/>
        <c:axId val="492549855"/>
      </c:barChart>
      <c:catAx>
        <c:axId val="49254265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492549855"/>
        <c:crosses val="autoZero"/>
        <c:auto val="1"/>
        <c:lblAlgn val="ctr"/>
        <c:lblOffset val="100"/>
        <c:noMultiLvlLbl val="0"/>
      </c:catAx>
      <c:valAx>
        <c:axId val="492549855"/>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492542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C: YOUR VISIT</a:t>
            </a:r>
            <a:r>
              <a:rPr lang="en-GB" sz="1050" b="0" i="0" u="none" strike="noStrike" baseline="0"/>
              <a:t> </a:t>
            </a:r>
            <a:r>
              <a:rPr lang="en-GB" sz="1050" b="1" i="0" u="none" strike="noStrike" baseline="0">
                <a:effectLst/>
              </a:rPr>
              <a:t>10. What else are you doing in the area today, in addition to visiting this archive?</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stacked"/>
        <c:varyColors val="0"/>
        <c:ser>
          <c:idx val="0"/>
          <c:order val="0"/>
          <c:tx>
            <c:strRef>
              <c:f>ComparisonReport!$J$3778</c:f>
              <c:strCache>
                <c:ptCount val="1"/>
                <c:pt idx="0">
                  <c:v>Nothing else</c:v>
                </c:pt>
              </c:strCache>
            </c:strRef>
          </c:tx>
          <c:spPr>
            <a:solidFill>
              <a:schemeClr val="accent4">
                <a:lumMod val="75000"/>
              </a:schemeClr>
            </a:solidFill>
            <a:ln>
              <a:noFill/>
            </a:ln>
            <a:effectLst/>
          </c:spPr>
          <c:invertIfNegative val="0"/>
          <c:cat>
            <c:strRef>
              <c:f>[0]!_10._What_else_are_you_doing_in_the_area_today__in_addition_to_visiting_this_archive?_lbl</c:f>
              <c:strCache>
                <c:ptCount val="1"/>
                <c:pt idx="0">
                  <c:v>TOTAL</c:v>
                </c:pt>
              </c:strCache>
            </c:strRef>
          </c:cat>
          <c:val>
            <c:numRef>
              <c:f>[0]!_10._What_else_are_you_doing_in_the_area_today__in_addition_to_visiting_this_archive?_a</c:f>
              <c:numCache>
                <c:formatCode>0%</c:formatCode>
                <c:ptCount val="1"/>
                <c:pt idx="0">
                  <c:v>0.58757999999999999</c:v>
                </c:pt>
              </c:numCache>
            </c:numRef>
          </c:val>
          <c:extLst>
            <c:ext xmlns:c16="http://schemas.microsoft.com/office/drawing/2014/chart" uri="{C3380CC4-5D6E-409C-BE32-E72D297353CC}">
              <c16:uniqueId val="{00000000-887A-45B9-BCCF-2D2EA87C100D}"/>
            </c:ext>
          </c:extLst>
        </c:ser>
        <c:ser>
          <c:idx val="1"/>
          <c:order val="1"/>
          <c:tx>
            <c:strRef>
              <c:f>ComparisonReport!$K$3778</c:f>
              <c:strCache>
                <c:ptCount val="1"/>
                <c:pt idx="0">
                  <c:v>Using local hospitality, retail and / or transport facilities </c:v>
                </c:pt>
              </c:strCache>
            </c:strRef>
          </c:tx>
          <c:spPr>
            <a:solidFill>
              <a:schemeClr val="accent6">
                <a:lumMod val="75000"/>
              </a:schemeClr>
            </a:solidFill>
            <a:ln>
              <a:noFill/>
            </a:ln>
            <a:effectLst/>
          </c:spPr>
          <c:invertIfNegative val="0"/>
          <c:cat>
            <c:strRef>
              <c:f>[0]!_10._What_else_are_you_doing_in_the_area_today__in_addition_to_visiting_this_archive?_lbl</c:f>
              <c:strCache>
                <c:ptCount val="1"/>
                <c:pt idx="0">
                  <c:v>TOTAL</c:v>
                </c:pt>
              </c:strCache>
            </c:strRef>
          </c:cat>
          <c:val>
            <c:numRef>
              <c:f>[0]!_10._What_else_are_you_doing_in_the_area_today__in_addition_to_visiting_this_archive?_b</c:f>
              <c:numCache>
                <c:formatCode>0%</c:formatCode>
                <c:ptCount val="1"/>
                <c:pt idx="0">
                  <c:v>0.2311</c:v>
                </c:pt>
              </c:numCache>
            </c:numRef>
          </c:val>
          <c:extLst>
            <c:ext xmlns:c16="http://schemas.microsoft.com/office/drawing/2014/chart" uri="{C3380CC4-5D6E-409C-BE32-E72D297353CC}">
              <c16:uniqueId val="{00000001-887A-45B9-BCCF-2D2EA87C100D}"/>
            </c:ext>
          </c:extLst>
        </c:ser>
        <c:ser>
          <c:idx val="2"/>
          <c:order val="2"/>
          <c:tx>
            <c:strRef>
              <c:f>ComparisonReport!$L$3778</c:f>
              <c:strCache>
                <c:ptCount val="1"/>
                <c:pt idx="0">
                  <c:v>Visiting other places of interest</c:v>
                </c:pt>
              </c:strCache>
            </c:strRef>
          </c:tx>
          <c:spPr>
            <a:solidFill>
              <a:schemeClr val="accent3">
                <a:lumMod val="75000"/>
              </a:schemeClr>
            </a:solidFill>
            <a:ln>
              <a:noFill/>
            </a:ln>
            <a:effectLst/>
          </c:spPr>
          <c:invertIfNegative val="0"/>
          <c:cat>
            <c:strRef>
              <c:f>[0]!_10._What_else_are_you_doing_in_the_area_today__in_addition_to_visiting_this_archive?_lbl</c:f>
              <c:strCache>
                <c:ptCount val="1"/>
                <c:pt idx="0">
                  <c:v>TOTAL</c:v>
                </c:pt>
              </c:strCache>
            </c:strRef>
          </c:cat>
          <c:val>
            <c:numRef>
              <c:f>[0]!_10._What_else_are_you_doing_in_the_area_today__in_addition_to_visiting_this_archive?_c</c:f>
              <c:numCache>
                <c:formatCode>0%</c:formatCode>
                <c:ptCount val="1"/>
                <c:pt idx="0">
                  <c:v>0.10961</c:v>
                </c:pt>
              </c:numCache>
            </c:numRef>
          </c:val>
          <c:extLst>
            <c:ext xmlns:c16="http://schemas.microsoft.com/office/drawing/2014/chart" uri="{C3380CC4-5D6E-409C-BE32-E72D297353CC}">
              <c16:uniqueId val="{00000002-887A-45B9-BCCF-2D2EA87C100D}"/>
            </c:ext>
          </c:extLst>
        </c:ser>
        <c:ser>
          <c:idx val="3"/>
          <c:order val="3"/>
          <c:tx>
            <c:strRef>
              <c:f>ComparisonReport!$M$3778</c:f>
              <c:strCache>
                <c:ptCount val="1"/>
                <c:pt idx="0">
                  <c:v>Other</c:v>
                </c:pt>
              </c:strCache>
            </c:strRef>
          </c:tx>
          <c:spPr>
            <a:solidFill>
              <a:schemeClr val="tx1">
                <a:lumMod val="50000"/>
                <a:lumOff val="50000"/>
              </a:schemeClr>
            </a:solidFill>
            <a:ln>
              <a:noFill/>
            </a:ln>
            <a:effectLst/>
          </c:spPr>
          <c:invertIfNegative val="0"/>
          <c:cat>
            <c:strRef>
              <c:f>[0]!_10._What_else_are_you_doing_in_the_area_today__in_addition_to_visiting_this_archive?_lbl</c:f>
              <c:strCache>
                <c:ptCount val="1"/>
                <c:pt idx="0">
                  <c:v>TOTAL</c:v>
                </c:pt>
              </c:strCache>
            </c:strRef>
          </c:cat>
          <c:val>
            <c:numRef>
              <c:f>[0]!_10._What_else_are_you_doing_in_the_area_today__in_addition_to_visiting_this_archive?_d</c:f>
              <c:numCache>
                <c:formatCode>0%</c:formatCode>
                <c:ptCount val="1"/>
                <c:pt idx="0">
                  <c:v>0.15481</c:v>
                </c:pt>
              </c:numCache>
            </c:numRef>
          </c:val>
          <c:extLst>
            <c:ext xmlns:c16="http://schemas.microsoft.com/office/drawing/2014/chart" uri="{C3380CC4-5D6E-409C-BE32-E72D297353CC}">
              <c16:uniqueId val="{00000003-887A-45B9-BCCF-2D2EA87C100D}"/>
            </c:ext>
          </c:extLst>
        </c:ser>
        <c:dLbls>
          <c:showLegendKey val="0"/>
          <c:showVal val="0"/>
          <c:showCatName val="0"/>
          <c:showSerName val="0"/>
          <c:showPercent val="0"/>
          <c:showBubbleSize val="0"/>
        </c:dLbls>
        <c:gapWidth val="25"/>
        <c:overlap val="100"/>
        <c:axId val="521987535"/>
        <c:axId val="521980815"/>
      </c:barChart>
      <c:catAx>
        <c:axId val="52198753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521980815"/>
        <c:crosses val="autoZero"/>
        <c:auto val="1"/>
        <c:lblAlgn val="ctr"/>
        <c:lblOffset val="100"/>
        <c:noMultiLvlLbl val="0"/>
      </c:catAx>
      <c:valAx>
        <c:axId val="521980815"/>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219875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clustered"/>
        <c:varyColors val="0"/>
        <c:ser>
          <c:idx val="0"/>
          <c:order val="0"/>
          <c:tx>
            <c:strRef>
              <c:f>ComparisonReport!$J$3893:$J$3895</c:f>
              <c:strCache>
                <c:ptCount val="1"/>
                <c:pt idx="0">
                  <c:v>SECTION C: YOUR VISIT 11. Approximately how many hours have you spent at this archive today? Average</c:v>
                </c:pt>
              </c:strCache>
            </c:strRef>
          </c:tx>
          <c:spPr>
            <a:solidFill>
              <a:schemeClr val="accent4">
                <a:lumMod val="75000"/>
              </a:schemeClr>
            </a:solidFill>
            <a:ln>
              <a:noFill/>
            </a:ln>
            <a:effectLst/>
          </c:spPr>
          <c:invertIfNegative val="0"/>
          <c:cat>
            <c:strRef>
              <c:f>[0]!_11._Approximately_how_many_hours_have_you_spent_at_this_archive_today?_lbl</c:f>
              <c:strCache>
                <c:ptCount val="1"/>
                <c:pt idx="0">
                  <c:v>TOTAL</c:v>
                </c:pt>
              </c:strCache>
            </c:strRef>
          </c:cat>
          <c:val>
            <c:numRef>
              <c:f>[0]!_11._Approximately_how_many_hours_have_you_spent_at_this_archive_today?_avg</c:f>
              <c:numCache>
                <c:formatCode>General</c:formatCode>
                <c:ptCount val="1"/>
                <c:pt idx="0">
                  <c:v>3.65524</c:v>
                </c:pt>
              </c:numCache>
            </c:numRef>
          </c:val>
          <c:extLst>
            <c:ext xmlns:c16="http://schemas.microsoft.com/office/drawing/2014/chart" uri="{C3380CC4-5D6E-409C-BE32-E72D297353CC}">
              <c16:uniqueId val="{00000000-1210-4B49-9D59-D2921D30A46F}"/>
            </c:ext>
          </c:extLst>
        </c:ser>
        <c:dLbls>
          <c:showLegendKey val="0"/>
          <c:showVal val="0"/>
          <c:showCatName val="0"/>
          <c:showSerName val="0"/>
          <c:showPercent val="0"/>
          <c:showBubbleSize val="0"/>
        </c:dLbls>
        <c:gapWidth val="25"/>
        <c:axId val="347533359"/>
        <c:axId val="347539599"/>
      </c:barChart>
      <c:catAx>
        <c:axId val="34753335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347539599"/>
        <c:crosses val="autoZero"/>
        <c:auto val="1"/>
        <c:lblAlgn val="ctr"/>
        <c:lblOffset val="100"/>
        <c:noMultiLvlLbl val="0"/>
      </c:catAx>
      <c:valAx>
        <c:axId val="347539599"/>
        <c:scaling>
          <c:orientation val="minMax"/>
          <c:max val="6"/>
          <c:min val="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475333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D: OUTCOMES</a:t>
            </a:r>
            <a:r>
              <a:rPr lang="en-GB" sz="1050" b="0" i="0" u="none" strike="noStrike" baseline="0"/>
              <a:t> </a:t>
            </a:r>
            <a:r>
              <a:rPr lang="en-GB" sz="1050" b="1" i="0" u="none" strike="noStrike" baseline="0">
                <a:effectLst/>
              </a:rPr>
              <a:t>13. What benefits have you experienced from using archives?  </a:t>
            </a:r>
            <a:r>
              <a:rPr lang="en-GB" sz="1050" b="0" i="0" u="none" strike="noStrike" baseline="0"/>
              <a:t> </a:t>
            </a:r>
            <a:r>
              <a:rPr lang="en-GB" sz="1050" b="1" i="0" u="none" strike="noStrike" baseline="0">
                <a:effectLst/>
              </a:rPr>
              <a:t>I developed new skills or improved existing skills (in research, use of ICT, etc.)</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ComparisonReport!$J$4013</c:f>
              <c:strCache>
                <c:ptCount val="1"/>
                <c:pt idx="0">
                  <c:v>Agree</c:v>
                </c:pt>
              </c:strCache>
            </c:strRef>
          </c:tx>
          <c:spPr>
            <a:solidFill>
              <a:schemeClr val="accent3">
                <a:lumMod val="75000"/>
              </a:schemeClr>
            </a:solidFill>
            <a:ln>
              <a:noFill/>
            </a:ln>
            <a:effectLst/>
          </c:spPr>
          <c:invertIfNegative val="0"/>
          <c:cat>
            <c:strRef>
              <c:f>[0]!I_developed_new_skills_or_improved_existing_skills__in_research__use_of_ICT__etc._lbl</c:f>
              <c:strCache>
                <c:ptCount val="1"/>
                <c:pt idx="0">
                  <c:v>TOTAL</c:v>
                </c:pt>
              </c:strCache>
            </c:strRef>
          </c:cat>
          <c:val>
            <c:numRef>
              <c:f>[0]!I_developed_new_skills_or_improved_existing_skills__in_research__use_of_ICT__etc._1</c:f>
              <c:numCache>
                <c:formatCode>0%</c:formatCode>
                <c:ptCount val="1"/>
                <c:pt idx="0">
                  <c:v>0.89287000000000005</c:v>
                </c:pt>
              </c:numCache>
            </c:numRef>
          </c:val>
          <c:extLst>
            <c:ext xmlns:c16="http://schemas.microsoft.com/office/drawing/2014/chart" uri="{C3380CC4-5D6E-409C-BE32-E72D297353CC}">
              <c16:uniqueId val="{00000000-CB72-408A-A645-4DCBEBDFC7BC}"/>
            </c:ext>
          </c:extLst>
        </c:ser>
        <c:ser>
          <c:idx val="1"/>
          <c:order val="1"/>
          <c:tx>
            <c:strRef>
              <c:f>ComparisonReport!$K$4013</c:f>
              <c:strCache>
                <c:ptCount val="1"/>
                <c:pt idx="0">
                  <c:v>Disagree</c:v>
                </c:pt>
              </c:strCache>
            </c:strRef>
          </c:tx>
          <c:spPr>
            <a:solidFill>
              <a:schemeClr val="accent6">
                <a:lumMod val="75000"/>
              </a:schemeClr>
            </a:solidFill>
            <a:ln>
              <a:noFill/>
            </a:ln>
            <a:effectLst/>
          </c:spPr>
          <c:invertIfNegative val="0"/>
          <c:cat>
            <c:strRef>
              <c:f>[0]!I_developed_new_skills_or_improved_existing_skills__in_research__use_of_ICT__etc._lbl</c:f>
              <c:strCache>
                <c:ptCount val="1"/>
                <c:pt idx="0">
                  <c:v>TOTAL</c:v>
                </c:pt>
              </c:strCache>
            </c:strRef>
          </c:cat>
          <c:val>
            <c:numRef>
              <c:f>[0]!I_developed_new_skills_or_improved_existing_skills__in_research__use_of_ICT__etc._2</c:f>
              <c:numCache>
                <c:formatCode>0%</c:formatCode>
                <c:ptCount val="1"/>
                <c:pt idx="0">
                  <c:v>0.10713104207991776</c:v>
                </c:pt>
              </c:numCache>
            </c:numRef>
          </c:val>
          <c:extLst>
            <c:ext xmlns:c16="http://schemas.microsoft.com/office/drawing/2014/chart" uri="{C3380CC4-5D6E-409C-BE32-E72D297353CC}">
              <c16:uniqueId val="{00000001-CB72-408A-A645-4DCBEBDFC7BC}"/>
            </c:ext>
          </c:extLst>
        </c:ser>
        <c:dLbls>
          <c:showLegendKey val="0"/>
          <c:showVal val="0"/>
          <c:showCatName val="0"/>
          <c:showSerName val="0"/>
          <c:showPercent val="0"/>
          <c:showBubbleSize val="0"/>
        </c:dLbls>
        <c:gapWidth val="25"/>
        <c:overlap val="100"/>
        <c:axId val="521755631"/>
        <c:axId val="521730671"/>
      </c:barChart>
      <c:catAx>
        <c:axId val="52175563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521730671"/>
        <c:crosses val="autoZero"/>
        <c:auto val="1"/>
        <c:lblAlgn val="ctr"/>
        <c:lblOffset val="100"/>
        <c:noMultiLvlLbl val="0"/>
      </c:catAx>
      <c:valAx>
        <c:axId val="521730671"/>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2175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D: OUTCOMES</a:t>
            </a:r>
            <a:r>
              <a:rPr lang="en-GB" sz="1050" b="0" i="0" u="none" strike="noStrike" baseline="0"/>
              <a:t> </a:t>
            </a:r>
            <a:r>
              <a:rPr lang="en-GB" sz="1050" b="1" i="0" u="none" strike="noStrike" baseline="0">
                <a:effectLst/>
              </a:rPr>
              <a:t>13. What benefits have you experienced from using archives?  </a:t>
            </a:r>
            <a:r>
              <a:rPr lang="en-GB" sz="1050" b="0" i="0" u="none" strike="noStrike" baseline="0"/>
              <a:t> </a:t>
            </a:r>
            <a:r>
              <a:rPr lang="en-GB" sz="1050" b="1" i="0" u="none" strike="noStrike" baseline="0">
                <a:effectLst/>
              </a:rPr>
              <a:t>I have a greater understanding of my community, its history and people</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ComparisonReport!$J$4130</c:f>
              <c:strCache>
                <c:ptCount val="1"/>
                <c:pt idx="0">
                  <c:v>Agree</c:v>
                </c:pt>
              </c:strCache>
            </c:strRef>
          </c:tx>
          <c:spPr>
            <a:solidFill>
              <a:schemeClr val="accent3">
                <a:lumMod val="75000"/>
              </a:schemeClr>
            </a:solidFill>
            <a:ln>
              <a:noFill/>
            </a:ln>
            <a:effectLst/>
          </c:spPr>
          <c:invertIfNegative val="0"/>
          <c:cat>
            <c:strRef>
              <c:f>[0]!I_have_a_greater_understanding_of_my_community__its_history_and_people_lbl</c:f>
              <c:strCache>
                <c:ptCount val="1"/>
                <c:pt idx="0">
                  <c:v>TOTAL</c:v>
                </c:pt>
              </c:strCache>
            </c:strRef>
          </c:cat>
          <c:val>
            <c:numRef>
              <c:f>[0]!I_have_a_greater_understanding_of_my_community__its_history_and_people_1</c:f>
              <c:numCache>
                <c:formatCode>0%</c:formatCode>
                <c:ptCount val="1"/>
                <c:pt idx="0">
                  <c:v>0.95504</c:v>
                </c:pt>
              </c:numCache>
            </c:numRef>
          </c:val>
          <c:extLst>
            <c:ext xmlns:c16="http://schemas.microsoft.com/office/drawing/2014/chart" uri="{C3380CC4-5D6E-409C-BE32-E72D297353CC}">
              <c16:uniqueId val="{00000000-2D7D-4EB9-9092-2D93BD4DB9CF}"/>
            </c:ext>
          </c:extLst>
        </c:ser>
        <c:ser>
          <c:idx val="1"/>
          <c:order val="1"/>
          <c:tx>
            <c:strRef>
              <c:f>ComparisonReport!$K$4130</c:f>
              <c:strCache>
                <c:ptCount val="1"/>
                <c:pt idx="0">
                  <c:v>Disagree</c:v>
                </c:pt>
              </c:strCache>
            </c:strRef>
          </c:tx>
          <c:spPr>
            <a:solidFill>
              <a:schemeClr val="accent6">
                <a:lumMod val="75000"/>
              </a:schemeClr>
            </a:solidFill>
            <a:ln>
              <a:noFill/>
            </a:ln>
            <a:effectLst/>
          </c:spPr>
          <c:invertIfNegative val="0"/>
          <c:cat>
            <c:strRef>
              <c:f>[0]!I_have_a_greater_understanding_of_my_community__its_history_and_people_lbl</c:f>
              <c:strCache>
                <c:ptCount val="1"/>
                <c:pt idx="0">
                  <c:v>TOTAL</c:v>
                </c:pt>
              </c:strCache>
            </c:strRef>
          </c:cat>
          <c:val>
            <c:numRef>
              <c:f>[0]!I_have_a_greater_understanding_of_my_community__its_history_and_people_2</c:f>
              <c:numCache>
                <c:formatCode>0%</c:formatCode>
                <c:ptCount val="1"/>
                <c:pt idx="0">
                  <c:v>4.496E-2</c:v>
                </c:pt>
              </c:numCache>
            </c:numRef>
          </c:val>
          <c:extLst>
            <c:ext xmlns:c16="http://schemas.microsoft.com/office/drawing/2014/chart" uri="{C3380CC4-5D6E-409C-BE32-E72D297353CC}">
              <c16:uniqueId val="{00000001-2D7D-4EB9-9092-2D93BD4DB9CF}"/>
            </c:ext>
          </c:extLst>
        </c:ser>
        <c:dLbls>
          <c:showLegendKey val="0"/>
          <c:showVal val="0"/>
          <c:showCatName val="0"/>
          <c:showSerName val="0"/>
          <c:showPercent val="0"/>
          <c:showBubbleSize val="0"/>
        </c:dLbls>
        <c:gapWidth val="25"/>
        <c:overlap val="100"/>
        <c:axId val="428966879"/>
        <c:axId val="428951519"/>
      </c:barChart>
      <c:catAx>
        <c:axId val="42896687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428951519"/>
        <c:crosses val="autoZero"/>
        <c:auto val="1"/>
        <c:lblAlgn val="ctr"/>
        <c:lblOffset val="100"/>
        <c:noMultiLvlLbl val="0"/>
      </c:catAx>
      <c:valAx>
        <c:axId val="428951519"/>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4289668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D: OUTCOMES</a:t>
            </a:r>
            <a:r>
              <a:rPr lang="en-GB" sz="1050" b="0" i="0" u="none" strike="noStrike" baseline="0"/>
              <a:t> </a:t>
            </a:r>
            <a:r>
              <a:rPr lang="en-GB" sz="1050" b="1" i="0" u="none" strike="noStrike" baseline="0">
                <a:effectLst/>
              </a:rPr>
              <a:t>13. What benefits have you experienced from using archives?  </a:t>
            </a:r>
            <a:r>
              <a:rPr lang="en-GB" sz="1050" b="0" i="0" u="none" strike="noStrike" baseline="0"/>
              <a:t> </a:t>
            </a:r>
            <a:r>
              <a:rPr lang="en-GB" sz="1050" b="1" i="0" u="none" strike="noStrike" baseline="0">
                <a:effectLst/>
              </a:rPr>
              <a:t>Found the evidence I was looking for</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ComparisonReport!$J$4247</c:f>
              <c:strCache>
                <c:ptCount val="1"/>
                <c:pt idx="0">
                  <c:v>Agree</c:v>
                </c:pt>
              </c:strCache>
            </c:strRef>
          </c:tx>
          <c:spPr>
            <a:solidFill>
              <a:schemeClr val="accent3">
                <a:lumMod val="75000"/>
              </a:schemeClr>
            </a:solidFill>
            <a:ln>
              <a:noFill/>
            </a:ln>
            <a:effectLst/>
          </c:spPr>
          <c:invertIfNegative val="0"/>
          <c:cat>
            <c:strRef>
              <c:f>[0]!Found_the_evidence_I_was_looking_for_lbl</c:f>
              <c:strCache>
                <c:ptCount val="1"/>
                <c:pt idx="0">
                  <c:v>TOTAL</c:v>
                </c:pt>
              </c:strCache>
            </c:strRef>
          </c:cat>
          <c:val>
            <c:numRef>
              <c:f>[0]!Found_the_evidence_I_was_looking_for_1</c:f>
              <c:numCache>
                <c:formatCode>0%</c:formatCode>
                <c:ptCount val="1"/>
                <c:pt idx="0">
                  <c:v>0.94994999999999996</c:v>
                </c:pt>
              </c:numCache>
            </c:numRef>
          </c:val>
          <c:extLst>
            <c:ext xmlns:c16="http://schemas.microsoft.com/office/drawing/2014/chart" uri="{C3380CC4-5D6E-409C-BE32-E72D297353CC}">
              <c16:uniqueId val="{00000000-6FE9-4708-BE3A-21E2E1DCBF25}"/>
            </c:ext>
          </c:extLst>
        </c:ser>
        <c:ser>
          <c:idx val="1"/>
          <c:order val="1"/>
          <c:tx>
            <c:strRef>
              <c:f>ComparisonReport!$K$4247</c:f>
              <c:strCache>
                <c:ptCount val="1"/>
                <c:pt idx="0">
                  <c:v>Disagree</c:v>
                </c:pt>
              </c:strCache>
            </c:strRef>
          </c:tx>
          <c:spPr>
            <a:solidFill>
              <a:schemeClr val="accent6">
                <a:lumMod val="75000"/>
              </a:schemeClr>
            </a:solidFill>
            <a:ln>
              <a:noFill/>
            </a:ln>
            <a:effectLst/>
          </c:spPr>
          <c:invertIfNegative val="0"/>
          <c:cat>
            <c:strRef>
              <c:f>[0]!Found_the_evidence_I_was_looking_for_lbl</c:f>
              <c:strCache>
                <c:ptCount val="1"/>
                <c:pt idx="0">
                  <c:v>TOTAL</c:v>
                </c:pt>
              </c:strCache>
            </c:strRef>
          </c:cat>
          <c:val>
            <c:numRef>
              <c:f>[0]!Found_the_evidence_I_was_looking_for_2</c:f>
              <c:numCache>
                <c:formatCode>0%</c:formatCode>
                <c:ptCount val="1"/>
                <c:pt idx="0">
                  <c:v>5.0049999999999997E-2</c:v>
                </c:pt>
              </c:numCache>
            </c:numRef>
          </c:val>
          <c:extLst>
            <c:ext xmlns:c16="http://schemas.microsoft.com/office/drawing/2014/chart" uri="{C3380CC4-5D6E-409C-BE32-E72D297353CC}">
              <c16:uniqueId val="{00000001-6FE9-4708-BE3A-21E2E1DCBF25}"/>
            </c:ext>
          </c:extLst>
        </c:ser>
        <c:dLbls>
          <c:showLegendKey val="0"/>
          <c:showVal val="0"/>
          <c:showCatName val="0"/>
          <c:showSerName val="0"/>
          <c:showPercent val="0"/>
          <c:showBubbleSize val="0"/>
        </c:dLbls>
        <c:gapWidth val="25"/>
        <c:overlap val="100"/>
        <c:axId val="646353711"/>
        <c:axId val="646375791"/>
      </c:barChart>
      <c:catAx>
        <c:axId val="6463537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646375791"/>
        <c:crosses val="autoZero"/>
        <c:auto val="1"/>
        <c:lblAlgn val="ctr"/>
        <c:lblOffset val="100"/>
        <c:noMultiLvlLbl val="0"/>
      </c:catAx>
      <c:valAx>
        <c:axId val="646375791"/>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6463537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IndividualReport!$N$73</c:f>
              <c:strCache>
                <c:ptCount val="1"/>
                <c:pt idx="0">
                  <c:v>Lockers / toilets / rest or refreshment area</c:v>
                </c:pt>
              </c:strCache>
            </c:strRef>
          </c:tx>
          <c:spPr>
            <a:solidFill>
              <a:schemeClr val="accent4">
                <a:lumMod val="75000"/>
              </a:schemeClr>
            </a:solidFill>
            <a:ln>
              <a:noFill/>
            </a:ln>
            <a:effectLst/>
          </c:spPr>
          <c:invertIfNegative val="0"/>
          <c:dLbls>
            <c:spPr>
              <a:solidFill>
                <a:schemeClr val="accent4">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IndividualReport!$O$73:$O$77</c:f>
              <c:strCache>
                <c:ptCount val="5"/>
                <c:pt idx="0">
                  <c:v>Very statisfied</c:v>
                </c:pt>
                <c:pt idx="1">
                  <c:v>Satisfied</c:v>
                </c:pt>
                <c:pt idx="2">
                  <c:v>Neither</c:v>
                </c:pt>
                <c:pt idx="3">
                  <c:v>Not very satisfied</c:v>
                </c:pt>
                <c:pt idx="4">
                  <c:v>Not at all satisfied</c:v>
                </c:pt>
              </c:strCache>
            </c:strRef>
          </c:cat>
          <c:val>
            <c:numRef>
              <c:f>IndividualReport!$Q$73:$Q$77</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E4E8-4422-92A8-151D0020D291}"/>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D: OUTCOMES</a:t>
            </a:r>
            <a:r>
              <a:rPr lang="en-GB" sz="1050" b="0" i="0" u="none" strike="noStrike" baseline="0"/>
              <a:t> </a:t>
            </a:r>
            <a:r>
              <a:rPr lang="en-GB" sz="1050" b="1" i="0" u="none" strike="noStrike" baseline="0">
                <a:effectLst/>
              </a:rPr>
              <a:t>13. What benefits have you experienced from using archives?  </a:t>
            </a:r>
            <a:r>
              <a:rPr lang="en-GB" sz="1050" b="0" i="0" u="none" strike="noStrike" baseline="0"/>
              <a:t> </a:t>
            </a:r>
            <a:r>
              <a:rPr lang="en-GB" sz="1050" b="1" i="0" u="none" strike="noStrike" baseline="0">
                <a:effectLst/>
              </a:rPr>
              <a:t>Learnt something unexpected</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ComparisonReport!$J$4365</c:f>
              <c:strCache>
                <c:ptCount val="1"/>
                <c:pt idx="0">
                  <c:v>Agree</c:v>
                </c:pt>
              </c:strCache>
            </c:strRef>
          </c:tx>
          <c:spPr>
            <a:solidFill>
              <a:schemeClr val="accent3">
                <a:lumMod val="75000"/>
              </a:schemeClr>
            </a:solidFill>
            <a:ln>
              <a:noFill/>
            </a:ln>
            <a:effectLst/>
          </c:spPr>
          <c:invertIfNegative val="0"/>
          <c:cat>
            <c:strRef>
              <c:f>[0]!Learnt_something_unexpected_lbl</c:f>
              <c:strCache>
                <c:ptCount val="1"/>
                <c:pt idx="0">
                  <c:v>TOTAL</c:v>
                </c:pt>
              </c:strCache>
            </c:strRef>
          </c:cat>
          <c:val>
            <c:numRef>
              <c:f>[0]!Learnt_something_unexpected_1</c:f>
              <c:numCache>
                <c:formatCode>0%</c:formatCode>
                <c:ptCount val="1"/>
                <c:pt idx="0">
                  <c:v>0.91598000000000002</c:v>
                </c:pt>
              </c:numCache>
            </c:numRef>
          </c:val>
          <c:extLst>
            <c:ext xmlns:c16="http://schemas.microsoft.com/office/drawing/2014/chart" uri="{C3380CC4-5D6E-409C-BE32-E72D297353CC}">
              <c16:uniqueId val="{00000000-3772-48B3-A623-A8383B55E6A8}"/>
            </c:ext>
          </c:extLst>
        </c:ser>
        <c:ser>
          <c:idx val="1"/>
          <c:order val="1"/>
          <c:tx>
            <c:strRef>
              <c:f>ComparisonReport!$K$4365</c:f>
              <c:strCache>
                <c:ptCount val="1"/>
                <c:pt idx="0">
                  <c:v>Disagree</c:v>
                </c:pt>
              </c:strCache>
            </c:strRef>
          </c:tx>
          <c:spPr>
            <a:solidFill>
              <a:schemeClr val="accent6">
                <a:lumMod val="75000"/>
              </a:schemeClr>
            </a:solidFill>
            <a:ln>
              <a:noFill/>
            </a:ln>
            <a:effectLst/>
          </c:spPr>
          <c:invertIfNegative val="0"/>
          <c:cat>
            <c:strRef>
              <c:f>[0]!Learnt_something_unexpected_lbl</c:f>
              <c:strCache>
                <c:ptCount val="1"/>
                <c:pt idx="0">
                  <c:v>TOTAL</c:v>
                </c:pt>
              </c:strCache>
            </c:strRef>
          </c:cat>
          <c:val>
            <c:numRef>
              <c:f>[0]!Learnt_something_unexpected_2</c:f>
              <c:numCache>
                <c:formatCode>0%</c:formatCode>
                <c:ptCount val="1"/>
                <c:pt idx="0">
                  <c:v>8.4019999999999997E-2</c:v>
                </c:pt>
              </c:numCache>
            </c:numRef>
          </c:val>
          <c:extLst>
            <c:ext xmlns:c16="http://schemas.microsoft.com/office/drawing/2014/chart" uri="{C3380CC4-5D6E-409C-BE32-E72D297353CC}">
              <c16:uniqueId val="{00000001-3772-48B3-A623-A8383B55E6A8}"/>
            </c:ext>
          </c:extLst>
        </c:ser>
        <c:dLbls>
          <c:showLegendKey val="0"/>
          <c:showVal val="0"/>
          <c:showCatName val="0"/>
          <c:showSerName val="0"/>
          <c:showPercent val="0"/>
          <c:showBubbleSize val="0"/>
        </c:dLbls>
        <c:gapWidth val="25"/>
        <c:overlap val="100"/>
        <c:axId val="2011325375"/>
        <c:axId val="2011321055"/>
      </c:barChart>
      <c:catAx>
        <c:axId val="201132537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2011321055"/>
        <c:crosses val="autoZero"/>
        <c:auto val="1"/>
        <c:lblAlgn val="ctr"/>
        <c:lblOffset val="100"/>
        <c:noMultiLvlLbl val="0"/>
      </c:catAx>
      <c:valAx>
        <c:axId val="2011321055"/>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113253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E: ABOUT YOU</a:t>
            </a:r>
            <a:r>
              <a:rPr lang="en-GB" sz="1050" b="0" i="0" u="none" strike="noStrike" baseline="0"/>
              <a:t> </a:t>
            </a:r>
            <a:r>
              <a:rPr lang="en-GB" sz="1050" b="1" i="0" u="none" strike="noStrike" baseline="0">
                <a:effectLst/>
              </a:rPr>
              <a:t>15. What is your sex?</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ComparisonReport!$J$4482</c:f>
              <c:strCache>
                <c:ptCount val="1"/>
                <c:pt idx="0">
                  <c:v>Female</c:v>
                </c:pt>
              </c:strCache>
            </c:strRef>
          </c:tx>
          <c:spPr>
            <a:solidFill>
              <a:schemeClr val="accent4">
                <a:lumMod val="75000"/>
              </a:schemeClr>
            </a:solidFill>
            <a:ln>
              <a:noFill/>
            </a:ln>
            <a:effectLst/>
          </c:spPr>
          <c:invertIfNegative val="0"/>
          <c:cat>
            <c:strRef>
              <c:f>[0]!_15._What_is_your_sex?_lbl</c:f>
              <c:strCache>
                <c:ptCount val="1"/>
                <c:pt idx="0">
                  <c:v>TOTAL</c:v>
                </c:pt>
              </c:strCache>
            </c:strRef>
          </c:cat>
          <c:val>
            <c:numRef>
              <c:f>[0]!_15._What_is_your_sex?_1</c:f>
              <c:numCache>
                <c:formatCode>0%</c:formatCode>
                <c:ptCount val="1"/>
                <c:pt idx="0">
                  <c:v>0.46636</c:v>
                </c:pt>
              </c:numCache>
            </c:numRef>
          </c:val>
          <c:extLst>
            <c:ext xmlns:c16="http://schemas.microsoft.com/office/drawing/2014/chart" uri="{C3380CC4-5D6E-409C-BE32-E72D297353CC}">
              <c16:uniqueId val="{00000000-3E24-47B5-909A-A7B9FB02E334}"/>
            </c:ext>
          </c:extLst>
        </c:ser>
        <c:ser>
          <c:idx val="1"/>
          <c:order val="1"/>
          <c:tx>
            <c:strRef>
              <c:f>ComparisonReport!$K$4482</c:f>
              <c:strCache>
                <c:ptCount val="1"/>
                <c:pt idx="0">
                  <c:v>Male</c:v>
                </c:pt>
              </c:strCache>
            </c:strRef>
          </c:tx>
          <c:spPr>
            <a:solidFill>
              <a:schemeClr val="accent3">
                <a:lumMod val="75000"/>
              </a:schemeClr>
            </a:solidFill>
            <a:ln>
              <a:noFill/>
            </a:ln>
            <a:effectLst/>
          </c:spPr>
          <c:invertIfNegative val="0"/>
          <c:cat>
            <c:strRef>
              <c:f>[0]!_15._What_is_your_sex?_lbl</c:f>
              <c:strCache>
                <c:ptCount val="1"/>
                <c:pt idx="0">
                  <c:v>TOTAL</c:v>
                </c:pt>
              </c:strCache>
            </c:strRef>
          </c:cat>
          <c:val>
            <c:numRef>
              <c:f>[0]!_15._What_is_your_sex?_2</c:f>
              <c:numCache>
                <c:formatCode>0%</c:formatCode>
                <c:ptCount val="1"/>
                <c:pt idx="0">
                  <c:v>0.53364</c:v>
                </c:pt>
              </c:numCache>
            </c:numRef>
          </c:val>
          <c:extLst>
            <c:ext xmlns:c16="http://schemas.microsoft.com/office/drawing/2014/chart" uri="{C3380CC4-5D6E-409C-BE32-E72D297353CC}">
              <c16:uniqueId val="{00000001-3E24-47B5-909A-A7B9FB02E334}"/>
            </c:ext>
          </c:extLst>
        </c:ser>
        <c:dLbls>
          <c:showLegendKey val="0"/>
          <c:showVal val="0"/>
          <c:showCatName val="0"/>
          <c:showSerName val="0"/>
          <c:showPercent val="0"/>
          <c:showBubbleSize val="0"/>
        </c:dLbls>
        <c:gapWidth val="25"/>
        <c:overlap val="100"/>
        <c:axId val="207867888"/>
        <c:axId val="207869808"/>
      </c:barChart>
      <c:catAx>
        <c:axId val="2078678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207869808"/>
        <c:crosses val="autoZero"/>
        <c:auto val="1"/>
        <c:lblAlgn val="ctr"/>
        <c:lblOffset val="100"/>
        <c:noMultiLvlLbl val="0"/>
      </c:catAx>
      <c:valAx>
        <c:axId val="207869808"/>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7867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E: ABOUT YOU</a:t>
            </a:r>
            <a:r>
              <a:rPr lang="en-GB" sz="1050" b="0" i="0" u="none" strike="noStrike" baseline="0"/>
              <a:t> </a:t>
            </a:r>
            <a:r>
              <a:rPr lang="en-GB" sz="1050" b="1" i="0" u="none" strike="noStrike" baseline="0">
                <a:effectLst/>
              </a:rPr>
              <a:t>16. Is the gender you identify with the same as your sex registered at birth?</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ComparisonReport!$J$4599</c:f>
              <c:strCache>
                <c:ptCount val="1"/>
                <c:pt idx="0">
                  <c:v>Yes</c:v>
                </c:pt>
              </c:strCache>
            </c:strRef>
          </c:tx>
          <c:spPr>
            <a:solidFill>
              <a:schemeClr val="accent4">
                <a:lumMod val="75000"/>
              </a:schemeClr>
            </a:solidFill>
            <a:ln>
              <a:noFill/>
            </a:ln>
            <a:effectLst/>
          </c:spPr>
          <c:invertIfNegative val="0"/>
          <c:cat>
            <c:strRef>
              <c:f>[0]!_16._Is_the_gender_you_identify_with_the_same_as_your_sex_registered_at_birth?_lbl</c:f>
              <c:strCache>
                <c:ptCount val="1"/>
                <c:pt idx="0">
                  <c:v>TOTAL</c:v>
                </c:pt>
              </c:strCache>
            </c:strRef>
          </c:cat>
          <c:val>
            <c:numRef>
              <c:f>[0]!_16._Is_the_gender_you_identify_with_the_same_as_your_sex_registered_at_birth?_1</c:f>
              <c:numCache>
                <c:formatCode>0%</c:formatCode>
                <c:ptCount val="1"/>
                <c:pt idx="0">
                  <c:v>0.99678999999999995</c:v>
                </c:pt>
              </c:numCache>
            </c:numRef>
          </c:val>
          <c:extLst>
            <c:ext xmlns:c16="http://schemas.microsoft.com/office/drawing/2014/chart" uri="{C3380CC4-5D6E-409C-BE32-E72D297353CC}">
              <c16:uniqueId val="{00000000-C1C0-4474-832C-18D37998069F}"/>
            </c:ext>
          </c:extLst>
        </c:ser>
        <c:ser>
          <c:idx val="1"/>
          <c:order val="1"/>
          <c:tx>
            <c:strRef>
              <c:f>ComparisonReport!$K$4599</c:f>
              <c:strCache>
                <c:ptCount val="1"/>
                <c:pt idx="0">
                  <c:v>No</c:v>
                </c:pt>
              </c:strCache>
            </c:strRef>
          </c:tx>
          <c:spPr>
            <a:solidFill>
              <a:schemeClr val="accent6">
                <a:lumMod val="75000"/>
              </a:schemeClr>
            </a:solidFill>
            <a:ln>
              <a:noFill/>
            </a:ln>
            <a:effectLst/>
          </c:spPr>
          <c:invertIfNegative val="0"/>
          <c:cat>
            <c:strRef>
              <c:f>[0]!_16._Is_the_gender_you_identify_with_the_same_as_your_sex_registered_at_birth?_lbl</c:f>
              <c:strCache>
                <c:ptCount val="1"/>
                <c:pt idx="0">
                  <c:v>TOTAL</c:v>
                </c:pt>
              </c:strCache>
            </c:strRef>
          </c:cat>
          <c:val>
            <c:numRef>
              <c:f>[0]!_16._Is_the_gender_you_identify_with_the_same_as_your_sex_registered_at_birth?_2</c:f>
              <c:numCache>
                <c:formatCode>0%</c:formatCode>
                <c:ptCount val="1"/>
                <c:pt idx="0">
                  <c:v>3.2100000000000002E-3</c:v>
                </c:pt>
              </c:numCache>
            </c:numRef>
          </c:val>
          <c:extLst>
            <c:ext xmlns:c16="http://schemas.microsoft.com/office/drawing/2014/chart" uri="{C3380CC4-5D6E-409C-BE32-E72D297353CC}">
              <c16:uniqueId val="{00000001-C1C0-4474-832C-18D37998069F}"/>
            </c:ext>
          </c:extLst>
        </c:ser>
        <c:dLbls>
          <c:showLegendKey val="0"/>
          <c:showVal val="0"/>
          <c:showCatName val="0"/>
          <c:showSerName val="0"/>
          <c:showPercent val="0"/>
          <c:showBubbleSize val="0"/>
        </c:dLbls>
        <c:gapWidth val="25"/>
        <c:overlap val="100"/>
        <c:axId val="352147872"/>
        <c:axId val="352143072"/>
      </c:barChart>
      <c:catAx>
        <c:axId val="3521478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352143072"/>
        <c:crosses val="autoZero"/>
        <c:auto val="1"/>
        <c:lblAlgn val="ctr"/>
        <c:lblOffset val="100"/>
        <c:noMultiLvlLbl val="0"/>
      </c:catAx>
      <c:valAx>
        <c:axId val="352143072"/>
        <c:scaling>
          <c:orientation val="minMax"/>
          <c:max val="1"/>
          <c:min val="0"/>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352147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E: ABOUT YOU</a:t>
            </a:r>
            <a:r>
              <a:rPr lang="en-GB" sz="1050" b="0" i="0" u="none" strike="noStrike" baseline="0"/>
              <a:t> </a:t>
            </a:r>
            <a:r>
              <a:rPr lang="en-GB" sz="1050" b="1" i="0" u="none" strike="noStrike" baseline="0">
                <a:effectLst/>
              </a:rPr>
              <a:t>17. Your age?</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ComparisonReport!$J$4716</c:f>
              <c:strCache>
                <c:ptCount val="1"/>
                <c:pt idx="0">
                  <c:v>Under 25</c:v>
                </c:pt>
              </c:strCache>
            </c:strRef>
          </c:tx>
          <c:spPr>
            <a:solidFill>
              <a:schemeClr val="accent4">
                <a:lumMod val="75000"/>
              </a:schemeClr>
            </a:solidFill>
            <a:ln>
              <a:noFill/>
            </a:ln>
            <a:effectLst/>
          </c:spPr>
          <c:invertIfNegative val="0"/>
          <c:cat>
            <c:strRef>
              <c:f>[0]!_17._Your_age?_lbl</c:f>
              <c:strCache>
                <c:ptCount val="1"/>
                <c:pt idx="0">
                  <c:v>TOTAL</c:v>
                </c:pt>
              </c:strCache>
            </c:strRef>
          </c:cat>
          <c:val>
            <c:numRef>
              <c:f>[0]!_17._Your_age?_1</c:f>
              <c:numCache>
                <c:formatCode>0%</c:formatCode>
                <c:ptCount val="1"/>
                <c:pt idx="0">
                  <c:v>8.3659999999999998E-2</c:v>
                </c:pt>
              </c:numCache>
            </c:numRef>
          </c:val>
          <c:extLst>
            <c:ext xmlns:c16="http://schemas.microsoft.com/office/drawing/2014/chart" uri="{C3380CC4-5D6E-409C-BE32-E72D297353CC}">
              <c16:uniqueId val="{00000000-FC4B-4395-A138-02500A12F58E}"/>
            </c:ext>
          </c:extLst>
        </c:ser>
        <c:ser>
          <c:idx val="1"/>
          <c:order val="1"/>
          <c:tx>
            <c:strRef>
              <c:f>ComparisonReport!$K$4716</c:f>
              <c:strCache>
                <c:ptCount val="1"/>
                <c:pt idx="0">
                  <c:v>25 to 44</c:v>
                </c:pt>
              </c:strCache>
            </c:strRef>
          </c:tx>
          <c:spPr>
            <a:solidFill>
              <a:schemeClr val="accent6">
                <a:lumMod val="75000"/>
              </a:schemeClr>
            </a:solidFill>
            <a:ln>
              <a:noFill/>
            </a:ln>
            <a:effectLst/>
          </c:spPr>
          <c:invertIfNegative val="0"/>
          <c:cat>
            <c:strRef>
              <c:f>[0]!_17._Your_age?_lbl</c:f>
              <c:strCache>
                <c:ptCount val="1"/>
                <c:pt idx="0">
                  <c:v>TOTAL</c:v>
                </c:pt>
              </c:strCache>
            </c:strRef>
          </c:cat>
          <c:val>
            <c:numRef>
              <c:f>[0]!_17._Your_age?_2</c:f>
              <c:numCache>
                <c:formatCode>0%</c:formatCode>
                <c:ptCount val="1"/>
                <c:pt idx="0">
                  <c:v>0.17005000000000001</c:v>
                </c:pt>
              </c:numCache>
            </c:numRef>
          </c:val>
          <c:extLst>
            <c:ext xmlns:c16="http://schemas.microsoft.com/office/drawing/2014/chart" uri="{C3380CC4-5D6E-409C-BE32-E72D297353CC}">
              <c16:uniqueId val="{00000001-FC4B-4395-A138-02500A12F58E}"/>
            </c:ext>
          </c:extLst>
        </c:ser>
        <c:ser>
          <c:idx val="2"/>
          <c:order val="2"/>
          <c:tx>
            <c:strRef>
              <c:f>ComparisonReport!$L$4716</c:f>
              <c:strCache>
                <c:ptCount val="1"/>
                <c:pt idx="0">
                  <c:v>45 to 64</c:v>
                </c:pt>
              </c:strCache>
            </c:strRef>
          </c:tx>
          <c:spPr>
            <a:solidFill>
              <a:schemeClr val="accent3">
                <a:lumMod val="75000"/>
              </a:schemeClr>
            </a:solidFill>
            <a:ln>
              <a:noFill/>
            </a:ln>
            <a:effectLst/>
          </c:spPr>
          <c:invertIfNegative val="0"/>
          <c:cat>
            <c:strRef>
              <c:f>[0]!_17._Your_age?_lbl</c:f>
              <c:strCache>
                <c:ptCount val="1"/>
                <c:pt idx="0">
                  <c:v>TOTAL</c:v>
                </c:pt>
              </c:strCache>
            </c:strRef>
          </c:cat>
          <c:val>
            <c:numRef>
              <c:f>[0]!_17._Your_age?_3</c:f>
              <c:numCache>
                <c:formatCode>0%</c:formatCode>
                <c:ptCount val="1"/>
                <c:pt idx="0">
                  <c:v>0.31152000000000002</c:v>
                </c:pt>
              </c:numCache>
            </c:numRef>
          </c:val>
          <c:extLst>
            <c:ext xmlns:c16="http://schemas.microsoft.com/office/drawing/2014/chart" uri="{C3380CC4-5D6E-409C-BE32-E72D297353CC}">
              <c16:uniqueId val="{00000002-FC4B-4395-A138-02500A12F58E}"/>
            </c:ext>
          </c:extLst>
        </c:ser>
        <c:ser>
          <c:idx val="3"/>
          <c:order val="3"/>
          <c:tx>
            <c:strRef>
              <c:f>ComparisonReport!$M$4716</c:f>
              <c:strCache>
                <c:ptCount val="1"/>
                <c:pt idx="0">
                  <c:v>65 to 74</c:v>
                </c:pt>
              </c:strCache>
            </c:strRef>
          </c:tx>
          <c:spPr>
            <a:solidFill>
              <a:schemeClr val="accent5">
                <a:lumMod val="75000"/>
              </a:schemeClr>
            </a:solidFill>
            <a:ln>
              <a:noFill/>
            </a:ln>
            <a:effectLst/>
          </c:spPr>
          <c:invertIfNegative val="0"/>
          <c:cat>
            <c:strRef>
              <c:f>[0]!_17._Your_age?_lbl</c:f>
              <c:strCache>
                <c:ptCount val="1"/>
                <c:pt idx="0">
                  <c:v>TOTAL</c:v>
                </c:pt>
              </c:strCache>
            </c:strRef>
          </c:cat>
          <c:val>
            <c:numRef>
              <c:f>[0]!_17._Your_age?_4</c:f>
              <c:numCache>
                <c:formatCode>0%</c:formatCode>
                <c:ptCount val="1"/>
                <c:pt idx="0">
                  <c:v>0.30287999999999998</c:v>
                </c:pt>
              </c:numCache>
            </c:numRef>
          </c:val>
          <c:extLst>
            <c:ext xmlns:c16="http://schemas.microsoft.com/office/drawing/2014/chart" uri="{C3380CC4-5D6E-409C-BE32-E72D297353CC}">
              <c16:uniqueId val="{00000003-FC4B-4395-A138-02500A12F58E}"/>
            </c:ext>
          </c:extLst>
        </c:ser>
        <c:ser>
          <c:idx val="4"/>
          <c:order val="4"/>
          <c:tx>
            <c:strRef>
              <c:f>ComparisonReport!$N$4716</c:f>
              <c:strCache>
                <c:ptCount val="1"/>
                <c:pt idx="0">
                  <c:v>75 or over</c:v>
                </c:pt>
              </c:strCache>
            </c:strRef>
          </c:tx>
          <c:spPr>
            <a:solidFill>
              <a:schemeClr val="tx1"/>
            </a:solidFill>
            <a:ln>
              <a:noFill/>
            </a:ln>
            <a:effectLst/>
          </c:spPr>
          <c:invertIfNegative val="0"/>
          <c:cat>
            <c:strRef>
              <c:f>[0]!_17._Your_age?_lbl</c:f>
              <c:strCache>
                <c:ptCount val="1"/>
                <c:pt idx="0">
                  <c:v>TOTAL</c:v>
                </c:pt>
              </c:strCache>
            </c:strRef>
          </c:cat>
          <c:val>
            <c:numRef>
              <c:f>[0]!_17._Your_age?_5</c:f>
              <c:numCache>
                <c:formatCode>0%</c:formatCode>
                <c:ptCount val="1"/>
                <c:pt idx="0">
                  <c:v>0.13186999999999999</c:v>
                </c:pt>
              </c:numCache>
            </c:numRef>
          </c:val>
          <c:extLst>
            <c:ext xmlns:c16="http://schemas.microsoft.com/office/drawing/2014/chart" uri="{C3380CC4-5D6E-409C-BE32-E72D297353CC}">
              <c16:uniqueId val="{00000004-FC4B-4395-A138-02500A12F58E}"/>
            </c:ext>
          </c:extLst>
        </c:ser>
        <c:dLbls>
          <c:showLegendKey val="0"/>
          <c:showVal val="0"/>
          <c:showCatName val="0"/>
          <c:showSerName val="0"/>
          <c:showPercent val="0"/>
          <c:showBubbleSize val="0"/>
        </c:dLbls>
        <c:gapWidth val="25"/>
        <c:overlap val="100"/>
        <c:axId val="2036613103"/>
        <c:axId val="2036591503"/>
      </c:barChart>
      <c:catAx>
        <c:axId val="203661310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2036591503"/>
        <c:crosses val="autoZero"/>
        <c:auto val="1"/>
        <c:lblAlgn val="ctr"/>
        <c:lblOffset val="100"/>
        <c:noMultiLvlLbl val="0"/>
      </c:catAx>
      <c:valAx>
        <c:axId val="2036591503"/>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366131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clustered"/>
        <c:varyColors val="0"/>
        <c:ser>
          <c:idx val="0"/>
          <c:order val="0"/>
          <c:tx>
            <c:strRef>
              <c:f>ComparisonReport!$J$4831:$J$4833</c:f>
              <c:strCache>
                <c:ptCount val="1"/>
                <c:pt idx="0">
                  <c:v>SECTION E: ABOUT YOU 17. Your age? Average age</c:v>
                </c:pt>
              </c:strCache>
            </c:strRef>
          </c:tx>
          <c:spPr>
            <a:solidFill>
              <a:schemeClr val="accent4">
                <a:lumMod val="75000"/>
              </a:schemeClr>
            </a:solidFill>
            <a:ln>
              <a:noFill/>
            </a:ln>
            <a:effectLst/>
          </c:spPr>
          <c:invertIfNegative val="0"/>
          <c:cat>
            <c:strRef>
              <c:f>[0]!Average_age_lbl</c:f>
              <c:strCache>
                <c:ptCount val="1"/>
                <c:pt idx="0">
                  <c:v>TOTAL</c:v>
                </c:pt>
              </c:strCache>
            </c:strRef>
          </c:cat>
          <c:val>
            <c:numRef>
              <c:f>[0]!Average_age_avg</c:f>
              <c:numCache>
                <c:formatCode>General</c:formatCode>
                <c:ptCount val="1"/>
                <c:pt idx="0">
                  <c:v>56.569119999999998</c:v>
                </c:pt>
              </c:numCache>
            </c:numRef>
          </c:val>
          <c:extLst>
            <c:ext xmlns:c16="http://schemas.microsoft.com/office/drawing/2014/chart" uri="{C3380CC4-5D6E-409C-BE32-E72D297353CC}">
              <c16:uniqueId val="{00000000-BB76-413F-840D-94219E97090B}"/>
            </c:ext>
          </c:extLst>
        </c:ser>
        <c:dLbls>
          <c:showLegendKey val="0"/>
          <c:showVal val="0"/>
          <c:showCatName val="0"/>
          <c:showSerName val="0"/>
          <c:showPercent val="0"/>
          <c:showBubbleSize val="0"/>
        </c:dLbls>
        <c:gapWidth val="25"/>
        <c:axId val="223179392"/>
        <c:axId val="223179872"/>
      </c:barChart>
      <c:catAx>
        <c:axId val="2231793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223179872"/>
        <c:crosses val="autoZero"/>
        <c:auto val="1"/>
        <c:lblAlgn val="ctr"/>
        <c:lblOffset val="100"/>
        <c:noMultiLvlLbl val="0"/>
      </c:catAx>
      <c:valAx>
        <c:axId val="223179872"/>
        <c:scaling>
          <c:orientation val="minMax"/>
          <c:max val="70"/>
          <c:min val="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23179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E: ABOUT YOU</a:t>
            </a:r>
            <a:r>
              <a:rPr lang="en-GB" sz="1050" b="0" i="0" u="none" strike="noStrike" baseline="0"/>
              <a:t> </a:t>
            </a:r>
            <a:r>
              <a:rPr lang="en-GB" sz="1050" b="1" i="0" u="none" strike="noStrike" baseline="0">
                <a:effectLst/>
              </a:rPr>
              <a:t>18. (a) If you are a UK resident, what is your postcode? By Index of Multiple Deprivation (IMD)</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ComparisonReport!$J$4950</c:f>
              <c:strCache>
                <c:ptCount val="1"/>
                <c:pt idx="0">
                  <c:v>1st quintile (most deprived)</c:v>
                </c:pt>
              </c:strCache>
            </c:strRef>
          </c:tx>
          <c:spPr>
            <a:solidFill>
              <a:schemeClr val="accent6">
                <a:shade val="53000"/>
              </a:schemeClr>
            </a:solidFill>
            <a:ln>
              <a:noFill/>
            </a:ln>
            <a:effectLst/>
          </c:spPr>
          <c:invertIfNegative val="0"/>
          <c:cat>
            <c:strRef>
              <c:f>[0]!_18.__a__If_you_are_a_UK_resident__what_is_your_postcode?___By_Index_of_Multiple_Deprivation__IMD_lbl</c:f>
              <c:strCache>
                <c:ptCount val="1"/>
                <c:pt idx="0">
                  <c:v>TOTAL</c:v>
                </c:pt>
              </c:strCache>
            </c:strRef>
          </c:cat>
          <c:val>
            <c:numRef>
              <c:f>[0]!_18.__a__If_you_are_a_UK_resident__what_is_your_postcode?___By_Index_of_Multiple_Deprivation__IMD_1</c:f>
              <c:numCache>
                <c:formatCode>0%</c:formatCode>
                <c:ptCount val="1"/>
                <c:pt idx="0">
                  <c:v>6.3210000000000002E-2</c:v>
                </c:pt>
              </c:numCache>
            </c:numRef>
          </c:val>
          <c:extLst>
            <c:ext xmlns:c16="http://schemas.microsoft.com/office/drawing/2014/chart" uri="{C3380CC4-5D6E-409C-BE32-E72D297353CC}">
              <c16:uniqueId val="{00000000-E941-4B61-AC49-F2B75E39668D}"/>
            </c:ext>
          </c:extLst>
        </c:ser>
        <c:ser>
          <c:idx val="1"/>
          <c:order val="1"/>
          <c:tx>
            <c:strRef>
              <c:f>ComparisonReport!$K$4950</c:f>
              <c:strCache>
                <c:ptCount val="1"/>
                <c:pt idx="0">
                  <c:v>2nd quintile</c:v>
                </c:pt>
              </c:strCache>
            </c:strRef>
          </c:tx>
          <c:spPr>
            <a:solidFill>
              <a:schemeClr val="accent6">
                <a:shade val="76000"/>
              </a:schemeClr>
            </a:solidFill>
            <a:ln>
              <a:noFill/>
            </a:ln>
            <a:effectLst/>
          </c:spPr>
          <c:invertIfNegative val="0"/>
          <c:cat>
            <c:strRef>
              <c:f>[0]!_18.__a__If_you_are_a_UK_resident__what_is_your_postcode?___By_Index_of_Multiple_Deprivation__IMD_lbl</c:f>
              <c:strCache>
                <c:ptCount val="1"/>
                <c:pt idx="0">
                  <c:v>TOTAL</c:v>
                </c:pt>
              </c:strCache>
            </c:strRef>
          </c:cat>
          <c:val>
            <c:numRef>
              <c:f>[0]!_18.__a__If_you_are_a_UK_resident__what_is_your_postcode?___By_Index_of_Multiple_Deprivation__IMD_2</c:f>
              <c:numCache>
                <c:formatCode>0%</c:formatCode>
                <c:ptCount val="1"/>
                <c:pt idx="0">
                  <c:v>0.13089999999999999</c:v>
                </c:pt>
              </c:numCache>
            </c:numRef>
          </c:val>
          <c:extLst>
            <c:ext xmlns:c16="http://schemas.microsoft.com/office/drawing/2014/chart" uri="{C3380CC4-5D6E-409C-BE32-E72D297353CC}">
              <c16:uniqueId val="{00000001-E941-4B61-AC49-F2B75E39668D}"/>
            </c:ext>
          </c:extLst>
        </c:ser>
        <c:ser>
          <c:idx val="2"/>
          <c:order val="2"/>
          <c:tx>
            <c:strRef>
              <c:f>ComparisonReport!$L$4950</c:f>
              <c:strCache>
                <c:ptCount val="1"/>
                <c:pt idx="0">
                  <c:v>3rd quintile</c:v>
                </c:pt>
              </c:strCache>
            </c:strRef>
          </c:tx>
          <c:spPr>
            <a:solidFill>
              <a:schemeClr val="accent6"/>
            </a:solidFill>
            <a:ln>
              <a:noFill/>
            </a:ln>
            <a:effectLst/>
          </c:spPr>
          <c:invertIfNegative val="0"/>
          <c:cat>
            <c:strRef>
              <c:f>[0]!_18.__a__If_you_are_a_UK_resident__what_is_your_postcode?___By_Index_of_Multiple_Deprivation__IMD_lbl</c:f>
              <c:strCache>
                <c:ptCount val="1"/>
                <c:pt idx="0">
                  <c:v>TOTAL</c:v>
                </c:pt>
              </c:strCache>
            </c:strRef>
          </c:cat>
          <c:val>
            <c:numRef>
              <c:f>[0]!_18.__a__If_you_are_a_UK_resident__what_is_your_postcode?___By_Index_of_Multiple_Deprivation__IMD_3</c:f>
              <c:numCache>
                <c:formatCode>0%</c:formatCode>
                <c:ptCount val="1"/>
                <c:pt idx="0">
                  <c:v>0.22957</c:v>
                </c:pt>
              </c:numCache>
            </c:numRef>
          </c:val>
          <c:extLst>
            <c:ext xmlns:c16="http://schemas.microsoft.com/office/drawing/2014/chart" uri="{C3380CC4-5D6E-409C-BE32-E72D297353CC}">
              <c16:uniqueId val="{00000002-E941-4B61-AC49-F2B75E39668D}"/>
            </c:ext>
          </c:extLst>
        </c:ser>
        <c:ser>
          <c:idx val="3"/>
          <c:order val="3"/>
          <c:tx>
            <c:strRef>
              <c:f>ComparisonReport!$M$4950</c:f>
              <c:strCache>
                <c:ptCount val="1"/>
                <c:pt idx="0">
                  <c:v>4th quintile</c:v>
                </c:pt>
              </c:strCache>
            </c:strRef>
          </c:tx>
          <c:spPr>
            <a:solidFill>
              <a:schemeClr val="accent6">
                <a:tint val="77000"/>
              </a:schemeClr>
            </a:solidFill>
            <a:ln>
              <a:noFill/>
            </a:ln>
            <a:effectLst/>
          </c:spPr>
          <c:invertIfNegative val="0"/>
          <c:cat>
            <c:strRef>
              <c:f>[0]!_18.__a__If_you_are_a_UK_resident__what_is_your_postcode?___By_Index_of_Multiple_Deprivation__IMD_lbl</c:f>
              <c:strCache>
                <c:ptCount val="1"/>
                <c:pt idx="0">
                  <c:v>TOTAL</c:v>
                </c:pt>
              </c:strCache>
            </c:strRef>
          </c:cat>
          <c:val>
            <c:numRef>
              <c:f>[0]!_18.__a__If_you_are_a_UK_resident__what_is_your_postcode?___By_Index_of_Multiple_Deprivation__IMD_4</c:f>
              <c:numCache>
                <c:formatCode>0%</c:formatCode>
                <c:ptCount val="1"/>
                <c:pt idx="0">
                  <c:v>0.25594</c:v>
                </c:pt>
              </c:numCache>
            </c:numRef>
          </c:val>
          <c:extLst>
            <c:ext xmlns:c16="http://schemas.microsoft.com/office/drawing/2014/chart" uri="{C3380CC4-5D6E-409C-BE32-E72D297353CC}">
              <c16:uniqueId val="{00000003-E941-4B61-AC49-F2B75E39668D}"/>
            </c:ext>
          </c:extLst>
        </c:ser>
        <c:ser>
          <c:idx val="4"/>
          <c:order val="4"/>
          <c:tx>
            <c:strRef>
              <c:f>ComparisonReport!$N$4950</c:f>
              <c:strCache>
                <c:ptCount val="1"/>
                <c:pt idx="0">
                  <c:v>5th quintile (least deprived)</c:v>
                </c:pt>
              </c:strCache>
            </c:strRef>
          </c:tx>
          <c:spPr>
            <a:solidFill>
              <a:schemeClr val="accent6">
                <a:tint val="54000"/>
              </a:schemeClr>
            </a:solidFill>
            <a:ln>
              <a:noFill/>
            </a:ln>
            <a:effectLst/>
          </c:spPr>
          <c:invertIfNegative val="0"/>
          <c:cat>
            <c:strRef>
              <c:f>[0]!_18.__a__If_you_are_a_UK_resident__what_is_your_postcode?___By_Index_of_Multiple_Deprivation__IMD_lbl</c:f>
              <c:strCache>
                <c:ptCount val="1"/>
                <c:pt idx="0">
                  <c:v>TOTAL</c:v>
                </c:pt>
              </c:strCache>
            </c:strRef>
          </c:cat>
          <c:val>
            <c:numRef>
              <c:f>[0]!_18.__a__If_you_are_a_UK_resident__what_is_your_postcode?___By_Index_of_Multiple_Deprivation__IMD_5</c:f>
              <c:numCache>
                <c:formatCode>0%</c:formatCode>
                <c:ptCount val="1"/>
                <c:pt idx="0">
                  <c:v>0.32036999999999999</c:v>
                </c:pt>
              </c:numCache>
            </c:numRef>
          </c:val>
          <c:extLst>
            <c:ext xmlns:c16="http://schemas.microsoft.com/office/drawing/2014/chart" uri="{C3380CC4-5D6E-409C-BE32-E72D297353CC}">
              <c16:uniqueId val="{00000004-E941-4B61-AC49-F2B75E39668D}"/>
            </c:ext>
          </c:extLst>
        </c:ser>
        <c:dLbls>
          <c:showLegendKey val="0"/>
          <c:showVal val="0"/>
          <c:showCatName val="0"/>
          <c:showSerName val="0"/>
          <c:showPercent val="0"/>
          <c:showBubbleSize val="0"/>
        </c:dLbls>
        <c:gapWidth val="25"/>
        <c:overlap val="100"/>
        <c:axId val="331092304"/>
        <c:axId val="331093744"/>
      </c:barChart>
      <c:catAx>
        <c:axId val="3310923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331093744"/>
        <c:crosses val="autoZero"/>
        <c:auto val="1"/>
        <c:lblAlgn val="ctr"/>
        <c:lblOffset val="100"/>
        <c:noMultiLvlLbl val="0"/>
      </c:catAx>
      <c:valAx>
        <c:axId val="33109374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331092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E: ABOUT YOU</a:t>
            </a:r>
            <a:r>
              <a:rPr lang="en-GB" sz="1050" b="0" i="0" u="none" strike="noStrike" baseline="0"/>
              <a:t> </a:t>
            </a:r>
            <a:r>
              <a:rPr lang="en-GB" sz="1050" b="1" i="0" u="none" strike="noStrike" baseline="0">
                <a:effectLst/>
              </a:rPr>
              <a:t>(b) If not a UK resident, what is your country of residence? By region</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ComparisonReport!$J$5063</c:f>
              <c:strCache>
                <c:ptCount val="1"/>
                <c:pt idx="0">
                  <c:v>Americas</c:v>
                </c:pt>
              </c:strCache>
            </c:strRef>
          </c:tx>
          <c:spPr>
            <a:solidFill>
              <a:schemeClr val="accent4">
                <a:lumMod val="75000"/>
              </a:schemeClr>
            </a:solidFill>
            <a:ln>
              <a:noFill/>
            </a:ln>
            <a:effectLst/>
          </c:spPr>
          <c:invertIfNegative val="0"/>
          <c:cat>
            <c:strRef>
              <c:f>[0]!b__If_not_a_UK_resident__what_is_your_country_of_residence?___By_region_lbl</c:f>
              <c:strCache>
                <c:ptCount val="1"/>
                <c:pt idx="0">
                  <c:v>TOTAL</c:v>
                </c:pt>
              </c:strCache>
            </c:strRef>
          </c:cat>
          <c:val>
            <c:numRef>
              <c:f>[0]!b__If_not_a_UK_resident__what_is_your_country_of_residence?___By_region_1</c:f>
              <c:numCache>
                <c:formatCode>0%</c:formatCode>
                <c:ptCount val="1"/>
                <c:pt idx="0">
                  <c:v>0.40045999999999998</c:v>
                </c:pt>
              </c:numCache>
            </c:numRef>
          </c:val>
          <c:extLst>
            <c:ext xmlns:c16="http://schemas.microsoft.com/office/drawing/2014/chart" uri="{C3380CC4-5D6E-409C-BE32-E72D297353CC}">
              <c16:uniqueId val="{00000001-E100-41DA-86CE-06FCF239CFD8}"/>
            </c:ext>
          </c:extLst>
        </c:ser>
        <c:ser>
          <c:idx val="1"/>
          <c:order val="1"/>
          <c:tx>
            <c:strRef>
              <c:f>ComparisonReport!$K$5063</c:f>
              <c:strCache>
                <c:ptCount val="1"/>
                <c:pt idx="0">
                  <c:v>Europe</c:v>
                </c:pt>
              </c:strCache>
            </c:strRef>
          </c:tx>
          <c:spPr>
            <a:solidFill>
              <a:schemeClr val="accent6">
                <a:lumMod val="75000"/>
              </a:schemeClr>
            </a:solidFill>
            <a:ln>
              <a:noFill/>
            </a:ln>
            <a:effectLst/>
          </c:spPr>
          <c:invertIfNegative val="0"/>
          <c:cat>
            <c:strRef>
              <c:f>[0]!b__If_not_a_UK_resident__what_is_your_country_of_residence?___By_region_lbl</c:f>
              <c:strCache>
                <c:ptCount val="1"/>
                <c:pt idx="0">
                  <c:v>TOTAL</c:v>
                </c:pt>
              </c:strCache>
            </c:strRef>
          </c:cat>
          <c:val>
            <c:numRef>
              <c:f>[0]!b__If_not_a_UK_resident__what_is_your_country_of_residence?___By_region_2</c:f>
              <c:numCache>
                <c:formatCode>0%</c:formatCode>
                <c:ptCount val="1"/>
                <c:pt idx="0">
                  <c:v>0.33523999999999998</c:v>
                </c:pt>
              </c:numCache>
            </c:numRef>
          </c:val>
          <c:extLst>
            <c:ext xmlns:c16="http://schemas.microsoft.com/office/drawing/2014/chart" uri="{C3380CC4-5D6E-409C-BE32-E72D297353CC}">
              <c16:uniqueId val="{00000002-E100-41DA-86CE-06FCF239CFD8}"/>
            </c:ext>
          </c:extLst>
        </c:ser>
        <c:ser>
          <c:idx val="2"/>
          <c:order val="2"/>
          <c:tx>
            <c:strRef>
              <c:f>ComparisonReport!$L$5063</c:f>
              <c:strCache>
                <c:ptCount val="1"/>
                <c:pt idx="0">
                  <c:v>Oceania</c:v>
                </c:pt>
              </c:strCache>
            </c:strRef>
          </c:tx>
          <c:spPr>
            <a:solidFill>
              <a:schemeClr val="accent3">
                <a:lumMod val="75000"/>
              </a:schemeClr>
            </a:solidFill>
            <a:ln>
              <a:noFill/>
            </a:ln>
            <a:effectLst/>
          </c:spPr>
          <c:invertIfNegative val="0"/>
          <c:cat>
            <c:strRef>
              <c:f>[0]!b__If_not_a_UK_resident__what_is_your_country_of_residence?___By_region_lbl</c:f>
              <c:strCache>
                <c:ptCount val="1"/>
                <c:pt idx="0">
                  <c:v>TOTAL</c:v>
                </c:pt>
              </c:strCache>
            </c:strRef>
          </c:cat>
          <c:val>
            <c:numRef>
              <c:f>[0]!b__If_not_a_UK_resident__what_is_your_country_of_residence?___By_region_3</c:f>
              <c:numCache>
                <c:formatCode>0%</c:formatCode>
                <c:ptCount val="1"/>
                <c:pt idx="0">
                  <c:v>0.13241</c:v>
                </c:pt>
              </c:numCache>
            </c:numRef>
          </c:val>
          <c:extLst>
            <c:ext xmlns:c16="http://schemas.microsoft.com/office/drawing/2014/chart" uri="{C3380CC4-5D6E-409C-BE32-E72D297353CC}">
              <c16:uniqueId val="{00000003-E100-41DA-86CE-06FCF239CFD8}"/>
            </c:ext>
          </c:extLst>
        </c:ser>
        <c:ser>
          <c:idx val="3"/>
          <c:order val="3"/>
          <c:tx>
            <c:strRef>
              <c:f>ComparisonReport!$M$5063</c:f>
              <c:strCache>
                <c:ptCount val="1"/>
                <c:pt idx="0">
                  <c:v>Asia</c:v>
                </c:pt>
              </c:strCache>
            </c:strRef>
          </c:tx>
          <c:spPr>
            <a:solidFill>
              <a:schemeClr val="accent5">
                <a:lumMod val="75000"/>
              </a:schemeClr>
            </a:solidFill>
            <a:ln>
              <a:noFill/>
            </a:ln>
            <a:effectLst/>
          </c:spPr>
          <c:invertIfNegative val="0"/>
          <c:cat>
            <c:strRef>
              <c:f>[0]!b__If_not_a_UK_resident__what_is_your_country_of_residence?___By_region_lbl</c:f>
              <c:strCache>
                <c:ptCount val="1"/>
                <c:pt idx="0">
                  <c:v>TOTAL</c:v>
                </c:pt>
              </c:strCache>
            </c:strRef>
          </c:cat>
          <c:val>
            <c:numRef>
              <c:f>[0]!b__If_not_a_UK_resident__what_is_your_country_of_residence?___By_region_4</c:f>
              <c:numCache>
                <c:formatCode>0%</c:formatCode>
                <c:ptCount val="1"/>
                <c:pt idx="0">
                  <c:v>9.4920000000000004E-2</c:v>
                </c:pt>
              </c:numCache>
            </c:numRef>
          </c:val>
          <c:extLst>
            <c:ext xmlns:c16="http://schemas.microsoft.com/office/drawing/2014/chart" uri="{C3380CC4-5D6E-409C-BE32-E72D297353CC}">
              <c16:uniqueId val="{00000004-E100-41DA-86CE-06FCF239CFD8}"/>
            </c:ext>
          </c:extLst>
        </c:ser>
        <c:ser>
          <c:idx val="4"/>
          <c:order val="4"/>
          <c:tx>
            <c:strRef>
              <c:f>ComparisonReport!$N$5063</c:f>
              <c:strCache>
                <c:ptCount val="1"/>
                <c:pt idx="0">
                  <c:v>Africa</c:v>
                </c:pt>
              </c:strCache>
            </c:strRef>
          </c:tx>
          <c:spPr>
            <a:solidFill>
              <a:schemeClr val="tx1">
                <a:lumMod val="50000"/>
                <a:lumOff val="50000"/>
              </a:schemeClr>
            </a:solidFill>
            <a:ln>
              <a:noFill/>
            </a:ln>
            <a:effectLst/>
          </c:spPr>
          <c:invertIfNegative val="0"/>
          <c:cat>
            <c:strRef>
              <c:f>[0]!b__If_not_a_UK_resident__what_is_your_country_of_residence?___By_region_lbl</c:f>
              <c:strCache>
                <c:ptCount val="1"/>
                <c:pt idx="0">
                  <c:v>TOTAL</c:v>
                </c:pt>
              </c:strCache>
            </c:strRef>
          </c:cat>
          <c:val>
            <c:numRef>
              <c:f>[0]!b__If_not_a_UK_resident__what_is_your_country_of_residence?___By_region_5</c:f>
              <c:numCache>
                <c:formatCode>0%</c:formatCode>
                <c:ptCount val="1"/>
                <c:pt idx="0">
                  <c:v>3.696E-2</c:v>
                </c:pt>
              </c:numCache>
            </c:numRef>
          </c:val>
          <c:extLst>
            <c:ext xmlns:c16="http://schemas.microsoft.com/office/drawing/2014/chart" uri="{C3380CC4-5D6E-409C-BE32-E72D297353CC}">
              <c16:uniqueId val="{00000005-E100-41DA-86CE-06FCF239CFD8}"/>
            </c:ext>
          </c:extLst>
        </c:ser>
        <c:dLbls>
          <c:showLegendKey val="0"/>
          <c:showVal val="0"/>
          <c:showCatName val="0"/>
          <c:showSerName val="0"/>
          <c:showPercent val="0"/>
          <c:showBubbleSize val="0"/>
        </c:dLbls>
        <c:gapWidth val="25"/>
        <c:overlap val="100"/>
        <c:axId val="302034304"/>
        <c:axId val="302034784"/>
      </c:barChart>
      <c:catAx>
        <c:axId val="3020343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302034784"/>
        <c:crosses val="autoZero"/>
        <c:auto val="1"/>
        <c:lblAlgn val="ctr"/>
        <c:lblOffset val="100"/>
        <c:noMultiLvlLbl val="0"/>
      </c:catAx>
      <c:valAx>
        <c:axId val="30203478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30203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E: ABOUT YOU</a:t>
            </a:r>
            <a:r>
              <a:rPr lang="en-GB" sz="1050" b="0" i="0" u="none" strike="noStrike" baseline="0"/>
              <a:t> </a:t>
            </a:r>
            <a:r>
              <a:rPr lang="en-GB" sz="1050" b="1" i="0" u="none" strike="noStrike" baseline="0">
                <a:effectLst/>
              </a:rPr>
              <a:t>19. What is your ethnic group? </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ComparisonReport!$J$5141</c:f>
              <c:strCache>
                <c:ptCount val="1"/>
                <c:pt idx="0">
                  <c:v>White</c:v>
                </c:pt>
              </c:strCache>
            </c:strRef>
          </c:tx>
          <c:spPr>
            <a:solidFill>
              <a:schemeClr val="accent4">
                <a:lumMod val="75000"/>
              </a:schemeClr>
            </a:solidFill>
            <a:ln>
              <a:noFill/>
            </a:ln>
            <a:effectLst/>
          </c:spPr>
          <c:invertIfNegative val="0"/>
          <c:cat>
            <c:strRef>
              <c:f>[0]!_19._What_is_your_ethnic_group?_lbl</c:f>
              <c:strCache>
                <c:ptCount val="1"/>
                <c:pt idx="0">
                  <c:v>TOTAL</c:v>
                </c:pt>
              </c:strCache>
            </c:strRef>
          </c:cat>
          <c:val>
            <c:numRef>
              <c:f>[0]!_19._What_is_your_ethnic_group?_1</c:f>
              <c:numCache>
                <c:formatCode>0%</c:formatCode>
                <c:ptCount val="1"/>
                <c:pt idx="0">
                  <c:v>0.93405000000000005</c:v>
                </c:pt>
              </c:numCache>
            </c:numRef>
          </c:val>
          <c:extLst>
            <c:ext xmlns:c16="http://schemas.microsoft.com/office/drawing/2014/chart" uri="{C3380CC4-5D6E-409C-BE32-E72D297353CC}">
              <c16:uniqueId val="{00000000-2A21-4BC1-AEB8-5E55F6431219}"/>
            </c:ext>
          </c:extLst>
        </c:ser>
        <c:ser>
          <c:idx val="1"/>
          <c:order val="1"/>
          <c:tx>
            <c:strRef>
              <c:f>ComparisonReport!$K$5141</c:f>
              <c:strCache>
                <c:ptCount val="1"/>
                <c:pt idx="0">
                  <c:v>Asian</c:v>
                </c:pt>
              </c:strCache>
            </c:strRef>
          </c:tx>
          <c:spPr>
            <a:solidFill>
              <a:schemeClr val="accent6">
                <a:lumMod val="75000"/>
              </a:schemeClr>
            </a:solidFill>
            <a:ln>
              <a:noFill/>
            </a:ln>
            <a:effectLst/>
          </c:spPr>
          <c:invertIfNegative val="0"/>
          <c:cat>
            <c:strRef>
              <c:f>[0]!_19._What_is_your_ethnic_group?_lbl</c:f>
              <c:strCache>
                <c:ptCount val="1"/>
                <c:pt idx="0">
                  <c:v>TOTAL</c:v>
                </c:pt>
              </c:strCache>
            </c:strRef>
          </c:cat>
          <c:val>
            <c:numRef>
              <c:f>[0]!_19._What_is_your_ethnic_group?_2</c:f>
              <c:numCache>
                <c:formatCode>0%</c:formatCode>
                <c:ptCount val="1"/>
                <c:pt idx="0">
                  <c:v>2.6079999999999999E-2</c:v>
                </c:pt>
              </c:numCache>
            </c:numRef>
          </c:val>
          <c:extLst>
            <c:ext xmlns:c16="http://schemas.microsoft.com/office/drawing/2014/chart" uri="{C3380CC4-5D6E-409C-BE32-E72D297353CC}">
              <c16:uniqueId val="{00000001-2A21-4BC1-AEB8-5E55F6431219}"/>
            </c:ext>
          </c:extLst>
        </c:ser>
        <c:ser>
          <c:idx val="2"/>
          <c:order val="2"/>
          <c:tx>
            <c:strRef>
              <c:f>ComparisonReport!$L$5141</c:f>
              <c:strCache>
                <c:ptCount val="1"/>
                <c:pt idx="0">
                  <c:v>Mixed</c:v>
                </c:pt>
              </c:strCache>
            </c:strRef>
          </c:tx>
          <c:spPr>
            <a:solidFill>
              <a:schemeClr val="accent3">
                <a:lumMod val="75000"/>
              </a:schemeClr>
            </a:solidFill>
            <a:ln>
              <a:noFill/>
            </a:ln>
            <a:effectLst/>
          </c:spPr>
          <c:invertIfNegative val="0"/>
          <c:cat>
            <c:strRef>
              <c:f>[0]!_19._What_is_your_ethnic_group?_lbl</c:f>
              <c:strCache>
                <c:ptCount val="1"/>
                <c:pt idx="0">
                  <c:v>TOTAL</c:v>
                </c:pt>
              </c:strCache>
            </c:strRef>
          </c:cat>
          <c:val>
            <c:numRef>
              <c:f>[0]!_19._What_is_your_ethnic_group?_3</c:f>
              <c:numCache>
                <c:formatCode>0%</c:formatCode>
                <c:ptCount val="1"/>
                <c:pt idx="0">
                  <c:v>1.653E-2</c:v>
                </c:pt>
              </c:numCache>
            </c:numRef>
          </c:val>
          <c:extLst>
            <c:ext xmlns:c16="http://schemas.microsoft.com/office/drawing/2014/chart" uri="{C3380CC4-5D6E-409C-BE32-E72D297353CC}">
              <c16:uniqueId val="{00000002-2A21-4BC1-AEB8-5E55F6431219}"/>
            </c:ext>
          </c:extLst>
        </c:ser>
        <c:ser>
          <c:idx val="3"/>
          <c:order val="3"/>
          <c:tx>
            <c:strRef>
              <c:f>ComparisonReport!$M$5141</c:f>
              <c:strCache>
                <c:ptCount val="1"/>
                <c:pt idx="0">
                  <c:v>Black</c:v>
                </c:pt>
              </c:strCache>
            </c:strRef>
          </c:tx>
          <c:spPr>
            <a:solidFill>
              <a:schemeClr val="accent5">
                <a:lumMod val="75000"/>
              </a:schemeClr>
            </a:solidFill>
            <a:ln>
              <a:noFill/>
            </a:ln>
            <a:effectLst/>
          </c:spPr>
          <c:invertIfNegative val="0"/>
          <c:cat>
            <c:strRef>
              <c:f>[0]!_19._What_is_your_ethnic_group?_lbl</c:f>
              <c:strCache>
                <c:ptCount val="1"/>
                <c:pt idx="0">
                  <c:v>TOTAL</c:v>
                </c:pt>
              </c:strCache>
            </c:strRef>
          </c:cat>
          <c:val>
            <c:numRef>
              <c:f>[0]!_19._What_is_your_ethnic_group?_4</c:f>
              <c:numCache>
                <c:formatCode>0%</c:formatCode>
                <c:ptCount val="1"/>
                <c:pt idx="0">
                  <c:v>8.7899999999999992E-3</c:v>
                </c:pt>
              </c:numCache>
            </c:numRef>
          </c:val>
          <c:extLst>
            <c:ext xmlns:c16="http://schemas.microsoft.com/office/drawing/2014/chart" uri="{C3380CC4-5D6E-409C-BE32-E72D297353CC}">
              <c16:uniqueId val="{00000003-2A21-4BC1-AEB8-5E55F6431219}"/>
            </c:ext>
          </c:extLst>
        </c:ser>
        <c:ser>
          <c:idx val="4"/>
          <c:order val="4"/>
          <c:tx>
            <c:strRef>
              <c:f>ComparisonReport!$N$5141</c:f>
              <c:strCache>
                <c:ptCount val="1"/>
                <c:pt idx="0">
                  <c:v>Other</c:v>
                </c:pt>
              </c:strCache>
            </c:strRef>
          </c:tx>
          <c:spPr>
            <a:solidFill>
              <a:schemeClr val="tx1">
                <a:lumMod val="50000"/>
                <a:lumOff val="50000"/>
              </a:schemeClr>
            </a:solidFill>
            <a:ln>
              <a:noFill/>
            </a:ln>
            <a:effectLst/>
          </c:spPr>
          <c:invertIfNegative val="0"/>
          <c:cat>
            <c:strRef>
              <c:f>[0]!_19._What_is_your_ethnic_group?_lbl</c:f>
              <c:strCache>
                <c:ptCount val="1"/>
                <c:pt idx="0">
                  <c:v>TOTAL</c:v>
                </c:pt>
              </c:strCache>
            </c:strRef>
          </c:cat>
          <c:val>
            <c:numRef>
              <c:f>[0]!_19._What_is_your_ethnic_group?_5</c:f>
              <c:numCache>
                <c:formatCode>0%</c:formatCode>
                <c:ptCount val="1"/>
                <c:pt idx="0">
                  <c:v>1.653E-2</c:v>
                </c:pt>
              </c:numCache>
            </c:numRef>
          </c:val>
          <c:extLst>
            <c:ext xmlns:c16="http://schemas.microsoft.com/office/drawing/2014/chart" uri="{C3380CC4-5D6E-409C-BE32-E72D297353CC}">
              <c16:uniqueId val="{00000004-2A21-4BC1-AEB8-5E55F6431219}"/>
            </c:ext>
          </c:extLst>
        </c:ser>
        <c:dLbls>
          <c:showLegendKey val="0"/>
          <c:showVal val="0"/>
          <c:showCatName val="0"/>
          <c:showSerName val="0"/>
          <c:showPercent val="0"/>
          <c:showBubbleSize val="0"/>
        </c:dLbls>
        <c:gapWidth val="25"/>
        <c:overlap val="100"/>
        <c:axId val="819379040"/>
        <c:axId val="819376160"/>
      </c:barChart>
      <c:catAx>
        <c:axId val="8193790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819376160"/>
        <c:crosses val="autoZero"/>
        <c:auto val="1"/>
        <c:lblAlgn val="ctr"/>
        <c:lblOffset val="100"/>
        <c:noMultiLvlLbl val="0"/>
      </c:catAx>
      <c:valAx>
        <c:axId val="819376160"/>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81937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E: ABOUT YOU</a:t>
            </a:r>
            <a:r>
              <a:rPr lang="en-GB" sz="1050" b="0" i="0" u="none" strike="noStrike" baseline="0"/>
              <a:t> </a:t>
            </a:r>
            <a:r>
              <a:rPr lang="en-GB" sz="1050" b="1" i="0" u="none" strike="noStrike" baseline="0">
                <a:effectLst/>
              </a:rPr>
              <a:t>20. (a) Do you have any long-lasting physical or mental health conditions?</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ComparisonReport!$J$5258</c:f>
              <c:strCache>
                <c:ptCount val="1"/>
                <c:pt idx="0">
                  <c:v>Yes</c:v>
                </c:pt>
              </c:strCache>
            </c:strRef>
          </c:tx>
          <c:spPr>
            <a:solidFill>
              <a:schemeClr val="accent3">
                <a:lumMod val="75000"/>
              </a:schemeClr>
            </a:solidFill>
            <a:ln>
              <a:noFill/>
            </a:ln>
            <a:effectLst/>
          </c:spPr>
          <c:invertIfNegative val="0"/>
          <c:cat>
            <c:strRef>
              <c:f>[0]!_20.__a__Do_you_have_any_long_lasting_physical_or_mental_health_conditions?_lbl</c:f>
              <c:strCache>
                <c:ptCount val="1"/>
                <c:pt idx="0">
                  <c:v>TOTAL</c:v>
                </c:pt>
              </c:strCache>
            </c:strRef>
          </c:cat>
          <c:val>
            <c:numRef>
              <c:f>[0]!_20.__a__Do_you_have_any_long_lasting_physical_or_mental_health_conditions?_1</c:f>
              <c:numCache>
                <c:formatCode>0%</c:formatCode>
                <c:ptCount val="1"/>
                <c:pt idx="0">
                  <c:v>0.12058000000000001</c:v>
                </c:pt>
              </c:numCache>
            </c:numRef>
          </c:val>
          <c:extLst>
            <c:ext xmlns:c16="http://schemas.microsoft.com/office/drawing/2014/chart" uri="{C3380CC4-5D6E-409C-BE32-E72D297353CC}">
              <c16:uniqueId val="{00000000-4CD9-4BB9-BA62-180ECAA3C6A3}"/>
            </c:ext>
          </c:extLst>
        </c:ser>
        <c:ser>
          <c:idx val="1"/>
          <c:order val="1"/>
          <c:tx>
            <c:strRef>
              <c:f>ComparisonReport!$K$5258</c:f>
              <c:strCache>
                <c:ptCount val="1"/>
                <c:pt idx="0">
                  <c:v>No</c:v>
                </c:pt>
              </c:strCache>
            </c:strRef>
          </c:tx>
          <c:spPr>
            <a:solidFill>
              <a:schemeClr val="accent6">
                <a:lumMod val="75000"/>
              </a:schemeClr>
            </a:solidFill>
            <a:ln>
              <a:noFill/>
            </a:ln>
            <a:effectLst/>
          </c:spPr>
          <c:invertIfNegative val="0"/>
          <c:cat>
            <c:strRef>
              <c:f>[0]!_20.__a__Do_you_have_any_long_lasting_physical_or_mental_health_conditions?_lbl</c:f>
              <c:strCache>
                <c:ptCount val="1"/>
                <c:pt idx="0">
                  <c:v>TOTAL</c:v>
                </c:pt>
              </c:strCache>
            </c:strRef>
          </c:cat>
          <c:val>
            <c:numRef>
              <c:f>[0]!_20.__a__Do_you_have_any_long_lasting_physical_or_mental_health_conditions?_2</c:f>
              <c:numCache>
                <c:formatCode>0%</c:formatCode>
                <c:ptCount val="1"/>
                <c:pt idx="0">
                  <c:v>0.87941999999999998</c:v>
                </c:pt>
              </c:numCache>
            </c:numRef>
          </c:val>
          <c:extLst>
            <c:ext xmlns:c16="http://schemas.microsoft.com/office/drawing/2014/chart" uri="{C3380CC4-5D6E-409C-BE32-E72D297353CC}">
              <c16:uniqueId val="{00000001-4CD9-4BB9-BA62-180ECAA3C6A3}"/>
            </c:ext>
          </c:extLst>
        </c:ser>
        <c:dLbls>
          <c:showLegendKey val="0"/>
          <c:showVal val="0"/>
          <c:showCatName val="0"/>
          <c:showSerName val="0"/>
          <c:showPercent val="0"/>
          <c:showBubbleSize val="0"/>
        </c:dLbls>
        <c:gapWidth val="25"/>
        <c:overlap val="100"/>
        <c:axId val="653359488"/>
        <c:axId val="653355648"/>
      </c:barChart>
      <c:catAx>
        <c:axId val="6533594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653355648"/>
        <c:crosses val="autoZero"/>
        <c:auto val="1"/>
        <c:lblAlgn val="ctr"/>
        <c:lblOffset val="100"/>
        <c:noMultiLvlLbl val="0"/>
      </c:catAx>
      <c:valAx>
        <c:axId val="653355648"/>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653359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r>
              <a:rPr lang="en-GB" sz="1050" b="1" i="0" u="none" strike="noStrike" baseline="0">
                <a:effectLst/>
              </a:rPr>
              <a:t>SECTION E: ABOUT YOU</a:t>
            </a:r>
            <a:r>
              <a:rPr lang="en-GB" sz="1050" b="0" i="0" u="none" strike="noStrike" baseline="0"/>
              <a:t> </a:t>
            </a:r>
            <a:r>
              <a:rPr lang="en-GB" sz="1050" b="1" i="0" u="none" strike="noStrike" baseline="0">
                <a:effectLst/>
              </a:rPr>
              <a:t>(b) If yes, have you experienced any barriers to accessing this service?</a:t>
            </a:r>
            <a:r>
              <a:rPr lang="en-GB" sz="1050" b="0" i="0" u="none" strike="noStrike" baseline="0"/>
              <a:t> </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bar"/>
        <c:grouping val="percentStacked"/>
        <c:varyColors val="0"/>
        <c:ser>
          <c:idx val="0"/>
          <c:order val="0"/>
          <c:tx>
            <c:strRef>
              <c:f>ComparisonReport!$J$5375</c:f>
              <c:strCache>
                <c:ptCount val="1"/>
                <c:pt idx="0">
                  <c:v>A lot</c:v>
                </c:pt>
              </c:strCache>
            </c:strRef>
          </c:tx>
          <c:spPr>
            <a:solidFill>
              <a:schemeClr val="accent4">
                <a:lumMod val="75000"/>
              </a:schemeClr>
            </a:solidFill>
            <a:ln>
              <a:noFill/>
            </a:ln>
            <a:effectLst/>
          </c:spPr>
          <c:invertIfNegative val="0"/>
          <c:cat>
            <c:strRef>
              <c:f>[0]!b__If_yes__have_you_experienced_any_barriers_to_accessing_this_service?_lbl</c:f>
              <c:strCache>
                <c:ptCount val="1"/>
                <c:pt idx="0">
                  <c:v>TOTAL</c:v>
                </c:pt>
              </c:strCache>
            </c:strRef>
          </c:cat>
          <c:val>
            <c:numRef>
              <c:f>[0]!b__If_yes__have_you_experienced_any_barriers_to_accessing_this_service?_1</c:f>
              <c:numCache>
                <c:formatCode>0%</c:formatCode>
                <c:ptCount val="1"/>
                <c:pt idx="0">
                  <c:v>9.2300000000000004E-3</c:v>
                </c:pt>
              </c:numCache>
            </c:numRef>
          </c:val>
          <c:extLst>
            <c:ext xmlns:c16="http://schemas.microsoft.com/office/drawing/2014/chart" uri="{C3380CC4-5D6E-409C-BE32-E72D297353CC}">
              <c16:uniqueId val="{00000000-3524-4EF7-BE21-1954FCD49BDE}"/>
            </c:ext>
          </c:extLst>
        </c:ser>
        <c:ser>
          <c:idx val="1"/>
          <c:order val="1"/>
          <c:tx>
            <c:strRef>
              <c:f>ComparisonReport!$K$5375</c:f>
              <c:strCache>
                <c:ptCount val="1"/>
                <c:pt idx="0">
                  <c:v>A little</c:v>
                </c:pt>
              </c:strCache>
            </c:strRef>
          </c:tx>
          <c:spPr>
            <a:solidFill>
              <a:schemeClr val="accent3">
                <a:lumMod val="75000"/>
              </a:schemeClr>
            </a:solidFill>
            <a:ln>
              <a:noFill/>
            </a:ln>
            <a:effectLst/>
          </c:spPr>
          <c:invertIfNegative val="0"/>
          <c:cat>
            <c:strRef>
              <c:f>[0]!b__If_yes__have_you_experienced_any_barriers_to_accessing_this_service?_lbl</c:f>
              <c:strCache>
                <c:ptCount val="1"/>
                <c:pt idx="0">
                  <c:v>TOTAL</c:v>
                </c:pt>
              </c:strCache>
            </c:strRef>
          </c:cat>
          <c:val>
            <c:numRef>
              <c:f>[0]!b__If_yes__have_you_experienced_any_barriers_to_accessing_this_service?_2</c:f>
              <c:numCache>
                <c:formatCode>0%</c:formatCode>
                <c:ptCount val="1"/>
                <c:pt idx="0">
                  <c:v>0.11876</c:v>
                </c:pt>
              </c:numCache>
            </c:numRef>
          </c:val>
          <c:extLst>
            <c:ext xmlns:c16="http://schemas.microsoft.com/office/drawing/2014/chart" uri="{C3380CC4-5D6E-409C-BE32-E72D297353CC}">
              <c16:uniqueId val="{00000001-3524-4EF7-BE21-1954FCD49BDE}"/>
            </c:ext>
          </c:extLst>
        </c:ser>
        <c:ser>
          <c:idx val="2"/>
          <c:order val="2"/>
          <c:tx>
            <c:strRef>
              <c:f>ComparisonReport!$L$5375</c:f>
              <c:strCache>
                <c:ptCount val="1"/>
                <c:pt idx="0">
                  <c:v>None at all</c:v>
                </c:pt>
              </c:strCache>
            </c:strRef>
          </c:tx>
          <c:spPr>
            <a:solidFill>
              <a:schemeClr val="accent6">
                <a:lumMod val="75000"/>
              </a:schemeClr>
            </a:solidFill>
            <a:ln>
              <a:noFill/>
            </a:ln>
            <a:effectLst/>
          </c:spPr>
          <c:invertIfNegative val="0"/>
          <c:cat>
            <c:strRef>
              <c:f>[0]!b__If_yes__have_you_experienced_any_barriers_to_accessing_this_service?_lbl</c:f>
              <c:strCache>
                <c:ptCount val="1"/>
                <c:pt idx="0">
                  <c:v>TOTAL</c:v>
                </c:pt>
              </c:strCache>
            </c:strRef>
          </c:cat>
          <c:val>
            <c:numRef>
              <c:f>[0]!b__If_yes__have_you_experienced_any_barriers_to_accessing_this_service?_3</c:f>
              <c:numCache>
                <c:formatCode>0%</c:formatCode>
                <c:ptCount val="1"/>
                <c:pt idx="0">
                  <c:v>0.872</c:v>
                </c:pt>
              </c:numCache>
            </c:numRef>
          </c:val>
          <c:extLst>
            <c:ext xmlns:c16="http://schemas.microsoft.com/office/drawing/2014/chart" uri="{C3380CC4-5D6E-409C-BE32-E72D297353CC}">
              <c16:uniqueId val="{00000002-3524-4EF7-BE21-1954FCD49BDE}"/>
            </c:ext>
          </c:extLst>
        </c:ser>
        <c:dLbls>
          <c:showLegendKey val="0"/>
          <c:showVal val="0"/>
          <c:showCatName val="0"/>
          <c:showSerName val="0"/>
          <c:showPercent val="0"/>
          <c:showBubbleSize val="0"/>
        </c:dLbls>
        <c:gapWidth val="25"/>
        <c:overlap val="100"/>
        <c:axId val="275172736"/>
        <c:axId val="275186656"/>
      </c:barChart>
      <c:catAx>
        <c:axId val="2751727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275186656"/>
        <c:crosses val="autoZero"/>
        <c:auto val="1"/>
        <c:lblAlgn val="ctr"/>
        <c:lblOffset val="100"/>
        <c:noMultiLvlLbl val="0"/>
      </c:catAx>
      <c:valAx>
        <c:axId val="275186656"/>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75172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tx>
            <c:strRef>
              <c:f>IndividualReport!$N$80</c:f>
              <c:strCache>
                <c:ptCount val="1"/>
                <c:pt idx="0">
                  <c:v>Welcome / reception</c:v>
                </c:pt>
              </c:strCache>
            </c:strRef>
          </c:tx>
          <c:spPr>
            <a:solidFill>
              <a:schemeClr val="accent4">
                <a:lumMod val="75000"/>
              </a:schemeClr>
            </a:solidFill>
            <a:ln>
              <a:noFill/>
            </a:ln>
            <a:effectLst/>
          </c:spPr>
          <c:invertIfNegative val="0"/>
          <c:dLbls>
            <c:spPr>
              <a:solidFill>
                <a:schemeClr val="accent4">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Georgia" panose="02040502050405020303" pitchFamily="18"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IndividualReport!$O$80:$O$84</c:f>
              <c:strCache>
                <c:ptCount val="5"/>
                <c:pt idx="0">
                  <c:v>Very statisfied</c:v>
                </c:pt>
                <c:pt idx="1">
                  <c:v>Satisfied</c:v>
                </c:pt>
                <c:pt idx="2">
                  <c:v>Neither</c:v>
                </c:pt>
                <c:pt idx="3">
                  <c:v>Not very satisfied</c:v>
                </c:pt>
                <c:pt idx="4">
                  <c:v>Not at all satisfied</c:v>
                </c:pt>
              </c:strCache>
            </c:strRef>
          </c:cat>
          <c:val>
            <c:numRef>
              <c:f>IndividualReport!$Q$80:$Q$84</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3805-487F-B172-B83521E4126E}"/>
            </c:ext>
          </c:extLst>
        </c:ser>
        <c:dLbls>
          <c:showLegendKey val="0"/>
          <c:showVal val="0"/>
          <c:showCatName val="0"/>
          <c:showSerName val="0"/>
          <c:showPercent val="0"/>
          <c:showBubbleSize val="0"/>
        </c:dLbls>
        <c:gapWidth val="25"/>
        <c:overlap val="-27"/>
        <c:axId val="1992878159"/>
        <c:axId val="1992877199"/>
      </c:barChart>
      <c:catAx>
        <c:axId val="1992878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1992877199"/>
        <c:crosses val="autoZero"/>
        <c:auto val="1"/>
        <c:lblAlgn val="ctr"/>
        <c:lblOffset val="100"/>
        <c:noMultiLvlLbl val="0"/>
      </c:catAx>
      <c:valAx>
        <c:axId val="199287719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92878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paperSize="9" orientation="landscape" horizontalDpi="1200" verticalDpi="1200"/>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txData>
          <cx:v>9. What was your primary method of travel to this area / archive today?</cx:v>
        </cx:txData>
      </cx:tx>
      <cx:txPr>
        <a:bodyPr vertOverflow="overflow" horzOverflow="overflow" wrap="square" lIns="0" tIns="0" rIns="0" bIns="0"/>
        <a:lstStyle/>
        <a:p>
          <a:pPr algn="ctr" rtl="0">
            <a:defRPr sz="1050" b="1" i="0">
              <a:solidFill>
                <a:srgbClr val="595959"/>
              </a:solidFill>
              <a:latin typeface="Georgia" panose="02040502050405020303" pitchFamily="18" charset="0"/>
              <a:ea typeface="Georgia" panose="02040502050405020303" pitchFamily="18" charset="0"/>
              <a:cs typeface="Georgia" panose="02040502050405020303" pitchFamily="18" charset="0"/>
            </a:defRPr>
          </a:pPr>
          <a:r>
            <a:rPr lang="en-GB" sz="1050" b="1">
              <a:latin typeface="Georgia" panose="02040502050405020303" pitchFamily="18" charset="0"/>
            </a:rPr>
            <a:t>9. What was your primary method of travel to this area / archive today?</a:t>
          </a:r>
        </a:p>
      </cx:txPr>
    </cx:title>
    <cx:plotArea>
      <cx:plotAreaRegion>
        <cx:series layoutId="treemap" uniqueId="{BE3FB32C-F5D6-4B2F-B3FD-3A0425E0E765}">
          <cx:dataPt idx="0">
            <cx:spPr>
              <a:solidFill>
                <a:srgbClr val="8064A2">
                  <a:lumMod val="75000"/>
                </a:srgbClr>
              </a:solidFill>
            </cx:spPr>
          </cx:dataPt>
          <cx:dataPt idx="1">
            <cx:spPr>
              <a:solidFill>
                <a:srgbClr val="9BBB59">
                  <a:lumMod val="75000"/>
                </a:srgbClr>
              </a:solidFill>
            </cx:spPr>
          </cx:dataPt>
          <cx:dataPt idx="2">
            <cx:spPr>
              <a:solidFill>
                <a:srgbClr val="F79646">
                  <a:lumMod val="75000"/>
                </a:srgbClr>
              </a:solidFill>
            </cx:spPr>
          </cx:dataPt>
          <cx:dataPt idx="4">
            <cx:spPr>
              <a:solidFill>
                <a:sysClr val="windowText" lastClr="000000">
                  <a:lumMod val="50000"/>
                  <a:lumOff val="50000"/>
                </a:sysClr>
              </a:solidFill>
            </cx:spPr>
          </cx:dataPt>
          <cx:dataLabels pos="inEnd">
            <cx:txPr>
              <a:bodyPr vertOverflow="overflow" horzOverflow="overflow" wrap="square" lIns="0" tIns="0" rIns="0" bIns="0"/>
              <a:lstStyle/>
              <a:p>
                <a:pPr algn="ctr" rtl="0">
                  <a:defRPr sz="800" b="0" i="0">
                    <a:solidFill>
                      <a:srgbClr val="FFFFFF"/>
                    </a:solidFill>
                    <a:latin typeface="Georgia" panose="02040502050405020303" pitchFamily="18" charset="0"/>
                    <a:ea typeface="Georgia" panose="02040502050405020303" pitchFamily="18" charset="0"/>
                    <a:cs typeface="Georgia" panose="02040502050405020303" pitchFamily="18" charset="0"/>
                  </a:defRPr>
                </a:pPr>
                <a:endParaRPr lang="en-GB" sz="800">
                  <a:latin typeface="Georgia" panose="02040502050405020303" pitchFamily="18" charset="0"/>
                </a:endParaRPr>
              </a:p>
            </cx:txPr>
            <cx:visibility seriesName="0" categoryName="1" value="1"/>
            <cx:separator>, </cx:separator>
          </cx:dataLabels>
          <cx:dataId val="0"/>
          <cx:layoutPr>
            <cx:parentLabelLayout val="overlapping"/>
          </cx:layoutPr>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txData>
          <cx:v>10. What else are you doing in the area today, in addition to visiting this archive?</cx:v>
        </cx:txData>
      </cx:tx>
      <cx:txPr>
        <a:bodyPr vertOverflow="overflow" horzOverflow="overflow" wrap="square" lIns="0" tIns="0" rIns="0" bIns="0"/>
        <a:lstStyle/>
        <a:p>
          <a:pPr algn="ctr" rtl="0">
            <a:defRPr sz="1050" b="1" i="0">
              <a:solidFill>
                <a:srgbClr val="595959"/>
              </a:solidFill>
              <a:latin typeface="Georgia" panose="02040502050405020303" pitchFamily="18" charset="0"/>
              <a:ea typeface="Georgia" panose="02040502050405020303" pitchFamily="18" charset="0"/>
              <a:cs typeface="Georgia" panose="02040502050405020303" pitchFamily="18" charset="0"/>
            </a:defRPr>
          </a:pPr>
          <a:r>
            <a:rPr lang="en-GB" sz="1050" b="1">
              <a:latin typeface="Georgia" panose="02040502050405020303" pitchFamily="18" charset="0"/>
            </a:rPr>
            <a:t>10. What else are you doing in the area today, in addition to visiting this archive?</a:t>
          </a:r>
        </a:p>
      </cx:txPr>
    </cx:title>
    <cx:plotArea>
      <cx:plotAreaRegion>
        <cx:series layoutId="treemap" uniqueId="{BE3FB32C-F5D6-4B2F-B3FD-3A0425E0E765}">
          <cx:dataPt idx="0">
            <cx:spPr>
              <a:solidFill>
                <a:srgbClr val="8064A2">
                  <a:lumMod val="75000"/>
                </a:srgbClr>
              </a:solidFill>
            </cx:spPr>
          </cx:dataPt>
          <cx:dataPt idx="1">
            <cx:spPr>
              <a:solidFill>
                <a:srgbClr val="9BBB59">
                  <a:lumMod val="75000"/>
                </a:srgbClr>
              </a:solidFill>
            </cx:spPr>
          </cx:dataPt>
          <cx:dataPt idx="2">
            <cx:spPr>
              <a:solidFill>
                <a:sysClr val="windowText" lastClr="000000">
                  <a:lumMod val="50000"/>
                  <a:lumOff val="50000"/>
                </a:sysClr>
              </a:solidFill>
            </cx:spPr>
          </cx:dataPt>
          <cx:dataPt idx="3">
            <cx:spPr>
              <a:solidFill>
                <a:srgbClr val="F79646">
                  <a:lumMod val="75000"/>
                </a:srgbClr>
              </a:solidFill>
            </cx:spPr>
          </cx:dataPt>
          <cx:dataLabels pos="inEnd">
            <cx:txPr>
              <a:bodyPr vertOverflow="overflow" horzOverflow="overflow" wrap="square" lIns="0" tIns="0" rIns="0" bIns="0"/>
              <a:lstStyle/>
              <a:p>
                <a:pPr algn="ctr" rtl="0">
                  <a:defRPr sz="800" b="0" i="0">
                    <a:solidFill>
                      <a:srgbClr val="FFFFFF"/>
                    </a:solidFill>
                    <a:latin typeface="Georgia" panose="02040502050405020303" pitchFamily="18" charset="0"/>
                    <a:ea typeface="Georgia" panose="02040502050405020303" pitchFamily="18" charset="0"/>
                    <a:cs typeface="Georgia" panose="02040502050405020303" pitchFamily="18" charset="0"/>
                  </a:defRPr>
                </a:pPr>
                <a:endParaRPr lang="en-GB" sz="800">
                  <a:latin typeface="Georgia" panose="02040502050405020303" pitchFamily="18" charset="0"/>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_xlchart.v1.8</cx:f>
      </cx:strDim>
      <cx:numDim type="size">
        <cx:f>_xlchart.v1.9</cx:f>
      </cx:numDim>
    </cx:data>
  </cx:chartData>
  <cx:chart>
    <cx:title pos="t" align="ctr" overlay="0">
      <cx:tx>
        <cx:txData>
          <cx:v>(b) If not a UK resident, what is your country of residence? By region</cx:v>
        </cx:txData>
      </cx:tx>
      <cx:txPr>
        <a:bodyPr vertOverflow="overflow" horzOverflow="overflow" wrap="square" lIns="0" tIns="0" rIns="0" bIns="0"/>
        <a:lstStyle/>
        <a:p>
          <a:pPr algn="ctr" rtl="0">
            <a:defRPr sz="1050" b="1" i="0">
              <a:solidFill>
                <a:srgbClr val="595959"/>
              </a:solidFill>
              <a:latin typeface="Georgia" panose="02040502050405020303" pitchFamily="18" charset="0"/>
              <a:ea typeface="Georgia" panose="02040502050405020303" pitchFamily="18" charset="0"/>
              <a:cs typeface="Georgia" panose="02040502050405020303" pitchFamily="18" charset="0"/>
            </a:defRPr>
          </a:pPr>
          <a:r>
            <a:rPr lang="en-GB" sz="1050" b="1">
              <a:latin typeface="Georgia" panose="02040502050405020303" pitchFamily="18" charset="0"/>
            </a:rPr>
            <a:t>(b) If not a UK resident, what is your country of residence? By region</a:t>
          </a:r>
        </a:p>
      </cx:txPr>
    </cx:title>
    <cx:plotArea>
      <cx:plotAreaRegion>
        <cx:series layoutId="treemap" uniqueId="{55C003D1-E79C-4525-93E4-946F79649DE9}">
          <cx:tx>
            <cx:txData>
              <cx:f>_xlchart.v1.7</cx:f>
              <cx:v>(b) If not a UK resident, what is your country of residence? 
By region</cx:v>
            </cx:txData>
          </cx:tx>
          <cx:dataPt idx="0">
            <cx:spPr>
              <a:solidFill>
                <a:srgbClr val="F79646">
                  <a:lumMod val="75000"/>
                </a:srgbClr>
              </a:solidFill>
            </cx:spPr>
          </cx:dataPt>
          <cx:dataPt idx="1">
            <cx:spPr>
              <a:solidFill>
                <a:srgbClr val="9BBB59">
                  <a:lumMod val="75000"/>
                </a:srgbClr>
              </a:solidFill>
            </cx:spPr>
          </cx:dataPt>
          <cx:dataPt idx="2">
            <cx:spPr>
              <a:solidFill>
                <a:srgbClr val="8064A2">
                  <a:lumMod val="75000"/>
                </a:srgbClr>
              </a:solidFill>
            </cx:spPr>
          </cx:dataPt>
          <cx:dataPt idx="3">
            <cx:spPr>
              <a:solidFill>
                <a:sysClr val="windowText" lastClr="000000">
                  <a:lumMod val="50000"/>
                  <a:lumOff val="50000"/>
                </a:sysClr>
              </a:solidFill>
            </cx:spPr>
          </cx:dataPt>
          <cx:dataPt idx="4">
            <cx:spPr>
              <a:solidFill>
                <a:srgbClr val="4BACC6">
                  <a:lumMod val="75000"/>
                </a:srgbClr>
              </a:solidFill>
            </cx:spPr>
          </cx:dataPt>
          <cx:dataLabels pos="inEnd">
            <cx:txPr>
              <a:bodyPr vertOverflow="overflow" horzOverflow="overflow" wrap="square" lIns="0" tIns="0" rIns="0" bIns="0"/>
              <a:lstStyle/>
              <a:p>
                <a:pPr algn="ctr" rtl="0">
                  <a:defRPr sz="800" b="0" i="0">
                    <a:solidFill>
                      <a:srgbClr val="FFFFFF"/>
                    </a:solidFill>
                    <a:latin typeface="Georgia" panose="02040502050405020303" pitchFamily="18" charset="0"/>
                    <a:ea typeface="Georgia" panose="02040502050405020303" pitchFamily="18" charset="0"/>
                    <a:cs typeface="Georgia" panose="02040502050405020303" pitchFamily="18" charset="0"/>
                  </a:defRPr>
                </a:pPr>
                <a:endParaRPr lang="en-GB" sz="800">
                  <a:latin typeface="Georgia" panose="02040502050405020303" pitchFamily="18" charset="0"/>
                </a:endParaRPr>
              </a:p>
            </cx:txPr>
            <cx:visibility seriesName="0" categoryName="1" value="1"/>
            <cx:separator>, </cx:separator>
          </cx:dataLabels>
          <cx:dataId val="0"/>
          <cx:layoutPr>
            <cx:parentLabelLayout val="overlapping"/>
          </cx:layoutPr>
        </cx:series>
      </cx:plotAreaRegion>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_xlchart.v1.6</cx:f>
      </cx:numDim>
    </cx:data>
  </cx:chartData>
  <cx:chart>
    <cx:title pos="t" align="ctr" overlay="0">
      <cx:tx>
        <cx:txData>
          <cx:v>20. (b) If yes, have you experienced any barriers to accessing this service?</cx:v>
        </cx:txData>
      </cx:tx>
      <cx:txPr>
        <a:bodyPr rot="0" spcFirstLastPara="1" vertOverflow="ellipsis" vert="horz" wrap="square" lIns="38100" tIns="19050" rIns="38100" bIns="19050" anchor="ctr" anchorCtr="1" compatLnSpc="0"/>
        <a:lstStyle/>
        <a:p>
          <a:pPr algn="ctr" rtl="0">
            <a:defRPr sz="1050" b="0" i="0" u="none" strike="noStrike" kern="1200" spc="0" baseline="0">
              <a:solidFill>
                <a:sysClr val="windowText" lastClr="000000">
                  <a:lumMod val="65000"/>
                  <a:lumOff val="35000"/>
                </a:sysClr>
              </a:solidFill>
              <a:latin typeface="Georgia" panose="02040502050405020303" pitchFamily="18" charset="0"/>
              <a:ea typeface="Georgia" panose="02040502050405020303" pitchFamily="18" charset="0"/>
              <a:cs typeface="Georgia" panose="02040502050405020303" pitchFamily="18" charset="0"/>
            </a:defRPr>
          </a:pPr>
          <a:r>
            <a:rPr kumimoji="0" lang="en-US" sz="1050" b="1" i="0" u="none" strike="noStrike" kern="1200" cap="none" spc="0" normalizeH="0" baseline="0" noProof="0">
              <a:ln>
                <a:noFill/>
              </a:ln>
              <a:solidFill>
                <a:sysClr val="windowText" lastClr="000000">
                  <a:lumMod val="65000"/>
                  <a:lumOff val="35000"/>
                </a:sysClr>
              </a:solidFill>
              <a:effectLst/>
              <a:uLnTx/>
              <a:uFillTx/>
              <a:latin typeface="Georgia" panose="02040502050405020303" pitchFamily="18" charset="0"/>
            </a:rPr>
            <a:t>20. (b) If yes, have you experienced any barriers to accessing this service?</a:t>
          </a:r>
        </a:p>
      </cx:txPr>
    </cx:title>
    <cx:plotArea>
      <cx:plotAreaRegion>
        <cx:series layoutId="treemap" uniqueId="{48BAA593-28B7-4E1F-A869-0788B6D8020D}">
          <cx:tx>
            <cx:txData>
              <cx:f>_xlchart.v1.4</cx:f>
              <cx:v>20. (b) If yes, have you experienced any barriers to accessing this service?</cx:v>
            </cx:txData>
          </cx:tx>
          <cx:dataPt idx="0">
            <cx:spPr>
              <a:solidFill>
                <a:srgbClr val="8064A2">
                  <a:lumMod val="75000"/>
                </a:srgbClr>
              </a:solidFill>
            </cx:spPr>
          </cx:dataPt>
          <cx:dataPt idx="1">
            <cx:spPr>
              <a:solidFill>
                <a:srgbClr val="9BBB59">
                  <a:lumMod val="75000"/>
                </a:srgbClr>
              </a:solidFill>
            </cx:spPr>
          </cx:dataPt>
          <cx:dataPt idx="2">
            <cx:spPr>
              <a:solidFill>
                <a:srgbClr val="F79646">
                  <a:lumMod val="75000"/>
                </a:srgbClr>
              </a:solidFill>
            </cx:spPr>
          </cx:dataPt>
          <cx:dataLabels>
            <cx:txPr>
              <a:bodyPr vertOverflow="overflow" horzOverflow="overflow" wrap="square" lIns="0" tIns="0" rIns="0" bIns="0"/>
              <a:lstStyle/>
              <a:p>
                <a:pPr algn="ctr" rtl="0">
                  <a:defRPr sz="800" b="1" i="0">
                    <a:solidFill>
                      <a:schemeClr val="bg1"/>
                    </a:solidFill>
                    <a:latin typeface="Georgia" panose="02040502050405020303" pitchFamily="18" charset="0"/>
                    <a:ea typeface="Georgia" panose="02040502050405020303" pitchFamily="18" charset="0"/>
                    <a:cs typeface="Georgia" panose="02040502050405020303" pitchFamily="18" charset="0"/>
                  </a:defRPr>
                </a:pPr>
                <a:endParaRPr lang="en-GB" sz="800" b="1">
                  <a:solidFill>
                    <a:schemeClr val="bg1"/>
                  </a:solidFill>
                  <a:latin typeface="Georgia" panose="02040502050405020303" pitchFamily="18" charset="0"/>
                </a:endParaRPr>
              </a:p>
            </cx:txPr>
            <cx:visibility seriesName="0" categoryName="1" value="1"/>
            <cx:separator> </cx:separator>
          </cx:dataLabels>
          <cx:dataId val="0"/>
          <cx:layoutPr>
            <cx:parentLabelLayout val="banner"/>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 id="16">
  <a:schemeClr val="accent3"/>
</cs:colorStyle>
</file>

<file path=xl/charts/colors53.xml><?xml version="1.0" encoding="utf-8"?>
<cs:colorStyle xmlns:cs="http://schemas.microsoft.com/office/drawing/2012/chartStyle" xmlns:a="http://schemas.openxmlformats.org/drawingml/2006/main" meth="withinLinear" id="16">
  <a:schemeClr val="accent3"/>
</cs:colorStyle>
</file>

<file path=xl/charts/colors54.xml><?xml version="1.0" encoding="utf-8"?>
<cs:colorStyle xmlns:cs="http://schemas.microsoft.com/office/drawing/2012/chartStyle" xmlns:a="http://schemas.openxmlformats.org/drawingml/2006/main" meth="withinLinear" id="16">
  <a:schemeClr val="accent3"/>
</cs:colorStyle>
</file>

<file path=xl/charts/colors55.xml><?xml version="1.0" encoding="utf-8"?>
<cs:colorStyle xmlns:cs="http://schemas.microsoft.com/office/drawing/2012/chartStyle" xmlns:a="http://schemas.openxmlformats.org/drawingml/2006/main" meth="withinLinear" id="16">
  <a:schemeClr val="accent3"/>
</cs:colorStyle>
</file>

<file path=xl/charts/colors56.xml><?xml version="1.0" encoding="utf-8"?>
<cs:colorStyle xmlns:cs="http://schemas.microsoft.com/office/drawing/2012/chartStyle" xmlns:a="http://schemas.openxmlformats.org/drawingml/2006/main" meth="withinLinear" id="16">
  <a:schemeClr val="accent3"/>
</cs:colorStyle>
</file>

<file path=xl/charts/colors57.xml><?xml version="1.0" encoding="utf-8"?>
<cs:colorStyle xmlns:cs="http://schemas.microsoft.com/office/drawing/2012/chartStyle" xmlns:a="http://schemas.openxmlformats.org/drawingml/2006/main" meth="withinLinear" id="16">
  <a:schemeClr val="accent3"/>
</cs:colorStyle>
</file>

<file path=xl/charts/colors58.xml><?xml version="1.0" encoding="utf-8"?>
<cs:colorStyle xmlns:cs="http://schemas.microsoft.com/office/drawing/2012/chartStyle" xmlns:a="http://schemas.openxmlformats.org/drawingml/2006/main" meth="withinLinear" id="16">
  <a:schemeClr val="accent3"/>
</cs:colorStyle>
</file>

<file path=xl/charts/colors59.xml><?xml version="1.0" encoding="utf-8"?>
<cs:colorStyle xmlns:cs="http://schemas.microsoft.com/office/drawing/2012/chartStyle" xmlns:a="http://schemas.openxmlformats.org/drawingml/2006/main" meth="withinLinear" id="19">
  <a:schemeClr val="accent6"/>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withinLinear" id="19">
  <a:schemeClr val="accent6"/>
</cs:colorStyle>
</file>

<file path=xl/charts/colors61.xml><?xml version="1.0" encoding="utf-8"?>
<cs:colorStyle xmlns:cs="http://schemas.microsoft.com/office/drawing/2012/chartStyle" xmlns:a="http://schemas.openxmlformats.org/drawingml/2006/main" meth="withinLinear" id="19">
  <a:schemeClr val="accent6"/>
</cs:colorStyle>
</file>

<file path=xl/charts/colors62.xml><?xml version="1.0" encoding="utf-8"?>
<cs:colorStyle xmlns:cs="http://schemas.microsoft.com/office/drawing/2012/chartStyle" xmlns:a="http://schemas.openxmlformats.org/drawingml/2006/main" meth="withinLinear" id="19">
  <a:schemeClr val="accent6"/>
</cs:colorStyle>
</file>

<file path=xl/charts/colors63.xml><?xml version="1.0" encoding="utf-8"?>
<cs:colorStyle xmlns:cs="http://schemas.microsoft.com/office/drawing/2012/chartStyle" xmlns:a="http://schemas.openxmlformats.org/drawingml/2006/main" meth="withinLinear" id="19">
  <a:schemeClr val="accent6"/>
</cs:colorStyle>
</file>

<file path=xl/charts/colors64.xml><?xml version="1.0" encoding="utf-8"?>
<cs:colorStyle xmlns:cs="http://schemas.microsoft.com/office/drawing/2012/chartStyle" xmlns:a="http://schemas.openxmlformats.org/drawingml/2006/main" meth="withinLinear" id="19">
  <a:schemeClr val="accent6"/>
</cs:colorStyle>
</file>

<file path=xl/charts/colors65.xml><?xml version="1.0" encoding="utf-8"?>
<cs:colorStyle xmlns:cs="http://schemas.microsoft.com/office/drawing/2012/chartStyle" xmlns:a="http://schemas.openxmlformats.org/drawingml/2006/main" meth="withinLinear" id="19">
  <a:schemeClr val="accent6"/>
</cs:colorStyle>
</file>

<file path=xl/charts/colors66.xml><?xml version="1.0" encoding="utf-8"?>
<cs:colorStyle xmlns:cs="http://schemas.microsoft.com/office/drawing/2012/chartStyle" xmlns:a="http://schemas.openxmlformats.org/drawingml/2006/main" meth="withinLinear" id="19">
  <a:schemeClr val="accent6"/>
</cs:colorStyle>
</file>

<file path=xl/charts/colors67.xml><?xml version="1.0" encoding="utf-8"?>
<cs:colorStyle xmlns:cs="http://schemas.microsoft.com/office/drawing/2012/chartStyle" xmlns:a="http://schemas.openxmlformats.org/drawingml/2006/main" meth="withinLinear" id="17">
  <a:schemeClr val="accent4"/>
</cs:colorStyle>
</file>

<file path=xl/charts/colors68.xml><?xml version="1.0" encoding="utf-8"?>
<cs:colorStyle xmlns:cs="http://schemas.microsoft.com/office/drawing/2012/chartStyle" xmlns:a="http://schemas.openxmlformats.org/drawingml/2006/main" meth="withinLinear" id="17">
  <a:schemeClr val="accent4"/>
</cs:colorStyle>
</file>

<file path=xl/charts/colors69.xml><?xml version="1.0" encoding="utf-8"?>
<cs:colorStyle xmlns:cs="http://schemas.microsoft.com/office/drawing/2012/chartStyle" xmlns:a="http://schemas.openxmlformats.org/drawingml/2006/main" meth="withinLinear" id="17">
  <a:schemeClr val="accent4"/>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withinLinear" id="17">
  <a:schemeClr val="accent4"/>
</cs:colorStyle>
</file>

<file path=xl/charts/colors71.xml><?xml version="1.0" encoding="utf-8"?>
<cs:colorStyle xmlns:cs="http://schemas.microsoft.com/office/drawing/2012/chartStyle" xmlns:a="http://schemas.openxmlformats.org/drawingml/2006/main" meth="withinLinear" id="17">
  <a:schemeClr val="accent4"/>
</cs:colorStyle>
</file>

<file path=xl/charts/colors72.xml><?xml version="1.0" encoding="utf-8"?>
<cs:colorStyle xmlns:cs="http://schemas.microsoft.com/office/drawing/2012/chartStyle" xmlns:a="http://schemas.openxmlformats.org/drawingml/2006/main" meth="withinLinear" id="17">
  <a:schemeClr val="accent4"/>
</cs:colorStyle>
</file>

<file path=xl/charts/colors73.xml><?xml version="1.0" encoding="utf-8"?>
<cs:colorStyle xmlns:cs="http://schemas.microsoft.com/office/drawing/2012/chartStyle" xmlns:a="http://schemas.openxmlformats.org/drawingml/2006/main" meth="withinLinear" id="17">
  <a:schemeClr val="accent4"/>
</cs:colorStyle>
</file>

<file path=xl/charts/colors74.xml><?xml version="1.0" encoding="utf-8"?>
<cs:colorStyle xmlns:cs="http://schemas.microsoft.com/office/drawing/2012/chartStyle" xmlns:a="http://schemas.openxmlformats.org/drawingml/2006/main" meth="withinLinear" id="16">
  <a:schemeClr val="accent3"/>
</cs:colorStyle>
</file>

<file path=xl/charts/colors75.xml><?xml version="1.0" encoding="utf-8"?>
<cs:colorStyle xmlns:cs="http://schemas.microsoft.com/office/drawing/2012/chartStyle" xmlns:a="http://schemas.openxmlformats.org/drawingml/2006/main" meth="withinLinear" id="16">
  <a:schemeClr val="accent3"/>
</cs:colorStyle>
</file>

<file path=xl/charts/colors76.xml><?xml version="1.0" encoding="utf-8"?>
<cs:colorStyle xmlns:cs="http://schemas.microsoft.com/office/drawing/2012/chartStyle" xmlns:a="http://schemas.openxmlformats.org/drawingml/2006/main" meth="withinLinear" id="16">
  <a:schemeClr val="accent3"/>
</cs:colorStyle>
</file>

<file path=xl/charts/colors77.xml><?xml version="1.0" encoding="utf-8"?>
<cs:colorStyle xmlns:cs="http://schemas.microsoft.com/office/drawing/2012/chartStyle" xmlns:a="http://schemas.openxmlformats.org/drawingml/2006/main" meth="withinLinear" id="17">
  <a:schemeClr val="accent4"/>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withinLinear" id="19">
  <a:schemeClr val="accent6"/>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6.xml"/><Relationship Id="rId21" Type="http://schemas.openxmlformats.org/officeDocument/2006/relationships/chart" Target="../charts/chart21.xml"/><Relationship Id="rId34" Type="http://schemas.openxmlformats.org/officeDocument/2006/relationships/chart" Target="../charts/chart32.xml"/><Relationship Id="rId42" Type="http://schemas.openxmlformats.org/officeDocument/2006/relationships/chart" Target="../charts/chart39.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38.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7.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4.xml"/><Relationship Id="rId10" Type="http://schemas.openxmlformats.org/officeDocument/2006/relationships/chart" Target="../charts/chart10.xml"/><Relationship Id="rId19" Type="http://schemas.openxmlformats.org/officeDocument/2006/relationships/chart" Target="../charts/chart19.xml"/><Relationship Id="rId31" Type="http://schemas.microsoft.com/office/2014/relationships/chartEx" Target="../charts/chartEx2.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microsoft.com/office/2014/relationships/chartEx" Target="../charts/chartEx1.xml"/><Relationship Id="rId35" Type="http://schemas.openxmlformats.org/officeDocument/2006/relationships/chart" Target="../charts/chart33.xml"/><Relationship Id="rId43" Type="http://schemas.microsoft.com/office/2014/relationships/chartEx" Target="../charts/chartEx4.xml"/><Relationship Id="rId8" Type="http://schemas.openxmlformats.org/officeDocument/2006/relationships/chart" Target="../charts/chart8.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1.xml"/><Relationship Id="rId38" Type="http://schemas.microsoft.com/office/2014/relationships/chartEx" Target="../charts/chartEx3.xml"/></Relationships>
</file>

<file path=xl/drawings/_rels/drawing3.xml.rels><?xml version="1.0" encoding="UTF-8" standalone="yes"?>
<Relationships xmlns="http://schemas.openxmlformats.org/package/2006/relationships"><Relationship Id="rId13" Type="http://schemas.openxmlformats.org/officeDocument/2006/relationships/chart" Target="../charts/chart52.xml"/><Relationship Id="rId18" Type="http://schemas.openxmlformats.org/officeDocument/2006/relationships/chart" Target="../charts/chart57.xml"/><Relationship Id="rId26" Type="http://schemas.openxmlformats.org/officeDocument/2006/relationships/chart" Target="../charts/chart65.xml"/><Relationship Id="rId39" Type="http://schemas.openxmlformats.org/officeDocument/2006/relationships/chart" Target="../charts/chart78.xml"/><Relationship Id="rId21" Type="http://schemas.openxmlformats.org/officeDocument/2006/relationships/chart" Target="../charts/chart60.xml"/><Relationship Id="rId34" Type="http://schemas.openxmlformats.org/officeDocument/2006/relationships/chart" Target="../charts/chart73.xml"/><Relationship Id="rId42" Type="http://schemas.openxmlformats.org/officeDocument/2006/relationships/chart" Target="../charts/chart81.xml"/><Relationship Id="rId47" Type="http://schemas.openxmlformats.org/officeDocument/2006/relationships/chart" Target="../charts/chart86.xml"/><Relationship Id="rId50" Type="http://schemas.openxmlformats.org/officeDocument/2006/relationships/chart" Target="../charts/chart89.xml"/><Relationship Id="rId7" Type="http://schemas.openxmlformats.org/officeDocument/2006/relationships/chart" Target="../charts/chart46.xml"/><Relationship Id="rId2" Type="http://schemas.openxmlformats.org/officeDocument/2006/relationships/chart" Target="../charts/chart41.xml"/><Relationship Id="rId16" Type="http://schemas.openxmlformats.org/officeDocument/2006/relationships/chart" Target="../charts/chart55.xml"/><Relationship Id="rId29" Type="http://schemas.openxmlformats.org/officeDocument/2006/relationships/chart" Target="../charts/chart68.xml"/><Relationship Id="rId11" Type="http://schemas.openxmlformats.org/officeDocument/2006/relationships/chart" Target="../charts/chart50.xml"/><Relationship Id="rId24" Type="http://schemas.openxmlformats.org/officeDocument/2006/relationships/chart" Target="../charts/chart63.xml"/><Relationship Id="rId32" Type="http://schemas.openxmlformats.org/officeDocument/2006/relationships/chart" Target="../charts/chart71.xml"/><Relationship Id="rId37" Type="http://schemas.openxmlformats.org/officeDocument/2006/relationships/chart" Target="../charts/chart76.xml"/><Relationship Id="rId40" Type="http://schemas.openxmlformats.org/officeDocument/2006/relationships/chart" Target="../charts/chart79.xml"/><Relationship Id="rId45" Type="http://schemas.openxmlformats.org/officeDocument/2006/relationships/chart" Target="../charts/chart84.xml"/><Relationship Id="rId5" Type="http://schemas.openxmlformats.org/officeDocument/2006/relationships/chart" Target="../charts/chart44.xml"/><Relationship Id="rId15" Type="http://schemas.openxmlformats.org/officeDocument/2006/relationships/chart" Target="../charts/chart54.xml"/><Relationship Id="rId23" Type="http://schemas.openxmlformats.org/officeDocument/2006/relationships/chart" Target="../charts/chart62.xml"/><Relationship Id="rId28" Type="http://schemas.openxmlformats.org/officeDocument/2006/relationships/chart" Target="../charts/chart67.xml"/><Relationship Id="rId36" Type="http://schemas.openxmlformats.org/officeDocument/2006/relationships/chart" Target="../charts/chart75.xml"/><Relationship Id="rId49" Type="http://schemas.openxmlformats.org/officeDocument/2006/relationships/chart" Target="../charts/chart88.xml"/><Relationship Id="rId10" Type="http://schemas.openxmlformats.org/officeDocument/2006/relationships/chart" Target="../charts/chart49.xml"/><Relationship Id="rId19" Type="http://schemas.openxmlformats.org/officeDocument/2006/relationships/chart" Target="../charts/chart58.xml"/><Relationship Id="rId31" Type="http://schemas.openxmlformats.org/officeDocument/2006/relationships/chart" Target="../charts/chart70.xml"/><Relationship Id="rId44" Type="http://schemas.openxmlformats.org/officeDocument/2006/relationships/chart" Target="../charts/chart83.xml"/><Relationship Id="rId4" Type="http://schemas.openxmlformats.org/officeDocument/2006/relationships/chart" Target="../charts/chart43.xml"/><Relationship Id="rId9" Type="http://schemas.openxmlformats.org/officeDocument/2006/relationships/chart" Target="../charts/chart48.xml"/><Relationship Id="rId14" Type="http://schemas.openxmlformats.org/officeDocument/2006/relationships/chart" Target="../charts/chart53.xml"/><Relationship Id="rId22" Type="http://schemas.openxmlformats.org/officeDocument/2006/relationships/chart" Target="../charts/chart61.xml"/><Relationship Id="rId27" Type="http://schemas.openxmlformats.org/officeDocument/2006/relationships/chart" Target="../charts/chart66.xml"/><Relationship Id="rId30" Type="http://schemas.openxmlformats.org/officeDocument/2006/relationships/chart" Target="../charts/chart69.xml"/><Relationship Id="rId35" Type="http://schemas.openxmlformats.org/officeDocument/2006/relationships/chart" Target="../charts/chart74.xml"/><Relationship Id="rId43" Type="http://schemas.openxmlformats.org/officeDocument/2006/relationships/chart" Target="../charts/chart82.xml"/><Relationship Id="rId48" Type="http://schemas.openxmlformats.org/officeDocument/2006/relationships/chart" Target="../charts/chart87.xml"/><Relationship Id="rId8" Type="http://schemas.openxmlformats.org/officeDocument/2006/relationships/chart" Target="../charts/chart47.xml"/><Relationship Id="rId3" Type="http://schemas.openxmlformats.org/officeDocument/2006/relationships/chart" Target="../charts/chart42.xml"/><Relationship Id="rId12" Type="http://schemas.openxmlformats.org/officeDocument/2006/relationships/chart" Target="../charts/chart51.xml"/><Relationship Id="rId17" Type="http://schemas.openxmlformats.org/officeDocument/2006/relationships/chart" Target="../charts/chart56.xml"/><Relationship Id="rId25" Type="http://schemas.openxmlformats.org/officeDocument/2006/relationships/chart" Target="../charts/chart64.xml"/><Relationship Id="rId33" Type="http://schemas.openxmlformats.org/officeDocument/2006/relationships/chart" Target="../charts/chart72.xml"/><Relationship Id="rId38" Type="http://schemas.openxmlformats.org/officeDocument/2006/relationships/chart" Target="../charts/chart77.xml"/><Relationship Id="rId46" Type="http://schemas.openxmlformats.org/officeDocument/2006/relationships/chart" Target="../charts/chart85.xml"/><Relationship Id="rId20" Type="http://schemas.openxmlformats.org/officeDocument/2006/relationships/chart" Target="../charts/chart59.xml"/><Relationship Id="rId41" Type="http://schemas.openxmlformats.org/officeDocument/2006/relationships/chart" Target="../charts/chart80.xml"/><Relationship Id="rId1" Type="http://schemas.openxmlformats.org/officeDocument/2006/relationships/chart" Target="../charts/chart40.xml"/><Relationship Id="rId6" Type="http://schemas.openxmlformats.org/officeDocument/2006/relationships/chart" Target="../charts/chart4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0</xdr:colOff>
      <xdr:row>36</xdr:row>
      <xdr:rowOff>0</xdr:rowOff>
    </xdr:to>
    <xdr:pic>
      <xdr:nvPicPr>
        <xdr:cNvPr id="3" name="Picture 2">
          <a:extLst>
            <a:ext uri="{FF2B5EF4-FFF2-40B4-BE49-F238E27FC236}">
              <a16:creationId xmlns:a16="http://schemas.microsoft.com/office/drawing/2014/main" id="{A7A3F60F-F3D1-79A1-5B50-764F41EAE4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144000" cy="685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609597</xdr:colOff>
      <xdr:row>16</xdr:row>
      <xdr:rowOff>304797</xdr:rowOff>
    </xdr:from>
    <xdr:to>
      <xdr:col>27</xdr:col>
      <xdr:colOff>0</xdr:colOff>
      <xdr:row>27</xdr:row>
      <xdr:rowOff>298701</xdr:rowOff>
    </xdr:to>
    <xdr:graphicFrame macro="">
      <xdr:nvGraphicFramePr>
        <xdr:cNvPr id="3" name="Chart 2">
          <a:extLst>
            <a:ext uri="{FF2B5EF4-FFF2-40B4-BE49-F238E27FC236}">
              <a16:creationId xmlns:a16="http://schemas.microsoft.com/office/drawing/2014/main" id="{C3C73DC3-3D0F-346F-0505-53319E4BDB1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29</xdr:row>
      <xdr:rowOff>0</xdr:rowOff>
    </xdr:from>
    <xdr:to>
      <xdr:col>27</xdr:col>
      <xdr:colOff>0</xdr:colOff>
      <xdr:row>36</xdr:row>
      <xdr:rowOff>0</xdr:rowOff>
    </xdr:to>
    <xdr:graphicFrame macro="">
      <xdr:nvGraphicFramePr>
        <xdr:cNvPr id="4" name="Chart 3">
          <a:extLst>
            <a:ext uri="{FF2B5EF4-FFF2-40B4-BE49-F238E27FC236}">
              <a16:creationId xmlns:a16="http://schemas.microsoft.com/office/drawing/2014/main" id="{6A3B1230-270E-36C1-2EC5-990A686C8A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37</xdr:row>
      <xdr:rowOff>0</xdr:rowOff>
    </xdr:from>
    <xdr:to>
      <xdr:col>27</xdr:col>
      <xdr:colOff>2</xdr:colOff>
      <xdr:row>43</xdr:row>
      <xdr:rowOff>0</xdr:rowOff>
    </xdr:to>
    <xdr:graphicFrame macro="">
      <xdr:nvGraphicFramePr>
        <xdr:cNvPr id="9" name="Chart 8">
          <a:extLst>
            <a:ext uri="{FF2B5EF4-FFF2-40B4-BE49-F238E27FC236}">
              <a16:creationId xmlns:a16="http://schemas.microsoft.com/office/drawing/2014/main" id="{90BAC89B-2F97-4F88-A39C-F4945D972CD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5951</xdr:colOff>
      <xdr:row>44</xdr:row>
      <xdr:rowOff>1871</xdr:rowOff>
    </xdr:from>
    <xdr:to>
      <xdr:col>26</xdr:col>
      <xdr:colOff>612320</xdr:colOff>
      <xdr:row>50</xdr:row>
      <xdr:rowOff>0</xdr:rowOff>
    </xdr:to>
    <xdr:graphicFrame macro="">
      <xdr:nvGraphicFramePr>
        <xdr:cNvPr id="5" name="Chart 4">
          <a:extLst>
            <a:ext uri="{FF2B5EF4-FFF2-40B4-BE49-F238E27FC236}">
              <a16:creationId xmlns:a16="http://schemas.microsoft.com/office/drawing/2014/main" id="{2EBD6C87-F321-A931-28CF-62863D49F3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51</xdr:row>
      <xdr:rowOff>0</xdr:rowOff>
    </xdr:from>
    <xdr:to>
      <xdr:col>26</xdr:col>
      <xdr:colOff>606369</xdr:colOff>
      <xdr:row>56</xdr:row>
      <xdr:rowOff>304290</xdr:rowOff>
    </xdr:to>
    <xdr:graphicFrame macro="">
      <xdr:nvGraphicFramePr>
        <xdr:cNvPr id="6" name="Chart 5">
          <a:extLst>
            <a:ext uri="{FF2B5EF4-FFF2-40B4-BE49-F238E27FC236}">
              <a16:creationId xmlns:a16="http://schemas.microsoft.com/office/drawing/2014/main" id="{2EA660C6-596C-4C67-BE1C-35AE3E208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58</xdr:row>
      <xdr:rowOff>0</xdr:rowOff>
    </xdr:from>
    <xdr:to>
      <xdr:col>26</xdr:col>
      <xdr:colOff>606369</xdr:colOff>
      <xdr:row>63</xdr:row>
      <xdr:rowOff>304290</xdr:rowOff>
    </xdr:to>
    <xdr:graphicFrame macro="">
      <xdr:nvGraphicFramePr>
        <xdr:cNvPr id="7" name="Chart 6">
          <a:extLst>
            <a:ext uri="{FF2B5EF4-FFF2-40B4-BE49-F238E27FC236}">
              <a16:creationId xmlns:a16="http://schemas.microsoft.com/office/drawing/2014/main" id="{97284A1D-B66A-45D9-A5C7-7D95DA4DB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65</xdr:row>
      <xdr:rowOff>0</xdr:rowOff>
    </xdr:from>
    <xdr:to>
      <xdr:col>26</xdr:col>
      <xdr:colOff>606369</xdr:colOff>
      <xdr:row>70</xdr:row>
      <xdr:rowOff>304290</xdr:rowOff>
    </xdr:to>
    <xdr:graphicFrame macro="">
      <xdr:nvGraphicFramePr>
        <xdr:cNvPr id="8" name="Chart 7">
          <a:extLst>
            <a:ext uri="{FF2B5EF4-FFF2-40B4-BE49-F238E27FC236}">
              <a16:creationId xmlns:a16="http://schemas.microsoft.com/office/drawing/2014/main" id="{BCADA65B-1AE0-4CA3-AD55-A3F5F9DE4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0</xdr:colOff>
      <xdr:row>72</xdr:row>
      <xdr:rowOff>0</xdr:rowOff>
    </xdr:from>
    <xdr:to>
      <xdr:col>26</xdr:col>
      <xdr:colOff>606369</xdr:colOff>
      <xdr:row>77</xdr:row>
      <xdr:rowOff>304290</xdr:rowOff>
    </xdr:to>
    <xdr:graphicFrame macro="">
      <xdr:nvGraphicFramePr>
        <xdr:cNvPr id="10" name="Chart 9">
          <a:extLst>
            <a:ext uri="{FF2B5EF4-FFF2-40B4-BE49-F238E27FC236}">
              <a16:creationId xmlns:a16="http://schemas.microsoft.com/office/drawing/2014/main" id="{A80FC3D8-465A-4B30-97BD-7E0FDDAEE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0</xdr:colOff>
      <xdr:row>79</xdr:row>
      <xdr:rowOff>0</xdr:rowOff>
    </xdr:from>
    <xdr:to>
      <xdr:col>26</xdr:col>
      <xdr:colOff>606369</xdr:colOff>
      <xdr:row>84</xdr:row>
      <xdr:rowOff>304290</xdr:rowOff>
    </xdr:to>
    <xdr:graphicFrame macro="">
      <xdr:nvGraphicFramePr>
        <xdr:cNvPr id="11" name="Chart 10">
          <a:extLst>
            <a:ext uri="{FF2B5EF4-FFF2-40B4-BE49-F238E27FC236}">
              <a16:creationId xmlns:a16="http://schemas.microsoft.com/office/drawing/2014/main" id="{7D6258EE-B7FA-4975-A172-9B95A9DB9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86</xdr:row>
      <xdr:rowOff>0</xdr:rowOff>
    </xdr:from>
    <xdr:to>
      <xdr:col>26</xdr:col>
      <xdr:colOff>606369</xdr:colOff>
      <xdr:row>91</xdr:row>
      <xdr:rowOff>304290</xdr:rowOff>
    </xdr:to>
    <xdr:graphicFrame macro="">
      <xdr:nvGraphicFramePr>
        <xdr:cNvPr id="12" name="Chart 11">
          <a:extLst>
            <a:ext uri="{FF2B5EF4-FFF2-40B4-BE49-F238E27FC236}">
              <a16:creationId xmlns:a16="http://schemas.microsoft.com/office/drawing/2014/main" id="{C8613DC7-5332-47D1-A8FB-5AAB817602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93</xdr:row>
      <xdr:rowOff>0</xdr:rowOff>
    </xdr:from>
    <xdr:to>
      <xdr:col>26</xdr:col>
      <xdr:colOff>606369</xdr:colOff>
      <xdr:row>98</xdr:row>
      <xdr:rowOff>304290</xdr:rowOff>
    </xdr:to>
    <xdr:graphicFrame macro="">
      <xdr:nvGraphicFramePr>
        <xdr:cNvPr id="13" name="Chart 12">
          <a:extLst>
            <a:ext uri="{FF2B5EF4-FFF2-40B4-BE49-F238E27FC236}">
              <a16:creationId xmlns:a16="http://schemas.microsoft.com/office/drawing/2014/main" id="{1B51ACB4-D936-4033-8288-3CDA77B587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100</xdr:row>
      <xdr:rowOff>0</xdr:rowOff>
    </xdr:from>
    <xdr:to>
      <xdr:col>26</xdr:col>
      <xdr:colOff>606369</xdr:colOff>
      <xdr:row>105</xdr:row>
      <xdr:rowOff>304290</xdr:rowOff>
    </xdr:to>
    <xdr:graphicFrame macro="">
      <xdr:nvGraphicFramePr>
        <xdr:cNvPr id="14" name="Chart 13">
          <a:extLst>
            <a:ext uri="{FF2B5EF4-FFF2-40B4-BE49-F238E27FC236}">
              <a16:creationId xmlns:a16="http://schemas.microsoft.com/office/drawing/2014/main" id="{E1E8CDAD-C0C8-4816-B40E-849982013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0</xdr:colOff>
      <xdr:row>107</xdr:row>
      <xdr:rowOff>0</xdr:rowOff>
    </xdr:from>
    <xdr:to>
      <xdr:col>26</xdr:col>
      <xdr:colOff>606369</xdr:colOff>
      <xdr:row>112</xdr:row>
      <xdr:rowOff>304290</xdr:rowOff>
    </xdr:to>
    <xdr:graphicFrame macro="">
      <xdr:nvGraphicFramePr>
        <xdr:cNvPr id="15" name="Chart 14">
          <a:extLst>
            <a:ext uri="{FF2B5EF4-FFF2-40B4-BE49-F238E27FC236}">
              <a16:creationId xmlns:a16="http://schemas.microsoft.com/office/drawing/2014/main" id="{6BACA129-C587-480E-90D9-2799AE9E1D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0</xdr:colOff>
      <xdr:row>114</xdr:row>
      <xdr:rowOff>0</xdr:rowOff>
    </xdr:from>
    <xdr:to>
      <xdr:col>26</xdr:col>
      <xdr:colOff>606369</xdr:colOff>
      <xdr:row>119</xdr:row>
      <xdr:rowOff>304290</xdr:rowOff>
    </xdr:to>
    <xdr:graphicFrame macro="">
      <xdr:nvGraphicFramePr>
        <xdr:cNvPr id="16" name="Chart 15">
          <a:extLst>
            <a:ext uri="{FF2B5EF4-FFF2-40B4-BE49-F238E27FC236}">
              <a16:creationId xmlns:a16="http://schemas.microsoft.com/office/drawing/2014/main" id="{0A45BE96-7C7A-4074-96A5-F6C113C6BE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0</xdr:colOff>
      <xdr:row>121</xdr:row>
      <xdr:rowOff>0</xdr:rowOff>
    </xdr:from>
    <xdr:to>
      <xdr:col>26</xdr:col>
      <xdr:colOff>606369</xdr:colOff>
      <xdr:row>126</xdr:row>
      <xdr:rowOff>304290</xdr:rowOff>
    </xdr:to>
    <xdr:graphicFrame macro="">
      <xdr:nvGraphicFramePr>
        <xdr:cNvPr id="17" name="Chart 16">
          <a:extLst>
            <a:ext uri="{FF2B5EF4-FFF2-40B4-BE49-F238E27FC236}">
              <a16:creationId xmlns:a16="http://schemas.microsoft.com/office/drawing/2014/main" id="{5559F25B-72AD-4F2B-8A3A-AA9A0C025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0</xdr:colOff>
      <xdr:row>128</xdr:row>
      <xdr:rowOff>0</xdr:rowOff>
    </xdr:from>
    <xdr:to>
      <xdr:col>26</xdr:col>
      <xdr:colOff>606369</xdr:colOff>
      <xdr:row>133</xdr:row>
      <xdr:rowOff>304290</xdr:rowOff>
    </xdr:to>
    <xdr:graphicFrame macro="">
      <xdr:nvGraphicFramePr>
        <xdr:cNvPr id="18" name="Chart 17">
          <a:extLst>
            <a:ext uri="{FF2B5EF4-FFF2-40B4-BE49-F238E27FC236}">
              <a16:creationId xmlns:a16="http://schemas.microsoft.com/office/drawing/2014/main" id="{874A74FD-7560-43FC-B179-C8A948C6D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0</xdr:colOff>
      <xdr:row>135</xdr:row>
      <xdr:rowOff>0</xdr:rowOff>
    </xdr:from>
    <xdr:to>
      <xdr:col>26</xdr:col>
      <xdr:colOff>606369</xdr:colOff>
      <xdr:row>140</xdr:row>
      <xdr:rowOff>304290</xdr:rowOff>
    </xdr:to>
    <xdr:graphicFrame macro="">
      <xdr:nvGraphicFramePr>
        <xdr:cNvPr id="19" name="Chart 18">
          <a:extLst>
            <a:ext uri="{FF2B5EF4-FFF2-40B4-BE49-F238E27FC236}">
              <a16:creationId xmlns:a16="http://schemas.microsoft.com/office/drawing/2014/main" id="{06E6B293-0DE4-411F-9132-ED52AB553C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0</xdr:colOff>
      <xdr:row>142</xdr:row>
      <xdr:rowOff>0</xdr:rowOff>
    </xdr:from>
    <xdr:to>
      <xdr:col>26</xdr:col>
      <xdr:colOff>606369</xdr:colOff>
      <xdr:row>147</xdr:row>
      <xdr:rowOff>304290</xdr:rowOff>
    </xdr:to>
    <xdr:graphicFrame macro="">
      <xdr:nvGraphicFramePr>
        <xdr:cNvPr id="20" name="Chart 19">
          <a:extLst>
            <a:ext uri="{FF2B5EF4-FFF2-40B4-BE49-F238E27FC236}">
              <a16:creationId xmlns:a16="http://schemas.microsoft.com/office/drawing/2014/main" id="{0D94D2F0-ED91-4666-B307-8507B31791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0</xdr:colOff>
      <xdr:row>150</xdr:row>
      <xdr:rowOff>0</xdr:rowOff>
    </xdr:from>
    <xdr:to>
      <xdr:col>26</xdr:col>
      <xdr:colOff>606369</xdr:colOff>
      <xdr:row>155</xdr:row>
      <xdr:rowOff>304290</xdr:rowOff>
    </xdr:to>
    <xdr:graphicFrame macro="">
      <xdr:nvGraphicFramePr>
        <xdr:cNvPr id="21" name="Chart 20">
          <a:extLst>
            <a:ext uri="{FF2B5EF4-FFF2-40B4-BE49-F238E27FC236}">
              <a16:creationId xmlns:a16="http://schemas.microsoft.com/office/drawing/2014/main" id="{EBF19992-D102-4E0E-BDE2-911375584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18</xdr:col>
      <xdr:colOff>0</xdr:colOff>
      <xdr:row>157</xdr:row>
      <xdr:rowOff>0</xdr:rowOff>
    </xdr:from>
    <xdr:to>
      <xdr:col>26</xdr:col>
      <xdr:colOff>606369</xdr:colOff>
      <xdr:row>162</xdr:row>
      <xdr:rowOff>304290</xdr:rowOff>
    </xdr:to>
    <xdr:graphicFrame macro="">
      <xdr:nvGraphicFramePr>
        <xdr:cNvPr id="22" name="Chart 21">
          <a:extLst>
            <a:ext uri="{FF2B5EF4-FFF2-40B4-BE49-F238E27FC236}">
              <a16:creationId xmlns:a16="http://schemas.microsoft.com/office/drawing/2014/main" id="{A8E5D355-1E4F-4787-A6DE-C0E2450A7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18</xdr:col>
      <xdr:colOff>0</xdr:colOff>
      <xdr:row>164</xdr:row>
      <xdr:rowOff>0</xdr:rowOff>
    </xdr:from>
    <xdr:to>
      <xdr:col>26</xdr:col>
      <xdr:colOff>606369</xdr:colOff>
      <xdr:row>169</xdr:row>
      <xdr:rowOff>304290</xdr:rowOff>
    </xdr:to>
    <xdr:graphicFrame macro="">
      <xdr:nvGraphicFramePr>
        <xdr:cNvPr id="23" name="Chart 22">
          <a:extLst>
            <a:ext uri="{FF2B5EF4-FFF2-40B4-BE49-F238E27FC236}">
              <a16:creationId xmlns:a16="http://schemas.microsoft.com/office/drawing/2014/main" id="{E968B246-92F6-4025-9B4D-2F461B6C44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18</xdr:col>
      <xdr:colOff>0</xdr:colOff>
      <xdr:row>171</xdr:row>
      <xdr:rowOff>0</xdr:rowOff>
    </xdr:from>
    <xdr:to>
      <xdr:col>26</xdr:col>
      <xdr:colOff>606369</xdr:colOff>
      <xdr:row>176</xdr:row>
      <xdr:rowOff>304290</xdr:rowOff>
    </xdr:to>
    <xdr:graphicFrame macro="">
      <xdr:nvGraphicFramePr>
        <xdr:cNvPr id="24" name="Chart 23">
          <a:extLst>
            <a:ext uri="{FF2B5EF4-FFF2-40B4-BE49-F238E27FC236}">
              <a16:creationId xmlns:a16="http://schemas.microsoft.com/office/drawing/2014/main" id="{0B3EC12D-D1DF-4DBE-B1C3-A39A3FAAF8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18</xdr:col>
      <xdr:colOff>0</xdr:colOff>
      <xdr:row>178</xdr:row>
      <xdr:rowOff>0</xdr:rowOff>
    </xdr:from>
    <xdr:to>
      <xdr:col>26</xdr:col>
      <xdr:colOff>606369</xdr:colOff>
      <xdr:row>183</xdr:row>
      <xdr:rowOff>304290</xdr:rowOff>
    </xdr:to>
    <xdr:graphicFrame macro="">
      <xdr:nvGraphicFramePr>
        <xdr:cNvPr id="25" name="Chart 24">
          <a:extLst>
            <a:ext uri="{FF2B5EF4-FFF2-40B4-BE49-F238E27FC236}">
              <a16:creationId xmlns:a16="http://schemas.microsoft.com/office/drawing/2014/main" id="{C84533F1-9F2E-447D-B6CA-C8320857B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18</xdr:col>
      <xdr:colOff>0</xdr:colOff>
      <xdr:row>185</xdr:row>
      <xdr:rowOff>0</xdr:rowOff>
    </xdr:from>
    <xdr:to>
      <xdr:col>26</xdr:col>
      <xdr:colOff>606369</xdr:colOff>
      <xdr:row>190</xdr:row>
      <xdr:rowOff>304290</xdr:rowOff>
    </xdr:to>
    <xdr:graphicFrame macro="">
      <xdr:nvGraphicFramePr>
        <xdr:cNvPr id="26" name="Chart 25">
          <a:extLst>
            <a:ext uri="{FF2B5EF4-FFF2-40B4-BE49-F238E27FC236}">
              <a16:creationId xmlns:a16="http://schemas.microsoft.com/office/drawing/2014/main" id="{F2605B1C-B488-4C02-9E07-3108A3645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18</xdr:col>
      <xdr:colOff>0</xdr:colOff>
      <xdr:row>192</xdr:row>
      <xdr:rowOff>0</xdr:rowOff>
    </xdr:from>
    <xdr:to>
      <xdr:col>26</xdr:col>
      <xdr:colOff>606369</xdr:colOff>
      <xdr:row>197</xdr:row>
      <xdr:rowOff>304290</xdr:rowOff>
    </xdr:to>
    <xdr:graphicFrame macro="">
      <xdr:nvGraphicFramePr>
        <xdr:cNvPr id="27" name="Chart 26">
          <a:extLst>
            <a:ext uri="{FF2B5EF4-FFF2-40B4-BE49-F238E27FC236}">
              <a16:creationId xmlns:a16="http://schemas.microsoft.com/office/drawing/2014/main" id="{C0F0AB56-2A00-4950-BFA4-C2819A8E25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18</xdr:col>
      <xdr:colOff>0</xdr:colOff>
      <xdr:row>199</xdr:row>
      <xdr:rowOff>0</xdr:rowOff>
    </xdr:from>
    <xdr:to>
      <xdr:col>26</xdr:col>
      <xdr:colOff>606369</xdr:colOff>
      <xdr:row>204</xdr:row>
      <xdr:rowOff>304290</xdr:rowOff>
    </xdr:to>
    <xdr:graphicFrame macro="">
      <xdr:nvGraphicFramePr>
        <xdr:cNvPr id="28" name="Chart 27">
          <a:extLst>
            <a:ext uri="{FF2B5EF4-FFF2-40B4-BE49-F238E27FC236}">
              <a16:creationId xmlns:a16="http://schemas.microsoft.com/office/drawing/2014/main" id="{69EE3C9E-ADD4-467F-9A22-E4AD253AFB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18</xdr:col>
      <xdr:colOff>0</xdr:colOff>
      <xdr:row>206</xdr:row>
      <xdr:rowOff>0</xdr:rowOff>
    </xdr:from>
    <xdr:to>
      <xdr:col>26</xdr:col>
      <xdr:colOff>606369</xdr:colOff>
      <xdr:row>211</xdr:row>
      <xdr:rowOff>304290</xdr:rowOff>
    </xdr:to>
    <xdr:graphicFrame macro="">
      <xdr:nvGraphicFramePr>
        <xdr:cNvPr id="29" name="Chart 28">
          <a:extLst>
            <a:ext uri="{FF2B5EF4-FFF2-40B4-BE49-F238E27FC236}">
              <a16:creationId xmlns:a16="http://schemas.microsoft.com/office/drawing/2014/main" id="{12F763A2-BC58-42D5-9C9F-663BA117A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18</xdr:col>
      <xdr:colOff>0</xdr:colOff>
      <xdr:row>213</xdr:row>
      <xdr:rowOff>0</xdr:rowOff>
    </xdr:from>
    <xdr:to>
      <xdr:col>26</xdr:col>
      <xdr:colOff>606369</xdr:colOff>
      <xdr:row>218</xdr:row>
      <xdr:rowOff>304290</xdr:rowOff>
    </xdr:to>
    <xdr:graphicFrame macro="">
      <xdr:nvGraphicFramePr>
        <xdr:cNvPr id="30" name="Chart 29">
          <a:extLst>
            <a:ext uri="{FF2B5EF4-FFF2-40B4-BE49-F238E27FC236}">
              <a16:creationId xmlns:a16="http://schemas.microsoft.com/office/drawing/2014/main" id="{356F59F9-149C-47B5-9B11-AF7011C42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18</xdr:col>
      <xdr:colOff>4690</xdr:colOff>
      <xdr:row>219</xdr:row>
      <xdr:rowOff>500883</xdr:rowOff>
    </xdr:from>
    <xdr:to>
      <xdr:col>27</xdr:col>
      <xdr:colOff>4690</xdr:colOff>
      <xdr:row>222</xdr:row>
      <xdr:rowOff>0</xdr:rowOff>
    </xdr:to>
    <xdr:graphicFrame macro="">
      <xdr:nvGraphicFramePr>
        <xdr:cNvPr id="32" name="Chart 31">
          <a:extLst>
            <a:ext uri="{FF2B5EF4-FFF2-40B4-BE49-F238E27FC236}">
              <a16:creationId xmlns:a16="http://schemas.microsoft.com/office/drawing/2014/main" id="{4A8D1738-7F68-F58B-B7E7-8F18B0D665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612320</xdr:colOff>
      <xdr:row>223</xdr:row>
      <xdr:rowOff>12247</xdr:rowOff>
    </xdr:from>
    <xdr:to>
      <xdr:col>26</xdr:col>
      <xdr:colOff>612320</xdr:colOff>
      <xdr:row>229</xdr:row>
      <xdr:rowOff>0</xdr:rowOff>
    </xdr:to>
    <mc:AlternateContent xmlns:mc="http://schemas.openxmlformats.org/markup-compatibility/2006">
      <mc:Choice xmlns:cx1="http://schemas.microsoft.com/office/drawing/2015/9/8/chartex" Requires="cx1">
        <xdr:graphicFrame macro="">
          <xdr:nvGraphicFramePr>
            <xdr:cNvPr id="33" name="Chart 32">
              <a:extLst>
                <a:ext uri="{FF2B5EF4-FFF2-40B4-BE49-F238E27FC236}">
                  <a16:creationId xmlns:a16="http://schemas.microsoft.com/office/drawing/2014/main" id="{3022F1A9-FC88-953D-A769-004B5E3BC6D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0"/>
            </a:graphicData>
          </a:graphic>
        </xdr:graphicFrame>
      </mc:Choice>
      <mc:Fallback>
        <xdr:sp macro="" textlink="">
          <xdr:nvSpPr>
            <xdr:cNvPr id="0" name=""/>
            <xdr:cNvSpPr>
              <a:spLocks noTextEdit="1"/>
            </xdr:cNvSpPr>
          </xdr:nvSpPr>
          <xdr:spPr>
            <a:xfrm>
              <a:off x="10480220" y="112588222"/>
              <a:ext cx="5486400" cy="3016703"/>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18</xdr:col>
      <xdr:colOff>0</xdr:colOff>
      <xdr:row>230</xdr:row>
      <xdr:rowOff>0</xdr:rowOff>
    </xdr:from>
    <xdr:to>
      <xdr:col>27</xdr:col>
      <xdr:colOff>0</xdr:colOff>
      <xdr:row>235</xdr:row>
      <xdr:rowOff>0</xdr:rowOff>
    </xdr:to>
    <mc:AlternateContent xmlns:mc="http://schemas.openxmlformats.org/markup-compatibility/2006">
      <mc:Choice xmlns:cx1="http://schemas.microsoft.com/office/drawing/2015/9/8/chartex" Requires="cx1">
        <xdr:graphicFrame macro="">
          <xdr:nvGraphicFramePr>
            <xdr:cNvPr id="34" name="Chart 33">
              <a:extLst>
                <a:ext uri="{FF2B5EF4-FFF2-40B4-BE49-F238E27FC236}">
                  <a16:creationId xmlns:a16="http://schemas.microsoft.com/office/drawing/2014/main" id="{EBC930CB-ED92-43D2-9357-8653FACEEAE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1"/>
            </a:graphicData>
          </a:graphic>
        </xdr:graphicFrame>
      </mc:Choice>
      <mc:Fallback>
        <xdr:sp macro="" textlink="">
          <xdr:nvSpPr>
            <xdr:cNvPr id="0" name=""/>
            <xdr:cNvSpPr>
              <a:spLocks noTextEdit="1"/>
            </xdr:cNvSpPr>
          </xdr:nvSpPr>
          <xdr:spPr>
            <a:xfrm>
              <a:off x="10477500" y="116109750"/>
              <a:ext cx="5486400" cy="2524125"/>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18</xdr:col>
      <xdr:colOff>0</xdr:colOff>
      <xdr:row>236</xdr:row>
      <xdr:rowOff>0</xdr:rowOff>
    </xdr:from>
    <xdr:to>
      <xdr:col>27</xdr:col>
      <xdr:colOff>0</xdr:colOff>
      <xdr:row>238</xdr:row>
      <xdr:rowOff>0</xdr:rowOff>
    </xdr:to>
    <xdr:graphicFrame macro="">
      <xdr:nvGraphicFramePr>
        <xdr:cNvPr id="35" name="Chart 34">
          <a:extLst>
            <a:ext uri="{FF2B5EF4-FFF2-40B4-BE49-F238E27FC236}">
              <a16:creationId xmlns:a16="http://schemas.microsoft.com/office/drawing/2014/main" id="{42A23AFD-CD9E-42F4-B5FB-4D6E095756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18</xdr:col>
      <xdr:colOff>0</xdr:colOff>
      <xdr:row>255</xdr:row>
      <xdr:rowOff>0</xdr:rowOff>
    </xdr:from>
    <xdr:to>
      <xdr:col>27</xdr:col>
      <xdr:colOff>0</xdr:colOff>
      <xdr:row>258</xdr:row>
      <xdr:rowOff>0</xdr:rowOff>
    </xdr:to>
    <xdr:graphicFrame macro="">
      <xdr:nvGraphicFramePr>
        <xdr:cNvPr id="31" name="Chart 30">
          <a:extLst>
            <a:ext uri="{FF2B5EF4-FFF2-40B4-BE49-F238E27FC236}">
              <a16:creationId xmlns:a16="http://schemas.microsoft.com/office/drawing/2014/main" id="{0DB74B3E-25D8-5493-E996-064F312A47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18</xdr:col>
      <xdr:colOff>0</xdr:colOff>
      <xdr:row>259</xdr:row>
      <xdr:rowOff>0</xdr:rowOff>
    </xdr:from>
    <xdr:to>
      <xdr:col>27</xdr:col>
      <xdr:colOff>0</xdr:colOff>
      <xdr:row>262</xdr:row>
      <xdr:rowOff>0</xdr:rowOff>
    </xdr:to>
    <xdr:graphicFrame macro="">
      <xdr:nvGraphicFramePr>
        <xdr:cNvPr id="37" name="Chart 36">
          <a:extLst>
            <a:ext uri="{FF2B5EF4-FFF2-40B4-BE49-F238E27FC236}">
              <a16:creationId xmlns:a16="http://schemas.microsoft.com/office/drawing/2014/main" id="{CF601F17-1B13-4BCB-93C3-BA25E79DB6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18</xdr:col>
      <xdr:colOff>0</xdr:colOff>
      <xdr:row>263</xdr:row>
      <xdr:rowOff>0</xdr:rowOff>
    </xdr:from>
    <xdr:to>
      <xdr:col>27</xdr:col>
      <xdr:colOff>0</xdr:colOff>
      <xdr:row>268</xdr:row>
      <xdr:rowOff>0</xdr:rowOff>
    </xdr:to>
    <xdr:graphicFrame macro="">
      <xdr:nvGraphicFramePr>
        <xdr:cNvPr id="38" name="Chart 37">
          <a:extLst>
            <a:ext uri="{FF2B5EF4-FFF2-40B4-BE49-F238E27FC236}">
              <a16:creationId xmlns:a16="http://schemas.microsoft.com/office/drawing/2014/main" id="{02400C84-1B05-49B5-DB68-25D3807B31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18</xdr:col>
      <xdr:colOff>0</xdr:colOff>
      <xdr:row>268</xdr:row>
      <xdr:rowOff>8211</xdr:rowOff>
    </xdr:from>
    <xdr:to>
      <xdr:col>27</xdr:col>
      <xdr:colOff>0</xdr:colOff>
      <xdr:row>270</xdr:row>
      <xdr:rowOff>0</xdr:rowOff>
    </xdr:to>
    <xdr:graphicFrame macro="">
      <xdr:nvGraphicFramePr>
        <xdr:cNvPr id="39" name="Chart 38">
          <a:extLst>
            <a:ext uri="{FF2B5EF4-FFF2-40B4-BE49-F238E27FC236}">
              <a16:creationId xmlns:a16="http://schemas.microsoft.com/office/drawing/2014/main" id="{90724631-0BFE-A2C0-F9E5-DA056B1645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18</xdr:col>
      <xdr:colOff>0</xdr:colOff>
      <xdr:row>271</xdr:row>
      <xdr:rowOff>0</xdr:rowOff>
    </xdr:from>
    <xdr:to>
      <xdr:col>27</xdr:col>
      <xdr:colOff>0</xdr:colOff>
      <xdr:row>282</xdr:row>
      <xdr:rowOff>0</xdr:rowOff>
    </xdr:to>
    <xdr:graphicFrame macro="">
      <xdr:nvGraphicFramePr>
        <xdr:cNvPr id="40" name="Chart 39">
          <a:extLst>
            <a:ext uri="{FF2B5EF4-FFF2-40B4-BE49-F238E27FC236}">
              <a16:creationId xmlns:a16="http://schemas.microsoft.com/office/drawing/2014/main" id="{1E4CD25D-2517-46BA-819B-66B32EC78D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18</xdr:col>
      <xdr:colOff>0</xdr:colOff>
      <xdr:row>282</xdr:row>
      <xdr:rowOff>500883</xdr:rowOff>
    </xdr:from>
    <xdr:to>
      <xdr:col>27</xdr:col>
      <xdr:colOff>0</xdr:colOff>
      <xdr:row>288</xdr:row>
      <xdr:rowOff>500882</xdr:rowOff>
    </xdr:to>
    <mc:AlternateContent xmlns:mc="http://schemas.openxmlformats.org/markup-compatibility/2006">
      <mc:Choice xmlns:cx1="http://schemas.microsoft.com/office/drawing/2015/9/8/chartex" Requires="cx1">
        <xdr:graphicFrame macro="">
          <xdr:nvGraphicFramePr>
            <xdr:cNvPr id="41" name="Chart 40">
              <a:extLst>
                <a:ext uri="{FF2B5EF4-FFF2-40B4-BE49-F238E27FC236}">
                  <a16:creationId xmlns:a16="http://schemas.microsoft.com/office/drawing/2014/main" id="{8879F909-A83B-D6DC-5A2A-E0693BBB072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8"/>
            </a:graphicData>
          </a:graphic>
        </xdr:graphicFrame>
      </mc:Choice>
      <mc:Fallback>
        <xdr:sp macro="" textlink="">
          <xdr:nvSpPr>
            <xdr:cNvPr id="0" name=""/>
            <xdr:cNvSpPr>
              <a:spLocks noTextEdit="1"/>
            </xdr:cNvSpPr>
          </xdr:nvSpPr>
          <xdr:spPr>
            <a:xfrm>
              <a:off x="10477500" y="142861533"/>
              <a:ext cx="5486400" cy="3028949"/>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18</xdr:col>
      <xdr:colOff>0</xdr:colOff>
      <xdr:row>290</xdr:row>
      <xdr:rowOff>0</xdr:rowOff>
    </xdr:from>
    <xdr:to>
      <xdr:col>27</xdr:col>
      <xdr:colOff>0</xdr:colOff>
      <xdr:row>296</xdr:row>
      <xdr:rowOff>0</xdr:rowOff>
    </xdr:to>
    <xdr:graphicFrame macro="">
      <xdr:nvGraphicFramePr>
        <xdr:cNvPr id="42" name="Chart 41">
          <a:extLst>
            <a:ext uri="{FF2B5EF4-FFF2-40B4-BE49-F238E27FC236}">
              <a16:creationId xmlns:a16="http://schemas.microsoft.com/office/drawing/2014/main" id="{BFDAD6EB-9B1A-DC08-B98C-92274E34DE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18</xdr:col>
      <xdr:colOff>0</xdr:colOff>
      <xdr:row>297</xdr:row>
      <xdr:rowOff>0</xdr:rowOff>
    </xdr:from>
    <xdr:to>
      <xdr:col>27</xdr:col>
      <xdr:colOff>0</xdr:colOff>
      <xdr:row>300</xdr:row>
      <xdr:rowOff>0</xdr:rowOff>
    </xdr:to>
    <xdr:graphicFrame macro="">
      <xdr:nvGraphicFramePr>
        <xdr:cNvPr id="43" name="Chart 42">
          <a:extLst>
            <a:ext uri="{FF2B5EF4-FFF2-40B4-BE49-F238E27FC236}">
              <a16:creationId xmlns:a16="http://schemas.microsoft.com/office/drawing/2014/main" id="{9F8057C6-FC50-49E1-4D22-9D4C5F1985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18</xdr:col>
      <xdr:colOff>5</xdr:colOff>
      <xdr:row>5</xdr:row>
      <xdr:rowOff>0</xdr:rowOff>
    </xdr:from>
    <xdr:to>
      <xdr:col>27</xdr:col>
      <xdr:colOff>5</xdr:colOff>
      <xdr:row>16</xdr:row>
      <xdr:rowOff>0</xdr:rowOff>
    </xdr:to>
    <xdr:graphicFrame macro="">
      <xdr:nvGraphicFramePr>
        <xdr:cNvPr id="44" name="Chart 43">
          <a:extLst>
            <a:ext uri="{FF2B5EF4-FFF2-40B4-BE49-F238E27FC236}">
              <a16:creationId xmlns:a16="http://schemas.microsoft.com/office/drawing/2014/main" id="{F46DCFB2-BE39-2B7B-5BF2-5534E4EF1B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18</xdr:col>
      <xdr:colOff>0</xdr:colOff>
      <xdr:row>239</xdr:row>
      <xdr:rowOff>0</xdr:rowOff>
    </xdr:from>
    <xdr:to>
      <xdr:col>27</xdr:col>
      <xdr:colOff>0</xdr:colOff>
      <xdr:row>254</xdr:row>
      <xdr:rowOff>0</xdr:rowOff>
    </xdr:to>
    <xdr:graphicFrame macro="">
      <xdr:nvGraphicFramePr>
        <xdr:cNvPr id="46" name="Chart 45">
          <a:extLst>
            <a:ext uri="{FF2B5EF4-FFF2-40B4-BE49-F238E27FC236}">
              <a16:creationId xmlns:a16="http://schemas.microsoft.com/office/drawing/2014/main" id="{8081ACC6-2D5A-4C7A-FC45-31AE4518E5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18</xdr:col>
      <xdr:colOff>0</xdr:colOff>
      <xdr:row>301</xdr:row>
      <xdr:rowOff>0</xdr:rowOff>
    </xdr:from>
    <xdr:to>
      <xdr:col>27</xdr:col>
      <xdr:colOff>0</xdr:colOff>
      <xdr:row>306</xdr:row>
      <xdr:rowOff>504824</xdr:rowOff>
    </xdr:to>
    <mc:AlternateContent xmlns:mc="http://schemas.openxmlformats.org/markup-compatibility/2006">
      <mc:Choice xmlns:cx1="http://schemas.microsoft.com/office/drawing/2015/9/8/chartex" Requires="cx1">
        <xdr:graphicFrame macro="">
          <xdr:nvGraphicFramePr>
            <xdr:cNvPr id="47" name="Chart 46">
              <a:extLst>
                <a:ext uri="{FF2B5EF4-FFF2-40B4-BE49-F238E27FC236}">
                  <a16:creationId xmlns:a16="http://schemas.microsoft.com/office/drawing/2014/main" id="{98E9A9EC-BF7E-BCCC-6ACB-7CA24AC8C88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3"/>
            </a:graphicData>
          </a:graphic>
        </xdr:graphicFrame>
      </mc:Choice>
      <mc:Fallback>
        <xdr:sp macro="" textlink="">
          <xdr:nvSpPr>
            <xdr:cNvPr id="0" name=""/>
            <xdr:cNvSpPr>
              <a:spLocks noTextEdit="1"/>
            </xdr:cNvSpPr>
          </xdr:nvSpPr>
          <xdr:spPr>
            <a:xfrm>
              <a:off x="10477500" y="151952325"/>
              <a:ext cx="5486400" cy="3028949"/>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1109382</xdr:colOff>
      <xdr:row>116</xdr:row>
      <xdr:rowOff>0</xdr:rowOff>
    </xdr:to>
    <xdr:graphicFrame macro="">
      <xdr:nvGraphicFramePr>
        <xdr:cNvPr id="2" name="Chart 1">
          <a:extLst>
            <a:ext uri="{FF2B5EF4-FFF2-40B4-BE49-F238E27FC236}">
              <a16:creationId xmlns:a16="http://schemas.microsoft.com/office/drawing/2014/main" id="{E1C51CCC-807F-E035-A2CD-2A359C079A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118</xdr:row>
      <xdr:rowOff>181534</xdr:rowOff>
    </xdr:from>
    <xdr:to>
      <xdr:col>7</xdr:col>
      <xdr:colOff>1109382</xdr:colOff>
      <xdr:row>234</xdr:row>
      <xdr:rowOff>0</xdr:rowOff>
    </xdr:to>
    <xdr:graphicFrame macro="">
      <xdr:nvGraphicFramePr>
        <xdr:cNvPr id="3" name="Chart 2">
          <a:extLst>
            <a:ext uri="{FF2B5EF4-FFF2-40B4-BE49-F238E27FC236}">
              <a16:creationId xmlns:a16="http://schemas.microsoft.com/office/drawing/2014/main" id="{187EE700-EABB-2C3F-0573-70A09A494B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1109381</xdr:colOff>
      <xdr:row>235</xdr:row>
      <xdr:rowOff>201704</xdr:rowOff>
    </xdr:from>
    <xdr:to>
      <xdr:col>7</xdr:col>
      <xdr:colOff>1109382</xdr:colOff>
      <xdr:row>348</xdr:row>
      <xdr:rowOff>0</xdr:rowOff>
    </xdr:to>
    <xdr:graphicFrame macro="">
      <xdr:nvGraphicFramePr>
        <xdr:cNvPr id="4" name="Chart 3">
          <a:extLst>
            <a:ext uri="{FF2B5EF4-FFF2-40B4-BE49-F238E27FC236}">
              <a16:creationId xmlns:a16="http://schemas.microsoft.com/office/drawing/2014/main" id="{8EA3A1A0-F8F3-8F12-AB9A-94F3587A5F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349</xdr:row>
      <xdr:rowOff>181532</xdr:rowOff>
    </xdr:from>
    <xdr:to>
      <xdr:col>7</xdr:col>
      <xdr:colOff>1109382</xdr:colOff>
      <xdr:row>464</xdr:row>
      <xdr:rowOff>201705</xdr:rowOff>
    </xdr:to>
    <xdr:graphicFrame macro="">
      <xdr:nvGraphicFramePr>
        <xdr:cNvPr id="6" name="Chart 5">
          <a:extLst>
            <a:ext uri="{FF2B5EF4-FFF2-40B4-BE49-F238E27FC236}">
              <a16:creationId xmlns:a16="http://schemas.microsoft.com/office/drawing/2014/main" id="{E524A3FC-8AD9-8234-FC16-24C2B19D6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466</xdr:row>
      <xdr:rowOff>181533</xdr:rowOff>
    </xdr:from>
    <xdr:to>
      <xdr:col>7</xdr:col>
      <xdr:colOff>1109382</xdr:colOff>
      <xdr:row>581</xdr:row>
      <xdr:rowOff>201705</xdr:rowOff>
    </xdr:to>
    <xdr:graphicFrame macro="">
      <xdr:nvGraphicFramePr>
        <xdr:cNvPr id="7" name="Chart 6">
          <a:extLst>
            <a:ext uri="{FF2B5EF4-FFF2-40B4-BE49-F238E27FC236}">
              <a16:creationId xmlns:a16="http://schemas.microsoft.com/office/drawing/2014/main" id="{9D4BDFDC-3825-3DB6-6387-B17AAC6345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583</xdr:row>
      <xdr:rowOff>201704</xdr:rowOff>
    </xdr:from>
    <xdr:to>
      <xdr:col>7</xdr:col>
      <xdr:colOff>1109382</xdr:colOff>
      <xdr:row>699</xdr:row>
      <xdr:rowOff>0</xdr:rowOff>
    </xdr:to>
    <xdr:graphicFrame macro="">
      <xdr:nvGraphicFramePr>
        <xdr:cNvPr id="8" name="Chart 7">
          <a:extLst>
            <a:ext uri="{FF2B5EF4-FFF2-40B4-BE49-F238E27FC236}">
              <a16:creationId xmlns:a16="http://schemas.microsoft.com/office/drawing/2014/main" id="{8D01AC2E-E9DE-481C-0AE4-3F1A7493B5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701</xdr:row>
      <xdr:rowOff>-1</xdr:rowOff>
    </xdr:from>
    <xdr:to>
      <xdr:col>7</xdr:col>
      <xdr:colOff>1109382</xdr:colOff>
      <xdr:row>816</xdr:row>
      <xdr:rowOff>0</xdr:rowOff>
    </xdr:to>
    <xdr:graphicFrame macro="">
      <xdr:nvGraphicFramePr>
        <xdr:cNvPr id="9" name="Chart 8">
          <a:extLst>
            <a:ext uri="{FF2B5EF4-FFF2-40B4-BE49-F238E27FC236}">
              <a16:creationId xmlns:a16="http://schemas.microsoft.com/office/drawing/2014/main" id="{14D074B2-C2C4-72F1-712F-9F3551145B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818</xdr:row>
      <xdr:rowOff>-1</xdr:rowOff>
    </xdr:from>
    <xdr:to>
      <xdr:col>7</xdr:col>
      <xdr:colOff>1109382</xdr:colOff>
      <xdr:row>933</xdr:row>
      <xdr:rowOff>0</xdr:rowOff>
    </xdr:to>
    <xdr:graphicFrame macro="">
      <xdr:nvGraphicFramePr>
        <xdr:cNvPr id="10" name="Chart 9">
          <a:extLst>
            <a:ext uri="{FF2B5EF4-FFF2-40B4-BE49-F238E27FC236}">
              <a16:creationId xmlns:a16="http://schemas.microsoft.com/office/drawing/2014/main" id="{05F4DD4D-1D98-60C9-3B15-B608ADABF4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xdr:colOff>
      <xdr:row>934</xdr:row>
      <xdr:rowOff>201703</xdr:rowOff>
    </xdr:from>
    <xdr:to>
      <xdr:col>8</xdr:col>
      <xdr:colOff>0</xdr:colOff>
      <xdr:row>1050</xdr:row>
      <xdr:rowOff>201705</xdr:rowOff>
    </xdr:to>
    <xdr:graphicFrame macro="">
      <xdr:nvGraphicFramePr>
        <xdr:cNvPr id="11" name="Chart 10">
          <a:extLst>
            <a:ext uri="{FF2B5EF4-FFF2-40B4-BE49-F238E27FC236}">
              <a16:creationId xmlns:a16="http://schemas.microsoft.com/office/drawing/2014/main" id="{979EE918-48E1-B569-E533-642283BF91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1052</xdr:row>
      <xdr:rowOff>201704</xdr:rowOff>
    </xdr:from>
    <xdr:to>
      <xdr:col>7</xdr:col>
      <xdr:colOff>1109382</xdr:colOff>
      <xdr:row>1168</xdr:row>
      <xdr:rowOff>201705</xdr:rowOff>
    </xdr:to>
    <xdr:graphicFrame macro="">
      <xdr:nvGraphicFramePr>
        <xdr:cNvPr id="12" name="Chart 11">
          <a:extLst>
            <a:ext uri="{FF2B5EF4-FFF2-40B4-BE49-F238E27FC236}">
              <a16:creationId xmlns:a16="http://schemas.microsoft.com/office/drawing/2014/main" id="{0CA05909-BE48-4143-3541-23F6908C88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1170</xdr:row>
      <xdr:rowOff>201704</xdr:rowOff>
    </xdr:from>
    <xdr:to>
      <xdr:col>7</xdr:col>
      <xdr:colOff>1109382</xdr:colOff>
      <xdr:row>1286</xdr:row>
      <xdr:rowOff>201705</xdr:rowOff>
    </xdr:to>
    <xdr:graphicFrame macro="">
      <xdr:nvGraphicFramePr>
        <xdr:cNvPr id="13" name="Chart 12">
          <a:extLst>
            <a:ext uri="{FF2B5EF4-FFF2-40B4-BE49-F238E27FC236}">
              <a16:creationId xmlns:a16="http://schemas.microsoft.com/office/drawing/2014/main" id="{C83D2DF8-355B-28D7-9290-02CF04B59F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1288</xdr:row>
      <xdr:rowOff>201704</xdr:rowOff>
    </xdr:from>
    <xdr:to>
      <xdr:col>7</xdr:col>
      <xdr:colOff>1109382</xdr:colOff>
      <xdr:row>1405</xdr:row>
      <xdr:rowOff>0</xdr:rowOff>
    </xdr:to>
    <xdr:graphicFrame macro="">
      <xdr:nvGraphicFramePr>
        <xdr:cNvPr id="14" name="Chart 13">
          <a:extLst>
            <a:ext uri="{FF2B5EF4-FFF2-40B4-BE49-F238E27FC236}">
              <a16:creationId xmlns:a16="http://schemas.microsoft.com/office/drawing/2014/main" id="{D70EC92C-F2E9-643F-ABC4-65DD3B0B4A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1406</xdr:row>
      <xdr:rowOff>201704</xdr:rowOff>
    </xdr:from>
    <xdr:to>
      <xdr:col>7</xdr:col>
      <xdr:colOff>1109382</xdr:colOff>
      <xdr:row>1522</xdr:row>
      <xdr:rowOff>201705</xdr:rowOff>
    </xdr:to>
    <xdr:graphicFrame macro="">
      <xdr:nvGraphicFramePr>
        <xdr:cNvPr id="15" name="Chart 14">
          <a:extLst>
            <a:ext uri="{FF2B5EF4-FFF2-40B4-BE49-F238E27FC236}">
              <a16:creationId xmlns:a16="http://schemas.microsoft.com/office/drawing/2014/main" id="{B06381FB-4998-18BD-8F49-6F1AA16871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1524</xdr:row>
      <xdr:rowOff>201704</xdr:rowOff>
    </xdr:from>
    <xdr:to>
      <xdr:col>7</xdr:col>
      <xdr:colOff>1109382</xdr:colOff>
      <xdr:row>1641</xdr:row>
      <xdr:rowOff>0</xdr:rowOff>
    </xdr:to>
    <xdr:graphicFrame macro="">
      <xdr:nvGraphicFramePr>
        <xdr:cNvPr id="16" name="Chart 15">
          <a:extLst>
            <a:ext uri="{FF2B5EF4-FFF2-40B4-BE49-F238E27FC236}">
              <a16:creationId xmlns:a16="http://schemas.microsoft.com/office/drawing/2014/main" id="{B4749ECB-5721-9ABE-BB37-282E7C15A9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1642</xdr:row>
      <xdr:rowOff>201704</xdr:rowOff>
    </xdr:from>
    <xdr:to>
      <xdr:col>7</xdr:col>
      <xdr:colOff>1109382</xdr:colOff>
      <xdr:row>1759</xdr:row>
      <xdr:rowOff>0</xdr:rowOff>
    </xdr:to>
    <xdr:graphicFrame macro="">
      <xdr:nvGraphicFramePr>
        <xdr:cNvPr id="17" name="Chart 16">
          <a:extLst>
            <a:ext uri="{FF2B5EF4-FFF2-40B4-BE49-F238E27FC236}">
              <a16:creationId xmlns:a16="http://schemas.microsoft.com/office/drawing/2014/main" id="{604019D9-E7B9-E627-6157-A9D68E9D34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1760</xdr:row>
      <xdr:rowOff>201705</xdr:rowOff>
    </xdr:from>
    <xdr:to>
      <xdr:col>7</xdr:col>
      <xdr:colOff>1109382</xdr:colOff>
      <xdr:row>1868</xdr:row>
      <xdr:rowOff>0</xdr:rowOff>
    </xdr:to>
    <xdr:graphicFrame macro="">
      <xdr:nvGraphicFramePr>
        <xdr:cNvPr id="18" name="Chart 17">
          <a:extLst>
            <a:ext uri="{FF2B5EF4-FFF2-40B4-BE49-F238E27FC236}">
              <a16:creationId xmlns:a16="http://schemas.microsoft.com/office/drawing/2014/main" id="{C7592D9C-2FE8-5CAF-59EB-0646DC13F1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1869</xdr:row>
      <xdr:rowOff>201705</xdr:rowOff>
    </xdr:from>
    <xdr:to>
      <xdr:col>7</xdr:col>
      <xdr:colOff>1109382</xdr:colOff>
      <xdr:row>1974</xdr:row>
      <xdr:rowOff>0</xdr:rowOff>
    </xdr:to>
    <xdr:graphicFrame macro="">
      <xdr:nvGraphicFramePr>
        <xdr:cNvPr id="19" name="Chart 18">
          <a:extLst>
            <a:ext uri="{FF2B5EF4-FFF2-40B4-BE49-F238E27FC236}">
              <a16:creationId xmlns:a16="http://schemas.microsoft.com/office/drawing/2014/main" id="{1735AA2A-AA26-31FA-71C8-5A49367D35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1975</xdr:row>
      <xdr:rowOff>201704</xdr:rowOff>
    </xdr:from>
    <xdr:to>
      <xdr:col>7</xdr:col>
      <xdr:colOff>1109382</xdr:colOff>
      <xdr:row>2092</xdr:row>
      <xdr:rowOff>0</xdr:rowOff>
    </xdr:to>
    <xdr:graphicFrame macro="">
      <xdr:nvGraphicFramePr>
        <xdr:cNvPr id="20" name="Chart 19">
          <a:extLst>
            <a:ext uri="{FF2B5EF4-FFF2-40B4-BE49-F238E27FC236}">
              <a16:creationId xmlns:a16="http://schemas.microsoft.com/office/drawing/2014/main" id="{1D00FA85-CA8C-E918-BA97-4020405500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2093</xdr:row>
      <xdr:rowOff>201703</xdr:rowOff>
    </xdr:from>
    <xdr:to>
      <xdr:col>7</xdr:col>
      <xdr:colOff>1109382</xdr:colOff>
      <xdr:row>2209</xdr:row>
      <xdr:rowOff>201705</xdr:rowOff>
    </xdr:to>
    <xdr:graphicFrame macro="">
      <xdr:nvGraphicFramePr>
        <xdr:cNvPr id="21" name="Chart 20">
          <a:extLst>
            <a:ext uri="{FF2B5EF4-FFF2-40B4-BE49-F238E27FC236}">
              <a16:creationId xmlns:a16="http://schemas.microsoft.com/office/drawing/2014/main" id="{BA80F9F0-21D3-4BCA-4347-F476A0A46D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2211</xdr:row>
      <xdr:rowOff>201704</xdr:rowOff>
    </xdr:from>
    <xdr:to>
      <xdr:col>7</xdr:col>
      <xdr:colOff>1109382</xdr:colOff>
      <xdr:row>2326</xdr:row>
      <xdr:rowOff>201705</xdr:rowOff>
    </xdr:to>
    <xdr:graphicFrame macro="">
      <xdr:nvGraphicFramePr>
        <xdr:cNvPr id="22" name="Chart 21">
          <a:extLst>
            <a:ext uri="{FF2B5EF4-FFF2-40B4-BE49-F238E27FC236}">
              <a16:creationId xmlns:a16="http://schemas.microsoft.com/office/drawing/2014/main" id="{BB7FFC50-F8A9-1413-30BD-FD425640A4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2328</xdr:row>
      <xdr:rowOff>159122</xdr:rowOff>
    </xdr:from>
    <xdr:to>
      <xdr:col>7</xdr:col>
      <xdr:colOff>1109382</xdr:colOff>
      <xdr:row>2444</xdr:row>
      <xdr:rowOff>0</xdr:rowOff>
    </xdr:to>
    <xdr:graphicFrame macro="">
      <xdr:nvGraphicFramePr>
        <xdr:cNvPr id="23" name="Chart 22">
          <a:extLst>
            <a:ext uri="{FF2B5EF4-FFF2-40B4-BE49-F238E27FC236}">
              <a16:creationId xmlns:a16="http://schemas.microsoft.com/office/drawing/2014/main" id="{E552F166-13BF-F24C-4FCA-1D1DD26FE4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2446</xdr:row>
      <xdr:rowOff>-1</xdr:rowOff>
    </xdr:from>
    <xdr:to>
      <xdr:col>7</xdr:col>
      <xdr:colOff>1109382</xdr:colOff>
      <xdr:row>2562</xdr:row>
      <xdr:rowOff>0</xdr:rowOff>
    </xdr:to>
    <xdr:graphicFrame macro="">
      <xdr:nvGraphicFramePr>
        <xdr:cNvPr id="24" name="Chart 23">
          <a:extLst>
            <a:ext uri="{FF2B5EF4-FFF2-40B4-BE49-F238E27FC236}">
              <a16:creationId xmlns:a16="http://schemas.microsoft.com/office/drawing/2014/main" id="{66AF78E6-DA7F-FD84-34C7-4E1CEE34CC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2564</xdr:row>
      <xdr:rowOff>2240</xdr:rowOff>
    </xdr:from>
    <xdr:to>
      <xdr:col>7</xdr:col>
      <xdr:colOff>1109382</xdr:colOff>
      <xdr:row>2678</xdr:row>
      <xdr:rowOff>201705</xdr:rowOff>
    </xdr:to>
    <xdr:graphicFrame macro="">
      <xdr:nvGraphicFramePr>
        <xdr:cNvPr id="25" name="Chart 24">
          <a:extLst>
            <a:ext uri="{FF2B5EF4-FFF2-40B4-BE49-F238E27FC236}">
              <a16:creationId xmlns:a16="http://schemas.microsoft.com/office/drawing/2014/main" id="{E4FE8B61-30B6-B43F-7425-0F38F465F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2680</xdr:row>
      <xdr:rowOff>201704</xdr:rowOff>
    </xdr:from>
    <xdr:to>
      <xdr:col>7</xdr:col>
      <xdr:colOff>1109382</xdr:colOff>
      <xdr:row>2796</xdr:row>
      <xdr:rowOff>201705</xdr:rowOff>
    </xdr:to>
    <xdr:graphicFrame macro="">
      <xdr:nvGraphicFramePr>
        <xdr:cNvPr id="5" name="Chart 4">
          <a:extLst>
            <a:ext uri="{FF2B5EF4-FFF2-40B4-BE49-F238E27FC236}">
              <a16:creationId xmlns:a16="http://schemas.microsoft.com/office/drawing/2014/main" id="{2263E635-85B3-57FB-A727-4139670C57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2798</xdr:row>
      <xdr:rowOff>201704</xdr:rowOff>
    </xdr:from>
    <xdr:to>
      <xdr:col>7</xdr:col>
      <xdr:colOff>1109382</xdr:colOff>
      <xdr:row>2911</xdr:row>
      <xdr:rowOff>0</xdr:rowOff>
    </xdr:to>
    <xdr:graphicFrame macro="">
      <xdr:nvGraphicFramePr>
        <xdr:cNvPr id="26" name="Chart 25">
          <a:extLst>
            <a:ext uri="{FF2B5EF4-FFF2-40B4-BE49-F238E27FC236}">
              <a16:creationId xmlns:a16="http://schemas.microsoft.com/office/drawing/2014/main" id="{405041F6-24A2-7EB0-77AD-EDEBA07503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2912</xdr:row>
      <xdr:rowOff>201704</xdr:rowOff>
    </xdr:from>
    <xdr:to>
      <xdr:col>7</xdr:col>
      <xdr:colOff>1109382</xdr:colOff>
      <xdr:row>3027</xdr:row>
      <xdr:rowOff>0</xdr:rowOff>
    </xdr:to>
    <xdr:graphicFrame macro="">
      <xdr:nvGraphicFramePr>
        <xdr:cNvPr id="27" name="Chart 26">
          <a:extLst>
            <a:ext uri="{FF2B5EF4-FFF2-40B4-BE49-F238E27FC236}">
              <a16:creationId xmlns:a16="http://schemas.microsoft.com/office/drawing/2014/main" id="{86FD47F4-73D1-8F6C-54CE-E834426D67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3028</xdr:row>
      <xdr:rowOff>201704</xdr:rowOff>
    </xdr:from>
    <xdr:to>
      <xdr:col>7</xdr:col>
      <xdr:colOff>1109382</xdr:colOff>
      <xdr:row>3145</xdr:row>
      <xdr:rowOff>0</xdr:rowOff>
    </xdr:to>
    <xdr:graphicFrame macro="">
      <xdr:nvGraphicFramePr>
        <xdr:cNvPr id="28" name="Chart 27">
          <a:extLst>
            <a:ext uri="{FF2B5EF4-FFF2-40B4-BE49-F238E27FC236}">
              <a16:creationId xmlns:a16="http://schemas.microsoft.com/office/drawing/2014/main" id="{2F3B47FA-978A-B6D9-2560-76C4C273F5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3146</xdr:row>
      <xdr:rowOff>201704</xdr:rowOff>
    </xdr:from>
    <xdr:to>
      <xdr:col>7</xdr:col>
      <xdr:colOff>1109382</xdr:colOff>
      <xdr:row>3260</xdr:row>
      <xdr:rowOff>201704</xdr:rowOff>
    </xdr:to>
    <xdr:graphicFrame macro="">
      <xdr:nvGraphicFramePr>
        <xdr:cNvPr id="29" name="Chart 28">
          <a:extLst>
            <a:ext uri="{FF2B5EF4-FFF2-40B4-BE49-F238E27FC236}">
              <a16:creationId xmlns:a16="http://schemas.microsoft.com/office/drawing/2014/main" id="{38556FC0-934C-6B45-02A3-4D3E56960B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3262</xdr:row>
      <xdr:rowOff>201704</xdr:rowOff>
    </xdr:from>
    <xdr:to>
      <xdr:col>7</xdr:col>
      <xdr:colOff>1109382</xdr:colOff>
      <xdr:row>3367</xdr:row>
      <xdr:rowOff>0</xdr:rowOff>
    </xdr:to>
    <xdr:graphicFrame macro="">
      <xdr:nvGraphicFramePr>
        <xdr:cNvPr id="30" name="Chart 29">
          <a:extLst>
            <a:ext uri="{FF2B5EF4-FFF2-40B4-BE49-F238E27FC236}">
              <a16:creationId xmlns:a16="http://schemas.microsoft.com/office/drawing/2014/main" id="{A9265328-BCAB-5BCD-0197-B0A61B1711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3368</xdr:row>
      <xdr:rowOff>201705</xdr:rowOff>
    </xdr:from>
    <xdr:to>
      <xdr:col>7</xdr:col>
      <xdr:colOff>1109382</xdr:colOff>
      <xdr:row>3475</xdr:row>
      <xdr:rowOff>0</xdr:rowOff>
    </xdr:to>
    <xdr:graphicFrame macro="">
      <xdr:nvGraphicFramePr>
        <xdr:cNvPr id="31" name="Chart 30">
          <a:extLst>
            <a:ext uri="{FF2B5EF4-FFF2-40B4-BE49-F238E27FC236}">
              <a16:creationId xmlns:a16="http://schemas.microsoft.com/office/drawing/2014/main" id="{2E537B26-CBEB-2E60-21EB-2A7515D76D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3476</xdr:row>
      <xdr:rowOff>201705</xdr:rowOff>
    </xdr:from>
    <xdr:to>
      <xdr:col>7</xdr:col>
      <xdr:colOff>1109382</xdr:colOff>
      <xdr:row>3495</xdr:row>
      <xdr:rowOff>201705</xdr:rowOff>
    </xdr:to>
    <xdr:graphicFrame macro="">
      <xdr:nvGraphicFramePr>
        <xdr:cNvPr id="32" name="Chart 31">
          <a:extLst>
            <a:ext uri="{FF2B5EF4-FFF2-40B4-BE49-F238E27FC236}">
              <a16:creationId xmlns:a16="http://schemas.microsoft.com/office/drawing/2014/main" id="{7CF5B7AA-183E-764B-3EEE-EF5D209900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3497</xdr:row>
      <xdr:rowOff>201705</xdr:rowOff>
    </xdr:from>
    <xdr:to>
      <xdr:col>7</xdr:col>
      <xdr:colOff>1109382</xdr:colOff>
      <xdr:row>3516</xdr:row>
      <xdr:rowOff>201704</xdr:rowOff>
    </xdr:to>
    <xdr:graphicFrame macro="">
      <xdr:nvGraphicFramePr>
        <xdr:cNvPr id="33" name="Chart 32">
          <a:extLst>
            <a:ext uri="{FF2B5EF4-FFF2-40B4-BE49-F238E27FC236}">
              <a16:creationId xmlns:a16="http://schemas.microsoft.com/office/drawing/2014/main" id="{CA6BBFD1-453B-359A-D76D-E9572D91D6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3518</xdr:row>
      <xdr:rowOff>201705</xdr:rowOff>
    </xdr:from>
    <xdr:to>
      <xdr:col>7</xdr:col>
      <xdr:colOff>1109382</xdr:colOff>
      <xdr:row>3537</xdr:row>
      <xdr:rowOff>201704</xdr:rowOff>
    </xdr:to>
    <xdr:graphicFrame macro="">
      <xdr:nvGraphicFramePr>
        <xdr:cNvPr id="34" name="Chart 33">
          <a:extLst>
            <a:ext uri="{FF2B5EF4-FFF2-40B4-BE49-F238E27FC236}">
              <a16:creationId xmlns:a16="http://schemas.microsoft.com/office/drawing/2014/main" id="{525FA9EC-E09C-31F2-2FDB-575665C749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3539</xdr:row>
      <xdr:rowOff>201705</xdr:rowOff>
    </xdr:from>
    <xdr:to>
      <xdr:col>7</xdr:col>
      <xdr:colOff>1109382</xdr:colOff>
      <xdr:row>3656</xdr:row>
      <xdr:rowOff>0</xdr:rowOff>
    </xdr:to>
    <xdr:graphicFrame macro="">
      <xdr:nvGraphicFramePr>
        <xdr:cNvPr id="35" name="Chart 34">
          <a:extLst>
            <a:ext uri="{FF2B5EF4-FFF2-40B4-BE49-F238E27FC236}">
              <a16:creationId xmlns:a16="http://schemas.microsoft.com/office/drawing/2014/main" id="{FEC1E4F6-E0DE-9A36-ABC3-E757C94F9A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3657</xdr:row>
      <xdr:rowOff>201702</xdr:rowOff>
    </xdr:from>
    <xdr:to>
      <xdr:col>7</xdr:col>
      <xdr:colOff>1109382</xdr:colOff>
      <xdr:row>3772</xdr:row>
      <xdr:rowOff>201704</xdr:rowOff>
    </xdr:to>
    <xdr:graphicFrame macro="">
      <xdr:nvGraphicFramePr>
        <xdr:cNvPr id="36" name="Chart 35">
          <a:extLst>
            <a:ext uri="{FF2B5EF4-FFF2-40B4-BE49-F238E27FC236}">
              <a16:creationId xmlns:a16="http://schemas.microsoft.com/office/drawing/2014/main" id="{8795AC9D-166E-AEFC-5EEF-FC90DC526A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3774</xdr:row>
      <xdr:rowOff>201705</xdr:rowOff>
    </xdr:from>
    <xdr:to>
      <xdr:col>7</xdr:col>
      <xdr:colOff>1109382</xdr:colOff>
      <xdr:row>3890</xdr:row>
      <xdr:rowOff>0</xdr:rowOff>
    </xdr:to>
    <xdr:graphicFrame macro="">
      <xdr:nvGraphicFramePr>
        <xdr:cNvPr id="37" name="Chart 36">
          <a:extLst>
            <a:ext uri="{FF2B5EF4-FFF2-40B4-BE49-F238E27FC236}">
              <a16:creationId xmlns:a16="http://schemas.microsoft.com/office/drawing/2014/main" id="{D202C946-E36D-9724-2CE2-873F00F9B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3891</xdr:row>
      <xdr:rowOff>201704</xdr:rowOff>
    </xdr:from>
    <xdr:to>
      <xdr:col>7</xdr:col>
      <xdr:colOff>1109382</xdr:colOff>
      <xdr:row>4007</xdr:row>
      <xdr:rowOff>0</xdr:rowOff>
    </xdr:to>
    <xdr:graphicFrame macro="">
      <xdr:nvGraphicFramePr>
        <xdr:cNvPr id="38" name="Chart 37">
          <a:extLst>
            <a:ext uri="{FF2B5EF4-FFF2-40B4-BE49-F238E27FC236}">
              <a16:creationId xmlns:a16="http://schemas.microsoft.com/office/drawing/2014/main" id="{1F1779D1-F664-8BDB-C74C-B6CF0F4B76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4008</xdr:row>
      <xdr:rowOff>201704</xdr:rowOff>
    </xdr:from>
    <xdr:to>
      <xdr:col>7</xdr:col>
      <xdr:colOff>1109382</xdr:colOff>
      <xdr:row>4124</xdr:row>
      <xdr:rowOff>0</xdr:rowOff>
    </xdr:to>
    <xdr:graphicFrame macro="">
      <xdr:nvGraphicFramePr>
        <xdr:cNvPr id="39" name="Chart 38">
          <a:extLst>
            <a:ext uri="{FF2B5EF4-FFF2-40B4-BE49-F238E27FC236}">
              <a16:creationId xmlns:a16="http://schemas.microsoft.com/office/drawing/2014/main" id="{40DBBB69-E039-2848-7EFE-4A7C397F7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4125</xdr:row>
      <xdr:rowOff>201704</xdr:rowOff>
    </xdr:from>
    <xdr:to>
      <xdr:col>7</xdr:col>
      <xdr:colOff>1109382</xdr:colOff>
      <xdr:row>4241</xdr:row>
      <xdr:rowOff>0</xdr:rowOff>
    </xdr:to>
    <xdr:graphicFrame macro="">
      <xdr:nvGraphicFramePr>
        <xdr:cNvPr id="40" name="Chart 39">
          <a:extLst>
            <a:ext uri="{FF2B5EF4-FFF2-40B4-BE49-F238E27FC236}">
              <a16:creationId xmlns:a16="http://schemas.microsoft.com/office/drawing/2014/main" id="{DF21B28D-3549-94FE-A33D-C82A765C66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4242</xdr:row>
      <xdr:rowOff>201705</xdr:rowOff>
    </xdr:from>
    <xdr:to>
      <xdr:col>7</xdr:col>
      <xdr:colOff>1109382</xdr:colOff>
      <xdr:row>4359</xdr:row>
      <xdr:rowOff>0</xdr:rowOff>
    </xdr:to>
    <xdr:graphicFrame macro="">
      <xdr:nvGraphicFramePr>
        <xdr:cNvPr id="41" name="Chart 40">
          <a:extLst>
            <a:ext uri="{FF2B5EF4-FFF2-40B4-BE49-F238E27FC236}">
              <a16:creationId xmlns:a16="http://schemas.microsoft.com/office/drawing/2014/main" id="{7B486988-F9F3-7845-D8B9-D86FBAEDD6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4360</xdr:row>
      <xdr:rowOff>201703</xdr:rowOff>
    </xdr:from>
    <xdr:to>
      <xdr:col>7</xdr:col>
      <xdr:colOff>1109382</xdr:colOff>
      <xdr:row>4476</xdr:row>
      <xdr:rowOff>201704</xdr:rowOff>
    </xdr:to>
    <xdr:graphicFrame macro="">
      <xdr:nvGraphicFramePr>
        <xdr:cNvPr id="42" name="Chart 41">
          <a:extLst>
            <a:ext uri="{FF2B5EF4-FFF2-40B4-BE49-F238E27FC236}">
              <a16:creationId xmlns:a16="http://schemas.microsoft.com/office/drawing/2014/main" id="{FCEF7A2D-9CEA-E017-86EB-D5B85EE2EC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4478</xdr:row>
      <xdr:rowOff>201704</xdr:rowOff>
    </xdr:from>
    <xdr:to>
      <xdr:col>7</xdr:col>
      <xdr:colOff>1109382</xdr:colOff>
      <xdr:row>4593</xdr:row>
      <xdr:rowOff>201705</xdr:rowOff>
    </xdr:to>
    <xdr:graphicFrame macro="">
      <xdr:nvGraphicFramePr>
        <xdr:cNvPr id="43" name="Chart 42">
          <a:extLst>
            <a:ext uri="{FF2B5EF4-FFF2-40B4-BE49-F238E27FC236}">
              <a16:creationId xmlns:a16="http://schemas.microsoft.com/office/drawing/2014/main" id="{355EF30B-92FE-A633-B9CE-98F0F3B892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4595</xdr:row>
      <xdr:rowOff>201704</xdr:rowOff>
    </xdr:from>
    <xdr:to>
      <xdr:col>7</xdr:col>
      <xdr:colOff>1109382</xdr:colOff>
      <xdr:row>4710</xdr:row>
      <xdr:rowOff>201705</xdr:rowOff>
    </xdr:to>
    <xdr:graphicFrame macro="">
      <xdr:nvGraphicFramePr>
        <xdr:cNvPr id="44" name="Chart 43">
          <a:extLst>
            <a:ext uri="{FF2B5EF4-FFF2-40B4-BE49-F238E27FC236}">
              <a16:creationId xmlns:a16="http://schemas.microsoft.com/office/drawing/2014/main" id="{A993E21C-C5BA-5A7D-B220-3B4B65D8E1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0</xdr:colOff>
      <xdr:row>4712</xdr:row>
      <xdr:rowOff>201704</xdr:rowOff>
    </xdr:from>
    <xdr:to>
      <xdr:col>7</xdr:col>
      <xdr:colOff>1109382</xdr:colOff>
      <xdr:row>4827</xdr:row>
      <xdr:rowOff>201704</xdr:rowOff>
    </xdr:to>
    <xdr:graphicFrame macro="">
      <xdr:nvGraphicFramePr>
        <xdr:cNvPr id="45" name="Chart 44">
          <a:extLst>
            <a:ext uri="{FF2B5EF4-FFF2-40B4-BE49-F238E27FC236}">
              <a16:creationId xmlns:a16="http://schemas.microsoft.com/office/drawing/2014/main" id="{975EEC0D-AFF7-A505-42A4-FC673A3E1E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4830</xdr:row>
      <xdr:rowOff>0</xdr:rowOff>
    </xdr:from>
    <xdr:to>
      <xdr:col>7</xdr:col>
      <xdr:colOff>1109382</xdr:colOff>
      <xdr:row>4945</xdr:row>
      <xdr:rowOff>0</xdr:rowOff>
    </xdr:to>
    <xdr:graphicFrame macro="">
      <xdr:nvGraphicFramePr>
        <xdr:cNvPr id="47" name="Chart 46">
          <a:extLst>
            <a:ext uri="{FF2B5EF4-FFF2-40B4-BE49-F238E27FC236}">
              <a16:creationId xmlns:a16="http://schemas.microsoft.com/office/drawing/2014/main" id="{D8A4FB2E-F008-A895-55A8-21EAA158FD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4946</xdr:row>
      <xdr:rowOff>201704</xdr:rowOff>
    </xdr:from>
    <xdr:to>
      <xdr:col>7</xdr:col>
      <xdr:colOff>1109382</xdr:colOff>
      <xdr:row>5058</xdr:row>
      <xdr:rowOff>0</xdr:rowOff>
    </xdr:to>
    <xdr:graphicFrame macro="">
      <xdr:nvGraphicFramePr>
        <xdr:cNvPr id="48" name="Chart 47">
          <a:extLst>
            <a:ext uri="{FF2B5EF4-FFF2-40B4-BE49-F238E27FC236}">
              <a16:creationId xmlns:a16="http://schemas.microsoft.com/office/drawing/2014/main" id="{28449376-449F-E8B1-FC4D-4F4229BA0C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5060</xdr:row>
      <xdr:rowOff>0</xdr:rowOff>
    </xdr:from>
    <xdr:to>
      <xdr:col>7</xdr:col>
      <xdr:colOff>1109382</xdr:colOff>
      <xdr:row>5136</xdr:row>
      <xdr:rowOff>0</xdr:rowOff>
    </xdr:to>
    <xdr:graphicFrame macro="">
      <xdr:nvGraphicFramePr>
        <xdr:cNvPr id="49" name="Chart 48">
          <a:extLst>
            <a:ext uri="{FF2B5EF4-FFF2-40B4-BE49-F238E27FC236}">
              <a16:creationId xmlns:a16="http://schemas.microsoft.com/office/drawing/2014/main" id="{7BD9324C-43AB-EBB6-C594-8F3A29B74F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5137</xdr:row>
      <xdr:rowOff>181534</xdr:rowOff>
    </xdr:from>
    <xdr:to>
      <xdr:col>7</xdr:col>
      <xdr:colOff>1109382</xdr:colOff>
      <xdr:row>5253</xdr:row>
      <xdr:rowOff>0</xdr:rowOff>
    </xdr:to>
    <xdr:graphicFrame macro="">
      <xdr:nvGraphicFramePr>
        <xdr:cNvPr id="50" name="Chart 49">
          <a:extLst>
            <a:ext uri="{FF2B5EF4-FFF2-40B4-BE49-F238E27FC236}">
              <a16:creationId xmlns:a16="http://schemas.microsoft.com/office/drawing/2014/main" id="{50F3826D-1400-E7DC-9A60-B5B9FCD36B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0</xdr:colOff>
      <xdr:row>5254</xdr:row>
      <xdr:rowOff>201705</xdr:rowOff>
    </xdr:from>
    <xdr:to>
      <xdr:col>7</xdr:col>
      <xdr:colOff>1109382</xdr:colOff>
      <xdr:row>5370</xdr:row>
      <xdr:rowOff>0</xdr:rowOff>
    </xdr:to>
    <xdr:graphicFrame macro="">
      <xdr:nvGraphicFramePr>
        <xdr:cNvPr id="51" name="Chart 50">
          <a:extLst>
            <a:ext uri="{FF2B5EF4-FFF2-40B4-BE49-F238E27FC236}">
              <a16:creationId xmlns:a16="http://schemas.microsoft.com/office/drawing/2014/main" id="{E283E55B-DA6B-7EFE-8498-4640C2C622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5372</xdr:row>
      <xdr:rowOff>0</xdr:rowOff>
    </xdr:from>
    <xdr:to>
      <xdr:col>7</xdr:col>
      <xdr:colOff>1109382</xdr:colOff>
      <xdr:row>5476</xdr:row>
      <xdr:rowOff>0</xdr:rowOff>
    </xdr:to>
    <xdr:graphicFrame macro="">
      <xdr:nvGraphicFramePr>
        <xdr:cNvPr id="52" name="Chart 51">
          <a:extLst>
            <a:ext uri="{FF2B5EF4-FFF2-40B4-BE49-F238E27FC236}">
              <a16:creationId xmlns:a16="http://schemas.microsoft.com/office/drawing/2014/main" id="{E6413869-0DDF-509E-066A-FF8FA3A604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H113"/>
  <sheetViews>
    <sheetView workbookViewId="0">
      <pane ySplit="1" topLeftCell="A2" activePane="bottomLeft" state="frozen"/>
      <selection pane="bottomLeft"/>
    </sheetView>
  </sheetViews>
  <sheetFormatPr defaultRowHeight="15" x14ac:dyDescent="0.25"/>
  <cols>
    <col min="1" max="319" width="9.140625" style="1"/>
    <col min="321" max="16384" width="9.140625" style="1"/>
  </cols>
  <sheetData>
    <row r="1" spans="1:320" s="2" customFormat="1" ht="45" x14ac:dyDescent="0.25">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c r="BT1" s="2" t="s">
        <v>71</v>
      </c>
      <c r="BU1" s="2" t="s">
        <v>72</v>
      </c>
      <c r="BV1" s="2" t="s">
        <v>73</v>
      </c>
      <c r="BW1" s="2" t="s">
        <v>74</v>
      </c>
      <c r="BX1" s="2" t="s">
        <v>75</v>
      </c>
      <c r="BY1" s="2" t="s">
        <v>76</v>
      </c>
      <c r="BZ1" s="2" t="s">
        <v>77</v>
      </c>
      <c r="CA1" s="2" t="s">
        <v>78</v>
      </c>
      <c r="CB1" s="2" t="s">
        <v>79</v>
      </c>
      <c r="CC1" s="2" t="s">
        <v>80</v>
      </c>
      <c r="CD1" s="2" t="s">
        <v>81</v>
      </c>
      <c r="CE1" s="2" t="s">
        <v>82</v>
      </c>
      <c r="CF1" s="2" t="s">
        <v>83</v>
      </c>
      <c r="CG1" s="2" t="s">
        <v>84</v>
      </c>
      <c r="CH1" s="2" t="s">
        <v>85</v>
      </c>
      <c r="CI1" s="2" t="s">
        <v>86</v>
      </c>
      <c r="CJ1" s="2" t="s">
        <v>87</v>
      </c>
      <c r="CK1" s="2" t="s">
        <v>88</v>
      </c>
      <c r="CL1" s="2" t="s">
        <v>89</v>
      </c>
      <c r="CM1" s="2" t="s">
        <v>90</v>
      </c>
      <c r="CN1" s="2" t="s">
        <v>91</v>
      </c>
      <c r="CO1" s="2" t="s">
        <v>92</v>
      </c>
      <c r="CP1" s="2" t="s">
        <v>93</v>
      </c>
      <c r="CQ1" s="2" t="s">
        <v>94</v>
      </c>
      <c r="CR1" s="2" t="s">
        <v>95</v>
      </c>
      <c r="CS1" s="2" t="s">
        <v>96</v>
      </c>
      <c r="CT1" s="2" t="s">
        <v>97</v>
      </c>
      <c r="CU1" s="2" t="s">
        <v>98</v>
      </c>
      <c r="CV1" s="2" t="s">
        <v>99</v>
      </c>
      <c r="CW1" s="2" t="s">
        <v>100</v>
      </c>
      <c r="CX1" s="2" t="s">
        <v>101</v>
      </c>
      <c r="CY1" s="2" t="s">
        <v>102</v>
      </c>
      <c r="CZ1" s="2" t="s">
        <v>103</v>
      </c>
      <c r="DA1" s="2" t="s">
        <v>104</v>
      </c>
      <c r="DB1" s="2" t="s">
        <v>105</v>
      </c>
      <c r="DC1" s="2" t="s">
        <v>106</v>
      </c>
      <c r="DD1" s="2" t="s">
        <v>107</v>
      </c>
      <c r="DE1" s="2" t="s">
        <v>108</v>
      </c>
      <c r="DF1" s="2" t="s">
        <v>109</v>
      </c>
      <c r="DG1" s="2" t="s">
        <v>110</v>
      </c>
      <c r="DH1" s="2" t="s">
        <v>111</v>
      </c>
      <c r="DI1" s="2" t="s">
        <v>112</v>
      </c>
      <c r="DJ1" s="2" t="s">
        <v>113</v>
      </c>
      <c r="DK1" s="2" t="s">
        <v>114</v>
      </c>
      <c r="DL1" s="2" t="s">
        <v>115</v>
      </c>
      <c r="DM1" s="2" t="s">
        <v>116</v>
      </c>
      <c r="DN1" s="2" t="s">
        <v>117</v>
      </c>
      <c r="DO1" s="2" t="s">
        <v>118</v>
      </c>
      <c r="DP1" s="2" t="s">
        <v>119</v>
      </c>
      <c r="DQ1" s="2" t="s">
        <v>120</v>
      </c>
      <c r="DR1" s="2" t="s">
        <v>121</v>
      </c>
      <c r="DS1" s="2" t="s">
        <v>122</v>
      </c>
      <c r="DT1" s="2" t="s">
        <v>123</v>
      </c>
      <c r="DU1" s="2" t="s">
        <v>124</v>
      </c>
      <c r="DV1" s="2" t="s">
        <v>125</v>
      </c>
      <c r="DW1" s="2" t="s">
        <v>126</v>
      </c>
      <c r="DX1" s="2" t="s">
        <v>127</v>
      </c>
      <c r="DY1" s="2" t="s">
        <v>128</v>
      </c>
      <c r="DZ1" s="2" t="s">
        <v>129</v>
      </c>
      <c r="EA1" s="2" t="s">
        <v>130</v>
      </c>
      <c r="EB1" s="2" t="s">
        <v>131</v>
      </c>
      <c r="EC1" s="2" t="s">
        <v>132</v>
      </c>
      <c r="ED1" s="2" t="s">
        <v>133</v>
      </c>
      <c r="EE1" s="2" t="s">
        <v>134</v>
      </c>
      <c r="EF1" s="2" t="s">
        <v>135</v>
      </c>
      <c r="EG1" s="2" t="s">
        <v>136</v>
      </c>
      <c r="EH1" s="2" t="s">
        <v>137</v>
      </c>
      <c r="EI1" s="2" t="s">
        <v>138</v>
      </c>
      <c r="EJ1" s="2" t="s">
        <v>139</v>
      </c>
      <c r="EK1" s="2" t="s">
        <v>140</v>
      </c>
      <c r="EL1" s="2" t="s">
        <v>141</v>
      </c>
      <c r="EM1" s="2" t="s">
        <v>142</v>
      </c>
      <c r="EN1" s="2" t="s">
        <v>143</v>
      </c>
      <c r="EO1" s="2" t="s">
        <v>144</v>
      </c>
      <c r="EP1" s="2" t="s">
        <v>145</v>
      </c>
      <c r="EQ1" s="2" t="s">
        <v>146</v>
      </c>
      <c r="ER1" s="2" t="s">
        <v>147</v>
      </c>
      <c r="ES1" s="2" t="s">
        <v>148</v>
      </c>
      <c r="ET1" s="2" t="s">
        <v>149</v>
      </c>
      <c r="EU1" s="2" t="s">
        <v>150</v>
      </c>
      <c r="EV1" s="2" t="s">
        <v>151</v>
      </c>
      <c r="EW1" s="2" t="s">
        <v>152</v>
      </c>
      <c r="EX1" s="2" t="s">
        <v>153</v>
      </c>
      <c r="EY1" s="2" t="s">
        <v>154</v>
      </c>
      <c r="EZ1" s="2" t="s">
        <v>155</v>
      </c>
      <c r="FA1" s="2" t="s">
        <v>156</v>
      </c>
      <c r="FB1" s="2" t="s">
        <v>157</v>
      </c>
      <c r="FC1" s="2" t="s">
        <v>158</v>
      </c>
      <c r="FD1" s="2" t="s">
        <v>159</v>
      </c>
      <c r="FE1" s="2" t="s">
        <v>160</v>
      </c>
      <c r="FF1" s="2" t="s">
        <v>161</v>
      </c>
      <c r="FG1" s="2" t="s">
        <v>162</v>
      </c>
      <c r="FH1" s="2" t="s">
        <v>163</v>
      </c>
      <c r="FI1" s="2" t="s">
        <v>164</v>
      </c>
      <c r="FJ1" s="2" t="s">
        <v>165</v>
      </c>
      <c r="FK1" s="2" t="s">
        <v>166</v>
      </c>
      <c r="FL1" s="2" t="s">
        <v>167</v>
      </c>
      <c r="FM1" s="2" t="s">
        <v>168</v>
      </c>
      <c r="FN1" s="2" t="s">
        <v>169</v>
      </c>
      <c r="FO1" s="2" t="s">
        <v>170</v>
      </c>
      <c r="FP1" s="2" t="s">
        <v>171</v>
      </c>
      <c r="FQ1" s="2" t="s">
        <v>172</v>
      </c>
      <c r="FR1" s="2" t="s">
        <v>173</v>
      </c>
      <c r="FS1" s="2" t="s">
        <v>174</v>
      </c>
      <c r="FT1" s="2" t="s">
        <v>175</v>
      </c>
      <c r="FU1" s="2" t="s">
        <v>176</v>
      </c>
      <c r="FV1" s="2" t="s">
        <v>177</v>
      </c>
      <c r="FW1" s="2" t="s">
        <v>178</v>
      </c>
      <c r="FX1" s="2" t="s">
        <v>179</v>
      </c>
      <c r="FY1" s="2" t="s">
        <v>180</v>
      </c>
      <c r="FZ1" s="2" t="s">
        <v>181</v>
      </c>
      <c r="GA1" s="2" t="s">
        <v>182</v>
      </c>
      <c r="GB1" s="2" t="s">
        <v>183</v>
      </c>
      <c r="GC1" s="2" t="s">
        <v>184</v>
      </c>
      <c r="GD1" s="2" t="s">
        <v>185</v>
      </c>
      <c r="GE1" s="2" t="s">
        <v>186</v>
      </c>
      <c r="GF1" s="2" t="s">
        <v>187</v>
      </c>
      <c r="GG1" s="2" t="s">
        <v>188</v>
      </c>
      <c r="GH1" s="2" t="s">
        <v>189</v>
      </c>
      <c r="GI1" s="2" t="s">
        <v>190</v>
      </c>
      <c r="GJ1" s="2" t="s">
        <v>191</v>
      </c>
      <c r="GK1" s="2" t="s">
        <v>192</v>
      </c>
      <c r="GL1" s="2" t="s">
        <v>193</v>
      </c>
      <c r="GM1" s="2" t="s">
        <v>194</v>
      </c>
      <c r="GN1" s="2" t="s">
        <v>195</v>
      </c>
      <c r="GO1" s="2" t="s">
        <v>196</v>
      </c>
      <c r="GP1" s="2" t="s">
        <v>197</v>
      </c>
      <c r="GQ1" s="2" t="s">
        <v>198</v>
      </c>
      <c r="GR1" s="2" t="s">
        <v>199</v>
      </c>
      <c r="GS1" s="2" t="s">
        <v>200</v>
      </c>
      <c r="GT1" s="2" t="s">
        <v>201</v>
      </c>
      <c r="GU1" s="2" t="s">
        <v>202</v>
      </c>
      <c r="GV1" s="2" t="s">
        <v>203</v>
      </c>
      <c r="GW1" s="2" t="s">
        <v>204</v>
      </c>
      <c r="GX1" s="2" t="s">
        <v>205</v>
      </c>
      <c r="GY1" s="2" t="s">
        <v>206</v>
      </c>
      <c r="GZ1" s="2" t="s">
        <v>207</v>
      </c>
      <c r="HA1" s="2" t="s">
        <v>208</v>
      </c>
      <c r="HB1" s="2" t="s">
        <v>209</v>
      </c>
      <c r="HC1" s="2" t="s">
        <v>210</v>
      </c>
      <c r="HD1" s="2" t="s">
        <v>211</v>
      </c>
      <c r="HE1" s="2" t="s">
        <v>212</v>
      </c>
      <c r="HF1" s="2" t="s">
        <v>213</v>
      </c>
      <c r="HG1" s="2" t="s">
        <v>214</v>
      </c>
      <c r="HH1" s="2" t="s">
        <v>215</v>
      </c>
      <c r="HI1" s="2" t="s">
        <v>216</v>
      </c>
      <c r="HJ1" s="2" t="s">
        <v>217</v>
      </c>
      <c r="HK1" s="2" t="s">
        <v>218</v>
      </c>
      <c r="HL1" s="2" t="s">
        <v>219</v>
      </c>
      <c r="HM1" s="2" t="s">
        <v>220</v>
      </c>
      <c r="HN1" s="2" t="s">
        <v>221</v>
      </c>
      <c r="HO1" s="2" t="s">
        <v>222</v>
      </c>
      <c r="HP1" s="2" t="s">
        <v>223</v>
      </c>
      <c r="HQ1" s="2" t="s">
        <v>224</v>
      </c>
      <c r="HR1" s="2" t="s">
        <v>225</v>
      </c>
      <c r="HS1" s="2" t="s">
        <v>226</v>
      </c>
      <c r="HT1" s="2" t="s">
        <v>227</v>
      </c>
      <c r="HU1" s="2" t="s">
        <v>228</v>
      </c>
      <c r="HV1" s="2" t="s">
        <v>229</v>
      </c>
      <c r="HW1" s="2" t="s">
        <v>230</v>
      </c>
      <c r="HX1" s="2" t="s">
        <v>231</v>
      </c>
      <c r="HY1" s="2" t="s">
        <v>232</v>
      </c>
      <c r="HZ1" s="2" t="s">
        <v>233</v>
      </c>
      <c r="IA1" s="2" t="s">
        <v>234</v>
      </c>
      <c r="IB1" s="2" t="s">
        <v>235</v>
      </c>
      <c r="IC1" s="2" t="s">
        <v>236</v>
      </c>
      <c r="ID1" s="2" t="s">
        <v>237</v>
      </c>
      <c r="IE1" s="2" t="s">
        <v>238</v>
      </c>
      <c r="IF1" s="2" t="s">
        <v>239</v>
      </c>
      <c r="IG1" s="2" t="s">
        <v>240</v>
      </c>
      <c r="IH1" s="2" t="s">
        <v>241</v>
      </c>
      <c r="II1" s="2" t="s">
        <v>242</v>
      </c>
      <c r="IJ1" s="2" t="s">
        <v>243</v>
      </c>
      <c r="IK1" s="2" t="s">
        <v>244</v>
      </c>
      <c r="IL1" s="2" t="s">
        <v>245</v>
      </c>
      <c r="IM1" s="2" t="s">
        <v>246</v>
      </c>
      <c r="IN1" s="2" t="s">
        <v>247</v>
      </c>
      <c r="IO1" s="2" t="s">
        <v>248</v>
      </c>
      <c r="IP1" s="2" t="s">
        <v>249</v>
      </c>
      <c r="IQ1" s="2" t="s">
        <v>250</v>
      </c>
      <c r="IR1" s="2" t="s">
        <v>251</v>
      </c>
      <c r="IS1" s="2" t="s">
        <v>252</v>
      </c>
      <c r="IT1" s="2" t="s">
        <v>253</v>
      </c>
      <c r="IU1" s="2" t="s">
        <v>254</v>
      </c>
      <c r="IV1" s="2" t="s">
        <v>255</v>
      </c>
      <c r="IW1" s="2" t="s">
        <v>256</v>
      </c>
      <c r="IX1" s="2" t="s">
        <v>257</v>
      </c>
      <c r="IY1" s="2" t="s">
        <v>258</v>
      </c>
      <c r="IZ1" s="2" t="s">
        <v>259</v>
      </c>
      <c r="JA1" s="2" t="s">
        <v>260</v>
      </c>
      <c r="JB1" s="2" t="s">
        <v>261</v>
      </c>
      <c r="JC1" s="2" t="s">
        <v>262</v>
      </c>
      <c r="JD1" s="2" t="s">
        <v>263</v>
      </c>
      <c r="JE1" s="2" t="s">
        <v>264</v>
      </c>
      <c r="JF1" s="2" t="s">
        <v>265</v>
      </c>
      <c r="JG1" s="2" t="s">
        <v>266</v>
      </c>
      <c r="JH1" s="2" t="s">
        <v>267</v>
      </c>
      <c r="JI1" s="2" t="s">
        <v>268</v>
      </c>
      <c r="JJ1" s="2" t="s">
        <v>269</v>
      </c>
      <c r="JK1" s="2" t="s">
        <v>270</v>
      </c>
      <c r="JL1" s="2" t="s">
        <v>271</v>
      </c>
      <c r="JM1" s="2" t="s">
        <v>272</v>
      </c>
      <c r="JN1" s="2" t="s">
        <v>273</v>
      </c>
      <c r="JO1" s="2" t="s">
        <v>274</v>
      </c>
      <c r="JP1" s="2" t="s">
        <v>275</v>
      </c>
      <c r="JQ1" s="2" t="s">
        <v>276</v>
      </c>
      <c r="JR1" s="2" t="s">
        <v>277</v>
      </c>
      <c r="JS1" s="2" t="s">
        <v>278</v>
      </c>
      <c r="JT1" s="2" t="s">
        <v>279</v>
      </c>
      <c r="JU1" s="2" t="s">
        <v>280</v>
      </c>
      <c r="JV1" s="2" t="s">
        <v>281</v>
      </c>
      <c r="JW1" s="2" t="s">
        <v>282</v>
      </c>
      <c r="JX1" s="2" t="s">
        <v>283</v>
      </c>
      <c r="JY1" s="2" t="s">
        <v>284</v>
      </c>
      <c r="JZ1" s="2" t="s">
        <v>285</v>
      </c>
      <c r="KA1" s="2" t="s">
        <v>286</v>
      </c>
      <c r="KB1" s="2" t="s">
        <v>287</v>
      </c>
      <c r="KC1" s="2" t="s">
        <v>288</v>
      </c>
      <c r="KD1" s="2" t="s">
        <v>289</v>
      </c>
      <c r="KE1" s="2" t="s">
        <v>290</v>
      </c>
      <c r="KF1" s="2" t="s">
        <v>291</v>
      </c>
      <c r="KG1" s="2" t="s">
        <v>292</v>
      </c>
      <c r="KH1" s="2" t="s">
        <v>293</v>
      </c>
      <c r="KI1" s="2" t="s">
        <v>294</v>
      </c>
      <c r="KJ1" s="2" t="s">
        <v>295</v>
      </c>
      <c r="KK1" s="2" t="s">
        <v>296</v>
      </c>
      <c r="KL1" s="2" t="s">
        <v>297</v>
      </c>
      <c r="KM1" s="2" t="s">
        <v>298</v>
      </c>
      <c r="KN1" s="2" t="s">
        <v>299</v>
      </c>
      <c r="KO1" s="2" t="s">
        <v>300</v>
      </c>
      <c r="KP1" s="2" t="s">
        <v>301</v>
      </c>
      <c r="KQ1" s="2" t="s">
        <v>302</v>
      </c>
      <c r="KR1" s="2" t="s">
        <v>303</v>
      </c>
      <c r="KS1" s="2" t="s">
        <v>304</v>
      </c>
      <c r="KT1" s="2" t="s">
        <v>305</v>
      </c>
      <c r="KU1" s="2" t="s">
        <v>306</v>
      </c>
      <c r="KV1" s="2" t="s">
        <v>307</v>
      </c>
      <c r="KW1" s="2" t="s">
        <v>308</v>
      </c>
      <c r="KX1" s="2" t="s">
        <v>309</v>
      </c>
      <c r="KY1" s="2" t="s">
        <v>310</v>
      </c>
      <c r="KZ1" s="2" t="s">
        <v>311</v>
      </c>
      <c r="LA1" s="2" t="s">
        <v>312</v>
      </c>
      <c r="LB1" s="2" t="s">
        <v>313</v>
      </c>
      <c r="LC1" s="2" t="s">
        <v>314</v>
      </c>
      <c r="LD1" s="2" t="s">
        <v>315</v>
      </c>
      <c r="LE1" s="2" t="s">
        <v>316</v>
      </c>
      <c r="LF1" s="2" t="s">
        <v>317</v>
      </c>
      <c r="LG1" s="2" t="s">
        <v>318</v>
      </c>
      <c r="LH1"/>
    </row>
    <row r="2" spans="1:320" x14ac:dyDescent="0.25">
      <c r="A2" s="1">
        <v>2</v>
      </c>
      <c r="B2" s="1">
        <v>36.871508379888184</v>
      </c>
      <c r="C2" s="1">
        <v>63.128491620111774</v>
      </c>
      <c r="D2" s="1">
        <v>179</v>
      </c>
      <c r="E2" s="1">
        <v>70.909090909090935</v>
      </c>
      <c r="F2" s="1">
        <v>29.090909090909008</v>
      </c>
      <c r="G2" s="1">
        <v>110</v>
      </c>
      <c r="H2" s="1">
        <v>46.753246753246579</v>
      </c>
      <c r="I2" s="1">
        <v>53.246753246753137</v>
      </c>
      <c r="J2" s="1">
        <v>77</v>
      </c>
      <c r="K2" s="1">
        <v>1</v>
      </c>
      <c r="L2" s="1">
        <v>99.638689999999812</v>
      </c>
      <c r="M2" s="1">
        <v>27.524500000000081</v>
      </c>
      <c r="N2" s="1">
        <v>17.065189999999948</v>
      </c>
      <c r="O2" s="1">
        <v>39.635280000000179</v>
      </c>
      <c r="P2" s="1">
        <v>3.3029399999999982</v>
      </c>
      <c r="Q2" s="1">
        <v>19.817640000000086</v>
      </c>
      <c r="R2" s="1">
        <v>6.6058799999999964</v>
      </c>
      <c r="S2" s="1">
        <v>1.1009799999999994</v>
      </c>
      <c r="T2" s="1">
        <v>8.2573500000000166</v>
      </c>
      <c r="U2" s="1">
        <v>9.908820000000043</v>
      </c>
      <c r="V2" s="1">
        <v>8.2573500000000166</v>
      </c>
      <c r="W2" s="1">
        <v>0.27624309392265195</v>
      </c>
      <c r="X2" s="1">
        <v>0.17127071823204429</v>
      </c>
      <c r="Y2" s="1">
        <v>0.3977900552486201</v>
      </c>
      <c r="Z2" s="1">
        <v>3.3149171270718314E-2</v>
      </c>
      <c r="AA2" s="1">
        <v>0.19889502762431002</v>
      </c>
      <c r="AB2" s="1">
        <v>6.6298342541436628E-2</v>
      </c>
      <c r="AC2" s="1">
        <v>1.1049723756906065E-2</v>
      </c>
      <c r="AD2" s="1">
        <v>8.2872928176795826E-2</v>
      </c>
      <c r="AE2" s="1">
        <v>9.9447513812155011E-2</v>
      </c>
      <c r="AF2" s="1">
        <v>8.2872928176795826E-2</v>
      </c>
      <c r="AG2" s="1">
        <v>1</v>
      </c>
      <c r="AH2" s="1">
        <v>181</v>
      </c>
      <c r="AI2" s="1">
        <v>1</v>
      </c>
      <c r="AJ2" s="1">
        <v>95.234769999999543</v>
      </c>
      <c r="AK2" s="1">
        <v>70.462720000000004</v>
      </c>
      <c r="AL2" s="1">
        <v>30.276950000000067</v>
      </c>
      <c r="AM2" s="1">
        <v>52.296550000000174</v>
      </c>
      <c r="AN2" s="1">
        <v>60.003410000000009</v>
      </c>
      <c r="AO2" s="1">
        <v>6.6058799999999964</v>
      </c>
      <c r="AP2" s="1">
        <v>12.110779999999982</v>
      </c>
      <c r="AQ2" s="1">
        <v>0.73988439306358778</v>
      </c>
      <c r="AR2" s="1">
        <v>0.31791907514450907</v>
      </c>
      <c r="AS2" s="1">
        <v>0.54913294797688217</v>
      </c>
      <c r="AT2" s="1">
        <v>0.63005780346820783</v>
      </c>
      <c r="AU2" s="1">
        <v>6.9364161849710837E-2</v>
      </c>
      <c r="AV2" s="1">
        <v>0.12716763005780388</v>
      </c>
      <c r="AW2" s="1">
        <v>1</v>
      </c>
      <c r="AX2" s="1">
        <v>173</v>
      </c>
      <c r="AY2" s="1">
        <v>9.8988764044943824</v>
      </c>
      <c r="AZ2" s="1">
        <v>9.921787709497206</v>
      </c>
      <c r="BA2" s="1">
        <v>9.9230769230769234</v>
      </c>
      <c r="BB2" s="1">
        <v>0</v>
      </c>
      <c r="BC2" s="1">
        <v>0</v>
      </c>
      <c r="BD2" s="1">
        <v>0</v>
      </c>
      <c r="BE2" s="1">
        <v>0</v>
      </c>
      <c r="BF2" s="1">
        <v>0</v>
      </c>
      <c r="BG2" s="1">
        <v>0</v>
      </c>
      <c r="BH2" s="1">
        <v>0</v>
      </c>
      <c r="BI2" s="1">
        <v>1.1235955056179772</v>
      </c>
      <c r="BJ2" s="1">
        <v>7.8651685393258495</v>
      </c>
      <c r="BK2" s="1">
        <v>91.01123595505652</v>
      </c>
      <c r="BL2" s="1">
        <v>9.8988764044943824</v>
      </c>
      <c r="BM2" s="1">
        <v>178</v>
      </c>
      <c r="BN2" s="1">
        <v>0</v>
      </c>
      <c r="BO2" s="1">
        <v>0</v>
      </c>
      <c r="BP2" s="1">
        <v>0</v>
      </c>
      <c r="BQ2" s="1">
        <v>0</v>
      </c>
      <c r="BR2" s="1">
        <v>0</v>
      </c>
      <c r="BS2" s="1">
        <v>0</v>
      </c>
      <c r="BT2" s="1">
        <v>0</v>
      </c>
      <c r="BU2" s="1">
        <v>1.675977653631286</v>
      </c>
      <c r="BV2" s="1">
        <v>4.4692737430167497</v>
      </c>
      <c r="BW2" s="1">
        <v>93.854748603351752</v>
      </c>
      <c r="BX2" s="1">
        <v>9.9217877094972611</v>
      </c>
      <c r="BY2" s="1">
        <v>179</v>
      </c>
      <c r="BZ2" s="1">
        <v>0</v>
      </c>
      <c r="CA2" s="1">
        <v>0</v>
      </c>
      <c r="CB2" s="1">
        <v>0</v>
      </c>
      <c r="CC2" s="1">
        <v>0</v>
      </c>
      <c r="CD2" s="1">
        <v>0</v>
      </c>
      <c r="CE2" s="1">
        <v>0</v>
      </c>
      <c r="CF2" s="1">
        <v>0</v>
      </c>
      <c r="CG2" s="1">
        <v>2.3668639053254354</v>
      </c>
      <c r="CH2" s="1">
        <v>2.9585798816568101</v>
      </c>
      <c r="CI2" s="1">
        <v>94.674556213017937</v>
      </c>
      <c r="CJ2" s="1">
        <v>9.9230769230769198</v>
      </c>
      <c r="CK2" s="1">
        <v>169</v>
      </c>
      <c r="CL2" s="1">
        <v>65.142857142857352</v>
      </c>
      <c r="CM2" s="1">
        <v>29.714285714285644</v>
      </c>
      <c r="CN2" s="1">
        <v>2.8571428571428479</v>
      </c>
      <c r="CO2" s="1">
        <v>2.2857142857142811</v>
      </c>
      <c r="CP2" s="1">
        <v>0</v>
      </c>
      <c r="CQ2" s="1">
        <v>175</v>
      </c>
      <c r="CR2" s="1">
        <v>63.888888888888843</v>
      </c>
      <c r="CS2" s="1">
        <v>26.666666666666671</v>
      </c>
      <c r="CT2" s="1">
        <v>5.0000000000000009</v>
      </c>
      <c r="CU2" s="1">
        <v>3.3333333333333339</v>
      </c>
      <c r="CV2" s="1">
        <v>1.1111111111111136</v>
      </c>
      <c r="CW2" s="1">
        <v>180</v>
      </c>
      <c r="CX2" s="1">
        <v>66.091954022988517</v>
      </c>
      <c r="CY2" s="1">
        <v>32.183908045976992</v>
      </c>
      <c r="CZ2" s="1">
        <v>1.7241379310344784</v>
      </c>
      <c r="DA2" s="1">
        <v>0</v>
      </c>
      <c r="DB2" s="1">
        <v>0</v>
      </c>
      <c r="DC2" s="1">
        <v>174</v>
      </c>
      <c r="DD2" s="1">
        <v>70.949720670391031</v>
      </c>
      <c r="DE2" s="1">
        <v>24.581005586592234</v>
      </c>
      <c r="DF2" s="1">
        <v>0.55865921787709372</v>
      </c>
      <c r="DG2" s="1">
        <v>3.3519553072625667</v>
      </c>
      <c r="DH2" s="1">
        <v>0.55865921787709372</v>
      </c>
      <c r="DI2" s="1">
        <v>179</v>
      </c>
      <c r="DJ2" s="1">
        <v>66.863905325444151</v>
      </c>
      <c r="DK2" s="1">
        <v>29.585798816568055</v>
      </c>
      <c r="DL2" s="1">
        <v>2.9585798816568101</v>
      </c>
      <c r="DM2" s="1">
        <v>0</v>
      </c>
      <c r="DN2" s="1">
        <v>0.59171597633135886</v>
      </c>
      <c r="DO2" s="1">
        <v>169</v>
      </c>
      <c r="DP2" s="1">
        <v>78.977272727272563</v>
      </c>
      <c r="DQ2" s="1">
        <v>18.750000000000004</v>
      </c>
      <c r="DR2" s="1">
        <v>2.2727272727272685</v>
      </c>
      <c r="DS2" s="1">
        <v>0</v>
      </c>
      <c r="DT2" s="1">
        <v>0</v>
      </c>
      <c r="DU2" s="1">
        <v>176</v>
      </c>
      <c r="DV2" s="1">
        <v>71.739130434782197</v>
      </c>
      <c r="DW2" s="1">
        <v>19.565217391304365</v>
      </c>
      <c r="DX2" s="1">
        <v>8.6956521739130093</v>
      </c>
      <c r="DY2" s="1">
        <v>0</v>
      </c>
      <c r="DZ2" s="1">
        <v>0</v>
      </c>
      <c r="EA2" s="1">
        <v>92</v>
      </c>
      <c r="EB2" s="1">
        <v>91.397849462365784</v>
      </c>
      <c r="EC2" s="1">
        <v>5.3763440860215024</v>
      </c>
      <c r="ED2" s="1">
        <v>2.1505376344085936</v>
      </c>
      <c r="EE2" s="1">
        <v>1.0752688172042968</v>
      </c>
      <c r="EF2" s="1">
        <v>0</v>
      </c>
      <c r="EG2" s="1">
        <v>93</v>
      </c>
      <c r="EH2" s="1">
        <v>66.666666666666515</v>
      </c>
      <c r="EI2" s="1">
        <v>22.61904761904762</v>
      </c>
      <c r="EJ2" s="1">
        <v>5.952380952380957</v>
      </c>
      <c r="EK2" s="1">
        <v>2.3809523809523676</v>
      </c>
      <c r="EL2" s="1">
        <v>2.3809523809523676</v>
      </c>
      <c r="EM2" s="1">
        <v>84</v>
      </c>
      <c r="EN2" s="1">
        <v>62.399999999999764</v>
      </c>
      <c r="EO2" s="1">
        <v>31.199999999999839</v>
      </c>
      <c r="EP2" s="1">
        <v>5.5999999999999988</v>
      </c>
      <c r="EQ2" s="1">
        <v>0.79999999999999905</v>
      </c>
      <c r="ER2" s="1">
        <v>0</v>
      </c>
      <c r="ES2" s="1">
        <v>125</v>
      </c>
      <c r="ET2" s="1">
        <v>58.015267175572525</v>
      </c>
      <c r="EU2" s="1">
        <v>35.877862595419856</v>
      </c>
      <c r="EV2" s="1">
        <v>5.3435114503816754</v>
      </c>
      <c r="EW2" s="1">
        <v>0</v>
      </c>
      <c r="EX2" s="1">
        <v>0.76335877862595436</v>
      </c>
      <c r="EY2" s="1">
        <v>131</v>
      </c>
      <c r="EZ2" s="1">
        <v>58.904109589040843</v>
      </c>
      <c r="FA2" s="1">
        <v>31.506849315068408</v>
      </c>
      <c r="FB2" s="1">
        <v>9.5890410958904262</v>
      </c>
      <c r="FC2" s="1">
        <v>0</v>
      </c>
      <c r="FD2" s="1">
        <v>0</v>
      </c>
      <c r="FE2" s="1">
        <v>73</v>
      </c>
      <c r="FF2" s="1">
        <v>63.768115942028707</v>
      </c>
      <c r="FG2" s="1">
        <v>30.434782608695659</v>
      </c>
      <c r="FH2" s="1">
        <v>5.7971014492753632</v>
      </c>
      <c r="FI2" s="1">
        <v>0</v>
      </c>
      <c r="FJ2" s="1">
        <v>0</v>
      </c>
      <c r="FK2" s="1">
        <v>69</v>
      </c>
      <c r="FL2" s="1">
        <v>70.408163265305689</v>
      </c>
      <c r="FM2" s="1">
        <v>23.469387755102037</v>
      </c>
      <c r="FN2" s="1">
        <v>4.0816326530612077</v>
      </c>
      <c r="FO2" s="1">
        <v>2.0408163265306039</v>
      </c>
      <c r="FP2" s="1">
        <v>0</v>
      </c>
      <c r="FQ2" s="1">
        <v>98</v>
      </c>
      <c r="FR2" s="1">
        <v>57.142857142857018</v>
      </c>
      <c r="FS2" s="1">
        <v>28.571428571428509</v>
      </c>
      <c r="FT2" s="1">
        <v>10.714285714285733</v>
      </c>
      <c r="FU2" s="1">
        <v>3.5714285714285636</v>
      </c>
      <c r="FV2" s="1">
        <v>0</v>
      </c>
      <c r="FW2" s="1">
        <v>56</v>
      </c>
      <c r="FX2" s="1">
        <v>91.01123595505652</v>
      </c>
      <c r="FY2" s="1">
        <v>8.9887640449438173</v>
      </c>
      <c r="FZ2" s="1">
        <v>0</v>
      </c>
      <c r="GA2" s="1">
        <v>0</v>
      </c>
      <c r="GB2" s="1">
        <v>0</v>
      </c>
      <c r="GC2" s="1">
        <v>178</v>
      </c>
      <c r="GD2" s="1">
        <v>80.281690140844645</v>
      </c>
      <c r="GE2" s="1">
        <v>15.492957746478917</v>
      </c>
      <c r="GF2" s="1">
        <v>4.2253521126760614</v>
      </c>
      <c r="GG2" s="1">
        <v>0</v>
      </c>
      <c r="GH2" s="1">
        <v>0</v>
      </c>
      <c r="GI2" s="1">
        <v>71</v>
      </c>
      <c r="GJ2" s="1">
        <v>83.333333333333485</v>
      </c>
      <c r="GK2" s="1">
        <v>12.499999999999998</v>
      </c>
      <c r="GL2" s="1">
        <v>4.1666666666666581</v>
      </c>
      <c r="GM2" s="1">
        <v>0</v>
      </c>
      <c r="GN2" s="1">
        <v>0</v>
      </c>
      <c r="GO2" s="1">
        <v>72</v>
      </c>
      <c r="GP2" s="1">
        <v>78.472222222222527</v>
      </c>
      <c r="GQ2" s="1">
        <v>16.666666666666629</v>
      </c>
      <c r="GR2" s="1">
        <v>3.4722222222222139</v>
      </c>
      <c r="GS2" s="1">
        <v>1.388888888888886</v>
      </c>
      <c r="GT2" s="1">
        <v>0</v>
      </c>
      <c r="GU2" s="1">
        <v>144</v>
      </c>
      <c r="GV2" s="1">
        <v>83.10810810810834</v>
      </c>
      <c r="GW2" s="1">
        <v>12.837837837837874</v>
      </c>
      <c r="GX2" s="1">
        <v>3.3783783783783727</v>
      </c>
      <c r="GY2" s="1">
        <v>0.67567567567567655</v>
      </c>
      <c r="GZ2" s="1">
        <v>0</v>
      </c>
      <c r="HA2" s="1">
        <v>148</v>
      </c>
      <c r="HB2" s="1">
        <v>60.46511627906991</v>
      </c>
      <c r="HC2" s="1">
        <v>25.581395348837219</v>
      </c>
      <c r="HD2" s="1">
        <v>13.953488372093032</v>
      </c>
      <c r="HE2" s="1">
        <v>0</v>
      </c>
      <c r="HF2" s="1">
        <v>0</v>
      </c>
      <c r="HG2" s="1">
        <v>43</v>
      </c>
      <c r="HH2" s="1">
        <v>59.09090909090925</v>
      </c>
      <c r="HI2" s="1">
        <v>13.636363636363653</v>
      </c>
      <c r="HJ2" s="1">
        <v>22.727272727272641</v>
      </c>
      <c r="HK2" s="1">
        <v>4.5454545454545325</v>
      </c>
      <c r="HL2" s="1">
        <v>0</v>
      </c>
      <c r="HM2" s="1">
        <v>22</v>
      </c>
      <c r="HN2" s="1">
        <v>0</v>
      </c>
      <c r="HO2" s="1">
        <v>0</v>
      </c>
      <c r="HP2" s="1">
        <v>0</v>
      </c>
      <c r="HQ2" s="1">
        <v>0</v>
      </c>
      <c r="HR2" s="1">
        <v>0</v>
      </c>
      <c r="HS2" s="1">
        <v>0</v>
      </c>
      <c r="HT2" s="1">
        <v>0</v>
      </c>
      <c r="HU2" s="1">
        <v>0</v>
      </c>
      <c r="HV2" s="1">
        <v>0</v>
      </c>
      <c r="HW2" s="1">
        <v>0</v>
      </c>
      <c r="HX2" s="1">
        <v>0</v>
      </c>
      <c r="HY2" s="1">
        <v>0</v>
      </c>
      <c r="HZ2" s="1">
        <v>0</v>
      </c>
      <c r="IA2" s="1">
        <v>0</v>
      </c>
      <c r="IB2" s="1">
        <v>0</v>
      </c>
      <c r="IC2" s="1">
        <v>0</v>
      </c>
      <c r="ID2" s="1">
        <v>0</v>
      </c>
      <c r="IE2" s="1">
        <v>0</v>
      </c>
      <c r="IF2" s="1">
        <v>9.4748603351955314</v>
      </c>
      <c r="IG2" s="1">
        <v>0</v>
      </c>
      <c r="IH2" s="1">
        <v>0</v>
      </c>
      <c r="II2" s="1">
        <v>0</v>
      </c>
      <c r="IJ2" s="1">
        <v>0</v>
      </c>
      <c r="IK2" s="1">
        <v>0</v>
      </c>
      <c r="IL2" s="1">
        <v>1.1173184357541874</v>
      </c>
      <c r="IM2" s="1">
        <v>1.1173184357541874</v>
      </c>
      <c r="IN2" s="1">
        <v>9.4972067039106438</v>
      </c>
      <c r="IO2" s="1">
        <v>25.698324022346316</v>
      </c>
      <c r="IP2" s="1">
        <v>62.569832402234688</v>
      </c>
      <c r="IQ2" s="1">
        <v>9.4748603351955101</v>
      </c>
      <c r="IR2" s="1">
        <v>179</v>
      </c>
      <c r="IS2" s="1">
        <v>50.000000000000043</v>
      </c>
      <c r="IT2" s="1">
        <v>17.222222222222182</v>
      </c>
      <c r="IU2" s="1">
        <v>20.000000000000004</v>
      </c>
      <c r="IV2" s="1">
        <v>6.6666666666666679</v>
      </c>
      <c r="IW2" s="1">
        <v>6.1111111111110921</v>
      </c>
      <c r="IX2" s="1">
        <v>180</v>
      </c>
      <c r="IY2" s="1">
        <v>1</v>
      </c>
      <c r="IZ2" s="1">
        <v>96.335750000000019</v>
      </c>
      <c r="JA2" s="1">
        <v>58.902430000000102</v>
      </c>
      <c r="JB2" s="1">
        <v>16.514700000000033</v>
      </c>
      <c r="JC2" s="1">
        <v>13.762250000000041</v>
      </c>
      <c r="JD2" s="1">
        <v>15.964210000000056</v>
      </c>
      <c r="JE2" s="1">
        <v>0.61142857142857476</v>
      </c>
      <c r="JF2" s="1">
        <v>0.17142857142857101</v>
      </c>
      <c r="JG2" s="1">
        <v>0.14285714285714257</v>
      </c>
      <c r="JH2" s="1">
        <v>0.16571428571428637</v>
      </c>
      <c r="JI2" s="1">
        <v>1</v>
      </c>
      <c r="JJ2" s="1">
        <v>175</v>
      </c>
      <c r="JK2" s="1">
        <v>2.7283236994219653</v>
      </c>
      <c r="JL2" s="1">
        <v>2.7283236994219777</v>
      </c>
      <c r="JM2" s="1">
        <v>173</v>
      </c>
      <c r="JN2" s="1">
        <v>94.642857142857096</v>
      </c>
      <c r="JO2" s="1">
        <v>5.3571428571428674</v>
      </c>
      <c r="JP2" s="1">
        <v>56</v>
      </c>
      <c r="JQ2" s="1">
        <v>98.888888888888914</v>
      </c>
      <c r="JR2" s="1">
        <v>1.111111111111112</v>
      </c>
      <c r="JS2" s="1">
        <v>90</v>
      </c>
      <c r="JT2" s="1">
        <v>94.285714285714107</v>
      </c>
      <c r="JU2" s="1">
        <v>5.7142857142856904</v>
      </c>
      <c r="JV2" s="1">
        <v>140</v>
      </c>
      <c r="JW2" s="1">
        <v>93.749999999999986</v>
      </c>
      <c r="JX2" s="1">
        <v>6.2499999999999947</v>
      </c>
      <c r="JY2" s="1">
        <v>96</v>
      </c>
      <c r="JZ2" s="1">
        <v>53.896103896104101</v>
      </c>
      <c r="KA2" s="1">
        <v>46.103896103895956</v>
      </c>
      <c r="KB2" s="1">
        <v>154</v>
      </c>
      <c r="KC2" s="1">
        <v>100</v>
      </c>
      <c r="KD2" s="1">
        <v>0</v>
      </c>
      <c r="KE2" s="1">
        <v>150</v>
      </c>
      <c r="KF2" s="1">
        <v>2.9310344827586206</v>
      </c>
      <c r="KG2" s="1">
        <v>14.482758620689635</v>
      </c>
      <c r="KH2" s="1">
        <v>22.758620689655224</v>
      </c>
      <c r="KI2" s="1">
        <v>28.275862068965555</v>
      </c>
      <c r="KJ2" s="1">
        <v>24.137931034482769</v>
      </c>
      <c r="KK2" s="1">
        <v>10.344827586206918</v>
      </c>
      <c r="KL2" s="1">
        <v>145</v>
      </c>
      <c r="KM2" s="1">
        <v>51.855172413793021</v>
      </c>
      <c r="KN2" s="1">
        <v>71.285714285714292</v>
      </c>
      <c r="KO2" s="1">
        <v>14.285714285714255</v>
      </c>
      <c r="KP2" s="1">
        <v>14.285714285714255</v>
      </c>
      <c r="KQ2" s="1">
        <v>28.571428571428509</v>
      </c>
      <c r="KR2" s="1">
        <v>0</v>
      </c>
      <c r="KS2" s="1">
        <v>42.857142857142939</v>
      </c>
      <c r="KT2" s="1">
        <v>7</v>
      </c>
      <c r="KU2" s="1">
        <v>3.9999999999999996</v>
      </c>
      <c r="KV2" s="1">
        <v>0</v>
      </c>
      <c r="KW2" s="1">
        <v>3.333333333333333</v>
      </c>
      <c r="KX2" s="1">
        <v>91.333333333333556</v>
      </c>
      <c r="KY2" s="1">
        <v>1.3333333333333359</v>
      </c>
      <c r="KZ2" s="1">
        <v>150</v>
      </c>
      <c r="LA2" s="1">
        <v>16.556291390728386</v>
      </c>
      <c r="LB2" s="1">
        <v>83.443708609271326</v>
      </c>
      <c r="LC2" s="1">
        <v>151</v>
      </c>
      <c r="LD2" s="1">
        <v>0</v>
      </c>
      <c r="LE2" s="1">
        <v>23.809523809523807</v>
      </c>
      <c r="LF2" s="1">
        <v>76.190476190476161</v>
      </c>
      <c r="LG2" s="1">
        <v>21</v>
      </c>
    </row>
    <row r="3" spans="1:320" x14ac:dyDescent="0.25">
      <c r="A3" s="1">
        <v>5</v>
      </c>
      <c r="B3" s="1">
        <v>9.8039215686274552</v>
      </c>
      <c r="C3" s="1">
        <v>90.196078431372456</v>
      </c>
      <c r="D3" s="1">
        <v>51</v>
      </c>
      <c r="E3" s="1">
        <v>86.04651162790698</v>
      </c>
      <c r="F3" s="1">
        <v>13.953488372093032</v>
      </c>
      <c r="G3" s="1">
        <v>43</v>
      </c>
      <c r="H3" s="1">
        <v>56.756756756756722</v>
      </c>
      <c r="I3" s="1">
        <v>43.243243243243271</v>
      </c>
      <c r="J3" s="1">
        <v>37</v>
      </c>
      <c r="K3" s="1">
        <v>1</v>
      </c>
      <c r="L3" s="1">
        <v>68.526660000000007</v>
      </c>
      <c r="M3" s="1">
        <v>16.123920000000002</v>
      </c>
      <c r="N3" s="1">
        <v>14.78026</v>
      </c>
      <c r="O3" s="1">
        <v>21.498560000000001</v>
      </c>
      <c r="P3" s="1">
        <v>0</v>
      </c>
      <c r="Q3" s="1">
        <v>13.4366</v>
      </c>
      <c r="R3" s="1">
        <v>0</v>
      </c>
      <c r="S3" s="1">
        <v>2.6873200000000002</v>
      </c>
      <c r="T3" s="1">
        <v>8.0619600000000009</v>
      </c>
      <c r="U3" s="1">
        <v>4.0309800000000005</v>
      </c>
      <c r="V3" s="1">
        <v>4.0309800000000005</v>
      </c>
      <c r="W3" s="1">
        <v>0.23529411764705854</v>
      </c>
      <c r="X3" s="1">
        <v>0.21568627450980379</v>
      </c>
      <c r="Y3" s="1">
        <v>0.31372549019607865</v>
      </c>
      <c r="Z3" s="1">
        <v>0</v>
      </c>
      <c r="AA3" s="1">
        <v>0.19607843137254899</v>
      </c>
      <c r="AB3" s="1">
        <v>0</v>
      </c>
      <c r="AC3" s="1">
        <v>3.9215686274509831E-2</v>
      </c>
      <c r="AD3" s="1">
        <v>0.11764705882352927</v>
      </c>
      <c r="AE3" s="1">
        <v>5.8823529411764636E-2</v>
      </c>
      <c r="AF3" s="1">
        <v>5.8823529411764636E-2</v>
      </c>
      <c r="AG3" s="1">
        <v>1</v>
      </c>
      <c r="AH3" s="1">
        <v>51</v>
      </c>
      <c r="AI3" s="1">
        <v>1</v>
      </c>
      <c r="AJ3" s="1">
        <v>65.839340000000007</v>
      </c>
      <c r="AK3" s="1">
        <v>45.684440000000002</v>
      </c>
      <c r="AL3" s="1">
        <v>52.402740000000001</v>
      </c>
      <c r="AM3" s="1">
        <v>20.154900000000001</v>
      </c>
      <c r="AN3" s="1">
        <v>36.278820000000003</v>
      </c>
      <c r="AO3" s="1">
        <v>2.6873200000000002</v>
      </c>
      <c r="AP3" s="1">
        <v>9.4056200000000008</v>
      </c>
      <c r="AQ3" s="1">
        <v>0.6938775510204076</v>
      </c>
      <c r="AR3" s="1">
        <v>0.79591836734693822</v>
      </c>
      <c r="AS3" s="1">
        <v>0.30612244897959162</v>
      </c>
      <c r="AT3" s="1">
        <v>0.5510204081632647</v>
      </c>
      <c r="AU3" s="1">
        <v>4.0816326530612269E-2</v>
      </c>
      <c r="AV3" s="1">
        <v>0.14285714285714299</v>
      </c>
      <c r="AW3" s="1">
        <v>1</v>
      </c>
      <c r="AX3" s="1">
        <v>49</v>
      </c>
      <c r="AY3" s="1">
        <v>9.816326530612244</v>
      </c>
      <c r="AZ3" s="1">
        <v>9.92</v>
      </c>
      <c r="BA3" s="1">
        <v>9.8085106382978715</v>
      </c>
      <c r="BB3" s="1">
        <v>0</v>
      </c>
      <c r="BC3" s="1">
        <v>0</v>
      </c>
      <c r="BD3" s="1">
        <v>0</v>
      </c>
      <c r="BE3" s="1">
        <v>0</v>
      </c>
      <c r="BF3" s="1">
        <v>0</v>
      </c>
      <c r="BG3" s="1">
        <v>0</v>
      </c>
      <c r="BH3" s="1">
        <v>0</v>
      </c>
      <c r="BI3" s="1">
        <v>2.0408163265306136</v>
      </c>
      <c r="BJ3" s="1">
        <v>14.285714285714297</v>
      </c>
      <c r="BK3" s="1">
        <v>83.673469387755134</v>
      </c>
      <c r="BL3" s="1">
        <v>9.8163265306122351</v>
      </c>
      <c r="BM3" s="1">
        <v>49</v>
      </c>
      <c r="BN3" s="1">
        <v>0</v>
      </c>
      <c r="BO3" s="1">
        <v>0</v>
      </c>
      <c r="BP3" s="1">
        <v>0</v>
      </c>
      <c r="BQ3" s="1">
        <v>0</v>
      </c>
      <c r="BR3" s="1">
        <v>0</v>
      </c>
      <c r="BS3" s="1">
        <v>0</v>
      </c>
      <c r="BT3" s="1">
        <v>0</v>
      </c>
      <c r="BU3" s="1">
        <v>0</v>
      </c>
      <c r="BV3" s="1">
        <v>8</v>
      </c>
      <c r="BW3" s="1">
        <v>92</v>
      </c>
      <c r="BX3" s="1">
        <v>9.9200000000000053</v>
      </c>
      <c r="BY3" s="1">
        <v>50</v>
      </c>
      <c r="BZ3" s="1">
        <v>0</v>
      </c>
      <c r="CA3" s="1">
        <v>0</v>
      </c>
      <c r="CB3" s="1">
        <v>0</v>
      </c>
      <c r="CC3" s="1">
        <v>0</v>
      </c>
      <c r="CD3" s="1">
        <v>0</v>
      </c>
      <c r="CE3" s="1">
        <v>0</v>
      </c>
      <c r="CF3" s="1">
        <v>0</v>
      </c>
      <c r="CG3" s="1">
        <v>4.2553191489361684</v>
      </c>
      <c r="CH3" s="1">
        <v>10.638297872340434</v>
      </c>
      <c r="CI3" s="1">
        <v>85.106382978723474</v>
      </c>
      <c r="CJ3" s="1">
        <v>9.8085106382978786</v>
      </c>
      <c r="CK3" s="1">
        <v>47</v>
      </c>
      <c r="CL3" s="1">
        <v>60</v>
      </c>
      <c r="CM3" s="1">
        <v>38</v>
      </c>
      <c r="CN3" s="1">
        <v>0</v>
      </c>
      <c r="CO3" s="1">
        <v>2</v>
      </c>
      <c r="CP3" s="1">
        <v>0</v>
      </c>
      <c r="CQ3" s="1">
        <v>50</v>
      </c>
      <c r="CR3" s="1">
        <v>88.235294117646959</v>
      </c>
      <c r="CS3" s="1">
        <v>11.764705882352933</v>
      </c>
      <c r="CT3" s="1">
        <v>0</v>
      </c>
      <c r="CU3" s="1">
        <v>0</v>
      </c>
      <c r="CV3" s="1">
        <v>0</v>
      </c>
      <c r="CW3" s="1">
        <v>51</v>
      </c>
      <c r="CX3" s="1">
        <v>82</v>
      </c>
      <c r="CY3" s="1">
        <v>16</v>
      </c>
      <c r="CZ3" s="1">
        <v>2</v>
      </c>
      <c r="DA3" s="1">
        <v>0</v>
      </c>
      <c r="DB3" s="1">
        <v>0</v>
      </c>
      <c r="DC3" s="1">
        <v>50</v>
      </c>
      <c r="DD3" s="1">
        <v>98</v>
      </c>
      <c r="DE3" s="1">
        <v>2</v>
      </c>
      <c r="DF3" s="1">
        <v>0</v>
      </c>
      <c r="DG3" s="1">
        <v>0</v>
      </c>
      <c r="DH3" s="1">
        <v>0</v>
      </c>
      <c r="DI3" s="1">
        <v>50</v>
      </c>
      <c r="DJ3" s="1">
        <v>75.510204081632722</v>
      </c>
      <c r="DK3" s="1">
        <v>24.489795918367335</v>
      </c>
      <c r="DL3" s="1">
        <v>0</v>
      </c>
      <c r="DM3" s="1">
        <v>0</v>
      </c>
      <c r="DN3" s="1">
        <v>0</v>
      </c>
      <c r="DO3" s="1">
        <v>49</v>
      </c>
      <c r="DP3" s="1">
        <v>98.039215686274488</v>
      </c>
      <c r="DQ3" s="1">
        <v>1.9607843137254877</v>
      </c>
      <c r="DR3" s="1">
        <v>0</v>
      </c>
      <c r="DS3" s="1">
        <v>0</v>
      </c>
      <c r="DT3" s="1">
        <v>0</v>
      </c>
      <c r="DU3" s="1">
        <v>51</v>
      </c>
      <c r="DV3" s="1">
        <v>78.571428571428527</v>
      </c>
      <c r="DW3" s="1">
        <v>19.04761904761904</v>
      </c>
      <c r="DX3" s="1">
        <v>2.38095238095238</v>
      </c>
      <c r="DY3" s="1">
        <v>0</v>
      </c>
      <c r="DZ3" s="1">
        <v>0</v>
      </c>
      <c r="EA3" s="1">
        <v>42</v>
      </c>
      <c r="EB3" s="1">
        <v>100</v>
      </c>
      <c r="EC3" s="1">
        <v>0</v>
      </c>
      <c r="ED3" s="1">
        <v>0</v>
      </c>
      <c r="EE3" s="1">
        <v>0</v>
      </c>
      <c r="EF3" s="1">
        <v>0</v>
      </c>
      <c r="EG3" s="1">
        <v>12</v>
      </c>
      <c r="EH3" s="1">
        <v>72.727272727272648</v>
      </c>
      <c r="EI3" s="1">
        <v>27.272727272727256</v>
      </c>
      <c r="EJ3" s="1">
        <v>0</v>
      </c>
      <c r="EK3" s="1">
        <v>0</v>
      </c>
      <c r="EL3" s="1">
        <v>0</v>
      </c>
      <c r="EM3" s="1">
        <v>11</v>
      </c>
      <c r="EN3" s="1">
        <v>40</v>
      </c>
      <c r="EO3" s="1">
        <v>44</v>
      </c>
      <c r="EP3" s="1">
        <v>12</v>
      </c>
      <c r="EQ3" s="1">
        <v>4</v>
      </c>
      <c r="ER3" s="1">
        <v>0</v>
      </c>
      <c r="ES3" s="1">
        <v>25</v>
      </c>
      <c r="ET3" s="1">
        <v>44</v>
      </c>
      <c r="EU3" s="1">
        <v>48</v>
      </c>
      <c r="EV3" s="1">
        <v>8</v>
      </c>
      <c r="EW3" s="1">
        <v>0</v>
      </c>
      <c r="EX3" s="1">
        <v>0</v>
      </c>
      <c r="EY3" s="1">
        <v>25</v>
      </c>
      <c r="EZ3" s="1">
        <v>58.333333333333357</v>
      </c>
      <c r="FA3" s="1">
        <v>33.333333333333314</v>
      </c>
      <c r="FB3" s="1">
        <v>8.3333333333333286</v>
      </c>
      <c r="FC3" s="1">
        <v>0</v>
      </c>
      <c r="FD3" s="1">
        <v>0</v>
      </c>
      <c r="FE3" s="1">
        <v>12</v>
      </c>
      <c r="FF3" s="1">
        <v>62.5</v>
      </c>
      <c r="FG3" s="1">
        <v>12.5</v>
      </c>
      <c r="FH3" s="1">
        <v>25</v>
      </c>
      <c r="FI3" s="1">
        <v>0</v>
      </c>
      <c r="FJ3" s="1">
        <v>0</v>
      </c>
      <c r="FK3" s="1">
        <v>8</v>
      </c>
      <c r="FL3" s="1">
        <v>46.153846153846182</v>
      </c>
      <c r="FM3" s="1">
        <v>30.769230769230735</v>
      </c>
      <c r="FN3" s="1">
        <v>15.384615384615367</v>
      </c>
      <c r="FO3" s="1">
        <v>7.6923076923076836</v>
      </c>
      <c r="FP3" s="1">
        <v>0</v>
      </c>
      <c r="FQ3" s="1">
        <v>13</v>
      </c>
      <c r="FR3" s="1">
        <v>57.142857142857189</v>
      </c>
      <c r="FS3" s="1">
        <v>21.428571428571434</v>
      </c>
      <c r="FT3" s="1">
        <v>21.428571428571434</v>
      </c>
      <c r="FU3" s="1">
        <v>0</v>
      </c>
      <c r="FV3" s="1">
        <v>0</v>
      </c>
      <c r="FW3" s="1">
        <v>14</v>
      </c>
      <c r="FX3" s="1">
        <v>89.795918367346928</v>
      </c>
      <c r="FY3" s="1">
        <v>10.204081632653068</v>
      </c>
      <c r="FZ3" s="1">
        <v>0</v>
      </c>
      <c r="GA3" s="1">
        <v>0</v>
      </c>
      <c r="GB3" s="1">
        <v>0</v>
      </c>
      <c r="GC3" s="1">
        <v>49</v>
      </c>
      <c r="GD3" s="1">
        <v>86.363636363636431</v>
      </c>
      <c r="GE3" s="1">
        <v>9.0909090909090811</v>
      </c>
      <c r="GF3" s="1">
        <v>4.5454545454545405</v>
      </c>
      <c r="GG3" s="1">
        <v>0</v>
      </c>
      <c r="GH3" s="1">
        <v>0</v>
      </c>
      <c r="GI3" s="1">
        <v>22</v>
      </c>
      <c r="GJ3" s="1">
        <v>85.714285714285737</v>
      </c>
      <c r="GK3" s="1">
        <v>7.1428571428571486</v>
      </c>
      <c r="GL3" s="1">
        <v>7.1428571428571486</v>
      </c>
      <c r="GM3" s="1">
        <v>0</v>
      </c>
      <c r="GN3" s="1">
        <v>0</v>
      </c>
      <c r="GO3" s="1">
        <v>14</v>
      </c>
      <c r="GP3" s="1">
        <v>82.051282051282129</v>
      </c>
      <c r="GQ3" s="1">
        <v>12.820512820512819</v>
      </c>
      <c r="GR3" s="1">
        <v>2.5641025641025665</v>
      </c>
      <c r="GS3" s="1">
        <v>2.5641025641025665</v>
      </c>
      <c r="GT3" s="1">
        <v>0</v>
      </c>
      <c r="GU3" s="1">
        <v>39</v>
      </c>
      <c r="GV3" s="1">
        <v>86.486486486486569</v>
      </c>
      <c r="GW3" s="1">
        <v>10.810810810810821</v>
      </c>
      <c r="GX3" s="1">
        <v>2.7027027027027053</v>
      </c>
      <c r="GY3" s="1">
        <v>0</v>
      </c>
      <c r="GZ3" s="1">
        <v>0</v>
      </c>
      <c r="HA3" s="1">
        <v>37</v>
      </c>
      <c r="HB3" s="1">
        <v>61.111111111111171</v>
      </c>
      <c r="HC3" s="1">
        <v>22.2222222222222</v>
      </c>
      <c r="HD3" s="1">
        <v>5.55555555555555</v>
      </c>
      <c r="HE3" s="1">
        <v>11.1111111111111</v>
      </c>
      <c r="HF3" s="1">
        <v>0</v>
      </c>
      <c r="HG3" s="1">
        <v>18</v>
      </c>
      <c r="HH3" s="1">
        <v>66.666666666666629</v>
      </c>
      <c r="HI3" s="1">
        <v>25</v>
      </c>
      <c r="HJ3" s="1">
        <v>8.3333333333333286</v>
      </c>
      <c r="HK3" s="1">
        <v>0</v>
      </c>
      <c r="HL3" s="1">
        <v>0</v>
      </c>
      <c r="HM3" s="1">
        <v>12</v>
      </c>
      <c r="HN3" s="1">
        <v>0</v>
      </c>
      <c r="HO3" s="1">
        <v>0</v>
      </c>
      <c r="HP3" s="1">
        <v>0</v>
      </c>
      <c r="HQ3" s="1">
        <v>0</v>
      </c>
      <c r="HR3" s="1">
        <v>0</v>
      </c>
      <c r="HS3" s="1">
        <v>0</v>
      </c>
      <c r="HT3" s="1">
        <v>0</v>
      </c>
      <c r="HU3" s="1">
        <v>0</v>
      </c>
      <c r="HV3" s="1">
        <v>0</v>
      </c>
      <c r="HW3" s="1">
        <v>0</v>
      </c>
      <c r="HX3" s="1">
        <v>0</v>
      </c>
      <c r="HY3" s="1">
        <v>0</v>
      </c>
      <c r="HZ3" s="1">
        <v>0</v>
      </c>
      <c r="IA3" s="1">
        <v>0</v>
      </c>
      <c r="IB3" s="1">
        <v>0</v>
      </c>
      <c r="IC3" s="1">
        <v>0</v>
      </c>
      <c r="ID3" s="1">
        <v>0</v>
      </c>
      <c r="IE3" s="1">
        <v>0</v>
      </c>
      <c r="IF3" s="1">
        <v>9.3181818181818183</v>
      </c>
      <c r="IG3" s="1">
        <v>0</v>
      </c>
      <c r="IH3" s="1">
        <v>0</v>
      </c>
      <c r="II3" s="1">
        <v>0</v>
      </c>
      <c r="IJ3" s="1">
        <v>0</v>
      </c>
      <c r="IK3" s="1">
        <v>0</v>
      </c>
      <c r="IL3" s="1">
        <v>0</v>
      </c>
      <c r="IM3" s="1">
        <v>4.5454545454545405</v>
      </c>
      <c r="IN3" s="1">
        <v>11.363636363636369</v>
      </c>
      <c r="IO3" s="1">
        <v>31.818181818181809</v>
      </c>
      <c r="IP3" s="1">
        <v>52.272727272727309</v>
      </c>
      <c r="IQ3" s="1">
        <v>9.3181818181818148</v>
      </c>
      <c r="IR3" s="1">
        <v>44</v>
      </c>
      <c r="IS3" s="1">
        <v>67.346938775510239</v>
      </c>
      <c r="IT3" s="1">
        <v>22.448979591836732</v>
      </c>
      <c r="IU3" s="1">
        <v>10.204081632653068</v>
      </c>
      <c r="IV3" s="1">
        <v>0</v>
      </c>
      <c r="IW3" s="1">
        <v>0</v>
      </c>
      <c r="IX3" s="1">
        <v>49</v>
      </c>
      <c r="IY3" s="1">
        <v>1</v>
      </c>
      <c r="IZ3" s="1">
        <v>67.183000000000007</v>
      </c>
      <c r="JA3" s="1">
        <v>40.309800000000003</v>
      </c>
      <c r="JB3" s="1">
        <v>13.4366</v>
      </c>
      <c r="JC3" s="1">
        <v>6.7183000000000002</v>
      </c>
      <c r="JD3" s="1">
        <v>12.09294</v>
      </c>
      <c r="JE3" s="1">
        <v>0.60000000000000053</v>
      </c>
      <c r="JF3" s="1">
        <v>0.19999999999999993</v>
      </c>
      <c r="JG3" s="1">
        <v>9.9999999999999964E-2</v>
      </c>
      <c r="JH3" s="1">
        <v>0.17999999999999988</v>
      </c>
      <c r="JI3" s="1">
        <v>1</v>
      </c>
      <c r="JJ3" s="1">
        <v>50</v>
      </c>
      <c r="JK3" s="1">
        <v>3.18</v>
      </c>
      <c r="JL3" s="1">
        <v>3.1800000000000042</v>
      </c>
      <c r="JM3" s="1">
        <v>50</v>
      </c>
      <c r="JN3" s="1">
        <v>87.5</v>
      </c>
      <c r="JO3" s="1">
        <v>12.5</v>
      </c>
      <c r="JP3" s="1">
        <v>24</v>
      </c>
      <c r="JQ3" s="1">
        <v>96.428571428571487</v>
      </c>
      <c r="JR3" s="1">
        <v>3.5714285714285743</v>
      </c>
      <c r="JS3" s="1">
        <v>28</v>
      </c>
      <c r="JT3" s="1">
        <v>100</v>
      </c>
      <c r="JU3" s="1">
        <v>0</v>
      </c>
      <c r="JV3" s="1">
        <v>44</v>
      </c>
      <c r="JW3" s="1">
        <v>85.185185185185205</v>
      </c>
      <c r="JX3" s="1">
        <v>14.81481481481481</v>
      </c>
      <c r="JY3" s="1">
        <v>27</v>
      </c>
      <c r="JZ3" s="1">
        <v>45.833333333333321</v>
      </c>
      <c r="KA3" s="1">
        <v>54.16666666666665</v>
      </c>
      <c r="KB3" s="1">
        <v>48</v>
      </c>
      <c r="KC3" s="1">
        <v>100</v>
      </c>
      <c r="KD3" s="1">
        <v>0</v>
      </c>
      <c r="KE3" s="1">
        <v>46</v>
      </c>
      <c r="KF3" s="1">
        <v>3.236842105263158</v>
      </c>
      <c r="KG3" s="1">
        <v>2.6315789473684235</v>
      </c>
      <c r="KH3" s="1">
        <v>26.315789473684184</v>
      </c>
      <c r="KI3" s="1">
        <v>34.210526315789522</v>
      </c>
      <c r="KJ3" s="1">
        <v>18.421052631578956</v>
      </c>
      <c r="KK3" s="1">
        <v>18.421052631578956</v>
      </c>
      <c r="KL3" s="1">
        <v>38</v>
      </c>
      <c r="KM3" s="1">
        <v>58.2368421052632</v>
      </c>
      <c r="KN3" s="1">
        <v>0</v>
      </c>
      <c r="KO3" s="1">
        <v>0</v>
      </c>
      <c r="KP3" s="1">
        <v>0</v>
      </c>
      <c r="KQ3" s="1">
        <v>0</v>
      </c>
      <c r="KR3" s="1">
        <v>0</v>
      </c>
      <c r="KS3" s="1">
        <v>0</v>
      </c>
      <c r="KT3" s="1">
        <v>0</v>
      </c>
      <c r="KU3" s="1">
        <v>0</v>
      </c>
      <c r="KV3" s="1">
        <v>0</v>
      </c>
      <c r="KW3" s="1">
        <v>0</v>
      </c>
      <c r="KX3" s="1">
        <v>100</v>
      </c>
      <c r="KY3" s="1">
        <v>0</v>
      </c>
      <c r="KZ3" s="1">
        <v>46</v>
      </c>
      <c r="LA3" s="1">
        <v>10.416666666666673</v>
      </c>
      <c r="LB3" s="1">
        <v>89.583333333333357</v>
      </c>
      <c r="LC3" s="1">
        <v>48</v>
      </c>
      <c r="LD3" s="1">
        <v>0</v>
      </c>
      <c r="LE3" s="1">
        <v>0</v>
      </c>
      <c r="LF3" s="1">
        <v>100</v>
      </c>
      <c r="LG3" s="1">
        <v>5</v>
      </c>
    </row>
    <row r="4" spans="1:320" x14ac:dyDescent="0.25">
      <c r="A4" s="1">
        <v>7</v>
      </c>
      <c r="B4" s="1">
        <v>12.500000000000002</v>
      </c>
      <c r="C4" s="1">
        <v>87.5</v>
      </c>
      <c r="D4" s="1">
        <v>24</v>
      </c>
      <c r="E4" s="1">
        <v>76.190476190476176</v>
      </c>
      <c r="F4" s="1">
        <v>23.809523809523803</v>
      </c>
      <c r="G4" s="1">
        <v>21</v>
      </c>
      <c r="H4" s="1">
        <v>53.333333333333343</v>
      </c>
      <c r="I4" s="1">
        <v>46.666666666666664</v>
      </c>
      <c r="J4" s="1">
        <v>15</v>
      </c>
      <c r="K4" s="1">
        <v>1</v>
      </c>
      <c r="L4" s="1">
        <v>26.912400000000005</v>
      </c>
      <c r="M4" s="1">
        <v>16.820249999999991</v>
      </c>
      <c r="N4" s="1">
        <v>1.1213499999999998</v>
      </c>
      <c r="O4" s="1">
        <v>2.2426999999999997</v>
      </c>
      <c r="P4" s="1">
        <v>0</v>
      </c>
      <c r="Q4" s="1">
        <v>4.4853999999999994</v>
      </c>
      <c r="R4" s="1">
        <v>1.1213499999999998</v>
      </c>
      <c r="S4" s="1">
        <v>0</v>
      </c>
      <c r="T4" s="1">
        <v>0</v>
      </c>
      <c r="U4" s="1">
        <v>1.1213499999999998</v>
      </c>
      <c r="V4" s="1">
        <v>7.8494499999999974</v>
      </c>
      <c r="W4" s="1">
        <v>0.625</v>
      </c>
      <c r="X4" s="1">
        <v>4.166666666666665E-2</v>
      </c>
      <c r="Y4" s="1">
        <v>8.3333333333333301E-2</v>
      </c>
      <c r="Z4" s="1">
        <v>0</v>
      </c>
      <c r="AA4" s="1">
        <v>0.1666666666666666</v>
      </c>
      <c r="AB4" s="1">
        <v>4.166666666666665E-2</v>
      </c>
      <c r="AC4" s="1">
        <v>0</v>
      </c>
      <c r="AD4" s="1">
        <v>0</v>
      </c>
      <c r="AE4" s="1">
        <v>4.166666666666665E-2</v>
      </c>
      <c r="AF4" s="1">
        <v>0.2916666666666668</v>
      </c>
      <c r="AG4" s="1">
        <v>1</v>
      </c>
      <c r="AH4" s="1">
        <v>24</v>
      </c>
      <c r="AI4" s="1">
        <v>1</v>
      </c>
      <c r="AJ4" s="1">
        <v>24.669699999999995</v>
      </c>
      <c r="AK4" s="1">
        <v>15.698899999999995</v>
      </c>
      <c r="AL4" s="1">
        <v>17.941599999999998</v>
      </c>
      <c r="AM4" s="1">
        <v>16.820249999999991</v>
      </c>
      <c r="AN4" s="1">
        <v>17.941599999999998</v>
      </c>
      <c r="AO4" s="1">
        <v>2.2426999999999997</v>
      </c>
      <c r="AP4" s="1">
        <v>8.9707999999999988</v>
      </c>
      <c r="AQ4" s="1">
        <v>0.63636363636363658</v>
      </c>
      <c r="AR4" s="1">
        <v>0.72727272727272707</v>
      </c>
      <c r="AS4" s="1">
        <v>0.68181818181818177</v>
      </c>
      <c r="AT4" s="1">
        <v>0.72727272727272707</v>
      </c>
      <c r="AU4" s="1">
        <v>9.0909090909090884E-2</v>
      </c>
      <c r="AV4" s="1">
        <v>0.36363636363636354</v>
      </c>
      <c r="AW4" s="1">
        <v>1</v>
      </c>
      <c r="AX4" s="1">
        <v>22</v>
      </c>
      <c r="AY4" s="1">
        <v>10</v>
      </c>
      <c r="AZ4" s="1">
        <v>9.9130434782608692</v>
      </c>
      <c r="BA4" s="1">
        <v>9.7826086956521738</v>
      </c>
      <c r="BB4" s="1">
        <v>0</v>
      </c>
      <c r="BC4" s="1">
        <v>0</v>
      </c>
      <c r="BD4" s="1">
        <v>0</v>
      </c>
      <c r="BE4" s="1">
        <v>0</v>
      </c>
      <c r="BF4" s="1">
        <v>0</v>
      </c>
      <c r="BG4" s="1">
        <v>0</v>
      </c>
      <c r="BH4" s="1">
        <v>0</v>
      </c>
      <c r="BI4" s="1">
        <v>0</v>
      </c>
      <c r="BJ4" s="1">
        <v>0</v>
      </c>
      <c r="BK4" s="1">
        <v>100</v>
      </c>
      <c r="BL4" s="1">
        <v>10.000000000000002</v>
      </c>
      <c r="BM4" s="1">
        <v>23</v>
      </c>
      <c r="BN4" s="1">
        <v>0</v>
      </c>
      <c r="BO4" s="1">
        <v>0</v>
      </c>
      <c r="BP4" s="1">
        <v>0</v>
      </c>
      <c r="BQ4" s="1">
        <v>0</v>
      </c>
      <c r="BR4" s="1">
        <v>0</v>
      </c>
      <c r="BS4" s="1">
        <v>0</v>
      </c>
      <c r="BT4" s="1">
        <v>0</v>
      </c>
      <c r="BU4" s="1">
        <v>4.3478260869565206</v>
      </c>
      <c r="BV4" s="1">
        <v>0</v>
      </c>
      <c r="BW4" s="1">
        <v>95.652173913043484</v>
      </c>
      <c r="BX4" s="1">
        <v>9.9130434782608745</v>
      </c>
      <c r="BY4" s="1">
        <v>23</v>
      </c>
      <c r="BZ4" s="1">
        <v>0</v>
      </c>
      <c r="CA4" s="1">
        <v>0</v>
      </c>
      <c r="CB4" s="1">
        <v>0</v>
      </c>
      <c r="CC4" s="1">
        <v>0</v>
      </c>
      <c r="CD4" s="1">
        <v>0</v>
      </c>
      <c r="CE4" s="1">
        <v>0</v>
      </c>
      <c r="CF4" s="1">
        <v>4.3478260869565206</v>
      </c>
      <c r="CG4" s="1">
        <v>4.3478260869565206</v>
      </c>
      <c r="CH4" s="1">
        <v>0</v>
      </c>
      <c r="CI4" s="1">
        <v>91.304347826086982</v>
      </c>
      <c r="CJ4" s="1">
        <v>9.7826086956521845</v>
      </c>
      <c r="CK4" s="1">
        <v>23</v>
      </c>
      <c r="CL4" s="1">
        <v>65.217391304347814</v>
      </c>
      <c r="CM4" s="1">
        <v>34.782608695652165</v>
      </c>
      <c r="CN4" s="1">
        <v>0</v>
      </c>
      <c r="CO4" s="1">
        <v>0</v>
      </c>
      <c r="CP4" s="1">
        <v>0</v>
      </c>
      <c r="CQ4" s="1">
        <v>23</v>
      </c>
      <c r="CR4" s="1">
        <v>78.260869565217433</v>
      </c>
      <c r="CS4" s="1">
        <v>21.73913043478262</v>
      </c>
      <c r="CT4" s="1">
        <v>0</v>
      </c>
      <c r="CU4" s="1">
        <v>0</v>
      </c>
      <c r="CV4" s="1">
        <v>0</v>
      </c>
      <c r="CW4" s="1">
        <v>23</v>
      </c>
      <c r="CX4" s="1">
        <v>95.652173913043484</v>
      </c>
      <c r="CY4" s="1">
        <v>4.3478260869565206</v>
      </c>
      <c r="CZ4" s="1">
        <v>0</v>
      </c>
      <c r="DA4" s="1">
        <v>0</v>
      </c>
      <c r="DB4" s="1">
        <v>0</v>
      </c>
      <c r="DC4" s="1">
        <v>23</v>
      </c>
      <c r="DD4" s="1">
        <v>95.652173913043484</v>
      </c>
      <c r="DE4" s="1">
        <v>4.3478260869565206</v>
      </c>
      <c r="DF4" s="1">
        <v>0</v>
      </c>
      <c r="DG4" s="1">
        <v>0</v>
      </c>
      <c r="DH4" s="1">
        <v>0</v>
      </c>
      <c r="DI4" s="1">
        <v>23</v>
      </c>
      <c r="DJ4" s="1">
        <v>78.260869565217433</v>
      </c>
      <c r="DK4" s="1">
        <v>17.391304347826082</v>
      </c>
      <c r="DL4" s="1">
        <v>0</v>
      </c>
      <c r="DM4" s="1">
        <v>4.3478260869565206</v>
      </c>
      <c r="DN4" s="1">
        <v>0</v>
      </c>
      <c r="DO4" s="1">
        <v>23</v>
      </c>
      <c r="DP4" s="1">
        <v>82.608695652173935</v>
      </c>
      <c r="DQ4" s="1">
        <v>17.391304347826082</v>
      </c>
      <c r="DR4" s="1">
        <v>0</v>
      </c>
      <c r="DS4" s="1">
        <v>0</v>
      </c>
      <c r="DT4" s="1">
        <v>0</v>
      </c>
      <c r="DU4" s="1">
        <v>23</v>
      </c>
      <c r="DV4" s="1">
        <v>83.333333333333314</v>
      </c>
      <c r="DW4" s="1">
        <v>16.666666666666682</v>
      </c>
      <c r="DX4" s="1">
        <v>0</v>
      </c>
      <c r="DY4" s="1">
        <v>0</v>
      </c>
      <c r="DZ4" s="1">
        <v>0</v>
      </c>
      <c r="EA4" s="1">
        <v>18</v>
      </c>
      <c r="EB4" s="1">
        <v>100</v>
      </c>
      <c r="EC4" s="1">
        <v>0</v>
      </c>
      <c r="ED4" s="1">
        <v>0</v>
      </c>
      <c r="EE4" s="1">
        <v>0</v>
      </c>
      <c r="EF4" s="1">
        <v>0</v>
      </c>
      <c r="EG4" s="1">
        <v>5</v>
      </c>
      <c r="EH4" s="1">
        <v>50</v>
      </c>
      <c r="EI4" s="1">
        <v>50</v>
      </c>
      <c r="EJ4" s="1">
        <v>0</v>
      </c>
      <c r="EK4" s="1">
        <v>0</v>
      </c>
      <c r="EL4" s="1">
        <v>0</v>
      </c>
      <c r="EM4" s="1">
        <v>4</v>
      </c>
      <c r="EN4" s="1">
        <v>50</v>
      </c>
      <c r="EO4" s="1">
        <v>37.5</v>
      </c>
      <c r="EP4" s="1">
        <v>12.500000000000002</v>
      </c>
      <c r="EQ4" s="1">
        <v>0</v>
      </c>
      <c r="ER4" s="1">
        <v>0</v>
      </c>
      <c r="ES4" s="1">
        <v>16</v>
      </c>
      <c r="ET4" s="1">
        <v>41.176470588235276</v>
      </c>
      <c r="EU4" s="1">
        <v>41.176470588235276</v>
      </c>
      <c r="EV4" s="1">
        <v>17.647058823529409</v>
      </c>
      <c r="EW4" s="1">
        <v>0</v>
      </c>
      <c r="EX4" s="1">
        <v>0</v>
      </c>
      <c r="EY4" s="1">
        <v>17</v>
      </c>
      <c r="EZ4" s="1">
        <v>66.666666666666686</v>
      </c>
      <c r="FA4" s="1">
        <v>33.333333333333364</v>
      </c>
      <c r="FB4" s="1">
        <v>0</v>
      </c>
      <c r="FC4" s="1">
        <v>0</v>
      </c>
      <c r="FD4" s="1">
        <v>0</v>
      </c>
      <c r="FE4" s="1">
        <v>12</v>
      </c>
      <c r="FF4" s="1">
        <v>62.5</v>
      </c>
      <c r="FG4" s="1">
        <v>12.500000000000002</v>
      </c>
      <c r="FH4" s="1">
        <v>25.000000000000004</v>
      </c>
      <c r="FI4" s="1">
        <v>0</v>
      </c>
      <c r="FJ4" s="1">
        <v>0</v>
      </c>
      <c r="FK4" s="1">
        <v>8</v>
      </c>
      <c r="FL4" s="1">
        <v>74.999999999999986</v>
      </c>
      <c r="FM4" s="1">
        <v>12.500000000000002</v>
      </c>
      <c r="FN4" s="1">
        <v>6.2500000000000009</v>
      </c>
      <c r="FO4" s="1">
        <v>6.2500000000000009</v>
      </c>
      <c r="FP4" s="1">
        <v>0</v>
      </c>
      <c r="FQ4" s="1">
        <v>16</v>
      </c>
      <c r="FR4" s="1">
        <v>99.999999999999986</v>
      </c>
      <c r="FS4" s="1">
        <v>0</v>
      </c>
      <c r="FT4" s="1">
        <v>0</v>
      </c>
      <c r="FU4" s="1">
        <v>0</v>
      </c>
      <c r="FV4" s="1">
        <v>0</v>
      </c>
      <c r="FW4" s="1">
        <v>11</v>
      </c>
      <c r="FX4" s="1">
        <v>100</v>
      </c>
      <c r="FY4" s="1">
        <v>0</v>
      </c>
      <c r="FZ4" s="1">
        <v>0</v>
      </c>
      <c r="GA4" s="1">
        <v>0</v>
      </c>
      <c r="GB4" s="1">
        <v>0</v>
      </c>
      <c r="GC4" s="1">
        <v>23</v>
      </c>
      <c r="GD4" s="1">
        <v>100</v>
      </c>
      <c r="GE4" s="1">
        <v>0</v>
      </c>
      <c r="GF4" s="1">
        <v>0</v>
      </c>
      <c r="GG4" s="1">
        <v>0</v>
      </c>
      <c r="GH4" s="1">
        <v>0</v>
      </c>
      <c r="GI4" s="1">
        <v>7</v>
      </c>
      <c r="GJ4" s="1">
        <v>87.5</v>
      </c>
      <c r="GK4" s="1">
        <v>12.500000000000002</v>
      </c>
      <c r="GL4" s="1">
        <v>0</v>
      </c>
      <c r="GM4" s="1">
        <v>0</v>
      </c>
      <c r="GN4" s="1">
        <v>0</v>
      </c>
      <c r="GO4" s="1">
        <v>8</v>
      </c>
      <c r="GP4" s="1">
        <v>76.47058823529413</v>
      </c>
      <c r="GQ4" s="1">
        <v>23.529411764705895</v>
      </c>
      <c r="GR4" s="1">
        <v>0</v>
      </c>
      <c r="GS4" s="1">
        <v>0</v>
      </c>
      <c r="GT4" s="1">
        <v>0</v>
      </c>
      <c r="GU4" s="1">
        <v>17</v>
      </c>
      <c r="GV4" s="1">
        <v>83.333333333333314</v>
      </c>
      <c r="GW4" s="1">
        <v>16.666666666666682</v>
      </c>
      <c r="GX4" s="1">
        <v>0</v>
      </c>
      <c r="GY4" s="1">
        <v>0</v>
      </c>
      <c r="GZ4" s="1">
        <v>0</v>
      </c>
      <c r="HA4" s="1">
        <v>18</v>
      </c>
      <c r="HB4" s="1">
        <v>100</v>
      </c>
      <c r="HC4" s="1">
        <v>0</v>
      </c>
      <c r="HD4" s="1">
        <v>0</v>
      </c>
      <c r="HE4" s="1">
        <v>0</v>
      </c>
      <c r="HF4" s="1">
        <v>0</v>
      </c>
      <c r="HG4" s="1">
        <v>2</v>
      </c>
      <c r="HH4" s="1">
        <v>100</v>
      </c>
      <c r="HI4" s="1">
        <v>0</v>
      </c>
      <c r="HJ4" s="1">
        <v>0</v>
      </c>
      <c r="HK4" s="1">
        <v>0</v>
      </c>
      <c r="HL4" s="1">
        <v>0</v>
      </c>
      <c r="HM4" s="1">
        <v>1</v>
      </c>
      <c r="HN4" s="1">
        <v>0</v>
      </c>
      <c r="HO4" s="1">
        <v>0</v>
      </c>
      <c r="HP4" s="1">
        <v>0</v>
      </c>
      <c r="HQ4" s="1">
        <v>0</v>
      </c>
      <c r="HR4" s="1">
        <v>0</v>
      </c>
      <c r="HS4" s="1">
        <v>0</v>
      </c>
      <c r="HT4" s="1">
        <v>0</v>
      </c>
      <c r="HU4" s="1">
        <v>0</v>
      </c>
      <c r="HV4" s="1">
        <v>0</v>
      </c>
      <c r="HW4" s="1">
        <v>0</v>
      </c>
      <c r="HX4" s="1">
        <v>0</v>
      </c>
      <c r="HY4" s="1">
        <v>0</v>
      </c>
      <c r="HZ4" s="1">
        <v>0</v>
      </c>
      <c r="IA4" s="1">
        <v>0</v>
      </c>
      <c r="IB4" s="1">
        <v>0</v>
      </c>
      <c r="IC4" s="1">
        <v>0</v>
      </c>
      <c r="ID4" s="1">
        <v>0</v>
      </c>
      <c r="IE4" s="1">
        <v>0</v>
      </c>
      <c r="IF4" s="1">
        <v>9.625</v>
      </c>
      <c r="IG4" s="1">
        <v>0</v>
      </c>
      <c r="IH4" s="1">
        <v>0</v>
      </c>
      <c r="II4" s="1">
        <v>0</v>
      </c>
      <c r="IJ4" s="1">
        <v>0</v>
      </c>
      <c r="IK4" s="1">
        <v>0</v>
      </c>
      <c r="IL4" s="1">
        <v>0</v>
      </c>
      <c r="IM4" s="1">
        <v>0</v>
      </c>
      <c r="IN4" s="1">
        <v>8.333333333333341</v>
      </c>
      <c r="IO4" s="1">
        <v>20.833333333333329</v>
      </c>
      <c r="IP4" s="1">
        <v>70.833333333333314</v>
      </c>
      <c r="IQ4" s="1">
        <v>9.6250000000000018</v>
      </c>
      <c r="IR4" s="1">
        <v>24</v>
      </c>
      <c r="IS4" s="1">
        <v>45.833333333333343</v>
      </c>
      <c r="IT4" s="1">
        <v>16.666666666666682</v>
      </c>
      <c r="IU4" s="1">
        <v>20.833333333333329</v>
      </c>
      <c r="IV4" s="1">
        <v>0</v>
      </c>
      <c r="IW4" s="1">
        <v>16.666666666666682</v>
      </c>
      <c r="IX4" s="1">
        <v>24</v>
      </c>
      <c r="IY4" s="1">
        <v>1</v>
      </c>
      <c r="IZ4" s="1">
        <v>26.912400000000005</v>
      </c>
      <c r="JA4" s="1">
        <v>13.456200000000003</v>
      </c>
      <c r="JB4" s="1">
        <v>4.4853999999999994</v>
      </c>
      <c r="JC4" s="1">
        <v>2.2426999999999997</v>
      </c>
      <c r="JD4" s="1">
        <v>8.9707999999999988</v>
      </c>
      <c r="JE4" s="1">
        <v>0.5</v>
      </c>
      <c r="JF4" s="1">
        <v>0.1666666666666666</v>
      </c>
      <c r="JG4" s="1">
        <v>8.3333333333333301E-2</v>
      </c>
      <c r="JH4" s="1">
        <v>0.3333333333333332</v>
      </c>
      <c r="JI4" s="1">
        <v>1</v>
      </c>
      <c r="JJ4" s="1">
        <v>24</v>
      </c>
      <c r="JK4" s="1">
        <v>4.333333333333333</v>
      </c>
      <c r="JL4" s="1">
        <v>4.333333333333333</v>
      </c>
      <c r="JM4" s="1">
        <v>24</v>
      </c>
      <c r="JN4" s="1">
        <v>100</v>
      </c>
      <c r="JO4" s="1">
        <v>0</v>
      </c>
      <c r="JP4" s="1">
        <v>13</v>
      </c>
      <c r="JQ4" s="1">
        <v>100</v>
      </c>
      <c r="JR4" s="1">
        <v>0</v>
      </c>
      <c r="JS4" s="1">
        <v>14</v>
      </c>
      <c r="JT4" s="1">
        <v>100</v>
      </c>
      <c r="JU4" s="1">
        <v>0</v>
      </c>
      <c r="JV4" s="1">
        <v>19</v>
      </c>
      <c r="JW4" s="1">
        <v>100</v>
      </c>
      <c r="JX4" s="1">
        <v>0</v>
      </c>
      <c r="JY4" s="1">
        <v>19</v>
      </c>
      <c r="JZ4" s="1">
        <v>58.333333333333321</v>
      </c>
      <c r="KA4" s="1">
        <v>41.666666666666657</v>
      </c>
      <c r="KB4" s="1">
        <v>24</v>
      </c>
      <c r="KC4" s="1">
        <v>100</v>
      </c>
      <c r="KD4" s="1">
        <v>0</v>
      </c>
      <c r="KE4" s="1">
        <v>23</v>
      </c>
      <c r="KF4" s="1">
        <v>2.8636363636363638</v>
      </c>
      <c r="KG4" s="1">
        <v>9.0909090909090935</v>
      </c>
      <c r="KH4" s="1">
        <v>36.363636363636367</v>
      </c>
      <c r="KI4" s="1">
        <v>27.272727272727263</v>
      </c>
      <c r="KJ4" s="1">
        <v>13.636363636363633</v>
      </c>
      <c r="KK4" s="1">
        <v>13.636363636363633</v>
      </c>
      <c r="KL4" s="1">
        <v>22</v>
      </c>
      <c r="KM4" s="1">
        <v>50.545454545454533</v>
      </c>
      <c r="KN4" s="1">
        <v>62.666666666666664</v>
      </c>
      <c r="KO4" s="1">
        <v>0</v>
      </c>
      <c r="KP4" s="1">
        <v>0</v>
      </c>
      <c r="KQ4" s="1">
        <v>66.666666666666686</v>
      </c>
      <c r="KR4" s="1">
        <v>0</v>
      </c>
      <c r="KS4" s="1">
        <v>33.333333333333343</v>
      </c>
      <c r="KT4" s="1">
        <v>3</v>
      </c>
      <c r="KU4" s="1">
        <v>4.1666666666666705</v>
      </c>
      <c r="KV4" s="1">
        <v>4.1666666666666705</v>
      </c>
      <c r="KW4" s="1">
        <v>0</v>
      </c>
      <c r="KX4" s="1">
        <v>91.666666666666686</v>
      </c>
      <c r="KY4" s="1">
        <v>0</v>
      </c>
      <c r="KZ4" s="1">
        <v>24</v>
      </c>
      <c r="LA4" s="1">
        <v>12.500000000000002</v>
      </c>
      <c r="LB4" s="1">
        <v>87.5</v>
      </c>
      <c r="LC4" s="1">
        <v>24</v>
      </c>
      <c r="LD4" s="1">
        <v>0</v>
      </c>
      <c r="LE4" s="1">
        <v>0</v>
      </c>
      <c r="LF4" s="1">
        <v>100</v>
      </c>
      <c r="LG4" s="1">
        <v>3</v>
      </c>
    </row>
    <row r="5" spans="1:320" x14ac:dyDescent="0.25">
      <c r="A5" s="1">
        <v>8</v>
      </c>
      <c r="B5" s="1">
        <v>13.207547169811297</v>
      </c>
      <c r="C5" s="1">
        <v>86.792452830188495</v>
      </c>
      <c r="D5" s="1">
        <v>53</v>
      </c>
      <c r="E5" s="1">
        <v>77.777777777777814</v>
      </c>
      <c r="F5" s="1">
        <v>22.2222222222222</v>
      </c>
      <c r="G5" s="1">
        <v>45</v>
      </c>
      <c r="H5" s="1">
        <v>49.999999999999993</v>
      </c>
      <c r="I5" s="1">
        <v>49.999999999999993</v>
      </c>
      <c r="J5" s="1">
        <v>34</v>
      </c>
      <c r="K5" s="1">
        <v>1</v>
      </c>
      <c r="L5" s="1">
        <v>33.462610000000033</v>
      </c>
      <c r="M5" s="1">
        <v>5.050959999999991</v>
      </c>
      <c r="N5" s="1">
        <v>6.9450699999999905</v>
      </c>
      <c r="O5" s="1">
        <v>10.101919999999982</v>
      </c>
      <c r="P5" s="1">
        <v>1.8941100000000017</v>
      </c>
      <c r="Q5" s="1">
        <v>11.996030000000017</v>
      </c>
      <c r="R5" s="1">
        <v>1.8941100000000017</v>
      </c>
      <c r="S5" s="1">
        <v>0.63136999999999888</v>
      </c>
      <c r="T5" s="1">
        <v>2.5254799999999955</v>
      </c>
      <c r="U5" s="1">
        <v>3.7882200000000035</v>
      </c>
      <c r="V5" s="1">
        <v>3.156849999999999</v>
      </c>
      <c r="W5" s="1">
        <v>0.15094339622641503</v>
      </c>
      <c r="X5" s="1">
        <v>0.20754716981132051</v>
      </c>
      <c r="Y5" s="1">
        <v>0.30188679245283018</v>
      </c>
      <c r="Z5" s="1">
        <v>5.6603773584905516E-2</v>
      </c>
      <c r="AA5" s="1">
        <v>0.35849056603773644</v>
      </c>
      <c r="AB5" s="1">
        <v>5.6603773584905516E-2</v>
      </c>
      <c r="AC5" s="1">
        <v>1.8867924528301879E-2</v>
      </c>
      <c r="AD5" s="1">
        <v>7.5471698113207517E-2</v>
      </c>
      <c r="AE5" s="1">
        <v>0.11320754716981103</v>
      </c>
      <c r="AF5" s="1">
        <v>9.4339622641509482E-2</v>
      </c>
      <c r="AG5" s="1">
        <v>1</v>
      </c>
      <c r="AH5" s="1">
        <v>53</v>
      </c>
      <c r="AI5" s="1">
        <v>1</v>
      </c>
      <c r="AJ5" s="1">
        <v>32.199869999999962</v>
      </c>
      <c r="AK5" s="1">
        <v>27.148910000000033</v>
      </c>
      <c r="AL5" s="1">
        <v>25.886170000000025</v>
      </c>
      <c r="AM5" s="1">
        <v>17.67836000000004</v>
      </c>
      <c r="AN5" s="1">
        <v>20.203839999999964</v>
      </c>
      <c r="AO5" s="1">
        <v>5.050959999999991</v>
      </c>
      <c r="AP5" s="1">
        <v>1.8941100000000017</v>
      </c>
      <c r="AQ5" s="1">
        <v>0.84313725490196123</v>
      </c>
      <c r="AR5" s="1">
        <v>0.80392156862745068</v>
      </c>
      <c r="AS5" s="1">
        <v>0.54901960784313708</v>
      </c>
      <c r="AT5" s="1">
        <v>0.62745098039215619</v>
      </c>
      <c r="AU5" s="1">
        <v>0.15686274509803905</v>
      </c>
      <c r="AV5" s="1">
        <v>5.8823529411764573E-2</v>
      </c>
      <c r="AW5" s="1">
        <v>1</v>
      </c>
      <c r="AX5" s="1">
        <v>51</v>
      </c>
      <c r="AY5" s="1">
        <v>9.8431372549019613</v>
      </c>
      <c r="AZ5" s="1">
        <v>9.9215686274509807</v>
      </c>
      <c r="BA5" s="1">
        <v>9.9166666666666661</v>
      </c>
      <c r="BB5" s="1">
        <v>0</v>
      </c>
      <c r="BC5" s="1">
        <v>0</v>
      </c>
      <c r="BD5" s="1">
        <v>0</v>
      </c>
      <c r="BE5" s="1">
        <v>0</v>
      </c>
      <c r="BF5" s="1">
        <v>0</v>
      </c>
      <c r="BG5" s="1">
        <v>0</v>
      </c>
      <c r="BH5" s="1">
        <v>0</v>
      </c>
      <c r="BI5" s="1">
        <v>5.8823529411764648</v>
      </c>
      <c r="BJ5" s="1">
        <v>3.9215686274509789</v>
      </c>
      <c r="BK5" s="1">
        <v>90.196078431372428</v>
      </c>
      <c r="BL5" s="1">
        <v>9.8431372549019649</v>
      </c>
      <c r="BM5" s="1">
        <v>51</v>
      </c>
      <c r="BN5" s="1">
        <v>0</v>
      </c>
      <c r="BO5" s="1">
        <v>0</v>
      </c>
      <c r="BP5" s="1">
        <v>0</v>
      </c>
      <c r="BQ5" s="1">
        <v>0</v>
      </c>
      <c r="BR5" s="1">
        <v>0</v>
      </c>
      <c r="BS5" s="1">
        <v>0</v>
      </c>
      <c r="BT5" s="1">
        <v>0</v>
      </c>
      <c r="BU5" s="1">
        <v>1.9607843137254894</v>
      </c>
      <c r="BV5" s="1">
        <v>3.9215686274509789</v>
      </c>
      <c r="BW5" s="1">
        <v>94.117647058823437</v>
      </c>
      <c r="BX5" s="1">
        <v>9.9215686274509629</v>
      </c>
      <c r="BY5" s="1">
        <v>51</v>
      </c>
      <c r="BZ5" s="1">
        <v>0</v>
      </c>
      <c r="CA5" s="1">
        <v>0</v>
      </c>
      <c r="CB5" s="1">
        <v>0</v>
      </c>
      <c r="CC5" s="1">
        <v>0</v>
      </c>
      <c r="CD5" s="1">
        <v>0</v>
      </c>
      <c r="CE5" s="1">
        <v>0</v>
      </c>
      <c r="CF5" s="1">
        <v>0</v>
      </c>
      <c r="CG5" s="1">
        <v>2.0833333333333335</v>
      </c>
      <c r="CH5" s="1">
        <v>4.166666666666667</v>
      </c>
      <c r="CI5" s="1">
        <v>93.75</v>
      </c>
      <c r="CJ5" s="1">
        <v>9.9166666666666536</v>
      </c>
      <c r="CK5" s="1">
        <v>48</v>
      </c>
      <c r="CL5" s="1">
        <v>37.254901960784224</v>
      </c>
      <c r="CM5" s="1">
        <v>54.901960784313786</v>
      </c>
      <c r="CN5" s="1">
        <v>3.9215686274509789</v>
      </c>
      <c r="CO5" s="1">
        <v>3.9215686274509789</v>
      </c>
      <c r="CP5" s="1">
        <v>0</v>
      </c>
      <c r="CQ5" s="1">
        <v>51</v>
      </c>
      <c r="CR5" s="1">
        <v>66.037735849056602</v>
      </c>
      <c r="CS5" s="1">
        <v>28.301886792452887</v>
      </c>
      <c r="CT5" s="1">
        <v>1.8867924528301869</v>
      </c>
      <c r="CU5" s="1">
        <v>3.7735849056603739</v>
      </c>
      <c r="CV5" s="1">
        <v>0</v>
      </c>
      <c r="CW5" s="1">
        <v>53</v>
      </c>
      <c r="CX5" s="1">
        <v>60.784313725490314</v>
      </c>
      <c r="CY5" s="1">
        <v>23.529411764705859</v>
      </c>
      <c r="CZ5" s="1">
        <v>13.725490196078436</v>
      </c>
      <c r="DA5" s="1">
        <v>1.9607843137254894</v>
      </c>
      <c r="DB5" s="1">
        <v>0</v>
      </c>
      <c r="DC5" s="1">
        <v>51</v>
      </c>
      <c r="DD5" s="1">
        <v>75.471698113207609</v>
      </c>
      <c r="DE5" s="1">
        <v>22.641509433962259</v>
      </c>
      <c r="DF5" s="1">
        <v>1.8867924528301869</v>
      </c>
      <c r="DG5" s="1">
        <v>0</v>
      </c>
      <c r="DH5" s="1">
        <v>0</v>
      </c>
      <c r="DI5" s="1">
        <v>53</v>
      </c>
      <c r="DJ5" s="1">
        <v>52.5</v>
      </c>
      <c r="DK5" s="1">
        <v>34.999999999999993</v>
      </c>
      <c r="DL5" s="1">
        <v>7.4999999999999991</v>
      </c>
      <c r="DM5" s="1">
        <v>4.9999999999999991</v>
      </c>
      <c r="DN5" s="1">
        <v>0</v>
      </c>
      <c r="DO5" s="1">
        <v>40</v>
      </c>
      <c r="DP5" s="1">
        <v>90.566037735849036</v>
      </c>
      <c r="DQ5" s="1">
        <v>7.5471698113207477</v>
      </c>
      <c r="DR5" s="1">
        <v>0</v>
      </c>
      <c r="DS5" s="1">
        <v>1.8867924528301869</v>
      </c>
      <c r="DT5" s="1">
        <v>0</v>
      </c>
      <c r="DU5" s="1">
        <v>53</v>
      </c>
      <c r="DV5" s="1">
        <v>70.45454545454534</v>
      </c>
      <c r="DW5" s="1">
        <v>22.727272727272744</v>
      </c>
      <c r="DX5" s="1">
        <v>4.5454545454545467</v>
      </c>
      <c r="DY5" s="1">
        <v>2.2727272727272734</v>
      </c>
      <c r="DZ5" s="1">
        <v>0</v>
      </c>
      <c r="EA5" s="1">
        <v>44</v>
      </c>
      <c r="EB5" s="1">
        <v>85.714285714285552</v>
      </c>
      <c r="EC5" s="1">
        <v>14.285714285714288</v>
      </c>
      <c r="ED5" s="1">
        <v>0</v>
      </c>
      <c r="EE5" s="1">
        <v>0</v>
      </c>
      <c r="EF5" s="1">
        <v>0</v>
      </c>
      <c r="EG5" s="1">
        <v>14</v>
      </c>
      <c r="EH5" s="1">
        <v>72.727272727272762</v>
      </c>
      <c r="EI5" s="1">
        <v>27.272727272727291</v>
      </c>
      <c r="EJ5" s="1">
        <v>0</v>
      </c>
      <c r="EK5" s="1">
        <v>0</v>
      </c>
      <c r="EL5" s="1">
        <v>0</v>
      </c>
      <c r="EM5" s="1">
        <v>11</v>
      </c>
      <c r="EN5" s="1">
        <v>35.714285714285751</v>
      </c>
      <c r="EO5" s="1">
        <v>57.142857142857153</v>
      </c>
      <c r="EP5" s="1">
        <v>7.1428571428571441</v>
      </c>
      <c r="EQ5" s="1">
        <v>0</v>
      </c>
      <c r="ER5" s="1">
        <v>0</v>
      </c>
      <c r="ES5" s="1">
        <v>28</v>
      </c>
      <c r="ET5" s="1">
        <v>49.999999999999993</v>
      </c>
      <c r="EU5" s="1">
        <v>39.999999999999993</v>
      </c>
      <c r="EV5" s="1">
        <v>9.9999999999999982</v>
      </c>
      <c r="EW5" s="1">
        <v>0</v>
      </c>
      <c r="EX5" s="1">
        <v>0</v>
      </c>
      <c r="EY5" s="1">
        <v>30</v>
      </c>
      <c r="EZ5" s="1">
        <v>43.749999999999993</v>
      </c>
      <c r="FA5" s="1">
        <v>31.249999999999996</v>
      </c>
      <c r="FB5" s="1">
        <v>24.999999999999996</v>
      </c>
      <c r="FC5" s="1">
        <v>0</v>
      </c>
      <c r="FD5" s="1">
        <v>0</v>
      </c>
      <c r="FE5" s="1">
        <v>16</v>
      </c>
      <c r="FF5" s="1">
        <v>46.666666666666615</v>
      </c>
      <c r="FG5" s="1">
        <v>33.333333333333357</v>
      </c>
      <c r="FH5" s="1">
        <v>13.33333333333333</v>
      </c>
      <c r="FI5" s="1">
        <v>6.6666666666666652</v>
      </c>
      <c r="FJ5" s="1">
        <v>0</v>
      </c>
      <c r="FK5" s="1">
        <v>15</v>
      </c>
      <c r="FL5" s="1">
        <v>35.294117647058862</v>
      </c>
      <c r="FM5" s="1">
        <v>41.176470588235233</v>
      </c>
      <c r="FN5" s="1">
        <v>23.529411764705859</v>
      </c>
      <c r="FO5" s="1">
        <v>0</v>
      </c>
      <c r="FP5" s="1">
        <v>0</v>
      </c>
      <c r="FQ5" s="1">
        <v>17</v>
      </c>
      <c r="FR5" s="1">
        <v>59.999999999999993</v>
      </c>
      <c r="FS5" s="1">
        <v>19.999999999999996</v>
      </c>
      <c r="FT5" s="1">
        <v>9.9999999999999982</v>
      </c>
      <c r="FU5" s="1">
        <v>9.9999999999999982</v>
      </c>
      <c r="FV5" s="1">
        <v>0</v>
      </c>
      <c r="FW5" s="1">
        <v>10</v>
      </c>
      <c r="FX5" s="1">
        <v>92.307692307692363</v>
      </c>
      <c r="FY5" s="1">
        <v>5.7692307692307709</v>
      </c>
      <c r="FZ5" s="1">
        <v>0</v>
      </c>
      <c r="GA5" s="1">
        <v>1.9230769230769242</v>
      </c>
      <c r="GB5" s="1">
        <v>0</v>
      </c>
      <c r="GC5" s="1">
        <v>52</v>
      </c>
      <c r="GD5" s="1">
        <v>85.714285714285552</v>
      </c>
      <c r="GE5" s="1">
        <v>14.285714285714288</v>
      </c>
      <c r="GF5" s="1">
        <v>0</v>
      </c>
      <c r="GG5" s="1">
        <v>0</v>
      </c>
      <c r="GH5" s="1">
        <v>0</v>
      </c>
      <c r="GI5" s="1">
        <v>21</v>
      </c>
      <c r="GJ5" s="1">
        <v>81.818181818181927</v>
      </c>
      <c r="GK5" s="1">
        <v>18.181818181818187</v>
      </c>
      <c r="GL5" s="1">
        <v>0</v>
      </c>
      <c r="GM5" s="1">
        <v>0</v>
      </c>
      <c r="GN5" s="1">
        <v>0</v>
      </c>
      <c r="GO5" s="1">
        <v>22</v>
      </c>
      <c r="GP5" s="1">
        <v>69.444444444444358</v>
      </c>
      <c r="GQ5" s="1">
        <v>22.222222222222186</v>
      </c>
      <c r="GR5" s="1">
        <v>2.7777777777777732</v>
      </c>
      <c r="GS5" s="1">
        <v>2.7777777777777732</v>
      </c>
      <c r="GT5" s="1">
        <v>2.7777777777777732</v>
      </c>
      <c r="GU5" s="1">
        <v>36</v>
      </c>
      <c r="GV5" s="1">
        <v>88.571428571428498</v>
      </c>
      <c r="GW5" s="1">
        <v>2.8571428571428594</v>
      </c>
      <c r="GX5" s="1">
        <v>2.8571428571428594</v>
      </c>
      <c r="GY5" s="1">
        <v>2.8571428571428594</v>
      </c>
      <c r="GZ5" s="1">
        <v>2.8571428571428594</v>
      </c>
      <c r="HA5" s="1">
        <v>35</v>
      </c>
      <c r="HB5" s="1">
        <v>83.333333333333229</v>
      </c>
      <c r="HC5" s="1">
        <v>16.666666666666679</v>
      </c>
      <c r="HD5" s="1">
        <v>0</v>
      </c>
      <c r="HE5" s="1">
        <v>0</v>
      </c>
      <c r="HF5" s="1">
        <v>0</v>
      </c>
      <c r="HG5" s="1">
        <v>18</v>
      </c>
      <c r="HH5" s="1">
        <v>69.999999999999986</v>
      </c>
      <c r="HI5" s="1">
        <v>29.999999999999996</v>
      </c>
      <c r="HJ5" s="1">
        <v>0</v>
      </c>
      <c r="HK5" s="1">
        <v>0</v>
      </c>
      <c r="HL5" s="1">
        <v>0</v>
      </c>
      <c r="HM5" s="1">
        <v>10</v>
      </c>
      <c r="HN5" s="1">
        <v>0</v>
      </c>
      <c r="HO5" s="1">
        <v>0</v>
      </c>
      <c r="HP5" s="1">
        <v>0</v>
      </c>
      <c r="HQ5" s="1">
        <v>0</v>
      </c>
      <c r="HR5" s="1">
        <v>0</v>
      </c>
      <c r="HS5" s="1">
        <v>0</v>
      </c>
      <c r="HT5" s="1">
        <v>0</v>
      </c>
      <c r="HU5" s="1">
        <v>0</v>
      </c>
      <c r="HV5" s="1">
        <v>0</v>
      </c>
      <c r="HW5" s="1">
        <v>0</v>
      </c>
      <c r="HX5" s="1">
        <v>0</v>
      </c>
      <c r="HY5" s="1">
        <v>0</v>
      </c>
      <c r="HZ5" s="1">
        <v>0</v>
      </c>
      <c r="IA5" s="1">
        <v>0</v>
      </c>
      <c r="IB5" s="1">
        <v>0</v>
      </c>
      <c r="IC5" s="1">
        <v>0</v>
      </c>
      <c r="ID5" s="1">
        <v>0</v>
      </c>
      <c r="IE5" s="1">
        <v>0</v>
      </c>
      <c r="IF5" s="1">
        <v>9.2200000000000006</v>
      </c>
      <c r="IG5" s="1">
        <v>0</v>
      </c>
      <c r="IH5" s="1">
        <v>0</v>
      </c>
      <c r="II5" s="1">
        <v>0</v>
      </c>
      <c r="IJ5" s="1">
        <v>0</v>
      </c>
      <c r="IK5" s="1">
        <v>0</v>
      </c>
      <c r="IL5" s="1">
        <v>0</v>
      </c>
      <c r="IM5" s="1">
        <v>3.9999999999999996</v>
      </c>
      <c r="IN5" s="1">
        <v>17.999999999999996</v>
      </c>
      <c r="IO5" s="1">
        <v>29.999999999999996</v>
      </c>
      <c r="IP5" s="1">
        <v>47.999999999999993</v>
      </c>
      <c r="IQ5" s="1">
        <v>9.2200000000000006</v>
      </c>
      <c r="IR5" s="1">
        <v>50</v>
      </c>
      <c r="IS5" s="1">
        <v>66.037735849056602</v>
      </c>
      <c r="IT5" s="1">
        <v>22.641509433962259</v>
      </c>
      <c r="IU5" s="1">
        <v>5.6603773584905639</v>
      </c>
      <c r="IV5" s="1">
        <v>1.8867924528301869</v>
      </c>
      <c r="IW5" s="1">
        <v>3.7735849056603739</v>
      </c>
      <c r="IX5" s="1">
        <v>53</v>
      </c>
      <c r="IY5" s="1">
        <v>1</v>
      </c>
      <c r="IZ5" s="1">
        <v>33.462610000000033</v>
      </c>
      <c r="JA5" s="1">
        <v>15.152880000000014</v>
      </c>
      <c r="JB5" s="1">
        <v>10.101919999999982</v>
      </c>
      <c r="JC5" s="1">
        <v>3.156849999999999</v>
      </c>
      <c r="JD5" s="1">
        <v>6.9450699999999905</v>
      </c>
      <c r="JE5" s="1">
        <v>0.45283018867924552</v>
      </c>
      <c r="JF5" s="1">
        <v>0.30188679245283018</v>
      </c>
      <c r="JG5" s="1">
        <v>9.4339622641509482E-2</v>
      </c>
      <c r="JH5" s="1">
        <v>0.20754716981132051</v>
      </c>
      <c r="JI5" s="1">
        <v>1</v>
      </c>
      <c r="JJ5" s="1">
        <v>53</v>
      </c>
      <c r="JK5" s="1">
        <v>3.1372549019607843</v>
      </c>
      <c r="JL5" s="1">
        <v>3.1372549019607781</v>
      </c>
      <c r="JM5" s="1">
        <v>51</v>
      </c>
      <c r="JN5" s="1">
        <v>100</v>
      </c>
      <c r="JO5" s="1">
        <v>0</v>
      </c>
      <c r="JP5" s="1">
        <v>22</v>
      </c>
      <c r="JQ5" s="1">
        <v>100</v>
      </c>
      <c r="JR5" s="1">
        <v>0</v>
      </c>
      <c r="JS5" s="1">
        <v>31</v>
      </c>
      <c r="JT5" s="1">
        <v>97.727272727272748</v>
      </c>
      <c r="JU5" s="1">
        <v>2.2727272727272734</v>
      </c>
      <c r="JV5" s="1">
        <v>44</v>
      </c>
      <c r="JW5" s="1">
        <v>89.285714285714448</v>
      </c>
      <c r="JX5" s="1">
        <v>10.714285714285694</v>
      </c>
      <c r="JY5" s="1">
        <v>28</v>
      </c>
      <c r="JZ5" s="1">
        <v>33.333333333333357</v>
      </c>
      <c r="KA5" s="1">
        <v>66.666666666666714</v>
      </c>
      <c r="KB5" s="1">
        <v>45</v>
      </c>
      <c r="KC5" s="1">
        <v>87.804878048780608</v>
      </c>
      <c r="KD5" s="1">
        <v>12.195121951219534</v>
      </c>
      <c r="KE5" s="1">
        <v>41</v>
      </c>
      <c r="KF5" s="1">
        <v>3.1025641025641026</v>
      </c>
      <c r="KG5" s="1">
        <v>2.5641025641025674</v>
      </c>
      <c r="KH5" s="1">
        <v>25.641025641025603</v>
      </c>
      <c r="KI5" s="1">
        <v>35.897435897435912</v>
      </c>
      <c r="KJ5" s="1">
        <v>30.769230769230788</v>
      </c>
      <c r="KK5" s="1">
        <v>5.1282051282051349</v>
      </c>
      <c r="KL5" s="1">
        <v>39</v>
      </c>
      <c r="KM5" s="1">
        <v>54.820512820512732</v>
      </c>
      <c r="KN5" s="1">
        <v>19</v>
      </c>
      <c r="KO5" s="1">
        <v>0</v>
      </c>
      <c r="KP5" s="1">
        <v>0</v>
      </c>
      <c r="KQ5" s="1">
        <v>100</v>
      </c>
      <c r="KR5" s="1">
        <v>0</v>
      </c>
      <c r="KS5" s="1">
        <v>0</v>
      </c>
      <c r="KT5" s="1">
        <v>1</v>
      </c>
      <c r="KU5" s="1">
        <v>0</v>
      </c>
      <c r="KV5" s="1">
        <v>0</v>
      </c>
      <c r="KW5" s="1">
        <v>0</v>
      </c>
      <c r="KX5" s="1">
        <v>97.674418604650981</v>
      </c>
      <c r="KY5" s="1">
        <v>2.32558139534884</v>
      </c>
      <c r="KZ5" s="1">
        <v>43</v>
      </c>
      <c r="LA5" s="1">
        <v>16.279069767441818</v>
      </c>
      <c r="LB5" s="1">
        <v>83.720930232558189</v>
      </c>
      <c r="LC5" s="1">
        <v>43</v>
      </c>
      <c r="LD5" s="1">
        <v>0</v>
      </c>
      <c r="LE5" s="1">
        <v>14.28571428571429</v>
      </c>
      <c r="LF5" s="1">
        <v>85.714285714285708</v>
      </c>
      <c r="LG5" s="1">
        <v>7</v>
      </c>
    </row>
    <row r="6" spans="1:320" x14ac:dyDescent="0.25">
      <c r="A6" s="1">
        <v>10</v>
      </c>
      <c r="B6" s="1">
        <v>12.244897959183664</v>
      </c>
      <c r="C6" s="1">
        <v>87.75510204081634</v>
      </c>
      <c r="D6" s="1">
        <v>49</v>
      </c>
      <c r="E6" s="1">
        <v>53.488372093023216</v>
      </c>
      <c r="F6" s="1">
        <v>46.511627906976692</v>
      </c>
      <c r="G6" s="1">
        <v>43</v>
      </c>
      <c r="H6" s="1">
        <v>60.869565217391312</v>
      </c>
      <c r="I6" s="1">
        <v>39.130434782608724</v>
      </c>
      <c r="J6" s="1">
        <v>23</v>
      </c>
      <c r="K6" s="1">
        <v>1</v>
      </c>
      <c r="L6" s="1">
        <v>23.381330000000013</v>
      </c>
      <c r="M6" s="1">
        <v>4.2945300000000026</v>
      </c>
      <c r="N6" s="1">
        <v>3.3401900000000038</v>
      </c>
      <c r="O6" s="1">
        <v>9.0662300000000062</v>
      </c>
      <c r="P6" s="1">
        <v>0</v>
      </c>
      <c r="Q6" s="1">
        <v>6.2032100000000066</v>
      </c>
      <c r="R6" s="1">
        <v>0.47717000000000004</v>
      </c>
      <c r="S6" s="1">
        <v>0.47717000000000004</v>
      </c>
      <c r="T6" s="1">
        <v>2.3858500000000018</v>
      </c>
      <c r="U6" s="1">
        <v>1.4315100000000012</v>
      </c>
      <c r="V6" s="1">
        <v>3.3401900000000038</v>
      </c>
      <c r="W6" s="1">
        <v>0.18367346938775517</v>
      </c>
      <c r="X6" s="1">
        <v>0.14285714285714299</v>
      </c>
      <c r="Y6" s="1">
        <v>0.38775510204081659</v>
      </c>
      <c r="Z6" s="1">
        <v>0</v>
      </c>
      <c r="AA6" s="1">
        <v>0.26530612244897961</v>
      </c>
      <c r="AB6" s="1">
        <v>2.0408163265306135E-2</v>
      </c>
      <c r="AC6" s="1">
        <v>2.0408163265306135E-2</v>
      </c>
      <c r="AD6" s="1">
        <v>0.10204081632653052</v>
      </c>
      <c r="AE6" s="1">
        <v>6.1224489795918324E-2</v>
      </c>
      <c r="AF6" s="1">
        <v>0.14285714285714299</v>
      </c>
      <c r="AG6" s="1">
        <v>1</v>
      </c>
      <c r="AH6" s="1">
        <v>49</v>
      </c>
      <c r="AI6" s="1">
        <v>1</v>
      </c>
      <c r="AJ6" s="1">
        <v>22.426990000000011</v>
      </c>
      <c r="AK6" s="1">
        <v>15.746609999999997</v>
      </c>
      <c r="AL6" s="1">
        <v>17.655290000000008</v>
      </c>
      <c r="AM6" s="1">
        <v>11.929249999999987</v>
      </c>
      <c r="AN6" s="1">
        <v>10.497740000000007</v>
      </c>
      <c r="AO6" s="1">
        <v>2.8630200000000023</v>
      </c>
      <c r="AP6" s="1">
        <v>1.9086800000000002</v>
      </c>
      <c r="AQ6" s="1">
        <v>0.70212765957446788</v>
      </c>
      <c r="AR6" s="1">
        <v>0.78723404255319163</v>
      </c>
      <c r="AS6" s="1">
        <v>0.53191489361702093</v>
      </c>
      <c r="AT6" s="1">
        <v>0.4680851063829789</v>
      </c>
      <c r="AU6" s="1">
        <v>0.1276595744680851</v>
      </c>
      <c r="AV6" s="1">
        <v>8.510638297872343E-2</v>
      </c>
      <c r="AW6" s="1">
        <v>1</v>
      </c>
      <c r="AX6" s="1">
        <v>47</v>
      </c>
      <c r="AY6" s="1">
        <v>9.9574468085106389</v>
      </c>
      <c r="AZ6" s="1">
        <v>9.9574468085106389</v>
      </c>
      <c r="BA6" s="1">
        <v>9.9090909090909083</v>
      </c>
      <c r="BB6" s="1">
        <v>0</v>
      </c>
      <c r="BC6" s="1">
        <v>0</v>
      </c>
      <c r="BD6" s="1">
        <v>0</v>
      </c>
      <c r="BE6" s="1">
        <v>0</v>
      </c>
      <c r="BF6" s="1">
        <v>0</v>
      </c>
      <c r="BG6" s="1">
        <v>0</v>
      </c>
      <c r="BH6" s="1">
        <v>0</v>
      </c>
      <c r="BI6" s="1">
        <v>2.1276595744680837</v>
      </c>
      <c r="BJ6" s="1">
        <v>0</v>
      </c>
      <c r="BK6" s="1">
        <v>97.872340425531902</v>
      </c>
      <c r="BL6" s="1">
        <v>9.9574468085106531</v>
      </c>
      <c r="BM6" s="1">
        <v>47</v>
      </c>
      <c r="BN6" s="1">
        <v>0</v>
      </c>
      <c r="BO6" s="1">
        <v>0</v>
      </c>
      <c r="BP6" s="1">
        <v>0</v>
      </c>
      <c r="BQ6" s="1">
        <v>0</v>
      </c>
      <c r="BR6" s="1">
        <v>0</v>
      </c>
      <c r="BS6" s="1">
        <v>0</v>
      </c>
      <c r="BT6" s="1">
        <v>0</v>
      </c>
      <c r="BU6" s="1">
        <v>2.1276595744680837</v>
      </c>
      <c r="BV6" s="1">
        <v>0</v>
      </c>
      <c r="BW6" s="1">
        <v>97.872340425531902</v>
      </c>
      <c r="BX6" s="1">
        <v>9.9574468085106531</v>
      </c>
      <c r="BY6" s="1">
        <v>47</v>
      </c>
      <c r="BZ6" s="1">
        <v>0</v>
      </c>
      <c r="CA6" s="1">
        <v>0</v>
      </c>
      <c r="CB6" s="1">
        <v>0</v>
      </c>
      <c r="CC6" s="1">
        <v>0</v>
      </c>
      <c r="CD6" s="1">
        <v>0</v>
      </c>
      <c r="CE6" s="1">
        <v>0</v>
      </c>
      <c r="CF6" s="1">
        <v>0</v>
      </c>
      <c r="CG6" s="1">
        <v>4.5454545454545405</v>
      </c>
      <c r="CH6" s="1">
        <v>0</v>
      </c>
      <c r="CI6" s="1">
        <v>95.454545454545425</v>
      </c>
      <c r="CJ6" s="1">
        <v>9.9090909090909225</v>
      </c>
      <c r="CK6" s="1">
        <v>44</v>
      </c>
      <c r="CL6" s="1">
        <v>44.680851063829778</v>
      </c>
      <c r="CM6" s="1">
        <v>42.553191489361723</v>
      </c>
      <c r="CN6" s="1">
        <v>4.2553191489361675</v>
      </c>
      <c r="CO6" s="1">
        <v>8.5106382978723349</v>
      </c>
      <c r="CP6" s="1">
        <v>0</v>
      </c>
      <c r="CQ6" s="1">
        <v>47</v>
      </c>
      <c r="CR6" s="1">
        <v>76.595744680851084</v>
      </c>
      <c r="CS6" s="1">
        <v>19.148936170212774</v>
      </c>
      <c r="CT6" s="1">
        <v>4.2553191489361675</v>
      </c>
      <c r="CU6" s="1">
        <v>0</v>
      </c>
      <c r="CV6" s="1">
        <v>0</v>
      </c>
      <c r="CW6" s="1">
        <v>47</v>
      </c>
      <c r="CX6" s="1">
        <v>91.304347826086982</v>
      </c>
      <c r="CY6" s="1">
        <v>6.5217391304347876</v>
      </c>
      <c r="CZ6" s="1">
        <v>2.1739130434782621</v>
      </c>
      <c r="DA6" s="1">
        <v>0</v>
      </c>
      <c r="DB6" s="1">
        <v>0</v>
      </c>
      <c r="DC6" s="1">
        <v>46</v>
      </c>
      <c r="DD6" s="1">
        <v>93.617021276595651</v>
      </c>
      <c r="DE6" s="1">
        <v>4.2553191489361675</v>
      </c>
      <c r="DF6" s="1">
        <v>2.1276595744680837</v>
      </c>
      <c r="DG6" s="1">
        <v>0</v>
      </c>
      <c r="DH6" s="1">
        <v>0</v>
      </c>
      <c r="DI6" s="1">
        <v>47</v>
      </c>
      <c r="DJ6" s="1">
        <v>72.72727272727262</v>
      </c>
      <c r="DK6" s="1">
        <v>20.454545454545471</v>
      </c>
      <c r="DL6" s="1">
        <v>4.5454545454545405</v>
      </c>
      <c r="DM6" s="1">
        <v>2.2727272727272703</v>
      </c>
      <c r="DN6" s="1">
        <v>0</v>
      </c>
      <c r="DO6" s="1">
        <v>44</v>
      </c>
      <c r="DP6" s="1">
        <v>87.234042553191514</v>
      </c>
      <c r="DQ6" s="1">
        <v>12.765957446808512</v>
      </c>
      <c r="DR6" s="1">
        <v>0</v>
      </c>
      <c r="DS6" s="1">
        <v>0</v>
      </c>
      <c r="DT6" s="1">
        <v>0</v>
      </c>
      <c r="DU6" s="1">
        <v>47</v>
      </c>
      <c r="DV6" s="1">
        <v>84.210526315789508</v>
      </c>
      <c r="DW6" s="1">
        <v>13.157894736842117</v>
      </c>
      <c r="DX6" s="1">
        <v>2.6315789473684239</v>
      </c>
      <c r="DY6" s="1">
        <v>0</v>
      </c>
      <c r="DZ6" s="1">
        <v>0</v>
      </c>
      <c r="EA6" s="1">
        <v>38</v>
      </c>
      <c r="EB6" s="1">
        <v>72.727272727272648</v>
      </c>
      <c r="EC6" s="1">
        <v>18.181818181818162</v>
      </c>
      <c r="ED6" s="1">
        <v>9.0909090909090811</v>
      </c>
      <c r="EE6" s="1">
        <v>0</v>
      </c>
      <c r="EF6" s="1">
        <v>0</v>
      </c>
      <c r="EG6" s="1">
        <v>11</v>
      </c>
      <c r="EH6" s="1">
        <v>77.777777777777814</v>
      </c>
      <c r="EI6" s="1">
        <v>11.1111111111111</v>
      </c>
      <c r="EJ6" s="1">
        <v>11.1111111111111</v>
      </c>
      <c r="EK6" s="1">
        <v>0</v>
      </c>
      <c r="EL6" s="1">
        <v>0</v>
      </c>
      <c r="EM6" s="1">
        <v>9</v>
      </c>
      <c r="EN6" s="1">
        <v>42.857142857142875</v>
      </c>
      <c r="EO6" s="1">
        <v>47.61904761904767</v>
      </c>
      <c r="EP6" s="1">
        <v>4.7619047619047601</v>
      </c>
      <c r="EQ6" s="1">
        <v>4.7619047619047601</v>
      </c>
      <c r="ER6" s="1">
        <v>0</v>
      </c>
      <c r="ES6" s="1">
        <v>21</v>
      </c>
      <c r="ET6" s="1">
        <v>40.909090909090942</v>
      </c>
      <c r="EU6" s="1">
        <v>54.54545454545454</v>
      </c>
      <c r="EV6" s="1">
        <v>4.545454545454553</v>
      </c>
      <c r="EW6" s="1">
        <v>0</v>
      </c>
      <c r="EX6" s="1">
        <v>0</v>
      </c>
      <c r="EY6" s="1">
        <v>22</v>
      </c>
      <c r="EZ6" s="1">
        <v>44.4444444444444</v>
      </c>
      <c r="FA6" s="1">
        <v>55.555555555555607</v>
      </c>
      <c r="FB6" s="1">
        <v>0</v>
      </c>
      <c r="FC6" s="1">
        <v>0</v>
      </c>
      <c r="FD6" s="1">
        <v>0</v>
      </c>
      <c r="FE6" s="1">
        <v>9</v>
      </c>
      <c r="FF6" s="1">
        <v>49.999999999999993</v>
      </c>
      <c r="FG6" s="1">
        <v>49.999999999999993</v>
      </c>
      <c r="FH6" s="1">
        <v>0</v>
      </c>
      <c r="FI6" s="1">
        <v>0</v>
      </c>
      <c r="FJ6" s="1">
        <v>0</v>
      </c>
      <c r="FK6" s="1">
        <v>8</v>
      </c>
      <c r="FL6" s="1">
        <v>77.777777777777814</v>
      </c>
      <c r="FM6" s="1">
        <v>16.666666666666657</v>
      </c>
      <c r="FN6" s="1">
        <v>5.55555555555555</v>
      </c>
      <c r="FO6" s="1">
        <v>0</v>
      </c>
      <c r="FP6" s="1">
        <v>0</v>
      </c>
      <c r="FQ6" s="1">
        <v>18</v>
      </c>
      <c r="FR6" s="1">
        <v>66.666666666666629</v>
      </c>
      <c r="FS6" s="1">
        <v>16.666666666666657</v>
      </c>
      <c r="FT6" s="1">
        <v>16.666666666666657</v>
      </c>
      <c r="FU6" s="1">
        <v>0</v>
      </c>
      <c r="FV6" s="1">
        <v>0</v>
      </c>
      <c r="FW6" s="1">
        <v>12</v>
      </c>
      <c r="FX6" s="1">
        <v>97.872340425531902</v>
      </c>
      <c r="FY6" s="1">
        <v>2.1276595744680837</v>
      </c>
      <c r="FZ6" s="1">
        <v>0</v>
      </c>
      <c r="GA6" s="1">
        <v>0</v>
      </c>
      <c r="GB6" s="1">
        <v>0</v>
      </c>
      <c r="GC6" s="1">
        <v>47</v>
      </c>
      <c r="GD6" s="1">
        <v>83.3333333333334</v>
      </c>
      <c r="GE6" s="1">
        <v>5.55555555555555</v>
      </c>
      <c r="GF6" s="1">
        <v>11.1111111111111</v>
      </c>
      <c r="GG6" s="1">
        <v>0</v>
      </c>
      <c r="GH6" s="1">
        <v>0</v>
      </c>
      <c r="GI6" s="1">
        <v>18</v>
      </c>
      <c r="GJ6" s="1">
        <v>86.666666666666615</v>
      </c>
      <c r="GK6" s="1">
        <v>13.333333333333336</v>
      </c>
      <c r="GL6" s="1">
        <v>0</v>
      </c>
      <c r="GM6" s="1">
        <v>0</v>
      </c>
      <c r="GN6" s="1">
        <v>0</v>
      </c>
      <c r="GO6" s="1">
        <v>15</v>
      </c>
      <c r="GP6" s="1">
        <v>68.000000000000014</v>
      </c>
      <c r="GQ6" s="1">
        <v>28.000000000000004</v>
      </c>
      <c r="GR6" s="1">
        <v>4.0000000000000009</v>
      </c>
      <c r="GS6" s="1">
        <v>0</v>
      </c>
      <c r="GT6" s="1">
        <v>0</v>
      </c>
      <c r="GU6" s="1">
        <v>25</v>
      </c>
      <c r="GV6" s="1">
        <v>96.153846153846118</v>
      </c>
      <c r="GW6" s="1">
        <v>3.8461538461538471</v>
      </c>
      <c r="GX6" s="1">
        <v>0</v>
      </c>
      <c r="GY6" s="1">
        <v>0</v>
      </c>
      <c r="GZ6" s="1">
        <v>0</v>
      </c>
      <c r="HA6" s="1">
        <v>26</v>
      </c>
      <c r="HB6" s="1">
        <v>80</v>
      </c>
      <c r="HC6" s="1">
        <v>20</v>
      </c>
      <c r="HD6" s="1">
        <v>0</v>
      </c>
      <c r="HE6" s="1">
        <v>0</v>
      </c>
      <c r="HF6" s="1">
        <v>0</v>
      </c>
      <c r="HG6" s="1">
        <v>5</v>
      </c>
      <c r="HH6" s="1">
        <v>59.999999999999993</v>
      </c>
      <c r="HI6" s="1">
        <v>20</v>
      </c>
      <c r="HJ6" s="1">
        <v>20</v>
      </c>
      <c r="HK6" s="1">
        <v>0</v>
      </c>
      <c r="HL6" s="1">
        <v>0</v>
      </c>
      <c r="HM6" s="1">
        <v>5</v>
      </c>
      <c r="HN6" s="1">
        <v>0</v>
      </c>
      <c r="HO6" s="1">
        <v>0</v>
      </c>
      <c r="HP6" s="1">
        <v>0</v>
      </c>
      <c r="HQ6" s="1">
        <v>0</v>
      </c>
      <c r="HR6" s="1">
        <v>0</v>
      </c>
      <c r="HS6" s="1">
        <v>0</v>
      </c>
      <c r="HT6" s="1">
        <v>0</v>
      </c>
      <c r="HU6" s="1">
        <v>0</v>
      </c>
      <c r="HV6" s="1">
        <v>0</v>
      </c>
      <c r="HW6" s="1">
        <v>0</v>
      </c>
      <c r="HX6" s="1">
        <v>0</v>
      </c>
      <c r="HY6" s="1">
        <v>0</v>
      </c>
      <c r="HZ6" s="1">
        <v>0</v>
      </c>
      <c r="IA6" s="1">
        <v>0</v>
      </c>
      <c r="IB6" s="1">
        <v>0</v>
      </c>
      <c r="IC6" s="1">
        <v>0</v>
      </c>
      <c r="ID6" s="1">
        <v>0</v>
      </c>
      <c r="IE6" s="1">
        <v>0</v>
      </c>
      <c r="IF6" s="1">
        <v>9.5116279069767433</v>
      </c>
      <c r="IG6" s="1">
        <v>0</v>
      </c>
      <c r="IH6" s="1">
        <v>0</v>
      </c>
      <c r="II6" s="1">
        <v>0</v>
      </c>
      <c r="IJ6" s="1">
        <v>0</v>
      </c>
      <c r="IK6" s="1">
        <v>0</v>
      </c>
      <c r="IL6" s="1">
        <v>0</v>
      </c>
      <c r="IM6" s="1">
        <v>2.3255813953488356</v>
      </c>
      <c r="IN6" s="1">
        <v>11.627906976744196</v>
      </c>
      <c r="IO6" s="1">
        <v>18.604651162790685</v>
      </c>
      <c r="IP6" s="1">
        <v>67.441860465116292</v>
      </c>
      <c r="IQ6" s="1">
        <v>9.5116279069767451</v>
      </c>
      <c r="IR6" s="1">
        <v>43</v>
      </c>
      <c r="IS6" s="1">
        <v>79.166666666666544</v>
      </c>
      <c r="IT6" s="1">
        <v>16.666666666666657</v>
      </c>
      <c r="IU6" s="1">
        <v>4.1666666666666643</v>
      </c>
      <c r="IV6" s="1">
        <v>0</v>
      </c>
      <c r="IW6" s="1">
        <v>0</v>
      </c>
      <c r="IX6" s="1">
        <v>48</v>
      </c>
      <c r="IY6" s="1">
        <v>1</v>
      </c>
      <c r="IZ6" s="1">
        <v>22.904160000000019</v>
      </c>
      <c r="JA6" s="1">
        <v>10.974910000000008</v>
      </c>
      <c r="JB6" s="1">
        <v>7.1575500000000085</v>
      </c>
      <c r="JC6" s="1">
        <v>3.8173600000000003</v>
      </c>
      <c r="JD6" s="1">
        <v>3.3401900000000038</v>
      </c>
      <c r="JE6" s="1">
        <v>0.47916666666666669</v>
      </c>
      <c r="JF6" s="1">
        <v>0.3125</v>
      </c>
      <c r="JG6" s="1">
        <v>0.16666666666666677</v>
      </c>
      <c r="JH6" s="1">
        <v>0.14583333333333323</v>
      </c>
      <c r="JI6" s="1">
        <v>1</v>
      </c>
      <c r="JJ6" s="1">
        <v>48</v>
      </c>
      <c r="JK6" s="1">
        <v>3.4583333333333335</v>
      </c>
      <c r="JL6" s="1">
        <v>3.4583333333333348</v>
      </c>
      <c r="JM6" s="1">
        <v>48</v>
      </c>
      <c r="JN6" s="1">
        <v>100</v>
      </c>
      <c r="JO6" s="1">
        <v>0</v>
      </c>
      <c r="JP6" s="1">
        <v>17</v>
      </c>
      <c r="JQ6" s="1">
        <v>100</v>
      </c>
      <c r="JR6" s="1">
        <v>0</v>
      </c>
      <c r="JS6" s="1">
        <v>27</v>
      </c>
      <c r="JT6" s="1">
        <v>97.5</v>
      </c>
      <c r="JU6" s="1">
        <v>2.5000000000000004</v>
      </c>
      <c r="JV6" s="1">
        <v>40</v>
      </c>
      <c r="JW6" s="1">
        <v>100</v>
      </c>
      <c r="JX6" s="1">
        <v>0</v>
      </c>
      <c r="JY6" s="1">
        <v>25</v>
      </c>
      <c r="JZ6" s="1">
        <v>52.083333333333307</v>
      </c>
      <c r="KA6" s="1">
        <v>47.916666666666664</v>
      </c>
      <c r="KB6" s="1">
        <v>48</v>
      </c>
      <c r="KC6" s="1">
        <v>100</v>
      </c>
      <c r="KD6" s="1">
        <v>0</v>
      </c>
      <c r="KE6" s="1">
        <v>48</v>
      </c>
      <c r="KF6" s="1">
        <v>3.3260869565217392</v>
      </c>
      <c r="KG6" s="1">
        <v>2.1739130434782621</v>
      </c>
      <c r="KH6" s="1">
        <v>23.913043478260885</v>
      </c>
      <c r="KI6" s="1">
        <v>28.260869565217412</v>
      </c>
      <c r="KJ6" s="1">
        <v>30.434782608695667</v>
      </c>
      <c r="KK6" s="1">
        <v>15.217391304347833</v>
      </c>
      <c r="KL6" s="1">
        <v>46</v>
      </c>
      <c r="KM6" s="1">
        <v>58.173913043478322</v>
      </c>
      <c r="KN6" s="1">
        <v>62.666666666666664</v>
      </c>
      <c r="KO6" s="1">
        <v>0</v>
      </c>
      <c r="KP6" s="1">
        <v>0</v>
      </c>
      <c r="KQ6" s="1">
        <v>66.666666666666629</v>
      </c>
      <c r="KR6" s="1">
        <v>0</v>
      </c>
      <c r="KS6" s="1">
        <v>33.333333333333314</v>
      </c>
      <c r="KT6" s="1">
        <v>3</v>
      </c>
      <c r="KU6" s="1">
        <v>0</v>
      </c>
      <c r="KV6" s="1">
        <v>0</v>
      </c>
      <c r="KW6" s="1">
        <v>0</v>
      </c>
      <c r="KX6" s="1">
        <v>100</v>
      </c>
      <c r="KY6" s="1">
        <v>0</v>
      </c>
      <c r="KZ6" s="1">
        <v>48</v>
      </c>
      <c r="LA6" s="1">
        <v>8.3333333333333286</v>
      </c>
      <c r="LB6" s="1">
        <v>91.666666666666629</v>
      </c>
      <c r="LC6" s="1">
        <v>48</v>
      </c>
      <c r="LD6" s="1">
        <v>0</v>
      </c>
      <c r="LE6" s="1">
        <v>25</v>
      </c>
      <c r="LF6" s="1">
        <v>75</v>
      </c>
      <c r="LG6" s="1">
        <v>4</v>
      </c>
    </row>
    <row r="7" spans="1:320" x14ac:dyDescent="0.25">
      <c r="A7" s="1">
        <v>11</v>
      </c>
      <c r="B7" s="1">
        <v>24.999999999999996</v>
      </c>
      <c r="C7" s="1">
        <v>75</v>
      </c>
      <c r="D7" s="1">
        <v>20</v>
      </c>
      <c r="E7" s="1">
        <v>100</v>
      </c>
      <c r="F7" s="1">
        <v>0</v>
      </c>
      <c r="G7" s="1">
        <v>14</v>
      </c>
      <c r="H7" s="1">
        <v>63.636363636363619</v>
      </c>
      <c r="I7" s="1">
        <v>36.36363636363636</v>
      </c>
      <c r="J7" s="1">
        <v>11</v>
      </c>
      <c r="K7" s="1">
        <v>1</v>
      </c>
      <c r="L7" s="1">
        <v>12.406320000000001</v>
      </c>
      <c r="M7" s="1">
        <v>1.0338600000000004</v>
      </c>
      <c r="N7" s="1">
        <v>2.5846499999999981</v>
      </c>
      <c r="O7" s="1">
        <v>4.1354400000000018</v>
      </c>
      <c r="P7" s="1">
        <v>0</v>
      </c>
      <c r="Q7" s="1">
        <v>3.6185100000000001</v>
      </c>
      <c r="R7" s="1">
        <v>0.51693000000000022</v>
      </c>
      <c r="S7" s="1">
        <v>1.0338600000000004</v>
      </c>
      <c r="T7" s="1">
        <v>1.5507899999999994</v>
      </c>
      <c r="U7" s="1">
        <v>1.5507899999999994</v>
      </c>
      <c r="V7" s="1">
        <v>2.5846499999999981</v>
      </c>
      <c r="W7" s="1">
        <v>8.3333333333333273E-2</v>
      </c>
      <c r="X7" s="1">
        <v>0.20833333333333315</v>
      </c>
      <c r="Y7" s="1">
        <v>0.33333333333333309</v>
      </c>
      <c r="Z7" s="1">
        <v>0</v>
      </c>
      <c r="AA7" s="1">
        <v>0.29166666666666635</v>
      </c>
      <c r="AB7" s="1">
        <v>4.1666666666666637E-2</v>
      </c>
      <c r="AC7" s="1">
        <v>8.3333333333333273E-2</v>
      </c>
      <c r="AD7" s="1">
        <v>0.12499999999999999</v>
      </c>
      <c r="AE7" s="1">
        <v>0.12499999999999999</v>
      </c>
      <c r="AF7" s="1">
        <v>0.20833333333333315</v>
      </c>
      <c r="AG7" s="1">
        <v>1</v>
      </c>
      <c r="AH7" s="1">
        <v>24</v>
      </c>
      <c r="AI7" s="1">
        <v>1</v>
      </c>
      <c r="AJ7" s="1">
        <v>11.889389999999999</v>
      </c>
      <c r="AK7" s="1">
        <v>6.7200899999999999</v>
      </c>
      <c r="AL7" s="1">
        <v>10.338600000000007</v>
      </c>
      <c r="AM7" s="1">
        <v>2.5846499999999981</v>
      </c>
      <c r="AN7" s="1">
        <v>3.6185100000000001</v>
      </c>
      <c r="AO7" s="1">
        <v>0</v>
      </c>
      <c r="AP7" s="1">
        <v>1.0338600000000004</v>
      </c>
      <c r="AQ7" s="1">
        <v>0.56521739130434778</v>
      </c>
      <c r="AR7" s="1">
        <v>0.86956521739130455</v>
      </c>
      <c r="AS7" s="1">
        <v>0.21739130434782608</v>
      </c>
      <c r="AT7" s="1">
        <v>0.30434782608695626</v>
      </c>
      <c r="AU7" s="1">
        <v>0</v>
      </c>
      <c r="AV7" s="1">
        <v>8.6956521739130391E-2</v>
      </c>
      <c r="AW7" s="1">
        <v>1</v>
      </c>
      <c r="AX7" s="1">
        <v>23</v>
      </c>
      <c r="AY7" s="1">
        <v>9.9565217391304355</v>
      </c>
      <c r="AZ7" s="1">
        <v>9.9565217391304355</v>
      </c>
      <c r="BA7" s="1">
        <v>10</v>
      </c>
      <c r="BB7" s="1">
        <v>0</v>
      </c>
      <c r="BC7" s="1">
        <v>0</v>
      </c>
      <c r="BD7" s="1">
        <v>0</v>
      </c>
      <c r="BE7" s="1">
        <v>0</v>
      </c>
      <c r="BF7" s="1">
        <v>0</v>
      </c>
      <c r="BG7" s="1">
        <v>0</v>
      </c>
      <c r="BH7" s="1">
        <v>0</v>
      </c>
      <c r="BI7" s="1">
        <v>0</v>
      </c>
      <c r="BJ7" s="1">
        <v>4.3478260869565171</v>
      </c>
      <c r="BK7" s="1">
        <v>95.652173913043484</v>
      </c>
      <c r="BL7" s="1">
        <v>9.9565217391304301</v>
      </c>
      <c r="BM7" s="1">
        <v>23</v>
      </c>
      <c r="BN7" s="1">
        <v>0</v>
      </c>
      <c r="BO7" s="1">
        <v>0</v>
      </c>
      <c r="BP7" s="1">
        <v>0</v>
      </c>
      <c r="BQ7" s="1">
        <v>0</v>
      </c>
      <c r="BR7" s="1">
        <v>0</v>
      </c>
      <c r="BS7" s="1">
        <v>0</v>
      </c>
      <c r="BT7" s="1">
        <v>0</v>
      </c>
      <c r="BU7" s="1">
        <v>0</v>
      </c>
      <c r="BV7" s="1">
        <v>4.3478260869565171</v>
      </c>
      <c r="BW7" s="1">
        <v>95.652173913043484</v>
      </c>
      <c r="BX7" s="1">
        <v>9.9565217391304301</v>
      </c>
      <c r="BY7" s="1">
        <v>23</v>
      </c>
      <c r="BZ7" s="1">
        <v>0</v>
      </c>
      <c r="CA7" s="1">
        <v>0</v>
      </c>
      <c r="CB7" s="1">
        <v>0</v>
      </c>
      <c r="CC7" s="1">
        <v>0</v>
      </c>
      <c r="CD7" s="1">
        <v>0</v>
      </c>
      <c r="CE7" s="1">
        <v>0</v>
      </c>
      <c r="CF7" s="1">
        <v>0</v>
      </c>
      <c r="CG7" s="1">
        <v>0</v>
      </c>
      <c r="CH7" s="1">
        <v>0</v>
      </c>
      <c r="CI7" s="1">
        <v>100</v>
      </c>
      <c r="CJ7" s="1">
        <v>9.9999999999999929</v>
      </c>
      <c r="CK7" s="1">
        <v>22</v>
      </c>
      <c r="CL7" s="1">
        <v>49.999999999999993</v>
      </c>
      <c r="CM7" s="1">
        <v>31.818181818181795</v>
      </c>
      <c r="CN7" s="1">
        <v>13.636363636363628</v>
      </c>
      <c r="CO7" s="1">
        <v>4.5454545454545459</v>
      </c>
      <c r="CP7" s="1">
        <v>0</v>
      </c>
      <c r="CQ7" s="1">
        <v>22</v>
      </c>
      <c r="CR7" s="1">
        <v>87.5</v>
      </c>
      <c r="CS7" s="1">
        <v>8.3333333333333339</v>
      </c>
      <c r="CT7" s="1">
        <v>4.166666666666667</v>
      </c>
      <c r="CU7" s="1">
        <v>0</v>
      </c>
      <c r="CV7" s="1">
        <v>0</v>
      </c>
      <c r="CW7" s="1">
        <v>24</v>
      </c>
      <c r="CX7" s="1">
        <v>91.666666666666686</v>
      </c>
      <c r="CY7" s="1">
        <v>8.3333333333333339</v>
      </c>
      <c r="CZ7" s="1">
        <v>0</v>
      </c>
      <c r="DA7" s="1">
        <v>0</v>
      </c>
      <c r="DB7" s="1">
        <v>0</v>
      </c>
      <c r="DC7" s="1">
        <v>24</v>
      </c>
      <c r="DD7" s="1">
        <v>95.833333333333314</v>
      </c>
      <c r="DE7" s="1">
        <v>4.166666666666667</v>
      </c>
      <c r="DF7" s="1">
        <v>0</v>
      </c>
      <c r="DG7" s="1">
        <v>0</v>
      </c>
      <c r="DH7" s="1">
        <v>0</v>
      </c>
      <c r="DI7" s="1">
        <v>24</v>
      </c>
      <c r="DJ7" s="1">
        <v>80.952380952380949</v>
      </c>
      <c r="DK7" s="1">
        <v>14.285714285714279</v>
      </c>
      <c r="DL7" s="1">
        <v>4.7619047619047601</v>
      </c>
      <c r="DM7" s="1">
        <v>0</v>
      </c>
      <c r="DN7" s="1">
        <v>0</v>
      </c>
      <c r="DO7" s="1">
        <v>21</v>
      </c>
      <c r="DP7" s="1">
        <v>95.833333333333314</v>
      </c>
      <c r="DQ7" s="1">
        <v>4.166666666666667</v>
      </c>
      <c r="DR7" s="1">
        <v>0</v>
      </c>
      <c r="DS7" s="1">
        <v>0</v>
      </c>
      <c r="DT7" s="1">
        <v>0</v>
      </c>
      <c r="DU7" s="1">
        <v>24</v>
      </c>
      <c r="DV7" s="1">
        <v>90</v>
      </c>
      <c r="DW7" s="1">
        <v>9.9999999999999982</v>
      </c>
      <c r="DX7" s="1">
        <v>0</v>
      </c>
      <c r="DY7" s="1">
        <v>0</v>
      </c>
      <c r="DZ7" s="1">
        <v>0</v>
      </c>
      <c r="EA7" s="1">
        <v>20</v>
      </c>
      <c r="EB7" s="1">
        <v>100</v>
      </c>
      <c r="EC7" s="1">
        <v>0</v>
      </c>
      <c r="ED7" s="1">
        <v>0</v>
      </c>
      <c r="EE7" s="1">
        <v>0</v>
      </c>
      <c r="EF7" s="1">
        <v>0</v>
      </c>
      <c r="EG7" s="1">
        <v>6</v>
      </c>
      <c r="EH7" s="1">
        <v>100</v>
      </c>
      <c r="EI7" s="1">
        <v>0</v>
      </c>
      <c r="EJ7" s="1">
        <v>0</v>
      </c>
      <c r="EK7" s="1">
        <v>0</v>
      </c>
      <c r="EL7" s="1">
        <v>0</v>
      </c>
      <c r="EM7" s="1">
        <v>5</v>
      </c>
      <c r="EN7" s="1">
        <v>71.428571428571402</v>
      </c>
      <c r="EO7" s="1">
        <v>28.571428571428566</v>
      </c>
      <c r="EP7" s="1">
        <v>0</v>
      </c>
      <c r="EQ7" s="1">
        <v>0</v>
      </c>
      <c r="ER7" s="1">
        <v>0</v>
      </c>
      <c r="ES7" s="1">
        <v>7</v>
      </c>
      <c r="ET7" s="1">
        <v>62.499999999999993</v>
      </c>
      <c r="EU7" s="1">
        <v>25</v>
      </c>
      <c r="EV7" s="1">
        <v>12.5</v>
      </c>
      <c r="EW7" s="1">
        <v>0</v>
      </c>
      <c r="EX7" s="1">
        <v>0</v>
      </c>
      <c r="EY7" s="1">
        <v>8</v>
      </c>
      <c r="EZ7" s="1">
        <v>100</v>
      </c>
      <c r="FA7" s="1">
        <v>0</v>
      </c>
      <c r="FB7" s="1">
        <v>0</v>
      </c>
      <c r="FC7" s="1">
        <v>0</v>
      </c>
      <c r="FD7" s="1">
        <v>0</v>
      </c>
      <c r="FE7" s="1">
        <v>6</v>
      </c>
      <c r="FF7" s="1">
        <v>100</v>
      </c>
      <c r="FG7" s="1">
        <v>0</v>
      </c>
      <c r="FH7" s="1">
        <v>0</v>
      </c>
      <c r="FI7" s="1">
        <v>0</v>
      </c>
      <c r="FJ7" s="1">
        <v>0</v>
      </c>
      <c r="FK7" s="1">
        <v>5</v>
      </c>
      <c r="FL7" s="1">
        <v>87.499999999999986</v>
      </c>
      <c r="FM7" s="1">
        <v>12.5</v>
      </c>
      <c r="FN7" s="1">
        <v>0</v>
      </c>
      <c r="FO7" s="1">
        <v>0</v>
      </c>
      <c r="FP7" s="1">
        <v>0</v>
      </c>
      <c r="FQ7" s="1">
        <v>8</v>
      </c>
      <c r="FR7" s="1">
        <v>100</v>
      </c>
      <c r="FS7" s="1">
        <v>0</v>
      </c>
      <c r="FT7" s="1">
        <v>0</v>
      </c>
      <c r="FU7" s="1">
        <v>0</v>
      </c>
      <c r="FV7" s="1">
        <v>0</v>
      </c>
      <c r="FW7" s="1">
        <v>5</v>
      </c>
      <c r="FX7" s="1">
        <v>86.95652173913048</v>
      </c>
      <c r="FY7" s="1">
        <v>13.043478260869561</v>
      </c>
      <c r="FZ7" s="1">
        <v>0</v>
      </c>
      <c r="GA7" s="1">
        <v>0</v>
      </c>
      <c r="GB7" s="1">
        <v>0</v>
      </c>
      <c r="GC7" s="1">
        <v>23</v>
      </c>
      <c r="GD7" s="1">
        <v>89.999999999999986</v>
      </c>
      <c r="GE7" s="1">
        <v>9.9999999999999982</v>
      </c>
      <c r="GF7" s="1">
        <v>0</v>
      </c>
      <c r="GG7" s="1">
        <v>0</v>
      </c>
      <c r="GH7" s="1">
        <v>0</v>
      </c>
      <c r="GI7" s="1">
        <v>10</v>
      </c>
      <c r="GJ7" s="1">
        <v>93.333333333333314</v>
      </c>
      <c r="GK7" s="1">
        <v>6.6666666666666607</v>
      </c>
      <c r="GL7" s="1">
        <v>0</v>
      </c>
      <c r="GM7" s="1">
        <v>0</v>
      </c>
      <c r="GN7" s="1">
        <v>0</v>
      </c>
      <c r="GO7" s="1">
        <v>15</v>
      </c>
      <c r="GP7" s="1">
        <v>88.8888888888889</v>
      </c>
      <c r="GQ7" s="1">
        <v>11.111111111111112</v>
      </c>
      <c r="GR7" s="1">
        <v>0</v>
      </c>
      <c r="GS7" s="1">
        <v>0</v>
      </c>
      <c r="GT7" s="1">
        <v>0</v>
      </c>
      <c r="GU7" s="1">
        <v>18</v>
      </c>
      <c r="GV7" s="1">
        <v>94.4444444444444</v>
      </c>
      <c r="GW7" s="1">
        <v>0</v>
      </c>
      <c r="GX7" s="1">
        <v>5.5555555555555562</v>
      </c>
      <c r="GY7" s="1">
        <v>0</v>
      </c>
      <c r="GZ7" s="1">
        <v>0</v>
      </c>
      <c r="HA7" s="1">
        <v>18</v>
      </c>
      <c r="HB7" s="1">
        <v>80</v>
      </c>
      <c r="HC7" s="1">
        <v>0</v>
      </c>
      <c r="HD7" s="1">
        <v>20</v>
      </c>
      <c r="HE7" s="1">
        <v>0</v>
      </c>
      <c r="HF7" s="1">
        <v>0</v>
      </c>
      <c r="HG7" s="1">
        <v>5</v>
      </c>
      <c r="HH7" s="1">
        <v>100</v>
      </c>
      <c r="HI7" s="1">
        <v>0</v>
      </c>
      <c r="HJ7" s="1">
        <v>0</v>
      </c>
      <c r="HK7" s="1">
        <v>0</v>
      </c>
      <c r="HL7" s="1">
        <v>0</v>
      </c>
      <c r="HM7" s="1">
        <v>5</v>
      </c>
      <c r="HN7" s="1">
        <v>0</v>
      </c>
      <c r="HO7" s="1">
        <v>0</v>
      </c>
      <c r="HP7" s="1">
        <v>0</v>
      </c>
      <c r="HQ7" s="1">
        <v>0</v>
      </c>
      <c r="HR7" s="1">
        <v>0</v>
      </c>
      <c r="HS7" s="1">
        <v>0</v>
      </c>
      <c r="HT7" s="1">
        <v>0</v>
      </c>
      <c r="HU7" s="1">
        <v>0</v>
      </c>
      <c r="HV7" s="1">
        <v>0</v>
      </c>
      <c r="HW7" s="1">
        <v>0</v>
      </c>
      <c r="HX7" s="1">
        <v>0</v>
      </c>
      <c r="HY7" s="1">
        <v>0</v>
      </c>
      <c r="HZ7" s="1">
        <v>0</v>
      </c>
      <c r="IA7" s="1">
        <v>0</v>
      </c>
      <c r="IB7" s="1">
        <v>0</v>
      </c>
      <c r="IC7" s="1">
        <v>0</v>
      </c>
      <c r="ID7" s="1">
        <v>0</v>
      </c>
      <c r="IE7" s="1">
        <v>0</v>
      </c>
      <c r="IF7" s="1">
        <v>9.75</v>
      </c>
      <c r="IG7" s="1">
        <v>0</v>
      </c>
      <c r="IH7" s="1">
        <v>0</v>
      </c>
      <c r="II7" s="1">
        <v>0</v>
      </c>
      <c r="IJ7" s="1">
        <v>0</v>
      </c>
      <c r="IK7" s="1">
        <v>0</v>
      </c>
      <c r="IL7" s="1">
        <v>0</v>
      </c>
      <c r="IM7" s="1">
        <v>0</v>
      </c>
      <c r="IN7" s="1">
        <v>0</v>
      </c>
      <c r="IO7" s="1">
        <v>24.999999999999996</v>
      </c>
      <c r="IP7" s="1">
        <v>75</v>
      </c>
      <c r="IQ7" s="1">
        <v>9.7499999999999982</v>
      </c>
      <c r="IR7" s="1">
        <v>20</v>
      </c>
      <c r="IS7" s="1">
        <v>82.608695652173935</v>
      </c>
      <c r="IT7" s="1">
        <v>4.3478260869565171</v>
      </c>
      <c r="IU7" s="1">
        <v>8.6956521739130341</v>
      </c>
      <c r="IV7" s="1">
        <v>4.3478260869565171</v>
      </c>
      <c r="IW7" s="1">
        <v>0</v>
      </c>
      <c r="IX7" s="1">
        <v>23</v>
      </c>
      <c r="IY7" s="1">
        <v>1</v>
      </c>
      <c r="IZ7" s="1">
        <v>11.889389999999999</v>
      </c>
      <c r="JA7" s="1">
        <v>6.2031599999999996</v>
      </c>
      <c r="JB7" s="1">
        <v>3.6185100000000001</v>
      </c>
      <c r="JC7" s="1">
        <v>1.0338600000000004</v>
      </c>
      <c r="JD7" s="1">
        <v>2.0677200000000009</v>
      </c>
      <c r="JE7" s="1">
        <v>0.52173913043478271</v>
      </c>
      <c r="JF7" s="1">
        <v>0.30434782608695626</v>
      </c>
      <c r="JG7" s="1">
        <v>8.6956521739130391E-2</v>
      </c>
      <c r="JH7" s="1">
        <v>0.17391304347826078</v>
      </c>
      <c r="JI7" s="1">
        <v>1</v>
      </c>
      <c r="JJ7" s="1">
        <v>23</v>
      </c>
      <c r="JK7" s="1">
        <v>3.15</v>
      </c>
      <c r="JL7" s="1">
        <v>3.15</v>
      </c>
      <c r="JM7" s="1">
        <v>20</v>
      </c>
      <c r="JN7" s="1">
        <v>88.8888888888889</v>
      </c>
      <c r="JO7" s="1">
        <v>11.111111111111112</v>
      </c>
      <c r="JP7" s="1">
        <v>9</v>
      </c>
      <c r="JQ7" s="1">
        <v>100</v>
      </c>
      <c r="JR7" s="1">
        <v>0</v>
      </c>
      <c r="JS7" s="1">
        <v>18</v>
      </c>
      <c r="JT7" s="1">
        <v>95.454545454545482</v>
      </c>
      <c r="JU7" s="1">
        <v>4.5454545454545459</v>
      </c>
      <c r="JV7" s="1">
        <v>22</v>
      </c>
      <c r="JW7" s="1">
        <v>90</v>
      </c>
      <c r="JX7" s="1">
        <v>9.9999999999999982</v>
      </c>
      <c r="JY7" s="1">
        <v>20</v>
      </c>
      <c r="JZ7" s="1">
        <v>54.166666666666657</v>
      </c>
      <c r="KA7" s="1">
        <v>45.833333333333343</v>
      </c>
      <c r="KB7" s="1">
        <v>24</v>
      </c>
      <c r="KC7" s="1">
        <v>99.999999999999986</v>
      </c>
      <c r="KD7" s="1">
        <v>0</v>
      </c>
      <c r="KE7" s="1">
        <v>23</v>
      </c>
      <c r="KF7" s="1">
        <v>3.652173913043478</v>
      </c>
      <c r="KG7" s="1">
        <v>4.3478260869565171</v>
      </c>
      <c r="KH7" s="1">
        <v>13.043478260869561</v>
      </c>
      <c r="KI7" s="1">
        <v>26.086956521739122</v>
      </c>
      <c r="KJ7" s="1">
        <v>26.086956521739122</v>
      </c>
      <c r="KK7" s="1">
        <v>30.434782608695631</v>
      </c>
      <c r="KL7" s="1">
        <v>23</v>
      </c>
      <c r="KM7" s="1">
        <v>62.695652173913011</v>
      </c>
      <c r="KN7" s="1">
        <v>0</v>
      </c>
      <c r="KO7" s="1">
        <v>0</v>
      </c>
      <c r="KP7" s="1">
        <v>0</v>
      </c>
      <c r="KQ7" s="1">
        <v>0</v>
      </c>
      <c r="KR7" s="1">
        <v>0</v>
      </c>
      <c r="KS7" s="1">
        <v>0</v>
      </c>
      <c r="KT7" s="1">
        <v>0</v>
      </c>
      <c r="KU7" s="1">
        <v>0</v>
      </c>
      <c r="KV7" s="1">
        <v>0</v>
      </c>
      <c r="KW7" s="1">
        <v>0</v>
      </c>
      <c r="KX7" s="1">
        <v>100</v>
      </c>
      <c r="KY7" s="1">
        <v>0</v>
      </c>
      <c r="KZ7" s="1">
        <v>24</v>
      </c>
      <c r="LA7" s="1">
        <v>8.3333333333333339</v>
      </c>
      <c r="LB7" s="1">
        <v>91.666666666666686</v>
      </c>
      <c r="LC7" s="1">
        <v>24</v>
      </c>
      <c r="LD7" s="1">
        <v>0</v>
      </c>
      <c r="LE7" s="1">
        <v>0</v>
      </c>
      <c r="LF7" s="1">
        <v>100</v>
      </c>
      <c r="LG7" s="1">
        <v>2</v>
      </c>
    </row>
    <row r="8" spans="1:320" x14ac:dyDescent="0.25">
      <c r="A8" s="1">
        <v>17</v>
      </c>
      <c r="B8" s="1">
        <v>24.705882352941163</v>
      </c>
      <c r="C8" s="1">
        <v>75.294117647058783</v>
      </c>
      <c r="D8" s="1">
        <v>85</v>
      </c>
      <c r="E8" s="1">
        <v>69.354838709677438</v>
      </c>
      <c r="F8" s="1">
        <v>30.645161290322505</v>
      </c>
      <c r="G8" s="1">
        <v>62</v>
      </c>
      <c r="H8" s="1">
        <v>25.641025641025632</v>
      </c>
      <c r="I8" s="1">
        <v>74.358974358974265</v>
      </c>
      <c r="J8" s="1">
        <v>39</v>
      </c>
      <c r="K8" s="1">
        <v>1</v>
      </c>
      <c r="L8" s="1">
        <v>44.854159999999979</v>
      </c>
      <c r="M8" s="1">
        <v>8.3449600000000128</v>
      </c>
      <c r="N8" s="1">
        <v>4.1724800000000064</v>
      </c>
      <c r="O8" s="1">
        <v>17.733040000000056</v>
      </c>
      <c r="P8" s="1">
        <v>0.5215600000000008</v>
      </c>
      <c r="Q8" s="1">
        <v>15.64679999999999</v>
      </c>
      <c r="R8" s="1">
        <v>2.6077999999999979</v>
      </c>
      <c r="S8" s="1">
        <v>0</v>
      </c>
      <c r="T8" s="1">
        <v>4.1724800000000064</v>
      </c>
      <c r="U8" s="1">
        <v>4.6940399999999904</v>
      </c>
      <c r="V8" s="1">
        <v>2.6077999999999979</v>
      </c>
      <c r="W8" s="1">
        <v>0.18604651162790695</v>
      </c>
      <c r="X8" s="1">
        <v>9.3023255813953473E-2</v>
      </c>
      <c r="Y8" s="1">
        <v>0.39534883720930164</v>
      </c>
      <c r="Z8" s="1">
        <v>1.1627906976744184E-2</v>
      </c>
      <c r="AA8" s="1">
        <v>0.34883720930232515</v>
      </c>
      <c r="AB8" s="1">
        <v>5.813953488372095E-2</v>
      </c>
      <c r="AC8" s="1">
        <v>0</v>
      </c>
      <c r="AD8" s="1">
        <v>9.3023255813953473E-2</v>
      </c>
      <c r="AE8" s="1">
        <v>0.10465116279069757</v>
      </c>
      <c r="AF8" s="1">
        <v>5.813953488372095E-2</v>
      </c>
      <c r="AG8" s="1">
        <v>1</v>
      </c>
      <c r="AH8" s="1">
        <v>86</v>
      </c>
      <c r="AI8" s="1">
        <v>1</v>
      </c>
      <c r="AJ8" s="1">
        <v>43.289480000000012</v>
      </c>
      <c r="AK8" s="1">
        <v>34.944520000000018</v>
      </c>
      <c r="AL8" s="1">
        <v>30.250480000000106</v>
      </c>
      <c r="AM8" s="1">
        <v>17.211480000000002</v>
      </c>
      <c r="AN8" s="1">
        <v>21.905520000000024</v>
      </c>
      <c r="AO8" s="1">
        <v>2.6077999999999979</v>
      </c>
      <c r="AP8" s="1">
        <v>4.6940399999999904</v>
      </c>
      <c r="AQ8" s="1">
        <v>0.80722891566264954</v>
      </c>
      <c r="AR8" s="1">
        <v>0.69879518072289104</v>
      </c>
      <c r="AS8" s="1">
        <v>0.39759036144578297</v>
      </c>
      <c r="AT8" s="1">
        <v>0.50602409638554247</v>
      </c>
      <c r="AU8" s="1">
        <v>6.0240963855421555E-2</v>
      </c>
      <c r="AV8" s="1">
        <v>0.10843373493975875</v>
      </c>
      <c r="AW8" s="1">
        <v>1</v>
      </c>
      <c r="AX8" s="1">
        <v>83</v>
      </c>
      <c r="AY8" s="1">
        <v>9.875</v>
      </c>
      <c r="AZ8" s="1">
        <v>9.9375</v>
      </c>
      <c r="BA8" s="1">
        <v>9.9230769230769234</v>
      </c>
      <c r="BB8" s="1">
        <v>0</v>
      </c>
      <c r="BC8" s="1">
        <v>0</v>
      </c>
      <c r="BD8" s="1">
        <v>0</v>
      </c>
      <c r="BE8" s="1">
        <v>0</v>
      </c>
      <c r="BF8" s="1">
        <v>0</v>
      </c>
      <c r="BG8" s="1">
        <v>0</v>
      </c>
      <c r="BH8" s="1">
        <v>1.2499999999999998</v>
      </c>
      <c r="BI8" s="1">
        <v>3.7499999999999987</v>
      </c>
      <c r="BJ8" s="1">
        <v>1.2499999999999998</v>
      </c>
      <c r="BK8" s="1">
        <v>93.75</v>
      </c>
      <c r="BL8" s="1">
        <v>9.8749999999999929</v>
      </c>
      <c r="BM8" s="1">
        <v>80</v>
      </c>
      <c r="BN8" s="1">
        <v>0</v>
      </c>
      <c r="BO8" s="1">
        <v>0</v>
      </c>
      <c r="BP8" s="1">
        <v>0</v>
      </c>
      <c r="BQ8" s="1">
        <v>0</v>
      </c>
      <c r="BR8" s="1">
        <v>0</v>
      </c>
      <c r="BS8" s="1">
        <v>0</v>
      </c>
      <c r="BT8" s="1">
        <v>0</v>
      </c>
      <c r="BU8" s="1">
        <v>1.2499999999999998</v>
      </c>
      <c r="BV8" s="1">
        <v>3.7499999999999987</v>
      </c>
      <c r="BW8" s="1">
        <v>95</v>
      </c>
      <c r="BX8" s="1">
        <v>9.9374999999999929</v>
      </c>
      <c r="BY8" s="1">
        <v>80</v>
      </c>
      <c r="BZ8" s="1">
        <v>0</v>
      </c>
      <c r="CA8" s="1">
        <v>0</v>
      </c>
      <c r="CB8" s="1">
        <v>0</v>
      </c>
      <c r="CC8" s="1">
        <v>0</v>
      </c>
      <c r="CD8" s="1">
        <v>0</v>
      </c>
      <c r="CE8" s="1">
        <v>0</v>
      </c>
      <c r="CF8" s="1">
        <v>0</v>
      </c>
      <c r="CG8" s="1">
        <v>2.564102564102563</v>
      </c>
      <c r="CH8" s="1">
        <v>2.564102564102563</v>
      </c>
      <c r="CI8" s="1">
        <v>94.871794871794904</v>
      </c>
      <c r="CJ8" s="1">
        <v>9.9230769230769038</v>
      </c>
      <c r="CK8" s="1">
        <v>78</v>
      </c>
      <c r="CL8" s="1">
        <v>56.962025316455744</v>
      </c>
      <c r="CM8" s="1">
        <v>31.645569620253184</v>
      </c>
      <c r="CN8" s="1">
        <v>5.063291139240504</v>
      </c>
      <c r="CO8" s="1">
        <v>6.329113924050616</v>
      </c>
      <c r="CP8" s="1">
        <v>0</v>
      </c>
      <c r="CQ8" s="1">
        <v>79</v>
      </c>
      <c r="CR8" s="1">
        <v>83.333333333333243</v>
      </c>
      <c r="CS8" s="1">
        <v>16.666666666666664</v>
      </c>
      <c r="CT8" s="1">
        <v>0</v>
      </c>
      <c r="CU8" s="1">
        <v>0</v>
      </c>
      <c r="CV8" s="1">
        <v>0</v>
      </c>
      <c r="CW8" s="1">
        <v>84</v>
      </c>
      <c r="CX8" s="1">
        <v>69.047619047619179</v>
      </c>
      <c r="CY8" s="1">
        <v>22.619047619047642</v>
      </c>
      <c r="CZ8" s="1">
        <v>4.7619047619047583</v>
      </c>
      <c r="DA8" s="1">
        <v>1.1904761904761896</v>
      </c>
      <c r="DB8" s="1">
        <v>2.3809523809523792</v>
      </c>
      <c r="DC8" s="1">
        <v>84</v>
      </c>
      <c r="DD8" s="1">
        <v>77.906976744186053</v>
      </c>
      <c r="DE8" s="1">
        <v>20.930232558139537</v>
      </c>
      <c r="DF8" s="1">
        <v>1.1627906976744147</v>
      </c>
      <c r="DG8" s="1">
        <v>0</v>
      </c>
      <c r="DH8" s="1">
        <v>0</v>
      </c>
      <c r="DI8" s="1">
        <v>86</v>
      </c>
      <c r="DJ8" s="1">
        <v>67.948717948717842</v>
      </c>
      <c r="DK8" s="1">
        <v>23.07692307692308</v>
      </c>
      <c r="DL8" s="1">
        <v>6.4102564102564035</v>
      </c>
      <c r="DM8" s="1">
        <v>1.2820512820512815</v>
      </c>
      <c r="DN8" s="1">
        <v>1.2820512820512815</v>
      </c>
      <c r="DO8" s="1">
        <v>78</v>
      </c>
      <c r="DP8" s="1">
        <v>89.534883720930324</v>
      </c>
      <c r="DQ8" s="1">
        <v>8.1395348837209092</v>
      </c>
      <c r="DR8" s="1">
        <v>2.3255813953488293</v>
      </c>
      <c r="DS8" s="1">
        <v>0</v>
      </c>
      <c r="DT8" s="1">
        <v>0</v>
      </c>
      <c r="DU8" s="1">
        <v>86</v>
      </c>
      <c r="DV8" s="1">
        <v>83.60655737704927</v>
      </c>
      <c r="DW8" s="1">
        <v>14.754098360655696</v>
      </c>
      <c r="DX8" s="1">
        <v>1.639344262295082</v>
      </c>
      <c r="DY8" s="1">
        <v>0</v>
      </c>
      <c r="DZ8" s="1">
        <v>0</v>
      </c>
      <c r="EA8" s="1">
        <v>61</v>
      </c>
      <c r="EB8" s="1">
        <v>93.023255813953313</v>
      </c>
      <c r="EC8" s="1">
        <v>6.9767441860465134</v>
      </c>
      <c r="ED8" s="1">
        <v>0</v>
      </c>
      <c r="EE8" s="1">
        <v>0</v>
      </c>
      <c r="EF8" s="1">
        <v>0</v>
      </c>
      <c r="EG8" s="1">
        <v>43</v>
      </c>
      <c r="EH8" s="1">
        <v>66.6666666666667</v>
      </c>
      <c r="EI8" s="1">
        <v>25.641025641025614</v>
      </c>
      <c r="EJ8" s="1">
        <v>2.564102564102563</v>
      </c>
      <c r="EK8" s="1">
        <v>5.128205128205126</v>
      </c>
      <c r="EL8" s="1">
        <v>0</v>
      </c>
      <c r="EM8" s="1">
        <v>39</v>
      </c>
      <c r="EN8" s="1">
        <v>65.957446808510539</v>
      </c>
      <c r="EO8" s="1">
        <v>29.787234042553166</v>
      </c>
      <c r="EP8" s="1">
        <v>0</v>
      </c>
      <c r="EQ8" s="1">
        <v>4.2553191489361657</v>
      </c>
      <c r="ER8" s="1">
        <v>0</v>
      </c>
      <c r="ES8" s="1">
        <v>47</v>
      </c>
      <c r="ET8" s="1">
        <v>69.999999999999986</v>
      </c>
      <c r="EU8" s="1">
        <v>21.999999999999996</v>
      </c>
      <c r="EV8" s="1">
        <v>3.9999999999999987</v>
      </c>
      <c r="EW8" s="1">
        <v>3.9999999999999987</v>
      </c>
      <c r="EX8" s="1">
        <v>0</v>
      </c>
      <c r="EY8" s="1">
        <v>50</v>
      </c>
      <c r="EZ8" s="1">
        <v>68.749999999999986</v>
      </c>
      <c r="FA8" s="1">
        <v>31.249999999999996</v>
      </c>
      <c r="FB8" s="1">
        <v>0</v>
      </c>
      <c r="FC8" s="1">
        <v>0</v>
      </c>
      <c r="FD8" s="1">
        <v>0</v>
      </c>
      <c r="FE8" s="1">
        <v>32</v>
      </c>
      <c r="FF8" s="1">
        <v>71.999999999999986</v>
      </c>
      <c r="FG8" s="1">
        <v>23.999999999999996</v>
      </c>
      <c r="FH8" s="1">
        <v>3.9999999999999996</v>
      </c>
      <c r="FI8" s="1">
        <v>0</v>
      </c>
      <c r="FJ8" s="1">
        <v>0</v>
      </c>
      <c r="FK8" s="1">
        <v>25</v>
      </c>
      <c r="FL8" s="1">
        <v>78.571428571428456</v>
      </c>
      <c r="FM8" s="1">
        <v>10.71428571428569</v>
      </c>
      <c r="FN8" s="1">
        <v>3.571428571428561</v>
      </c>
      <c r="FO8" s="1">
        <v>0</v>
      </c>
      <c r="FP8" s="1">
        <v>7.1428571428571219</v>
      </c>
      <c r="FQ8" s="1">
        <v>28</v>
      </c>
      <c r="FR8" s="1">
        <v>71.428571428571502</v>
      </c>
      <c r="FS8" s="1">
        <v>23.809523809523839</v>
      </c>
      <c r="FT8" s="1">
        <v>4.7619047619047601</v>
      </c>
      <c r="FU8" s="1">
        <v>0</v>
      </c>
      <c r="FV8" s="1">
        <v>0</v>
      </c>
      <c r="FW8" s="1">
        <v>21</v>
      </c>
      <c r="FX8" s="1">
        <v>91.463414634146147</v>
      </c>
      <c r="FY8" s="1">
        <v>8.5365853658536341</v>
      </c>
      <c r="FZ8" s="1">
        <v>0</v>
      </c>
      <c r="GA8" s="1">
        <v>0</v>
      </c>
      <c r="GB8" s="1">
        <v>0</v>
      </c>
      <c r="GC8" s="1">
        <v>82</v>
      </c>
      <c r="GD8" s="1">
        <v>73.170731707316975</v>
      </c>
      <c r="GE8" s="1">
        <v>24.390243902438954</v>
      </c>
      <c r="GF8" s="1">
        <v>2.4390243902439006</v>
      </c>
      <c r="GG8" s="1">
        <v>0</v>
      </c>
      <c r="GH8" s="1">
        <v>0</v>
      </c>
      <c r="GI8" s="1">
        <v>41</v>
      </c>
      <c r="GJ8" s="1">
        <v>74.285714285714391</v>
      </c>
      <c r="GK8" s="1">
        <v>22.857142857142875</v>
      </c>
      <c r="GL8" s="1">
        <v>2.8571428571428594</v>
      </c>
      <c r="GM8" s="1">
        <v>0</v>
      </c>
      <c r="GN8" s="1">
        <v>0</v>
      </c>
      <c r="GO8" s="1">
        <v>35</v>
      </c>
      <c r="GP8" s="1">
        <v>83.928571428571502</v>
      </c>
      <c r="GQ8" s="1">
        <v>16.071428571428523</v>
      </c>
      <c r="GR8" s="1">
        <v>0</v>
      </c>
      <c r="GS8" s="1">
        <v>0</v>
      </c>
      <c r="GT8" s="1">
        <v>0</v>
      </c>
      <c r="GU8" s="1">
        <v>56</v>
      </c>
      <c r="GV8" s="1">
        <v>86.206896551723972</v>
      </c>
      <c r="GW8" s="1">
        <v>13.793103448275833</v>
      </c>
      <c r="GX8" s="1">
        <v>0</v>
      </c>
      <c r="GY8" s="1">
        <v>0</v>
      </c>
      <c r="GZ8" s="1">
        <v>0</v>
      </c>
      <c r="HA8" s="1">
        <v>58</v>
      </c>
      <c r="HB8" s="1">
        <v>82.758620689655089</v>
      </c>
      <c r="HC8" s="1">
        <v>17.241379310344822</v>
      </c>
      <c r="HD8" s="1">
        <v>0</v>
      </c>
      <c r="HE8" s="1">
        <v>0</v>
      </c>
      <c r="HF8" s="1">
        <v>0</v>
      </c>
      <c r="HG8" s="1">
        <v>29</v>
      </c>
      <c r="HH8" s="1">
        <v>72.222222222222328</v>
      </c>
      <c r="HI8" s="1">
        <v>22.222222222222186</v>
      </c>
      <c r="HJ8" s="1">
        <v>5.5555555555555465</v>
      </c>
      <c r="HK8" s="1">
        <v>0</v>
      </c>
      <c r="HL8" s="1">
        <v>0</v>
      </c>
      <c r="HM8" s="1">
        <v>18</v>
      </c>
      <c r="HN8" s="1">
        <v>0</v>
      </c>
      <c r="HO8" s="1">
        <v>0</v>
      </c>
      <c r="HP8" s="1">
        <v>0</v>
      </c>
      <c r="HQ8" s="1">
        <v>0</v>
      </c>
      <c r="HR8" s="1">
        <v>0</v>
      </c>
      <c r="HS8" s="1">
        <v>0</v>
      </c>
      <c r="HT8" s="1">
        <v>0</v>
      </c>
      <c r="HU8" s="1">
        <v>0</v>
      </c>
      <c r="HV8" s="1">
        <v>0</v>
      </c>
      <c r="HW8" s="1">
        <v>0</v>
      </c>
      <c r="HX8" s="1">
        <v>0</v>
      </c>
      <c r="HY8" s="1">
        <v>0</v>
      </c>
      <c r="HZ8" s="1">
        <v>0</v>
      </c>
      <c r="IA8" s="1">
        <v>0</v>
      </c>
      <c r="IB8" s="1">
        <v>0</v>
      </c>
      <c r="IC8" s="1">
        <v>0</v>
      </c>
      <c r="ID8" s="1">
        <v>0</v>
      </c>
      <c r="IE8" s="1">
        <v>0</v>
      </c>
      <c r="IF8" s="1">
        <v>9.4487179487179489</v>
      </c>
      <c r="IG8" s="1">
        <v>0</v>
      </c>
      <c r="IH8" s="1">
        <v>0</v>
      </c>
      <c r="II8" s="1">
        <v>0</v>
      </c>
      <c r="IJ8" s="1">
        <v>0</v>
      </c>
      <c r="IK8" s="1">
        <v>0</v>
      </c>
      <c r="IL8" s="1">
        <v>0</v>
      </c>
      <c r="IM8" s="1">
        <v>2.564102564102563</v>
      </c>
      <c r="IN8" s="1">
        <v>15.384615384615385</v>
      </c>
      <c r="IO8" s="1">
        <v>16.666666666666664</v>
      </c>
      <c r="IP8" s="1">
        <v>65.384615384615302</v>
      </c>
      <c r="IQ8" s="1">
        <v>9.4487179487179276</v>
      </c>
      <c r="IR8" s="1">
        <v>78</v>
      </c>
      <c r="IS8" s="1">
        <v>50.588235294117617</v>
      </c>
      <c r="IT8" s="1">
        <v>31.764705882352871</v>
      </c>
      <c r="IU8" s="1">
        <v>10.58823529411765</v>
      </c>
      <c r="IV8" s="1">
        <v>3.5294117647058783</v>
      </c>
      <c r="IW8" s="1">
        <v>3.5294117647058783</v>
      </c>
      <c r="IX8" s="1">
        <v>85</v>
      </c>
      <c r="IY8" s="1">
        <v>1</v>
      </c>
      <c r="IZ8" s="1">
        <v>44.332600000000092</v>
      </c>
      <c r="JA8" s="1">
        <v>16.689920000000026</v>
      </c>
      <c r="JB8" s="1">
        <v>16.689920000000026</v>
      </c>
      <c r="JC8" s="1">
        <v>7.3018400000000057</v>
      </c>
      <c r="JD8" s="1">
        <v>8.8665200000000084</v>
      </c>
      <c r="JE8" s="1">
        <v>0.37647058823529345</v>
      </c>
      <c r="JF8" s="1">
        <v>0.37647058823529345</v>
      </c>
      <c r="JG8" s="1">
        <v>0.1647058823529407</v>
      </c>
      <c r="JH8" s="1">
        <v>0.1999999999999994</v>
      </c>
      <c r="JI8" s="1">
        <v>1</v>
      </c>
      <c r="JJ8" s="1">
        <v>85</v>
      </c>
      <c r="JK8" s="1">
        <v>2.8974358974358974</v>
      </c>
      <c r="JL8" s="1">
        <v>2.8974358974358894</v>
      </c>
      <c r="JM8" s="1">
        <v>78</v>
      </c>
      <c r="JN8" s="1">
        <v>88.571428571428456</v>
      </c>
      <c r="JO8" s="1">
        <v>11.428571428571438</v>
      </c>
      <c r="JP8" s="1">
        <v>35</v>
      </c>
      <c r="JQ8" s="1">
        <v>100</v>
      </c>
      <c r="JR8" s="1">
        <v>0</v>
      </c>
      <c r="JS8" s="1">
        <v>55</v>
      </c>
      <c r="JT8" s="1">
        <v>94.59459459459481</v>
      </c>
      <c r="JU8" s="1">
        <v>5.4054054054054053</v>
      </c>
      <c r="JV8" s="1">
        <v>74</v>
      </c>
      <c r="JW8" s="1">
        <v>97.916666666666757</v>
      </c>
      <c r="JX8" s="1">
        <v>2.083333333333333</v>
      </c>
      <c r="JY8" s="1">
        <v>48</v>
      </c>
      <c r="JZ8" s="1">
        <v>53.01204819277104</v>
      </c>
      <c r="KA8" s="1">
        <v>46.987951807228903</v>
      </c>
      <c r="KB8" s="1">
        <v>83</v>
      </c>
      <c r="KC8" s="1">
        <v>97.5</v>
      </c>
      <c r="KD8" s="1">
        <v>2.4999999999999996</v>
      </c>
      <c r="KE8" s="1">
        <v>80</v>
      </c>
      <c r="KF8" s="1">
        <v>3.4358974358974357</v>
      </c>
      <c r="KG8" s="1">
        <v>1.2820512820512815</v>
      </c>
      <c r="KH8" s="1">
        <v>14.10256410256407</v>
      </c>
      <c r="KI8" s="1">
        <v>42.307692307692349</v>
      </c>
      <c r="KJ8" s="1">
        <v>24.358974358974351</v>
      </c>
      <c r="KK8" s="1">
        <v>17.948717948717942</v>
      </c>
      <c r="KL8" s="1">
        <v>78</v>
      </c>
      <c r="KM8" s="1">
        <v>60.294871794871767</v>
      </c>
      <c r="KN8" s="1">
        <v>64.875</v>
      </c>
      <c r="KO8" s="1">
        <v>0</v>
      </c>
      <c r="KP8" s="1">
        <v>12.5</v>
      </c>
      <c r="KQ8" s="1">
        <v>50</v>
      </c>
      <c r="KR8" s="1">
        <v>25</v>
      </c>
      <c r="KS8" s="1">
        <v>12.5</v>
      </c>
      <c r="KT8" s="1">
        <v>8</v>
      </c>
      <c r="KU8" s="1">
        <v>2.4691358024691374</v>
      </c>
      <c r="KV8" s="1">
        <v>2.4691358024691374</v>
      </c>
      <c r="KW8" s="1">
        <v>1.2345679012345687</v>
      </c>
      <c r="KX8" s="1">
        <v>90.123456790123598</v>
      </c>
      <c r="KY8" s="1">
        <v>3.7037037037036957</v>
      </c>
      <c r="KZ8" s="1">
        <v>81</v>
      </c>
      <c r="LA8" s="1">
        <v>13.253012048192756</v>
      </c>
      <c r="LB8" s="1">
        <v>86.746987951807341</v>
      </c>
      <c r="LC8" s="1">
        <v>83</v>
      </c>
      <c r="LD8" s="1">
        <v>0</v>
      </c>
      <c r="LE8" s="1">
        <v>9.0909090909090917</v>
      </c>
      <c r="LF8" s="1">
        <v>90.909090909090892</v>
      </c>
      <c r="LG8" s="1">
        <v>11</v>
      </c>
    </row>
    <row r="9" spans="1:320" x14ac:dyDescent="0.25">
      <c r="A9" s="1">
        <v>19</v>
      </c>
      <c r="B9" s="1">
        <v>7.9999999999999991</v>
      </c>
      <c r="C9" s="1">
        <v>91.999999999999986</v>
      </c>
      <c r="D9" s="1">
        <v>25</v>
      </c>
      <c r="E9" s="1">
        <v>91.304347826086982</v>
      </c>
      <c r="F9" s="1">
        <v>8.6956521739130395</v>
      </c>
      <c r="G9" s="1">
        <v>23</v>
      </c>
      <c r="H9" s="1">
        <v>76.190476190476161</v>
      </c>
      <c r="I9" s="1">
        <v>23.809523809523803</v>
      </c>
      <c r="J9" s="1">
        <v>21</v>
      </c>
      <c r="K9" s="1">
        <v>1</v>
      </c>
      <c r="L9" s="1">
        <v>43.693099999999987</v>
      </c>
      <c r="M9" s="1">
        <v>11.398199999999999</v>
      </c>
      <c r="N9" s="1">
        <v>3.7994000000000012</v>
      </c>
      <c r="O9" s="1">
        <v>17.097300000000004</v>
      </c>
      <c r="P9" s="1">
        <v>1.8997000000000006</v>
      </c>
      <c r="Q9" s="1">
        <v>22.796399999999998</v>
      </c>
      <c r="R9" s="1">
        <v>3.7994000000000012</v>
      </c>
      <c r="S9" s="1">
        <v>0</v>
      </c>
      <c r="T9" s="1">
        <v>7.5988000000000024</v>
      </c>
      <c r="U9" s="1">
        <v>7.5988000000000024</v>
      </c>
      <c r="V9" s="1">
        <v>1.8997000000000006</v>
      </c>
      <c r="W9" s="1">
        <v>0.26086956521739135</v>
      </c>
      <c r="X9" s="1">
        <v>8.6956521739130391E-2</v>
      </c>
      <c r="Y9" s="1">
        <v>0.39130434782608675</v>
      </c>
      <c r="Z9" s="1">
        <v>4.3478260869565195E-2</v>
      </c>
      <c r="AA9" s="1">
        <v>0.52173913043478271</v>
      </c>
      <c r="AB9" s="1">
        <v>8.6956521739130391E-2</v>
      </c>
      <c r="AC9" s="1">
        <v>0</v>
      </c>
      <c r="AD9" s="1">
        <v>0.17391304347826078</v>
      </c>
      <c r="AE9" s="1">
        <v>0.17391304347826078</v>
      </c>
      <c r="AF9" s="1">
        <v>4.3478260869565195E-2</v>
      </c>
      <c r="AG9" s="1">
        <v>1</v>
      </c>
      <c r="AH9" s="1">
        <v>23</v>
      </c>
      <c r="AI9" s="1">
        <v>1</v>
      </c>
      <c r="AJ9" s="1">
        <v>39.893699999999988</v>
      </c>
      <c r="AK9" s="1">
        <v>3.7994000000000012</v>
      </c>
      <c r="AL9" s="1">
        <v>7.5988000000000024</v>
      </c>
      <c r="AM9" s="1">
        <v>13.297900000000004</v>
      </c>
      <c r="AN9" s="1">
        <v>15.197600000000005</v>
      </c>
      <c r="AO9" s="1">
        <v>0</v>
      </c>
      <c r="AP9" s="1">
        <v>15.197600000000005</v>
      </c>
      <c r="AQ9" s="1">
        <v>9.5238095238095288E-2</v>
      </c>
      <c r="AR9" s="1">
        <v>0.19047619047619058</v>
      </c>
      <c r="AS9" s="1">
        <v>0.33333333333333315</v>
      </c>
      <c r="AT9" s="1">
        <v>0.38095238095238082</v>
      </c>
      <c r="AU9" s="1">
        <v>0</v>
      </c>
      <c r="AV9" s="1">
        <v>0.38095238095238082</v>
      </c>
      <c r="AW9" s="1">
        <v>1</v>
      </c>
      <c r="AX9" s="1">
        <v>21</v>
      </c>
      <c r="AY9" s="1">
        <v>9.92</v>
      </c>
      <c r="AZ9" s="1">
        <v>10</v>
      </c>
      <c r="BA9" s="1">
        <v>10</v>
      </c>
      <c r="BB9" s="1">
        <v>0</v>
      </c>
      <c r="BC9" s="1">
        <v>0</v>
      </c>
      <c r="BD9" s="1">
        <v>0</v>
      </c>
      <c r="BE9" s="1">
        <v>0</v>
      </c>
      <c r="BF9" s="1">
        <v>0</v>
      </c>
      <c r="BG9" s="1">
        <v>0</v>
      </c>
      <c r="BH9" s="1">
        <v>0</v>
      </c>
      <c r="BI9" s="1">
        <v>0</v>
      </c>
      <c r="BJ9" s="1">
        <v>7.9999999999999991</v>
      </c>
      <c r="BK9" s="1">
        <v>91.999999999999986</v>
      </c>
      <c r="BL9" s="1">
        <v>9.9200000000000088</v>
      </c>
      <c r="BM9" s="1">
        <v>25</v>
      </c>
      <c r="BN9" s="1">
        <v>0</v>
      </c>
      <c r="BO9" s="1">
        <v>0</v>
      </c>
      <c r="BP9" s="1">
        <v>0</v>
      </c>
      <c r="BQ9" s="1">
        <v>0</v>
      </c>
      <c r="BR9" s="1">
        <v>0</v>
      </c>
      <c r="BS9" s="1">
        <v>0</v>
      </c>
      <c r="BT9" s="1">
        <v>0</v>
      </c>
      <c r="BU9" s="1">
        <v>0</v>
      </c>
      <c r="BV9" s="1">
        <v>0</v>
      </c>
      <c r="BW9" s="1">
        <v>100.00000000000001</v>
      </c>
      <c r="BX9" s="1">
        <v>10.000000000000002</v>
      </c>
      <c r="BY9" s="1">
        <v>25</v>
      </c>
      <c r="BZ9" s="1">
        <v>0</v>
      </c>
      <c r="CA9" s="1">
        <v>0</v>
      </c>
      <c r="CB9" s="1">
        <v>0</v>
      </c>
      <c r="CC9" s="1">
        <v>0</v>
      </c>
      <c r="CD9" s="1">
        <v>0</v>
      </c>
      <c r="CE9" s="1">
        <v>0</v>
      </c>
      <c r="CF9" s="1">
        <v>0</v>
      </c>
      <c r="CG9" s="1">
        <v>0</v>
      </c>
      <c r="CH9" s="1">
        <v>0</v>
      </c>
      <c r="CI9" s="1">
        <v>100.00000000000001</v>
      </c>
      <c r="CJ9" s="1">
        <v>10.000000000000002</v>
      </c>
      <c r="CK9" s="1">
        <v>25</v>
      </c>
      <c r="CL9" s="1">
        <v>26.086956521739125</v>
      </c>
      <c r="CM9" s="1">
        <v>34.782608695652158</v>
      </c>
      <c r="CN9" s="1">
        <v>0</v>
      </c>
      <c r="CO9" s="1">
        <v>34.782608695652158</v>
      </c>
      <c r="CP9" s="1">
        <v>4.3478260869565197</v>
      </c>
      <c r="CQ9" s="1">
        <v>23</v>
      </c>
      <c r="CR9" s="1">
        <v>72.727272727272734</v>
      </c>
      <c r="CS9" s="1">
        <v>22.727272727272734</v>
      </c>
      <c r="CT9" s="1">
        <v>0</v>
      </c>
      <c r="CU9" s="1">
        <v>4.5454545454545459</v>
      </c>
      <c r="CV9" s="1">
        <v>0</v>
      </c>
      <c r="CW9" s="1">
        <v>22</v>
      </c>
      <c r="CX9" s="1">
        <v>54.166666666666657</v>
      </c>
      <c r="CY9" s="1">
        <v>37.499999999999993</v>
      </c>
      <c r="CZ9" s="1">
        <v>8.3333333333333357</v>
      </c>
      <c r="DA9" s="1">
        <v>0</v>
      </c>
      <c r="DB9" s="1">
        <v>0</v>
      </c>
      <c r="DC9" s="1">
        <v>24</v>
      </c>
      <c r="DD9" s="1">
        <v>78.26086956521732</v>
      </c>
      <c r="DE9" s="1">
        <v>21.739130434782609</v>
      </c>
      <c r="DF9" s="1">
        <v>0</v>
      </c>
      <c r="DG9" s="1">
        <v>0</v>
      </c>
      <c r="DH9" s="1">
        <v>0</v>
      </c>
      <c r="DI9" s="1">
        <v>23</v>
      </c>
      <c r="DJ9" s="1">
        <v>13.333333333333336</v>
      </c>
      <c r="DK9" s="1">
        <v>26.666666666666671</v>
      </c>
      <c r="DL9" s="1">
        <v>13.333333333333336</v>
      </c>
      <c r="DM9" s="1">
        <v>26.666666666666671</v>
      </c>
      <c r="DN9" s="1">
        <v>20.000000000000004</v>
      </c>
      <c r="DO9" s="1">
        <v>15</v>
      </c>
      <c r="DP9" s="1">
        <v>87.499999999999986</v>
      </c>
      <c r="DQ9" s="1">
        <v>12.499999999999998</v>
      </c>
      <c r="DR9" s="1">
        <v>0</v>
      </c>
      <c r="DS9" s="1">
        <v>0</v>
      </c>
      <c r="DT9" s="1">
        <v>0</v>
      </c>
      <c r="DU9" s="1">
        <v>24</v>
      </c>
      <c r="DV9" s="1">
        <v>57.142857142857132</v>
      </c>
      <c r="DW9" s="1">
        <v>14.285714285714283</v>
      </c>
      <c r="DX9" s="1">
        <v>14.285714285714283</v>
      </c>
      <c r="DY9" s="1">
        <v>0</v>
      </c>
      <c r="DZ9" s="1">
        <v>14.285714285714283</v>
      </c>
      <c r="EA9" s="1">
        <v>7</v>
      </c>
      <c r="EB9" s="1">
        <v>62.500000000000007</v>
      </c>
      <c r="EC9" s="1">
        <v>37.5</v>
      </c>
      <c r="ED9" s="1">
        <v>0</v>
      </c>
      <c r="EE9" s="1">
        <v>0</v>
      </c>
      <c r="EF9" s="1">
        <v>0</v>
      </c>
      <c r="EG9" s="1">
        <v>8</v>
      </c>
      <c r="EH9" s="1">
        <v>28.571428571428566</v>
      </c>
      <c r="EI9" s="1">
        <v>57.142857142857132</v>
      </c>
      <c r="EJ9" s="1">
        <v>0</v>
      </c>
      <c r="EK9" s="1">
        <v>14.285714285714283</v>
      </c>
      <c r="EL9" s="1">
        <v>0</v>
      </c>
      <c r="EM9" s="1">
        <v>7</v>
      </c>
      <c r="EN9" s="1">
        <v>62.500000000000007</v>
      </c>
      <c r="EO9" s="1">
        <v>37.5</v>
      </c>
      <c r="EP9" s="1">
        <v>0</v>
      </c>
      <c r="EQ9" s="1">
        <v>0</v>
      </c>
      <c r="ER9" s="1">
        <v>0</v>
      </c>
      <c r="ES9" s="1">
        <v>8</v>
      </c>
      <c r="ET9" s="1">
        <v>87.500000000000014</v>
      </c>
      <c r="EU9" s="1">
        <v>12.500000000000002</v>
      </c>
      <c r="EV9" s="1">
        <v>0</v>
      </c>
      <c r="EW9" s="1">
        <v>0</v>
      </c>
      <c r="EX9" s="1">
        <v>0</v>
      </c>
      <c r="EY9" s="1">
        <v>8</v>
      </c>
      <c r="EZ9" s="1">
        <v>16.666666666666671</v>
      </c>
      <c r="FA9" s="1">
        <v>66.666666666666686</v>
      </c>
      <c r="FB9" s="1">
        <v>16.666666666666671</v>
      </c>
      <c r="FC9" s="1">
        <v>0</v>
      </c>
      <c r="FD9" s="1">
        <v>0</v>
      </c>
      <c r="FE9" s="1">
        <v>6</v>
      </c>
      <c r="FF9" s="1">
        <v>50.000000000000007</v>
      </c>
      <c r="FG9" s="1">
        <v>50.000000000000007</v>
      </c>
      <c r="FH9" s="1">
        <v>0</v>
      </c>
      <c r="FI9" s="1">
        <v>0</v>
      </c>
      <c r="FJ9" s="1">
        <v>0</v>
      </c>
      <c r="FK9" s="1">
        <v>8</v>
      </c>
      <c r="FL9" s="1">
        <v>20</v>
      </c>
      <c r="FM9" s="1">
        <v>40</v>
      </c>
      <c r="FN9" s="1">
        <v>0</v>
      </c>
      <c r="FO9" s="1">
        <v>40</v>
      </c>
      <c r="FP9" s="1">
        <v>0</v>
      </c>
      <c r="FQ9" s="1">
        <v>5</v>
      </c>
      <c r="FR9" s="1">
        <v>33.333333333333343</v>
      </c>
      <c r="FS9" s="1">
        <v>66.666666666666686</v>
      </c>
      <c r="FT9" s="1">
        <v>0</v>
      </c>
      <c r="FU9" s="1">
        <v>0</v>
      </c>
      <c r="FV9" s="1">
        <v>0</v>
      </c>
      <c r="FW9" s="1">
        <v>3</v>
      </c>
      <c r="FX9" s="1">
        <v>74.999999999999986</v>
      </c>
      <c r="FY9" s="1">
        <v>24.999999999999996</v>
      </c>
      <c r="FZ9" s="1">
        <v>0</v>
      </c>
      <c r="GA9" s="1">
        <v>0</v>
      </c>
      <c r="GB9" s="1">
        <v>0</v>
      </c>
      <c r="GC9" s="1">
        <v>24</v>
      </c>
      <c r="GD9" s="1">
        <v>85.714285714285722</v>
      </c>
      <c r="GE9" s="1">
        <v>14.285714285714283</v>
      </c>
      <c r="GF9" s="1">
        <v>0</v>
      </c>
      <c r="GG9" s="1">
        <v>0</v>
      </c>
      <c r="GH9" s="1">
        <v>0</v>
      </c>
      <c r="GI9" s="1">
        <v>14</v>
      </c>
      <c r="GJ9" s="1">
        <v>80</v>
      </c>
      <c r="GK9" s="1">
        <v>20.000000000000004</v>
      </c>
      <c r="GL9" s="1">
        <v>0</v>
      </c>
      <c r="GM9" s="1">
        <v>0</v>
      </c>
      <c r="GN9" s="1">
        <v>0</v>
      </c>
      <c r="GO9" s="1">
        <v>10</v>
      </c>
      <c r="GP9" s="1">
        <v>83.3333333333333</v>
      </c>
      <c r="GQ9" s="1">
        <v>16.666666666666682</v>
      </c>
      <c r="GR9" s="1">
        <v>0</v>
      </c>
      <c r="GS9" s="1">
        <v>0</v>
      </c>
      <c r="GT9" s="1">
        <v>0</v>
      </c>
      <c r="GU9" s="1">
        <v>12</v>
      </c>
      <c r="GV9" s="1">
        <v>90.909090909090935</v>
      </c>
      <c r="GW9" s="1">
        <v>9.0909090909090935</v>
      </c>
      <c r="GX9" s="1">
        <v>0</v>
      </c>
      <c r="GY9" s="1">
        <v>0</v>
      </c>
      <c r="GZ9" s="1">
        <v>0</v>
      </c>
      <c r="HA9" s="1">
        <v>11</v>
      </c>
      <c r="HB9" s="1">
        <v>56.250000000000007</v>
      </c>
      <c r="HC9" s="1">
        <v>43.750000000000007</v>
      </c>
      <c r="HD9" s="1">
        <v>0</v>
      </c>
      <c r="HE9" s="1">
        <v>0</v>
      </c>
      <c r="HF9" s="1">
        <v>0</v>
      </c>
      <c r="HG9" s="1">
        <v>16</v>
      </c>
      <c r="HH9" s="1">
        <v>75</v>
      </c>
      <c r="HI9" s="1">
        <v>25.000000000000004</v>
      </c>
      <c r="HJ9" s="1">
        <v>0</v>
      </c>
      <c r="HK9" s="1">
        <v>0</v>
      </c>
      <c r="HL9" s="1">
        <v>0</v>
      </c>
      <c r="HM9" s="1">
        <v>16</v>
      </c>
      <c r="HN9" s="1">
        <v>0</v>
      </c>
      <c r="HO9" s="1">
        <v>0</v>
      </c>
      <c r="HP9" s="1">
        <v>0</v>
      </c>
      <c r="HQ9" s="1">
        <v>0</v>
      </c>
      <c r="HR9" s="1">
        <v>0</v>
      </c>
      <c r="HS9" s="1">
        <v>0</v>
      </c>
      <c r="HT9" s="1">
        <v>0</v>
      </c>
      <c r="HU9" s="1">
        <v>0</v>
      </c>
      <c r="HV9" s="1">
        <v>0</v>
      </c>
      <c r="HW9" s="1">
        <v>0</v>
      </c>
      <c r="HX9" s="1">
        <v>0</v>
      </c>
      <c r="HY9" s="1">
        <v>0</v>
      </c>
      <c r="HZ9" s="1">
        <v>0</v>
      </c>
      <c r="IA9" s="1">
        <v>0</v>
      </c>
      <c r="IB9" s="1">
        <v>0</v>
      </c>
      <c r="IC9" s="1">
        <v>0</v>
      </c>
      <c r="ID9" s="1">
        <v>0</v>
      </c>
      <c r="IE9" s="1">
        <v>0</v>
      </c>
      <c r="IF9" s="1">
        <v>9.882352941176471</v>
      </c>
      <c r="IG9" s="1">
        <v>0</v>
      </c>
      <c r="IH9" s="1">
        <v>0</v>
      </c>
      <c r="II9" s="1">
        <v>0</v>
      </c>
      <c r="IJ9" s="1">
        <v>0</v>
      </c>
      <c r="IK9" s="1">
        <v>0</v>
      </c>
      <c r="IL9" s="1">
        <v>0</v>
      </c>
      <c r="IM9" s="1">
        <v>0</v>
      </c>
      <c r="IN9" s="1">
        <v>0</v>
      </c>
      <c r="IO9" s="1">
        <v>11.764705882352946</v>
      </c>
      <c r="IP9" s="1">
        <v>88.235294117647044</v>
      </c>
      <c r="IQ9" s="1">
        <v>9.882352941176471</v>
      </c>
      <c r="IR9" s="1">
        <v>17</v>
      </c>
      <c r="IS9" s="1">
        <v>43.999999999999993</v>
      </c>
      <c r="IT9" s="1">
        <v>43.999999999999993</v>
      </c>
      <c r="IU9" s="1">
        <v>3.9999999999999996</v>
      </c>
      <c r="IV9" s="1">
        <v>7.9999999999999991</v>
      </c>
      <c r="IW9" s="1">
        <v>0</v>
      </c>
      <c r="IX9" s="1">
        <v>25</v>
      </c>
      <c r="IY9" s="1">
        <v>1</v>
      </c>
      <c r="IZ9" s="1">
        <v>47.492500000000035</v>
      </c>
      <c r="JA9" s="1">
        <v>18.997000000000003</v>
      </c>
      <c r="JB9" s="1">
        <v>24.696099999999998</v>
      </c>
      <c r="JC9" s="1">
        <v>3.7994000000000012</v>
      </c>
      <c r="JD9" s="1">
        <v>1.8997000000000006</v>
      </c>
      <c r="JE9" s="1">
        <v>0.3999999999999998</v>
      </c>
      <c r="JF9" s="1">
        <v>0.51999999999999968</v>
      </c>
      <c r="JG9" s="1">
        <v>8.0000000000000016E-2</v>
      </c>
      <c r="JH9" s="1">
        <v>4.0000000000000008E-2</v>
      </c>
      <c r="JI9" s="1">
        <v>1</v>
      </c>
      <c r="JJ9" s="1">
        <v>25</v>
      </c>
      <c r="JK9" s="1">
        <v>2.5416666666666665</v>
      </c>
      <c r="JL9" s="1">
        <v>2.5416666666666647</v>
      </c>
      <c r="JM9" s="1">
        <v>24</v>
      </c>
      <c r="JN9" s="1">
        <v>100</v>
      </c>
      <c r="JO9" s="1">
        <v>0</v>
      </c>
      <c r="JP9" s="1">
        <v>12</v>
      </c>
      <c r="JQ9" s="1">
        <v>100</v>
      </c>
      <c r="JR9" s="1">
        <v>0</v>
      </c>
      <c r="JS9" s="1">
        <v>17</v>
      </c>
      <c r="JT9" s="1">
        <v>95.8333333333333</v>
      </c>
      <c r="JU9" s="1">
        <v>4.1666666666666679</v>
      </c>
      <c r="JV9" s="1">
        <v>24</v>
      </c>
      <c r="JW9" s="1">
        <v>94.4444444444444</v>
      </c>
      <c r="JX9" s="1">
        <v>5.5555555555555554</v>
      </c>
      <c r="JY9" s="1">
        <v>18</v>
      </c>
      <c r="JZ9" s="1">
        <v>49.999999999999993</v>
      </c>
      <c r="KA9" s="1">
        <v>49.999999999999993</v>
      </c>
      <c r="KB9" s="1">
        <v>24</v>
      </c>
      <c r="KC9" s="1">
        <v>99.999999999999986</v>
      </c>
      <c r="KD9" s="1">
        <v>0</v>
      </c>
      <c r="KE9" s="1">
        <v>23</v>
      </c>
      <c r="KF9" s="1">
        <v>3.2777777777777777</v>
      </c>
      <c r="KG9" s="1">
        <v>0</v>
      </c>
      <c r="KH9" s="1">
        <v>22.222222222222221</v>
      </c>
      <c r="KI9" s="1">
        <v>33.333333333333343</v>
      </c>
      <c r="KJ9" s="1">
        <v>38.888888888888907</v>
      </c>
      <c r="KK9" s="1">
        <v>5.5555555555555554</v>
      </c>
      <c r="KL9" s="1">
        <v>18</v>
      </c>
      <c r="KM9" s="1">
        <v>56.833333333333321</v>
      </c>
      <c r="KN9" s="1">
        <v>0</v>
      </c>
      <c r="KO9" s="1">
        <v>0</v>
      </c>
      <c r="KP9" s="1">
        <v>0</v>
      </c>
      <c r="KQ9" s="1">
        <v>0</v>
      </c>
      <c r="KR9" s="1">
        <v>0</v>
      </c>
      <c r="KS9" s="1">
        <v>0</v>
      </c>
      <c r="KT9" s="1">
        <v>0</v>
      </c>
      <c r="KU9" s="1">
        <v>0</v>
      </c>
      <c r="KV9" s="1">
        <v>0</v>
      </c>
      <c r="KW9" s="1">
        <v>4.5454545454545459</v>
      </c>
      <c r="KX9" s="1">
        <v>95.454545454545482</v>
      </c>
      <c r="KY9" s="1">
        <v>0</v>
      </c>
      <c r="KZ9" s="1">
        <v>22</v>
      </c>
      <c r="LA9" s="1">
        <v>33.333333333333343</v>
      </c>
      <c r="LB9" s="1">
        <v>66.666666666666586</v>
      </c>
      <c r="LC9" s="1">
        <v>24</v>
      </c>
      <c r="LD9" s="1">
        <v>0</v>
      </c>
      <c r="LE9" s="1">
        <v>0</v>
      </c>
      <c r="LF9" s="1">
        <v>100</v>
      </c>
      <c r="LG9" s="1">
        <v>8</v>
      </c>
    </row>
    <row r="10" spans="1:320" x14ac:dyDescent="0.25">
      <c r="A10" s="1">
        <v>21</v>
      </c>
      <c r="B10" s="1">
        <v>26.666666666666682</v>
      </c>
      <c r="C10" s="1">
        <v>73.333333333333371</v>
      </c>
      <c r="D10" s="1">
        <v>45</v>
      </c>
      <c r="E10" s="1">
        <v>81.818181818181813</v>
      </c>
      <c r="F10" s="1">
        <v>18.181818181818194</v>
      </c>
      <c r="G10" s="1">
        <v>33</v>
      </c>
      <c r="H10" s="1">
        <v>66.666666666666728</v>
      </c>
      <c r="I10" s="1">
        <v>33.333333333333364</v>
      </c>
      <c r="J10" s="1">
        <v>27</v>
      </c>
      <c r="K10" s="1">
        <v>1</v>
      </c>
      <c r="L10" s="1">
        <v>26.452299999999983</v>
      </c>
      <c r="M10" s="1">
        <v>6.3255500000000024</v>
      </c>
      <c r="N10" s="1">
        <v>4.6004000000000014</v>
      </c>
      <c r="O10" s="1">
        <v>9.2008000000000028</v>
      </c>
      <c r="P10" s="1">
        <v>0</v>
      </c>
      <c r="Q10" s="1">
        <v>12.651100000000003</v>
      </c>
      <c r="R10" s="1">
        <v>0.57505000000000017</v>
      </c>
      <c r="S10" s="1">
        <v>1.1501000000000003</v>
      </c>
      <c r="T10" s="1">
        <v>5.7504999999999944</v>
      </c>
      <c r="U10" s="1">
        <v>4.6004000000000014</v>
      </c>
      <c r="V10" s="1">
        <v>0</v>
      </c>
      <c r="W10" s="1">
        <v>0.23913043478260881</v>
      </c>
      <c r="X10" s="1">
        <v>0.17391304347826092</v>
      </c>
      <c r="Y10" s="1">
        <v>0.34782608695652184</v>
      </c>
      <c r="Z10" s="1">
        <v>0</v>
      </c>
      <c r="AA10" s="1">
        <v>0.47826086956521763</v>
      </c>
      <c r="AB10" s="1">
        <v>2.1739130434782615E-2</v>
      </c>
      <c r="AC10" s="1">
        <v>4.347826086956523E-2</v>
      </c>
      <c r="AD10" s="1">
        <v>0.21739130434782614</v>
      </c>
      <c r="AE10" s="1">
        <v>0.17391304347826092</v>
      </c>
      <c r="AF10" s="1">
        <v>0</v>
      </c>
      <c r="AG10" s="1">
        <v>1</v>
      </c>
      <c r="AH10" s="1">
        <v>46</v>
      </c>
      <c r="AI10" s="1">
        <v>1</v>
      </c>
      <c r="AJ10" s="1">
        <v>23.577050000000014</v>
      </c>
      <c r="AK10" s="1">
        <v>17.251499999999972</v>
      </c>
      <c r="AL10" s="1">
        <v>17.826549999999994</v>
      </c>
      <c r="AM10" s="1">
        <v>12.076050000000002</v>
      </c>
      <c r="AN10" s="1">
        <v>14.376249999999999</v>
      </c>
      <c r="AO10" s="1">
        <v>0.57505000000000017</v>
      </c>
      <c r="AP10" s="1">
        <v>0</v>
      </c>
      <c r="AQ10" s="1">
        <v>0.73170731707317072</v>
      </c>
      <c r="AR10" s="1">
        <v>0.75609756097560932</v>
      </c>
      <c r="AS10" s="1">
        <v>0.51219512195121919</v>
      </c>
      <c r="AT10" s="1">
        <v>0.60975609756097515</v>
      </c>
      <c r="AU10" s="1">
        <v>2.4390243902439039E-2</v>
      </c>
      <c r="AV10" s="1">
        <v>0</v>
      </c>
      <c r="AW10" s="1">
        <v>1</v>
      </c>
      <c r="AX10" s="1">
        <v>41</v>
      </c>
      <c r="AY10" s="1">
        <v>9.8666666666666671</v>
      </c>
      <c r="AZ10" s="1">
        <v>9.9130434782608692</v>
      </c>
      <c r="BA10" s="1">
        <v>9.9555555555555557</v>
      </c>
      <c r="BB10" s="1">
        <v>0</v>
      </c>
      <c r="BC10" s="1">
        <v>0</v>
      </c>
      <c r="BD10" s="1">
        <v>0</v>
      </c>
      <c r="BE10" s="1">
        <v>0</v>
      </c>
      <c r="BF10" s="1">
        <v>0</v>
      </c>
      <c r="BG10" s="1">
        <v>0</v>
      </c>
      <c r="BH10" s="1">
        <v>0</v>
      </c>
      <c r="BI10" s="1">
        <v>2.222222222222225</v>
      </c>
      <c r="BJ10" s="1">
        <v>8.8888888888888999</v>
      </c>
      <c r="BK10" s="1">
        <v>88.888888888888786</v>
      </c>
      <c r="BL10" s="1">
        <v>9.8666666666666636</v>
      </c>
      <c r="BM10" s="1">
        <v>45</v>
      </c>
      <c r="BN10" s="1">
        <v>0</v>
      </c>
      <c r="BO10" s="1">
        <v>0</v>
      </c>
      <c r="BP10" s="1">
        <v>0</v>
      </c>
      <c r="BQ10" s="1">
        <v>0</v>
      </c>
      <c r="BR10" s="1">
        <v>0</v>
      </c>
      <c r="BS10" s="1">
        <v>0</v>
      </c>
      <c r="BT10" s="1">
        <v>0</v>
      </c>
      <c r="BU10" s="1">
        <v>0</v>
      </c>
      <c r="BV10" s="1">
        <v>8.6956521739130483</v>
      </c>
      <c r="BW10" s="1">
        <v>91.304347826086982</v>
      </c>
      <c r="BX10" s="1">
        <v>9.913043478260871</v>
      </c>
      <c r="BY10" s="1">
        <v>46</v>
      </c>
      <c r="BZ10" s="1">
        <v>0</v>
      </c>
      <c r="CA10" s="1">
        <v>0</v>
      </c>
      <c r="CB10" s="1">
        <v>0</v>
      </c>
      <c r="CC10" s="1">
        <v>0</v>
      </c>
      <c r="CD10" s="1">
        <v>0</v>
      </c>
      <c r="CE10" s="1">
        <v>0</v>
      </c>
      <c r="CF10" s="1">
        <v>0</v>
      </c>
      <c r="CG10" s="1">
        <v>0</v>
      </c>
      <c r="CH10" s="1">
        <v>4.44444444444445</v>
      </c>
      <c r="CI10" s="1">
        <v>95.555555555555628</v>
      </c>
      <c r="CJ10" s="1">
        <v>9.9555555555555326</v>
      </c>
      <c r="CK10" s="1">
        <v>45</v>
      </c>
      <c r="CL10" s="1">
        <v>48.888888888888822</v>
      </c>
      <c r="CM10" s="1">
        <v>37.777777777777779</v>
      </c>
      <c r="CN10" s="1">
        <v>0</v>
      </c>
      <c r="CO10" s="1">
        <v>13.333333333333341</v>
      </c>
      <c r="CP10" s="1">
        <v>0</v>
      </c>
      <c r="CQ10" s="1">
        <v>45</v>
      </c>
      <c r="CR10" s="1">
        <v>82.978723404255206</v>
      </c>
      <c r="CS10" s="1">
        <v>12.765957446808518</v>
      </c>
      <c r="CT10" s="1">
        <v>2.1276595744680837</v>
      </c>
      <c r="CU10" s="1">
        <v>2.1276595744680837</v>
      </c>
      <c r="CV10" s="1">
        <v>0</v>
      </c>
      <c r="CW10" s="1">
        <v>47</v>
      </c>
      <c r="CX10" s="1">
        <v>97.872340425531846</v>
      </c>
      <c r="CY10" s="1">
        <v>0</v>
      </c>
      <c r="CZ10" s="1">
        <v>2.1276595744680837</v>
      </c>
      <c r="DA10" s="1">
        <v>0</v>
      </c>
      <c r="DB10" s="1">
        <v>0</v>
      </c>
      <c r="DC10" s="1">
        <v>47</v>
      </c>
      <c r="DD10" s="1">
        <v>91.666666666666686</v>
      </c>
      <c r="DE10" s="1">
        <v>2.0833333333333317</v>
      </c>
      <c r="DF10" s="1">
        <v>6.2499999999999991</v>
      </c>
      <c r="DG10" s="1">
        <v>0</v>
      </c>
      <c r="DH10" s="1">
        <v>0</v>
      </c>
      <c r="DI10" s="1">
        <v>48</v>
      </c>
      <c r="DJ10" s="1">
        <v>82.926829268292721</v>
      </c>
      <c r="DK10" s="1">
        <v>14.634146341463408</v>
      </c>
      <c r="DL10" s="1">
        <v>2.4390243902439015</v>
      </c>
      <c r="DM10" s="1">
        <v>0</v>
      </c>
      <c r="DN10" s="1">
        <v>0</v>
      </c>
      <c r="DO10" s="1">
        <v>41</v>
      </c>
      <c r="DP10" s="1">
        <v>95.8333333333333</v>
      </c>
      <c r="DQ10" s="1">
        <v>2.0833333333333317</v>
      </c>
      <c r="DR10" s="1">
        <v>2.0833333333333317</v>
      </c>
      <c r="DS10" s="1">
        <v>0</v>
      </c>
      <c r="DT10" s="1">
        <v>0</v>
      </c>
      <c r="DU10" s="1">
        <v>48</v>
      </c>
      <c r="DV10" s="1">
        <v>82.352941176470566</v>
      </c>
      <c r="DW10" s="1">
        <v>17.647058823529399</v>
      </c>
      <c r="DX10" s="1">
        <v>0</v>
      </c>
      <c r="DY10" s="1">
        <v>0</v>
      </c>
      <c r="DZ10" s="1">
        <v>0</v>
      </c>
      <c r="EA10" s="1">
        <v>34</v>
      </c>
      <c r="EB10" s="1">
        <v>84.61538461538467</v>
      </c>
      <c r="EC10" s="1">
        <v>7.6923076923076827</v>
      </c>
      <c r="ED10" s="1">
        <v>0</v>
      </c>
      <c r="EE10" s="1">
        <v>7.6923076923076827</v>
      </c>
      <c r="EF10" s="1">
        <v>0</v>
      </c>
      <c r="EG10" s="1">
        <v>13</v>
      </c>
      <c r="EH10" s="1">
        <v>63.636363636363605</v>
      </c>
      <c r="EI10" s="1">
        <v>18.181818181818159</v>
      </c>
      <c r="EJ10" s="1">
        <v>9.0909090909090793</v>
      </c>
      <c r="EK10" s="1">
        <v>9.0909090909090793</v>
      </c>
      <c r="EL10" s="1">
        <v>0</v>
      </c>
      <c r="EM10" s="1">
        <v>11</v>
      </c>
      <c r="EN10" s="1">
        <v>46.428571428571509</v>
      </c>
      <c r="EO10" s="1">
        <v>35.714285714285765</v>
      </c>
      <c r="EP10" s="1">
        <v>10.714285714285731</v>
      </c>
      <c r="EQ10" s="1">
        <v>7.142857142857153</v>
      </c>
      <c r="ER10" s="1">
        <v>0</v>
      </c>
      <c r="ES10" s="1">
        <v>28</v>
      </c>
      <c r="ET10" s="1">
        <v>42.857142857142925</v>
      </c>
      <c r="EU10" s="1">
        <v>46.428571428571509</v>
      </c>
      <c r="EV10" s="1">
        <v>7.142857142857153</v>
      </c>
      <c r="EW10" s="1">
        <v>3.5714285714285765</v>
      </c>
      <c r="EX10" s="1">
        <v>0</v>
      </c>
      <c r="EY10" s="1">
        <v>28</v>
      </c>
      <c r="EZ10" s="1">
        <v>60</v>
      </c>
      <c r="FA10" s="1">
        <v>30</v>
      </c>
      <c r="FB10" s="1">
        <v>10</v>
      </c>
      <c r="FC10" s="1">
        <v>0</v>
      </c>
      <c r="FD10" s="1">
        <v>0</v>
      </c>
      <c r="FE10" s="1">
        <v>10</v>
      </c>
      <c r="FF10" s="1">
        <v>75</v>
      </c>
      <c r="FG10" s="1">
        <v>25</v>
      </c>
      <c r="FH10" s="1">
        <v>0</v>
      </c>
      <c r="FI10" s="1">
        <v>0</v>
      </c>
      <c r="FJ10" s="1">
        <v>0</v>
      </c>
      <c r="FK10" s="1">
        <v>12</v>
      </c>
      <c r="FL10" s="1">
        <v>63.636363636363605</v>
      </c>
      <c r="FM10" s="1">
        <v>18.181818181818159</v>
      </c>
      <c r="FN10" s="1">
        <v>0</v>
      </c>
      <c r="FO10" s="1">
        <v>18.181818181818159</v>
      </c>
      <c r="FP10" s="1">
        <v>0</v>
      </c>
      <c r="FQ10" s="1">
        <v>11</v>
      </c>
      <c r="FR10" s="1">
        <v>88.888888888888786</v>
      </c>
      <c r="FS10" s="1">
        <v>11.111111111111098</v>
      </c>
      <c r="FT10" s="1">
        <v>0</v>
      </c>
      <c r="FU10" s="1">
        <v>0</v>
      </c>
      <c r="FV10" s="1">
        <v>0</v>
      </c>
      <c r="FW10" s="1">
        <v>9</v>
      </c>
      <c r="FX10" s="1">
        <v>95.744680851063919</v>
      </c>
      <c r="FY10" s="1">
        <v>4.2553191489361675</v>
      </c>
      <c r="FZ10" s="1">
        <v>0</v>
      </c>
      <c r="GA10" s="1">
        <v>0</v>
      </c>
      <c r="GB10" s="1">
        <v>0</v>
      </c>
      <c r="GC10" s="1">
        <v>47</v>
      </c>
      <c r="GD10" s="1">
        <v>80.000000000000014</v>
      </c>
      <c r="GE10" s="1">
        <v>13.333333333333341</v>
      </c>
      <c r="GF10" s="1">
        <v>6.6666666666666705</v>
      </c>
      <c r="GG10" s="1">
        <v>0</v>
      </c>
      <c r="GH10" s="1">
        <v>0</v>
      </c>
      <c r="GI10" s="1">
        <v>15</v>
      </c>
      <c r="GJ10" s="1">
        <v>78.947368421052587</v>
      </c>
      <c r="GK10" s="1">
        <v>21.052631578947377</v>
      </c>
      <c r="GL10" s="1">
        <v>0</v>
      </c>
      <c r="GM10" s="1">
        <v>0</v>
      </c>
      <c r="GN10" s="1">
        <v>0</v>
      </c>
      <c r="GO10" s="1">
        <v>19</v>
      </c>
      <c r="GP10" s="1">
        <v>82.499999999999986</v>
      </c>
      <c r="GQ10" s="1">
        <v>10</v>
      </c>
      <c r="GR10" s="1">
        <v>5</v>
      </c>
      <c r="GS10" s="1">
        <v>0</v>
      </c>
      <c r="GT10" s="1">
        <v>2.5</v>
      </c>
      <c r="GU10" s="1">
        <v>40</v>
      </c>
      <c r="GV10" s="1">
        <v>87.499999999999986</v>
      </c>
      <c r="GW10" s="1">
        <v>10</v>
      </c>
      <c r="GX10" s="1">
        <v>2.5</v>
      </c>
      <c r="GY10" s="1">
        <v>0</v>
      </c>
      <c r="GZ10" s="1">
        <v>0</v>
      </c>
      <c r="HA10" s="1">
        <v>40</v>
      </c>
      <c r="HB10" s="1">
        <v>50.000000000000007</v>
      </c>
      <c r="HC10" s="1">
        <v>31.250000000000004</v>
      </c>
      <c r="HD10" s="1">
        <v>0</v>
      </c>
      <c r="HE10" s="1">
        <v>18.750000000000004</v>
      </c>
      <c r="HF10" s="1">
        <v>0</v>
      </c>
      <c r="HG10" s="1">
        <v>16</v>
      </c>
      <c r="HH10" s="1">
        <v>64.285714285714249</v>
      </c>
      <c r="HI10" s="1">
        <v>21.428571428571423</v>
      </c>
      <c r="HJ10" s="1">
        <v>7.1428571428571503</v>
      </c>
      <c r="HK10" s="1">
        <v>7.1428571428571503</v>
      </c>
      <c r="HL10" s="1">
        <v>0</v>
      </c>
      <c r="HM10" s="1">
        <v>14</v>
      </c>
      <c r="HN10" s="1">
        <v>0</v>
      </c>
      <c r="HO10" s="1">
        <v>0</v>
      </c>
      <c r="HP10" s="1">
        <v>0</v>
      </c>
      <c r="HQ10" s="1">
        <v>0</v>
      </c>
      <c r="HR10" s="1">
        <v>0</v>
      </c>
      <c r="HS10" s="1">
        <v>0</v>
      </c>
      <c r="HT10" s="1">
        <v>0</v>
      </c>
      <c r="HU10" s="1">
        <v>0</v>
      </c>
      <c r="HV10" s="1">
        <v>0</v>
      </c>
      <c r="HW10" s="1">
        <v>0</v>
      </c>
      <c r="HX10" s="1">
        <v>0</v>
      </c>
      <c r="HY10" s="1">
        <v>0</v>
      </c>
      <c r="HZ10" s="1">
        <v>0</v>
      </c>
      <c r="IA10" s="1">
        <v>0</v>
      </c>
      <c r="IB10" s="1">
        <v>0</v>
      </c>
      <c r="IC10" s="1">
        <v>0</v>
      </c>
      <c r="ID10" s="1">
        <v>0</v>
      </c>
      <c r="IE10" s="1">
        <v>0</v>
      </c>
      <c r="IF10" s="1">
        <v>9.536585365853659</v>
      </c>
      <c r="IG10" s="1">
        <v>0</v>
      </c>
      <c r="IH10" s="1">
        <v>0</v>
      </c>
      <c r="II10" s="1">
        <v>0</v>
      </c>
      <c r="IJ10" s="1">
        <v>0</v>
      </c>
      <c r="IK10" s="1">
        <v>0</v>
      </c>
      <c r="IL10" s="1">
        <v>0</v>
      </c>
      <c r="IM10" s="1">
        <v>0</v>
      </c>
      <c r="IN10" s="1">
        <v>9.756097560975606</v>
      </c>
      <c r="IO10" s="1">
        <v>26.829268292682915</v>
      </c>
      <c r="IP10" s="1">
        <v>63.414634146341449</v>
      </c>
      <c r="IQ10" s="1">
        <v>9.5365853658536395</v>
      </c>
      <c r="IR10" s="1">
        <v>41</v>
      </c>
      <c r="IS10" s="1">
        <v>83.333333333333329</v>
      </c>
      <c r="IT10" s="1">
        <v>12.499999999999998</v>
      </c>
      <c r="IU10" s="1">
        <v>4.1666666666666634</v>
      </c>
      <c r="IV10" s="1">
        <v>0</v>
      </c>
      <c r="IW10" s="1">
        <v>0</v>
      </c>
      <c r="IX10" s="1">
        <v>48</v>
      </c>
      <c r="IY10" s="1">
        <v>1</v>
      </c>
      <c r="IZ10" s="1">
        <v>25.877250000000004</v>
      </c>
      <c r="JA10" s="1">
        <v>14.376249999999999</v>
      </c>
      <c r="JB10" s="1">
        <v>6.9005999999999981</v>
      </c>
      <c r="JC10" s="1">
        <v>5.7504999999999944</v>
      </c>
      <c r="JD10" s="1">
        <v>0</v>
      </c>
      <c r="JE10" s="1">
        <v>0.55555555555555447</v>
      </c>
      <c r="JF10" s="1">
        <v>0.26666666666666622</v>
      </c>
      <c r="JG10" s="1">
        <v>0.22222222222222196</v>
      </c>
      <c r="JH10" s="1">
        <v>0</v>
      </c>
      <c r="JI10" s="1">
        <v>1</v>
      </c>
      <c r="JJ10" s="1">
        <v>45</v>
      </c>
      <c r="JK10" s="1">
        <v>3.1276595744680851</v>
      </c>
      <c r="JL10" s="1">
        <v>3.1276595744680837</v>
      </c>
      <c r="JM10" s="1">
        <v>47</v>
      </c>
      <c r="JN10" s="1">
        <v>76.47058823529413</v>
      </c>
      <c r="JO10" s="1">
        <v>23.52941176470587</v>
      </c>
      <c r="JP10" s="1">
        <v>17</v>
      </c>
      <c r="JQ10" s="1">
        <v>90.322580645161267</v>
      </c>
      <c r="JR10" s="1">
        <v>9.6774193548387135</v>
      </c>
      <c r="JS10" s="1">
        <v>31</v>
      </c>
      <c r="JT10" s="1">
        <v>97.619047619047677</v>
      </c>
      <c r="JU10" s="1">
        <v>2.38095238095238</v>
      </c>
      <c r="JV10" s="1">
        <v>42</v>
      </c>
      <c r="JW10" s="1">
        <v>93.93939393939398</v>
      </c>
      <c r="JX10" s="1">
        <v>6.0606060606060623</v>
      </c>
      <c r="JY10" s="1">
        <v>33</v>
      </c>
      <c r="JZ10" s="1">
        <v>45.454545454545453</v>
      </c>
      <c r="KA10" s="1">
        <v>54.545454545454497</v>
      </c>
      <c r="KB10" s="1">
        <v>44</v>
      </c>
      <c r="KC10" s="1">
        <v>100</v>
      </c>
      <c r="KD10" s="1">
        <v>0</v>
      </c>
      <c r="KE10" s="1">
        <v>40</v>
      </c>
      <c r="KF10" s="1">
        <v>3.4358974358974357</v>
      </c>
      <c r="KG10" s="1">
        <v>2.5641025641025665</v>
      </c>
      <c r="KH10" s="1">
        <v>15.384615384615365</v>
      </c>
      <c r="KI10" s="1">
        <v>30.769230769230731</v>
      </c>
      <c r="KJ10" s="1">
        <v>38.46153846153851</v>
      </c>
      <c r="KK10" s="1">
        <v>12.820512820512819</v>
      </c>
      <c r="KL10" s="1">
        <v>39</v>
      </c>
      <c r="KM10" s="1">
        <v>59.794871794871725</v>
      </c>
      <c r="KN10" s="1">
        <v>9</v>
      </c>
      <c r="KO10" s="1">
        <v>0</v>
      </c>
      <c r="KP10" s="1">
        <v>100</v>
      </c>
      <c r="KQ10" s="1">
        <v>0</v>
      </c>
      <c r="KR10" s="1">
        <v>0</v>
      </c>
      <c r="KS10" s="1">
        <v>0</v>
      </c>
      <c r="KT10" s="1">
        <v>1</v>
      </c>
      <c r="KU10" s="1">
        <v>0</v>
      </c>
      <c r="KV10" s="1">
        <v>0</v>
      </c>
      <c r="KW10" s="1">
        <v>4.7619047619047601</v>
      </c>
      <c r="KX10" s="1">
        <v>95.238095238095326</v>
      </c>
      <c r="KY10" s="1">
        <v>0</v>
      </c>
      <c r="KZ10" s="1">
        <v>42</v>
      </c>
      <c r="LA10" s="1">
        <v>4.7619047619047601</v>
      </c>
      <c r="LB10" s="1">
        <v>95.238095238095326</v>
      </c>
      <c r="LC10" s="1">
        <v>42</v>
      </c>
      <c r="LD10" s="1">
        <v>0</v>
      </c>
      <c r="LE10" s="1">
        <v>0</v>
      </c>
      <c r="LF10" s="1">
        <v>100</v>
      </c>
      <c r="LG10" s="1">
        <v>2</v>
      </c>
    </row>
    <row r="11" spans="1:320" x14ac:dyDescent="0.25">
      <c r="A11" s="1">
        <v>23</v>
      </c>
      <c r="B11" s="1">
        <v>4.8780487804878012</v>
      </c>
      <c r="C11" s="1">
        <v>95.121951219512113</v>
      </c>
      <c r="D11" s="1">
        <v>41</v>
      </c>
      <c r="E11" s="1">
        <v>80.555555555555628</v>
      </c>
      <c r="F11" s="1">
        <v>19.44444444444445</v>
      </c>
      <c r="G11" s="1">
        <v>36</v>
      </c>
      <c r="H11" s="1">
        <v>74.074074074074076</v>
      </c>
      <c r="I11" s="1">
        <v>25.925925925925903</v>
      </c>
      <c r="J11" s="1">
        <v>27</v>
      </c>
      <c r="K11" s="1">
        <v>1</v>
      </c>
      <c r="L11" s="1">
        <v>26.886160000000025</v>
      </c>
      <c r="M11" s="1">
        <v>4.5903199999999993</v>
      </c>
      <c r="N11" s="1">
        <v>1.9672800000000012</v>
      </c>
      <c r="O11" s="1">
        <v>15.738240000000015</v>
      </c>
      <c r="P11" s="1">
        <v>0.65576000000000056</v>
      </c>
      <c r="Q11" s="1">
        <v>13.770960000000009</v>
      </c>
      <c r="R11" s="1">
        <v>0</v>
      </c>
      <c r="S11" s="1">
        <v>1.9672800000000012</v>
      </c>
      <c r="T11" s="1">
        <v>0.65576000000000056</v>
      </c>
      <c r="U11" s="1">
        <v>2.6230400000000023</v>
      </c>
      <c r="V11" s="1">
        <v>3.9345600000000021</v>
      </c>
      <c r="W11" s="1">
        <v>0.17073170731707313</v>
      </c>
      <c r="X11" s="1">
        <v>7.3170731707317013E-2</v>
      </c>
      <c r="Y11" s="1">
        <v>0.58536585365853688</v>
      </c>
      <c r="Z11" s="1">
        <v>2.4390243902439018E-2</v>
      </c>
      <c r="AA11" s="1">
        <v>0.51219512195121919</v>
      </c>
      <c r="AB11" s="1">
        <v>0</v>
      </c>
      <c r="AC11" s="1">
        <v>7.3170731707317013E-2</v>
      </c>
      <c r="AD11" s="1">
        <v>2.4390243902439018E-2</v>
      </c>
      <c r="AE11" s="1">
        <v>9.7560975609756087E-2</v>
      </c>
      <c r="AF11" s="1">
        <v>0.14634146341463403</v>
      </c>
      <c r="AG11" s="1">
        <v>1</v>
      </c>
      <c r="AH11" s="1">
        <v>41</v>
      </c>
      <c r="AI11" s="1">
        <v>1</v>
      </c>
      <c r="AJ11" s="1">
        <v>24.918880000000037</v>
      </c>
      <c r="AK11" s="1">
        <v>15.082480000000022</v>
      </c>
      <c r="AL11" s="1">
        <v>14.426720000000007</v>
      </c>
      <c r="AM11" s="1">
        <v>7.8691200000000041</v>
      </c>
      <c r="AN11" s="1">
        <v>13.115200000000012</v>
      </c>
      <c r="AO11" s="1">
        <v>1.3115200000000011</v>
      </c>
      <c r="AP11" s="1">
        <v>3.9345600000000021</v>
      </c>
      <c r="AQ11" s="1">
        <v>0.60526315789473639</v>
      </c>
      <c r="AR11" s="1">
        <v>0.57894736842105232</v>
      </c>
      <c r="AS11" s="1">
        <v>0.31578947368421051</v>
      </c>
      <c r="AT11" s="1">
        <v>0.52631578947368396</v>
      </c>
      <c r="AU11" s="1">
        <v>5.2631578947368376E-2</v>
      </c>
      <c r="AV11" s="1">
        <v>0.15789473684210525</v>
      </c>
      <c r="AW11" s="1">
        <v>1</v>
      </c>
      <c r="AX11" s="1">
        <v>38</v>
      </c>
      <c r="AY11" s="1">
        <v>9.65</v>
      </c>
      <c r="AZ11" s="1">
        <v>9.7750000000000004</v>
      </c>
      <c r="BA11" s="1">
        <v>9.7948717948717956</v>
      </c>
      <c r="BB11" s="1">
        <v>0</v>
      </c>
      <c r="BC11" s="1">
        <v>0</v>
      </c>
      <c r="BD11" s="1">
        <v>0</v>
      </c>
      <c r="BE11" s="1">
        <v>0</v>
      </c>
      <c r="BF11" s="1">
        <v>0</v>
      </c>
      <c r="BG11" s="1">
        <v>0</v>
      </c>
      <c r="BH11" s="1">
        <v>2.4999999999999996</v>
      </c>
      <c r="BI11" s="1">
        <v>9.9999999999999982</v>
      </c>
      <c r="BJ11" s="1">
        <v>7.4999999999999982</v>
      </c>
      <c r="BK11" s="1">
        <v>80</v>
      </c>
      <c r="BL11" s="1">
        <v>9.6499999999999932</v>
      </c>
      <c r="BM11" s="1">
        <v>40</v>
      </c>
      <c r="BN11" s="1">
        <v>0</v>
      </c>
      <c r="BO11" s="1">
        <v>0</v>
      </c>
      <c r="BP11" s="1">
        <v>0</v>
      </c>
      <c r="BQ11" s="1">
        <v>0</v>
      </c>
      <c r="BR11" s="1">
        <v>0</v>
      </c>
      <c r="BS11" s="1">
        <v>0</v>
      </c>
      <c r="BT11" s="1">
        <v>0</v>
      </c>
      <c r="BU11" s="1">
        <v>7.4999999999999982</v>
      </c>
      <c r="BV11" s="1">
        <v>7.4999999999999982</v>
      </c>
      <c r="BW11" s="1">
        <v>85</v>
      </c>
      <c r="BX11" s="1">
        <v>9.7749999999999915</v>
      </c>
      <c r="BY11" s="1">
        <v>40</v>
      </c>
      <c r="BZ11" s="1">
        <v>0</v>
      </c>
      <c r="CA11" s="1">
        <v>0</v>
      </c>
      <c r="CB11" s="1">
        <v>0</v>
      </c>
      <c r="CC11" s="1">
        <v>0</v>
      </c>
      <c r="CD11" s="1">
        <v>0</v>
      </c>
      <c r="CE11" s="1">
        <v>0</v>
      </c>
      <c r="CF11" s="1">
        <v>0</v>
      </c>
      <c r="CG11" s="1">
        <v>5.1282051282051304</v>
      </c>
      <c r="CH11" s="1">
        <v>10.256410256410261</v>
      </c>
      <c r="CI11" s="1">
        <v>84.615384615384656</v>
      </c>
      <c r="CJ11" s="1">
        <v>9.7948717948717832</v>
      </c>
      <c r="CK11" s="1">
        <v>39</v>
      </c>
      <c r="CL11" s="1">
        <v>24.999999999999989</v>
      </c>
      <c r="CM11" s="1">
        <v>47.499999999999993</v>
      </c>
      <c r="CN11" s="1">
        <v>4.9999999999999991</v>
      </c>
      <c r="CO11" s="1">
        <v>17.499999999999996</v>
      </c>
      <c r="CP11" s="1">
        <v>4.9999999999999991</v>
      </c>
      <c r="CQ11" s="1">
        <v>40</v>
      </c>
      <c r="CR11" s="1">
        <v>90</v>
      </c>
      <c r="CS11" s="1">
        <v>7.4999999999999982</v>
      </c>
      <c r="CT11" s="1">
        <v>2.4999999999999996</v>
      </c>
      <c r="CU11" s="1">
        <v>0</v>
      </c>
      <c r="CV11" s="1">
        <v>0</v>
      </c>
      <c r="CW11" s="1">
        <v>40</v>
      </c>
      <c r="CX11" s="1">
        <v>47.499999999999993</v>
      </c>
      <c r="CY11" s="1">
        <v>37.499999999999993</v>
      </c>
      <c r="CZ11" s="1">
        <v>12.499999999999995</v>
      </c>
      <c r="DA11" s="1">
        <v>2.4999999999999996</v>
      </c>
      <c r="DB11" s="1">
        <v>0</v>
      </c>
      <c r="DC11" s="1">
        <v>40</v>
      </c>
      <c r="DD11" s="1">
        <v>75.609756097560904</v>
      </c>
      <c r="DE11" s="1">
        <v>19.512195121951205</v>
      </c>
      <c r="DF11" s="1">
        <v>4.8780487804878012</v>
      </c>
      <c r="DG11" s="1">
        <v>0</v>
      </c>
      <c r="DH11" s="1">
        <v>0</v>
      </c>
      <c r="DI11" s="1">
        <v>41</v>
      </c>
      <c r="DJ11" s="1">
        <v>65.789473684210449</v>
      </c>
      <c r="DK11" s="1">
        <v>28.947368421052619</v>
      </c>
      <c r="DL11" s="1">
        <v>5.2631578947368416</v>
      </c>
      <c r="DM11" s="1">
        <v>0</v>
      </c>
      <c r="DN11" s="1">
        <v>0</v>
      </c>
      <c r="DO11" s="1">
        <v>38</v>
      </c>
      <c r="DP11" s="1">
        <v>94.999999999999986</v>
      </c>
      <c r="DQ11" s="1">
        <v>4.9999999999999991</v>
      </c>
      <c r="DR11" s="1">
        <v>0</v>
      </c>
      <c r="DS11" s="1">
        <v>0</v>
      </c>
      <c r="DT11" s="1">
        <v>0</v>
      </c>
      <c r="DU11" s="1">
        <v>40</v>
      </c>
      <c r="DV11" s="1">
        <v>60.869565217391305</v>
      </c>
      <c r="DW11" s="1">
        <v>17.391304347826082</v>
      </c>
      <c r="DX11" s="1">
        <v>17.391304347826082</v>
      </c>
      <c r="DY11" s="1">
        <v>4.3478260869565206</v>
      </c>
      <c r="DZ11" s="1">
        <v>0</v>
      </c>
      <c r="EA11" s="1">
        <v>23</v>
      </c>
      <c r="EB11" s="1">
        <v>64.70588235294116</v>
      </c>
      <c r="EC11" s="1">
        <v>29.411764705882344</v>
      </c>
      <c r="ED11" s="1">
        <v>5.8823529411764657</v>
      </c>
      <c r="EE11" s="1">
        <v>0</v>
      </c>
      <c r="EF11" s="1">
        <v>0</v>
      </c>
      <c r="EG11" s="1">
        <v>17</v>
      </c>
      <c r="EH11" s="1">
        <v>39.999999999999993</v>
      </c>
      <c r="EI11" s="1">
        <v>46.666666666666693</v>
      </c>
      <c r="EJ11" s="1">
        <v>6.6666666666666652</v>
      </c>
      <c r="EK11" s="1">
        <v>6.6666666666666652</v>
      </c>
      <c r="EL11" s="1">
        <v>0</v>
      </c>
      <c r="EM11" s="1">
        <v>15</v>
      </c>
      <c r="EN11" s="1">
        <v>40.909090909090928</v>
      </c>
      <c r="EO11" s="1">
        <v>31.818181818181777</v>
      </c>
      <c r="EP11" s="1">
        <v>13.63636363636363</v>
      </c>
      <c r="EQ11" s="1">
        <v>13.63636363636363</v>
      </c>
      <c r="ER11" s="1">
        <v>0</v>
      </c>
      <c r="ES11" s="1">
        <v>22</v>
      </c>
      <c r="ET11" s="1">
        <v>37.499999999999993</v>
      </c>
      <c r="EU11" s="1">
        <v>45.833333333333272</v>
      </c>
      <c r="EV11" s="1">
        <v>12.499999999999996</v>
      </c>
      <c r="EW11" s="1">
        <v>0</v>
      </c>
      <c r="EX11" s="1">
        <v>4.1666666666666652</v>
      </c>
      <c r="EY11" s="1">
        <v>24</v>
      </c>
      <c r="EZ11" s="1">
        <v>23.076923076923091</v>
      </c>
      <c r="FA11" s="1">
        <v>61.538461538461476</v>
      </c>
      <c r="FB11" s="1">
        <v>7.6923076923076845</v>
      </c>
      <c r="FC11" s="1">
        <v>0</v>
      </c>
      <c r="FD11" s="1">
        <v>7.6923076923076845</v>
      </c>
      <c r="FE11" s="1">
        <v>13</v>
      </c>
      <c r="FF11" s="1">
        <v>28.571428571428573</v>
      </c>
      <c r="FG11" s="1">
        <v>50</v>
      </c>
      <c r="FH11" s="1">
        <v>14.285714285714286</v>
      </c>
      <c r="FI11" s="1">
        <v>0</v>
      </c>
      <c r="FJ11" s="1">
        <v>7.1428571428571432</v>
      </c>
      <c r="FK11" s="1">
        <v>14</v>
      </c>
      <c r="FL11" s="1">
        <v>33.333333333333321</v>
      </c>
      <c r="FM11" s="1">
        <v>52.380952380952337</v>
      </c>
      <c r="FN11" s="1">
        <v>9.5238095238095202</v>
      </c>
      <c r="FO11" s="1">
        <v>0</v>
      </c>
      <c r="FP11" s="1">
        <v>4.7619047619047601</v>
      </c>
      <c r="FQ11" s="1">
        <v>21</v>
      </c>
      <c r="FR11" s="1">
        <v>57.894736842105239</v>
      </c>
      <c r="FS11" s="1">
        <v>31.578947368421034</v>
      </c>
      <c r="FT11" s="1">
        <v>10.526315789473687</v>
      </c>
      <c r="FU11" s="1">
        <v>0</v>
      </c>
      <c r="FV11" s="1">
        <v>0</v>
      </c>
      <c r="FW11" s="1">
        <v>19</v>
      </c>
      <c r="FX11" s="1">
        <v>97.435897435897445</v>
      </c>
      <c r="FY11" s="1">
        <v>2.5641025641025652</v>
      </c>
      <c r="FZ11" s="1">
        <v>0</v>
      </c>
      <c r="GA11" s="1">
        <v>0</v>
      </c>
      <c r="GB11" s="1">
        <v>0</v>
      </c>
      <c r="GC11" s="1">
        <v>39</v>
      </c>
      <c r="GD11" s="1">
        <v>71.999999999999986</v>
      </c>
      <c r="GE11" s="1">
        <v>19.999999999999996</v>
      </c>
      <c r="GF11" s="1">
        <v>7.9999999999999982</v>
      </c>
      <c r="GG11" s="1">
        <v>0</v>
      </c>
      <c r="GH11" s="1">
        <v>0</v>
      </c>
      <c r="GI11" s="1">
        <v>25</v>
      </c>
      <c r="GJ11" s="1">
        <v>63.999999999999986</v>
      </c>
      <c r="GK11" s="1">
        <v>23.999999999999996</v>
      </c>
      <c r="GL11" s="1">
        <v>11.999999999999998</v>
      </c>
      <c r="GM11" s="1">
        <v>0</v>
      </c>
      <c r="GN11" s="1">
        <v>0</v>
      </c>
      <c r="GO11" s="1">
        <v>25</v>
      </c>
      <c r="GP11" s="1">
        <v>74.193548387096726</v>
      </c>
      <c r="GQ11" s="1">
        <v>19.354838709677409</v>
      </c>
      <c r="GR11" s="1">
        <v>6.4516129032257989</v>
      </c>
      <c r="GS11" s="1">
        <v>0</v>
      </c>
      <c r="GT11" s="1">
        <v>0</v>
      </c>
      <c r="GU11" s="1">
        <v>31</v>
      </c>
      <c r="GV11" s="1">
        <v>68.965517241379231</v>
      </c>
      <c r="GW11" s="1">
        <v>24.137931034482762</v>
      </c>
      <c r="GX11" s="1">
        <v>6.8965517241379279</v>
      </c>
      <c r="GY11" s="1">
        <v>0</v>
      </c>
      <c r="GZ11" s="1">
        <v>0</v>
      </c>
      <c r="HA11" s="1">
        <v>29</v>
      </c>
      <c r="HB11" s="1">
        <v>70.833333333333343</v>
      </c>
      <c r="HC11" s="1">
        <v>24.999999999999993</v>
      </c>
      <c r="HD11" s="1">
        <v>0</v>
      </c>
      <c r="HE11" s="1">
        <v>0</v>
      </c>
      <c r="HF11" s="1">
        <v>4.1666666666666652</v>
      </c>
      <c r="HG11" s="1">
        <v>24</v>
      </c>
      <c r="HH11" s="1">
        <v>54.545454545454518</v>
      </c>
      <c r="HI11" s="1">
        <v>18.181818181818169</v>
      </c>
      <c r="HJ11" s="1">
        <v>9.0909090909090846</v>
      </c>
      <c r="HK11" s="1">
        <v>18.181818181818169</v>
      </c>
      <c r="HL11" s="1">
        <v>0</v>
      </c>
      <c r="HM11" s="1">
        <v>11</v>
      </c>
      <c r="HN11" s="1">
        <v>0</v>
      </c>
      <c r="HO11" s="1">
        <v>0</v>
      </c>
      <c r="HP11" s="1">
        <v>0</v>
      </c>
      <c r="HQ11" s="1">
        <v>0</v>
      </c>
      <c r="HR11" s="1">
        <v>0</v>
      </c>
      <c r="HS11" s="1">
        <v>0</v>
      </c>
      <c r="HT11" s="1">
        <v>0</v>
      </c>
      <c r="HU11" s="1">
        <v>0</v>
      </c>
      <c r="HV11" s="1">
        <v>0</v>
      </c>
      <c r="HW11" s="1">
        <v>0</v>
      </c>
      <c r="HX11" s="1">
        <v>0</v>
      </c>
      <c r="HY11" s="1">
        <v>0</v>
      </c>
      <c r="HZ11" s="1">
        <v>0</v>
      </c>
      <c r="IA11" s="1">
        <v>0</v>
      </c>
      <c r="IB11" s="1">
        <v>0</v>
      </c>
      <c r="IC11" s="1">
        <v>0</v>
      </c>
      <c r="ID11" s="1">
        <v>0</v>
      </c>
      <c r="IE11" s="1">
        <v>0</v>
      </c>
      <c r="IF11" s="1">
        <v>8.9142857142857146</v>
      </c>
      <c r="IG11" s="1">
        <v>0</v>
      </c>
      <c r="IH11" s="1">
        <v>0</v>
      </c>
      <c r="II11" s="1">
        <v>2.8571428571428572</v>
      </c>
      <c r="IJ11" s="1">
        <v>2.8571428571428572</v>
      </c>
      <c r="IK11" s="1">
        <v>0</v>
      </c>
      <c r="IL11" s="1">
        <v>0</v>
      </c>
      <c r="IM11" s="1">
        <v>0</v>
      </c>
      <c r="IN11" s="1">
        <v>17.142857142857117</v>
      </c>
      <c r="IO11" s="1">
        <v>37.14285714285711</v>
      </c>
      <c r="IP11" s="1">
        <v>39.999999999999993</v>
      </c>
      <c r="IQ11" s="1">
        <v>8.9142857142857093</v>
      </c>
      <c r="IR11" s="1">
        <v>35</v>
      </c>
      <c r="IS11" s="1">
        <v>90.243902439024296</v>
      </c>
      <c r="IT11" s="1">
        <v>7.3170731707317014</v>
      </c>
      <c r="IU11" s="1">
        <v>2.4390243902439006</v>
      </c>
      <c r="IV11" s="1">
        <v>0</v>
      </c>
      <c r="IW11" s="1">
        <v>0</v>
      </c>
      <c r="IX11" s="1">
        <v>41</v>
      </c>
      <c r="IY11" s="1">
        <v>1</v>
      </c>
      <c r="IZ11" s="1">
        <v>26.886160000000025</v>
      </c>
      <c r="JA11" s="1">
        <v>15.082480000000022</v>
      </c>
      <c r="JB11" s="1">
        <v>5.2460800000000045</v>
      </c>
      <c r="JC11" s="1">
        <v>3.2788000000000008</v>
      </c>
      <c r="JD11" s="1">
        <v>4.5903199999999993</v>
      </c>
      <c r="JE11" s="1">
        <v>0.56097560975609773</v>
      </c>
      <c r="JF11" s="1">
        <v>0.19512195121951217</v>
      </c>
      <c r="JG11" s="1">
        <v>0.12195121951219515</v>
      </c>
      <c r="JH11" s="1">
        <v>0.17073170731707313</v>
      </c>
      <c r="JI11" s="1">
        <v>1</v>
      </c>
      <c r="JJ11" s="1">
        <v>41</v>
      </c>
      <c r="JK11" s="1">
        <v>3.1951219512195124</v>
      </c>
      <c r="JL11" s="1">
        <v>3.1951219512195088</v>
      </c>
      <c r="JM11" s="1">
        <v>41</v>
      </c>
      <c r="JN11" s="1">
        <v>95</v>
      </c>
      <c r="JO11" s="1">
        <v>4.9999999999999991</v>
      </c>
      <c r="JP11" s="1">
        <v>20</v>
      </c>
      <c r="JQ11" s="1">
        <v>100</v>
      </c>
      <c r="JR11" s="1">
        <v>0</v>
      </c>
      <c r="JS11" s="1">
        <v>26</v>
      </c>
      <c r="JT11" s="1">
        <v>94.736842105263236</v>
      </c>
      <c r="JU11" s="1">
        <v>5.2631578947368416</v>
      </c>
      <c r="JV11" s="1">
        <v>38</v>
      </c>
      <c r="JW11" s="1">
        <v>93.103448275861979</v>
      </c>
      <c r="JX11" s="1">
        <v>6.8965517241379279</v>
      </c>
      <c r="JY11" s="1">
        <v>29</v>
      </c>
      <c r="JZ11" s="1">
        <v>56.410256410256366</v>
      </c>
      <c r="KA11" s="1">
        <v>43.589743589743598</v>
      </c>
      <c r="KB11" s="1">
        <v>39</v>
      </c>
      <c r="KC11" s="1">
        <v>100</v>
      </c>
      <c r="KD11" s="1">
        <v>0</v>
      </c>
      <c r="KE11" s="1">
        <v>35</v>
      </c>
      <c r="KF11" s="1">
        <v>3.5294117647058822</v>
      </c>
      <c r="KG11" s="1">
        <v>2.9411764705882324</v>
      </c>
      <c r="KH11" s="1">
        <v>5.8823529411764648</v>
      </c>
      <c r="KI11" s="1">
        <v>32.352941176470559</v>
      </c>
      <c r="KJ11" s="1">
        <v>52.941176470588246</v>
      </c>
      <c r="KK11" s="1">
        <v>5.8823529411764648</v>
      </c>
      <c r="KL11" s="1">
        <v>34</v>
      </c>
      <c r="KM11" s="1">
        <v>62.882352941176435</v>
      </c>
      <c r="KN11" s="1">
        <v>0</v>
      </c>
      <c r="KO11" s="1">
        <v>0</v>
      </c>
      <c r="KP11" s="1">
        <v>0</v>
      </c>
      <c r="KQ11" s="1">
        <v>0</v>
      </c>
      <c r="KR11" s="1">
        <v>0</v>
      </c>
      <c r="KS11" s="1">
        <v>0</v>
      </c>
      <c r="KT11" s="1">
        <v>0</v>
      </c>
      <c r="KU11" s="1">
        <v>0</v>
      </c>
      <c r="KV11" s="1">
        <v>0</v>
      </c>
      <c r="KW11" s="1">
        <v>0</v>
      </c>
      <c r="KX11" s="1">
        <v>97.297297297297391</v>
      </c>
      <c r="KY11" s="1">
        <v>2.7027027027026986</v>
      </c>
      <c r="KZ11" s="1">
        <v>37</v>
      </c>
      <c r="LA11" s="1">
        <v>8.1081081081081052</v>
      </c>
      <c r="LB11" s="1">
        <v>91.891891891891973</v>
      </c>
      <c r="LC11" s="1">
        <v>37</v>
      </c>
      <c r="LD11" s="1">
        <v>0</v>
      </c>
      <c r="LE11" s="1">
        <v>33.333333333333336</v>
      </c>
      <c r="LF11" s="1">
        <v>66.666666666666671</v>
      </c>
      <c r="LG11" s="1">
        <v>3</v>
      </c>
    </row>
    <row r="12" spans="1:320" x14ac:dyDescent="0.25">
      <c r="A12" s="1">
        <v>24</v>
      </c>
      <c r="B12" s="1">
        <v>15.384615384615373</v>
      </c>
      <c r="C12" s="1">
        <v>84.615384615384599</v>
      </c>
      <c r="D12" s="1">
        <v>26</v>
      </c>
      <c r="E12" s="1">
        <v>89.999999999999986</v>
      </c>
      <c r="F12" s="1">
        <v>9.9999999999999982</v>
      </c>
      <c r="G12" s="1">
        <v>20</v>
      </c>
      <c r="H12" s="1">
        <v>43.749999999999993</v>
      </c>
      <c r="I12" s="1">
        <v>56.249999999999993</v>
      </c>
      <c r="J12" s="1">
        <v>16</v>
      </c>
      <c r="K12" s="1">
        <v>1</v>
      </c>
      <c r="L12" s="1">
        <v>17.669600000000006</v>
      </c>
      <c r="M12" s="1">
        <v>3.3979999999999979</v>
      </c>
      <c r="N12" s="1">
        <v>1.3592000000000004</v>
      </c>
      <c r="O12" s="1">
        <v>7.4755999999999938</v>
      </c>
      <c r="P12" s="1">
        <v>0.6796000000000002</v>
      </c>
      <c r="Q12" s="1">
        <v>6.1163999999999987</v>
      </c>
      <c r="R12" s="1">
        <v>1.3592000000000004</v>
      </c>
      <c r="S12" s="1">
        <v>0.6796000000000002</v>
      </c>
      <c r="T12" s="1">
        <v>2.0388000000000015</v>
      </c>
      <c r="U12" s="1">
        <v>1.3592000000000004</v>
      </c>
      <c r="V12" s="1">
        <v>3.3979999999999979</v>
      </c>
      <c r="W12" s="1">
        <v>0.19230769230769226</v>
      </c>
      <c r="X12" s="1">
        <v>7.6923076923076886E-2</v>
      </c>
      <c r="Y12" s="1">
        <v>0.42307692307692291</v>
      </c>
      <c r="Z12" s="1">
        <v>3.8461538461538443E-2</v>
      </c>
      <c r="AA12" s="1">
        <v>0.34615384615384598</v>
      </c>
      <c r="AB12" s="1">
        <v>7.6923076923076886E-2</v>
      </c>
      <c r="AC12" s="1">
        <v>3.8461538461538443E-2</v>
      </c>
      <c r="AD12" s="1">
        <v>0.11538461538461539</v>
      </c>
      <c r="AE12" s="1">
        <v>7.6923076923076886E-2</v>
      </c>
      <c r="AF12" s="1">
        <v>0.19230769230769226</v>
      </c>
      <c r="AG12" s="1">
        <v>1</v>
      </c>
      <c r="AH12" s="1">
        <v>26</v>
      </c>
      <c r="AI12" s="1">
        <v>1</v>
      </c>
      <c r="AJ12" s="1">
        <v>16.990000000000006</v>
      </c>
      <c r="AK12" s="1">
        <v>10.873600000000003</v>
      </c>
      <c r="AL12" s="1">
        <v>13.591999999999999</v>
      </c>
      <c r="AM12" s="1">
        <v>9.5143999999999984</v>
      </c>
      <c r="AN12" s="1">
        <v>9.5143999999999984</v>
      </c>
      <c r="AO12" s="1">
        <v>0.6796000000000002</v>
      </c>
      <c r="AP12" s="1">
        <v>2.0388000000000015</v>
      </c>
      <c r="AQ12" s="1">
        <v>0.64000000000000012</v>
      </c>
      <c r="AR12" s="1">
        <v>0.80000000000000027</v>
      </c>
      <c r="AS12" s="1">
        <v>0.56000000000000005</v>
      </c>
      <c r="AT12" s="1">
        <v>0.56000000000000005</v>
      </c>
      <c r="AU12" s="1">
        <v>4.0000000000000008E-2</v>
      </c>
      <c r="AV12" s="1">
        <v>0.12000000000000001</v>
      </c>
      <c r="AW12" s="1">
        <v>1</v>
      </c>
      <c r="AX12" s="1">
        <v>25</v>
      </c>
      <c r="AY12" s="1">
        <v>9.84</v>
      </c>
      <c r="AZ12" s="1">
        <v>9.84</v>
      </c>
      <c r="BA12" s="1">
        <v>9.7826086956521738</v>
      </c>
      <c r="BB12" s="1">
        <v>0</v>
      </c>
      <c r="BC12" s="1">
        <v>0</v>
      </c>
      <c r="BD12" s="1">
        <v>0</v>
      </c>
      <c r="BE12" s="1">
        <v>0</v>
      </c>
      <c r="BF12" s="1">
        <v>0</v>
      </c>
      <c r="BG12" s="1">
        <v>0</v>
      </c>
      <c r="BH12" s="1">
        <v>0</v>
      </c>
      <c r="BI12" s="1">
        <v>3.9999999999999996</v>
      </c>
      <c r="BJ12" s="1">
        <v>7.9999999999999991</v>
      </c>
      <c r="BK12" s="1">
        <v>88</v>
      </c>
      <c r="BL12" s="1">
        <v>9.8399999999999963</v>
      </c>
      <c r="BM12" s="1">
        <v>25</v>
      </c>
      <c r="BN12" s="1">
        <v>0</v>
      </c>
      <c r="BO12" s="1">
        <v>0</v>
      </c>
      <c r="BP12" s="1">
        <v>0</v>
      </c>
      <c r="BQ12" s="1">
        <v>0</v>
      </c>
      <c r="BR12" s="1">
        <v>0</v>
      </c>
      <c r="BS12" s="1">
        <v>0</v>
      </c>
      <c r="BT12" s="1">
        <v>0</v>
      </c>
      <c r="BU12" s="1">
        <v>3.9999999999999996</v>
      </c>
      <c r="BV12" s="1">
        <v>7.9999999999999991</v>
      </c>
      <c r="BW12" s="1">
        <v>88</v>
      </c>
      <c r="BX12" s="1">
        <v>9.8399999999999963</v>
      </c>
      <c r="BY12" s="1">
        <v>25</v>
      </c>
      <c r="BZ12" s="1">
        <v>0</v>
      </c>
      <c r="CA12" s="1">
        <v>0</v>
      </c>
      <c r="CB12" s="1">
        <v>0</v>
      </c>
      <c r="CC12" s="1">
        <v>0</v>
      </c>
      <c r="CD12" s="1">
        <v>0</v>
      </c>
      <c r="CE12" s="1">
        <v>0</v>
      </c>
      <c r="CF12" s="1">
        <v>0</v>
      </c>
      <c r="CG12" s="1">
        <v>8.6956521739130341</v>
      </c>
      <c r="CH12" s="1">
        <v>4.3478260869565171</v>
      </c>
      <c r="CI12" s="1">
        <v>86.95652173913048</v>
      </c>
      <c r="CJ12" s="1">
        <v>9.7826086956521614</v>
      </c>
      <c r="CK12" s="1">
        <v>23</v>
      </c>
      <c r="CL12" s="1">
        <v>45.833333333333286</v>
      </c>
      <c r="CM12" s="1">
        <v>45.833333333333286</v>
      </c>
      <c r="CN12" s="1">
        <v>8.3333333333333357</v>
      </c>
      <c r="CO12" s="1">
        <v>0</v>
      </c>
      <c r="CP12" s="1">
        <v>0</v>
      </c>
      <c r="CQ12" s="1">
        <v>24</v>
      </c>
      <c r="CR12" s="1">
        <v>85.185185185185205</v>
      </c>
      <c r="CS12" s="1">
        <v>7.4074074074073986</v>
      </c>
      <c r="CT12" s="1">
        <v>7.4074074074073986</v>
      </c>
      <c r="CU12" s="1">
        <v>0</v>
      </c>
      <c r="CV12" s="1">
        <v>0</v>
      </c>
      <c r="CW12" s="1">
        <v>27</v>
      </c>
      <c r="CX12" s="1">
        <v>48.148148148148124</v>
      </c>
      <c r="CY12" s="1">
        <v>40.740740740740733</v>
      </c>
      <c r="CZ12" s="1">
        <v>11.111111111111109</v>
      </c>
      <c r="DA12" s="1">
        <v>0</v>
      </c>
      <c r="DB12" s="1">
        <v>0</v>
      </c>
      <c r="DC12" s="1">
        <v>27</v>
      </c>
      <c r="DD12" s="1">
        <v>57.692307692307637</v>
      </c>
      <c r="DE12" s="1">
        <v>34.615384615384613</v>
      </c>
      <c r="DF12" s="1">
        <v>0</v>
      </c>
      <c r="DG12" s="1">
        <v>7.6923076923076863</v>
      </c>
      <c r="DH12" s="1">
        <v>0</v>
      </c>
      <c r="DI12" s="1">
        <v>26</v>
      </c>
      <c r="DJ12" s="1">
        <v>66.666666666666686</v>
      </c>
      <c r="DK12" s="1">
        <v>23.80952380952381</v>
      </c>
      <c r="DL12" s="1">
        <v>0</v>
      </c>
      <c r="DM12" s="1">
        <v>9.5238095238095202</v>
      </c>
      <c r="DN12" s="1">
        <v>0</v>
      </c>
      <c r="DO12" s="1">
        <v>21</v>
      </c>
      <c r="DP12" s="1">
        <v>81.481481481481495</v>
      </c>
      <c r="DQ12" s="1">
        <v>14.814814814814797</v>
      </c>
      <c r="DR12" s="1">
        <v>3.7037037037036993</v>
      </c>
      <c r="DS12" s="1">
        <v>0</v>
      </c>
      <c r="DT12" s="1">
        <v>0</v>
      </c>
      <c r="DU12" s="1">
        <v>27</v>
      </c>
      <c r="DV12" s="1">
        <v>82.608695652173935</v>
      </c>
      <c r="DW12" s="1">
        <v>13.043478260869561</v>
      </c>
      <c r="DX12" s="1">
        <v>4.3478260869565171</v>
      </c>
      <c r="DY12" s="1">
        <v>0</v>
      </c>
      <c r="DZ12" s="1">
        <v>0</v>
      </c>
      <c r="EA12" s="1">
        <v>23</v>
      </c>
      <c r="EB12" s="1">
        <v>0</v>
      </c>
      <c r="EC12" s="1">
        <v>0</v>
      </c>
      <c r="ED12" s="1">
        <v>0</v>
      </c>
      <c r="EE12" s="1">
        <v>100</v>
      </c>
      <c r="EF12" s="1">
        <v>0</v>
      </c>
      <c r="EG12" s="1">
        <v>1</v>
      </c>
      <c r="EH12" s="1">
        <v>0</v>
      </c>
      <c r="EI12" s="1">
        <v>0</v>
      </c>
      <c r="EJ12" s="1">
        <v>0</v>
      </c>
      <c r="EK12" s="1">
        <v>0</v>
      </c>
      <c r="EL12" s="1">
        <v>0</v>
      </c>
      <c r="EM12" s="1">
        <v>0</v>
      </c>
      <c r="EN12" s="1">
        <v>40.000000000000007</v>
      </c>
      <c r="EO12" s="1">
        <v>30.000000000000004</v>
      </c>
      <c r="EP12" s="1">
        <v>10.000000000000002</v>
      </c>
      <c r="EQ12" s="1">
        <v>10.000000000000002</v>
      </c>
      <c r="ER12" s="1">
        <v>10.000000000000002</v>
      </c>
      <c r="ES12" s="1">
        <v>10</v>
      </c>
      <c r="ET12" s="1">
        <v>54.545454545454518</v>
      </c>
      <c r="EU12" s="1">
        <v>36.363636363636367</v>
      </c>
      <c r="EV12" s="1">
        <v>9.0909090909090917</v>
      </c>
      <c r="EW12" s="1">
        <v>0</v>
      </c>
      <c r="EX12" s="1">
        <v>0</v>
      </c>
      <c r="EY12" s="1">
        <v>11</v>
      </c>
      <c r="EZ12" s="1">
        <v>75.000000000000014</v>
      </c>
      <c r="FA12" s="1">
        <v>25</v>
      </c>
      <c r="FB12" s="1">
        <v>0</v>
      </c>
      <c r="FC12" s="1">
        <v>0</v>
      </c>
      <c r="FD12" s="1">
        <v>0</v>
      </c>
      <c r="FE12" s="1">
        <v>4</v>
      </c>
      <c r="FF12" s="1">
        <v>100</v>
      </c>
      <c r="FG12" s="1">
        <v>0</v>
      </c>
      <c r="FH12" s="1">
        <v>0</v>
      </c>
      <c r="FI12" s="1">
        <v>0</v>
      </c>
      <c r="FJ12" s="1">
        <v>0</v>
      </c>
      <c r="FK12" s="1">
        <v>1</v>
      </c>
      <c r="FL12" s="1">
        <v>66.666666666666686</v>
      </c>
      <c r="FM12" s="1">
        <v>33.333333333333343</v>
      </c>
      <c r="FN12" s="1">
        <v>0</v>
      </c>
      <c r="FO12" s="1">
        <v>0</v>
      </c>
      <c r="FP12" s="1">
        <v>0</v>
      </c>
      <c r="FQ12" s="1">
        <v>3</v>
      </c>
      <c r="FR12" s="1">
        <v>100</v>
      </c>
      <c r="FS12" s="1">
        <v>0</v>
      </c>
      <c r="FT12" s="1">
        <v>0</v>
      </c>
      <c r="FU12" s="1">
        <v>0</v>
      </c>
      <c r="FV12" s="1">
        <v>0</v>
      </c>
      <c r="FW12" s="1">
        <v>4</v>
      </c>
      <c r="FX12" s="1">
        <v>88.888888888888872</v>
      </c>
      <c r="FY12" s="1">
        <v>11.111111111111109</v>
      </c>
      <c r="FZ12" s="1">
        <v>0</v>
      </c>
      <c r="GA12" s="1">
        <v>0</v>
      </c>
      <c r="GB12" s="1">
        <v>0</v>
      </c>
      <c r="GC12" s="1">
        <v>27</v>
      </c>
      <c r="GD12" s="1">
        <v>76.923076923076891</v>
      </c>
      <c r="GE12" s="1">
        <v>23.076923076923091</v>
      </c>
      <c r="GF12" s="1">
        <v>0</v>
      </c>
      <c r="GG12" s="1">
        <v>0</v>
      </c>
      <c r="GH12" s="1">
        <v>0</v>
      </c>
      <c r="GI12" s="1">
        <v>13</v>
      </c>
      <c r="GJ12" s="1">
        <v>90</v>
      </c>
      <c r="GK12" s="1">
        <v>10.000000000000002</v>
      </c>
      <c r="GL12" s="1">
        <v>0</v>
      </c>
      <c r="GM12" s="1">
        <v>0</v>
      </c>
      <c r="GN12" s="1">
        <v>0</v>
      </c>
      <c r="GO12" s="1">
        <v>10</v>
      </c>
      <c r="GP12" s="1">
        <v>85.714285714285722</v>
      </c>
      <c r="GQ12" s="1">
        <v>9.5238095238095202</v>
      </c>
      <c r="GR12" s="1">
        <v>4.7619047619047601</v>
      </c>
      <c r="GS12" s="1">
        <v>0</v>
      </c>
      <c r="GT12" s="1">
        <v>0</v>
      </c>
      <c r="GU12" s="1">
        <v>21</v>
      </c>
      <c r="GV12" s="1">
        <v>86.363636363636331</v>
      </c>
      <c r="GW12" s="1">
        <v>9.0909090909090917</v>
      </c>
      <c r="GX12" s="1">
        <v>4.5454545454545459</v>
      </c>
      <c r="GY12" s="1">
        <v>0</v>
      </c>
      <c r="GZ12" s="1">
        <v>0</v>
      </c>
      <c r="HA12" s="1">
        <v>22</v>
      </c>
      <c r="HB12" s="1">
        <v>75.000000000000014</v>
      </c>
      <c r="HC12" s="1">
        <v>0</v>
      </c>
      <c r="HD12" s="1">
        <v>25</v>
      </c>
      <c r="HE12" s="1">
        <v>0</v>
      </c>
      <c r="HF12" s="1">
        <v>0</v>
      </c>
      <c r="HG12" s="1">
        <v>4</v>
      </c>
      <c r="HH12" s="1">
        <v>50</v>
      </c>
      <c r="HI12" s="1">
        <v>0</v>
      </c>
      <c r="HJ12" s="1">
        <v>50</v>
      </c>
      <c r="HK12" s="1">
        <v>0</v>
      </c>
      <c r="HL12" s="1">
        <v>0</v>
      </c>
      <c r="HM12" s="1">
        <v>2</v>
      </c>
      <c r="HN12" s="1">
        <v>0</v>
      </c>
      <c r="HO12" s="1">
        <v>0</v>
      </c>
      <c r="HP12" s="1">
        <v>0</v>
      </c>
      <c r="HQ12" s="1">
        <v>0</v>
      </c>
      <c r="HR12" s="1">
        <v>0</v>
      </c>
      <c r="HS12" s="1">
        <v>0</v>
      </c>
      <c r="HT12" s="1">
        <v>0</v>
      </c>
      <c r="HU12" s="1">
        <v>0</v>
      </c>
      <c r="HV12" s="1">
        <v>0</v>
      </c>
      <c r="HW12" s="1">
        <v>0</v>
      </c>
      <c r="HX12" s="1">
        <v>0</v>
      </c>
      <c r="HY12" s="1">
        <v>0</v>
      </c>
      <c r="HZ12" s="1">
        <v>0</v>
      </c>
      <c r="IA12" s="1">
        <v>0</v>
      </c>
      <c r="IB12" s="1">
        <v>0</v>
      </c>
      <c r="IC12" s="1">
        <v>0</v>
      </c>
      <c r="ID12" s="1">
        <v>0</v>
      </c>
      <c r="IE12" s="1">
        <v>0</v>
      </c>
      <c r="IF12" s="1">
        <v>9.6818181818181817</v>
      </c>
      <c r="IG12" s="1">
        <v>0</v>
      </c>
      <c r="IH12" s="1">
        <v>0</v>
      </c>
      <c r="II12" s="1">
        <v>0</v>
      </c>
      <c r="IJ12" s="1">
        <v>0</v>
      </c>
      <c r="IK12" s="1">
        <v>0</v>
      </c>
      <c r="IL12" s="1">
        <v>0</v>
      </c>
      <c r="IM12" s="1">
        <v>0</v>
      </c>
      <c r="IN12" s="1">
        <v>4.5454545454545459</v>
      </c>
      <c r="IO12" s="1">
        <v>22.727272727272709</v>
      </c>
      <c r="IP12" s="1">
        <v>72.727272727272734</v>
      </c>
      <c r="IQ12" s="1">
        <v>9.6818181818181799</v>
      </c>
      <c r="IR12" s="1">
        <v>22</v>
      </c>
      <c r="IS12" s="1">
        <v>63.999999999999993</v>
      </c>
      <c r="IT12" s="1">
        <v>11.999999999999998</v>
      </c>
      <c r="IU12" s="1">
        <v>23.999999999999996</v>
      </c>
      <c r="IV12" s="1">
        <v>0</v>
      </c>
      <c r="IW12" s="1">
        <v>0</v>
      </c>
      <c r="IX12" s="1">
        <v>25</v>
      </c>
      <c r="IY12" s="1">
        <v>1</v>
      </c>
      <c r="IZ12" s="1">
        <v>17.669600000000006</v>
      </c>
      <c r="JA12" s="1">
        <v>4.7571999999999983</v>
      </c>
      <c r="JB12" s="1">
        <v>8.1552000000000007</v>
      </c>
      <c r="JC12" s="1">
        <v>4.7571999999999983</v>
      </c>
      <c r="JD12" s="1">
        <v>4.0776000000000003</v>
      </c>
      <c r="JE12" s="1">
        <v>0.26923076923076911</v>
      </c>
      <c r="JF12" s="1">
        <v>0.46153846153846156</v>
      </c>
      <c r="JG12" s="1">
        <v>0.26923076923076911</v>
      </c>
      <c r="JH12" s="1">
        <v>0.23076923076923078</v>
      </c>
      <c r="JI12" s="1">
        <v>1</v>
      </c>
      <c r="JJ12" s="1">
        <v>26</v>
      </c>
      <c r="JK12" s="1">
        <v>2.96</v>
      </c>
      <c r="JL12" s="1">
        <v>2.9599999999999991</v>
      </c>
      <c r="JM12" s="1">
        <v>25</v>
      </c>
      <c r="JN12" s="1">
        <v>100.00000000000001</v>
      </c>
      <c r="JO12" s="1">
        <v>0</v>
      </c>
      <c r="JP12" s="1">
        <v>8</v>
      </c>
      <c r="JQ12" s="1">
        <v>100</v>
      </c>
      <c r="JR12" s="1">
        <v>0</v>
      </c>
      <c r="JS12" s="1">
        <v>15</v>
      </c>
      <c r="JT12" s="1">
        <v>99.999999999999986</v>
      </c>
      <c r="JU12" s="1">
        <v>0</v>
      </c>
      <c r="JV12" s="1">
        <v>19</v>
      </c>
      <c r="JW12" s="1">
        <v>90.909090909090935</v>
      </c>
      <c r="JX12" s="1">
        <v>9.0909090909090917</v>
      </c>
      <c r="JY12" s="1">
        <v>11</v>
      </c>
      <c r="JZ12" s="1">
        <v>49.999999999999993</v>
      </c>
      <c r="KA12" s="1">
        <v>49.999999999999993</v>
      </c>
      <c r="KB12" s="1">
        <v>26</v>
      </c>
      <c r="KC12" s="1">
        <v>100</v>
      </c>
      <c r="KD12" s="1">
        <v>0</v>
      </c>
      <c r="KE12" s="1">
        <v>24</v>
      </c>
      <c r="KF12" s="1">
        <v>3.7083333333333335</v>
      </c>
      <c r="KG12" s="1">
        <v>4.1666666666666679</v>
      </c>
      <c r="KH12" s="1">
        <v>0</v>
      </c>
      <c r="KI12" s="1">
        <v>41.666666666666643</v>
      </c>
      <c r="KJ12" s="1">
        <v>29.166666666666636</v>
      </c>
      <c r="KK12" s="1">
        <v>24.999999999999996</v>
      </c>
      <c r="KL12" s="1">
        <v>24</v>
      </c>
      <c r="KM12" s="1">
        <v>64.666666666666686</v>
      </c>
      <c r="KN12" s="1">
        <v>0</v>
      </c>
      <c r="KO12" s="1">
        <v>0</v>
      </c>
      <c r="KP12" s="1">
        <v>0</v>
      </c>
      <c r="KQ12" s="1">
        <v>0</v>
      </c>
      <c r="KR12" s="1">
        <v>0</v>
      </c>
      <c r="KS12" s="1">
        <v>0</v>
      </c>
      <c r="KT12" s="1">
        <v>0</v>
      </c>
      <c r="KU12" s="1">
        <v>0</v>
      </c>
      <c r="KV12" s="1">
        <v>0</v>
      </c>
      <c r="KW12" s="1">
        <v>0</v>
      </c>
      <c r="KX12" s="1">
        <v>100</v>
      </c>
      <c r="KY12" s="1">
        <v>0</v>
      </c>
      <c r="KZ12" s="1">
        <v>24</v>
      </c>
      <c r="LA12" s="1">
        <v>8.3333333333333357</v>
      </c>
      <c r="LB12" s="1">
        <v>91.666666666666671</v>
      </c>
      <c r="LC12" s="1">
        <v>24</v>
      </c>
      <c r="LD12" s="1">
        <v>0</v>
      </c>
      <c r="LE12" s="1">
        <v>50</v>
      </c>
      <c r="LF12" s="1">
        <v>50</v>
      </c>
      <c r="LG12" s="1">
        <v>2</v>
      </c>
    </row>
    <row r="13" spans="1:320" x14ac:dyDescent="0.25">
      <c r="A13" s="1">
        <v>25</v>
      </c>
      <c r="B13" s="1">
        <v>16.666666666666671</v>
      </c>
      <c r="C13" s="1">
        <v>83.3333333333333</v>
      </c>
      <c r="D13" s="1">
        <v>24</v>
      </c>
      <c r="E13" s="1">
        <v>90</v>
      </c>
      <c r="F13" s="1">
        <v>9.9999999999999982</v>
      </c>
      <c r="G13" s="1">
        <v>20</v>
      </c>
      <c r="H13" s="1">
        <v>43.750000000000007</v>
      </c>
      <c r="I13" s="1">
        <v>56.25</v>
      </c>
      <c r="J13" s="1">
        <v>16</v>
      </c>
      <c r="K13" s="1">
        <v>1</v>
      </c>
      <c r="L13" s="1">
        <v>13.001039999999994</v>
      </c>
      <c r="M13" s="1">
        <v>1.6251299999999993</v>
      </c>
      <c r="N13" s="1">
        <v>3.7919700000000018</v>
      </c>
      <c r="O13" s="1">
        <v>2.1668400000000001</v>
      </c>
      <c r="P13" s="1">
        <v>0</v>
      </c>
      <c r="Q13" s="1">
        <v>6.5005199999999972</v>
      </c>
      <c r="R13" s="1">
        <v>1.6251299999999993</v>
      </c>
      <c r="S13" s="1">
        <v>1.08342</v>
      </c>
      <c r="T13" s="1">
        <v>1.08342</v>
      </c>
      <c r="U13" s="1">
        <v>2.1668400000000001</v>
      </c>
      <c r="V13" s="1">
        <v>1.08342</v>
      </c>
      <c r="W13" s="1">
        <v>0.12499999999999999</v>
      </c>
      <c r="X13" s="1">
        <v>0.2916666666666668</v>
      </c>
      <c r="Y13" s="1">
        <v>0.1666666666666666</v>
      </c>
      <c r="Z13" s="1">
        <v>0</v>
      </c>
      <c r="AA13" s="1">
        <v>0.5</v>
      </c>
      <c r="AB13" s="1">
        <v>0.12499999999999999</v>
      </c>
      <c r="AC13" s="1">
        <v>8.3333333333333301E-2</v>
      </c>
      <c r="AD13" s="1">
        <v>8.3333333333333301E-2</v>
      </c>
      <c r="AE13" s="1">
        <v>0.1666666666666666</v>
      </c>
      <c r="AF13" s="1">
        <v>8.3333333333333301E-2</v>
      </c>
      <c r="AG13" s="1">
        <v>1</v>
      </c>
      <c r="AH13" s="1">
        <v>24</v>
      </c>
      <c r="AI13" s="1">
        <v>1</v>
      </c>
      <c r="AJ13" s="1">
        <v>13.001039999999994</v>
      </c>
      <c r="AK13" s="1">
        <v>8.6673600000000004</v>
      </c>
      <c r="AL13" s="1">
        <v>8.6673600000000004</v>
      </c>
      <c r="AM13" s="1">
        <v>8.1256500000000056</v>
      </c>
      <c r="AN13" s="1">
        <v>8.1256500000000056</v>
      </c>
      <c r="AO13" s="1">
        <v>0</v>
      </c>
      <c r="AP13" s="1">
        <v>2.1668400000000001</v>
      </c>
      <c r="AQ13" s="1">
        <v>0.66666666666666641</v>
      </c>
      <c r="AR13" s="1">
        <v>0.66666666666666641</v>
      </c>
      <c r="AS13" s="1">
        <v>0.625</v>
      </c>
      <c r="AT13" s="1">
        <v>0.625</v>
      </c>
      <c r="AU13" s="1">
        <v>0</v>
      </c>
      <c r="AV13" s="1">
        <v>0.1666666666666666</v>
      </c>
      <c r="AW13" s="1">
        <v>1</v>
      </c>
      <c r="AX13" s="1">
        <v>24</v>
      </c>
      <c r="AY13" s="1">
        <v>9.9166666666666661</v>
      </c>
      <c r="AZ13" s="1">
        <v>9.875</v>
      </c>
      <c r="BA13" s="1">
        <v>9.7916666666666661</v>
      </c>
      <c r="BB13" s="1">
        <v>0</v>
      </c>
      <c r="BC13" s="1">
        <v>0</v>
      </c>
      <c r="BD13" s="1">
        <v>0</v>
      </c>
      <c r="BE13" s="1">
        <v>0</v>
      </c>
      <c r="BF13" s="1">
        <v>0</v>
      </c>
      <c r="BG13" s="1">
        <v>0</v>
      </c>
      <c r="BH13" s="1">
        <v>0</v>
      </c>
      <c r="BI13" s="1">
        <v>0</v>
      </c>
      <c r="BJ13" s="1">
        <v>8.3333333333333357</v>
      </c>
      <c r="BK13" s="1">
        <v>91.666666666666686</v>
      </c>
      <c r="BL13" s="1">
        <v>9.9166666666666643</v>
      </c>
      <c r="BM13" s="1">
        <v>24</v>
      </c>
      <c r="BN13" s="1">
        <v>0</v>
      </c>
      <c r="BO13" s="1">
        <v>0</v>
      </c>
      <c r="BP13" s="1">
        <v>0</v>
      </c>
      <c r="BQ13" s="1">
        <v>0</v>
      </c>
      <c r="BR13" s="1">
        <v>0</v>
      </c>
      <c r="BS13" s="1">
        <v>0</v>
      </c>
      <c r="BT13" s="1">
        <v>0</v>
      </c>
      <c r="BU13" s="1">
        <v>4.1666666666666679</v>
      </c>
      <c r="BV13" s="1">
        <v>4.1666666666666679</v>
      </c>
      <c r="BW13" s="1">
        <v>91.666666666666686</v>
      </c>
      <c r="BX13" s="1">
        <v>9.8750000000000018</v>
      </c>
      <c r="BY13" s="1">
        <v>24</v>
      </c>
      <c r="BZ13" s="1">
        <v>0</v>
      </c>
      <c r="CA13" s="1">
        <v>0</v>
      </c>
      <c r="CB13" s="1">
        <v>0</v>
      </c>
      <c r="CC13" s="1">
        <v>0</v>
      </c>
      <c r="CD13" s="1">
        <v>0</v>
      </c>
      <c r="CE13" s="1">
        <v>0</v>
      </c>
      <c r="CF13" s="1">
        <v>0</v>
      </c>
      <c r="CG13" s="1">
        <v>8.3333333333333357</v>
      </c>
      <c r="CH13" s="1">
        <v>4.1666666666666679</v>
      </c>
      <c r="CI13" s="1">
        <v>87.5</v>
      </c>
      <c r="CJ13" s="1">
        <v>9.7916666666666643</v>
      </c>
      <c r="CK13" s="1">
        <v>24</v>
      </c>
      <c r="CL13" s="1">
        <v>43.47826086956524</v>
      </c>
      <c r="CM13" s="1">
        <v>30.434782608695638</v>
      </c>
      <c r="CN13" s="1">
        <v>17.391304347826079</v>
      </c>
      <c r="CO13" s="1">
        <v>8.6956521739130395</v>
      </c>
      <c r="CP13" s="1">
        <v>0</v>
      </c>
      <c r="CQ13" s="1">
        <v>23</v>
      </c>
      <c r="CR13" s="1">
        <v>92</v>
      </c>
      <c r="CS13" s="1">
        <v>3.9999999999999996</v>
      </c>
      <c r="CT13" s="1">
        <v>3.9999999999999996</v>
      </c>
      <c r="CU13" s="1">
        <v>0</v>
      </c>
      <c r="CV13" s="1">
        <v>0</v>
      </c>
      <c r="CW13" s="1">
        <v>25</v>
      </c>
      <c r="CX13" s="1">
        <v>84</v>
      </c>
      <c r="CY13" s="1">
        <v>11.999999999999998</v>
      </c>
      <c r="CZ13" s="1">
        <v>3.9999999999999996</v>
      </c>
      <c r="DA13" s="1">
        <v>0</v>
      </c>
      <c r="DB13" s="1">
        <v>0</v>
      </c>
      <c r="DC13" s="1">
        <v>25</v>
      </c>
      <c r="DD13" s="1">
        <v>84</v>
      </c>
      <c r="DE13" s="1">
        <v>15.999999999999998</v>
      </c>
      <c r="DF13" s="1">
        <v>0</v>
      </c>
      <c r="DG13" s="1">
        <v>0</v>
      </c>
      <c r="DH13" s="1">
        <v>0</v>
      </c>
      <c r="DI13" s="1">
        <v>25</v>
      </c>
      <c r="DJ13" s="1">
        <v>80.952380952380949</v>
      </c>
      <c r="DK13" s="1">
        <v>19.04761904761904</v>
      </c>
      <c r="DL13" s="1">
        <v>0</v>
      </c>
      <c r="DM13" s="1">
        <v>0</v>
      </c>
      <c r="DN13" s="1">
        <v>0</v>
      </c>
      <c r="DO13" s="1">
        <v>21</v>
      </c>
      <c r="DP13" s="1">
        <v>83.3333333333333</v>
      </c>
      <c r="DQ13" s="1">
        <v>12.499999999999998</v>
      </c>
      <c r="DR13" s="1">
        <v>4.1666666666666679</v>
      </c>
      <c r="DS13" s="1">
        <v>0</v>
      </c>
      <c r="DT13" s="1">
        <v>0</v>
      </c>
      <c r="DU13" s="1">
        <v>24</v>
      </c>
      <c r="DV13" s="1">
        <v>94.736842105263165</v>
      </c>
      <c r="DW13" s="1">
        <v>5.2631578947368389</v>
      </c>
      <c r="DX13" s="1">
        <v>0</v>
      </c>
      <c r="DY13" s="1">
        <v>0</v>
      </c>
      <c r="DZ13" s="1">
        <v>0</v>
      </c>
      <c r="EA13" s="1">
        <v>19</v>
      </c>
      <c r="EB13" s="1">
        <v>83.3333333333333</v>
      </c>
      <c r="EC13" s="1">
        <v>16.666666666666671</v>
      </c>
      <c r="ED13" s="1">
        <v>0</v>
      </c>
      <c r="EE13" s="1">
        <v>0</v>
      </c>
      <c r="EF13" s="1">
        <v>0</v>
      </c>
      <c r="EG13" s="1">
        <v>6</v>
      </c>
      <c r="EH13" s="1">
        <v>42.857142857142861</v>
      </c>
      <c r="EI13" s="1">
        <v>42.857142857142861</v>
      </c>
      <c r="EJ13" s="1">
        <v>0</v>
      </c>
      <c r="EK13" s="1">
        <v>14.285714285714279</v>
      </c>
      <c r="EL13" s="1">
        <v>0</v>
      </c>
      <c r="EM13" s="1">
        <v>7</v>
      </c>
      <c r="EN13" s="1">
        <v>28.571428571428559</v>
      </c>
      <c r="EO13" s="1">
        <v>35.714285714285694</v>
      </c>
      <c r="EP13" s="1">
        <v>14.285714285714279</v>
      </c>
      <c r="EQ13" s="1">
        <v>21.428571428571431</v>
      </c>
      <c r="ER13" s="1">
        <v>0</v>
      </c>
      <c r="ES13" s="1">
        <v>14</v>
      </c>
      <c r="ET13" s="1">
        <v>53.846153846153832</v>
      </c>
      <c r="EU13" s="1">
        <v>30.769230769230752</v>
      </c>
      <c r="EV13" s="1">
        <v>15.384615384615376</v>
      </c>
      <c r="EW13" s="1">
        <v>0</v>
      </c>
      <c r="EX13" s="1">
        <v>0</v>
      </c>
      <c r="EY13" s="1">
        <v>13</v>
      </c>
      <c r="EZ13" s="1">
        <v>25</v>
      </c>
      <c r="FA13" s="1">
        <v>75</v>
      </c>
      <c r="FB13" s="1">
        <v>0</v>
      </c>
      <c r="FC13" s="1">
        <v>0</v>
      </c>
      <c r="FD13" s="1">
        <v>0</v>
      </c>
      <c r="FE13" s="1">
        <v>4</v>
      </c>
      <c r="FF13" s="1">
        <v>25</v>
      </c>
      <c r="FG13" s="1">
        <v>75</v>
      </c>
      <c r="FH13" s="1">
        <v>0</v>
      </c>
      <c r="FI13" s="1">
        <v>0</v>
      </c>
      <c r="FJ13" s="1">
        <v>0</v>
      </c>
      <c r="FK13" s="1">
        <v>4</v>
      </c>
      <c r="FL13" s="1">
        <v>71.428571428571388</v>
      </c>
      <c r="FM13" s="1">
        <v>28.571428571428559</v>
      </c>
      <c r="FN13" s="1">
        <v>0</v>
      </c>
      <c r="FO13" s="1">
        <v>0</v>
      </c>
      <c r="FP13" s="1">
        <v>0</v>
      </c>
      <c r="FQ13" s="1">
        <v>7</v>
      </c>
      <c r="FR13" s="1">
        <v>66.666666666666686</v>
      </c>
      <c r="FS13" s="1">
        <v>33.333333333333343</v>
      </c>
      <c r="FT13" s="1">
        <v>0</v>
      </c>
      <c r="FU13" s="1">
        <v>0</v>
      </c>
      <c r="FV13" s="1">
        <v>0</v>
      </c>
      <c r="FW13" s="1">
        <v>3</v>
      </c>
      <c r="FX13" s="1">
        <v>91.666666666666686</v>
      </c>
      <c r="FY13" s="1">
        <v>8.3333333333333357</v>
      </c>
      <c r="FZ13" s="1">
        <v>0</v>
      </c>
      <c r="GA13" s="1">
        <v>0</v>
      </c>
      <c r="GB13" s="1">
        <v>0</v>
      </c>
      <c r="GC13" s="1">
        <v>24</v>
      </c>
      <c r="GD13" s="1">
        <v>79.999999999999986</v>
      </c>
      <c r="GE13" s="1">
        <v>19.999999999999996</v>
      </c>
      <c r="GF13" s="1">
        <v>0</v>
      </c>
      <c r="GG13" s="1">
        <v>0</v>
      </c>
      <c r="GH13" s="1">
        <v>0</v>
      </c>
      <c r="GI13" s="1">
        <v>10</v>
      </c>
      <c r="GJ13" s="1">
        <v>76.92307692307692</v>
      </c>
      <c r="GK13" s="1">
        <v>23.07692307692308</v>
      </c>
      <c r="GL13" s="1">
        <v>0</v>
      </c>
      <c r="GM13" s="1">
        <v>0</v>
      </c>
      <c r="GN13" s="1">
        <v>0</v>
      </c>
      <c r="GO13" s="1">
        <v>13</v>
      </c>
      <c r="GP13" s="1">
        <v>95</v>
      </c>
      <c r="GQ13" s="1">
        <v>4.9999999999999991</v>
      </c>
      <c r="GR13" s="1">
        <v>0</v>
      </c>
      <c r="GS13" s="1">
        <v>0</v>
      </c>
      <c r="GT13" s="1">
        <v>0</v>
      </c>
      <c r="GU13" s="1">
        <v>20</v>
      </c>
      <c r="GV13" s="1">
        <v>94.117647058823479</v>
      </c>
      <c r="GW13" s="1">
        <v>5.8823529411764675</v>
      </c>
      <c r="GX13" s="1">
        <v>0</v>
      </c>
      <c r="GY13" s="1">
        <v>0</v>
      </c>
      <c r="GZ13" s="1">
        <v>0</v>
      </c>
      <c r="HA13" s="1">
        <v>17</v>
      </c>
      <c r="HB13" s="1">
        <v>50</v>
      </c>
      <c r="HC13" s="1">
        <v>37.5</v>
      </c>
      <c r="HD13" s="1">
        <v>0</v>
      </c>
      <c r="HE13" s="1">
        <v>0</v>
      </c>
      <c r="HF13" s="1">
        <v>12.5</v>
      </c>
      <c r="HG13" s="1">
        <v>8</v>
      </c>
      <c r="HH13" s="1">
        <v>75</v>
      </c>
      <c r="HI13" s="1">
        <v>25</v>
      </c>
      <c r="HJ13" s="1">
        <v>0</v>
      </c>
      <c r="HK13" s="1">
        <v>0</v>
      </c>
      <c r="HL13" s="1">
        <v>0</v>
      </c>
      <c r="HM13" s="1">
        <v>8</v>
      </c>
      <c r="HN13" s="1">
        <v>0</v>
      </c>
      <c r="HO13" s="1">
        <v>0</v>
      </c>
      <c r="HP13" s="1">
        <v>0</v>
      </c>
      <c r="HQ13" s="1">
        <v>0</v>
      </c>
      <c r="HR13" s="1">
        <v>0</v>
      </c>
      <c r="HS13" s="1">
        <v>0</v>
      </c>
      <c r="HT13" s="1">
        <v>0</v>
      </c>
      <c r="HU13" s="1">
        <v>0</v>
      </c>
      <c r="HV13" s="1">
        <v>0</v>
      </c>
      <c r="HW13" s="1">
        <v>0</v>
      </c>
      <c r="HX13" s="1">
        <v>0</v>
      </c>
      <c r="HY13" s="1">
        <v>0</v>
      </c>
      <c r="HZ13" s="1">
        <v>0</v>
      </c>
      <c r="IA13" s="1">
        <v>0</v>
      </c>
      <c r="IB13" s="1">
        <v>0</v>
      </c>
      <c r="IC13" s="1">
        <v>0</v>
      </c>
      <c r="ID13" s="1">
        <v>0</v>
      </c>
      <c r="IE13" s="1">
        <v>0</v>
      </c>
      <c r="IF13" s="1">
        <v>9.75</v>
      </c>
      <c r="IG13" s="1">
        <v>0</v>
      </c>
      <c r="IH13" s="1">
        <v>0</v>
      </c>
      <c r="II13" s="1">
        <v>0</v>
      </c>
      <c r="IJ13" s="1">
        <v>0</v>
      </c>
      <c r="IK13" s="1">
        <v>0</v>
      </c>
      <c r="IL13" s="1">
        <v>0</v>
      </c>
      <c r="IM13" s="1">
        <v>0</v>
      </c>
      <c r="IN13" s="1">
        <v>0</v>
      </c>
      <c r="IO13" s="1">
        <v>24.999999999999996</v>
      </c>
      <c r="IP13" s="1">
        <v>75</v>
      </c>
      <c r="IQ13" s="1">
        <v>9.7500000000000018</v>
      </c>
      <c r="IR13" s="1">
        <v>24</v>
      </c>
      <c r="IS13" s="1">
        <v>75</v>
      </c>
      <c r="IT13" s="1">
        <v>8.3333333333333357</v>
      </c>
      <c r="IU13" s="1">
        <v>16.666666666666671</v>
      </c>
      <c r="IV13" s="1">
        <v>0</v>
      </c>
      <c r="IW13" s="1">
        <v>0</v>
      </c>
      <c r="IX13" s="1">
        <v>24</v>
      </c>
      <c r="IY13" s="1">
        <v>1</v>
      </c>
      <c r="IZ13" s="1">
        <v>13.542750000000007</v>
      </c>
      <c r="JA13" s="1">
        <v>7.5839400000000037</v>
      </c>
      <c r="JB13" s="1">
        <v>3.7919700000000018</v>
      </c>
      <c r="JC13" s="1">
        <v>1.08342</v>
      </c>
      <c r="JD13" s="1">
        <v>2.1668400000000001</v>
      </c>
      <c r="JE13" s="1">
        <v>0.56000000000000039</v>
      </c>
      <c r="JF13" s="1">
        <v>0.28000000000000019</v>
      </c>
      <c r="JG13" s="1">
        <v>8.0000000000000016E-2</v>
      </c>
      <c r="JH13" s="1">
        <v>0.16000000000000003</v>
      </c>
      <c r="JI13" s="1">
        <v>1</v>
      </c>
      <c r="JJ13" s="1">
        <v>25</v>
      </c>
      <c r="JK13" s="1">
        <v>2.75</v>
      </c>
      <c r="JL13" s="1">
        <v>2.7499999999999996</v>
      </c>
      <c r="JM13" s="1">
        <v>24</v>
      </c>
      <c r="JN13" s="1">
        <v>83.3333333333333</v>
      </c>
      <c r="JO13" s="1">
        <v>16.666666666666671</v>
      </c>
      <c r="JP13" s="1">
        <v>6</v>
      </c>
      <c r="JQ13" s="1">
        <v>100</v>
      </c>
      <c r="JR13" s="1">
        <v>0</v>
      </c>
      <c r="JS13" s="1">
        <v>10</v>
      </c>
      <c r="JT13" s="1">
        <v>95.652173913043484</v>
      </c>
      <c r="JU13" s="1">
        <v>4.3478260869565197</v>
      </c>
      <c r="JV13" s="1">
        <v>23</v>
      </c>
      <c r="JW13" s="1">
        <v>86.666666666666686</v>
      </c>
      <c r="JX13" s="1">
        <v>13.333333333333332</v>
      </c>
      <c r="JY13" s="1">
        <v>15</v>
      </c>
      <c r="JZ13" s="1">
        <v>47.619047619047613</v>
      </c>
      <c r="KA13" s="1">
        <v>52.38095238095238</v>
      </c>
      <c r="KB13" s="1">
        <v>21</v>
      </c>
      <c r="KC13" s="1">
        <v>100</v>
      </c>
      <c r="KD13" s="1">
        <v>0</v>
      </c>
      <c r="KE13" s="1">
        <v>18</v>
      </c>
      <c r="KF13" s="1">
        <v>3.8421052631578947</v>
      </c>
      <c r="KG13" s="1">
        <v>0</v>
      </c>
      <c r="KH13" s="1">
        <v>0</v>
      </c>
      <c r="KI13" s="1">
        <v>36.842105263157912</v>
      </c>
      <c r="KJ13" s="1">
        <v>42.105263157894711</v>
      </c>
      <c r="KK13" s="1">
        <v>21.052631578947356</v>
      </c>
      <c r="KL13" s="1">
        <v>19</v>
      </c>
      <c r="KM13" s="1">
        <v>65.526315789473699</v>
      </c>
      <c r="KN13" s="1">
        <v>9</v>
      </c>
      <c r="KO13" s="1">
        <v>0</v>
      </c>
      <c r="KP13" s="1">
        <v>100</v>
      </c>
      <c r="KQ13" s="1">
        <v>0</v>
      </c>
      <c r="KR13" s="1">
        <v>0</v>
      </c>
      <c r="KS13" s="1">
        <v>0</v>
      </c>
      <c r="KT13" s="1">
        <v>1</v>
      </c>
      <c r="KU13" s="1">
        <v>0</v>
      </c>
      <c r="KV13" s="1">
        <v>0</v>
      </c>
      <c r="KW13" s="1">
        <v>0</v>
      </c>
      <c r="KX13" s="1">
        <v>100</v>
      </c>
      <c r="KY13" s="1">
        <v>0</v>
      </c>
      <c r="KZ13" s="1">
        <v>20</v>
      </c>
      <c r="LA13" s="1">
        <v>0</v>
      </c>
      <c r="LB13" s="1">
        <v>100</v>
      </c>
      <c r="LC13" s="1">
        <v>20</v>
      </c>
      <c r="LD13" s="1">
        <v>0</v>
      </c>
      <c r="LE13" s="1">
        <v>0</v>
      </c>
      <c r="LF13" s="1">
        <v>0</v>
      </c>
      <c r="LG13" s="1">
        <v>0</v>
      </c>
    </row>
    <row r="14" spans="1:320" x14ac:dyDescent="0.25">
      <c r="A14" s="1">
        <v>26</v>
      </c>
      <c r="B14" s="1">
        <v>18.750000000000004</v>
      </c>
      <c r="C14" s="1">
        <v>81.25</v>
      </c>
      <c r="D14" s="1">
        <v>48</v>
      </c>
      <c r="E14" s="1">
        <v>81.081081081081123</v>
      </c>
      <c r="F14" s="1">
        <v>18.91891891891893</v>
      </c>
      <c r="G14" s="1">
        <v>37</v>
      </c>
      <c r="H14" s="1">
        <v>65.517241379310292</v>
      </c>
      <c r="I14" s="1">
        <v>34.482758620689665</v>
      </c>
      <c r="J14" s="1">
        <v>29</v>
      </c>
      <c r="K14" s="1">
        <v>1</v>
      </c>
      <c r="L14" s="1">
        <v>26.572529999999979</v>
      </c>
      <c r="M14" s="1">
        <v>7.2944200000000015</v>
      </c>
      <c r="N14" s="1">
        <v>5.7313299999999963</v>
      </c>
      <c r="O14" s="1">
        <v>6.2523600000000048</v>
      </c>
      <c r="P14" s="1">
        <v>1.5630900000000012</v>
      </c>
      <c r="Q14" s="1">
        <v>8.8575099999999924</v>
      </c>
      <c r="R14" s="1">
        <v>0.52102999999999977</v>
      </c>
      <c r="S14" s="1">
        <v>2.0841199999999991</v>
      </c>
      <c r="T14" s="1">
        <v>3.6472100000000007</v>
      </c>
      <c r="U14" s="1">
        <v>2.6051499999999987</v>
      </c>
      <c r="V14" s="1">
        <v>13.546780000000004</v>
      </c>
      <c r="W14" s="1">
        <v>0.27450980392156898</v>
      </c>
      <c r="X14" s="1">
        <v>0.21568627450980374</v>
      </c>
      <c r="Y14" s="1">
        <v>0.23529411764705924</v>
      </c>
      <c r="Z14" s="1">
        <v>5.8823529411764809E-2</v>
      </c>
      <c r="AA14" s="1">
        <v>0.33333333333333343</v>
      </c>
      <c r="AB14" s="1">
        <v>1.9607843137254916E-2</v>
      </c>
      <c r="AC14" s="1">
        <v>7.8431372549019662E-2</v>
      </c>
      <c r="AD14" s="1">
        <v>0.13725490196078452</v>
      </c>
      <c r="AE14" s="1">
        <v>9.8039215686274495E-2</v>
      </c>
      <c r="AF14" s="1">
        <v>0.50980392156862819</v>
      </c>
      <c r="AG14" s="1">
        <v>1</v>
      </c>
      <c r="AH14" s="1">
        <v>51</v>
      </c>
      <c r="AI14" s="1">
        <v>1</v>
      </c>
      <c r="AJ14" s="1">
        <v>27.614589999999971</v>
      </c>
      <c r="AK14" s="1">
        <v>16.672959999999993</v>
      </c>
      <c r="AL14" s="1">
        <v>23.44634999999996</v>
      </c>
      <c r="AM14" s="1">
        <v>10.941629999999995</v>
      </c>
      <c r="AN14" s="1">
        <v>18.236049999999981</v>
      </c>
      <c r="AO14" s="1">
        <v>1.5630900000000012</v>
      </c>
      <c r="AP14" s="1">
        <v>2.6051499999999987</v>
      </c>
      <c r="AQ14" s="1">
        <v>0.60377358490566035</v>
      </c>
      <c r="AR14" s="1">
        <v>0.84905660377358383</v>
      </c>
      <c r="AS14" s="1">
        <v>0.3962264150943397</v>
      </c>
      <c r="AT14" s="1">
        <v>0.66037735849056645</v>
      </c>
      <c r="AU14" s="1">
        <v>5.6603773584905731E-2</v>
      </c>
      <c r="AV14" s="1">
        <v>9.4339622641509552E-2</v>
      </c>
      <c r="AW14" s="1">
        <v>1</v>
      </c>
      <c r="AX14" s="1">
        <v>53</v>
      </c>
      <c r="AY14" s="1">
        <v>9.8235294117647065</v>
      </c>
      <c r="AZ14" s="1">
        <v>9.8113207547169807</v>
      </c>
      <c r="BA14" s="1">
        <v>9.9183673469387763</v>
      </c>
      <c r="BB14" s="1">
        <v>0</v>
      </c>
      <c r="BC14" s="1">
        <v>0</v>
      </c>
      <c r="BD14" s="1">
        <v>0</v>
      </c>
      <c r="BE14" s="1">
        <v>0</v>
      </c>
      <c r="BF14" s="1">
        <v>0</v>
      </c>
      <c r="BG14" s="1">
        <v>0</v>
      </c>
      <c r="BH14" s="1">
        <v>0</v>
      </c>
      <c r="BI14" s="1">
        <v>1.9607843137254932</v>
      </c>
      <c r="BJ14" s="1">
        <v>13.72549019607845</v>
      </c>
      <c r="BK14" s="1">
        <v>84.31372549019612</v>
      </c>
      <c r="BL14" s="1">
        <v>9.8235294117646994</v>
      </c>
      <c r="BM14" s="1">
        <v>51</v>
      </c>
      <c r="BN14" s="1">
        <v>0</v>
      </c>
      <c r="BO14" s="1">
        <v>0</v>
      </c>
      <c r="BP14" s="1">
        <v>0</v>
      </c>
      <c r="BQ14" s="1">
        <v>0</v>
      </c>
      <c r="BR14" s="1">
        <v>0</v>
      </c>
      <c r="BS14" s="1">
        <v>0</v>
      </c>
      <c r="BT14" s="1">
        <v>0</v>
      </c>
      <c r="BU14" s="1">
        <v>5.6603773584905657</v>
      </c>
      <c r="BV14" s="1">
        <v>7.5471698113207664</v>
      </c>
      <c r="BW14" s="1">
        <v>86.792452830188651</v>
      </c>
      <c r="BX14" s="1">
        <v>9.8113207547169754</v>
      </c>
      <c r="BY14" s="1">
        <v>53</v>
      </c>
      <c r="BZ14" s="1">
        <v>0</v>
      </c>
      <c r="CA14" s="1">
        <v>0</v>
      </c>
      <c r="CB14" s="1">
        <v>0</v>
      </c>
      <c r="CC14" s="1">
        <v>0</v>
      </c>
      <c r="CD14" s="1">
        <v>0</v>
      </c>
      <c r="CE14" s="1">
        <v>0</v>
      </c>
      <c r="CF14" s="1">
        <v>0</v>
      </c>
      <c r="CG14" s="1">
        <v>2.0408163265306141</v>
      </c>
      <c r="CH14" s="1">
        <v>4.0816326530612281</v>
      </c>
      <c r="CI14" s="1">
        <v>93.877551020408092</v>
      </c>
      <c r="CJ14" s="1">
        <v>9.9183673469387816</v>
      </c>
      <c r="CK14" s="1">
        <v>49</v>
      </c>
      <c r="CL14" s="1">
        <v>63.043478260869534</v>
      </c>
      <c r="CM14" s="1">
        <v>34.782608695652229</v>
      </c>
      <c r="CN14" s="1">
        <v>2.1739130434782643</v>
      </c>
      <c r="CO14" s="1">
        <v>0</v>
      </c>
      <c r="CP14" s="1">
        <v>0</v>
      </c>
      <c r="CQ14" s="1">
        <v>46</v>
      </c>
      <c r="CR14" s="1">
        <v>90.38461538461533</v>
      </c>
      <c r="CS14" s="1">
        <v>9.6153846153846292</v>
      </c>
      <c r="CT14" s="1">
        <v>0</v>
      </c>
      <c r="CU14" s="1">
        <v>0</v>
      </c>
      <c r="CV14" s="1">
        <v>0</v>
      </c>
      <c r="CW14" s="1">
        <v>52</v>
      </c>
      <c r="CX14" s="1">
        <v>83.018867924528394</v>
      </c>
      <c r="CY14" s="1">
        <v>16.981132075471695</v>
      </c>
      <c r="CZ14" s="1">
        <v>0</v>
      </c>
      <c r="DA14" s="1">
        <v>0</v>
      </c>
      <c r="DB14" s="1">
        <v>0</v>
      </c>
      <c r="DC14" s="1">
        <v>53</v>
      </c>
      <c r="DD14" s="1">
        <v>92.156862745097982</v>
      </c>
      <c r="DE14" s="1">
        <v>7.8431372549019729</v>
      </c>
      <c r="DF14" s="1">
        <v>0</v>
      </c>
      <c r="DG14" s="1">
        <v>0</v>
      </c>
      <c r="DH14" s="1">
        <v>0</v>
      </c>
      <c r="DI14" s="1">
        <v>51</v>
      </c>
      <c r="DJ14" s="1">
        <v>82.352941176470608</v>
      </c>
      <c r="DK14" s="1">
        <v>17.647058823529399</v>
      </c>
      <c r="DL14" s="1">
        <v>0</v>
      </c>
      <c r="DM14" s="1">
        <v>0</v>
      </c>
      <c r="DN14" s="1">
        <v>0</v>
      </c>
      <c r="DO14" s="1">
        <v>51</v>
      </c>
      <c r="DP14" s="1">
        <v>95.91836734693878</v>
      </c>
      <c r="DQ14" s="1">
        <v>4.0816326530612281</v>
      </c>
      <c r="DR14" s="1">
        <v>0</v>
      </c>
      <c r="DS14" s="1">
        <v>0</v>
      </c>
      <c r="DT14" s="1">
        <v>0</v>
      </c>
      <c r="DU14" s="1">
        <v>49</v>
      </c>
      <c r="DV14" s="1">
        <v>92.307692307692349</v>
      </c>
      <c r="DW14" s="1">
        <v>7.6923076923076925</v>
      </c>
      <c r="DX14" s="1">
        <v>0</v>
      </c>
      <c r="DY14" s="1">
        <v>0</v>
      </c>
      <c r="DZ14" s="1">
        <v>0</v>
      </c>
      <c r="EA14" s="1">
        <v>39</v>
      </c>
      <c r="EB14" s="1">
        <v>86.666666666666643</v>
      </c>
      <c r="EC14" s="1">
        <v>13.333333333333339</v>
      </c>
      <c r="ED14" s="1">
        <v>0</v>
      </c>
      <c r="EE14" s="1">
        <v>0</v>
      </c>
      <c r="EF14" s="1">
        <v>0</v>
      </c>
      <c r="EG14" s="1">
        <v>30</v>
      </c>
      <c r="EH14" s="1">
        <v>67.85714285714279</v>
      </c>
      <c r="EI14" s="1">
        <v>28.571428571428598</v>
      </c>
      <c r="EJ14" s="1">
        <v>0</v>
      </c>
      <c r="EK14" s="1">
        <v>3.5714285714285747</v>
      </c>
      <c r="EL14" s="1">
        <v>0</v>
      </c>
      <c r="EM14" s="1">
        <v>28</v>
      </c>
      <c r="EN14" s="1">
        <v>45.945945945945965</v>
      </c>
      <c r="EO14" s="1">
        <v>45.945945945945965</v>
      </c>
      <c r="EP14" s="1">
        <v>8.108108108108123</v>
      </c>
      <c r="EQ14" s="1">
        <v>0</v>
      </c>
      <c r="ER14" s="1">
        <v>0</v>
      </c>
      <c r="ES14" s="1">
        <v>37</v>
      </c>
      <c r="ET14" s="1">
        <v>43.589743589743634</v>
      </c>
      <c r="EU14" s="1">
        <v>46.153846153846182</v>
      </c>
      <c r="EV14" s="1">
        <v>10.256410256410266</v>
      </c>
      <c r="EW14" s="1">
        <v>0</v>
      </c>
      <c r="EX14" s="1">
        <v>0</v>
      </c>
      <c r="EY14" s="1">
        <v>39</v>
      </c>
      <c r="EZ14" s="1">
        <v>63.157894736842088</v>
      </c>
      <c r="FA14" s="1">
        <v>31.578947368421044</v>
      </c>
      <c r="FB14" s="1">
        <v>5.2631578947368451</v>
      </c>
      <c r="FC14" s="1">
        <v>0</v>
      </c>
      <c r="FD14" s="1">
        <v>0</v>
      </c>
      <c r="FE14" s="1">
        <v>19</v>
      </c>
      <c r="FF14" s="1">
        <v>61.111111111111178</v>
      </c>
      <c r="FG14" s="1">
        <v>33.333333333333314</v>
      </c>
      <c r="FH14" s="1">
        <v>5.5555555555555491</v>
      </c>
      <c r="FI14" s="1">
        <v>0</v>
      </c>
      <c r="FJ14" s="1">
        <v>0</v>
      </c>
      <c r="FK14" s="1">
        <v>18</v>
      </c>
      <c r="FL14" s="1">
        <v>79.166666666666615</v>
      </c>
      <c r="FM14" s="1">
        <v>20.833333333333343</v>
      </c>
      <c r="FN14" s="1">
        <v>0</v>
      </c>
      <c r="FO14" s="1">
        <v>0</v>
      </c>
      <c r="FP14" s="1">
        <v>0</v>
      </c>
      <c r="FQ14" s="1">
        <v>24</v>
      </c>
      <c r="FR14" s="1">
        <v>68</v>
      </c>
      <c r="FS14" s="1">
        <v>28.000000000000004</v>
      </c>
      <c r="FT14" s="1">
        <v>4.0000000000000009</v>
      </c>
      <c r="FU14" s="1">
        <v>0</v>
      </c>
      <c r="FV14" s="1">
        <v>0</v>
      </c>
      <c r="FW14" s="1">
        <v>25</v>
      </c>
      <c r="FX14" s="1">
        <v>92</v>
      </c>
      <c r="FY14" s="1">
        <v>6.0000000000000009</v>
      </c>
      <c r="FZ14" s="1">
        <v>2.0000000000000004</v>
      </c>
      <c r="GA14" s="1">
        <v>0</v>
      </c>
      <c r="GB14" s="1">
        <v>0</v>
      </c>
      <c r="GC14" s="1">
        <v>50</v>
      </c>
      <c r="GD14" s="1">
        <v>75</v>
      </c>
      <c r="GE14" s="1">
        <v>18.750000000000004</v>
      </c>
      <c r="GF14" s="1">
        <v>6.2500000000000009</v>
      </c>
      <c r="GG14" s="1">
        <v>0</v>
      </c>
      <c r="GH14" s="1">
        <v>0</v>
      </c>
      <c r="GI14" s="1">
        <v>16</v>
      </c>
      <c r="GJ14" s="1">
        <v>82.352941176470608</v>
      </c>
      <c r="GK14" s="1">
        <v>17.647058823529399</v>
      </c>
      <c r="GL14" s="1">
        <v>0</v>
      </c>
      <c r="GM14" s="1">
        <v>0</v>
      </c>
      <c r="GN14" s="1">
        <v>0</v>
      </c>
      <c r="GO14" s="1">
        <v>17</v>
      </c>
      <c r="GP14" s="1">
        <v>70.588235294117595</v>
      </c>
      <c r="GQ14" s="1">
        <v>27.45098039215689</v>
      </c>
      <c r="GR14" s="1">
        <v>1.9607843137254932</v>
      </c>
      <c r="GS14" s="1">
        <v>0</v>
      </c>
      <c r="GT14" s="1">
        <v>0</v>
      </c>
      <c r="GU14" s="1">
        <v>51</v>
      </c>
      <c r="GV14" s="1">
        <v>77.083333333333385</v>
      </c>
      <c r="GW14" s="1">
        <v>20.833333333333353</v>
      </c>
      <c r="GX14" s="1">
        <v>2.0833333333333321</v>
      </c>
      <c r="GY14" s="1">
        <v>0</v>
      </c>
      <c r="GZ14" s="1">
        <v>0</v>
      </c>
      <c r="HA14" s="1">
        <v>48</v>
      </c>
      <c r="HB14" s="1">
        <v>50.000000000000007</v>
      </c>
      <c r="HC14" s="1">
        <v>20.000000000000004</v>
      </c>
      <c r="HD14" s="1">
        <v>20.000000000000004</v>
      </c>
      <c r="HE14" s="1">
        <v>10.000000000000002</v>
      </c>
      <c r="HF14" s="1">
        <v>0</v>
      </c>
      <c r="HG14" s="1">
        <v>10</v>
      </c>
      <c r="HH14" s="1">
        <v>84.61538461538467</v>
      </c>
      <c r="HI14" s="1">
        <v>0</v>
      </c>
      <c r="HJ14" s="1">
        <v>15.384615384615385</v>
      </c>
      <c r="HK14" s="1">
        <v>0</v>
      </c>
      <c r="HL14" s="1">
        <v>0</v>
      </c>
      <c r="HM14" s="1">
        <v>13</v>
      </c>
      <c r="HN14" s="1">
        <v>0</v>
      </c>
      <c r="HO14" s="1">
        <v>0</v>
      </c>
      <c r="HP14" s="1">
        <v>0</v>
      </c>
      <c r="HQ14" s="1">
        <v>0</v>
      </c>
      <c r="HR14" s="1">
        <v>0</v>
      </c>
      <c r="HS14" s="1">
        <v>0</v>
      </c>
      <c r="HT14" s="1">
        <v>0</v>
      </c>
      <c r="HU14" s="1">
        <v>0</v>
      </c>
      <c r="HV14" s="1">
        <v>0</v>
      </c>
      <c r="HW14" s="1">
        <v>0</v>
      </c>
      <c r="HX14" s="1">
        <v>0</v>
      </c>
      <c r="HY14" s="1">
        <v>0</v>
      </c>
      <c r="HZ14" s="1">
        <v>0</v>
      </c>
      <c r="IA14" s="1">
        <v>0</v>
      </c>
      <c r="IB14" s="1">
        <v>0</v>
      </c>
      <c r="IC14" s="1">
        <v>0</v>
      </c>
      <c r="ID14" s="1">
        <v>0</v>
      </c>
      <c r="IE14" s="1">
        <v>0</v>
      </c>
      <c r="IF14" s="1">
        <v>9.5294117647058822</v>
      </c>
      <c r="IG14" s="1">
        <v>0</v>
      </c>
      <c r="IH14" s="1">
        <v>0</v>
      </c>
      <c r="II14" s="1">
        <v>0</v>
      </c>
      <c r="IJ14" s="1">
        <v>0</v>
      </c>
      <c r="IK14" s="1">
        <v>0</v>
      </c>
      <c r="IL14" s="1">
        <v>0</v>
      </c>
      <c r="IM14" s="1">
        <v>0</v>
      </c>
      <c r="IN14" s="1">
        <v>9.803921568627457</v>
      </c>
      <c r="IO14" s="1">
        <v>27.45098039215689</v>
      </c>
      <c r="IP14" s="1">
        <v>62.745098039215783</v>
      </c>
      <c r="IQ14" s="1">
        <v>9.529411764705868</v>
      </c>
      <c r="IR14" s="1">
        <v>51</v>
      </c>
      <c r="IS14" s="1">
        <v>69.811320754717045</v>
      </c>
      <c r="IT14" s="1">
        <v>20.754716981132098</v>
      </c>
      <c r="IU14" s="1">
        <v>7.5471698113207664</v>
      </c>
      <c r="IV14" s="1">
        <v>0</v>
      </c>
      <c r="IW14" s="1">
        <v>1.8867924528301916</v>
      </c>
      <c r="IX14" s="1">
        <v>53</v>
      </c>
      <c r="IY14" s="1">
        <v>1</v>
      </c>
      <c r="IZ14" s="1">
        <v>26.051500000000011</v>
      </c>
      <c r="JA14" s="1">
        <v>19.278109999999977</v>
      </c>
      <c r="JB14" s="1">
        <v>3.1261800000000028</v>
      </c>
      <c r="JC14" s="1">
        <v>1.5630900000000012</v>
      </c>
      <c r="JD14" s="1">
        <v>2.0841199999999991</v>
      </c>
      <c r="JE14" s="1">
        <v>0.73999999999999977</v>
      </c>
      <c r="JF14" s="1">
        <v>0.12000000000000009</v>
      </c>
      <c r="JG14" s="1">
        <v>6.0000000000000046E-2</v>
      </c>
      <c r="JH14" s="1">
        <v>8.0000000000000057E-2</v>
      </c>
      <c r="JI14" s="1">
        <v>1</v>
      </c>
      <c r="JJ14" s="1">
        <v>50</v>
      </c>
      <c r="JK14" s="1">
        <v>3.9811320754716979</v>
      </c>
      <c r="JL14" s="1">
        <v>3.9811320754716983</v>
      </c>
      <c r="JM14" s="1">
        <v>53</v>
      </c>
      <c r="JN14" s="1">
        <v>86.36363636363636</v>
      </c>
      <c r="JO14" s="1">
        <v>13.63636363636363</v>
      </c>
      <c r="JP14" s="1">
        <v>22</v>
      </c>
      <c r="JQ14" s="1">
        <v>96.875</v>
      </c>
      <c r="JR14" s="1">
        <v>3.1250000000000004</v>
      </c>
      <c r="JS14" s="1">
        <v>32</v>
      </c>
      <c r="JT14" s="1">
        <v>97.872340425531874</v>
      </c>
      <c r="JU14" s="1">
        <v>2.1276595744680842</v>
      </c>
      <c r="JV14" s="1">
        <v>47</v>
      </c>
      <c r="JW14" s="1">
        <v>91.428571428571473</v>
      </c>
      <c r="JX14" s="1">
        <v>8.5714285714285676</v>
      </c>
      <c r="JY14" s="1">
        <v>35</v>
      </c>
      <c r="JZ14" s="1">
        <v>52.173913043478315</v>
      </c>
      <c r="KA14" s="1">
        <v>47.826086956521792</v>
      </c>
      <c r="KB14" s="1">
        <v>46</v>
      </c>
      <c r="KC14" s="1">
        <v>100</v>
      </c>
      <c r="KD14" s="1">
        <v>0</v>
      </c>
      <c r="KE14" s="1">
        <v>41</v>
      </c>
      <c r="KF14" s="1">
        <v>3.2272727272727271</v>
      </c>
      <c r="KG14" s="1">
        <v>4.5454545454545539</v>
      </c>
      <c r="KH14" s="1">
        <v>13.636363636363635</v>
      </c>
      <c r="KI14" s="1">
        <v>47.727272727272698</v>
      </c>
      <c r="KJ14" s="1">
        <v>22.727272727272744</v>
      </c>
      <c r="KK14" s="1">
        <v>11.363636363636372</v>
      </c>
      <c r="KL14" s="1">
        <v>44</v>
      </c>
      <c r="KM14" s="1">
        <v>57.659090909090985</v>
      </c>
      <c r="KN14" s="1">
        <v>0</v>
      </c>
      <c r="KO14" s="1">
        <v>0</v>
      </c>
      <c r="KP14" s="1">
        <v>0</v>
      </c>
      <c r="KQ14" s="1">
        <v>0</v>
      </c>
      <c r="KR14" s="1">
        <v>0</v>
      </c>
      <c r="KS14" s="1">
        <v>0</v>
      </c>
      <c r="KT14" s="1">
        <v>0</v>
      </c>
      <c r="KU14" s="1">
        <v>0</v>
      </c>
      <c r="KV14" s="1">
        <v>0</v>
      </c>
      <c r="KW14" s="1">
        <v>0</v>
      </c>
      <c r="KX14" s="1">
        <v>97.560975609756156</v>
      </c>
      <c r="KY14" s="1">
        <v>2.4390243902439019</v>
      </c>
      <c r="KZ14" s="1">
        <v>41</v>
      </c>
      <c r="LA14" s="1">
        <v>10.256410256410266</v>
      </c>
      <c r="LB14" s="1">
        <v>89.743589743589808</v>
      </c>
      <c r="LC14" s="1">
        <v>39</v>
      </c>
      <c r="LD14" s="1">
        <v>0</v>
      </c>
      <c r="LE14" s="1">
        <v>25</v>
      </c>
      <c r="LF14" s="1">
        <v>75</v>
      </c>
      <c r="LG14" s="1">
        <v>4</v>
      </c>
    </row>
    <row r="15" spans="1:320" x14ac:dyDescent="0.25">
      <c r="A15" s="1">
        <v>27</v>
      </c>
      <c r="B15" s="1">
        <v>21.348314606741543</v>
      </c>
      <c r="C15" s="1">
        <v>78.651685393258305</v>
      </c>
      <c r="D15" s="1">
        <v>89</v>
      </c>
      <c r="E15" s="1">
        <v>89.855072463768039</v>
      </c>
      <c r="F15" s="1">
        <v>10.144927536231878</v>
      </c>
      <c r="G15" s="1">
        <v>69</v>
      </c>
      <c r="H15" s="1">
        <v>71.428571428571473</v>
      </c>
      <c r="I15" s="1">
        <v>28.571428571428605</v>
      </c>
      <c r="J15" s="1">
        <v>56</v>
      </c>
      <c r="K15" s="1">
        <v>1</v>
      </c>
      <c r="L15" s="1">
        <v>53.596800000000158</v>
      </c>
      <c r="M15" s="1">
        <v>13.696959999999995</v>
      </c>
      <c r="N15" s="1">
        <v>7.7417600000000002</v>
      </c>
      <c r="O15" s="1">
        <v>13.101440000000006</v>
      </c>
      <c r="P15" s="1">
        <v>0.59552000000000038</v>
      </c>
      <c r="Q15" s="1">
        <v>27.393919999999991</v>
      </c>
      <c r="R15" s="1">
        <v>2.3820800000000015</v>
      </c>
      <c r="S15" s="1">
        <v>1.1910400000000008</v>
      </c>
      <c r="T15" s="1">
        <v>8.3372799999999962</v>
      </c>
      <c r="U15" s="1">
        <v>7.1462400000000006</v>
      </c>
      <c r="V15" s="1">
        <v>11.910399999999989</v>
      </c>
      <c r="W15" s="1">
        <v>0.25555555555555609</v>
      </c>
      <c r="X15" s="1">
        <v>0.14444444444444435</v>
      </c>
      <c r="Y15" s="1">
        <v>0.24444444444444388</v>
      </c>
      <c r="Z15" s="1">
        <v>1.1111111111111079E-2</v>
      </c>
      <c r="AA15" s="1">
        <v>0.51111111111111218</v>
      </c>
      <c r="AB15" s="1">
        <v>4.444444444444437E-2</v>
      </c>
      <c r="AC15" s="1">
        <v>2.2222222222222185E-2</v>
      </c>
      <c r="AD15" s="1">
        <v>0.15555555555555539</v>
      </c>
      <c r="AE15" s="1">
        <v>0.13333333333333303</v>
      </c>
      <c r="AF15" s="1">
        <v>0.22222222222222179</v>
      </c>
      <c r="AG15" s="1">
        <v>1</v>
      </c>
      <c r="AH15" s="1">
        <v>90</v>
      </c>
      <c r="AI15" s="1">
        <v>1</v>
      </c>
      <c r="AJ15" s="1">
        <v>51.8102400000001</v>
      </c>
      <c r="AK15" s="1">
        <v>42.877440000000092</v>
      </c>
      <c r="AL15" s="1">
        <v>17.865600000000029</v>
      </c>
      <c r="AM15" s="1">
        <v>26.798400000000079</v>
      </c>
      <c r="AN15" s="1">
        <v>35.135679999999986</v>
      </c>
      <c r="AO15" s="1">
        <v>4.7641600000000031</v>
      </c>
      <c r="AP15" s="1">
        <v>8.9328000000000145</v>
      </c>
      <c r="AQ15" s="1">
        <v>0.8275862068965536</v>
      </c>
      <c r="AR15" s="1">
        <v>0.34482758620689674</v>
      </c>
      <c r="AS15" s="1">
        <v>0.51724137931034397</v>
      </c>
      <c r="AT15" s="1">
        <v>0.67816091954023072</v>
      </c>
      <c r="AU15" s="1">
        <v>9.1954022988505676E-2</v>
      </c>
      <c r="AV15" s="1">
        <v>0.17241379310344837</v>
      </c>
      <c r="AW15" s="1">
        <v>1</v>
      </c>
      <c r="AX15" s="1">
        <v>87</v>
      </c>
      <c r="AY15" s="1">
        <v>9.5697674418604652</v>
      </c>
      <c r="AZ15" s="1">
        <v>9.8235294117647065</v>
      </c>
      <c r="BA15" s="1">
        <v>9.8051948051948052</v>
      </c>
      <c r="BB15" s="1">
        <v>1.16279069767442</v>
      </c>
      <c r="BC15" s="1">
        <v>0</v>
      </c>
      <c r="BD15" s="1">
        <v>0</v>
      </c>
      <c r="BE15" s="1">
        <v>0</v>
      </c>
      <c r="BF15" s="1">
        <v>0</v>
      </c>
      <c r="BG15" s="1">
        <v>2.32558139534884</v>
      </c>
      <c r="BH15" s="1">
        <v>1.16279069767442</v>
      </c>
      <c r="BI15" s="1">
        <v>5.8139534883720838</v>
      </c>
      <c r="BJ15" s="1">
        <v>8.1395348837209092</v>
      </c>
      <c r="BK15" s="1">
        <v>81.395348837209184</v>
      </c>
      <c r="BL15" s="1">
        <v>9.569767441860451</v>
      </c>
      <c r="BM15" s="1">
        <v>86</v>
      </c>
      <c r="BN15" s="1">
        <v>0</v>
      </c>
      <c r="BO15" s="1">
        <v>0</v>
      </c>
      <c r="BP15" s="1">
        <v>0</v>
      </c>
      <c r="BQ15" s="1">
        <v>0</v>
      </c>
      <c r="BR15" s="1">
        <v>0</v>
      </c>
      <c r="BS15" s="1">
        <v>0</v>
      </c>
      <c r="BT15" s="1">
        <v>1.176470588235291</v>
      </c>
      <c r="BU15" s="1">
        <v>2.3529411764705821</v>
      </c>
      <c r="BV15" s="1">
        <v>9.4117647058823284</v>
      </c>
      <c r="BW15" s="1">
        <v>87.058823529411725</v>
      </c>
      <c r="BX15" s="1">
        <v>9.823529411764671</v>
      </c>
      <c r="BY15" s="1">
        <v>85</v>
      </c>
      <c r="BZ15" s="1">
        <v>0</v>
      </c>
      <c r="CA15" s="1">
        <v>0</v>
      </c>
      <c r="CB15" s="1">
        <v>0</v>
      </c>
      <c r="CC15" s="1">
        <v>0</v>
      </c>
      <c r="CD15" s="1">
        <v>0</v>
      </c>
      <c r="CE15" s="1">
        <v>0</v>
      </c>
      <c r="CF15" s="1">
        <v>0</v>
      </c>
      <c r="CG15" s="1">
        <v>2.5974025974026</v>
      </c>
      <c r="CH15" s="1">
        <v>14.285714285714288</v>
      </c>
      <c r="CI15" s="1">
        <v>83.116883116883201</v>
      </c>
      <c r="CJ15" s="1">
        <v>9.8051948051947893</v>
      </c>
      <c r="CK15" s="1">
        <v>77</v>
      </c>
      <c r="CL15" s="1">
        <v>40</v>
      </c>
      <c r="CM15" s="1">
        <v>47.058823529411718</v>
      </c>
      <c r="CN15" s="1">
        <v>2.3529411764705821</v>
      </c>
      <c r="CO15" s="1">
        <v>8.2352941176470633</v>
      </c>
      <c r="CP15" s="1">
        <v>2.3529411764705821</v>
      </c>
      <c r="CQ15" s="1">
        <v>85</v>
      </c>
      <c r="CR15" s="1">
        <v>63.953488372092906</v>
      </c>
      <c r="CS15" s="1">
        <v>20.930232558139547</v>
      </c>
      <c r="CT15" s="1">
        <v>4.65116279069768</v>
      </c>
      <c r="CU15" s="1">
        <v>6.9767441860465143</v>
      </c>
      <c r="CV15" s="1">
        <v>3.4883720930232571</v>
      </c>
      <c r="CW15" s="1">
        <v>86</v>
      </c>
      <c r="CX15" s="1">
        <v>73.25581395348847</v>
      </c>
      <c r="CY15" s="1">
        <v>22.093023255813936</v>
      </c>
      <c r="CZ15" s="1">
        <v>4.65116279069768</v>
      </c>
      <c r="DA15" s="1">
        <v>0</v>
      </c>
      <c r="DB15" s="1">
        <v>0</v>
      </c>
      <c r="DC15" s="1">
        <v>86</v>
      </c>
      <c r="DD15" s="1">
        <v>79.545454545454703</v>
      </c>
      <c r="DE15" s="1">
        <v>15.909090909090915</v>
      </c>
      <c r="DF15" s="1">
        <v>2.2727272727272734</v>
      </c>
      <c r="DG15" s="1">
        <v>2.2727272727272734</v>
      </c>
      <c r="DH15" s="1">
        <v>0</v>
      </c>
      <c r="DI15" s="1">
        <v>88</v>
      </c>
      <c r="DJ15" s="1">
        <v>65.853658536585442</v>
      </c>
      <c r="DK15" s="1">
        <v>19.512195121951212</v>
      </c>
      <c r="DL15" s="1">
        <v>8.5365853658536341</v>
      </c>
      <c r="DM15" s="1">
        <v>6.0975609756097668</v>
      </c>
      <c r="DN15" s="1">
        <v>0</v>
      </c>
      <c r="DO15" s="1">
        <v>82</v>
      </c>
      <c r="DP15" s="1">
        <v>85.227272727272791</v>
      </c>
      <c r="DQ15" s="1">
        <v>13.636363636363646</v>
      </c>
      <c r="DR15" s="1">
        <v>1.1363636363636367</v>
      </c>
      <c r="DS15" s="1">
        <v>0</v>
      </c>
      <c r="DT15" s="1">
        <v>0</v>
      </c>
      <c r="DU15" s="1">
        <v>88</v>
      </c>
      <c r="DV15" s="1">
        <v>61.728395061728399</v>
      </c>
      <c r="DW15" s="1">
        <v>27.160493827160469</v>
      </c>
      <c r="DX15" s="1">
        <v>3.7037037037036966</v>
      </c>
      <c r="DY15" s="1">
        <v>3.7037037037036966</v>
      </c>
      <c r="DZ15" s="1">
        <v>3.7037037037036966</v>
      </c>
      <c r="EA15" s="1">
        <v>81</v>
      </c>
      <c r="EB15" s="1">
        <v>85.714285714285552</v>
      </c>
      <c r="EC15" s="1">
        <v>9.5238095238095202</v>
      </c>
      <c r="ED15" s="1">
        <v>4.7619047619047601</v>
      </c>
      <c r="EE15" s="1">
        <v>0</v>
      </c>
      <c r="EF15" s="1">
        <v>0</v>
      </c>
      <c r="EG15" s="1">
        <v>21</v>
      </c>
      <c r="EH15" s="1">
        <v>71.428571428571502</v>
      </c>
      <c r="EI15" s="1">
        <v>14.285714285714244</v>
      </c>
      <c r="EJ15" s="1">
        <v>4.7619047619047601</v>
      </c>
      <c r="EK15" s="1">
        <v>9.5238095238095202</v>
      </c>
      <c r="EL15" s="1">
        <v>0</v>
      </c>
      <c r="EM15" s="1">
        <v>21</v>
      </c>
      <c r="EN15" s="1">
        <v>43.902439024390304</v>
      </c>
      <c r="EO15" s="1">
        <v>41.463414634146368</v>
      </c>
      <c r="EP15" s="1">
        <v>9.7560975609756042</v>
      </c>
      <c r="EQ15" s="1">
        <v>4.8780487804878021</v>
      </c>
      <c r="ER15" s="1">
        <v>0</v>
      </c>
      <c r="ES15" s="1">
        <v>41</v>
      </c>
      <c r="ET15" s="1">
        <v>34.883720930232499</v>
      </c>
      <c r="EU15" s="1">
        <v>48.837209302325491</v>
      </c>
      <c r="EV15" s="1">
        <v>13.953488372093029</v>
      </c>
      <c r="EW15" s="1">
        <v>2.32558139534884</v>
      </c>
      <c r="EX15" s="1">
        <v>0</v>
      </c>
      <c r="EY15" s="1">
        <v>43</v>
      </c>
      <c r="EZ15" s="1">
        <v>40.909090909090963</v>
      </c>
      <c r="FA15" s="1">
        <v>49.999999999999993</v>
      </c>
      <c r="FB15" s="1">
        <v>9.0909090909090935</v>
      </c>
      <c r="FC15" s="1">
        <v>0</v>
      </c>
      <c r="FD15" s="1">
        <v>0</v>
      </c>
      <c r="FE15" s="1">
        <v>22</v>
      </c>
      <c r="FF15" s="1">
        <v>47.058823529411718</v>
      </c>
      <c r="FG15" s="1">
        <v>47.058823529411718</v>
      </c>
      <c r="FH15" s="1">
        <v>5.8823529411764648</v>
      </c>
      <c r="FI15" s="1">
        <v>0</v>
      </c>
      <c r="FJ15" s="1">
        <v>0</v>
      </c>
      <c r="FK15" s="1">
        <v>17</v>
      </c>
      <c r="FL15" s="1">
        <v>81.818181818181927</v>
      </c>
      <c r="FM15" s="1">
        <v>13.636363636363646</v>
      </c>
      <c r="FN15" s="1">
        <v>4.5454545454545467</v>
      </c>
      <c r="FO15" s="1">
        <v>0</v>
      </c>
      <c r="FP15" s="1">
        <v>0</v>
      </c>
      <c r="FQ15" s="1">
        <v>22</v>
      </c>
      <c r="FR15" s="1">
        <v>70.833333333333258</v>
      </c>
      <c r="FS15" s="1">
        <v>20.833333333333307</v>
      </c>
      <c r="FT15" s="1">
        <v>4.166666666666667</v>
      </c>
      <c r="FU15" s="1">
        <v>4.166666666666667</v>
      </c>
      <c r="FV15" s="1">
        <v>0</v>
      </c>
      <c r="FW15" s="1">
        <v>24</v>
      </c>
      <c r="FX15" s="1">
        <v>88.372093023255744</v>
      </c>
      <c r="FY15" s="1">
        <v>10.465116279069774</v>
      </c>
      <c r="FZ15" s="1">
        <v>0</v>
      </c>
      <c r="GA15" s="1">
        <v>0</v>
      </c>
      <c r="GB15" s="1">
        <v>1.16279069767442</v>
      </c>
      <c r="GC15" s="1">
        <v>86</v>
      </c>
      <c r="GD15" s="1">
        <v>63.888888888888765</v>
      </c>
      <c r="GE15" s="1">
        <v>22.222222222222186</v>
      </c>
      <c r="GF15" s="1">
        <v>8.3333333333333339</v>
      </c>
      <c r="GG15" s="1">
        <v>5.5555555555555465</v>
      </c>
      <c r="GH15" s="1">
        <v>0</v>
      </c>
      <c r="GI15" s="1">
        <v>36</v>
      </c>
      <c r="GJ15" s="1">
        <v>59.999999999999993</v>
      </c>
      <c r="GK15" s="1">
        <v>33.333333333333336</v>
      </c>
      <c r="GL15" s="1">
        <v>6.6666666666666652</v>
      </c>
      <c r="GM15" s="1">
        <v>0</v>
      </c>
      <c r="GN15" s="1">
        <v>0</v>
      </c>
      <c r="GO15" s="1">
        <v>30</v>
      </c>
      <c r="GP15" s="1">
        <v>73.52941176470604</v>
      </c>
      <c r="GQ15" s="1">
        <v>20.588235294117617</v>
      </c>
      <c r="GR15" s="1">
        <v>4.4117647058823577</v>
      </c>
      <c r="GS15" s="1">
        <v>1.4705882352941162</v>
      </c>
      <c r="GT15" s="1">
        <v>0</v>
      </c>
      <c r="GU15" s="1">
        <v>68</v>
      </c>
      <c r="GV15" s="1">
        <v>85.074626865671476</v>
      </c>
      <c r="GW15" s="1">
        <v>10.447761194029823</v>
      </c>
      <c r="GX15" s="1">
        <v>2.9850746268656696</v>
      </c>
      <c r="GY15" s="1">
        <v>1.4925373134328348</v>
      </c>
      <c r="GZ15" s="1">
        <v>0</v>
      </c>
      <c r="HA15" s="1">
        <v>67</v>
      </c>
      <c r="HB15" s="1">
        <v>52.631578947368347</v>
      </c>
      <c r="HC15" s="1">
        <v>31.578947368420977</v>
      </c>
      <c r="HD15" s="1">
        <v>10.526315789473667</v>
      </c>
      <c r="HE15" s="1">
        <v>0</v>
      </c>
      <c r="HF15" s="1">
        <v>5.2631578947368336</v>
      </c>
      <c r="HG15" s="1">
        <v>19</v>
      </c>
      <c r="HH15" s="1">
        <v>71.428571428571502</v>
      </c>
      <c r="HI15" s="1">
        <v>21.428571428571388</v>
      </c>
      <c r="HJ15" s="1">
        <v>7.1428571428571441</v>
      </c>
      <c r="HK15" s="1">
        <v>0</v>
      </c>
      <c r="HL15" s="1">
        <v>0</v>
      </c>
      <c r="HM15" s="1">
        <v>14</v>
      </c>
      <c r="HN15" s="1">
        <v>0</v>
      </c>
      <c r="HO15" s="1">
        <v>0</v>
      </c>
      <c r="HP15" s="1">
        <v>0</v>
      </c>
      <c r="HQ15" s="1">
        <v>0</v>
      </c>
      <c r="HR15" s="1">
        <v>0</v>
      </c>
      <c r="HS15" s="1">
        <v>0</v>
      </c>
      <c r="HT15" s="1">
        <v>0</v>
      </c>
      <c r="HU15" s="1">
        <v>0</v>
      </c>
      <c r="HV15" s="1">
        <v>0</v>
      </c>
      <c r="HW15" s="1">
        <v>0</v>
      </c>
      <c r="HX15" s="1">
        <v>0</v>
      </c>
      <c r="HY15" s="1">
        <v>0</v>
      </c>
      <c r="HZ15" s="1">
        <v>0</v>
      </c>
      <c r="IA15" s="1">
        <v>0</v>
      </c>
      <c r="IB15" s="1">
        <v>0</v>
      </c>
      <c r="IC15" s="1">
        <v>0</v>
      </c>
      <c r="ID15" s="1">
        <v>0</v>
      </c>
      <c r="IE15" s="1">
        <v>0</v>
      </c>
      <c r="IF15" s="1">
        <v>9.0657894736842106</v>
      </c>
      <c r="IG15" s="1">
        <v>0</v>
      </c>
      <c r="IH15" s="1">
        <v>0</v>
      </c>
      <c r="II15" s="1">
        <v>0</v>
      </c>
      <c r="IJ15" s="1">
        <v>0</v>
      </c>
      <c r="IK15" s="1">
        <v>0</v>
      </c>
      <c r="IL15" s="1">
        <v>2.6315789473684168</v>
      </c>
      <c r="IM15" s="1">
        <v>6.5789473684210433</v>
      </c>
      <c r="IN15" s="1">
        <v>15.789473684210552</v>
      </c>
      <c r="IO15" s="1">
        <v>31.578947368421105</v>
      </c>
      <c r="IP15" s="1">
        <v>43.421052631578846</v>
      </c>
      <c r="IQ15" s="1">
        <v>9.0657894736841911</v>
      </c>
      <c r="IR15" s="1">
        <v>76</v>
      </c>
      <c r="IS15" s="1">
        <v>82.222222222222385</v>
      </c>
      <c r="IT15" s="1">
        <v>11.111111111111093</v>
      </c>
      <c r="IU15" s="1">
        <v>2.2222222222222214</v>
      </c>
      <c r="IV15" s="1">
        <v>2.2222222222222214</v>
      </c>
      <c r="IW15" s="1">
        <v>2.2222222222222214</v>
      </c>
      <c r="IX15" s="1">
        <v>90</v>
      </c>
      <c r="IY15" s="1">
        <v>1</v>
      </c>
      <c r="IZ15" s="1">
        <v>53.001280000000044</v>
      </c>
      <c r="JA15" s="1">
        <v>35.135679999999986</v>
      </c>
      <c r="JB15" s="1">
        <v>11.314880000000015</v>
      </c>
      <c r="JC15" s="1">
        <v>4.1686399999999972</v>
      </c>
      <c r="JD15" s="1">
        <v>5.3596800000000115</v>
      </c>
      <c r="JE15" s="1">
        <v>0.66292134831460614</v>
      </c>
      <c r="JF15" s="1">
        <v>0.21348314606741564</v>
      </c>
      <c r="JG15" s="1">
        <v>7.8651685393258383E-2</v>
      </c>
      <c r="JH15" s="1">
        <v>0.10112359550561775</v>
      </c>
      <c r="JI15" s="1">
        <v>1</v>
      </c>
      <c r="JJ15" s="1">
        <v>89</v>
      </c>
      <c r="JK15" s="1">
        <v>3.5308641975308643</v>
      </c>
      <c r="JL15" s="1">
        <v>3.5308641975308661</v>
      </c>
      <c r="JM15" s="1">
        <v>81</v>
      </c>
      <c r="JN15" s="1">
        <v>88.888888888888744</v>
      </c>
      <c r="JO15" s="1">
        <v>11.111111111111093</v>
      </c>
      <c r="JP15" s="1">
        <v>36</v>
      </c>
      <c r="JQ15" s="1">
        <v>92.857142857142932</v>
      </c>
      <c r="JR15" s="1">
        <v>7.1428571428571441</v>
      </c>
      <c r="JS15" s="1">
        <v>56</v>
      </c>
      <c r="JT15" s="1">
        <v>91.463414634146147</v>
      </c>
      <c r="JU15" s="1">
        <v>8.5365853658536341</v>
      </c>
      <c r="JV15" s="1">
        <v>82</v>
      </c>
      <c r="JW15" s="1">
        <v>91.935483870967786</v>
      </c>
      <c r="JX15" s="1">
        <v>8.0645161290322385</v>
      </c>
      <c r="JY15" s="1">
        <v>62</v>
      </c>
      <c r="JZ15" s="1">
        <v>48.863636363636374</v>
      </c>
      <c r="KA15" s="1">
        <v>51.136363636363633</v>
      </c>
      <c r="KB15" s="1">
        <v>88</v>
      </c>
      <c r="KC15" s="1">
        <v>98.809523809523768</v>
      </c>
      <c r="KD15" s="1">
        <v>1.1904761904761898</v>
      </c>
      <c r="KE15" s="1">
        <v>84</v>
      </c>
      <c r="KF15" s="1">
        <v>3.5679012345679011</v>
      </c>
      <c r="KG15" s="1">
        <v>4.9382716049382758</v>
      </c>
      <c r="KH15" s="1">
        <v>6.1728395061728509</v>
      </c>
      <c r="KI15" s="1">
        <v>32.098765432098809</v>
      </c>
      <c r="KJ15" s="1">
        <v>40.740740740740776</v>
      </c>
      <c r="KK15" s="1">
        <v>16.049382716049401</v>
      </c>
      <c r="KL15" s="1">
        <v>81</v>
      </c>
      <c r="KM15" s="1">
        <v>62.802469135802376</v>
      </c>
      <c r="KN15" s="1">
        <v>79.5</v>
      </c>
      <c r="KO15" s="1">
        <v>0</v>
      </c>
      <c r="KP15" s="1">
        <v>50</v>
      </c>
      <c r="KQ15" s="1">
        <v>0</v>
      </c>
      <c r="KR15" s="1">
        <v>0</v>
      </c>
      <c r="KS15" s="1">
        <v>50</v>
      </c>
      <c r="KT15" s="1">
        <v>2</v>
      </c>
      <c r="KU15" s="1">
        <v>0</v>
      </c>
      <c r="KV15" s="1">
        <v>0</v>
      </c>
      <c r="KW15" s="1">
        <v>1.176470588235291</v>
      </c>
      <c r="KX15" s="1">
        <v>97.647058823529548</v>
      </c>
      <c r="KY15" s="1">
        <v>1.176470588235291</v>
      </c>
      <c r="KZ15" s="1">
        <v>85</v>
      </c>
      <c r="LA15" s="1">
        <v>16.47058823529413</v>
      </c>
      <c r="LB15" s="1">
        <v>83.529411764706069</v>
      </c>
      <c r="LC15" s="1">
        <v>85</v>
      </c>
      <c r="LD15" s="1">
        <v>0</v>
      </c>
      <c r="LE15" s="1">
        <v>16.666666666666661</v>
      </c>
      <c r="LF15" s="1">
        <v>83.333333333333286</v>
      </c>
      <c r="LG15" s="1">
        <v>12</v>
      </c>
    </row>
    <row r="16" spans="1:320" x14ac:dyDescent="0.25">
      <c r="A16" s="1">
        <v>28</v>
      </c>
      <c r="B16" s="1">
        <v>23.529411764705859</v>
      </c>
      <c r="C16" s="1">
        <v>76.47058823529413</v>
      </c>
      <c r="D16" s="1">
        <v>34</v>
      </c>
      <c r="E16" s="1">
        <v>53.846153846153818</v>
      </c>
      <c r="F16" s="1">
        <v>46.15384615384616</v>
      </c>
      <c r="G16" s="1">
        <v>26</v>
      </c>
      <c r="H16" s="1">
        <v>46.153846153846146</v>
      </c>
      <c r="I16" s="1">
        <v>53.846153846153818</v>
      </c>
      <c r="J16" s="1">
        <v>13</v>
      </c>
      <c r="K16" s="1">
        <v>1</v>
      </c>
      <c r="L16" s="1">
        <v>14.869900000000017</v>
      </c>
      <c r="M16" s="1">
        <v>2.624099999999999</v>
      </c>
      <c r="N16" s="1">
        <v>4.3735000000000035</v>
      </c>
      <c r="O16" s="1">
        <v>3.4988000000000019</v>
      </c>
      <c r="P16" s="1">
        <v>2.1867500000000017</v>
      </c>
      <c r="Q16" s="1">
        <v>6.1229000000000076</v>
      </c>
      <c r="R16" s="1">
        <v>0.87470000000000048</v>
      </c>
      <c r="S16" s="1">
        <v>0</v>
      </c>
      <c r="T16" s="1">
        <v>1.749400000000001</v>
      </c>
      <c r="U16" s="1">
        <v>1.749400000000001</v>
      </c>
      <c r="V16" s="1">
        <v>1.749400000000001</v>
      </c>
      <c r="W16" s="1">
        <v>0.1764705882352941</v>
      </c>
      <c r="X16" s="1">
        <v>0.29411764705882321</v>
      </c>
      <c r="Y16" s="1">
        <v>0.23529411764705879</v>
      </c>
      <c r="Z16" s="1">
        <v>0.1470588235294116</v>
      </c>
      <c r="AA16" s="1">
        <v>0.41176470588235309</v>
      </c>
      <c r="AB16" s="1">
        <v>5.8823529411764698E-2</v>
      </c>
      <c r="AC16" s="1">
        <v>0</v>
      </c>
      <c r="AD16" s="1">
        <v>0.1176470588235294</v>
      </c>
      <c r="AE16" s="1">
        <v>0.1176470588235294</v>
      </c>
      <c r="AF16" s="1">
        <v>0.1176470588235294</v>
      </c>
      <c r="AG16" s="1">
        <v>1</v>
      </c>
      <c r="AH16" s="1">
        <v>34</v>
      </c>
      <c r="AI16" s="1">
        <v>1</v>
      </c>
      <c r="AJ16" s="1">
        <v>13.995200000000009</v>
      </c>
      <c r="AK16" s="1">
        <v>10.059050000000008</v>
      </c>
      <c r="AL16" s="1">
        <v>5.6855500000000037</v>
      </c>
      <c r="AM16" s="1">
        <v>7.8722999999999974</v>
      </c>
      <c r="AN16" s="1">
        <v>9.6217000000000095</v>
      </c>
      <c r="AO16" s="1">
        <v>1.749400000000001</v>
      </c>
      <c r="AP16" s="1">
        <v>2.1867500000000017</v>
      </c>
      <c r="AQ16" s="1">
        <v>0.71874999999999989</v>
      </c>
      <c r="AR16" s="1">
        <v>0.40624999999999994</v>
      </c>
      <c r="AS16" s="1">
        <v>0.56249999999999989</v>
      </c>
      <c r="AT16" s="1">
        <v>0.68749999999999989</v>
      </c>
      <c r="AU16" s="1">
        <v>0.12499999999999997</v>
      </c>
      <c r="AV16" s="1">
        <v>0.15624999999999997</v>
      </c>
      <c r="AW16" s="1">
        <v>1</v>
      </c>
      <c r="AX16" s="1">
        <v>32</v>
      </c>
      <c r="AY16" s="1">
        <v>9.7941176470588243</v>
      </c>
      <c r="AZ16" s="1">
        <v>9.882352941176471</v>
      </c>
      <c r="BA16" s="1">
        <v>9.9393939393939394</v>
      </c>
      <c r="BB16" s="1">
        <v>0</v>
      </c>
      <c r="BC16" s="1">
        <v>0</v>
      </c>
      <c r="BD16" s="1">
        <v>0</v>
      </c>
      <c r="BE16" s="1">
        <v>0</v>
      </c>
      <c r="BF16" s="1">
        <v>0</v>
      </c>
      <c r="BG16" s="1">
        <v>0</v>
      </c>
      <c r="BH16" s="1">
        <v>2.9411764705882324</v>
      </c>
      <c r="BI16" s="1">
        <v>2.9411764705882324</v>
      </c>
      <c r="BJ16" s="1">
        <v>5.8823529411764648</v>
      </c>
      <c r="BK16" s="1">
        <v>88.235294117646987</v>
      </c>
      <c r="BL16" s="1">
        <v>9.7941176470588243</v>
      </c>
      <c r="BM16" s="1">
        <v>34</v>
      </c>
      <c r="BN16" s="1">
        <v>0</v>
      </c>
      <c r="BO16" s="1">
        <v>0</v>
      </c>
      <c r="BP16" s="1">
        <v>0</v>
      </c>
      <c r="BQ16" s="1">
        <v>0</v>
      </c>
      <c r="BR16" s="1">
        <v>0</v>
      </c>
      <c r="BS16" s="1">
        <v>0</v>
      </c>
      <c r="BT16" s="1">
        <v>0</v>
      </c>
      <c r="BU16" s="1">
        <v>0</v>
      </c>
      <c r="BV16" s="1">
        <v>11.76470588235293</v>
      </c>
      <c r="BW16" s="1">
        <v>88.235294117646987</v>
      </c>
      <c r="BX16" s="1">
        <v>9.8823529411764657</v>
      </c>
      <c r="BY16" s="1">
        <v>34</v>
      </c>
      <c r="BZ16" s="1">
        <v>0</v>
      </c>
      <c r="CA16" s="1">
        <v>0</v>
      </c>
      <c r="CB16" s="1">
        <v>0</v>
      </c>
      <c r="CC16" s="1">
        <v>0</v>
      </c>
      <c r="CD16" s="1">
        <v>0</v>
      </c>
      <c r="CE16" s="1">
        <v>0</v>
      </c>
      <c r="CF16" s="1">
        <v>0</v>
      </c>
      <c r="CG16" s="1">
        <v>0</v>
      </c>
      <c r="CH16" s="1">
        <v>6.0606060606060597</v>
      </c>
      <c r="CI16" s="1">
        <v>93.93939393939398</v>
      </c>
      <c r="CJ16" s="1">
        <v>9.9393939393939394</v>
      </c>
      <c r="CK16" s="1">
        <v>33</v>
      </c>
      <c r="CL16" s="1">
        <v>38.235294117647065</v>
      </c>
      <c r="CM16" s="1">
        <v>35.294117647058791</v>
      </c>
      <c r="CN16" s="1">
        <v>14.705882352941165</v>
      </c>
      <c r="CO16" s="1">
        <v>5.8823529411764648</v>
      </c>
      <c r="CP16" s="1">
        <v>5.8823529411764648</v>
      </c>
      <c r="CQ16" s="1">
        <v>34</v>
      </c>
      <c r="CR16" s="1">
        <v>81.818181818181827</v>
      </c>
      <c r="CS16" s="1">
        <v>9.0909090909090864</v>
      </c>
      <c r="CT16" s="1">
        <v>3.0303030303030298</v>
      </c>
      <c r="CU16" s="1">
        <v>0</v>
      </c>
      <c r="CV16" s="1">
        <v>6.0606060606060597</v>
      </c>
      <c r="CW16" s="1">
        <v>33</v>
      </c>
      <c r="CX16" s="1">
        <v>93.75</v>
      </c>
      <c r="CY16" s="1">
        <v>3.1249999999999996</v>
      </c>
      <c r="CZ16" s="1">
        <v>0</v>
      </c>
      <c r="DA16" s="1">
        <v>0</v>
      </c>
      <c r="DB16" s="1">
        <v>3.1249999999999996</v>
      </c>
      <c r="DC16" s="1">
        <v>32</v>
      </c>
      <c r="DD16" s="1">
        <v>90.909090909090949</v>
      </c>
      <c r="DE16" s="1">
        <v>3.0303030303030298</v>
      </c>
      <c r="DF16" s="1">
        <v>0</v>
      </c>
      <c r="DG16" s="1">
        <v>0</v>
      </c>
      <c r="DH16" s="1">
        <v>6.0606060606060597</v>
      </c>
      <c r="DI16" s="1">
        <v>33</v>
      </c>
      <c r="DJ16" s="1">
        <v>78.124999999999986</v>
      </c>
      <c r="DK16" s="1">
        <v>12.499999999999998</v>
      </c>
      <c r="DL16" s="1">
        <v>3.1249999999999996</v>
      </c>
      <c r="DM16" s="1">
        <v>0</v>
      </c>
      <c r="DN16" s="1">
        <v>6.2499999999999991</v>
      </c>
      <c r="DO16" s="1">
        <v>32</v>
      </c>
      <c r="DP16" s="1">
        <v>87.878787878787946</v>
      </c>
      <c r="DQ16" s="1">
        <v>9.0909090909090864</v>
      </c>
      <c r="DR16" s="1">
        <v>0</v>
      </c>
      <c r="DS16" s="1">
        <v>0</v>
      </c>
      <c r="DT16" s="1">
        <v>3.0303030303030298</v>
      </c>
      <c r="DU16" s="1">
        <v>33</v>
      </c>
      <c r="DV16" s="1">
        <v>39.285714285714242</v>
      </c>
      <c r="DW16" s="1">
        <v>32.142857142857117</v>
      </c>
      <c r="DX16" s="1">
        <v>10.714285714285717</v>
      </c>
      <c r="DY16" s="1">
        <v>14.285714285714278</v>
      </c>
      <c r="DZ16" s="1">
        <v>3.5714285714285694</v>
      </c>
      <c r="EA16" s="1">
        <v>28</v>
      </c>
      <c r="EB16" s="1">
        <v>85</v>
      </c>
      <c r="EC16" s="1">
        <v>14.999999999999996</v>
      </c>
      <c r="ED16" s="1">
        <v>0</v>
      </c>
      <c r="EE16" s="1">
        <v>0</v>
      </c>
      <c r="EF16" s="1">
        <v>0</v>
      </c>
      <c r="EG16" s="1">
        <v>20</v>
      </c>
      <c r="EH16" s="1">
        <v>76.47058823529413</v>
      </c>
      <c r="EI16" s="1">
        <v>17.647058823529402</v>
      </c>
      <c r="EJ16" s="1">
        <v>5.8823529411764657</v>
      </c>
      <c r="EK16" s="1">
        <v>0</v>
      </c>
      <c r="EL16" s="1">
        <v>0</v>
      </c>
      <c r="EM16" s="1">
        <v>17</v>
      </c>
      <c r="EN16" s="1">
        <v>63.999999999999986</v>
      </c>
      <c r="EO16" s="1">
        <v>15.999999999999996</v>
      </c>
      <c r="EP16" s="1">
        <v>7.9999999999999982</v>
      </c>
      <c r="EQ16" s="1">
        <v>11.999999999999998</v>
      </c>
      <c r="ER16" s="1">
        <v>0</v>
      </c>
      <c r="ES16" s="1">
        <v>25</v>
      </c>
      <c r="ET16" s="1">
        <v>59.999999999999986</v>
      </c>
      <c r="EU16" s="1">
        <v>23.999999999999996</v>
      </c>
      <c r="EV16" s="1">
        <v>7.9999999999999982</v>
      </c>
      <c r="EW16" s="1">
        <v>7.9999999999999982</v>
      </c>
      <c r="EX16" s="1">
        <v>0</v>
      </c>
      <c r="EY16" s="1">
        <v>25</v>
      </c>
      <c r="EZ16" s="1">
        <v>62.499999999999986</v>
      </c>
      <c r="FA16" s="1">
        <v>18.749999999999996</v>
      </c>
      <c r="FB16" s="1">
        <v>12.499999999999998</v>
      </c>
      <c r="FC16" s="1">
        <v>6.2499999999999991</v>
      </c>
      <c r="FD16" s="1">
        <v>0</v>
      </c>
      <c r="FE16" s="1">
        <v>16</v>
      </c>
      <c r="FF16" s="1">
        <v>53.333333333333307</v>
      </c>
      <c r="FG16" s="1">
        <v>19.999999999999996</v>
      </c>
      <c r="FH16" s="1">
        <v>6.6666666666666634</v>
      </c>
      <c r="FI16" s="1">
        <v>19.999999999999996</v>
      </c>
      <c r="FJ16" s="1">
        <v>0</v>
      </c>
      <c r="FK16" s="1">
        <v>15</v>
      </c>
      <c r="FL16" s="1">
        <v>76.190476190476161</v>
      </c>
      <c r="FM16" s="1">
        <v>23.809523809523821</v>
      </c>
      <c r="FN16" s="1">
        <v>0</v>
      </c>
      <c r="FO16" s="1">
        <v>0</v>
      </c>
      <c r="FP16" s="1">
        <v>0</v>
      </c>
      <c r="FQ16" s="1">
        <v>21</v>
      </c>
      <c r="FR16" s="1">
        <v>87.5</v>
      </c>
      <c r="FS16" s="1">
        <v>12.499999999999998</v>
      </c>
      <c r="FT16" s="1">
        <v>0</v>
      </c>
      <c r="FU16" s="1">
        <v>0</v>
      </c>
      <c r="FV16" s="1">
        <v>0</v>
      </c>
      <c r="FW16" s="1">
        <v>16</v>
      </c>
      <c r="FX16" s="1">
        <v>90.909090909090949</v>
      </c>
      <c r="FY16" s="1">
        <v>9.0909090909090864</v>
      </c>
      <c r="FZ16" s="1">
        <v>0</v>
      </c>
      <c r="GA16" s="1">
        <v>0</v>
      </c>
      <c r="GB16" s="1">
        <v>0</v>
      </c>
      <c r="GC16" s="1">
        <v>33</v>
      </c>
      <c r="GD16" s="1">
        <v>100</v>
      </c>
      <c r="GE16" s="1">
        <v>0</v>
      </c>
      <c r="GF16" s="1">
        <v>0</v>
      </c>
      <c r="GG16" s="1">
        <v>0</v>
      </c>
      <c r="GH16" s="1">
        <v>0</v>
      </c>
      <c r="GI16" s="1">
        <v>9</v>
      </c>
      <c r="GJ16" s="1">
        <v>88.888888888888829</v>
      </c>
      <c r="GK16" s="1">
        <v>0</v>
      </c>
      <c r="GL16" s="1">
        <v>0</v>
      </c>
      <c r="GM16" s="1">
        <v>11.111111111111104</v>
      </c>
      <c r="GN16" s="1">
        <v>0</v>
      </c>
      <c r="GO16" s="1">
        <v>9</v>
      </c>
      <c r="GP16" s="1">
        <v>65.384615384615401</v>
      </c>
      <c r="GQ16" s="1">
        <v>30.769230769230735</v>
      </c>
      <c r="GR16" s="1">
        <v>3.8461538461538418</v>
      </c>
      <c r="GS16" s="1">
        <v>0</v>
      </c>
      <c r="GT16" s="1">
        <v>0</v>
      </c>
      <c r="GU16" s="1">
        <v>26</v>
      </c>
      <c r="GV16" s="1">
        <v>66.666666666666671</v>
      </c>
      <c r="GW16" s="1">
        <v>29.166666666666636</v>
      </c>
      <c r="GX16" s="1">
        <v>4.1666666666666607</v>
      </c>
      <c r="GY16" s="1">
        <v>0</v>
      </c>
      <c r="GZ16" s="1">
        <v>0</v>
      </c>
      <c r="HA16" s="1">
        <v>24</v>
      </c>
      <c r="HB16" s="1">
        <v>66.666666666666671</v>
      </c>
      <c r="HC16" s="1">
        <v>0</v>
      </c>
      <c r="HD16" s="1">
        <v>16.666666666666668</v>
      </c>
      <c r="HE16" s="1">
        <v>16.666666666666668</v>
      </c>
      <c r="HF16" s="1">
        <v>0</v>
      </c>
      <c r="HG16" s="1">
        <v>6</v>
      </c>
      <c r="HH16" s="1">
        <v>0</v>
      </c>
      <c r="HI16" s="1">
        <v>0</v>
      </c>
      <c r="HJ16" s="1">
        <v>50</v>
      </c>
      <c r="HK16" s="1">
        <v>0</v>
      </c>
      <c r="HL16" s="1">
        <v>50</v>
      </c>
      <c r="HM16" s="1">
        <v>2</v>
      </c>
      <c r="HN16" s="1">
        <v>0</v>
      </c>
      <c r="HO16" s="1">
        <v>0</v>
      </c>
      <c r="HP16" s="1">
        <v>0</v>
      </c>
      <c r="HQ16" s="1">
        <v>0</v>
      </c>
      <c r="HR16" s="1">
        <v>0</v>
      </c>
      <c r="HS16" s="1">
        <v>0</v>
      </c>
      <c r="HT16" s="1">
        <v>0</v>
      </c>
      <c r="HU16" s="1">
        <v>0</v>
      </c>
      <c r="HV16" s="1">
        <v>0</v>
      </c>
      <c r="HW16" s="1">
        <v>0</v>
      </c>
      <c r="HX16" s="1">
        <v>0</v>
      </c>
      <c r="HY16" s="1">
        <v>0</v>
      </c>
      <c r="HZ16" s="1">
        <v>0</v>
      </c>
      <c r="IA16" s="1">
        <v>0</v>
      </c>
      <c r="IB16" s="1">
        <v>0</v>
      </c>
      <c r="IC16" s="1">
        <v>0</v>
      </c>
      <c r="ID16" s="1">
        <v>0</v>
      </c>
      <c r="IE16" s="1">
        <v>0</v>
      </c>
      <c r="IF16" s="1">
        <v>9.5588235294117645</v>
      </c>
      <c r="IG16" s="1">
        <v>0</v>
      </c>
      <c r="IH16" s="1">
        <v>0</v>
      </c>
      <c r="II16" s="1">
        <v>0</v>
      </c>
      <c r="IJ16" s="1">
        <v>0</v>
      </c>
      <c r="IK16" s="1">
        <v>0</v>
      </c>
      <c r="IL16" s="1">
        <v>2.9411764705882324</v>
      </c>
      <c r="IM16" s="1">
        <v>0</v>
      </c>
      <c r="IN16" s="1">
        <v>5.8823529411764648</v>
      </c>
      <c r="IO16" s="1">
        <v>20.588235294117645</v>
      </c>
      <c r="IP16" s="1">
        <v>70.588235294117609</v>
      </c>
      <c r="IQ16" s="1">
        <v>9.5588235294117663</v>
      </c>
      <c r="IR16" s="1">
        <v>34</v>
      </c>
      <c r="IS16" s="1">
        <v>49.999999999999993</v>
      </c>
      <c r="IT16" s="1">
        <v>24.999999999999996</v>
      </c>
      <c r="IU16" s="1">
        <v>24.999999999999996</v>
      </c>
      <c r="IV16" s="1">
        <v>0</v>
      </c>
      <c r="IW16" s="1">
        <v>0</v>
      </c>
      <c r="IX16" s="1">
        <v>32</v>
      </c>
      <c r="IY16" s="1">
        <v>1</v>
      </c>
      <c r="IZ16" s="1">
        <v>14.432550000000003</v>
      </c>
      <c r="JA16" s="1">
        <v>9.1843500000000002</v>
      </c>
      <c r="JB16" s="1">
        <v>2.1867500000000017</v>
      </c>
      <c r="JC16" s="1">
        <v>2.624099999999999</v>
      </c>
      <c r="JD16" s="1">
        <v>2.624099999999999</v>
      </c>
      <c r="JE16" s="1">
        <v>0.63636363636363658</v>
      </c>
      <c r="JF16" s="1">
        <v>0.15151515151515141</v>
      </c>
      <c r="JG16" s="1">
        <v>0.18181818181818168</v>
      </c>
      <c r="JH16" s="1">
        <v>0.18181818181818168</v>
      </c>
      <c r="JI16" s="1">
        <v>1</v>
      </c>
      <c r="JJ16" s="1">
        <v>33</v>
      </c>
      <c r="JK16" s="1">
        <v>2.9090909090909092</v>
      </c>
      <c r="JL16" s="1">
        <v>2.9090909090909065</v>
      </c>
      <c r="JM16" s="1">
        <v>33</v>
      </c>
      <c r="JN16" s="1">
        <v>84.615384615384642</v>
      </c>
      <c r="JO16" s="1">
        <v>15.384615384615371</v>
      </c>
      <c r="JP16" s="1">
        <v>13</v>
      </c>
      <c r="JQ16" s="1">
        <v>100</v>
      </c>
      <c r="JR16" s="1">
        <v>0</v>
      </c>
      <c r="JS16" s="1">
        <v>19</v>
      </c>
      <c r="JT16" s="1">
        <v>96.666666666666629</v>
      </c>
      <c r="JU16" s="1">
        <v>3.3333333333333295</v>
      </c>
      <c r="JV16" s="1">
        <v>30</v>
      </c>
      <c r="JW16" s="1">
        <v>94.999999999999986</v>
      </c>
      <c r="JX16" s="1">
        <v>4.9999999999999991</v>
      </c>
      <c r="JY16" s="1">
        <v>20</v>
      </c>
      <c r="JZ16" s="1">
        <v>45.161290322580655</v>
      </c>
      <c r="KA16" s="1">
        <v>54.838709677419317</v>
      </c>
      <c r="KB16" s="1">
        <v>31</v>
      </c>
      <c r="KC16" s="1">
        <v>100</v>
      </c>
      <c r="KD16" s="1">
        <v>0</v>
      </c>
      <c r="KE16" s="1">
        <v>31</v>
      </c>
      <c r="KF16" s="1">
        <v>3.225806451612903</v>
      </c>
      <c r="KG16" s="1">
        <v>0</v>
      </c>
      <c r="KH16" s="1">
        <v>25.806451612903199</v>
      </c>
      <c r="KI16" s="1">
        <v>41.935483870967737</v>
      </c>
      <c r="KJ16" s="1">
        <v>16.129032258064509</v>
      </c>
      <c r="KK16" s="1">
        <v>16.129032258064509</v>
      </c>
      <c r="KL16" s="1">
        <v>31</v>
      </c>
      <c r="KM16" s="1">
        <v>56.838709677419288</v>
      </c>
      <c r="KN16" s="1">
        <v>0</v>
      </c>
      <c r="KO16" s="1">
        <v>0</v>
      </c>
      <c r="KP16" s="1">
        <v>0</v>
      </c>
      <c r="KQ16" s="1">
        <v>0</v>
      </c>
      <c r="KR16" s="1">
        <v>0</v>
      </c>
      <c r="KS16" s="1">
        <v>0</v>
      </c>
      <c r="KT16" s="1">
        <v>0</v>
      </c>
      <c r="KU16" s="1">
        <v>0</v>
      </c>
      <c r="KV16" s="1">
        <v>0</v>
      </c>
      <c r="KW16" s="1">
        <v>0</v>
      </c>
      <c r="KX16" s="1">
        <v>96.666666666666629</v>
      </c>
      <c r="KY16" s="1">
        <v>3.3333333333333295</v>
      </c>
      <c r="KZ16" s="1">
        <v>30</v>
      </c>
      <c r="LA16" s="1">
        <v>9.6774193548387117</v>
      </c>
      <c r="LB16" s="1">
        <v>90.322580645161324</v>
      </c>
      <c r="LC16" s="1">
        <v>31</v>
      </c>
      <c r="LD16" s="1">
        <v>0</v>
      </c>
      <c r="LE16" s="1">
        <v>0</v>
      </c>
      <c r="LF16" s="1">
        <v>100</v>
      </c>
      <c r="LG16" s="1">
        <v>3</v>
      </c>
    </row>
    <row r="17" spans="1:319" x14ac:dyDescent="0.25">
      <c r="A17" s="1">
        <v>31</v>
      </c>
      <c r="B17" s="1">
        <v>23.529411764705859</v>
      </c>
      <c r="C17" s="1">
        <v>76.470588235294116</v>
      </c>
      <c r="D17" s="1">
        <v>51</v>
      </c>
      <c r="E17" s="1">
        <v>76.923076923076835</v>
      </c>
      <c r="F17" s="1">
        <v>23.076923076923087</v>
      </c>
      <c r="G17" s="1">
        <v>39</v>
      </c>
      <c r="H17" s="1">
        <v>55.172413793103473</v>
      </c>
      <c r="I17" s="1">
        <v>44.827586206896534</v>
      </c>
      <c r="J17" s="1">
        <v>29</v>
      </c>
      <c r="K17" s="1">
        <v>1</v>
      </c>
      <c r="L17" s="1">
        <v>23.276000000000046</v>
      </c>
      <c r="M17" s="1">
        <v>6.9827999999999983</v>
      </c>
      <c r="N17" s="1">
        <v>4.1896800000000036</v>
      </c>
      <c r="O17" s="1">
        <v>6.0517600000000007</v>
      </c>
      <c r="P17" s="1">
        <v>0.46552000000000038</v>
      </c>
      <c r="Q17" s="1">
        <v>8.3793600000000037</v>
      </c>
      <c r="R17" s="1">
        <v>1.3965599999999998</v>
      </c>
      <c r="S17" s="1">
        <v>0.93104000000000076</v>
      </c>
      <c r="T17" s="1">
        <v>2.7931199999999996</v>
      </c>
      <c r="U17" s="1">
        <v>1.3965599999999998</v>
      </c>
      <c r="V17" s="1">
        <v>2.3276000000000008</v>
      </c>
      <c r="W17" s="1">
        <v>0.29999999999999938</v>
      </c>
      <c r="X17" s="1">
        <v>0.17999999999999977</v>
      </c>
      <c r="Y17" s="1">
        <v>0.25999999999999973</v>
      </c>
      <c r="Z17" s="1">
        <v>1.9999999999999997E-2</v>
      </c>
      <c r="AA17" s="1">
        <v>0.35999999999999949</v>
      </c>
      <c r="AB17" s="1">
        <v>6.0000000000000019E-2</v>
      </c>
      <c r="AC17" s="1">
        <v>3.9999999999999994E-2</v>
      </c>
      <c r="AD17" s="1">
        <v>0.12000000000000004</v>
      </c>
      <c r="AE17" s="1">
        <v>6.0000000000000019E-2</v>
      </c>
      <c r="AF17" s="1">
        <v>9.9999999999999922E-2</v>
      </c>
      <c r="AG17" s="1">
        <v>1</v>
      </c>
      <c r="AH17" s="1">
        <v>50</v>
      </c>
      <c r="AI17" s="1">
        <v>1</v>
      </c>
      <c r="AJ17" s="1">
        <v>23.741520000000033</v>
      </c>
      <c r="AK17" s="1">
        <v>17.224240000000005</v>
      </c>
      <c r="AL17" s="1">
        <v>18.15527999999998</v>
      </c>
      <c r="AM17" s="1">
        <v>14.431119999999995</v>
      </c>
      <c r="AN17" s="1">
        <v>17.689759999999985</v>
      </c>
      <c r="AO17" s="1">
        <v>1.8620800000000015</v>
      </c>
      <c r="AP17" s="1">
        <v>1.8620800000000015</v>
      </c>
      <c r="AQ17" s="1">
        <v>0.72549019607843157</v>
      </c>
      <c r="AR17" s="1">
        <v>0.76470588235294135</v>
      </c>
      <c r="AS17" s="1">
        <v>0.60784313725490058</v>
      </c>
      <c r="AT17" s="1">
        <v>0.74509803921568585</v>
      </c>
      <c r="AU17" s="1">
        <v>7.8431372549019426E-2</v>
      </c>
      <c r="AV17" s="1">
        <v>7.8431372549019426E-2</v>
      </c>
      <c r="AW17" s="1">
        <v>1</v>
      </c>
      <c r="AX17" s="1">
        <v>51</v>
      </c>
      <c r="AY17" s="1">
        <v>9.9019607843137258</v>
      </c>
      <c r="AZ17" s="1">
        <v>9.8627450980392162</v>
      </c>
      <c r="BA17" s="1">
        <v>9.8571428571428577</v>
      </c>
      <c r="BB17" s="1">
        <v>0</v>
      </c>
      <c r="BC17" s="1">
        <v>0</v>
      </c>
      <c r="BD17" s="1">
        <v>0</v>
      </c>
      <c r="BE17" s="1">
        <v>0</v>
      </c>
      <c r="BF17" s="1">
        <v>0</v>
      </c>
      <c r="BG17" s="1">
        <v>0</v>
      </c>
      <c r="BH17" s="1">
        <v>0</v>
      </c>
      <c r="BI17" s="1">
        <v>1.9607843137254872</v>
      </c>
      <c r="BJ17" s="1">
        <v>5.8823529411764648</v>
      </c>
      <c r="BK17" s="1">
        <v>92.156862745097982</v>
      </c>
      <c r="BL17" s="1">
        <v>9.9019607843137134</v>
      </c>
      <c r="BM17" s="1">
        <v>51</v>
      </c>
      <c r="BN17" s="1">
        <v>0</v>
      </c>
      <c r="BO17" s="1">
        <v>0</v>
      </c>
      <c r="BP17" s="1">
        <v>0</v>
      </c>
      <c r="BQ17" s="1">
        <v>0</v>
      </c>
      <c r="BR17" s="1">
        <v>0</v>
      </c>
      <c r="BS17" s="1">
        <v>0</v>
      </c>
      <c r="BT17" s="1">
        <v>0</v>
      </c>
      <c r="BU17" s="1">
        <v>3.9215686274509745</v>
      </c>
      <c r="BV17" s="1">
        <v>5.8823529411764648</v>
      </c>
      <c r="BW17" s="1">
        <v>90.196078431372456</v>
      </c>
      <c r="BX17" s="1">
        <v>9.8627450980392233</v>
      </c>
      <c r="BY17" s="1">
        <v>51</v>
      </c>
      <c r="BZ17" s="1">
        <v>0</v>
      </c>
      <c r="CA17" s="1">
        <v>0</v>
      </c>
      <c r="CB17" s="1">
        <v>0</v>
      </c>
      <c r="CC17" s="1">
        <v>0</v>
      </c>
      <c r="CD17" s="1">
        <v>0</v>
      </c>
      <c r="CE17" s="1">
        <v>0</v>
      </c>
      <c r="CF17" s="1">
        <v>0</v>
      </c>
      <c r="CG17" s="1">
        <v>4.0816326530612264</v>
      </c>
      <c r="CH17" s="1">
        <v>6.1224489795918311</v>
      </c>
      <c r="CI17" s="1">
        <v>89.7959183673469</v>
      </c>
      <c r="CJ17" s="1">
        <v>9.8571428571428452</v>
      </c>
      <c r="CK17" s="1">
        <v>49</v>
      </c>
      <c r="CL17" s="1">
        <v>40.816326530612223</v>
      </c>
      <c r="CM17" s="1">
        <v>44.897959183673422</v>
      </c>
      <c r="CN17" s="1">
        <v>2.0408163265306132</v>
      </c>
      <c r="CO17" s="1">
        <v>12.244897959183662</v>
      </c>
      <c r="CP17" s="1">
        <v>0</v>
      </c>
      <c r="CQ17" s="1">
        <v>49</v>
      </c>
      <c r="CR17" s="1">
        <v>76.923076923076792</v>
      </c>
      <c r="CS17" s="1">
        <v>13.461538461538451</v>
      </c>
      <c r="CT17" s="1">
        <v>1.92307692307692</v>
      </c>
      <c r="CU17" s="1">
        <v>7.6923076923076801</v>
      </c>
      <c r="CV17" s="1">
        <v>0</v>
      </c>
      <c r="CW17" s="1">
        <v>52</v>
      </c>
      <c r="CX17" s="1">
        <v>84.615384615384656</v>
      </c>
      <c r="CY17" s="1">
        <v>13.461538461538451</v>
      </c>
      <c r="CZ17" s="1">
        <v>0</v>
      </c>
      <c r="DA17" s="1">
        <v>1.92307692307692</v>
      </c>
      <c r="DB17" s="1">
        <v>0</v>
      </c>
      <c r="DC17" s="1">
        <v>52</v>
      </c>
      <c r="DD17" s="1">
        <v>82.692307692307637</v>
      </c>
      <c r="DE17" s="1">
        <v>9.6153846153845972</v>
      </c>
      <c r="DF17" s="1">
        <v>0</v>
      </c>
      <c r="DG17" s="1">
        <v>5.7692307692307683</v>
      </c>
      <c r="DH17" s="1">
        <v>1.92307692307692</v>
      </c>
      <c r="DI17" s="1">
        <v>52</v>
      </c>
      <c r="DJ17" s="1">
        <v>82.222222222222172</v>
      </c>
      <c r="DK17" s="1">
        <v>15.555555555555545</v>
      </c>
      <c r="DL17" s="1">
        <v>0</v>
      </c>
      <c r="DM17" s="1">
        <v>2.2222222222222183</v>
      </c>
      <c r="DN17" s="1">
        <v>0</v>
      </c>
      <c r="DO17" s="1">
        <v>45</v>
      </c>
      <c r="DP17" s="1">
        <v>84.615384615384656</v>
      </c>
      <c r="DQ17" s="1">
        <v>13.461538461538451</v>
      </c>
      <c r="DR17" s="1">
        <v>0</v>
      </c>
      <c r="DS17" s="1">
        <v>1.92307692307692</v>
      </c>
      <c r="DT17" s="1">
        <v>0</v>
      </c>
      <c r="DU17" s="1">
        <v>52</v>
      </c>
      <c r="DV17" s="1">
        <v>86.363636363636346</v>
      </c>
      <c r="DW17" s="1">
        <v>6.8181818181818139</v>
      </c>
      <c r="DX17" s="1">
        <v>2.2727272727272698</v>
      </c>
      <c r="DY17" s="1">
        <v>4.5454545454545396</v>
      </c>
      <c r="DZ17" s="1">
        <v>0</v>
      </c>
      <c r="EA17" s="1">
        <v>44</v>
      </c>
      <c r="EB17" s="1">
        <v>84.61538461538467</v>
      </c>
      <c r="EC17" s="1">
        <v>7.6923076923076836</v>
      </c>
      <c r="ED17" s="1">
        <v>0</v>
      </c>
      <c r="EE17" s="1">
        <v>7.6923076923076836</v>
      </c>
      <c r="EF17" s="1">
        <v>0</v>
      </c>
      <c r="EG17" s="1">
        <v>13</v>
      </c>
      <c r="EH17" s="1">
        <v>69.230769230769184</v>
      </c>
      <c r="EI17" s="1">
        <v>7.6923076923076836</v>
      </c>
      <c r="EJ17" s="1">
        <v>7.6923076923076836</v>
      </c>
      <c r="EK17" s="1">
        <v>15.384615384615367</v>
      </c>
      <c r="EL17" s="1">
        <v>0</v>
      </c>
      <c r="EM17" s="1">
        <v>13</v>
      </c>
      <c r="EN17" s="1">
        <v>58.620689655172441</v>
      </c>
      <c r="EO17" s="1">
        <v>31.034482758620701</v>
      </c>
      <c r="EP17" s="1">
        <v>6.8965517241379271</v>
      </c>
      <c r="EQ17" s="1">
        <v>3.4482758620689635</v>
      </c>
      <c r="ER17" s="1">
        <v>0</v>
      </c>
      <c r="ES17" s="1">
        <v>29</v>
      </c>
      <c r="ET17" s="1">
        <v>53.571428571428569</v>
      </c>
      <c r="EU17" s="1">
        <v>35.714285714285765</v>
      </c>
      <c r="EV17" s="1">
        <v>3.5714285714285743</v>
      </c>
      <c r="EW17" s="1">
        <v>7.1428571428571486</v>
      </c>
      <c r="EX17" s="1">
        <v>0</v>
      </c>
      <c r="EY17" s="1">
        <v>28</v>
      </c>
      <c r="EZ17" s="1">
        <v>66.666666666666615</v>
      </c>
      <c r="FA17" s="1">
        <v>16.666666666666661</v>
      </c>
      <c r="FB17" s="1">
        <v>5.5555555555555491</v>
      </c>
      <c r="FC17" s="1">
        <v>11.111111111111098</v>
      </c>
      <c r="FD17" s="1">
        <v>0</v>
      </c>
      <c r="FE17" s="1">
        <v>18</v>
      </c>
      <c r="FF17" s="1">
        <v>80.000000000000014</v>
      </c>
      <c r="FG17" s="1">
        <v>10</v>
      </c>
      <c r="FH17" s="1">
        <v>0</v>
      </c>
      <c r="FI17" s="1">
        <v>10</v>
      </c>
      <c r="FJ17" s="1">
        <v>0</v>
      </c>
      <c r="FK17" s="1">
        <v>10</v>
      </c>
      <c r="FL17" s="1">
        <v>75.000000000000014</v>
      </c>
      <c r="FM17" s="1">
        <v>12.500000000000002</v>
      </c>
      <c r="FN17" s="1">
        <v>0</v>
      </c>
      <c r="FO17" s="1">
        <v>12.500000000000002</v>
      </c>
      <c r="FP17" s="1">
        <v>0</v>
      </c>
      <c r="FQ17" s="1">
        <v>16</v>
      </c>
      <c r="FR17" s="1">
        <v>91.666666666666671</v>
      </c>
      <c r="FS17" s="1">
        <v>0</v>
      </c>
      <c r="FT17" s="1">
        <v>0</v>
      </c>
      <c r="FU17" s="1">
        <v>8.3333333333333268</v>
      </c>
      <c r="FV17" s="1">
        <v>0</v>
      </c>
      <c r="FW17" s="1">
        <v>12</v>
      </c>
      <c r="FX17" s="1">
        <v>94.117647058823451</v>
      </c>
      <c r="FY17" s="1">
        <v>3.9215686274509745</v>
      </c>
      <c r="FZ17" s="1">
        <v>0</v>
      </c>
      <c r="GA17" s="1">
        <v>1.9607843137254872</v>
      </c>
      <c r="GB17" s="1">
        <v>0</v>
      </c>
      <c r="GC17" s="1">
        <v>51</v>
      </c>
      <c r="GD17" s="1">
        <v>80.952380952380835</v>
      </c>
      <c r="GE17" s="1">
        <v>9.5238095238095202</v>
      </c>
      <c r="GF17" s="1">
        <v>0</v>
      </c>
      <c r="GG17" s="1">
        <v>9.5238095238095202</v>
      </c>
      <c r="GH17" s="1">
        <v>0</v>
      </c>
      <c r="GI17" s="1">
        <v>21</v>
      </c>
      <c r="GJ17" s="1">
        <v>81.250000000000014</v>
      </c>
      <c r="GK17" s="1">
        <v>12.500000000000002</v>
      </c>
      <c r="GL17" s="1">
        <v>0</v>
      </c>
      <c r="GM17" s="1">
        <v>6.2500000000000009</v>
      </c>
      <c r="GN17" s="1">
        <v>0</v>
      </c>
      <c r="GO17" s="1">
        <v>16</v>
      </c>
      <c r="GP17" s="1">
        <v>81.081081081081138</v>
      </c>
      <c r="GQ17" s="1">
        <v>10.810810810810823</v>
      </c>
      <c r="GR17" s="1">
        <v>0</v>
      </c>
      <c r="GS17" s="1">
        <v>8.1081081081081141</v>
      </c>
      <c r="GT17" s="1">
        <v>0</v>
      </c>
      <c r="GU17" s="1">
        <v>37</v>
      </c>
      <c r="GV17" s="1">
        <v>86.842105263157862</v>
      </c>
      <c r="GW17" s="1">
        <v>7.8947368421052611</v>
      </c>
      <c r="GX17" s="1">
        <v>0</v>
      </c>
      <c r="GY17" s="1">
        <v>5.263157894736846</v>
      </c>
      <c r="GZ17" s="1">
        <v>0</v>
      </c>
      <c r="HA17" s="1">
        <v>38</v>
      </c>
      <c r="HB17" s="1">
        <v>42.857142857142854</v>
      </c>
      <c r="HC17" s="1">
        <v>28.571428571428594</v>
      </c>
      <c r="HD17" s="1">
        <v>0</v>
      </c>
      <c r="HE17" s="1">
        <v>28.571428571428594</v>
      </c>
      <c r="HF17" s="1">
        <v>0</v>
      </c>
      <c r="HG17" s="1">
        <v>7</v>
      </c>
      <c r="HH17" s="1">
        <v>60.000000000000007</v>
      </c>
      <c r="HI17" s="1">
        <v>0</v>
      </c>
      <c r="HJ17" s="1">
        <v>0</v>
      </c>
      <c r="HK17" s="1">
        <v>20</v>
      </c>
      <c r="HL17" s="1">
        <v>20</v>
      </c>
      <c r="HM17" s="1">
        <v>5</v>
      </c>
      <c r="HN17" s="1">
        <v>0</v>
      </c>
      <c r="HO17" s="1">
        <v>0</v>
      </c>
      <c r="HP17" s="1">
        <v>0</v>
      </c>
      <c r="HQ17" s="1">
        <v>0</v>
      </c>
      <c r="HR17" s="1">
        <v>0</v>
      </c>
      <c r="HS17" s="1">
        <v>0</v>
      </c>
      <c r="HT17" s="1">
        <v>0</v>
      </c>
      <c r="HU17" s="1">
        <v>0</v>
      </c>
      <c r="HV17" s="1">
        <v>0</v>
      </c>
      <c r="HW17" s="1">
        <v>0</v>
      </c>
      <c r="HX17" s="1">
        <v>0</v>
      </c>
      <c r="HY17" s="1">
        <v>0</v>
      </c>
      <c r="HZ17" s="1">
        <v>0</v>
      </c>
      <c r="IA17" s="1">
        <v>0</v>
      </c>
      <c r="IB17" s="1">
        <v>0</v>
      </c>
      <c r="IC17" s="1">
        <v>0</v>
      </c>
      <c r="ID17" s="1">
        <v>0</v>
      </c>
      <c r="IE17" s="1">
        <v>0</v>
      </c>
      <c r="IF17" s="1">
        <v>9.3829787234042552</v>
      </c>
      <c r="IG17" s="1">
        <v>0</v>
      </c>
      <c r="IH17" s="1">
        <v>0</v>
      </c>
      <c r="II17" s="1">
        <v>0</v>
      </c>
      <c r="IJ17" s="1">
        <v>0</v>
      </c>
      <c r="IK17" s="1">
        <v>0</v>
      </c>
      <c r="IL17" s="1">
        <v>2.1276595744680837</v>
      </c>
      <c r="IM17" s="1">
        <v>2.1276595744680837</v>
      </c>
      <c r="IN17" s="1">
        <v>4.2553191489361675</v>
      </c>
      <c r="IO17" s="1">
        <v>38.297872340425542</v>
      </c>
      <c r="IP17" s="1">
        <v>53.191489361702097</v>
      </c>
      <c r="IQ17" s="1">
        <v>9.3829787234042641</v>
      </c>
      <c r="IR17" s="1">
        <v>47</v>
      </c>
      <c r="IS17" s="1">
        <v>78.846153846153797</v>
      </c>
      <c r="IT17" s="1">
        <v>15.384615384615365</v>
      </c>
      <c r="IU17" s="1">
        <v>5.7692307692307683</v>
      </c>
      <c r="IV17" s="1">
        <v>0</v>
      </c>
      <c r="IW17" s="1">
        <v>0</v>
      </c>
      <c r="IX17" s="1">
        <v>52</v>
      </c>
      <c r="IY17" s="1">
        <v>1</v>
      </c>
      <c r="IZ17" s="1">
        <v>23.741520000000033</v>
      </c>
      <c r="JA17" s="1">
        <v>12.569039999999983</v>
      </c>
      <c r="JB17" s="1">
        <v>6.5172799999999915</v>
      </c>
      <c r="JC17" s="1">
        <v>2.3276000000000008</v>
      </c>
      <c r="JD17" s="1">
        <v>3.2586400000000038</v>
      </c>
      <c r="JE17" s="1">
        <v>0.52941176470588147</v>
      </c>
      <c r="JF17" s="1">
        <v>0.27450980392156815</v>
      </c>
      <c r="JG17" s="1">
        <v>9.8039215686274411E-2</v>
      </c>
      <c r="JH17" s="1">
        <v>0.13725490196078408</v>
      </c>
      <c r="JI17" s="1">
        <v>1</v>
      </c>
      <c r="JJ17" s="1">
        <v>51</v>
      </c>
      <c r="JK17" s="1">
        <v>3.5192307692307692</v>
      </c>
      <c r="JL17" s="1">
        <v>3.5192307692307661</v>
      </c>
      <c r="JM17" s="1">
        <v>52</v>
      </c>
      <c r="JN17" s="1">
        <v>70.588235294117595</v>
      </c>
      <c r="JO17" s="1">
        <v>29.411764705882373</v>
      </c>
      <c r="JP17" s="1">
        <v>17</v>
      </c>
      <c r="JQ17" s="1">
        <v>92.307692307692349</v>
      </c>
      <c r="JR17" s="1">
        <v>7.6923076923076934</v>
      </c>
      <c r="JS17" s="1">
        <v>26</v>
      </c>
      <c r="JT17" s="1">
        <v>88.888888888888786</v>
      </c>
      <c r="JU17" s="1">
        <v>11.111111111111097</v>
      </c>
      <c r="JV17" s="1">
        <v>45</v>
      </c>
      <c r="JW17" s="1">
        <v>88.888888888888786</v>
      </c>
      <c r="JX17" s="1">
        <v>11.111111111111125</v>
      </c>
      <c r="JY17" s="1">
        <v>27</v>
      </c>
      <c r="JZ17" s="1">
        <v>44.999999999999993</v>
      </c>
      <c r="KA17" s="1">
        <v>54.999999999999993</v>
      </c>
      <c r="KB17" s="1">
        <v>40</v>
      </c>
      <c r="KC17" s="1">
        <v>100</v>
      </c>
      <c r="KD17" s="1">
        <v>0</v>
      </c>
      <c r="KE17" s="1">
        <v>39</v>
      </c>
      <c r="KF17" s="1">
        <v>3.2432432432432434</v>
      </c>
      <c r="KG17" s="1">
        <v>5.4054054054054115</v>
      </c>
      <c r="KH17" s="1">
        <v>16.216216216216228</v>
      </c>
      <c r="KI17" s="1">
        <v>35.135135135135165</v>
      </c>
      <c r="KJ17" s="1">
        <v>35.135135135135165</v>
      </c>
      <c r="KK17" s="1">
        <v>8.1081081081081141</v>
      </c>
      <c r="KL17" s="1">
        <v>37</v>
      </c>
      <c r="KM17" s="1">
        <v>58.324324324324301</v>
      </c>
      <c r="KN17" s="1">
        <v>9</v>
      </c>
      <c r="KO17" s="1">
        <v>0</v>
      </c>
      <c r="KP17" s="1">
        <v>100</v>
      </c>
      <c r="KQ17" s="1">
        <v>0</v>
      </c>
      <c r="KR17" s="1">
        <v>0</v>
      </c>
      <c r="KS17" s="1">
        <v>0</v>
      </c>
      <c r="KT17" s="1">
        <v>1</v>
      </c>
      <c r="KU17" s="1">
        <v>4.9999999999999991</v>
      </c>
      <c r="KV17" s="1">
        <v>0</v>
      </c>
      <c r="KW17" s="1">
        <v>7.4999999999999991</v>
      </c>
      <c r="KX17" s="1">
        <v>84.999999999999986</v>
      </c>
      <c r="KY17" s="1">
        <v>2.4999999999999996</v>
      </c>
      <c r="KZ17" s="1">
        <v>40</v>
      </c>
      <c r="LA17" s="1">
        <v>4.9999999999999991</v>
      </c>
      <c r="LB17" s="1">
        <v>94.999999999999986</v>
      </c>
      <c r="LC17" s="1">
        <v>40</v>
      </c>
      <c r="LD17" s="1">
        <v>0</v>
      </c>
      <c r="LE17" s="1">
        <v>0</v>
      </c>
      <c r="LF17" s="1">
        <v>100</v>
      </c>
      <c r="LG17" s="1">
        <v>1</v>
      </c>
    </row>
    <row r="18" spans="1:319" x14ac:dyDescent="0.25">
      <c r="A18" s="1">
        <v>40</v>
      </c>
      <c r="B18" s="1">
        <v>17.241379310344822</v>
      </c>
      <c r="C18" s="1">
        <v>82.758620689655089</v>
      </c>
      <c r="D18" s="1">
        <v>87</v>
      </c>
      <c r="E18" s="1">
        <v>90.140845070422372</v>
      </c>
      <c r="F18" s="1">
        <v>9.8591549295774641</v>
      </c>
      <c r="G18" s="1">
        <v>71</v>
      </c>
      <c r="H18" s="1">
        <v>74.242424242424121</v>
      </c>
      <c r="I18" s="1">
        <v>25.757575757575747</v>
      </c>
      <c r="J18" s="1">
        <v>66</v>
      </c>
      <c r="K18" s="1">
        <v>1</v>
      </c>
      <c r="L18" s="1">
        <v>53.60591999999999</v>
      </c>
      <c r="M18" s="1">
        <v>12.323200000000019</v>
      </c>
      <c r="N18" s="1">
        <v>4.9292800000000048</v>
      </c>
      <c r="O18" s="1">
        <v>7.3939199999999889</v>
      </c>
      <c r="P18" s="1">
        <v>1.2323200000000012</v>
      </c>
      <c r="Q18" s="1">
        <v>24.646400000000042</v>
      </c>
      <c r="R18" s="1">
        <v>2.4646400000000024</v>
      </c>
      <c r="S18" s="1">
        <v>1.2323200000000012</v>
      </c>
      <c r="T18" s="1">
        <v>14.787839999999981</v>
      </c>
      <c r="U18" s="1">
        <v>12.939359999999995</v>
      </c>
      <c r="V18" s="1">
        <v>21.565599999999964</v>
      </c>
      <c r="W18" s="1">
        <v>0.22988505747126445</v>
      </c>
      <c r="X18" s="1">
        <v>9.1954022988505649E-2</v>
      </c>
      <c r="Y18" s="1">
        <v>0.13793103448275845</v>
      </c>
      <c r="Z18" s="1">
        <v>2.2988505747126412E-2</v>
      </c>
      <c r="AA18" s="1">
        <v>0.45977011494252901</v>
      </c>
      <c r="AB18" s="1">
        <v>4.5977011494252824E-2</v>
      </c>
      <c r="AC18" s="1">
        <v>2.2988505747126412E-2</v>
      </c>
      <c r="AD18" s="1">
        <v>0.2758620689655169</v>
      </c>
      <c r="AE18" s="1">
        <v>0.24137931034482782</v>
      </c>
      <c r="AF18" s="1">
        <v>0.40229885057471254</v>
      </c>
      <c r="AG18" s="1">
        <v>1</v>
      </c>
      <c r="AH18" s="1">
        <v>87</v>
      </c>
      <c r="AI18" s="1">
        <v>1</v>
      </c>
      <c r="AJ18" s="1">
        <v>42.515040000000106</v>
      </c>
      <c r="AK18" s="1">
        <v>25.878720000000001</v>
      </c>
      <c r="AL18" s="1">
        <v>24.646400000000042</v>
      </c>
      <c r="AM18" s="1">
        <v>22.797919999999991</v>
      </c>
      <c r="AN18" s="1">
        <v>33.272640000000095</v>
      </c>
      <c r="AO18" s="1">
        <v>0.6161600000000006</v>
      </c>
      <c r="AP18" s="1">
        <v>4.3131200000000076</v>
      </c>
      <c r="AQ18" s="1">
        <v>0.60869565217391353</v>
      </c>
      <c r="AR18" s="1">
        <v>0.5797101449275367</v>
      </c>
      <c r="AS18" s="1">
        <v>0.53623188405797084</v>
      </c>
      <c r="AT18" s="1">
        <v>0.7826086956521725</v>
      </c>
      <c r="AU18" s="1">
        <v>1.4492753623188401E-2</v>
      </c>
      <c r="AV18" s="1">
        <v>0.10144927536231861</v>
      </c>
      <c r="AW18" s="1">
        <v>1</v>
      </c>
      <c r="AX18" s="1">
        <v>69</v>
      </c>
      <c r="AY18" s="1">
        <v>9.6896551724137936</v>
      </c>
      <c r="AZ18" s="1">
        <v>9.8390804597701145</v>
      </c>
      <c r="BA18" s="1">
        <v>9.8604651162790695</v>
      </c>
      <c r="BB18" s="1">
        <v>0</v>
      </c>
      <c r="BC18" s="1">
        <v>0</v>
      </c>
      <c r="BD18" s="1">
        <v>0</v>
      </c>
      <c r="BE18" s="1">
        <v>0</v>
      </c>
      <c r="BF18" s="1">
        <v>0</v>
      </c>
      <c r="BG18" s="1">
        <v>2.2988505747126449</v>
      </c>
      <c r="BH18" s="1">
        <v>1.1494252873563224</v>
      </c>
      <c r="BI18" s="1">
        <v>2.2988505747126449</v>
      </c>
      <c r="BJ18" s="1">
        <v>13.793103448275833</v>
      </c>
      <c r="BK18" s="1">
        <v>80.459770114942387</v>
      </c>
      <c r="BL18" s="1">
        <v>9.6896551724138043</v>
      </c>
      <c r="BM18" s="1">
        <v>87</v>
      </c>
      <c r="BN18" s="1">
        <v>0</v>
      </c>
      <c r="BO18" s="1">
        <v>0</v>
      </c>
      <c r="BP18" s="1">
        <v>0</v>
      </c>
      <c r="BQ18" s="1">
        <v>0</v>
      </c>
      <c r="BR18" s="1">
        <v>0</v>
      </c>
      <c r="BS18" s="1">
        <v>0</v>
      </c>
      <c r="BT18" s="1">
        <v>0</v>
      </c>
      <c r="BU18" s="1">
        <v>4.5977011494252897</v>
      </c>
      <c r="BV18" s="1">
        <v>6.8965517241379164</v>
      </c>
      <c r="BW18" s="1">
        <v>88.505747126436958</v>
      </c>
      <c r="BX18" s="1">
        <v>9.839080459770118</v>
      </c>
      <c r="BY18" s="1">
        <v>87</v>
      </c>
      <c r="BZ18" s="1">
        <v>0</v>
      </c>
      <c r="CA18" s="1">
        <v>0</v>
      </c>
      <c r="CB18" s="1">
        <v>0</v>
      </c>
      <c r="CC18" s="1">
        <v>0</v>
      </c>
      <c r="CD18" s="1">
        <v>0</v>
      </c>
      <c r="CE18" s="1">
        <v>1.1627906976744198</v>
      </c>
      <c r="CF18" s="1">
        <v>0</v>
      </c>
      <c r="CG18" s="1">
        <v>1.1627906976744198</v>
      </c>
      <c r="CH18" s="1">
        <v>6.9767441860465134</v>
      </c>
      <c r="CI18" s="1">
        <v>90.697674418604763</v>
      </c>
      <c r="CJ18" s="1">
        <v>9.8604651162790944</v>
      </c>
      <c r="CK18" s="1">
        <v>86</v>
      </c>
      <c r="CL18" s="1">
        <v>67.088607594936605</v>
      </c>
      <c r="CM18" s="1">
        <v>27.848101265822763</v>
      </c>
      <c r="CN18" s="1">
        <v>3.797468354430372</v>
      </c>
      <c r="CO18" s="1">
        <v>1.265822784810126</v>
      </c>
      <c r="CP18" s="1">
        <v>0</v>
      </c>
      <c r="CQ18" s="1">
        <v>79</v>
      </c>
      <c r="CR18" s="1">
        <v>87.951807228915655</v>
      </c>
      <c r="CS18" s="1">
        <v>12.048192771084338</v>
      </c>
      <c r="CT18" s="1">
        <v>0</v>
      </c>
      <c r="CU18" s="1">
        <v>0</v>
      </c>
      <c r="CV18" s="1">
        <v>0</v>
      </c>
      <c r="CW18" s="1">
        <v>83</v>
      </c>
      <c r="CX18" s="1">
        <v>88.372093023255744</v>
      </c>
      <c r="CY18" s="1">
        <v>11.627906976744164</v>
      </c>
      <c r="CZ18" s="1">
        <v>0</v>
      </c>
      <c r="DA18" s="1">
        <v>0</v>
      </c>
      <c r="DB18" s="1">
        <v>0</v>
      </c>
      <c r="DC18" s="1">
        <v>86</v>
      </c>
      <c r="DD18" s="1">
        <v>89.534883720930324</v>
      </c>
      <c r="DE18" s="1">
        <v>9.3023255813953583</v>
      </c>
      <c r="DF18" s="1">
        <v>1.1627906976744198</v>
      </c>
      <c r="DG18" s="1">
        <v>0</v>
      </c>
      <c r="DH18" s="1">
        <v>0</v>
      </c>
      <c r="DI18" s="1">
        <v>86</v>
      </c>
      <c r="DJ18" s="1">
        <v>89.411764705882192</v>
      </c>
      <c r="DK18" s="1">
        <v>10.58823529411765</v>
      </c>
      <c r="DL18" s="1">
        <v>0</v>
      </c>
      <c r="DM18" s="1">
        <v>0</v>
      </c>
      <c r="DN18" s="1">
        <v>0</v>
      </c>
      <c r="DO18" s="1">
        <v>85</v>
      </c>
      <c r="DP18" s="1">
        <v>93.023255813953313</v>
      </c>
      <c r="DQ18" s="1">
        <v>5.813953488372082</v>
      </c>
      <c r="DR18" s="1">
        <v>1.1627906976744198</v>
      </c>
      <c r="DS18" s="1">
        <v>0</v>
      </c>
      <c r="DT18" s="1">
        <v>0</v>
      </c>
      <c r="DU18" s="1">
        <v>86</v>
      </c>
      <c r="DV18" s="1">
        <v>77.272727272727238</v>
      </c>
      <c r="DW18" s="1">
        <v>18.181818181818183</v>
      </c>
      <c r="DX18" s="1">
        <v>3.0303030303030294</v>
      </c>
      <c r="DY18" s="1">
        <v>0</v>
      </c>
      <c r="DZ18" s="1">
        <v>1.5151515151515147</v>
      </c>
      <c r="EA18" s="1">
        <v>66</v>
      </c>
      <c r="EB18" s="1">
        <v>72.222222222222328</v>
      </c>
      <c r="EC18" s="1">
        <v>16.666666666666679</v>
      </c>
      <c r="ED18" s="1">
        <v>5.5555555555555465</v>
      </c>
      <c r="EE18" s="1">
        <v>5.5555555555555465</v>
      </c>
      <c r="EF18" s="1">
        <v>0</v>
      </c>
      <c r="EG18" s="1">
        <v>18</v>
      </c>
      <c r="EH18" s="1">
        <v>59.999999999999993</v>
      </c>
      <c r="EI18" s="1">
        <v>9.9999999999999982</v>
      </c>
      <c r="EJ18" s="1">
        <v>19.999999999999996</v>
      </c>
      <c r="EK18" s="1">
        <v>9.9999999999999982</v>
      </c>
      <c r="EL18" s="1">
        <v>0</v>
      </c>
      <c r="EM18" s="1">
        <v>20</v>
      </c>
      <c r="EN18" s="1">
        <v>59.574468085106389</v>
      </c>
      <c r="EO18" s="1">
        <v>34.04255319148934</v>
      </c>
      <c r="EP18" s="1">
        <v>4.2553191489361675</v>
      </c>
      <c r="EQ18" s="1">
        <v>2.1276595744680837</v>
      </c>
      <c r="ER18" s="1">
        <v>0</v>
      </c>
      <c r="ES18" s="1">
        <v>47</v>
      </c>
      <c r="ET18" s="1">
        <v>60.416666666666686</v>
      </c>
      <c r="EU18" s="1">
        <v>33.333333333333336</v>
      </c>
      <c r="EV18" s="1">
        <v>4.166666666666667</v>
      </c>
      <c r="EW18" s="1">
        <v>2.0833333333333335</v>
      </c>
      <c r="EX18" s="1">
        <v>0</v>
      </c>
      <c r="EY18" s="1">
        <v>48</v>
      </c>
      <c r="EZ18" s="1">
        <v>55.999999999999993</v>
      </c>
      <c r="FA18" s="1">
        <v>39.999999999999993</v>
      </c>
      <c r="FB18" s="1">
        <v>3.9999999999999996</v>
      </c>
      <c r="FC18" s="1">
        <v>0</v>
      </c>
      <c r="FD18" s="1">
        <v>0</v>
      </c>
      <c r="FE18" s="1">
        <v>25</v>
      </c>
      <c r="FF18" s="1">
        <v>63.999999999999993</v>
      </c>
      <c r="FG18" s="1">
        <v>23.999999999999996</v>
      </c>
      <c r="FH18" s="1">
        <v>11.999999999999998</v>
      </c>
      <c r="FI18" s="1">
        <v>0</v>
      </c>
      <c r="FJ18" s="1">
        <v>0</v>
      </c>
      <c r="FK18" s="1">
        <v>25</v>
      </c>
      <c r="FL18" s="1">
        <v>69.230769230769255</v>
      </c>
      <c r="FM18" s="1">
        <v>20.512820512820539</v>
      </c>
      <c r="FN18" s="1">
        <v>5.1282051282051349</v>
      </c>
      <c r="FO18" s="1">
        <v>0</v>
      </c>
      <c r="FP18" s="1">
        <v>5.1282051282051349</v>
      </c>
      <c r="FQ18" s="1">
        <v>39</v>
      </c>
      <c r="FR18" s="1">
        <v>82.758620689655089</v>
      </c>
      <c r="FS18" s="1">
        <v>13.793103448275836</v>
      </c>
      <c r="FT18" s="1">
        <v>0</v>
      </c>
      <c r="FU18" s="1">
        <v>3.4482758620689591</v>
      </c>
      <c r="FV18" s="1">
        <v>0</v>
      </c>
      <c r="FW18" s="1">
        <v>29</v>
      </c>
      <c r="FX18" s="1">
        <v>88.75</v>
      </c>
      <c r="FY18" s="1">
        <v>9.9999999999999982</v>
      </c>
      <c r="FZ18" s="1">
        <v>1.2499999999999998</v>
      </c>
      <c r="GA18" s="1">
        <v>0</v>
      </c>
      <c r="GB18" s="1">
        <v>0</v>
      </c>
      <c r="GC18" s="1">
        <v>80</v>
      </c>
      <c r="GD18" s="1">
        <v>77.272727272727238</v>
      </c>
      <c r="GE18" s="1">
        <v>18.181818181818187</v>
      </c>
      <c r="GF18" s="1">
        <v>4.5454545454545467</v>
      </c>
      <c r="GG18" s="1">
        <v>0</v>
      </c>
      <c r="GH18" s="1">
        <v>0</v>
      </c>
      <c r="GI18" s="1">
        <v>22</v>
      </c>
      <c r="GJ18" s="1">
        <v>79.166666666666757</v>
      </c>
      <c r="GK18" s="1">
        <v>20.833333333333307</v>
      </c>
      <c r="GL18" s="1">
        <v>0</v>
      </c>
      <c r="GM18" s="1">
        <v>0</v>
      </c>
      <c r="GN18" s="1">
        <v>0</v>
      </c>
      <c r="GO18" s="1">
        <v>24</v>
      </c>
      <c r="GP18" s="1">
        <v>71.186440677966004</v>
      </c>
      <c r="GQ18" s="1">
        <v>25.423728813559311</v>
      </c>
      <c r="GR18" s="1">
        <v>0</v>
      </c>
      <c r="GS18" s="1">
        <v>3.3898305084745739</v>
      </c>
      <c r="GT18" s="1">
        <v>0</v>
      </c>
      <c r="GU18" s="1">
        <v>59</v>
      </c>
      <c r="GV18" s="1">
        <v>81.818181818181927</v>
      </c>
      <c r="GW18" s="1">
        <v>18.181818181818183</v>
      </c>
      <c r="GX18" s="1">
        <v>0</v>
      </c>
      <c r="GY18" s="1">
        <v>0</v>
      </c>
      <c r="GZ18" s="1">
        <v>0</v>
      </c>
      <c r="HA18" s="1">
        <v>55</v>
      </c>
      <c r="HB18" s="1">
        <v>63.636363636363697</v>
      </c>
      <c r="HC18" s="1">
        <v>18.181818181818226</v>
      </c>
      <c r="HD18" s="1">
        <v>9.090909090909113</v>
      </c>
      <c r="HE18" s="1">
        <v>9.090909090909113</v>
      </c>
      <c r="HF18" s="1">
        <v>0</v>
      </c>
      <c r="HG18" s="1">
        <v>11</v>
      </c>
      <c r="HH18" s="1">
        <v>57.142857142857167</v>
      </c>
      <c r="HI18" s="1">
        <v>14.285714285714292</v>
      </c>
      <c r="HJ18" s="1">
        <v>14.285714285714292</v>
      </c>
      <c r="HK18" s="1">
        <v>14.285714285714292</v>
      </c>
      <c r="HL18" s="1">
        <v>0</v>
      </c>
      <c r="HM18" s="1">
        <v>7</v>
      </c>
      <c r="HN18" s="1">
        <v>0</v>
      </c>
      <c r="HO18" s="1">
        <v>0</v>
      </c>
      <c r="HP18" s="1">
        <v>0</v>
      </c>
      <c r="HQ18" s="1">
        <v>0</v>
      </c>
      <c r="HR18" s="1">
        <v>0</v>
      </c>
      <c r="HS18" s="1">
        <v>0</v>
      </c>
      <c r="HT18" s="1">
        <v>0</v>
      </c>
      <c r="HU18" s="1">
        <v>0</v>
      </c>
      <c r="HV18" s="1">
        <v>0</v>
      </c>
      <c r="HW18" s="1">
        <v>0</v>
      </c>
      <c r="HX18" s="1">
        <v>0</v>
      </c>
      <c r="HY18" s="1">
        <v>0</v>
      </c>
      <c r="HZ18" s="1">
        <v>0</v>
      </c>
      <c r="IA18" s="1">
        <v>0</v>
      </c>
      <c r="IB18" s="1">
        <v>0</v>
      </c>
      <c r="IC18" s="1">
        <v>0</v>
      </c>
      <c r="ID18" s="1">
        <v>0</v>
      </c>
      <c r="IE18" s="1">
        <v>0</v>
      </c>
      <c r="IF18" s="1">
        <v>9.5632183908045985</v>
      </c>
      <c r="IG18" s="1">
        <v>0</v>
      </c>
      <c r="IH18" s="1">
        <v>0</v>
      </c>
      <c r="II18" s="1">
        <v>0</v>
      </c>
      <c r="IJ18" s="1">
        <v>0</v>
      </c>
      <c r="IK18" s="1">
        <v>0</v>
      </c>
      <c r="IL18" s="1">
        <v>0</v>
      </c>
      <c r="IM18" s="1">
        <v>1.1494252873563224</v>
      </c>
      <c r="IN18" s="1">
        <v>8.0459770114942302</v>
      </c>
      <c r="IO18" s="1">
        <v>24.137931034482776</v>
      </c>
      <c r="IP18" s="1">
        <v>66.666666666666714</v>
      </c>
      <c r="IQ18" s="1">
        <v>9.5632183908046162</v>
      </c>
      <c r="IR18" s="1">
        <v>87</v>
      </c>
      <c r="IS18" s="1">
        <v>77.011494252873504</v>
      </c>
      <c r="IT18" s="1">
        <v>12.643678160919533</v>
      </c>
      <c r="IU18" s="1">
        <v>9.1954022988505741</v>
      </c>
      <c r="IV18" s="1">
        <v>1.1494252873563224</v>
      </c>
      <c r="IW18" s="1">
        <v>0</v>
      </c>
      <c r="IX18" s="1">
        <v>87</v>
      </c>
      <c r="IY18" s="1">
        <v>1</v>
      </c>
      <c r="IZ18" s="1">
        <v>53.60591999999999</v>
      </c>
      <c r="JA18" s="1">
        <v>38.818080000000016</v>
      </c>
      <c r="JB18" s="1">
        <v>8.0100800000000092</v>
      </c>
      <c r="JC18" s="1">
        <v>5.5454399999999886</v>
      </c>
      <c r="JD18" s="1">
        <v>6.161600000000008</v>
      </c>
      <c r="JE18" s="1">
        <v>0.72413793103448354</v>
      </c>
      <c r="JF18" s="1">
        <v>0.14942528735632141</v>
      </c>
      <c r="JG18" s="1">
        <v>0.10344827586206878</v>
      </c>
      <c r="JH18" s="1">
        <v>0.11494252873563222</v>
      </c>
      <c r="JI18" s="1">
        <v>1</v>
      </c>
      <c r="JJ18" s="1">
        <v>87</v>
      </c>
      <c r="JK18" s="1">
        <v>3.7674418604651163</v>
      </c>
      <c r="JL18" s="1">
        <v>3.7674418604651128</v>
      </c>
      <c r="JM18" s="1">
        <v>86</v>
      </c>
      <c r="JN18" s="1">
        <v>88.888888888888744</v>
      </c>
      <c r="JO18" s="1">
        <v>11.111111111111093</v>
      </c>
      <c r="JP18" s="1">
        <v>45</v>
      </c>
      <c r="JQ18" s="1">
        <v>98.275862068965566</v>
      </c>
      <c r="JR18" s="1">
        <v>1.7241379310344795</v>
      </c>
      <c r="JS18" s="1">
        <v>58</v>
      </c>
      <c r="JT18" s="1">
        <v>96.491228070175524</v>
      </c>
      <c r="JU18" s="1">
        <v>3.5087719298245532</v>
      </c>
      <c r="JV18" s="1">
        <v>57</v>
      </c>
      <c r="JW18" s="1">
        <v>95.081967213114709</v>
      </c>
      <c r="JX18" s="1">
        <v>4.9180327868852478</v>
      </c>
      <c r="JY18" s="1">
        <v>61</v>
      </c>
      <c r="JZ18" s="1">
        <v>45.977011494252928</v>
      </c>
      <c r="KA18" s="1">
        <v>54.022988505747051</v>
      </c>
      <c r="KB18" s="1">
        <v>87</v>
      </c>
      <c r="KC18" s="1">
        <v>100</v>
      </c>
      <c r="KD18" s="1">
        <v>0</v>
      </c>
      <c r="KE18" s="1">
        <v>87</v>
      </c>
      <c r="KF18" s="1">
        <v>3.5180722891566263</v>
      </c>
      <c r="KG18" s="1">
        <v>7.2289156626505937</v>
      </c>
      <c r="KH18" s="1">
        <v>15.662650602409631</v>
      </c>
      <c r="KI18" s="1">
        <v>16.86746987951803</v>
      </c>
      <c r="KJ18" s="1">
        <v>38.554216867469805</v>
      </c>
      <c r="KK18" s="1">
        <v>21.686746987951832</v>
      </c>
      <c r="KL18" s="1">
        <v>83</v>
      </c>
      <c r="KM18" s="1">
        <v>60.855421686746922</v>
      </c>
      <c r="KN18" s="1">
        <v>84.5</v>
      </c>
      <c r="KO18" s="1">
        <v>0</v>
      </c>
      <c r="KP18" s="1">
        <v>0</v>
      </c>
      <c r="KQ18" s="1">
        <v>50</v>
      </c>
      <c r="KR18" s="1">
        <v>0</v>
      </c>
      <c r="KS18" s="1">
        <v>50</v>
      </c>
      <c r="KT18" s="1">
        <v>2</v>
      </c>
      <c r="KU18" s="1">
        <v>1.1494252873563224</v>
      </c>
      <c r="KV18" s="1">
        <v>1.1494252873563224</v>
      </c>
      <c r="KW18" s="1">
        <v>1.1494252873563224</v>
      </c>
      <c r="KX18" s="1">
        <v>96.551724137931117</v>
      </c>
      <c r="KY18" s="1">
        <v>0</v>
      </c>
      <c r="KZ18" s="1">
        <v>87</v>
      </c>
      <c r="LA18" s="1">
        <v>5.7471264367816142</v>
      </c>
      <c r="LB18" s="1">
        <v>94.252873563218543</v>
      </c>
      <c r="LC18" s="1">
        <v>87</v>
      </c>
      <c r="LD18" s="1">
        <v>0</v>
      </c>
      <c r="LE18" s="1">
        <v>40.000000000000007</v>
      </c>
      <c r="LF18" s="1">
        <v>60.000000000000014</v>
      </c>
      <c r="LG18" s="1">
        <v>5</v>
      </c>
    </row>
    <row r="19" spans="1:319" x14ac:dyDescent="0.25">
      <c r="A19" s="1">
        <v>41</v>
      </c>
      <c r="B19" s="1">
        <v>24.074074074074126</v>
      </c>
      <c r="C19" s="1">
        <v>75.925925925926023</v>
      </c>
      <c r="D19" s="1">
        <v>54</v>
      </c>
      <c r="E19" s="1">
        <v>92.500000000000014</v>
      </c>
      <c r="F19" s="1">
        <v>7.5000000000000053</v>
      </c>
      <c r="G19" s="1">
        <v>40</v>
      </c>
      <c r="H19" s="1">
        <v>50.000000000000021</v>
      </c>
      <c r="I19" s="1">
        <v>50.000000000000021</v>
      </c>
      <c r="J19" s="1">
        <v>34</v>
      </c>
      <c r="K19" s="1">
        <v>1</v>
      </c>
      <c r="L19" s="1">
        <v>168.20243999999963</v>
      </c>
      <c r="M19" s="1">
        <v>18.689159999999987</v>
      </c>
      <c r="N19" s="1">
        <v>21.804020000000019</v>
      </c>
      <c r="O19" s="1">
        <v>65.412060000000025</v>
      </c>
      <c r="P19" s="1">
        <v>18.689159999999987</v>
      </c>
      <c r="Q19" s="1">
        <v>65.412060000000025</v>
      </c>
      <c r="R19" s="1">
        <v>18.689159999999987</v>
      </c>
      <c r="S19" s="1">
        <v>6.2297199999999906</v>
      </c>
      <c r="T19" s="1">
        <v>24.918879999999962</v>
      </c>
      <c r="U19" s="1">
        <v>9.3445799999999934</v>
      </c>
      <c r="V19" s="1">
        <v>9.3445799999999934</v>
      </c>
      <c r="W19" s="1">
        <v>0.1111111111111114</v>
      </c>
      <c r="X19" s="1">
        <v>0.12962962962962979</v>
      </c>
      <c r="Y19" s="1">
        <v>0.38888888888888934</v>
      </c>
      <c r="Z19" s="1">
        <v>0.1111111111111114</v>
      </c>
      <c r="AA19" s="1">
        <v>0.38888888888888934</v>
      </c>
      <c r="AB19" s="1">
        <v>0.1111111111111114</v>
      </c>
      <c r="AC19" s="1">
        <v>3.703703703703716E-2</v>
      </c>
      <c r="AD19" s="1">
        <v>0.14814814814814864</v>
      </c>
      <c r="AE19" s="1">
        <v>5.5555555555555712E-2</v>
      </c>
      <c r="AF19" s="1">
        <v>5.5555555555555712E-2</v>
      </c>
      <c r="AG19" s="1">
        <v>1</v>
      </c>
      <c r="AH19" s="1">
        <v>54</v>
      </c>
      <c r="AI19" s="1">
        <v>1</v>
      </c>
      <c r="AJ19" s="1">
        <v>165.08757999999958</v>
      </c>
      <c r="AK19" s="1">
        <v>118.36467999999975</v>
      </c>
      <c r="AL19" s="1">
        <v>74.756639999999933</v>
      </c>
      <c r="AM19" s="1">
        <v>62.297199999999989</v>
      </c>
      <c r="AN19" s="1">
        <v>99.675519999999835</v>
      </c>
      <c r="AO19" s="1">
        <v>21.804020000000019</v>
      </c>
      <c r="AP19" s="1">
        <v>18.689159999999987</v>
      </c>
      <c r="AQ19" s="1">
        <v>0.71698113207547254</v>
      </c>
      <c r="AR19" s="1">
        <v>0.45283018867924618</v>
      </c>
      <c r="AS19" s="1">
        <v>0.37735849056603848</v>
      </c>
      <c r="AT19" s="1">
        <v>0.60377358490566035</v>
      </c>
      <c r="AU19" s="1">
        <v>0.13207547169811365</v>
      </c>
      <c r="AV19" s="1">
        <v>0.11320754716981155</v>
      </c>
      <c r="AW19" s="1">
        <v>1</v>
      </c>
      <c r="AX19" s="1">
        <v>53</v>
      </c>
      <c r="AY19" s="1">
        <v>9.8269230769230766</v>
      </c>
      <c r="AZ19" s="1">
        <v>9.8490566037735849</v>
      </c>
      <c r="BA19" s="1">
        <v>9.764705882352942</v>
      </c>
      <c r="BB19" s="1">
        <v>0</v>
      </c>
      <c r="BC19" s="1">
        <v>0</v>
      </c>
      <c r="BD19" s="1">
        <v>0</v>
      </c>
      <c r="BE19" s="1">
        <v>0</v>
      </c>
      <c r="BF19" s="1">
        <v>0</v>
      </c>
      <c r="BG19" s="1">
        <v>0</v>
      </c>
      <c r="BH19" s="1">
        <v>1.923076923076924</v>
      </c>
      <c r="BI19" s="1">
        <v>1.923076923076924</v>
      </c>
      <c r="BJ19" s="1">
        <v>7.6923076923076961</v>
      </c>
      <c r="BK19" s="1">
        <v>88.461538461538396</v>
      </c>
      <c r="BL19" s="1">
        <v>9.8269230769230926</v>
      </c>
      <c r="BM19" s="1">
        <v>52</v>
      </c>
      <c r="BN19" s="1">
        <v>0</v>
      </c>
      <c r="BO19" s="1">
        <v>0</v>
      </c>
      <c r="BP19" s="1">
        <v>0</v>
      </c>
      <c r="BQ19" s="1">
        <v>0</v>
      </c>
      <c r="BR19" s="1">
        <v>0</v>
      </c>
      <c r="BS19" s="1">
        <v>0</v>
      </c>
      <c r="BT19" s="1">
        <v>1.8867924528301916</v>
      </c>
      <c r="BU19" s="1">
        <v>1.8867924528301916</v>
      </c>
      <c r="BV19" s="1">
        <v>5.6603773584905683</v>
      </c>
      <c r="BW19" s="1">
        <v>90.566037735849036</v>
      </c>
      <c r="BX19" s="1">
        <v>9.8490566037736063</v>
      </c>
      <c r="BY19" s="1">
        <v>53</v>
      </c>
      <c r="BZ19" s="1">
        <v>0</v>
      </c>
      <c r="CA19" s="1">
        <v>0</v>
      </c>
      <c r="CB19" s="1">
        <v>0</v>
      </c>
      <c r="CC19" s="1">
        <v>0</v>
      </c>
      <c r="CD19" s="1">
        <v>0</v>
      </c>
      <c r="CE19" s="1">
        <v>0</v>
      </c>
      <c r="CF19" s="1">
        <v>0</v>
      </c>
      <c r="CG19" s="1">
        <v>7.8431372549019782</v>
      </c>
      <c r="CH19" s="1">
        <v>7.8431372549019782</v>
      </c>
      <c r="CI19" s="1">
        <v>84.313725490196035</v>
      </c>
      <c r="CJ19" s="1">
        <v>9.7647058823529367</v>
      </c>
      <c r="CK19" s="1">
        <v>51</v>
      </c>
      <c r="CL19" s="1">
        <v>36.734693877551024</v>
      </c>
      <c r="CM19" s="1">
        <v>28.571428571428623</v>
      </c>
      <c r="CN19" s="1">
        <v>10.204081632653088</v>
      </c>
      <c r="CO19" s="1">
        <v>22.448979591836792</v>
      </c>
      <c r="CP19" s="1">
        <v>2.040816326530615</v>
      </c>
      <c r="CQ19" s="1">
        <v>49</v>
      </c>
      <c r="CR19" s="1">
        <v>81.250000000000014</v>
      </c>
      <c r="CS19" s="1">
        <v>16.666666666666718</v>
      </c>
      <c r="CT19" s="1">
        <v>2.0833333333333397</v>
      </c>
      <c r="CU19" s="1">
        <v>0</v>
      </c>
      <c r="CV19" s="1">
        <v>0</v>
      </c>
      <c r="CW19" s="1">
        <v>48</v>
      </c>
      <c r="CX19" s="1">
        <v>84.313725490196035</v>
      </c>
      <c r="CY19" s="1">
        <v>15.686274509803956</v>
      </c>
      <c r="CZ19" s="1">
        <v>0</v>
      </c>
      <c r="DA19" s="1">
        <v>0</v>
      </c>
      <c r="DB19" s="1">
        <v>0</v>
      </c>
      <c r="DC19" s="1">
        <v>51</v>
      </c>
      <c r="DD19" s="1">
        <v>80.392156862745054</v>
      </c>
      <c r="DE19" s="1">
        <v>19.60784313725495</v>
      </c>
      <c r="DF19" s="1">
        <v>0</v>
      </c>
      <c r="DG19" s="1">
        <v>0</v>
      </c>
      <c r="DH19" s="1">
        <v>0</v>
      </c>
      <c r="DI19" s="1">
        <v>51</v>
      </c>
      <c r="DJ19" s="1">
        <v>71.739130434782666</v>
      </c>
      <c r="DK19" s="1">
        <v>23.913043478260924</v>
      </c>
      <c r="DL19" s="1">
        <v>2.1739130434782625</v>
      </c>
      <c r="DM19" s="1">
        <v>2.1739130434782625</v>
      </c>
      <c r="DN19" s="1">
        <v>0</v>
      </c>
      <c r="DO19" s="1">
        <v>46</v>
      </c>
      <c r="DP19" s="1">
        <v>86.274509803921546</v>
      </c>
      <c r="DQ19" s="1">
        <v>13.725490196078452</v>
      </c>
      <c r="DR19" s="1">
        <v>0</v>
      </c>
      <c r="DS19" s="1">
        <v>0</v>
      </c>
      <c r="DT19" s="1">
        <v>0</v>
      </c>
      <c r="DU19" s="1">
        <v>51</v>
      </c>
      <c r="DV19" s="1">
        <v>73.684210526315823</v>
      </c>
      <c r="DW19" s="1">
        <v>26.31578947368418</v>
      </c>
      <c r="DX19" s="1">
        <v>0</v>
      </c>
      <c r="DY19" s="1">
        <v>0</v>
      </c>
      <c r="DZ19" s="1">
        <v>0</v>
      </c>
      <c r="EA19" s="1">
        <v>19</v>
      </c>
      <c r="EB19" s="1">
        <v>91.666666666666757</v>
      </c>
      <c r="EC19" s="1">
        <v>8.3333333333333321</v>
      </c>
      <c r="ED19" s="1">
        <v>0</v>
      </c>
      <c r="EE19" s="1">
        <v>0</v>
      </c>
      <c r="EF19" s="1">
        <v>0</v>
      </c>
      <c r="EG19" s="1">
        <v>24</v>
      </c>
      <c r="EH19" s="1">
        <v>66.666666666666643</v>
      </c>
      <c r="EI19" s="1">
        <v>33.333333333333321</v>
      </c>
      <c r="EJ19" s="1">
        <v>0</v>
      </c>
      <c r="EK19" s="1">
        <v>0</v>
      </c>
      <c r="EL19" s="1">
        <v>0</v>
      </c>
      <c r="EM19" s="1">
        <v>21</v>
      </c>
      <c r="EN19" s="1">
        <v>61.764705882353063</v>
      </c>
      <c r="EO19" s="1">
        <v>29.411764705882419</v>
      </c>
      <c r="EP19" s="1">
        <v>0</v>
      </c>
      <c r="EQ19" s="1">
        <v>8.8235294117647136</v>
      </c>
      <c r="ER19" s="1">
        <v>0</v>
      </c>
      <c r="ES19" s="1">
        <v>34</v>
      </c>
      <c r="ET19" s="1">
        <v>68.750000000000014</v>
      </c>
      <c r="EU19" s="1">
        <v>28.125000000000004</v>
      </c>
      <c r="EV19" s="1">
        <v>0</v>
      </c>
      <c r="EW19" s="1">
        <v>3.1250000000000004</v>
      </c>
      <c r="EX19" s="1">
        <v>0</v>
      </c>
      <c r="EY19" s="1">
        <v>32</v>
      </c>
      <c r="EZ19" s="1">
        <v>63.157894736842124</v>
      </c>
      <c r="FA19" s="1">
        <v>36.842105263157912</v>
      </c>
      <c r="FB19" s="1">
        <v>0</v>
      </c>
      <c r="FC19" s="1">
        <v>0</v>
      </c>
      <c r="FD19" s="1">
        <v>0</v>
      </c>
      <c r="FE19" s="1">
        <v>19</v>
      </c>
      <c r="FF19" s="1">
        <v>57.142857142857231</v>
      </c>
      <c r="FG19" s="1">
        <v>35.714285714285744</v>
      </c>
      <c r="FH19" s="1">
        <v>0</v>
      </c>
      <c r="FI19" s="1">
        <v>7.1428571428571539</v>
      </c>
      <c r="FJ19" s="1">
        <v>0</v>
      </c>
      <c r="FK19" s="1">
        <v>14</v>
      </c>
      <c r="FL19" s="1">
        <v>83.333333333333286</v>
      </c>
      <c r="FM19" s="1">
        <v>8.3333333333333304</v>
      </c>
      <c r="FN19" s="1">
        <v>0</v>
      </c>
      <c r="FO19" s="1">
        <v>8.3333333333333304</v>
      </c>
      <c r="FP19" s="1">
        <v>0</v>
      </c>
      <c r="FQ19" s="1">
        <v>12</v>
      </c>
      <c r="FR19" s="1">
        <v>99.999999999999986</v>
      </c>
      <c r="FS19" s="1">
        <v>0</v>
      </c>
      <c r="FT19" s="1">
        <v>0</v>
      </c>
      <c r="FU19" s="1">
        <v>0</v>
      </c>
      <c r="FV19" s="1">
        <v>0</v>
      </c>
      <c r="FW19" s="1">
        <v>8</v>
      </c>
      <c r="FX19" s="1">
        <v>88.000000000000014</v>
      </c>
      <c r="FY19" s="1">
        <v>12.000000000000007</v>
      </c>
      <c r="FZ19" s="1">
        <v>0</v>
      </c>
      <c r="GA19" s="1">
        <v>0</v>
      </c>
      <c r="GB19" s="1">
        <v>0</v>
      </c>
      <c r="GC19" s="1">
        <v>50</v>
      </c>
      <c r="GD19" s="1">
        <v>57.894736842105324</v>
      </c>
      <c r="GE19" s="1">
        <v>42.105263157894697</v>
      </c>
      <c r="GF19" s="1">
        <v>0</v>
      </c>
      <c r="GG19" s="1">
        <v>0</v>
      </c>
      <c r="GH19" s="1">
        <v>0</v>
      </c>
      <c r="GI19" s="1">
        <v>19</v>
      </c>
      <c r="GJ19" s="1">
        <v>62.5</v>
      </c>
      <c r="GK19" s="1">
        <v>37.5</v>
      </c>
      <c r="GL19" s="1">
        <v>0</v>
      </c>
      <c r="GM19" s="1">
        <v>0</v>
      </c>
      <c r="GN19" s="1">
        <v>0</v>
      </c>
      <c r="GO19" s="1">
        <v>16</v>
      </c>
      <c r="GP19" s="1">
        <v>59.259259259259217</v>
      </c>
      <c r="GQ19" s="1">
        <v>25.925925925925917</v>
      </c>
      <c r="GR19" s="1">
        <v>7.4074074074074021</v>
      </c>
      <c r="GS19" s="1">
        <v>7.4074074074074021</v>
      </c>
      <c r="GT19" s="1">
        <v>0</v>
      </c>
      <c r="GU19" s="1">
        <v>27</v>
      </c>
      <c r="GV19" s="1">
        <v>59.259259259259217</v>
      </c>
      <c r="GW19" s="1">
        <v>29.629629629629608</v>
      </c>
      <c r="GX19" s="1">
        <v>3.7037037037037011</v>
      </c>
      <c r="GY19" s="1">
        <v>0</v>
      </c>
      <c r="GZ19" s="1">
        <v>7.4074074074074021</v>
      </c>
      <c r="HA19" s="1">
        <v>27</v>
      </c>
      <c r="HB19" s="1">
        <v>56.000000000000007</v>
      </c>
      <c r="HC19" s="1">
        <v>36.000000000000007</v>
      </c>
      <c r="HD19" s="1">
        <v>4.0000000000000009</v>
      </c>
      <c r="HE19" s="1">
        <v>0</v>
      </c>
      <c r="HF19" s="1">
        <v>4.0000000000000009</v>
      </c>
      <c r="HG19" s="1">
        <v>25</v>
      </c>
      <c r="HH19" s="1">
        <v>57.142857142857231</v>
      </c>
      <c r="HI19" s="1">
        <v>28.571428571428616</v>
      </c>
      <c r="HJ19" s="1">
        <v>14.285714285714308</v>
      </c>
      <c r="HK19" s="1">
        <v>0</v>
      </c>
      <c r="HL19" s="1">
        <v>0</v>
      </c>
      <c r="HM19" s="1">
        <v>7</v>
      </c>
      <c r="HN19" s="1">
        <v>0</v>
      </c>
      <c r="HO19" s="1">
        <v>0</v>
      </c>
      <c r="HP19" s="1">
        <v>0</v>
      </c>
      <c r="HQ19" s="1">
        <v>0</v>
      </c>
      <c r="HR19" s="1">
        <v>0</v>
      </c>
      <c r="HS19" s="1">
        <v>0</v>
      </c>
      <c r="HT19" s="1">
        <v>0</v>
      </c>
      <c r="HU19" s="1">
        <v>0</v>
      </c>
      <c r="HV19" s="1">
        <v>0</v>
      </c>
      <c r="HW19" s="1">
        <v>0</v>
      </c>
      <c r="HX19" s="1">
        <v>0</v>
      </c>
      <c r="HY19" s="1">
        <v>0</v>
      </c>
      <c r="HZ19" s="1">
        <v>0</v>
      </c>
      <c r="IA19" s="1">
        <v>0</v>
      </c>
      <c r="IB19" s="1">
        <v>0</v>
      </c>
      <c r="IC19" s="1">
        <v>0</v>
      </c>
      <c r="ID19" s="1">
        <v>0</v>
      </c>
      <c r="IE19" s="1">
        <v>0</v>
      </c>
      <c r="IF19" s="1">
        <v>9.4186046511627914</v>
      </c>
      <c r="IG19" s="1">
        <v>0</v>
      </c>
      <c r="IH19" s="1">
        <v>0</v>
      </c>
      <c r="II19" s="1">
        <v>0</v>
      </c>
      <c r="IJ19" s="1">
        <v>0</v>
      </c>
      <c r="IK19" s="1">
        <v>0</v>
      </c>
      <c r="IL19" s="1">
        <v>2.32558139534884</v>
      </c>
      <c r="IM19" s="1">
        <v>2.32558139534884</v>
      </c>
      <c r="IN19" s="1">
        <v>4.65116279069768</v>
      </c>
      <c r="IO19" s="1">
        <v>32.558139534883757</v>
      </c>
      <c r="IP19" s="1">
        <v>58.139534883720934</v>
      </c>
      <c r="IQ19" s="1">
        <v>9.4186046511628057</v>
      </c>
      <c r="IR19" s="1">
        <v>43</v>
      </c>
      <c r="IS19" s="1">
        <v>45.098039215686292</v>
      </c>
      <c r="IT19" s="1">
        <v>31.372549019607913</v>
      </c>
      <c r="IU19" s="1">
        <v>15.686274509803956</v>
      </c>
      <c r="IV19" s="1">
        <v>0</v>
      </c>
      <c r="IW19" s="1">
        <v>7.8431372549019782</v>
      </c>
      <c r="IX19" s="1">
        <v>51</v>
      </c>
      <c r="IY19" s="1">
        <v>1</v>
      </c>
      <c r="IZ19" s="1">
        <v>155.74299999999985</v>
      </c>
      <c r="JA19" s="1">
        <v>99.675519999999835</v>
      </c>
      <c r="JB19" s="1">
        <v>31.148599999999995</v>
      </c>
      <c r="JC19" s="1">
        <v>18.689159999999987</v>
      </c>
      <c r="JD19" s="1">
        <v>24.918879999999962</v>
      </c>
      <c r="JE19" s="1">
        <v>0.64000000000000046</v>
      </c>
      <c r="JF19" s="1">
        <v>0.20000000000000059</v>
      </c>
      <c r="JG19" s="1">
        <v>0.12000000000000018</v>
      </c>
      <c r="JH19" s="1">
        <v>0.16000000000000017</v>
      </c>
      <c r="JI19" s="1">
        <v>1</v>
      </c>
      <c r="JJ19" s="1">
        <v>50</v>
      </c>
      <c r="JK19" s="1">
        <v>2.693877551020408</v>
      </c>
      <c r="JL19" s="1">
        <v>2.6938775510204134</v>
      </c>
      <c r="JM19" s="1">
        <v>49</v>
      </c>
      <c r="JN19" s="1">
        <v>78.571428571428513</v>
      </c>
      <c r="JO19" s="1">
        <v>21.428571428571406</v>
      </c>
      <c r="JP19" s="1">
        <v>14</v>
      </c>
      <c r="JQ19" s="1">
        <v>100</v>
      </c>
      <c r="JR19" s="1">
        <v>0</v>
      </c>
      <c r="JS19" s="1">
        <v>17</v>
      </c>
      <c r="JT19" s="1">
        <v>92.857142857142904</v>
      </c>
      <c r="JU19" s="1">
        <v>7.1428571428571557</v>
      </c>
      <c r="JV19" s="1">
        <v>42</v>
      </c>
      <c r="JW19" s="1">
        <v>100</v>
      </c>
      <c r="JX19" s="1">
        <v>0</v>
      </c>
      <c r="JY19" s="1">
        <v>19</v>
      </c>
      <c r="JZ19" s="1">
        <v>46.511627906976763</v>
      </c>
      <c r="KA19" s="1">
        <v>53.488372093023344</v>
      </c>
      <c r="KB19" s="1">
        <v>43</v>
      </c>
      <c r="KC19" s="1">
        <v>99.999999999999986</v>
      </c>
      <c r="KD19" s="1">
        <v>0</v>
      </c>
      <c r="KE19" s="1">
        <v>41</v>
      </c>
      <c r="KF19" s="1">
        <v>3.55</v>
      </c>
      <c r="KG19" s="1">
        <v>5.0000000000000018</v>
      </c>
      <c r="KH19" s="1">
        <v>12.500000000000004</v>
      </c>
      <c r="KI19" s="1">
        <v>27.500000000000007</v>
      </c>
      <c r="KJ19" s="1">
        <v>32.500000000000014</v>
      </c>
      <c r="KK19" s="1">
        <v>22.500000000000007</v>
      </c>
      <c r="KL19" s="1">
        <v>40</v>
      </c>
      <c r="KM19" s="1">
        <v>61.150000000000055</v>
      </c>
      <c r="KN19" s="1">
        <v>0</v>
      </c>
      <c r="KO19" s="1">
        <v>0</v>
      </c>
      <c r="KP19" s="1">
        <v>0</v>
      </c>
      <c r="KQ19" s="1">
        <v>0</v>
      </c>
      <c r="KR19" s="1">
        <v>0</v>
      </c>
      <c r="KS19" s="1">
        <v>0</v>
      </c>
      <c r="KT19" s="1">
        <v>0</v>
      </c>
      <c r="KU19" s="1">
        <v>0</v>
      </c>
      <c r="KV19" s="1">
        <v>0</v>
      </c>
      <c r="KW19" s="1">
        <v>0</v>
      </c>
      <c r="KX19" s="1">
        <v>100</v>
      </c>
      <c r="KY19" s="1">
        <v>0</v>
      </c>
      <c r="KZ19" s="1">
        <v>42</v>
      </c>
      <c r="LA19" s="1">
        <v>7.3170731707317076</v>
      </c>
      <c r="LB19" s="1">
        <v>92.682926829268368</v>
      </c>
      <c r="LC19" s="1">
        <v>41</v>
      </c>
      <c r="LD19" s="1">
        <v>0</v>
      </c>
      <c r="LE19" s="1">
        <v>49.999999999999993</v>
      </c>
      <c r="LF19" s="1">
        <v>49.999999999999993</v>
      </c>
      <c r="LG19" s="1">
        <v>2</v>
      </c>
    </row>
    <row r="20" spans="1:319" x14ac:dyDescent="0.25">
      <c r="A20" s="1">
        <v>44</v>
      </c>
      <c r="B20" s="1">
        <v>29.545454545454525</v>
      </c>
      <c r="C20" s="1">
        <v>70.454545454545482</v>
      </c>
      <c r="D20" s="1">
        <v>44</v>
      </c>
      <c r="E20" s="1">
        <v>72.413793103448313</v>
      </c>
      <c r="F20" s="1">
        <v>27.58620689655174</v>
      </c>
      <c r="G20" s="1">
        <v>29</v>
      </c>
      <c r="H20" s="1">
        <v>75</v>
      </c>
      <c r="I20" s="1">
        <v>25.000000000000004</v>
      </c>
      <c r="J20" s="1">
        <v>20</v>
      </c>
      <c r="K20" s="1">
        <v>1</v>
      </c>
      <c r="L20" s="1">
        <v>58.655079999999991</v>
      </c>
      <c r="M20" s="1">
        <v>9.3314899999999898</v>
      </c>
      <c r="N20" s="1">
        <v>17.329910000000005</v>
      </c>
      <c r="O20" s="1">
        <v>18.66297999999998</v>
      </c>
      <c r="P20" s="1">
        <v>1.3330699999999995</v>
      </c>
      <c r="Q20" s="1">
        <v>22.662190000000006</v>
      </c>
      <c r="R20" s="1">
        <v>2.6661399999999991</v>
      </c>
      <c r="S20" s="1">
        <v>2.6661399999999991</v>
      </c>
      <c r="T20" s="1">
        <v>5.3322799999999981</v>
      </c>
      <c r="U20" s="1">
        <v>3.9992100000000024</v>
      </c>
      <c r="V20" s="1">
        <v>21.329119999999993</v>
      </c>
      <c r="W20" s="1">
        <v>0.15909090909090917</v>
      </c>
      <c r="X20" s="1">
        <v>0.29545454545454541</v>
      </c>
      <c r="Y20" s="1">
        <v>0.31818181818181829</v>
      </c>
      <c r="Z20" s="1">
        <v>2.2727272727272714E-2</v>
      </c>
      <c r="AA20" s="1">
        <v>0.38636363636363663</v>
      </c>
      <c r="AB20" s="1">
        <v>4.5454545454545428E-2</v>
      </c>
      <c r="AC20" s="1">
        <v>4.5454545454545428E-2</v>
      </c>
      <c r="AD20" s="1">
        <v>9.0909090909090856E-2</v>
      </c>
      <c r="AE20" s="1">
        <v>6.8181818181818232E-2</v>
      </c>
      <c r="AF20" s="1">
        <v>0.36363636363636342</v>
      </c>
      <c r="AG20" s="1">
        <v>1</v>
      </c>
      <c r="AH20" s="1">
        <v>44</v>
      </c>
      <c r="AI20" s="1">
        <v>1</v>
      </c>
      <c r="AJ20" s="1">
        <v>55.988939999999999</v>
      </c>
      <c r="AK20" s="1">
        <v>33.326749999999969</v>
      </c>
      <c r="AL20" s="1">
        <v>43.991309999999942</v>
      </c>
      <c r="AM20" s="1">
        <v>29.327539999999996</v>
      </c>
      <c r="AN20" s="1">
        <v>25.328330000000026</v>
      </c>
      <c r="AO20" s="1">
        <v>2.6661399999999991</v>
      </c>
      <c r="AP20" s="1">
        <v>10.664559999999996</v>
      </c>
      <c r="AQ20" s="1">
        <v>0.59523809523809501</v>
      </c>
      <c r="AR20" s="1">
        <v>0.78571428571428537</v>
      </c>
      <c r="AS20" s="1">
        <v>0.52380952380952428</v>
      </c>
      <c r="AT20" s="1">
        <v>0.45238095238095249</v>
      </c>
      <c r="AU20" s="1">
        <v>4.7619047619047651E-2</v>
      </c>
      <c r="AV20" s="1">
        <v>0.1904761904761906</v>
      </c>
      <c r="AW20" s="1">
        <v>1</v>
      </c>
      <c r="AX20" s="1">
        <v>42</v>
      </c>
      <c r="AY20" s="1">
        <v>9.9047619047619051</v>
      </c>
      <c r="AZ20" s="1">
        <v>9.9285714285714288</v>
      </c>
      <c r="BA20" s="1">
        <v>9.8809523809523814</v>
      </c>
      <c r="BB20" s="1">
        <v>0</v>
      </c>
      <c r="BC20" s="1">
        <v>0</v>
      </c>
      <c r="BD20" s="1">
        <v>0</v>
      </c>
      <c r="BE20" s="1">
        <v>0</v>
      </c>
      <c r="BF20" s="1">
        <v>0</v>
      </c>
      <c r="BG20" s="1">
        <v>0</v>
      </c>
      <c r="BH20" s="1">
        <v>0</v>
      </c>
      <c r="BI20" s="1">
        <v>2.3809523809523805</v>
      </c>
      <c r="BJ20" s="1">
        <v>4.761904761904761</v>
      </c>
      <c r="BK20" s="1">
        <v>92.857142857142776</v>
      </c>
      <c r="BL20" s="1">
        <v>9.9047619047619104</v>
      </c>
      <c r="BM20" s="1">
        <v>42</v>
      </c>
      <c r="BN20" s="1">
        <v>0</v>
      </c>
      <c r="BO20" s="1">
        <v>0</v>
      </c>
      <c r="BP20" s="1">
        <v>0</v>
      </c>
      <c r="BQ20" s="1">
        <v>0</v>
      </c>
      <c r="BR20" s="1">
        <v>0</v>
      </c>
      <c r="BS20" s="1">
        <v>0</v>
      </c>
      <c r="BT20" s="1">
        <v>0</v>
      </c>
      <c r="BU20" s="1">
        <v>0</v>
      </c>
      <c r="BV20" s="1">
        <v>7.142857142857145</v>
      </c>
      <c r="BW20" s="1">
        <v>92.857142857142776</v>
      </c>
      <c r="BX20" s="1">
        <v>9.9285714285714324</v>
      </c>
      <c r="BY20" s="1">
        <v>42</v>
      </c>
      <c r="BZ20" s="1">
        <v>0</v>
      </c>
      <c r="CA20" s="1">
        <v>0</v>
      </c>
      <c r="CB20" s="1">
        <v>0</v>
      </c>
      <c r="CC20" s="1">
        <v>0</v>
      </c>
      <c r="CD20" s="1">
        <v>0</v>
      </c>
      <c r="CE20" s="1">
        <v>0</v>
      </c>
      <c r="CF20" s="1">
        <v>0</v>
      </c>
      <c r="CG20" s="1">
        <v>4.761904761904761</v>
      </c>
      <c r="CH20" s="1">
        <v>2.3809523809523805</v>
      </c>
      <c r="CI20" s="1">
        <v>92.857142857142776</v>
      </c>
      <c r="CJ20" s="1">
        <v>9.8809523809523672</v>
      </c>
      <c r="CK20" s="1">
        <v>42</v>
      </c>
      <c r="CL20" s="1">
        <v>70</v>
      </c>
      <c r="CM20" s="1">
        <v>30.000000000000004</v>
      </c>
      <c r="CN20" s="1">
        <v>0</v>
      </c>
      <c r="CO20" s="1">
        <v>0</v>
      </c>
      <c r="CP20" s="1">
        <v>0</v>
      </c>
      <c r="CQ20" s="1">
        <v>40</v>
      </c>
      <c r="CR20" s="1">
        <v>95.454545454545482</v>
      </c>
      <c r="CS20" s="1">
        <v>4.5454545454545521</v>
      </c>
      <c r="CT20" s="1">
        <v>0</v>
      </c>
      <c r="CU20" s="1">
        <v>0</v>
      </c>
      <c r="CV20" s="1">
        <v>0</v>
      </c>
      <c r="CW20" s="1">
        <v>44</v>
      </c>
      <c r="CX20" s="1">
        <v>95.348837209302374</v>
      </c>
      <c r="CY20" s="1">
        <v>4.6511627906976711</v>
      </c>
      <c r="CZ20" s="1">
        <v>0</v>
      </c>
      <c r="DA20" s="1">
        <v>0</v>
      </c>
      <c r="DB20" s="1">
        <v>0</v>
      </c>
      <c r="DC20" s="1">
        <v>43</v>
      </c>
      <c r="DD20" s="1">
        <v>97.727272727272648</v>
      </c>
      <c r="DE20" s="1">
        <v>2.272727272727276</v>
      </c>
      <c r="DF20" s="1">
        <v>0</v>
      </c>
      <c r="DG20" s="1">
        <v>0</v>
      </c>
      <c r="DH20" s="1">
        <v>0</v>
      </c>
      <c r="DI20" s="1">
        <v>44</v>
      </c>
      <c r="DJ20" s="1">
        <v>95.121951219512127</v>
      </c>
      <c r="DK20" s="1">
        <v>4.8780487804878039</v>
      </c>
      <c r="DL20" s="1">
        <v>0</v>
      </c>
      <c r="DM20" s="1">
        <v>0</v>
      </c>
      <c r="DN20" s="1">
        <v>0</v>
      </c>
      <c r="DO20" s="1">
        <v>41</v>
      </c>
      <c r="DP20" s="1">
        <v>88.636363636363612</v>
      </c>
      <c r="DQ20" s="1">
        <v>11.363636363636372</v>
      </c>
      <c r="DR20" s="1">
        <v>0</v>
      </c>
      <c r="DS20" s="1">
        <v>0</v>
      </c>
      <c r="DT20" s="1">
        <v>0</v>
      </c>
      <c r="DU20" s="1">
        <v>44</v>
      </c>
      <c r="DV20" s="1">
        <v>88.235294117646959</v>
      </c>
      <c r="DW20" s="1">
        <v>8.8235294117647012</v>
      </c>
      <c r="DX20" s="1">
        <v>2.9411764705882346</v>
      </c>
      <c r="DY20" s="1">
        <v>0</v>
      </c>
      <c r="DZ20" s="1">
        <v>0</v>
      </c>
      <c r="EA20" s="1">
        <v>34</v>
      </c>
      <c r="EB20" s="1">
        <v>100</v>
      </c>
      <c r="EC20" s="1">
        <v>0</v>
      </c>
      <c r="ED20" s="1">
        <v>0</v>
      </c>
      <c r="EE20" s="1">
        <v>0</v>
      </c>
      <c r="EF20" s="1">
        <v>0</v>
      </c>
      <c r="EG20" s="1">
        <v>23</v>
      </c>
      <c r="EH20" s="1">
        <v>75</v>
      </c>
      <c r="EI20" s="1">
        <v>25.000000000000004</v>
      </c>
      <c r="EJ20" s="1">
        <v>0</v>
      </c>
      <c r="EK20" s="1">
        <v>0</v>
      </c>
      <c r="EL20" s="1">
        <v>0</v>
      </c>
      <c r="EM20" s="1">
        <v>16</v>
      </c>
      <c r="EN20" s="1">
        <v>71.428571428571445</v>
      </c>
      <c r="EO20" s="1">
        <v>23.809523809523828</v>
      </c>
      <c r="EP20" s="1">
        <v>4.7619047619047601</v>
      </c>
      <c r="EQ20" s="1">
        <v>0</v>
      </c>
      <c r="ER20" s="1">
        <v>0</v>
      </c>
      <c r="ES20" s="1">
        <v>21</v>
      </c>
      <c r="ET20" s="1">
        <v>65.000000000000014</v>
      </c>
      <c r="EU20" s="1">
        <v>35.000000000000007</v>
      </c>
      <c r="EV20" s="1">
        <v>0</v>
      </c>
      <c r="EW20" s="1">
        <v>0</v>
      </c>
      <c r="EX20" s="1">
        <v>0</v>
      </c>
      <c r="EY20" s="1">
        <v>20</v>
      </c>
      <c r="EZ20" s="1">
        <v>76.47058823529413</v>
      </c>
      <c r="FA20" s="1">
        <v>23.529411764705866</v>
      </c>
      <c r="FB20" s="1">
        <v>0</v>
      </c>
      <c r="FC20" s="1">
        <v>0</v>
      </c>
      <c r="FD20" s="1">
        <v>0</v>
      </c>
      <c r="FE20" s="1">
        <v>17</v>
      </c>
      <c r="FF20" s="1">
        <v>68.75</v>
      </c>
      <c r="FG20" s="1">
        <v>31.250000000000004</v>
      </c>
      <c r="FH20" s="1">
        <v>0</v>
      </c>
      <c r="FI20" s="1">
        <v>0</v>
      </c>
      <c r="FJ20" s="1">
        <v>0</v>
      </c>
      <c r="FK20" s="1">
        <v>16</v>
      </c>
      <c r="FL20" s="1">
        <v>81.25</v>
      </c>
      <c r="FM20" s="1">
        <v>18.750000000000004</v>
      </c>
      <c r="FN20" s="1">
        <v>0</v>
      </c>
      <c r="FO20" s="1">
        <v>0</v>
      </c>
      <c r="FP20" s="1">
        <v>0</v>
      </c>
      <c r="FQ20" s="1">
        <v>16</v>
      </c>
      <c r="FR20" s="1">
        <v>91.666666666666615</v>
      </c>
      <c r="FS20" s="1">
        <v>8.3333333333333304</v>
      </c>
      <c r="FT20" s="1">
        <v>0</v>
      </c>
      <c r="FU20" s="1">
        <v>0</v>
      </c>
      <c r="FV20" s="1">
        <v>0</v>
      </c>
      <c r="FW20" s="1">
        <v>12</v>
      </c>
      <c r="FX20" s="1">
        <v>95.121951219512127</v>
      </c>
      <c r="FY20" s="1">
        <v>4.8780487804878039</v>
      </c>
      <c r="FZ20" s="1">
        <v>0</v>
      </c>
      <c r="GA20" s="1">
        <v>0</v>
      </c>
      <c r="GB20" s="1">
        <v>0</v>
      </c>
      <c r="GC20" s="1">
        <v>41</v>
      </c>
      <c r="GD20" s="1">
        <v>79.166666666666615</v>
      </c>
      <c r="GE20" s="1">
        <v>20.833333333333346</v>
      </c>
      <c r="GF20" s="1">
        <v>0</v>
      </c>
      <c r="GG20" s="1">
        <v>0</v>
      </c>
      <c r="GH20" s="1">
        <v>0</v>
      </c>
      <c r="GI20" s="1">
        <v>24</v>
      </c>
      <c r="GJ20" s="1">
        <v>77.272727272727352</v>
      </c>
      <c r="GK20" s="1">
        <v>18.181818181818166</v>
      </c>
      <c r="GL20" s="1">
        <v>4.5454545454545414</v>
      </c>
      <c r="GM20" s="1">
        <v>0</v>
      </c>
      <c r="GN20" s="1">
        <v>0</v>
      </c>
      <c r="GO20" s="1">
        <v>22</v>
      </c>
      <c r="GP20" s="1">
        <v>87.096774193548328</v>
      </c>
      <c r="GQ20" s="1">
        <v>6.4516129032257998</v>
      </c>
      <c r="GR20" s="1">
        <v>3.2258064516128999</v>
      </c>
      <c r="GS20" s="1">
        <v>3.2258064516128999</v>
      </c>
      <c r="GT20" s="1">
        <v>0</v>
      </c>
      <c r="GU20" s="1">
        <v>31</v>
      </c>
      <c r="GV20" s="1">
        <v>87.5</v>
      </c>
      <c r="GW20" s="1">
        <v>9.3750000000000018</v>
      </c>
      <c r="GX20" s="1">
        <v>3.1250000000000004</v>
      </c>
      <c r="GY20" s="1">
        <v>0</v>
      </c>
      <c r="GZ20" s="1">
        <v>0</v>
      </c>
      <c r="HA20" s="1">
        <v>32</v>
      </c>
      <c r="HB20" s="1">
        <v>84</v>
      </c>
      <c r="HC20" s="1">
        <v>16.000000000000004</v>
      </c>
      <c r="HD20" s="1">
        <v>0</v>
      </c>
      <c r="HE20" s="1">
        <v>0</v>
      </c>
      <c r="HF20" s="1">
        <v>0</v>
      </c>
      <c r="HG20" s="1">
        <v>25</v>
      </c>
      <c r="HH20" s="1">
        <v>90</v>
      </c>
      <c r="HI20" s="1">
        <v>10.000000000000002</v>
      </c>
      <c r="HJ20" s="1">
        <v>0</v>
      </c>
      <c r="HK20" s="1">
        <v>0</v>
      </c>
      <c r="HL20" s="1">
        <v>0</v>
      </c>
      <c r="HM20" s="1">
        <v>20</v>
      </c>
      <c r="HN20" s="1">
        <v>0</v>
      </c>
      <c r="HO20" s="1">
        <v>0</v>
      </c>
      <c r="HP20" s="1">
        <v>0</v>
      </c>
      <c r="HQ20" s="1">
        <v>0</v>
      </c>
      <c r="HR20" s="1">
        <v>0</v>
      </c>
      <c r="HS20" s="1">
        <v>0</v>
      </c>
      <c r="HT20" s="1">
        <v>0</v>
      </c>
      <c r="HU20" s="1">
        <v>0</v>
      </c>
      <c r="HV20" s="1">
        <v>0</v>
      </c>
      <c r="HW20" s="1">
        <v>0</v>
      </c>
      <c r="HX20" s="1">
        <v>0</v>
      </c>
      <c r="HY20" s="1">
        <v>0</v>
      </c>
      <c r="HZ20" s="1">
        <v>0</v>
      </c>
      <c r="IA20" s="1">
        <v>0</v>
      </c>
      <c r="IB20" s="1">
        <v>0</v>
      </c>
      <c r="IC20" s="1">
        <v>0</v>
      </c>
      <c r="ID20" s="1">
        <v>0</v>
      </c>
      <c r="IE20" s="1">
        <v>0</v>
      </c>
      <c r="IF20" s="1">
        <v>9.7857142857142865</v>
      </c>
      <c r="IG20" s="1">
        <v>0</v>
      </c>
      <c r="IH20" s="1">
        <v>0</v>
      </c>
      <c r="II20" s="1">
        <v>0</v>
      </c>
      <c r="IJ20" s="1">
        <v>0</v>
      </c>
      <c r="IK20" s="1">
        <v>0</v>
      </c>
      <c r="IL20" s="1">
        <v>0</v>
      </c>
      <c r="IM20" s="1">
        <v>0</v>
      </c>
      <c r="IN20" s="1">
        <v>4.761904761904761</v>
      </c>
      <c r="IO20" s="1">
        <v>11.904761904761916</v>
      </c>
      <c r="IP20" s="1">
        <v>83.333333333333385</v>
      </c>
      <c r="IQ20" s="1">
        <v>9.7857142857142794</v>
      </c>
      <c r="IR20" s="1">
        <v>42</v>
      </c>
      <c r="IS20" s="1">
        <v>90.697674418604592</v>
      </c>
      <c r="IT20" s="1">
        <v>6.976744186046516</v>
      </c>
      <c r="IU20" s="1">
        <v>2.3255813953488356</v>
      </c>
      <c r="IV20" s="1">
        <v>0</v>
      </c>
      <c r="IW20" s="1">
        <v>0</v>
      </c>
      <c r="IX20" s="1">
        <v>43</v>
      </c>
      <c r="IY20" s="1">
        <v>1</v>
      </c>
      <c r="IZ20" s="1">
        <v>55.988939999999999</v>
      </c>
      <c r="JA20" s="1">
        <v>34.659820000000011</v>
      </c>
      <c r="JB20" s="1">
        <v>10.664559999999996</v>
      </c>
      <c r="JC20" s="1">
        <v>2.6661399999999991</v>
      </c>
      <c r="JD20" s="1">
        <v>11.997630000000003</v>
      </c>
      <c r="JE20" s="1">
        <v>0.6190476190476194</v>
      </c>
      <c r="JF20" s="1">
        <v>0.1904761904761906</v>
      </c>
      <c r="JG20" s="1">
        <v>4.7619047619047651E-2</v>
      </c>
      <c r="JH20" s="1">
        <v>0.21428571428571425</v>
      </c>
      <c r="JI20" s="1">
        <v>1</v>
      </c>
      <c r="JJ20" s="1">
        <v>42</v>
      </c>
      <c r="JK20" s="1">
        <v>3.7906976744186047</v>
      </c>
      <c r="JL20" s="1">
        <v>3.7906976744186056</v>
      </c>
      <c r="JM20" s="1">
        <v>43</v>
      </c>
      <c r="JN20" s="1">
        <v>83.333333333333385</v>
      </c>
      <c r="JO20" s="1">
        <v>16.666666666666664</v>
      </c>
      <c r="JP20" s="1">
        <v>18</v>
      </c>
      <c r="JQ20" s="1">
        <v>96.296296296296404</v>
      </c>
      <c r="JR20" s="1">
        <v>3.7037037037037042</v>
      </c>
      <c r="JS20" s="1">
        <v>27</v>
      </c>
      <c r="JT20" s="1">
        <v>88.235294117646959</v>
      </c>
      <c r="JU20" s="1">
        <v>11.764705882352938</v>
      </c>
      <c r="JV20" s="1">
        <v>34</v>
      </c>
      <c r="JW20" s="1">
        <v>89.285714285714235</v>
      </c>
      <c r="JX20" s="1">
        <v>10.714285714285721</v>
      </c>
      <c r="JY20" s="1">
        <v>28</v>
      </c>
      <c r="JZ20" s="1">
        <v>73.170731707317032</v>
      </c>
      <c r="KA20" s="1">
        <v>26.829268292682933</v>
      </c>
      <c r="KB20" s="1">
        <v>41</v>
      </c>
      <c r="KC20" s="1">
        <v>100</v>
      </c>
      <c r="KD20" s="1">
        <v>0</v>
      </c>
      <c r="KE20" s="1">
        <v>38</v>
      </c>
      <c r="KF20" s="1">
        <v>3.1764705882352939</v>
      </c>
      <c r="KG20" s="1">
        <v>5.8823529411764692</v>
      </c>
      <c r="KH20" s="1">
        <v>14.705882352941183</v>
      </c>
      <c r="KI20" s="1">
        <v>47.058823529411754</v>
      </c>
      <c r="KJ20" s="1">
        <v>20.588235294117673</v>
      </c>
      <c r="KK20" s="1">
        <v>11.764705882352938</v>
      </c>
      <c r="KL20" s="1">
        <v>34</v>
      </c>
      <c r="KM20" s="1">
        <v>56.76470588235297</v>
      </c>
      <c r="KN20" s="1">
        <v>0</v>
      </c>
      <c r="KO20" s="1">
        <v>0</v>
      </c>
      <c r="KP20" s="1">
        <v>0</v>
      </c>
      <c r="KQ20" s="1">
        <v>0</v>
      </c>
      <c r="KR20" s="1">
        <v>0</v>
      </c>
      <c r="KS20" s="1">
        <v>0</v>
      </c>
      <c r="KT20" s="1">
        <v>0</v>
      </c>
      <c r="KU20" s="1">
        <v>0</v>
      </c>
      <c r="KV20" s="1">
        <v>0</v>
      </c>
      <c r="KW20" s="1">
        <v>0</v>
      </c>
      <c r="KX20" s="1">
        <v>100</v>
      </c>
      <c r="KY20" s="1">
        <v>0</v>
      </c>
      <c r="KZ20" s="1">
        <v>40</v>
      </c>
      <c r="LA20" s="1">
        <v>10.256410256410264</v>
      </c>
      <c r="LB20" s="1">
        <v>89.743589743589808</v>
      </c>
      <c r="LC20" s="1">
        <v>39</v>
      </c>
      <c r="LD20" s="1">
        <v>0</v>
      </c>
      <c r="LE20" s="1">
        <v>0</v>
      </c>
      <c r="LF20" s="1">
        <v>99.999999999999986</v>
      </c>
      <c r="LG20" s="1">
        <v>4</v>
      </c>
    </row>
    <row r="21" spans="1:319" x14ac:dyDescent="0.25">
      <c r="A21" s="1">
        <v>45</v>
      </c>
      <c r="B21" s="1">
        <v>14.864864864864881</v>
      </c>
      <c r="C21" s="1">
        <v>85.135135135135059</v>
      </c>
      <c r="D21" s="1">
        <v>74</v>
      </c>
      <c r="E21" s="1">
        <v>85.245901639344169</v>
      </c>
      <c r="F21" s="1">
        <v>14.754098360655718</v>
      </c>
      <c r="G21" s="1">
        <v>61</v>
      </c>
      <c r="H21" s="1">
        <v>56.249999999999964</v>
      </c>
      <c r="I21" s="1">
        <v>43.749999999999986</v>
      </c>
      <c r="J21" s="1">
        <v>48</v>
      </c>
      <c r="K21" s="1">
        <v>1</v>
      </c>
      <c r="L21" s="1">
        <v>43.360499999999909</v>
      </c>
      <c r="M21" s="1">
        <v>5.7814000000000059</v>
      </c>
      <c r="N21" s="1">
        <v>8.6721000000000004</v>
      </c>
      <c r="O21" s="1">
        <v>8.0939600000000009</v>
      </c>
      <c r="P21" s="1">
        <v>0</v>
      </c>
      <c r="Q21" s="1">
        <v>20.813040000000004</v>
      </c>
      <c r="R21" s="1">
        <v>1.1562799999999995</v>
      </c>
      <c r="S21" s="1">
        <v>2.3125599999999991</v>
      </c>
      <c r="T21" s="1">
        <v>10.984659999999989</v>
      </c>
      <c r="U21" s="1">
        <v>6.3595399999999929</v>
      </c>
      <c r="V21" s="1">
        <v>2.3125599999999991</v>
      </c>
      <c r="W21" s="1">
        <v>0.13333333333333339</v>
      </c>
      <c r="X21" s="1">
        <v>0.19999999999999973</v>
      </c>
      <c r="Y21" s="1">
        <v>0.18666666666666695</v>
      </c>
      <c r="Z21" s="1">
        <v>0</v>
      </c>
      <c r="AA21" s="1">
        <v>0.48</v>
      </c>
      <c r="AB21" s="1">
        <v>2.6666666666666658E-2</v>
      </c>
      <c r="AC21" s="1">
        <v>5.3333333333333316E-2</v>
      </c>
      <c r="AD21" s="1">
        <v>0.25333333333333374</v>
      </c>
      <c r="AE21" s="1">
        <v>0.14666666666666664</v>
      </c>
      <c r="AF21" s="1">
        <v>5.3333333333333316E-2</v>
      </c>
      <c r="AG21" s="1">
        <v>1</v>
      </c>
      <c r="AH21" s="1">
        <v>75</v>
      </c>
      <c r="AI21" s="1">
        <v>1</v>
      </c>
      <c r="AJ21" s="1">
        <v>39.891659999999924</v>
      </c>
      <c r="AK21" s="1">
        <v>29.485140000000026</v>
      </c>
      <c r="AL21" s="1">
        <v>10.406519999999999</v>
      </c>
      <c r="AM21" s="1">
        <v>19.656760000000013</v>
      </c>
      <c r="AN21" s="1">
        <v>19.078620000000001</v>
      </c>
      <c r="AO21" s="1">
        <v>2.8907000000000029</v>
      </c>
      <c r="AP21" s="1">
        <v>8.6721000000000004</v>
      </c>
      <c r="AQ21" s="1">
        <v>0.73913043478260931</v>
      </c>
      <c r="AR21" s="1">
        <v>0.26086956521739096</v>
      </c>
      <c r="AS21" s="1">
        <v>0.4927536231884061</v>
      </c>
      <c r="AT21" s="1">
        <v>0.47826086956521796</v>
      </c>
      <c r="AU21" s="1">
        <v>7.2463768115942087E-2</v>
      </c>
      <c r="AV21" s="1">
        <v>0.21739130434782608</v>
      </c>
      <c r="AW21" s="1">
        <v>1</v>
      </c>
      <c r="AX21" s="1">
        <v>69</v>
      </c>
      <c r="AY21" s="1">
        <v>9.8194444444444446</v>
      </c>
      <c r="AZ21" s="1">
        <v>9.9027777777777786</v>
      </c>
      <c r="BA21" s="1">
        <v>9.7681159420289863</v>
      </c>
      <c r="BB21" s="1">
        <v>0</v>
      </c>
      <c r="BC21" s="1">
        <v>0</v>
      </c>
      <c r="BD21" s="1">
        <v>0</v>
      </c>
      <c r="BE21" s="1">
        <v>0</v>
      </c>
      <c r="BF21" s="1">
        <v>0</v>
      </c>
      <c r="BG21" s="1">
        <v>0</v>
      </c>
      <c r="BH21" s="1">
        <v>0</v>
      </c>
      <c r="BI21" s="1">
        <v>4.1666666666666679</v>
      </c>
      <c r="BJ21" s="1">
        <v>9.7222222222222108</v>
      </c>
      <c r="BK21" s="1">
        <v>86.111111111111256</v>
      </c>
      <c r="BL21" s="1">
        <v>9.8194444444444553</v>
      </c>
      <c r="BM21" s="1">
        <v>72</v>
      </c>
      <c r="BN21" s="1">
        <v>0</v>
      </c>
      <c r="BO21" s="1">
        <v>0</v>
      </c>
      <c r="BP21" s="1">
        <v>0</v>
      </c>
      <c r="BQ21" s="1">
        <v>0</v>
      </c>
      <c r="BR21" s="1">
        <v>0</v>
      </c>
      <c r="BS21" s="1">
        <v>0</v>
      </c>
      <c r="BT21" s="1">
        <v>0</v>
      </c>
      <c r="BU21" s="1">
        <v>1.3888888888888868</v>
      </c>
      <c r="BV21" s="1">
        <v>6.9444444444444526</v>
      </c>
      <c r="BW21" s="1">
        <v>91.666666666666771</v>
      </c>
      <c r="BX21" s="1">
        <v>9.9027777777777963</v>
      </c>
      <c r="BY21" s="1">
        <v>72</v>
      </c>
      <c r="BZ21" s="1">
        <v>0</v>
      </c>
      <c r="CA21" s="1">
        <v>0</v>
      </c>
      <c r="CB21" s="1">
        <v>0</v>
      </c>
      <c r="CC21" s="1">
        <v>1.4492753623188426</v>
      </c>
      <c r="CD21" s="1">
        <v>0</v>
      </c>
      <c r="CE21" s="1">
        <v>0</v>
      </c>
      <c r="CF21" s="1">
        <v>0</v>
      </c>
      <c r="CG21" s="1">
        <v>4.3478260869565197</v>
      </c>
      <c r="CH21" s="1">
        <v>5.7971014492753703</v>
      </c>
      <c r="CI21" s="1">
        <v>88.405797101449252</v>
      </c>
      <c r="CJ21" s="1">
        <v>9.7681159420289969</v>
      </c>
      <c r="CK21" s="1">
        <v>69</v>
      </c>
      <c r="CL21" s="1">
        <v>45.588235294117595</v>
      </c>
      <c r="CM21" s="1">
        <v>42.647058823529385</v>
      </c>
      <c r="CN21" s="1">
        <v>0</v>
      </c>
      <c r="CO21" s="1">
        <v>11.764705882352931</v>
      </c>
      <c r="CP21" s="1">
        <v>0</v>
      </c>
      <c r="CQ21" s="1">
        <v>68</v>
      </c>
      <c r="CR21" s="1">
        <v>87.671232876712494</v>
      </c>
      <c r="CS21" s="1">
        <v>12.328767123287665</v>
      </c>
      <c r="CT21" s="1">
        <v>0</v>
      </c>
      <c r="CU21" s="1">
        <v>0</v>
      </c>
      <c r="CV21" s="1">
        <v>0</v>
      </c>
      <c r="CW21" s="1">
        <v>73</v>
      </c>
      <c r="CX21" s="1">
        <v>95.833333333333229</v>
      </c>
      <c r="CY21" s="1">
        <v>2.7777777777777737</v>
      </c>
      <c r="CZ21" s="1">
        <v>1.3888888888888868</v>
      </c>
      <c r="DA21" s="1">
        <v>0</v>
      </c>
      <c r="DB21" s="1">
        <v>0</v>
      </c>
      <c r="DC21" s="1">
        <v>72</v>
      </c>
      <c r="DD21" s="1">
        <v>93.150684931506731</v>
      </c>
      <c r="DE21" s="1">
        <v>6.8493150684931416</v>
      </c>
      <c r="DF21" s="1">
        <v>0</v>
      </c>
      <c r="DG21" s="1">
        <v>0</v>
      </c>
      <c r="DH21" s="1">
        <v>0</v>
      </c>
      <c r="DI21" s="1">
        <v>73</v>
      </c>
      <c r="DJ21" s="1">
        <v>82.608695652173978</v>
      </c>
      <c r="DK21" s="1">
        <v>15.94202898550725</v>
      </c>
      <c r="DL21" s="1">
        <v>0</v>
      </c>
      <c r="DM21" s="1">
        <v>1.4492753623188426</v>
      </c>
      <c r="DN21" s="1">
        <v>0</v>
      </c>
      <c r="DO21" s="1">
        <v>69</v>
      </c>
      <c r="DP21" s="1">
        <v>89.393939393939306</v>
      </c>
      <c r="DQ21" s="1">
        <v>9.0909090909090899</v>
      </c>
      <c r="DR21" s="1">
        <v>1.5151515151515154</v>
      </c>
      <c r="DS21" s="1">
        <v>0</v>
      </c>
      <c r="DT21" s="1">
        <v>0</v>
      </c>
      <c r="DU21" s="1">
        <v>66</v>
      </c>
      <c r="DV21" s="1">
        <v>66.666666666666671</v>
      </c>
      <c r="DW21" s="1">
        <v>24.999999999999996</v>
      </c>
      <c r="DX21" s="1">
        <v>8.3333333333333339</v>
      </c>
      <c r="DY21" s="1">
        <v>0</v>
      </c>
      <c r="DZ21" s="1">
        <v>0</v>
      </c>
      <c r="EA21" s="1">
        <v>12</v>
      </c>
      <c r="EB21" s="1">
        <v>86.363636363636303</v>
      </c>
      <c r="EC21" s="1">
        <v>9.0909090909091113</v>
      </c>
      <c r="ED21" s="1">
        <v>0</v>
      </c>
      <c r="EE21" s="1">
        <v>4.5454545454545556</v>
      </c>
      <c r="EF21" s="1">
        <v>0</v>
      </c>
      <c r="EG21" s="1">
        <v>22</v>
      </c>
      <c r="EH21" s="1">
        <v>50.000000000000007</v>
      </c>
      <c r="EI21" s="1">
        <v>38.888888888888843</v>
      </c>
      <c r="EJ21" s="1">
        <v>5.5555555555555474</v>
      </c>
      <c r="EK21" s="1">
        <v>5.5555555555555474</v>
      </c>
      <c r="EL21" s="1">
        <v>0</v>
      </c>
      <c r="EM21" s="1">
        <v>18</v>
      </c>
      <c r="EN21" s="1">
        <v>35.483870967741943</v>
      </c>
      <c r="EO21" s="1">
        <v>41.935483870967786</v>
      </c>
      <c r="EP21" s="1">
        <v>12.903225806451594</v>
      </c>
      <c r="EQ21" s="1">
        <v>6.4516129032257972</v>
      </c>
      <c r="ER21" s="1">
        <v>3.2258064516128986</v>
      </c>
      <c r="ES21" s="1">
        <v>31</v>
      </c>
      <c r="ET21" s="1">
        <v>38.709677419354804</v>
      </c>
      <c r="EU21" s="1">
        <v>35.483870967741943</v>
      </c>
      <c r="EV21" s="1">
        <v>19.354838709677399</v>
      </c>
      <c r="EW21" s="1">
        <v>3.2258064516128986</v>
      </c>
      <c r="EX21" s="1">
        <v>3.2258064516128986</v>
      </c>
      <c r="EY21" s="1">
        <v>31</v>
      </c>
      <c r="EZ21" s="1">
        <v>45.454545454545489</v>
      </c>
      <c r="FA21" s="1">
        <v>36.363636363636445</v>
      </c>
      <c r="FB21" s="1">
        <v>18.181818181818223</v>
      </c>
      <c r="FC21" s="1">
        <v>0</v>
      </c>
      <c r="FD21" s="1">
        <v>0</v>
      </c>
      <c r="FE21" s="1">
        <v>22</v>
      </c>
      <c r="FF21" s="1">
        <v>63.157894736842152</v>
      </c>
      <c r="FG21" s="1">
        <v>36.842105263157912</v>
      </c>
      <c r="FH21" s="1">
        <v>0</v>
      </c>
      <c r="FI21" s="1">
        <v>0</v>
      </c>
      <c r="FJ21" s="1">
        <v>0</v>
      </c>
      <c r="FK21" s="1">
        <v>19</v>
      </c>
      <c r="FL21" s="1">
        <v>57.142857142857203</v>
      </c>
      <c r="FM21" s="1">
        <v>14.285714285714301</v>
      </c>
      <c r="FN21" s="1">
        <v>0</v>
      </c>
      <c r="FO21" s="1">
        <v>19.04761904761904</v>
      </c>
      <c r="FP21" s="1">
        <v>9.5238095238095202</v>
      </c>
      <c r="FQ21" s="1">
        <v>21</v>
      </c>
      <c r="FR21" s="1">
        <v>88.235294117646916</v>
      </c>
      <c r="FS21" s="1">
        <v>5.8823529411764657</v>
      </c>
      <c r="FT21" s="1">
        <v>0</v>
      </c>
      <c r="FU21" s="1">
        <v>5.8823529411764657</v>
      </c>
      <c r="FV21" s="1">
        <v>0</v>
      </c>
      <c r="FW21" s="1">
        <v>17</v>
      </c>
      <c r="FX21" s="1">
        <v>88.235294117647058</v>
      </c>
      <c r="FY21" s="1">
        <v>11.764705882352931</v>
      </c>
      <c r="FZ21" s="1">
        <v>0</v>
      </c>
      <c r="GA21" s="1">
        <v>0</v>
      </c>
      <c r="GB21" s="1">
        <v>0</v>
      </c>
      <c r="GC21" s="1">
        <v>68</v>
      </c>
      <c r="GD21" s="1">
        <v>64.814814814814767</v>
      </c>
      <c r="GE21" s="1">
        <v>31.481481481481456</v>
      </c>
      <c r="GF21" s="1">
        <v>1.8518518518518483</v>
      </c>
      <c r="GG21" s="1">
        <v>1.8518518518518483</v>
      </c>
      <c r="GH21" s="1">
        <v>0</v>
      </c>
      <c r="GI21" s="1">
        <v>54</v>
      </c>
      <c r="GJ21" s="1">
        <v>75.555555555555586</v>
      </c>
      <c r="GK21" s="1">
        <v>22.222222222222189</v>
      </c>
      <c r="GL21" s="1">
        <v>0</v>
      </c>
      <c r="GM21" s="1">
        <v>2.2222222222222201</v>
      </c>
      <c r="GN21" s="1">
        <v>0</v>
      </c>
      <c r="GO21" s="1">
        <v>45</v>
      </c>
      <c r="GP21" s="1">
        <v>80.701754385964776</v>
      </c>
      <c r="GQ21" s="1">
        <v>19.298245614035071</v>
      </c>
      <c r="GR21" s="1">
        <v>0</v>
      </c>
      <c r="GS21" s="1">
        <v>0</v>
      </c>
      <c r="GT21" s="1">
        <v>0</v>
      </c>
      <c r="GU21" s="1">
        <v>57</v>
      </c>
      <c r="GV21" s="1">
        <v>85.185185185185205</v>
      </c>
      <c r="GW21" s="1">
        <v>14.814814814814786</v>
      </c>
      <c r="GX21" s="1">
        <v>0</v>
      </c>
      <c r="GY21" s="1">
        <v>0</v>
      </c>
      <c r="GZ21" s="1">
        <v>0</v>
      </c>
      <c r="HA21" s="1">
        <v>54</v>
      </c>
      <c r="HB21" s="1">
        <v>65.38461538461533</v>
      </c>
      <c r="HC21" s="1">
        <v>30.769230769230784</v>
      </c>
      <c r="HD21" s="1">
        <v>3.846153846153848</v>
      </c>
      <c r="HE21" s="1">
        <v>0</v>
      </c>
      <c r="HF21" s="1">
        <v>0</v>
      </c>
      <c r="HG21" s="1">
        <v>26</v>
      </c>
      <c r="HH21" s="1">
        <v>80</v>
      </c>
      <c r="HI21" s="1">
        <v>20</v>
      </c>
      <c r="HJ21" s="1">
        <v>0</v>
      </c>
      <c r="HK21" s="1">
        <v>0</v>
      </c>
      <c r="HL21" s="1">
        <v>0</v>
      </c>
      <c r="HM21" s="1">
        <v>5</v>
      </c>
      <c r="HN21" s="1">
        <v>0</v>
      </c>
      <c r="HO21" s="1">
        <v>0</v>
      </c>
      <c r="HP21" s="1">
        <v>0</v>
      </c>
      <c r="HQ21" s="1">
        <v>0</v>
      </c>
      <c r="HR21" s="1">
        <v>0</v>
      </c>
      <c r="HS21" s="1">
        <v>0</v>
      </c>
      <c r="HT21" s="1">
        <v>0</v>
      </c>
      <c r="HU21" s="1">
        <v>0</v>
      </c>
      <c r="HV21" s="1">
        <v>0</v>
      </c>
      <c r="HW21" s="1">
        <v>0</v>
      </c>
      <c r="HX21" s="1">
        <v>0</v>
      </c>
      <c r="HY21" s="1">
        <v>0</v>
      </c>
      <c r="HZ21" s="1">
        <v>0</v>
      </c>
      <c r="IA21" s="1">
        <v>0</v>
      </c>
      <c r="IB21" s="1">
        <v>0</v>
      </c>
      <c r="IC21" s="1">
        <v>0</v>
      </c>
      <c r="ID21" s="1">
        <v>0</v>
      </c>
      <c r="IE21" s="1">
        <v>0</v>
      </c>
      <c r="IF21" s="1">
        <v>9.4626865671641784</v>
      </c>
      <c r="IG21" s="1">
        <v>0</v>
      </c>
      <c r="IH21" s="1">
        <v>0</v>
      </c>
      <c r="II21" s="1">
        <v>0</v>
      </c>
      <c r="IJ21" s="1">
        <v>0</v>
      </c>
      <c r="IK21" s="1">
        <v>0</v>
      </c>
      <c r="IL21" s="1">
        <v>0</v>
      </c>
      <c r="IM21" s="1">
        <v>2.9850746268656692</v>
      </c>
      <c r="IN21" s="1">
        <v>7.4626865671641669</v>
      </c>
      <c r="IO21" s="1">
        <v>29.850746268656668</v>
      </c>
      <c r="IP21" s="1">
        <v>59.701492537313349</v>
      </c>
      <c r="IQ21" s="1">
        <v>9.462686567164166</v>
      </c>
      <c r="IR21" s="1">
        <v>67</v>
      </c>
      <c r="IS21" s="1">
        <v>65.753424657534225</v>
      </c>
      <c r="IT21" s="1">
        <v>23.287671232876683</v>
      </c>
      <c r="IU21" s="1">
        <v>10.958904109589062</v>
      </c>
      <c r="IV21" s="1">
        <v>0</v>
      </c>
      <c r="IW21" s="1">
        <v>0</v>
      </c>
      <c r="IX21" s="1">
        <v>73</v>
      </c>
      <c r="IY21" s="1">
        <v>1</v>
      </c>
      <c r="IZ21" s="1">
        <v>41.626079999999995</v>
      </c>
      <c r="JA21" s="1">
        <v>21.969319999999982</v>
      </c>
      <c r="JB21" s="1">
        <v>12.719079999999986</v>
      </c>
      <c r="JC21" s="1">
        <v>4.0469799999999996</v>
      </c>
      <c r="JD21" s="1">
        <v>8.6721000000000004</v>
      </c>
      <c r="JE21" s="1">
        <v>0.52777777777777846</v>
      </c>
      <c r="JF21" s="1">
        <v>0.30555555555555591</v>
      </c>
      <c r="JG21" s="1">
        <v>9.7222222222222293E-2</v>
      </c>
      <c r="JH21" s="1">
        <v>0.20833333333333356</v>
      </c>
      <c r="JI21" s="1">
        <v>1</v>
      </c>
      <c r="JJ21" s="1">
        <v>72</v>
      </c>
      <c r="JK21" s="1">
        <v>3.3913043478260869</v>
      </c>
      <c r="JL21" s="1">
        <v>3.3913043478260909</v>
      </c>
      <c r="JM21" s="1">
        <v>69</v>
      </c>
      <c r="JN21" s="1">
        <v>90.909090909090963</v>
      </c>
      <c r="JO21" s="1">
        <v>9.0909090909090899</v>
      </c>
      <c r="JP21" s="1">
        <v>33</v>
      </c>
      <c r="JQ21" s="1">
        <v>95.652173913043299</v>
      </c>
      <c r="JR21" s="1">
        <v>4.3478260869565188</v>
      </c>
      <c r="JS21" s="1">
        <v>46</v>
      </c>
      <c r="JT21" s="1">
        <v>87.692307692307679</v>
      </c>
      <c r="JU21" s="1">
        <v>12.307692307692292</v>
      </c>
      <c r="JV21" s="1">
        <v>65</v>
      </c>
      <c r="JW21" s="1">
        <v>92</v>
      </c>
      <c r="JX21" s="1">
        <v>7.9999999999999982</v>
      </c>
      <c r="JY21" s="1">
        <v>50</v>
      </c>
      <c r="JZ21" s="1">
        <v>54.411764705882412</v>
      </c>
      <c r="KA21" s="1">
        <v>45.588235294117595</v>
      </c>
      <c r="KB21" s="1">
        <v>68</v>
      </c>
      <c r="KC21" s="1">
        <v>100</v>
      </c>
      <c r="KD21" s="1">
        <v>0</v>
      </c>
      <c r="KE21" s="1">
        <v>67</v>
      </c>
      <c r="KF21" s="1">
        <v>3.442622950819672</v>
      </c>
      <c r="KG21" s="1">
        <v>1.6393442622950827</v>
      </c>
      <c r="KH21" s="1">
        <v>22.950819672131111</v>
      </c>
      <c r="KI21" s="1">
        <v>22.950819672131111</v>
      </c>
      <c r="KJ21" s="1">
        <v>34.426229508196691</v>
      </c>
      <c r="KK21" s="1">
        <v>18.032786885245901</v>
      </c>
      <c r="KL21" s="1">
        <v>61</v>
      </c>
      <c r="KM21" s="1">
        <v>59.475409836065495</v>
      </c>
      <c r="KN21" s="1">
        <v>0</v>
      </c>
      <c r="KO21" s="1">
        <v>0</v>
      </c>
      <c r="KP21" s="1">
        <v>0</v>
      </c>
      <c r="KQ21" s="1">
        <v>0</v>
      </c>
      <c r="KR21" s="1">
        <v>0</v>
      </c>
      <c r="KS21" s="1">
        <v>0</v>
      </c>
      <c r="KT21" s="1">
        <v>0</v>
      </c>
      <c r="KU21" s="1">
        <v>0</v>
      </c>
      <c r="KV21" s="1">
        <v>0</v>
      </c>
      <c r="KW21" s="1">
        <v>2.9850746268656692</v>
      </c>
      <c r="KX21" s="1">
        <v>97.014925373134275</v>
      </c>
      <c r="KY21" s="1">
        <v>0</v>
      </c>
      <c r="KZ21" s="1">
        <v>67</v>
      </c>
      <c r="LA21" s="1">
        <v>8.8235294117647101</v>
      </c>
      <c r="LB21" s="1">
        <v>91.176470588235205</v>
      </c>
      <c r="LC21" s="1">
        <v>68</v>
      </c>
      <c r="LD21" s="1">
        <v>0</v>
      </c>
      <c r="LE21" s="1">
        <v>0</v>
      </c>
      <c r="LF21" s="1">
        <v>100</v>
      </c>
      <c r="LG21" s="1">
        <v>5</v>
      </c>
    </row>
    <row r="22" spans="1:319" x14ac:dyDescent="0.25">
      <c r="A22" s="1">
        <v>46</v>
      </c>
      <c r="B22" s="1">
        <v>11.650485436893197</v>
      </c>
      <c r="C22" s="1">
        <v>88.349514563106723</v>
      </c>
      <c r="D22" s="1">
        <v>103</v>
      </c>
      <c r="E22" s="1">
        <v>92.045454545454703</v>
      </c>
      <c r="F22" s="1">
        <v>7.9545454545454648</v>
      </c>
      <c r="G22" s="1">
        <v>88</v>
      </c>
      <c r="H22" s="1">
        <v>66.666666666666885</v>
      </c>
      <c r="I22" s="1">
        <v>33.333333333333343</v>
      </c>
      <c r="J22" s="1">
        <v>75</v>
      </c>
      <c r="K22" s="1">
        <v>1</v>
      </c>
      <c r="L22" s="1">
        <v>59.364050000000056</v>
      </c>
      <c r="M22" s="1">
        <v>8.6452500000000079</v>
      </c>
      <c r="N22" s="1">
        <v>8.6452500000000079</v>
      </c>
      <c r="O22" s="1">
        <v>8.6452500000000079</v>
      </c>
      <c r="P22" s="1">
        <v>1.1526999999999987</v>
      </c>
      <c r="Q22" s="1">
        <v>23.630349999999957</v>
      </c>
      <c r="R22" s="1">
        <v>3.4581000000000013</v>
      </c>
      <c r="S22" s="1">
        <v>2.3053999999999975</v>
      </c>
      <c r="T22" s="1">
        <v>10.374299999999975</v>
      </c>
      <c r="U22" s="1">
        <v>6.3398499999999975</v>
      </c>
      <c r="V22" s="1">
        <v>13.832400000000005</v>
      </c>
      <c r="W22" s="1">
        <v>0.14563106796116532</v>
      </c>
      <c r="X22" s="1">
        <v>0.14563106796116532</v>
      </c>
      <c r="Y22" s="1">
        <v>0.14563106796116532</v>
      </c>
      <c r="Z22" s="1">
        <v>1.9417475728155335E-2</v>
      </c>
      <c r="AA22" s="1">
        <v>0.3980582524271844</v>
      </c>
      <c r="AB22" s="1">
        <v>5.8252427184466007E-2</v>
      </c>
      <c r="AC22" s="1">
        <v>3.8834951456310669E-2</v>
      </c>
      <c r="AD22" s="1">
        <v>0.17475728155339837</v>
      </c>
      <c r="AE22" s="1">
        <v>0.10679611650485463</v>
      </c>
      <c r="AF22" s="1">
        <v>0.23300970873786403</v>
      </c>
      <c r="AG22" s="1">
        <v>1</v>
      </c>
      <c r="AH22" s="1">
        <v>103</v>
      </c>
      <c r="AI22" s="1">
        <v>1</v>
      </c>
      <c r="AJ22" s="1">
        <v>49.566099999999999</v>
      </c>
      <c r="AK22" s="1">
        <v>32.851950000000087</v>
      </c>
      <c r="AL22" s="1">
        <v>21.901299999999996</v>
      </c>
      <c r="AM22" s="1">
        <v>20.172250000000034</v>
      </c>
      <c r="AN22" s="1">
        <v>23.054000000000048</v>
      </c>
      <c r="AO22" s="1">
        <v>3.4581000000000013</v>
      </c>
      <c r="AP22" s="1">
        <v>11.527000000000019</v>
      </c>
      <c r="AQ22" s="1">
        <v>0.662790697674419</v>
      </c>
      <c r="AR22" s="1">
        <v>0.44186046511627869</v>
      </c>
      <c r="AS22" s="1">
        <v>0.40697674418604646</v>
      </c>
      <c r="AT22" s="1">
        <v>0.46511627906976821</v>
      </c>
      <c r="AU22" s="1">
        <v>6.9767441860465226E-2</v>
      </c>
      <c r="AV22" s="1">
        <v>0.23255813953488408</v>
      </c>
      <c r="AW22" s="1">
        <v>1</v>
      </c>
      <c r="AX22" s="1">
        <v>86</v>
      </c>
      <c r="AY22" s="1">
        <v>9.8947368421052637</v>
      </c>
      <c r="AZ22" s="1">
        <v>9.8947368421052637</v>
      </c>
      <c r="BA22" s="1">
        <v>9.8902439024390247</v>
      </c>
      <c r="BB22" s="1">
        <v>0</v>
      </c>
      <c r="BC22" s="1">
        <v>0</v>
      </c>
      <c r="BD22" s="1">
        <v>0</v>
      </c>
      <c r="BE22" s="1">
        <v>0</v>
      </c>
      <c r="BF22" s="1">
        <v>0</v>
      </c>
      <c r="BG22" s="1">
        <v>0</v>
      </c>
      <c r="BH22" s="1">
        <v>0</v>
      </c>
      <c r="BI22" s="1">
        <v>2.1052631578947394</v>
      </c>
      <c r="BJ22" s="1">
        <v>6.3157894736842062</v>
      </c>
      <c r="BK22" s="1">
        <v>91.578947368421098</v>
      </c>
      <c r="BL22" s="1">
        <v>9.8947368421052957</v>
      </c>
      <c r="BM22" s="1">
        <v>95</v>
      </c>
      <c r="BN22" s="1">
        <v>0</v>
      </c>
      <c r="BO22" s="1">
        <v>0</v>
      </c>
      <c r="BP22" s="1">
        <v>0</v>
      </c>
      <c r="BQ22" s="1">
        <v>0</v>
      </c>
      <c r="BR22" s="1">
        <v>0</v>
      </c>
      <c r="BS22" s="1">
        <v>0</v>
      </c>
      <c r="BT22" s="1">
        <v>0</v>
      </c>
      <c r="BU22" s="1">
        <v>2.1052631578947394</v>
      </c>
      <c r="BV22" s="1">
        <v>6.3157894736842062</v>
      </c>
      <c r="BW22" s="1">
        <v>91.578947368421098</v>
      </c>
      <c r="BX22" s="1">
        <v>9.8947368421052957</v>
      </c>
      <c r="BY22" s="1">
        <v>95</v>
      </c>
      <c r="BZ22" s="1">
        <v>0</v>
      </c>
      <c r="CA22" s="1">
        <v>0</v>
      </c>
      <c r="CB22" s="1">
        <v>0</v>
      </c>
      <c r="CC22" s="1">
        <v>0</v>
      </c>
      <c r="CD22" s="1">
        <v>0</v>
      </c>
      <c r="CE22" s="1">
        <v>0</v>
      </c>
      <c r="CF22" s="1">
        <v>0</v>
      </c>
      <c r="CG22" s="1">
        <v>1.2195121951219507</v>
      </c>
      <c r="CH22" s="1">
        <v>8.5365853658536519</v>
      </c>
      <c r="CI22" s="1">
        <v>90.243902439024325</v>
      </c>
      <c r="CJ22" s="1">
        <v>9.8902439024390176</v>
      </c>
      <c r="CK22" s="1">
        <v>82</v>
      </c>
      <c r="CL22" s="1">
        <v>51.485148514851637</v>
      </c>
      <c r="CM22" s="1">
        <v>42.574257425742765</v>
      </c>
      <c r="CN22" s="1">
        <v>3.960396039603963</v>
      </c>
      <c r="CO22" s="1">
        <v>1.9801980198019815</v>
      </c>
      <c r="CP22" s="1">
        <v>0</v>
      </c>
      <c r="CQ22" s="1">
        <v>101</v>
      </c>
      <c r="CR22" s="1">
        <v>84.375000000000014</v>
      </c>
      <c r="CS22" s="1">
        <v>12.500000000000002</v>
      </c>
      <c r="CT22" s="1">
        <v>3.1250000000000004</v>
      </c>
      <c r="CU22" s="1">
        <v>0</v>
      </c>
      <c r="CV22" s="1">
        <v>0</v>
      </c>
      <c r="CW22" s="1">
        <v>96</v>
      </c>
      <c r="CX22" s="1">
        <v>61.616161616161669</v>
      </c>
      <c r="CY22" s="1">
        <v>34.343434343434311</v>
      </c>
      <c r="CZ22" s="1">
        <v>4.0404040404040424</v>
      </c>
      <c r="DA22" s="1">
        <v>0</v>
      </c>
      <c r="DB22" s="1">
        <v>0</v>
      </c>
      <c r="DC22" s="1">
        <v>99</v>
      </c>
      <c r="DD22" s="1">
        <v>77.450980392157135</v>
      </c>
      <c r="DE22" s="1">
        <v>20.58823529411762</v>
      </c>
      <c r="DF22" s="1">
        <v>0.98039215686274772</v>
      </c>
      <c r="DG22" s="1">
        <v>0</v>
      </c>
      <c r="DH22" s="1">
        <v>0.98039215686274772</v>
      </c>
      <c r="DI22" s="1">
        <v>102</v>
      </c>
      <c r="DJ22" s="1">
        <v>62.244897959183682</v>
      </c>
      <c r="DK22" s="1">
        <v>35.714285714285772</v>
      </c>
      <c r="DL22" s="1">
        <v>2.040816326530611</v>
      </c>
      <c r="DM22" s="1">
        <v>0</v>
      </c>
      <c r="DN22" s="1">
        <v>0</v>
      </c>
      <c r="DO22" s="1">
        <v>98</v>
      </c>
      <c r="DP22" s="1">
        <v>75.757575757575921</v>
      </c>
      <c r="DQ22" s="1">
        <v>20.202020202020265</v>
      </c>
      <c r="DR22" s="1">
        <v>3.0303030303030365</v>
      </c>
      <c r="DS22" s="1">
        <v>1.0101010101010106</v>
      </c>
      <c r="DT22" s="1">
        <v>0</v>
      </c>
      <c r="DU22" s="1">
        <v>99</v>
      </c>
      <c r="DV22" s="1">
        <v>70.833333333333229</v>
      </c>
      <c r="DW22" s="1">
        <v>16.666666666666689</v>
      </c>
      <c r="DX22" s="1">
        <v>12.500000000000002</v>
      </c>
      <c r="DY22" s="1">
        <v>0</v>
      </c>
      <c r="DZ22" s="1">
        <v>0</v>
      </c>
      <c r="EA22" s="1">
        <v>24</v>
      </c>
      <c r="EB22" s="1">
        <v>84.782608695652073</v>
      </c>
      <c r="EC22" s="1">
        <v>10.869565217391276</v>
      </c>
      <c r="ED22" s="1">
        <v>4.3478260869565144</v>
      </c>
      <c r="EE22" s="1">
        <v>0</v>
      </c>
      <c r="EF22" s="1">
        <v>0</v>
      </c>
      <c r="EG22" s="1">
        <v>46</v>
      </c>
      <c r="EH22" s="1">
        <v>51.162790697674346</v>
      </c>
      <c r="EI22" s="1">
        <v>41.860465116279052</v>
      </c>
      <c r="EJ22" s="1">
        <v>4.6511627906976818</v>
      </c>
      <c r="EK22" s="1">
        <v>2.3255813953488409</v>
      </c>
      <c r="EL22" s="1">
        <v>0</v>
      </c>
      <c r="EM22" s="1">
        <v>43</v>
      </c>
      <c r="EN22" s="1">
        <v>49.999999999999993</v>
      </c>
      <c r="EO22" s="1">
        <v>33.333333333333357</v>
      </c>
      <c r="EP22" s="1">
        <v>13.888888888888907</v>
      </c>
      <c r="EQ22" s="1">
        <v>2.7777777777777732</v>
      </c>
      <c r="ER22" s="1">
        <v>0</v>
      </c>
      <c r="ES22" s="1">
        <v>36</v>
      </c>
      <c r="ET22" s="1">
        <v>39.473684210526251</v>
      </c>
      <c r="EU22" s="1">
        <v>42.105263157894683</v>
      </c>
      <c r="EV22" s="1">
        <v>15.789473684210565</v>
      </c>
      <c r="EW22" s="1">
        <v>2.6315789473684177</v>
      </c>
      <c r="EX22" s="1">
        <v>0</v>
      </c>
      <c r="EY22" s="1">
        <v>38</v>
      </c>
      <c r="EZ22" s="1">
        <v>53.846153846153932</v>
      </c>
      <c r="FA22" s="1">
        <v>34.615384615384656</v>
      </c>
      <c r="FB22" s="1">
        <v>11.538461538461529</v>
      </c>
      <c r="FC22" s="1">
        <v>0</v>
      </c>
      <c r="FD22" s="1">
        <v>0</v>
      </c>
      <c r="FE22" s="1">
        <v>26</v>
      </c>
      <c r="FF22" s="1">
        <v>62.500000000000007</v>
      </c>
      <c r="FG22" s="1">
        <v>29.166666666666636</v>
      </c>
      <c r="FH22" s="1">
        <v>8.3333333333333446</v>
      </c>
      <c r="FI22" s="1">
        <v>0</v>
      </c>
      <c r="FJ22" s="1">
        <v>0</v>
      </c>
      <c r="FK22" s="1">
        <v>24</v>
      </c>
      <c r="FL22" s="1">
        <v>69.444444444444358</v>
      </c>
      <c r="FM22" s="1">
        <v>19.444444444444397</v>
      </c>
      <c r="FN22" s="1">
        <v>11.111111111111093</v>
      </c>
      <c r="FO22" s="1">
        <v>0</v>
      </c>
      <c r="FP22" s="1">
        <v>0</v>
      </c>
      <c r="FQ22" s="1">
        <v>36</v>
      </c>
      <c r="FR22" s="1">
        <v>57.142857142857117</v>
      </c>
      <c r="FS22" s="1">
        <v>28.571428571428559</v>
      </c>
      <c r="FT22" s="1">
        <v>7.1428571428571397</v>
      </c>
      <c r="FU22" s="1">
        <v>0</v>
      </c>
      <c r="FV22" s="1">
        <v>7.1428571428571397</v>
      </c>
      <c r="FW22" s="1">
        <v>14</v>
      </c>
      <c r="FX22" s="1">
        <v>85.148514851485089</v>
      </c>
      <c r="FY22" s="1">
        <v>13.861386138613859</v>
      </c>
      <c r="FZ22" s="1">
        <v>0.99009900990099076</v>
      </c>
      <c r="GA22" s="1">
        <v>0</v>
      </c>
      <c r="GB22" s="1">
        <v>0</v>
      </c>
      <c r="GC22" s="1">
        <v>101</v>
      </c>
      <c r="GD22" s="1">
        <v>75.862068965517224</v>
      </c>
      <c r="GE22" s="1">
        <v>24.137931034482786</v>
      </c>
      <c r="GF22" s="1">
        <v>0</v>
      </c>
      <c r="GG22" s="1">
        <v>0</v>
      </c>
      <c r="GH22" s="1">
        <v>0</v>
      </c>
      <c r="GI22" s="1">
        <v>29</v>
      </c>
      <c r="GJ22" s="1">
        <v>63.888888888888751</v>
      </c>
      <c r="GK22" s="1">
        <v>36.111111111111192</v>
      </c>
      <c r="GL22" s="1">
        <v>0</v>
      </c>
      <c r="GM22" s="1">
        <v>0</v>
      </c>
      <c r="GN22" s="1">
        <v>0</v>
      </c>
      <c r="GO22" s="1">
        <v>36</v>
      </c>
      <c r="GP22" s="1">
        <v>80.000000000000014</v>
      </c>
      <c r="GQ22" s="1">
        <v>13.846153846153827</v>
      </c>
      <c r="GR22" s="1">
        <v>4.6153846153846265</v>
      </c>
      <c r="GS22" s="1">
        <v>1.5384615384615381</v>
      </c>
      <c r="GT22" s="1">
        <v>0</v>
      </c>
      <c r="GU22" s="1">
        <v>65</v>
      </c>
      <c r="GV22" s="1">
        <v>82.812500000000014</v>
      </c>
      <c r="GW22" s="1">
        <v>15.624999999999998</v>
      </c>
      <c r="GX22" s="1">
        <v>1.5624999999999998</v>
      </c>
      <c r="GY22" s="1">
        <v>0</v>
      </c>
      <c r="GZ22" s="1">
        <v>0</v>
      </c>
      <c r="HA22" s="1">
        <v>64</v>
      </c>
      <c r="HB22" s="1">
        <v>66.666666666666757</v>
      </c>
      <c r="HC22" s="1">
        <v>29.629629629629594</v>
      </c>
      <c r="HD22" s="1">
        <v>0</v>
      </c>
      <c r="HE22" s="1">
        <v>3.7037037037036993</v>
      </c>
      <c r="HF22" s="1">
        <v>0</v>
      </c>
      <c r="HG22" s="1">
        <v>27</v>
      </c>
      <c r="HH22" s="1">
        <v>73.913043478260974</v>
      </c>
      <c r="HI22" s="1">
        <v>13.043478260869572</v>
      </c>
      <c r="HJ22" s="1">
        <v>8.6956521739130341</v>
      </c>
      <c r="HK22" s="1">
        <v>4.3478260869565171</v>
      </c>
      <c r="HL22" s="1">
        <v>0</v>
      </c>
      <c r="HM22" s="1">
        <v>23</v>
      </c>
      <c r="HN22" s="1">
        <v>0</v>
      </c>
      <c r="HO22" s="1">
        <v>0</v>
      </c>
      <c r="HP22" s="1">
        <v>0</v>
      </c>
      <c r="HQ22" s="1">
        <v>0</v>
      </c>
      <c r="HR22" s="1">
        <v>0</v>
      </c>
      <c r="HS22" s="1">
        <v>0</v>
      </c>
      <c r="HT22" s="1">
        <v>0</v>
      </c>
      <c r="HU22" s="1">
        <v>0</v>
      </c>
      <c r="HV22" s="1">
        <v>0</v>
      </c>
      <c r="HW22" s="1">
        <v>0</v>
      </c>
      <c r="HX22" s="1">
        <v>0</v>
      </c>
      <c r="HY22" s="1">
        <v>0</v>
      </c>
      <c r="HZ22" s="1">
        <v>0</v>
      </c>
      <c r="IA22" s="1">
        <v>0</v>
      </c>
      <c r="IB22" s="1">
        <v>0</v>
      </c>
      <c r="IC22" s="1">
        <v>0</v>
      </c>
      <c r="ID22" s="1">
        <v>0</v>
      </c>
      <c r="IE22" s="1">
        <v>0</v>
      </c>
      <c r="IF22" s="1">
        <v>9.31958762886598</v>
      </c>
      <c r="IG22" s="1">
        <v>0</v>
      </c>
      <c r="IH22" s="1">
        <v>0</v>
      </c>
      <c r="II22" s="1">
        <v>0</v>
      </c>
      <c r="IJ22" s="1">
        <v>0</v>
      </c>
      <c r="IK22" s="1">
        <v>0</v>
      </c>
      <c r="IL22" s="1">
        <v>0</v>
      </c>
      <c r="IM22" s="1">
        <v>1.0309278350515461</v>
      </c>
      <c r="IN22" s="1">
        <v>17.52577319587634</v>
      </c>
      <c r="IO22" s="1">
        <v>29.896907216494899</v>
      </c>
      <c r="IP22" s="1">
        <v>51.546391752577534</v>
      </c>
      <c r="IQ22" s="1">
        <v>9.3195876288659765</v>
      </c>
      <c r="IR22" s="1">
        <v>97</v>
      </c>
      <c r="IS22" s="1">
        <v>77.669902912621239</v>
      </c>
      <c r="IT22" s="1">
        <v>7.7669902912621271</v>
      </c>
      <c r="IU22" s="1">
        <v>13.592233009708726</v>
      </c>
      <c r="IV22" s="1">
        <v>0.97087378640776589</v>
      </c>
      <c r="IW22" s="1">
        <v>0</v>
      </c>
      <c r="IX22" s="1">
        <v>103</v>
      </c>
      <c r="IY22" s="1">
        <v>1</v>
      </c>
      <c r="IZ22" s="1">
        <v>58.787699999999873</v>
      </c>
      <c r="JA22" s="1">
        <v>40.920849999999987</v>
      </c>
      <c r="JB22" s="1">
        <v>9.797950000000009</v>
      </c>
      <c r="JC22" s="1">
        <v>4.0344499999999961</v>
      </c>
      <c r="JD22" s="1">
        <v>8.0688999999999869</v>
      </c>
      <c r="JE22" s="1">
        <v>0.69607843137254954</v>
      </c>
      <c r="JF22" s="1">
        <v>0.16666666666666657</v>
      </c>
      <c r="JG22" s="1">
        <v>6.8627450980392149E-2</v>
      </c>
      <c r="JH22" s="1">
        <v>0.13725490196078424</v>
      </c>
      <c r="JI22" s="1">
        <v>1</v>
      </c>
      <c r="JJ22" s="1">
        <v>102</v>
      </c>
      <c r="JK22" s="1">
        <v>2.8640776699029127</v>
      </c>
      <c r="JL22" s="1">
        <v>2.8640776699029171</v>
      </c>
      <c r="JM22" s="1">
        <v>103</v>
      </c>
      <c r="JN22" s="1">
        <v>95.652173913043399</v>
      </c>
      <c r="JO22" s="1">
        <v>4.3478260869565144</v>
      </c>
      <c r="JP22" s="1">
        <v>46</v>
      </c>
      <c r="JQ22" s="1">
        <v>100</v>
      </c>
      <c r="JR22" s="1">
        <v>0</v>
      </c>
      <c r="JS22" s="1">
        <v>73</v>
      </c>
      <c r="JT22" s="1">
        <v>100</v>
      </c>
      <c r="JU22" s="1">
        <v>0</v>
      </c>
      <c r="JV22" s="1">
        <v>70</v>
      </c>
      <c r="JW22" s="1">
        <v>95.081967213114709</v>
      </c>
      <c r="JX22" s="1">
        <v>4.9180327868852478</v>
      </c>
      <c r="JY22" s="1">
        <v>61</v>
      </c>
      <c r="JZ22" s="1">
        <v>45.348837209302445</v>
      </c>
      <c r="KA22" s="1">
        <v>54.651162790697605</v>
      </c>
      <c r="KB22" s="1">
        <v>86</v>
      </c>
      <c r="KC22" s="1">
        <v>99.999999999999986</v>
      </c>
      <c r="KD22" s="1">
        <v>0</v>
      </c>
      <c r="KE22" s="1">
        <v>81</v>
      </c>
      <c r="KF22" s="1">
        <v>3.5492957746478875</v>
      </c>
      <c r="KG22" s="1">
        <v>5.6338028169014169</v>
      </c>
      <c r="KH22" s="1">
        <v>11.267605633802834</v>
      </c>
      <c r="KI22" s="1">
        <v>26.760563380281702</v>
      </c>
      <c r="KJ22" s="1">
        <v>35.211267605633893</v>
      </c>
      <c r="KK22" s="1">
        <v>21.126760563380245</v>
      </c>
      <c r="KL22" s="1">
        <v>71</v>
      </c>
      <c r="KM22" s="1">
        <v>61.873239436619755</v>
      </c>
      <c r="KN22" s="1">
        <v>9</v>
      </c>
      <c r="KO22" s="1">
        <v>0</v>
      </c>
      <c r="KP22" s="1">
        <v>100</v>
      </c>
      <c r="KQ22" s="1">
        <v>0</v>
      </c>
      <c r="KR22" s="1">
        <v>0</v>
      </c>
      <c r="KS22" s="1">
        <v>0</v>
      </c>
      <c r="KT22" s="1">
        <v>1</v>
      </c>
      <c r="KU22" s="1">
        <v>1.2195121951219507</v>
      </c>
      <c r="KV22" s="1">
        <v>1.2195121951219507</v>
      </c>
      <c r="KW22" s="1">
        <v>0</v>
      </c>
      <c r="KX22" s="1">
        <v>97.560975609756326</v>
      </c>
      <c r="KY22" s="1">
        <v>0</v>
      </c>
      <c r="KZ22" s="1">
        <v>82</v>
      </c>
      <c r="LA22" s="1">
        <v>8.3333333333333464</v>
      </c>
      <c r="LB22" s="1">
        <v>91.666666666666686</v>
      </c>
      <c r="LC22" s="1">
        <v>84</v>
      </c>
      <c r="LD22" s="1">
        <v>0</v>
      </c>
      <c r="LE22" s="1">
        <v>0</v>
      </c>
      <c r="LF22" s="1">
        <v>100</v>
      </c>
      <c r="LG22" s="1">
        <v>7</v>
      </c>
    </row>
    <row r="23" spans="1:319" x14ac:dyDescent="0.25">
      <c r="A23" s="1">
        <v>47</v>
      </c>
      <c r="B23" s="1">
        <v>4.9180327868852496</v>
      </c>
      <c r="C23" s="1">
        <v>95.081967213114709</v>
      </c>
      <c r="D23" s="1">
        <v>61</v>
      </c>
      <c r="E23" s="1">
        <v>89.285714285714349</v>
      </c>
      <c r="F23" s="1">
        <v>10.714285714285733</v>
      </c>
      <c r="G23" s="1">
        <v>56</v>
      </c>
      <c r="H23" s="1">
        <v>65.306122448979636</v>
      </c>
      <c r="I23" s="1">
        <v>34.693877551020464</v>
      </c>
      <c r="J23" s="1">
        <v>49</v>
      </c>
      <c r="K23" s="1">
        <v>1</v>
      </c>
      <c r="L23" s="1">
        <v>25.467739999999988</v>
      </c>
      <c r="M23" s="1">
        <v>7.3938600000000063</v>
      </c>
      <c r="N23" s="1">
        <v>2.8753900000000017</v>
      </c>
      <c r="O23" s="1">
        <v>11.501560000000001</v>
      </c>
      <c r="P23" s="1">
        <v>1.2323099999999987</v>
      </c>
      <c r="Q23" s="1">
        <v>11.090789999999981</v>
      </c>
      <c r="R23" s="1">
        <v>1.6430799999999985</v>
      </c>
      <c r="S23" s="1">
        <v>1.6430799999999985</v>
      </c>
      <c r="T23" s="1">
        <v>2.8753900000000017</v>
      </c>
      <c r="U23" s="1">
        <v>2.053849999999998</v>
      </c>
      <c r="V23" s="1">
        <v>2.4646199999999974</v>
      </c>
      <c r="W23" s="1">
        <v>0.29032258064516164</v>
      </c>
      <c r="X23" s="1">
        <v>0.11290322580645176</v>
      </c>
      <c r="Y23" s="1">
        <v>0.45161290322580705</v>
      </c>
      <c r="Z23" s="1">
        <v>4.838709677419354E-2</v>
      </c>
      <c r="AA23" s="1">
        <v>0.43548387096774277</v>
      </c>
      <c r="AB23" s="1">
        <v>6.4516129032258035E-2</v>
      </c>
      <c r="AC23" s="1">
        <v>6.4516129032258035E-2</v>
      </c>
      <c r="AD23" s="1">
        <v>0.11290322580645176</v>
      </c>
      <c r="AE23" s="1">
        <v>8.0645161290322662E-2</v>
      </c>
      <c r="AF23" s="1">
        <v>9.677419354838708E-2</v>
      </c>
      <c r="AG23" s="1">
        <v>1</v>
      </c>
      <c r="AH23" s="1">
        <v>62</v>
      </c>
      <c r="AI23" s="1">
        <v>1</v>
      </c>
      <c r="AJ23" s="1">
        <v>23.824659999999991</v>
      </c>
      <c r="AK23" s="1">
        <v>13.966180000000005</v>
      </c>
      <c r="AL23" s="1">
        <v>11.912329999999997</v>
      </c>
      <c r="AM23" s="1">
        <v>9.4477100000000167</v>
      </c>
      <c r="AN23" s="1">
        <v>14.376949999999974</v>
      </c>
      <c r="AO23" s="1">
        <v>1.6430799999999985</v>
      </c>
      <c r="AP23" s="1">
        <v>4.9292399999999947</v>
      </c>
      <c r="AQ23" s="1">
        <v>0.58620689655172487</v>
      </c>
      <c r="AR23" s="1">
        <v>0.50000000000000011</v>
      </c>
      <c r="AS23" s="1">
        <v>0.39655172413793155</v>
      </c>
      <c r="AT23" s="1">
        <v>0.60344827586206884</v>
      </c>
      <c r="AU23" s="1">
        <v>6.8965517241379393E-2</v>
      </c>
      <c r="AV23" s="1">
        <v>0.20689655172413826</v>
      </c>
      <c r="AW23" s="1">
        <v>1</v>
      </c>
      <c r="AX23" s="1">
        <v>58</v>
      </c>
      <c r="AY23" s="1">
        <v>9.9482758620689662</v>
      </c>
      <c r="AZ23" s="1">
        <v>9.8474576271186436</v>
      </c>
      <c r="BA23" s="1">
        <v>9.8679245283018862</v>
      </c>
      <c r="BB23" s="1">
        <v>0</v>
      </c>
      <c r="BC23" s="1">
        <v>0</v>
      </c>
      <c r="BD23" s="1">
        <v>0</v>
      </c>
      <c r="BE23" s="1">
        <v>0</v>
      </c>
      <c r="BF23" s="1">
        <v>0</v>
      </c>
      <c r="BG23" s="1">
        <v>0</v>
      </c>
      <c r="BH23" s="1">
        <v>0</v>
      </c>
      <c r="BI23" s="1">
        <v>1.7241379310344869</v>
      </c>
      <c r="BJ23" s="1">
        <v>1.7241379310344869</v>
      </c>
      <c r="BK23" s="1">
        <v>96.551724137931103</v>
      </c>
      <c r="BL23" s="1">
        <v>9.9482758620689573</v>
      </c>
      <c r="BM23" s="1">
        <v>58</v>
      </c>
      <c r="BN23" s="1">
        <v>0</v>
      </c>
      <c r="BO23" s="1">
        <v>0</v>
      </c>
      <c r="BP23" s="1">
        <v>0</v>
      </c>
      <c r="BQ23" s="1">
        <v>0</v>
      </c>
      <c r="BR23" s="1">
        <v>0</v>
      </c>
      <c r="BS23" s="1">
        <v>0</v>
      </c>
      <c r="BT23" s="1">
        <v>0</v>
      </c>
      <c r="BU23" s="1">
        <v>6.7796610169491531</v>
      </c>
      <c r="BV23" s="1">
        <v>1.6949152542372883</v>
      </c>
      <c r="BW23" s="1">
        <v>91.525423728813607</v>
      </c>
      <c r="BX23" s="1">
        <v>9.8474576271186258</v>
      </c>
      <c r="BY23" s="1">
        <v>59</v>
      </c>
      <c r="BZ23" s="1">
        <v>0</v>
      </c>
      <c r="CA23" s="1">
        <v>0</v>
      </c>
      <c r="CB23" s="1">
        <v>0</v>
      </c>
      <c r="CC23" s="1">
        <v>0</v>
      </c>
      <c r="CD23" s="1">
        <v>0</v>
      </c>
      <c r="CE23" s="1">
        <v>0</v>
      </c>
      <c r="CF23" s="1">
        <v>1.886792452830192</v>
      </c>
      <c r="CG23" s="1">
        <v>3.7735849056603841</v>
      </c>
      <c r="CH23" s="1">
        <v>0</v>
      </c>
      <c r="CI23" s="1">
        <v>94.339622641509479</v>
      </c>
      <c r="CJ23" s="1">
        <v>9.8679245283018862</v>
      </c>
      <c r="CK23" s="1">
        <v>53</v>
      </c>
      <c r="CL23" s="1">
        <v>85.454545454545382</v>
      </c>
      <c r="CM23" s="1">
        <v>14.545454545454536</v>
      </c>
      <c r="CN23" s="1">
        <v>0</v>
      </c>
      <c r="CO23" s="1">
        <v>0</v>
      </c>
      <c r="CP23" s="1">
        <v>0</v>
      </c>
      <c r="CQ23" s="1">
        <v>55</v>
      </c>
      <c r="CR23" s="1">
        <v>91.6666666666667</v>
      </c>
      <c r="CS23" s="1">
        <v>6.6666666666666812</v>
      </c>
      <c r="CT23" s="1">
        <v>1.6666666666666703</v>
      </c>
      <c r="CU23" s="1">
        <v>0</v>
      </c>
      <c r="CV23" s="1">
        <v>0</v>
      </c>
      <c r="CW23" s="1">
        <v>60</v>
      </c>
      <c r="CX23" s="1">
        <v>83.333333333333329</v>
      </c>
      <c r="CY23" s="1">
        <v>16.666666666666657</v>
      </c>
      <c r="CZ23" s="1">
        <v>0</v>
      </c>
      <c r="DA23" s="1">
        <v>0</v>
      </c>
      <c r="DB23" s="1">
        <v>0</v>
      </c>
      <c r="DC23" s="1">
        <v>60</v>
      </c>
      <c r="DD23" s="1">
        <v>95.000000000000014</v>
      </c>
      <c r="DE23" s="1">
        <v>5.0000000000000018</v>
      </c>
      <c r="DF23" s="1">
        <v>0</v>
      </c>
      <c r="DG23" s="1">
        <v>0</v>
      </c>
      <c r="DH23" s="1">
        <v>0</v>
      </c>
      <c r="DI23" s="1">
        <v>60</v>
      </c>
      <c r="DJ23" s="1">
        <v>78.260869565217405</v>
      </c>
      <c r="DK23" s="1">
        <v>17.391304347826107</v>
      </c>
      <c r="DL23" s="1">
        <v>2.1739130434782634</v>
      </c>
      <c r="DM23" s="1">
        <v>2.1739130434782634</v>
      </c>
      <c r="DN23" s="1">
        <v>0</v>
      </c>
      <c r="DO23" s="1">
        <v>46</v>
      </c>
      <c r="DP23" s="1">
        <v>91.525423728813607</v>
      </c>
      <c r="DQ23" s="1">
        <v>8.4745762711864412</v>
      </c>
      <c r="DR23" s="1">
        <v>0</v>
      </c>
      <c r="DS23" s="1">
        <v>0</v>
      </c>
      <c r="DT23" s="1">
        <v>0</v>
      </c>
      <c r="DU23" s="1">
        <v>59</v>
      </c>
      <c r="DV23" s="1">
        <v>76.086956521739083</v>
      </c>
      <c r="DW23" s="1">
        <v>19.565217391304355</v>
      </c>
      <c r="DX23" s="1">
        <v>2.1739130434782634</v>
      </c>
      <c r="DY23" s="1">
        <v>2.1739130434782634</v>
      </c>
      <c r="DZ23" s="1">
        <v>0</v>
      </c>
      <c r="EA23" s="1">
        <v>46</v>
      </c>
      <c r="EB23" s="1">
        <v>96</v>
      </c>
      <c r="EC23" s="1">
        <v>4.0000000000000009</v>
      </c>
      <c r="ED23" s="1">
        <v>0</v>
      </c>
      <c r="EE23" s="1">
        <v>0</v>
      </c>
      <c r="EF23" s="1">
        <v>0</v>
      </c>
      <c r="EG23" s="1">
        <v>25</v>
      </c>
      <c r="EH23" s="1">
        <v>77.272727272727323</v>
      </c>
      <c r="EI23" s="1">
        <v>13.636363636363628</v>
      </c>
      <c r="EJ23" s="1">
        <v>4.5454545454545414</v>
      </c>
      <c r="EK23" s="1">
        <v>4.5454545454545414</v>
      </c>
      <c r="EL23" s="1">
        <v>0</v>
      </c>
      <c r="EM23" s="1">
        <v>22</v>
      </c>
      <c r="EN23" s="1">
        <v>58.536585365853654</v>
      </c>
      <c r="EO23" s="1">
        <v>36.585365853658509</v>
      </c>
      <c r="EP23" s="1">
        <v>2.4390243902439019</v>
      </c>
      <c r="EQ23" s="1">
        <v>2.4390243902439019</v>
      </c>
      <c r="ER23" s="1">
        <v>0</v>
      </c>
      <c r="ES23" s="1">
        <v>41</v>
      </c>
      <c r="ET23" s="1">
        <v>52.380952380952401</v>
      </c>
      <c r="EU23" s="1">
        <v>45.238095238095283</v>
      </c>
      <c r="EV23" s="1">
        <v>0</v>
      </c>
      <c r="EW23" s="1">
        <v>2.3809523809523805</v>
      </c>
      <c r="EX23" s="1">
        <v>0</v>
      </c>
      <c r="EY23" s="1">
        <v>42</v>
      </c>
      <c r="EZ23" s="1">
        <v>70.833333333333371</v>
      </c>
      <c r="FA23" s="1">
        <v>20.833333333333332</v>
      </c>
      <c r="FB23" s="1">
        <v>8.333333333333325</v>
      </c>
      <c r="FC23" s="1">
        <v>0</v>
      </c>
      <c r="FD23" s="1">
        <v>0</v>
      </c>
      <c r="FE23" s="1">
        <v>24</v>
      </c>
      <c r="FF23" s="1">
        <v>82.608695652173964</v>
      </c>
      <c r="FG23" s="1">
        <v>17.391304347826097</v>
      </c>
      <c r="FH23" s="1">
        <v>0</v>
      </c>
      <c r="FI23" s="1">
        <v>0</v>
      </c>
      <c r="FJ23" s="1">
        <v>0</v>
      </c>
      <c r="FK23" s="1">
        <v>23</v>
      </c>
      <c r="FL23" s="1">
        <v>84.615384615384727</v>
      </c>
      <c r="FM23" s="1">
        <v>11.538461538461544</v>
      </c>
      <c r="FN23" s="1">
        <v>3.8461538461538454</v>
      </c>
      <c r="FO23" s="1">
        <v>0</v>
      </c>
      <c r="FP23" s="1">
        <v>0</v>
      </c>
      <c r="FQ23" s="1">
        <v>26</v>
      </c>
      <c r="FR23" s="1">
        <v>78.57142857142847</v>
      </c>
      <c r="FS23" s="1">
        <v>14.285714285714302</v>
      </c>
      <c r="FT23" s="1">
        <v>0</v>
      </c>
      <c r="FU23" s="1">
        <v>7.1428571428571512</v>
      </c>
      <c r="FV23" s="1">
        <v>0</v>
      </c>
      <c r="FW23" s="1">
        <v>14</v>
      </c>
      <c r="FX23" s="1">
        <v>93.103448275862064</v>
      </c>
      <c r="FY23" s="1">
        <v>6.8965517241379475</v>
      </c>
      <c r="FZ23" s="1">
        <v>0</v>
      </c>
      <c r="GA23" s="1">
        <v>0</v>
      </c>
      <c r="GB23" s="1">
        <v>0</v>
      </c>
      <c r="GC23" s="1">
        <v>58</v>
      </c>
      <c r="GD23" s="1">
        <v>77.777777777777757</v>
      </c>
      <c r="GE23" s="1">
        <v>22.222222222222193</v>
      </c>
      <c r="GF23" s="1">
        <v>0</v>
      </c>
      <c r="GG23" s="1">
        <v>0</v>
      </c>
      <c r="GH23" s="1">
        <v>0</v>
      </c>
      <c r="GI23" s="1">
        <v>27</v>
      </c>
      <c r="GJ23" s="1">
        <v>65.714285714285765</v>
      </c>
      <c r="GK23" s="1">
        <v>31.428571428571392</v>
      </c>
      <c r="GL23" s="1">
        <v>2.8571428571428603</v>
      </c>
      <c r="GM23" s="1">
        <v>0</v>
      </c>
      <c r="GN23" s="1">
        <v>0</v>
      </c>
      <c r="GO23" s="1">
        <v>35</v>
      </c>
      <c r="GP23" s="1">
        <v>83.333333333333329</v>
      </c>
      <c r="GQ23" s="1">
        <v>14.28571428571431</v>
      </c>
      <c r="GR23" s="1">
        <v>2.3809523809523805</v>
      </c>
      <c r="GS23" s="1">
        <v>0</v>
      </c>
      <c r="GT23" s="1">
        <v>0</v>
      </c>
      <c r="GU23" s="1">
        <v>42</v>
      </c>
      <c r="GV23" s="1">
        <v>92.682926829268325</v>
      </c>
      <c r="GW23" s="1">
        <v>7.3170731707317067</v>
      </c>
      <c r="GX23" s="1">
        <v>0</v>
      </c>
      <c r="GY23" s="1">
        <v>0</v>
      </c>
      <c r="GZ23" s="1">
        <v>0</v>
      </c>
      <c r="HA23" s="1">
        <v>41</v>
      </c>
      <c r="HB23" s="1">
        <v>78.947368421052559</v>
      </c>
      <c r="HC23" s="1">
        <v>21.052631578947359</v>
      </c>
      <c r="HD23" s="1">
        <v>0</v>
      </c>
      <c r="HE23" s="1">
        <v>0</v>
      </c>
      <c r="HF23" s="1">
        <v>0</v>
      </c>
      <c r="HG23" s="1">
        <v>19</v>
      </c>
      <c r="HH23" s="1">
        <v>79.999999999999986</v>
      </c>
      <c r="HI23" s="1">
        <v>14.999999999999998</v>
      </c>
      <c r="HJ23" s="1">
        <v>4.9999999999999991</v>
      </c>
      <c r="HK23" s="1">
        <v>0</v>
      </c>
      <c r="HL23" s="1">
        <v>0</v>
      </c>
      <c r="HM23" s="1">
        <v>20</v>
      </c>
      <c r="HN23" s="1">
        <v>0</v>
      </c>
      <c r="HO23" s="1">
        <v>0</v>
      </c>
      <c r="HP23" s="1">
        <v>0</v>
      </c>
      <c r="HQ23" s="1">
        <v>0</v>
      </c>
      <c r="HR23" s="1">
        <v>0</v>
      </c>
      <c r="HS23" s="1">
        <v>0</v>
      </c>
      <c r="HT23" s="1">
        <v>0</v>
      </c>
      <c r="HU23" s="1">
        <v>0</v>
      </c>
      <c r="HV23" s="1">
        <v>0</v>
      </c>
      <c r="HW23" s="1">
        <v>0</v>
      </c>
      <c r="HX23" s="1">
        <v>0</v>
      </c>
      <c r="HY23" s="1">
        <v>0</v>
      </c>
      <c r="HZ23" s="1">
        <v>0</v>
      </c>
      <c r="IA23" s="1">
        <v>0</v>
      </c>
      <c r="IB23" s="1">
        <v>0</v>
      </c>
      <c r="IC23" s="1">
        <v>0</v>
      </c>
      <c r="ID23" s="1">
        <v>0</v>
      </c>
      <c r="IE23" s="1">
        <v>0</v>
      </c>
      <c r="IF23" s="1">
        <v>9.454545454545455</v>
      </c>
      <c r="IG23" s="1">
        <v>0</v>
      </c>
      <c r="IH23" s="1">
        <v>0</v>
      </c>
      <c r="II23" s="1">
        <v>0</v>
      </c>
      <c r="IJ23" s="1">
        <v>0</v>
      </c>
      <c r="IK23" s="1">
        <v>0</v>
      </c>
      <c r="IL23" s="1">
        <v>0</v>
      </c>
      <c r="IM23" s="1">
        <v>0</v>
      </c>
      <c r="IN23" s="1">
        <v>12.727272727272744</v>
      </c>
      <c r="IO23" s="1">
        <v>29.090909090909072</v>
      </c>
      <c r="IP23" s="1">
        <v>58.181818181818144</v>
      </c>
      <c r="IQ23" s="1">
        <v>9.454545454545455</v>
      </c>
      <c r="IR23" s="1">
        <v>55</v>
      </c>
      <c r="IS23" s="1">
        <v>63.3333333333334</v>
      </c>
      <c r="IT23" s="1">
        <v>15.000000000000002</v>
      </c>
      <c r="IU23" s="1">
        <v>20.000000000000007</v>
      </c>
      <c r="IV23" s="1">
        <v>0</v>
      </c>
      <c r="IW23" s="1">
        <v>1.6666666666666703</v>
      </c>
      <c r="IX23" s="1">
        <v>60</v>
      </c>
      <c r="IY23" s="1">
        <v>1</v>
      </c>
      <c r="IZ23" s="1">
        <v>24.646199999999968</v>
      </c>
      <c r="JA23" s="1">
        <v>11.090789999999981</v>
      </c>
      <c r="JB23" s="1">
        <v>9.8584799999999895</v>
      </c>
      <c r="JC23" s="1">
        <v>3.6969300000000027</v>
      </c>
      <c r="JD23" s="1">
        <v>3.6969300000000027</v>
      </c>
      <c r="JE23" s="1">
        <v>0.45000000000000007</v>
      </c>
      <c r="JF23" s="1">
        <v>0.39999999999999974</v>
      </c>
      <c r="JG23" s="1">
        <v>0.15000000000000022</v>
      </c>
      <c r="JH23" s="1">
        <v>0.15000000000000022</v>
      </c>
      <c r="JI23" s="1">
        <v>1</v>
      </c>
      <c r="JJ23" s="1">
        <v>60</v>
      </c>
      <c r="JK23" s="1">
        <v>2.7666666666666666</v>
      </c>
      <c r="JL23" s="1">
        <v>2.7666666666666693</v>
      </c>
      <c r="JM23" s="1">
        <v>60</v>
      </c>
      <c r="JN23" s="1">
        <v>95.454545454545354</v>
      </c>
      <c r="JO23" s="1">
        <v>4.5454545454545414</v>
      </c>
      <c r="JP23" s="1">
        <v>22</v>
      </c>
      <c r="JQ23" s="1">
        <v>100</v>
      </c>
      <c r="JR23" s="1">
        <v>0</v>
      </c>
      <c r="JS23" s="1">
        <v>38</v>
      </c>
      <c r="JT23" s="1">
        <v>100</v>
      </c>
      <c r="JU23" s="1">
        <v>0</v>
      </c>
      <c r="JV23" s="1">
        <v>49</v>
      </c>
      <c r="JW23" s="1">
        <v>96.969696969696983</v>
      </c>
      <c r="JX23" s="1">
        <v>3.0303030303030316</v>
      </c>
      <c r="JY23" s="1">
        <v>33</v>
      </c>
      <c r="JZ23" s="1">
        <v>43.636363636363654</v>
      </c>
      <c r="KA23" s="1">
        <v>56.363636363636452</v>
      </c>
      <c r="KB23" s="1">
        <v>55</v>
      </c>
      <c r="KC23" s="1">
        <v>99.999999999999986</v>
      </c>
      <c r="KD23" s="1">
        <v>0</v>
      </c>
      <c r="KE23" s="1">
        <v>54</v>
      </c>
      <c r="KF23" s="1">
        <v>3.6530612244897958</v>
      </c>
      <c r="KG23" s="1">
        <v>2.0408163265306163</v>
      </c>
      <c r="KH23" s="1">
        <v>8.1632653061224651</v>
      </c>
      <c r="KI23" s="1">
        <v>30.612244897959226</v>
      </c>
      <c r="KJ23" s="1">
        <v>40.816326530612251</v>
      </c>
      <c r="KK23" s="1">
        <v>18.367346938775523</v>
      </c>
      <c r="KL23" s="1">
        <v>49</v>
      </c>
      <c r="KM23" s="1">
        <v>63.795918367346985</v>
      </c>
      <c r="KN23" s="1">
        <v>0</v>
      </c>
      <c r="KO23" s="1">
        <v>0</v>
      </c>
      <c r="KP23" s="1">
        <v>0</v>
      </c>
      <c r="KQ23" s="1">
        <v>0</v>
      </c>
      <c r="KR23" s="1">
        <v>0</v>
      </c>
      <c r="KS23" s="1">
        <v>0</v>
      </c>
      <c r="KT23" s="1">
        <v>0</v>
      </c>
      <c r="KU23" s="1">
        <v>0</v>
      </c>
      <c r="KV23" s="1">
        <v>0</v>
      </c>
      <c r="KW23" s="1">
        <v>0</v>
      </c>
      <c r="KX23" s="1">
        <v>98.039215686274488</v>
      </c>
      <c r="KY23" s="1">
        <v>1.9607843137254941</v>
      </c>
      <c r="KZ23" s="1">
        <v>51</v>
      </c>
      <c r="LA23" s="1">
        <v>17.647058823529417</v>
      </c>
      <c r="LB23" s="1">
        <v>82.352941176470608</v>
      </c>
      <c r="LC23" s="1">
        <v>51</v>
      </c>
      <c r="LD23" s="1">
        <v>0</v>
      </c>
      <c r="LE23" s="1">
        <v>11.111111111111114</v>
      </c>
      <c r="LF23" s="1">
        <v>88.8888888888889</v>
      </c>
      <c r="LG23" s="1">
        <v>9</v>
      </c>
    </row>
    <row r="24" spans="1:319" x14ac:dyDescent="0.25">
      <c r="A24" s="1">
        <v>51</v>
      </c>
      <c r="B24" s="1">
        <v>22.222222222222182</v>
      </c>
      <c r="C24" s="1">
        <v>77.777777777777573</v>
      </c>
      <c r="D24" s="1">
        <v>117</v>
      </c>
      <c r="E24" s="1">
        <v>79.775280898876247</v>
      </c>
      <c r="F24" s="1">
        <v>20.224719101123586</v>
      </c>
      <c r="G24" s="1">
        <v>89</v>
      </c>
      <c r="H24" s="1">
        <v>46.268656716417844</v>
      </c>
      <c r="I24" s="1">
        <v>53.731343283582156</v>
      </c>
      <c r="J24" s="1">
        <v>67</v>
      </c>
      <c r="K24" s="1">
        <v>1</v>
      </c>
      <c r="L24" s="1">
        <v>55.325789999999934</v>
      </c>
      <c r="M24" s="1">
        <v>12.767489999999972</v>
      </c>
      <c r="N24" s="1">
        <v>9.9302699999999895</v>
      </c>
      <c r="O24" s="1">
        <v>19.860539999999979</v>
      </c>
      <c r="P24" s="1">
        <v>2.8372200000000016</v>
      </c>
      <c r="Q24" s="1">
        <v>19.387670000000032</v>
      </c>
      <c r="R24" s="1">
        <v>1.4186100000000008</v>
      </c>
      <c r="S24" s="1">
        <v>2.3643500000000013</v>
      </c>
      <c r="T24" s="1">
        <v>5.6744400000000033</v>
      </c>
      <c r="U24" s="1">
        <v>5.6744400000000033</v>
      </c>
      <c r="V24" s="1">
        <v>3.7829600000000023</v>
      </c>
      <c r="W24" s="1">
        <v>0.23076923076923023</v>
      </c>
      <c r="X24" s="1">
        <v>0.17948717948717913</v>
      </c>
      <c r="Y24" s="1">
        <v>0.35897435897435825</v>
      </c>
      <c r="Z24" s="1">
        <v>5.1282051282051162E-2</v>
      </c>
      <c r="AA24" s="1">
        <v>0.35042735042735051</v>
      </c>
      <c r="AB24" s="1">
        <v>2.5641025641025581E-2</v>
      </c>
      <c r="AC24" s="1">
        <v>4.2735042735042653E-2</v>
      </c>
      <c r="AD24" s="1">
        <v>0.10256410256410232</v>
      </c>
      <c r="AE24" s="1">
        <v>0.10256410256410232</v>
      </c>
      <c r="AF24" s="1">
        <v>6.8376068376068189E-2</v>
      </c>
      <c r="AG24" s="1">
        <v>1</v>
      </c>
      <c r="AH24" s="1">
        <v>117</v>
      </c>
      <c r="AI24" s="1">
        <v>1</v>
      </c>
      <c r="AJ24" s="1">
        <v>54.380049999999976</v>
      </c>
      <c r="AK24" s="1">
        <v>39.721079999999958</v>
      </c>
      <c r="AL24" s="1">
        <v>42.558299999999988</v>
      </c>
      <c r="AM24" s="1">
        <v>24.589239999999947</v>
      </c>
      <c r="AN24" s="1">
        <v>31.68229000000008</v>
      </c>
      <c r="AO24" s="1">
        <v>2.8372200000000016</v>
      </c>
      <c r="AP24" s="1">
        <v>5.201569999999994</v>
      </c>
      <c r="AQ24" s="1">
        <v>0.73043478260869654</v>
      </c>
      <c r="AR24" s="1">
        <v>0.78260869565217239</v>
      </c>
      <c r="AS24" s="1">
        <v>0.45217391304347904</v>
      </c>
      <c r="AT24" s="1">
        <v>0.58260869565217444</v>
      </c>
      <c r="AU24" s="1">
        <v>5.2173913043478175E-2</v>
      </c>
      <c r="AV24" s="1">
        <v>9.5652173913043384E-2</v>
      </c>
      <c r="AW24" s="1">
        <v>1</v>
      </c>
      <c r="AX24" s="1">
        <v>115</v>
      </c>
      <c r="AY24" s="1">
        <v>9.8956521739130441</v>
      </c>
      <c r="AZ24" s="1">
        <v>9.9217391304347817</v>
      </c>
      <c r="BA24" s="1">
        <v>9.8495575221238933</v>
      </c>
      <c r="BB24" s="1">
        <v>0</v>
      </c>
      <c r="BC24" s="1">
        <v>0</v>
      </c>
      <c r="BD24" s="1">
        <v>0</v>
      </c>
      <c r="BE24" s="1">
        <v>0</v>
      </c>
      <c r="BF24" s="1">
        <v>0</v>
      </c>
      <c r="BG24" s="1">
        <v>0</v>
      </c>
      <c r="BH24" s="1">
        <v>0</v>
      </c>
      <c r="BI24" s="1">
        <v>2.6086956521739126</v>
      </c>
      <c r="BJ24" s="1">
        <v>5.2173913043478253</v>
      </c>
      <c r="BK24" s="1">
        <v>92.173913043478166</v>
      </c>
      <c r="BL24" s="1">
        <v>9.8956521739130476</v>
      </c>
      <c r="BM24" s="1">
        <v>115</v>
      </c>
      <c r="BN24" s="1">
        <v>0</v>
      </c>
      <c r="BO24" s="1">
        <v>0</v>
      </c>
      <c r="BP24" s="1">
        <v>0</v>
      </c>
      <c r="BQ24" s="1">
        <v>0</v>
      </c>
      <c r="BR24" s="1">
        <v>0</v>
      </c>
      <c r="BS24" s="1">
        <v>0</v>
      </c>
      <c r="BT24" s="1">
        <v>0.86956521739130188</v>
      </c>
      <c r="BU24" s="1">
        <v>0</v>
      </c>
      <c r="BV24" s="1">
        <v>5.2173913043478253</v>
      </c>
      <c r="BW24" s="1">
        <v>93.913043478260718</v>
      </c>
      <c r="BX24" s="1">
        <v>9.9217391304347693</v>
      </c>
      <c r="BY24" s="1">
        <v>115</v>
      </c>
      <c r="BZ24" s="1">
        <v>0</v>
      </c>
      <c r="CA24" s="1">
        <v>0</v>
      </c>
      <c r="CB24" s="1">
        <v>0</v>
      </c>
      <c r="CC24" s="1">
        <v>0</v>
      </c>
      <c r="CD24" s="1">
        <v>0</v>
      </c>
      <c r="CE24" s="1">
        <v>0</v>
      </c>
      <c r="CF24" s="1">
        <v>0.88495575221239053</v>
      </c>
      <c r="CG24" s="1">
        <v>4.4247787610619334</v>
      </c>
      <c r="CH24" s="1">
        <v>3.5398230088495621</v>
      </c>
      <c r="CI24" s="1">
        <v>91.150442477875956</v>
      </c>
      <c r="CJ24" s="1">
        <v>9.8495575221238791</v>
      </c>
      <c r="CK24" s="1">
        <v>113</v>
      </c>
      <c r="CL24" s="1">
        <v>79.245283018867937</v>
      </c>
      <c r="CM24" s="1">
        <v>16.981132075471749</v>
      </c>
      <c r="CN24" s="1">
        <v>2.8301886792452815</v>
      </c>
      <c r="CO24" s="1">
        <v>0.94339622641509246</v>
      </c>
      <c r="CP24" s="1">
        <v>0</v>
      </c>
      <c r="CQ24" s="1">
        <v>106</v>
      </c>
      <c r="CR24" s="1">
        <v>82.05128205128203</v>
      </c>
      <c r="CS24" s="1">
        <v>15.384615384615413</v>
      </c>
      <c r="CT24" s="1">
        <v>0.85470085470085266</v>
      </c>
      <c r="CU24" s="1">
        <v>1.7094017094017053</v>
      </c>
      <c r="CV24" s="1">
        <v>0</v>
      </c>
      <c r="CW24" s="1">
        <v>117</v>
      </c>
      <c r="CX24" s="1">
        <v>86.440677966101973</v>
      </c>
      <c r="CY24" s="1">
        <v>11.864406779661046</v>
      </c>
      <c r="CZ24" s="1">
        <v>1.6949152542372872</v>
      </c>
      <c r="DA24" s="1">
        <v>0</v>
      </c>
      <c r="DB24" s="1">
        <v>0</v>
      </c>
      <c r="DC24" s="1">
        <v>118</v>
      </c>
      <c r="DD24" s="1">
        <v>86.440677966101973</v>
      </c>
      <c r="DE24" s="1">
        <v>10.169491525423741</v>
      </c>
      <c r="DF24" s="1">
        <v>2.5423728813559352</v>
      </c>
      <c r="DG24" s="1">
        <v>0.84745762711864359</v>
      </c>
      <c r="DH24" s="1">
        <v>0</v>
      </c>
      <c r="DI24" s="1">
        <v>118</v>
      </c>
      <c r="DJ24" s="1">
        <v>66.99029126213577</v>
      </c>
      <c r="DK24" s="1">
        <v>25.242718446601895</v>
      </c>
      <c r="DL24" s="1">
        <v>3.88349514563106</v>
      </c>
      <c r="DM24" s="1">
        <v>3.88349514563106</v>
      </c>
      <c r="DN24" s="1">
        <v>0</v>
      </c>
      <c r="DO24" s="1">
        <v>103</v>
      </c>
      <c r="DP24" s="1">
        <v>89.473684210526528</v>
      </c>
      <c r="DQ24" s="1">
        <v>10.526315789473681</v>
      </c>
      <c r="DR24" s="1">
        <v>0</v>
      </c>
      <c r="DS24" s="1">
        <v>0</v>
      </c>
      <c r="DT24" s="1">
        <v>0</v>
      </c>
      <c r="DU24" s="1">
        <v>114</v>
      </c>
      <c r="DV24" s="1">
        <v>92.307692307692122</v>
      </c>
      <c r="DW24" s="1">
        <v>6.5934065934065966</v>
      </c>
      <c r="DX24" s="1">
        <v>1.0989010989010961</v>
      </c>
      <c r="DY24" s="1">
        <v>0</v>
      </c>
      <c r="DZ24" s="1">
        <v>0</v>
      </c>
      <c r="EA24" s="1">
        <v>91</v>
      </c>
      <c r="EB24" s="1">
        <v>91.489361702127837</v>
      </c>
      <c r="EC24" s="1">
        <v>8.5106382978723349</v>
      </c>
      <c r="ED24" s="1">
        <v>0</v>
      </c>
      <c r="EE24" s="1">
        <v>0</v>
      </c>
      <c r="EF24" s="1">
        <v>0</v>
      </c>
      <c r="EG24" s="1">
        <v>47</v>
      </c>
      <c r="EH24" s="1">
        <v>70.73170731707323</v>
      </c>
      <c r="EI24" s="1">
        <v>26.829268292682965</v>
      </c>
      <c r="EJ24" s="1">
        <v>2.4390243902439011</v>
      </c>
      <c r="EK24" s="1">
        <v>0</v>
      </c>
      <c r="EL24" s="1">
        <v>0</v>
      </c>
      <c r="EM24" s="1">
        <v>41</v>
      </c>
      <c r="EN24" s="1">
        <v>45.588235294117702</v>
      </c>
      <c r="EO24" s="1">
        <v>41.176470588235212</v>
      </c>
      <c r="EP24" s="1">
        <v>7.3529411764706003</v>
      </c>
      <c r="EQ24" s="1">
        <v>4.4117647058823612</v>
      </c>
      <c r="ER24" s="1">
        <v>1.4705882352941162</v>
      </c>
      <c r="ES24" s="1">
        <v>68</v>
      </c>
      <c r="ET24" s="1">
        <v>50</v>
      </c>
      <c r="EU24" s="1">
        <v>43.055555555555635</v>
      </c>
      <c r="EV24" s="1">
        <v>5.5555555555555456</v>
      </c>
      <c r="EW24" s="1">
        <v>1.3888888888888864</v>
      </c>
      <c r="EX24" s="1">
        <v>0</v>
      </c>
      <c r="EY24" s="1">
        <v>72</v>
      </c>
      <c r="EZ24" s="1">
        <v>44.680851063829671</v>
      </c>
      <c r="FA24" s="1">
        <v>40.425531914893625</v>
      </c>
      <c r="FB24" s="1">
        <v>14.893617021276615</v>
      </c>
      <c r="FC24" s="1">
        <v>0</v>
      </c>
      <c r="FD24" s="1">
        <v>0</v>
      </c>
      <c r="FE24" s="1">
        <v>47</v>
      </c>
      <c r="FF24" s="1">
        <v>47.058823529411718</v>
      </c>
      <c r="FG24" s="1">
        <v>32.35294117647063</v>
      </c>
      <c r="FH24" s="1">
        <v>20.588235294117606</v>
      </c>
      <c r="FI24" s="1">
        <v>0</v>
      </c>
      <c r="FJ24" s="1">
        <v>0</v>
      </c>
      <c r="FK24" s="1">
        <v>34</v>
      </c>
      <c r="FL24" s="1">
        <v>71.428571428571473</v>
      </c>
      <c r="FM24" s="1">
        <v>21.428571428571416</v>
      </c>
      <c r="FN24" s="1">
        <v>4.7619047619047645</v>
      </c>
      <c r="FO24" s="1">
        <v>0</v>
      </c>
      <c r="FP24" s="1">
        <v>2.3809523809523823</v>
      </c>
      <c r="FQ24" s="1">
        <v>42</v>
      </c>
      <c r="FR24" s="1">
        <v>79.999999999999986</v>
      </c>
      <c r="FS24" s="1">
        <v>17.499999999999996</v>
      </c>
      <c r="FT24" s="1">
        <v>0</v>
      </c>
      <c r="FU24" s="1">
        <v>2.4999999999999996</v>
      </c>
      <c r="FV24" s="1">
        <v>0</v>
      </c>
      <c r="FW24" s="1">
        <v>40</v>
      </c>
      <c r="FX24" s="1">
        <v>97.36842105263166</v>
      </c>
      <c r="FY24" s="1">
        <v>1.7543859649122759</v>
      </c>
      <c r="FZ24" s="1">
        <v>0.87719298245613797</v>
      </c>
      <c r="GA24" s="1">
        <v>0</v>
      </c>
      <c r="GB24" s="1">
        <v>0</v>
      </c>
      <c r="GC24" s="1">
        <v>114</v>
      </c>
      <c r="GD24" s="1">
        <v>80.701754385964875</v>
      </c>
      <c r="GE24" s="1">
        <v>17.543859649122833</v>
      </c>
      <c r="GF24" s="1">
        <v>1.7543859649122759</v>
      </c>
      <c r="GG24" s="1">
        <v>0</v>
      </c>
      <c r="GH24" s="1">
        <v>0</v>
      </c>
      <c r="GI24" s="1">
        <v>57</v>
      </c>
      <c r="GJ24" s="1">
        <v>80.392156862744926</v>
      </c>
      <c r="GK24" s="1">
        <v>13.725490196078439</v>
      </c>
      <c r="GL24" s="1">
        <v>5.8823529411764648</v>
      </c>
      <c r="GM24" s="1">
        <v>0</v>
      </c>
      <c r="GN24" s="1">
        <v>0</v>
      </c>
      <c r="GO24" s="1">
        <v>51</v>
      </c>
      <c r="GP24" s="1">
        <v>86</v>
      </c>
      <c r="GQ24" s="1">
        <v>12.999999999999998</v>
      </c>
      <c r="GR24" s="1">
        <v>0</v>
      </c>
      <c r="GS24" s="1">
        <v>0.99999999999999989</v>
      </c>
      <c r="GT24" s="1">
        <v>0</v>
      </c>
      <c r="GU24" s="1">
        <v>100</v>
      </c>
      <c r="GV24" s="1">
        <v>86.597938144330143</v>
      </c>
      <c r="GW24" s="1">
        <v>13.402061855670121</v>
      </c>
      <c r="GX24" s="1">
        <v>0</v>
      </c>
      <c r="GY24" s="1">
        <v>0</v>
      </c>
      <c r="GZ24" s="1">
        <v>0</v>
      </c>
      <c r="HA24" s="1">
        <v>97</v>
      </c>
      <c r="HB24" s="1">
        <v>74.999999999999986</v>
      </c>
      <c r="HC24" s="1">
        <v>12.499999999999998</v>
      </c>
      <c r="HD24" s="1">
        <v>4.9999999999999991</v>
      </c>
      <c r="HE24" s="1">
        <v>4.9999999999999991</v>
      </c>
      <c r="HF24" s="1">
        <v>2.4999999999999996</v>
      </c>
      <c r="HG24" s="1">
        <v>40</v>
      </c>
      <c r="HH24" s="1">
        <v>78.048780487804848</v>
      </c>
      <c r="HI24" s="1">
        <v>19.512195121951208</v>
      </c>
      <c r="HJ24" s="1">
        <v>2.4390243902439011</v>
      </c>
      <c r="HK24" s="1">
        <v>0</v>
      </c>
      <c r="HL24" s="1">
        <v>0</v>
      </c>
      <c r="HM24" s="1">
        <v>41</v>
      </c>
      <c r="HN24" s="1">
        <v>0</v>
      </c>
      <c r="HO24" s="1">
        <v>0</v>
      </c>
      <c r="HP24" s="1">
        <v>0</v>
      </c>
      <c r="HQ24" s="1">
        <v>0</v>
      </c>
      <c r="HR24" s="1">
        <v>0</v>
      </c>
      <c r="HS24" s="1">
        <v>0</v>
      </c>
      <c r="HT24" s="1">
        <v>0</v>
      </c>
      <c r="HU24" s="1">
        <v>0</v>
      </c>
      <c r="HV24" s="1">
        <v>0</v>
      </c>
      <c r="HW24" s="1">
        <v>0</v>
      </c>
      <c r="HX24" s="1">
        <v>0</v>
      </c>
      <c r="HY24" s="1">
        <v>0</v>
      </c>
      <c r="HZ24" s="1">
        <v>0</v>
      </c>
      <c r="IA24" s="1">
        <v>0</v>
      </c>
      <c r="IB24" s="1">
        <v>0</v>
      </c>
      <c r="IC24" s="1">
        <v>0</v>
      </c>
      <c r="ID24" s="1">
        <v>0</v>
      </c>
      <c r="IE24" s="1">
        <v>0</v>
      </c>
      <c r="IF24" s="1">
        <v>9.5370370370370363</v>
      </c>
      <c r="IG24" s="1">
        <v>0</v>
      </c>
      <c r="IH24" s="1">
        <v>0</v>
      </c>
      <c r="II24" s="1">
        <v>0</v>
      </c>
      <c r="IJ24" s="1">
        <v>0</v>
      </c>
      <c r="IK24" s="1">
        <v>0</v>
      </c>
      <c r="IL24" s="1">
        <v>0.92592592592592404</v>
      </c>
      <c r="IM24" s="1">
        <v>0.92592592592592404</v>
      </c>
      <c r="IN24" s="1">
        <v>10.185185185185199</v>
      </c>
      <c r="IO24" s="1">
        <v>19.444444444444393</v>
      </c>
      <c r="IP24" s="1">
        <v>68.51851851851842</v>
      </c>
      <c r="IQ24" s="1">
        <v>9.5370370370370487</v>
      </c>
      <c r="IR24" s="1">
        <v>108</v>
      </c>
      <c r="IS24" s="1">
        <v>71.794871794871838</v>
      </c>
      <c r="IT24" s="1">
        <v>22.222222222222182</v>
      </c>
      <c r="IU24" s="1">
        <v>5.9829059829059936</v>
      </c>
      <c r="IV24" s="1">
        <v>0</v>
      </c>
      <c r="IW24" s="1">
        <v>0</v>
      </c>
      <c r="IX24" s="1">
        <v>117</v>
      </c>
      <c r="IY24" s="1">
        <v>1</v>
      </c>
      <c r="IZ24" s="1">
        <v>54.380049999999976</v>
      </c>
      <c r="JA24" s="1">
        <v>40.666820000000008</v>
      </c>
      <c r="JB24" s="1">
        <v>9.9302699999999895</v>
      </c>
      <c r="JC24" s="1">
        <v>2.3643500000000013</v>
      </c>
      <c r="JD24" s="1">
        <v>2.8372200000000016</v>
      </c>
      <c r="JE24" s="1">
        <v>0.74782608695652175</v>
      </c>
      <c r="JF24" s="1">
        <v>0.18260869565217411</v>
      </c>
      <c r="JG24" s="1">
        <v>4.347826086956532E-2</v>
      </c>
      <c r="JH24" s="1">
        <v>5.2173913043478175E-2</v>
      </c>
      <c r="JI24" s="1">
        <v>1</v>
      </c>
      <c r="JJ24" s="1">
        <v>115</v>
      </c>
      <c r="JK24" s="1">
        <v>3.5043478260869567</v>
      </c>
      <c r="JL24" s="1">
        <v>3.5043478260869461</v>
      </c>
      <c r="JM24" s="1">
        <v>115</v>
      </c>
      <c r="JN24" s="1">
        <v>93.749999999999986</v>
      </c>
      <c r="JO24" s="1">
        <v>6.2499999999999991</v>
      </c>
      <c r="JP24" s="1">
        <v>32</v>
      </c>
      <c r="JQ24" s="1">
        <v>94.117647058823437</v>
      </c>
      <c r="JR24" s="1">
        <v>5.8823529411764648</v>
      </c>
      <c r="JS24" s="1">
        <v>68</v>
      </c>
      <c r="JT24" s="1">
        <v>93</v>
      </c>
      <c r="JU24" s="1">
        <v>6.9999999999999991</v>
      </c>
      <c r="JV24" s="1">
        <v>100</v>
      </c>
      <c r="JW24" s="1">
        <v>87.301587301587219</v>
      </c>
      <c r="JX24" s="1">
        <v>12.698412698412707</v>
      </c>
      <c r="JY24" s="1">
        <v>63</v>
      </c>
      <c r="JZ24" s="1">
        <v>51.886792452830299</v>
      </c>
      <c r="KA24" s="1">
        <v>48.113207547169701</v>
      </c>
      <c r="KB24" s="1">
        <v>106</v>
      </c>
      <c r="KC24" s="1">
        <v>100</v>
      </c>
      <c r="KD24" s="1">
        <v>0</v>
      </c>
      <c r="KE24" s="1">
        <v>101</v>
      </c>
      <c r="KF24" s="1">
        <v>3.1980198019801982</v>
      </c>
      <c r="KG24" s="1">
        <v>10.891089108910888</v>
      </c>
      <c r="KH24" s="1">
        <v>13.861386138613854</v>
      </c>
      <c r="KI24" s="1">
        <v>32.673267326732578</v>
      </c>
      <c r="KJ24" s="1">
        <v>29.702970297029758</v>
      </c>
      <c r="KK24" s="1">
        <v>12.87128712871284</v>
      </c>
      <c r="KL24" s="1">
        <v>101</v>
      </c>
      <c r="KM24" s="1">
        <v>55.811881188118662</v>
      </c>
      <c r="KN24" s="1">
        <v>150</v>
      </c>
      <c r="KO24" s="1">
        <v>0</v>
      </c>
      <c r="KP24" s="1">
        <v>0</v>
      </c>
      <c r="KQ24" s="1">
        <v>0</v>
      </c>
      <c r="KR24" s="1">
        <v>0</v>
      </c>
      <c r="KS24" s="1">
        <v>100</v>
      </c>
      <c r="KT24" s="1">
        <v>2</v>
      </c>
      <c r="KU24" s="1">
        <v>0</v>
      </c>
      <c r="KV24" s="1">
        <v>0.970873786407765</v>
      </c>
      <c r="KW24" s="1">
        <v>1.94174757281553</v>
      </c>
      <c r="KX24" s="1">
        <v>97.087378640776777</v>
      </c>
      <c r="KY24" s="1">
        <v>0</v>
      </c>
      <c r="KZ24" s="1">
        <v>103</v>
      </c>
      <c r="LA24" s="1">
        <v>12.380952380952357</v>
      </c>
      <c r="LB24" s="1">
        <v>87.619047619047691</v>
      </c>
      <c r="LC24" s="1">
        <v>105</v>
      </c>
      <c r="LD24" s="1">
        <v>0</v>
      </c>
      <c r="LE24" s="1">
        <v>18.181818181818183</v>
      </c>
      <c r="LF24" s="1">
        <v>81.818181818181785</v>
      </c>
      <c r="LG24" s="1">
        <v>11</v>
      </c>
    </row>
    <row r="25" spans="1:319" x14ac:dyDescent="0.25">
      <c r="A25" s="1">
        <v>55</v>
      </c>
      <c r="B25" s="1">
        <v>11.428571428571436</v>
      </c>
      <c r="C25" s="1">
        <v>88.571428571428498</v>
      </c>
      <c r="D25" s="1">
        <v>70</v>
      </c>
      <c r="E25" s="1">
        <v>82.258064516128883</v>
      </c>
      <c r="F25" s="1">
        <v>17.741935483870968</v>
      </c>
      <c r="G25" s="1">
        <v>62</v>
      </c>
      <c r="H25" s="1">
        <v>62.745098039215605</v>
      </c>
      <c r="I25" s="1">
        <v>37.254901960784302</v>
      </c>
      <c r="J25" s="1">
        <v>51</v>
      </c>
      <c r="K25" s="1">
        <v>1</v>
      </c>
      <c r="L25" s="1">
        <v>59.68480000000001</v>
      </c>
      <c r="M25" s="1">
        <v>21.316000000000017</v>
      </c>
      <c r="N25" s="1">
        <v>8.5264000000000024</v>
      </c>
      <c r="O25" s="1">
        <v>23.021279999999987</v>
      </c>
      <c r="P25" s="1">
        <v>0.85264000000000051</v>
      </c>
      <c r="Q25" s="1">
        <v>17.052800000000005</v>
      </c>
      <c r="R25" s="1">
        <v>0</v>
      </c>
      <c r="S25" s="1">
        <v>0.85264000000000051</v>
      </c>
      <c r="T25" s="1">
        <v>8.5264000000000024</v>
      </c>
      <c r="U25" s="1">
        <v>5.1158399999999951</v>
      </c>
      <c r="V25" s="1">
        <v>3.410560000000002</v>
      </c>
      <c r="W25" s="1">
        <v>0.35714285714285737</v>
      </c>
      <c r="X25" s="1">
        <v>0.14285714285714252</v>
      </c>
      <c r="Y25" s="1">
        <v>0.3857142857142859</v>
      </c>
      <c r="Z25" s="1">
        <v>1.4285714285714259E-2</v>
      </c>
      <c r="AA25" s="1">
        <v>0.28571428571428503</v>
      </c>
      <c r="AB25" s="1">
        <v>0</v>
      </c>
      <c r="AC25" s="1">
        <v>1.4285714285714259E-2</v>
      </c>
      <c r="AD25" s="1">
        <v>0.14285714285714252</v>
      </c>
      <c r="AE25" s="1">
        <v>8.5714285714285632E-2</v>
      </c>
      <c r="AF25" s="1">
        <v>5.7142857142857037E-2</v>
      </c>
      <c r="AG25" s="1">
        <v>1</v>
      </c>
      <c r="AH25" s="1">
        <v>70</v>
      </c>
      <c r="AI25" s="1">
        <v>1</v>
      </c>
      <c r="AJ25" s="1">
        <v>53.716320000000003</v>
      </c>
      <c r="AK25" s="1">
        <v>40.926719999999968</v>
      </c>
      <c r="AL25" s="1">
        <v>32.400320000000001</v>
      </c>
      <c r="AM25" s="1">
        <v>33.252959999999995</v>
      </c>
      <c r="AN25" s="1">
        <v>39.221439999999966</v>
      </c>
      <c r="AO25" s="1">
        <v>7.673760000000005</v>
      </c>
      <c r="AP25" s="1">
        <v>8.5264000000000024</v>
      </c>
      <c r="AQ25" s="1">
        <v>0.76190476190476086</v>
      </c>
      <c r="AR25" s="1">
        <v>0.60317460317460303</v>
      </c>
      <c r="AS25" s="1">
        <v>0.61904761904761985</v>
      </c>
      <c r="AT25" s="1">
        <v>0.73015873015872934</v>
      </c>
      <c r="AU25" s="1">
        <v>0.14285714285714252</v>
      </c>
      <c r="AV25" s="1">
        <v>0.15873015873015833</v>
      </c>
      <c r="AW25" s="1">
        <v>1</v>
      </c>
      <c r="AX25" s="1">
        <v>63</v>
      </c>
      <c r="AY25" s="1">
        <v>9.6805555555555554</v>
      </c>
      <c r="AZ25" s="1">
        <v>9.8055555555555554</v>
      </c>
      <c r="BA25" s="1">
        <v>9.7142857142857135</v>
      </c>
      <c r="BB25" s="1">
        <v>0</v>
      </c>
      <c r="BC25" s="1">
        <v>0</v>
      </c>
      <c r="BD25" s="1">
        <v>0</v>
      </c>
      <c r="BE25" s="1">
        <v>0</v>
      </c>
      <c r="BF25" s="1">
        <v>0</v>
      </c>
      <c r="BG25" s="1">
        <v>0</v>
      </c>
      <c r="BH25" s="1">
        <v>0</v>
      </c>
      <c r="BI25" s="1">
        <v>11.111111111111093</v>
      </c>
      <c r="BJ25" s="1">
        <v>9.722222222222209</v>
      </c>
      <c r="BK25" s="1">
        <v>79.1666666666667</v>
      </c>
      <c r="BL25" s="1">
        <v>9.6805555555555465</v>
      </c>
      <c r="BM25" s="1">
        <v>72</v>
      </c>
      <c r="BN25" s="1">
        <v>0</v>
      </c>
      <c r="BO25" s="1">
        <v>0</v>
      </c>
      <c r="BP25" s="1">
        <v>0</v>
      </c>
      <c r="BQ25" s="1">
        <v>0</v>
      </c>
      <c r="BR25" s="1">
        <v>0</v>
      </c>
      <c r="BS25" s="1">
        <v>0</v>
      </c>
      <c r="BT25" s="1">
        <v>0</v>
      </c>
      <c r="BU25" s="1">
        <v>5.5555555555555465</v>
      </c>
      <c r="BV25" s="1">
        <v>8.333333333333325</v>
      </c>
      <c r="BW25" s="1">
        <v>86.111111111111242</v>
      </c>
      <c r="BX25" s="1">
        <v>9.8055555555555465</v>
      </c>
      <c r="BY25" s="1">
        <v>72</v>
      </c>
      <c r="BZ25" s="1">
        <v>0</v>
      </c>
      <c r="CA25" s="1">
        <v>0</v>
      </c>
      <c r="CB25" s="1">
        <v>0</v>
      </c>
      <c r="CC25" s="1">
        <v>0</v>
      </c>
      <c r="CD25" s="1">
        <v>0</v>
      </c>
      <c r="CE25" s="1">
        <v>0</v>
      </c>
      <c r="CF25" s="1">
        <v>0</v>
      </c>
      <c r="CG25" s="1">
        <v>7.1428571428571246</v>
      </c>
      <c r="CH25" s="1">
        <v>14.285714285714249</v>
      </c>
      <c r="CI25" s="1">
        <v>78.57142857142847</v>
      </c>
      <c r="CJ25" s="1">
        <v>9.7142857142857046</v>
      </c>
      <c r="CK25" s="1">
        <v>70</v>
      </c>
      <c r="CL25" s="1">
        <v>59.999999999999986</v>
      </c>
      <c r="CM25" s="1">
        <v>38.571428571428484</v>
      </c>
      <c r="CN25" s="1">
        <v>1.4285714285714295</v>
      </c>
      <c r="CO25" s="1">
        <v>0</v>
      </c>
      <c r="CP25" s="1">
        <v>0</v>
      </c>
      <c r="CQ25" s="1">
        <v>70</v>
      </c>
      <c r="CR25" s="1">
        <v>84.507042253520993</v>
      </c>
      <c r="CS25" s="1">
        <v>15.492957746478854</v>
      </c>
      <c r="CT25" s="1">
        <v>0</v>
      </c>
      <c r="CU25" s="1">
        <v>0</v>
      </c>
      <c r="CV25" s="1">
        <v>0</v>
      </c>
      <c r="CW25" s="1">
        <v>71</v>
      </c>
      <c r="CX25" s="1">
        <v>72.222222222222271</v>
      </c>
      <c r="CY25" s="1">
        <v>24.999999999999993</v>
      </c>
      <c r="CZ25" s="1">
        <v>2.7777777777777732</v>
      </c>
      <c r="DA25" s="1">
        <v>0</v>
      </c>
      <c r="DB25" s="1">
        <v>0</v>
      </c>
      <c r="DC25" s="1">
        <v>72</v>
      </c>
      <c r="DD25" s="1">
        <v>80.555555555555628</v>
      </c>
      <c r="DE25" s="1">
        <v>18.055555555555518</v>
      </c>
      <c r="DF25" s="1">
        <v>1.3888888888888866</v>
      </c>
      <c r="DG25" s="1">
        <v>0</v>
      </c>
      <c r="DH25" s="1">
        <v>0</v>
      </c>
      <c r="DI25" s="1">
        <v>72</v>
      </c>
      <c r="DJ25" s="1">
        <v>74.285714285714334</v>
      </c>
      <c r="DK25" s="1">
        <v>22.857142857142872</v>
      </c>
      <c r="DL25" s="1">
        <v>1.4285714285714295</v>
      </c>
      <c r="DM25" s="1">
        <v>1.4285714285714295</v>
      </c>
      <c r="DN25" s="1">
        <v>0</v>
      </c>
      <c r="DO25" s="1">
        <v>70</v>
      </c>
      <c r="DP25" s="1">
        <v>86.111111111111242</v>
      </c>
      <c r="DQ25" s="1">
        <v>11.111111111111093</v>
      </c>
      <c r="DR25" s="1">
        <v>1.3888888888888866</v>
      </c>
      <c r="DS25" s="1">
        <v>1.3888888888888866</v>
      </c>
      <c r="DT25" s="1">
        <v>0</v>
      </c>
      <c r="DU25" s="1">
        <v>72</v>
      </c>
      <c r="DV25" s="1">
        <v>72.881355932203391</v>
      </c>
      <c r="DW25" s="1">
        <v>23.728813559321974</v>
      </c>
      <c r="DX25" s="1">
        <v>0</v>
      </c>
      <c r="DY25" s="1">
        <v>3.3898305084745743</v>
      </c>
      <c r="DZ25" s="1">
        <v>0</v>
      </c>
      <c r="EA25" s="1">
        <v>59</v>
      </c>
      <c r="EB25" s="1">
        <v>90.909090909090963</v>
      </c>
      <c r="EC25" s="1">
        <v>9.0909090909090882</v>
      </c>
      <c r="ED25" s="1">
        <v>0</v>
      </c>
      <c r="EE25" s="1">
        <v>0</v>
      </c>
      <c r="EF25" s="1">
        <v>0</v>
      </c>
      <c r="EG25" s="1">
        <v>11</v>
      </c>
      <c r="EH25" s="1">
        <v>60</v>
      </c>
      <c r="EI25" s="1">
        <v>40</v>
      </c>
      <c r="EJ25" s="1">
        <v>0</v>
      </c>
      <c r="EK25" s="1">
        <v>0</v>
      </c>
      <c r="EL25" s="1">
        <v>0</v>
      </c>
      <c r="EM25" s="1">
        <v>10</v>
      </c>
      <c r="EN25" s="1">
        <v>39.02439024390241</v>
      </c>
      <c r="EO25" s="1">
        <v>48.780487804878106</v>
      </c>
      <c r="EP25" s="1">
        <v>4.878048780487803</v>
      </c>
      <c r="EQ25" s="1">
        <v>4.878048780487803</v>
      </c>
      <c r="ER25" s="1">
        <v>2.4390243902439015</v>
      </c>
      <c r="ES25" s="1">
        <v>41</v>
      </c>
      <c r="ET25" s="1">
        <v>44.186046511627872</v>
      </c>
      <c r="EU25" s="1">
        <v>51.162790697674481</v>
      </c>
      <c r="EV25" s="1">
        <v>4.6511627906976765</v>
      </c>
      <c r="EW25" s="1">
        <v>0</v>
      </c>
      <c r="EX25" s="1">
        <v>0</v>
      </c>
      <c r="EY25" s="1">
        <v>43</v>
      </c>
      <c r="EZ25" s="1">
        <v>56.250000000000007</v>
      </c>
      <c r="FA25" s="1">
        <v>43.750000000000007</v>
      </c>
      <c r="FB25" s="1">
        <v>0</v>
      </c>
      <c r="FC25" s="1">
        <v>0</v>
      </c>
      <c r="FD25" s="1">
        <v>0</v>
      </c>
      <c r="FE25" s="1">
        <v>16</v>
      </c>
      <c r="FF25" s="1">
        <v>54.545454545454511</v>
      </c>
      <c r="FG25" s="1">
        <v>36.363636363636353</v>
      </c>
      <c r="FH25" s="1">
        <v>0</v>
      </c>
      <c r="FI25" s="1">
        <v>9.0909090909090882</v>
      </c>
      <c r="FJ25" s="1">
        <v>0</v>
      </c>
      <c r="FK25" s="1">
        <v>11</v>
      </c>
      <c r="FL25" s="1">
        <v>60.869565217391354</v>
      </c>
      <c r="FM25" s="1">
        <v>30.434782608695677</v>
      </c>
      <c r="FN25" s="1">
        <v>0</v>
      </c>
      <c r="FO25" s="1">
        <v>4.3478260869565206</v>
      </c>
      <c r="FP25" s="1">
        <v>4.3478260869565206</v>
      </c>
      <c r="FQ25" s="1">
        <v>23</v>
      </c>
      <c r="FR25" s="1">
        <v>78.947368421052545</v>
      </c>
      <c r="FS25" s="1">
        <v>21.052631578947356</v>
      </c>
      <c r="FT25" s="1">
        <v>0</v>
      </c>
      <c r="FU25" s="1">
        <v>0</v>
      </c>
      <c r="FV25" s="1">
        <v>0</v>
      </c>
      <c r="FW25" s="1">
        <v>19</v>
      </c>
      <c r="FX25" s="1">
        <v>82.857142857142875</v>
      </c>
      <c r="FY25" s="1">
        <v>15.714285714285694</v>
      </c>
      <c r="FZ25" s="1">
        <v>1.4285714285714295</v>
      </c>
      <c r="GA25" s="1">
        <v>0</v>
      </c>
      <c r="GB25" s="1">
        <v>0</v>
      </c>
      <c r="GC25" s="1">
        <v>70</v>
      </c>
      <c r="GD25" s="1">
        <v>51.999999999999993</v>
      </c>
      <c r="GE25" s="1">
        <v>47.999999999999993</v>
      </c>
      <c r="GF25" s="1">
        <v>0</v>
      </c>
      <c r="GG25" s="1">
        <v>0</v>
      </c>
      <c r="GH25" s="1">
        <v>0</v>
      </c>
      <c r="GI25" s="1">
        <v>25</v>
      </c>
      <c r="GJ25" s="1">
        <v>77.7777777777777</v>
      </c>
      <c r="GK25" s="1">
        <v>22.222222222222229</v>
      </c>
      <c r="GL25" s="1">
        <v>0</v>
      </c>
      <c r="GM25" s="1">
        <v>0</v>
      </c>
      <c r="GN25" s="1">
        <v>0</v>
      </c>
      <c r="GO25" s="1">
        <v>18</v>
      </c>
      <c r="GP25" s="1">
        <v>79.661016949152398</v>
      </c>
      <c r="GQ25" s="1">
        <v>16.949152542372854</v>
      </c>
      <c r="GR25" s="1">
        <v>1.6949152542372872</v>
      </c>
      <c r="GS25" s="1">
        <v>1.6949152542372872</v>
      </c>
      <c r="GT25" s="1">
        <v>0</v>
      </c>
      <c r="GU25" s="1">
        <v>59</v>
      </c>
      <c r="GV25" s="1">
        <v>88.709677419354875</v>
      </c>
      <c r="GW25" s="1">
        <v>9.6774193548386958</v>
      </c>
      <c r="GX25" s="1">
        <v>1.6129032258064493</v>
      </c>
      <c r="GY25" s="1">
        <v>0</v>
      </c>
      <c r="GZ25" s="1">
        <v>0</v>
      </c>
      <c r="HA25" s="1">
        <v>62</v>
      </c>
      <c r="HB25" s="1">
        <v>57.894736842105331</v>
      </c>
      <c r="HC25" s="1">
        <v>42.105263157894711</v>
      </c>
      <c r="HD25" s="1">
        <v>0</v>
      </c>
      <c r="HE25" s="1">
        <v>0</v>
      </c>
      <c r="HF25" s="1">
        <v>0</v>
      </c>
      <c r="HG25" s="1">
        <v>19</v>
      </c>
      <c r="HH25" s="1">
        <v>66.666666666666657</v>
      </c>
      <c r="HI25" s="1">
        <v>33.333333333333329</v>
      </c>
      <c r="HJ25" s="1">
        <v>0</v>
      </c>
      <c r="HK25" s="1">
        <v>0</v>
      </c>
      <c r="HL25" s="1">
        <v>0</v>
      </c>
      <c r="HM25" s="1">
        <v>6</v>
      </c>
      <c r="HN25" s="1">
        <v>0</v>
      </c>
      <c r="HO25" s="1">
        <v>0</v>
      </c>
      <c r="HP25" s="1">
        <v>0</v>
      </c>
      <c r="HQ25" s="1">
        <v>0</v>
      </c>
      <c r="HR25" s="1">
        <v>0</v>
      </c>
      <c r="HS25" s="1">
        <v>0</v>
      </c>
      <c r="HT25" s="1">
        <v>0</v>
      </c>
      <c r="HU25" s="1">
        <v>0</v>
      </c>
      <c r="HV25" s="1">
        <v>0</v>
      </c>
      <c r="HW25" s="1">
        <v>0</v>
      </c>
      <c r="HX25" s="1">
        <v>0</v>
      </c>
      <c r="HY25" s="1">
        <v>0</v>
      </c>
      <c r="HZ25" s="1">
        <v>0</v>
      </c>
      <c r="IA25" s="1">
        <v>0</v>
      </c>
      <c r="IB25" s="1">
        <v>0</v>
      </c>
      <c r="IC25" s="1">
        <v>0</v>
      </c>
      <c r="ID25" s="1">
        <v>0</v>
      </c>
      <c r="IE25" s="1">
        <v>0</v>
      </c>
      <c r="IF25" s="1">
        <v>9.484375</v>
      </c>
      <c r="IG25" s="1">
        <v>0</v>
      </c>
      <c r="IH25" s="1">
        <v>0</v>
      </c>
      <c r="II25" s="1">
        <v>0</v>
      </c>
      <c r="IJ25" s="1">
        <v>0</v>
      </c>
      <c r="IK25" s="1">
        <v>0</v>
      </c>
      <c r="IL25" s="1">
        <v>0</v>
      </c>
      <c r="IM25" s="1">
        <v>3.1249999999999996</v>
      </c>
      <c r="IN25" s="1">
        <v>6.2499999999999991</v>
      </c>
      <c r="IO25" s="1">
        <v>29.687499999999993</v>
      </c>
      <c r="IP25" s="1">
        <v>60.937499999999986</v>
      </c>
      <c r="IQ25" s="1">
        <v>9.4843750000000018</v>
      </c>
      <c r="IR25" s="1">
        <v>64</v>
      </c>
      <c r="IS25" s="1">
        <v>52.7777777777778</v>
      </c>
      <c r="IT25" s="1">
        <v>36.111111111111136</v>
      </c>
      <c r="IU25" s="1">
        <v>9.722222222222209</v>
      </c>
      <c r="IV25" s="1">
        <v>0</v>
      </c>
      <c r="IW25" s="1">
        <v>1.3888888888888866</v>
      </c>
      <c r="IX25" s="1">
        <v>72</v>
      </c>
      <c r="IY25" s="1">
        <v>1</v>
      </c>
      <c r="IZ25" s="1">
        <v>60.537440000000046</v>
      </c>
      <c r="JA25" s="1">
        <v>40.074080000000002</v>
      </c>
      <c r="JB25" s="1">
        <v>17.905439999999995</v>
      </c>
      <c r="JC25" s="1">
        <v>4.2632000000000012</v>
      </c>
      <c r="JD25" s="1">
        <v>1.705280000000001</v>
      </c>
      <c r="JE25" s="1">
        <v>0.66197183098591461</v>
      </c>
      <c r="JF25" s="1">
        <v>0.29577464788732388</v>
      </c>
      <c r="JG25" s="1">
        <v>7.0422535211267609E-2</v>
      </c>
      <c r="JH25" s="1">
        <v>2.8169014084507012E-2</v>
      </c>
      <c r="JI25" s="1">
        <v>1</v>
      </c>
      <c r="JJ25" s="1">
        <v>71</v>
      </c>
      <c r="JK25" s="1">
        <v>4.2777777777777777</v>
      </c>
      <c r="JL25" s="1">
        <v>4.2777777777777732</v>
      </c>
      <c r="JM25" s="1">
        <v>72</v>
      </c>
      <c r="JN25" s="1">
        <v>87.999999999999986</v>
      </c>
      <c r="JO25" s="1">
        <v>12</v>
      </c>
      <c r="JP25" s="1">
        <v>25</v>
      </c>
      <c r="JQ25" s="1">
        <v>94.999999999999986</v>
      </c>
      <c r="JR25" s="1">
        <v>4.9999999999999991</v>
      </c>
      <c r="JS25" s="1">
        <v>40</v>
      </c>
      <c r="JT25" s="1">
        <v>96.491228070175509</v>
      </c>
      <c r="JU25" s="1">
        <v>3.5087719298245541</v>
      </c>
      <c r="JV25" s="1">
        <v>57</v>
      </c>
      <c r="JW25" s="1">
        <v>91.304347826086982</v>
      </c>
      <c r="JX25" s="1">
        <v>8.6956521739130395</v>
      </c>
      <c r="JY25" s="1">
        <v>46</v>
      </c>
      <c r="JZ25" s="1">
        <v>53.731343283582099</v>
      </c>
      <c r="KA25" s="1">
        <v>46.268656716417837</v>
      </c>
      <c r="KB25" s="1">
        <v>67</v>
      </c>
      <c r="KC25" s="1">
        <v>96.923076923077076</v>
      </c>
      <c r="KD25" s="1">
        <v>3.0769230769230722</v>
      </c>
      <c r="KE25" s="1">
        <v>65</v>
      </c>
      <c r="KF25" s="1">
        <v>3.296875</v>
      </c>
      <c r="KG25" s="1">
        <v>6.2499999999999991</v>
      </c>
      <c r="KH25" s="1">
        <v>14.062499999999998</v>
      </c>
      <c r="KI25" s="1">
        <v>32.812499999999993</v>
      </c>
      <c r="KJ25" s="1">
        <v>37.499999999999993</v>
      </c>
      <c r="KK25" s="1">
        <v>9.3749999999999982</v>
      </c>
      <c r="KL25" s="1">
        <v>64</v>
      </c>
      <c r="KM25" s="1">
        <v>58.515624999999986</v>
      </c>
      <c r="KN25" s="1">
        <v>115.25</v>
      </c>
      <c r="KO25" s="1">
        <v>0</v>
      </c>
      <c r="KP25" s="1">
        <v>0</v>
      </c>
      <c r="KQ25" s="1">
        <v>25</v>
      </c>
      <c r="KR25" s="1">
        <v>25</v>
      </c>
      <c r="KS25" s="1">
        <v>50</v>
      </c>
      <c r="KT25" s="1">
        <v>4</v>
      </c>
      <c r="KU25" s="1">
        <v>1.5151515151515151</v>
      </c>
      <c r="KV25" s="1">
        <v>0</v>
      </c>
      <c r="KW25" s="1">
        <v>1.5151515151515151</v>
      </c>
      <c r="KX25" s="1">
        <v>96.969696969696983</v>
      </c>
      <c r="KY25" s="1">
        <v>0</v>
      </c>
      <c r="KZ25" s="1">
        <v>66</v>
      </c>
      <c r="LA25" s="1">
        <v>13.235294117647065</v>
      </c>
      <c r="LB25" s="1">
        <v>86.764705882353084</v>
      </c>
      <c r="LC25" s="1">
        <v>68</v>
      </c>
      <c r="LD25" s="1">
        <v>0</v>
      </c>
      <c r="LE25" s="1">
        <v>0</v>
      </c>
      <c r="LF25" s="1">
        <v>100</v>
      </c>
      <c r="LG25" s="1">
        <v>9</v>
      </c>
    </row>
    <row r="26" spans="1:319" x14ac:dyDescent="0.25">
      <c r="A26" s="1">
        <v>56</v>
      </c>
      <c r="B26" s="1">
        <v>15.151515151515161</v>
      </c>
      <c r="C26" s="1">
        <v>84.848484848484887</v>
      </c>
      <c r="D26" s="1">
        <v>33</v>
      </c>
      <c r="E26" s="1">
        <v>92.592592592592595</v>
      </c>
      <c r="F26" s="1">
        <v>7.4074074074074172</v>
      </c>
      <c r="G26" s="1">
        <v>27</v>
      </c>
      <c r="H26" s="1">
        <v>78.260869565217448</v>
      </c>
      <c r="I26" s="1">
        <v>21.73913043478262</v>
      </c>
      <c r="J26" s="1">
        <v>23</v>
      </c>
      <c r="K26" s="1">
        <v>1</v>
      </c>
      <c r="L26" s="1">
        <v>82.245589999999979</v>
      </c>
      <c r="M26" s="1">
        <v>10.029949999999998</v>
      </c>
      <c r="N26" s="1">
        <v>16.047919999999987</v>
      </c>
      <c r="O26" s="1">
        <v>34.10183</v>
      </c>
      <c r="P26" s="1">
        <v>6.0179699999999965</v>
      </c>
      <c r="Q26" s="1">
        <v>34.10183</v>
      </c>
      <c r="R26" s="1">
        <v>12.035939999999995</v>
      </c>
      <c r="S26" s="1">
        <v>4.0119799999999968</v>
      </c>
      <c r="T26" s="1">
        <v>12.035939999999995</v>
      </c>
      <c r="U26" s="1">
        <v>8.0239599999999935</v>
      </c>
      <c r="V26" s="1">
        <v>14.041929999999992</v>
      </c>
      <c r="W26" s="1">
        <v>0.12195121951219523</v>
      </c>
      <c r="X26" s="1">
        <v>0.19512195121951237</v>
      </c>
      <c r="Y26" s="1">
        <v>0.41463414634146328</v>
      </c>
      <c r="Z26" s="1">
        <v>7.3170731707317124E-2</v>
      </c>
      <c r="AA26" s="1">
        <v>0.41463414634146328</v>
      </c>
      <c r="AB26" s="1">
        <v>0.14634146341463428</v>
      </c>
      <c r="AC26" s="1">
        <v>4.8780487804878092E-2</v>
      </c>
      <c r="AD26" s="1">
        <v>0.14634146341463428</v>
      </c>
      <c r="AE26" s="1">
        <v>9.7560975609756184E-2</v>
      </c>
      <c r="AF26" s="1">
        <v>0.17073170731707332</v>
      </c>
      <c r="AG26" s="1">
        <v>1</v>
      </c>
      <c r="AH26" s="1">
        <v>41</v>
      </c>
      <c r="AI26" s="1">
        <v>1</v>
      </c>
      <c r="AJ26" s="1">
        <v>70.209649999999925</v>
      </c>
      <c r="AK26" s="1">
        <v>50.149749999999997</v>
      </c>
      <c r="AL26" s="1">
        <v>20.059899999999995</v>
      </c>
      <c r="AM26" s="1">
        <v>24.07187999999999</v>
      </c>
      <c r="AN26" s="1">
        <v>34.10183</v>
      </c>
      <c r="AO26" s="1">
        <v>2.0059899999999984</v>
      </c>
      <c r="AP26" s="1">
        <v>18.053909999999984</v>
      </c>
      <c r="AQ26" s="1">
        <v>0.71428571428571508</v>
      </c>
      <c r="AR26" s="1">
        <v>0.28571428571428603</v>
      </c>
      <c r="AS26" s="1">
        <v>0.3428571428571433</v>
      </c>
      <c r="AT26" s="1">
        <v>0.48571428571428632</v>
      </c>
      <c r="AU26" s="1">
        <v>2.8571428571428605E-2</v>
      </c>
      <c r="AV26" s="1">
        <v>0.2571428571428574</v>
      </c>
      <c r="AW26" s="1">
        <v>1</v>
      </c>
      <c r="AX26" s="1">
        <v>35</v>
      </c>
      <c r="AY26" s="1">
        <v>9.5806451612903221</v>
      </c>
      <c r="AZ26" s="1">
        <v>9.7179487179487172</v>
      </c>
      <c r="BA26" s="1">
        <v>9.8421052631578956</v>
      </c>
      <c r="BB26" s="1">
        <v>0</v>
      </c>
      <c r="BC26" s="1">
        <v>0</v>
      </c>
      <c r="BD26" s="1">
        <v>0</v>
      </c>
      <c r="BE26" s="1">
        <v>0</v>
      </c>
      <c r="BF26" s="1">
        <v>0</v>
      </c>
      <c r="BG26" s="1">
        <v>0</v>
      </c>
      <c r="BH26" s="1">
        <v>0</v>
      </c>
      <c r="BI26" s="1">
        <v>9.6774193548387171</v>
      </c>
      <c r="BJ26" s="1">
        <v>22.580645161290356</v>
      </c>
      <c r="BK26" s="1">
        <v>67.741935483871046</v>
      </c>
      <c r="BL26" s="1">
        <v>9.5806451612903221</v>
      </c>
      <c r="BM26" s="1">
        <v>31</v>
      </c>
      <c r="BN26" s="1">
        <v>0</v>
      </c>
      <c r="BO26" s="1">
        <v>0</v>
      </c>
      <c r="BP26" s="1">
        <v>0</v>
      </c>
      <c r="BQ26" s="1">
        <v>0</v>
      </c>
      <c r="BR26" s="1">
        <v>0</v>
      </c>
      <c r="BS26" s="1">
        <v>2.5641025641025683</v>
      </c>
      <c r="BT26" s="1">
        <v>2.5641025641025683</v>
      </c>
      <c r="BU26" s="1">
        <v>0</v>
      </c>
      <c r="BV26" s="1">
        <v>10.256410256410273</v>
      </c>
      <c r="BW26" s="1">
        <v>84.615384615384656</v>
      </c>
      <c r="BX26" s="1">
        <v>9.7179487179487278</v>
      </c>
      <c r="BY26" s="1">
        <v>39</v>
      </c>
      <c r="BZ26" s="1">
        <v>0</v>
      </c>
      <c r="CA26" s="1">
        <v>0</v>
      </c>
      <c r="CB26" s="1">
        <v>0</v>
      </c>
      <c r="CC26" s="1">
        <v>0</v>
      </c>
      <c r="CD26" s="1">
        <v>0</v>
      </c>
      <c r="CE26" s="1">
        <v>0</v>
      </c>
      <c r="CF26" s="1">
        <v>0</v>
      </c>
      <c r="CG26" s="1">
        <v>5.2631578947368478</v>
      </c>
      <c r="CH26" s="1">
        <v>5.2631578947368478</v>
      </c>
      <c r="CI26" s="1">
        <v>89.473684210526272</v>
      </c>
      <c r="CJ26" s="1">
        <v>9.8421052631579062</v>
      </c>
      <c r="CK26" s="1">
        <v>19</v>
      </c>
      <c r="CL26" s="1">
        <v>65.217391304347942</v>
      </c>
      <c r="CM26" s="1">
        <v>34.782608695652222</v>
      </c>
      <c r="CN26" s="1">
        <v>0</v>
      </c>
      <c r="CO26" s="1">
        <v>0</v>
      </c>
      <c r="CP26" s="1">
        <v>0</v>
      </c>
      <c r="CQ26" s="1">
        <v>23</v>
      </c>
      <c r="CR26" s="1">
        <v>85.000000000000014</v>
      </c>
      <c r="CS26" s="1">
        <v>10.000000000000004</v>
      </c>
      <c r="CT26" s="1">
        <v>0</v>
      </c>
      <c r="CU26" s="1">
        <v>5.0000000000000018</v>
      </c>
      <c r="CV26" s="1">
        <v>0</v>
      </c>
      <c r="CW26" s="1">
        <v>40</v>
      </c>
      <c r="CX26" s="1">
        <v>72.222222222222186</v>
      </c>
      <c r="CY26" s="1">
        <v>19.444444444444461</v>
      </c>
      <c r="CZ26" s="1">
        <v>5.5555555555555642</v>
      </c>
      <c r="DA26" s="1">
        <v>2.7777777777777821</v>
      </c>
      <c r="DB26" s="1">
        <v>0</v>
      </c>
      <c r="DC26" s="1">
        <v>36</v>
      </c>
      <c r="DD26" s="1">
        <v>78.571428571428541</v>
      </c>
      <c r="DE26" s="1">
        <v>14.285714285714297</v>
      </c>
      <c r="DF26" s="1">
        <v>4.7619047619047619</v>
      </c>
      <c r="DG26" s="1">
        <v>0</v>
      </c>
      <c r="DH26" s="1">
        <v>2.3809523809523809</v>
      </c>
      <c r="DI26" s="1">
        <v>42</v>
      </c>
      <c r="DJ26" s="1">
        <v>77.14285714285721</v>
      </c>
      <c r="DK26" s="1">
        <v>20.000000000000007</v>
      </c>
      <c r="DL26" s="1">
        <v>2.8571428571428608</v>
      </c>
      <c r="DM26" s="1">
        <v>0</v>
      </c>
      <c r="DN26" s="1">
        <v>0</v>
      </c>
      <c r="DO26" s="1">
        <v>35</v>
      </c>
      <c r="DP26" s="1">
        <v>92.857142857142776</v>
      </c>
      <c r="DQ26" s="1">
        <v>7.1428571428571486</v>
      </c>
      <c r="DR26" s="1">
        <v>0</v>
      </c>
      <c r="DS26" s="1">
        <v>0</v>
      </c>
      <c r="DT26" s="1">
        <v>0</v>
      </c>
      <c r="DU26" s="1">
        <v>42</v>
      </c>
      <c r="DV26" s="1">
        <v>100</v>
      </c>
      <c r="DW26" s="1">
        <v>0</v>
      </c>
      <c r="DX26" s="1">
        <v>0</v>
      </c>
      <c r="DY26" s="1">
        <v>0</v>
      </c>
      <c r="DZ26" s="1">
        <v>0</v>
      </c>
      <c r="EA26" s="1">
        <v>2</v>
      </c>
      <c r="EB26" s="1">
        <v>90.909090909090963</v>
      </c>
      <c r="EC26" s="1">
        <v>9.0909090909091042</v>
      </c>
      <c r="ED26" s="1">
        <v>0</v>
      </c>
      <c r="EE26" s="1">
        <v>0</v>
      </c>
      <c r="EF26" s="1">
        <v>0</v>
      </c>
      <c r="EG26" s="1">
        <v>22</v>
      </c>
      <c r="EH26" s="1">
        <v>77.272727272727352</v>
      </c>
      <c r="EI26" s="1">
        <v>18.181818181818208</v>
      </c>
      <c r="EJ26" s="1">
        <v>4.5454545454545521</v>
      </c>
      <c r="EK26" s="1">
        <v>0</v>
      </c>
      <c r="EL26" s="1">
        <v>0</v>
      </c>
      <c r="EM26" s="1">
        <v>22</v>
      </c>
      <c r="EN26" s="1">
        <v>61.904761904761926</v>
      </c>
      <c r="EO26" s="1">
        <v>38.095238095238088</v>
      </c>
      <c r="EP26" s="1">
        <v>0</v>
      </c>
      <c r="EQ26" s="1">
        <v>0</v>
      </c>
      <c r="ER26" s="1">
        <v>0</v>
      </c>
      <c r="ES26" s="1">
        <v>21</v>
      </c>
      <c r="ET26" s="1">
        <v>52.000000000000007</v>
      </c>
      <c r="EU26" s="1">
        <v>40.000000000000007</v>
      </c>
      <c r="EV26" s="1">
        <v>4.0000000000000009</v>
      </c>
      <c r="EW26" s="1">
        <v>4.0000000000000009</v>
      </c>
      <c r="EX26" s="1">
        <v>0</v>
      </c>
      <c r="EY26" s="1">
        <v>25</v>
      </c>
      <c r="EZ26" s="1">
        <v>63.63636363636364</v>
      </c>
      <c r="FA26" s="1">
        <v>18.181818181818166</v>
      </c>
      <c r="FB26" s="1">
        <v>18.181818181818166</v>
      </c>
      <c r="FC26" s="1">
        <v>0</v>
      </c>
      <c r="FD26" s="1">
        <v>0</v>
      </c>
      <c r="FE26" s="1">
        <v>11</v>
      </c>
      <c r="FF26" s="1">
        <v>73.333333333333371</v>
      </c>
      <c r="FG26" s="1">
        <v>13.333333333333332</v>
      </c>
      <c r="FH26" s="1">
        <v>13.333333333333332</v>
      </c>
      <c r="FI26" s="1">
        <v>0</v>
      </c>
      <c r="FJ26" s="1">
        <v>0</v>
      </c>
      <c r="FK26" s="1">
        <v>15</v>
      </c>
      <c r="FL26" s="1">
        <v>72.727272727272663</v>
      </c>
      <c r="FM26" s="1">
        <v>18.181818181818166</v>
      </c>
      <c r="FN26" s="1">
        <v>0</v>
      </c>
      <c r="FO26" s="1">
        <v>9.0909090909090828</v>
      </c>
      <c r="FP26" s="1">
        <v>0</v>
      </c>
      <c r="FQ26" s="1">
        <v>11</v>
      </c>
      <c r="FR26" s="1">
        <v>85.714285714285765</v>
      </c>
      <c r="FS26" s="1">
        <v>14.28571428571429</v>
      </c>
      <c r="FT26" s="1">
        <v>0</v>
      </c>
      <c r="FU26" s="1">
        <v>0</v>
      </c>
      <c r="FV26" s="1">
        <v>0</v>
      </c>
      <c r="FW26" s="1">
        <v>14</v>
      </c>
      <c r="FX26" s="1">
        <v>90.909090909090963</v>
      </c>
      <c r="FY26" s="1">
        <v>9.0909090909091042</v>
      </c>
      <c r="FZ26" s="1">
        <v>0</v>
      </c>
      <c r="GA26" s="1">
        <v>0</v>
      </c>
      <c r="GB26" s="1">
        <v>0</v>
      </c>
      <c r="GC26" s="1">
        <v>33</v>
      </c>
      <c r="GD26" s="1">
        <v>58.620689655172512</v>
      </c>
      <c r="GE26" s="1">
        <v>34.482758620689694</v>
      </c>
      <c r="GF26" s="1">
        <v>0</v>
      </c>
      <c r="GG26" s="1">
        <v>6.8965517241379342</v>
      </c>
      <c r="GH26" s="1">
        <v>0</v>
      </c>
      <c r="GI26" s="1">
        <v>29</v>
      </c>
      <c r="GJ26" s="1">
        <v>61.904761904761926</v>
      </c>
      <c r="GK26" s="1">
        <v>33.333333333333329</v>
      </c>
      <c r="GL26" s="1">
        <v>4.761904761904761</v>
      </c>
      <c r="GM26" s="1">
        <v>0</v>
      </c>
      <c r="GN26" s="1">
        <v>0</v>
      </c>
      <c r="GO26" s="1">
        <v>21</v>
      </c>
      <c r="GP26" s="1">
        <v>83.333333333333385</v>
      </c>
      <c r="GQ26" s="1">
        <v>16.666666666666668</v>
      </c>
      <c r="GR26" s="1">
        <v>0</v>
      </c>
      <c r="GS26" s="1">
        <v>0</v>
      </c>
      <c r="GT26" s="1">
        <v>0</v>
      </c>
      <c r="GU26" s="1">
        <v>36</v>
      </c>
      <c r="GV26" s="1">
        <v>93.548387096774164</v>
      </c>
      <c r="GW26" s="1">
        <v>6.4516129032258132</v>
      </c>
      <c r="GX26" s="1">
        <v>0</v>
      </c>
      <c r="GY26" s="1">
        <v>0</v>
      </c>
      <c r="GZ26" s="1">
        <v>0</v>
      </c>
      <c r="HA26" s="1">
        <v>31</v>
      </c>
      <c r="HB26" s="1">
        <v>77.272727272727352</v>
      </c>
      <c r="HC26" s="1">
        <v>13.636363636363637</v>
      </c>
      <c r="HD26" s="1">
        <v>9.0909090909091042</v>
      </c>
      <c r="HE26" s="1">
        <v>0</v>
      </c>
      <c r="HF26" s="1">
        <v>0</v>
      </c>
      <c r="HG26" s="1">
        <v>22</v>
      </c>
      <c r="HH26" s="1">
        <v>100</v>
      </c>
      <c r="HI26" s="1">
        <v>0</v>
      </c>
      <c r="HJ26" s="1">
        <v>0</v>
      </c>
      <c r="HK26" s="1">
        <v>0</v>
      </c>
      <c r="HL26" s="1">
        <v>0</v>
      </c>
      <c r="HM26" s="1">
        <v>9</v>
      </c>
      <c r="HN26" s="1">
        <v>0</v>
      </c>
      <c r="HO26" s="1">
        <v>0</v>
      </c>
      <c r="HP26" s="1">
        <v>0</v>
      </c>
      <c r="HQ26" s="1">
        <v>0</v>
      </c>
      <c r="HR26" s="1">
        <v>0</v>
      </c>
      <c r="HS26" s="1">
        <v>0</v>
      </c>
      <c r="HT26" s="1">
        <v>0</v>
      </c>
      <c r="HU26" s="1">
        <v>0</v>
      </c>
      <c r="HV26" s="1">
        <v>0</v>
      </c>
      <c r="HW26" s="1">
        <v>0</v>
      </c>
      <c r="HX26" s="1">
        <v>0</v>
      </c>
      <c r="HY26" s="1">
        <v>0</v>
      </c>
      <c r="HZ26" s="1">
        <v>0</v>
      </c>
      <c r="IA26" s="1">
        <v>0</v>
      </c>
      <c r="IB26" s="1">
        <v>0</v>
      </c>
      <c r="IC26" s="1">
        <v>0</v>
      </c>
      <c r="ID26" s="1">
        <v>0</v>
      </c>
      <c r="IE26" s="1">
        <v>0</v>
      </c>
      <c r="IF26" s="1">
        <v>9.4166666666666661</v>
      </c>
      <c r="IG26" s="1">
        <v>0</v>
      </c>
      <c r="IH26" s="1">
        <v>0</v>
      </c>
      <c r="II26" s="1">
        <v>0</v>
      </c>
      <c r="IJ26" s="1">
        <v>0</v>
      </c>
      <c r="IK26" s="1">
        <v>0</v>
      </c>
      <c r="IL26" s="1">
        <v>0</v>
      </c>
      <c r="IM26" s="1">
        <v>5.5555555555555642</v>
      </c>
      <c r="IN26" s="1">
        <v>5.5555555555555642</v>
      </c>
      <c r="IO26" s="1">
        <v>30.555555555555589</v>
      </c>
      <c r="IP26" s="1">
        <v>58.333333333333336</v>
      </c>
      <c r="IQ26" s="1">
        <v>9.4166666666666803</v>
      </c>
      <c r="IR26" s="1">
        <v>36</v>
      </c>
      <c r="IS26" s="1">
        <v>75.609756097560918</v>
      </c>
      <c r="IT26" s="1">
        <v>12.195121951219518</v>
      </c>
      <c r="IU26" s="1">
        <v>9.7560975609756095</v>
      </c>
      <c r="IV26" s="1">
        <v>0</v>
      </c>
      <c r="IW26" s="1">
        <v>2.4390243902439024</v>
      </c>
      <c r="IX26" s="1">
        <v>41</v>
      </c>
      <c r="IY26" s="1">
        <v>1</v>
      </c>
      <c r="IZ26" s="1">
        <v>80.239599999999896</v>
      </c>
      <c r="JA26" s="1">
        <v>36.107819999999968</v>
      </c>
      <c r="JB26" s="1">
        <v>28.083859999999984</v>
      </c>
      <c r="JC26" s="1">
        <v>6.0179699999999965</v>
      </c>
      <c r="JD26" s="1">
        <v>22.065889999999992</v>
      </c>
      <c r="JE26" s="1">
        <v>0.45000000000000046</v>
      </c>
      <c r="JF26" s="1">
        <v>0.35000000000000003</v>
      </c>
      <c r="JG26" s="1">
        <v>7.500000000000008E-2</v>
      </c>
      <c r="JH26" s="1">
        <v>0.2750000000000003</v>
      </c>
      <c r="JI26" s="1">
        <v>1</v>
      </c>
      <c r="JJ26" s="1">
        <v>40</v>
      </c>
      <c r="JK26" s="1">
        <v>2.9210526315789473</v>
      </c>
      <c r="JL26" s="1">
        <v>2.921052631578946</v>
      </c>
      <c r="JM26" s="1">
        <v>38</v>
      </c>
      <c r="JN26" s="1">
        <v>93.333333333333385</v>
      </c>
      <c r="JO26" s="1">
        <v>6.6666666666666661</v>
      </c>
      <c r="JP26" s="1">
        <v>15</v>
      </c>
      <c r="JQ26" s="1">
        <v>96</v>
      </c>
      <c r="JR26" s="1">
        <v>4.0000000000000009</v>
      </c>
      <c r="JS26" s="1">
        <v>25</v>
      </c>
      <c r="JT26" s="1">
        <v>93.548387096774164</v>
      </c>
      <c r="JU26" s="1">
        <v>6.4516129032258132</v>
      </c>
      <c r="JV26" s="1">
        <v>31</v>
      </c>
      <c r="JW26" s="1">
        <v>92.307692307692349</v>
      </c>
      <c r="JX26" s="1">
        <v>7.6923076923076961</v>
      </c>
      <c r="JY26" s="1">
        <v>26</v>
      </c>
      <c r="JZ26" s="1">
        <v>42.500000000000014</v>
      </c>
      <c r="KA26" s="1">
        <v>57.500000000000007</v>
      </c>
      <c r="KB26" s="1">
        <v>40</v>
      </c>
      <c r="KC26" s="1">
        <v>100</v>
      </c>
      <c r="KD26" s="1">
        <v>0</v>
      </c>
      <c r="KE26" s="1">
        <v>37</v>
      </c>
      <c r="KF26" s="1">
        <v>3.7777777777777777</v>
      </c>
      <c r="KG26" s="1">
        <v>2.7777777777777821</v>
      </c>
      <c r="KH26" s="1">
        <v>11.111111111111128</v>
      </c>
      <c r="KI26" s="1">
        <v>22.222222222222257</v>
      </c>
      <c r="KJ26" s="1">
        <v>33.333333333333336</v>
      </c>
      <c r="KK26" s="1">
        <v>30.555555555555589</v>
      </c>
      <c r="KL26" s="1">
        <v>36</v>
      </c>
      <c r="KM26" s="1">
        <v>63.861111111111178</v>
      </c>
      <c r="KN26" s="1">
        <v>0</v>
      </c>
      <c r="KO26" s="1">
        <v>0</v>
      </c>
      <c r="KP26" s="1">
        <v>0</v>
      </c>
      <c r="KQ26" s="1">
        <v>0</v>
      </c>
      <c r="KR26" s="1">
        <v>0</v>
      </c>
      <c r="KS26" s="1">
        <v>0</v>
      </c>
      <c r="KT26" s="1">
        <v>0</v>
      </c>
      <c r="KU26" s="1">
        <v>0</v>
      </c>
      <c r="KV26" s="1">
        <v>0</v>
      </c>
      <c r="KW26" s="1">
        <v>0</v>
      </c>
      <c r="KX26" s="1">
        <v>100</v>
      </c>
      <c r="KY26" s="1">
        <v>0</v>
      </c>
      <c r="KZ26" s="1">
        <v>37</v>
      </c>
      <c r="LA26" s="1">
        <v>11.428571428571443</v>
      </c>
      <c r="LB26" s="1">
        <v>88.571428571428541</v>
      </c>
      <c r="LC26" s="1">
        <v>35</v>
      </c>
      <c r="LD26" s="1">
        <v>0</v>
      </c>
      <c r="LE26" s="1">
        <v>0</v>
      </c>
      <c r="LF26" s="1">
        <v>100</v>
      </c>
      <c r="LG26" s="1">
        <v>4</v>
      </c>
    </row>
    <row r="27" spans="1:319" x14ac:dyDescent="0.25">
      <c r="A27" s="1">
        <v>61</v>
      </c>
      <c r="B27" s="1">
        <v>11.627906976744169</v>
      </c>
      <c r="C27" s="1">
        <v>88.372093023255744</v>
      </c>
      <c r="D27" s="1">
        <v>43</v>
      </c>
      <c r="E27" s="1">
        <v>57.142857142857132</v>
      </c>
      <c r="F27" s="1">
        <v>42.857142857142883</v>
      </c>
      <c r="G27" s="1">
        <v>35</v>
      </c>
      <c r="H27" s="1">
        <v>42.105263157894761</v>
      </c>
      <c r="I27" s="1">
        <v>57.894736842105281</v>
      </c>
      <c r="J27" s="1">
        <v>19</v>
      </c>
      <c r="K27" s="1">
        <v>1</v>
      </c>
      <c r="L27" s="1">
        <v>24.513280000000019</v>
      </c>
      <c r="M27" s="1">
        <v>13.927999999999995</v>
      </c>
      <c r="N27" s="1">
        <v>2.2284800000000011</v>
      </c>
      <c r="O27" s="1">
        <v>0.55712000000000028</v>
      </c>
      <c r="P27" s="1">
        <v>0</v>
      </c>
      <c r="Q27" s="1">
        <v>1.6713599999999993</v>
      </c>
      <c r="R27" s="1">
        <v>0.55712000000000028</v>
      </c>
      <c r="S27" s="1">
        <v>0</v>
      </c>
      <c r="T27" s="1">
        <v>3.8998400000000015</v>
      </c>
      <c r="U27" s="1">
        <v>3.3427199999999981</v>
      </c>
      <c r="V27" s="1">
        <v>2.2284800000000011</v>
      </c>
      <c r="W27" s="1">
        <v>0.56818181818181746</v>
      </c>
      <c r="X27" s="1">
        <v>9.0909090909090842E-2</v>
      </c>
      <c r="Y27" s="1">
        <v>2.2727272727272711E-2</v>
      </c>
      <c r="Z27" s="1">
        <v>0</v>
      </c>
      <c r="AA27" s="1">
        <v>6.8181818181818205E-2</v>
      </c>
      <c r="AB27" s="1">
        <v>2.2727272727272711E-2</v>
      </c>
      <c r="AC27" s="1">
        <v>0</v>
      </c>
      <c r="AD27" s="1">
        <v>0.15909090909090912</v>
      </c>
      <c r="AE27" s="1">
        <v>0.13636363636363641</v>
      </c>
      <c r="AF27" s="1">
        <v>9.0909090909090842E-2</v>
      </c>
      <c r="AG27" s="1">
        <v>1</v>
      </c>
      <c r="AH27" s="1">
        <v>44</v>
      </c>
      <c r="AI27" s="1">
        <v>1</v>
      </c>
      <c r="AJ27" s="1">
        <v>23.956159999999986</v>
      </c>
      <c r="AK27" s="1">
        <v>20.613439999999994</v>
      </c>
      <c r="AL27" s="1">
        <v>20.056320000000021</v>
      </c>
      <c r="AM27" s="1">
        <v>13.927999999999995</v>
      </c>
      <c r="AN27" s="1">
        <v>18.384959999999985</v>
      </c>
      <c r="AO27" s="1">
        <v>5.5712000000000028</v>
      </c>
      <c r="AP27" s="1">
        <v>4.4569600000000023</v>
      </c>
      <c r="AQ27" s="1">
        <v>0.86046511627906985</v>
      </c>
      <c r="AR27" s="1">
        <v>0.83720930232558211</v>
      </c>
      <c r="AS27" s="1">
        <v>0.58139534883720867</v>
      </c>
      <c r="AT27" s="1">
        <v>0.76744186046511587</v>
      </c>
      <c r="AU27" s="1">
        <v>0.23255813953488361</v>
      </c>
      <c r="AV27" s="1">
        <v>0.18604651162790706</v>
      </c>
      <c r="AW27" s="1">
        <v>1</v>
      </c>
      <c r="AX27" s="1">
        <v>43</v>
      </c>
      <c r="AY27" s="1">
        <v>9.704545454545455</v>
      </c>
      <c r="AZ27" s="1">
        <v>9.8636363636363633</v>
      </c>
      <c r="BA27" s="1">
        <v>9.8139534883720927</v>
      </c>
      <c r="BB27" s="1">
        <v>0</v>
      </c>
      <c r="BC27" s="1">
        <v>0</v>
      </c>
      <c r="BD27" s="1">
        <v>0</v>
      </c>
      <c r="BE27" s="1">
        <v>0</v>
      </c>
      <c r="BF27" s="1">
        <v>0</v>
      </c>
      <c r="BG27" s="1">
        <v>0</v>
      </c>
      <c r="BH27" s="1">
        <v>0</v>
      </c>
      <c r="BI27" s="1">
        <v>9.0909090909090811</v>
      </c>
      <c r="BJ27" s="1">
        <v>11.363636363636362</v>
      </c>
      <c r="BK27" s="1">
        <v>79.545454545454504</v>
      </c>
      <c r="BL27" s="1">
        <v>9.7045454545454515</v>
      </c>
      <c r="BM27" s="1">
        <v>44</v>
      </c>
      <c r="BN27" s="1">
        <v>0</v>
      </c>
      <c r="BO27" s="1">
        <v>0</v>
      </c>
      <c r="BP27" s="1">
        <v>0</v>
      </c>
      <c r="BQ27" s="1">
        <v>0</v>
      </c>
      <c r="BR27" s="1">
        <v>0</v>
      </c>
      <c r="BS27" s="1">
        <v>0</v>
      </c>
      <c r="BT27" s="1">
        <v>0</v>
      </c>
      <c r="BU27" s="1">
        <v>0</v>
      </c>
      <c r="BV27" s="1">
        <v>13.636363636363626</v>
      </c>
      <c r="BW27" s="1">
        <v>86.363636363636388</v>
      </c>
      <c r="BX27" s="1">
        <v>9.8636363636363704</v>
      </c>
      <c r="BY27" s="1">
        <v>44</v>
      </c>
      <c r="BZ27" s="1">
        <v>0</v>
      </c>
      <c r="CA27" s="1">
        <v>0</v>
      </c>
      <c r="CB27" s="1">
        <v>0</v>
      </c>
      <c r="CC27" s="1">
        <v>0</v>
      </c>
      <c r="CD27" s="1">
        <v>0</v>
      </c>
      <c r="CE27" s="1">
        <v>0</v>
      </c>
      <c r="CF27" s="1">
        <v>0</v>
      </c>
      <c r="CG27" s="1">
        <v>0</v>
      </c>
      <c r="CH27" s="1">
        <v>18.604651162790677</v>
      </c>
      <c r="CI27" s="1">
        <v>81.395348837209312</v>
      </c>
      <c r="CJ27" s="1">
        <v>9.8139534883720909</v>
      </c>
      <c r="CK27" s="1">
        <v>43</v>
      </c>
      <c r="CL27" s="1">
        <v>38.636363636363576</v>
      </c>
      <c r="CM27" s="1">
        <v>54.545454545454497</v>
      </c>
      <c r="CN27" s="1">
        <v>4.5454545454545405</v>
      </c>
      <c r="CO27" s="1">
        <v>2.2727272727272703</v>
      </c>
      <c r="CP27" s="1">
        <v>0</v>
      </c>
      <c r="CQ27" s="1">
        <v>44</v>
      </c>
      <c r="CR27" s="1">
        <v>60.465116279069669</v>
      </c>
      <c r="CS27" s="1">
        <v>34.88372093023257</v>
      </c>
      <c r="CT27" s="1">
        <v>2.3255813953488347</v>
      </c>
      <c r="CU27" s="1">
        <v>2.3255813953488347</v>
      </c>
      <c r="CV27" s="1">
        <v>0</v>
      </c>
      <c r="CW27" s="1">
        <v>43</v>
      </c>
      <c r="CX27" s="1">
        <v>63.636363636363541</v>
      </c>
      <c r="CY27" s="1">
        <v>31.818181818181777</v>
      </c>
      <c r="CZ27" s="1">
        <v>4.5454545454545405</v>
      </c>
      <c r="DA27" s="1">
        <v>0</v>
      </c>
      <c r="DB27" s="1">
        <v>0</v>
      </c>
      <c r="DC27" s="1">
        <v>44</v>
      </c>
      <c r="DD27" s="1">
        <v>36.363636363636324</v>
      </c>
      <c r="DE27" s="1">
        <v>45.454545454545446</v>
      </c>
      <c r="DF27" s="1">
        <v>11.363636363636362</v>
      </c>
      <c r="DG27" s="1">
        <v>4.5454545454545405</v>
      </c>
      <c r="DH27" s="1">
        <v>2.2727272727272703</v>
      </c>
      <c r="DI27" s="1">
        <v>44</v>
      </c>
      <c r="DJ27" s="1">
        <v>64.999999999999986</v>
      </c>
      <c r="DK27" s="1">
        <v>29.999999999999996</v>
      </c>
      <c r="DL27" s="1">
        <v>4.9999999999999991</v>
      </c>
      <c r="DM27" s="1">
        <v>0</v>
      </c>
      <c r="DN27" s="1">
        <v>0</v>
      </c>
      <c r="DO27" s="1">
        <v>40</v>
      </c>
      <c r="DP27" s="1">
        <v>86.046511627906952</v>
      </c>
      <c r="DQ27" s="1">
        <v>13.953488372093023</v>
      </c>
      <c r="DR27" s="1">
        <v>0</v>
      </c>
      <c r="DS27" s="1">
        <v>0</v>
      </c>
      <c r="DT27" s="1">
        <v>0</v>
      </c>
      <c r="DU27" s="1">
        <v>43</v>
      </c>
      <c r="DV27" s="1">
        <v>75.67567567567572</v>
      </c>
      <c r="DW27" s="1">
        <v>16.216216216216214</v>
      </c>
      <c r="DX27" s="1">
        <v>2.7027027027027053</v>
      </c>
      <c r="DY27" s="1">
        <v>2.7027027027027053</v>
      </c>
      <c r="DZ27" s="1">
        <v>2.7027027027027053</v>
      </c>
      <c r="EA27" s="1">
        <v>37</v>
      </c>
      <c r="EB27" s="1">
        <v>100</v>
      </c>
      <c r="EC27" s="1">
        <v>0</v>
      </c>
      <c r="ED27" s="1">
        <v>0</v>
      </c>
      <c r="EE27" s="1">
        <v>0</v>
      </c>
      <c r="EF27" s="1">
        <v>0</v>
      </c>
      <c r="EG27" s="1">
        <v>8</v>
      </c>
      <c r="EH27" s="1">
        <v>75</v>
      </c>
      <c r="EI27" s="1">
        <v>25</v>
      </c>
      <c r="EJ27" s="1">
        <v>0</v>
      </c>
      <c r="EK27" s="1">
        <v>0</v>
      </c>
      <c r="EL27" s="1">
        <v>0</v>
      </c>
      <c r="EM27" s="1">
        <v>4</v>
      </c>
      <c r="EN27" s="1">
        <v>43.750000000000007</v>
      </c>
      <c r="EO27" s="1">
        <v>53.125000000000007</v>
      </c>
      <c r="EP27" s="1">
        <v>3.125</v>
      </c>
      <c r="EQ27" s="1">
        <v>0</v>
      </c>
      <c r="ER27" s="1">
        <v>0</v>
      </c>
      <c r="ES27" s="1">
        <v>32</v>
      </c>
      <c r="ET27" s="1">
        <v>45.161290322580676</v>
      </c>
      <c r="EU27" s="1">
        <v>48.387096774193601</v>
      </c>
      <c r="EV27" s="1">
        <v>6.4516129032257998</v>
      </c>
      <c r="EW27" s="1">
        <v>0</v>
      </c>
      <c r="EX27" s="1">
        <v>0</v>
      </c>
      <c r="EY27" s="1">
        <v>31</v>
      </c>
      <c r="EZ27" s="1">
        <v>57.14285714285716</v>
      </c>
      <c r="FA27" s="1">
        <v>35.714285714285722</v>
      </c>
      <c r="FB27" s="1">
        <v>7.142857142857145</v>
      </c>
      <c r="FC27" s="1">
        <v>0</v>
      </c>
      <c r="FD27" s="1">
        <v>0</v>
      </c>
      <c r="FE27" s="1">
        <v>14</v>
      </c>
      <c r="FF27" s="1">
        <v>49.999999999999993</v>
      </c>
      <c r="FG27" s="1">
        <v>49.999999999999993</v>
      </c>
      <c r="FH27" s="1">
        <v>0</v>
      </c>
      <c r="FI27" s="1">
        <v>0</v>
      </c>
      <c r="FJ27" s="1">
        <v>0</v>
      </c>
      <c r="FK27" s="1">
        <v>16</v>
      </c>
      <c r="FL27" s="1">
        <v>82.142857142857224</v>
      </c>
      <c r="FM27" s="1">
        <v>10.714285714285721</v>
      </c>
      <c r="FN27" s="1">
        <v>7.142857142857145</v>
      </c>
      <c r="FO27" s="1">
        <v>0</v>
      </c>
      <c r="FP27" s="1">
        <v>0</v>
      </c>
      <c r="FQ27" s="1">
        <v>28</v>
      </c>
      <c r="FR27" s="1">
        <v>87.500000000000014</v>
      </c>
      <c r="FS27" s="1">
        <v>0</v>
      </c>
      <c r="FT27" s="1">
        <v>8.3333333333333321</v>
      </c>
      <c r="FU27" s="1">
        <v>4.1666666666666661</v>
      </c>
      <c r="FV27" s="1">
        <v>0</v>
      </c>
      <c r="FW27" s="1">
        <v>24</v>
      </c>
      <c r="FX27" s="1">
        <v>88.636363636363541</v>
      </c>
      <c r="FY27" s="1">
        <v>9.0909090909090811</v>
      </c>
      <c r="FZ27" s="1">
        <v>0</v>
      </c>
      <c r="GA27" s="1">
        <v>0</v>
      </c>
      <c r="GB27" s="1">
        <v>2.2727272727272703</v>
      </c>
      <c r="GC27" s="1">
        <v>44</v>
      </c>
      <c r="GD27" s="1">
        <v>72.727272727272663</v>
      </c>
      <c r="GE27" s="1">
        <v>27.272727272727256</v>
      </c>
      <c r="GF27" s="1">
        <v>0</v>
      </c>
      <c r="GG27" s="1">
        <v>0</v>
      </c>
      <c r="GH27" s="1">
        <v>0</v>
      </c>
      <c r="GI27" s="1">
        <v>11</v>
      </c>
      <c r="GJ27" s="1">
        <v>71.428571428571445</v>
      </c>
      <c r="GK27" s="1">
        <v>28.57142857142858</v>
      </c>
      <c r="GL27" s="1">
        <v>0</v>
      </c>
      <c r="GM27" s="1">
        <v>0</v>
      </c>
      <c r="GN27" s="1">
        <v>0</v>
      </c>
      <c r="GO27" s="1">
        <v>14</v>
      </c>
      <c r="GP27" s="1">
        <v>63.888888888888843</v>
      </c>
      <c r="GQ27" s="1">
        <v>30.555555555555575</v>
      </c>
      <c r="GR27" s="1">
        <v>0</v>
      </c>
      <c r="GS27" s="1">
        <v>2.777777777777775</v>
      </c>
      <c r="GT27" s="1">
        <v>2.777777777777775</v>
      </c>
      <c r="GU27" s="1">
        <v>36</v>
      </c>
      <c r="GV27" s="1">
        <v>78.124999999999986</v>
      </c>
      <c r="GW27" s="1">
        <v>15.624999999999998</v>
      </c>
      <c r="GX27" s="1">
        <v>3.125</v>
      </c>
      <c r="GY27" s="1">
        <v>0</v>
      </c>
      <c r="GZ27" s="1">
        <v>3.125</v>
      </c>
      <c r="HA27" s="1">
        <v>32</v>
      </c>
      <c r="HB27" s="1">
        <v>66.666666666666643</v>
      </c>
      <c r="HC27" s="1">
        <v>0</v>
      </c>
      <c r="HD27" s="1">
        <v>33.333333333333321</v>
      </c>
      <c r="HE27" s="1">
        <v>0</v>
      </c>
      <c r="HF27" s="1">
        <v>0</v>
      </c>
      <c r="HG27" s="1">
        <v>3</v>
      </c>
      <c r="HH27" s="1">
        <v>28.57142857142858</v>
      </c>
      <c r="HI27" s="1">
        <v>28.57142857142858</v>
      </c>
      <c r="HJ27" s="1">
        <v>42.857142857142883</v>
      </c>
      <c r="HK27" s="1">
        <v>0</v>
      </c>
      <c r="HL27" s="1">
        <v>0</v>
      </c>
      <c r="HM27" s="1">
        <v>7</v>
      </c>
      <c r="HN27" s="1">
        <v>0</v>
      </c>
      <c r="HO27" s="1">
        <v>0</v>
      </c>
      <c r="HP27" s="1">
        <v>0</v>
      </c>
      <c r="HQ27" s="1">
        <v>0</v>
      </c>
      <c r="HR27" s="1">
        <v>0</v>
      </c>
      <c r="HS27" s="1">
        <v>0</v>
      </c>
      <c r="HT27" s="1">
        <v>0</v>
      </c>
      <c r="HU27" s="1">
        <v>0</v>
      </c>
      <c r="HV27" s="1">
        <v>0</v>
      </c>
      <c r="HW27" s="1">
        <v>0</v>
      </c>
      <c r="HX27" s="1">
        <v>0</v>
      </c>
      <c r="HY27" s="1">
        <v>0</v>
      </c>
      <c r="HZ27" s="1">
        <v>0</v>
      </c>
      <c r="IA27" s="1">
        <v>0</v>
      </c>
      <c r="IB27" s="1">
        <v>0</v>
      </c>
      <c r="IC27" s="1">
        <v>0</v>
      </c>
      <c r="ID27" s="1">
        <v>0</v>
      </c>
      <c r="IE27" s="1">
        <v>0</v>
      </c>
      <c r="IF27" s="1">
        <v>9.1463414634146343</v>
      </c>
      <c r="IG27" s="1">
        <v>0</v>
      </c>
      <c r="IH27" s="1">
        <v>0</v>
      </c>
      <c r="II27" s="1">
        <v>0</v>
      </c>
      <c r="IJ27" s="1">
        <v>0</v>
      </c>
      <c r="IK27" s="1">
        <v>0</v>
      </c>
      <c r="IL27" s="1">
        <v>2.4390243902439015</v>
      </c>
      <c r="IM27" s="1">
        <v>4.878048780487803</v>
      </c>
      <c r="IN27" s="1">
        <v>14.634146341463406</v>
      </c>
      <c r="IO27" s="1">
        <v>31.707317073170749</v>
      </c>
      <c r="IP27" s="1">
        <v>46.341463414634113</v>
      </c>
      <c r="IQ27" s="1">
        <v>9.1463414634146289</v>
      </c>
      <c r="IR27" s="1">
        <v>41</v>
      </c>
      <c r="IS27" s="1">
        <v>0</v>
      </c>
      <c r="IT27" s="1">
        <v>90.697674418604592</v>
      </c>
      <c r="IU27" s="1">
        <v>6.9767441860465116</v>
      </c>
      <c r="IV27" s="1">
        <v>2.3255813953488347</v>
      </c>
      <c r="IW27" s="1">
        <v>0</v>
      </c>
      <c r="IX27" s="1">
        <v>43</v>
      </c>
      <c r="IY27" s="1">
        <v>1</v>
      </c>
      <c r="IZ27" s="1">
        <v>24.513280000000019</v>
      </c>
      <c r="JA27" s="1">
        <v>11.142400000000006</v>
      </c>
      <c r="JB27" s="1">
        <v>5.0140800000000052</v>
      </c>
      <c r="JC27" s="1">
        <v>3.8998400000000015</v>
      </c>
      <c r="JD27" s="1">
        <v>6.1283199999999995</v>
      </c>
      <c r="JE27" s="1">
        <v>0.45454545454545436</v>
      </c>
      <c r="JF27" s="1">
        <v>0.20454545454545439</v>
      </c>
      <c r="JG27" s="1">
        <v>0.15909090909090912</v>
      </c>
      <c r="JH27" s="1">
        <v>0.24999999999999997</v>
      </c>
      <c r="JI27" s="1">
        <v>1</v>
      </c>
      <c r="JJ27" s="1">
        <v>44</v>
      </c>
      <c r="JK27" s="1">
        <v>3.0697674418604652</v>
      </c>
      <c r="JL27" s="1">
        <v>3.0697674418604621</v>
      </c>
      <c r="JM27" s="1">
        <v>43</v>
      </c>
      <c r="JN27" s="1">
        <v>100</v>
      </c>
      <c r="JO27" s="1">
        <v>0</v>
      </c>
      <c r="JP27" s="1">
        <v>10</v>
      </c>
      <c r="JQ27" s="1">
        <v>100</v>
      </c>
      <c r="JR27" s="1">
        <v>0</v>
      </c>
      <c r="JS27" s="1">
        <v>13</v>
      </c>
      <c r="JT27" s="1">
        <v>100</v>
      </c>
      <c r="JU27" s="1">
        <v>0</v>
      </c>
      <c r="JV27" s="1">
        <v>38</v>
      </c>
      <c r="JW27" s="1">
        <v>88.8888888888888</v>
      </c>
      <c r="JX27" s="1">
        <v>11.111111111111102</v>
      </c>
      <c r="JY27" s="1">
        <v>27</v>
      </c>
      <c r="JZ27" s="1">
        <v>39.024390243902424</v>
      </c>
      <c r="KA27" s="1">
        <v>60.975609756097555</v>
      </c>
      <c r="KB27" s="1">
        <v>41</v>
      </c>
      <c r="KC27" s="1">
        <v>99.999999999999986</v>
      </c>
      <c r="KD27" s="1">
        <v>0</v>
      </c>
      <c r="KE27" s="1">
        <v>39</v>
      </c>
      <c r="KF27" s="1">
        <v>2.7297297297297298</v>
      </c>
      <c r="KG27" s="1">
        <v>8.1081081081081106</v>
      </c>
      <c r="KH27" s="1">
        <v>43.243243243243285</v>
      </c>
      <c r="KI27" s="1">
        <v>27.027027027027017</v>
      </c>
      <c r="KJ27" s="1">
        <v>10.810810810810821</v>
      </c>
      <c r="KK27" s="1">
        <v>10.810810810810821</v>
      </c>
      <c r="KL27" s="1">
        <v>37</v>
      </c>
      <c r="KM27" s="1">
        <v>46.162162162162126</v>
      </c>
      <c r="KN27" s="1">
        <v>84.5</v>
      </c>
      <c r="KO27" s="1">
        <v>0</v>
      </c>
      <c r="KP27" s="1">
        <v>0</v>
      </c>
      <c r="KQ27" s="1">
        <v>50</v>
      </c>
      <c r="KR27" s="1">
        <v>0</v>
      </c>
      <c r="KS27" s="1">
        <v>50</v>
      </c>
      <c r="KT27" s="1">
        <v>4</v>
      </c>
      <c r="KU27" s="1">
        <v>0</v>
      </c>
      <c r="KV27" s="1">
        <v>0</v>
      </c>
      <c r="KW27" s="1">
        <v>0</v>
      </c>
      <c r="KX27" s="1">
        <v>94.999999999999986</v>
      </c>
      <c r="KY27" s="1">
        <v>4.9999999999999991</v>
      </c>
      <c r="KZ27" s="1">
        <v>40</v>
      </c>
      <c r="LA27" s="1">
        <v>12.195121951219505</v>
      </c>
      <c r="LB27" s="1">
        <v>87.804878048780552</v>
      </c>
      <c r="LC27" s="1">
        <v>41</v>
      </c>
      <c r="LD27" s="1">
        <v>0</v>
      </c>
      <c r="LE27" s="1">
        <v>20</v>
      </c>
      <c r="LF27" s="1">
        <v>80</v>
      </c>
      <c r="LG27" s="1">
        <v>5</v>
      </c>
    </row>
    <row r="28" spans="1:319" x14ac:dyDescent="0.25">
      <c r="A28" s="1">
        <v>64</v>
      </c>
      <c r="B28" s="1">
        <v>27.450980392156904</v>
      </c>
      <c r="C28" s="1">
        <v>72.549019607843107</v>
      </c>
      <c r="D28" s="1">
        <v>51</v>
      </c>
      <c r="E28" s="1">
        <v>61.111111111111114</v>
      </c>
      <c r="F28" s="1">
        <v>38.888888888888921</v>
      </c>
      <c r="G28" s="1">
        <v>36</v>
      </c>
      <c r="H28" s="1">
        <v>47.61904761904762</v>
      </c>
      <c r="I28" s="1">
        <v>52.380952380952401</v>
      </c>
      <c r="J28" s="1">
        <v>21</v>
      </c>
      <c r="K28" s="1">
        <v>1</v>
      </c>
      <c r="L28" s="1">
        <v>52.030709999999992</v>
      </c>
      <c r="M28" s="1">
        <v>28.565879999999954</v>
      </c>
      <c r="N28" s="1">
        <v>1.0202099999999994</v>
      </c>
      <c r="O28" s="1">
        <v>9.1818900000000081</v>
      </c>
      <c r="P28" s="1">
        <v>10.202100000000016</v>
      </c>
      <c r="Q28" s="1">
        <v>5.1010499999999945</v>
      </c>
      <c r="R28" s="1">
        <v>7.141470000000008</v>
      </c>
      <c r="S28" s="1">
        <v>0</v>
      </c>
      <c r="T28" s="1">
        <v>6.1212600000000039</v>
      </c>
      <c r="U28" s="1">
        <v>8.1616799999999952</v>
      </c>
      <c r="V28" s="1">
        <v>8.1616799999999952</v>
      </c>
      <c r="W28" s="1">
        <v>0.54901960784313786</v>
      </c>
      <c r="X28" s="1">
        <v>1.9607843137254936E-2</v>
      </c>
      <c r="Y28" s="1">
        <v>0.17647058823529427</v>
      </c>
      <c r="Z28" s="1">
        <v>0.19607843137254902</v>
      </c>
      <c r="AA28" s="1">
        <v>9.8039215686274508E-2</v>
      </c>
      <c r="AB28" s="1">
        <v>0.13725490196078452</v>
      </c>
      <c r="AC28" s="1">
        <v>0</v>
      </c>
      <c r="AD28" s="1">
        <v>0.1176470588235296</v>
      </c>
      <c r="AE28" s="1">
        <v>0.15686274509803949</v>
      </c>
      <c r="AF28" s="1">
        <v>0.15686274509803949</v>
      </c>
      <c r="AG28" s="1">
        <v>1</v>
      </c>
      <c r="AH28" s="1">
        <v>51</v>
      </c>
      <c r="AI28" s="1">
        <v>1</v>
      </c>
      <c r="AJ28" s="1">
        <v>48.97008000000001</v>
      </c>
      <c r="AK28" s="1">
        <v>34.687139999999992</v>
      </c>
      <c r="AL28" s="1">
        <v>15.303149999999995</v>
      </c>
      <c r="AM28" s="1">
        <v>24.485040000000009</v>
      </c>
      <c r="AN28" s="1">
        <v>29.586090000000009</v>
      </c>
      <c r="AO28" s="1">
        <v>8.1616799999999952</v>
      </c>
      <c r="AP28" s="1">
        <v>13.262730000000023</v>
      </c>
      <c r="AQ28" s="1">
        <v>0.70833333333333315</v>
      </c>
      <c r="AR28" s="1">
        <v>0.31250000000000011</v>
      </c>
      <c r="AS28" s="1">
        <v>0.50000000000000011</v>
      </c>
      <c r="AT28" s="1">
        <v>0.60416666666666718</v>
      </c>
      <c r="AU28" s="1">
        <v>0.16666666666666685</v>
      </c>
      <c r="AV28" s="1">
        <v>0.27083333333333376</v>
      </c>
      <c r="AW28" s="1">
        <v>1</v>
      </c>
      <c r="AX28" s="1">
        <v>48</v>
      </c>
      <c r="AY28" s="1">
        <v>9.74</v>
      </c>
      <c r="AZ28" s="1">
        <v>9.8367346938775508</v>
      </c>
      <c r="BA28" s="1">
        <v>9.7346938775510203</v>
      </c>
      <c r="BB28" s="1">
        <v>0</v>
      </c>
      <c r="BC28" s="1">
        <v>0</v>
      </c>
      <c r="BD28" s="1">
        <v>0</v>
      </c>
      <c r="BE28" s="1">
        <v>0</v>
      </c>
      <c r="BF28" s="1">
        <v>0</v>
      </c>
      <c r="BG28" s="1">
        <v>0</v>
      </c>
      <c r="BH28" s="1">
        <v>4.0000000000000009</v>
      </c>
      <c r="BI28" s="1">
        <v>2.0000000000000004</v>
      </c>
      <c r="BJ28" s="1">
        <v>10.000000000000004</v>
      </c>
      <c r="BK28" s="1">
        <v>84.000000000000014</v>
      </c>
      <c r="BL28" s="1">
        <v>9.7400000000000055</v>
      </c>
      <c r="BM28" s="1">
        <v>50</v>
      </c>
      <c r="BN28" s="1">
        <v>0</v>
      </c>
      <c r="BO28" s="1">
        <v>0</v>
      </c>
      <c r="BP28" s="1">
        <v>0</v>
      </c>
      <c r="BQ28" s="1">
        <v>0</v>
      </c>
      <c r="BR28" s="1">
        <v>0</v>
      </c>
      <c r="BS28" s="1">
        <v>0</v>
      </c>
      <c r="BT28" s="1">
        <v>0</v>
      </c>
      <c r="BU28" s="1">
        <v>2.0408163265306158</v>
      </c>
      <c r="BV28" s="1">
        <v>12.244897959183687</v>
      </c>
      <c r="BW28" s="1">
        <v>85.714285714285737</v>
      </c>
      <c r="BX28" s="1">
        <v>9.8367346938775437</v>
      </c>
      <c r="BY28" s="1">
        <v>49</v>
      </c>
      <c r="BZ28" s="1">
        <v>0</v>
      </c>
      <c r="CA28" s="1">
        <v>0</v>
      </c>
      <c r="CB28" s="1">
        <v>0</v>
      </c>
      <c r="CC28" s="1">
        <v>0</v>
      </c>
      <c r="CD28" s="1">
        <v>0</v>
      </c>
      <c r="CE28" s="1">
        <v>0</v>
      </c>
      <c r="CF28" s="1">
        <v>2.0408163265306158</v>
      </c>
      <c r="CG28" s="1">
        <v>4.0816326530612317</v>
      </c>
      <c r="CH28" s="1">
        <v>12.244897959183687</v>
      </c>
      <c r="CI28" s="1">
        <v>81.632653061224545</v>
      </c>
      <c r="CJ28" s="1">
        <v>9.7346938775510221</v>
      </c>
      <c r="CK28" s="1">
        <v>49</v>
      </c>
      <c r="CL28" s="1">
        <v>46.808510638297925</v>
      </c>
      <c r="CM28" s="1">
        <v>40.425531914893611</v>
      </c>
      <c r="CN28" s="1">
        <v>4.2553191489361692</v>
      </c>
      <c r="CO28" s="1">
        <v>8.5106382978723385</v>
      </c>
      <c r="CP28" s="1">
        <v>0</v>
      </c>
      <c r="CQ28" s="1">
        <v>47</v>
      </c>
      <c r="CR28" s="1">
        <v>68.000000000000014</v>
      </c>
      <c r="CS28" s="1">
        <v>30.000000000000018</v>
      </c>
      <c r="CT28" s="1">
        <v>2.0000000000000004</v>
      </c>
      <c r="CU28" s="1">
        <v>0</v>
      </c>
      <c r="CV28" s="1">
        <v>0</v>
      </c>
      <c r="CW28" s="1">
        <v>50</v>
      </c>
      <c r="CX28" s="1">
        <v>85.714285714285737</v>
      </c>
      <c r="CY28" s="1">
        <v>10.20408163265307</v>
      </c>
      <c r="CZ28" s="1">
        <v>4.0816326530612317</v>
      </c>
      <c r="DA28" s="1">
        <v>0</v>
      </c>
      <c r="DB28" s="1">
        <v>0</v>
      </c>
      <c r="DC28" s="1">
        <v>49</v>
      </c>
      <c r="DD28" s="1">
        <v>82.352941176470679</v>
      </c>
      <c r="DE28" s="1">
        <v>13.725490196078452</v>
      </c>
      <c r="DF28" s="1">
        <v>3.9215686274509864</v>
      </c>
      <c r="DG28" s="1">
        <v>0</v>
      </c>
      <c r="DH28" s="1">
        <v>0</v>
      </c>
      <c r="DI28" s="1">
        <v>51</v>
      </c>
      <c r="DJ28" s="1">
        <v>75.000000000000014</v>
      </c>
      <c r="DK28" s="1">
        <v>25.000000000000011</v>
      </c>
      <c r="DL28" s="1">
        <v>0</v>
      </c>
      <c r="DM28" s="1">
        <v>0</v>
      </c>
      <c r="DN28" s="1">
        <v>0</v>
      </c>
      <c r="DO28" s="1">
        <v>44</v>
      </c>
      <c r="DP28" s="1">
        <v>84.313725490196134</v>
      </c>
      <c r="DQ28" s="1">
        <v>15.686274509803946</v>
      </c>
      <c r="DR28" s="1">
        <v>0</v>
      </c>
      <c r="DS28" s="1">
        <v>0</v>
      </c>
      <c r="DT28" s="1">
        <v>0</v>
      </c>
      <c r="DU28" s="1">
        <v>51</v>
      </c>
      <c r="DV28" s="1">
        <v>53.846153846153832</v>
      </c>
      <c r="DW28" s="1">
        <v>35.897435897435969</v>
      </c>
      <c r="DX28" s="1">
        <v>5.1282051282051357</v>
      </c>
      <c r="DY28" s="1">
        <v>2.5641025641025679</v>
      </c>
      <c r="DZ28" s="1">
        <v>2.5641025641025679</v>
      </c>
      <c r="EA28" s="1">
        <v>39</v>
      </c>
      <c r="EB28" s="1">
        <v>86.363636363636431</v>
      </c>
      <c r="EC28" s="1">
        <v>13.636363636363631</v>
      </c>
      <c r="ED28" s="1">
        <v>0</v>
      </c>
      <c r="EE28" s="1">
        <v>0</v>
      </c>
      <c r="EF28" s="1">
        <v>0</v>
      </c>
      <c r="EG28" s="1">
        <v>22</v>
      </c>
      <c r="EH28" s="1">
        <v>72.2222222222222</v>
      </c>
      <c r="EI28" s="1">
        <v>22.2222222222222</v>
      </c>
      <c r="EJ28" s="1">
        <v>5.55555555555555</v>
      </c>
      <c r="EK28" s="1">
        <v>0</v>
      </c>
      <c r="EL28" s="1">
        <v>0</v>
      </c>
      <c r="EM28" s="1">
        <v>18</v>
      </c>
      <c r="EN28" s="1">
        <v>36.111111111111107</v>
      </c>
      <c r="EO28" s="1">
        <v>27.777777777777818</v>
      </c>
      <c r="EP28" s="1">
        <v>27.777777777777818</v>
      </c>
      <c r="EQ28" s="1">
        <v>2.7777777777777817</v>
      </c>
      <c r="ER28" s="1">
        <v>5.5555555555555634</v>
      </c>
      <c r="ES28" s="1">
        <v>36</v>
      </c>
      <c r="ET28" s="1">
        <v>50.000000000000007</v>
      </c>
      <c r="EU28" s="1">
        <v>28.571428571428605</v>
      </c>
      <c r="EV28" s="1">
        <v>14.285714285714302</v>
      </c>
      <c r="EW28" s="1">
        <v>2.3809523809523805</v>
      </c>
      <c r="EX28" s="1">
        <v>4.761904761904761</v>
      </c>
      <c r="EY28" s="1">
        <v>42</v>
      </c>
      <c r="EZ28" s="1">
        <v>52.380952380952337</v>
      </c>
      <c r="FA28" s="1">
        <v>28.571428571428594</v>
      </c>
      <c r="FB28" s="1">
        <v>19.04761904761904</v>
      </c>
      <c r="FC28" s="1">
        <v>0</v>
      </c>
      <c r="FD28" s="1">
        <v>0</v>
      </c>
      <c r="FE28" s="1">
        <v>21</v>
      </c>
      <c r="FF28" s="1">
        <v>48.000000000000007</v>
      </c>
      <c r="FG28" s="1">
        <v>32.000000000000007</v>
      </c>
      <c r="FH28" s="1">
        <v>16.000000000000004</v>
      </c>
      <c r="FI28" s="1">
        <v>4.0000000000000009</v>
      </c>
      <c r="FJ28" s="1">
        <v>0</v>
      </c>
      <c r="FK28" s="1">
        <v>25</v>
      </c>
      <c r="FL28" s="1">
        <v>41.666666666666721</v>
      </c>
      <c r="FM28" s="1">
        <v>33.333333333333321</v>
      </c>
      <c r="FN28" s="1">
        <v>16.666666666666661</v>
      </c>
      <c r="FO28" s="1">
        <v>8.3333333333333304</v>
      </c>
      <c r="FP28" s="1">
        <v>0</v>
      </c>
      <c r="FQ28" s="1">
        <v>24</v>
      </c>
      <c r="FR28" s="1">
        <v>61.904761904761934</v>
      </c>
      <c r="FS28" s="1">
        <v>23.809523809523832</v>
      </c>
      <c r="FT28" s="1">
        <v>14.285714285714297</v>
      </c>
      <c r="FU28" s="1">
        <v>0</v>
      </c>
      <c r="FV28" s="1">
        <v>0</v>
      </c>
      <c r="FW28" s="1">
        <v>21</v>
      </c>
      <c r="FX28" s="1">
        <v>82.000000000000014</v>
      </c>
      <c r="FY28" s="1">
        <v>18.000000000000007</v>
      </c>
      <c r="FZ28" s="1">
        <v>0</v>
      </c>
      <c r="GA28" s="1">
        <v>0</v>
      </c>
      <c r="GB28" s="1">
        <v>0</v>
      </c>
      <c r="GC28" s="1">
        <v>50</v>
      </c>
      <c r="GD28" s="1">
        <v>61.111111111111171</v>
      </c>
      <c r="GE28" s="1">
        <v>27.777777777777807</v>
      </c>
      <c r="GF28" s="1">
        <v>5.55555555555555</v>
      </c>
      <c r="GG28" s="1">
        <v>0</v>
      </c>
      <c r="GH28" s="1">
        <v>5.55555555555555</v>
      </c>
      <c r="GI28" s="1">
        <v>18</v>
      </c>
      <c r="GJ28" s="1">
        <v>62.500000000000007</v>
      </c>
      <c r="GK28" s="1">
        <v>31.249999999999996</v>
      </c>
      <c r="GL28" s="1">
        <v>6.2499999999999991</v>
      </c>
      <c r="GM28" s="1">
        <v>0</v>
      </c>
      <c r="GN28" s="1">
        <v>0</v>
      </c>
      <c r="GO28" s="1">
        <v>16</v>
      </c>
      <c r="GP28" s="1">
        <v>48.648648648648717</v>
      </c>
      <c r="GQ28" s="1">
        <v>37.83783783783791</v>
      </c>
      <c r="GR28" s="1">
        <v>2.7027027027027062</v>
      </c>
      <c r="GS28" s="1">
        <v>8.1081081081081212</v>
      </c>
      <c r="GT28" s="1">
        <v>2.7027027027027062</v>
      </c>
      <c r="GU28" s="1">
        <v>37</v>
      </c>
      <c r="GV28" s="1">
        <v>78.378378378378343</v>
      </c>
      <c r="GW28" s="1">
        <v>16.216216216216242</v>
      </c>
      <c r="GX28" s="1">
        <v>2.7027027027027062</v>
      </c>
      <c r="GY28" s="1">
        <v>2.7027027027027062</v>
      </c>
      <c r="GZ28" s="1">
        <v>0</v>
      </c>
      <c r="HA28" s="1">
        <v>37</v>
      </c>
      <c r="HB28" s="1">
        <v>57.142857142857189</v>
      </c>
      <c r="HC28" s="1">
        <v>14.285714285714297</v>
      </c>
      <c r="HD28" s="1">
        <v>28.571428571428594</v>
      </c>
      <c r="HE28" s="1">
        <v>0</v>
      </c>
      <c r="HF28" s="1">
        <v>0</v>
      </c>
      <c r="HG28" s="1">
        <v>7</v>
      </c>
      <c r="HH28" s="1">
        <v>33.333333333333314</v>
      </c>
      <c r="HI28" s="1">
        <v>33.333333333333314</v>
      </c>
      <c r="HJ28" s="1">
        <v>33.333333333333314</v>
      </c>
      <c r="HK28" s="1">
        <v>0</v>
      </c>
      <c r="HL28" s="1">
        <v>0</v>
      </c>
      <c r="HM28" s="1">
        <v>6</v>
      </c>
      <c r="HN28" s="1">
        <v>0</v>
      </c>
      <c r="HO28" s="1">
        <v>0</v>
      </c>
      <c r="HP28" s="1">
        <v>0</v>
      </c>
      <c r="HQ28" s="1">
        <v>0</v>
      </c>
      <c r="HR28" s="1">
        <v>0</v>
      </c>
      <c r="HS28" s="1">
        <v>0</v>
      </c>
      <c r="HT28" s="1">
        <v>0</v>
      </c>
      <c r="HU28" s="1">
        <v>0</v>
      </c>
      <c r="HV28" s="1">
        <v>0</v>
      </c>
      <c r="HW28" s="1">
        <v>0</v>
      </c>
      <c r="HX28" s="1">
        <v>0</v>
      </c>
      <c r="HY28" s="1">
        <v>0</v>
      </c>
      <c r="HZ28" s="1">
        <v>0</v>
      </c>
      <c r="IA28" s="1">
        <v>0</v>
      </c>
      <c r="IB28" s="1">
        <v>0</v>
      </c>
      <c r="IC28" s="1">
        <v>0</v>
      </c>
      <c r="ID28" s="1">
        <v>0</v>
      </c>
      <c r="IE28" s="1">
        <v>0</v>
      </c>
      <c r="IF28" s="1">
        <v>9.3023255813953494</v>
      </c>
      <c r="IG28" s="1">
        <v>0</v>
      </c>
      <c r="IH28" s="1">
        <v>0</v>
      </c>
      <c r="II28" s="1">
        <v>0</v>
      </c>
      <c r="IJ28" s="1">
        <v>0</v>
      </c>
      <c r="IK28" s="1">
        <v>0</v>
      </c>
      <c r="IL28" s="1">
        <v>0</v>
      </c>
      <c r="IM28" s="1">
        <v>0</v>
      </c>
      <c r="IN28" s="1">
        <v>18.604651162790699</v>
      </c>
      <c r="IO28" s="1">
        <v>32.558139534883765</v>
      </c>
      <c r="IP28" s="1">
        <v>48.837209302325569</v>
      </c>
      <c r="IQ28" s="1">
        <v>9.3023255813953494</v>
      </c>
      <c r="IR28" s="1">
        <v>43</v>
      </c>
      <c r="IS28" s="1">
        <v>10.63829787234044</v>
      </c>
      <c r="IT28" s="1">
        <v>76.595744680851098</v>
      </c>
      <c r="IU28" s="1">
        <v>12.765957446808521</v>
      </c>
      <c r="IV28" s="1">
        <v>0</v>
      </c>
      <c r="IW28" s="1">
        <v>0</v>
      </c>
      <c r="IX28" s="1">
        <v>47</v>
      </c>
      <c r="IY28" s="1">
        <v>1</v>
      </c>
      <c r="IZ28" s="1">
        <v>51.010499999999908</v>
      </c>
      <c r="JA28" s="1">
        <v>13.262730000000023</v>
      </c>
      <c r="JB28" s="1">
        <v>14.282940000000016</v>
      </c>
      <c r="JC28" s="1">
        <v>15.303149999999995</v>
      </c>
      <c r="JD28" s="1">
        <v>16.32335999999999</v>
      </c>
      <c r="JE28" s="1">
        <v>0.26000000000000023</v>
      </c>
      <c r="JF28" s="1">
        <v>0.28000000000000064</v>
      </c>
      <c r="JG28" s="1">
        <v>0.3000000000000006</v>
      </c>
      <c r="JH28" s="1">
        <v>0.32000000000000028</v>
      </c>
      <c r="JI28" s="1">
        <v>1</v>
      </c>
      <c r="JJ28" s="1">
        <v>50</v>
      </c>
      <c r="JK28" s="1">
        <v>2.6666666666666665</v>
      </c>
      <c r="JL28" s="1">
        <v>2.6666666666666696</v>
      </c>
      <c r="JM28" s="1">
        <v>51</v>
      </c>
      <c r="JN28" s="1">
        <v>94.444444444444386</v>
      </c>
      <c r="JO28" s="1">
        <v>5.55555555555555</v>
      </c>
      <c r="JP28" s="1">
        <v>18</v>
      </c>
      <c r="JQ28" s="1">
        <v>100</v>
      </c>
      <c r="JR28" s="1">
        <v>0</v>
      </c>
      <c r="JS28" s="1">
        <v>19</v>
      </c>
      <c r="JT28" s="1">
        <v>97.368421052631632</v>
      </c>
      <c r="JU28" s="1">
        <v>2.6315789473684235</v>
      </c>
      <c r="JV28" s="1">
        <v>38</v>
      </c>
      <c r="JW28" s="1">
        <v>93.548387096774235</v>
      </c>
      <c r="JX28" s="1">
        <v>6.4516129032258105</v>
      </c>
      <c r="JY28" s="1">
        <v>31</v>
      </c>
      <c r="JZ28" s="1">
        <v>47.058823529411754</v>
      </c>
      <c r="KA28" s="1">
        <v>52.941176470588282</v>
      </c>
      <c r="KB28" s="1">
        <v>51</v>
      </c>
      <c r="KC28" s="1">
        <v>99.999999999999986</v>
      </c>
      <c r="KD28" s="1">
        <v>0</v>
      </c>
      <c r="KE28" s="1">
        <v>47</v>
      </c>
      <c r="KF28" s="1">
        <v>2.6744186046511627</v>
      </c>
      <c r="KG28" s="1">
        <v>16.279069767441882</v>
      </c>
      <c r="KH28" s="1">
        <v>32.558139534883765</v>
      </c>
      <c r="KI28" s="1">
        <v>27.906976744186071</v>
      </c>
      <c r="KJ28" s="1">
        <v>13.953488372093034</v>
      </c>
      <c r="KK28" s="1">
        <v>9.3023255813953494</v>
      </c>
      <c r="KL28" s="1">
        <v>43</v>
      </c>
      <c r="KM28" s="1">
        <v>46.976744186046567</v>
      </c>
      <c r="KN28" s="1">
        <v>49.230769230769234</v>
      </c>
      <c r="KO28" s="1">
        <v>0</v>
      </c>
      <c r="KP28" s="1">
        <v>0</v>
      </c>
      <c r="KQ28" s="1">
        <v>76.923076923077019</v>
      </c>
      <c r="KR28" s="1">
        <v>0</v>
      </c>
      <c r="KS28" s="1">
        <v>23.076923076923084</v>
      </c>
      <c r="KT28" s="1">
        <v>13</v>
      </c>
      <c r="KU28" s="1">
        <v>11.111111111111127</v>
      </c>
      <c r="KV28" s="1">
        <v>2.2222222222222254</v>
      </c>
      <c r="KW28" s="1">
        <v>4.4444444444444509</v>
      </c>
      <c r="KX28" s="1">
        <v>82.2222222222222</v>
      </c>
      <c r="KY28" s="1">
        <v>0</v>
      </c>
      <c r="KZ28" s="1">
        <v>45</v>
      </c>
      <c r="LA28" s="1">
        <v>18.000000000000007</v>
      </c>
      <c r="LB28" s="1">
        <v>82.000000000000014</v>
      </c>
      <c r="LC28" s="1">
        <v>50</v>
      </c>
      <c r="LD28" s="1">
        <v>0</v>
      </c>
      <c r="LE28" s="1">
        <v>11.111111111111107</v>
      </c>
      <c r="LF28" s="1">
        <v>88.8888888888889</v>
      </c>
      <c r="LG28" s="1">
        <v>9</v>
      </c>
    </row>
    <row r="29" spans="1:319" x14ac:dyDescent="0.25">
      <c r="A29" s="1">
        <v>66</v>
      </c>
      <c r="B29" s="1">
        <v>10.989010989011033</v>
      </c>
      <c r="C29" s="1">
        <v>89.010989010988837</v>
      </c>
      <c r="D29" s="1">
        <v>364</v>
      </c>
      <c r="E29" s="1">
        <v>88.785046728971778</v>
      </c>
      <c r="F29" s="1">
        <v>11.214953271028081</v>
      </c>
      <c r="G29" s="1">
        <v>321</v>
      </c>
      <c r="H29" s="1">
        <v>64.999999999999972</v>
      </c>
      <c r="I29" s="1">
        <v>34.999999999999993</v>
      </c>
      <c r="J29" s="1">
        <v>280</v>
      </c>
      <c r="K29" s="1">
        <v>1</v>
      </c>
      <c r="L29" s="1">
        <v>1402.0241200000135</v>
      </c>
      <c r="M29" s="1">
        <v>697.07378999999537</v>
      </c>
      <c r="N29" s="1">
        <v>27.567890000000116</v>
      </c>
      <c r="O29" s="1">
        <v>362.32084000000026</v>
      </c>
      <c r="P29" s="1">
        <v>354.44430000000193</v>
      </c>
      <c r="Q29" s="1">
        <v>145.7159899999991</v>
      </c>
      <c r="R29" s="1">
        <v>35.444429999999699</v>
      </c>
      <c r="S29" s="1">
        <v>11.814809999999939</v>
      </c>
      <c r="T29" s="1">
        <v>106.33328999999995</v>
      </c>
      <c r="U29" s="1">
        <v>232.35792999999867</v>
      </c>
      <c r="V29" s="1">
        <v>106.33328999999995</v>
      </c>
      <c r="W29" s="1">
        <v>0.49719101123594922</v>
      </c>
      <c r="X29" s="1">
        <v>1.9662921348314422E-2</v>
      </c>
      <c r="Y29" s="1">
        <v>0.25842696629213407</v>
      </c>
      <c r="Z29" s="1">
        <v>0.25280898876404445</v>
      </c>
      <c r="AA29" s="1">
        <v>0.10393258426966338</v>
      </c>
      <c r="AB29" s="1">
        <v>2.5280898876404254E-2</v>
      </c>
      <c r="AC29" s="1">
        <v>8.4269662921347948E-3</v>
      </c>
      <c r="AD29" s="1">
        <v>7.5842696629212794E-2</v>
      </c>
      <c r="AE29" s="1">
        <v>0.16573033707864976</v>
      </c>
      <c r="AF29" s="1">
        <v>7.5842696629212794E-2</v>
      </c>
      <c r="AG29" s="1">
        <v>1</v>
      </c>
      <c r="AH29" s="1">
        <v>356</v>
      </c>
      <c r="AI29" s="1">
        <v>1</v>
      </c>
      <c r="AJ29" s="1">
        <v>1366.5796899999984</v>
      </c>
      <c r="AK29" s="1">
        <v>897.92556000000184</v>
      </c>
      <c r="AL29" s="1">
        <v>185.09868999999927</v>
      </c>
      <c r="AM29" s="1">
        <v>752.20957000000112</v>
      </c>
      <c r="AN29" s="1">
        <v>1193.2958099999958</v>
      </c>
      <c r="AO29" s="1">
        <v>169.34560999999857</v>
      </c>
      <c r="AP29" s="1">
        <v>102.39502000000037</v>
      </c>
      <c r="AQ29" s="1">
        <v>0.65706051873198179</v>
      </c>
      <c r="AR29" s="1">
        <v>0.13544668587896116</v>
      </c>
      <c r="AS29" s="1">
        <v>0.55043227665706018</v>
      </c>
      <c r="AT29" s="1">
        <v>0.87319884726224484</v>
      </c>
      <c r="AU29" s="1">
        <v>0.1239193083573487</v>
      </c>
      <c r="AV29" s="1">
        <v>7.4927953890489951E-2</v>
      </c>
      <c r="AW29" s="1">
        <v>1</v>
      </c>
      <c r="AX29" s="1">
        <v>347</v>
      </c>
      <c r="AY29" s="1">
        <v>9.5238095238095237</v>
      </c>
      <c r="AZ29" s="1">
        <v>9.5835962145110418</v>
      </c>
      <c r="BA29" s="1">
        <v>9.486486486486486</v>
      </c>
      <c r="BB29" s="1">
        <v>0</v>
      </c>
      <c r="BC29" s="1">
        <v>0</v>
      </c>
      <c r="BD29" s="1">
        <v>0</v>
      </c>
      <c r="BE29" s="1">
        <v>0</v>
      </c>
      <c r="BF29" s="1">
        <v>0.63492063492063278</v>
      </c>
      <c r="BG29" s="1">
        <v>0.63492063492063278</v>
      </c>
      <c r="BH29" s="1">
        <v>2.8571428571428665</v>
      </c>
      <c r="BI29" s="1">
        <v>9.8412698412698685</v>
      </c>
      <c r="BJ29" s="1">
        <v>13.650793650793581</v>
      </c>
      <c r="BK29" s="1">
        <v>72.380952380951555</v>
      </c>
      <c r="BL29" s="1">
        <v>9.5238095238095308</v>
      </c>
      <c r="BM29" s="1">
        <v>315</v>
      </c>
      <c r="BN29" s="1">
        <v>0</v>
      </c>
      <c r="BO29" s="1">
        <v>0</v>
      </c>
      <c r="BP29" s="1">
        <v>0</v>
      </c>
      <c r="BQ29" s="1">
        <v>0.63091482649841801</v>
      </c>
      <c r="BR29" s="1">
        <v>0</v>
      </c>
      <c r="BS29" s="1">
        <v>0.63091482649841801</v>
      </c>
      <c r="BT29" s="1">
        <v>2.2082018927444622</v>
      </c>
      <c r="BU29" s="1">
        <v>6.9400630914826182</v>
      </c>
      <c r="BV29" s="1">
        <v>14.826498422712852</v>
      </c>
      <c r="BW29" s="1">
        <v>74.763406940062836</v>
      </c>
      <c r="BX29" s="1">
        <v>9.5835962145110649</v>
      </c>
      <c r="BY29" s="1">
        <v>317</v>
      </c>
      <c r="BZ29" s="1">
        <v>0</v>
      </c>
      <c r="CA29" s="1">
        <v>0</v>
      </c>
      <c r="CB29" s="1">
        <v>0</v>
      </c>
      <c r="CC29" s="1">
        <v>0.33783783783783838</v>
      </c>
      <c r="CD29" s="1">
        <v>0.33783783783783838</v>
      </c>
      <c r="CE29" s="1">
        <v>2.7027027027027071</v>
      </c>
      <c r="CF29" s="1">
        <v>2.7027027027027071</v>
      </c>
      <c r="CG29" s="1">
        <v>8.1081081081080537</v>
      </c>
      <c r="CH29" s="1">
        <v>12.499999999999998</v>
      </c>
      <c r="CI29" s="1">
        <v>73.310810810810153</v>
      </c>
      <c r="CJ29" s="1">
        <v>9.4864864864865552</v>
      </c>
      <c r="CK29" s="1">
        <v>296</v>
      </c>
      <c r="CL29" s="1">
        <v>69.794721407623925</v>
      </c>
      <c r="CM29" s="1">
        <v>25.806451612903242</v>
      </c>
      <c r="CN29" s="1">
        <v>2.0527859237536492</v>
      </c>
      <c r="CO29" s="1">
        <v>1.4662756598240339</v>
      </c>
      <c r="CP29" s="1">
        <v>0.87976539589442393</v>
      </c>
      <c r="CQ29" s="1">
        <v>341</v>
      </c>
      <c r="CR29" s="1">
        <v>89.736070381230945</v>
      </c>
      <c r="CS29" s="1">
        <v>8.7976539589443199</v>
      </c>
      <c r="CT29" s="1">
        <v>1.1730205278592372</v>
      </c>
      <c r="CU29" s="1">
        <v>0.29325513196480929</v>
      </c>
      <c r="CV29" s="1">
        <v>0</v>
      </c>
      <c r="CW29" s="1">
        <v>341</v>
      </c>
      <c r="CX29" s="1">
        <v>78.034682080924526</v>
      </c>
      <c r="CY29" s="1">
        <v>17.919075144508511</v>
      </c>
      <c r="CZ29" s="1">
        <v>2.8901734104046048</v>
      </c>
      <c r="DA29" s="1">
        <v>0.57803468208092512</v>
      </c>
      <c r="DB29" s="1">
        <v>0.57803468208092512</v>
      </c>
      <c r="DC29" s="1">
        <v>346</v>
      </c>
      <c r="DD29" s="1">
        <v>90.909090909091148</v>
      </c>
      <c r="DE29" s="1">
        <v>7.9178885630498881</v>
      </c>
      <c r="DF29" s="1">
        <v>1.1730205278592372</v>
      </c>
      <c r="DG29" s="1">
        <v>0</v>
      </c>
      <c r="DH29" s="1">
        <v>0</v>
      </c>
      <c r="DI29" s="1">
        <v>341</v>
      </c>
      <c r="DJ29" s="1">
        <v>77.456647398844183</v>
      </c>
      <c r="DK29" s="1">
        <v>18.497109826589568</v>
      </c>
      <c r="DL29" s="1">
        <v>2.0231213872832439</v>
      </c>
      <c r="DM29" s="1">
        <v>1.1560693641618502</v>
      </c>
      <c r="DN29" s="1">
        <v>0.8670520231213843</v>
      </c>
      <c r="DO29" s="1">
        <v>346</v>
      </c>
      <c r="DP29" s="1">
        <v>75.820895522388014</v>
      </c>
      <c r="DQ29" s="1">
        <v>19.104477611940371</v>
      </c>
      <c r="DR29" s="1">
        <v>3.2835820895522585</v>
      </c>
      <c r="DS29" s="1">
        <v>1.7910447761194039</v>
      </c>
      <c r="DT29" s="1">
        <v>0</v>
      </c>
      <c r="DU29" s="1">
        <v>335</v>
      </c>
      <c r="DV29" s="1">
        <v>72.11538461538386</v>
      </c>
      <c r="DW29" s="1">
        <v>17.948717948717803</v>
      </c>
      <c r="DX29" s="1">
        <v>3.5256410256410216</v>
      </c>
      <c r="DY29" s="1">
        <v>4.4871794871794597</v>
      </c>
      <c r="DZ29" s="1">
        <v>1.9230769230769085</v>
      </c>
      <c r="EA29" s="1">
        <v>312</v>
      </c>
      <c r="EB29" s="1">
        <v>78.099173553718302</v>
      </c>
      <c r="EC29" s="1">
        <v>19.421487603305714</v>
      </c>
      <c r="ED29" s="1">
        <v>2.4793388429752348</v>
      </c>
      <c r="EE29" s="1">
        <v>0</v>
      </c>
      <c r="EF29" s="1">
        <v>0</v>
      </c>
      <c r="EG29" s="1">
        <v>242</v>
      </c>
      <c r="EH29" s="1">
        <v>69.957081545064298</v>
      </c>
      <c r="EI29" s="1">
        <v>25.321888412017216</v>
      </c>
      <c r="EJ29" s="1">
        <v>3.004291845493551</v>
      </c>
      <c r="EK29" s="1">
        <v>1.7167381974248905</v>
      </c>
      <c r="EL29" s="1">
        <v>0</v>
      </c>
      <c r="EM29" s="1">
        <v>233</v>
      </c>
      <c r="EN29" s="1">
        <v>60.071942446043636</v>
      </c>
      <c r="EO29" s="1">
        <v>31.654676258992794</v>
      </c>
      <c r="EP29" s="1">
        <v>5.395683453237381</v>
      </c>
      <c r="EQ29" s="1">
        <v>2.1582733812949737</v>
      </c>
      <c r="ER29" s="1">
        <v>0.71942446043166042</v>
      </c>
      <c r="ES29" s="1">
        <v>278</v>
      </c>
      <c r="ET29" s="1">
        <v>61.56583629893197</v>
      </c>
      <c r="EU29" s="1">
        <v>26.334519572953749</v>
      </c>
      <c r="EV29" s="1">
        <v>7.4733096085409292</v>
      </c>
      <c r="EW29" s="1">
        <v>3.9145907473309749</v>
      </c>
      <c r="EX29" s="1">
        <v>0.71174377224198959</v>
      </c>
      <c r="EY29" s="1">
        <v>281</v>
      </c>
      <c r="EZ29" s="1">
        <v>63.576158940397903</v>
      </c>
      <c r="FA29" s="1">
        <v>26.490066225165705</v>
      </c>
      <c r="FB29" s="1">
        <v>7.28476821192048</v>
      </c>
      <c r="FC29" s="1">
        <v>2.6490066225165716</v>
      </c>
      <c r="FD29" s="1">
        <v>0</v>
      </c>
      <c r="FE29" s="1">
        <v>151</v>
      </c>
      <c r="FF29" s="1">
        <v>61.83206106870189</v>
      </c>
      <c r="FG29" s="1">
        <v>23.664122137404728</v>
      </c>
      <c r="FH29" s="1">
        <v>12.213740458015307</v>
      </c>
      <c r="FI29" s="1">
        <v>1.5267175572519134</v>
      </c>
      <c r="FJ29" s="1">
        <v>0.76335877862595669</v>
      </c>
      <c r="FK29" s="1">
        <v>131</v>
      </c>
      <c r="FL29" s="1">
        <v>74.757281553397647</v>
      </c>
      <c r="FM29" s="1">
        <v>18.446601941747705</v>
      </c>
      <c r="FN29" s="1">
        <v>4.3689320388349859</v>
      </c>
      <c r="FO29" s="1">
        <v>1.9417475728155318</v>
      </c>
      <c r="FP29" s="1">
        <v>0.48543689320388295</v>
      </c>
      <c r="FQ29" s="1">
        <v>206</v>
      </c>
      <c r="FR29" s="1">
        <v>71.891891891892385</v>
      </c>
      <c r="FS29" s="1">
        <v>18.378378378378347</v>
      </c>
      <c r="FT29" s="1">
        <v>5.4054054054054177</v>
      </c>
      <c r="FU29" s="1">
        <v>4.3243243243243619</v>
      </c>
      <c r="FV29" s="1">
        <v>0</v>
      </c>
      <c r="FW29" s="1">
        <v>185</v>
      </c>
      <c r="FX29" s="1">
        <v>87.426900584795632</v>
      </c>
      <c r="FY29" s="1">
        <v>10.233918128654867</v>
      </c>
      <c r="FZ29" s="1">
        <v>1.4619883040935548</v>
      </c>
      <c r="GA29" s="1">
        <v>0.58479532163742187</v>
      </c>
      <c r="GB29" s="1">
        <v>0.29239766081871094</v>
      </c>
      <c r="GC29" s="1">
        <v>342</v>
      </c>
      <c r="GD29" s="1">
        <v>65.476190476190752</v>
      </c>
      <c r="GE29" s="1">
        <v>25.000000000000004</v>
      </c>
      <c r="GF29" s="1">
        <v>5.9523809523809508</v>
      </c>
      <c r="GG29" s="1">
        <v>3.5714285714285845</v>
      </c>
      <c r="GH29" s="1">
        <v>0</v>
      </c>
      <c r="GI29" s="1">
        <v>84</v>
      </c>
      <c r="GJ29" s="1">
        <v>70.886075949366614</v>
      </c>
      <c r="GK29" s="1">
        <v>20.253164556962226</v>
      </c>
      <c r="GL29" s="1">
        <v>7.5949367088607458</v>
      </c>
      <c r="GM29" s="1">
        <v>1.2658227848101391</v>
      </c>
      <c r="GN29" s="1">
        <v>0</v>
      </c>
      <c r="GO29" s="1">
        <v>79</v>
      </c>
      <c r="GP29" s="1">
        <v>72.380952380951555</v>
      </c>
      <c r="GQ29" s="1">
        <v>21.269841269841042</v>
      </c>
      <c r="GR29" s="1">
        <v>2.5396825396825311</v>
      </c>
      <c r="GS29" s="1">
        <v>2.2222222222222054</v>
      </c>
      <c r="GT29" s="1">
        <v>1.5873015873015772</v>
      </c>
      <c r="GU29" s="1">
        <v>315</v>
      </c>
      <c r="GV29" s="1">
        <v>79.874213836476983</v>
      </c>
      <c r="GW29" s="1">
        <v>16.037735849056588</v>
      </c>
      <c r="GX29" s="1">
        <v>1.8867924528301825</v>
      </c>
      <c r="GY29" s="1">
        <v>1.257861635220126</v>
      </c>
      <c r="GZ29" s="1">
        <v>0.94339622641509124</v>
      </c>
      <c r="HA29" s="1">
        <v>318</v>
      </c>
      <c r="HB29" s="1">
        <v>27.272727272727323</v>
      </c>
      <c r="HC29" s="1">
        <v>18.181818181818073</v>
      </c>
      <c r="HD29" s="1">
        <v>31.818181818181944</v>
      </c>
      <c r="HE29" s="1">
        <v>18.181818181818073</v>
      </c>
      <c r="HF29" s="1">
        <v>4.5454545454545183</v>
      </c>
      <c r="HG29" s="1">
        <v>22</v>
      </c>
      <c r="HH29" s="1">
        <v>31.578947368421112</v>
      </c>
      <c r="HI29" s="1">
        <v>10.526315789473731</v>
      </c>
      <c r="HJ29" s="1">
        <v>10.526315789473731</v>
      </c>
      <c r="HK29" s="1">
        <v>10.526315789473731</v>
      </c>
      <c r="HL29" s="1">
        <v>36.842105263157954</v>
      </c>
      <c r="HM29" s="1">
        <v>19</v>
      </c>
      <c r="HN29" s="1">
        <v>0</v>
      </c>
      <c r="HO29" s="1">
        <v>0</v>
      </c>
      <c r="HP29" s="1">
        <v>0</v>
      </c>
      <c r="HQ29" s="1">
        <v>0</v>
      </c>
      <c r="HR29" s="1">
        <v>0</v>
      </c>
      <c r="HS29" s="1">
        <v>0</v>
      </c>
      <c r="HT29" s="1">
        <v>0</v>
      </c>
      <c r="HU29" s="1">
        <v>0</v>
      </c>
      <c r="HV29" s="1">
        <v>0</v>
      </c>
      <c r="HW29" s="1">
        <v>0</v>
      </c>
      <c r="HX29" s="1">
        <v>0</v>
      </c>
      <c r="HY29" s="1">
        <v>0</v>
      </c>
      <c r="HZ29" s="1">
        <v>0</v>
      </c>
      <c r="IA29" s="1">
        <v>0</v>
      </c>
      <c r="IB29" s="1">
        <v>0</v>
      </c>
      <c r="IC29" s="1">
        <v>0</v>
      </c>
      <c r="ID29" s="1">
        <v>0</v>
      </c>
      <c r="IE29" s="1">
        <v>0</v>
      </c>
      <c r="IF29" s="1">
        <v>9.2229102167182671</v>
      </c>
      <c r="IG29" s="1">
        <v>0</v>
      </c>
      <c r="IH29" s="1">
        <v>0</v>
      </c>
      <c r="II29" s="1">
        <v>0</v>
      </c>
      <c r="IJ29" s="1">
        <v>0</v>
      </c>
      <c r="IK29" s="1">
        <v>0</v>
      </c>
      <c r="IL29" s="1">
        <v>1.238390092879244</v>
      </c>
      <c r="IM29" s="1">
        <v>3.7151702786377472</v>
      </c>
      <c r="IN29" s="1">
        <v>13.931888544891628</v>
      </c>
      <c r="IO29" s="1">
        <v>33.746130030959343</v>
      </c>
      <c r="IP29" s="1">
        <v>47.368421052631483</v>
      </c>
      <c r="IQ29" s="1">
        <v>9.2229102167183097</v>
      </c>
      <c r="IR29" s="1">
        <v>323</v>
      </c>
      <c r="IS29" s="1">
        <v>22.028985507246091</v>
      </c>
      <c r="IT29" s="1">
        <v>66.666666666666671</v>
      </c>
      <c r="IU29" s="1">
        <v>6.9565217391304506</v>
      </c>
      <c r="IV29" s="1">
        <v>0.57971014492753214</v>
      </c>
      <c r="IW29" s="1">
        <v>3.7681159420289823</v>
      </c>
      <c r="IX29" s="1">
        <v>345</v>
      </c>
      <c r="IY29" s="1">
        <v>1</v>
      </c>
      <c r="IZ29" s="1">
        <v>1346.8883400000052</v>
      </c>
      <c r="JA29" s="1">
        <v>984.56750000000318</v>
      </c>
      <c r="JB29" s="1">
        <v>248.11100999999846</v>
      </c>
      <c r="JC29" s="1">
        <v>90.580210000000065</v>
      </c>
      <c r="JD29" s="1">
        <v>82.703669999999718</v>
      </c>
      <c r="JE29" s="1">
        <v>0.73099415204677642</v>
      </c>
      <c r="JF29" s="1">
        <v>0.18421052631578802</v>
      </c>
      <c r="JG29" s="1">
        <v>6.7251461988303535E-2</v>
      </c>
      <c r="JH29" s="1">
        <v>6.1403508771929266E-2</v>
      </c>
      <c r="JI29" s="1">
        <v>1</v>
      </c>
      <c r="JJ29" s="1">
        <v>342</v>
      </c>
      <c r="JK29" s="1">
        <v>5.3826086956521735</v>
      </c>
      <c r="JL29" s="1">
        <v>5.3826086956521522</v>
      </c>
      <c r="JM29" s="1">
        <v>345</v>
      </c>
      <c r="JN29" s="1">
        <v>84.567901234568112</v>
      </c>
      <c r="JO29" s="1">
        <v>15.432098765432126</v>
      </c>
      <c r="JP29" s="1">
        <v>162</v>
      </c>
      <c r="JQ29" s="1">
        <v>89.333333333332845</v>
      </c>
      <c r="JR29" s="1">
        <v>10.666666666666627</v>
      </c>
      <c r="JS29" s="1">
        <v>150</v>
      </c>
      <c r="JT29" s="1">
        <v>96.904024767801857</v>
      </c>
      <c r="JU29" s="1">
        <v>3.09597523219814</v>
      </c>
      <c r="JV29" s="1">
        <v>323</v>
      </c>
      <c r="JW29" s="1">
        <v>90.000000000000014</v>
      </c>
      <c r="JX29" s="1">
        <v>10.000000000000002</v>
      </c>
      <c r="JY29" s="1">
        <v>250</v>
      </c>
      <c r="JZ29" s="1">
        <v>39.999999999999901</v>
      </c>
      <c r="KA29" s="1">
        <v>59.999999999999922</v>
      </c>
      <c r="KB29" s="1">
        <v>335</v>
      </c>
      <c r="KC29" s="1">
        <v>100</v>
      </c>
      <c r="KD29" s="1">
        <v>0</v>
      </c>
      <c r="KE29" s="1">
        <v>318</v>
      </c>
      <c r="KF29" s="1">
        <v>3.3967741935483873</v>
      </c>
      <c r="KG29" s="1">
        <v>2.5806451612903341</v>
      </c>
      <c r="KH29" s="1">
        <v>13.548387096774228</v>
      </c>
      <c r="KI29" s="1">
        <v>37.741935483871075</v>
      </c>
      <c r="KJ29" s="1">
        <v>33.870967741935488</v>
      </c>
      <c r="KK29" s="1">
        <v>12.258064516128902</v>
      </c>
      <c r="KL29" s="1">
        <v>310</v>
      </c>
      <c r="KM29" s="1">
        <v>59.71612903225823</v>
      </c>
      <c r="KN29" s="1">
        <v>67.089285714285708</v>
      </c>
      <c r="KO29" s="1">
        <v>5.3571428571428861</v>
      </c>
      <c r="KP29" s="1">
        <v>16.071428571428505</v>
      </c>
      <c r="KQ29" s="1">
        <v>39.285714285714164</v>
      </c>
      <c r="KR29" s="1">
        <v>10.714285714285772</v>
      </c>
      <c r="KS29" s="1">
        <v>28.571428571428672</v>
      </c>
      <c r="KT29" s="1">
        <v>56</v>
      </c>
      <c r="KU29" s="1">
        <v>2.5889967637540399</v>
      </c>
      <c r="KV29" s="1">
        <v>0.64724919093850997</v>
      </c>
      <c r="KW29" s="1">
        <v>1.9417475728155298</v>
      </c>
      <c r="KX29" s="1">
        <v>93.527508090614205</v>
      </c>
      <c r="KY29" s="1">
        <v>1.2944983818770199</v>
      </c>
      <c r="KZ29" s="1">
        <v>309</v>
      </c>
      <c r="LA29" s="1">
        <v>10.344827586206952</v>
      </c>
      <c r="LB29" s="1">
        <v>89.655172413793423</v>
      </c>
      <c r="LC29" s="1">
        <v>58</v>
      </c>
      <c r="LD29" s="1">
        <v>16.666666666666668</v>
      </c>
      <c r="LE29" s="1">
        <v>0</v>
      </c>
      <c r="LF29" s="1">
        <v>83.333333333333357</v>
      </c>
      <c r="LG29" s="1">
        <v>6</v>
      </c>
    </row>
    <row r="30" spans="1:319" x14ac:dyDescent="0.25">
      <c r="A30" s="1">
        <v>69</v>
      </c>
      <c r="B30" s="1">
        <v>0</v>
      </c>
      <c r="C30" s="1">
        <v>100</v>
      </c>
      <c r="D30" s="1">
        <v>2</v>
      </c>
      <c r="E30" s="1">
        <v>100</v>
      </c>
      <c r="F30" s="1">
        <v>0</v>
      </c>
      <c r="G30" s="1">
        <v>2</v>
      </c>
      <c r="H30" s="1">
        <v>100</v>
      </c>
      <c r="I30" s="1">
        <v>0</v>
      </c>
      <c r="J30" s="1">
        <v>1</v>
      </c>
      <c r="K30" s="1">
        <v>1</v>
      </c>
      <c r="L30" s="1">
        <v>0.78691999999999995</v>
      </c>
      <c r="M30" s="1">
        <v>0.78691999999999995</v>
      </c>
      <c r="N30" s="1">
        <v>0</v>
      </c>
      <c r="O30" s="1">
        <v>0</v>
      </c>
      <c r="P30" s="1">
        <v>0</v>
      </c>
      <c r="Q30" s="1">
        <v>0</v>
      </c>
      <c r="R30" s="1">
        <v>0</v>
      </c>
      <c r="S30" s="1">
        <v>0</v>
      </c>
      <c r="T30" s="1">
        <v>0</v>
      </c>
      <c r="U30" s="1">
        <v>0</v>
      </c>
      <c r="V30" s="1">
        <v>0</v>
      </c>
      <c r="W30" s="1">
        <v>1</v>
      </c>
      <c r="X30" s="1">
        <v>0</v>
      </c>
      <c r="Y30" s="1">
        <v>0</v>
      </c>
      <c r="Z30" s="1">
        <v>0</v>
      </c>
      <c r="AA30" s="1">
        <v>0</v>
      </c>
      <c r="AB30" s="1">
        <v>0</v>
      </c>
      <c r="AC30" s="1">
        <v>0</v>
      </c>
      <c r="AD30" s="1">
        <v>0</v>
      </c>
      <c r="AE30" s="1">
        <v>0</v>
      </c>
      <c r="AF30" s="1">
        <v>0</v>
      </c>
      <c r="AG30" s="1">
        <v>1</v>
      </c>
      <c r="AH30" s="1">
        <v>2</v>
      </c>
      <c r="AI30" s="1">
        <v>1</v>
      </c>
      <c r="AJ30" s="1">
        <v>0.78691999999999995</v>
      </c>
      <c r="AK30" s="1">
        <v>0.78691999999999995</v>
      </c>
      <c r="AL30" s="1">
        <v>0.78691999999999995</v>
      </c>
      <c r="AM30" s="1">
        <v>0.78691999999999995</v>
      </c>
      <c r="AN30" s="1">
        <v>0.78691999999999995</v>
      </c>
      <c r="AO30" s="1">
        <v>0</v>
      </c>
      <c r="AP30" s="1">
        <v>0</v>
      </c>
      <c r="AQ30" s="1">
        <v>1</v>
      </c>
      <c r="AR30" s="1">
        <v>1</v>
      </c>
      <c r="AS30" s="1">
        <v>1</v>
      </c>
      <c r="AT30" s="1">
        <v>1</v>
      </c>
      <c r="AU30" s="1">
        <v>0</v>
      </c>
      <c r="AV30" s="1">
        <v>0</v>
      </c>
      <c r="AW30" s="1">
        <v>1</v>
      </c>
      <c r="AX30" s="1">
        <v>2</v>
      </c>
      <c r="AY30" s="1">
        <v>9.5</v>
      </c>
      <c r="AZ30" s="1">
        <v>10</v>
      </c>
      <c r="BA30" s="1">
        <v>10</v>
      </c>
      <c r="BB30" s="1">
        <v>0</v>
      </c>
      <c r="BC30" s="1">
        <v>0</v>
      </c>
      <c r="BD30" s="1">
        <v>0</v>
      </c>
      <c r="BE30" s="1">
        <v>0</v>
      </c>
      <c r="BF30" s="1">
        <v>0</v>
      </c>
      <c r="BG30" s="1">
        <v>0</v>
      </c>
      <c r="BH30" s="1">
        <v>0</v>
      </c>
      <c r="BI30" s="1">
        <v>0</v>
      </c>
      <c r="BJ30" s="1">
        <v>50</v>
      </c>
      <c r="BK30" s="1">
        <v>50</v>
      </c>
      <c r="BL30" s="1">
        <v>9.5</v>
      </c>
      <c r="BM30" s="1">
        <v>2</v>
      </c>
      <c r="BN30" s="1">
        <v>0</v>
      </c>
      <c r="BO30" s="1">
        <v>0</v>
      </c>
      <c r="BP30" s="1">
        <v>0</v>
      </c>
      <c r="BQ30" s="1">
        <v>0</v>
      </c>
      <c r="BR30" s="1">
        <v>0</v>
      </c>
      <c r="BS30" s="1">
        <v>0</v>
      </c>
      <c r="BT30" s="1">
        <v>0</v>
      </c>
      <c r="BU30" s="1">
        <v>0</v>
      </c>
      <c r="BV30" s="1">
        <v>0</v>
      </c>
      <c r="BW30" s="1">
        <v>100</v>
      </c>
      <c r="BX30" s="1">
        <v>10</v>
      </c>
      <c r="BY30" s="1">
        <v>2</v>
      </c>
      <c r="BZ30" s="1">
        <v>0</v>
      </c>
      <c r="CA30" s="1">
        <v>0</v>
      </c>
      <c r="CB30" s="1">
        <v>0</v>
      </c>
      <c r="CC30" s="1">
        <v>0</v>
      </c>
      <c r="CD30" s="1">
        <v>0</v>
      </c>
      <c r="CE30" s="1">
        <v>0</v>
      </c>
      <c r="CF30" s="1">
        <v>0</v>
      </c>
      <c r="CG30" s="1">
        <v>0</v>
      </c>
      <c r="CH30" s="1">
        <v>0</v>
      </c>
      <c r="CI30" s="1">
        <v>100</v>
      </c>
      <c r="CJ30" s="1">
        <v>10</v>
      </c>
      <c r="CK30" s="1">
        <v>2</v>
      </c>
      <c r="CL30" s="1">
        <v>100</v>
      </c>
      <c r="CM30" s="1">
        <v>0</v>
      </c>
      <c r="CN30" s="1">
        <v>0</v>
      </c>
      <c r="CO30" s="1">
        <v>0</v>
      </c>
      <c r="CP30" s="1">
        <v>0</v>
      </c>
      <c r="CQ30" s="1">
        <v>2</v>
      </c>
      <c r="CR30" s="1">
        <v>50</v>
      </c>
      <c r="CS30" s="1">
        <v>50</v>
      </c>
      <c r="CT30" s="1">
        <v>0</v>
      </c>
      <c r="CU30" s="1">
        <v>0</v>
      </c>
      <c r="CV30" s="1">
        <v>0</v>
      </c>
      <c r="CW30" s="1">
        <v>2</v>
      </c>
      <c r="CX30" s="1">
        <v>100</v>
      </c>
      <c r="CY30" s="1">
        <v>0</v>
      </c>
      <c r="CZ30" s="1">
        <v>0</v>
      </c>
      <c r="DA30" s="1">
        <v>0</v>
      </c>
      <c r="DB30" s="1">
        <v>0</v>
      </c>
      <c r="DC30" s="1">
        <v>2</v>
      </c>
      <c r="DD30" s="1">
        <v>100</v>
      </c>
      <c r="DE30" s="1">
        <v>0</v>
      </c>
      <c r="DF30" s="1">
        <v>0</v>
      </c>
      <c r="DG30" s="1">
        <v>0</v>
      </c>
      <c r="DH30" s="1">
        <v>0</v>
      </c>
      <c r="DI30" s="1">
        <v>2</v>
      </c>
      <c r="DJ30" s="1">
        <v>100</v>
      </c>
      <c r="DK30" s="1">
        <v>0</v>
      </c>
      <c r="DL30" s="1">
        <v>0</v>
      </c>
      <c r="DM30" s="1">
        <v>0</v>
      </c>
      <c r="DN30" s="1">
        <v>0</v>
      </c>
      <c r="DO30" s="1">
        <v>2</v>
      </c>
      <c r="DP30" s="1">
        <v>100</v>
      </c>
      <c r="DQ30" s="1">
        <v>0</v>
      </c>
      <c r="DR30" s="1">
        <v>0</v>
      </c>
      <c r="DS30" s="1">
        <v>0</v>
      </c>
      <c r="DT30" s="1">
        <v>0</v>
      </c>
      <c r="DU30" s="1">
        <v>2</v>
      </c>
      <c r="DV30" s="1">
        <v>100</v>
      </c>
      <c r="DW30" s="1">
        <v>0</v>
      </c>
      <c r="DX30" s="1">
        <v>0</v>
      </c>
      <c r="DY30" s="1">
        <v>0</v>
      </c>
      <c r="DZ30" s="1">
        <v>0</v>
      </c>
      <c r="EA30" s="1">
        <v>1</v>
      </c>
      <c r="EB30" s="1">
        <v>0</v>
      </c>
      <c r="EC30" s="1">
        <v>0</v>
      </c>
      <c r="ED30" s="1">
        <v>0</v>
      </c>
      <c r="EE30" s="1">
        <v>0</v>
      </c>
      <c r="EF30" s="1">
        <v>0</v>
      </c>
      <c r="EG30" s="1">
        <v>0</v>
      </c>
      <c r="EH30" s="1">
        <v>0</v>
      </c>
      <c r="EI30" s="1">
        <v>0</v>
      </c>
      <c r="EJ30" s="1">
        <v>0</v>
      </c>
      <c r="EK30" s="1">
        <v>0</v>
      </c>
      <c r="EL30" s="1">
        <v>0</v>
      </c>
      <c r="EM30" s="1">
        <v>0</v>
      </c>
      <c r="EN30" s="1">
        <v>100</v>
      </c>
      <c r="EO30" s="1">
        <v>0</v>
      </c>
      <c r="EP30" s="1">
        <v>0</v>
      </c>
      <c r="EQ30" s="1">
        <v>0</v>
      </c>
      <c r="ER30" s="1">
        <v>0</v>
      </c>
      <c r="ES30" s="1">
        <v>2</v>
      </c>
      <c r="ET30" s="1">
        <v>50</v>
      </c>
      <c r="EU30" s="1">
        <v>50</v>
      </c>
      <c r="EV30" s="1">
        <v>0</v>
      </c>
      <c r="EW30" s="1">
        <v>0</v>
      </c>
      <c r="EX30" s="1">
        <v>0</v>
      </c>
      <c r="EY30" s="1">
        <v>2</v>
      </c>
      <c r="EZ30" s="1">
        <v>100</v>
      </c>
      <c r="FA30" s="1">
        <v>0</v>
      </c>
      <c r="FB30" s="1">
        <v>0</v>
      </c>
      <c r="FC30" s="1">
        <v>0</v>
      </c>
      <c r="FD30" s="1">
        <v>0</v>
      </c>
      <c r="FE30" s="1">
        <v>1</v>
      </c>
      <c r="FF30" s="1">
        <v>100</v>
      </c>
      <c r="FG30" s="1">
        <v>0</v>
      </c>
      <c r="FH30" s="1">
        <v>0</v>
      </c>
      <c r="FI30" s="1">
        <v>0</v>
      </c>
      <c r="FJ30" s="1">
        <v>0</v>
      </c>
      <c r="FK30" s="1">
        <v>1</v>
      </c>
      <c r="FL30" s="1">
        <v>100</v>
      </c>
      <c r="FM30" s="1">
        <v>0</v>
      </c>
      <c r="FN30" s="1">
        <v>0</v>
      </c>
      <c r="FO30" s="1">
        <v>0</v>
      </c>
      <c r="FP30" s="1">
        <v>0</v>
      </c>
      <c r="FQ30" s="1">
        <v>1</v>
      </c>
      <c r="FR30" s="1">
        <v>100</v>
      </c>
      <c r="FS30" s="1">
        <v>0</v>
      </c>
      <c r="FT30" s="1">
        <v>0</v>
      </c>
      <c r="FU30" s="1">
        <v>0</v>
      </c>
      <c r="FV30" s="1">
        <v>0</v>
      </c>
      <c r="FW30" s="1">
        <v>2</v>
      </c>
      <c r="FX30" s="1">
        <v>100</v>
      </c>
      <c r="FY30" s="1">
        <v>0</v>
      </c>
      <c r="FZ30" s="1">
        <v>0</v>
      </c>
      <c r="GA30" s="1">
        <v>0</v>
      </c>
      <c r="GB30" s="1">
        <v>0</v>
      </c>
      <c r="GC30" s="1">
        <v>2</v>
      </c>
      <c r="GD30" s="1">
        <v>0</v>
      </c>
      <c r="GE30" s="1">
        <v>0</v>
      </c>
      <c r="GF30" s="1">
        <v>0</v>
      </c>
      <c r="GG30" s="1">
        <v>0</v>
      </c>
      <c r="GH30" s="1">
        <v>0</v>
      </c>
      <c r="GI30" s="1">
        <v>0</v>
      </c>
      <c r="GJ30" s="1">
        <v>0</v>
      </c>
      <c r="GK30" s="1">
        <v>0</v>
      </c>
      <c r="GL30" s="1">
        <v>0</v>
      </c>
      <c r="GM30" s="1">
        <v>0</v>
      </c>
      <c r="GN30" s="1">
        <v>0</v>
      </c>
      <c r="GO30" s="1">
        <v>0</v>
      </c>
      <c r="GP30" s="1">
        <v>100</v>
      </c>
      <c r="GQ30" s="1">
        <v>0</v>
      </c>
      <c r="GR30" s="1">
        <v>0</v>
      </c>
      <c r="GS30" s="1">
        <v>0</v>
      </c>
      <c r="GT30" s="1">
        <v>0</v>
      </c>
      <c r="GU30" s="1">
        <v>1</v>
      </c>
      <c r="GV30" s="1">
        <v>100</v>
      </c>
      <c r="GW30" s="1">
        <v>0</v>
      </c>
      <c r="GX30" s="1">
        <v>0</v>
      </c>
      <c r="GY30" s="1">
        <v>0</v>
      </c>
      <c r="GZ30" s="1">
        <v>0</v>
      </c>
      <c r="HA30" s="1">
        <v>1</v>
      </c>
      <c r="HB30" s="1">
        <v>0</v>
      </c>
      <c r="HC30" s="1">
        <v>0</v>
      </c>
      <c r="HD30" s="1">
        <v>0</v>
      </c>
      <c r="HE30" s="1">
        <v>0</v>
      </c>
      <c r="HF30" s="1">
        <v>0</v>
      </c>
      <c r="HG30" s="1">
        <v>0</v>
      </c>
      <c r="HH30" s="1">
        <v>0</v>
      </c>
      <c r="HI30" s="1">
        <v>0</v>
      </c>
      <c r="HJ30" s="1">
        <v>0</v>
      </c>
      <c r="HK30" s="1">
        <v>0</v>
      </c>
      <c r="HL30" s="1">
        <v>0</v>
      </c>
      <c r="HM30" s="1">
        <v>0</v>
      </c>
      <c r="HN30" s="1">
        <v>0</v>
      </c>
      <c r="HO30" s="1">
        <v>0</v>
      </c>
      <c r="HP30" s="1">
        <v>0</v>
      </c>
      <c r="HQ30" s="1">
        <v>0</v>
      </c>
      <c r="HR30" s="1">
        <v>0</v>
      </c>
      <c r="HS30" s="1">
        <v>0</v>
      </c>
      <c r="HT30" s="1">
        <v>0</v>
      </c>
      <c r="HU30" s="1">
        <v>0</v>
      </c>
      <c r="HV30" s="1">
        <v>0</v>
      </c>
      <c r="HW30" s="1">
        <v>0</v>
      </c>
      <c r="HX30" s="1">
        <v>0</v>
      </c>
      <c r="HY30" s="1">
        <v>0</v>
      </c>
      <c r="HZ30" s="1">
        <v>0</v>
      </c>
      <c r="IA30" s="1">
        <v>0</v>
      </c>
      <c r="IB30" s="1">
        <v>0</v>
      </c>
      <c r="IC30" s="1">
        <v>0</v>
      </c>
      <c r="ID30" s="1">
        <v>0</v>
      </c>
      <c r="IE30" s="1">
        <v>0</v>
      </c>
      <c r="IF30" s="1">
        <v>10</v>
      </c>
      <c r="IG30" s="1">
        <v>0</v>
      </c>
      <c r="IH30" s="1">
        <v>0</v>
      </c>
      <c r="II30" s="1">
        <v>0</v>
      </c>
      <c r="IJ30" s="1">
        <v>0</v>
      </c>
      <c r="IK30" s="1">
        <v>0</v>
      </c>
      <c r="IL30" s="1">
        <v>0</v>
      </c>
      <c r="IM30" s="1">
        <v>0</v>
      </c>
      <c r="IN30" s="1">
        <v>0</v>
      </c>
      <c r="IO30" s="1">
        <v>0</v>
      </c>
      <c r="IP30" s="1">
        <v>100</v>
      </c>
      <c r="IQ30" s="1">
        <v>10</v>
      </c>
      <c r="IR30" s="1">
        <v>1</v>
      </c>
      <c r="IS30" s="1">
        <v>50</v>
      </c>
      <c r="IT30" s="1">
        <v>50</v>
      </c>
      <c r="IU30" s="1">
        <v>0</v>
      </c>
      <c r="IV30" s="1">
        <v>0</v>
      </c>
      <c r="IW30" s="1">
        <v>0</v>
      </c>
      <c r="IX30" s="1">
        <v>2</v>
      </c>
      <c r="IY30" s="1">
        <v>1</v>
      </c>
      <c r="IZ30" s="1">
        <v>0.78691999999999995</v>
      </c>
      <c r="JA30" s="1">
        <v>0.78691999999999995</v>
      </c>
      <c r="JB30" s="1">
        <v>0</v>
      </c>
      <c r="JC30" s="1">
        <v>0</v>
      </c>
      <c r="JD30" s="1">
        <v>0</v>
      </c>
      <c r="JE30" s="1">
        <v>1</v>
      </c>
      <c r="JF30" s="1">
        <v>0</v>
      </c>
      <c r="JG30" s="1">
        <v>0</v>
      </c>
      <c r="JH30" s="1">
        <v>0</v>
      </c>
      <c r="JI30" s="1">
        <v>1</v>
      </c>
      <c r="JJ30" s="1">
        <v>2</v>
      </c>
      <c r="JK30" s="1">
        <v>6</v>
      </c>
      <c r="JL30" s="1">
        <v>6</v>
      </c>
      <c r="JM30" s="1">
        <v>2</v>
      </c>
      <c r="JN30" s="1">
        <v>0</v>
      </c>
      <c r="JO30" s="1">
        <v>100</v>
      </c>
      <c r="JP30" s="1">
        <v>1</v>
      </c>
      <c r="JQ30" s="1">
        <v>0</v>
      </c>
      <c r="JR30" s="1">
        <v>100</v>
      </c>
      <c r="JS30" s="1">
        <v>1</v>
      </c>
      <c r="JT30" s="1">
        <v>100</v>
      </c>
      <c r="JU30" s="1">
        <v>0</v>
      </c>
      <c r="JV30" s="1">
        <v>2</v>
      </c>
      <c r="JW30" s="1">
        <v>100</v>
      </c>
      <c r="JX30" s="1">
        <v>0</v>
      </c>
      <c r="JY30" s="1">
        <v>2</v>
      </c>
      <c r="JZ30" s="1">
        <v>100</v>
      </c>
      <c r="KA30" s="1">
        <v>0</v>
      </c>
      <c r="KB30" s="1">
        <v>2</v>
      </c>
      <c r="KC30" s="1">
        <v>100</v>
      </c>
      <c r="KD30" s="1">
        <v>0</v>
      </c>
      <c r="KE30" s="1">
        <v>2</v>
      </c>
      <c r="KF30" s="1">
        <v>3.5</v>
      </c>
      <c r="KG30" s="1">
        <v>0</v>
      </c>
      <c r="KH30" s="1">
        <v>0</v>
      </c>
      <c r="KI30" s="1">
        <v>50</v>
      </c>
      <c r="KJ30" s="1">
        <v>50</v>
      </c>
      <c r="KK30" s="1">
        <v>0</v>
      </c>
      <c r="KL30" s="1">
        <v>2</v>
      </c>
      <c r="KM30" s="1">
        <v>58.5</v>
      </c>
      <c r="KN30" s="1">
        <v>19</v>
      </c>
      <c r="KO30" s="1">
        <v>0</v>
      </c>
      <c r="KP30" s="1">
        <v>0</v>
      </c>
      <c r="KQ30" s="1">
        <v>100</v>
      </c>
      <c r="KR30" s="1">
        <v>0</v>
      </c>
      <c r="KS30" s="1">
        <v>0</v>
      </c>
      <c r="KT30" s="1">
        <v>1</v>
      </c>
      <c r="KU30" s="1">
        <v>0</v>
      </c>
      <c r="KV30" s="1">
        <v>0</v>
      </c>
      <c r="KW30" s="1">
        <v>0</v>
      </c>
      <c r="KX30" s="1">
        <v>100</v>
      </c>
      <c r="KY30" s="1">
        <v>0</v>
      </c>
      <c r="KZ30" s="1">
        <v>2</v>
      </c>
      <c r="LA30" s="1">
        <v>0</v>
      </c>
      <c r="LB30" s="1">
        <v>100</v>
      </c>
      <c r="LC30" s="1">
        <v>2</v>
      </c>
      <c r="LD30" s="1">
        <v>0</v>
      </c>
      <c r="LE30" s="1">
        <v>0</v>
      </c>
      <c r="LF30" s="1">
        <v>0</v>
      </c>
      <c r="LG30" s="1">
        <v>0</v>
      </c>
    </row>
    <row r="31" spans="1:319" x14ac:dyDescent="0.25">
      <c r="A31" s="1">
        <v>74</v>
      </c>
      <c r="B31" s="1">
        <v>28.571428571428484</v>
      </c>
      <c r="C31" s="1">
        <v>71.428571428571487</v>
      </c>
      <c r="D31" s="1">
        <v>70</v>
      </c>
      <c r="E31" s="1">
        <v>83.673469387755134</v>
      </c>
      <c r="F31" s="1">
        <v>16.326530612244859</v>
      </c>
      <c r="G31" s="1">
        <v>49</v>
      </c>
      <c r="H31" s="1">
        <v>54.761904761904731</v>
      </c>
      <c r="I31" s="1">
        <v>45.238095238095184</v>
      </c>
      <c r="J31" s="1">
        <v>42</v>
      </c>
      <c r="K31" s="1">
        <v>1</v>
      </c>
      <c r="L31" s="1">
        <v>212.0364000000005</v>
      </c>
      <c r="M31" s="1">
        <v>85.40355000000001</v>
      </c>
      <c r="N31" s="1">
        <v>26.504550000000044</v>
      </c>
      <c r="O31" s="1">
        <v>79.513649999999927</v>
      </c>
      <c r="P31" s="1">
        <v>0</v>
      </c>
      <c r="Q31" s="1">
        <v>50.064150000000033</v>
      </c>
      <c r="R31" s="1">
        <v>35.339399999999983</v>
      </c>
      <c r="S31" s="1">
        <v>0</v>
      </c>
      <c r="T31" s="1">
        <v>14.724749999999984</v>
      </c>
      <c r="U31" s="1">
        <v>17.669699999999992</v>
      </c>
      <c r="V31" s="1">
        <v>20.614649999999987</v>
      </c>
      <c r="W31" s="1">
        <v>0.40277777777777779</v>
      </c>
      <c r="X31" s="1">
        <v>0.12499999999999994</v>
      </c>
      <c r="Y31" s="1">
        <v>0.37499999999999989</v>
      </c>
      <c r="Z31" s="1">
        <v>0</v>
      </c>
      <c r="AA31" s="1">
        <v>0.23611111111111077</v>
      </c>
      <c r="AB31" s="1">
        <v>0.16666666666666621</v>
      </c>
      <c r="AC31" s="1">
        <v>0</v>
      </c>
      <c r="AD31" s="1">
        <v>6.9444444444444364E-2</v>
      </c>
      <c r="AE31" s="1">
        <v>8.3333333333333107E-2</v>
      </c>
      <c r="AF31" s="1">
        <v>9.7222222222222127E-2</v>
      </c>
      <c r="AG31" s="1">
        <v>1</v>
      </c>
      <c r="AH31" s="1">
        <v>72</v>
      </c>
      <c r="AI31" s="1">
        <v>1</v>
      </c>
      <c r="AJ31" s="1">
        <v>194.36670000000038</v>
      </c>
      <c r="AK31" s="1">
        <v>161.97225000000023</v>
      </c>
      <c r="AL31" s="1">
        <v>26.504550000000044</v>
      </c>
      <c r="AM31" s="1">
        <v>114.85304999999994</v>
      </c>
      <c r="AN31" s="1">
        <v>111.90809999999988</v>
      </c>
      <c r="AO31" s="1">
        <v>23.559600000000032</v>
      </c>
      <c r="AP31" s="1">
        <v>26.504550000000044</v>
      </c>
      <c r="AQ31" s="1">
        <v>0.83333333333333426</v>
      </c>
      <c r="AR31" s="1">
        <v>0.13636363636363613</v>
      </c>
      <c r="AS31" s="1">
        <v>0.59090909090909094</v>
      </c>
      <c r="AT31" s="1">
        <v>0.57575757575757569</v>
      </c>
      <c r="AU31" s="1">
        <v>0.12121212121212108</v>
      </c>
      <c r="AV31" s="1">
        <v>0.13636363636363613</v>
      </c>
      <c r="AW31" s="1">
        <v>1</v>
      </c>
      <c r="AX31" s="1">
        <v>66</v>
      </c>
      <c r="AY31" s="1">
        <v>9.8088235294117645</v>
      </c>
      <c r="AZ31" s="1">
        <v>9.7941176470588243</v>
      </c>
      <c r="BA31" s="1">
        <v>9.8307692307692314</v>
      </c>
      <c r="BB31" s="1">
        <v>0</v>
      </c>
      <c r="BC31" s="1">
        <v>0</v>
      </c>
      <c r="BD31" s="1">
        <v>0</v>
      </c>
      <c r="BE31" s="1">
        <v>0</v>
      </c>
      <c r="BF31" s="1">
        <v>0</v>
      </c>
      <c r="BG31" s="1">
        <v>0</v>
      </c>
      <c r="BH31" s="1">
        <v>0</v>
      </c>
      <c r="BI31" s="1">
        <v>2.9411764705882315</v>
      </c>
      <c r="BJ31" s="1">
        <v>13.235294117647049</v>
      </c>
      <c r="BK31" s="1">
        <v>83.823529411764795</v>
      </c>
      <c r="BL31" s="1">
        <v>9.8088235294117432</v>
      </c>
      <c r="BM31" s="1">
        <v>68</v>
      </c>
      <c r="BN31" s="1">
        <v>0</v>
      </c>
      <c r="BO31" s="1">
        <v>0</v>
      </c>
      <c r="BP31" s="1">
        <v>0</v>
      </c>
      <c r="BQ31" s="1">
        <v>0</v>
      </c>
      <c r="BR31" s="1">
        <v>0</v>
      </c>
      <c r="BS31" s="1">
        <v>0</v>
      </c>
      <c r="BT31" s="1">
        <v>0</v>
      </c>
      <c r="BU31" s="1">
        <v>4.4117647058823426</v>
      </c>
      <c r="BV31" s="1">
        <v>11.764705882352926</v>
      </c>
      <c r="BW31" s="1">
        <v>83.823529411764795</v>
      </c>
      <c r="BX31" s="1">
        <v>9.7941176470587923</v>
      </c>
      <c r="BY31" s="1">
        <v>68</v>
      </c>
      <c r="BZ31" s="1">
        <v>0</v>
      </c>
      <c r="CA31" s="1">
        <v>0</v>
      </c>
      <c r="CB31" s="1">
        <v>0</v>
      </c>
      <c r="CC31" s="1">
        <v>0</v>
      </c>
      <c r="CD31" s="1">
        <v>0</v>
      </c>
      <c r="CE31" s="1">
        <v>0</v>
      </c>
      <c r="CF31" s="1">
        <v>1.5384615384615339</v>
      </c>
      <c r="CG31" s="1">
        <v>3.0769230769230678</v>
      </c>
      <c r="CH31" s="1">
        <v>6.1538461538461355</v>
      </c>
      <c r="CI31" s="1">
        <v>89.230769230769283</v>
      </c>
      <c r="CJ31" s="1">
        <v>9.8307692307691994</v>
      </c>
      <c r="CK31" s="1">
        <v>65</v>
      </c>
      <c r="CL31" s="1">
        <v>44.776119402984968</v>
      </c>
      <c r="CM31" s="1">
        <v>43.283582089552176</v>
      </c>
      <c r="CN31" s="1">
        <v>2.9850746268656678</v>
      </c>
      <c r="CO31" s="1">
        <v>7.4626865671641598</v>
      </c>
      <c r="CP31" s="1">
        <v>1.4925373134328339</v>
      </c>
      <c r="CQ31" s="1">
        <v>67</v>
      </c>
      <c r="CR31" s="1">
        <v>74.647887323943635</v>
      </c>
      <c r="CS31" s="1">
        <v>21.126760563380238</v>
      </c>
      <c r="CT31" s="1">
        <v>4.2253521126760525</v>
      </c>
      <c r="CU31" s="1">
        <v>0</v>
      </c>
      <c r="CV31" s="1">
        <v>0</v>
      </c>
      <c r="CW31" s="1">
        <v>71</v>
      </c>
      <c r="CX31" s="1">
        <v>75.714285714285651</v>
      </c>
      <c r="CY31" s="1">
        <v>21.428571428571388</v>
      </c>
      <c r="CZ31" s="1">
        <v>2.8571428571428545</v>
      </c>
      <c r="DA31" s="1">
        <v>0</v>
      </c>
      <c r="DB31" s="1">
        <v>0</v>
      </c>
      <c r="DC31" s="1">
        <v>70</v>
      </c>
      <c r="DD31" s="1">
        <v>81.69014084507036</v>
      </c>
      <c r="DE31" s="1">
        <v>16.90140845070421</v>
      </c>
      <c r="DF31" s="1">
        <v>1.4084507042253491</v>
      </c>
      <c r="DG31" s="1">
        <v>0</v>
      </c>
      <c r="DH31" s="1">
        <v>0</v>
      </c>
      <c r="DI31" s="1">
        <v>71</v>
      </c>
      <c r="DJ31" s="1">
        <v>66.176470588235205</v>
      </c>
      <c r="DK31" s="1">
        <v>32.35294117647053</v>
      </c>
      <c r="DL31" s="1">
        <v>1.4705882352941158</v>
      </c>
      <c r="DM31" s="1">
        <v>0</v>
      </c>
      <c r="DN31" s="1">
        <v>0</v>
      </c>
      <c r="DO31" s="1">
        <v>68</v>
      </c>
      <c r="DP31" s="1">
        <v>74.647887323943635</v>
      </c>
      <c r="DQ31" s="1">
        <v>21.126760563380238</v>
      </c>
      <c r="DR31" s="1">
        <v>2.8169014084506983</v>
      </c>
      <c r="DS31" s="1">
        <v>1.4084507042253491</v>
      </c>
      <c r="DT31" s="1">
        <v>0</v>
      </c>
      <c r="DU31" s="1">
        <v>71</v>
      </c>
      <c r="DV31" s="1">
        <v>68.181818181818088</v>
      </c>
      <c r="DW31" s="1">
        <v>9.0909090909091113</v>
      </c>
      <c r="DX31" s="1">
        <v>9.0909090909091113</v>
      </c>
      <c r="DY31" s="1">
        <v>9.0909090909091113</v>
      </c>
      <c r="DZ31" s="1">
        <v>4.5454545454545556</v>
      </c>
      <c r="EA31" s="1">
        <v>22</v>
      </c>
      <c r="EB31" s="1">
        <v>85.454545454545325</v>
      </c>
      <c r="EC31" s="1">
        <v>12.727272727272723</v>
      </c>
      <c r="ED31" s="1">
        <v>1.8181818181818139</v>
      </c>
      <c r="EE31" s="1">
        <v>0</v>
      </c>
      <c r="EF31" s="1">
        <v>0</v>
      </c>
      <c r="EG31" s="1">
        <v>55</v>
      </c>
      <c r="EH31" s="1">
        <v>66.666666666666657</v>
      </c>
      <c r="EI31" s="1">
        <v>31.481481481481453</v>
      </c>
      <c r="EJ31" s="1">
        <v>1.8518518518518485</v>
      </c>
      <c r="EK31" s="1">
        <v>0</v>
      </c>
      <c r="EL31" s="1">
        <v>0</v>
      </c>
      <c r="EM31" s="1">
        <v>54</v>
      </c>
      <c r="EN31" s="1">
        <v>54.545454545454504</v>
      </c>
      <c r="EO31" s="1">
        <v>36.363636363636324</v>
      </c>
      <c r="EP31" s="1">
        <v>3.6363636363636278</v>
      </c>
      <c r="EQ31" s="1">
        <v>3.6363636363636278</v>
      </c>
      <c r="ER31" s="1">
        <v>1.8181818181818139</v>
      </c>
      <c r="ES31" s="1">
        <v>55</v>
      </c>
      <c r="ET31" s="1">
        <v>58.181818181818102</v>
      </c>
      <c r="EU31" s="1">
        <v>36.363636363636324</v>
      </c>
      <c r="EV31" s="1">
        <v>1.8181818181818139</v>
      </c>
      <c r="EW31" s="1">
        <v>1.8181818181818139</v>
      </c>
      <c r="EX31" s="1">
        <v>1.8181818181818139</v>
      </c>
      <c r="EY31" s="1">
        <v>55</v>
      </c>
      <c r="EZ31" s="1">
        <v>70.731707317073131</v>
      </c>
      <c r="FA31" s="1">
        <v>26.829268292682869</v>
      </c>
      <c r="FB31" s="1">
        <v>0</v>
      </c>
      <c r="FC31" s="1">
        <v>2.4390243902439006</v>
      </c>
      <c r="FD31" s="1">
        <v>0</v>
      </c>
      <c r="FE31" s="1">
        <v>41</v>
      </c>
      <c r="FF31" s="1">
        <v>63.157894736842032</v>
      </c>
      <c r="FG31" s="1">
        <v>36.842105263157883</v>
      </c>
      <c r="FH31" s="1">
        <v>0</v>
      </c>
      <c r="FI31" s="1">
        <v>0</v>
      </c>
      <c r="FJ31" s="1">
        <v>0</v>
      </c>
      <c r="FK31" s="1">
        <v>38</v>
      </c>
      <c r="FL31" s="1">
        <v>66.6666666666666</v>
      </c>
      <c r="FM31" s="1">
        <v>27.272727272727256</v>
      </c>
      <c r="FN31" s="1">
        <v>0</v>
      </c>
      <c r="FO31" s="1">
        <v>6.0606060606060614</v>
      </c>
      <c r="FP31" s="1">
        <v>0</v>
      </c>
      <c r="FQ31" s="1">
        <v>33</v>
      </c>
      <c r="FR31" s="1">
        <v>62.499999999999986</v>
      </c>
      <c r="FS31" s="1">
        <v>28.124999999999996</v>
      </c>
      <c r="FT31" s="1">
        <v>6.2499999999999991</v>
      </c>
      <c r="FU31" s="1">
        <v>3.1249999999999996</v>
      </c>
      <c r="FV31" s="1">
        <v>0</v>
      </c>
      <c r="FW31" s="1">
        <v>32</v>
      </c>
      <c r="FX31" s="1">
        <v>88.57142857142847</v>
      </c>
      <c r="FY31" s="1">
        <v>9.9999999999999964</v>
      </c>
      <c r="FZ31" s="1">
        <v>1.4285714285714273</v>
      </c>
      <c r="GA31" s="1">
        <v>0</v>
      </c>
      <c r="GB31" s="1">
        <v>0</v>
      </c>
      <c r="GC31" s="1">
        <v>70</v>
      </c>
      <c r="GD31" s="1">
        <v>75.757575757575708</v>
      </c>
      <c r="GE31" s="1">
        <v>21.212121212121229</v>
      </c>
      <c r="GF31" s="1">
        <v>3.0303030303030307</v>
      </c>
      <c r="GG31" s="1">
        <v>0</v>
      </c>
      <c r="GH31" s="1">
        <v>0</v>
      </c>
      <c r="GI31" s="1">
        <v>33</v>
      </c>
      <c r="GJ31" s="1">
        <v>74.193548387096669</v>
      </c>
      <c r="GK31" s="1">
        <v>19.354838709677399</v>
      </c>
      <c r="GL31" s="1">
        <v>6.4516129032257972</v>
      </c>
      <c r="GM31" s="1">
        <v>0</v>
      </c>
      <c r="GN31" s="1">
        <v>0</v>
      </c>
      <c r="GO31" s="1">
        <v>31</v>
      </c>
      <c r="GP31" s="1">
        <v>75.510204081632693</v>
      </c>
      <c r="GQ31" s="1">
        <v>18.367346938775494</v>
      </c>
      <c r="GR31" s="1">
        <v>2.0408163265306123</v>
      </c>
      <c r="GS31" s="1">
        <v>2.0408163265306123</v>
      </c>
      <c r="GT31" s="1">
        <v>2.0408163265306123</v>
      </c>
      <c r="GU31" s="1">
        <v>49</v>
      </c>
      <c r="GV31" s="1">
        <v>72.093023255813918</v>
      </c>
      <c r="GW31" s="1">
        <v>20.930232558139537</v>
      </c>
      <c r="GX31" s="1">
        <v>2.3255813953488378</v>
      </c>
      <c r="GY31" s="1">
        <v>4.6511627906976756</v>
      </c>
      <c r="GZ31" s="1">
        <v>0</v>
      </c>
      <c r="HA31" s="1">
        <v>43</v>
      </c>
      <c r="HB31" s="1">
        <v>50</v>
      </c>
      <c r="HC31" s="1">
        <v>22.727272727272741</v>
      </c>
      <c r="HD31" s="1">
        <v>18.181818181818223</v>
      </c>
      <c r="HE31" s="1">
        <v>4.5454545454545556</v>
      </c>
      <c r="HF31" s="1">
        <v>4.5454545454545556</v>
      </c>
      <c r="HG31" s="1">
        <v>22</v>
      </c>
      <c r="HH31" s="1">
        <v>45.454545454545482</v>
      </c>
      <c r="HI31" s="1">
        <v>18.181818181818223</v>
      </c>
      <c r="HJ31" s="1">
        <v>18.181818181818223</v>
      </c>
      <c r="HK31" s="1">
        <v>18.181818181818223</v>
      </c>
      <c r="HL31" s="1">
        <v>0</v>
      </c>
      <c r="HM31" s="1">
        <v>11</v>
      </c>
      <c r="HN31" s="1">
        <v>0</v>
      </c>
      <c r="HO31" s="1">
        <v>0</v>
      </c>
      <c r="HP31" s="1">
        <v>0</v>
      </c>
      <c r="HQ31" s="1">
        <v>0</v>
      </c>
      <c r="HR31" s="1">
        <v>0</v>
      </c>
      <c r="HS31" s="1">
        <v>0</v>
      </c>
      <c r="HT31" s="1">
        <v>0</v>
      </c>
      <c r="HU31" s="1">
        <v>0</v>
      </c>
      <c r="HV31" s="1">
        <v>0</v>
      </c>
      <c r="HW31" s="1">
        <v>0</v>
      </c>
      <c r="HX31" s="1">
        <v>0</v>
      </c>
      <c r="HY31" s="1">
        <v>0</v>
      </c>
      <c r="HZ31" s="1">
        <v>0</v>
      </c>
      <c r="IA31" s="1">
        <v>0</v>
      </c>
      <c r="IB31" s="1">
        <v>0</v>
      </c>
      <c r="IC31" s="1">
        <v>0</v>
      </c>
      <c r="ID31" s="1">
        <v>0</v>
      </c>
      <c r="IE31" s="1">
        <v>0</v>
      </c>
      <c r="IF31" s="1">
        <v>9.3692307692307697</v>
      </c>
      <c r="IG31" s="1">
        <v>0</v>
      </c>
      <c r="IH31" s="1">
        <v>0</v>
      </c>
      <c r="II31" s="1">
        <v>0</v>
      </c>
      <c r="IJ31" s="1">
        <v>0</v>
      </c>
      <c r="IK31" s="1">
        <v>0</v>
      </c>
      <c r="IL31" s="1">
        <v>0</v>
      </c>
      <c r="IM31" s="1">
        <v>4.6153846153846061</v>
      </c>
      <c r="IN31" s="1">
        <v>4.6153846153846061</v>
      </c>
      <c r="IO31" s="1">
        <v>39.999999999999986</v>
      </c>
      <c r="IP31" s="1">
        <v>50.769230769230816</v>
      </c>
      <c r="IQ31" s="1">
        <v>9.3692307692307484</v>
      </c>
      <c r="IR31" s="1">
        <v>65</v>
      </c>
      <c r="IS31" s="1">
        <v>0</v>
      </c>
      <c r="IT31" s="1">
        <v>89.855072463768039</v>
      </c>
      <c r="IU31" s="1">
        <v>5.7971014492753596</v>
      </c>
      <c r="IV31" s="1">
        <v>4.3478260869565082</v>
      </c>
      <c r="IW31" s="1">
        <v>0</v>
      </c>
      <c r="IX31" s="1">
        <v>69</v>
      </c>
      <c r="IY31" s="1">
        <v>1</v>
      </c>
      <c r="IZ31" s="1">
        <v>203.20155000000014</v>
      </c>
      <c r="JA31" s="1">
        <v>97.183350000000189</v>
      </c>
      <c r="JB31" s="1">
        <v>58.898999999999923</v>
      </c>
      <c r="JC31" s="1">
        <v>35.339399999999983</v>
      </c>
      <c r="JD31" s="1">
        <v>23.559600000000032</v>
      </c>
      <c r="JE31" s="1">
        <v>0.47826086956521785</v>
      </c>
      <c r="JF31" s="1">
        <v>0.28985507246376724</v>
      </c>
      <c r="JG31" s="1">
        <v>0.17391304347826042</v>
      </c>
      <c r="JH31" s="1">
        <v>0.11594202898550694</v>
      </c>
      <c r="JI31" s="1">
        <v>1</v>
      </c>
      <c r="JJ31" s="1">
        <v>69</v>
      </c>
      <c r="JK31" s="1">
        <v>3.4117647058823528</v>
      </c>
      <c r="JL31" s="1">
        <v>3.4117647058823484</v>
      </c>
      <c r="JM31" s="1">
        <v>68</v>
      </c>
      <c r="JN31" s="1">
        <v>88.235294117646916</v>
      </c>
      <c r="JO31" s="1">
        <v>11.76470588235293</v>
      </c>
      <c r="JP31" s="1">
        <v>34</v>
      </c>
      <c r="JQ31" s="1">
        <v>89.189189189189179</v>
      </c>
      <c r="JR31" s="1">
        <v>10.810810810810807</v>
      </c>
      <c r="JS31" s="1">
        <v>37</v>
      </c>
      <c r="JT31" s="1">
        <v>87.931034482758776</v>
      </c>
      <c r="JU31" s="1">
        <v>12.06896551724137</v>
      </c>
      <c r="JV31" s="1">
        <v>58</v>
      </c>
      <c r="JW31" s="1">
        <v>85.714285714285609</v>
      </c>
      <c r="JX31" s="1">
        <v>14.285714285714249</v>
      </c>
      <c r="JY31" s="1">
        <v>42</v>
      </c>
      <c r="JZ31" s="1">
        <v>35.714285714285737</v>
      </c>
      <c r="KA31" s="1">
        <v>64.285714285714278</v>
      </c>
      <c r="KB31" s="1">
        <v>70</v>
      </c>
      <c r="KC31" s="1">
        <v>100</v>
      </c>
      <c r="KD31" s="1">
        <v>0</v>
      </c>
      <c r="KE31" s="1">
        <v>66</v>
      </c>
      <c r="KF31" s="1">
        <v>3.1846153846153844</v>
      </c>
      <c r="KG31" s="1">
        <v>4.6153846153846061</v>
      </c>
      <c r="KH31" s="1">
        <v>16.923076923076902</v>
      </c>
      <c r="KI31" s="1">
        <v>43.076923076923009</v>
      </c>
      <c r="KJ31" s="1">
        <v>26.153846153846139</v>
      </c>
      <c r="KK31" s="1">
        <v>9.2307692307692122</v>
      </c>
      <c r="KL31" s="1">
        <v>65</v>
      </c>
      <c r="KM31" s="1">
        <v>57.092307692307685</v>
      </c>
      <c r="KN31" s="1">
        <v>65.8</v>
      </c>
      <c r="KO31" s="1">
        <v>0</v>
      </c>
      <c r="KP31" s="1">
        <v>40</v>
      </c>
      <c r="KQ31" s="1">
        <v>20</v>
      </c>
      <c r="KR31" s="1">
        <v>20</v>
      </c>
      <c r="KS31" s="1">
        <v>20</v>
      </c>
      <c r="KT31" s="1">
        <v>5</v>
      </c>
      <c r="KU31" s="1">
        <v>1.4285714285714273</v>
      </c>
      <c r="KV31" s="1">
        <v>1.4285714285714273</v>
      </c>
      <c r="KW31" s="1">
        <v>5.7142857142857091</v>
      </c>
      <c r="KX31" s="1">
        <v>87.14285714285711</v>
      </c>
      <c r="KY31" s="1">
        <v>4.2857142857142785</v>
      </c>
      <c r="KZ31" s="1">
        <v>70</v>
      </c>
      <c r="LA31" s="1">
        <v>10.447761194029827</v>
      </c>
      <c r="LB31" s="1">
        <v>89.552238805970077</v>
      </c>
      <c r="LC31" s="1">
        <v>67</v>
      </c>
      <c r="LD31" s="1">
        <v>0</v>
      </c>
      <c r="LE31" s="1">
        <v>42.857142857142847</v>
      </c>
      <c r="LF31" s="1">
        <v>57.14285714285716</v>
      </c>
      <c r="LG31" s="1">
        <v>7</v>
      </c>
    </row>
    <row r="32" spans="1:319" x14ac:dyDescent="0.25">
      <c r="A32" s="1">
        <v>79</v>
      </c>
      <c r="B32" s="1">
        <v>30.588235294117691</v>
      </c>
      <c r="C32" s="1">
        <v>69.411764705882618</v>
      </c>
      <c r="D32" s="1">
        <v>85</v>
      </c>
      <c r="E32" s="1">
        <v>87.500000000000014</v>
      </c>
      <c r="F32" s="1">
        <v>12.5</v>
      </c>
      <c r="G32" s="1">
        <v>56</v>
      </c>
      <c r="H32" s="1">
        <v>38.636363636363576</v>
      </c>
      <c r="I32" s="1">
        <v>61.363636363636367</v>
      </c>
      <c r="J32" s="1">
        <v>44</v>
      </c>
      <c r="K32" s="1">
        <v>1</v>
      </c>
      <c r="L32" s="1">
        <v>53.89440000000004</v>
      </c>
      <c r="M32" s="1">
        <v>14.11519999999998</v>
      </c>
      <c r="N32" s="1">
        <v>1.9248000000000027</v>
      </c>
      <c r="O32" s="1">
        <v>14.11519999999998</v>
      </c>
      <c r="P32" s="1">
        <v>1.2831999999999972</v>
      </c>
      <c r="Q32" s="1">
        <v>19.889599999999984</v>
      </c>
      <c r="R32" s="1">
        <v>7.6992000000000109</v>
      </c>
      <c r="S32" s="1">
        <v>1.9248000000000027</v>
      </c>
      <c r="T32" s="1">
        <v>2.5663999999999945</v>
      </c>
      <c r="U32" s="1">
        <v>1.9248000000000027</v>
      </c>
      <c r="V32" s="1">
        <v>9.6240000000000165</v>
      </c>
      <c r="W32" s="1">
        <v>0.2619047619047627</v>
      </c>
      <c r="X32" s="1">
        <v>3.5714285714285705E-2</v>
      </c>
      <c r="Y32" s="1">
        <v>0.2619047619047627</v>
      </c>
      <c r="Z32" s="1">
        <v>2.3809523809523874E-2</v>
      </c>
      <c r="AA32" s="1">
        <v>0.36904761904762023</v>
      </c>
      <c r="AB32" s="1">
        <v>0.14285714285714285</v>
      </c>
      <c r="AC32" s="1">
        <v>3.5714285714285705E-2</v>
      </c>
      <c r="AD32" s="1">
        <v>4.7619047619047748E-2</v>
      </c>
      <c r="AE32" s="1">
        <v>3.5714285714285705E-2</v>
      </c>
      <c r="AF32" s="1">
        <v>0.17857142857142896</v>
      </c>
      <c r="AG32" s="1">
        <v>1</v>
      </c>
      <c r="AH32" s="1">
        <v>84</v>
      </c>
      <c r="AI32" s="1">
        <v>1</v>
      </c>
      <c r="AJ32" s="1">
        <v>44.270399999999917</v>
      </c>
      <c r="AK32" s="1">
        <v>14.756800000000032</v>
      </c>
      <c r="AL32" s="1">
        <v>12.190399999999981</v>
      </c>
      <c r="AM32" s="1">
        <v>8.340799999999982</v>
      </c>
      <c r="AN32" s="1">
        <v>3.8496000000000055</v>
      </c>
      <c r="AO32" s="1">
        <v>1.9248000000000027</v>
      </c>
      <c r="AP32" s="1">
        <v>16.039999999999981</v>
      </c>
      <c r="AQ32" s="1">
        <v>0.33333333333333298</v>
      </c>
      <c r="AR32" s="1">
        <v>0.27536231884058077</v>
      </c>
      <c r="AS32" s="1">
        <v>0.18840579710144931</v>
      </c>
      <c r="AT32" s="1">
        <v>8.6956521739130654E-2</v>
      </c>
      <c r="AU32" s="1">
        <v>4.3478260869565327E-2</v>
      </c>
      <c r="AV32" s="1">
        <v>0.36231884057971081</v>
      </c>
      <c r="AW32" s="1">
        <v>1</v>
      </c>
      <c r="AX32" s="1">
        <v>69</v>
      </c>
      <c r="AY32" s="1">
        <v>9.6266666666666669</v>
      </c>
      <c r="AZ32" s="1">
        <v>9.7368421052631575</v>
      </c>
      <c r="BA32" s="1">
        <v>9.7014925373134329</v>
      </c>
      <c r="BB32" s="1">
        <v>0</v>
      </c>
      <c r="BC32" s="1">
        <v>0</v>
      </c>
      <c r="BD32" s="1">
        <v>0</v>
      </c>
      <c r="BE32" s="1">
        <v>0</v>
      </c>
      <c r="BF32" s="1">
        <v>0</v>
      </c>
      <c r="BG32" s="1">
        <v>2.6666666666666639</v>
      </c>
      <c r="BH32" s="1">
        <v>0</v>
      </c>
      <c r="BI32" s="1">
        <v>10.666666666666655</v>
      </c>
      <c r="BJ32" s="1">
        <v>5.3333333333333277</v>
      </c>
      <c r="BK32" s="1">
        <v>81.333333333333258</v>
      </c>
      <c r="BL32" s="1">
        <v>9.6266666666666669</v>
      </c>
      <c r="BM32" s="1">
        <v>75</v>
      </c>
      <c r="BN32" s="1">
        <v>0</v>
      </c>
      <c r="BO32" s="1">
        <v>0</v>
      </c>
      <c r="BP32" s="1">
        <v>0</v>
      </c>
      <c r="BQ32" s="1">
        <v>0</v>
      </c>
      <c r="BR32" s="1">
        <v>0</v>
      </c>
      <c r="BS32" s="1">
        <v>0</v>
      </c>
      <c r="BT32" s="1">
        <v>1.3157894736842159</v>
      </c>
      <c r="BU32" s="1">
        <v>5.2631578947368638</v>
      </c>
      <c r="BV32" s="1">
        <v>11.842105263157917</v>
      </c>
      <c r="BW32" s="1">
        <v>81.578947368420998</v>
      </c>
      <c r="BX32" s="1">
        <v>9.7368421052631522</v>
      </c>
      <c r="BY32" s="1">
        <v>76</v>
      </c>
      <c r="BZ32" s="1">
        <v>0</v>
      </c>
      <c r="CA32" s="1">
        <v>0</v>
      </c>
      <c r="CB32" s="1">
        <v>0</v>
      </c>
      <c r="CC32" s="1">
        <v>0</v>
      </c>
      <c r="CD32" s="1">
        <v>0</v>
      </c>
      <c r="CE32" s="1">
        <v>0</v>
      </c>
      <c r="CF32" s="1">
        <v>4.4776119402985151</v>
      </c>
      <c r="CG32" s="1">
        <v>2.9850746268656727</v>
      </c>
      <c r="CH32" s="1">
        <v>10.44776119402988</v>
      </c>
      <c r="CI32" s="1">
        <v>82.089552238806178</v>
      </c>
      <c r="CJ32" s="1">
        <v>9.7014925373134471</v>
      </c>
      <c r="CK32" s="1">
        <v>67</v>
      </c>
      <c r="CL32" s="1">
        <v>57.333333333333364</v>
      </c>
      <c r="CM32" s="1">
        <v>30.666666666666671</v>
      </c>
      <c r="CN32" s="1">
        <v>6.6666666666666714</v>
      </c>
      <c r="CO32" s="1">
        <v>4.0000000000000009</v>
      </c>
      <c r="CP32" s="1">
        <v>1.3333333333333319</v>
      </c>
      <c r="CQ32" s="1">
        <v>75</v>
      </c>
      <c r="CR32" s="1">
        <v>80.246913580246854</v>
      </c>
      <c r="CS32" s="1">
        <v>19.753086419753121</v>
      </c>
      <c r="CT32" s="1">
        <v>0</v>
      </c>
      <c r="CU32" s="1">
        <v>0</v>
      </c>
      <c r="CV32" s="1">
        <v>0</v>
      </c>
      <c r="CW32" s="1">
        <v>81</v>
      </c>
      <c r="CX32" s="1">
        <v>74.358974358974535</v>
      </c>
      <c r="CY32" s="1">
        <v>19.23076923076928</v>
      </c>
      <c r="CZ32" s="1">
        <v>3.8461538461538534</v>
      </c>
      <c r="DA32" s="1">
        <v>2.5641025641025688</v>
      </c>
      <c r="DB32" s="1">
        <v>0</v>
      </c>
      <c r="DC32" s="1">
        <v>78</v>
      </c>
      <c r="DD32" s="1">
        <v>76.250000000000014</v>
      </c>
      <c r="DE32" s="1">
        <v>22.500000000000014</v>
      </c>
      <c r="DF32" s="1">
        <v>1.2500000000000007</v>
      </c>
      <c r="DG32" s="1">
        <v>0</v>
      </c>
      <c r="DH32" s="1">
        <v>0</v>
      </c>
      <c r="DI32" s="1">
        <v>80</v>
      </c>
      <c r="DJ32" s="1">
        <v>51.785714285714327</v>
      </c>
      <c r="DK32" s="1">
        <v>26.78571428571426</v>
      </c>
      <c r="DL32" s="1">
        <v>14.285714285714285</v>
      </c>
      <c r="DM32" s="1">
        <v>7.1428571428571423</v>
      </c>
      <c r="DN32" s="1">
        <v>0</v>
      </c>
      <c r="DO32" s="1">
        <v>56</v>
      </c>
      <c r="DP32" s="1">
        <v>76.056338028169179</v>
      </c>
      <c r="DQ32" s="1">
        <v>16.90140845070421</v>
      </c>
      <c r="DR32" s="1">
        <v>7.0422535211267778</v>
      </c>
      <c r="DS32" s="1">
        <v>0</v>
      </c>
      <c r="DT32" s="1">
        <v>0</v>
      </c>
      <c r="DU32" s="1">
        <v>71</v>
      </c>
      <c r="DV32" s="1">
        <v>73.076923076922938</v>
      </c>
      <c r="DW32" s="1">
        <v>15.384615384615399</v>
      </c>
      <c r="DX32" s="1">
        <v>3.8461538461538498</v>
      </c>
      <c r="DY32" s="1">
        <v>7.6923076923076996</v>
      </c>
      <c r="DZ32" s="1">
        <v>0</v>
      </c>
      <c r="EA32" s="1">
        <v>26</v>
      </c>
      <c r="EB32" s="1">
        <v>73.913043478260931</v>
      </c>
      <c r="EC32" s="1">
        <v>17.391304347826061</v>
      </c>
      <c r="ED32" s="1">
        <v>6.5217391304347645</v>
      </c>
      <c r="EE32" s="1">
        <v>0</v>
      </c>
      <c r="EF32" s="1">
        <v>2.1739130434782576</v>
      </c>
      <c r="EG32" s="1">
        <v>46</v>
      </c>
      <c r="EH32" s="1">
        <v>69.230769230769297</v>
      </c>
      <c r="EI32" s="1">
        <v>20.512820512820539</v>
      </c>
      <c r="EJ32" s="1">
        <v>7.6923076923076978</v>
      </c>
      <c r="EK32" s="1">
        <v>2.5641025641025674</v>
      </c>
      <c r="EL32" s="1">
        <v>0</v>
      </c>
      <c r="EM32" s="1">
        <v>39</v>
      </c>
      <c r="EN32" s="1">
        <v>55.555555555555628</v>
      </c>
      <c r="EO32" s="1">
        <v>29.629629629629573</v>
      </c>
      <c r="EP32" s="1">
        <v>11.111111111111093</v>
      </c>
      <c r="EQ32" s="1">
        <v>0</v>
      </c>
      <c r="ER32" s="1">
        <v>3.7037037037036966</v>
      </c>
      <c r="ES32" s="1">
        <v>27</v>
      </c>
      <c r="ET32" s="1">
        <v>47.999999999999993</v>
      </c>
      <c r="EU32" s="1">
        <v>35.999999999999993</v>
      </c>
      <c r="EV32" s="1">
        <v>15.999999999999998</v>
      </c>
      <c r="EW32" s="1">
        <v>0</v>
      </c>
      <c r="EX32" s="1">
        <v>0</v>
      </c>
      <c r="EY32" s="1">
        <v>25</v>
      </c>
      <c r="EZ32" s="1">
        <v>62.962962962962884</v>
      </c>
      <c r="FA32" s="1">
        <v>18.518518518518491</v>
      </c>
      <c r="FB32" s="1">
        <v>18.518518518518491</v>
      </c>
      <c r="FC32" s="1">
        <v>0</v>
      </c>
      <c r="FD32" s="1">
        <v>0</v>
      </c>
      <c r="FE32" s="1">
        <v>27</v>
      </c>
      <c r="FF32" s="1">
        <v>66.666666666666728</v>
      </c>
      <c r="FG32" s="1">
        <v>20.833333333333304</v>
      </c>
      <c r="FH32" s="1">
        <v>8.333333333333341</v>
      </c>
      <c r="FI32" s="1">
        <v>4.1666666666666705</v>
      </c>
      <c r="FJ32" s="1">
        <v>0</v>
      </c>
      <c r="FK32" s="1">
        <v>24</v>
      </c>
      <c r="FL32" s="1">
        <v>57.142857142857139</v>
      </c>
      <c r="FM32" s="1">
        <v>24.999999999999996</v>
      </c>
      <c r="FN32" s="1">
        <v>10.714285714285692</v>
      </c>
      <c r="FO32" s="1">
        <v>3.5714285714285712</v>
      </c>
      <c r="FP32" s="1">
        <v>3.5714285714285712</v>
      </c>
      <c r="FQ32" s="1">
        <v>28</v>
      </c>
      <c r="FR32" s="1">
        <v>49.999999999999993</v>
      </c>
      <c r="FS32" s="1">
        <v>19.999999999999996</v>
      </c>
      <c r="FT32" s="1">
        <v>19.999999999999996</v>
      </c>
      <c r="FU32" s="1">
        <v>9.9999999999999982</v>
      </c>
      <c r="FV32" s="1">
        <v>0</v>
      </c>
      <c r="FW32" s="1">
        <v>30</v>
      </c>
      <c r="FX32" s="1">
        <v>82.894736842105189</v>
      </c>
      <c r="FY32" s="1">
        <v>7.8947368421052815</v>
      </c>
      <c r="FZ32" s="1">
        <v>2.6315789473684319</v>
      </c>
      <c r="GA32" s="1">
        <v>6.5789473684210504</v>
      </c>
      <c r="GB32" s="1">
        <v>0</v>
      </c>
      <c r="GC32" s="1">
        <v>76</v>
      </c>
      <c r="GD32" s="1">
        <v>73.333333333333243</v>
      </c>
      <c r="GE32" s="1">
        <v>19.999999999999996</v>
      </c>
      <c r="GF32" s="1">
        <v>6.6666666666666634</v>
      </c>
      <c r="GG32" s="1">
        <v>0</v>
      </c>
      <c r="GH32" s="1">
        <v>0</v>
      </c>
      <c r="GI32" s="1">
        <v>30</v>
      </c>
      <c r="GJ32" s="1">
        <v>65.714285714285609</v>
      </c>
      <c r="GK32" s="1">
        <v>19.999999999999996</v>
      </c>
      <c r="GL32" s="1">
        <v>14.285714285714242</v>
      </c>
      <c r="GM32" s="1">
        <v>0</v>
      </c>
      <c r="GN32" s="1">
        <v>0</v>
      </c>
      <c r="GO32" s="1">
        <v>35</v>
      </c>
      <c r="GP32" s="1">
        <v>76</v>
      </c>
      <c r="GQ32" s="1">
        <v>15.999999999999998</v>
      </c>
      <c r="GR32" s="1">
        <v>7.9999999999999991</v>
      </c>
      <c r="GS32" s="1">
        <v>0</v>
      </c>
      <c r="GT32" s="1">
        <v>0</v>
      </c>
      <c r="GU32" s="1">
        <v>25</v>
      </c>
      <c r="GV32" s="1">
        <v>69.565217391304245</v>
      </c>
      <c r="GW32" s="1">
        <v>30.434782608695638</v>
      </c>
      <c r="GX32" s="1">
        <v>0</v>
      </c>
      <c r="GY32" s="1">
        <v>0</v>
      </c>
      <c r="GZ32" s="1">
        <v>0</v>
      </c>
      <c r="HA32" s="1">
        <v>23</v>
      </c>
      <c r="HB32" s="1">
        <v>72</v>
      </c>
      <c r="HC32" s="1">
        <v>19.999999999999996</v>
      </c>
      <c r="HD32" s="1">
        <v>3.9999999999999996</v>
      </c>
      <c r="HE32" s="1">
        <v>3.9999999999999996</v>
      </c>
      <c r="HF32" s="1">
        <v>0</v>
      </c>
      <c r="HG32" s="1">
        <v>25</v>
      </c>
      <c r="HH32" s="1">
        <v>77.777777777777615</v>
      </c>
      <c r="HI32" s="1">
        <v>18.518518518518491</v>
      </c>
      <c r="HJ32" s="1">
        <v>0</v>
      </c>
      <c r="HK32" s="1">
        <v>3.7037037037036966</v>
      </c>
      <c r="HL32" s="1">
        <v>0</v>
      </c>
      <c r="HM32" s="1">
        <v>27</v>
      </c>
      <c r="HN32" s="1">
        <v>0</v>
      </c>
      <c r="HO32" s="1">
        <v>0</v>
      </c>
      <c r="HP32" s="1">
        <v>0</v>
      </c>
      <c r="HQ32" s="1">
        <v>0</v>
      </c>
      <c r="HR32" s="1">
        <v>0</v>
      </c>
      <c r="HS32" s="1">
        <v>0</v>
      </c>
      <c r="HT32" s="1">
        <v>0</v>
      </c>
      <c r="HU32" s="1">
        <v>0</v>
      </c>
      <c r="HV32" s="1">
        <v>0</v>
      </c>
      <c r="HW32" s="1">
        <v>0</v>
      </c>
      <c r="HX32" s="1">
        <v>0</v>
      </c>
      <c r="HY32" s="1">
        <v>0</v>
      </c>
      <c r="HZ32" s="1">
        <v>0</v>
      </c>
      <c r="IA32" s="1">
        <v>0</v>
      </c>
      <c r="IB32" s="1">
        <v>0</v>
      </c>
      <c r="IC32" s="1">
        <v>0</v>
      </c>
      <c r="ID32" s="1">
        <v>0</v>
      </c>
      <c r="IE32" s="1">
        <v>0</v>
      </c>
      <c r="IF32" s="1">
        <v>9.296875</v>
      </c>
      <c r="IG32" s="1">
        <v>0</v>
      </c>
      <c r="IH32" s="1">
        <v>0</v>
      </c>
      <c r="II32" s="1">
        <v>0</v>
      </c>
      <c r="IJ32" s="1">
        <v>0</v>
      </c>
      <c r="IK32" s="1">
        <v>0</v>
      </c>
      <c r="IL32" s="1">
        <v>3.1250000000000004</v>
      </c>
      <c r="IM32" s="1">
        <v>7.8125000000000009</v>
      </c>
      <c r="IN32" s="1">
        <v>6.2500000000000009</v>
      </c>
      <c r="IO32" s="1">
        <v>21.875000000000004</v>
      </c>
      <c r="IP32" s="1">
        <v>60.937500000000021</v>
      </c>
      <c r="IQ32" s="1">
        <v>9.2968750000000018</v>
      </c>
      <c r="IR32" s="1">
        <v>64</v>
      </c>
      <c r="IS32" s="1">
        <v>36.144578313253085</v>
      </c>
      <c r="IT32" s="1">
        <v>49.397590361445879</v>
      </c>
      <c r="IU32" s="1">
        <v>13.253012048192801</v>
      </c>
      <c r="IV32" s="1">
        <v>1.2048192771084378</v>
      </c>
      <c r="IW32" s="1">
        <v>0</v>
      </c>
      <c r="IX32" s="1">
        <v>83</v>
      </c>
      <c r="IY32" s="1">
        <v>1</v>
      </c>
      <c r="IZ32" s="1">
        <v>52.61119999999994</v>
      </c>
      <c r="JA32" s="1">
        <v>24.380799999999962</v>
      </c>
      <c r="JB32" s="1">
        <v>17.964799999999983</v>
      </c>
      <c r="JC32" s="1">
        <v>4.491199999999993</v>
      </c>
      <c r="JD32" s="1">
        <v>8.340799999999982</v>
      </c>
      <c r="JE32" s="1">
        <v>0.46341463414634171</v>
      </c>
      <c r="JF32" s="1">
        <v>0.34146341463414759</v>
      </c>
      <c r="JG32" s="1">
        <v>8.5365853658536883E-2</v>
      </c>
      <c r="JH32" s="1">
        <v>0.15853658536585372</v>
      </c>
      <c r="JI32" s="1">
        <v>1</v>
      </c>
      <c r="JJ32" s="1">
        <v>82</v>
      </c>
      <c r="JK32" s="1">
        <v>1.9375</v>
      </c>
      <c r="JL32" s="1">
        <v>1.9375000000000002</v>
      </c>
      <c r="JM32" s="1">
        <v>80</v>
      </c>
      <c r="JN32" s="1">
        <v>94.444444444444457</v>
      </c>
      <c r="JO32" s="1">
        <v>5.5555555555555465</v>
      </c>
      <c r="JP32" s="1">
        <v>18</v>
      </c>
      <c r="JQ32" s="1">
        <v>94.285714285714391</v>
      </c>
      <c r="JR32" s="1">
        <v>5.7142857142857153</v>
      </c>
      <c r="JS32" s="1">
        <v>35</v>
      </c>
      <c r="JT32" s="1">
        <v>94.23076923076934</v>
      </c>
      <c r="JU32" s="1">
        <v>5.7692307692307674</v>
      </c>
      <c r="JV32" s="1">
        <v>52</v>
      </c>
      <c r="JW32" s="1">
        <v>88.571428571428513</v>
      </c>
      <c r="JX32" s="1">
        <v>11.428571428571431</v>
      </c>
      <c r="JY32" s="1">
        <v>35</v>
      </c>
      <c r="JZ32" s="1">
        <v>36.708860759493746</v>
      </c>
      <c r="KA32" s="1">
        <v>63.291139240506482</v>
      </c>
      <c r="KB32" s="1">
        <v>79</v>
      </c>
      <c r="KC32" s="1">
        <v>98.591549295774584</v>
      </c>
      <c r="KD32" s="1">
        <v>1.4084507042253553</v>
      </c>
      <c r="KE32" s="1">
        <v>71</v>
      </c>
      <c r="KF32" s="1">
        <v>3.0625</v>
      </c>
      <c r="KG32" s="1">
        <v>20.312500000000004</v>
      </c>
      <c r="KH32" s="1">
        <v>12.500000000000002</v>
      </c>
      <c r="KI32" s="1">
        <v>23.437500000000004</v>
      </c>
      <c r="KJ32" s="1">
        <v>28.125000000000004</v>
      </c>
      <c r="KK32" s="1">
        <v>15.625000000000002</v>
      </c>
      <c r="KL32" s="1">
        <v>64</v>
      </c>
      <c r="KM32" s="1">
        <v>52.984375000000007</v>
      </c>
      <c r="KN32" s="1">
        <v>0</v>
      </c>
      <c r="KO32" s="1">
        <v>0</v>
      </c>
      <c r="KP32" s="1">
        <v>0</v>
      </c>
      <c r="KQ32" s="1">
        <v>0</v>
      </c>
      <c r="KR32" s="1">
        <v>0</v>
      </c>
      <c r="KS32" s="1">
        <v>0</v>
      </c>
      <c r="KT32" s="1">
        <v>0</v>
      </c>
      <c r="KU32" s="1">
        <v>7.6923076923077067</v>
      </c>
      <c r="KV32" s="1">
        <v>15.384615384615413</v>
      </c>
      <c r="KW32" s="1">
        <v>3.8461538461538534</v>
      </c>
      <c r="KX32" s="1">
        <v>73.07692307692308</v>
      </c>
      <c r="KY32" s="1">
        <v>0</v>
      </c>
      <c r="KZ32" s="1">
        <v>78</v>
      </c>
      <c r="LA32" s="1">
        <v>14.285714285714301</v>
      </c>
      <c r="LB32" s="1">
        <v>85.714285714285552</v>
      </c>
      <c r="LC32" s="1">
        <v>77</v>
      </c>
      <c r="LD32" s="1">
        <v>0</v>
      </c>
      <c r="LE32" s="1">
        <v>9.0909090909090917</v>
      </c>
      <c r="LF32" s="1">
        <v>90.909090909090892</v>
      </c>
      <c r="LG32" s="1">
        <v>11</v>
      </c>
    </row>
    <row r="33" spans="1:319" x14ac:dyDescent="0.25">
      <c r="A33" s="1">
        <v>84</v>
      </c>
      <c r="B33" s="1">
        <v>37.500000000000007</v>
      </c>
      <c r="C33" s="1">
        <v>62.500000000000014</v>
      </c>
      <c r="D33" s="1">
        <v>40</v>
      </c>
      <c r="E33" s="1">
        <v>66.666666666666686</v>
      </c>
      <c r="F33" s="1">
        <v>33.333333333333364</v>
      </c>
      <c r="G33" s="1">
        <v>24</v>
      </c>
      <c r="H33" s="1">
        <v>46.666666666666664</v>
      </c>
      <c r="I33" s="1">
        <v>53.333333333333364</v>
      </c>
      <c r="J33" s="1">
        <v>15</v>
      </c>
      <c r="K33" s="1">
        <v>1</v>
      </c>
      <c r="L33" s="1">
        <v>21.893180000000005</v>
      </c>
      <c r="M33" s="1">
        <v>11.213579999999991</v>
      </c>
      <c r="N33" s="1">
        <v>5.8737800000000036</v>
      </c>
      <c r="O33" s="1">
        <v>3.203879999999999</v>
      </c>
      <c r="P33" s="1">
        <v>0.53397999999999979</v>
      </c>
      <c r="Q33" s="1">
        <v>10.145620000000005</v>
      </c>
      <c r="R33" s="1">
        <v>3.203879999999999</v>
      </c>
      <c r="S33" s="1">
        <v>1.0679599999999996</v>
      </c>
      <c r="T33" s="1">
        <v>1.6019399999999995</v>
      </c>
      <c r="U33" s="1">
        <v>2.6698999999999988</v>
      </c>
      <c r="V33" s="1">
        <v>0.53397999999999979</v>
      </c>
      <c r="W33" s="1">
        <v>0.5121951219512193</v>
      </c>
      <c r="X33" s="1">
        <v>0.26829268292682923</v>
      </c>
      <c r="Y33" s="1">
        <v>0.14634146341463425</v>
      </c>
      <c r="Z33" s="1">
        <v>2.4390243902439039E-2</v>
      </c>
      <c r="AA33" s="1">
        <v>0.4634146341463416</v>
      </c>
      <c r="AB33" s="1">
        <v>0.14634146341463425</v>
      </c>
      <c r="AC33" s="1">
        <v>4.8780487804878078E-2</v>
      </c>
      <c r="AD33" s="1">
        <v>7.3170731707317124E-2</v>
      </c>
      <c r="AE33" s="1">
        <v>0.1219512195121952</v>
      </c>
      <c r="AF33" s="1">
        <v>2.4390243902439039E-2</v>
      </c>
      <c r="AG33" s="1">
        <v>1</v>
      </c>
      <c r="AH33" s="1">
        <v>41</v>
      </c>
      <c r="AI33" s="1">
        <v>1</v>
      </c>
      <c r="AJ33" s="1">
        <v>20.825219999999973</v>
      </c>
      <c r="AK33" s="1">
        <v>16.019400000000008</v>
      </c>
      <c r="AL33" s="1">
        <v>7.4757200000000008</v>
      </c>
      <c r="AM33" s="1">
        <v>8.5436799999999966</v>
      </c>
      <c r="AN33" s="1">
        <v>11.747560000000007</v>
      </c>
      <c r="AO33" s="1">
        <v>2.6698999999999988</v>
      </c>
      <c r="AP33" s="1">
        <v>4.8058200000000033</v>
      </c>
      <c r="AQ33" s="1">
        <v>0.76923076923076972</v>
      </c>
      <c r="AR33" s="1">
        <v>0.35897435897435936</v>
      </c>
      <c r="AS33" s="1">
        <v>0.41025641025641041</v>
      </c>
      <c r="AT33" s="1">
        <v>0.56410256410256454</v>
      </c>
      <c r="AU33" s="1">
        <v>0.12820512820512833</v>
      </c>
      <c r="AV33" s="1">
        <v>0.230769230769231</v>
      </c>
      <c r="AW33" s="1">
        <v>1</v>
      </c>
      <c r="AX33" s="1">
        <v>39</v>
      </c>
      <c r="AY33" s="1">
        <v>9.8780487804878057</v>
      </c>
      <c r="AZ33" s="1">
        <v>9.9756097560975618</v>
      </c>
      <c r="BA33" s="1">
        <v>9.9024390243902438</v>
      </c>
      <c r="BB33" s="1">
        <v>0</v>
      </c>
      <c r="BC33" s="1">
        <v>0</v>
      </c>
      <c r="BD33" s="1">
        <v>0</v>
      </c>
      <c r="BE33" s="1">
        <v>0</v>
      </c>
      <c r="BF33" s="1">
        <v>0</v>
      </c>
      <c r="BG33" s="1">
        <v>0</v>
      </c>
      <c r="BH33" s="1">
        <v>0</v>
      </c>
      <c r="BI33" s="1">
        <v>2.4390243902439019</v>
      </c>
      <c r="BJ33" s="1">
        <v>7.3170731707317049</v>
      </c>
      <c r="BK33" s="1">
        <v>90.243902439024296</v>
      </c>
      <c r="BL33" s="1">
        <v>9.8780487804878039</v>
      </c>
      <c r="BM33" s="1">
        <v>41</v>
      </c>
      <c r="BN33" s="1">
        <v>0</v>
      </c>
      <c r="BO33" s="1">
        <v>0</v>
      </c>
      <c r="BP33" s="1">
        <v>0</v>
      </c>
      <c r="BQ33" s="1">
        <v>0</v>
      </c>
      <c r="BR33" s="1">
        <v>0</v>
      </c>
      <c r="BS33" s="1">
        <v>0</v>
      </c>
      <c r="BT33" s="1">
        <v>0</v>
      </c>
      <c r="BU33" s="1">
        <v>0</v>
      </c>
      <c r="BV33" s="1">
        <v>2.4390243902439019</v>
      </c>
      <c r="BW33" s="1">
        <v>97.560975609756071</v>
      </c>
      <c r="BX33" s="1">
        <v>9.9756097560975672</v>
      </c>
      <c r="BY33" s="1">
        <v>41</v>
      </c>
      <c r="BZ33" s="1">
        <v>0</v>
      </c>
      <c r="CA33" s="1">
        <v>0</v>
      </c>
      <c r="CB33" s="1">
        <v>0</v>
      </c>
      <c r="CC33" s="1">
        <v>0</v>
      </c>
      <c r="CD33" s="1">
        <v>0</v>
      </c>
      <c r="CE33" s="1">
        <v>0</v>
      </c>
      <c r="CF33" s="1">
        <v>0</v>
      </c>
      <c r="CG33" s="1">
        <v>0</v>
      </c>
      <c r="CH33" s="1">
        <v>9.7560975609756078</v>
      </c>
      <c r="CI33" s="1">
        <v>90.243902439024296</v>
      </c>
      <c r="CJ33" s="1">
        <v>9.9024390243902349</v>
      </c>
      <c r="CK33" s="1">
        <v>41</v>
      </c>
      <c r="CL33" s="1">
        <v>45.000000000000007</v>
      </c>
      <c r="CM33" s="1">
        <v>47.500000000000007</v>
      </c>
      <c r="CN33" s="1">
        <v>2.5000000000000004</v>
      </c>
      <c r="CO33" s="1">
        <v>5.0000000000000009</v>
      </c>
      <c r="CP33" s="1">
        <v>0</v>
      </c>
      <c r="CQ33" s="1">
        <v>40</v>
      </c>
      <c r="CR33" s="1">
        <v>87.5</v>
      </c>
      <c r="CS33" s="1">
        <v>12.500000000000004</v>
      </c>
      <c r="CT33" s="1">
        <v>0</v>
      </c>
      <c r="CU33" s="1">
        <v>0</v>
      </c>
      <c r="CV33" s="1">
        <v>0</v>
      </c>
      <c r="CW33" s="1">
        <v>40</v>
      </c>
      <c r="CX33" s="1">
        <v>72.5</v>
      </c>
      <c r="CY33" s="1">
        <v>27.500000000000007</v>
      </c>
      <c r="CZ33" s="1">
        <v>0</v>
      </c>
      <c r="DA33" s="1">
        <v>0</v>
      </c>
      <c r="DB33" s="1">
        <v>0</v>
      </c>
      <c r="DC33" s="1">
        <v>40</v>
      </c>
      <c r="DD33" s="1">
        <v>85</v>
      </c>
      <c r="DE33" s="1">
        <v>15.000000000000004</v>
      </c>
      <c r="DF33" s="1">
        <v>0</v>
      </c>
      <c r="DG33" s="1">
        <v>0</v>
      </c>
      <c r="DH33" s="1">
        <v>0</v>
      </c>
      <c r="DI33" s="1">
        <v>40</v>
      </c>
      <c r="DJ33" s="1">
        <v>54.05405405405412</v>
      </c>
      <c r="DK33" s="1">
        <v>29.729729729729769</v>
      </c>
      <c r="DL33" s="1">
        <v>5.4054054054054115</v>
      </c>
      <c r="DM33" s="1">
        <v>5.4054054054054115</v>
      </c>
      <c r="DN33" s="1">
        <v>5.4054054054054115</v>
      </c>
      <c r="DO33" s="1">
        <v>37</v>
      </c>
      <c r="DP33" s="1">
        <v>79.487179487179546</v>
      </c>
      <c r="DQ33" s="1">
        <v>17.948717948717974</v>
      </c>
      <c r="DR33" s="1">
        <v>2.5641025641025661</v>
      </c>
      <c r="DS33" s="1">
        <v>0</v>
      </c>
      <c r="DT33" s="1">
        <v>0</v>
      </c>
      <c r="DU33" s="1">
        <v>39</v>
      </c>
      <c r="DV33" s="1">
        <v>55.000000000000014</v>
      </c>
      <c r="DW33" s="1">
        <v>35.000000000000007</v>
      </c>
      <c r="DX33" s="1">
        <v>0</v>
      </c>
      <c r="DY33" s="1">
        <v>5.0000000000000009</v>
      </c>
      <c r="DZ33" s="1">
        <v>5.0000000000000009</v>
      </c>
      <c r="EA33" s="1">
        <v>20</v>
      </c>
      <c r="EB33" s="1">
        <v>72.222222222222186</v>
      </c>
      <c r="EC33" s="1">
        <v>27.7777777777778</v>
      </c>
      <c r="ED33" s="1">
        <v>0</v>
      </c>
      <c r="EE33" s="1">
        <v>0</v>
      </c>
      <c r="EF33" s="1">
        <v>0</v>
      </c>
      <c r="EG33" s="1">
        <v>18</v>
      </c>
      <c r="EH33" s="1">
        <v>29.411764705882359</v>
      </c>
      <c r="EI33" s="1">
        <v>64.705882352941146</v>
      </c>
      <c r="EJ33" s="1">
        <v>5.8823529411764692</v>
      </c>
      <c r="EK33" s="1">
        <v>0</v>
      </c>
      <c r="EL33" s="1">
        <v>0</v>
      </c>
      <c r="EM33" s="1">
        <v>17</v>
      </c>
      <c r="EN33" s="1">
        <v>35.483870967741943</v>
      </c>
      <c r="EO33" s="1">
        <v>58.064516129032242</v>
      </c>
      <c r="EP33" s="1">
        <v>3.225806451612907</v>
      </c>
      <c r="EQ33" s="1">
        <v>3.225806451612907</v>
      </c>
      <c r="ER33" s="1">
        <v>0</v>
      </c>
      <c r="ES33" s="1">
        <v>31</v>
      </c>
      <c r="ET33" s="1">
        <v>43.333333333333314</v>
      </c>
      <c r="EU33" s="1">
        <v>56.666666666666679</v>
      </c>
      <c r="EV33" s="1">
        <v>0</v>
      </c>
      <c r="EW33" s="1">
        <v>0</v>
      </c>
      <c r="EX33" s="1">
        <v>0</v>
      </c>
      <c r="EY33" s="1">
        <v>30</v>
      </c>
      <c r="EZ33" s="1">
        <v>55.5555555555556</v>
      </c>
      <c r="FA33" s="1">
        <v>38.888888888888907</v>
      </c>
      <c r="FB33" s="1">
        <v>5.5555555555555509</v>
      </c>
      <c r="FC33" s="1">
        <v>0</v>
      </c>
      <c r="FD33" s="1">
        <v>0</v>
      </c>
      <c r="FE33" s="1">
        <v>18</v>
      </c>
      <c r="FF33" s="1">
        <v>52.941176470588275</v>
      </c>
      <c r="FG33" s="1">
        <v>41.176470588235347</v>
      </c>
      <c r="FH33" s="1">
        <v>5.8823529411764692</v>
      </c>
      <c r="FI33" s="1">
        <v>0</v>
      </c>
      <c r="FJ33" s="1">
        <v>0</v>
      </c>
      <c r="FK33" s="1">
        <v>17</v>
      </c>
      <c r="FL33" s="1">
        <v>57.142857142857153</v>
      </c>
      <c r="FM33" s="1">
        <v>38.095238095238088</v>
      </c>
      <c r="FN33" s="1">
        <v>4.761904761904761</v>
      </c>
      <c r="FO33" s="1">
        <v>0</v>
      </c>
      <c r="FP33" s="1">
        <v>0</v>
      </c>
      <c r="FQ33" s="1">
        <v>21</v>
      </c>
      <c r="FR33" s="1">
        <v>56.250000000000014</v>
      </c>
      <c r="FS33" s="1">
        <v>31.250000000000007</v>
      </c>
      <c r="FT33" s="1">
        <v>12.500000000000004</v>
      </c>
      <c r="FU33" s="1">
        <v>0</v>
      </c>
      <c r="FV33" s="1">
        <v>0</v>
      </c>
      <c r="FW33" s="1">
        <v>16</v>
      </c>
      <c r="FX33" s="1">
        <v>80.487804878048792</v>
      </c>
      <c r="FY33" s="1">
        <v>19.512195121951216</v>
      </c>
      <c r="FZ33" s="1">
        <v>0</v>
      </c>
      <c r="GA33" s="1">
        <v>0</v>
      </c>
      <c r="GB33" s="1">
        <v>0</v>
      </c>
      <c r="GC33" s="1">
        <v>41</v>
      </c>
      <c r="GD33" s="1">
        <v>76.190476190476161</v>
      </c>
      <c r="GE33" s="1">
        <v>23.809523809523832</v>
      </c>
      <c r="GF33" s="1">
        <v>0</v>
      </c>
      <c r="GG33" s="1">
        <v>0</v>
      </c>
      <c r="GH33" s="1">
        <v>0</v>
      </c>
      <c r="GI33" s="1">
        <v>21</v>
      </c>
      <c r="GJ33" s="1">
        <v>73.684210526315823</v>
      </c>
      <c r="GK33" s="1">
        <v>21.052631578947391</v>
      </c>
      <c r="GL33" s="1">
        <v>5.2631578947368478</v>
      </c>
      <c r="GM33" s="1">
        <v>0</v>
      </c>
      <c r="GN33" s="1">
        <v>0</v>
      </c>
      <c r="GO33" s="1">
        <v>19</v>
      </c>
      <c r="GP33" s="1">
        <v>68.000000000000014</v>
      </c>
      <c r="GQ33" s="1">
        <v>32.000000000000007</v>
      </c>
      <c r="GR33" s="1">
        <v>0</v>
      </c>
      <c r="GS33" s="1">
        <v>0</v>
      </c>
      <c r="GT33" s="1">
        <v>0</v>
      </c>
      <c r="GU33" s="1">
        <v>25</v>
      </c>
      <c r="GV33" s="1">
        <v>73.076923076923023</v>
      </c>
      <c r="GW33" s="1">
        <v>26.923076923076927</v>
      </c>
      <c r="GX33" s="1">
        <v>0</v>
      </c>
      <c r="GY33" s="1">
        <v>0</v>
      </c>
      <c r="GZ33" s="1">
        <v>0</v>
      </c>
      <c r="HA33" s="1">
        <v>26</v>
      </c>
      <c r="HB33" s="1">
        <v>60</v>
      </c>
      <c r="HC33" s="1">
        <v>35.000000000000007</v>
      </c>
      <c r="HD33" s="1">
        <v>5.0000000000000009</v>
      </c>
      <c r="HE33" s="1">
        <v>0</v>
      </c>
      <c r="HF33" s="1">
        <v>0</v>
      </c>
      <c r="HG33" s="1">
        <v>20</v>
      </c>
      <c r="HH33" s="1">
        <v>54.545454545454525</v>
      </c>
      <c r="HI33" s="1">
        <v>27.272727272727259</v>
      </c>
      <c r="HJ33" s="1">
        <v>9.0909090909091024</v>
      </c>
      <c r="HK33" s="1">
        <v>9.0909090909091024</v>
      </c>
      <c r="HL33" s="1">
        <v>0</v>
      </c>
      <c r="HM33" s="1">
        <v>11</v>
      </c>
      <c r="HN33" s="1">
        <v>0</v>
      </c>
      <c r="HO33" s="1">
        <v>0</v>
      </c>
      <c r="HP33" s="1">
        <v>0</v>
      </c>
      <c r="HQ33" s="1">
        <v>0</v>
      </c>
      <c r="HR33" s="1">
        <v>0</v>
      </c>
      <c r="HS33" s="1">
        <v>0</v>
      </c>
      <c r="HT33" s="1">
        <v>0</v>
      </c>
      <c r="HU33" s="1">
        <v>0</v>
      </c>
      <c r="HV33" s="1">
        <v>0</v>
      </c>
      <c r="HW33" s="1">
        <v>0</v>
      </c>
      <c r="HX33" s="1">
        <v>0</v>
      </c>
      <c r="HY33" s="1">
        <v>0</v>
      </c>
      <c r="HZ33" s="1">
        <v>0</v>
      </c>
      <c r="IA33" s="1">
        <v>0</v>
      </c>
      <c r="IB33" s="1">
        <v>0</v>
      </c>
      <c r="IC33" s="1">
        <v>0</v>
      </c>
      <c r="ID33" s="1">
        <v>0</v>
      </c>
      <c r="IE33" s="1">
        <v>0</v>
      </c>
      <c r="IF33" s="1">
        <v>9.384615384615385</v>
      </c>
      <c r="IG33" s="1">
        <v>0</v>
      </c>
      <c r="IH33" s="1">
        <v>0</v>
      </c>
      <c r="II33" s="1">
        <v>0</v>
      </c>
      <c r="IJ33" s="1">
        <v>0</v>
      </c>
      <c r="IK33" s="1">
        <v>0</v>
      </c>
      <c r="IL33" s="1">
        <v>0</v>
      </c>
      <c r="IM33" s="1">
        <v>0</v>
      </c>
      <c r="IN33" s="1">
        <v>10.256410256410264</v>
      </c>
      <c r="IO33" s="1">
        <v>41.025641025641058</v>
      </c>
      <c r="IP33" s="1">
        <v>48.71794871794873</v>
      </c>
      <c r="IQ33" s="1">
        <v>9.3846153846153779</v>
      </c>
      <c r="IR33" s="1">
        <v>39</v>
      </c>
      <c r="IS33" s="1">
        <v>4.8780487804878039</v>
      </c>
      <c r="IT33" s="1">
        <v>53.658536585365873</v>
      </c>
      <c r="IU33" s="1">
        <v>26.829268292682936</v>
      </c>
      <c r="IV33" s="1">
        <v>14.634146341463417</v>
      </c>
      <c r="IW33" s="1">
        <v>0</v>
      </c>
      <c r="IX33" s="1">
        <v>41</v>
      </c>
      <c r="IY33" s="1">
        <v>1</v>
      </c>
      <c r="IZ33" s="1">
        <v>22.427159999999983</v>
      </c>
      <c r="JA33" s="1">
        <v>13.88348</v>
      </c>
      <c r="JB33" s="1">
        <v>4.2718399999999983</v>
      </c>
      <c r="JC33" s="1">
        <v>3.7378600000000013</v>
      </c>
      <c r="JD33" s="1">
        <v>3.203879999999999</v>
      </c>
      <c r="JE33" s="1">
        <v>0.6190476190476194</v>
      </c>
      <c r="JF33" s="1">
        <v>0.19047619047619063</v>
      </c>
      <c r="JG33" s="1">
        <v>0.16666666666666691</v>
      </c>
      <c r="JH33" s="1">
        <v>0.14285714285714302</v>
      </c>
      <c r="JI33" s="1">
        <v>1</v>
      </c>
      <c r="JJ33" s="1">
        <v>42</v>
      </c>
      <c r="JK33" s="1">
        <v>2.5238095238095237</v>
      </c>
      <c r="JL33" s="1">
        <v>2.5238095238095224</v>
      </c>
      <c r="JM33" s="1">
        <v>42</v>
      </c>
      <c r="JN33" s="1">
        <v>100</v>
      </c>
      <c r="JO33" s="1">
        <v>0</v>
      </c>
      <c r="JP33" s="1">
        <v>17</v>
      </c>
      <c r="JQ33" s="1">
        <v>100</v>
      </c>
      <c r="JR33" s="1">
        <v>0</v>
      </c>
      <c r="JS33" s="1">
        <v>31</v>
      </c>
      <c r="JT33" s="1">
        <v>100</v>
      </c>
      <c r="JU33" s="1">
        <v>0</v>
      </c>
      <c r="JV33" s="1">
        <v>39</v>
      </c>
      <c r="JW33" s="1">
        <v>94.444444444444372</v>
      </c>
      <c r="JX33" s="1">
        <v>5.5555555555555642</v>
      </c>
      <c r="JY33" s="1">
        <v>36</v>
      </c>
      <c r="JZ33" s="1">
        <v>43.902439024390283</v>
      </c>
      <c r="KA33" s="1">
        <v>56.097560975609724</v>
      </c>
      <c r="KB33" s="1">
        <v>41</v>
      </c>
      <c r="KC33" s="1">
        <v>100</v>
      </c>
      <c r="KD33" s="1">
        <v>0</v>
      </c>
      <c r="KE33" s="1">
        <v>40</v>
      </c>
      <c r="KF33" s="1">
        <v>2.9</v>
      </c>
      <c r="KG33" s="1">
        <v>17.500000000000004</v>
      </c>
      <c r="KH33" s="1">
        <v>27.500000000000007</v>
      </c>
      <c r="KI33" s="1">
        <v>15.000000000000004</v>
      </c>
      <c r="KJ33" s="1">
        <v>27.500000000000007</v>
      </c>
      <c r="KK33" s="1">
        <v>12.500000000000004</v>
      </c>
      <c r="KL33" s="1">
        <v>40</v>
      </c>
      <c r="KM33" s="1">
        <v>50.625000000000014</v>
      </c>
      <c r="KN33" s="1">
        <v>76</v>
      </c>
      <c r="KO33" s="1">
        <v>50</v>
      </c>
      <c r="KP33" s="1">
        <v>0</v>
      </c>
      <c r="KQ33" s="1">
        <v>0</v>
      </c>
      <c r="KR33" s="1">
        <v>0</v>
      </c>
      <c r="KS33" s="1">
        <v>50</v>
      </c>
      <c r="KT33" s="1">
        <v>2</v>
      </c>
      <c r="KU33" s="1">
        <v>0</v>
      </c>
      <c r="KV33" s="1">
        <v>10.000000000000002</v>
      </c>
      <c r="KW33" s="1">
        <v>5.0000000000000009</v>
      </c>
      <c r="KX33" s="1">
        <v>80.000000000000014</v>
      </c>
      <c r="KY33" s="1">
        <v>5.0000000000000009</v>
      </c>
      <c r="KZ33" s="1">
        <v>40</v>
      </c>
      <c r="LA33" s="1">
        <v>7.692307692307697</v>
      </c>
      <c r="LB33" s="1">
        <v>92.307692307692363</v>
      </c>
      <c r="LC33" s="1">
        <v>39</v>
      </c>
      <c r="LD33" s="1">
        <v>0</v>
      </c>
      <c r="LE33" s="1">
        <v>0</v>
      </c>
      <c r="LF33" s="1">
        <v>100</v>
      </c>
      <c r="LG33" s="1">
        <v>3</v>
      </c>
    </row>
    <row r="34" spans="1:319" x14ac:dyDescent="0.25">
      <c r="A34" s="1">
        <v>91</v>
      </c>
      <c r="B34" s="1">
        <v>24.137931034482783</v>
      </c>
      <c r="C34" s="1">
        <v>75.862068965517224</v>
      </c>
      <c r="D34" s="1">
        <v>29</v>
      </c>
      <c r="E34" s="1">
        <v>45.454545454545489</v>
      </c>
      <c r="F34" s="1">
        <v>54.545454545454533</v>
      </c>
      <c r="G34" s="1">
        <v>22</v>
      </c>
      <c r="H34" s="1">
        <v>66.666666666666643</v>
      </c>
      <c r="I34" s="1">
        <v>33.333333333333321</v>
      </c>
      <c r="J34" s="1">
        <v>6</v>
      </c>
      <c r="K34" s="1">
        <v>1</v>
      </c>
      <c r="L34" s="1">
        <v>11.82504</v>
      </c>
      <c r="M34" s="1">
        <v>4.4853600000000018</v>
      </c>
      <c r="N34" s="1">
        <v>3.669839999999998</v>
      </c>
      <c r="O34" s="1">
        <v>2.0388000000000015</v>
      </c>
      <c r="P34" s="1">
        <v>0</v>
      </c>
      <c r="Q34" s="1">
        <v>3.2620799999999983</v>
      </c>
      <c r="R34" s="1">
        <v>0.40775999999999979</v>
      </c>
      <c r="S34" s="1">
        <v>0</v>
      </c>
      <c r="T34" s="1">
        <v>0.40775999999999979</v>
      </c>
      <c r="U34" s="1">
        <v>1.2232799999999999</v>
      </c>
      <c r="V34" s="1">
        <v>0.40775999999999979</v>
      </c>
      <c r="W34" s="1">
        <v>0.37931034482758663</v>
      </c>
      <c r="X34" s="1">
        <v>0.31034482758620707</v>
      </c>
      <c r="Y34" s="1">
        <v>0.17241379310344837</v>
      </c>
      <c r="Z34" s="1">
        <v>0</v>
      </c>
      <c r="AA34" s="1">
        <v>0.27586206896551757</v>
      </c>
      <c r="AB34" s="1">
        <v>3.4482758620689696E-2</v>
      </c>
      <c r="AC34" s="1">
        <v>0</v>
      </c>
      <c r="AD34" s="1">
        <v>3.4482758620689696E-2</v>
      </c>
      <c r="AE34" s="1">
        <v>0.10344827586206896</v>
      </c>
      <c r="AF34" s="1">
        <v>3.4482758620689696E-2</v>
      </c>
      <c r="AG34" s="1">
        <v>1</v>
      </c>
      <c r="AH34" s="1">
        <v>29</v>
      </c>
      <c r="AI34" s="1">
        <v>1</v>
      </c>
      <c r="AJ34" s="1">
        <v>11.41728</v>
      </c>
      <c r="AK34" s="1">
        <v>9.3784799999999926</v>
      </c>
      <c r="AL34" s="1">
        <v>8.5629600000000003</v>
      </c>
      <c r="AM34" s="1">
        <v>4.077600000000003</v>
      </c>
      <c r="AN34" s="1">
        <v>2.0388000000000015</v>
      </c>
      <c r="AO34" s="1">
        <v>0.81551999999999958</v>
      </c>
      <c r="AP34" s="1">
        <v>0.81551999999999958</v>
      </c>
      <c r="AQ34" s="1">
        <v>0.82142857142857195</v>
      </c>
      <c r="AR34" s="1">
        <v>0.75000000000000011</v>
      </c>
      <c r="AS34" s="1">
        <v>0.35714285714285748</v>
      </c>
      <c r="AT34" s="1">
        <v>0.17857142857142874</v>
      </c>
      <c r="AU34" s="1">
        <v>7.1428571428571466E-2</v>
      </c>
      <c r="AV34" s="1">
        <v>7.1428571428571466E-2</v>
      </c>
      <c r="AW34" s="1">
        <v>1</v>
      </c>
      <c r="AX34" s="1">
        <v>28</v>
      </c>
      <c r="AY34" s="1">
        <v>9.8275862068965516</v>
      </c>
      <c r="AZ34" s="1">
        <v>9.862068965517242</v>
      </c>
      <c r="BA34" s="1">
        <v>9.7931034482758612</v>
      </c>
      <c r="BB34" s="1">
        <v>0</v>
      </c>
      <c r="BC34" s="1">
        <v>0</v>
      </c>
      <c r="BD34" s="1">
        <v>0</v>
      </c>
      <c r="BE34" s="1">
        <v>0</v>
      </c>
      <c r="BF34" s="1">
        <v>0</v>
      </c>
      <c r="BG34" s="1">
        <v>0</v>
      </c>
      <c r="BH34" s="1">
        <v>0</v>
      </c>
      <c r="BI34" s="1">
        <v>6.896551724137935</v>
      </c>
      <c r="BJ34" s="1">
        <v>3.4482758620689675</v>
      </c>
      <c r="BK34" s="1">
        <v>89.655172413793068</v>
      </c>
      <c r="BL34" s="1">
        <v>9.8275862068965676</v>
      </c>
      <c r="BM34" s="1">
        <v>29</v>
      </c>
      <c r="BN34" s="1">
        <v>0</v>
      </c>
      <c r="BO34" s="1">
        <v>0</v>
      </c>
      <c r="BP34" s="1">
        <v>0</v>
      </c>
      <c r="BQ34" s="1">
        <v>0</v>
      </c>
      <c r="BR34" s="1">
        <v>0</v>
      </c>
      <c r="BS34" s="1">
        <v>0</v>
      </c>
      <c r="BT34" s="1">
        <v>0</v>
      </c>
      <c r="BU34" s="1">
        <v>3.4482758620689675</v>
      </c>
      <c r="BV34" s="1">
        <v>6.896551724137935</v>
      </c>
      <c r="BW34" s="1">
        <v>89.655172413793068</v>
      </c>
      <c r="BX34" s="1">
        <v>9.8620689655172615</v>
      </c>
      <c r="BY34" s="1">
        <v>29</v>
      </c>
      <c r="BZ34" s="1">
        <v>0</v>
      </c>
      <c r="CA34" s="1">
        <v>0</v>
      </c>
      <c r="CB34" s="1">
        <v>0</v>
      </c>
      <c r="CC34" s="1">
        <v>0</v>
      </c>
      <c r="CD34" s="1">
        <v>0</v>
      </c>
      <c r="CE34" s="1">
        <v>0</v>
      </c>
      <c r="CF34" s="1">
        <v>0</v>
      </c>
      <c r="CG34" s="1">
        <v>6.896551724137935</v>
      </c>
      <c r="CH34" s="1">
        <v>6.896551724137935</v>
      </c>
      <c r="CI34" s="1">
        <v>86.206896551724171</v>
      </c>
      <c r="CJ34" s="1">
        <v>9.7931034482758719</v>
      </c>
      <c r="CK34" s="1">
        <v>29</v>
      </c>
      <c r="CL34" s="1">
        <v>85.714285714285765</v>
      </c>
      <c r="CM34" s="1">
        <v>10.714285714285721</v>
      </c>
      <c r="CN34" s="1">
        <v>3.5714285714285725</v>
      </c>
      <c r="CO34" s="1">
        <v>0</v>
      </c>
      <c r="CP34" s="1">
        <v>0</v>
      </c>
      <c r="CQ34" s="1">
        <v>28</v>
      </c>
      <c r="CR34" s="1">
        <v>93.333333333333357</v>
      </c>
      <c r="CS34" s="1">
        <v>6.6666666666666652</v>
      </c>
      <c r="CT34" s="1">
        <v>0</v>
      </c>
      <c r="CU34" s="1">
        <v>0</v>
      </c>
      <c r="CV34" s="1">
        <v>0</v>
      </c>
      <c r="CW34" s="1">
        <v>30</v>
      </c>
      <c r="CX34" s="1">
        <v>86.666666666666643</v>
      </c>
      <c r="CY34" s="1">
        <v>6.6666666666666652</v>
      </c>
      <c r="CZ34" s="1">
        <v>6.6666666666666652</v>
      </c>
      <c r="DA34" s="1">
        <v>0</v>
      </c>
      <c r="DB34" s="1">
        <v>0</v>
      </c>
      <c r="DC34" s="1">
        <v>30</v>
      </c>
      <c r="DD34" s="1">
        <v>90.000000000000014</v>
      </c>
      <c r="DE34" s="1">
        <v>10.000000000000002</v>
      </c>
      <c r="DF34" s="1">
        <v>0</v>
      </c>
      <c r="DG34" s="1">
        <v>0</v>
      </c>
      <c r="DH34" s="1">
        <v>0</v>
      </c>
      <c r="DI34" s="1">
        <v>30</v>
      </c>
      <c r="DJ34" s="1">
        <v>63.636363636363683</v>
      </c>
      <c r="DK34" s="1">
        <v>27.272727272727277</v>
      </c>
      <c r="DL34" s="1">
        <v>4.5454545454545485</v>
      </c>
      <c r="DM34" s="1">
        <v>4.5454545454545485</v>
      </c>
      <c r="DN34" s="1">
        <v>0</v>
      </c>
      <c r="DO34" s="1">
        <v>22</v>
      </c>
      <c r="DP34" s="1">
        <v>86.666666666666643</v>
      </c>
      <c r="DQ34" s="1">
        <v>10.000000000000002</v>
      </c>
      <c r="DR34" s="1">
        <v>3.3333333333333326</v>
      </c>
      <c r="DS34" s="1">
        <v>0</v>
      </c>
      <c r="DT34" s="1">
        <v>0</v>
      </c>
      <c r="DU34" s="1">
        <v>30</v>
      </c>
      <c r="DV34" s="1">
        <v>90</v>
      </c>
      <c r="DW34" s="1">
        <v>10.000000000000002</v>
      </c>
      <c r="DX34" s="1">
        <v>0</v>
      </c>
      <c r="DY34" s="1">
        <v>0</v>
      </c>
      <c r="DZ34" s="1">
        <v>0</v>
      </c>
      <c r="EA34" s="1">
        <v>20</v>
      </c>
      <c r="EB34" s="1">
        <v>100</v>
      </c>
      <c r="EC34" s="1">
        <v>0</v>
      </c>
      <c r="ED34" s="1">
        <v>0</v>
      </c>
      <c r="EE34" s="1">
        <v>0</v>
      </c>
      <c r="EF34" s="1">
        <v>0</v>
      </c>
      <c r="EG34" s="1">
        <v>11</v>
      </c>
      <c r="EH34" s="1">
        <v>66.666666666666686</v>
      </c>
      <c r="EI34" s="1">
        <v>33.333333333333343</v>
      </c>
      <c r="EJ34" s="1">
        <v>0</v>
      </c>
      <c r="EK34" s="1">
        <v>0</v>
      </c>
      <c r="EL34" s="1">
        <v>0</v>
      </c>
      <c r="EM34" s="1">
        <v>9</v>
      </c>
      <c r="EN34" s="1">
        <v>63.636363636363683</v>
      </c>
      <c r="EO34" s="1">
        <v>27.272727272727259</v>
      </c>
      <c r="EP34" s="1">
        <v>9.0909090909090899</v>
      </c>
      <c r="EQ34" s="1">
        <v>0</v>
      </c>
      <c r="ER34" s="1">
        <v>0</v>
      </c>
      <c r="ES34" s="1">
        <v>11</v>
      </c>
      <c r="ET34" s="1">
        <v>63.636363636363683</v>
      </c>
      <c r="EU34" s="1">
        <v>27.272727272727259</v>
      </c>
      <c r="EV34" s="1">
        <v>9.0909090909090899</v>
      </c>
      <c r="EW34" s="1">
        <v>0</v>
      </c>
      <c r="EX34" s="1">
        <v>0</v>
      </c>
      <c r="EY34" s="1">
        <v>11</v>
      </c>
      <c r="EZ34" s="1">
        <v>63.636363636363683</v>
      </c>
      <c r="FA34" s="1">
        <v>27.272727272727259</v>
      </c>
      <c r="FB34" s="1">
        <v>9.0909090909090899</v>
      </c>
      <c r="FC34" s="1">
        <v>0</v>
      </c>
      <c r="FD34" s="1">
        <v>0</v>
      </c>
      <c r="FE34" s="1">
        <v>11</v>
      </c>
      <c r="FF34" s="1">
        <v>63.636363636363683</v>
      </c>
      <c r="FG34" s="1">
        <v>18.18181818181818</v>
      </c>
      <c r="FH34" s="1">
        <v>18.18181818181818</v>
      </c>
      <c r="FI34" s="1">
        <v>0</v>
      </c>
      <c r="FJ34" s="1">
        <v>0</v>
      </c>
      <c r="FK34" s="1">
        <v>11</v>
      </c>
      <c r="FL34" s="1">
        <v>90</v>
      </c>
      <c r="FM34" s="1">
        <v>10</v>
      </c>
      <c r="FN34" s="1">
        <v>0</v>
      </c>
      <c r="FO34" s="1">
        <v>0</v>
      </c>
      <c r="FP34" s="1">
        <v>0</v>
      </c>
      <c r="FQ34" s="1">
        <v>10</v>
      </c>
      <c r="FR34" s="1">
        <v>92.307692307692335</v>
      </c>
      <c r="FS34" s="1">
        <v>7.6923076923077005</v>
      </c>
      <c r="FT34" s="1">
        <v>0</v>
      </c>
      <c r="FU34" s="1">
        <v>0</v>
      </c>
      <c r="FV34" s="1">
        <v>0</v>
      </c>
      <c r="FW34" s="1">
        <v>13</v>
      </c>
      <c r="FX34" s="1">
        <v>92.857142857142819</v>
      </c>
      <c r="FY34" s="1">
        <v>7.142857142857145</v>
      </c>
      <c r="FZ34" s="1">
        <v>0</v>
      </c>
      <c r="GA34" s="1">
        <v>0</v>
      </c>
      <c r="GB34" s="1">
        <v>0</v>
      </c>
      <c r="GC34" s="1">
        <v>28</v>
      </c>
      <c r="GD34" s="1">
        <v>87.500000000000014</v>
      </c>
      <c r="GE34" s="1">
        <v>6.2500000000000009</v>
      </c>
      <c r="GF34" s="1">
        <v>6.2500000000000009</v>
      </c>
      <c r="GG34" s="1">
        <v>0</v>
      </c>
      <c r="GH34" s="1">
        <v>0</v>
      </c>
      <c r="GI34" s="1">
        <v>16</v>
      </c>
      <c r="GJ34" s="1">
        <v>95</v>
      </c>
      <c r="GK34" s="1">
        <v>5.0000000000000009</v>
      </c>
      <c r="GL34" s="1">
        <v>0</v>
      </c>
      <c r="GM34" s="1">
        <v>0</v>
      </c>
      <c r="GN34" s="1">
        <v>0</v>
      </c>
      <c r="GO34" s="1">
        <v>20</v>
      </c>
      <c r="GP34" s="1">
        <v>94.117647058823465</v>
      </c>
      <c r="GQ34" s="1">
        <v>0</v>
      </c>
      <c r="GR34" s="1">
        <v>5.882352941176471</v>
      </c>
      <c r="GS34" s="1">
        <v>0</v>
      </c>
      <c r="GT34" s="1">
        <v>0</v>
      </c>
      <c r="GU34" s="1">
        <v>17</v>
      </c>
      <c r="GV34" s="1">
        <v>99.999999999999986</v>
      </c>
      <c r="GW34" s="1">
        <v>0</v>
      </c>
      <c r="GX34" s="1">
        <v>0</v>
      </c>
      <c r="GY34" s="1">
        <v>0</v>
      </c>
      <c r="GZ34" s="1">
        <v>0</v>
      </c>
      <c r="HA34" s="1">
        <v>19</v>
      </c>
      <c r="HB34" s="1">
        <v>100</v>
      </c>
      <c r="HC34" s="1">
        <v>0</v>
      </c>
      <c r="HD34" s="1">
        <v>0</v>
      </c>
      <c r="HE34" s="1">
        <v>0</v>
      </c>
      <c r="HF34" s="1">
        <v>0</v>
      </c>
      <c r="HG34" s="1">
        <v>10</v>
      </c>
      <c r="HH34" s="1">
        <v>81.250000000000014</v>
      </c>
      <c r="HI34" s="1">
        <v>18.750000000000004</v>
      </c>
      <c r="HJ34" s="1">
        <v>0</v>
      </c>
      <c r="HK34" s="1">
        <v>0</v>
      </c>
      <c r="HL34" s="1">
        <v>0</v>
      </c>
      <c r="HM34" s="1">
        <v>16</v>
      </c>
      <c r="HN34" s="1">
        <v>0</v>
      </c>
      <c r="HO34" s="1">
        <v>0</v>
      </c>
      <c r="HP34" s="1">
        <v>0</v>
      </c>
      <c r="HQ34" s="1">
        <v>0</v>
      </c>
      <c r="HR34" s="1">
        <v>0</v>
      </c>
      <c r="HS34" s="1">
        <v>0</v>
      </c>
      <c r="HT34" s="1">
        <v>0</v>
      </c>
      <c r="HU34" s="1">
        <v>0</v>
      </c>
      <c r="HV34" s="1">
        <v>0</v>
      </c>
      <c r="HW34" s="1">
        <v>0</v>
      </c>
      <c r="HX34" s="1">
        <v>0</v>
      </c>
      <c r="HY34" s="1">
        <v>0</v>
      </c>
      <c r="HZ34" s="1">
        <v>0</v>
      </c>
      <c r="IA34" s="1">
        <v>0</v>
      </c>
      <c r="IB34" s="1">
        <v>0</v>
      </c>
      <c r="IC34" s="1">
        <v>0</v>
      </c>
      <c r="ID34" s="1">
        <v>0</v>
      </c>
      <c r="IE34" s="1">
        <v>0</v>
      </c>
      <c r="IF34" s="1">
        <v>9.5333333333333332</v>
      </c>
      <c r="IG34" s="1">
        <v>0</v>
      </c>
      <c r="IH34" s="1">
        <v>0</v>
      </c>
      <c r="II34" s="1">
        <v>0</v>
      </c>
      <c r="IJ34" s="1">
        <v>0</v>
      </c>
      <c r="IK34" s="1">
        <v>0</v>
      </c>
      <c r="IL34" s="1">
        <v>0</v>
      </c>
      <c r="IM34" s="1">
        <v>3.3333333333333326</v>
      </c>
      <c r="IN34" s="1">
        <v>6.6666666666666652</v>
      </c>
      <c r="IO34" s="1">
        <v>23.333333333333361</v>
      </c>
      <c r="IP34" s="1">
        <v>66.666666666666714</v>
      </c>
      <c r="IQ34" s="1">
        <v>9.5333333333333421</v>
      </c>
      <c r="IR34" s="1">
        <v>30</v>
      </c>
      <c r="IS34" s="1">
        <v>0</v>
      </c>
      <c r="IT34" s="1">
        <v>87.096774193548342</v>
      </c>
      <c r="IU34" s="1">
        <v>9.6774193548387171</v>
      </c>
      <c r="IV34" s="1">
        <v>3.225806451612907</v>
      </c>
      <c r="IW34" s="1">
        <v>0</v>
      </c>
      <c r="IX34" s="1">
        <v>31</v>
      </c>
      <c r="IY34" s="1">
        <v>1</v>
      </c>
      <c r="IZ34" s="1">
        <v>12.232799999999996</v>
      </c>
      <c r="JA34" s="1">
        <v>4.8931199999999997</v>
      </c>
      <c r="JB34" s="1">
        <v>4.077600000000003</v>
      </c>
      <c r="JC34" s="1">
        <v>3.2620799999999983</v>
      </c>
      <c r="JD34" s="1">
        <v>1.6310399999999992</v>
      </c>
      <c r="JE34" s="1">
        <v>0.4000000000000003</v>
      </c>
      <c r="JF34" s="1">
        <v>0.33333333333333376</v>
      </c>
      <c r="JG34" s="1">
        <v>0.26666666666666672</v>
      </c>
      <c r="JH34" s="1">
        <v>0.13333333333333336</v>
      </c>
      <c r="JI34" s="1">
        <v>1</v>
      </c>
      <c r="JJ34" s="1">
        <v>30</v>
      </c>
      <c r="JK34" s="1">
        <v>2.870967741935484</v>
      </c>
      <c r="JL34" s="1">
        <v>2.8709677419354862</v>
      </c>
      <c r="JM34" s="1">
        <v>31</v>
      </c>
      <c r="JN34" s="1">
        <v>88.888888888888843</v>
      </c>
      <c r="JO34" s="1">
        <v>11.111111111111105</v>
      </c>
      <c r="JP34" s="1">
        <v>9</v>
      </c>
      <c r="JQ34" s="1">
        <v>100</v>
      </c>
      <c r="JR34" s="1">
        <v>0</v>
      </c>
      <c r="JS34" s="1">
        <v>24</v>
      </c>
      <c r="JT34" s="1">
        <v>95.833333333333357</v>
      </c>
      <c r="JU34" s="1">
        <v>4.1666666666666696</v>
      </c>
      <c r="JV34" s="1">
        <v>24</v>
      </c>
      <c r="JW34" s="1">
        <v>90.909090909090949</v>
      </c>
      <c r="JX34" s="1">
        <v>9.090909090909097</v>
      </c>
      <c r="JY34" s="1">
        <v>22</v>
      </c>
      <c r="JZ34" s="1">
        <v>33.333333333333364</v>
      </c>
      <c r="KA34" s="1">
        <v>66.666666666666714</v>
      </c>
      <c r="KB34" s="1">
        <v>30</v>
      </c>
      <c r="KC34" s="1">
        <v>99.999999999999986</v>
      </c>
      <c r="KD34" s="1">
        <v>0</v>
      </c>
      <c r="KE34" s="1">
        <v>30</v>
      </c>
      <c r="KF34" s="1">
        <v>2.8571428571428572</v>
      </c>
      <c r="KG34" s="1">
        <v>14.28571428571429</v>
      </c>
      <c r="KH34" s="1">
        <v>25.000000000000004</v>
      </c>
      <c r="KI34" s="1">
        <v>35.714285714285751</v>
      </c>
      <c r="KJ34" s="1">
        <v>10.714285714285721</v>
      </c>
      <c r="KK34" s="1">
        <v>14.28571428571429</v>
      </c>
      <c r="KL34" s="1">
        <v>28</v>
      </c>
      <c r="KM34" s="1">
        <v>51.964285714285765</v>
      </c>
      <c r="KN34" s="1">
        <v>62.666666666666664</v>
      </c>
      <c r="KO34" s="1">
        <v>0</v>
      </c>
      <c r="KP34" s="1">
        <v>0</v>
      </c>
      <c r="KQ34" s="1">
        <v>66.666666666666686</v>
      </c>
      <c r="KR34" s="1">
        <v>0</v>
      </c>
      <c r="KS34" s="1">
        <v>33.333333333333343</v>
      </c>
      <c r="KT34" s="1">
        <v>3</v>
      </c>
      <c r="KU34" s="1">
        <v>3.3333333333333326</v>
      </c>
      <c r="KV34" s="1">
        <v>3.3333333333333326</v>
      </c>
      <c r="KW34" s="1">
        <v>0</v>
      </c>
      <c r="KX34" s="1">
        <v>93.333333333333357</v>
      </c>
      <c r="KY34" s="1">
        <v>0</v>
      </c>
      <c r="KZ34" s="1">
        <v>30</v>
      </c>
      <c r="LA34" s="1">
        <v>0</v>
      </c>
      <c r="LB34" s="1">
        <v>99.999999999999986</v>
      </c>
      <c r="LC34" s="1">
        <v>30</v>
      </c>
      <c r="LD34" s="1">
        <v>0</v>
      </c>
      <c r="LE34" s="1">
        <v>0</v>
      </c>
      <c r="LF34" s="1">
        <v>0</v>
      </c>
      <c r="LG34" s="1">
        <v>0</v>
      </c>
    </row>
    <row r="35" spans="1:319" x14ac:dyDescent="0.25">
      <c r="A35" s="1">
        <v>92</v>
      </c>
      <c r="B35" s="1">
        <v>40.000000000000014</v>
      </c>
      <c r="C35" s="1">
        <v>60.000000000000028</v>
      </c>
      <c r="D35" s="1">
        <v>55</v>
      </c>
      <c r="E35" s="1">
        <v>59.375</v>
      </c>
      <c r="F35" s="1">
        <v>40.625</v>
      </c>
      <c r="G35" s="1">
        <v>32</v>
      </c>
      <c r="H35" s="1">
        <v>31.578947368421048</v>
      </c>
      <c r="I35" s="1">
        <v>68.421052631578945</v>
      </c>
      <c r="J35" s="1">
        <v>19</v>
      </c>
      <c r="K35" s="1">
        <v>1</v>
      </c>
      <c r="L35" s="1">
        <v>22.753349999999958</v>
      </c>
      <c r="M35" s="1">
        <v>6.5560500000000097</v>
      </c>
      <c r="N35" s="1">
        <v>3.8565000000000036</v>
      </c>
      <c r="O35" s="1">
        <v>7.3273500000000089</v>
      </c>
      <c r="P35" s="1">
        <v>2.3138999999999998</v>
      </c>
      <c r="Q35" s="1">
        <v>8.0986500000000063</v>
      </c>
      <c r="R35" s="1">
        <v>2.3138999999999998</v>
      </c>
      <c r="S35" s="1">
        <v>0.77129999999999888</v>
      </c>
      <c r="T35" s="1">
        <v>4.2421500000000041</v>
      </c>
      <c r="U35" s="1">
        <v>2.3138999999999998</v>
      </c>
      <c r="V35" s="1">
        <v>1.5425999999999978</v>
      </c>
      <c r="W35" s="1">
        <v>0.28813559322033921</v>
      </c>
      <c r="X35" s="1">
        <v>0.169491525423729</v>
      </c>
      <c r="Y35" s="1">
        <v>0.32203389830508516</v>
      </c>
      <c r="Z35" s="1">
        <v>0.10169491525423729</v>
      </c>
      <c r="AA35" s="1">
        <v>0.35593220338983073</v>
      </c>
      <c r="AB35" s="1">
        <v>0.10169491525423729</v>
      </c>
      <c r="AC35" s="1">
        <v>3.3898305084745832E-2</v>
      </c>
      <c r="AD35" s="1">
        <v>0.18644067796610203</v>
      </c>
      <c r="AE35" s="1">
        <v>0.10169491525423729</v>
      </c>
      <c r="AF35" s="1">
        <v>6.7796610169491664E-2</v>
      </c>
      <c r="AG35" s="1">
        <v>1</v>
      </c>
      <c r="AH35" s="1">
        <v>59</v>
      </c>
      <c r="AI35" s="1">
        <v>1</v>
      </c>
      <c r="AJ35" s="1">
        <v>22.753349999999958</v>
      </c>
      <c r="AK35" s="1">
        <v>16.968600000000013</v>
      </c>
      <c r="AL35" s="1">
        <v>10.026900000000001</v>
      </c>
      <c r="AM35" s="1">
        <v>9.6412500000000101</v>
      </c>
      <c r="AN35" s="1">
        <v>8.4843000000000082</v>
      </c>
      <c r="AO35" s="1">
        <v>3.0851999999999955</v>
      </c>
      <c r="AP35" s="1">
        <v>1.9282500000000018</v>
      </c>
      <c r="AQ35" s="1">
        <v>0.74576271186440812</v>
      </c>
      <c r="AR35" s="1">
        <v>0.44067796610169552</v>
      </c>
      <c r="AS35" s="1">
        <v>0.42372881355932207</v>
      </c>
      <c r="AT35" s="1">
        <v>0.37288135593220406</v>
      </c>
      <c r="AU35" s="1">
        <v>0.13559322033898333</v>
      </c>
      <c r="AV35" s="1">
        <v>8.47457627118645E-2</v>
      </c>
      <c r="AW35" s="1">
        <v>1</v>
      </c>
      <c r="AX35" s="1">
        <v>59</v>
      </c>
      <c r="AY35" s="1">
        <v>9.898305084745763</v>
      </c>
      <c r="AZ35" s="1">
        <v>9.898305084745763</v>
      </c>
      <c r="BA35" s="1">
        <v>9.931034482758621</v>
      </c>
      <c r="BB35" s="1">
        <v>0</v>
      </c>
      <c r="BC35" s="1">
        <v>0</v>
      </c>
      <c r="BD35" s="1">
        <v>0</v>
      </c>
      <c r="BE35" s="1">
        <v>0</v>
      </c>
      <c r="BF35" s="1">
        <v>0</v>
      </c>
      <c r="BG35" s="1">
        <v>0</v>
      </c>
      <c r="BH35" s="1">
        <v>0</v>
      </c>
      <c r="BI35" s="1">
        <v>3.3898305084745766</v>
      </c>
      <c r="BJ35" s="1">
        <v>3.3898305084745766</v>
      </c>
      <c r="BK35" s="1">
        <v>93.220338983051008</v>
      </c>
      <c r="BL35" s="1">
        <v>9.8983050847457825</v>
      </c>
      <c r="BM35" s="1">
        <v>59</v>
      </c>
      <c r="BN35" s="1">
        <v>0</v>
      </c>
      <c r="BO35" s="1">
        <v>0</v>
      </c>
      <c r="BP35" s="1">
        <v>0</v>
      </c>
      <c r="BQ35" s="1">
        <v>0</v>
      </c>
      <c r="BR35" s="1">
        <v>0</v>
      </c>
      <c r="BS35" s="1">
        <v>0</v>
      </c>
      <c r="BT35" s="1">
        <v>0</v>
      </c>
      <c r="BU35" s="1">
        <v>3.3898305084745766</v>
      </c>
      <c r="BV35" s="1">
        <v>3.3898305084745766</v>
      </c>
      <c r="BW35" s="1">
        <v>93.220338983051008</v>
      </c>
      <c r="BX35" s="1">
        <v>9.8983050847457896</v>
      </c>
      <c r="BY35" s="1">
        <v>59</v>
      </c>
      <c r="BZ35" s="1">
        <v>0</v>
      </c>
      <c r="CA35" s="1">
        <v>0</v>
      </c>
      <c r="CB35" s="1">
        <v>0</v>
      </c>
      <c r="CC35" s="1">
        <v>0</v>
      </c>
      <c r="CD35" s="1">
        <v>0</v>
      </c>
      <c r="CE35" s="1">
        <v>0</v>
      </c>
      <c r="CF35" s="1">
        <v>0</v>
      </c>
      <c r="CG35" s="1">
        <v>1.7241379310344869</v>
      </c>
      <c r="CH35" s="1">
        <v>3.4482758620689737</v>
      </c>
      <c r="CI35" s="1">
        <v>94.827586206896669</v>
      </c>
      <c r="CJ35" s="1">
        <v>9.9310344827586423</v>
      </c>
      <c r="CK35" s="1">
        <v>58</v>
      </c>
      <c r="CL35" s="1">
        <v>61.818181818181955</v>
      </c>
      <c r="CM35" s="1">
        <v>32.727272727272755</v>
      </c>
      <c r="CN35" s="1">
        <v>1.8181818181818172</v>
      </c>
      <c r="CO35" s="1">
        <v>3.6363636363636345</v>
      </c>
      <c r="CP35" s="1">
        <v>0</v>
      </c>
      <c r="CQ35" s="1">
        <v>55</v>
      </c>
      <c r="CR35" s="1">
        <v>83.050847457627214</v>
      </c>
      <c r="CS35" s="1">
        <v>15.254237288135634</v>
      </c>
      <c r="CT35" s="1">
        <v>1.6949152542372883</v>
      </c>
      <c r="CU35" s="1">
        <v>0</v>
      </c>
      <c r="CV35" s="1">
        <v>0</v>
      </c>
      <c r="CW35" s="1">
        <v>59</v>
      </c>
      <c r="CX35" s="1">
        <v>77.96610169491538</v>
      </c>
      <c r="CY35" s="1">
        <v>20.338983050847464</v>
      </c>
      <c r="CZ35" s="1">
        <v>1.6949152542372883</v>
      </c>
      <c r="DA35" s="1">
        <v>0</v>
      </c>
      <c r="DB35" s="1">
        <v>0</v>
      </c>
      <c r="DC35" s="1">
        <v>59</v>
      </c>
      <c r="DD35" s="1">
        <v>74.576271186440835</v>
      </c>
      <c r="DE35" s="1">
        <v>22.033898305084765</v>
      </c>
      <c r="DF35" s="1">
        <v>3.3898305084745766</v>
      </c>
      <c r="DG35" s="1">
        <v>0</v>
      </c>
      <c r="DH35" s="1">
        <v>0</v>
      </c>
      <c r="DI35" s="1">
        <v>59</v>
      </c>
      <c r="DJ35" s="1">
        <v>73.076923076923194</v>
      </c>
      <c r="DK35" s="1">
        <v>25.000000000000007</v>
      </c>
      <c r="DL35" s="1">
        <v>1.9230769230769231</v>
      </c>
      <c r="DM35" s="1">
        <v>0</v>
      </c>
      <c r="DN35" s="1">
        <v>0</v>
      </c>
      <c r="DO35" s="1">
        <v>52</v>
      </c>
      <c r="DP35" s="1">
        <v>86.6666666666667</v>
      </c>
      <c r="DQ35" s="1">
        <v>11.666666666666668</v>
      </c>
      <c r="DR35" s="1">
        <v>1.6666666666666705</v>
      </c>
      <c r="DS35" s="1">
        <v>0</v>
      </c>
      <c r="DT35" s="1">
        <v>0</v>
      </c>
      <c r="DU35" s="1">
        <v>60</v>
      </c>
      <c r="DV35" s="1">
        <v>90.909090909090963</v>
      </c>
      <c r="DW35" s="1">
        <v>9.0909090909090828</v>
      </c>
      <c r="DX35" s="1">
        <v>0</v>
      </c>
      <c r="DY35" s="1">
        <v>0</v>
      </c>
      <c r="DZ35" s="1">
        <v>0</v>
      </c>
      <c r="EA35" s="1">
        <v>22</v>
      </c>
      <c r="EB35" s="1">
        <v>77.41935483870968</v>
      </c>
      <c r="EC35" s="1">
        <v>22.580645161290317</v>
      </c>
      <c r="ED35" s="1">
        <v>0</v>
      </c>
      <c r="EE35" s="1">
        <v>0</v>
      </c>
      <c r="EF35" s="1">
        <v>0</v>
      </c>
      <c r="EG35" s="1">
        <v>31</v>
      </c>
      <c r="EH35" s="1">
        <v>60</v>
      </c>
      <c r="EI35" s="1">
        <v>30</v>
      </c>
      <c r="EJ35" s="1">
        <v>10</v>
      </c>
      <c r="EK35" s="1">
        <v>0</v>
      </c>
      <c r="EL35" s="1">
        <v>0</v>
      </c>
      <c r="EM35" s="1">
        <v>30</v>
      </c>
      <c r="EN35" s="1">
        <v>63.333333333333385</v>
      </c>
      <c r="EO35" s="1">
        <v>33.3333333333333</v>
      </c>
      <c r="EP35" s="1">
        <v>3.3333333333333357</v>
      </c>
      <c r="EQ35" s="1">
        <v>0</v>
      </c>
      <c r="ER35" s="1">
        <v>0</v>
      </c>
      <c r="ES35" s="1">
        <v>30</v>
      </c>
      <c r="ET35" s="1">
        <v>65.624999999999986</v>
      </c>
      <c r="EU35" s="1">
        <v>25</v>
      </c>
      <c r="EV35" s="1">
        <v>6.25</v>
      </c>
      <c r="EW35" s="1">
        <v>3.125</v>
      </c>
      <c r="EX35" s="1">
        <v>0</v>
      </c>
      <c r="EY35" s="1">
        <v>32</v>
      </c>
      <c r="EZ35" s="1">
        <v>66.6666666666666</v>
      </c>
      <c r="FA35" s="1">
        <v>29.166666666666689</v>
      </c>
      <c r="FB35" s="1">
        <v>4.1666666666666625</v>
      </c>
      <c r="FC35" s="1">
        <v>0</v>
      </c>
      <c r="FD35" s="1">
        <v>0</v>
      </c>
      <c r="FE35" s="1">
        <v>24</v>
      </c>
      <c r="FF35" s="1">
        <v>73.91304347826096</v>
      </c>
      <c r="FG35" s="1">
        <v>17.3913043478261</v>
      </c>
      <c r="FH35" s="1">
        <v>8.6956521739130501</v>
      </c>
      <c r="FI35" s="1">
        <v>0</v>
      </c>
      <c r="FJ35" s="1">
        <v>0</v>
      </c>
      <c r="FK35" s="1">
        <v>23</v>
      </c>
      <c r="FL35" s="1">
        <v>80</v>
      </c>
      <c r="FM35" s="1">
        <v>14.999999999999998</v>
      </c>
      <c r="FN35" s="1">
        <v>5</v>
      </c>
      <c r="FO35" s="1">
        <v>0</v>
      </c>
      <c r="FP35" s="1">
        <v>0</v>
      </c>
      <c r="FQ35" s="1">
        <v>20</v>
      </c>
      <c r="FR35" s="1">
        <v>66.6666666666666</v>
      </c>
      <c r="FS35" s="1">
        <v>16.66666666666665</v>
      </c>
      <c r="FT35" s="1">
        <v>16.66666666666665</v>
      </c>
      <c r="FU35" s="1">
        <v>0</v>
      </c>
      <c r="FV35" s="1">
        <v>0</v>
      </c>
      <c r="FW35" s="1">
        <v>12</v>
      </c>
      <c r="FX35" s="1">
        <v>91.228070175438646</v>
      </c>
      <c r="FY35" s="1">
        <v>8.7719298245614219</v>
      </c>
      <c r="FZ35" s="1">
        <v>0</v>
      </c>
      <c r="GA35" s="1">
        <v>0</v>
      </c>
      <c r="GB35" s="1">
        <v>0</v>
      </c>
      <c r="GC35" s="1">
        <v>57</v>
      </c>
      <c r="GD35" s="1">
        <v>82.857142857142833</v>
      </c>
      <c r="GE35" s="1">
        <v>14.285714285714302</v>
      </c>
      <c r="GF35" s="1">
        <v>2.857142857142859</v>
      </c>
      <c r="GG35" s="1">
        <v>0</v>
      </c>
      <c r="GH35" s="1">
        <v>0</v>
      </c>
      <c r="GI35" s="1">
        <v>35</v>
      </c>
      <c r="GJ35" s="1">
        <v>89.743589743589808</v>
      </c>
      <c r="GK35" s="1">
        <v>10.256410256410266</v>
      </c>
      <c r="GL35" s="1">
        <v>0</v>
      </c>
      <c r="GM35" s="1">
        <v>0</v>
      </c>
      <c r="GN35" s="1">
        <v>0</v>
      </c>
      <c r="GO35" s="1">
        <v>39</v>
      </c>
      <c r="GP35" s="1">
        <v>81.081081081081095</v>
      </c>
      <c r="GQ35" s="1">
        <v>16.216216216216228</v>
      </c>
      <c r="GR35" s="1">
        <v>2.7027027027027062</v>
      </c>
      <c r="GS35" s="1">
        <v>0</v>
      </c>
      <c r="GT35" s="1">
        <v>0</v>
      </c>
      <c r="GU35" s="1">
        <v>37</v>
      </c>
      <c r="GV35" s="1">
        <v>88.23529411764693</v>
      </c>
      <c r="GW35" s="1">
        <v>11.764705882352931</v>
      </c>
      <c r="GX35" s="1">
        <v>0</v>
      </c>
      <c r="GY35" s="1">
        <v>0</v>
      </c>
      <c r="GZ35" s="1">
        <v>0</v>
      </c>
      <c r="HA35" s="1">
        <v>34</v>
      </c>
      <c r="HB35" s="1">
        <v>78.571428571428513</v>
      </c>
      <c r="HC35" s="1">
        <v>7.1428571428571512</v>
      </c>
      <c r="HD35" s="1">
        <v>7.1428571428571512</v>
      </c>
      <c r="HE35" s="1">
        <v>7.1428571428571512</v>
      </c>
      <c r="HF35" s="1">
        <v>0</v>
      </c>
      <c r="HG35" s="1">
        <v>14</v>
      </c>
      <c r="HH35" s="1">
        <v>89.473684210526386</v>
      </c>
      <c r="HI35" s="1">
        <v>10.52631578947368</v>
      </c>
      <c r="HJ35" s="1">
        <v>0</v>
      </c>
      <c r="HK35" s="1">
        <v>0</v>
      </c>
      <c r="HL35" s="1">
        <v>0</v>
      </c>
      <c r="HM35" s="1">
        <v>19</v>
      </c>
      <c r="HN35" s="1">
        <v>0</v>
      </c>
      <c r="HO35" s="1">
        <v>0</v>
      </c>
      <c r="HP35" s="1">
        <v>0</v>
      </c>
      <c r="HQ35" s="1">
        <v>0</v>
      </c>
      <c r="HR35" s="1">
        <v>0</v>
      </c>
      <c r="HS35" s="1">
        <v>0</v>
      </c>
      <c r="HT35" s="1">
        <v>0</v>
      </c>
      <c r="HU35" s="1">
        <v>0</v>
      </c>
      <c r="HV35" s="1">
        <v>0</v>
      </c>
      <c r="HW35" s="1">
        <v>0</v>
      </c>
      <c r="HX35" s="1">
        <v>0</v>
      </c>
      <c r="HY35" s="1">
        <v>0</v>
      </c>
      <c r="HZ35" s="1">
        <v>0</v>
      </c>
      <c r="IA35" s="1">
        <v>0</v>
      </c>
      <c r="IB35" s="1">
        <v>0</v>
      </c>
      <c r="IC35" s="1">
        <v>0</v>
      </c>
      <c r="ID35" s="1">
        <v>0</v>
      </c>
      <c r="IE35" s="1">
        <v>0</v>
      </c>
      <c r="IF35" s="1">
        <v>9.6296296296296298</v>
      </c>
      <c r="IG35" s="1">
        <v>0</v>
      </c>
      <c r="IH35" s="1">
        <v>0</v>
      </c>
      <c r="II35" s="1">
        <v>0</v>
      </c>
      <c r="IJ35" s="1">
        <v>0</v>
      </c>
      <c r="IK35" s="1">
        <v>0</v>
      </c>
      <c r="IL35" s="1">
        <v>0</v>
      </c>
      <c r="IM35" s="1">
        <v>1.8518518518518514</v>
      </c>
      <c r="IN35" s="1">
        <v>3.7037037037037028</v>
      </c>
      <c r="IO35" s="1">
        <v>24.074074074074119</v>
      </c>
      <c r="IP35" s="1">
        <v>70.370370370370452</v>
      </c>
      <c r="IQ35" s="1">
        <v>9.6296296296296386</v>
      </c>
      <c r="IR35" s="1">
        <v>54</v>
      </c>
      <c r="IS35" s="1">
        <v>1.9230769230769231</v>
      </c>
      <c r="IT35" s="1">
        <v>67.307692307692378</v>
      </c>
      <c r="IU35" s="1">
        <v>26.923076923076923</v>
      </c>
      <c r="IV35" s="1">
        <v>3.8461538461538463</v>
      </c>
      <c r="IW35" s="1">
        <v>0</v>
      </c>
      <c r="IX35" s="1">
        <v>52</v>
      </c>
      <c r="IY35" s="1">
        <v>1</v>
      </c>
      <c r="IZ35" s="1">
        <v>22.753349999999958</v>
      </c>
      <c r="JA35" s="1">
        <v>11.955150000000001</v>
      </c>
      <c r="JB35" s="1">
        <v>3.4708500000000044</v>
      </c>
      <c r="JC35" s="1">
        <v>2.6995499999999981</v>
      </c>
      <c r="JD35" s="1">
        <v>6.170399999999991</v>
      </c>
      <c r="JE35" s="1">
        <v>0.52542372881356036</v>
      </c>
      <c r="JF35" s="1">
        <v>0.15254237288135628</v>
      </c>
      <c r="JG35" s="1">
        <v>0.11864406779661051</v>
      </c>
      <c r="JH35" s="1">
        <v>0.27118644067796666</v>
      </c>
      <c r="JI35" s="1">
        <v>1</v>
      </c>
      <c r="JJ35" s="1">
        <v>59</v>
      </c>
      <c r="JK35" s="1">
        <v>2.7241379310344827</v>
      </c>
      <c r="JL35" s="1">
        <v>2.7241379310344853</v>
      </c>
      <c r="JM35" s="1">
        <v>58</v>
      </c>
      <c r="JN35" s="1">
        <v>78.260869565217419</v>
      </c>
      <c r="JO35" s="1">
        <v>21.739130434782599</v>
      </c>
      <c r="JP35" s="1">
        <v>23</v>
      </c>
      <c r="JQ35" s="1">
        <v>94.117647058823451</v>
      </c>
      <c r="JR35" s="1">
        <v>5.8823529411764657</v>
      </c>
      <c r="JS35" s="1">
        <v>34</v>
      </c>
      <c r="JT35" s="1">
        <v>95.744680851063933</v>
      </c>
      <c r="JU35" s="1">
        <v>4.2553191489361684</v>
      </c>
      <c r="JV35" s="1">
        <v>47</v>
      </c>
      <c r="JW35" s="1">
        <v>91.111111111111242</v>
      </c>
      <c r="JX35" s="1">
        <v>8.8888888888889017</v>
      </c>
      <c r="JY35" s="1">
        <v>45</v>
      </c>
      <c r="JZ35" s="1">
        <v>60.377358490566145</v>
      </c>
      <c r="KA35" s="1">
        <v>39.62264150943399</v>
      </c>
      <c r="KB35" s="1">
        <v>53</v>
      </c>
      <c r="KC35" s="1">
        <v>100</v>
      </c>
      <c r="KD35" s="1">
        <v>0</v>
      </c>
      <c r="KE35" s="1">
        <v>53</v>
      </c>
      <c r="KF35" s="1">
        <v>3.0416666666666665</v>
      </c>
      <c r="KG35" s="1">
        <v>12.500000000000002</v>
      </c>
      <c r="KH35" s="1">
        <v>20.833333333333346</v>
      </c>
      <c r="KI35" s="1">
        <v>29.166666666666689</v>
      </c>
      <c r="KJ35" s="1">
        <v>25.000000000000004</v>
      </c>
      <c r="KK35" s="1">
        <v>12.500000000000002</v>
      </c>
      <c r="KL35" s="1">
        <v>48</v>
      </c>
      <c r="KM35" s="1">
        <v>53.60416666666665</v>
      </c>
      <c r="KN35" s="1">
        <v>115.25</v>
      </c>
      <c r="KO35" s="1">
        <v>0</v>
      </c>
      <c r="KP35" s="1">
        <v>0</v>
      </c>
      <c r="KQ35" s="1">
        <v>25</v>
      </c>
      <c r="KR35" s="1">
        <v>25</v>
      </c>
      <c r="KS35" s="1">
        <v>50</v>
      </c>
      <c r="KT35" s="1">
        <v>4</v>
      </c>
      <c r="KU35" s="1">
        <v>7.8431372549019756</v>
      </c>
      <c r="KV35" s="1">
        <v>1.9607843137254939</v>
      </c>
      <c r="KW35" s="1">
        <v>0</v>
      </c>
      <c r="KX35" s="1">
        <v>82.352941176470623</v>
      </c>
      <c r="KY35" s="1">
        <v>7.8431372549019756</v>
      </c>
      <c r="KZ35" s="1">
        <v>51</v>
      </c>
      <c r="LA35" s="1">
        <v>25.925925925925934</v>
      </c>
      <c r="LB35" s="1">
        <v>74.074074074074218</v>
      </c>
      <c r="LC35" s="1">
        <v>54</v>
      </c>
      <c r="LD35" s="1">
        <v>0</v>
      </c>
      <c r="LE35" s="1">
        <v>21.428571428571423</v>
      </c>
      <c r="LF35" s="1">
        <v>78.571428571428569</v>
      </c>
      <c r="LG35" s="1">
        <v>14</v>
      </c>
    </row>
    <row r="36" spans="1:319" x14ac:dyDescent="0.25">
      <c r="A36" s="1">
        <v>96</v>
      </c>
      <c r="B36" s="1">
        <v>14.285714285714281</v>
      </c>
      <c r="C36" s="1">
        <v>85.714285714285694</v>
      </c>
      <c r="D36" s="1">
        <v>7</v>
      </c>
      <c r="E36" s="1">
        <v>16.666666666666661</v>
      </c>
      <c r="F36" s="1">
        <v>83.333333333333329</v>
      </c>
      <c r="G36" s="1">
        <v>6</v>
      </c>
      <c r="H36" s="1">
        <v>100</v>
      </c>
      <c r="I36" s="1">
        <v>0</v>
      </c>
      <c r="J36" s="1">
        <v>1</v>
      </c>
      <c r="K36" s="1">
        <v>1</v>
      </c>
      <c r="L36" s="1">
        <v>6.0380600000000006</v>
      </c>
      <c r="M36" s="1">
        <v>5.1754800000000003</v>
      </c>
      <c r="N36" s="1">
        <v>0</v>
      </c>
      <c r="O36" s="1">
        <v>0.86258000000000012</v>
      </c>
      <c r="P36" s="1">
        <v>0</v>
      </c>
      <c r="Q36" s="1">
        <v>0.86258000000000012</v>
      </c>
      <c r="R36" s="1">
        <v>0</v>
      </c>
      <c r="S36" s="1">
        <v>0</v>
      </c>
      <c r="T36" s="1">
        <v>0.86258000000000012</v>
      </c>
      <c r="U36" s="1">
        <v>0.86258000000000012</v>
      </c>
      <c r="V36" s="1">
        <v>0</v>
      </c>
      <c r="W36" s="1">
        <v>0.85714285714285698</v>
      </c>
      <c r="X36" s="1">
        <v>0</v>
      </c>
      <c r="Y36" s="1">
        <v>0.14285714285714282</v>
      </c>
      <c r="Z36" s="1">
        <v>0</v>
      </c>
      <c r="AA36" s="1">
        <v>0.14285714285714282</v>
      </c>
      <c r="AB36" s="1">
        <v>0</v>
      </c>
      <c r="AC36" s="1">
        <v>0</v>
      </c>
      <c r="AD36" s="1">
        <v>0.14285714285714282</v>
      </c>
      <c r="AE36" s="1">
        <v>0.14285714285714282</v>
      </c>
      <c r="AF36" s="1">
        <v>0</v>
      </c>
      <c r="AG36" s="1">
        <v>1</v>
      </c>
      <c r="AH36" s="1">
        <v>7</v>
      </c>
      <c r="AI36" s="1">
        <v>1</v>
      </c>
      <c r="AJ36" s="1">
        <v>6.0380600000000006</v>
      </c>
      <c r="AK36" s="1">
        <v>5.1754800000000003</v>
      </c>
      <c r="AL36" s="1">
        <v>5.1754800000000003</v>
      </c>
      <c r="AM36" s="1">
        <v>4.3129</v>
      </c>
      <c r="AN36" s="1">
        <v>4.3129</v>
      </c>
      <c r="AO36" s="1">
        <v>0</v>
      </c>
      <c r="AP36" s="1">
        <v>0.86258000000000012</v>
      </c>
      <c r="AQ36" s="1">
        <v>0.85714285714285698</v>
      </c>
      <c r="AR36" s="1">
        <v>0.85714285714285698</v>
      </c>
      <c r="AS36" s="1">
        <v>0.7142857142857143</v>
      </c>
      <c r="AT36" s="1">
        <v>0.7142857142857143</v>
      </c>
      <c r="AU36" s="1">
        <v>0</v>
      </c>
      <c r="AV36" s="1">
        <v>0.14285714285714282</v>
      </c>
      <c r="AW36" s="1">
        <v>1</v>
      </c>
      <c r="AX36" s="1">
        <v>7</v>
      </c>
      <c r="AY36" s="1">
        <v>10</v>
      </c>
      <c r="AZ36" s="1">
        <v>9.4285714285714288</v>
      </c>
      <c r="BA36" s="1">
        <v>9.5</v>
      </c>
      <c r="BB36" s="1">
        <v>0</v>
      </c>
      <c r="BC36" s="1">
        <v>0</v>
      </c>
      <c r="BD36" s="1">
        <v>0</v>
      </c>
      <c r="BE36" s="1">
        <v>0</v>
      </c>
      <c r="BF36" s="1">
        <v>0</v>
      </c>
      <c r="BG36" s="1">
        <v>0</v>
      </c>
      <c r="BH36" s="1">
        <v>0</v>
      </c>
      <c r="BI36" s="1">
        <v>0</v>
      </c>
      <c r="BJ36" s="1">
        <v>0</v>
      </c>
      <c r="BK36" s="1">
        <v>100</v>
      </c>
      <c r="BL36" s="1">
        <v>9.9999999999999982</v>
      </c>
      <c r="BM36" s="1">
        <v>7</v>
      </c>
      <c r="BN36" s="1">
        <v>0</v>
      </c>
      <c r="BO36" s="1">
        <v>0</v>
      </c>
      <c r="BP36" s="1">
        <v>0</v>
      </c>
      <c r="BQ36" s="1">
        <v>0</v>
      </c>
      <c r="BR36" s="1">
        <v>0</v>
      </c>
      <c r="BS36" s="1">
        <v>14.285714285714281</v>
      </c>
      <c r="BT36" s="1">
        <v>0</v>
      </c>
      <c r="BU36" s="1">
        <v>0</v>
      </c>
      <c r="BV36" s="1">
        <v>0</v>
      </c>
      <c r="BW36" s="1">
        <v>85.714285714285694</v>
      </c>
      <c r="BX36" s="1">
        <v>9.4285714285714288</v>
      </c>
      <c r="BY36" s="1">
        <v>7</v>
      </c>
      <c r="BZ36" s="1">
        <v>0</v>
      </c>
      <c r="CA36" s="1">
        <v>0</v>
      </c>
      <c r="CB36" s="1">
        <v>0</v>
      </c>
      <c r="CC36" s="1">
        <v>0</v>
      </c>
      <c r="CD36" s="1">
        <v>0</v>
      </c>
      <c r="CE36" s="1">
        <v>0</v>
      </c>
      <c r="CF36" s="1">
        <v>16.666666666666661</v>
      </c>
      <c r="CG36" s="1">
        <v>0</v>
      </c>
      <c r="CH36" s="1">
        <v>0</v>
      </c>
      <c r="CI36" s="1">
        <v>83.333333333333329</v>
      </c>
      <c r="CJ36" s="1">
        <v>9.5</v>
      </c>
      <c r="CK36" s="1">
        <v>6</v>
      </c>
      <c r="CL36" s="1">
        <v>57.142857142857125</v>
      </c>
      <c r="CM36" s="1">
        <v>42.857142857142847</v>
      </c>
      <c r="CN36" s="1">
        <v>0</v>
      </c>
      <c r="CO36" s="1">
        <v>0</v>
      </c>
      <c r="CP36" s="1">
        <v>0</v>
      </c>
      <c r="CQ36" s="1">
        <v>7</v>
      </c>
      <c r="CR36" s="1">
        <v>71.428571428571431</v>
      </c>
      <c r="CS36" s="1">
        <v>28.571428571428562</v>
      </c>
      <c r="CT36" s="1">
        <v>0</v>
      </c>
      <c r="CU36" s="1">
        <v>0</v>
      </c>
      <c r="CV36" s="1">
        <v>0</v>
      </c>
      <c r="CW36" s="1">
        <v>7</v>
      </c>
      <c r="CX36" s="1">
        <v>71.428571428571431</v>
      </c>
      <c r="CY36" s="1">
        <v>28.571428571428562</v>
      </c>
      <c r="CZ36" s="1">
        <v>0</v>
      </c>
      <c r="DA36" s="1">
        <v>0</v>
      </c>
      <c r="DB36" s="1">
        <v>0</v>
      </c>
      <c r="DC36" s="1">
        <v>7</v>
      </c>
      <c r="DD36" s="1">
        <v>57.142857142857125</v>
      </c>
      <c r="DE36" s="1">
        <v>42.857142857142847</v>
      </c>
      <c r="DF36" s="1">
        <v>0</v>
      </c>
      <c r="DG36" s="1">
        <v>0</v>
      </c>
      <c r="DH36" s="1">
        <v>0</v>
      </c>
      <c r="DI36" s="1">
        <v>7</v>
      </c>
      <c r="DJ36" s="1">
        <v>57.142857142857125</v>
      </c>
      <c r="DK36" s="1">
        <v>28.571428571428562</v>
      </c>
      <c r="DL36" s="1">
        <v>14.285714285714281</v>
      </c>
      <c r="DM36" s="1">
        <v>0</v>
      </c>
      <c r="DN36" s="1">
        <v>0</v>
      </c>
      <c r="DO36" s="1">
        <v>7</v>
      </c>
      <c r="DP36" s="1">
        <v>42.857142857142847</v>
      </c>
      <c r="DQ36" s="1">
        <v>42.857142857142847</v>
      </c>
      <c r="DR36" s="1">
        <v>14.285714285714281</v>
      </c>
      <c r="DS36" s="1">
        <v>0</v>
      </c>
      <c r="DT36" s="1">
        <v>0</v>
      </c>
      <c r="DU36" s="1">
        <v>7</v>
      </c>
      <c r="DV36" s="1">
        <v>60</v>
      </c>
      <c r="DW36" s="1">
        <v>20</v>
      </c>
      <c r="DX36" s="1">
        <v>20</v>
      </c>
      <c r="DY36" s="1">
        <v>0</v>
      </c>
      <c r="DZ36" s="1">
        <v>0</v>
      </c>
      <c r="EA36" s="1">
        <v>5</v>
      </c>
      <c r="EB36" s="1">
        <v>0</v>
      </c>
      <c r="EC36" s="1">
        <v>0</v>
      </c>
      <c r="ED36" s="1">
        <v>0</v>
      </c>
      <c r="EE36" s="1">
        <v>0</v>
      </c>
      <c r="EF36" s="1">
        <v>0</v>
      </c>
      <c r="EG36" s="1">
        <v>0</v>
      </c>
      <c r="EH36" s="1">
        <v>0</v>
      </c>
      <c r="EI36" s="1">
        <v>0</v>
      </c>
      <c r="EJ36" s="1">
        <v>0</v>
      </c>
      <c r="EK36" s="1">
        <v>0</v>
      </c>
      <c r="EL36" s="1">
        <v>0</v>
      </c>
      <c r="EM36" s="1">
        <v>0</v>
      </c>
      <c r="EN36" s="1">
        <v>0</v>
      </c>
      <c r="EO36" s="1">
        <v>75</v>
      </c>
      <c r="EP36" s="1">
        <v>25</v>
      </c>
      <c r="EQ36" s="1">
        <v>0</v>
      </c>
      <c r="ER36" s="1">
        <v>0</v>
      </c>
      <c r="ES36" s="1">
        <v>4</v>
      </c>
      <c r="ET36" s="1">
        <v>0</v>
      </c>
      <c r="EU36" s="1">
        <v>75</v>
      </c>
      <c r="EV36" s="1">
        <v>25</v>
      </c>
      <c r="EW36" s="1">
        <v>0</v>
      </c>
      <c r="EX36" s="1">
        <v>0</v>
      </c>
      <c r="EY36" s="1">
        <v>4</v>
      </c>
      <c r="EZ36" s="1">
        <v>0</v>
      </c>
      <c r="FA36" s="1">
        <v>50</v>
      </c>
      <c r="FB36" s="1">
        <v>50</v>
      </c>
      <c r="FC36" s="1">
        <v>0</v>
      </c>
      <c r="FD36" s="1">
        <v>0</v>
      </c>
      <c r="FE36" s="1">
        <v>2</v>
      </c>
      <c r="FF36" s="1">
        <v>0</v>
      </c>
      <c r="FG36" s="1">
        <v>0</v>
      </c>
      <c r="FH36" s="1">
        <v>100</v>
      </c>
      <c r="FI36" s="1">
        <v>0</v>
      </c>
      <c r="FJ36" s="1">
        <v>0</v>
      </c>
      <c r="FK36" s="1">
        <v>1</v>
      </c>
      <c r="FL36" s="1">
        <v>50</v>
      </c>
      <c r="FM36" s="1">
        <v>0</v>
      </c>
      <c r="FN36" s="1">
        <v>0</v>
      </c>
      <c r="FO36" s="1">
        <v>50</v>
      </c>
      <c r="FP36" s="1">
        <v>0</v>
      </c>
      <c r="FQ36" s="1">
        <v>2</v>
      </c>
      <c r="FR36" s="1">
        <v>0</v>
      </c>
      <c r="FS36" s="1">
        <v>0</v>
      </c>
      <c r="FT36" s="1">
        <v>100</v>
      </c>
      <c r="FU36" s="1">
        <v>0</v>
      </c>
      <c r="FV36" s="1">
        <v>0</v>
      </c>
      <c r="FW36" s="1">
        <v>1</v>
      </c>
      <c r="FX36" s="1">
        <v>83.333333333333329</v>
      </c>
      <c r="FY36" s="1">
        <v>16.666666666666661</v>
      </c>
      <c r="FZ36" s="1">
        <v>0</v>
      </c>
      <c r="GA36" s="1">
        <v>0</v>
      </c>
      <c r="GB36" s="1">
        <v>0</v>
      </c>
      <c r="GC36" s="1">
        <v>6</v>
      </c>
      <c r="GD36" s="1">
        <v>100</v>
      </c>
      <c r="GE36" s="1">
        <v>0</v>
      </c>
      <c r="GF36" s="1">
        <v>0</v>
      </c>
      <c r="GG36" s="1">
        <v>0</v>
      </c>
      <c r="GH36" s="1">
        <v>0</v>
      </c>
      <c r="GI36" s="1">
        <v>2</v>
      </c>
      <c r="GJ36" s="1">
        <v>100</v>
      </c>
      <c r="GK36" s="1">
        <v>0</v>
      </c>
      <c r="GL36" s="1">
        <v>0</v>
      </c>
      <c r="GM36" s="1">
        <v>0</v>
      </c>
      <c r="GN36" s="1">
        <v>0</v>
      </c>
      <c r="GO36" s="1">
        <v>1</v>
      </c>
      <c r="GP36" s="1">
        <v>60</v>
      </c>
      <c r="GQ36" s="1">
        <v>20</v>
      </c>
      <c r="GR36" s="1">
        <v>20</v>
      </c>
      <c r="GS36" s="1">
        <v>0</v>
      </c>
      <c r="GT36" s="1">
        <v>0</v>
      </c>
      <c r="GU36" s="1">
        <v>5</v>
      </c>
      <c r="GV36" s="1">
        <v>80</v>
      </c>
      <c r="GW36" s="1">
        <v>20</v>
      </c>
      <c r="GX36" s="1">
        <v>0</v>
      </c>
      <c r="GY36" s="1">
        <v>0</v>
      </c>
      <c r="GZ36" s="1">
        <v>0</v>
      </c>
      <c r="HA36" s="1">
        <v>5</v>
      </c>
      <c r="HB36" s="1">
        <v>0</v>
      </c>
      <c r="HC36" s="1">
        <v>0</v>
      </c>
      <c r="HD36" s="1">
        <v>0</v>
      </c>
      <c r="HE36" s="1">
        <v>0</v>
      </c>
      <c r="HF36" s="1">
        <v>0</v>
      </c>
      <c r="HG36" s="1">
        <v>0</v>
      </c>
      <c r="HH36" s="1">
        <v>0</v>
      </c>
      <c r="HI36" s="1">
        <v>0</v>
      </c>
      <c r="HJ36" s="1">
        <v>0</v>
      </c>
      <c r="HK36" s="1">
        <v>0</v>
      </c>
      <c r="HL36" s="1">
        <v>0</v>
      </c>
      <c r="HM36" s="1">
        <v>0</v>
      </c>
      <c r="HN36" s="1">
        <v>0</v>
      </c>
      <c r="HO36" s="1">
        <v>0</v>
      </c>
      <c r="HP36" s="1">
        <v>0</v>
      </c>
      <c r="HQ36" s="1">
        <v>0</v>
      </c>
      <c r="HR36" s="1">
        <v>0</v>
      </c>
      <c r="HS36" s="1">
        <v>0</v>
      </c>
      <c r="HT36" s="1">
        <v>0</v>
      </c>
      <c r="HU36" s="1">
        <v>0</v>
      </c>
      <c r="HV36" s="1">
        <v>0</v>
      </c>
      <c r="HW36" s="1">
        <v>0</v>
      </c>
      <c r="HX36" s="1">
        <v>0</v>
      </c>
      <c r="HY36" s="1">
        <v>0</v>
      </c>
      <c r="HZ36" s="1">
        <v>0</v>
      </c>
      <c r="IA36" s="1">
        <v>0</v>
      </c>
      <c r="IB36" s="1">
        <v>0</v>
      </c>
      <c r="IC36" s="1">
        <v>0</v>
      </c>
      <c r="ID36" s="1">
        <v>0</v>
      </c>
      <c r="IE36" s="1">
        <v>0</v>
      </c>
      <c r="IF36" s="1">
        <v>9.1999999999999993</v>
      </c>
      <c r="IG36" s="1">
        <v>0</v>
      </c>
      <c r="IH36" s="1">
        <v>0</v>
      </c>
      <c r="II36" s="1">
        <v>0</v>
      </c>
      <c r="IJ36" s="1">
        <v>0</v>
      </c>
      <c r="IK36" s="1">
        <v>0</v>
      </c>
      <c r="IL36" s="1">
        <v>0</v>
      </c>
      <c r="IM36" s="1">
        <v>20</v>
      </c>
      <c r="IN36" s="1">
        <v>0</v>
      </c>
      <c r="IO36" s="1">
        <v>20</v>
      </c>
      <c r="IP36" s="1">
        <v>60</v>
      </c>
      <c r="IQ36" s="1">
        <v>9.2000000000000011</v>
      </c>
      <c r="IR36" s="1">
        <v>5</v>
      </c>
      <c r="IS36" s="1">
        <v>0</v>
      </c>
      <c r="IT36" s="1">
        <v>85.714285714285694</v>
      </c>
      <c r="IU36" s="1">
        <v>14.285714285714281</v>
      </c>
      <c r="IV36" s="1">
        <v>0</v>
      </c>
      <c r="IW36" s="1">
        <v>0</v>
      </c>
      <c r="IX36" s="1">
        <v>7</v>
      </c>
      <c r="IY36" s="1">
        <v>1</v>
      </c>
      <c r="IZ36" s="1">
        <v>5.1754800000000003</v>
      </c>
      <c r="JA36" s="1">
        <v>0.86258000000000012</v>
      </c>
      <c r="JB36" s="1">
        <v>2.5877400000000002</v>
      </c>
      <c r="JC36" s="1">
        <v>0.86258000000000012</v>
      </c>
      <c r="JD36" s="1">
        <v>1.7251600000000002</v>
      </c>
      <c r="JE36" s="1">
        <v>0.16666666666666666</v>
      </c>
      <c r="JF36" s="1">
        <v>0.5</v>
      </c>
      <c r="JG36" s="1">
        <v>0.16666666666666666</v>
      </c>
      <c r="JH36" s="1">
        <v>0.33333333333333331</v>
      </c>
      <c r="JI36" s="1">
        <v>1</v>
      </c>
      <c r="JJ36" s="1">
        <v>6</v>
      </c>
      <c r="JK36" s="1">
        <v>3</v>
      </c>
      <c r="JL36" s="1">
        <v>2.9999999999999996</v>
      </c>
      <c r="JM36" s="1">
        <v>6</v>
      </c>
      <c r="JN36" s="1">
        <v>100</v>
      </c>
      <c r="JO36" s="1">
        <v>0</v>
      </c>
      <c r="JP36" s="1">
        <v>2</v>
      </c>
      <c r="JQ36" s="1">
        <v>100</v>
      </c>
      <c r="JR36" s="1">
        <v>0</v>
      </c>
      <c r="JS36" s="1">
        <v>5</v>
      </c>
      <c r="JT36" s="1">
        <v>100</v>
      </c>
      <c r="JU36" s="1">
        <v>0</v>
      </c>
      <c r="JV36" s="1">
        <v>7</v>
      </c>
      <c r="JW36" s="1">
        <v>80</v>
      </c>
      <c r="JX36" s="1">
        <v>20</v>
      </c>
      <c r="JY36" s="1">
        <v>5</v>
      </c>
      <c r="JZ36" s="1">
        <v>42.857142857142847</v>
      </c>
      <c r="KA36" s="1">
        <v>57.142857142857125</v>
      </c>
      <c r="KB36" s="1">
        <v>7</v>
      </c>
      <c r="KC36" s="1">
        <v>100</v>
      </c>
      <c r="KD36" s="1">
        <v>0</v>
      </c>
      <c r="KE36" s="1">
        <v>7</v>
      </c>
      <c r="KF36" s="1">
        <v>2.2857142857142856</v>
      </c>
      <c r="KG36" s="1">
        <v>28.571428571428562</v>
      </c>
      <c r="KH36" s="1">
        <v>28.571428571428562</v>
      </c>
      <c r="KI36" s="1">
        <v>28.571428571428562</v>
      </c>
      <c r="KJ36" s="1">
        <v>14.285714285714281</v>
      </c>
      <c r="KK36" s="1">
        <v>0</v>
      </c>
      <c r="KL36" s="1">
        <v>7</v>
      </c>
      <c r="KM36" s="1">
        <v>42</v>
      </c>
      <c r="KN36" s="1">
        <v>19</v>
      </c>
      <c r="KO36" s="1">
        <v>0</v>
      </c>
      <c r="KP36" s="1">
        <v>0</v>
      </c>
      <c r="KQ36" s="1">
        <v>100</v>
      </c>
      <c r="KR36" s="1">
        <v>0</v>
      </c>
      <c r="KS36" s="1">
        <v>0</v>
      </c>
      <c r="KT36" s="1">
        <v>1</v>
      </c>
      <c r="KU36" s="1">
        <v>14.285714285714281</v>
      </c>
      <c r="KV36" s="1">
        <v>0</v>
      </c>
      <c r="KW36" s="1">
        <v>14.285714285714281</v>
      </c>
      <c r="KX36" s="1">
        <v>71.428571428571431</v>
      </c>
      <c r="KY36" s="1">
        <v>0</v>
      </c>
      <c r="KZ36" s="1">
        <v>7</v>
      </c>
      <c r="LA36" s="1">
        <v>0</v>
      </c>
      <c r="LB36" s="1">
        <v>100</v>
      </c>
      <c r="LC36" s="1">
        <v>7</v>
      </c>
      <c r="LD36" s="1">
        <v>0</v>
      </c>
      <c r="LE36" s="1">
        <v>0</v>
      </c>
      <c r="LF36" s="1">
        <v>0</v>
      </c>
      <c r="LG36" s="1">
        <v>0</v>
      </c>
    </row>
    <row r="37" spans="1:319" x14ac:dyDescent="0.25">
      <c r="A37" s="1">
        <v>100</v>
      </c>
      <c r="B37" s="1">
        <v>27.999999999999996</v>
      </c>
      <c r="C37" s="1">
        <v>71.999999999999986</v>
      </c>
      <c r="D37" s="1">
        <v>50</v>
      </c>
      <c r="E37" s="1">
        <v>58.823529411764703</v>
      </c>
      <c r="F37" s="1">
        <v>41.17647058823534</v>
      </c>
      <c r="G37" s="1">
        <v>34</v>
      </c>
      <c r="H37" s="1">
        <v>36.84210526315789</v>
      </c>
      <c r="I37" s="1">
        <v>63.157894736842096</v>
      </c>
      <c r="J37" s="1">
        <v>19</v>
      </c>
      <c r="K37" s="1">
        <v>1</v>
      </c>
      <c r="L37" s="1">
        <v>22.427000000000007</v>
      </c>
      <c r="M37" s="1">
        <v>13.007659999999989</v>
      </c>
      <c r="N37" s="1">
        <v>0</v>
      </c>
      <c r="O37" s="1">
        <v>1.7941600000000011</v>
      </c>
      <c r="P37" s="1">
        <v>8.073719999999998</v>
      </c>
      <c r="Q37" s="1">
        <v>0.89708000000000054</v>
      </c>
      <c r="R37" s="1">
        <v>1.3456199999999985</v>
      </c>
      <c r="S37" s="1">
        <v>0</v>
      </c>
      <c r="T37" s="1">
        <v>2.691239999999997</v>
      </c>
      <c r="U37" s="1">
        <v>6.2795600000000027</v>
      </c>
      <c r="V37" s="1">
        <v>2.2426999999999997</v>
      </c>
      <c r="W37" s="1">
        <v>0.57999999999999907</v>
      </c>
      <c r="X37" s="1">
        <v>0</v>
      </c>
      <c r="Y37" s="1">
        <v>7.9999999999999988E-2</v>
      </c>
      <c r="Z37" s="1">
        <v>0.35999999999999976</v>
      </c>
      <c r="AA37" s="1">
        <v>3.9999999999999994E-2</v>
      </c>
      <c r="AB37" s="1">
        <v>6.0000000000000019E-2</v>
      </c>
      <c r="AC37" s="1">
        <v>0</v>
      </c>
      <c r="AD37" s="1">
        <v>0.12000000000000004</v>
      </c>
      <c r="AE37" s="1">
        <v>0.27999999999999975</v>
      </c>
      <c r="AF37" s="1">
        <v>9.9999999999999922E-2</v>
      </c>
      <c r="AG37" s="1">
        <v>1</v>
      </c>
      <c r="AH37" s="1">
        <v>50</v>
      </c>
      <c r="AI37" s="1">
        <v>1</v>
      </c>
      <c r="AJ37" s="1">
        <v>21.97846000000003</v>
      </c>
      <c r="AK37" s="1">
        <v>17.49306000000001</v>
      </c>
      <c r="AL37" s="1">
        <v>21.081379999999996</v>
      </c>
      <c r="AM37" s="1">
        <v>13.904739999999988</v>
      </c>
      <c r="AN37" s="1">
        <v>15.250359999999999</v>
      </c>
      <c r="AO37" s="1">
        <v>4.0368599999999972</v>
      </c>
      <c r="AP37" s="1">
        <v>1.3456199999999985</v>
      </c>
      <c r="AQ37" s="1">
        <v>0.7959183673469381</v>
      </c>
      <c r="AR37" s="1">
        <v>0.95918367346938804</v>
      </c>
      <c r="AS37" s="1">
        <v>0.63265306122448872</v>
      </c>
      <c r="AT37" s="1">
        <v>0.69387755102040705</v>
      </c>
      <c r="AU37" s="1">
        <v>0.18367346938775495</v>
      </c>
      <c r="AV37" s="1">
        <v>6.1224489795918317E-2</v>
      </c>
      <c r="AW37" s="1">
        <v>1</v>
      </c>
      <c r="AX37" s="1">
        <v>49</v>
      </c>
      <c r="AY37" s="1">
        <v>9.58</v>
      </c>
      <c r="AZ37" s="1">
        <v>9.74</v>
      </c>
      <c r="BA37" s="1">
        <v>9.7083333333333339</v>
      </c>
      <c r="BB37" s="1">
        <v>0</v>
      </c>
      <c r="BC37" s="1">
        <v>0</v>
      </c>
      <c r="BD37" s="1">
        <v>1.9999999999999998</v>
      </c>
      <c r="BE37" s="1">
        <v>0</v>
      </c>
      <c r="BF37" s="1">
        <v>0</v>
      </c>
      <c r="BG37" s="1">
        <v>1.9999999999999998</v>
      </c>
      <c r="BH37" s="1">
        <v>0</v>
      </c>
      <c r="BI37" s="1">
        <v>5.9999999999999991</v>
      </c>
      <c r="BJ37" s="1">
        <v>7.9999999999999991</v>
      </c>
      <c r="BK37" s="1">
        <v>81.999999999999986</v>
      </c>
      <c r="BL37" s="1">
        <v>9.5799999999999859</v>
      </c>
      <c r="BM37" s="1">
        <v>50</v>
      </c>
      <c r="BN37" s="1">
        <v>0</v>
      </c>
      <c r="BO37" s="1">
        <v>0</v>
      </c>
      <c r="BP37" s="1">
        <v>0</v>
      </c>
      <c r="BQ37" s="1">
        <v>0</v>
      </c>
      <c r="BR37" s="1">
        <v>0</v>
      </c>
      <c r="BS37" s="1">
        <v>1.9999999999999998</v>
      </c>
      <c r="BT37" s="1">
        <v>0</v>
      </c>
      <c r="BU37" s="1">
        <v>3.9999999999999996</v>
      </c>
      <c r="BV37" s="1">
        <v>9.9999999999999982</v>
      </c>
      <c r="BW37" s="1">
        <v>83.999999999999986</v>
      </c>
      <c r="BX37" s="1">
        <v>9.7399999999999984</v>
      </c>
      <c r="BY37" s="1">
        <v>50</v>
      </c>
      <c r="BZ37" s="1">
        <v>0</v>
      </c>
      <c r="CA37" s="1">
        <v>0</v>
      </c>
      <c r="CB37" s="1">
        <v>0</v>
      </c>
      <c r="CC37" s="1">
        <v>0</v>
      </c>
      <c r="CD37" s="1">
        <v>0</v>
      </c>
      <c r="CE37" s="1">
        <v>2.0833333333333299</v>
      </c>
      <c r="CF37" s="1">
        <v>0</v>
      </c>
      <c r="CG37" s="1">
        <v>6.2499999999999991</v>
      </c>
      <c r="CH37" s="1">
        <v>8.3333333333333197</v>
      </c>
      <c r="CI37" s="1">
        <v>83.333333333333371</v>
      </c>
      <c r="CJ37" s="1">
        <v>9.7083333333333179</v>
      </c>
      <c r="CK37" s="1">
        <v>48</v>
      </c>
      <c r="CL37" s="1">
        <v>47.916666666666657</v>
      </c>
      <c r="CM37" s="1">
        <v>37.499999999999993</v>
      </c>
      <c r="CN37" s="1">
        <v>6.2499999999999991</v>
      </c>
      <c r="CO37" s="1">
        <v>8.3333333333333197</v>
      </c>
      <c r="CP37" s="1">
        <v>0</v>
      </c>
      <c r="CQ37" s="1">
        <v>48</v>
      </c>
      <c r="CR37" s="1">
        <v>72.916666666666558</v>
      </c>
      <c r="CS37" s="1">
        <v>22.916666666666647</v>
      </c>
      <c r="CT37" s="1">
        <v>4.1666666666666599</v>
      </c>
      <c r="CU37" s="1">
        <v>0</v>
      </c>
      <c r="CV37" s="1">
        <v>0</v>
      </c>
      <c r="CW37" s="1">
        <v>48</v>
      </c>
      <c r="CX37" s="1">
        <v>83.333333333333371</v>
      </c>
      <c r="CY37" s="1">
        <v>16.666666666666639</v>
      </c>
      <c r="CZ37" s="1">
        <v>0</v>
      </c>
      <c r="DA37" s="1">
        <v>0</v>
      </c>
      <c r="DB37" s="1">
        <v>0</v>
      </c>
      <c r="DC37" s="1">
        <v>48</v>
      </c>
      <c r="DD37" s="1">
        <v>79.591836734693885</v>
      </c>
      <c r="DE37" s="1">
        <v>14.285714285714262</v>
      </c>
      <c r="DF37" s="1">
        <v>6.122448979591832</v>
      </c>
      <c r="DG37" s="1">
        <v>0</v>
      </c>
      <c r="DH37" s="1">
        <v>0</v>
      </c>
      <c r="DI37" s="1">
        <v>49</v>
      </c>
      <c r="DJ37" s="1">
        <v>70.454545454545453</v>
      </c>
      <c r="DK37" s="1">
        <v>22.727272727272737</v>
      </c>
      <c r="DL37" s="1">
        <v>4.5454545454545396</v>
      </c>
      <c r="DM37" s="1">
        <v>2.2727272727272698</v>
      </c>
      <c r="DN37" s="1">
        <v>0</v>
      </c>
      <c r="DO37" s="1">
        <v>44</v>
      </c>
      <c r="DP37" s="1">
        <v>83.673469387755134</v>
      </c>
      <c r="DQ37" s="1">
        <v>12.244897959183664</v>
      </c>
      <c r="DR37" s="1">
        <v>2.0408163265306127</v>
      </c>
      <c r="DS37" s="1">
        <v>2.0408163265306127</v>
      </c>
      <c r="DT37" s="1">
        <v>0</v>
      </c>
      <c r="DU37" s="1">
        <v>49</v>
      </c>
      <c r="DV37" s="1">
        <v>72.72727272727262</v>
      </c>
      <c r="DW37" s="1">
        <v>13.636363636363628</v>
      </c>
      <c r="DX37" s="1">
        <v>11.363636363636369</v>
      </c>
      <c r="DY37" s="1">
        <v>2.2727272727272698</v>
      </c>
      <c r="DZ37" s="1">
        <v>0</v>
      </c>
      <c r="EA37" s="1">
        <v>44</v>
      </c>
      <c r="EB37" s="1">
        <v>74.999999999999986</v>
      </c>
      <c r="EC37" s="1">
        <v>16.666666666666657</v>
      </c>
      <c r="ED37" s="1">
        <v>8.3333333333333286</v>
      </c>
      <c r="EE37" s="1">
        <v>0</v>
      </c>
      <c r="EF37" s="1">
        <v>0</v>
      </c>
      <c r="EG37" s="1">
        <v>12</v>
      </c>
      <c r="EH37" s="1">
        <v>74.999999999999986</v>
      </c>
      <c r="EI37" s="1">
        <v>16.666666666666657</v>
      </c>
      <c r="EJ37" s="1">
        <v>8.3333333333333286</v>
      </c>
      <c r="EK37" s="1">
        <v>0</v>
      </c>
      <c r="EL37" s="1">
        <v>0</v>
      </c>
      <c r="EM37" s="1">
        <v>12</v>
      </c>
      <c r="EN37" s="1">
        <v>54.54545454545454</v>
      </c>
      <c r="EO37" s="1">
        <v>27.272727272727263</v>
      </c>
      <c r="EP37" s="1">
        <v>12.121212121212125</v>
      </c>
      <c r="EQ37" s="1">
        <v>3.0303030303030312</v>
      </c>
      <c r="ER37" s="1">
        <v>3.0303030303030312</v>
      </c>
      <c r="ES37" s="1">
        <v>33</v>
      </c>
      <c r="ET37" s="1">
        <v>52.941176470588282</v>
      </c>
      <c r="EU37" s="1">
        <v>32.352941176470566</v>
      </c>
      <c r="EV37" s="1">
        <v>11.764705882352937</v>
      </c>
      <c r="EW37" s="1">
        <v>0</v>
      </c>
      <c r="EX37" s="1">
        <v>2.9411764705882342</v>
      </c>
      <c r="EY37" s="1">
        <v>34</v>
      </c>
      <c r="EZ37" s="1">
        <v>61.111111111111171</v>
      </c>
      <c r="FA37" s="1">
        <v>16.666666666666657</v>
      </c>
      <c r="FB37" s="1">
        <v>16.666666666666657</v>
      </c>
      <c r="FC37" s="1">
        <v>5.55555555555555</v>
      </c>
      <c r="FD37" s="1">
        <v>0</v>
      </c>
      <c r="FE37" s="1">
        <v>18</v>
      </c>
      <c r="FF37" s="1">
        <v>58.823529411764724</v>
      </c>
      <c r="FG37" s="1">
        <v>17.647058823529395</v>
      </c>
      <c r="FH37" s="1">
        <v>17.647058823529395</v>
      </c>
      <c r="FI37" s="1">
        <v>5.8823529411764648</v>
      </c>
      <c r="FJ37" s="1">
        <v>0</v>
      </c>
      <c r="FK37" s="1">
        <v>17</v>
      </c>
      <c r="FL37" s="1">
        <v>71.428571428571459</v>
      </c>
      <c r="FM37" s="1">
        <v>14.285714285714295</v>
      </c>
      <c r="FN37" s="1">
        <v>4.7619047619047601</v>
      </c>
      <c r="FO37" s="1">
        <v>9.5238095238095202</v>
      </c>
      <c r="FP37" s="1">
        <v>0</v>
      </c>
      <c r="FQ37" s="1">
        <v>21</v>
      </c>
      <c r="FR37" s="1">
        <v>59.090909090909044</v>
      </c>
      <c r="FS37" s="1">
        <v>22.727272727272737</v>
      </c>
      <c r="FT37" s="1">
        <v>13.636363636363628</v>
      </c>
      <c r="FU37" s="1">
        <v>4.5454545454545405</v>
      </c>
      <c r="FV37" s="1">
        <v>0</v>
      </c>
      <c r="FW37" s="1">
        <v>22</v>
      </c>
      <c r="FX37" s="1">
        <v>97.916666666666657</v>
      </c>
      <c r="FY37" s="1">
        <v>2.0833333333333299</v>
      </c>
      <c r="FZ37" s="1">
        <v>0</v>
      </c>
      <c r="GA37" s="1">
        <v>0</v>
      </c>
      <c r="GB37" s="1">
        <v>0</v>
      </c>
      <c r="GC37" s="1">
        <v>48</v>
      </c>
      <c r="GD37" s="1">
        <v>94.444444444444386</v>
      </c>
      <c r="GE37" s="1">
        <v>5.55555555555555</v>
      </c>
      <c r="GF37" s="1">
        <v>0</v>
      </c>
      <c r="GG37" s="1">
        <v>0</v>
      </c>
      <c r="GH37" s="1">
        <v>0</v>
      </c>
      <c r="GI37" s="1">
        <v>18</v>
      </c>
      <c r="GJ37" s="1">
        <v>94.117647058823465</v>
      </c>
      <c r="GK37" s="1">
        <v>5.8823529411764648</v>
      </c>
      <c r="GL37" s="1">
        <v>0</v>
      </c>
      <c r="GM37" s="1">
        <v>0</v>
      </c>
      <c r="GN37" s="1">
        <v>0</v>
      </c>
      <c r="GO37" s="1">
        <v>17</v>
      </c>
      <c r="GP37" s="1">
        <v>69.444444444444386</v>
      </c>
      <c r="GQ37" s="1">
        <v>22.2222222222222</v>
      </c>
      <c r="GR37" s="1">
        <v>8.3333333333333304</v>
      </c>
      <c r="GS37" s="1">
        <v>0</v>
      </c>
      <c r="GT37" s="1">
        <v>0</v>
      </c>
      <c r="GU37" s="1">
        <v>36</v>
      </c>
      <c r="GV37" s="1">
        <v>78.947368421052573</v>
      </c>
      <c r="GW37" s="1">
        <v>18.421052631578956</v>
      </c>
      <c r="GX37" s="1">
        <v>2.6315789473684235</v>
      </c>
      <c r="GY37" s="1">
        <v>0</v>
      </c>
      <c r="GZ37" s="1">
        <v>0</v>
      </c>
      <c r="HA37" s="1">
        <v>38</v>
      </c>
      <c r="HB37" s="1">
        <v>42.857142857142868</v>
      </c>
      <c r="HC37" s="1">
        <v>28.571428571428591</v>
      </c>
      <c r="HD37" s="1">
        <v>28.571428571428591</v>
      </c>
      <c r="HE37" s="1">
        <v>0</v>
      </c>
      <c r="HF37" s="1">
        <v>0</v>
      </c>
      <c r="HG37" s="1">
        <v>7</v>
      </c>
      <c r="HH37" s="1">
        <v>50</v>
      </c>
      <c r="HI37" s="1">
        <v>16.666666666666657</v>
      </c>
      <c r="HJ37" s="1">
        <v>16.666666666666657</v>
      </c>
      <c r="HK37" s="1">
        <v>16.666666666666657</v>
      </c>
      <c r="HL37" s="1">
        <v>0</v>
      </c>
      <c r="HM37" s="1">
        <v>6</v>
      </c>
      <c r="HN37" s="1">
        <v>0</v>
      </c>
      <c r="HO37" s="1">
        <v>0</v>
      </c>
      <c r="HP37" s="1">
        <v>0</v>
      </c>
      <c r="HQ37" s="1">
        <v>0</v>
      </c>
      <c r="HR37" s="1">
        <v>0</v>
      </c>
      <c r="HS37" s="1">
        <v>0</v>
      </c>
      <c r="HT37" s="1">
        <v>0</v>
      </c>
      <c r="HU37" s="1">
        <v>0</v>
      </c>
      <c r="HV37" s="1">
        <v>0</v>
      </c>
      <c r="HW37" s="1">
        <v>0</v>
      </c>
      <c r="HX37" s="1">
        <v>0</v>
      </c>
      <c r="HY37" s="1">
        <v>0</v>
      </c>
      <c r="HZ37" s="1">
        <v>0</v>
      </c>
      <c r="IA37" s="1">
        <v>0</v>
      </c>
      <c r="IB37" s="1">
        <v>0</v>
      </c>
      <c r="IC37" s="1">
        <v>0</v>
      </c>
      <c r="ID37" s="1">
        <v>0</v>
      </c>
      <c r="IE37" s="1">
        <v>0</v>
      </c>
      <c r="IF37" s="1">
        <v>9.3636363636363633</v>
      </c>
      <c r="IG37" s="1">
        <v>0</v>
      </c>
      <c r="IH37" s="1">
        <v>0</v>
      </c>
      <c r="II37" s="1">
        <v>0</v>
      </c>
      <c r="IJ37" s="1">
        <v>0</v>
      </c>
      <c r="IK37" s="1">
        <v>0</v>
      </c>
      <c r="IL37" s="1">
        <v>2.2727272727272698</v>
      </c>
      <c r="IM37" s="1">
        <v>4.5454545454545396</v>
      </c>
      <c r="IN37" s="1">
        <v>11.363636363636369</v>
      </c>
      <c r="IO37" s="1">
        <v>18.181818181818159</v>
      </c>
      <c r="IP37" s="1">
        <v>63.636363636363548</v>
      </c>
      <c r="IQ37" s="1">
        <v>9.3636363636363686</v>
      </c>
      <c r="IR37" s="1">
        <v>44</v>
      </c>
      <c r="IS37" s="1">
        <v>0</v>
      </c>
      <c r="IT37" s="1">
        <v>87.999999999999986</v>
      </c>
      <c r="IU37" s="1">
        <v>9.9999999999999982</v>
      </c>
      <c r="IV37" s="1">
        <v>1.9999999999999998</v>
      </c>
      <c r="IW37" s="1">
        <v>0</v>
      </c>
      <c r="IX37" s="1">
        <v>50</v>
      </c>
      <c r="IY37" s="1">
        <v>1</v>
      </c>
      <c r="IZ37" s="1">
        <v>21.529920000000029</v>
      </c>
      <c r="JA37" s="1">
        <v>9.8678800000000102</v>
      </c>
      <c r="JB37" s="1">
        <v>3.5883200000000022</v>
      </c>
      <c r="JC37" s="1">
        <v>4.0368599999999972</v>
      </c>
      <c r="JD37" s="1">
        <v>6.2795600000000027</v>
      </c>
      <c r="JE37" s="1">
        <v>0.45833333333333309</v>
      </c>
      <c r="JF37" s="1">
        <v>0.16666666666666671</v>
      </c>
      <c r="JG37" s="1">
        <v>0.18749999999999997</v>
      </c>
      <c r="JH37" s="1">
        <v>0.29166666666666646</v>
      </c>
      <c r="JI37" s="1">
        <v>1</v>
      </c>
      <c r="JJ37" s="1">
        <v>48</v>
      </c>
      <c r="JK37" s="1">
        <v>3.3877551020408165</v>
      </c>
      <c r="JL37" s="1">
        <v>3.387755102040813</v>
      </c>
      <c r="JM37" s="1">
        <v>49</v>
      </c>
      <c r="JN37" s="1">
        <v>95.000000000000014</v>
      </c>
      <c r="JO37" s="1">
        <v>4.9999999999999991</v>
      </c>
      <c r="JP37" s="1">
        <v>20</v>
      </c>
      <c r="JQ37" s="1">
        <v>92.857142857142804</v>
      </c>
      <c r="JR37" s="1">
        <v>7.1428571428571477</v>
      </c>
      <c r="JS37" s="1">
        <v>28</v>
      </c>
      <c r="JT37" s="1">
        <v>100</v>
      </c>
      <c r="JU37" s="1">
        <v>0</v>
      </c>
      <c r="JV37" s="1">
        <v>45</v>
      </c>
      <c r="JW37" s="1">
        <v>97.619047619047663</v>
      </c>
      <c r="JX37" s="1">
        <v>2.38095238095238</v>
      </c>
      <c r="JY37" s="1">
        <v>42</v>
      </c>
      <c r="JZ37" s="1">
        <v>23.404255319148909</v>
      </c>
      <c r="KA37" s="1">
        <v>76.595744680851084</v>
      </c>
      <c r="KB37" s="1">
        <v>47</v>
      </c>
      <c r="KC37" s="1">
        <v>97.916666666666657</v>
      </c>
      <c r="KD37" s="1">
        <v>2.0833333333333299</v>
      </c>
      <c r="KE37" s="1">
        <v>48</v>
      </c>
      <c r="KF37" s="1">
        <v>2.6595744680851063</v>
      </c>
      <c r="KG37" s="1">
        <v>14.893617021276585</v>
      </c>
      <c r="KH37" s="1">
        <v>31.914893617021281</v>
      </c>
      <c r="KI37" s="1">
        <v>29.787234042553173</v>
      </c>
      <c r="KJ37" s="1">
        <v>19.148936170212771</v>
      </c>
      <c r="KK37" s="1">
        <v>4.2553191489361675</v>
      </c>
      <c r="KL37" s="1">
        <v>47</v>
      </c>
      <c r="KM37" s="1">
        <v>46.553191489361737</v>
      </c>
      <c r="KN37" s="1">
        <v>80</v>
      </c>
      <c r="KO37" s="1">
        <v>16.666666666666657</v>
      </c>
      <c r="KP37" s="1">
        <v>16.666666666666657</v>
      </c>
      <c r="KQ37" s="1">
        <v>16.666666666666657</v>
      </c>
      <c r="KR37" s="1">
        <v>0</v>
      </c>
      <c r="KS37" s="1">
        <v>50</v>
      </c>
      <c r="KT37" s="1">
        <v>6</v>
      </c>
      <c r="KU37" s="1">
        <v>10.869565217391305</v>
      </c>
      <c r="KV37" s="1">
        <v>2.1739130434782612</v>
      </c>
      <c r="KW37" s="1">
        <v>2.1739130434782612</v>
      </c>
      <c r="KX37" s="1">
        <v>82.608695652173907</v>
      </c>
      <c r="KY37" s="1">
        <v>2.1739130434782612</v>
      </c>
      <c r="KZ37" s="1">
        <v>46</v>
      </c>
      <c r="LA37" s="1">
        <v>12.76595744680851</v>
      </c>
      <c r="LB37" s="1">
        <v>87.2340425531915</v>
      </c>
      <c r="LC37" s="1">
        <v>47</v>
      </c>
      <c r="LD37" s="1">
        <v>0</v>
      </c>
      <c r="LE37" s="1">
        <v>0</v>
      </c>
      <c r="LF37" s="1">
        <v>100</v>
      </c>
      <c r="LG37" s="1">
        <v>6</v>
      </c>
    </row>
    <row r="38" spans="1:319" x14ac:dyDescent="0.25">
      <c r="A38" s="1">
        <v>103</v>
      </c>
      <c r="B38" s="1">
        <v>18.000000000000004</v>
      </c>
      <c r="C38" s="1">
        <v>82.000000000000014</v>
      </c>
      <c r="D38" s="1">
        <v>50</v>
      </c>
      <c r="E38" s="1">
        <v>67.5</v>
      </c>
      <c r="F38" s="1">
        <v>32.499999999999993</v>
      </c>
      <c r="G38" s="1">
        <v>40</v>
      </c>
      <c r="H38" s="1">
        <v>27.999999999999996</v>
      </c>
      <c r="I38" s="1">
        <v>71.999999999999986</v>
      </c>
      <c r="J38" s="1">
        <v>25</v>
      </c>
      <c r="K38" s="1">
        <v>1</v>
      </c>
      <c r="L38" s="1">
        <v>21.679499999999983</v>
      </c>
      <c r="M38" s="1">
        <v>18.210780000000003</v>
      </c>
      <c r="N38" s="1">
        <v>0</v>
      </c>
      <c r="O38" s="1">
        <v>2.1679500000000012</v>
      </c>
      <c r="P38" s="1">
        <v>0</v>
      </c>
      <c r="Q38" s="1">
        <v>0.43358999999999986</v>
      </c>
      <c r="R38" s="1">
        <v>1.7343599999999995</v>
      </c>
      <c r="S38" s="1">
        <v>0</v>
      </c>
      <c r="T38" s="1">
        <v>0</v>
      </c>
      <c r="U38" s="1">
        <v>2.60154</v>
      </c>
      <c r="V38" s="1">
        <v>0.86717999999999973</v>
      </c>
      <c r="W38" s="1">
        <v>0.84000000000000086</v>
      </c>
      <c r="X38" s="1">
        <v>0</v>
      </c>
      <c r="Y38" s="1">
        <v>9.9999999999999978E-2</v>
      </c>
      <c r="Z38" s="1">
        <v>0</v>
      </c>
      <c r="AA38" s="1">
        <v>2.0000000000000007E-2</v>
      </c>
      <c r="AB38" s="1">
        <v>8.0000000000000057E-2</v>
      </c>
      <c r="AC38" s="1">
        <v>0</v>
      </c>
      <c r="AD38" s="1">
        <v>0</v>
      </c>
      <c r="AE38" s="1">
        <v>0.12000000000000009</v>
      </c>
      <c r="AF38" s="1">
        <v>4.0000000000000029E-2</v>
      </c>
      <c r="AG38" s="1">
        <v>1</v>
      </c>
      <c r="AH38" s="1">
        <v>50</v>
      </c>
      <c r="AI38" s="1">
        <v>1</v>
      </c>
      <c r="AJ38" s="1">
        <v>21.679499999999983</v>
      </c>
      <c r="AK38" s="1">
        <v>14.308470000000018</v>
      </c>
      <c r="AL38" s="1">
        <v>17.777190000000015</v>
      </c>
      <c r="AM38" s="1">
        <v>12.140520000000002</v>
      </c>
      <c r="AN38" s="1">
        <v>13.007700000000002</v>
      </c>
      <c r="AO38" s="1">
        <v>2.60154</v>
      </c>
      <c r="AP38" s="1">
        <v>2.1679500000000012</v>
      </c>
      <c r="AQ38" s="1">
        <v>0.66000000000000025</v>
      </c>
      <c r="AR38" s="1">
        <v>0.8200000000000004</v>
      </c>
      <c r="AS38" s="1">
        <v>0.55999999999999972</v>
      </c>
      <c r="AT38" s="1">
        <v>0.60000000000000075</v>
      </c>
      <c r="AU38" s="1">
        <v>0.12000000000000009</v>
      </c>
      <c r="AV38" s="1">
        <v>9.9999999999999978E-2</v>
      </c>
      <c r="AW38" s="1">
        <v>1</v>
      </c>
      <c r="AX38" s="1">
        <v>50</v>
      </c>
      <c r="AY38" s="1">
        <v>9.7708333333333339</v>
      </c>
      <c r="AZ38" s="1">
        <v>9.9166666666666661</v>
      </c>
      <c r="BA38" s="1">
        <v>9.8666666666666671</v>
      </c>
      <c r="BB38" s="1">
        <v>0</v>
      </c>
      <c r="BC38" s="1">
        <v>0</v>
      </c>
      <c r="BD38" s="1">
        <v>0</v>
      </c>
      <c r="BE38" s="1">
        <v>0</v>
      </c>
      <c r="BF38" s="1">
        <v>2.0833333333333321</v>
      </c>
      <c r="BG38" s="1">
        <v>0</v>
      </c>
      <c r="BH38" s="1">
        <v>0</v>
      </c>
      <c r="BI38" s="1">
        <v>4.1666666666666643</v>
      </c>
      <c r="BJ38" s="1">
        <v>4.1666666666666643</v>
      </c>
      <c r="BK38" s="1">
        <v>89.583333333333357</v>
      </c>
      <c r="BL38" s="1">
        <v>9.7708333333333286</v>
      </c>
      <c r="BM38" s="1">
        <v>48</v>
      </c>
      <c r="BN38" s="1">
        <v>0</v>
      </c>
      <c r="BO38" s="1">
        <v>0</v>
      </c>
      <c r="BP38" s="1">
        <v>0</v>
      </c>
      <c r="BQ38" s="1">
        <v>0</v>
      </c>
      <c r="BR38" s="1">
        <v>0</v>
      </c>
      <c r="BS38" s="1">
        <v>0</v>
      </c>
      <c r="BT38" s="1">
        <v>0</v>
      </c>
      <c r="BU38" s="1">
        <v>4.1666666666666643</v>
      </c>
      <c r="BV38" s="1">
        <v>0</v>
      </c>
      <c r="BW38" s="1">
        <v>95.833333333333343</v>
      </c>
      <c r="BX38" s="1">
        <v>9.9166666666666821</v>
      </c>
      <c r="BY38" s="1">
        <v>48</v>
      </c>
      <c r="BZ38" s="1">
        <v>0</v>
      </c>
      <c r="CA38" s="1">
        <v>0</v>
      </c>
      <c r="CB38" s="1">
        <v>0</v>
      </c>
      <c r="CC38" s="1">
        <v>0</v>
      </c>
      <c r="CD38" s="1">
        <v>0</v>
      </c>
      <c r="CE38" s="1">
        <v>0</v>
      </c>
      <c r="CF38" s="1">
        <v>0</v>
      </c>
      <c r="CG38" s="1">
        <v>6.6666666666666687</v>
      </c>
      <c r="CH38" s="1">
        <v>0</v>
      </c>
      <c r="CI38" s="1">
        <v>93.333333333333357</v>
      </c>
      <c r="CJ38" s="1">
        <v>9.8666666666666725</v>
      </c>
      <c r="CK38" s="1">
        <v>45</v>
      </c>
      <c r="CL38" s="1">
        <v>38.297872340425549</v>
      </c>
      <c r="CM38" s="1">
        <v>44.680851063829785</v>
      </c>
      <c r="CN38" s="1">
        <v>4.2553191489361675</v>
      </c>
      <c r="CO38" s="1">
        <v>8.5106382978723349</v>
      </c>
      <c r="CP38" s="1">
        <v>4.2553191489361675</v>
      </c>
      <c r="CQ38" s="1">
        <v>47</v>
      </c>
      <c r="CR38" s="1">
        <v>64.583333333333442</v>
      </c>
      <c r="CS38" s="1">
        <v>27.083333333333325</v>
      </c>
      <c r="CT38" s="1">
        <v>4.1666666666666643</v>
      </c>
      <c r="CU38" s="1">
        <v>4.1666666666666643</v>
      </c>
      <c r="CV38" s="1">
        <v>0</v>
      </c>
      <c r="CW38" s="1">
        <v>48</v>
      </c>
      <c r="CX38" s="1">
        <v>72.916666666666643</v>
      </c>
      <c r="CY38" s="1">
        <v>22.916666666666664</v>
      </c>
      <c r="CZ38" s="1">
        <v>4.1666666666666643</v>
      </c>
      <c r="DA38" s="1">
        <v>0</v>
      </c>
      <c r="DB38" s="1">
        <v>0</v>
      </c>
      <c r="DC38" s="1">
        <v>48</v>
      </c>
      <c r="DD38" s="1">
        <v>73.469387755102147</v>
      </c>
      <c r="DE38" s="1">
        <v>14.285714285714295</v>
      </c>
      <c r="DF38" s="1">
        <v>6.1224489795918426</v>
      </c>
      <c r="DG38" s="1">
        <v>6.1224489795918426</v>
      </c>
      <c r="DH38" s="1">
        <v>0</v>
      </c>
      <c r="DI38" s="1">
        <v>49</v>
      </c>
      <c r="DJ38" s="1">
        <v>62.790697674418567</v>
      </c>
      <c r="DK38" s="1">
        <v>30.232558139534849</v>
      </c>
      <c r="DL38" s="1">
        <v>6.976744186046516</v>
      </c>
      <c r="DM38" s="1">
        <v>0</v>
      </c>
      <c r="DN38" s="1">
        <v>0</v>
      </c>
      <c r="DO38" s="1">
        <v>43</v>
      </c>
      <c r="DP38" s="1">
        <v>89.583333333333357</v>
      </c>
      <c r="DQ38" s="1">
        <v>8.3333333333333286</v>
      </c>
      <c r="DR38" s="1">
        <v>2.0833333333333321</v>
      </c>
      <c r="DS38" s="1">
        <v>0</v>
      </c>
      <c r="DT38" s="1">
        <v>0</v>
      </c>
      <c r="DU38" s="1">
        <v>48</v>
      </c>
      <c r="DV38" s="1">
        <v>62.790697674418567</v>
      </c>
      <c r="DW38" s="1">
        <v>23.255813953488342</v>
      </c>
      <c r="DX38" s="1">
        <v>11.627906976744171</v>
      </c>
      <c r="DY38" s="1">
        <v>2.3255813953488351</v>
      </c>
      <c r="DZ38" s="1">
        <v>0</v>
      </c>
      <c r="EA38" s="1">
        <v>43</v>
      </c>
      <c r="EB38" s="1">
        <v>0</v>
      </c>
      <c r="EC38" s="1">
        <v>25</v>
      </c>
      <c r="ED38" s="1">
        <v>75</v>
      </c>
      <c r="EE38" s="1">
        <v>0</v>
      </c>
      <c r="EF38" s="1">
        <v>0</v>
      </c>
      <c r="EG38" s="1">
        <v>4</v>
      </c>
      <c r="EH38" s="1">
        <v>0</v>
      </c>
      <c r="EI38" s="1">
        <v>33.333333333333314</v>
      </c>
      <c r="EJ38" s="1">
        <v>66.666666666666629</v>
      </c>
      <c r="EK38" s="1">
        <v>0</v>
      </c>
      <c r="EL38" s="1">
        <v>0</v>
      </c>
      <c r="EM38" s="1">
        <v>3</v>
      </c>
      <c r="EN38" s="1">
        <v>34.782608695652193</v>
      </c>
      <c r="EO38" s="1">
        <v>56.521739130434817</v>
      </c>
      <c r="EP38" s="1">
        <v>4.3478260869565233</v>
      </c>
      <c r="EQ38" s="1">
        <v>4.3478260869565233</v>
      </c>
      <c r="ER38" s="1">
        <v>0</v>
      </c>
      <c r="ES38" s="1">
        <v>23</v>
      </c>
      <c r="ET38" s="1">
        <v>40.740740740740705</v>
      </c>
      <c r="EU38" s="1">
        <v>51.851851851851777</v>
      </c>
      <c r="EV38" s="1">
        <v>0</v>
      </c>
      <c r="EW38" s="1">
        <v>7.4074074074073959</v>
      </c>
      <c r="EX38" s="1">
        <v>0</v>
      </c>
      <c r="EY38" s="1">
        <v>27</v>
      </c>
      <c r="EZ38" s="1">
        <v>27.777777777777807</v>
      </c>
      <c r="FA38" s="1">
        <v>72.222222222222186</v>
      </c>
      <c r="FB38" s="1">
        <v>0</v>
      </c>
      <c r="FC38" s="1">
        <v>0</v>
      </c>
      <c r="FD38" s="1">
        <v>0</v>
      </c>
      <c r="FE38" s="1">
        <v>18</v>
      </c>
      <c r="FF38" s="1">
        <v>16.666666666666657</v>
      </c>
      <c r="FG38" s="1">
        <v>66.666666666666629</v>
      </c>
      <c r="FH38" s="1">
        <v>16.666666666666657</v>
      </c>
      <c r="FI38" s="1">
        <v>0</v>
      </c>
      <c r="FJ38" s="1">
        <v>0</v>
      </c>
      <c r="FK38" s="1">
        <v>12</v>
      </c>
      <c r="FL38" s="1">
        <v>59.999999999999993</v>
      </c>
      <c r="FM38" s="1">
        <v>26.666666666666661</v>
      </c>
      <c r="FN38" s="1">
        <v>6.6666666666666652</v>
      </c>
      <c r="FO38" s="1">
        <v>6.6666666666666652</v>
      </c>
      <c r="FP38" s="1">
        <v>0</v>
      </c>
      <c r="FQ38" s="1">
        <v>30</v>
      </c>
      <c r="FR38" s="1">
        <v>74.999999999999986</v>
      </c>
      <c r="FS38" s="1">
        <v>8.3333333333333286</v>
      </c>
      <c r="FT38" s="1">
        <v>12.499999999999998</v>
      </c>
      <c r="FU38" s="1">
        <v>4.1666666666666643</v>
      </c>
      <c r="FV38" s="1">
        <v>0</v>
      </c>
      <c r="FW38" s="1">
        <v>24</v>
      </c>
      <c r="FX38" s="1">
        <v>83.673469387755162</v>
      </c>
      <c r="FY38" s="1">
        <v>14.285714285714295</v>
      </c>
      <c r="FZ38" s="1">
        <v>2.0408163265306136</v>
      </c>
      <c r="GA38" s="1">
        <v>0</v>
      </c>
      <c r="GB38" s="1">
        <v>0</v>
      </c>
      <c r="GC38" s="1">
        <v>49</v>
      </c>
      <c r="GD38" s="1">
        <v>84.999999999999986</v>
      </c>
      <c r="GE38" s="1">
        <v>15.000000000000002</v>
      </c>
      <c r="GF38" s="1">
        <v>0</v>
      </c>
      <c r="GG38" s="1">
        <v>0</v>
      </c>
      <c r="GH38" s="1">
        <v>0</v>
      </c>
      <c r="GI38" s="1">
        <v>20</v>
      </c>
      <c r="GJ38" s="1">
        <v>87.500000000000014</v>
      </c>
      <c r="GK38" s="1">
        <v>12.5</v>
      </c>
      <c r="GL38" s="1">
        <v>0</v>
      </c>
      <c r="GM38" s="1">
        <v>0</v>
      </c>
      <c r="GN38" s="1">
        <v>0</v>
      </c>
      <c r="GO38" s="1">
        <v>16</v>
      </c>
      <c r="GP38" s="1">
        <v>71.874999999999986</v>
      </c>
      <c r="GQ38" s="1">
        <v>21.874999999999996</v>
      </c>
      <c r="GR38" s="1">
        <v>3.1249999999999996</v>
      </c>
      <c r="GS38" s="1">
        <v>3.1249999999999996</v>
      </c>
      <c r="GT38" s="1">
        <v>0</v>
      </c>
      <c r="GU38" s="1">
        <v>32</v>
      </c>
      <c r="GV38" s="1">
        <v>81.081081081081152</v>
      </c>
      <c r="GW38" s="1">
        <v>18.918918918918934</v>
      </c>
      <c r="GX38" s="1">
        <v>0</v>
      </c>
      <c r="GY38" s="1">
        <v>0</v>
      </c>
      <c r="GZ38" s="1">
        <v>0</v>
      </c>
      <c r="HA38" s="1">
        <v>37</v>
      </c>
      <c r="HB38" s="1">
        <v>25</v>
      </c>
      <c r="HC38" s="1">
        <v>50</v>
      </c>
      <c r="HD38" s="1">
        <v>25</v>
      </c>
      <c r="HE38" s="1">
        <v>0</v>
      </c>
      <c r="HF38" s="1">
        <v>0</v>
      </c>
      <c r="HG38" s="1">
        <v>4</v>
      </c>
      <c r="HH38" s="1">
        <v>25</v>
      </c>
      <c r="HI38" s="1">
        <v>25</v>
      </c>
      <c r="HJ38" s="1">
        <v>50</v>
      </c>
      <c r="HK38" s="1">
        <v>0</v>
      </c>
      <c r="HL38" s="1">
        <v>0</v>
      </c>
      <c r="HM38" s="1">
        <v>4</v>
      </c>
      <c r="HN38" s="1">
        <v>0</v>
      </c>
      <c r="HO38" s="1">
        <v>0</v>
      </c>
      <c r="HP38" s="1">
        <v>0</v>
      </c>
      <c r="HQ38" s="1">
        <v>0</v>
      </c>
      <c r="HR38" s="1">
        <v>0</v>
      </c>
      <c r="HS38" s="1">
        <v>0</v>
      </c>
      <c r="HT38" s="1">
        <v>0</v>
      </c>
      <c r="HU38" s="1">
        <v>0</v>
      </c>
      <c r="HV38" s="1">
        <v>0</v>
      </c>
      <c r="HW38" s="1">
        <v>0</v>
      </c>
      <c r="HX38" s="1">
        <v>0</v>
      </c>
      <c r="HY38" s="1">
        <v>0</v>
      </c>
      <c r="HZ38" s="1">
        <v>0</v>
      </c>
      <c r="IA38" s="1">
        <v>0</v>
      </c>
      <c r="IB38" s="1">
        <v>0</v>
      </c>
      <c r="IC38" s="1">
        <v>0</v>
      </c>
      <c r="ID38" s="1">
        <v>0</v>
      </c>
      <c r="IE38" s="1">
        <v>0</v>
      </c>
      <c r="IF38" s="1">
        <v>9.2291666666666661</v>
      </c>
      <c r="IG38" s="1">
        <v>0</v>
      </c>
      <c r="IH38" s="1">
        <v>0</v>
      </c>
      <c r="II38" s="1">
        <v>0</v>
      </c>
      <c r="IJ38" s="1">
        <v>0</v>
      </c>
      <c r="IK38" s="1">
        <v>0</v>
      </c>
      <c r="IL38" s="1">
        <v>2.0833333333333321</v>
      </c>
      <c r="IM38" s="1">
        <v>2.0833333333333321</v>
      </c>
      <c r="IN38" s="1">
        <v>16.666666666666661</v>
      </c>
      <c r="IO38" s="1">
        <v>29.166666666666679</v>
      </c>
      <c r="IP38" s="1">
        <v>50.000000000000007</v>
      </c>
      <c r="IQ38" s="1">
        <v>9.2291666666666803</v>
      </c>
      <c r="IR38" s="1">
        <v>48</v>
      </c>
      <c r="IS38" s="1">
        <v>0</v>
      </c>
      <c r="IT38" s="1">
        <v>75.51020408163275</v>
      </c>
      <c r="IU38" s="1">
        <v>14.285714285714295</v>
      </c>
      <c r="IV38" s="1">
        <v>8.1632653061224545</v>
      </c>
      <c r="IW38" s="1">
        <v>2.0408163265306136</v>
      </c>
      <c r="IX38" s="1">
        <v>49</v>
      </c>
      <c r="IY38" s="1">
        <v>1</v>
      </c>
      <c r="IZ38" s="1">
        <v>19.511549999999975</v>
      </c>
      <c r="JA38" s="1">
        <v>5.2030799999999999</v>
      </c>
      <c r="JB38" s="1">
        <v>2.1679500000000012</v>
      </c>
      <c r="JC38" s="1">
        <v>5.6366700000000014</v>
      </c>
      <c r="JD38" s="1">
        <v>9.1053899999999999</v>
      </c>
      <c r="JE38" s="1">
        <v>0.26666666666666694</v>
      </c>
      <c r="JF38" s="1">
        <v>0.11111111111111102</v>
      </c>
      <c r="JG38" s="1">
        <v>0.28888888888888919</v>
      </c>
      <c r="JH38" s="1">
        <v>0.46666666666666623</v>
      </c>
      <c r="JI38" s="1">
        <v>1</v>
      </c>
      <c r="JJ38" s="1">
        <v>45</v>
      </c>
      <c r="JK38" s="1">
        <v>3.0625</v>
      </c>
      <c r="JL38" s="1">
        <v>3.0625</v>
      </c>
      <c r="JM38" s="1">
        <v>48</v>
      </c>
      <c r="JN38" s="1">
        <v>81.25</v>
      </c>
      <c r="JO38" s="1">
        <v>18.750000000000004</v>
      </c>
      <c r="JP38" s="1">
        <v>16</v>
      </c>
      <c r="JQ38" s="1">
        <v>86.363636363636374</v>
      </c>
      <c r="JR38" s="1">
        <v>13.636363636363628</v>
      </c>
      <c r="JS38" s="1">
        <v>22</v>
      </c>
      <c r="JT38" s="1">
        <v>92.682926829268268</v>
      </c>
      <c r="JU38" s="1">
        <v>7.317073170731704</v>
      </c>
      <c r="JV38" s="1">
        <v>41</v>
      </c>
      <c r="JW38" s="1">
        <v>93.548387096774221</v>
      </c>
      <c r="JX38" s="1">
        <v>6.4516129032257981</v>
      </c>
      <c r="JY38" s="1">
        <v>31</v>
      </c>
      <c r="JZ38" s="1">
        <v>62.499999999999993</v>
      </c>
      <c r="KA38" s="1">
        <v>37.499999999999993</v>
      </c>
      <c r="KB38" s="1">
        <v>40</v>
      </c>
      <c r="KC38" s="1">
        <v>100</v>
      </c>
      <c r="KD38" s="1">
        <v>0</v>
      </c>
      <c r="KE38" s="1">
        <v>39</v>
      </c>
      <c r="KF38" s="1">
        <v>2.4324324324324325</v>
      </c>
      <c r="KG38" s="1">
        <v>27.027027027027021</v>
      </c>
      <c r="KH38" s="1">
        <v>29.729729729729726</v>
      </c>
      <c r="KI38" s="1">
        <v>21.621621621621589</v>
      </c>
      <c r="KJ38" s="1">
        <v>16.216216216216218</v>
      </c>
      <c r="KK38" s="1">
        <v>5.4054054054053973</v>
      </c>
      <c r="KL38" s="1">
        <v>37</v>
      </c>
      <c r="KM38" s="1">
        <v>42.567567567567515</v>
      </c>
      <c r="KN38" s="1">
        <v>80.125</v>
      </c>
      <c r="KO38" s="1">
        <v>12.499999999999998</v>
      </c>
      <c r="KP38" s="1">
        <v>12.499999999999998</v>
      </c>
      <c r="KQ38" s="1">
        <v>24.999999999999996</v>
      </c>
      <c r="KR38" s="1">
        <v>12.499999999999998</v>
      </c>
      <c r="KS38" s="1">
        <v>37.5</v>
      </c>
      <c r="KT38" s="1">
        <v>8</v>
      </c>
      <c r="KU38" s="1">
        <v>12.195121951219516</v>
      </c>
      <c r="KV38" s="1">
        <v>4.878048780487803</v>
      </c>
      <c r="KW38" s="1">
        <v>0</v>
      </c>
      <c r="KX38" s="1">
        <v>78.048780487804862</v>
      </c>
      <c r="KY38" s="1">
        <v>4.878048780487803</v>
      </c>
      <c r="KZ38" s="1">
        <v>41</v>
      </c>
      <c r="LA38" s="1">
        <v>22.499999999999996</v>
      </c>
      <c r="LB38" s="1">
        <v>77.500000000000014</v>
      </c>
      <c r="LC38" s="1">
        <v>40</v>
      </c>
      <c r="LD38" s="1">
        <v>0</v>
      </c>
      <c r="LE38" s="1">
        <v>11.111111111111111</v>
      </c>
      <c r="LF38" s="1">
        <v>88.8888888888889</v>
      </c>
      <c r="LG38" s="1">
        <v>9</v>
      </c>
    </row>
    <row r="39" spans="1:319" x14ac:dyDescent="0.25">
      <c r="A39" s="1">
        <v>124</v>
      </c>
      <c r="B39" s="1">
        <v>18.86792452830187</v>
      </c>
      <c r="C39" s="1">
        <v>81.132075471698073</v>
      </c>
      <c r="D39" s="1">
        <v>53</v>
      </c>
      <c r="E39" s="1">
        <v>79.487179487179574</v>
      </c>
      <c r="F39" s="1">
        <v>20.512820512820525</v>
      </c>
      <c r="G39" s="1">
        <v>39</v>
      </c>
      <c r="H39" s="1">
        <v>65.624999999999986</v>
      </c>
      <c r="I39" s="1">
        <v>34.374999999999993</v>
      </c>
      <c r="J39" s="1">
        <v>32</v>
      </c>
      <c r="K39" s="1">
        <v>1</v>
      </c>
      <c r="L39" s="1">
        <v>28.629959999999983</v>
      </c>
      <c r="M39" s="1">
        <v>13.561559999999997</v>
      </c>
      <c r="N39" s="1">
        <v>3.5159599999999998</v>
      </c>
      <c r="O39" s="1">
        <v>4.0182399999999978</v>
      </c>
      <c r="P39" s="1">
        <v>0.50227999999999973</v>
      </c>
      <c r="Q39" s="1">
        <v>7.0319199999999995</v>
      </c>
      <c r="R39" s="1">
        <v>0</v>
      </c>
      <c r="S39" s="1">
        <v>0.50227999999999973</v>
      </c>
      <c r="T39" s="1">
        <v>2.5113999999999992</v>
      </c>
      <c r="U39" s="1">
        <v>3.5159599999999998</v>
      </c>
      <c r="V39" s="1">
        <v>3.5159599999999998</v>
      </c>
      <c r="W39" s="1">
        <v>0.47368421052631593</v>
      </c>
      <c r="X39" s="1">
        <v>0.1228070175438596</v>
      </c>
      <c r="Y39" s="1">
        <v>0.14035087719298267</v>
      </c>
      <c r="Z39" s="1">
        <v>1.7543859649122834E-2</v>
      </c>
      <c r="AA39" s="1">
        <v>0.2456140350877192</v>
      </c>
      <c r="AB39" s="1">
        <v>0</v>
      </c>
      <c r="AC39" s="1">
        <v>1.7543859649122834E-2</v>
      </c>
      <c r="AD39" s="1">
        <v>8.7719298245613961E-2</v>
      </c>
      <c r="AE39" s="1">
        <v>0.1228070175438596</v>
      </c>
      <c r="AF39" s="1">
        <v>0.1228070175438596</v>
      </c>
      <c r="AG39" s="1">
        <v>1</v>
      </c>
      <c r="AH39" s="1">
        <v>57</v>
      </c>
      <c r="AI39" s="1">
        <v>1</v>
      </c>
      <c r="AJ39" s="1">
        <v>28.629959999999983</v>
      </c>
      <c r="AK39" s="1">
        <v>15.570680000000031</v>
      </c>
      <c r="AL39" s="1">
        <v>20.091199999999997</v>
      </c>
      <c r="AM39" s="1">
        <v>15.068399999999999</v>
      </c>
      <c r="AN39" s="1">
        <v>21.095760000000002</v>
      </c>
      <c r="AO39" s="1">
        <v>3.0136799999999964</v>
      </c>
      <c r="AP39" s="1">
        <v>2.5113999999999992</v>
      </c>
      <c r="AQ39" s="1">
        <v>0.54385964912280804</v>
      </c>
      <c r="AR39" s="1">
        <v>0.70175438596491169</v>
      </c>
      <c r="AS39" s="1">
        <v>0.52631578947368485</v>
      </c>
      <c r="AT39" s="1">
        <v>0.73684210526315774</v>
      </c>
      <c r="AU39" s="1">
        <v>0.10526315789473693</v>
      </c>
      <c r="AV39" s="1">
        <v>8.7719298245613961E-2</v>
      </c>
      <c r="AW39" s="1">
        <v>1</v>
      </c>
      <c r="AX39" s="1">
        <v>57</v>
      </c>
      <c r="AY39" s="1">
        <v>9.7547169811320753</v>
      </c>
      <c r="AZ39" s="1">
        <v>9.8545454545454554</v>
      </c>
      <c r="BA39" s="1">
        <v>9.86</v>
      </c>
      <c r="BB39" s="1">
        <v>0</v>
      </c>
      <c r="BC39" s="1">
        <v>0</v>
      </c>
      <c r="BD39" s="1">
        <v>0</v>
      </c>
      <c r="BE39" s="1">
        <v>0</v>
      </c>
      <c r="BF39" s="1">
        <v>1.8867924528301918</v>
      </c>
      <c r="BG39" s="1">
        <v>0</v>
      </c>
      <c r="BH39" s="1">
        <v>1.8867924528301918</v>
      </c>
      <c r="BI39" s="1">
        <v>1.8867924528301918</v>
      </c>
      <c r="BJ39" s="1">
        <v>5.6603773584905657</v>
      </c>
      <c r="BK39" s="1">
        <v>88.679245283018929</v>
      </c>
      <c r="BL39" s="1">
        <v>9.7547169811320664</v>
      </c>
      <c r="BM39" s="1">
        <v>53</v>
      </c>
      <c r="BN39" s="1">
        <v>0</v>
      </c>
      <c r="BO39" s="1">
        <v>0</v>
      </c>
      <c r="BP39" s="1">
        <v>0</v>
      </c>
      <c r="BQ39" s="1">
        <v>0</v>
      </c>
      <c r="BR39" s="1">
        <v>0</v>
      </c>
      <c r="BS39" s="1">
        <v>1.8181818181818172</v>
      </c>
      <c r="BT39" s="1">
        <v>0</v>
      </c>
      <c r="BU39" s="1">
        <v>1.8181818181818172</v>
      </c>
      <c r="BV39" s="1">
        <v>3.6363636363636345</v>
      </c>
      <c r="BW39" s="1">
        <v>92.727272727272705</v>
      </c>
      <c r="BX39" s="1">
        <v>9.8545454545454625</v>
      </c>
      <c r="BY39" s="1">
        <v>55</v>
      </c>
      <c r="BZ39" s="1">
        <v>0</v>
      </c>
      <c r="CA39" s="1">
        <v>0</v>
      </c>
      <c r="CB39" s="1">
        <v>0</v>
      </c>
      <c r="CC39" s="1">
        <v>0</v>
      </c>
      <c r="CD39" s="1">
        <v>0</v>
      </c>
      <c r="CE39" s="1">
        <v>0</v>
      </c>
      <c r="CF39" s="1">
        <v>2.0000000000000004</v>
      </c>
      <c r="CG39" s="1">
        <v>2.0000000000000004</v>
      </c>
      <c r="CH39" s="1">
        <v>4.0000000000000009</v>
      </c>
      <c r="CI39" s="1">
        <v>92.000000000000014</v>
      </c>
      <c r="CJ39" s="1">
        <v>9.860000000000003</v>
      </c>
      <c r="CK39" s="1">
        <v>50</v>
      </c>
      <c r="CL39" s="1">
        <v>82.608695652173978</v>
      </c>
      <c r="CM39" s="1">
        <v>13.043478260869582</v>
      </c>
      <c r="CN39" s="1">
        <v>4.3478260869565251</v>
      </c>
      <c r="CO39" s="1">
        <v>0</v>
      </c>
      <c r="CP39" s="1">
        <v>0</v>
      </c>
      <c r="CQ39" s="1">
        <v>46</v>
      </c>
      <c r="CR39" s="1">
        <v>92.727272727272705</v>
      </c>
      <c r="CS39" s="1">
        <v>7.2727272727272689</v>
      </c>
      <c r="CT39" s="1">
        <v>0</v>
      </c>
      <c r="CU39" s="1">
        <v>0</v>
      </c>
      <c r="CV39" s="1">
        <v>0</v>
      </c>
      <c r="CW39" s="1">
        <v>55</v>
      </c>
      <c r="CX39" s="1">
        <v>92.592592592592709</v>
      </c>
      <c r="CY39" s="1">
        <v>7.4074074074074048</v>
      </c>
      <c r="CZ39" s="1">
        <v>0</v>
      </c>
      <c r="DA39" s="1">
        <v>0</v>
      </c>
      <c r="DB39" s="1">
        <v>0</v>
      </c>
      <c r="DC39" s="1">
        <v>54</v>
      </c>
      <c r="DD39" s="1">
        <v>96.491228070175538</v>
      </c>
      <c r="DE39" s="1">
        <v>3.508771929824567</v>
      </c>
      <c r="DF39" s="1">
        <v>0</v>
      </c>
      <c r="DG39" s="1">
        <v>0</v>
      </c>
      <c r="DH39" s="1">
        <v>0</v>
      </c>
      <c r="DI39" s="1">
        <v>57</v>
      </c>
      <c r="DJ39" s="1">
        <v>74.074074074074019</v>
      </c>
      <c r="DK39" s="1">
        <v>20.370370370370363</v>
      </c>
      <c r="DL39" s="1">
        <v>0</v>
      </c>
      <c r="DM39" s="1">
        <v>5.5555555555555607</v>
      </c>
      <c r="DN39" s="1">
        <v>0</v>
      </c>
      <c r="DO39" s="1">
        <v>54</v>
      </c>
      <c r="DP39" s="1">
        <v>87.037037037037052</v>
      </c>
      <c r="DQ39" s="1">
        <v>9.2592592592592524</v>
      </c>
      <c r="DR39" s="1">
        <v>1.8518518518518512</v>
      </c>
      <c r="DS39" s="1">
        <v>1.8518518518518512</v>
      </c>
      <c r="DT39" s="1">
        <v>0</v>
      </c>
      <c r="DU39" s="1">
        <v>54</v>
      </c>
      <c r="DV39" s="1">
        <v>82.692307692307651</v>
      </c>
      <c r="DW39" s="1">
        <v>11.538461538461545</v>
      </c>
      <c r="DX39" s="1">
        <v>5.7692307692307727</v>
      </c>
      <c r="DY39" s="1">
        <v>0</v>
      </c>
      <c r="DZ39" s="1">
        <v>0</v>
      </c>
      <c r="EA39" s="1">
        <v>52</v>
      </c>
      <c r="EB39" s="1">
        <v>76.923076923077019</v>
      </c>
      <c r="EC39" s="1">
        <v>7.6923076923076827</v>
      </c>
      <c r="ED39" s="1">
        <v>15.384615384615365</v>
      </c>
      <c r="EE39" s="1">
        <v>0</v>
      </c>
      <c r="EF39" s="1">
        <v>0</v>
      </c>
      <c r="EG39" s="1">
        <v>13</v>
      </c>
      <c r="EH39" s="1">
        <v>46.153846153846175</v>
      </c>
      <c r="EI39" s="1">
        <v>15.384615384615365</v>
      </c>
      <c r="EJ39" s="1">
        <v>15.384615384615365</v>
      </c>
      <c r="EK39" s="1">
        <v>23.076923076923091</v>
      </c>
      <c r="EL39" s="1">
        <v>0</v>
      </c>
      <c r="EM39" s="1">
        <v>13</v>
      </c>
      <c r="EN39" s="1">
        <v>30.303030303030258</v>
      </c>
      <c r="EO39" s="1">
        <v>39.393939393939334</v>
      </c>
      <c r="EP39" s="1">
        <v>24.242424242424242</v>
      </c>
      <c r="EQ39" s="1">
        <v>6.0606060606060606</v>
      </c>
      <c r="ER39" s="1">
        <v>0</v>
      </c>
      <c r="ES39" s="1">
        <v>33</v>
      </c>
      <c r="ET39" s="1">
        <v>27.777777777777771</v>
      </c>
      <c r="EU39" s="1">
        <v>44.444444444444393</v>
      </c>
      <c r="EV39" s="1">
        <v>22.222222222222197</v>
      </c>
      <c r="EW39" s="1">
        <v>5.5555555555555491</v>
      </c>
      <c r="EX39" s="1">
        <v>0</v>
      </c>
      <c r="EY39" s="1">
        <v>36</v>
      </c>
      <c r="EZ39" s="1">
        <v>34.999999999999993</v>
      </c>
      <c r="FA39" s="1">
        <v>44.999999999999993</v>
      </c>
      <c r="FB39" s="1">
        <v>19.999999999999996</v>
      </c>
      <c r="FC39" s="1">
        <v>0</v>
      </c>
      <c r="FD39" s="1">
        <v>0</v>
      </c>
      <c r="FE39" s="1">
        <v>20</v>
      </c>
      <c r="FF39" s="1">
        <v>44.999999999999993</v>
      </c>
      <c r="FG39" s="1">
        <v>39.999999999999993</v>
      </c>
      <c r="FH39" s="1">
        <v>14.999999999999998</v>
      </c>
      <c r="FI39" s="1">
        <v>0</v>
      </c>
      <c r="FJ39" s="1">
        <v>0</v>
      </c>
      <c r="FK39" s="1">
        <v>20</v>
      </c>
      <c r="FL39" s="1">
        <v>57.142857142857018</v>
      </c>
      <c r="FM39" s="1">
        <v>32.142857142857117</v>
      </c>
      <c r="FN39" s="1">
        <v>7.1428571428571273</v>
      </c>
      <c r="FO39" s="1">
        <v>0</v>
      </c>
      <c r="FP39" s="1">
        <v>3.5714285714285636</v>
      </c>
      <c r="FQ39" s="1">
        <v>28</v>
      </c>
      <c r="FR39" s="1">
        <v>79.166666666666629</v>
      </c>
      <c r="FS39" s="1">
        <v>12.499999999999998</v>
      </c>
      <c r="FT39" s="1">
        <v>8.3333333333333179</v>
      </c>
      <c r="FU39" s="1">
        <v>0</v>
      </c>
      <c r="FV39" s="1">
        <v>0</v>
      </c>
      <c r="FW39" s="1">
        <v>24</v>
      </c>
      <c r="FX39" s="1">
        <v>89.090909090909037</v>
      </c>
      <c r="FY39" s="1">
        <v>10.909090909090914</v>
      </c>
      <c r="FZ39" s="1">
        <v>0</v>
      </c>
      <c r="GA39" s="1">
        <v>0</v>
      </c>
      <c r="GB39" s="1">
        <v>0</v>
      </c>
      <c r="GC39" s="1">
        <v>55</v>
      </c>
      <c r="GD39" s="1">
        <v>72.222222222222186</v>
      </c>
      <c r="GE39" s="1">
        <v>22.222222222222197</v>
      </c>
      <c r="GF39" s="1">
        <v>5.5555555555555491</v>
      </c>
      <c r="GG39" s="1">
        <v>0</v>
      </c>
      <c r="GH39" s="1">
        <v>0</v>
      </c>
      <c r="GI39" s="1">
        <v>18</v>
      </c>
      <c r="GJ39" s="1">
        <v>79.999999999999986</v>
      </c>
      <c r="GK39" s="1">
        <v>14.999999999999998</v>
      </c>
      <c r="GL39" s="1">
        <v>4.9999999999999991</v>
      </c>
      <c r="GM39" s="1">
        <v>0</v>
      </c>
      <c r="GN39" s="1">
        <v>0</v>
      </c>
      <c r="GO39" s="1">
        <v>20</v>
      </c>
      <c r="GP39" s="1">
        <v>64.285714285714249</v>
      </c>
      <c r="GQ39" s="1">
        <v>30.95238095238096</v>
      </c>
      <c r="GR39" s="1">
        <v>4.7619047619047601</v>
      </c>
      <c r="GS39" s="1">
        <v>0</v>
      </c>
      <c r="GT39" s="1">
        <v>0</v>
      </c>
      <c r="GU39" s="1">
        <v>42</v>
      </c>
      <c r="GV39" s="1">
        <v>76.190476190476176</v>
      </c>
      <c r="GW39" s="1">
        <v>21.42857142857142</v>
      </c>
      <c r="GX39" s="1">
        <v>2.38095238095238</v>
      </c>
      <c r="GY39" s="1">
        <v>0</v>
      </c>
      <c r="GZ39" s="1">
        <v>0</v>
      </c>
      <c r="HA39" s="1">
        <v>42</v>
      </c>
      <c r="HB39" s="1">
        <v>50</v>
      </c>
      <c r="HC39" s="1">
        <v>42.85714285714284</v>
      </c>
      <c r="HD39" s="1">
        <v>7.1428571428571503</v>
      </c>
      <c r="HE39" s="1">
        <v>0</v>
      </c>
      <c r="HF39" s="1">
        <v>0</v>
      </c>
      <c r="HG39" s="1">
        <v>14</v>
      </c>
      <c r="HH39" s="1">
        <v>64.285714285714249</v>
      </c>
      <c r="HI39" s="1">
        <v>28.571428571428601</v>
      </c>
      <c r="HJ39" s="1">
        <v>7.1428571428571503</v>
      </c>
      <c r="HK39" s="1">
        <v>0</v>
      </c>
      <c r="HL39" s="1">
        <v>0</v>
      </c>
      <c r="HM39" s="1">
        <v>14</v>
      </c>
      <c r="HN39" s="1">
        <v>0</v>
      </c>
      <c r="HO39" s="1">
        <v>0</v>
      </c>
      <c r="HP39" s="1">
        <v>0</v>
      </c>
      <c r="HQ39" s="1">
        <v>0</v>
      </c>
      <c r="HR39" s="1">
        <v>0</v>
      </c>
      <c r="HS39" s="1">
        <v>0</v>
      </c>
      <c r="HT39" s="1">
        <v>0</v>
      </c>
      <c r="HU39" s="1">
        <v>0</v>
      </c>
      <c r="HV39" s="1">
        <v>0</v>
      </c>
      <c r="HW39" s="1">
        <v>0</v>
      </c>
      <c r="HX39" s="1">
        <v>0</v>
      </c>
      <c r="HY39" s="1">
        <v>0</v>
      </c>
      <c r="HZ39" s="1">
        <v>0</v>
      </c>
      <c r="IA39" s="1">
        <v>0</v>
      </c>
      <c r="IB39" s="1">
        <v>0</v>
      </c>
      <c r="IC39" s="1">
        <v>0</v>
      </c>
      <c r="ID39" s="1">
        <v>0</v>
      </c>
      <c r="IE39" s="1">
        <v>0</v>
      </c>
      <c r="IF39" s="1">
        <v>9.5192307692307701</v>
      </c>
      <c r="IG39" s="1">
        <v>0</v>
      </c>
      <c r="IH39" s="1">
        <v>0</v>
      </c>
      <c r="II39" s="1">
        <v>0</v>
      </c>
      <c r="IJ39" s="1">
        <v>0</v>
      </c>
      <c r="IK39" s="1">
        <v>0</v>
      </c>
      <c r="IL39" s="1">
        <v>0</v>
      </c>
      <c r="IM39" s="1">
        <v>3.8461538461538463</v>
      </c>
      <c r="IN39" s="1">
        <v>5.7692307692307727</v>
      </c>
      <c r="IO39" s="1">
        <v>25.000000000000004</v>
      </c>
      <c r="IP39" s="1">
        <v>65.384615384615358</v>
      </c>
      <c r="IQ39" s="1">
        <v>9.5192307692307683</v>
      </c>
      <c r="IR39" s="1">
        <v>52</v>
      </c>
      <c r="IS39" s="1">
        <v>7.017543859649134</v>
      </c>
      <c r="IT39" s="1">
        <v>70.175438596491318</v>
      </c>
      <c r="IU39" s="1">
        <v>14.035087719298268</v>
      </c>
      <c r="IV39" s="1">
        <v>7.017543859649134</v>
      </c>
      <c r="IW39" s="1">
        <v>1.7543859649122835</v>
      </c>
      <c r="IX39" s="1">
        <v>57</v>
      </c>
      <c r="IY39" s="1">
        <v>1</v>
      </c>
      <c r="IZ39" s="1">
        <v>28.629959999999983</v>
      </c>
      <c r="JA39" s="1">
        <v>15.068399999999999</v>
      </c>
      <c r="JB39" s="1">
        <v>5.0227999999999984</v>
      </c>
      <c r="JC39" s="1">
        <v>3.0136799999999964</v>
      </c>
      <c r="JD39" s="1">
        <v>7.0319199999999995</v>
      </c>
      <c r="JE39" s="1">
        <v>0.52631578947368485</v>
      </c>
      <c r="JF39" s="1">
        <v>0.17543859649122792</v>
      </c>
      <c r="JG39" s="1">
        <v>0.10526315789473693</v>
      </c>
      <c r="JH39" s="1">
        <v>0.2456140350877192</v>
      </c>
      <c r="JI39" s="1">
        <v>1</v>
      </c>
      <c r="JJ39" s="1">
        <v>57</v>
      </c>
      <c r="JK39" s="1">
        <v>3.3571428571428572</v>
      </c>
      <c r="JL39" s="1">
        <v>3.3571428571428585</v>
      </c>
      <c r="JM39" s="1">
        <v>56</v>
      </c>
      <c r="JN39" s="1">
        <v>94.999999999999986</v>
      </c>
      <c r="JO39" s="1">
        <v>4.9999999999999991</v>
      </c>
      <c r="JP39" s="1">
        <v>20</v>
      </c>
      <c r="JQ39" s="1">
        <v>100</v>
      </c>
      <c r="JR39" s="1">
        <v>0</v>
      </c>
      <c r="JS39" s="1">
        <v>33</v>
      </c>
      <c r="JT39" s="1">
        <v>96.078431372548962</v>
      </c>
      <c r="JU39" s="1">
        <v>3.9215686274509869</v>
      </c>
      <c r="JV39" s="1">
        <v>51</v>
      </c>
      <c r="JW39" s="1">
        <v>94.594594594594696</v>
      </c>
      <c r="JX39" s="1">
        <v>5.4054054054054115</v>
      </c>
      <c r="JY39" s="1">
        <v>37</v>
      </c>
      <c r="JZ39" s="1">
        <v>54.545454545454533</v>
      </c>
      <c r="KA39" s="1">
        <v>45.454545454545489</v>
      </c>
      <c r="KB39" s="1">
        <v>44</v>
      </c>
      <c r="KC39" s="1">
        <v>100.00000000000001</v>
      </c>
      <c r="KD39" s="1">
        <v>0</v>
      </c>
      <c r="KE39" s="1">
        <v>42</v>
      </c>
      <c r="KF39" s="1">
        <v>2.5853658536585367</v>
      </c>
      <c r="KG39" s="1">
        <v>24.390243902439046</v>
      </c>
      <c r="KH39" s="1">
        <v>26.829268292682915</v>
      </c>
      <c r="KI39" s="1">
        <v>21.951219512195141</v>
      </c>
      <c r="KJ39" s="1">
        <v>19.512195121951212</v>
      </c>
      <c r="KK39" s="1">
        <v>7.317073170731704</v>
      </c>
      <c r="KL39" s="1">
        <v>41</v>
      </c>
      <c r="KM39" s="1">
        <v>45.609756097560926</v>
      </c>
      <c r="KN39" s="1">
        <v>79.5</v>
      </c>
      <c r="KO39" s="1">
        <v>0</v>
      </c>
      <c r="KP39" s="1">
        <v>50</v>
      </c>
      <c r="KQ39" s="1">
        <v>0</v>
      </c>
      <c r="KR39" s="1">
        <v>0</v>
      </c>
      <c r="KS39" s="1">
        <v>50</v>
      </c>
      <c r="KT39" s="1">
        <v>2</v>
      </c>
      <c r="KU39" s="1">
        <v>2.222222222222225</v>
      </c>
      <c r="KV39" s="1">
        <v>0</v>
      </c>
      <c r="KW39" s="1">
        <v>4.44444444444445</v>
      </c>
      <c r="KX39" s="1">
        <v>86.666666666666686</v>
      </c>
      <c r="KY39" s="1">
        <v>6.6666666666666705</v>
      </c>
      <c r="KZ39" s="1">
        <v>45</v>
      </c>
      <c r="LA39" s="1">
        <v>22.727272727272741</v>
      </c>
      <c r="LB39" s="1">
        <v>77.272727272727366</v>
      </c>
      <c r="LC39" s="1">
        <v>44</v>
      </c>
      <c r="LD39" s="1">
        <v>0</v>
      </c>
      <c r="LE39" s="1">
        <v>30.000000000000007</v>
      </c>
      <c r="LF39" s="1">
        <v>70</v>
      </c>
      <c r="LG39" s="1">
        <v>10</v>
      </c>
    </row>
    <row r="40" spans="1:319" x14ac:dyDescent="0.25">
      <c r="A40" s="1">
        <v>126</v>
      </c>
      <c r="B40" s="1">
        <v>23.333333333333339</v>
      </c>
      <c r="C40" s="1">
        <v>76.666666666666657</v>
      </c>
      <c r="D40" s="1">
        <v>30</v>
      </c>
      <c r="E40" s="1">
        <v>86.956521739130451</v>
      </c>
      <c r="F40" s="1">
        <v>13.043478260869565</v>
      </c>
      <c r="G40" s="1">
        <v>23</v>
      </c>
      <c r="H40" s="1">
        <v>62.500000000000014</v>
      </c>
      <c r="I40" s="1">
        <v>37.500000000000007</v>
      </c>
      <c r="J40" s="1">
        <v>16</v>
      </c>
      <c r="K40" s="1">
        <v>1</v>
      </c>
      <c r="L40" s="1">
        <v>22.79460000000002</v>
      </c>
      <c r="M40" s="1">
        <v>0.75982000000000027</v>
      </c>
      <c r="N40" s="1">
        <v>0.75982000000000027</v>
      </c>
      <c r="O40" s="1">
        <v>10.637479999999998</v>
      </c>
      <c r="P40" s="1">
        <v>1.5196400000000005</v>
      </c>
      <c r="Q40" s="1">
        <v>8.3580200000000051</v>
      </c>
      <c r="R40" s="1">
        <v>1.5196400000000005</v>
      </c>
      <c r="S40" s="1">
        <v>0.75982000000000027</v>
      </c>
      <c r="T40" s="1">
        <v>0</v>
      </c>
      <c r="U40" s="1">
        <v>2.2794600000000003</v>
      </c>
      <c r="V40" s="1">
        <v>0.75982000000000027</v>
      </c>
      <c r="W40" s="1">
        <v>3.3333333333333333E-2</v>
      </c>
      <c r="X40" s="1">
        <v>3.3333333333333333E-2</v>
      </c>
      <c r="Y40" s="1">
        <v>0.46666666666666673</v>
      </c>
      <c r="Z40" s="1">
        <v>6.6666666666666666E-2</v>
      </c>
      <c r="AA40" s="1">
        <v>0.3666666666666667</v>
      </c>
      <c r="AB40" s="1">
        <v>6.6666666666666666E-2</v>
      </c>
      <c r="AC40" s="1">
        <v>3.3333333333333333E-2</v>
      </c>
      <c r="AD40" s="1">
        <v>0</v>
      </c>
      <c r="AE40" s="1">
        <v>0.10000000000000005</v>
      </c>
      <c r="AF40" s="1">
        <v>3.3333333333333333E-2</v>
      </c>
      <c r="AG40" s="1">
        <v>1</v>
      </c>
      <c r="AH40" s="1">
        <v>30</v>
      </c>
      <c r="AI40" s="1">
        <v>1</v>
      </c>
      <c r="AJ40" s="1">
        <v>16.716040000000007</v>
      </c>
      <c r="AK40" s="1">
        <v>3.7990999999999984</v>
      </c>
      <c r="AL40" s="1">
        <v>12.157120000000003</v>
      </c>
      <c r="AM40" s="1">
        <v>1.5196400000000005</v>
      </c>
      <c r="AN40" s="1">
        <v>1.5196400000000005</v>
      </c>
      <c r="AO40" s="1">
        <v>0.75982000000000027</v>
      </c>
      <c r="AP40" s="1">
        <v>2.2794600000000003</v>
      </c>
      <c r="AQ40" s="1">
        <v>0.22727272727272746</v>
      </c>
      <c r="AR40" s="1">
        <v>0.72727272727272696</v>
      </c>
      <c r="AS40" s="1">
        <v>9.090909090909087E-2</v>
      </c>
      <c r="AT40" s="1">
        <v>9.090909090909087E-2</v>
      </c>
      <c r="AU40" s="1">
        <v>4.5454545454545435E-2</v>
      </c>
      <c r="AV40" s="1">
        <v>0.13636363636363638</v>
      </c>
      <c r="AW40" s="1">
        <v>1</v>
      </c>
      <c r="AX40" s="1">
        <v>22</v>
      </c>
      <c r="AY40" s="1">
        <v>9.8333333333333339</v>
      </c>
      <c r="AZ40" s="1">
        <v>10</v>
      </c>
      <c r="BA40" s="1">
        <v>9.9333333333333336</v>
      </c>
      <c r="BB40" s="1">
        <v>0</v>
      </c>
      <c r="BC40" s="1">
        <v>0</v>
      </c>
      <c r="BD40" s="1">
        <v>0</v>
      </c>
      <c r="BE40" s="1">
        <v>0</v>
      </c>
      <c r="BF40" s="1">
        <v>0</v>
      </c>
      <c r="BG40" s="1">
        <v>0</v>
      </c>
      <c r="BH40" s="1">
        <v>0</v>
      </c>
      <c r="BI40" s="1">
        <v>0</v>
      </c>
      <c r="BJ40" s="1">
        <v>16.666666666666671</v>
      </c>
      <c r="BK40" s="1">
        <v>83.333333333333329</v>
      </c>
      <c r="BL40" s="1">
        <v>9.8333333333333215</v>
      </c>
      <c r="BM40" s="1">
        <v>30</v>
      </c>
      <c r="BN40" s="1">
        <v>0</v>
      </c>
      <c r="BO40" s="1">
        <v>0</v>
      </c>
      <c r="BP40" s="1">
        <v>0</v>
      </c>
      <c r="BQ40" s="1">
        <v>0</v>
      </c>
      <c r="BR40" s="1">
        <v>0</v>
      </c>
      <c r="BS40" s="1">
        <v>0</v>
      </c>
      <c r="BT40" s="1">
        <v>0</v>
      </c>
      <c r="BU40" s="1">
        <v>0</v>
      </c>
      <c r="BV40" s="1">
        <v>0</v>
      </c>
      <c r="BW40" s="1">
        <v>100</v>
      </c>
      <c r="BX40" s="1">
        <v>9.9999999999999982</v>
      </c>
      <c r="BY40" s="1">
        <v>30</v>
      </c>
      <c r="BZ40" s="1">
        <v>0</v>
      </c>
      <c r="CA40" s="1">
        <v>0</v>
      </c>
      <c r="CB40" s="1">
        <v>0</v>
      </c>
      <c r="CC40" s="1">
        <v>0</v>
      </c>
      <c r="CD40" s="1">
        <v>0</v>
      </c>
      <c r="CE40" s="1">
        <v>0</v>
      </c>
      <c r="CF40" s="1">
        <v>0</v>
      </c>
      <c r="CG40" s="1">
        <v>0</v>
      </c>
      <c r="CH40" s="1">
        <v>6.6666666666666643</v>
      </c>
      <c r="CI40" s="1">
        <v>93.333333333333357</v>
      </c>
      <c r="CJ40" s="1">
        <v>9.9333333333333318</v>
      </c>
      <c r="CK40" s="1">
        <v>30</v>
      </c>
      <c r="CL40" s="1">
        <v>89.285714285714235</v>
      </c>
      <c r="CM40" s="1">
        <v>10.714285714285717</v>
      </c>
      <c r="CN40" s="1">
        <v>0</v>
      </c>
      <c r="CO40" s="1">
        <v>0</v>
      </c>
      <c r="CP40" s="1">
        <v>0</v>
      </c>
      <c r="CQ40" s="1">
        <v>28</v>
      </c>
      <c r="CR40" s="1">
        <v>93.103448275862007</v>
      </c>
      <c r="CS40" s="1">
        <v>6.8965517241379342</v>
      </c>
      <c r="CT40" s="1">
        <v>0</v>
      </c>
      <c r="CU40" s="1">
        <v>0</v>
      </c>
      <c r="CV40" s="1">
        <v>0</v>
      </c>
      <c r="CW40" s="1">
        <v>29</v>
      </c>
      <c r="CX40" s="1">
        <v>93.333333333333357</v>
      </c>
      <c r="CY40" s="1">
        <v>6.6666666666666643</v>
      </c>
      <c r="CZ40" s="1">
        <v>0</v>
      </c>
      <c r="DA40" s="1">
        <v>0</v>
      </c>
      <c r="DB40" s="1">
        <v>0</v>
      </c>
      <c r="DC40" s="1">
        <v>30</v>
      </c>
      <c r="DD40" s="1">
        <v>100</v>
      </c>
      <c r="DE40" s="1">
        <v>0</v>
      </c>
      <c r="DF40" s="1">
        <v>0</v>
      </c>
      <c r="DG40" s="1">
        <v>0</v>
      </c>
      <c r="DH40" s="1">
        <v>0</v>
      </c>
      <c r="DI40" s="1">
        <v>30</v>
      </c>
      <c r="DJ40" s="1">
        <v>100</v>
      </c>
      <c r="DK40" s="1">
        <v>0</v>
      </c>
      <c r="DL40" s="1">
        <v>0</v>
      </c>
      <c r="DM40" s="1">
        <v>0</v>
      </c>
      <c r="DN40" s="1">
        <v>0</v>
      </c>
      <c r="DO40" s="1">
        <v>16</v>
      </c>
      <c r="DP40" s="1">
        <v>100.00000000000001</v>
      </c>
      <c r="DQ40" s="1">
        <v>0</v>
      </c>
      <c r="DR40" s="1">
        <v>0</v>
      </c>
      <c r="DS40" s="1">
        <v>0</v>
      </c>
      <c r="DT40" s="1">
        <v>0</v>
      </c>
      <c r="DU40" s="1">
        <v>28</v>
      </c>
      <c r="DV40" s="1">
        <v>100</v>
      </c>
      <c r="DW40" s="1">
        <v>0</v>
      </c>
      <c r="DX40" s="1">
        <v>0</v>
      </c>
      <c r="DY40" s="1">
        <v>0</v>
      </c>
      <c r="DZ40" s="1">
        <v>0</v>
      </c>
      <c r="EA40" s="1">
        <v>21</v>
      </c>
      <c r="EB40" s="1">
        <v>83.333333333333343</v>
      </c>
      <c r="EC40" s="1">
        <v>16.666666666666671</v>
      </c>
      <c r="ED40" s="1">
        <v>0</v>
      </c>
      <c r="EE40" s="1">
        <v>0</v>
      </c>
      <c r="EF40" s="1">
        <v>0</v>
      </c>
      <c r="EG40" s="1">
        <v>6</v>
      </c>
      <c r="EH40" s="1">
        <v>50</v>
      </c>
      <c r="EI40" s="1">
        <v>33.333333333333343</v>
      </c>
      <c r="EJ40" s="1">
        <v>16.666666666666671</v>
      </c>
      <c r="EK40" s="1">
        <v>0</v>
      </c>
      <c r="EL40" s="1">
        <v>0</v>
      </c>
      <c r="EM40" s="1">
        <v>6</v>
      </c>
      <c r="EN40" s="1">
        <v>60.000000000000007</v>
      </c>
      <c r="EO40" s="1">
        <v>20</v>
      </c>
      <c r="EP40" s="1">
        <v>0</v>
      </c>
      <c r="EQ40" s="1">
        <v>20</v>
      </c>
      <c r="ER40" s="1">
        <v>0</v>
      </c>
      <c r="ES40" s="1">
        <v>5</v>
      </c>
      <c r="ET40" s="1">
        <v>80</v>
      </c>
      <c r="EU40" s="1">
        <v>0</v>
      </c>
      <c r="EV40" s="1">
        <v>0</v>
      </c>
      <c r="EW40" s="1">
        <v>20</v>
      </c>
      <c r="EX40" s="1">
        <v>0</v>
      </c>
      <c r="EY40" s="1">
        <v>5</v>
      </c>
      <c r="EZ40" s="1">
        <v>60.000000000000007</v>
      </c>
      <c r="FA40" s="1">
        <v>20</v>
      </c>
      <c r="FB40" s="1">
        <v>0</v>
      </c>
      <c r="FC40" s="1">
        <v>20</v>
      </c>
      <c r="FD40" s="1">
        <v>0</v>
      </c>
      <c r="FE40" s="1">
        <v>5</v>
      </c>
      <c r="FF40" s="1">
        <v>50</v>
      </c>
      <c r="FG40" s="1">
        <v>33.333333333333343</v>
      </c>
      <c r="FH40" s="1">
        <v>0</v>
      </c>
      <c r="FI40" s="1">
        <v>16.666666666666671</v>
      </c>
      <c r="FJ40" s="1">
        <v>0</v>
      </c>
      <c r="FK40" s="1">
        <v>6</v>
      </c>
      <c r="FL40" s="1">
        <v>60.000000000000007</v>
      </c>
      <c r="FM40" s="1">
        <v>40</v>
      </c>
      <c r="FN40" s="1">
        <v>0</v>
      </c>
      <c r="FO40" s="1">
        <v>0</v>
      </c>
      <c r="FP40" s="1">
        <v>0</v>
      </c>
      <c r="FQ40" s="1">
        <v>5</v>
      </c>
      <c r="FR40" s="1">
        <v>100</v>
      </c>
      <c r="FS40" s="1">
        <v>0</v>
      </c>
      <c r="FT40" s="1">
        <v>0</v>
      </c>
      <c r="FU40" s="1">
        <v>0</v>
      </c>
      <c r="FV40" s="1">
        <v>0</v>
      </c>
      <c r="FW40" s="1">
        <v>3</v>
      </c>
      <c r="FX40" s="1">
        <v>96.551724137931046</v>
      </c>
      <c r="FY40" s="1">
        <v>3.4482758620689671</v>
      </c>
      <c r="FZ40" s="1">
        <v>0</v>
      </c>
      <c r="GA40" s="1">
        <v>0</v>
      </c>
      <c r="GB40" s="1">
        <v>0</v>
      </c>
      <c r="GC40" s="1">
        <v>29</v>
      </c>
      <c r="GD40" s="1">
        <v>100</v>
      </c>
      <c r="GE40" s="1">
        <v>0</v>
      </c>
      <c r="GF40" s="1">
        <v>0</v>
      </c>
      <c r="GG40" s="1">
        <v>0</v>
      </c>
      <c r="GH40" s="1">
        <v>0</v>
      </c>
      <c r="GI40" s="1">
        <v>8</v>
      </c>
      <c r="GJ40" s="1">
        <v>87.5</v>
      </c>
      <c r="GK40" s="1">
        <v>12.499999999999998</v>
      </c>
      <c r="GL40" s="1">
        <v>0</v>
      </c>
      <c r="GM40" s="1">
        <v>0</v>
      </c>
      <c r="GN40" s="1">
        <v>0</v>
      </c>
      <c r="GO40" s="1">
        <v>8</v>
      </c>
      <c r="GP40" s="1">
        <v>100</v>
      </c>
      <c r="GQ40" s="1">
        <v>0</v>
      </c>
      <c r="GR40" s="1">
        <v>0</v>
      </c>
      <c r="GS40" s="1">
        <v>0</v>
      </c>
      <c r="GT40" s="1">
        <v>0</v>
      </c>
      <c r="GU40" s="1">
        <v>8</v>
      </c>
      <c r="GV40" s="1">
        <v>100</v>
      </c>
      <c r="GW40" s="1">
        <v>0</v>
      </c>
      <c r="GX40" s="1">
        <v>0</v>
      </c>
      <c r="GY40" s="1">
        <v>0</v>
      </c>
      <c r="GZ40" s="1">
        <v>0</v>
      </c>
      <c r="HA40" s="1">
        <v>8</v>
      </c>
      <c r="HB40" s="1">
        <v>100</v>
      </c>
      <c r="HC40" s="1">
        <v>0</v>
      </c>
      <c r="HD40" s="1">
        <v>0</v>
      </c>
      <c r="HE40" s="1">
        <v>0</v>
      </c>
      <c r="HF40" s="1">
        <v>0</v>
      </c>
      <c r="HG40" s="1">
        <v>9</v>
      </c>
      <c r="HH40" s="1">
        <v>100</v>
      </c>
      <c r="HI40" s="1">
        <v>0</v>
      </c>
      <c r="HJ40" s="1">
        <v>0</v>
      </c>
      <c r="HK40" s="1">
        <v>0</v>
      </c>
      <c r="HL40" s="1">
        <v>0</v>
      </c>
      <c r="HM40" s="1">
        <v>12</v>
      </c>
      <c r="HN40" s="1">
        <v>0</v>
      </c>
      <c r="HO40" s="1">
        <v>0</v>
      </c>
      <c r="HP40" s="1">
        <v>0</v>
      </c>
      <c r="HQ40" s="1">
        <v>0</v>
      </c>
      <c r="HR40" s="1">
        <v>0</v>
      </c>
      <c r="HS40" s="1">
        <v>0</v>
      </c>
      <c r="HT40" s="1">
        <v>0</v>
      </c>
      <c r="HU40" s="1">
        <v>0</v>
      </c>
      <c r="HV40" s="1">
        <v>0</v>
      </c>
      <c r="HW40" s="1">
        <v>0</v>
      </c>
      <c r="HX40" s="1">
        <v>0</v>
      </c>
      <c r="HY40" s="1">
        <v>0</v>
      </c>
      <c r="HZ40" s="1">
        <v>0</v>
      </c>
      <c r="IA40" s="1">
        <v>0</v>
      </c>
      <c r="IB40" s="1">
        <v>0</v>
      </c>
      <c r="IC40" s="1">
        <v>0</v>
      </c>
      <c r="ID40" s="1">
        <v>0</v>
      </c>
      <c r="IE40" s="1">
        <v>0</v>
      </c>
      <c r="IF40" s="1">
        <v>9.7931034482758612</v>
      </c>
      <c r="IG40" s="1">
        <v>0</v>
      </c>
      <c r="IH40" s="1">
        <v>0</v>
      </c>
      <c r="II40" s="1">
        <v>0</v>
      </c>
      <c r="IJ40" s="1">
        <v>0</v>
      </c>
      <c r="IK40" s="1">
        <v>0</v>
      </c>
      <c r="IL40" s="1">
        <v>0</v>
      </c>
      <c r="IM40" s="1">
        <v>0</v>
      </c>
      <c r="IN40" s="1">
        <v>0</v>
      </c>
      <c r="IO40" s="1">
        <v>20.689655172413797</v>
      </c>
      <c r="IP40" s="1">
        <v>79.310344827586192</v>
      </c>
      <c r="IQ40" s="1">
        <v>9.7931034482758648</v>
      </c>
      <c r="IR40" s="1">
        <v>29</v>
      </c>
      <c r="IS40" s="1">
        <v>43.333333333333321</v>
      </c>
      <c r="IT40" s="1">
        <v>39.999999999999993</v>
      </c>
      <c r="IU40" s="1">
        <v>16.666666666666671</v>
      </c>
      <c r="IV40" s="1">
        <v>0</v>
      </c>
      <c r="IW40" s="1">
        <v>0</v>
      </c>
      <c r="IX40" s="1">
        <v>30</v>
      </c>
      <c r="IY40" s="1">
        <v>1</v>
      </c>
      <c r="IZ40" s="1">
        <v>22.79460000000002</v>
      </c>
      <c r="JA40" s="1">
        <v>9.877659999999997</v>
      </c>
      <c r="JB40" s="1">
        <v>6.8383800000000017</v>
      </c>
      <c r="JC40" s="1">
        <v>3.0392800000000011</v>
      </c>
      <c r="JD40" s="1">
        <v>3.0392800000000011</v>
      </c>
      <c r="JE40" s="1">
        <v>0.43333333333333346</v>
      </c>
      <c r="JF40" s="1">
        <v>0.30000000000000004</v>
      </c>
      <c r="JG40" s="1">
        <v>0.13333333333333333</v>
      </c>
      <c r="JH40" s="1">
        <v>0.13333333333333333</v>
      </c>
      <c r="JI40" s="1">
        <v>1</v>
      </c>
      <c r="JJ40" s="1">
        <v>30</v>
      </c>
      <c r="JK40" s="1">
        <v>2</v>
      </c>
      <c r="JL40" s="1">
        <v>1.9999999999999998</v>
      </c>
      <c r="JM40" s="1">
        <v>30</v>
      </c>
      <c r="JN40" s="1">
        <v>92.857142857142819</v>
      </c>
      <c r="JO40" s="1">
        <v>7.1428571428571397</v>
      </c>
      <c r="JP40" s="1">
        <v>14</v>
      </c>
      <c r="JQ40" s="1">
        <v>93.750000000000014</v>
      </c>
      <c r="JR40" s="1">
        <v>6.25</v>
      </c>
      <c r="JS40" s="1">
        <v>16</v>
      </c>
      <c r="JT40" s="1">
        <v>85.185185185185205</v>
      </c>
      <c r="JU40" s="1">
        <v>14.814814814814824</v>
      </c>
      <c r="JV40" s="1">
        <v>27</v>
      </c>
      <c r="JW40" s="1">
        <v>95.652173913043484</v>
      </c>
      <c r="JX40" s="1">
        <v>4.3478260869565206</v>
      </c>
      <c r="JY40" s="1">
        <v>23</v>
      </c>
      <c r="JZ40" s="1">
        <v>30</v>
      </c>
      <c r="KA40" s="1">
        <v>69.999999999999986</v>
      </c>
      <c r="KB40" s="1">
        <v>30</v>
      </c>
      <c r="KC40" s="1">
        <v>100</v>
      </c>
      <c r="KD40" s="1">
        <v>0</v>
      </c>
      <c r="KE40" s="1">
        <v>30</v>
      </c>
      <c r="KF40" s="1">
        <v>3.7333333333333334</v>
      </c>
      <c r="KG40" s="1">
        <v>0</v>
      </c>
      <c r="KH40" s="1">
        <v>9.9999999999999982</v>
      </c>
      <c r="KI40" s="1">
        <v>19.999999999999996</v>
      </c>
      <c r="KJ40" s="1">
        <v>56.666666666666679</v>
      </c>
      <c r="KK40" s="1">
        <v>13.333333333333329</v>
      </c>
      <c r="KL40" s="1">
        <v>30</v>
      </c>
      <c r="KM40" s="1">
        <v>63.599999999999952</v>
      </c>
      <c r="KN40" s="1">
        <v>19</v>
      </c>
      <c r="KO40" s="1">
        <v>0</v>
      </c>
      <c r="KP40" s="1">
        <v>0</v>
      </c>
      <c r="KQ40" s="1">
        <v>99.999999999999986</v>
      </c>
      <c r="KR40" s="1">
        <v>0</v>
      </c>
      <c r="KS40" s="1">
        <v>0</v>
      </c>
      <c r="KT40" s="1">
        <v>1</v>
      </c>
      <c r="KU40" s="1">
        <v>3.3333333333333321</v>
      </c>
      <c r="KV40" s="1">
        <v>0</v>
      </c>
      <c r="KW40" s="1">
        <v>3.3333333333333321</v>
      </c>
      <c r="KX40" s="1">
        <v>93.333333333333357</v>
      </c>
      <c r="KY40" s="1">
        <v>0</v>
      </c>
      <c r="KZ40" s="1">
        <v>30</v>
      </c>
      <c r="LA40" s="1">
        <v>13.793103448275868</v>
      </c>
      <c r="LB40" s="1">
        <v>86.206896551724142</v>
      </c>
      <c r="LC40" s="1">
        <v>29</v>
      </c>
      <c r="LD40" s="1">
        <v>0</v>
      </c>
      <c r="LE40" s="1">
        <v>24.999999999999996</v>
      </c>
      <c r="LF40" s="1">
        <v>75</v>
      </c>
      <c r="LG40" s="1">
        <v>4</v>
      </c>
    </row>
    <row r="41" spans="1:319" x14ac:dyDescent="0.25">
      <c r="A41" s="1">
        <v>127</v>
      </c>
      <c r="B41" s="1">
        <v>16.326530612244927</v>
      </c>
      <c r="C41" s="1">
        <v>83.673469387755148</v>
      </c>
      <c r="D41" s="1">
        <v>49</v>
      </c>
      <c r="E41" s="1">
        <v>86.842105263157904</v>
      </c>
      <c r="F41" s="1">
        <v>13.157894736842122</v>
      </c>
      <c r="G41" s="1">
        <v>38</v>
      </c>
      <c r="H41" s="1">
        <v>50.000000000000007</v>
      </c>
      <c r="I41" s="1">
        <v>50.000000000000007</v>
      </c>
      <c r="J41" s="1">
        <v>32</v>
      </c>
      <c r="K41" s="1">
        <v>1</v>
      </c>
      <c r="L41" s="1">
        <v>34.356420000000028</v>
      </c>
      <c r="M41" s="1">
        <v>0.54533999999999994</v>
      </c>
      <c r="N41" s="1">
        <v>0.54533999999999994</v>
      </c>
      <c r="O41" s="1">
        <v>31.629719999999953</v>
      </c>
      <c r="P41" s="1">
        <v>3.8173800000000062</v>
      </c>
      <c r="Q41" s="1">
        <v>3.2720400000000023</v>
      </c>
      <c r="R41" s="1">
        <v>2.7266999999999966</v>
      </c>
      <c r="S41" s="1">
        <v>0</v>
      </c>
      <c r="T41" s="1">
        <v>1.0906799999999999</v>
      </c>
      <c r="U41" s="1">
        <v>0.54533999999999994</v>
      </c>
      <c r="V41" s="1">
        <v>1.0906799999999999</v>
      </c>
      <c r="W41" s="1">
        <v>1.58730158730159E-2</v>
      </c>
      <c r="X41" s="1">
        <v>1.58730158730159E-2</v>
      </c>
      <c r="Y41" s="1">
        <v>0.92063492063491914</v>
      </c>
      <c r="Z41" s="1">
        <v>0.11111111111111095</v>
      </c>
      <c r="AA41" s="1">
        <v>9.5238095238095163E-2</v>
      </c>
      <c r="AB41" s="1">
        <v>7.9365079365079361E-2</v>
      </c>
      <c r="AC41" s="1">
        <v>0</v>
      </c>
      <c r="AD41" s="1">
        <v>3.17460317460318E-2</v>
      </c>
      <c r="AE41" s="1">
        <v>1.58730158730159E-2</v>
      </c>
      <c r="AF41" s="1">
        <v>3.17460317460318E-2</v>
      </c>
      <c r="AG41" s="1">
        <v>1</v>
      </c>
      <c r="AH41" s="1">
        <v>63</v>
      </c>
      <c r="AI41" s="1">
        <v>1</v>
      </c>
      <c r="AJ41" s="1">
        <v>28.357680000000013</v>
      </c>
      <c r="AK41" s="1">
        <v>10.361459999999999</v>
      </c>
      <c r="AL41" s="1">
        <v>4.9080599999999999</v>
      </c>
      <c r="AM41" s="1">
        <v>7.6347600000000142</v>
      </c>
      <c r="AN41" s="1">
        <v>5.4533999999999931</v>
      </c>
      <c r="AO41" s="1">
        <v>1.6360200000000016</v>
      </c>
      <c r="AP41" s="1">
        <v>9.8161199999999997</v>
      </c>
      <c r="AQ41" s="1">
        <v>0.36538461538461581</v>
      </c>
      <c r="AR41" s="1">
        <v>0.17307692307692329</v>
      </c>
      <c r="AS41" s="1">
        <v>0.26923076923076972</v>
      </c>
      <c r="AT41" s="1">
        <v>0.19230769230769218</v>
      </c>
      <c r="AU41" s="1">
        <v>5.7692307692307813E-2</v>
      </c>
      <c r="AV41" s="1">
        <v>0.34615384615384659</v>
      </c>
      <c r="AW41" s="1">
        <v>1</v>
      </c>
      <c r="AX41" s="1">
        <v>52</v>
      </c>
      <c r="AY41" s="1">
        <v>9.8235294117647065</v>
      </c>
      <c r="AZ41" s="1">
        <v>9.9642857142857135</v>
      </c>
      <c r="BA41" s="1">
        <v>9.816326530612244</v>
      </c>
      <c r="BB41" s="1">
        <v>0</v>
      </c>
      <c r="BC41" s="1">
        <v>0</v>
      </c>
      <c r="BD41" s="1">
        <v>0</v>
      </c>
      <c r="BE41" s="1">
        <v>0</v>
      </c>
      <c r="BF41" s="1">
        <v>1.9607843137254941</v>
      </c>
      <c r="BG41" s="1">
        <v>0</v>
      </c>
      <c r="BH41" s="1">
        <v>0</v>
      </c>
      <c r="BI41" s="1">
        <v>1.9607843137254941</v>
      </c>
      <c r="BJ41" s="1">
        <v>3.9215686274509882</v>
      </c>
      <c r="BK41" s="1">
        <v>92.156862745097968</v>
      </c>
      <c r="BL41" s="1">
        <v>9.8235294117647065</v>
      </c>
      <c r="BM41" s="1">
        <v>51</v>
      </c>
      <c r="BN41" s="1">
        <v>0</v>
      </c>
      <c r="BO41" s="1">
        <v>0</v>
      </c>
      <c r="BP41" s="1">
        <v>0</v>
      </c>
      <c r="BQ41" s="1">
        <v>0</v>
      </c>
      <c r="BR41" s="1">
        <v>0</v>
      </c>
      <c r="BS41" s="1">
        <v>0</v>
      </c>
      <c r="BT41" s="1">
        <v>0</v>
      </c>
      <c r="BU41" s="1">
        <v>0</v>
      </c>
      <c r="BV41" s="1">
        <v>3.5714285714285774</v>
      </c>
      <c r="BW41" s="1">
        <v>96.428571428571502</v>
      </c>
      <c r="BX41" s="1">
        <v>9.9642857142857082</v>
      </c>
      <c r="BY41" s="1">
        <v>56</v>
      </c>
      <c r="BZ41" s="1">
        <v>0</v>
      </c>
      <c r="CA41" s="1">
        <v>0</v>
      </c>
      <c r="CB41" s="1">
        <v>0</v>
      </c>
      <c r="CC41" s="1">
        <v>0</v>
      </c>
      <c r="CD41" s="1">
        <v>0</v>
      </c>
      <c r="CE41" s="1">
        <v>0</v>
      </c>
      <c r="CF41" s="1">
        <v>0</v>
      </c>
      <c r="CG41" s="1">
        <v>8.1632653061224634</v>
      </c>
      <c r="CH41" s="1">
        <v>2.0408163265306158</v>
      </c>
      <c r="CI41" s="1">
        <v>89.795918367346843</v>
      </c>
      <c r="CJ41" s="1">
        <v>9.8163265306122423</v>
      </c>
      <c r="CK41" s="1">
        <v>49</v>
      </c>
      <c r="CL41" s="1">
        <v>82.857142857142847</v>
      </c>
      <c r="CM41" s="1">
        <v>17.142857142857132</v>
      </c>
      <c r="CN41" s="1">
        <v>0</v>
      </c>
      <c r="CO41" s="1">
        <v>0</v>
      </c>
      <c r="CP41" s="1">
        <v>0</v>
      </c>
      <c r="CQ41" s="1">
        <v>35</v>
      </c>
      <c r="CR41" s="1">
        <v>87.096774193548328</v>
      </c>
      <c r="CS41" s="1">
        <v>12.903225806451614</v>
      </c>
      <c r="CT41" s="1">
        <v>0</v>
      </c>
      <c r="CU41" s="1">
        <v>0</v>
      </c>
      <c r="CV41" s="1">
        <v>0</v>
      </c>
      <c r="CW41" s="1">
        <v>62</v>
      </c>
      <c r="CX41" s="1">
        <v>87.755102040816368</v>
      </c>
      <c r="CY41" s="1">
        <v>12.244897959183696</v>
      </c>
      <c r="CZ41" s="1">
        <v>0</v>
      </c>
      <c r="DA41" s="1">
        <v>0</v>
      </c>
      <c r="DB41" s="1">
        <v>0</v>
      </c>
      <c r="DC41" s="1">
        <v>49</v>
      </c>
      <c r="DD41" s="1">
        <v>88.709677419354833</v>
      </c>
      <c r="DE41" s="1">
        <v>9.6774193548387082</v>
      </c>
      <c r="DF41" s="1">
        <v>1.6129032258064517</v>
      </c>
      <c r="DG41" s="1">
        <v>0</v>
      </c>
      <c r="DH41" s="1">
        <v>0</v>
      </c>
      <c r="DI41" s="1">
        <v>62</v>
      </c>
      <c r="DJ41" s="1">
        <v>76.744186046511544</v>
      </c>
      <c r="DK41" s="1">
        <v>18.604651162790709</v>
      </c>
      <c r="DL41" s="1">
        <v>2.3255813953488387</v>
      </c>
      <c r="DM41" s="1">
        <v>2.3255813953488387</v>
      </c>
      <c r="DN41" s="1">
        <v>0</v>
      </c>
      <c r="DO41" s="1">
        <v>43</v>
      </c>
      <c r="DP41" s="1">
        <v>85.714285714285651</v>
      </c>
      <c r="DQ41" s="1">
        <v>12.500000000000002</v>
      </c>
      <c r="DR41" s="1">
        <v>1.7857142857142887</v>
      </c>
      <c r="DS41" s="1">
        <v>0</v>
      </c>
      <c r="DT41" s="1">
        <v>0</v>
      </c>
      <c r="DU41" s="1">
        <v>56</v>
      </c>
      <c r="DV41" s="1">
        <v>87.499999999999986</v>
      </c>
      <c r="DW41" s="1">
        <v>0</v>
      </c>
      <c r="DX41" s="1">
        <v>12.5</v>
      </c>
      <c r="DY41" s="1">
        <v>0</v>
      </c>
      <c r="DZ41" s="1">
        <v>0</v>
      </c>
      <c r="EA41" s="1">
        <v>8</v>
      </c>
      <c r="EB41" s="1">
        <v>92.307692307692349</v>
      </c>
      <c r="EC41" s="1">
        <v>5.7692307692307736</v>
      </c>
      <c r="ED41" s="1">
        <v>0</v>
      </c>
      <c r="EE41" s="1">
        <v>1.9230769230769227</v>
      </c>
      <c r="EF41" s="1">
        <v>0</v>
      </c>
      <c r="EG41" s="1">
        <v>52</v>
      </c>
      <c r="EH41" s="1">
        <v>53.225806451612833</v>
      </c>
      <c r="EI41" s="1">
        <v>33.870967741935544</v>
      </c>
      <c r="EJ41" s="1">
        <v>8.064516129032258</v>
      </c>
      <c r="EK41" s="1">
        <v>3.2258064516129035</v>
      </c>
      <c r="EL41" s="1">
        <v>1.6129032258064517</v>
      </c>
      <c r="EM41" s="1">
        <v>62</v>
      </c>
      <c r="EN41" s="1">
        <v>68.571428571428527</v>
      </c>
      <c r="EO41" s="1">
        <v>22.857142857142883</v>
      </c>
      <c r="EP41" s="1">
        <v>5.7142857142857206</v>
      </c>
      <c r="EQ41" s="1">
        <v>2.8571428571428603</v>
      </c>
      <c r="ER41" s="1">
        <v>0</v>
      </c>
      <c r="ES41" s="1">
        <v>35</v>
      </c>
      <c r="ET41" s="1">
        <v>72.500000000000014</v>
      </c>
      <c r="EU41" s="1">
        <v>22.500000000000004</v>
      </c>
      <c r="EV41" s="1">
        <v>5.0000000000000009</v>
      </c>
      <c r="EW41" s="1">
        <v>0</v>
      </c>
      <c r="EX41" s="1">
        <v>0</v>
      </c>
      <c r="EY41" s="1">
        <v>40</v>
      </c>
      <c r="EZ41" s="1">
        <v>66.666666666666629</v>
      </c>
      <c r="FA41" s="1">
        <v>27.272727272727266</v>
      </c>
      <c r="FB41" s="1">
        <v>6.0606060606060632</v>
      </c>
      <c r="FC41" s="1">
        <v>0</v>
      </c>
      <c r="FD41" s="1">
        <v>0</v>
      </c>
      <c r="FE41" s="1">
        <v>33</v>
      </c>
      <c r="FF41" s="1">
        <v>76.744186046511544</v>
      </c>
      <c r="FG41" s="1">
        <v>20.930232558139551</v>
      </c>
      <c r="FH41" s="1">
        <v>2.3255813953488387</v>
      </c>
      <c r="FI41" s="1">
        <v>0</v>
      </c>
      <c r="FJ41" s="1">
        <v>0</v>
      </c>
      <c r="FK41" s="1">
        <v>43</v>
      </c>
      <c r="FL41" s="1">
        <v>72.000000000000014</v>
      </c>
      <c r="FM41" s="1">
        <v>20.000000000000004</v>
      </c>
      <c r="FN41" s="1">
        <v>4.0000000000000009</v>
      </c>
      <c r="FO41" s="1">
        <v>4.0000000000000009</v>
      </c>
      <c r="FP41" s="1">
        <v>0</v>
      </c>
      <c r="FQ41" s="1">
        <v>25</v>
      </c>
      <c r="FR41" s="1">
        <v>59.090909090909037</v>
      </c>
      <c r="FS41" s="1">
        <v>22.727272727272741</v>
      </c>
      <c r="FT41" s="1">
        <v>18.181818181818169</v>
      </c>
      <c r="FU41" s="1">
        <v>0</v>
      </c>
      <c r="FV41" s="1">
        <v>0</v>
      </c>
      <c r="FW41" s="1">
        <v>22</v>
      </c>
      <c r="FX41" s="1">
        <v>86.538461538461576</v>
      </c>
      <c r="FY41" s="1">
        <v>13.46153846153846</v>
      </c>
      <c r="FZ41" s="1">
        <v>0</v>
      </c>
      <c r="GA41" s="1">
        <v>0</v>
      </c>
      <c r="GB41" s="1">
        <v>0</v>
      </c>
      <c r="GC41" s="1">
        <v>52</v>
      </c>
      <c r="GD41" s="1">
        <v>86.6666666666667</v>
      </c>
      <c r="GE41" s="1">
        <v>13.333333333333345</v>
      </c>
      <c r="GF41" s="1">
        <v>0</v>
      </c>
      <c r="GG41" s="1">
        <v>0</v>
      </c>
      <c r="GH41" s="1">
        <v>0</v>
      </c>
      <c r="GI41" s="1">
        <v>15</v>
      </c>
      <c r="GJ41" s="1">
        <v>70.588235294117638</v>
      </c>
      <c r="GK41" s="1">
        <v>29.411764705882376</v>
      </c>
      <c r="GL41" s="1">
        <v>0</v>
      </c>
      <c r="GM41" s="1">
        <v>0</v>
      </c>
      <c r="GN41" s="1">
        <v>0</v>
      </c>
      <c r="GO41" s="1">
        <v>17</v>
      </c>
      <c r="GP41" s="1">
        <v>53.846153846153818</v>
      </c>
      <c r="GQ41" s="1">
        <v>38.461538461538517</v>
      </c>
      <c r="GR41" s="1">
        <v>7.6923076923076827</v>
      </c>
      <c r="GS41" s="1">
        <v>0</v>
      </c>
      <c r="GT41" s="1">
        <v>0</v>
      </c>
      <c r="GU41" s="1">
        <v>13</v>
      </c>
      <c r="GV41" s="1">
        <v>54.545454545454511</v>
      </c>
      <c r="GW41" s="1">
        <v>36.363636363636338</v>
      </c>
      <c r="GX41" s="1">
        <v>9.0909090909090846</v>
      </c>
      <c r="GY41" s="1">
        <v>0</v>
      </c>
      <c r="GZ41" s="1">
        <v>0</v>
      </c>
      <c r="HA41" s="1">
        <v>11</v>
      </c>
      <c r="HB41" s="1">
        <v>59.999999999999993</v>
      </c>
      <c r="HC41" s="1">
        <v>33.333333333333307</v>
      </c>
      <c r="HD41" s="1">
        <v>0</v>
      </c>
      <c r="HE41" s="1">
        <v>0</v>
      </c>
      <c r="HF41" s="1">
        <v>6.6666666666666723</v>
      </c>
      <c r="HG41" s="1">
        <v>15</v>
      </c>
      <c r="HH41" s="1">
        <v>82.352941176470551</v>
      </c>
      <c r="HI41" s="1">
        <v>17.647058823529409</v>
      </c>
      <c r="HJ41" s="1">
        <v>0</v>
      </c>
      <c r="HK41" s="1">
        <v>0</v>
      </c>
      <c r="HL41" s="1">
        <v>0</v>
      </c>
      <c r="HM41" s="1">
        <v>17</v>
      </c>
      <c r="HN41" s="1">
        <v>0</v>
      </c>
      <c r="HO41" s="1">
        <v>0</v>
      </c>
      <c r="HP41" s="1">
        <v>0</v>
      </c>
      <c r="HQ41" s="1">
        <v>0</v>
      </c>
      <c r="HR41" s="1">
        <v>0</v>
      </c>
      <c r="HS41" s="1">
        <v>0</v>
      </c>
      <c r="HT41" s="1">
        <v>0</v>
      </c>
      <c r="HU41" s="1">
        <v>0</v>
      </c>
      <c r="HV41" s="1">
        <v>0</v>
      </c>
      <c r="HW41" s="1">
        <v>0</v>
      </c>
      <c r="HX41" s="1">
        <v>0</v>
      </c>
      <c r="HY41" s="1">
        <v>0</v>
      </c>
      <c r="HZ41" s="1">
        <v>0</v>
      </c>
      <c r="IA41" s="1">
        <v>0</v>
      </c>
      <c r="IB41" s="1">
        <v>0</v>
      </c>
      <c r="IC41" s="1">
        <v>0</v>
      </c>
      <c r="ID41" s="1">
        <v>0</v>
      </c>
      <c r="IE41" s="1">
        <v>0</v>
      </c>
      <c r="IF41" s="1">
        <v>9.5111111111111111</v>
      </c>
      <c r="IG41" s="1">
        <v>0</v>
      </c>
      <c r="IH41" s="1">
        <v>0</v>
      </c>
      <c r="II41" s="1">
        <v>0</v>
      </c>
      <c r="IJ41" s="1">
        <v>0</v>
      </c>
      <c r="IK41" s="1">
        <v>2.2222222222222259</v>
      </c>
      <c r="IL41" s="1">
        <v>0</v>
      </c>
      <c r="IM41" s="1">
        <v>2.2222222222222259</v>
      </c>
      <c r="IN41" s="1">
        <v>11.111111111111118</v>
      </c>
      <c r="IO41" s="1">
        <v>8.8888888888889035</v>
      </c>
      <c r="IP41" s="1">
        <v>75.555555555555628</v>
      </c>
      <c r="IQ41" s="1">
        <v>9.5111111111111075</v>
      </c>
      <c r="IR41" s="1">
        <v>45</v>
      </c>
      <c r="IS41" s="1">
        <v>3.3333333333333361</v>
      </c>
      <c r="IT41" s="1">
        <v>86.6666666666667</v>
      </c>
      <c r="IU41" s="1">
        <v>10.000000000000002</v>
      </c>
      <c r="IV41" s="1">
        <v>0</v>
      </c>
      <c r="IW41" s="1">
        <v>0</v>
      </c>
      <c r="IX41" s="1">
        <v>60</v>
      </c>
      <c r="IY41" s="1">
        <v>1</v>
      </c>
      <c r="IZ41" s="1">
        <v>32.720399999999948</v>
      </c>
      <c r="JA41" s="1">
        <v>14.724180000000016</v>
      </c>
      <c r="JB41" s="1">
        <v>13.088160000000009</v>
      </c>
      <c r="JC41" s="1">
        <v>3.2720400000000023</v>
      </c>
      <c r="JD41" s="1">
        <v>5.4533999999999931</v>
      </c>
      <c r="JE41" s="1">
        <v>0.44999999999999951</v>
      </c>
      <c r="JF41" s="1">
        <v>0.39999999999999963</v>
      </c>
      <c r="JG41" s="1">
        <v>9.9999999999999908E-2</v>
      </c>
      <c r="JH41" s="1">
        <v>0.16666666666666669</v>
      </c>
      <c r="JI41" s="1">
        <v>1</v>
      </c>
      <c r="JJ41" s="1">
        <v>60</v>
      </c>
      <c r="JK41" s="1">
        <v>3.0833333333333335</v>
      </c>
      <c r="JL41" s="1">
        <v>3.0833333333333406</v>
      </c>
      <c r="JM41" s="1">
        <v>60</v>
      </c>
      <c r="JN41" s="1">
        <v>86.206896551724057</v>
      </c>
      <c r="JO41" s="1">
        <v>13.793103448275847</v>
      </c>
      <c r="JP41" s="1">
        <v>29</v>
      </c>
      <c r="JQ41" s="1">
        <v>96.666666666666728</v>
      </c>
      <c r="JR41" s="1">
        <v>3.3333333333333361</v>
      </c>
      <c r="JS41" s="1">
        <v>30</v>
      </c>
      <c r="JT41" s="1">
        <v>96.296296296296305</v>
      </c>
      <c r="JU41" s="1">
        <v>3.7037037037037024</v>
      </c>
      <c r="JV41" s="1">
        <v>54</v>
      </c>
      <c r="JW41" s="1">
        <v>92.105263157894782</v>
      </c>
      <c r="JX41" s="1">
        <v>7.8947368421052628</v>
      </c>
      <c r="JY41" s="1">
        <v>38</v>
      </c>
      <c r="JZ41" s="1">
        <v>49.090909090909044</v>
      </c>
      <c r="KA41" s="1">
        <v>50.909090909090963</v>
      </c>
      <c r="KB41" s="1">
        <v>55</v>
      </c>
      <c r="KC41" s="1">
        <v>99.999999999999986</v>
      </c>
      <c r="KD41" s="1">
        <v>0</v>
      </c>
      <c r="KE41" s="1">
        <v>49</v>
      </c>
      <c r="KF41" s="1">
        <v>3.7755102040816326</v>
      </c>
      <c r="KG41" s="1">
        <v>0</v>
      </c>
      <c r="KH41" s="1">
        <v>4.0816326530612317</v>
      </c>
      <c r="KI41" s="1">
        <v>28.571428571428619</v>
      </c>
      <c r="KJ41" s="1">
        <v>53.061224489796004</v>
      </c>
      <c r="KK41" s="1">
        <v>14.28571428571431</v>
      </c>
      <c r="KL41" s="1">
        <v>49</v>
      </c>
      <c r="KM41" s="1">
        <v>66.734693877550967</v>
      </c>
      <c r="KN41" s="1">
        <v>150</v>
      </c>
      <c r="KO41" s="1">
        <v>0</v>
      </c>
      <c r="KP41" s="1">
        <v>0</v>
      </c>
      <c r="KQ41" s="1">
        <v>0</v>
      </c>
      <c r="KR41" s="1">
        <v>0</v>
      </c>
      <c r="KS41" s="1">
        <v>100</v>
      </c>
      <c r="KT41" s="1">
        <v>1</v>
      </c>
      <c r="KU41" s="1">
        <v>0</v>
      </c>
      <c r="KV41" s="1">
        <v>0</v>
      </c>
      <c r="KW41" s="1">
        <v>1.9230769230769227</v>
      </c>
      <c r="KX41" s="1">
        <v>98.076923076922938</v>
      </c>
      <c r="KY41" s="1">
        <v>0</v>
      </c>
      <c r="KZ41" s="1">
        <v>52</v>
      </c>
      <c r="LA41" s="1">
        <v>14.000000000000002</v>
      </c>
      <c r="LB41" s="1">
        <v>86.000000000000014</v>
      </c>
      <c r="LC41" s="1">
        <v>50</v>
      </c>
      <c r="LD41" s="1">
        <v>0</v>
      </c>
      <c r="LE41" s="1">
        <v>0</v>
      </c>
      <c r="LF41" s="1">
        <v>100</v>
      </c>
      <c r="LG41" s="1">
        <v>7</v>
      </c>
    </row>
    <row r="42" spans="1:319" x14ac:dyDescent="0.25">
      <c r="A42" s="1">
        <v>150</v>
      </c>
      <c r="B42" s="1">
        <v>35.999999999999979</v>
      </c>
      <c r="C42" s="1">
        <v>63.999999999999972</v>
      </c>
      <c r="D42" s="1">
        <v>50</v>
      </c>
      <c r="E42" s="1">
        <v>46.874999999999993</v>
      </c>
      <c r="F42" s="1">
        <v>53.124999999999993</v>
      </c>
      <c r="G42" s="1">
        <v>32</v>
      </c>
      <c r="H42" s="1">
        <v>18.75</v>
      </c>
      <c r="I42" s="1">
        <v>81.25</v>
      </c>
      <c r="J42" s="1">
        <v>16</v>
      </c>
      <c r="K42" s="1">
        <v>1</v>
      </c>
      <c r="L42" s="1">
        <v>28.033500000000021</v>
      </c>
      <c r="M42" s="1">
        <v>21.866130000000013</v>
      </c>
      <c r="N42" s="1">
        <v>1.1213400000000016</v>
      </c>
      <c r="O42" s="1">
        <v>3.3640200000000005</v>
      </c>
      <c r="P42" s="1">
        <v>1.1213400000000016</v>
      </c>
      <c r="Q42" s="1">
        <v>1.1213400000000016</v>
      </c>
      <c r="R42" s="1">
        <v>1.6820100000000002</v>
      </c>
      <c r="S42" s="1">
        <v>0</v>
      </c>
      <c r="T42" s="1">
        <v>0.56067000000000078</v>
      </c>
      <c r="U42" s="1">
        <v>3.9246899999999987</v>
      </c>
      <c r="V42" s="1">
        <v>2.2426800000000031</v>
      </c>
      <c r="W42" s="1">
        <v>0.78000000000000047</v>
      </c>
      <c r="X42" s="1">
        <v>3.999999999999998E-2</v>
      </c>
      <c r="Y42" s="1">
        <v>0.11999999999999987</v>
      </c>
      <c r="Z42" s="1">
        <v>3.999999999999998E-2</v>
      </c>
      <c r="AA42" s="1">
        <v>3.999999999999998E-2</v>
      </c>
      <c r="AB42" s="1">
        <v>5.9999999999999935E-2</v>
      </c>
      <c r="AC42" s="1">
        <v>0</v>
      </c>
      <c r="AD42" s="1">
        <v>1.999999999999999E-2</v>
      </c>
      <c r="AE42" s="1">
        <v>0.13999999999999971</v>
      </c>
      <c r="AF42" s="1">
        <v>7.999999999999996E-2</v>
      </c>
      <c r="AG42" s="1">
        <v>1</v>
      </c>
      <c r="AH42" s="1">
        <v>50</v>
      </c>
      <c r="AI42" s="1">
        <v>1</v>
      </c>
      <c r="AJ42" s="1">
        <v>28.033500000000021</v>
      </c>
      <c r="AK42" s="1">
        <v>24.669480000000025</v>
      </c>
      <c r="AL42" s="1">
        <v>16.259429999999988</v>
      </c>
      <c r="AM42" s="1">
        <v>16.820100000000014</v>
      </c>
      <c r="AN42" s="1">
        <v>19.623450000000027</v>
      </c>
      <c r="AO42" s="1">
        <v>3.3640200000000005</v>
      </c>
      <c r="AP42" s="1">
        <v>2.8033499999999973</v>
      </c>
      <c r="AQ42" s="1">
        <v>0.88000000000000012</v>
      </c>
      <c r="AR42" s="1">
        <v>0.57999999999999907</v>
      </c>
      <c r="AS42" s="1">
        <v>0.59999999999999876</v>
      </c>
      <c r="AT42" s="1">
        <v>0.69999999999999973</v>
      </c>
      <c r="AU42" s="1">
        <v>0.11999999999999987</v>
      </c>
      <c r="AV42" s="1">
        <v>9.9999999999999728E-2</v>
      </c>
      <c r="AW42" s="1">
        <v>1</v>
      </c>
      <c r="AX42" s="1">
        <v>50</v>
      </c>
      <c r="AY42" s="1">
        <v>9.92</v>
      </c>
      <c r="AZ42" s="1">
        <v>9.94</v>
      </c>
      <c r="BA42" s="1">
        <v>9.9166666666666661</v>
      </c>
      <c r="BB42" s="1">
        <v>0</v>
      </c>
      <c r="BC42" s="1">
        <v>0</v>
      </c>
      <c r="BD42" s="1">
        <v>0</v>
      </c>
      <c r="BE42" s="1">
        <v>0</v>
      </c>
      <c r="BF42" s="1">
        <v>0</v>
      </c>
      <c r="BG42" s="1">
        <v>0</v>
      </c>
      <c r="BH42" s="1">
        <v>0</v>
      </c>
      <c r="BI42" s="1">
        <v>1.9999999999999989</v>
      </c>
      <c r="BJ42" s="1">
        <v>3.9999999999999978</v>
      </c>
      <c r="BK42" s="1">
        <v>94</v>
      </c>
      <c r="BL42" s="1">
        <v>9.9199999999999697</v>
      </c>
      <c r="BM42" s="1">
        <v>50</v>
      </c>
      <c r="BN42" s="1">
        <v>0</v>
      </c>
      <c r="BO42" s="1">
        <v>0</v>
      </c>
      <c r="BP42" s="1">
        <v>0</v>
      </c>
      <c r="BQ42" s="1">
        <v>0</v>
      </c>
      <c r="BR42" s="1">
        <v>0</v>
      </c>
      <c r="BS42" s="1">
        <v>0</v>
      </c>
      <c r="BT42" s="1">
        <v>0</v>
      </c>
      <c r="BU42" s="1">
        <v>1.9999999999999989</v>
      </c>
      <c r="BV42" s="1">
        <v>1.9999999999999989</v>
      </c>
      <c r="BW42" s="1">
        <v>95.999999999999986</v>
      </c>
      <c r="BX42" s="1">
        <v>9.9399999999999871</v>
      </c>
      <c r="BY42" s="1">
        <v>50</v>
      </c>
      <c r="BZ42" s="1">
        <v>0</v>
      </c>
      <c r="CA42" s="1">
        <v>0</v>
      </c>
      <c r="CB42" s="1">
        <v>0</v>
      </c>
      <c r="CC42" s="1">
        <v>0</v>
      </c>
      <c r="CD42" s="1">
        <v>0</v>
      </c>
      <c r="CE42" s="1">
        <v>0</v>
      </c>
      <c r="CF42" s="1">
        <v>0</v>
      </c>
      <c r="CG42" s="1">
        <v>2.083333333333329</v>
      </c>
      <c r="CH42" s="1">
        <v>4.1666666666666581</v>
      </c>
      <c r="CI42" s="1">
        <v>93.749999999999986</v>
      </c>
      <c r="CJ42" s="1">
        <v>9.9166666666666394</v>
      </c>
      <c r="CK42" s="1">
        <v>48</v>
      </c>
      <c r="CL42" s="1">
        <v>31.999999999999982</v>
      </c>
      <c r="CM42" s="1">
        <v>49.999999999999964</v>
      </c>
      <c r="CN42" s="1">
        <v>3.9999999999999978</v>
      </c>
      <c r="CO42" s="1">
        <v>13.999999999999991</v>
      </c>
      <c r="CP42" s="1">
        <v>0</v>
      </c>
      <c r="CQ42" s="1">
        <v>50</v>
      </c>
      <c r="CR42" s="1">
        <v>67.999999999999986</v>
      </c>
      <c r="CS42" s="1">
        <v>29.999999999999982</v>
      </c>
      <c r="CT42" s="1">
        <v>1.9999999999999989</v>
      </c>
      <c r="CU42" s="1">
        <v>0</v>
      </c>
      <c r="CV42" s="1">
        <v>0</v>
      </c>
      <c r="CW42" s="1">
        <v>50</v>
      </c>
      <c r="CX42" s="1">
        <v>89.999999999999986</v>
      </c>
      <c r="CY42" s="1">
        <v>9.9999999999999964</v>
      </c>
      <c r="CZ42" s="1">
        <v>0</v>
      </c>
      <c r="DA42" s="1">
        <v>0</v>
      </c>
      <c r="DB42" s="1">
        <v>0</v>
      </c>
      <c r="DC42" s="1">
        <v>50</v>
      </c>
      <c r="DD42" s="1">
        <v>73.999999999999986</v>
      </c>
      <c r="DE42" s="1">
        <v>23.999999999999982</v>
      </c>
      <c r="DF42" s="1">
        <v>1.9999999999999989</v>
      </c>
      <c r="DG42" s="1">
        <v>0</v>
      </c>
      <c r="DH42" s="1">
        <v>0</v>
      </c>
      <c r="DI42" s="1">
        <v>50</v>
      </c>
      <c r="DJ42" s="1">
        <v>79.591836734693885</v>
      </c>
      <c r="DK42" s="1">
        <v>14.28571428571426</v>
      </c>
      <c r="DL42" s="1">
        <v>2.0408163265306074</v>
      </c>
      <c r="DM42" s="1">
        <v>4.0816326530612148</v>
      </c>
      <c r="DN42" s="1">
        <v>0</v>
      </c>
      <c r="DO42" s="1">
        <v>49</v>
      </c>
      <c r="DP42" s="1">
        <v>95.999999999999986</v>
      </c>
      <c r="DQ42" s="1">
        <v>3.9999999999999978</v>
      </c>
      <c r="DR42" s="1">
        <v>0</v>
      </c>
      <c r="DS42" s="1">
        <v>0</v>
      </c>
      <c r="DT42" s="1">
        <v>0</v>
      </c>
      <c r="DU42" s="1">
        <v>50</v>
      </c>
      <c r="DV42" s="1">
        <v>88.235294117646959</v>
      </c>
      <c r="DW42" s="1">
        <v>8.8235294117646976</v>
      </c>
      <c r="DX42" s="1">
        <v>2.9411764705882324</v>
      </c>
      <c r="DY42" s="1">
        <v>0</v>
      </c>
      <c r="DZ42" s="1">
        <v>0</v>
      </c>
      <c r="EA42" s="1">
        <v>34</v>
      </c>
      <c r="EB42" s="1">
        <v>86.666666666666629</v>
      </c>
      <c r="EC42" s="1">
        <v>13.333333333333337</v>
      </c>
      <c r="ED42" s="1">
        <v>0</v>
      </c>
      <c r="EE42" s="1">
        <v>0</v>
      </c>
      <c r="EF42" s="1">
        <v>0</v>
      </c>
      <c r="EG42" s="1">
        <v>15</v>
      </c>
      <c r="EH42" s="1">
        <v>54.545454545454511</v>
      </c>
      <c r="EI42" s="1">
        <v>36.363636363636324</v>
      </c>
      <c r="EJ42" s="1">
        <v>9.0909090909090811</v>
      </c>
      <c r="EK42" s="1">
        <v>0</v>
      </c>
      <c r="EL42" s="1">
        <v>0</v>
      </c>
      <c r="EM42" s="1">
        <v>11</v>
      </c>
      <c r="EN42" s="1">
        <v>54.761904761904631</v>
      </c>
      <c r="EO42" s="1">
        <v>33.333333333333279</v>
      </c>
      <c r="EP42" s="1">
        <v>7.1428571428571299</v>
      </c>
      <c r="EQ42" s="1">
        <v>4.7619047619047583</v>
      </c>
      <c r="ER42" s="1">
        <v>0</v>
      </c>
      <c r="ES42" s="1">
        <v>42</v>
      </c>
      <c r="ET42" s="1">
        <v>54.999999999999979</v>
      </c>
      <c r="EU42" s="1">
        <v>37.499999999999986</v>
      </c>
      <c r="EV42" s="1">
        <v>4.9999999999999982</v>
      </c>
      <c r="EW42" s="1">
        <v>2.4999999999999991</v>
      </c>
      <c r="EX42" s="1">
        <v>0</v>
      </c>
      <c r="EY42" s="1">
        <v>40</v>
      </c>
      <c r="EZ42" s="1">
        <v>56.521739130434817</v>
      </c>
      <c r="FA42" s="1">
        <v>39.130434782608731</v>
      </c>
      <c r="FB42" s="1">
        <v>4.3478260869565242</v>
      </c>
      <c r="FC42" s="1">
        <v>0</v>
      </c>
      <c r="FD42" s="1">
        <v>0</v>
      </c>
      <c r="FE42" s="1">
        <v>23</v>
      </c>
      <c r="FF42" s="1">
        <v>76.190476190476161</v>
      </c>
      <c r="FG42" s="1">
        <v>23.809523809523832</v>
      </c>
      <c r="FH42" s="1">
        <v>0</v>
      </c>
      <c r="FI42" s="1">
        <v>0</v>
      </c>
      <c r="FJ42" s="1">
        <v>0</v>
      </c>
      <c r="FK42" s="1">
        <v>21</v>
      </c>
      <c r="FL42" s="1">
        <v>81.081081081080939</v>
      </c>
      <c r="FM42" s="1">
        <v>13.513513513513505</v>
      </c>
      <c r="FN42" s="1">
        <v>0</v>
      </c>
      <c r="FO42" s="1">
        <v>5.4054054054053973</v>
      </c>
      <c r="FP42" s="1">
        <v>0</v>
      </c>
      <c r="FQ42" s="1">
        <v>37</v>
      </c>
      <c r="FR42" s="1">
        <v>82.142857142857224</v>
      </c>
      <c r="FS42" s="1">
        <v>10.714285714285715</v>
      </c>
      <c r="FT42" s="1">
        <v>7.1428571428571477</v>
      </c>
      <c r="FU42" s="1">
        <v>0</v>
      </c>
      <c r="FV42" s="1">
        <v>0</v>
      </c>
      <c r="FW42" s="1">
        <v>28</v>
      </c>
      <c r="FX42" s="1">
        <v>95.999999999999986</v>
      </c>
      <c r="FY42" s="1">
        <v>3.9999999999999978</v>
      </c>
      <c r="FZ42" s="1">
        <v>0</v>
      </c>
      <c r="GA42" s="1">
        <v>0</v>
      </c>
      <c r="GB42" s="1">
        <v>0</v>
      </c>
      <c r="GC42" s="1">
        <v>50</v>
      </c>
      <c r="GD42" s="1">
        <v>82.758620689655231</v>
      </c>
      <c r="GE42" s="1">
        <v>17.241379310344847</v>
      </c>
      <c r="GF42" s="1">
        <v>0</v>
      </c>
      <c r="GG42" s="1">
        <v>0</v>
      </c>
      <c r="GH42" s="1">
        <v>0</v>
      </c>
      <c r="GI42" s="1">
        <v>29</v>
      </c>
      <c r="GJ42" s="1">
        <v>89.473684210526315</v>
      </c>
      <c r="GK42" s="1">
        <v>10.526315789473694</v>
      </c>
      <c r="GL42" s="1">
        <v>0</v>
      </c>
      <c r="GM42" s="1">
        <v>0</v>
      </c>
      <c r="GN42" s="1">
        <v>0</v>
      </c>
      <c r="GO42" s="1">
        <v>19</v>
      </c>
      <c r="GP42" s="1">
        <v>88.095238095238088</v>
      </c>
      <c r="GQ42" s="1">
        <v>11.904761904761887</v>
      </c>
      <c r="GR42" s="1">
        <v>0</v>
      </c>
      <c r="GS42" s="1">
        <v>0</v>
      </c>
      <c r="GT42" s="1">
        <v>0</v>
      </c>
      <c r="GU42" s="1">
        <v>42</v>
      </c>
      <c r="GV42" s="1">
        <v>95.555555555555614</v>
      </c>
      <c r="GW42" s="1">
        <v>4.4444444444444358</v>
      </c>
      <c r="GX42" s="1">
        <v>0</v>
      </c>
      <c r="GY42" s="1">
        <v>0</v>
      </c>
      <c r="GZ42" s="1">
        <v>0</v>
      </c>
      <c r="HA42" s="1">
        <v>45</v>
      </c>
      <c r="HB42" s="1">
        <v>77.777777777777814</v>
      </c>
      <c r="HC42" s="1">
        <v>11.1111111111111</v>
      </c>
      <c r="HD42" s="1">
        <v>11.1111111111111</v>
      </c>
      <c r="HE42" s="1">
        <v>0</v>
      </c>
      <c r="HF42" s="1">
        <v>0</v>
      </c>
      <c r="HG42" s="1">
        <v>9</v>
      </c>
      <c r="HH42" s="1">
        <v>77.777777777777814</v>
      </c>
      <c r="HI42" s="1">
        <v>11.1111111111111</v>
      </c>
      <c r="HJ42" s="1">
        <v>0</v>
      </c>
      <c r="HK42" s="1">
        <v>11.1111111111111</v>
      </c>
      <c r="HL42" s="1">
        <v>0</v>
      </c>
      <c r="HM42" s="1">
        <v>9</v>
      </c>
      <c r="HN42" s="1">
        <v>0</v>
      </c>
      <c r="HO42" s="1">
        <v>0</v>
      </c>
      <c r="HP42" s="1">
        <v>0</v>
      </c>
      <c r="HQ42" s="1">
        <v>0</v>
      </c>
      <c r="HR42" s="1">
        <v>0</v>
      </c>
      <c r="HS42" s="1">
        <v>0</v>
      </c>
      <c r="HT42" s="1">
        <v>0</v>
      </c>
      <c r="HU42" s="1">
        <v>0</v>
      </c>
      <c r="HV42" s="1">
        <v>0</v>
      </c>
      <c r="HW42" s="1">
        <v>0</v>
      </c>
      <c r="HX42" s="1">
        <v>0</v>
      </c>
      <c r="HY42" s="1">
        <v>0</v>
      </c>
      <c r="HZ42" s="1">
        <v>0</v>
      </c>
      <c r="IA42" s="1">
        <v>0</v>
      </c>
      <c r="IB42" s="1">
        <v>0</v>
      </c>
      <c r="IC42" s="1">
        <v>0</v>
      </c>
      <c r="ID42" s="1">
        <v>0</v>
      </c>
      <c r="IE42" s="1">
        <v>0</v>
      </c>
      <c r="IF42" s="1">
        <v>9.5909090909090917</v>
      </c>
      <c r="IG42" s="1">
        <v>0</v>
      </c>
      <c r="IH42" s="1">
        <v>0</v>
      </c>
      <c r="II42" s="1">
        <v>0</v>
      </c>
      <c r="IJ42" s="1">
        <v>0</v>
      </c>
      <c r="IK42" s="1">
        <v>0</v>
      </c>
      <c r="IL42" s="1">
        <v>0</v>
      </c>
      <c r="IM42" s="1">
        <v>0</v>
      </c>
      <c r="IN42" s="1">
        <v>9.0909090909090775</v>
      </c>
      <c r="IO42" s="1">
        <v>22.72727272727272</v>
      </c>
      <c r="IP42" s="1">
        <v>68.181818181818059</v>
      </c>
      <c r="IQ42" s="1">
        <v>9.5909090909090757</v>
      </c>
      <c r="IR42" s="1">
        <v>44</v>
      </c>
      <c r="IS42" s="1">
        <v>8.1632653061224296</v>
      </c>
      <c r="IT42" s="1">
        <v>53.06122448979584</v>
      </c>
      <c r="IU42" s="1">
        <v>36.734693877551024</v>
      </c>
      <c r="IV42" s="1">
        <v>0</v>
      </c>
      <c r="IW42" s="1">
        <v>2.0408163265306074</v>
      </c>
      <c r="IX42" s="1">
        <v>49</v>
      </c>
      <c r="IY42" s="1">
        <v>1</v>
      </c>
      <c r="IZ42" s="1">
        <v>27.472830000000013</v>
      </c>
      <c r="JA42" s="1">
        <v>13.456080000000002</v>
      </c>
      <c r="JB42" s="1">
        <v>5.0460300000000009</v>
      </c>
      <c r="JC42" s="1">
        <v>3.3640200000000005</v>
      </c>
      <c r="JD42" s="1">
        <v>8.9707200000000125</v>
      </c>
      <c r="JE42" s="1">
        <v>0.48979591836734593</v>
      </c>
      <c r="JF42" s="1">
        <v>0.18367346938775492</v>
      </c>
      <c r="JG42" s="1">
        <v>0.12244897959183648</v>
      </c>
      <c r="JH42" s="1">
        <v>0.32653061224489788</v>
      </c>
      <c r="JI42" s="1">
        <v>1</v>
      </c>
      <c r="JJ42" s="1">
        <v>49</v>
      </c>
      <c r="JK42" s="1">
        <v>3.125</v>
      </c>
      <c r="JL42" s="1">
        <v>3.1249999999999996</v>
      </c>
      <c r="JM42" s="1">
        <v>48</v>
      </c>
      <c r="JN42" s="1">
        <v>100</v>
      </c>
      <c r="JO42" s="1">
        <v>0</v>
      </c>
      <c r="JP42" s="1">
        <v>22</v>
      </c>
      <c r="JQ42" s="1">
        <v>94.999999999999986</v>
      </c>
      <c r="JR42" s="1">
        <v>5</v>
      </c>
      <c r="JS42" s="1">
        <v>20</v>
      </c>
      <c r="JT42" s="1">
        <v>97.826086956521692</v>
      </c>
      <c r="JU42" s="1">
        <v>2.1739130434782554</v>
      </c>
      <c r="JV42" s="1">
        <v>46</v>
      </c>
      <c r="JW42" s="1">
        <v>97.297297297297405</v>
      </c>
      <c r="JX42" s="1">
        <v>2.7027027027026986</v>
      </c>
      <c r="JY42" s="1">
        <v>37</v>
      </c>
      <c r="JZ42" s="1">
        <v>47.826086956521678</v>
      </c>
      <c r="KA42" s="1">
        <v>52.173913043478187</v>
      </c>
      <c r="KB42" s="1">
        <v>46</v>
      </c>
      <c r="KC42" s="1">
        <v>100</v>
      </c>
      <c r="KD42" s="1">
        <v>0</v>
      </c>
      <c r="KE42" s="1">
        <v>43</v>
      </c>
      <c r="KF42" s="1">
        <v>2.1219512195121952</v>
      </c>
      <c r="KG42" s="1">
        <v>43.902439024390169</v>
      </c>
      <c r="KH42" s="1">
        <v>21.951219512195085</v>
      </c>
      <c r="KI42" s="1">
        <v>17.073170731707282</v>
      </c>
      <c r="KJ42" s="1">
        <v>12.195121951219495</v>
      </c>
      <c r="KK42" s="1">
        <v>4.8780487804878012</v>
      </c>
      <c r="KL42" s="1">
        <v>41</v>
      </c>
      <c r="KM42" s="1">
        <v>37.512195121951201</v>
      </c>
      <c r="KN42" s="1">
        <v>50.142857142857146</v>
      </c>
      <c r="KO42" s="1">
        <v>28.571428571428591</v>
      </c>
      <c r="KP42" s="1">
        <v>14.285714285714295</v>
      </c>
      <c r="KQ42" s="1">
        <v>28.571428571428591</v>
      </c>
      <c r="KR42" s="1">
        <v>0</v>
      </c>
      <c r="KS42" s="1">
        <v>28.571428571428591</v>
      </c>
      <c r="KT42" s="1">
        <v>7</v>
      </c>
      <c r="KU42" s="1">
        <v>6.8181818181818121</v>
      </c>
      <c r="KV42" s="1">
        <v>11.36363636363636</v>
      </c>
      <c r="KW42" s="1">
        <v>0</v>
      </c>
      <c r="KX42" s="1">
        <v>81.81818181818187</v>
      </c>
      <c r="KY42" s="1">
        <v>0</v>
      </c>
      <c r="KZ42" s="1">
        <v>44</v>
      </c>
      <c r="LA42" s="1">
        <v>19.999999999999993</v>
      </c>
      <c r="LB42" s="1">
        <v>79.999999999999986</v>
      </c>
      <c r="LC42" s="1">
        <v>45</v>
      </c>
      <c r="LD42" s="1">
        <v>0</v>
      </c>
      <c r="LE42" s="1">
        <v>0</v>
      </c>
      <c r="LF42" s="1">
        <v>100</v>
      </c>
      <c r="LG42" s="1">
        <v>9</v>
      </c>
    </row>
    <row r="43" spans="1:319" x14ac:dyDescent="0.25">
      <c r="A43" s="1">
        <v>152</v>
      </c>
      <c r="B43" s="1">
        <v>47.826086956521742</v>
      </c>
      <c r="C43" s="1">
        <v>52.173913043478258</v>
      </c>
      <c r="D43" s="1">
        <v>23</v>
      </c>
      <c r="E43" s="1">
        <v>36.363636363636367</v>
      </c>
      <c r="F43" s="1">
        <v>63.636363636363633</v>
      </c>
      <c r="G43" s="1">
        <v>11</v>
      </c>
      <c r="H43" s="1">
        <v>59.999999999999986</v>
      </c>
      <c r="I43" s="1">
        <v>39.999999999999993</v>
      </c>
      <c r="J43" s="1">
        <v>5</v>
      </c>
      <c r="K43" s="1">
        <v>1</v>
      </c>
      <c r="L43" s="1">
        <v>12.708650000000002</v>
      </c>
      <c r="M43" s="1">
        <v>10.498449999999997</v>
      </c>
      <c r="N43" s="1">
        <v>0.55254999999999999</v>
      </c>
      <c r="O43" s="1">
        <v>0</v>
      </c>
      <c r="P43" s="1">
        <v>0</v>
      </c>
      <c r="Q43" s="1">
        <v>1.1051</v>
      </c>
      <c r="R43" s="1">
        <v>2.2101999999999999</v>
      </c>
      <c r="S43" s="1">
        <v>0</v>
      </c>
      <c r="T43" s="1">
        <v>0.55254999999999999</v>
      </c>
      <c r="U43" s="1">
        <v>2.7627499999999983</v>
      </c>
      <c r="V43" s="1">
        <v>0</v>
      </c>
      <c r="W43" s="1">
        <v>0.82608695652173869</v>
      </c>
      <c r="X43" s="1">
        <v>4.3478260869565209E-2</v>
      </c>
      <c r="Y43" s="1">
        <v>0</v>
      </c>
      <c r="Z43" s="1">
        <v>0</v>
      </c>
      <c r="AA43" s="1">
        <v>8.6956521739130391E-2</v>
      </c>
      <c r="AB43" s="1">
        <v>0.17391304347826078</v>
      </c>
      <c r="AC43" s="1">
        <v>0</v>
      </c>
      <c r="AD43" s="1">
        <v>4.3478260869565209E-2</v>
      </c>
      <c r="AE43" s="1">
        <v>0.21739130434782614</v>
      </c>
      <c r="AF43" s="1">
        <v>0</v>
      </c>
      <c r="AG43" s="1">
        <v>1</v>
      </c>
      <c r="AH43" s="1">
        <v>23</v>
      </c>
      <c r="AI43" s="1">
        <v>1</v>
      </c>
      <c r="AJ43" s="1">
        <v>12.708650000000002</v>
      </c>
      <c r="AK43" s="1">
        <v>9.3933499999999999</v>
      </c>
      <c r="AL43" s="1">
        <v>8.8407999999999998</v>
      </c>
      <c r="AM43" s="1">
        <v>9.3933499999999999</v>
      </c>
      <c r="AN43" s="1">
        <v>8.2882500000000032</v>
      </c>
      <c r="AO43" s="1">
        <v>1.1051</v>
      </c>
      <c r="AP43" s="1">
        <v>0</v>
      </c>
      <c r="AQ43" s="1">
        <v>0.73913043478260887</v>
      </c>
      <c r="AR43" s="1">
        <v>0.69565217391304313</v>
      </c>
      <c r="AS43" s="1">
        <v>0.73913043478260887</v>
      </c>
      <c r="AT43" s="1">
        <v>0.65217391304347838</v>
      </c>
      <c r="AU43" s="1">
        <v>8.6956521739130391E-2</v>
      </c>
      <c r="AV43" s="1">
        <v>0</v>
      </c>
      <c r="AW43" s="1">
        <v>1</v>
      </c>
      <c r="AX43" s="1">
        <v>23</v>
      </c>
      <c r="AY43" s="1">
        <v>9.9565217391304355</v>
      </c>
      <c r="AZ43" s="1">
        <v>9.9565217391304355</v>
      </c>
      <c r="BA43" s="1">
        <v>9.8260869565217384</v>
      </c>
      <c r="BB43" s="1">
        <v>0</v>
      </c>
      <c r="BC43" s="1">
        <v>0</v>
      </c>
      <c r="BD43" s="1">
        <v>0</v>
      </c>
      <c r="BE43" s="1">
        <v>0</v>
      </c>
      <c r="BF43" s="1">
        <v>0</v>
      </c>
      <c r="BG43" s="1">
        <v>0</v>
      </c>
      <c r="BH43" s="1">
        <v>0</v>
      </c>
      <c r="BI43" s="1">
        <v>0</v>
      </c>
      <c r="BJ43" s="1">
        <v>4.3478260869565206</v>
      </c>
      <c r="BK43" s="1">
        <v>95.652173913043484</v>
      </c>
      <c r="BL43" s="1">
        <v>9.9565217391304319</v>
      </c>
      <c r="BM43" s="1">
        <v>23</v>
      </c>
      <c r="BN43" s="1">
        <v>0</v>
      </c>
      <c r="BO43" s="1">
        <v>0</v>
      </c>
      <c r="BP43" s="1">
        <v>0</v>
      </c>
      <c r="BQ43" s="1">
        <v>0</v>
      </c>
      <c r="BR43" s="1">
        <v>0</v>
      </c>
      <c r="BS43" s="1">
        <v>0</v>
      </c>
      <c r="BT43" s="1">
        <v>0</v>
      </c>
      <c r="BU43" s="1">
        <v>0</v>
      </c>
      <c r="BV43" s="1">
        <v>4.3478260869565206</v>
      </c>
      <c r="BW43" s="1">
        <v>95.652173913043484</v>
      </c>
      <c r="BX43" s="1">
        <v>9.9565217391304319</v>
      </c>
      <c r="BY43" s="1">
        <v>23</v>
      </c>
      <c r="BZ43" s="1">
        <v>0</v>
      </c>
      <c r="CA43" s="1">
        <v>0</v>
      </c>
      <c r="CB43" s="1">
        <v>0</v>
      </c>
      <c r="CC43" s="1">
        <v>0</v>
      </c>
      <c r="CD43" s="1">
        <v>0</v>
      </c>
      <c r="CE43" s="1">
        <v>0</v>
      </c>
      <c r="CF43" s="1">
        <v>0</v>
      </c>
      <c r="CG43" s="1">
        <v>4.3478260869565206</v>
      </c>
      <c r="CH43" s="1">
        <v>8.6956521739130412</v>
      </c>
      <c r="CI43" s="1">
        <v>86.956521739130451</v>
      </c>
      <c r="CJ43" s="1">
        <v>9.8260869565217277</v>
      </c>
      <c r="CK43" s="1">
        <v>23</v>
      </c>
      <c r="CL43" s="1">
        <v>71.428571428571402</v>
      </c>
      <c r="CM43" s="1">
        <v>19.04761904761904</v>
      </c>
      <c r="CN43" s="1">
        <v>9.5238095238095202</v>
      </c>
      <c r="CO43" s="1">
        <v>0</v>
      </c>
      <c r="CP43" s="1">
        <v>0</v>
      </c>
      <c r="CQ43" s="1">
        <v>21</v>
      </c>
      <c r="CR43" s="1">
        <v>73.913043478260903</v>
      </c>
      <c r="CS43" s="1">
        <v>26.086956521739129</v>
      </c>
      <c r="CT43" s="1">
        <v>0</v>
      </c>
      <c r="CU43" s="1">
        <v>0</v>
      </c>
      <c r="CV43" s="1">
        <v>0</v>
      </c>
      <c r="CW43" s="1">
        <v>23</v>
      </c>
      <c r="CX43" s="1">
        <v>81.81818181818177</v>
      </c>
      <c r="CY43" s="1">
        <v>18.181818181818183</v>
      </c>
      <c r="CZ43" s="1">
        <v>0</v>
      </c>
      <c r="DA43" s="1">
        <v>0</v>
      </c>
      <c r="DB43" s="1">
        <v>0</v>
      </c>
      <c r="DC43" s="1">
        <v>22</v>
      </c>
      <c r="DD43" s="1">
        <v>82.608695652173935</v>
      </c>
      <c r="DE43" s="1">
        <v>17.391304347826082</v>
      </c>
      <c r="DF43" s="1">
        <v>0</v>
      </c>
      <c r="DG43" s="1">
        <v>0</v>
      </c>
      <c r="DH43" s="1">
        <v>0</v>
      </c>
      <c r="DI43" s="1">
        <v>23</v>
      </c>
      <c r="DJ43" s="1">
        <v>83.3333333333333</v>
      </c>
      <c r="DK43" s="1">
        <v>11.111111111111112</v>
      </c>
      <c r="DL43" s="1">
        <v>5.5555555555555562</v>
      </c>
      <c r="DM43" s="1">
        <v>0</v>
      </c>
      <c r="DN43" s="1">
        <v>0</v>
      </c>
      <c r="DO43" s="1">
        <v>18</v>
      </c>
      <c r="DP43" s="1">
        <v>91.304347826086982</v>
      </c>
      <c r="DQ43" s="1">
        <v>8.6956521739130412</v>
      </c>
      <c r="DR43" s="1">
        <v>0</v>
      </c>
      <c r="DS43" s="1">
        <v>0</v>
      </c>
      <c r="DT43" s="1">
        <v>0</v>
      </c>
      <c r="DU43" s="1">
        <v>23</v>
      </c>
      <c r="DV43" s="1">
        <v>65</v>
      </c>
      <c r="DW43" s="1">
        <v>30.000000000000004</v>
      </c>
      <c r="DX43" s="1">
        <v>4.9999999999999991</v>
      </c>
      <c r="DY43" s="1">
        <v>0</v>
      </c>
      <c r="DZ43" s="1">
        <v>0</v>
      </c>
      <c r="EA43" s="1">
        <v>20</v>
      </c>
      <c r="EB43" s="1">
        <v>75</v>
      </c>
      <c r="EC43" s="1">
        <v>0</v>
      </c>
      <c r="ED43" s="1">
        <v>25</v>
      </c>
      <c r="EE43" s="1">
        <v>0</v>
      </c>
      <c r="EF43" s="1">
        <v>0</v>
      </c>
      <c r="EG43" s="1">
        <v>4</v>
      </c>
      <c r="EH43" s="1">
        <v>100</v>
      </c>
      <c r="EI43" s="1">
        <v>0</v>
      </c>
      <c r="EJ43" s="1">
        <v>0</v>
      </c>
      <c r="EK43" s="1">
        <v>0</v>
      </c>
      <c r="EL43" s="1">
        <v>0</v>
      </c>
      <c r="EM43" s="1">
        <v>1</v>
      </c>
      <c r="EN43" s="1">
        <v>52.941176470588267</v>
      </c>
      <c r="EO43" s="1">
        <v>41.176470588235276</v>
      </c>
      <c r="EP43" s="1">
        <v>5.8823529411764675</v>
      </c>
      <c r="EQ43" s="1">
        <v>0</v>
      </c>
      <c r="ER43" s="1">
        <v>0</v>
      </c>
      <c r="ES43" s="1">
        <v>17</v>
      </c>
      <c r="ET43" s="1">
        <v>50</v>
      </c>
      <c r="EU43" s="1">
        <v>44.44444444444445</v>
      </c>
      <c r="EV43" s="1">
        <v>5.5555555555555562</v>
      </c>
      <c r="EW43" s="1">
        <v>0</v>
      </c>
      <c r="EX43" s="1">
        <v>0</v>
      </c>
      <c r="EY43" s="1">
        <v>18</v>
      </c>
      <c r="EZ43" s="1">
        <v>44.44444444444445</v>
      </c>
      <c r="FA43" s="1">
        <v>33.333333333333336</v>
      </c>
      <c r="FB43" s="1">
        <v>22.222222222222225</v>
      </c>
      <c r="FC43" s="1">
        <v>0</v>
      </c>
      <c r="FD43" s="1">
        <v>0</v>
      </c>
      <c r="FE43" s="1">
        <v>9</v>
      </c>
      <c r="FF43" s="1">
        <v>28.571428571428559</v>
      </c>
      <c r="FG43" s="1">
        <v>42.857142857142868</v>
      </c>
      <c r="FH43" s="1">
        <v>28.571428571428559</v>
      </c>
      <c r="FI43" s="1">
        <v>0</v>
      </c>
      <c r="FJ43" s="1">
        <v>0</v>
      </c>
      <c r="FK43" s="1">
        <v>7</v>
      </c>
      <c r="FL43" s="1">
        <v>63.157894736842088</v>
      </c>
      <c r="FM43" s="1">
        <v>31.578947368421044</v>
      </c>
      <c r="FN43" s="1">
        <v>5.2631578947368389</v>
      </c>
      <c r="FO43" s="1">
        <v>0</v>
      </c>
      <c r="FP43" s="1">
        <v>0</v>
      </c>
      <c r="FQ43" s="1">
        <v>19</v>
      </c>
      <c r="FR43" s="1">
        <v>94.117647058823479</v>
      </c>
      <c r="FS43" s="1">
        <v>5.8823529411764675</v>
      </c>
      <c r="FT43" s="1">
        <v>0</v>
      </c>
      <c r="FU43" s="1">
        <v>0</v>
      </c>
      <c r="FV43" s="1">
        <v>0</v>
      </c>
      <c r="FW43" s="1">
        <v>17</v>
      </c>
      <c r="FX43" s="1">
        <v>82.608695652173935</v>
      </c>
      <c r="FY43" s="1">
        <v>17.391304347826082</v>
      </c>
      <c r="FZ43" s="1">
        <v>0</v>
      </c>
      <c r="GA43" s="1">
        <v>0</v>
      </c>
      <c r="GB43" s="1">
        <v>0</v>
      </c>
      <c r="GC43" s="1">
        <v>23</v>
      </c>
      <c r="GD43" s="1">
        <v>90</v>
      </c>
      <c r="GE43" s="1">
        <v>9.9999999999999982</v>
      </c>
      <c r="GF43" s="1">
        <v>0</v>
      </c>
      <c r="GG43" s="1">
        <v>0</v>
      </c>
      <c r="GH43" s="1">
        <v>0</v>
      </c>
      <c r="GI43" s="1">
        <v>10</v>
      </c>
      <c r="GJ43" s="1">
        <v>71.428571428571402</v>
      </c>
      <c r="GK43" s="1">
        <v>28.571428571428559</v>
      </c>
      <c r="GL43" s="1">
        <v>0</v>
      </c>
      <c r="GM43" s="1">
        <v>0</v>
      </c>
      <c r="GN43" s="1">
        <v>0</v>
      </c>
      <c r="GO43" s="1">
        <v>7</v>
      </c>
      <c r="GP43" s="1">
        <v>66.666666666666686</v>
      </c>
      <c r="GQ43" s="1">
        <v>33.333333333333343</v>
      </c>
      <c r="GR43" s="1">
        <v>0</v>
      </c>
      <c r="GS43" s="1">
        <v>0</v>
      </c>
      <c r="GT43" s="1">
        <v>0</v>
      </c>
      <c r="GU43" s="1">
        <v>18</v>
      </c>
      <c r="GV43" s="1">
        <v>77.777777777777814</v>
      </c>
      <c r="GW43" s="1">
        <v>22.222222222222225</v>
      </c>
      <c r="GX43" s="1">
        <v>0</v>
      </c>
      <c r="GY43" s="1">
        <v>0</v>
      </c>
      <c r="GZ43" s="1">
        <v>0</v>
      </c>
      <c r="HA43" s="1">
        <v>18</v>
      </c>
      <c r="HB43" s="1">
        <v>25</v>
      </c>
      <c r="HC43" s="1">
        <v>75</v>
      </c>
      <c r="HD43" s="1">
        <v>0</v>
      </c>
      <c r="HE43" s="1">
        <v>0</v>
      </c>
      <c r="HF43" s="1">
        <v>0</v>
      </c>
      <c r="HG43" s="1">
        <v>4</v>
      </c>
      <c r="HH43" s="1">
        <v>33.333333333333343</v>
      </c>
      <c r="HI43" s="1">
        <v>33.333333333333343</v>
      </c>
      <c r="HJ43" s="1">
        <v>33.333333333333343</v>
      </c>
      <c r="HK43" s="1">
        <v>0</v>
      </c>
      <c r="HL43" s="1">
        <v>0</v>
      </c>
      <c r="HM43" s="1">
        <v>3</v>
      </c>
      <c r="HN43" s="1">
        <v>0</v>
      </c>
      <c r="HO43" s="1">
        <v>0</v>
      </c>
      <c r="HP43" s="1">
        <v>0</v>
      </c>
      <c r="HQ43" s="1">
        <v>0</v>
      </c>
      <c r="HR43" s="1">
        <v>0</v>
      </c>
      <c r="HS43" s="1">
        <v>0</v>
      </c>
      <c r="HT43" s="1">
        <v>0</v>
      </c>
      <c r="HU43" s="1">
        <v>0</v>
      </c>
      <c r="HV43" s="1">
        <v>0</v>
      </c>
      <c r="HW43" s="1">
        <v>0</v>
      </c>
      <c r="HX43" s="1">
        <v>0</v>
      </c>
      <c r="HY43" s="1">
        <v>0</v>
      </c>
      <c r="HZ43" s="1">
        <v>0</v>
      </c>
      <c r="IA43" s="1">
        <v>0</v>
      </c>
      <c r="IB43" s="1">
        <v>0</v>
      </c>
      <c r="IC43" s="1">
        <v>0</v>
      </c>
      <c r="ID43" s="1">
        <v>0</v>
      </c>
      <c r="IE43" s="1">
        <v>0</v>
      </c>
      <c r="IF43" s="1">
        <v>9.5</v>
      </c>
      <c r="IG43" s="1">
        <v>0</v>
      </c>
      <c r="IH43" s="1">
        <v>0</v>
      </c>
      <c r="II43" s="1">
        <v>0</v>
      </c>
      <c r="IJ43" s="1">
        <v>0</v>
      </c>
      <c r="IK43" s="1">
        <v>0</v>
      </c>
      <c r="IL43" s="1">
        <v>0</v>
      </c>
      <c r="IM43" s="1">
        <v>0</v>
      </c>
      <c r="IN43" s="1">
        <v>9.9999999999999982</v>
      </c>
      <c r="IO43" s="1">
        <v>30.000000000000004</v>
      </c>
      <c r="IP43" s="1">
        <v>60.000000000000007</v>
      </c>
      <c r="IQ43" s="1">
        <v>9.4999999999999982</v>
      </c>
      <c r="IR43" s="1">
        <v>20</v>
      </c>
      <c r="IS43" s="1">
        <v>17.391304347826082</v>
      </c>
      <c r="IT43" s="1">
        <v>60.869565217391276</v>
      </c>
      <c r="IU43" s="1">
        <v>21.739130434782613</v>
      </c>
      <c r="IV43" s="1">
        <v>0</v>
      </c>
      <c r="IW43" s="1">
        <v>0</v>
      </c>
      <c r="IX43" s="1">
        <v>23</v>
      </c>
      <c r="IY43" s="1">
        <v>1</v>
      </c>
      <c r="IZ43" s="1">
        <v>12.708650000000002</v>
      </c>
      <c r="JA43" s="1">
        <v>5.5254999999999965</v>
      </c>
      <c r="JB43" s="1">
        <v>2.2101999999999999</v>
      </c>
      <c r="JC43" s="1">
        <v>0</v>
      </c>
      <c r="JD43" s="1">
        <v>4.9729499999999982</v>
      </c>
      <c r="JE43" s="1">
        <v>0.43478260869565227</v>
      </c>
      <c r="JF43" s="1">
        <v>0.17391304347826078</v>
      </c>
      <c r="JG43" s="1">
        <v>0</v>
      </c>
      <c r="JH43" s="1">
        <v>0.39130434782608681</v>
      </c>
      <c r="JI43" s="1">
        <v>1</v>
      </c>
      <c r="JJ43" s="1">
        <v>23</v>
      </c>
      <c r="JK43" s="1">
        <v>3.4347826086956523</v>
      </c>
      <c r="JL43" s="1">
        <v>3.4347826086956514</v>
      </c>
      <c r="JM43" s="1">
        <v>23</v>
      </c>
      <c r="JN43" s="1">
        <v>100</v>
      </c>
      <c r="JO43" s="1">
        <v>0</v>
      </c>
      <c r="JP43" s="1">
        <v>9</v>
      </c>
      <c r="JQ43" s="1">
        <v>100</v>
      </c>
      <c r="JR43" s="1">
        <v>0</v>
      </c>
      <c r="JS43" s="1">
        <v>13</v>
      </c>
      <c r="JT43" s="1">
        <v>95.238095238095212</v>
      </c>
      <c r="JU43" s="1">
        <v>4.7619047619047601</v>
      </c>
      <c r="JV43" s="1">
        <v>21</v>
      </c>
      <c r="JW43" s="1">
        <v>94.4444444444444</v>
      </c>
      <c r="JX43" s="1">
        <v>5.5555555555555562</v>
      </c>
      <c r="JY43" s="1">
        <v>18</v>
      </c>
      <c r="JZ43" s="1">
        <v>64.705882352941202</v>
      </c>
      <c r="KA43" s="1">
        <v>35.294117647058819</v>
      </c>
      <c r="KB43" s="1">
        <v>17</v>
      </c>
      <c r="KC43" s="1">
        <v>100</v>
      </c>
      <c r="KD43" s="1">
        <v>0</v>
      </c>
      <c r="KE43" s="1">
        <v>17</v>
      </c>
      <c r="KF43" s="1">
        <v>1.8823529411764706</v>
      </c>
      <c r="KG43" s="1">
        <v>41.176470588235276</v>
      </c>
      <c r="KH43" s="1">
        <v>41.176470588235276</v>
      </c>
      <c r="KI43" s="1">
        <v>5.8823529411764675</v>
      </c>
      <c r="KJ43" s="1">
        <v>11.764705882352935</v>
      </c>
      <c r="KK43" s="1">
        <v>0</v>
      </c>
      <c r="KL43" s="1">
        <v>17</v>
      </c>
      <c r="KM43" s="1">
        <v>32.647058823529399</v>
      </c>
      <c r="KN43" s="1">
        <v>96</v>
      </c>
      <c r="KO43" s="1">
        <v>0</v>
      </c>
      <c r="KP43" s="1">
        <v>0</v>
      </c>
      <c r="KQ43" s="1">
        <v>39.999999999999993</v>
      </c>
      <c r="KR43" s="1">
        <v>19.999999999999996</v>
      </c>
      <c r="KS43" s="1">
        <v>39.999999999999993</v>
      </c>
      <c r="KT43" s="1">
        <v>5</v>
      </c>
      <c r="KU43" s="1">
        <v>23.52941176470587</v>
      </c>
      <c r="KV43" s="1">
        <v>0</v>
      </c>
      <c r="KW43" s="1">
        <v>5.8823529411764675</v>
      </c>
      <c r="KX43" s="1">
        <v>70.588235294117638</v>
      </c>
      <c r="KY43" s="1">
        <v>0</v>
      </c>
      <c r="KZ43" s="1">
        <v>17</v>
      </c>
      <c r="LA43" s="1">
        <v>12.5</v>
      </c>
      <c r="LB43" s="1">
        <v>87.500000000000014</v>
      </c>
      <c r="LC43" s="1">
        <v>16</v>
      </c>
      <c r="LD43" s="1">
        <v>0</v>
      </c>
      <c r="LE43" s="1">
        <v>0</v>
      </c>
      <c r="LF43" s="1">
        <v>100</v>
      </c>
      <c r="LG43" s="1">
        <v>2</v>
      </c>
    </row>
    <row r="44" spans="1:319" x14ac:dyDescent="0.25">
      <c r="A44" s="1">
        <v>153</v>
      </c>
      <c r="B44" s="1">
        <v>12.500000000000002</v>
      </c>
      <c r="C44" s="1">
        <v>87.500000000000028</v>
      </c>
      <c r="D44" s="1">
        <v>64</v>
      </c>
      <c r="E44" s="1">
        <v>85.185185185185205</v>
      </c>
      <c r="F44" s="1">
        <v>14.81481481481479</v>
      </c>
      <c r="G44" s="1">
        <v>54</v>
      </c>
      <c r="H44" s="1">
        <v>56.521739130434803</v>
      </c>
      <c r="I44" s="1">
        <v>43.478260869565233</v>
      </c>
      <c r="J44" s="1">
        <v>46</v>
      </c>
      <c r="K44" s="1">
        <v>1</v>
      </c>
      <c r="L44" s="1">
        <v>73.560319999999962</v>
      </c>
      <c r="M44" s="1">
        <v>26.435739999999967</v>
      </c>
      <c r="N44" s="1">
        <v>5.7468999999999975</v>
      </c>
      <c r="O44" s="1">
        <v>19.539459999999984</v>
      </c>
      <c r="P44" s="1">
        <v>2.2987599999999992</v>
      </c>
      <c r="Q44" s="1">
        <v>17.240700000000032</v>
      </c>
      <c r="R44" s="1">
        <v>5.7468999999999975</v>
      </c>
      <c r="S44" s="1">
        <v>4.5975199999999985</v>
      </c>
      <c r="T44" s="1">
        <v>12.643180000000021</v>
      </c>
      <c r="U44" s="1">
        <v>10.34442000000001</v>
      </c>
      <c r="V44" s="1">
        <v>17.240700000000032</v>
      </c>
      <c r="W44" s="1">
        <v>0.35937500000000011</v>
      </c>
      <c r="X44" s="1">
        <v>7.8125000000000014E-2</v>
      </c>
      <c r="Y44" s="1">
        <v>0.26562500000000006</v>
      </c>
      <c r="Z44" s="1">
        <v>3.1250000000000007E-2</v>
      </c>
      <c r="AA44" s="1">
        <v>0.23437500000000003</v>
      </c>
      <c r="AB44" s="1">
        <v>7.8125000000000014E-2</v>
      </c>
      <c r="AC44" s="1">
        <v>6.2500000000000014E-2</v>
      </c>
      <c r="AD44" s="1">
        <v>0.17187500000000003</v>
      </c>
      <c r="AE44" s="1">
        <v>0.14062500000000003</v>
      </c>
      <c r="AF44" s="1">
        <v>0.23437500000000003</v>
      </c>
      <c r="AG44" s="1">
        <v>1</v>
      </c>
      <c r="AH44" s="1">
        <v>64</v>
      </c>
      <c r="AI44" s="1">
        <v>1</v>
      </c>
      <c r="AJ44" s="1">
        <v>65.514659999999935</v>
      </c>
      <c r="AK44" s="1">
        <v>47.12458000000003</v>
      </c>
      <c r="AL44" s="1">
        <v>34.481400000000072</v>
      </c>
      <c r="AM44" s="1">
        <v>31.033259999999981</v>
      </c>
      <c r="AN44" s="1">
        <v>40.22830000000004</v>
      </c>
      <c r="AO44" s="1">
        <v>9.195039999999997</v>
      </c>
      <c r="AP44" s="1">
        <v>14.94194000000002</v>
      </c>
      <c r="AQ44" s="1">
        <v>0.71929824561403477</v>
      </c>
      <c r="AR44" s="1">
        <v>0.52631578947368474</v>
      </c>
      <c r="AS44" s="1">
        <v>0.47368421052631526</v>
      </c>
      <c r="AT44" s="1">
        <v>0.6140350877192986</v>
      </c>
      <c r="AU44" s="1">
        <v>0.14035087719298228</v>
      </c>
      <c r="AV44" s="1">
        <v>0.22807017543859626</v>
      </c>
      <c r="AW44" s="1">
        <v>1</v>
      </c>
      <c r="AX44" s="1">
        <v>57</v>
      </c>
      <c r="AY44" s="1">
        <v>9.609375</v>
      </c>
      <c r="AZ44" s="1">
        <v>9.71875</v>
      </c>
      <c r="BA44" s="1">
        <v>9.806451612903226</v>
      </c>
      <c r="BB44" s="1">
        <v>0</v>
      </c>
      <c r="BC44" s="1">
        <v>0</v>
      </c>
      <c r="BD44" s="1">
        <v>1.5625000000000002</v>
      </c>
      <c r="BE44" s="1">
        <v>1.5625000000000002</v>
      </c>
      <c r="BF44" s="1">
        <v>0</v>
      </c>
      <c r="BG44" s="1">
        <v>0</v>
      </c>
      <c r="BH44" s="1">
        <v>0</v>
      </c>
      <c r="BI44" s="1">
        <v>4.6875000000000009</v>
      </c>
      <c r="BJ44" s="1">
        <v>9.3750000000000018</v>
      </c>
      <c r="BK44" s="1">
        <v>82.812500000000028</v>
      </c>
      <c r="BL44" s="1">
        <v>9.6093750000000018</v>
      </c>
      <c r="BM44" s="1">
        <v>64</v>
      </c>
      <c r="BN44" s="1">
        <v>0</v>
      </c>
      <c r="BO44" s="1">
        <v>1.5625000000000002</v>
      </c>
      <c r="BP44" s="1">
        <v>0</v>
      </c>
      <c r="BQ44" s="1">
        <v>0</v>
      </c>
      <c r="BR44" s="1">
        <v>0</v>
      </c>
      <c r="BS44" s="1">
        <v>0</v>
      </c>
      <c r="BT44" s="1">
        <v>0</v>
      </c>
      <c r="BU44" s="1">
        <v>0</v>
      </c>
      <c r="BV44" s="1">
        <v>15.625000000000002</v>
      </c>
      <c r="BW44" s="1">
        <v>82.812500000000028</v>
      </c>
      <c r="BX44" s="1">
        <v>9.7187500000000018</v>
      </c>
      <c r="BY44" s="1">
        <v>64</v>
      </c>
      <c r="BZ44" s="1">
        <v>0</v>
      </c>
      <c r="CA44" s="1">
        <v>0</v>
      </c>
      <c r="CB44" s="1">
        <v>0</v>
      </c>
      <c r="CC44" s="1">
        <v>0</v>
      </c>
      <c r="CD44" s="1">
        <v>0</v>
      </c>
      <c r="CE44" s="1">
        <v>0</v>
      </c>
      <c r="CF44" s="1">
        <v>0</v>
      </c>
      <c r="CG44" s="1">
        <v>1.6129032258064495</v>
      </c>
      <c r="CH44" s="1">
        <v>16.129032258064516</v>
      </c>
      <c r="CI44" s="1">
        <v>82.258064516129082</v>
      </c>
      <c r="CJ44" s="1">
        <v>9.8064516129032206</v>
      </c>
      <c r="CK44" s="1">
        <v>62</v>
      </c>
      <c r="CL44" s="1">
        <v>55.000000000000007</v>
      </c>
      <c r="CM44" s="1">
        <v>36.666666666666671</v>
      </c>
      <c r="CN44" s="1">
        <v>5</v>
      </c>
      <c r="CO44" s="1">
        <v>3.3333333333333361</v>
      </c>
      <c r="CP44" s="1">
        <v>0</v>
      </c>
      <c r="CQ44" s="1">
        <v>60</v>
      </c>
      <c r="CR44" s="1">
        <v>75.409836065573828</v>
      </c>
      <c r="CS44" s="1">
        <v>21.311475409836042</v>
      </c>
      <c r="CT44" s="1">
        <v>3.2786885245901654</v>
      </c>
      <c r="CU44" s="1">
        <v>0</v>
      </c>
      <c r="CV44" s="1">
        <v>0</v>
      </c>
      <c r="CW44" s="1">
        <v>61</v>
      </c>
      <c r="CX44" s="1">
        <v>78.125000000000028</v>
      </c>
      <c r="CY44" s="1">
        <v>18.750000000000004</v>
      </c>
      <c r="CZ44" s="1">
        <v>3.1250000000000004</v>
      </c>
      <c r="DA44" s="1">
        <v>0</v>
      </c>
      <c r="DB44" s="1">
        <v>0</v>
      </c>
      <c r="DC44" s="1">
        <v>64</v>
      </c>
      <c r="DD44" s="1">
        <v>81.250000000000028</v>
      </c>
      <c r="DE44" s="1">
        <v>18.750000000000004</v>
      </c>
      <c r="DF44" s="1">
        <v>0</v>
      </c>
      <c r="DG44" s="1">
        <v>0</v>
      </c>
      <c r="DH44" s="1">
        <v>0</v>
      </c>
      <c r="DI44" s="1">
        <v>64</v>
      </c>
      <c r="DJ44" s="1">
        <v>58.730158730158685</v>
      </c>
      <c r="DK44" s="1">
        <v>28.571428571428608</v>
      </c>
      <c r="DL44" s="1">
        <v>4.761904761904761</v>
      </c>
      <c r="DM44" s="1">
        <v>7.9365079365079474</v>
      </c>
      <c r="DN44" s="1">
        <v>0</v>
      </c>
      <c r="DO44" s="1">
        <v>63</v>
      </c>
      <c r="DP44" s="1">
        <v>80.645161290322633</v>
      </c>
      <c r="DQ44" s="1">
        <v>16.129032258064516</v>
      </c>
      <c r="DR44" s="1">
        <v>3.225806451612899</v>
      </c>
      <c r="DS44" s="1">
        <v>0</v>
      </c>
      <c r="DT44" s="1">
        <v>0</v>
      </c>
      <c r="DU44" s="1">
        <v>62</v>
      </c>
      <c r="DV44" s="1">
        <v>81.578947368420913</v>
      </c>
      <c r="DW44" s="1">
        <v>13.157894736842088</v>
      </c>
      <c r="DX44" s="1">
        <v>5.263157894736838</v>
      </c>
      <c r="DY44" s="1">
        <v>0</v>
      </c>
      <c r="DZ44" s="1">
        <v>0</v>
      </c>
      <c r="EA44" s="1">
        <v>38</v>
      </c>
      <c r="EB44" s="1">
        <v>74.999999999999986</v>
      </c>
      <c r="EC44" s="1">
        <v>24.999999999999996</v>
      </c>
      <c r="ED44" s="1">
        <v>0</v>
      </c>
      <c r="EE44" s="1">
        <v>0</v>
      </c>
      <c r="EF44" s="1">
        <v>0</v>
      </c>
      <c r="EG44" s="1">
        <v>20</v>
      </c>
      <c r="EH44" s="1">
        <v>52.941176470588275</v>
      </c>
      <c r="EI44" s="1">
        <v>47.058823529411725</v>
      </c>
      <c r="EJ44" s="1">
        <v>0</v>
      </c>
      <c r="EK44" s="1">
        <v>0</v>
      </c>
      <c r="EL44" s="1">
        <v>0</v>
      </c>
      <c r="EM44" s="1">
        <v>17</v>
      </c>
      <c r="EN44" s="1">
        <v>28.571428571428608</v>
      </c>
      <c r="EO44" s="1">
        <v>54.285714285714235</v>
      </c>
      <c r="EP44" s="1">
        <v>0</v>
      </c>
      <c r="EQ44" s="1">
        <v>8.5714285714285587</v>
      </c>
      <c r="ER44" s="1">
        <v>8.5714285714285587</v>
      </c>
      <c r="ES44" s="1">
        <v>35</v>
      </c>
      <c r="ET44" s="1">
        <v>44.117647058823465</v>
      </c>
      <c r="EU44" s="1">
        <v>49.999999999999993</v>
      </c>
      <c r="EV44" s="1">
        <v>5.8823529411764648</v>
      </c>
      <c r="EW44" s="1">
        <v>0</v>
      </c>
      <c r="EX44" s="1">
        <v>0</v>
      </c>
      <c r="EY44" s="1">
        <v>34</v>
      </c>
      <c r="EZ44" s="1">
        <v>41.176470588235276</v>
      </c>
      <c r="FA44" s="1">
        <v>41.176470588235276</v>
      </c>
      <c r="FB44" s="1">
        <v>11.764705882352931</v>
      </c>
      <c r="FC44" s="1">
        <v>5.8823529411764657</v>
      </c>
      <c r="FD44" s="1">
        <v>0</v>
      </c>
      <c r="FE44" s="1">
        <v>17</v>
      </c>
      <c r="FF44" s="1">
        <v>44.999999999999993</v>
      </c>
      <c r="FG44" s="1">
        <v>39.999999999999993</v>
      </c>
      <c r="FH44" s="1">
        <v>9.9999999999999982</v>
      </c>
      <c r="FI44" s="1">
        <v>4.9999999999999991</v>
      </c>
      <c r="FJ44" s="1">
        <v>0</v>
      </c>
      <c r="FK44" s="1">
        <v>20</v>
      </c>
      <c r="FL44" s="1">
        <v>44.444444444444386</v>
      </c>
      <c r="FM44" s="1">
        <v>48.148148148148152</v>
      </c>
      <c r="FN44" s="1">
        <v>7.407407407407395</v>
      </c>
      <c r="FO44" s="1">
        <v>0</v>
      </c>
      <c r="FP44" s="1">
        <v>0</v>
      </c>
      <c r="FQ44" s="1">
        <v>27</v>
      </c>
      <c r="FR44" s="1">
        <v>74.999999999999986</v>
      </c>
      <c r="FS44" s="1">
        <v>24.999999999999996</v>
      </c>
      <c r="FT44" s="1">
        <v>0</v>
      </c>
      <c r="FU44" s="1">
        <v>0</v>
      </c>
      <c r="FV44" s="1">
        <v>0</v>
      </c>
      <c r="FW44" s="1">
        <v>20</v>
      </c>
      <c r="FX44" s="1">
        <v>90.625000000000014</v>
      </c>
      <c r="FY44" s="1">
        <v>7.8125000000000009</v>
      </c>
      <c r="FZ44" s="1">
        <v>0</v>
      </c>
      <c r="GA44" s="1">
        <v>1.5625000000000002</v>
      </c>
      <c r="GB44" s="1">
        <v>0</v>
      </c>
      <c r="GC44" s="1">
        <v>64</v>
      </c>
      <c r="GD44" s="1">
        <v>61.1111111111112</v>
      </c>
      <c r="GE44" s="1">
        <v>36.111111111111114</v>
      </c>
      <c r="GF44" s="1">
        <v>0</v>
      </c>
      <c r="GG44" s="1">
        <v>0</v>
      </c>
      <c r="GH44" s="1">
        <v>2.7777777777777737</v>
      </c>
      <c r="GI44" s="1">
        <v>36</v>
      </c>
      <c r="GJ44" s="1">
        <v>62.499999999999993</v>
      </c>
      <c r="GK44" s="1">
        <v>33.333333333333307</v>
      </c>
      <c r="GL44" s="1">
        <v>0</v>
      </c>
      <c r="GM44" s="1">
        <v>4.1666666666666634</v>
      </c>
      <c r="GN44" s="1">
        <v>0</v>
      </c>
      <c r="GO44" s="1">
        <v>24</v>
      </c>
      <c r="GP44" s="1">
        <v>78.181818181818102</v>
      </c>
      <c r="GQ44" s="1">
        <v>16.36363636363637</v>
      </c>
      <c r="GR44" s="1">
        <v>3.6363636363636322</v>
      </c>
      <c r="GS44" s="1">
        <v>1.8181818181818161</v>
      </c>
      <c r="GT44" s="1">
        <v>0</v>
      </c>
      <c r="GU44" s="1">
        <v>55</v>
      </c>
      <c r="GV44" s="1">
        <v>78.571428571428513</v>
      </c>
      <c r="GW44" s="1">
        <v>19.642857142857117</v>
      </c>
      <c r="GX44" s="1">
        <v>1.785714285714288</v>
      </c>
      <c r="GY44" s="1">
        <v>0</v>
      </c>
      <c r="GZ44" s="1">
        <v>0</v>
      </c>
      <c r="HA44" s="1">
        <v>56</v>
      </c>
      <c r="HB44" s="1">
        <v>66.666666666666615</v>
      </c>
      <c r="HC44" s="1">
        <v>33.333333333333307</v>
      </c>
      <c r="HD44" s="1">
        <v>0</v>
      </c>
      <c r="HE44" s="1">
        <v>0</v>
      </c>
      <c r="HF44" s="1">
        <v>0</v>
      </c>
      <c r="HG44" s="1">
        <v>21</v>
      </c>
      <c r="HH44" s="1">
        <v>60</v>
      </c>
      <c r="HI44" s="1">
        <v>20</v>
      </c>
      <c r="HJ44" s="1">
        <v>0</v>
      </c>
      <c r="HK44" s="1">
        <v>0</v>
      </c>
      <c r="HL44" s="1">
        <v>20</v>
      </c>
      <c r="HM44" s="1">
        <v>5</v>
      </c>
      <c r="HN44" s="1">
        <v>0</v>
      </c>
      <c r="HO44" s="1">
        <v>0</v>
      </c>
      <c r="HP44" s="1">
        <v>0</v>
      </c>
      <c r="HQ44" s="1">
        <v>0</v>
      </c>
      <c r="HR44" s="1">
        <v>0</v>
      </c>
      <c r="HS44" s="1">
        <v>0</v>
      </c>
      <c r="HT44" s="1">
        <v>0</v>
      </c>
      <c r="HU44" s="1">
        <v>0</v>
      </c>
      <c r="HV44" s="1">
        <v>0</v>
      </c>
      <c r="HW44" s="1">
        <v>0</v>
      </c>
      <c r="HX44" s="1">
        <v>0</v>
      </c>
      <c r="HY44" s="1">
        <v>0</v>
      </c>
      <c r="HZ44" s="1">
        <v>0</v>
      </c>
      <c r="IA44" s="1">
        <v>0</v>
      </c>
      <c r="IB44" s="1">
        <v>0</v>
      </c>
      <c r="IC44" s="1">
        <v>0</v>
      </c>
      <c r="ID44" s="1">
        <v>0</v>
      </c>
      <c r="IE44" s="1">
        <v>0</v>
      </c>
      <c r="IF44" s="1">
        <v>9.4464285714285712</v>
      </c>
      <c r="IG44" s="1">
        <v>0</v>
      </c>
      <c r="IH44" s="1">
        <v>0</v>
      </c>
      <c r="II44" s="1">
        <v>0</v>
      </c>
      <c r="IJ44" s="1">
        <v>0</v>
      </c>
      <c r="IK44" s="1">
        <v>0</v>
      </c>
      <c r="IL44" s="1">
        <v>0</v>
      </c>
      <c r="IM44" s="1">
        <v>3.5714285714285761</v>
      </c>
      <c r="IN44" s="1">
        <v>3.5714285714285761</v>
      </c>
      <c r="IO44" s="1">
        <v>37.499999999999993</v>
      </c>
      <c r="IP44" s="1">
        <v>55.357142857142783</v>
      </c>
      <c r="IQ44" s="1">
        <v>9.4464285714285658</v>
      </c>
      <c r="IR44" s="1">
        <v>56</v>
      </c>
      <c r="IS44" s="1">
        <v>64.062500000000014</v>
      </c>
      <c r="IT44" s="1">
        <v>17.187500000000004</v>
      </c>
      <c r="IU44" s="1">
        <v>12.500000000000002</v>
      </c>
      <c r="IV44" s="1">
        <v>3.1250000000000004</v>
      </c>
      <c r="IW44" s="1">
        <v>3.1250000000000004</v>
      </c>
      <c r="IX44" s="1">
        <v>64</v>
      </c>
      <c r="IY44" s="1">
        <v>1</v>
      </c>
      <c r="IZ44" s="1">
        <v>65.514659999999935</v>
      </c>
      <c r="JA44" s="1">
        <v>36.780159999999988</v>
      </c>
      <c r="JB44" s="1">
        <v>16.09132</v>
      </c>
      <c r="JC44" s="1">
        <v>10.34442000000001</v>
      </c>
      <c r="JD44" s="1">
        <v>11.493799999999997</v>
      </c>
      <c r="JE44" s="1">
        <v>0.56140350877193079</v>
      </c>
      <c r="JF44" s="1">
        <v>0.2456140350877192</v>
      </c>
      <c r="JG44" s="1">
        <v>0.15789473684210512</v>
      </c>
      <c r="JH44" s="1">
        <v>0.17543859649122787</v>
      </c>
      <c r="JI44" s="1">
        <v>1</v>
      </c>
      <c r="JJ44" s="1">
        <v>57</v>
      </c>
      <c r="JK44" s="1">
        <v>3.4666666666666668</v>
      </c>
      <c r="JL44" s="1">
        <v>3.4666666666666668</v>
      </c>
      <c r="JM44" s="1">
        <v>60</v>
      </c>
      <c r="JN44" s="1">
        <v>92.592592592592467</v>
      </c>
      <c r="JO44" s="1">
        <v>7.407407407407395</v>
      </c>
      <c r="JP44" s="1">
        <v>27</v>
      </c>
      <c r="JQ44" s="1">
        <v>95.121951219512113</v>
      </c>
      <c r="JR44" s="1">
        <v>4.878048780487803</v>
      </c>
      <c r="JS44" s="1">
        <v>41</v>
      </c>
      <c r="JT44" s="1">
        <v>92.307692307692349</v>
      </c>
      <c r="JU44" s="1">
        <v>7.6923076923076819</v>
      </c>
      <c r="JV44" s="1">
        <v>52</v>
      </c>
      <c r="JW44" s="1">
        <v>97.297297297297433</v>
      </c>
      <c r="JX44" s="1">
        <v>2.7027027027027009</v>
      </c>
      <c r="JY44" s="1">
        <v>37</v>
      </c>
      <c r="JZ44" s="1">
        <v>47.368421052631639</v>
      </c>
      <c r="KA44" s="1">
        <v>52.631578947368361</v>
      </c>
      <c r="KB44" s="1">
        <v>57</v>
      </c>
      <c r="KC44" s="1">
        <v>96.226415094339529</v>
      </c>
      <c r="KD44" s="1">
        <v>3.7735849056603792</v>
      </c>
      <c r="KE44" s="1">
        <v>53</v>
      </c>
      <c r="KF44" s="1">
        <v>3.4363636363636365</v>
      </c>
      <c r="KG44" s="1">
        <v>5.4545454545454444</v>
      </c>
      <c r="KH44" s="1">
        <v>19.999999999999996</v>
      </c>
      <c r="KI44" s="1">
        <v>18.181818181818166</v>
      </c>
      <c r="KJ44" s="1">
        <v>38.181818181818173</v>
      </c>
      <c r="KK44" s="1">
        <v>18.181818181818166</v>
      </c>
      <c r="KL44" s="1">
        <v>55</v>
      </c>
      <c r="KM44" s="1">
        <v>58.327272727272785</v>
      </c>
      <c r="KN44" s="1">
        <v>103.66666666666667</v>
      </c>
      <c r="KO44" s="1">
        <v>0</v>
      </c>
      <c r="KP44" s="1">
        <v>0</v>
      </c>
      <c r="KQ44" s="1">
        <v>33.333333333333307</v>
      </c>
      <c r="KR44" s="1">
        <v>33.333333333333307</v>
      </c>
      <c r="KS44" s="1">
        <v>33.333333333333307</v>
      </c>
      <c r="KT44" s="1">
        <v>3</v>
      </c>
      <c r="KU44" s="1">
        <v>3.5087719298245554</v>
      </c>
      <c r="KV44" s="1">
        <v>0</v>
      </c>
      <c r="KW44" s="1">
        <v>0</v>
      </c>
      <c r="KX44" s="1">
        <v>96.491228070175538</v>
      </c>
      <c r="KY44" s="1">
        <v>0</v>
      </c>
      <c r="KZ44" s="1">
        <v>57</v>
      </c>
      <c r="LA44" s="1">
        <v>10.714285714285705</v>
      </c>
      <c r="LB44" s="1">
        <v>89.285714285714377</v>
      </c>
      <c r="LC44" s="1">
        <v>56</v>
      </c>
      <c r="LD44" s="1">
        <v>0</v>
      </c>
      <c r="LE44" s="1">
        <v>0</v>
      </c>
      <c r="LF44" s="1">
        <v>100</v>
      </c>
      <c r="LG44" s="1">
        <v>6</v>
      </c>
    </row>
    <row r="45" spans="1:319" x14ac:dyDescent="0.25">
      <c r="A45" s="1">
        <v>155</v>
      </c>
      <c r="B45" s="1">
        <v>24.999999999999982</v>
      </c>
      <c r="C45" s="1">
        <v>74.999999999999986</v>
      </c>
      <c r="D45" s="1">
        <v>68</v>
      </c>
      <c r="E45" s="1">
        <v>87.499999999999986</v>
      </c>
      <c r="F45" s="1">
        <v>12.499999999999995</v>
      </c>
      <c r="G45" s="1">
        <v>48</v>
      </c>
      <c r="H45" s="1">
        <v>58.536585365853639</v>
      </c>
      <c r="I45" s="1">
        <v>41.463414634146361</v>
      </c>
      <c r="J45" s="1">
        <v>41</v>
      </c>
      <c r="K45" s="1">
        <v>1</v>
      </c>
      <c r="L45" s="1">
        <v>32.159520000000107</v>
      </c>
      <c r="M45" s="1">
        <v>5.126879999999991</v>
      </c>
      <c r="N45" s="1">
        <v>2.7964800000000016</v>
      </c>
      <c r="O45" s="1">
        <v>15.380639999999982</v>
      </c>
      <c r="P45" s="1">
        <v>0.93216000000000143</v>
      </c>
      <c r="Q45" s="1">
        <v>12.584159999999997</v>
      </c>
      <c r="R45" s="1">
        <v>1.8643200000000029</v>
      </c>
      <c r="S45" s="1">
        <v>1.8643200000000029</v>
      </c>
      <c r="T45" s="1">
        <v>1.8643200000000029</v>
      </c>
      <c r="U45" s="1">
        <v>1.8643200000000029</v>
      </c>
      <c r="V45" s="1">
        <v>3.2625600000000015</v>
      </c>
      <c r="W45" s="1">
        <v>0.15942028985507226</v>
      </c>
      <c r="X45" s="1">
        <v>8.695652173913021E-2</v>
      </c>
      <c r="Y45" s="1">
        <v>0.47826086956521607</v>
      </c>
      <c r="Z45" s="1">
        <v>2.8985507246376732E-2</v>
      </c>
      <c r="AA45" s="1">
        <v>0.39130434782608609</v>
      </c>
      <c r="AB45" s="1">
        <v>5.7971014492753464E-2</v>
      </c>
      <c r="AC45" s="1">
        <v>5.7971014492753464E-2</v>
      </c>
      <c r="AD45" s="1">
        <v>5.7971014492753464E-2</v>
      </c>
      <c r="AE45" s="1">
        <v>5.7971014492753464E-2</v>
      </c>
      <c r="AF45" s="1">
        <v>0.1014492753623186</v>
      </c>
      <c r="AG45" s="1">
        <v>1</v>
      </c>
      <c r="AH45" s="1">
        <v>69</v>
      </c>
      <c r="AI45" s="1">
        <v>1</v>
      </c>
      <c r="AJ45" s="1">
        <v>27.964800000000015</v>
      </c>
      <c r="AK45" s="1">
        <v>22.83792</v>
      </c>
      <c r="AL45" s="1">
        <v>5.5929600000000033</v>
      </c>
      <c r="AM45" s="1">
        <v>10.719839999999987</v>
      </c>
      <c r="AN45" s="1">
        <v>11.65200000000001</v>
      </c>
      <c r="AO45" s="1">
        <v>0.93216000000000143</v>
      </c>
      <c r="AP45" s="1">
        <v>1.8643200000000029</v>
      </c>
      <c r="AQ45" s="1">
        <v>0.81666666666666488</v>
      </c>
      <c r="AR45" s="1">
        <v>0.19999999999999943</v>
      </c>
      <c r="AS45" s="1">
        <v>0.3833333333333328</v>
      </c>
      <c r="AT45" s="1">
        <v>0.4166666666666653</v>
      </c>
      <c r="AU45" s="1">
        <v>3.3333333333333257E-2</v>
      </c>
      <c r="AV45" s="1">
        <v>6.6666666666666513E-2</v>
      </c>
      <c r="AW45" s="1">
        <v>1</v>
      </c>
      <c r="AX45" s="1">
        <v>60</v>
      </c>
      <c r="AY45" s="1">
        <v>9.867647058823529</v>
      </c>
      <c r="AZ45" s="1">
        <v>9.882352941176471</v>
      </c>
      <c r="BA45" s="1">
        <v>9.9242424242424239</v>
      </c>
      <c r="BB45" s="1">
        <v>0</v>
      </c>
      <c r="BC45" s="1">
        <v>0</v>
      </c>
      <c r="BD45" s="1">
        <v>0</v>
      </c>
      <c r="BE45" s="1">
        <v>0</v>
      </c>
      <c r="BF45" s="1">
        <v>0</v>
      </c>
      <c r="BG45" s="1">
        <v>1.4705882352941158</v>
      </c>
      <c r="BH45" s="1">
        <v>0</v>
      </c>
      <c r="BI45" s="1">
        <v>2.9411764705882315</v>
      </c>
      <c r="BJ45" s="1">
        <v>1.4705882352941158</v>
      </c>
      <c r="BK45" s="1">
        <v>94.117647058823451</v>
      </c>
      <c r="BL45" s="1">
        <v>9.8676470588235254</v>
      </c>
      <c r="BM45" s="1">
        <v>68</v>
      </c>
      <c r="BN45" s="1">
        <v>0</v>
      </c>
      <c r="BO45" s="1">
        <v>0</v>
      </c>
      <c r="BP45" s="1">
        <v>0</v>
      </c>
      <c r="BQ45" s="1">
        <v>0</v>
      </c>
      <c r="BR45" s="1">
        <v>0</v>
      </c>
      <c r="BS45" s="1">
        <v>0</v>
      </c>
      <c r="BT45" s="1">
        <v>0</v>
      </c>
      <c r="BU45" s="1">
        <v>4.4117647058823435</v>
      </c>
      <c r="BV45" s="1">
        <v>2.9411764705882315</v>
      </c>
      <c r="BW45" s="1">
        <v>92.647058823529491</v>
      </c>
      <c r="BX45" s="1">
        <v>9.882352941176455</v>
      </c>
      <c r="BY45" s="1">
        <v>68</v>
      </c>
      <c r="BZ45" s="1">
        <v>0</v>
      </c>
      <c r="CA45" s="1">
        <v>0</v>
      </c>
      <c r="CB45" s="1">
        <v>0</v>
      </c>
      <c r="CC45" s="1">
        <v>0</v>
      </c>
      <c r="CD45" s="1">
        <v>0</v>
      </c>
      <c r="CE45" s="1">
        <v>0</v>
      </c>
      <c r="CF45" s="1">
        <v>0</v>
      </c>
      <c r="CG45" s="1">
        <v>3.0303030303030289</v>
      </c>
      <c r="CH45" s="1">
        <v>1.5151515151515145</v>
      </c>
      <c r="CI45" s="1">
        <v>95.454545454545311</v>
      </c>
      <c r="CJ45" s="1">
        <v>9.9242424242423901</v>
      </c>
      <c r="CK45" s="1">
        <v>66</v>
      </c>
      <c r="CL45" s="1">
        <v>61.194029850746148</v>
      </c>
      <c r="CM45" s="1">
        <v>26.865671641791035</v>
      </c>
      <c r="CN45" s="1">
        <v>5.9701492537313348</v>
      </c>
      <c r="CO45" s="1">
        <v>5.9701492537313348</v>
      </c>
      <c r="CP45" s="1">
        <v>0</v>
      </c>
      <c r="CQ45" s="1">
        <v>67</v>
      </c>
      <c r="CR45" s="1">
        <v>83.076923076922952</v>
      </c>
      <c r="CS45" s="1">
        <v>15.384615384615364</v>
      </c>
      <c r="CT45" s="1">
        <v>1.5384615384615341</v>
      </c>
      <c r="CU45" s="1">
        <v>0</v>
      </c>
      <c r="CV45" s="1">
        <v>0</v>
      </c>
      <c r="CW45" s="1">
        <v>65</v>
      </c>
      <c r="CX45" s="1">
        <v>79.411764705882291</v>
      </c>
      <c r="CY45" s="1">
        <v>19.11764705882349</v>
      </c>
      <c r="CZ45" s="1">
        <v>1.4705882352941158</v>
      </c>
      <c r="DA45" s="1">
        <v>0</v>
      </c>
      <c r="DB45" s="1">
        <v>0</v>
      </c>
      <c r="DC45" s="1">
        <v>68</v>
      </c>
      <c r="DD45" s="1">
        <v>78.260869565217305</v>
      </c>
      <c r="DE45" s="1">
        <v>20.289855072463745</v>
      </c>
      <c r="DF45" s="1">
        <v>0</v>
      </c>
      <c r="DG45" s="1">
        <v>1.4492753623188392</v>
      </c>
      <c r="DH45" s="1">
        <v>0</v>
      </c>
      <c r="DI45" s="1">
        <v>69</v>
      </c>
      <c r="DJ45" s="1">
        <v>76.562499999999986</v>
      </c>
      <c r="DK45" s="1">
        <v>17.187499999999993</v>
      </c>
      <c r="DL45" s="1">
        <v>6.2499999999999964</v>
      </c>
      <c r="DM45" s="1">
        <v>0</v>
      </c>
      <c r="DN45" s="1">
        <v>0</v>
      </c>
      <c r="DO45" s="1">
        <v>64</v>
      </c>
      <c r="DP45" s="1">
        <v>92.753623188405896</v>
      </c>
      <c r="DQ45" s="1">
        <v>7.2463768115941898</v>
      </c>
      <c r="DR45" s="1">
        <v>0</v>
      </c>
      <c r="DS45" s="1">
        <v>0</v>
      </c>
      <c r="DT45" s="1">
        <v>0</v>
      </c>
      <c r="DU45" s="1">
        <v>69</v>
      </c>
      <c r="DV45" s="1">
        <v>80.000000000000014</v>
      </c>
      <c r="DW45" s="1">
        <v>20.000000000000004</v>
      </c>
      <c r="DX45" s="1">
        <v>0</v>
      </c>
      <c r="DY45" s="1">
        <v>0</v>
      </c>
      <c r="DZ45" s="1">
        <v>0</v>
      </c>
      <c r="EA45" s="1">
        <v>10</v>
      </c>
      <c r="EB45" s="1">
        <v>81.999999999999986</v>
      </c>
      <c r="EC45" s="1">
        <v>15.999999999999996</v>
      </c>
      <c r="ED45" s="1">
        <v>1.9999999999999996</v>
      </c>
      <c r="EE45" s="1">
        <v>0</v>
      </c>
      <c r="EF45" s="1">
        <v>0</v>
      </c>
      <c r="EG45" s="1">
        <v>50</v>
      </c>
      <c r="EH45" s="1">
        <v>65.116279069767288</v>
      </c>
      <c r="EI45" s="1">
        <v>27.906976744186053</v>
      </c>
      <c r="EJ45" s="1">
        <v>6.9767441860465134</v>
      </c>
      <c r="EK45" s="1">
        <v>0</v>
      </c>
      <c r="EL45" s="1">
        <v>0</v>
      </c>
      <c r="EM45" s="1">
        <v>43</v>
      </c>
      <c r="EN45" s="1">
        <v>49.999999999999993</v>
      </c>
      <c r="EO45" s="1">
        <v>36.363636363636338</v>
      </c>
      <c r="EP45" s="1">
        <v>4.5454545454545432</v>
      </c>
      <c r="EQ45" s="1">
        <v>9.0909090909090864</v>
      </c>
      <c r="ER45" s="1">
        <v>0</v>
      </c>
      <c r="ES45" s="1">
        <v>44</v>
      </c>
      <c r="ET45" s="1">
        <v>51.111111111110993</v>
      </c>
      <c r="EU45" s="1">
        <v>42.222222222222179</v>
      </c>
      <c r="EV45" s="1">
        <v>2.2222222222222197</v>
      </c>
      <c r="EW45" s="1">
        <v>4.4444444444444393</v>
      </c>
      <c r="EX45" s="1">
        <v>0</v>
      </c>
      <c r="EY45" s="1">
        <v>45</v>
      </c>
      <c r="EZ45" s="1">
        <v>58.823529411764774</v>
      </c>
      <c r="FA45" s="1">
        <v>29.411764705882387</v>
      </c>
      <c r="FB45" s="1">
        <v>11.764705882352935</v>
      </c>
      <c r="FC45" s="1">
        <v>0</v>
      </c>
      <c r="FD45" s="1">
        <v>0</v>
      </c>
      <c r="FE45" s="1">
        <v>34</v>
      </c>
      <c r="FF45" s="1">
        <v>58.064516129032228</v>
      </c>
      <c r="FG45" s="1">
        <v>32.258064516129046</v>
      </c>
      <c r="FH45" s="1">
        <v>9.6774193548387046</v>
      </c>
      <c r="FI45" s="1">
        <v>0</v>
      </c>
      <c r="FJ45" s="1">
        <v>0</v>
      </c>
      <c r="FK45" s="1">
        <v>31</v>
      </c>
      <c r="FL45" s="1">
        <v>53.125</v>
      </c>
      <c r="FM45" s="1">
        <v>34.375</v>
      </c>
      <c r="FN45" s="1">
        <v>12.500000000000002</v>
      </c>
      <c r="FO45" s="1">
        <v>0</v>
      </c>
      <c r="FP45" s="1">
        <v>0</v>
      </c>
      <c r="FQ45" s="1">
        <v>32</v>
      </c>
      <c r="FR45" s="1">
        <v>73.684210526315823</v>
      </c>
      <c r="FS45" s="1">
        <v>15.789473684210529</v>
      </c>
      <c r="FT45" s="1">
        <v>10.52631578947368</v>
      </c>
      <c r="FU45" s="1">
        <v>0</v>
      </c>
      <c r="FV45" s="1">
        <v>0</v>
      </c>
      <c r="FW45" s="1">
        <v>19</v>
      </c>
      <c r="FX45" s="1">
        <v>89.552238805970092</v>
      </c>
      <c r="FY45" s="1">
        <v>10.447761194029829</v>
      </c>
      <c r="FZ45" s="1">
        <v>0</v>
      </c>
      <c r="GA45" s="1">
        <v>0</v>
      </c>
      <c r="GB45" s="1">
        <v>0</v>
      </c>
      <c r="GC45" s="1">
        <v>67</v>
      </c>
      <c r="GD45" s="1">
        <v>71.052631578947427</v>
      </c>
      <c r="GE45" s="1">
        <v>28.947368421052659</v>
      </c>
      <c r="GF45" s="1">
        <v>0</v>
      </c>
      <c r="GG45" s="1">
        <v>0</v>
      </c>
      <c r="GH45" s="1">
        <v>0</v>
      </c>
      <c r="GI45" s="1">
        <v>38</v>
      </c>
      <c r="GJ45" s="1">
        <v>80.000000000000014</v>
      </c>
      <c r="GK45" s="1">
        <v>20.000000000000004</v>
      </c>
      <c r="GL45" s="1">
        <v>0</v>
      </c>
      <c r="GM45" s="1">
        <v>0</v>
      </c>
      <c r="GN45" s="1">
        <v>0</v>
      </c>
      <c r="GO45" s="1">
        <v>30</v>
      </c>
      <c r="GP45" s="1">
        <v>72.340425531914747</v>
      </c>
      <c r="GQ45" s="1">
        <v>23.404255319148895</v>
      </c>
      <c r="GR45" s="1">
        <v>2.1276595744680833</v>
      </c>
      <c r="GS45" s="1">
        <v>2.1276595744680833</v>
      </c>
      <c r="GT45" s="1">
        <v>0</v>
      </c>
      <c r="GU45" s="1">
        <v>47</v>
      </c>
      <c r="GV45" s="1">
        <v>81.249999999999986</v>
      </c>
      <c r="GW45" s="1">
        <v>16.666666666666647</v>
      </c>
      <c r="GX45" s="1">
        <v>2.0833333333333308</v>
      </c>
      <c r="GY45" s="1">
        <v>0</v>
      </c>
      <c r="GZ45" s="1">
        <v>0</v>
      </c>
      <c r="HA45" s="1">
        <v>48</v>
      </c>
      <c r="HB45" s="1">
        <v>63.636363636363626</v>
      </c>
      <c r="HC45" s="1">
        <v>27.272727272727256</v>
      </c>
      <c r="HD45" s="1">
        <v>9.0909090909090882</v>
      </c>
      <c r="HE45" s="1">
        <v>0</v>
      </c>
      <c r="HF45" s="1">
        <v>0</v>
      </c>
      <c r="HG45" s="1">
        <v>22</v>
      </c>
      <c r="HH45" s="1">
        <v>68.181818181818102</v>
      </c>
      <c r="HI45" s="1">
        <v>18.181818181818176</v>
      </c>
      <c r="HJ45" s="1">
        <v>9.0909090909090882</v>
      </c>
      <c r="HK45" s="1">
        <v>0</v>
      </c>
      <c r="HL45" s="1">
        <v>4.5454545454545441</v>
      </c>
      <c r="HM45" s="1">
        <v>22</v>
      </c>
      <c r="HN45" s="1">
        <v>0</v>
      </c>
      <c r="HO45" s="1">
        <v>0</v>
      </c>
      <c r="HP45" s="1">
        <v>0</v>
      </c>
      <c r="HQ45" s="1">
        <v>0</v>
      </c>
      <c r="HR45" s="1">
        <v>0</v>
      </c>
      <c r="HS45" s="1">
        <v>0</v>
      </c>
      <c r="HT45" s="1">
        <v>0</v>
      </c>
      <c r="HU45" s="1">
        <v>0</v>
      </c>
      <c r="HV45" s="1">
        <v>0</v>
      </c>
      <c r="HW45" s="1">
        <v>0</v>
      </c>
      <c r="HX45" s="1">
        <v>0</v>
      </c>
      <c r="HY45" s="1">
        <v>0</v>
      </c>
      <c r="HZ45" s="1">
        <v>0</v>
      </c>
      <c r="IA45" s="1">
        <v>0</v>
      </c>
      <c r="IB45" s="1">
        <v>0</v>
      </c>
      <c r="IC45" s="1">
        <v>0</v>
      </c>
      <c r="ID45" s="1">
        <v>0</v>
      </c>
      <c r="IE45" s="1">
        <v>0</v>
      </c>
      <c r="IF45" s="1">
        <v>9.5535714285714288</v>
      </c>
      <c r="IG45" s="1">
        <v>0</v>
      </c>
      <c r="IH45" s="1">
        <v>0</v>
      </c>
      <c r="II45" s="1">
        <v>0</v>
      </c>
      <c r="IJ45" s="1">
        <v>0</v>
      </c>
      <c r="IK45" s="1">
        <v>0</v>
      </c>
      <c r="IL45" s="1">
        <v>0</v>
      </c>
      <c r="IM45" s="1">
        <v>3.5714285714285623</v>
      </c>
      <c r="IN45" s="1">
        <v>10.714285714285696</v>
      </c>
      <c r="IO45" s="1">
        <v>12.499999999999993</v>
      </c>
      <c r="IP45" s="1">
        <v>73.214285714285609</v>
      </c>
      <c r="IQ45" s="1">
        <v>9.5535714285714111</v>
      </c>
      <c r="IR45" s="1">
        <v>56</v>
      </c>
      <c r="IS45" s="1">
        <v>97.014925373134275</v>
      </c>
      <c r="IT45" s="1">
        <v>2.9850746268656674</v>
      </c>
      <c r="IU45" s="1">
        <v>0</v>
      </c>
      <c r="IV45" s="1">
        <v>0</v>
      </c>
      <c r="IW45" s="1">
        <v>0</v>
      </c>
      <c r="IX45" s="1">
        <v>67</v>
      </c>
      <c r="IY45" s="1">
        <v>1</v>
      </c>
      <c r="IZ45" s="1">
        <v>30.761280000000006</v>
      </c>
      <c r="JA45" s="1">
        <v>21.905760000000029</v>
      </c>
      <c r="JB45" s="1">
        <v>4.6607999999999965</v>
      </c>
      <c r="JC45" s="1">
        <v>2.3303999999999983</v>
      </c>
      <c r="JD45" s="1">
        <v>3.7286400000000057</v>
      </c>
      <c r="JE45" s="1">
        <v>0.71212121212121127</v>
      </c>
      <c r="JF45" s="1">
        <v>0.15151515151515116</v>
      </c>
      <c r="JG45" s="1">
        <v>7.5757575757575579E-2</v>
      </c>
      <c r="JH45" s="1">
        <v>0.12121212121212108</v>
      </c>
      <c r="JI45" s="1">
        <v>1</v>
      </c>
      <c r="JJ45" s="1">
        <v>66</v>
      </c>
      <c r="JK45" s="1">
        <v>3.3030303030303032</v>
      </c>
      <c r="JL45" s="1">
        <v>3.3030303030303041</v>
      </c>
      <c r="JM45" s="1">
        <v>66</v>
      </c>
      <c r="JN45" s="1">
        <v>88.23529411764693</v>
      </c>
      <c r="JO45" s="1">
        <v>11.764705882352935</v>
      </c>
      <c r="JP45" s="1">
        <v>34</v>
      </c>
      <c r="JQ45" s="1">
        <v>92.499999999999986</v>
      </c>
      <c r="JR45" s="1">
        <v>7.4999999999999982</v>
      </c>
      <c r="JS45" s="1">
        <v>40</v>
      </c>
      <c r="JT45" s="1">
        <v>94.736842105263278</v>
      </c>
      <c r="JU45" s="1">
        <v>5.2631578947368265</v>
      </c>
      <c r="JV45" s="1">
        <v>57</v>
      </c>
      <c r="JW45" s="1">
        <v>89.999999999999986</v>
      </c>
      <c r="JX45" s="1">
        <v>9.9999999999999982</v>
      </c>
      <c r="JY45" s="1">
        <v>40</v>
      </c>
      <c r="JZ45" s="1">
        <v>56.716417910447603</v>
      </c>
      <c r="KA45" s="1">
        <v>43.283582089552098</v>
      </c>
      <c r="KB45" s="1">
        <v>67</v>
      </c>
      <c r="KC45" s="1">
        <v>98.333333333333258</v>
      </c>
      <c r="KD45" s="1">
        <v>1.6666666666666674</v>
      </c>
      <c r="KE45" s="1">
        <v>60</v>
      </c>
      <c r="KF45" s="1">
        <v>3.5344827586206895</v>
      </c>
      <c r="KG45" s="1">
        <v>1.7241379310344798</v>
      </c>
      <c r="KH45" s="1">
        <v>8.6206896551724022</v>
      </c>
      <c r="KI45" s="1">
        <v>36.206896551724142</v>
      </c>
      <c r="KJ45" s="1">
        <v>41.379310344827488</v>
      </c>
      <c r="KK45" s="1">
        <v>12.068965517241368</v>
      </c>
      <c r="KL45" s="1">
        <v>58</v>
      </c>
      <c r="KM45" s="1">
        <v>62.310344827586079</v>
      </c>
      <c r="KN45" s="1">
        <v>0</v>
      </c>
      <c r="KO45" s="1">
        <v>0</v>
      </c>
      <c r="KP45" s="1">
        <v>0</v>
      </c>
      <c r="KQ45" s="1">
        <v>0</v>
      </c>
      <c r="KR45" s="1">
        <v>0</v>
      </c>
      <c r="KS45" s="1">
        <v>0</v>
      </c>
      <c r="KT45" s="1">
        <v>0</v>
      </c>
      <c r="KU45" s="1">
        <v>0</v>
      </c>
      <c r="KV45" s="1">
        <v>0</v>
      </c>
      <c r="KW45" s="1">
        <v>0</v>
      </c>
      <c r="KX45" s="1">
        <v>100</v>
      </c>
      <c r="KY45" s="1">
        <v>0</v>
      </c>
      <c r="KZ45" s="1">
        <v>64</v>
      </c>
      <c r="LA45" s="1">
        <v>12.499999999999993</v>
      </c>
      <c r="LB45" s="1">
        <v>87.499999999999986</v>
      </c>
      <c r="LC45" s="1">
        <v>64</v>
      </c>
      <c r="LD45" s="1">
        <v>0</v>
      </c>
      <c r="LE45" s="1">
        <v>0</v>
      </c>
      <c r="LF45" s="1">
        <v>100</v>
      </c>
      <c r="LG45" s="1">
        <v>8</v>
      </c>
    </row>
    <row r="46" spans="1:319" x14ac:dyDescent="0.25">
      <c r="A46" s="1">
        <v>159</v>
      </c>
      <c r="B46" s="1">
        <v>28.888888888888893</v>
      </c>
      <c r="C46" s="1">
        <v>71.111111111111001</v>
      </c>
      <c r="D46" s="1">
        <v>45</v>
      </c>
      <c r="E46" s="1">
        <v>84.374999999999986</v>
      </c>
      <c r="F46" s="1">
        <v>15.624999999999998</v>
      </c>
      <c r="G46" s="1">
        <v>32</v>
      </c>
      <c r="H46" s="1">
        <v>48</v>
      </c>
      <c r="I46" s="1">
        <v>52.000000000000007</v>
      </c>
      <c r="J46" s="1">
        <v>25</v>
      </c>
      <c r="K46" s="1">
        <v>1</v>
      </c>
      <c r="L46" s="1">
        <v>29.546550000000021</v>
      </c>
      <c r="M46" s="1">
        <v>13.131799999999997</v>
      </c>
      <c r="N46" s="1">
        <v>2.6263600000000018</v>
      </c>
      <c r="O46" s="1">
        <v>0.65659000000000045</v>
      </c>
      <c r="P46" s="1">
        <v>0.65659000000000045</v>
      </c>
      <c r="Q46" s="1">
        <v>5.2527200000000036</v>
      </c>
      <c r="R46" s="1">
        <v>0.65659000000000045</v>
      </c>
      <c r="S46" s="1">
        <v>1.3131800000000009</v>
      </c>
      <c r="T46" s="1">
        <v>5.2527200000000036</v>
      </c>
      <c r="U46" s="1">
        <v>3.9395399999999965</v>
      </c>
      <c r="V46" s="1">
        <v>4.5961299999999961</v>
      </c>
      <c r="W46" s="1">
        <v>0.44444444444444398</v>
      </c>
      <c r="X46" s="1">
        <v>8.8888888888888906E-2</v>
      </c>
      <c r="Y46" s="1">
        <v>2.2222222222222227E-2</v>
      </c>
      <c r="Z46" s="1">
        <v>2.2222222222222227E-2</v>
      </c>
      <c r="AA46" s="1">
        <v>0.17777777777777781</v>
      </c>
      <c r="AB46" s="1">
        <v>2.2222222222222227E-2</v>
      </c>
      <c r="AC46" s="1">
        <v>4.4444444444444453E-2</v>
      </c>
      <c r="AD46" s="1">
        <v>0.17777777777777781</v>
      </c>
      <c r="AE46" s="1">
        <v>0.13333333333333316</v>
      </c>
      <c r="AF46" s="1">
        <v>0.15555555555555528</v>
      </c>
      <c r="AG46" s="1">
        <v>1</v>
      </c>
      <c r="AH46" s="1">
        <v>45</v>
      </c>
      <c r="AI46" s="1">
        <v>1</v>
      </c>
      <c r="AJ46" s="1">
        <v>27.576780000000024</v>
      </c>
      <c r="AK46" s="1">
        <v>19.04111</v>
      </c>
      <c r="AL46" s="1">
        <v>18.384519999999984</v>
      </c>
      <c r="AM46" s="1">
        <v>13.788390000000003</v>
      </c>
      <c r="AN46" s="1">
        <v>12.475209999999997</v>
      </c>
      <c r="AO46" s="1">
        <v>2.6263600000000018</v>
      </c>
      <c r="AP46" s="1">
        <v>4.5961299999999961</v>
      </c>
      <c r="AQ46" s="1">
        <v>0.69047619047618991</v>
      </c>
      <c r="AR46" s="1">
        <v>0.66666666666666685</v>
      </c>
      <c r="AS46" s="1">
        <v>0.49999999999999978</v>
      </c>
      <c r="AT46" s="1">
        <v>0.45238095238095222</v>
      </c>
      <c r="AU46" s="1">
        <v>9.5238095238095219E-2</v>
      </c>
      <c r="AV46" s="1">
        <v>0.16666666666666671</v>
      </c>
      <c r="AW46" s="1">
        <v>1</v>
      </c>
      <c r="AX46" s="1">
        <v>42</v>
      </c>
      <c r="AY46" s="1">
        <v>9.9302325581395348</v>
      </c>
      <c r="AZ46" s="1">
        <v>9.954545454545455</v>
      </c>
      <c r="BA46" s="1">
        <v>9.9523809523809526</v>
      </c>
      <c r="BB46" s="1">
        <v>0</v>
      </c>
      <c r="BC46" s="1">
        <v>0</v>
      </c>
      <c r="BD46" s="1">
        <v>0</v>
      </c>
      <c r="BE46" s="1">
        <v>0</v>
      </c>
      <c r="BF46" s="1">
        <v>0</v>
      </c>
      <c r="BG46" s="1">
        <v>0</v>
      </c>
      <c r="BH46" s="1">
        <v>0</v>
      </c>
      <c r="BI46" s="1">
        <v>2.3255813953488347</v>
      </c>
      <c r="BJ46" s="1">
        <v>2.3255813953488347</v>
      </c>
      <c r="BK46" s="1">
        <v>95.348837209302374</v>
      </c>
      <c r="BL46" s="1">
        <v>9.9302325581395348</v>
      </c>
      <c r="BM46" s="1">
        <v>43</v>
      </c>
      <c r="BN46" s="1">
        <v>0</v>
      </c>
      <c r="BO46" s="1">
        <v>0</v>
      </c>
      <c r="BP46" s="1">
        <v>0</v>
      </c>
      <c r="BQ46" s="1">
        <v>0</v>
      </c>
      <c r="BR46" s="1">
        <v>0</v>
      </c>
      <c r="BS46" s="1">
        <v>0</v>
      </c>
      <c r="BT46" s="1">
        <v>0</v>
      </c>
      <c r="BU46" s="1">
        <v>2.2727272727272698</v>
      </c>
      <c r="BV46" s="1">
        <v>0</v>
      </c>
      <c r="BW46" s="1">
        <v>97.727272727272648</v>
      </c>
      <c r="BX46" s="1">
        <v>9.9545454545454426</v>
      </c>
      <c r="BY46" s="1">
        <v>44</v>
      </c>
      <c r="BZ46" s="1">
        <v>0</v>
      </c>
      <c r="CA46" s="1">
        <v>0</v>
      </c>
      <c r="CB46" s="1">
        <v>0</v>
      </c>
      <c r="CC46" s="1">
        <v>0</v>
      </c>
      <c r="CD46" s="1">
        <v>0</v>
      </c>
      <c r="CE46" s="1">
        <v>0</v>
      </c>
      <c r="CF46" s="1">
        <v>0</v>
      </c>
      <c r="CG46" s="1">
        <v>2.3809523809523796</v>
      </c>
      <c r="CH46" s="1">
        <v>0</v>
      </c>
      <c r="CI46" s="1">
        <v>97.619047619047663</v>
      </c>
      <c r="CJ46" s="1">
        <v>9.9523809523809508</v>
      </c>
      <c r="CK46" s="1">
        <v>42</v>
      </c>
      <c r="CL46" s="1">
        <v>80.487804878048777</v>
      </c>
      <c r="CM46" s="1">
        <v>17.07317073170729</v>
      </c>
      <c r="CN46" s="1">
        <v>2.4390243902439011</v>
      </c>
      <c r="CO46" s="1">
        <v>0</v>
      </c>
      <c r="CP46" s="1">
        <v>0</v>
      </c>
      <c r="CQ46" s="1">
        <v>41</v>
      </c>
      <c r="CR46" s="1">
        <v>74.999999999999986</v>
      </c>
      <c r="CS46" s="1">
        <v>18.181818181818159</v>
      </c>
      <c r="CT46" s="1">
        <v>4.5454545454545396</v>
      </c>
      <c r="CU46" s="1">
        <v>2.2727272727272698</v>
      </c>
      <c r="CV46" s="1">
        <v>0</v>
      </c>
      <c r="CW46" s="1">
        <v>44</v>
      </c>
      <c r="CX46" s="1">
        <v>78.048780487804834</v>
      </c>
      <c r="CY46" s="1">
        <v>17.07317073170729</v>
      </c>
      <c r="CZ46" s="1">
        <v>4.8780487804878021</v>
      </c>
      <c r="DA46" s="1">
        <v>0</v>
      </c>
      <c r="DB46" s="1">
        <v>0</v>
      </c>
      <c r="DC46" s="1">
        <v>41</v>
      </c>
      <c r="DD46" s="1">
        <v>86.363636363636402</v>
      </c>
      <c r="DE46" s="1">
        <v>13.636363636363628</v>
      </c>
      <c r="DF46" s="1">
        <v>0</v>
      </c>
      <c r="DG46" s="1">
        <v>0</v>
      </c>
      <c r="DH46" s="1">
        <v>0</v>
      </c>
      <c r="DI46" s="1">
        <v>44</v>
      </c>
      <c r="DJ46" s="1">
        <v>84.999999999999986</v>
      </c>
      <c r="DK46" s="1">
        <v>7.4999999999999991</v>
      </c>
      <c r="DL46" s="1">
        <v>4.9999999999999991</v>
      </c>
      <c r="DM46" s="1">
        <v>2.4999999999999996</v>
      </c>
      <c r="DN46" s="1">
        <v>0</v>
      </c>
      <c r="DO46" s="1">
        <v>40</v>
      </c>
      <c r="DP46" s="1">
        <v>88.095238095238088</v>
      </c>
      <c r="DQ46" s="1">
        <v>11.90476190476191</v>
      </c>
      <c r="DR46" s="1">
        <v>0</v>
      </c>
      <c r="DS46" s="1">
        <v>0</v>
      </c>
      <c r="DT46" s="1">
        <v>0</v>
      </c>
      <c r="DU46" s="1">
        <v>42</v>
      </c>
      <c r="DV46" s="1">
        <v>81.481481481481396</v>
      </c>
      <c r="DW46" s="1">
        <v>14.814814814814817</v>
      </c>
      <c r="DX46" s="1">
        <v>3.7037037037037042</v>
      </c>
      <c r="DY46" s="1">
        <v>0</v>
      </c>
      <c r="DZ46" s="1">
        <v>0</v>
      </c>
      <c r="EA46" s="1">
        <v>27</v>
      </c>
      <c r="EB46" s="1">
        <v>93.75</v>
      </c>
      <c r="EC46" s="1">
        <v>6.2500000000000009</v>
      </c>
      <c r="ED46" s="1">
        <v>0</v>
      </c>
      <c r="EE46" s="1">
        <v>0</v>
      </c>
      <c r="EF46" s="1">
        <v>0</v>
      </c>
      <c r="EG46" s="1">
        <v>16</v>
      </c>
      <c r="EH46" s="1">
        <v>92.307692307692335</v>
      </c>
      <c r="EI46" s="1">
        <v>7.6923076923076952</v>
      </c>
      <c r="EJ46" s="1">
        <v>0</v>
      </c>
      <c r="EK46" s="1">
        <v>0</v>
      </c>
      <c r="EL46" s="1">
        <v>0</v>
      </c>
      <c r="EM46" s="1">
        <v>13</v>
      </c>
      <c r="EN46" s="1">
        <v>76</v>
      </c>
      <c r="EO46" s="1">
        <v>20.000000000000004</v>
      </c>
      <c r="EP46" s="1">
        <v>0</v>
      </c>
      <c r="EQ46" s="1">
        <v>4.0000000000000009</v>
      </c>
      <c r="ER46" s="1">
        <v>0</v>
      </c>
      <c r="ES46" s="1">
        <v>25</v>
      </c>
      <c r="ET46" s="1">
        <v>70.370370370370395</v>
      </c>
      <c r="EU46" s="1">
        <v>25.925925925925942</v>
      </c>
      <c r="EV46" s="1">
        <v>3.7037037037037042</v>
      </c>
      <c r="EW46" s="1">
        <v>0</v>
      </c>
      <c r="EX46" s="1">
        <v>0</v>
      </c>
      <c r="EY46" s="1">
        <v>27</v>
      </c>
      <c r="EZ46" s="1">
        <v>75</v>
      </c>
      <c r="FA46" s="1">
        <v>25.000000000000004</v>
      </c>
      <c r="FB46" s="1">
        <v>0</v>
      </c>
      <c r="FC46" s="1">
        <v>0</v>
      </c>
      <c r="FD46" s="1">
        <v>0</v>
      </c>
      <c r="FE46" s="1">
        <v>16</v>
      </c>
      <c r="FF46" s="1">
        <v>75</v>
      </c>
      <c r="FG46" s="1">
        <v>25.000000000000004</v>
      </c>
      <c r="FH46" s="1">
        <v>0</v>
      </c>
      <c r="FI46" s="1">
        <v>0</v>
      </c>
      <c r="FJ46" s="1">
        <v>0</v>
      </c>
      <c r="FK46" s="1">
        <v>16</v>
      </c>
      <c r="FL46" s="1">
        <v>53.846153846153818</v>
      </c>
      <c r="FM46" s="1">
        <v>30.769230769230781</v>
      </c>
      <c r="FN46" s="1">
        <v>7.6923076923076952</v>
      </c>
      <c r="FO46" s="1">
        <v>7.6923076923076952</v>
      </c>
      <c r="FP46" s="1">
        <v>0</v>
      </c>
      <c r="FQ46" s="1">
        <v>26</v>
      </c>
      <c r="FR46" s="1">
        <v>81.818181818181884</v>
      </c>
      <c r="FS46" s="1">
        <v>13.636363636363637</v>
      </c>
      <c r="FT46" s="1">
        <v>4.5454545454545521</v>
      </c>
      <c r="FU46" s="1">
        <v>0</v>
      </c>
      <c r="FV46" s="1">
        <v>0</v>
      </c>
      <c r="FW46" s="1">
        <v>22</v>
      </c>
      <c r="FX46" s="1">
        <v>95.121951219512127</v>
      </c>
      <c r="FY46" s="1">
        <v>4.8780487804878021</v>
      </c>
      <c r="FZ46" s="1">
        <v>0</v>
      </c>
      <c r="GA46" s="1">
        <v>0</v>
      </c>
      <c r="GB46" s="1">
        <v>0</v>
      </c>
      <c r="GC46" s="1">
        <v>41</v>
      </c>
      <c r="GD46" s="1">
        <v>93.3333333333334</v>
      </c>
      <c r="GE46" s="1">
        <v>6.666666666666667</v>
      </c>
      <c r="GF46" s="1">
        <v>0</v>
      </c>
      <c r="GG46" s="1">
        <v>0</v>
      </c>
      <c r="GH46" s="1">
        <v>0</v>
      </c>
      <c r="GI46" s="1">
        <v>15</v>
      </c>
      <c r="GJ46" s="1">
        <v>94.117647058823465</v>
      </c>
      <c r="GK46" s="1">
        <v>5.8823529411764692</v>
      </c>
      <c r="GL46" s="1">
        <v>0</v>
      </c>
      <c r="GM46" s="1">
        <v>0</v>
      </c>
      <c r="GN46" s="1">
        <v>0</v>
      </c>
      <c r="GO46" s="1">
        <v>17</v>
      </c>
      <c r="GP46" s="1">
        <v>90.322580645161338</v>
      </c>
      <c r="GQ46" s="1">
        <v>6.4516129032257998</v>
      </c>
      <c r="GR46" s="1">
        <v>3.2258064516128999</v>
      </c>
      <c r="GS46" s="1">
        <v>0</v>
      </c>
      <c r="GT46" s="1">
        <v>0</v>
      </c>
      <c r="GU46" s="1">
        <v>31</v>
      </c>
      <c r="GV46" s="1">
        <v>94.117647058823465</v>
      </c>
      <c r="GW46" s="1">
        <v>2.9411764705882333</v>
      </c>
      <c r="GX46" s="1">
        <v>2.9411764705882333</v>
      </c>
      <c r="GY46" s="1">
        <v>0</v>
      </c>
      <c r="GZ46" s="1">
        <v>0</v>
      </c>
      <c r="HA46" s="1">
        <v>34</v>
      </c>
      <c r="HB46" s="1">
        <v>75</v>
      </c>
      <c r="HC46" s="1">
        <v>25.000000000000004</v>
      </c>
      <c r="HD46" s="1">
        <v>0</v>
      </c>
      <c r="HE46" s="1">
        <v>0</v>
      </c>
      <c r="HF46" s="1">
        <v>0</v>
      </c>
      <c r="HG46" s="1">
        <v>8</v>
      </c>
      <c r="HH46" s="1">
        <v>92.307692307692335</v>
      </c>
      <c r="HI46" s="1">
        <v>7.6923076923076952</v>
      </c>
      <c r="HJ46" s="1">
        <v>0</v>
      </c>
      <c r="HK46" s="1">
        <v>0</v>
      </c>
      <c r="HL46" s="1">
        <v>0</v>
      </c>
      <c r="HM46" s="1">
        <v>13</v>
      </c>
      <c r="HN46" s="1">
        <v>0</v>
      </c>
      <c r="HO46" s="1">
        <v>0</v>
      </c>
      <c r="HP46" s="1">
        <v>0</v>
      </c>
      <c r="HQ46" s="1">
        <v>0</v>
      </c>
      <c r="HR46" s="1">
        <v>0</v>
      </c>
      <c r="HS46" s="1">
        <v>0</v>
      </c>
      <c r="HT46" s="1">
        <v>0</v>
      </c>
      <c r="HU46" s="1">
        <v>0</v>
      </c>
      <c r="HV46" s="1">
        <v>0</v>
      </c>
      <c r="HW46" s="1">
        <v>0</v>
      </c>
      <c r="HX46" s="1">
        <v>0</v>
      </c>
      <c r="HY46" s="1">
        <v>0</v>
      </c>
      <c r="HZ46" s="1">
        <v>0</v>
      </c>
      <c r="IA46" s="1">
        <v>0</v>
      </c>
      <c r="IB46" s="1">
        <v>0</v>
      </c>
      <c r="IC46" s="1">
        <v>0</v>
      </c>
      <c r="ID46" s="1">
        <v>0</v>
      </c>
      <c r="IE46" s="1">
        <v>0</v>
      </c>
      <c r="IF46" s="1">
        <v>9.6590909090909083</v>
      </c>
      <c r="IG46" s="1">
        <v>0</v>
      </c>
      <c r="IH46" s="1">
        <v>0</v>
      </c>
      <c r="II46" s="1">
        <v>0</v>
      </c>
      <c r="IJ46" s="1">
        <v>0</v>
      </c>
      <c r="IK46" s="1">
        <v>0</v>
      </c>
      <c r="IL46" s="1">
        <v>0</v>
      </c>
      <c r="IM46" s="1">
        <v>2.2727272727272698</v>
      </c>
      <c r="IN46" s="1">
        <v>6.8181818181818139</v>
      </c>
      <c r="IO46" s="1">
        <v>13.636363636363628</v>
      </c>
      <c r="IP46" s="1">
        <v>77.272727272727167</v>
      </c>
      <c r="IQ46" s="1">
        <v>9.6590909090908941</v>
      </c>
      <c r="IR46" s="1">
        <v>44</v>
      </c>
      <c r="IS46" s="1">
        <v>48.88888888888885</v>
      </c>
      <c r="IT46" s="1">
        <v>26.666666666666647</v>
      </c>
      <c r="IU46" s="1">
        <v>15.555555555555545</v>
      </c>
      <c r="IV46" s="1">
        <v>2.2222222222222188</v>
      </c>
      <c r="IW46" s="1">
        <v>6.6666666666666625</v>
      </c>
      <c r="IX46" s="1">
        <v>45</v>
      </c>
      <c r="IY46" s="1">
        <v>1</v>
      </c>
      <c r="IZ46" s="1">
        <v>28.889959999999995</v>
      </c>
      <c r="JA46" s="1">
        <v>19.697700000000022</v>
      </c>
      <c r="JB46" s="1">
        <v>1.9697699999999982</v>
      </c>
      <c r="JC46" s="1">
        <v>3.9395399999999965</v>
      </c>
      <c r="JD46" s="1">
        <v>5.2527200000000036</v>
      </c>
      <c r="JE46" s="1">
        <v>0.68181818181818077</v>
      </c>
      <c r="JF46" s="1">
        <v>6.8181818181818205E-2</v>
      </c>
      <c r="JG46" s="1">
        <v>0.13636363636363641</v>
      </c>
      <c r="JH46" s="1">
        <v>0.18181818181818168</v>
      </c>
      <c r="JI46" s="1">
        <v>1</v>
      </c>
      <c r="JJ46" s="1">
        <v>44</v>
      </c>
      <c r="JK46" s="1">
        <v>3.5</v>
      </c>
      <c r="JL46" s="1">
        <v>3.4999999999999996</v>
      </c>
      <c r="JM46" s="1">
        <v>44</v>
      </c>
      <c r="JN46" s="1">
        <v>95</v>
      </c>
      <c r="JO46" s="1">
        <v>5.0000000000000009</v>
      </c>
      <c r="JP46" s="1">
        <v>20</v>
      </c>
      <c r="JQ46" s="1">
        <v>100</v>
      </c>
      <c r="JR46" s="1">
        <v>0</v>
      </c>
      <c r="JS46" s="1">
        <v>28</v>
      </c>
      <c r="JT46" s="1">
        <v>99.999999999999986</v>
      </c>
      <c r="JU46" s="1">
        <v>0</v>
      </c>
      <c r="JV46" s="1">
        <v>33</v>
      </c>
      <c r="JW46" s="1">
        <v>96.666666666666629</v>
      </c>
      <c r="JX46" s="1">
        <v>3.3333333333333335</v>
      </c>
      <c r="JY46" s="1">
        <v>30</v>
      </c>
      <c r="JZ46" s="1">
        <v>64.999999999999986</v>
      </c>
      <c r="KA46" s="1">
        <v>34.999999999999993</v>
      </c>
      <c r="KB46" s="1">
        <v>40</v>
      </c>
      <c r="KC46" s="1">
        <v>100</v>
      </c>
      <c r="KD46" s="1">
        <v>0</v>
      </c>
      <c r="KE46" s="1">
        <v>37</v>
      </c>
      <c r="KF46" s="1">
        <v>2.3529411764705883</v>
      </c>
      <c r="KG46" s="1">
        <v>29.411764705882351</v>
      </c>
      <c r="KH46" s="1">
        <v>26.470588235294123</v>
      </c>
      <c r="KI46" s="1">
        <v>23.529411764705866</v>
      </c>
      <c r="KJ46" s="1">
        <v>20.588235294117659</v>
      </c>
      <c r="KK46" s="1">
        <v>0</v>
      </c>
      <c r="KL46" s="1">
        <v>34</v>
      </c>
      <c r="KM46" s="1">
        <v>41.382352941176514</v>
      </c>
      <c r="KN46" s="1">
        <v>82.5</v>
      </c>
      <c r="KO46" s="1">
        <v>0</v>
      </c>
      <c r="KP46" s="1">
        <v>0</v>
      </c>
      <c r="KQ46" s="1">
        <v>50.000000000000007</v>
      </c>
      <c r="KR46" s="1">
        <v>25.000000000000004</v>
      </c>
      <c r="KS46" s="1">
        <v>25.000000000000004</v>
      </c>
      <c r="KT46" s="1">
        <v>4</v>
      </c>
      <c r="KU46" s="1">
        <v>7.6923076923076827</v>
      </c>
      <c r="KV46" s="1">
        <v>2.5641025641025652</v>
      </c>
      <c r="KW46" s="1">
        <v>2.5641025641025652</v>
      </c>
      <c r="KX46" s="1">
        <v>82.051282051282087</v>
      </c>
      <c r="KY46" s="1">
        <v>5.1282051282051304</v>
      </c>
      <c r="KZ46" s="1">
        <v>39</v>
      </c>
      <c r="LA46" s="1">
        <v>12.499999999999998</v>
      </c>
      <c r="LB46" s="1">
        <v>87.499999999999986</v>
      </c>
      <c r="LC46" s="1">
        <v>40</v>
      </c>
      <c r="LD46" s="1">
        <v>0</v>
      </c>
      <c r="LE46" s="1">
        <v>0</v>
      </c>
      <c r="LF46" s="1">
        <v>100</v>
      </c>
      <c r="LG46" s="1">
        <v>5</v>
      </c>
    </row>
    <row r="47" spans="1:319" x14ac:dyDescent="0.25">
      <c r="A47" s="1">
        <v>160</v>
      </c>
      <c r="B47" s="1">
        <v>24.087591240876005</v>
      </c>
      <c r="C47" s="1">
        <v>75.912408759124318</v>
      </c>
      <c r="D47" s="1">
        <v>137</v>
      </c>
      <c r="E47" s="1">
        <v>77.77777777777807</v>
      </c>
      <c r="F47" s="1">
        <v>22.222222222222211</v>
      </c>
      <c r="G47" s="1">
        <v>99</v>
      </c>
      <c r="H47" s="1">
        <v>55.844155844155864</v>
      </c>
      <c r="I47" s="1">
        <v>44.155844155844107</v>
      </c>
      <c r="J47" s="1">
        <v>77</v>
      </c>
      <c r="K47" s="1">
        <v>1</v>
      </c>
      <c r="L47" s="1">
        <v>61.98923999999981</v>
      </c>
      <c r="M47" s="1">
        <v>18.464879999999997</v>
      </c>
      <c r="N47" s="1">
        <v>8.792799999999966</v>
      </c>
      <c r="O47" s="1">
        <v>15.38740000000003</v>
      </c>
      <c r="P47" s="1">
        <v>1.7585599999999952</v>
      </c>
      <c r="Q47" s="1">
        <v>26.818040000000082</v>
      </c>
      <c r="R47" s="1">
        <v>5.275679999999995</v>
      </c>
      <c r="S47" s="1">
        <v>2.6378399999999975</v>
      </c>
      <c r="T47" s="1">
        <v>5.275679999999995</v>
      </c>
      <c r="U47" s="1">
        <v>4.8360400000000148</v>
      </c>
      <c r="V47" s="1">
        <v>8.3531599999999866</v>
      </c>
      <c r="W47" s="1">
        <v>0.29787234042553273</v>
      </c>
      <c r="X47" s="1">
        <v>0.1418439716312061</v>
      </c>
      <c r="Y47" s="1">
        <v>0.24822695035461054</v>
      </c>
      <c r="Z47" s="1">
        <v>2.836879432624119E-2</v>
      </c>
      <c r="AA47" s="1">
        <v>0.43262411347517837</v>
      </c>
      <c r="AB47" s="1">
        <v>8.5106382978723832E-2</v>
      </c>
      <c r="AC47" s="1">
        <v>4.2553191489361916E-2</v>
      </c>
      <c r="AD47" s="1">
        <v>8.5106382978723832E-2</v>
      </c>
      <c r="AE47" s="1">
        <v>7.8014184397163303E-2</v>
      </c>
      <c r="AF47" s="1">
        <v>0.13475177304964567</v>
      </c>
      <c r="AG47" s="1">
        <v>1</v>
      </c>
      <c r="AH47" s="1">
        <v>141</v>
      </c>
      <c r="AI47" s="1">
        <v>1</v>
      </c>
      <c r="AJ47" s="1">
        <v>57.592840000000031</v>
      </c>
      <c r="AK47" s="1">
        <v>44.403639999999825</v>
      </c>
      <c r="AL47" s="1">
        <v>21.542359999999956</v>
      </c>
      <c r="AM47" s="1">
        <v>26.378400000000049</v>
      </c>
      <c r="AN47" s="1">
        <v>30.774800000000116</v>
      </c>
      <c r="AO47" s="1">
        <v>3.9567599999999921</v>
      </c>
      <c r="AP47" s="1">
        <v>7.9135199999999841</v>
      </c>
      <c r="AQ47" s="1">
        <v>0.77099236641221558</v>
      </c>
      <c r="AR47" s="1">
        <v>0.37404580152671923</v>
      </c>
      <c r="AS47" s="1">
        <v>0.45801526717557495</v>
      </c>
      <c r="AT47" s="1">
        <v>0.53435114503817116</v>
      </c>
      <c r="AU47" s="1">
        <v>6.8702290076336173E-2</v>
      </c>
      <c r="AV47" s="1">
        <v>0.13740458015267235</v>
      </c>
      <c r="AW47" s="1">
        <v>1</v>
      </c>
      <c r="AX47" s="1">
        <v>131</v>
      </c>
      <c r="AY47" s="1">
        <v>9.78125</v>
      </c>
      <c r="AZ47" s="1">
        <v>9.7692307692307701</v>
      </c>
      <c r="BA47" s="1">
        <v>9.7967479674796749</v>
      </c>
      <c r="BB47" s="1">
        <v>0</v>
      </c>
      <c r="BC47" s="1">
        <v>0</v>
      </c>
      <c r="BD47" s="1">
        <v>0</v>
      </c>
      <c r="BE47" s="1">
        <v>0</v>
      </c>
      <c r="BF47" s="1">
        <v>0</v>
      </c>
      <c r="BG47" s="1">
        <v>0.78125000000000033</v>
      </c>
      <c r="BH47" s="1">
        <v>1.5625000000000007</v>
      </c>
      <c r="BI47" s="1">
        <v>3.1250000000000013</v>
      </c>
      <c r="BJ47" s="1">
        <v>7.8125000000000044</v>
      </c>
      <c r="BK47" s="1">
        <v>86.718750000000014</v>
      </c>
      <c r="BL47" s="1">
        <v>9.7812499999999982</v>
      </c>
      <c r="BM47" s="1">
        <v>128</v>
      </c>
      <c r="BN47" s="1">
        <v>0</v>
      </c>
      <c r="BO47" s="1">
        <v>0</v>
      </c>
      <c r="BP47" s="1">
        <v>0</v>
      </c>
      <c r="BQ47" s="1">
        <v>0</v>
      </c>
      <c r="BR47" s="1">
        <v>0.7692307692307726</v>
      </c>
      <c r="BS47" s="1">
        <v>1.5384615384615452</v>
      </c>
      <c r="BT47" s="1">
        <v>0.7692307692307726</v>
      </c>
      <c r="BU47" s="1">
        <v>1.5384615384615452</v>
      </c>
      <c r="BV47" s="1">
        <v>7.6923076923077209</v>
      </c>
      <c r="BW47" s="1">
        <v>87.692307692307978</v>
      </c>
      <c r="BX47" s="1">
        <v>9.7692307692307381</v>
      </c>
      <c r="BY47" s="1">
        <v>130</v>
      </c>
      <c r="BZ47" s="1">
        <v>0</v>
      </c>
      <c r="CA47" s="1">
        <v>0</v>
      </c>
      <c r="CB47" s="1">
        <v>0</v>
      </c>
      <c r="CC47" s="1">
        <v>0</v>
      </c>
      <c r="CD47" s="1">
        <v>0</v>
      </c>
      <c r="CE47" s="1">
        <v>0.81300813008130113</v>
      </c>
      <c r="CF47" s="1">
        <v>0.81300813008130113</v>
      </c>
      <c r="CG47" s="1">
        <v>3.2520325203252045</v>
      </c>
      <c r="CH47" s="1">
        <v>8.130081300813023</v>
      </c>
      <c r="CI47" s="1">
        <v>86.991869918699507</v>
      </c>
      <c r="CJ47" s="1">
        <v>9.7967479674796483</v>
      </c>
      <c r="CK47" s="1">
        <v>123</v>
      </c>
      <c r="CL47" s="1">
        <v>43.750000000000057</v>
      </c>
      <c r="CM47" s="1">
        <v>48.437500000000057</v>
      </c>
      <c r="CN47" s="1">
        <v>3.9062500000000022</v>
      </c>
      <c r="CO47" s="1">
        <v>3.9062500000000022</v>
      </c>
      <c r="CP47" s="1">
        <v>0</v>
      </c>
      <c r="CQ47" s="1">
        <v>128</v>
      </c>
      <c r="CR47" s="1">
        <v>78.676470588235503</v>
      </c>
      <c r="CS47" s="1">
        <v>19.852941176470686</v>
      </c>
      <c r="CT47" s="1">
        <v>0.73529411764705899</v>
      </c>
      <c r="CU47" s="1">
        <v>0.73529411764705899</v>
      </c>
      <c r="CV47" s="1">
        <v>0</v>
      </c>
      <c r="CW47" s="1">
        <v>136</v>
      </c>
      <c r="CX47" s="1">
        <v>84.671532846715621</v>
      </c>
      <c r="CY47" s="1">
        <v>14.598540145985446</v>
      </c>
      <c r="CZ47" s="1">
        <v>0.7299270072992704</v>
      </c>
      <c r="DA47" s="1">
        <v>0</v>
      </c>
      <c r="DB47" s="1">
        <v>0</v>
      </c>
      <c r="DC47" s="1">
        <v>137</v>
      </c>
      <c r="DD47" s="1">
        <v>81.159420289855305</v>
      </c>
      <c r="DE47" s="1">
        <v>17.391304347826146</v>
      </c>
      <c r="DF47" s="1">
        <v>0.72463768115942184</v>
      </c>
      <c r="DG47" s="1">
        <v>0.72463768115942184</v>
      </c>
      <c r="DH47" s="1">
        <v>0</v>
      </c>
      <c r="DI47" s="1">
        <v>138</v>
      </c>
      <c r="DJ47" s="1">
        <v>79.838709677419246</v>
      </c>
      <c r="DK47" s="1">
        <v>19.354838709677509</v>
      </c>
      <c r="DL47" s="1">
        <v>0.80645161290322831</v>
      </c>
      <c r="DM47" s="1">
        <v>0</v>
      </c>
      <c r="DN47" s="1">
        <v>0</v>
      </c>
      <c r="DO47" s="1">
        <v>124</v>
      </c>
      <c r="DP47" s="1">
        <v>87.857142857143074</v>
      </c>
      <c r="DQ47" s="1">
        <v>12.142857142857162</v>
      </c>
      <c r="DR47" s="1">
        <v>0</v>
      </c>
      <c r="DS47" s="1">
        <v>0</v>
      </c>
      <c r="DT47" s="1">
        <v>0</v>
      </c>
      <c r="DU47" s="1">
        <v>140</v>
      </c>
      <c r="DV47" s="1">
        <v>61.682242990654338</v>
      </c>
      <c r="DW47" s="1">
        <v>26.168224299065503</v>
      </c>
      <c r="DX47" s="1">
        <v>4.6728971962617036</v>
      </c>
      <c r="DY47" s="1">
        <v>5.6074766355140193</v>
      </c>
      <c r="DZ47" s="1">
        <v>1.8691588785046698</v>
      </c>
      <c r="EA47" s="1">
        <v>107</v>
      </c>
      <c r="EB47" s="1">
        <v>88.059701492537116</v>
      </c>
      <c r="EC47" s="1">
        <v>8.9552238805970248</v>
      </c>
      <c r="ED47" s="1">
        <v>2.9850746268656794</v>
      </c>
      <c r="EE47" s="1">
        <v>0</v>
      </c>
      <c r="EF47" s="1">
        <v>0</v>
      </c>
      <c r="EG47" s="1">
        <v>67</v>
      </c>
      <c r="EH47" s="1">
        <v>63.333333333333279</v>
      </c>
      <c r="EI47" s="1">
        <v>29.999999999999993</v>
      </c>
      <c r="EJ47" s="1">
        <v>6.6666666666666519</v>
      </c>
      <c r="EK47" s="1">
        <v>0</v>
      </c>
      <c r="EL47" s="1">
        <v>0</v>
      </c>
      <c r="EM47" s="1">
        <v>60</v>
      </c>
      <c r="EN47" s="1">
        <v>48.648648648648518</v>
      </c>
      <c r="EO47" s="1">
        <v>39.189189189189165</v>
      </c>
      <c r="EP47" s="1">
        <v>6.756756756756765</v>
      </c>
      <c r="EQ47" s="1">
        <v>5.4054054054054106</v>
      </c>
      <c r="ER47" s="1">
        <v>0</v>
      </c>
      <c r="ES47" s="1">
        <v>74</v>
      </c>
      <c r="ET47" s="1">
        <v>51.948051948052061</v>
      </c>
      <c r="EU47" s="1">
        <v>36.363636363636317</v>
      </c>
      <c r="EV47" s="1">
        <v>6.4935064935065077</v>
      </c>
      <c r="EW47" s="1">
        <v>5.1948051948052028</v>
      </c>
      <c r="EX47" s="1">
        <v>0</v>
      </c>
      <c r="EY47" s="1">
        <v>77</v>
      </c>
      <c r="EZ47" s="1">
        <v>62.745098039215684</v>
      </c>
      <c r="FA47" s="1">
        <v>29.411764705882391</v>
      </c>
      <c r="FB47" s="1">
        <v>7.8431372549019605</v>
      </c>
      <c r="FC47" s="1">
        <v>0</v>
      </c>
      <c r="FD47" s="1">
        <v>0</v>
      </c>
      <c r="FE47" s="1">
        <v>51</v>
      </c>
      <c r="FF47" s="1">
        <v>61.904761904761685</v>
      </c>
      <c r="FG47" s="1">
        <v>28.57142857142847</v>
      </c>
      <c r="FH47" s="1">
        <v>9.5238095238095468</v>
      </c>
      <c r="FI47" s="1">
        <v>0</v>
      </c>
      <c r="FJ47" s="1">
        <v>0</v>
      </c>
      <c r="FK47" s="1">
        <v>42</v>
      </c>
      <c r="FL47" s="1">
        <v>78.723404255319124</v>
      </c>
      <c r="FM47" s="1">
        <v>10.63829787234044</v>
      </c>
      <c r="FN47" s="1">
        <v>8.5106382978723509</v>
      </c>
      <c r="FO47" s="1">
        <v>2.1276595744680877</v>
      </c>
      <c r="FP47" s="1">
        <v>0</v>
      </c>
      <c r="FQ47" s="1">
        <v>47</v>
      </c>
      <c r="FR47" s="1">
        <v>51.282051282051064</v>
      </c>
      <c r="FS47" s="1">
        <v>30.769230769230809</v>
      </c>
      <c r="FT47" s="1">
        <v>12.820512820512766</v>
      </c>
      <c r="FU47" s="1">
        <v>5.1282051282051189</v>
      </c>
      <c r="FV47" s="1">
        <v>0</v>
      </c>
      <c r="FW47" s="1">
        <v>39</v>
      </c>
      <c r="FX47" s="1">
        <v>88.721804511278464</v>
      </c>
      <c r="FY47" s="1">
        <v>9.7744360902255956</v>
      </c>
      <c r="FZ47" s="1">
        <v>0.75187969924812148</v>
      </c>
      <c r="GA47" s="1">
        <v>0.75187969924812148</v>
      </c>
      <c r="GB47" s="1">
        <v>0</v>
      </c>
      <c r="GC47" s="1">
        <v>133</v>
      </c>
      <c r="GD47" s="1">
        <v>68.656716417910488</v>
      </c>
      <c r="GE47" s="1">
        <v>26.865671641790961</v>
      </c>
      <c r="GF47" s="1">
        <v>4.4776119402985124</v>
      </c>
      <c r="GG47" s="1">
        <v>0</v>
      </c>
      <c r="GH47" s="1">
        <v>0</v>
      </c>
      <c r="GI47" s="1">
        <v>67</v>
      </c>
      <c r="GJ47" s="1">
        <v>73.770491803278873</v>
      </c>
      <c r="GK47" s="1">
        <v>19.672131147540927</v>
      </c>
      <c r="GL47" s="1">
        <v>6.5573770491803298</v>
      </c>
      <c r="GM47" s="1">
        <v>0</v>
      </c>
      <c r="GN47" s="1">
        <v>0</v>
      </c>
      <c r="GO47" s="1">
        <v>61</v>
      </c>
      <c r="GP47" s="1">
        <v>70.238095238095397</v>
      </c>
      <c r="GQ47" s="1">
        <v>19.047619047619097</v>
      </c>
      <c r="GR47" s="1">
        <v>5.9523809523809605</v>
      </c>
      <c r="GS47" s="1">
        <v>3.5714285714285658</v>
      </c>
      <c r="GT47" s="1">
        <v>1.1904761904761936</v>
      </c>
      <c r="GU47" s="1">
        <v>84</v>
      </c>
      <c r="GV47" s="1">
        <v>77.777777777777544</v>
      </c>
      <c r="GW47" s="1">
        <v>16.049382716049408</v>
      </c>
      <c r="GX47" s="1">
        <v>4.9382716049382616</v>
      </c>
      <c r="GY47" s="1">
        <v>1.2345679012345654</v>
      </c>
      <c r="GZ47" s="1">
        <v>0</v>
      </c>
      <c r="HA47" s="1">
        <v>81</v>
      </c>
      <c r="HB47" s="1">
        <v>51.515151515151295</v>
      </c>
      <c r="HC47" s="1">
        <v>27.272727272727362</v>
      </c>
      <c r="HD47" s="1">
        <v>12.121212121212078</v>
      </c>
      <c r="HE47" s="1">
        <v>9.0909090909090793</v>
      </c>
      <c r="HF47" s="1">
        <v>0</v>
      </c>
      <c r="HG47" s="1">
        <v>33</v>
      </c>
      <c r="HH47" s="1">
        <v>49.999999999999993</v>
      </c>
      <c r="HI47" s="1">
        <v>18.181818181818162</v>
      </c>
      <c r="HJ47" s="1">
        <v>22.727272727272659</v>
      </c>
      <c r="HK47" s="1">
        <v>9.0909090909090811</v>
      </c>
      <c r="HL47" s="1">
        <v>0</v>
      </c>
      <c r="HM47" s="1">
        <v>22</v>
      </c>
      <c r="HN47" s="1">
        <v>0</v>
      </c>
      <c r="HO47" s="1">
        <v>0</v>
      </c>
      <c r="HP47" s="1">
        <v>0</v>
      </c>
      <c r="HQ47" s="1">
        <v>0</v>
      </c>
      <c r="HR47" s="1">
        <v>0</v>
      </c>
      <c r="HS47" s="1">
        <v>0</v>
      </c>
      <c r="HT47" s="1">
        <v>0</v>
      </c>
      <c r="HU47" s="1">
        <v>0</v>
      </c>
      <c r="HV47" s="1">
        <v>0</v>
      </c>
      <c r="HW47" s="1">
        <v>0</v>
      </c>
      <c r="HX47" s="1">
        <v>0</v>
      </c>
      <c r="HY47" s="1">
        <v>0</v>
      </c>
      <c r="HZ47" s="1">
        <v>0</v>
      </c>
      <c r="IA47" s="1">
        <v>0</v>
      </c>
      <c r="IB47" s="1">
        <v>0</v>
      </c>
      <c r="IC47" s="1">
        <v>0</v>
      </c>
      <c r="ID47" s="1">
        <v>0</v>
      </c>
      <c r="IE47" s="1">
        <v>0</v>
      </c>
      <c r="IF47" s="1">
        <v>9.3524590163934427</v>
      </c>
      <c r="IG47" s="1">
        <v>0</v>
      </c>
      <c r="IH47" s="1">
        <v>0</v>
      </c>
      <c r="II47" s="1">
        <v>0</v>
      </c>
      <c r="IJ47" s="1">
        <v>0</v>
      </c>
      <c r="IK47" s="1">
        <v>0</v>
      </c>
      <c r="IL47" s="1">
        <v>0.81967213114754167</v>
      </c>
      <c r="IM47" s="1">
        <v>0</v>
      </c>
      <c r="IN47" s="1">
        <v>14.754098360655743</v>
      </c>
      <c r="IO47" s="1">
        <v>31.967213114754163</v>
      </c>
      <c r="IP47" s="1">
        <v>52.459016393442703</v>
      </c>
      <c r="IQ47" s="1">
        <v>9.3524590163934374</v>
      </c>
      <c r="IR47" s="1">
        <v>122</v>
      </c>
      <c r="IS47" s="1">
        <v>56.428571428571566</v>
      </c>
      <c r="IT47" s="1">
        <v>26.428571428571548</v>
      </c>
      <c r="IU47" s="1">
        <v>6.4285714285714439</v>
      </c>
      <c r="IV47" s="1">
        <v>7.142857142857137</v>
      </c>
      <c r="IW47" s="1">
        <v>3.571428571428569</v>
      </c>
      <c r="IX47" s="1">
        <v>140</v>
      </c>
      <c r="IY47" s="1">
        <v>1</v>
      </c>
      <c r="IZ47" s="1">
        <v>60.230679999999758</v>
      </c>
      <c r="JA47" s="1">
        <v>41.765800000000063</v>
      </c>
      <c r="JB47" s="1">
        <v>10.111720000000025</v>
      </c>
      <c r="JC47" s="1">
        <v>4.396399999999983</v>
      </c>
      <c r="JD47" s="1">
        <v>7.034239999999981</v>
      </c>
      <c r="JE47" s="1">
        <v>0.69343065693430961</v>
      </c>
      <c r="JF47" s="1">
        <v>0.16788321167883308</v>
      </c>
      <c r="JG47" s="1">
        <v>7.299270072992721E-2</v>
      </c>
      <c r="JH47" s="1">
        <v>0.11678832116788325</v>
      </c>
      <c r="JI47" s="1">
        <v>1</v>
      </c>
      <c r="JJ47" s="1">
        <v>137</v>
      </c>
      <c r="JK47" s="1">
        <v>2.9629629629629628</v>
      </c>
      <c r="JL47" s="1">
        <v>2.9629629629629735</v>
      </c>
      <c r="JM47" s="1">
        <v>135</v>
      </c>
      <c r="JN47" s="1">
        <v>95.454545454545539</v>
      </c>
      <c r="JO47" s="1">
        <v>4.5454545454545396</v>
      </c>
      <c r="JP47" s="1">
        <v>44</v>
      </c>
      <c r="JQ47" s="1">
        <v>97.36842105263166</v>
      </c>
      <c r="JR47" s="1">
        <v>2.6315789473684235</v>
      </c>
      <c r="JS47" s="1">
        <v>76</v>
      </c>
      <c r="JT47" s="1">
        <v>93.043478260869819</v>
      </c>
      <c r="JU47" s="1">
        <v>6.9565217391304666</v>
      </c>
      <c r="JV47" s="1">
        <v>115</v>
      </c>
      <c r="JW47" s="1">
        <v>92.207792207792039</v>
      </c>
      <c r="JX47" s="1">
        <v>7.7922077922077984</v>
      </c>
      <c r="JY47" s="1">
        <v>77</v>
      </c>
      <c r="JZ47" s="1">
        <v>57.142857142857103</v>
      </c>
      <c r="KA47" s="1">
        <v>42.85714285714306</v>
      </c>
      <c r="KB47" s="1">
        <v>126</v>
      </c>
      <c r="KC47" s="1">
        <v>100</v>
      </c>
      <c r="KD47" s="1">
        <v>0</v>
      </c>
      <c r="KE47" s="1">
        <v>125</v>
      </c>
      <c r="KF47" s="1">
        <v>3.5603448275862069</v>
      </c>
      <c r="KG47" s="1">
        <v>1.7241379310344827</v>
      </c>
      <c r="KH47" s="1">
        <v>18.103448275862142</v>
      </c>
      <c r="KI47" s="1">
        <v>25.000000000000011</v>
      </c>
      <c r="KJ47" s="1">
        <v>32.758620689655267</v>
      </c>
      <c r="KK47" s="1">
        <v>22.413793103448359</v>
      </c>
      <c r="KL47" s="1">
        <v>116</v>
      </c>
      <c r="KM47" s="1">
        <v>60.689655172413879</v>
      </c>
      <c r="KN47" s="1">
        <v>91.285714285714292</v>
      </c>
      <c r="KO47" s="1">
        <v>0</v>
      </c>
      <c r="KP47" s="1">
        <v>14.285714285714263</v>
      </c>
      <c r="KQ47" s="1">
        <v>28.571428571428527</v>
      </c>
      <c r="KR47" s="1">
        <v>14.285714285714263</v>
      </c>
      <c r="KS47" s="1">
        <v>42.85714285714289</v>
      </c>
      <c r="KT47" s="1">
        <v>7</v>
      </c>
      <c r="KU47" s="1">
        <v>3.2786885245901667</v>
      </c>
      <c r="KV47" s="1">
        <v>0</v>
      </c>
      <c r="KW47" s="1">
        <v>2.4590163934426323</v>
      </c>
      <c r="KX47" s="1">
        <v>94.262295081967324</v>
      </c>
      <c r="KY47" s="1">
        <v>0</v>
      </c>
      <c r="KZ47" s="1">
        <v>122</v>
      </c>
      <c r="LA47" s="1">
        <v>10.483870967741952</v>
      </c>
      <c r="LB47" s="1">
        <v>89.516129032258036</v>
      </c>
      <c r="LC47" s="1">
        <v>124</v>
      </c>
      <c r="LD47" s="1">
        <v>0</v>
      </c>
      <c r="LE47" s="1">
        <v>7.6923076923076943</v>
      </c>
      <c r="LF47" s="1">
        <v>92.307692307692292</v>
      </c>
      <c r="LG47" s="1">
        <v>13</v>
      </c>
    </row>
    <row r="48" spans="1:319" x14ac:dyDescent="0.25">
      <c r="A48" s="1">
        <v>166</v>
      </c>
      <c r="B48" s="1">
        <v>11.594202898550739</v>
      </c>
      <c r="C48" s="1">
        <v>88.405797101449267</v>
      </c>
      <c r="D48" s="1">
        <v>69</v>
      </c>
      <c r="E48" s="1">
        <v>89.655172413793167</v>
      </c>
      <c r="F48" s="1">
        <v>10.344827586206897</v>
      </c>
      <c r="G48" s="1">
        <v>58</v>
      </c>
      <c r="H48" s="1">
        <v>61.999999999999993</v>
      </c>
      <c r="I48" s="1">
        <v>37.999999999999993</v>
      </c>
      <c r="J48" s="1">
        <v>50</v>
      </c>
      <c r="K48" s="1">
        <v>1</v>
      </c>
      <c r="L48" s="1">
        <v>40.25349999999996</v>
      </c>
      <c r="M48" s="1">
        <v>5.1754500000000077</v>
      </c>
      <c r="N48" s="1">
        <v>5.1754500000000077</v>
      </c>
      <c r="O48" s="1">
        <v>18.401599999999988</v>
      </c>
      <c r="P48" s="1">
        <v>2.3001999999999985</v>
      </c>
      <c r="Q48" s="1">
        <v>18.976649999999996</v>
      </c>
      <c r="R48" s="1">
        <v>1.1500999999999992</v>
      </c>
      <c r="S48" s="1">
        <v>0</v>
      </c>
      <c r="T48" s="1">
        <v>4.6003999999999969</v>
      </c>
      <c r="U48" s="1">
        <v>3.450299999999999</v>
      </c>
      <c r="V48" s="1">
        <v>4.0253500000000022</v>
      </c>
      <c r="W48" s="1">
        <v>0.12857142857142873</v>
      </c>
      <c r="X48" s="1">
        <v>0.12857142857142873</v>
      </c>
      <c r="Y48" s="1">
        <v>0.45714285714285641</v>
      </c>
      <c r="Z48" s="1">
        <v>5.7142857142857266E-2</v>
      </c>
      <c r="AA48" s="1">
        <v>0.4714285714285717</v>
      </c>
      <c r="AB48" s="1">
        <v>2.8571428571428633E-2</v>
      </c>
      <c r="AC48" s="1">
        <v>0</v>
      </c>
      <c r="AD48" s="1">
        <v>0.11428571428571453</v>
      </c>
      <c r="AE48" s="1">
        <v>8.5714285714285687E-2</v>
      </c>
      <c r="AF48" s="1">
        <v>9.9999999999999881E-2</v>
      </c>
      <c r="AG48" s="1">
        <v>1</v>
      </c>
      <c r="AH48" s="1">
        <v>70</v>
      </c>
      <c r="AI48" s="1">
        <v>1</v>
      </c>
      <c r="AJ48" s="1">
        <v>35.07805000000004</v>
      </c>
      <c r="AK48" s="1">
        <v>21.851899999999961</v>
      </c>
      <c r="AL48" s="1">
        <v>9.775849999999993</v>
      </c>
      <c r="AM48" s="1">
        <v>17.826549999999994</v>
      </c>
      <c r="AN48" s="1">
        <v>11.500999999999985</v>
      </c>
      <c r="AO48" s="1">
        <v>0.57504999999999962</v>
      </c>
      <c r="AP48" s="1">
        <v>7.4756499999999875</v>
      </c>
      <c r="AQ48" s="1">
        <v>0.62295081967213162</v>
      </c>
      <c r="AR48" s="1">
        <v>0.27868852459016363</v>
      </c>
      <c r="AS48" s="1">
        <v>0.50819672131147509</v>
      </c>
      <c r="AT48" s="1">
        <v>0.32786885245901598</v>
      </c>
      <c r="AU48" s="1">
        <v>1.6393442622950831E-2</v>
      </c>
      <c r="AV48" s="1">
        <v>0.21311475409836028</v>
      </c>
      <c r="AW48" s="1">
        <v>1</v>
      </c>
      <c r="AX48" s="1">
        <v>61</v>
      </c>
      <c r="AY48" s="1">
        <v>9.8000000000000007</v>
      </c>
      <c r="AZ48" s="1">
        <v>9.8484848484848477</v>
      </c>
      <c r="BA48" s="1">
        <v>9.71875</v>
      </c>
      <c r="BB48" s="1">
        <v>0</v>
      </c>
      <c r="BC48" s="1">
        <v>0</v>
      </c>
      <c r="BD48" s="1">
        <v>0</v>
      </c>
      <c r="BE48" s="1">
        <v>0</v>
      </c>
      <c r="BF48" s="1">
        <v>0</v>
      </c>
      <c r="BG48" s="1">
        <v>1.5384615384615368</v>
      </c>
      <c r="BH48" s="1">
        <v>1.5384615384615368</v>
      </c>
      <c r="BI48" s="1">
        <v>1.5384615384615368</v>
      </c>
      <c r="BJ48" s="1">
        <v>6.1538461538461471</v>
      </c>
      <c r="BK48" s="1">
        <v>89.230769230769297</v>
      </c>
      <c r="BL48" s="1">
        <v>9.7999999999999883</v>
      </c>
      <c r="BM48" s="1">
        <v>65</v>
      </c>
      <c r="BN48" s="1">
        <v>0</v>
      </c>
      <c r="BO48" s="1">
        <v>0</v>
      </c>
      <c r="BP48" s="1">
        <v>0</v>
      </c>
      <c r="BQ48" s="1">
        <v>0</v>
      </c>
      <c r="BR48" s="1">
        <v>0</v>
      </c>
      <c r="BS48" s="1">
        <v>0</v>
      </c>
      <c r="BT48" s="1">
        <v>0</v>
      </c>
      <c r="BU48" s="1">
        <v>4.5454545454545556</v>
      </c>
      <c r="BV48" s="1">
        <v>6.0606060606060623</v>
      </c>
      <c r="BW48" s="1">
        <v>89.39393939393932</v>
      </c>
      <c r="BX48" s="1">
        <v>9.8484848484848406</v>
      </c>
      <c r="BY48" s="1">
        <v>66</v>
      </c>
      <c r="BZ48" s="1">
        <v>1.5625000000000002</v>
      </c>
      <c r="CA48" s="1">
        <v>0</v>
      </c>
      <c r="CB48" s="1">
        <v>0</v>
      </c>
      <c r="CC48" s="1">
        <v>0</v>
      </c>
      <c r="CD48" s="1">
        <v>0</v>
      </c>
      <c r="CE48" s="1">
        <v>0</v>
      </c>
      <c r="CF48" s="1">
        <v>0</v>
      </c>
      <c r="CG48" s="1">
        <v>1.5625000000000002</v>
      </c>
      <c r="CH48" s="1">
        <v>10.937500000000002</v>
      </c>
      <c r="CI48" s="1">
        <v>85.937500000000014</v>
      </c>
      <c r="CJ48" s="1">
        <v>9.7187499999999982</v>
      </c>
      <c r="CK48" s="1">
        <v>64</v>
      </c>
      <c r="CL48" s="1">
        <v>36.363636363636346</v>
      </c>
      <c r="CM48" s="1">
        <v>39.393939393939455</v>
      </c>
      <c r="CN48" s="1">
        <v>13.63636363636363</v>
      </c>
      <c r="CO48" s="1">
        <v>9.0909090909091113</v>
      </c>
      <c r="CP48" s="1">
        <v>1.5151515151515156</v>
      </c>
      <c r="CQ48" s="1">
        <v>66</v>
      </c>
      <c r="CR48" s="1">
        <v>76.1194029850748</v>
      </c>
      <c r="CS48" s="1">
        <v>23.880597014925357</v>
      </c>
      <c r="CT48" s="1">
        <v>0</v>
      </c>
      <c r="CU48" s="1">
        <v>0</v>
      </c>
      <c r="CV48" s="1">
        <v>0</v>
      </c>
      <c r="CW48" s="1">
        <v>67</v>
      </c>
      <c r="CX48" s="1">
        <v>80.000000000000028</v>
      </c>
      <c r="CY48" s="1">
        <v>20.000000000000004</v>
      </c>
      <c r="CZ48" s="1">
        <v>0</v>
      </c>
      <c r="DA48" s="1">
        <v>0</v>
      </c>
      <c r="DB48" s="1">
        <v>0</v>
      </c>
      <c r="DC48" s="1">
        <v>70</v>
      </c>
      <c r="DD48" s="1">
        <v>89.855072463768082</v>
      </c>
      <c r="DE48" s="1">
        <v>10.144927536231879</v>
      </c>
      <c r="DF48" s="1">
        <v>0</v>
      </c>
      <c r="DG48" s="1">
        <v>0</v>
      </c>
      <c r="DH48" s="1">
        <v>0</v>
      </c>
      <c r="DI48" s="1">
        <v>69</v>
      </c>
      <c r="DJ48" s="1">
        <v>74.603174603174651</v>
      </c>
      <c r="DK48" s="1">
        <v>22.222222222222189</v>
      </c>
      <c r="DL48" s="1">
        <v>3.1746031746031709</v>
      </c>
      <c r="DM48" s="1">
        <v>0</v>
      </c>
      <c r="DN48" s="1">
        <v>0</v>
      </c>
      <c r="DO48" s="1">
        <v>63</v>
      </c>
      <c r="DP48" s="1">
        <v>90.000000000000014</v>
      </c>
      <c r="DQ48" s="1">
        <v>8.5714285714285658</v>
      </c>
      <c r="DR48" s="1">
        <v>1.4285714285714302</v>
      </c>
      <c r="DS48" s="1">
        <v>0</v>
      </c>
      <c r="DT48" s="1">
        <v>0</v>
      </c>
      <c r="DU48" s="1">
        <v>70</v>
      </c>
      <c r="DV48" s="1">
        <v>65.789473684210492</v>
      </c>
      <c r="DW48" s="1">
        <v>21.052631578947359</v>
      </c>
      <c r="DX48" s="1">
        <v>2.6315789473684199</v>
      </c>
      <c r="DY48" s="1">
        <v>7.8947368421052655</v>
      </c>
      <c r="DZ48" s="1">
        <v>2.6315789473684199</v>
      </c>
      <c r="EA48" s="1">
        <v>38</v>
      </c>
      <c r="EB48" s="1">
        <v>66.666666666666643</v>
      </c>
      <c r="EC48" s="1">
        <v>30.303030303030276</v>
      </c>
      <c r="ED48" s="1">
        <v>3.0303030303030312</v>
      </c>
      <c r="EE48" s="1">
        <v>0</v>
      </c>
      <c r="EF48" s="1">
        <v>0</v>
      </c>
      <c r="EG48" s="1">
        <v>33</v>
      </c>
      <c r="EH48" s="1">
        <v>41.935483870967786</v>
      </c>
      <c r="EI48" s="1">
        <v>35.48387096774195</v>
      </c>
      <c r="EJ48" s="1">
        <v>6.4516129032258061</v>
      </c>
      <c r="EK48" s="1">
        <v>16.129032258064527</v>
      </c>
      <c r="EL48" s="1">
        <v>0</v>
      </c>
      <c r="EM48" s="1">
        <v>31</v>
      </c>
      <c r="EN48" s="1">
        <v>27.272727272727259</v>
      </c>
      <c r="EO48" s="1">
        <v>57.575757575757535</v>
      </c>
      <c r="EP48" s="1">
        <v>12.121212121212125</v>
      </c>
      <c r="EQ48" s="1">
        <v>3.0303030303030312</v>
      </c>
      <c r="ER48" s="1">
        <v>0</v>
      </c>
      <c r="ES48" s="1">
        <v>33</v>
      </c>
      <c r="ET48" s="1">
        <v>32.352941176470566</v>
      </c>
      <c r="EU48" s="1">
        <v>58.823529411764767</v>
      </c>
      <c r="EV48" s="1">
        <v>8.8235294117647101</v>
      </c>
      <c r="EW48" s="1">
        <v>0</v>
      </c>
      <c r="EX48" s="1">
        <v>0</v>
      </c>
      <c r="EY48" s="1">
        <v>34</v>
      </c>
      <c r="EZ48" s="1">
        <v>42.857142857142811</v>
      </c>
      <c r="FA48" s="1">
        <v>33.333333333333329</v>
      </c>
      <c r="FB48" s="1">
        <v>23.809523809523839</v>
      </c>
      <c r="FC48" s="1">
        <v>0</v>
      </c>
      <c r="FD48" s="1">
        <v>0</v>
      </c>
      <c r="FE48" s="1">
        <v>21</v>
      </c>
      <c r="FF48" s="1">
        <v>45.454545454545489</v>
      </c>
      <c r="FG48" s="1">
        <v>40.909090909090956</v>
      </c>
      <c r="FH48" s="1">
        <v>13.636363636363633</v>
      </c>
      <c r="FI48" s="1">
        <v>0</v>
      </c>
      <c r="FJ48" s="1">
        <v>0</v>
      </c>
      <c r="FK48" s="1">
        <v>22</v>
      </c>
      <c r="FL48" s="1">
        <v>40.74074074074084</v>
      </c>
      <c r="FM48" s="1">
        <v>29.629629629629612</v>
      </c>
      <c r="FN48" s="1">
        <v>11.111111111111114</v>
      </c>
      <c r="FO48" s="1">
        <v>11.111111111111114</v>
      </c>
      <c r="FP48" s="1">
        <v>7.407407407407403</v>
      </c>
      <c r="FQ48" s="1">
        <v>27</v>
      </c>
      <c r="FR48" s="1">
        <v>47.619047619047677</v>
      </c>
      <c r="FS48" s="1">
        <v>28.571428571428616</v>
      </c>
      <c r="FT48" s="1">
        <v>23.809523809523839</v>
      </c>
      <c r="FU48" s="1">
        <v>0</v>
      </c>
      <c r="FV48" s="1">
        <v>0</v>
      </c>
      <c r="FW48" s="1">
        <v>21</v>
      </c>
      <c r="FX48" s="1">
        <v>78.571428571428527</v>
      </c>
      <c r="FY48" s="1">
        <v>21.428571428571406</v>
      </c>
      <c r="FZ48" s="1">
        <v>0</v>
      </c>
      <c r="GA48" s="1">
        <v>0</v>
      </c>
      <c r="GB48" s="1">
        <v>0</v>
      </c>
      <c r="GC48" s="1">
        <v>70</v>
      </c>
      <c r="GD48" s="1">
        <v>58.823529411764767</v>
      </c>
      <c r="GE48" s="1">
        <v>35.29411764705884</v>
      </c>
      <c r="GF48" s="1">
        <v>5.8823529411764675</v>
      </c>
      <c r="GG48" s="1">
        <v>0</v>
      </c>
      <c r="GH48" s="1">
        <v>0</v>
      </c>
      <c r="GI48" s="1">
        <v>34</v>
      </c>
      <c r="GJ48" s="1">
        <v>67.647058823529377</v>
      </c>
      <c r="GK48" s="1">
        <v>26.470588235294141</v>
      </c>
      <c r="GL48" s="1">
        <v>5.8823529411764675</v>
      </c>
      <c r="GM48" s="1">
        <v>0</v>
      </c>
      <c r="GN48" s="1">
        <v>0</v>
      </c>
      <c r="GO48" s="1">
        <v>34</v>
      </c>
      <c r="GP48" s="1">
        <v>63.636363636363569</v>
      </c>
      <c r="GQ48" s="1">
        <v>27.272727272727256</v>
      </c>
      <c r="GR48" s="1">
        <v>6.8181818181818139</v>
      </c>
      <c r="GS48" s="1">
        <v>2.272727272727272</v>
      </c>
      <c r="GT48" s="1">
        <v>0</v>
      </c>
      <c r="GU48" s="1">
        <v>44</v>
      </c>
      <c r="GV48" s="1">
        <v>73.170731707316946</v>
      </c>
      <c r="GW48" s="1">
        <v>24.39024390243906</v>
      </c>
      <c r="GX48" s="1">
        <v>2.4390243902439015</v>
      </c>
      <c r="GY48" s="1">
        <v>0</v>
      </c>
      <c r="GZ48" s="1">
        <v>0</v>
      </c>
      <c r="HA48" s="1">
        <v>41</v>
      </c>
      <c r="HB48" s="1">
        <v>57.575757575757535</v>
      </c>
      <c r="HC48" s="1">
        <v>24.242424242424249</v>
      </c>
      <c r="HD48" s="1">
        <v>18.181818181818223</v>
      </c>
      <c r="HE48" s="1">
        <v>0</v>
      </c>
      <c r="HF48" s="1">
        <v>0</v>
      </c>
      <c r="HG48" s="1">
        <v>33</v>
      </c>
      <c r="HH48" s="1">
        <v>57.894736842105331</v>
      </c>
      <c r="HI48" s="1">
        <v>26.31578947368418</v>
      </c>
      <c r="HJ48" s="1">
        <v>5.2631578947368398</v>
      </c>
      <c r="HK48" s="1">
        <v>10.52631578947368</v>
      </c>
      <c r="HL48" s="1">
        <v>0</v>
      </c>
      <c r="HM48" s="1">
        <v>19</v>
      </c>
      <c r="HN48" s="1">
        <v>0</v>
      </c>
      <c r="HO48" s="1">
        <v>0</v>
      </c>
      <c r="HP48" s="1">
        <v>0</v>
      </c>
      <c r="HQ48" s="1">
        <v>0</v>
      </c>
      <c r="HR48" s="1">
        <v>0</v>
      </c>
      <c r="HS48" s="1">
        <v>0</v>
      </c>
      <c r="HT48" s="1">
        <v>0</v>
      </c>
      <c r="HU48" s="1">
        <v>0</v>
      </c>
      <c r="HV48" s="1">
        <v>0</v>
      </c>
      <c r="HW48" s="1">
        <v>0</v>
      </c>
      <c r="HX48" s="1">
        <v>0</v>
      </c>
      <c r="HY48" s="1">
        <v>0</v>
      </c>
      <c r="HZ48" s="1">
        <v>0</v>
      </c>
      <c r="IA48" s="1">
        <v>0</v>
      </c>
      <c r="IB48" s="1">
        <v>0</v>
      </c>
      <c r="IC48" s="1">
        <v>0</v>
      </c>
      <c r="ID48" s="1">
        <v>0</v>
      </c>
      <c r="IE48" s="1">
        <v>0</v>
      </c>
      <c r="IF48" s="1">
        <v>9.4375</v>
      </c>
      <c r="IG48" s="1">
        <v>0</v>
      </c>
      <c r="IH48" s="1">
        <v>0</v>
      </c>
      <c r="II48" s="1">
        <v>0</v>
      </c>
      <c r="IJ48" s="1">
        <v>0</v>
      </c>
      <c r="IK48" s="1">
        <v>0</v>
      </c>
      <c r="IL48" s="1">
        <v>1.5625000000000002</v>
      </c>
      <c r="IM48" s="1">
        <v>0</v>
      </c>
      <c r="IN48" s="1">
        <v>10.937500000000002</v>
      </c>
      <c r="IO48" s="1">
        <v>28.125</v>
      </c>
      <c r="IP48" s="1">
        <v>59.375000000000014</v>
      </c>
      <c r="IQ48" s="1">
        <v>9.4375</v>
      </c>
      <c r="IR48" s="1">
        <v>64</v>
      </c>
      <c r="IS48" s="1">
        <v>48.529411764705863</v>
      </c>
      <c r="IT48" s="1">
        <v>32.352941176470566</v>
      </c>
      <c r="IU48" s="1">
        <v>16.176470588235283</v>
      </c>
      <c r="IV48" s="1">
        <v>1.4705882352941171</v>
      </c>
      <c r="IW48" s="1">
        <v>1.4705882352941171</v>
      </c>
      <c r="IX48" s="1">
        <v>68</v>
      </c>
      <c r="IY48" s="1">
        <v>1</v>
      </c>
      <c r="IZ48" s="1">
        <v>38.52835000000001</v>
      </c>
      <c r="JA48" s="1">
        <v>20.12674999999998</v>
      </c>
      <c r="JB48" s="1">
        <v>11.500999999999985</v>
      </c>
      <c r="JC48" s="1">
        <v>2.8752499999999963</v>
      </c>
      <c r="JD48" s="1">
        <v>4.6003999999999969</v>
      </c>
      <c r="JE48" s="1">
        <v>0.52238805970149182</v>
      </c>
      <c r="JF48" s="1">
        <v>0.29850746268656675</v>
      </c>
      <c r="JG48" s="1">
        <v>7.4626865671641909E-2</v>
      </c>
      <c r="JH48" s="1">
        <v>0.11940298507462703</v>
      </c>
      <c r="JI48" s="1">
        <v>1</v>
      </c>
      <c r="JJ48" s="1">
        <v>67</v>
      </c>
      <c r="JK48" s="1">
        <v>2.9393939393939394</v>
      </c>
      <c r="JL48" s="1">
        <v>2.9393939393939381</v>
      </c>
      <c r="JM48" s="1">
        <v>66</v>
      </c>
      <c r="JN48" s="1">
        <v>95.833333333333243</v>
      </c>
      <c r="JO48" s="1">
        <v>4.1666666666666661</v>
      </c>
      <c r="JP48" s="1">
        <v>24</v>
      </c>
      <c r="JQ48" s="1">
        <v>100</v>
      </c>
      <c r="JR48" s="1">
        <v>0</v>
      </c>
      <c r="JS48" s="1">
        <v>40</v>
      </c>
      <c r="JT48" s="1">
        <v>98.245614035087769</v>
      </c>
      <c r="JU48" s="1">
        <v>1.7543859649122773</v>
      </c>
      <c r="JV48" s="1">
        <v>57</v>
      </c>
      <c r="JW48" s="1">
        <v>90.69767441860472</v>
      </c>
      <c r="JX48" s="1">
        <v>9.3023255813953529</v>
      </c>
      <c r="JY48" s="1">
        <v>43</v>
      </c>
      <c r="JZ48" s="1">
        <v>39.062499999999993</v>
      </c>
      <c r="KA48" s="1">
        <v>60.937500000000014</v>
      </c>
      <c r="KB48" s="1">
        <v>64</v>
      </c>
      <c r="KC48" s="1">
        <v>100</v>
      </c>
      <c r="KD48" s="1">
        <v>0</v>
      </c>
      <c r="KE48" s="1">
        <v>61</v>
      </c>
      <c r="KF48" s="1">
        <v>3.8</v>
      </c>
      <c r="KG48" s="1">
        <v>1.6666666666666683</v>
      </c>
      <c r="KH48" s="1">
        <v>8.3333333333333304</v>
      </c>
      <c r="KI48" s="1">
        <v>29.999999999999993</v>
      </c>
      <c r="KJ48" s="1">
        <v>28.333333333333304</v>
      </c>
      <c r="KK48" s="1">
        <v>31.666666666666675</v>
      </c>
      <c r="KL48" s="1">
        <v>60</v>
      </c>
      <c r="KM48" s="1">
        <v>64.683333333333366</v>
      </c>
      <c r="KN48" s="1">
        <v>19</v>
      </c>
      <c r="KO48" s="1">
        <v>0</v>
      </c>
      <c r="KP48" s="1">
        <v>0</v>
      </c>
      <c r="KQ48" s="1">
        <v>100</v>
      </c>
      <c r="KR48" s="1">
        <v>0</v>
      </c>
      <c r="KS48" s="1">
        <v>0</v>
      </c>
      <c r="KT48" s="1">
        <v>2</v>
      </c>
      <c r="KU48" s="1">
        <v>8.0645161290322633</v>
      </c>
      <c r="KV48" s="1">
        <v>0</v>
      </c>
      <c r="KW48" s="1">
        <v>0</v>
      </c>
      <c r="KX48" s="1">
        <v>90.322580645161267</v>
      </c>
      <c r="KY48" s="1">
        <v>1.6129032258064495</v>
      </c>
      <c r="KZ48" s="1">
        <v>62</v>
      </c>
      <c r="LA48" s="1">
        <v>12.903225806451596</v>
      </c>
      <c r="LB48" s="1">
        <v>87.09677419354837</v>
      </c>
      <c r="LC48" s="1">
        <v>62</v>
      </c>
      <c r="LD48" s="1">
        <v>0</v>
      </c>
      <c r="LE48" s="1">
        <v>0</v>
      </c>
      <c r="LF48" s="1">
        <v>100</v>
      </c>
      <c r="LG48" s="1">
        <v>8</v>
      </c>
    </row>
    <row r="49" spans="1:319" x14ac:dyDescent="0.25">
      <c r="A49" s="1">
        <v>168</v>
      </c>
      <c r="B49" s="1">
        <v>23.40425531914897</v>
      </c>
      <c r="C49" s="1">
        <v>76.595744680851098</v>
      </c>
      <c r="D49" s="1">
        <v>47</v>
      </c>
      <c r="E49" s="1">
        <v>78.787878787878853</v>
      </c>
      <c r="F49" s="1">
        <v>21.212121212121236</v>
      </c>
      <c r="G49" s="1">
        <v>33</v>
      </c>
      <c r="H49" s="1">
        <v>73.076923076923109</v>
      </c>
      <c r="I49" s="1">
        <v>26.923076923076913</v>
      </c>
      <c r="J49" s="1">
        <v>26</v>
      </c>
      <c r="K49" s="1">
        <v>1</v>
      </c>
      <c r="L49" s="1">
        <v>34.21082999999998</v>
      </c>
      <c r="M49" s="1">
        <v>6.5510100000000016</v>
      </c>
      <c r="N49" s="1">
        <v>5.8231199999999967</v>
      </c>
      <c r="O49" s="1">
        <v>14.557800000000009</v>
      </c>
      <c r="P49" s="1">
        <v>1.4557799999999992</v>
      </c>
      <c r="Q49" s="1">
        <v>13.102020000000003</v>
      </c>
      <c r="R49" s="1">
        <v>1.4557799999999992</v>
      </c>
      <c r="S49" s="1">
        <v>0</v>
      </c>
      <c r="T49" s="1">
        <v>2.9115599999999984</v>
      </c>
      <c r="U49" s="1">
        <v>2.183670000000002</v>
      </c>
      <c r="V49" s="1">
        <v>4.367340000000004</v>
      </c>
      <c r="W49" s="1">
        <v>0.19148936170212777</v>
      </c>
      <c r="X49" s="1">
        <v>0.17021276595744703</v>
      </c>
      <c r="Y49" s="1">
        <v>0.42553191489361769</v>
      </c>
      <c r="Z49" s="1">
        <v>4.255319148936175E-2</v>
      </c>
      <c r="AA49" s="1">
        <v>0.38297872340425571</v>
      </c>
      <c r="AB49" s="1">
        <v>4.255319148936175E-2</v>
      </c>
      <c r="AC49" s="1">
        <v>0</v>
      </c>
      <c r="AD49" s="1">
        <v>8.5106382978723499E-2</v>
      </c>
      <c r="AE49" s="1">
        <v>6.3829787234042562E-2</v>
      </c>
      <c r="AF49" s="1">
        <v>0.12765957446808512</v>
      </c>
      <c r="AG49" s="1">
        <v>1</v>
      </c>
      <c r="AH49" s="1">
        <v>47</v>
      </c>
      <c r="AI49" s="1">
        <v>1</v>
      </c>
      <c r="AJ49" s="1">
        <v>32.755049999999976</v>
      </c>
      <c r="AK49" s="1">
        <v>22.564589999999978</v>
      </c>
      <c r="AL49" s="1">
        <v>17.469360000000016</v>
      </c>
      <c r="AM49" s="1">
        <v>15.285690000000011</v>
      </c>
      <c r="AN49" s="1">
        <v>21.108809999999973</v>
      </c>
      <c r="AO49" s="1">
        <v>2.9115599999999984</v>
      </c>
      <c r="AP49" s="1">
        <v>6.5510100000000016</v>
      </c>
      <c r="AQ49" s="1">
        <v>0.68888888888888966</v>
      </c>
      <c r="AR49" s="1">
        <v>0.5333333333333341</v>
      </c>
      <c r="AS49" s="1">
        <v>0.46666666666666734</v>
      </c>
      <c r="AT49" s="1">
        <v>0.64444444444444504</v>
      </c>
      <c r="AU49" s="1">
        <v>8.8888888888888989E-2</v>
      </c>
      <c r="AV49" s="1">
        <v>0.20000000000000034</v>
      </c>
      <c r="AW49" s="1">
        <v>1</v>
      </c>
      <c r="AX49" s="1">
        <v>45</v>
      </c>
      <c r="AY49" s="1">
        <v>9.9574468085106389</v>
      </c>
      <c r="AZ49" s="1">
        <v>9.9361702127659566</v>
      </c>
      <c r="BA49" s="1">
        <v>9.9130434782608692</v>
      </c>
      <c r="BB49" s="1">
        <v>0</v>
      </c>
      <c r="BC49" s="1">
        <v>0</v>
      </c>
      <c r="BD49" s="1">
        <v>0</v>
      </c>
      <c r="BE49" s="1">
        <v>0</v>
      </c>
      <c r="BF49" s="1">
        <v>0</v>
      </c>
      <c r="BG49" s="1">
        <v>0</v>
      </c>
      <c r="BH49" s="1">
        <v>0</v>
      </c>
      <c r="BI49" s="1">
        <v>0</v>
      </c>
      <c r="BJ49" s="1">
        <v>4.2553191489361692</v>
      </c>
      <c r="BK49" s="1">
        <v>95.744680851063904</v>
      </c>
      <c r="BL49" s="1">
        <v>9.9574468085106531</v>
      </c>
      <c r="BM49" s="1">
        <v>47</v>
      </c>
      <c r="BN49" s="1">
        <v>0</v>
      </c>
      <c r="BO49" s="1">
        <v>0</v>
      </c>
      <c r="BP49" s="1">
        <v>0</v>
      </c>
      <c r="BQ49" s="1">
        <v>0</v>
      </c>
      <c r="BR49" s="1">
        <v>0</v>
      </c>
      <c r="BS49" s="1">
        <v>0</v>
      </c>
      <c r="BT49" s="1">
        <v>0</v>
      </c>
      <c r="BU49" s="1">
        <v>2.1276595744680846</v>
      </c>
      <c r="BV49" s="1">
        <v>2.1276595744680846</v>
      </c>
      <c r="BW49" s="1">
        <v>95.744680851063904</v>
      </c>
      <c r="BX49" s="1">
        <v>9.9361702127659566</v>
      </c>
      <c r="BY49" s="1">
        <v>47</v>
      </c>
      <c r="BZ49" s="1">
        <v>0</v>
      </c>
      <c r="CA49" s="1">
        <v>0</v>
      </c>
      <c r="CB49" s="1">
        <v>0</v>
      </c>
      <c r="CC49" s="1">
        <v>0</v>
      </c>
      <c r="CD49" s="1">
        <v>0</v>
      </c>
      <c r="CE49" s="1">
        <v>0</v>
      </c>
      <c r="CF49" s="1">
        <v>0</v>
      </c>
      <c r="CG49" s="1">
        <v>2.1739130434782639</v>
      </c>
      <c r="CH49" s="1">
        <v>4.3478260869565277</v>
      </c>
      <c r="CI49" s="1">
        <v>93.478260869565119</v>
      </c>
      <c r="CJ49" s="1">
        <v>9.9130434782608763</v>
      </c>
      <c r="CK49" s="1">
        <v>46</v>
      </c>
      <c r="CL49" s="1">
        <v>50.000000000000021</v>
      </c>
      <c r="CM49" s="1">
        <v>43.181818181818237</v>
      </c>
      <c r="CN49" s="1">
        <v>2.2727272727272765</v>
      </c>
      <c r="CO49" s="1">
        <v>2.2727272727272765</v>
      </c>
      <c r="CP49" s="1">
        <v>2.2727272727272765</v>
      </c>
      <c r="CQ49" s="1">
        <v>44</v>
      </c>
      <c r="CR49" s="1">
        <v>85.10638297872346</v>
      </c>
      <c r="CS49" s="1">
        <v>12.765957446808518</v>
      </c>
      <c r="CT49" s="1">
        <v>2.1276595744680846</v>
      </c>
      <c r="CU49" s="1">
        <v>0</v>
      </c>
      <c r="CV49" s="1">
        <v>0</v>
      </c>
      <c r="CW49" s="1">
        <v>47</v>
      </c>
      <c r="CX49" s="1">
        <v>93.333333333333357</v>
      </c>
      <c r="CY49" s="1">
        <v>6.6666666666666794</v>
      </c>
      <c r="CZ49" s="1">
        <v>0</v>
      </c>
      <c r="DA49" s="1">
        <v>0</v>
      </c>
      <c r="DB49" s="1">
        <v>0</v>
      </c>
      <c r="DC49" s="1">
        <v>45</v>
      </c>
      <c r="DD49" s="1">
        <v>93.617021276595651</v>
      </c>
      <c r="DE49" s="1">
        <v>6.3829787234042588</v>
      </c>
      <c r="DF49" s="1">
        <v>0</v>
      </c>
      <c r="DG49" s="1">
        <v>0</v>
      </c>
      <c r="DH49" s="1">
        <v>0</v>
      </c>
      <c r="DI49" s="1">
        <v>47</v>
      </c>
      <c r="DJ49" s="1">
        <v>86.363636363636459</v>
      </c>
      <c r="DK49" s="1">
        <v>13.636363636363638</v>
      </c>
      <c r="DL49" s="1">
        <v>0</v>
      </c>
      <c r="DM49" s="1">
        <v>0</v>
      </c>
      <c r="DN49" s="1">
        <v>0</v>
      </c>
      <c r="DO49" s="1">
        <v>44</v>
      </c>
      <c r="DP49" s="1">
        <v>100</v>
      </c>
      <c r="DQ49" s="1">
        <v>0</v>
      </c>
      <c r="DR49" s="1">
        <v>0</v>
      </c>
      <c r="DS49" s="1">
        <v>0</v>
      </c>
      <c r="DT49" s="1">
        <v>0</v>
      </c>
      <c r="DU49" s="1">
        <v>47</v>
      </c>
      <c r="DV49" s="1">
        <v>64.86486486486497</v>
      </c>
      <c r="DW49" s="1">
        <v>18.918918918918951</v>
      </c>
      <c r="DX49" s="1">
        <v>2.7027027027027062</v>
      </c>
      <c r="DY49" s="1">
        <v>13.513513513513532</v>
      </c>
      <c r="DZ49" s="1">
        <v>0</v>
      </c>
      <c r="EA49" s="1">
        <v>37</v>
      </c>
      <c r="EB49" s="1">
        <v>71.428571428571459</v>
      </c>
      <c r="EC49" s="1">
        <v>28.571428571428587</v>
      </c>
      <c r="ED49" s="1">
        <v>0</v>
      </c>
      <c r="EE49" s="1">
        <v>0</v>
      </c>
      <c r="EF49" s="1">
        <v>0</v>
      </c>
      <c r="EG49" s="1">
        <v>21</v>
      </c>
      <c r="EH49" s="1">
        <v>42.105263157894754</v>
      </c>
      <c r="EI49" s="1">
        <v>52.631578947368375</v>
      </c>
      <c r="EJ49" s="1">
        <v>5.2631578947368434</v>
      </c>
      <c r="EK49" s="1">
        <v>0</v>
      </c>
      <c r="EL49" s="1">
        <v>0</v>
      </c>
      <c r="EM49" s="1">
        <v>19</v>
      </c>
      <c r="EN49" s="1">
        <v>65.625000000000014</v>
      </c>
      <c r="EO49" s="1">
        <v>28.125000000000004</v>
      </c>
      <c r="EP49" s="1">
        <v>6.2500000000000009</v>
      </c>
      <c r="EQ49" s="1">
        <v>0</v>
      </c>
      <c r="ER49" s="1">
        <v>0</v>
      </c>
      <c r="ES49" s="1">
        <v>32</v>
      </c>
      <c r="ET49" s="1">
        <v>64.705882352941302</v>
      </c>
      <c r="EU49" s="1">
        <v>32.352941176470651</v>
      </c>
      <c r="EV49" s="1">
        <v>2.9411764705882351</v>
      </c>
      <c r="EW49" s="1">
        <v>0</v>
      </c>
      <c r="EX49" s="1">
        <v>0</v>
      </c>
      <c r="EY49" s="1">
        <v>34</v>
      </c>
      <c r="EZ49" s="1">
        <v>50</v>
      </c>
      <c r="FA49" s="1">
        <v>50</v>
      </c>
      <c r="FB49" s="1">
        <v>0</v>
      </c>
      <c r="FC49" s="1">
        <v>0</v>
      </c>
      <c r="FD49" s="1">
        <v>0</v>
      </c>
      <c r="FE49" s="1">
        <v>22</v>
      </c>
      <c r="FF49" s="1">
        <v>68.421052631578874</v>
      </c>
      <c r="FG49" s="1">
        <v>31.578947368421044</v>
      </c>
      <c r="FH49" s="1">
        <v>0</v>
      </c>
      <c r="FI49" s="1">
        <v>0</v>
      </c>
      <c r="FJ49" s="1">
        <v>0</v>
      </c>
      <c r="FK49" s="1">
        <v>19</v>
      </c>
      <c r="FL49" s="1">
        <v>75</v>
      </c>
      <c r="FM49" s="1">
        <v>19.999999999999996</v>
      </c>
      <c r="FN49" s="1">
        <v>4.9999999999999991</v>
      </c>
      <c r="FO49" s="1">
        <v>0</v>
      </c>
      <c r="FP49" s="1">
        <v>0</v>
      </c>
      <c r="FQ49" s="1">
        <v>20</v>
      </c>
      <c r="FR49" s="1">
        <v>86.95652173913048</v>
      </c>
      <c r="FS49" s="1">
        <v>8.6956521739130466</v>
      </c>
      <c r="FT49" s="1">
        <v>4.3478260869565233</v>
      </c>
      <c r="FU49" s="1">
        <v>0</v>
      </c>
      <c r="FV49" s="1">
        <v>0</v>
      </c>
      <c r="FW49" s="1">
        <v>23</v>
      </c>
      <c r="FX49" s="1">
        <v>89.361702127659555</v>
      </c>
      <c r="FY49" s="1">
        <v>8.5106382978723385</v>
      </c>
      <c r="FZ49" s="1">
        <v>2.1276595744680846</v>
      </c>
      <c r="GA49" s="1">
        <v>0</v>
      </c>
      <c r="GB49" s="1">
        <v>0</v>
      </c>
      <c r="GC49" s="1">
        <v>47</v>
      </c>
      <c r="GD49" s="1">
        <v>64.285714285714235</v>
      </c>
      <c r="GE49" s="1">
        <v>35.71428571428573</v>
      </c>
      <c r="GF49" s="1">
        <v>0</v>
      </c>
      <c r="GG49" s="1">
        <v>0</v>
      </c>
      <c r="GH49" s="1">
        <v>0</v>
      </c>
      <c r="GI49" s="1">
        <v>14</v>
      </c>
      <c r="GJ49" s="1">
        <v>71.428571428571459</v>
      </c>
      <c r="GK49" s="1">
        <v>28.571428571428587</v>
      </c>
      <c r="GL49" s="1">
        <v>0</v>
      </c>
      <c r="GM49" s="1">
        <v>0</v>
      </c>
      <c r="GN49" s="1">
        <v>0</v>
      </c>
      <c r="GO49" s="1">
        <v>14</v>
      </c>
      <c r="GP49" s="1">
        <v>80.000000000000014</v>
      </c>
      <c r="GQ49" s="1">
        <v>17.142857142857146</v>
      </c>
      <c r="GR49" s="1">
        <v>0</v>
      </c>
      <c r="GS49" s="1">
        <v>0</v>
      </c>
      <c r="GT49" s="1">
        <v>2.8571428571428599</v>
      </c>
      <c r="GU49" s="1">
        <v>35</v>
      </c>
      <c r="GV49" s="1">
        <v>90.909090909090949</v>
      </c>
      <c r="GW49" s="1">
        <v>9.0909090909091042</v>
      </c>
      <c r="GX49" s="1">
        <v>0</v>
      </c>
      <c r="GY49" s="1">
        <v>0</v>
      </c>
      <c r="GZ49" s="1">
        <v>0</v>
      </c>
      <c r="HA49" s="1">
        <v>33</v>
      </c>
      <c r="HB49" s="1">
        <v>62.499999999999993</v>
      </c>
      <c r="HC49" s="1">
        <v>37.499999999999993</v>
      </c>
      <c r="HD49" s="1">
        <v>0</v>
      </c>
      <c r="HE49" s="1">
        <v>0</v>
      </c>
      <c r="HF49" s="1">
        <v>0</v>
      </c>
      <c r="HG49" s="1">
        <v>16</v>
      </c>
      <c r="HH49" s="1">
        <v>76.923076923077005</v>
      </c>
      <c r="HI49" s="1">
        <v>23.076923076923084</v>
      </c>
      <c r="HJ49" s="1">
        <v>0</v>
      </c>
      <c r="HK49" s="1">
        <v>0</v>
      </c>
      <c r="HL49" s="1">
        <v>0</v>
      </c>
      <c r="HM49" s="1">
        <v>13</v>
      </c>
      <c r="HN49" s="1">
        <v>0</v>
      </c>
      <c r="HO49" s="1">
        <v>0</v>
      </c>
      <c r="HP49" s="1">
        <v>0</v>
      </c>
      <c r="HQ49" s="1">
        <v>0</v>
      </c>
      <c r="HR49" s="1">
        <v>0</v>
      </c>
      <c r="HS49" s="1">
        <v>0</v>
      </c>
      <c r="HT49" s="1">
        <v>0</v>
      </c>
      <c r="HU49" s="1">
        <v>0</v>
      </c>
      <c r="HV49" s="1">
        <v>0</v>
      </c>
      <c r="HW49" s="1">
        <v>0</v>
      </c>
      <c r="HX49" s="1">
        <v>0</v>
      </c>
      <c r="HY49" s="1">
        <v>0</v>
      </c>
      <c r="HZ49" s="1">
        <v>0</v>
      </c>
      <c r="IA49" s="1">
        <v>0</v>
      </c>
      <c r="IB49" s="1">
        <v>0</v>
      </c>
      <c r="IC49" s="1">
        <v>0</v>
      </c>
      <c r="ID49" s="1">
        <v>0</v>
      </c>
      <c r="IE49" s="1">
        <v>0</v>
      </c>
      <c r="IF49" s="1">
        <v>9.6590909090909083</v>
      </c>
      <c r="IG49" s="1">
        <v>0</v>
      </c>
      <c r="IH49" s="1">
        <v>0</v>
      </c>
      <c r="II49" s="1">
        <v>0</v>
      </c>
      <c r="IJ49" s="1">
        <v>0</v>
      </c>
      <c r="IK49" s="1">
        <v>0</v>
      </c>
      <c r="IL49" s="1">
        <v>0</v>
      </c>
      <c r="IM49" s="1">
        <v>2.2727272727272765</v>
      </c>
      <c r="IN49" s="1">
        <v>2.2727272727272765</v>
      </c>
      <c r="IO49" s="1">
        <v>22.727272727272751</v>
      </c>
      <c r="IP49" s="1">
        <v>72.727272727272833</v>
      </c>
      <c r="IQ49" s="1">
        <v>9.6590909090909225</v>
      </c>
      <c r="IR49" s="1">
        <v>44</v>
      </c>
      <c r="IS49" s="1">
        <v>82.608695652173964</v>
      </c>
      <c r="IT49" s="1">
        <v>10.869565217391312</v>
      </c>
      <c r="IU49" s="1">
        <v>2.1739130434782639</v>
      </c>
      <c r="IV49" s="1">
        <v>2.1739130434782639</v>
      </c>
      <c r="IW49" s="1">
        <v>2.1739130434782639</v>
      </c>
      <c r="IX49" s="1">
        <v>46</v>
      </c>
      <c r="IY49" s="1">
        <v>1</v>
      </c>
      <c r="IZ49" s="1">
        <v>33.482939999999942</v>
      </c>
      <c r="JA49" s="1">
        <v>18.92514000000002</v>
      </c>
      <c r="JB49" s="1">
        <v>9.4625700000000119</v>
      </c>
      <c r="JC49" s="1">
        <v>3.6394500000000005</v>
      </c>
      <c r="JD49" s="1">
        <v>3.6394500000000005</v>
      </c>
      <c r="JE49" s="1">
        <v>0.56521739130434778</v>
      </c>
      <c r="JF49" s="1">
        <v>0.282608695652174</v>
      </c>
      <c r="JG49" s="1">
        <v>0.1086956521739131</v>
      </c>
      <c r="JH49" s="1">
        <v>0.1086956521739131</v>
      </c>
      <c r="JI49" s="1">
        <v>1</v>
      </c>
      <c r="JJ49" s="1">
        <v>46</v>
      </c>
      <c r="JK49" s="1">
        <v>3.3777777777777778</v>
      </c>
      <c r="JL49" s="1">
        <v>3.3777777777777831</v>
      </c>
      <c r="JM49" s="1">
        <v>45</v>
      </c>
      <c r="JN49" s="1">
        <v>80</v>
      </c>
      <c r="JO49" s="1">
        <v>19.999999999999996</v>
      </c>
      <c r="JP49" s="1">
        <v>15</v>
      </c>
      <c r="JQ49" s="1">
        <v>90.909090909090949</v>
      </c>
      <c r="JR49" s="1">
        <v>9.0909090909090811</v>
      </c>
      <c r="JS49" s="1">
        <v>22</v>
      </c>
      <c r="JT49" s="1">
        <v>97.619047619047663</v>
      </c>
      <c r="JU49" s="1">
        <v>2.3809523809523805</v>
      </c>
      <c r="JV49" s="1">
        <v>42</v>
      </c>
      <c r="JW49" s="1">
        <v>87.878787878787946</v>
      </c>
      <c r="JX49" s="1">
        <v>12.121212121212126</v>
      </c>
      <c r="JY49" s="1">
        <v>33</v>
      </c>
      <c r="JZ49" s="1">
        <v>50.000000000000021</v>
      </c>
      <c r="KA49" s="1">
        <v>50.000000000000021</v>
      </c>
      <c r="KB49" s="1">
        <v>44</v>
      </c>
      <c r="KC49" s="1">
        <v>97.674418604651166</v>
      </c>
      <c r="KD49" s="1">
        <v>2.3255813953488373</v>
      </c>
      <c r="KE49" s="1">
        <v>43</v>
      </c>
      <c r="KF49" s="1">
        <v>3.4047619047619047</v>
      </c>
      <c r="KG49" s="1">
        <v>4.761904761904761</v>
      </c>
      <c r="KH49" s="1">
        <v>19.047619047619047</v>
      </c>
      <c r="KI49" s="1">
        <v>21.428571428571448</v>
      </c>
      <c r="KJ49" s="1">
        <v>40.476190476190546</v>
      </c>
      <c r="KK49" s="1">
        <v>14.285714285714301</v>
      </c>
      <c r="KL49" s="1">
        <v>42</v>
      </c>
      <c r="KM49" s="1">
        <v>59.904761904761934</v>
      </c>
      <c r="KN49" s="1">
        <v>19</v>
      </c>
      <c r="KO49" s="1">
        <v>0</v>
      </c>
      <c r="KP49" s="1">
        <v>0</v>
      </c>
      <c r="KQ49" s="1">
        <v>100</v>
      </c>
      <c r="KR49" s="1">
        <v>0</v>
      </c>
      <c r="KS49" s="1">
        <v>0</v>
      </c>
      <c r="KT49" s="1">
        <v>1</v>
      </c>
      <c r="KU49" s="1">
        <v>0</v>
      </c>
      <c r="KV49" s="1">
        <v>0</v>
      </c>
      <c r="KW49" s="1">
        <v>0</v>
      </c>
      <c r="KX49" s="1">
        <v>97.674418604651166</v>
      </c>
      <c r="KY49" s="1">
        <v>2.3255813953488373</v>
      </c>
      <c r="KZ49" s="1">
        <v>43</v>
      </c>
      <c r="LA49" s="1">
        <v>7.6923076923076952</v>
      </c>
      <c r="LB49" s="1">
        <v>92.307692307692363</v>
      </c>
      <c r="LC49" s="1">
        <v>39</v>
      </c>
      <c r="LD49" s="1">
        <v>0</v>
      </c>
      <c r="LE49" s="1">
        <v>0</v>
      </c>
      <c r="LF49" s="1">
        <v>100</v>
      </c>
      <c r="LG49" s="1">
        <v>3</v>
      </c>
    </row>
    <row r="50" spans="1:319" x14ac:dyDescent="0.25">
      <c r="A50" s="1">
        <v>176</v>
      </c>
      <c r="B50" s="1">
        <v>10.204081632653057</v>
      </c>
      <c r="C50" s="1">
        <v>89.795918367346914</v>
      </c>
      <c r="D50" s="1">
        <v>49</v>
      </c>
      <c r="E50" s="1">
        <v>81.395348837209312</v>
      </c>
      <c r="F50" s="1">
        <v>18.604651162790677</v>
      </c>
      <c r="G50" s="1">
        <v>43</v>
      </c>
      <c r="H50" s="1">
        <v>48.484848484848492</v>
      </c>
      <c r="I50" s="1">
        <v>51.515151515151501</v>
      </c>
      <c r="J50" s="1">
        <v>33</v>
      </c>
      <c r="K50" s="1">
        <v>1</v>
      </c>
      <c r="L50" s="1">
        <v>52.329550000000069</v>
      </c>
      <c r="M50" s="1">
        <v>10.679500000000006</v>
      </c>
      <c r="N50" s="1">
        <v>3.2038499999999996</v>
      </c>
      <c r="O50" s="1">
        <v>17.087200000000021</v>
      </c>
      <c r="P50" s="1">
        <v>2.1359000000000026</v>
      </c>
      <c r="Q50" s="1">
        <v>22.426950000000009</v>
      </c>
      <c r="R50" s="1">
        <v>2.1359000000000026</v>
      </c>
      <c r="S50" s="1">
        <v>0</v>
      </c>
      <c r="T50" s="1">
        <v>9.6115500000000083</v>
      </c>
      <c r="U50" s="1">
        <v>2.1359000000000026</v>
      </c>
      <c r="V50" s="1">
        <v>7.4756499999999928</v>
      </c>
      <c r="W50" s="1">
        <v>0.20408163265306098</v>
      </c>
      <c r="X50" s="1">
        <v>6.1224489795918248E-2</v>
      </c>
      <c r="Y50" s="1">
        <v>0.32653061224489788</v>
      </c>
      <c r="Z50" s="1">
        <v>4.0816326530612235E-2</v>
      </c>
      <c r="AA50" s="1">
        <v>0.42857142857142805</v>
      </c>
      <c r="AB50" s="1">
        <v>4.0816326530612235E-2</v>
      </c>
      <c r="AC50" s="1">
        <v>0</v>
      </c>
      <c r="AD50" s="1">
        <v>0.18367346938775492</v>
      </c>
      <c r="AE50" s="1">
        <v>4.0816326530612235E-2</v>
      </c>
      <c r="AF50" s="1">
        <v>0.14285714285714257</v>
      </c>
      <c r="AG50" s="1">
        <v>1</v>
      </c>
      <c r="AH50" s="1">
        <v>49</v>
      </c>
      <c r="AI50" s="1">
        <v>1</v>
      </c>
      <c r="AJ50" s="1">
        <v>48.057749999999992</v>
      </c>
      <c r="AK50" s="1">
        <v>38.44620000000004</v>
      </c>
      <c r="AL50" s="1">
        <v>35.242349999999995</v>
      </c>
      <c r="AM50" s="1">
        <v>32.038500000000042</v>
      </c>
      <c r="AN50" s="1">
        <v>34.174400000000041</v>
      </c>
      <c r="AO50" s="1">
        <v>6.4076999999999993</v>
      </c>
      <c r="AP50" s="1">
        <v>5.3397500000000031</v>
      </c>
      <c r="AQ50" s="1">
        <v>0.79999999999999949</v>
      </c>
      <c r="AR50" s="1">
        <v>0.7333333333333335</v>
      </c>
      <c r="AS50" s="1">
        <v>0.66666666666666519</v>
      </c>
      <c r="AT50" s="1">
        <v>0.71111111111111103</v>
      </c>
      <c r="AU50" s="1">
        <v>0.13333333333333311</v>
      </c>
      <c r="AV50" s="1">
        <v>0.11111111111111097</v>
      </c>
      <c r="AW50" s="1">
        <v>1</v>
      </c>
      <c r="AX50" s="1">
        <v>45</v>
      </c>
      <c r="AY50" s="1">
        <v>9.816326530612244</v>
      </c>
      <c r="AZ50" s="1">
        <v>9.8979591836734695</v>
      </c>
      <c r="BA50" s="1">
        <v>9.787234042553191</v>
      </c>
      <c r="BB50" s="1">
        <v>0</v>
      </c>
      <c r="BC50" s="1">
        <v>0</v>
      </c>
      <c r="BD50" s="1">
        <v>0</v>
      </c>
      <c r="BE50" s="1">
        <v>2.0408163265306074</v>
      </c>
      <c r="BF50" s="1">
        <v>0</v>
      </c>
      <c r="BG50" s="1">
        <v>0</v>
      </c>
      <c r="BH50" s="1">
        <v>0</v>
      </c>
      <c r="BI50" s="1">
        <v>2.0408163265306074</v>
      </c>
      <c r="BJ50" s="1">
        <v>2.0408163265306074</v>
      </c>
      <c r="BK50" s="1">
        <v>93.87755102040812</v>
      </c>
      <c r="BL50" s="1">
        <v>9.8163265306122334</v>
      </c>
      <c r="BM50" s="1">
        <v>49</v>
      </c>
      <c r="BN50" s="1">
        <v>0</v>
      </c>
      <c r="BO50" s="1">
        <v>0</v>
      </c>
      <c r="BP50" s="1">
        <v>0</v>
      </c>
      <c r="BQ50" s="1">
        <v>0</v>
      </c>
      <c r="BR50" s="1">
        <v>0</v>
      </c>
      <c r="BS50" s="1">
        <v>0</v>
      </c>
      <c r="BT50" s="1">
        <v>0</v>
      </c>
      <c r="BU50" s="1">
        <v>4.0816326530612148</v>
      </c>
      <c r="BV50" s="1">
        <v>2.0408163265306074</v>
      </c>
      <c r="BW50" s="1">
        <v>93.87755102040812</v>
      </c>
      <c r="BX50" s="1">
        <v>9.8979591836734766</v>
      </c>
      <c r="BY50" s="1">
        <v>49</v>
      </c>
      <c r="BZ50" s="1">
        <v>0</v>
      </c>
      <c r="CA50" s="1">
        <v>0</v>
      </c>
      <c r="CB50" s="1">
        <v>0</v>
      </c>
      <c r="CC50" s="1">
        <v>0</v>
      </c>
      <c r="CD50" s="1">
        <v>0</v>
      </c>
      <c r="CE50" s="1">
        <v>0</v>
      </c>
      <c r="CF50" s="1">
        <v>2.1276595744680828</v>
      </c>
      <c r="CG50" s="1">
        <v>6.3829787234042445</v>
      </c>
      <c r="CH50" s="1">
        <v>2.1276595744680828</v>
      </c>
      <c r="CI50" s="1">
        <v>89.361702127659555</v>
      </c>
      <c r="CJ50" s="1">
        <v>9.7872340425531803</v>
      </c>
      <c r="CK50" s="1">
        <v>47</v>
      </c>
      <c r="CL50" s="1">
        <v>39.130434782608688</v>
      </c>
      <c r="CM50" s="1">
        <v>54.347826086956495</v>
      </c>
      <c r="CN50" s="1">
        <v>2.1739130434782612</v>
      </c>
      <c r="CO50" s="1">
        <v>4.3478260869565224</v>
      </c>
      <c r="CP50" s="1">
        <v>0</v>
      </c>
      <c r="CQ50" s="1">
        <v>46</v>
      </c>
      <c r="CR50" s="1">
        <v>79.166666666666544</v>
      </c>
      <c r="CS50" s="1">
        <v>18.749999999999993</v>
      </c>
      <c r="CT50" s="1">
        <v>2.0833333333333295</v>
      </c>
      <c r="CU50" s="1">
        <v>0</v>
      </c>
      <c r="CV50" s="1">
        <v>0</v>
      </c>
      <c r="CW50" s="1">
        <v>48</v>
      </c>
      <c r="CX50" s="1">
        <v>81.632653061224474</v>
      </c>
      <c r="CY50" s="1">
        <v>16.326530612244859</v>
      </c>
      <c r="CZ50" s="1">
        <v>2.0408163265306074</v>
      </c>
      <c r="DA50" s="1">
        <v>0</v>
      </c>
      <c r="DB50" s="1">
        <v>0</v>
      </c>
      <c r="DC50" s="1">
        <v>49</v>
      </c>
      <c r="DD50" s="1">
        <v>89.795918367346914</v>
      </c>
      <c r="DE50" s="1">
        <v>10.204081632653057</v>
      </c>
      <c r="DF50" s="1">
        <v>0</v>
      </c>
      <c r="DG50" s="1">
        <v>0</v>
      </c>
      <c r="DH50" s="1">
        <v>0</v>
      </c>
      <c r="DI50" s="1">
        <v>49</v>
      </c>
      <c r="DJ50" s="1">
        <v>84.782608695652115</v>
      </c>
      <c r="DK50" s="1">
        <v>13.04347826086955</v>
      </c>
      <c r="DL50" s="1">
        <v>0</v>
      </c>
      <c r="DM50" s="1">
        <v>2.1739130434782612</v>
      </c>
      <c r="DN50" s="1">
        <v>0</v>
      </c>
      <c r="DO50" s="1">
        <v>46</v>
      </c>
      <c r="DP50" s="1">
        <v>85.416666666666615</v>
      </c>
      <c r="DQ50" s="1">
        <v>10.416666666666643</v>
      </c>
      <c r="DR50" s="1">
        <v>2.0833333333333295</v>
      </c>
      <c r="DS50" s="1">
        <v>2.0833333333333295</v>
      </c>
      <c r="DT50" s="1">
        <v>0</v>
      </c>
      <c r="DU50" s="1">
        <v>48</v>
      </c>
      <c r="DV50" s="1">
        <v>83.333333333333371</v>
      </c>
      <c r="DW50" s="1">
        <v>13.888888888888882</v>
      </c>
      <c r="DX50" s="1">
        <v>0</v>
      </c>
      <c r="DY50" s="1">
        <v>2.7777777777777746</v>
      </c>
      <c r="DZ50" s="1">
        <v>0</v>
      </c>
      <c r="EA50" s="1">
        <v>36</v>
      </c>
      <c r="EB50" s="1">
        <v>86.666666666666615</v>
      </c>
      <c r="EC50" s="1">
        <v>3.3333333333333339</v>
      </c>
      <c r="ED50" s="1">
        <v>6.6666666666666679</v>
      </c>
      <c r="EE50" s="1">
        <v>3.3333333333333339</v>
      </c>
      <c r="EF50" s="1">
        <v>0</v>
      </c>
      <c r="EG50" s="1">
        <v>30</v>
      </c>
      <c r="EH50" s="1">
        <v>56</v>
      </c>
      <c r="EI50" s="1">
        <v>28</v>
      </c>
      <c r="EJ50" s="1">
        <v>12.000000000000002</v>
      </c>
      <c r="EK50" s="1">
        <v>0</v>
      </c>
      <c r="EL50" s="1">
        <v>4.0000000000000009</v>
      </c>
      <c r="EM50" s="1">
        <v>25</v>
      </c>
      <c r="EN50" s="1">
        <v>52</v>
      </c>
      <c r="EO50" s="1">
        <v>40</v>
      </c>
      <c r="EP50" s="1">
        <v>8.0000000000000018</v>
      </c>
      <c r="EQ50" s="1">
        <v>0</v>
      </c>
      <c r="ER50" s="1">
        <v>0</v>
      </c>
      <c r="ES50" s="1">
        <v>25</v>
      </c>
      <c r="ET50" s="1">
        <v>56</v>
      </c>
      <c r="EU50" s="1">
        <v>32.000000000000007</v>
      </c>
      <c r="EV50" s="1">
        <v>12.000000000000002</v>
      </c>
      <c r="EW50" s="1">
        <v>0</v>
      </c>
      <c r="EX50" s="1">
        <v>0</v>
      </c>
      <c r="EY50" s="1">
        <v>25</v>
      </c>
      <c r="EZ50" s="1">
        <v>61.111111111111164</v>
      </c>
      <c r="FA50" s="1">
        <v>27.777777777777803</v>
      </c>
      <c r="FB50" s="1">
        <v>11.1111111111111</v>
      </c>
      <c r="FC50" s="1">
        <v>0</v>
      </c>
      <c r="FD50" s="1">
        <v>0</v>
      </c>
      <c r="FE50" s="1">
        <v>18</v>
      </c>
      <c r="FF50" s="1">
        <v>68.75</v>
      </c>
      <c r="FG50" s="1">
        <v>18.75</v>
      </c>
      <c r="FH50" s="1">
        <v>12.5</v>
      </c>
      <c r="FI50" s="1">
        <v>0</v>
      </c>
      <c r="FJ50" s="1">
        <v>0</v>
      </c>
      <c r="FK50" s="1">
        <v>16</v>
      </c>
      <c r="FL50" s="1">
        <v>67.857142857142804</v>
      </c>
      <c r="FM50" s="1">
        <v>28.571428571428591</v>
      </c>
      <c r="FN50" s="1">
        <v>0</v>
      </c>
      <c r="FO50" s="1">
        <v>3.5714285714285738</v>
      </c>
      <c r="FP50" s="1">
        <v>0</v>
      </c>
      <c r="FQ50" s="1">
        <v>28</v>
      </c>
      <c r="FR50" s="1">
        <v>60</v>
      </c>
      <c r="FS50" s="1">
        <v>26.666666666666671</v>
      </c>
      <c r="FT50" s="1">
        <v>6.6666666666666679</v>
      </c>
      <c r="FU50" s="1">
        <v>6.6666666666666679</v>
      </c>
      <c r="FV50" s="1">
        <v>0</v>
      </c>
      <c r="FW50" s="1">
        <v>15</v>
      </c>
      <c r="FX50" s="1">
        <v>89.583333333333371</v>
      </c>
      <c r="FY50" s="1">
        <v>8.3333333333333179</v>
      </c>
      <c r="FZ50" s="1">
        <v>2.0833333333333295</v>
      </c>
      <c r="GA50" s="1">
        <v>0</v>
      </c>
      <c r="GB50" s="1">
        <v>0</v>
      </c>
      <c r="GC50" s="1">
        <v>48</v>
      </c>
      <c r="GD50" s="1">
        <v>75</v>
      </c>
      <c r="GE50" s="1">
        <v>12.5</v>
      </c>
      <c r="GF50" s="1">
        <v>12.5</v>
      </c>
      <c r="GG50" s="1">
        <v>0</v>
      </c>
      <c r="GH50" s="1">
        <v>0</v>
      </c>
      <c r="GI50" s="1">
        <v>16</v>
      </c>
      <c r="GJ50" s="1">
        <v>76.923076923077019</v>
      </c>
      <c r="GK50" s="1">
        <v>23.076923076923091</v>
      </c>
      <c r="GL50" s="1">
        <v>0</v>
      </c>
      <c r="GM50" s="1">
        <v>0</v>
      </c>
      <c r="GN50" s="1">
        <v>0</v>
      </c>
      <c r="GO50" s="1">
        <v>13</v>
      </c>
      <c r="GP50" s="1">
        <v>86.84210526315789</v>
      </c>
      <c r="GQ50" s="1">
        <v>10.526315789473687</v>
      </c>
      <c r="GR50" s="1">
        <v>0</v>
      </c>
      <c r="GS50" s="1">
        <v>0</v>
      </c>
      <c r="GT50" s="1">
        <v>2.6315789473684217</v>
      </c>
      <c r="GU50" s="1">
        <v>38</v>
      </c>
      <c r="GV50" s="1">
        <v>91.89189189189176</v>
      </c>
      <c r="GW50" s="1">
        <v>5.4054054054053964</v>
      </c>
      <c r="GX50" s="1">
        <v>2.7027027027026982</v>
      </c>
      <c r="GY50" s="1">
        <v>0</v>
      </c>
      <c r="GZ50" s="1">
        <v>0</v>
      </c>
      <c r="HA50" s="1">
        <v>37</v>
      </c>
      <c r="HB50" s="1">
        <v>60</v>
      </c>
      <c r="HC50" s="1">
        <v>10.000000000000002</v>
      </c>
      <c r="HD50" s="1">
        <v>20.000000000000004</v>
      </c>
      <c r="HE50" s="1">
        <v>10.000000000000002</v>
      </c>
      <c r="HF50" s="1">
        <v>0</v>
      </c>
      <c r="HG50" s="1">
        <v>10</v>
      </c>
      <c r="HH50" s="1">
        <v>75</v>
      </c>
      <c r="HI50" s="1">
        <v>0</v>
      </c>
      <c r="HJ50" s="1">
        <v>25</v>
      </c>
      <c r="HK50" s="1">
        <v>0</v>
      </c>
      <c r="HL50" s="1">
        <v>0</v>
      </c>
      <c r="HM50" s="1">
        <v>4</v>
      </c>
      <c r="HN50" s="1">
        <v>0</v>
      </c>
      <c r="HO50" s="1">
        <v>0</v>
      </c>
      <c r="HP50" s="1">
        <v>0</v>
      </c>
      <c r="HQ50" s="1">
        <v>0</v>
      </c>
      <c r="HR50" s="1">
        <v>0</v>
      </c>
      <c r="HS50" s="1">
        <v>0</v>
      </c>
      <c r="HT50" s="1">
        <v>0</v>
      </c>
      <c r="HU50" s="1">
        <v>0</v>
      </c>
      <c r="HV50" s="1">
        <v>0</v>
      </c>
      <c r="HW50" s="1">
        <v>0</v>
      </c>
      <c r="HX50" s="1">
        <v>0</v>
      </c>
      <c r="HY50" s="1">
        <v>0</v>
      </c>
      <c r="HZ50" s="1">
        <v>0</v>
      </c>
      <c r="IA50" s="1">
        <v>0</v>
      </c>
      <c r="IB50" s="1">
        <v>0</v>
      </c>
      <c r="IC50" s="1">
        <v>0</v>
      </c>
      <c r="ID50" s="1">
        <v>0</v>
      </c>
      <c r="IE50" s="1">
        <v>0</v>
      </c>
      <c r="IF50" s="1">
        <v>9.4666666666666668</v>
      </c>
      <c r="IG50" s="1">
        <v>0</v>
      </c>
      <c r="IH50" s="1">
        <v>0</v>
      </c>
      <c r="II50" s="1">
        <v>0</v>
      </c>
      <c r="IJ50" s="1">
        <v>0</v>
      </c>
      <c r="IK50" s="1">
        <v>0</v>
      </c>
      <c r="IL50" s="1">
        <v>0</v>
      </c>
      <c r="IM50" s="1">
        <v>4.4444444444444358</v>
      </c>
      <c r="IN50" s="1">
        <v>8.8888888888888715</v>
      </c>
      <c r="IO50" s="1">
        <v>22.222222222222182</v>
      </c>
      <c r="IP50" s="1">
        <v>64.444444444444358</v>
      </c>
      <c r="IQ50" s="1">
        <v>9.4666666666666544</v>
      </c>
      <c r="IR50" s="1">
        <v>45</v>
      </c>
      <c r="IS50" s="1">
        <v>68.085106382978665</v>
      </c>
      <c r="IT50" s="1">
        <v>21.276595744680805</v>
      </c>
      <c r="IU50" s="1">
        <v>6.3829787234042445</v>
      </c>
      <c r="IV50" s="1">
        <v>0</v>
      </c>
      <c r="IW50" s="1">
        <v>4.2553191489361657</v>
      </c>
      <c r="IX50" s="1">
        <v>47</v>
      </c>
      <c r="IY50" s="1">
        <v>1</v>
      </c>
      <c r="IZ50" s="1">
        <v>50.193650000000112</v>
      </c>
      <c r="JA50" s="1">
        <v>36.310300000000041</v>
      </c>
      <c r="JB50" s="1">
        <v>5.3397500000000031</v>
      </c>
      <c r="JC50" s="1">
        <v>1.0679500000000013</v>
      </c>
      <c r="JD50" s="1">
        <v>8.5436000000000103</v>
      </c>
      <c r="JE50" s="1">
        <v>0.72340425531914876</v>
      </c>
      <c r="JF50" s="1">
        <v>0.10638297872340419</v>
      </c>
      <c r="JG50" s="1">
        <v>2.1276595744680854E-2</v>
      </c>
      <c r="JH50" s="1">
        <v>0.17021276595744639</v>
      </c>
      <c r="JI50" s="1">
        <v>1</v>
      </c>
      <c r="JJ50" s="1">
        <v>47</v>
      </c>
      <c r="JK50" s="1">
        <v>3.7608695652173911</v>
      </c>
      <c r="JL50" s="1">
        <v>3.7608695652173858</v>
      </c>
      <c r="JM50" s="1">
        <v>46</v>
      </c>
      <c r="JN50" s="1">
        <v>80.95238095238085</v>
      </c>
      <c r="JO50" s="1">
        <v>19.04761904761904</v>
      </c>
      <c r="JP50" s="1">
        <v>21</v>
      </c>
      <c r="JQ50" s="1">
        <v>100</v>
      </c>
      <c r="JR50" s="1">
        <v>0</v>
      </c>
      <c r="JS50" s="1">
        <v>29</v>
      </c>
      <c r="JT50" s="1">
        <v>95</v>
      </c>
      <c r="JU50" s="1">
        <v>4.9999999999999991</v>
      </c>
      <c r="JV50" s="1">
        <v>40</v>
      </c>
      <c r="JW50" s="1">
        <v>92.592592592592567</v>
      </c>
      <c r="JX50" s="1">
        <v>7.4074074074074057</v>
      </c>
      <c r="JY50" s="1">
        <v>27</v>
      </c>
      <c r="JZ50" s="1">
        <v>59.999999999999964</v>
      </c>
      <c r="KA50" s="1">
        <v>39.999999999999986</v>
      </c>
      <c r="KB50" s="1">
        <v>45</v>
      </c>
      <c r="KC50" s="1">
        <v>99.999999999999986</v>
      </c>
      <c r="KD50" s="1">
        <v>0</v>
      </c>
      <c r="KE50" s="1">
        <v>44</v>
      </c>
      <c r="KF50" s="1">
        <v>3.5116279069767442</v>
      </c>
      <c r="KG50" s="1">
        <v>4.6511627906976694</v>
      </c>
      <c r="KH50" s="1">
        <v>9.3023255813953387</v>
      </c>
      <c r="KI50" s="1">
        <v>37.209302325581355</v>
      </c>
      <c r="KJ50" s="1">
        <v>27.906976744186043</v>
      </c>
      <c r="KK50" s="1">
        <v>20.930232558139526</v>
      </c>
      <c r="KL50" s="1">
        <v>43</v>
      </c>
      <c r="KM50" s="1">
        <v>61.093023255813925</v>
      </c>
      <c r="KN50" s="1">
        <v>19</v>
      </c>
      <c r="KO50" s="1">
        <v>0</v>
      </c>
      <c r="KP50" s="1">
        <v>0</v>
      </c>
      <c r="KQ50" s="1">
        <v>100</v>
      </c>
      <c r="KR50" s="1">
        <v>0</v>
      </c>
      <c r="KS50" s="1">
        <v>0</v>
      </c>
      <c r="KT50" s="1">
        <v>1</v>
      </c>
      <c r="KU50" s="1">
        <v>0</v>
      </c>
      <c r="KV50" s="1">
        <v>0</v>
      </c>
      <c r="KW50" s="1">
        <v>0</v>
      </c>
      <c r="KX50" s="1">
        <v>97.674418604651152</v>
      </c>
      <c r="KY50" s="1">
        <v>2.3255813953488347</v>
      </c>
      <c r="KZ50" s="1">
        <v>43</v>
      </c>
      <c r="LA50" s="1">
        <v>11.111111111111091</v>
      </c>
      <c r="LB50" s="1">
        <v>88.8888888888888</v>
      </c>
      <c r="LC50" s="1">
        <v>45</v>
      </c>
      <c r="LD50" s="1">
        <v>0</v>
      </c>
      <c r="LE50" s="1">
        <v>20.000000000000004</v>
      </c>
      <c r="LF50" s="1">
        <v>80.000000000000014</v>
      </c>
      <c r="LG50" s="1">
        <v>5</v>
      </c>
    </row>
    <row r="51" spans="1:319" x14ac:dyDescent="0.25">
      <c r="A51" s="1">
        <v>182</v>
      </c>
      <c r="B51" s="1">
        <v>23.913043478260885</v>
      </c>
      <c r="C51" s="1">
        <v>76.086956521739111</v>
      </c>
      <c r="D51" s="1">
        <v>46</v>
      </c>
      <c r="E51" s="1">
        <v>70.588235294117624</v>
      </c>
      <c r="F51" s="1">
        <v>29.411764705882348</v>
      </c>
      <c r="G51" s="1">
        <v>34</v>
      </c>
      <c r="H51" s="1">
        <v>50.000000000000007</v>
      </c>
      <c r="I51" s="1">
        <v>50.000000000000007</v>
      </c>
      <c r="J51" s="1">
        <v>22</v>
      </c>
      <c r="K51" s="1">
        <v>1</v>
      </c>
      <c r="L51" s="1">
        <v>18.750179999999997</v>
      </c>
      <c r="M51" s="1">
        <v>5.5851600000000001</v>
      </c>
      <c r="N51" s="1">
        <v>3.5904600000000042</v>
      </c>
      <c r="O51" s="1">
        <v>6.7819799999999981</v>
      </c>
      <c r="P51" s="1">
        <v>0</v>
      </c>
      <c r="Q51" s="1">
        <v>7.5798599999999974</v>
      </c>
      <c r="R51" s="1">
        <v>1.5957599999999992</v>
      </c>
      <c r="S51" s="1">
        <v>1.1968200000000009</v>
      </c>
      <c r="T51" s="1">
        <v>0.79787999999999959</v>
      </c>
      <c r="U51" s="1">
        <v>3.1915199999999984</v>
      </c>
      <c r="V51" s="1">
        <v>0.39893999999999979</v>
      </c>
      <c r="W51" s="1">
        <v>0.29787234042553173</v>
      </c>
      <c r="X51" s="1">
        <v>0.19148936170212777</v>
      </c>
      <c r="Y51" s="1">
        <v>0.36170212765957455</v>
      </c>
      <c r="Z51" s="1">
        <v>0</v>
      </c>
      <c r="AA51" s="1">
        <v>0.40425531914893631</v>
      </c>
      <c r="AB51" s="1">
        <v>8.5106382978723499E-2</v>
      </c>
      <c r="AC51" s="1">
        <v>6.3829787234042548E-2</v>
      </c>
      <c r="AD51" s="1">
        <v>4.255319148936175E-2</v>
      </c>
      <c r="AE51" s="1">
        <v>0.170212765957447</v>
      </c>
      <c r="AF51" s="1">
        <v>2.1276595744680875E-2</v>
      </c>
      <c r="AG51" s="1">
        <v>1</v>
      </c>
      <c r="AH51" s="1">
        <v>47</v>
      </c>
      <c r="AI51" s="1">
        <v>1</v>
      </c>
      <c r="AJ51" s="1">
        <v>17.154419999999984</v>
      </c>
      <c r="AK51" s="1">
        <v>13.563959999999987</v>
      </c>
      <c r="AL51" s="1">
        <v>7.1809199999999977</v>
      </c>
      <c r="AM51" s="1">
        <v>7.9787999999999943</v>
      </c>
      <c r="AN51" s="1">
        <v>8.7766799999999972</v>
      </c>
      <c r="AO51" s="1">
        <v>0.39893999999999979</v>
      </c>
      <c r="AP51" s="1">
        <v>0.79787999999999959</v>
      </c>
      <c r="AQ51" s="1">
        <v>0.79069767441860472</v>
      </c>
      <c r="AR51" s="1">
        <v>0.41860465116279105</v>
      </c>
      <c r="AS51" s="1">
        <v>0.46511627906976799</v>
      </c>
      <c r="AT51" s="1">
        <v>0.51162790697674476</v>
      </c>
      <c r="AU51" s="1">
        <v>2.3255813953488403E-2</v>
      </c>
      <c r="AV51" s="1">
        <v>4.6511627906976806E-2</v>
      </c>
      <c r="AW51" s="1">
        <v>1</v>
      </c>
      <c r="AX51" s="1">
        <v>43</v>
      </c>
      <c r="AY51" s="1">
        <v>9.8913043478260878</v>
      </c>
      <c r="AZ51" s="1">
        <v>9.9361702127659566</v>
      </c>
      <c r="BA51" s="1">
        <v>9.9565217391304355</v>
      </c>
      <c r="BB51" s="1">
        <v>0</v>
      </c>
      <c r="BC51" s="1">
        <v>0</v>
      </c>
      <c r="BD51" s="1">
        <v>0</v>
      </c>
      <c r="BE51" s="1">
        <v>0</v>
      </c>
      <c r="BF51" s="1">
        <v>0</v>
      </c>
      <c r="BG51" s="1">
        <v>0</v>
      </c>
      <c r="BH51" s="1">
        <v>0</v>
      </c>
      <c r="BI51" s="1">
        <v>4.3478260869565277</v>
      </c>
      <c r="BJ51" s="1">
        <v>2.1739130434782639</v>
      </c>
      <c r="BK51" s="1">
        <v>93.478260869565119</v>
      </c>
      <c r="BL51" s="1">
        <v>9.8913043478260789</v>
      </c>
      <c r="BM51" s="1">
        <v>46</v>
      </c>
      <c r="BN51" s="1">
        <v>0</v>
      </c>
      <c r="BO51" s="1">
        <v>0</v>
      </c>
      <c r="BP51" s="1">
        <v>0</v>
      </c>
      <c r="BQ51" s="1">
        <v>0</v>
      </c>
      <c r="BR51" s="1">
        <v>0</v>
      </c>
      <c r="BS51" s="1">
        <v>0</v>
      </c>
      <c r="BT51" s="1">
        <v>0</v>
      </c>
      <c r="BU51" s="1">
        <v>2.1276595744680846</v>
      </c>
      <c r="BV51" s="1">
        <v>2.1276595744680846</v>
      </c>
      <c r="BW51" s="1">
        <v>95.744680851063904</v>
      </c>
      <c r="BX51" s="1">
        <v>9.9361702127659566</v>
      </c>
      <c r="BY51" s="1">
        <v>47</v>
      </c>
      <c r="BZ51" s="1">
        <v>0</v>
      </c>
      <c r="CA51" s="1">
        <v>0</v>
      </c>
      <c r="CB51" s="1">
        <v>0</v>
      </c>
      <c r="CC51" s="1">
        <v>0</v>
      </c>
      <c r="CD51" s="1">
        <v>0</v>
      </c>
      <c r="CE51" s="1">
        <v>0</v>
      </c>
      <c r="CF51" s="1">
        <v>0</v>
      </c>
      <c r="CG51" s="1">
        <v>2.1739130434782639</v>
      </c>
      <c r="CH51" s="1">
        <v>0</v>
      </c>
      <c r="CI51" s="1">
        <v>97.826086956521877</v>
      </c>
      <c r="CJ51" s="1">
        <v>9.9565217391304373</v>
      </c>
      <c r="CK51" s="1">
        <v>46</v>
      </c>
      <c r="CL51" s="1">
        <v>63.829787234042634</v>
      </c>
      <c r="CM51" s="1">
        <v>34.042553191489354</v>
      </c>
      <c r="CN51" s="1">
        <v>0</v>
      </c>
      <c r="CO51" s="1">
        <v>2.1276595744680846</v>
      </c>
      <c r="CP51" s="1">
        <v>0</v>
      </c>
      <c r="CQ51" s="1">
        <v>47</v>
      </c>
      <c r="CR51" s="1">
        <v>88.636363636363541</v>
      </c>
      <c r="CS51" s="1">
        <v>9.0909090909091042</v>
      </c>
      <c r="CT51" s="1">
        <v>2.272727272727276</v>
      </c>
      <c r="CU51" s="1">
        <v>0</v>
      </c>
      <c r="CV51" s="1">
        <v>0</v>
      </c>
      <c r="CW51" s="1">
        <v>44</v>
      </c>
      <c r="CX51" s="1">
        <v>89.130434782608617</v>
      </c>
      <c r="CY51" s="1">
        <v>10.869565217391312</v>
      </c>
      <c r="CZ51" s="1">
        <v>0</v>
      </c>
      <c r="DA51" s="1">
        <v>0</v>
      </c>
      <c r="DB51" s="1">
        <v>0</v>
      </c>
      <c r="DC51" s="1">
        <v>46</v>
      </c>
      <c r="DD51" s="1">
        <v>91.489361702127596</v>
      </c>
      <c r="DE51" s="1">
        <v>8.5106382978723385</v>
      </c>
      <c r="DF51" s="1">
        <v>0</v>
      </c>
      <c r="DG51" s="1">
        <v>0</v>
      </c>
      <c r="DH51" s="1">
        <v>0</v>
      </c>
      <c r="DI51" s="1">
        <v>47</v>
      </c>
      <c r="DJ51" s="1">
        <v>88.8888888888888</v>
      </c>
      <c r="DK51" s="1">
        <v>11.11111111111113</v>
      </c>
      <c r="DL51" s="1">
        <v>0</v>
      </c>
      <c r="DM51" s="1">
        <v>0</v>
      </c>
      <c r="DN51" s="1">
        <v>0</v>
      </c>
      <c r="DO51" s="1">
        <v>45</v>
      </c>
      <c r="DP51" s="1">
        <v>95.652173913043455</v>
      </c>
      <c r="DQ51" s="1">
        <v>4.3478260869565277</v>
      </c>
      <c r="DR51" s="1">
        <v>0</v>
      </c>
      <c r="DS51" s="1">
        <v>0</v>
      </c>
      <c r="DT51" s="1">
        <v>0</v>
      </c>
      <c r="DU51" s="1">
        <v>46</v>
      </c>
      <c r="DV51" s="1">
        <v>87.499999999999986</v>
      </c>
      <c r="DW51" s="1">
        <v>0</v>
      </c>
      <c r="DX51" s="1">
        <v>12.499999999999998</v>
      </c>
      <c r="DY51" s="1">
        <v>0</v>
      </c>
      <c r="DZ51" s="1">
        <v>0</v>
      </c>
      <c r="EA51" s="1">
        <v>8</v>
      </c>
      <c r="EB51" s="1">
        <v>90.909090909090949</v>
      </c>
      <c r="EC51" s="1">
        <v>4.5454545454545521</v>
      </c>
      <c r="ED51" s="1">
        <v>4.5454545454545521</v>
      </c>
      <c r="EE51" s="1">
        <v>0</v>
      </c>
      <c r="EF51" s="1">
        <v>0</v>
      </c>
      <c r="EG51" s="1">
        <v>22</v>
      </c>
      <c r="EH51" s="1">
        <v>44.4444444444444</v>
      </c>
      <c r="EI51" s="1">
        <v>27.777777777777811</v>
      </c>
      <c r="EJ51" s="1">
        <v>0</v>
      </c>
      <c r="EK51" s="1">
        <v>16.666666666666664</v>
      </c>
      <c r="EL51" s="1">
        <v>11.1111111111111</v>
      </c>
      <c r="EM51" s="1">
        <v>18</v>
      </c>
      <c r="EN51" s="1">
        <v>47.82608695652177</v>
      </c>
      <c r="EO51" s="1">
        <v>30.434782608695674</v>
      </c>
      <c r="EP51" s="1">
        <v>17.391304347826111</v>
      </c>
      <c r="EQ51" s="1">
        <v>4.3478260869565277</v>
      </c>
      <c r="ER51" s="1">
        <v>0</v>
      </c>
      <c r="ES51" s="1">
        <v>23</v>
      </c>
      <c r="ET51" s="1">
        <v>47.61904761904767</v>
      </c>
      <c r="EU51" s="1">
        <v>47.61904761904767</v>
      </c>
      <c r="EV51" s="1">
        <v>4.7619047619047601</v>
      </c>
      <c r="EW51" s="1">
        <v>0</v>
      </c>
      <c r="EX51" s="1">
        <v>0</v>
      </c>
      <c r="EY51" s="1">
        <v>21</v>
      </c>
      <c r="EZ51" s="1">
        <v>79.999999999999986</v>
      </c>
      <c r="FA51" s="1">
        <v>19.999999999999996</v>
      </c>
      <c r="FB51" s="1">
        <v>0</v>
      </c>
      <c r="FC51" s="1">
        <v>0</v>
      </c>
      <c r="FD51" s="1">
        <v>0</v>
      </c>
      <c r="FE51" s="1">
        <v>10</v>
      </c>
      <c r="FF51" s="1">
        <v>60</v>
      </c>
      <c r="FG51" s="1">
        <v>19.999999999999996</v>
      </c>
      <c r="FH51" s="1">
        <v>19.999999999999996</v>
      </c>
      <c r="FI51" s="1">
        <v>0</v>
      </c>
      <c r="FJ51" s="1">
        <v>0</v>
      </c>
      <c r="FK51" s="1">
        <v>10</v>
      </c>
      <c r="FL51" s="1">
        <v>44.4444444444444</v>
      </c>
      <c r="FM51" s="1">
        <v>22.2222222222222</v>
      </c>
      <c r="FN51" s="1">
        <v>11.1111111111111</v>
      </c>
      <c r="FO51" s="1">
        <v>11.1111111111111</v>
      </c>
      <c r="FP51" s="1">
        <v>11.1111111111111</v>
      </c>
      <c r="FQ51" s="1">
        <v>18</v>
      </c>
      <c r="FR51" s="1">
        <v>88.8888888888888</v>
      </c>
      <c r="FS51" s="1">
        <v>11.1111111111111</v>
      </c>
      <c r="FT51" s="1">
        <v>0</v>
      </c>
      <c r="FU51" s="1">
        <v>0</v>
      </c>
      <c r="FV51" s="1">
        <v>0</v>
      </c>
      <c r="FW51" s="1">
        <v>9</v>
      </c>
      <c r="FX51" s="1">
        <v>89.130434782608617</v>
      </c>
      <c r="FY51" s="1">
        <v>10.869565217391312</v>
      </c>
      <c r="FZ51" s="1">
        <v>0</v>
      </c>
      <c r="GA51" s="1">
        <v>0</v>
      </c>
      <c r="GB51" s="1">
        <v>0</v>
      </c>
      <c r="GC51" s="1">
        <v>46</v>
      </c>
      <c r="GD51" s="1">
        <v>90.476190476190411</v>
      </c>
      <c r="GE51" s="1">
        <v>9.5238095238095202</v>
      </c>
      <c r="GF51" s="1">
        <v>0</v>
      </c>
      <c r="GG51" s="1">
        <v>0</v>
      </c>
      <c r="GH51" s="1">
        <v>0</v>
      </c>
      <c r="GI51" s="1">
        <v>21</v>
      </c>
      <c r="GJ51" s="1">
        <v>76.47058823529413</v>
      </c>
      <c r="GK51" s="1">
        <v>23.529411764705873</v>
      </c>
      <c r="GL51" s="1">
        <v>0</v>
      </c>
      <c r="GM51" s="1">
        <v>0</v>
      </c>
      <c r="GN51" s="1">
        <v>0</v>
      </c>
      <c r="GO51" s="1">
        <v>17</v>
      </c>
      <c r="GP51" s="1">
        <v>85.294117647058911</v>
      </c>
      <c r="GQ51" s="1">
        <v>11.76470588235294</v>
      </c>
      <c r="GR51" s="1">
        <v>2.9411764705882351</v>
      </c>
      <c r="GS51" s="1">
        <v>0</v>
      </c>
      <c r="GT51" s="1">
        <v>0</v>
      </c>
      <c r="GU51" s="1">
        <v>34</v>
      </c>
      <c r="GV51" s="1">
        <v>88.571428571428541</v>
      </c>
      <c r="GW51" s="1">
        <v>11.428571428571439</v>
      </c>
      <c r="GX51" s="1">
        <v>0</v>
      </c>
      <c r="GY51" s="1">
        <v>0</v>
      </c>
      <c r="GZ51" s="1">
        <v>0</v>
      </c>
      <c r="HA51" s="1">
        <v>35</v>
      </c>
      <c r="HB51" s="1">
        <v>73.333333333333385</v>
      </c>
      <c r="HC51" s="1">
        <v>26.666666666666671</v>
      </c>
      <c r="HD51" s="1">
        <v>0</v>
      </c>
      <c r="HE51" s="1">
        <v>0</v>
      </c>
      <c r="HF51" s="1">
        <v>0</v>
      </c>
      <c r="HG51" s="1">
        <v>15</v>
      </c>
      <c r="HH51" s="1">
        <v>88.8888888888888</v>
      </c>
      <c r="HI51" s="1">
        <v>11.1111111111111</v>
      </c>
      <c r="HJ51" s="1">
        <v>0</v>
      </c>
      <c r="HK51" s="1">
        <v>0</v>
      </c>
      <c r="HL51" s="1">
        <v>0</v>
      </c>
      <c r="HM51" s="1">
        <v>18</v>
      </c>
      <c r="HN51" s="1">
        <v>0</v>
      </c>
      <c r="HO51" s="1">
        <v>0</v>
      </c>
      <c r="HP51" s="1">
        <v>0</v>
      </c>
      <c r="HQ51" s="1">
        <v>0</v>
      </c>
      <c r="HR51" s="1">
        <v>0</v>
      </c>
      <c r="HS51" s="1">
        <v>0</v>
      </c>
      <c r="HT51" s="1">
        <v>0</v>
      </c>
      <c r="HU51" s="1">
        <v>0</v>
      </c>
      <c r="HV51" s="1">
        <v>0</v>
      </c>
      <c r="HW51" s="1">
        <v>0</v>
      </c>
      <c r="HX51" s="1">
        <v>0</v>
      </c>
      <c r="HY51" s="1">
        <v>0</v>
      </c>
      <c r="HZ51" s="1">
        <v>0</v>
      </c>
      <c r="IA51" s="1">
        <v>0</v>
      </c>
      <c r="IB51" s="1">
        <v>0</v>
      </c>
      <c r="IC51" s="1">
        <v>0</v>
      </c>
      <c r="ID51" s="1">
        <v>0</v>
      </c>
      <c r="IE51" s="1">
        <v>0</v>
      </c>
      <c r="IF51" s="1">
        <v>9.6222222222222218</v>
      </c>
      <c r="IG51" s="1">
        <v>0</v>
      </c>
      <c r="IH51" s="1">
        <v>0</v>
      </c>
      <c r="II51" s="1">
        <v>0</v>
      </c>
      <c r="IJ51" s="1">
        <v>0</v>
      </c>
      <c r="IK51" s="1">
        <v>0</v>
      </c>
      <c r="IL51" s="1">
        <v>0</v>
      </c>
      <c r="IM51" s="1">
        <v>0</v>
      </c>
      <c r="IN51" s="1">
        <v>4.4444444444444491</v>
      </c>
      <c r="IO51" s="1">
        <v>28.888888888888911</v>
      </c>
      <c r="IP51" s="1">
        <v>66.666666666666629</v>
      </c>
      <c r="IQ51" s="1">
        <v>9.6222222222222182</v>
      </c>
      <c r="IR51" s="1">
        <v>45</v>
      </c>
      <c r="IS51" s="1">
        <v>55.319148936170215</v>
      </c>
      <c r="IT51" s="1">
        <v>29.787234042553187</v>
      </c>
      <c r="IU51" s="1">
        <v>12.765957446808518</v>
      </c>
      <c r="IV51" s="1">
        <v>0</v>
      </c>
      <c r="IW51" s="1">
        <v>2.1276595744680846</v>
      </c>
      <c r="IX51" s="1">
        <v>47</v>
      </c>
      <c r="IY51" s="1">
        <v>1</v>
      </c>
      <c r="IZ51" s="1">
        <v>17.952300000000005</v>
      </c>
      <c r="JA51" s="1">
        <v>8.7766799999999972</v>
      </c>
      <c r="JB51" s="1">
        <v>4.7872800000000035</v>
      </c>
      <c r="JC51" s="1">
        <v>2.7925800000000001</v>
      </c>
      <c r="JD51" s="1">
        <v>3.9893999999999981</v>
      </c>
      <c r="JE51" s="1">
        <v>0.48888888888888948</v>
      </c>
      <c r="JF51" s="1">
        <v>0.26666666666666694</v>
      </c>
      <c r="JG51" s="1">
        <v>0.1555555555555557</v>
      </c>
      <c r="JH51" s="1">
        <v>0.22222222222222257</v>
      </c>
      <c r="JI51" s="1">
        <v>1</v>
      </c>
      <c r="JJ51" s="1">
        <v>45</v>
      </c>
      <c r="JK51" s="1">
        <v>3.6304347826086958</v>
      </c>
      <c r="JL51" s="1">
        <v>3.6304347826086967</v>
      </c>
      <c r="JM51" s="1">
        <v>46</v>
      </c>
      <c r="JN51" s="1">
        <v>100</v>
      </c>
      <c r="JO51" s="1">
        <v>0</v>
      </c>
      <c r="JP51" s="1">
        <v>16</v>
      </c>
      <c r="JQ51" s="1">
        <v>99.999999999999986</v>
      </c>
      <c r="JR51" s="1">
        <v>0</v>
      </c>
      <c r="JS51" s="1">
        <v>26</v>
      </c>
      <c r="JT51" s="1">
        <v>92.85714285714279</v>
      </c>
      <c r="JU51" s="1">
        <v>7.1428571428571503</v>
      </c>
      <c r="JV51" s="1">
        <v>42</v>
      </c>
      <c r="JW51" s="1">
        <v>92.592592592592581</v>
      </c>
      <c r="JX51" s="1">
        <v>7.4074074074074074</v>
      </c>
      <c r="JY51" s="1">
        <v>27</v>
      </c>
      <c r="JZ51" s="1">
        <v>36.95652173913048</v>
      </c>
      <c r="KA51" s="1">
        <v>63.043478260869534</v>
      </c>
      <c r="KB51" s="1">
        <v>46</v>
      </c>
      <c r="KC51" s="1">
        <v>95.238095238095312</v>
      </c>
      <c r="KD51" s="1">
        <v>4.761904761904761</v>
      </c>
      <c r="KE51" s="1">
        <v>42</v>
      </c>
      <c r="KF51" s="1">
        <v>3.7073170731707319</v>
      </c>
      <c r="KG51" s="1">
        <v>2.4390243902439019</v>
      </c>
      <c r="KH51" s="1">
        <v>12.195121951219516</v>
      </c>
      <c r="KI51" s="1">
        <v>26.829268292682944</v>
      </c>
      <c r="KJ51" s="1">
        <v>29.26829268292683</v>
      </c>
      <c r="KK51" s="1">
        <v>29.26829268292683</v>
      </c>
      <c r="KL51" s="1">
        <v>41</v>
      </c>
      <c r="KM51" s="1">
        <v>63.365853658536672</v>
      </c>
      <c r="KN51" s="1">
        <v>59.333333333333336</v>
      </c>
      <c r="KO51" s="1">
        <v>0</v>
      </c>
      <c r="KP51" s="1">
        <v>33.333333333333314</v>
      </c>
      <c r="KQ51" s="1">
        <v>33.333333333333314</v>
      </c>
      <c r="KR51" s="1">
        <v>0</v>
      </c>
      <c r="KS51" s="1">
        <v>33.333333333333314</v>
      </c>
      <c r="KT51" s="1">
        <v>3</v>
      </c>
      <c r="KU51" s="1">
        <v>0</v>
      </c>
      <c r="KV51" s="1">
        <v>0</v>
      </c>
      <c r="KW51" s="1">
        <v>0</v>
      </c>
      <c r="KX51" s="1">
        <v>100</v>
      </c>
      <c r="KY51" s="1">
        <v>0</v>
      </c>
      <c r="KZ51" s="1">
        <v>44</v>
      </c>
      <c r="LA51" s="1">
        <v>8.6956521739130554</v>
      </c>
      <c r="LB51" s="1">
        <v>91.304347826086982</v>
      </c>
      <c r="LC51" s="1">
        <v>46</v>
      </c>
      <c r="LD51" s="1">
        <v>0</v>
      </c>
      <c r="LE51" s="1">
        <v>0</v>
      </c>
      <c r="LF51" s="1">
        <v>99.999999999999986</v>
      </c>
      <c r="LG51" s="1">
        <v>4</v>
      </c>
    </row>
    <row r="52" spans="1:319" x14ac:dyDescent="0.25">
      <c r="A52" s="1">
        <v>183</v>
      </c>
      <c r="B52" s="1">
        <v>36.231884057970994</v>
      </c>
      <c r="C52" s="1">
        <v>63.768115942028984</v>
      </c>
      <c r="D52" s="1">
        <v>69</v>
      </c>
      <c r="E52" s="1">
        <v>69.767441860465127</v>
      </c>
      <c r="F52" s="1">
        <v>30.232558139534852</v>
      </c>
      <c r="G52" s="1">
        <v>43</v>
      </c>
      <c r="H52" s="1">
        <v>48.275862068965573</v>
      </c>
      <c r="I52" s="1">
        <v>51.724137931034491</v>
      </c>
      <c r="J52" s="1">
        <v>29</v>
      </c>
      <c r="K52" s="1">
        <v>1</v>
      </c>
      <c r="L52" s="1">
        <v>35.365949999999927</v>
      </c>
      <c r="M52" s="1">
        <v>10.250999999999985</v>
      </c>
      <c r="N52" s="1">
        <v>6.6631499999999884</v>
      </c>
      <c r="O52" s="1">
        <v>14.86394999999996</v>
      </c>
      <c r="P52" s="1">
        <v>0.51254999999999995</v>
      </c>
      <c r="Q52" s="1">
        <v>6.6631499999999884</v>
      </c>
      <c r="R52" s="1">
        <v>0</v>
      </c>
      <c r="S52" s="1">
        <v>0</v>
      </c>
      <c r="T52" s="1">
        <v>1.5376499999999995</v>
      </c>
      <c r="U52" s="1">
        <v>2.5627499999999963</v>
      </c>
      <c r="V52" s="1">
        <v>2.0501999999999998</v>
      </c>
      <c r="W52" s="1">
        <v>0.28985507246376813</v>
      </c>
      <c r="X52" s="1">
        <v>0.18840579710144925</v>
      </c>
      <c r="Y52" s="1">
        <v>0.42028985507246397</v>
      </c>
      <c r="Z52" s="1">
        <v>1.4492753623188389E-2</v>
      </c>
      <c r="AA52" s="1">
        <v>0.18840579710144925</v>
      </c>
      <c r="AB52" s="1">
        <v>0</v>
      </c>
      <c r="AC52" s="1">
        <v>0</v>
      </c>
      <c r="AD52" s="1">
        <v>4.3478260869565265E-2</v>
      </c>
      <c r="AE52" s="1">
        <v>7.2463768115942073E-2</v>
      </c>
      <c r="AF52" s="1">
        <v>5.7971014492753541E-2</v>
      </c>
      <c r="AG52" s="1">
        <v>1</v>
      </c>
      <c r="AH52" s="1">
        <v>69</v>
      </c>
      <c r="AI52" s="1">
        <v>1</v>
      </c>
      <c r="AJ52" s="1">
        <v>35.365949999999927</v>
      </c>
      <c r="AK52" s="1">
        <v>31.778100000000002</v>
      </c>
      <c r="AL52" s="1">
        <v>29.21534999999999</v>
      </c>
      <c r="AM52" s="1">
        <v>15.889049999999994</v>
      </c>
      <c r="AN52" s="1">
        <v>10.763550000000006</v>
      </c>
      <c r="AO52" s="1">
        <v>4.1003999999999996</v>
      </c>
      <c r="AP52" s="1">
        <v>5.1254999999999926</v>
      </c>
      <c r="AQ52" s="1">
        <v>0.89855072463768126</v>
      </c>
      <c r="AR52" s="1">
        <v>0.82608695652174036</v>
      </c>
      <c r="AS52" s="1">
        <v>0.44927536231883997</v>
      </c>
      <c r="AT52" s="1">
        <v>0.30434782608695671</v>
      </c>
      <c r="AU52" s="1">
        <v>0.11594202898550708</v>
      </c>
      <c r="AV52" s="1">
        <v>0.14492753623188415</v>
      </c>
      <c r="AW52" s="1">
        <v>1</v>
      </c>
      <c r="AX52" s="1">
        <v>69</v>
      </c>
      <c r="AY52" s="1">
        <v>9.5757575757575761</v>
      </c>
      <c r="AZ52" s="1">
        <v>9.6865671641791042</v>
      </c>
      <c r="BA52" s="1">
        <v>9.67741935483871</v>
      </c>
      <c r="BB52" s="1">
        <v>0</v>
      </c>
      <c r="BC52" s="1">
        <v>0</v>
      </c>
      <c r="BD52" s="1">
        <v>0</v>
      </c>
      <c r="BE52" s="1">
        <v>1.5151515151515154</v>
      </c>
      <c r="BF52" s="1">
        <v>1.5151515151515154</v>
      </c>
      <c r="BG52" s="1">
        <v>0</v>
      </c>
      <c r="BH52" s="1">
        <v>0</v>
      </c>
      <c r="BI52" s="1">
        <v>7.575757575757569</v>
      </c>
      <c r="BJ52" s="1">
        <v>10.606060606060614</v>
      </c>
      <c r="BK52" s="1">
        <v>78.78787878787891</v>
      </c>
      <c r="BL52" s="1">
        <v>9.5757575757575513</v>
      </c>
      <c r="BM52" s="1">
        <v>66</v>
      </c>
      <c r="BN52" s="1">
        <v>0</v>
      </c>
      <c r="BO52" s="1">
        <v>0</v>
      </c>
      <c r="BP52" s="1">
        <v>0</v>
      </c>
      <c r="BQ52" s="1">
        <v>0</v>
      </c>
      <c r="BR52" s="1">
        <v>1.4925373134328344</v>
      </c>
      <c r="BS52" s="1">
        <v>0</v>
      </c>
      <c r="BT52" s="1">
        <v>1.4925373134328344</v>
      </c>
      <c r="BU52" s="1">
        <v>5.9701492537313374</v>
      </c>
      <c r="BV52" s="1">
        <v>7.4626865671641678</v>
      </c>
      <c r="BW52" s="1">
        <v>83.582089552238955</v>
      </c>
      <c r="BX52" s="1">
        <v>9.6865671641791007</v>
      </c>
      <c r="BY52" s="1">
        <v>67</v>
      </c>
      <c r="BZ52" s="1">
        <v>0</v>
      </c>
      <c r="CA52" s="1">
        <v>0</v>
      </c>
      <c r="CB52" s="1">
        <v>0</v>
      </c>
      <c r="CC52" s="1">
        <v>0</v>
      </c>
      <c r="CD52" s="1">
        <v>1.6129032258064493</v>
      </c>
      <c r="CE52" s="1">
        <v>0</v>
      </c>
      <c r="CF52" s="1">
        <v>0</v>
      </c>
      <c r="CG52" s="1">
        <v>8.0645161290322491</v>
      </c>
      <c r="CH52" s="1">
        <v>8.0645161290322491</v>
      </c>
      <c r="CI52" s="1">
        <v>82.258064516128869</v>
      </c>
      <c r="CJ52" s="1">
        <v>9.677419354838694</v>
      </c>
      <c r="CK52" s="1">
        <v>62</v>
      </c>
      <c r="CL52" s="1">
        <v>42.647058823529314</v>
      </c>
      <c r="CM52" s="1">
        <v>39.705882352941124</v>
      </c>
      <c r="CN52" s="1">
        <v>4.4117647058823541</v>
      </c>
      <c r="CO52" s="1">
        <v>11.764705882352931</v>
      </c>
      <c r="CP52" s="1">
        <v>1.4705882352941164</v>
      </c>
      <c r="CQ52" s="1">
        <v>68</v>
      </c>
      <c r="CR52" s="1">
        <v>71.014492753623102</v>
      </c>
      <c r="CS52" s="1">
        <v>24.637681159420268</v>
      </c>
      <c r="CT52" s="1">
        <v>4.3478260869565215</v>
      </c>
      <c r="CU52" s="1">
        <v>0</v>
      </c>
      <c r="CV52" s="1">
        <v>0</v>
      </c>
      <c r="CW52" s="1">
        <v>69</v>
      </c>
      <c r="CX52" s="1">
        <v>63.076923076922967</v>
      </c>
      <c r="CY52" s="1">
        <v>30.769230769230738</v>
      </c>
      <c r="CZ52" s="1">
        <v>6.1538461538461453</v>
      </c>
      <c r="DA52" s="1">
        <v>0</v>
      </c>
      <c r="DB52" s="1">
        <v>0</v>
      </c>
      <c r="DC52" s="1">
        <v>65</v>
      </c>
      <c r="DD52" s="1">
        <v>64.285714285714292</v>
      </c>
      <c r="DE52" s="1">
        <v>28.571428571428616</v>
      </c>
      <c r="DF52" s="1">
        <v>4.285714285714282</v>
      </c>
      <c r="DG52" s="1">
        <v>1.4285714285714295</v>
      </c>
      <c r="DH52" s="1">
        <v>1.4285714285714295</v>
      </c>
      <c r="DI52" s="1">
        <v>70</v>
      </c>
      <c r="DJ52" s="1">
        <v>61.290322580644997</v>
      </c>
      <c r="DK52" s="1">
        <v>29.032258064516107</v>
      </c>
      <c r="DL52" s="1">
        <v>8.0645161290322491</v>
      </c>
      <c r="DM52" s="1">
        <v>1.6129032258064493</v>
      </c>
      <c r="DN52" s="1">
        <v>0</v>
      </c>
      <c r="DO52" s="1">
        <v>62</v>
      </c>
      <c r="DP52" s="1">
        <v>75.362318840579704</v>
      </c>
      <c r="DQ52" s="1">
        <v>21.739130434782584</v>
      </c>
      <c r="DR52" s="1">
        <v>0</v>
      </c>
      <c r="DS52" s="1">
        <v>2.8985507246376847</v>
      </c>
      <c r="DT52" s="1">
        <v>0</v>
      </c>
      <c r="DU52" s="1">
        <v>69</v>
      </c>
      <c r="DV52" s="1">
        <v>47.82608695652165</v>
      </c>
      <c r="DW52" s="1">
        <v>27.536231884057983</v>
      </c>
      <c r="DX52" s="1">
        <v>5.7971014492753694</v>
      </c>
      <c r="DY52" s="1">
        <v>11.594202898550739</v>
      </c>
      <c r="DZ52" s="1">
        <v>7.2463768115941933</v>
      </c>
      <c r="EA52" s="1">
        <v>69</v>
      </c>
      <c r="EB52" s="1">
        <v>42.857142857142804</v>
      </c>
      <c r="EC52" s="1">
        <v>28.571428571428616</v>
      </c>
      <c r="ED52" s="1">
        <v>28.571428571428616</v>
      </c>
      <c r="EE52" s="1">
        <v>0</v>
      </c>
      <c r="EF52" s="1">
        <v>0</v>
      </c>
      <c r="EG52" s="1">
        <v>14</v>
      </c>
      <c r="EH52" s="1">
        <v>16.666666666666661</v>
      </c>
      <c r="EI52" s="1">
        <v>41.666666666666643</v>
      </c>
      <c r="EJ52" s="1">
        <v>41.666666666666643</v>
      </c>
      <c r="EK52" s="1">
        <v>0</v>
      </c>
      <c r="EL52" s="1">
        <v>0</v>
      </c>
      <c r="EM52" s="1">
        <v>12</v>
      </c>
      <c r="EN52" s="1">
        <v>18.750000000000004</v>
      </c>
      <c r="EO52" s="1">
        <v>12.500000000000002</v>
      </c>
      <c r="EP52" s="1">
        <v>9.3750000000000018</v>
      </c>
      <c r="EQ52" s="1">
        <v>12.500000000000002</v>
      </c>
      <c r="ER52" s="1">
        <v>46.875000000000007</v>
      </c>
      <c r="ES52" s="1">
        <v>32</v>
      </c>
      <c r="ET52" s="1">
        <v>22.222222222222229</v>
      </c>
      <c r="EU52" s="1">
        <v>18.518518518518498</v>
      </c>
      <c r="EV52" s="1">
        <v>7.407407407407403</v>
      </c>
      <c r="EW52" s="1">
        <v>14.814814814814806</v>
      </c>
      <c r="EX52" s="1">
        <v>37.037037037036995</v>
      </c>
      <c r="EY52" s="1">
        <v>27</v>
      </c>
      <c r="EZ52" s="1">
        <v>36.363636363636445</v>
      </c>
      <c r="FA52" s="1">
        <v>22.727272727272744</v>
      </c>
      <c r="FB52" s="1">
        <v>18.181818181818223</v>
      </c>
      <c r="FC52" s="1">
        <v>9.0909090909091113</v>
      </c>
      <c r="FD52" s="1">
        <v>13.636363636363633</v>
      </c>
      <c r="FE52" s="1">
        <v>22</v>
      </c>
      <c r="FF52" s="1">
        <v>36.842105263157912</v>
      </c>
      <c r="FG52" s="1">
        <v>21.052631578947359</v>
      </c>
      <c r="FH52" s="1">
        <v>15.789473684210531</v>
      </c>
      <c r="FI52" s="1">
        <v>10.52631578947368</v>
      </c>
      <c r="FJ52" s="1">
        <v>15.789473684210531</v>
      </c>
      <c r="FK52" s="1">
        <v>19</v>
      </c>
      <c r="FL52" s="1">
        <v>68.000000000000014</v>
      </c>
      <c r="FM52" s="1">
        <v>8.0000000000000018</v>
      </c>
      <c r="FN52" s="1">
        <v>16.000000000000004</v>
      </c>
      <c r="FO52" s="1">
        <v>4.0000000000000009</v>
      </c>
      <c r="FP52" s="1">
        <v>4.0000000000000009</v>
      </c>
      <c r="FQ52" s="1">
        <v>25</v>
      </c>
      <c r="FR52" s="1">
        <v>59.090909090909037</v>
      </c>
      <c r="FS52" s="1">
        <v>13.636363636363633</v>
      </c>
      <c r="FT52" s="1">
        <v>18.181818181818223</v>
      </c>
      <c r="FU52" s="1">
        <v>4.5454545454545556</v>
      </c>
      <c r="FV52" s="1">
        <v>4.5454545454545556</v>
      </c>
      <c r="FW52" s="1">
        <v>22</v>
      </c>
      <c r="FX52" s="1">
        <v>79.0322580645161</v>
      </c>
      <c r="FY52" s="1">
        <v>14.516129032258053</v>
      </c>
      <c r="FZ52" s="1">
        <v>4.8387096774193505</v>
      </c>
      <c r="GA52" s="1">
        <v>0</v>
      </c>
      <c r="GB52" s="1">
        <v>1.6129032258064493</v>
      </c>
      <c r="GC52" s="1">
        <v>62</v>
      </c>
      <c r="GD52" s="1">
        <v>50.000000000000007</v>
      </c>
      <c r="GE52" s="1">
        <v>47.058823529411747</v>
      </c>
      <c r="GF52" s="1">
        <v>2.9411764705882342</v>
      </c>
      <c r="GG52" s="1">
        <v>0</v>
      </c>
      <c r="GH52" s="1">
        <v>0</v>
      </c>
      <c r="GI52" s="1">
        <v>34</v>
      </c>
      <c r="GJ52" s="1">
        <v>65.517241379310363</v>
      </c>
      <c r="GK52" s="1">
        <v>31.034482758620719</v>
      </c>
      <c r="GL52" s="1">
        <v>3.4482758620689618</v>
      </c>
      <c r="GM52" s="1">
        <v>0</v>
      </c>
      <c r="GN52" s="1">
        <v>0</v>
      </c>
      <c r="GO52" s="1">
        <v>29</v>
      </c>
      <c r="GP52" s="1">
        <v>53.061224489795798</v>
      </c>
      <c r="GQ52" s="1">
        <v>22.4489795918367</v>
      </c>
      <c r="GR52" s="1">
        <v>6.1224489795918249</v>
      </c>
      <c r="GS52" s="1">
        <v>10.204081632653054</v>
      </c>
      <c r="GT52" s="1">
        <v>8.1632653061224509</v>
      </c>
      <c r="GU52" s="1">
        <v>49</v>
      </c>
      <c r="GV52" s="1">
        <v>67.391304347826022</v>
      </c>
      <c r="GW52" s="1">
        <v>19.565217391304337</v>
      </c>
      <c r="GX52" s="1">
        <v>4.3478260869565215</v>
      </c>
      <c r="GY52" s="1">
        <v>4.3478260869565215</v>
      </c>
      <c r="GZ52" s="1">
        <v>4.3478260869565215</v>
      </c>
      <c r="HA52" s="1">
        <v>46</v>
      </c>
      <c r="HB52" s="1">
        <v>40.909090909090956</v>
      </c>
      <c r="HC52" s="1">
        <v>36.363636363636445</v>
      </c>
      <c r="HD52" s="1">
        <v>9.0909090909091113</v>
      </c>
      <c r="HE52" s="1">
        <v>4.5454545454545556</v>
      </c>
      <c r="HF52" s="1">
        <v>9.0909090909091113</v>
      </c>
      <c r="HG52" s="1">
        <v>22</v>
      </c>
      <c r="HH52" s="1">
        <v>47.368421052631639</v>
      </c>
      <c r="HI52" s="1">
        <v>26.31578947368418</v>
      </c>
      <c r="HJ52" s="1">
        <v>10.52631578947368</v>
      </c>
      <c r="HK52" s="1">
        <v>0</v>
      </c>
      <c r="HL52" s="1">
        <v>15.789473684210531</v>
      </c>
      <c r="HM52" s="1">
        <v>19</v>
      </c>
      <c r="HN52" s="1">
        <v>0</v>
      </c>
      <c r="HO52" s="1">
        <v>0</v>
      </c>
      <c r="HP52" s="1">
        <v>0</v>
      </c>
      <c r="HQ52" s="1">
        <v>0</v>
      </c>
      <c r="HR52" s="1">
        <v>0</v>
      </c>
      <c r="HS52" s="1">
        <v>0</v>
      </c>
      <c r="HT52" s="1">
        <v>0</v>
      </c>
      <c r="HU52" s="1">
        <v>0</v>
      </c>
      <c r="HV52" s="1">
        <v>0</v>
      </c>
      <c r="HW52" s="1">
        <v>0</v>
      </c>
      <c r="HX52" s="1">
        <v>0</v>
      </c>
      <c r="HY52" s="1">
        <v>0</v>
      </c>
      <c r="HZ52" s="1">
        <v>0</v>
      </c>
      <c r="IA52" s="1">
        <v>0</v>
      </c>
      <c r="IB52" s="1">
        <v>0</v>
      </c>
      <c r="IC52" s="1">
        <v>0</v>
      </c>
      <c r="ID52" s="1">
        <v>0</v>
      </c>
      <c r="IE52" s="1">
        <v>0</v>
      </c>
      <c r="IF52" s="1">
        <v>8.6721311475409841</v>
      </c>
      <c r="IG52" s="1">
        <v>0</v>
      </c>
      <c r="IH52" s="1">
        <v>0</v>
      </c>
      <c r="II52" s="1">
        <v>1.6393442622950825</v>
      </c>
      <c r="IJ52" s="1">
        <v>1.6393442622950825</v>
      </c>
      <c r="IK52" s="1">
        <v>0</v>
      </c>
      <c r="IL52" s="1">
        <v>3.2786885245901649</v>
      </c>
      <c r="IM52" s="1">
        <v>13.11475409836066</v>
      </c>
      <c r="IN52" s="1">
        <v>22.950819672131114</v>
      </c>
      <c r="IO52" s="1">
        <v>13.11475409836066</v>
      </c>
      <c r="IP52" s="1">
        <v>44.262295081967181</v>
      </c>
      <c r="IQ52" s="1">
        <v>8.6721311475409859</v>
      </c>
      <c r="IR52" s="1">
        <v>61</v>
      </c>
      <c r="IS52" s="1">
        <v>35.820895522388085</v>
      </c>
      <c r="IT52" s="1">
        <v>56.716417910447831</v>
      </c>
      <c r="IU52" s="1">
        <v>5.9701492537313374</v>
      </c>
      <c r="IV52" s="1">
        <v>0</v>
      </c>
      <c r="IW52" s="1">
        <v>1.4925373134328344</v>
      </c>
      <c r="IX52" s="1">
        <v>67</v>
      </c>
      <c r="IY52" s="1">
        <v>1</v>
      </c>
      <c r="IZ52" s="1">
        <v>33.315750000000016</v>
      </c>
      <c r="JA52" s="1">
        <v>15.376499999999979</v>
      </c>
      <c r="JB52" s="1">
        <v>10.763550000000006</v>
      </c>
      <c r="JC52" s="1">
        <v>8.2007999999999992</v>
      </c>
      <c r="JD52" s="1">
        <v>6.6631499999999884</v>
      </c>
      <c r="JE52" s="1">
        <v>0.46153846153846062</v>
      </c>
      <c r="JF52" s="1">
        <v>0.32307692307692287</v>
      </c>
      <c r="JG52" s="1">
        <v>0.24615384615384567</v>
      </c>
      <c r="JH52" s="1">
        <v>0.19999999999999973</v>
      </c>
      <c r="JI52" s="1">
        <v>1</v>
      </c>
      <c r="JJ52" s="1">
        <v>65</v>
      </c>
      <c r="JK52" s="1">
        <v>2.7538461538461538</v>
      </c>
      <c r="JL52" s="1">
        <v>2.7538461538461538</v>
      </c>
      <c r="JM52" s="1">
        <v>65</v>
      </c>
      <c r="JN52" s="1">
        <v>90.909090909090963</v>
      </c>
      <c r="JO52" s="1">
        <v>9.0909090909091113</v>
      </c>
      <c r="JP52" s="1">
        <v>22</v>
      </c>
      <c r="JQ52" s="1">
        <v>97.368421052631646</v>
      </c>
      <c r="JR52" s="1">
        <v>2.6315789473684199</v>
      </c>
      <c r="JS52" s="1">
        <v>38</v>
      </c>
      <c r="JT52" s="1">
        <v>84.482758620689566</v>
      </c>
      <c r="JU52" s="1">
        <v>15.517241379310338</v>
      </c>
      <c r="JV52" s="1">
        <v>58</v>
      </c>
      <c r="JW52" s="1">
        <v>69.444444444444372</v>
      </c>
      <c r="JX52" s="1">
        <v>30.555555555555607</v>
      </c>
      <c r="JY52" s="1">
        <v>36</v>
      </c>
      <c r="JZ52" s="1">
        <v>49.999999999999986</v>
      </c>
      <c r="KA52" s="1">
        <v>49.999999999999986</v>
      </c>
      <c r="KB52" s="1">
        <v>66</v>
      </c>
      <c r="KC52" s="1">
        <v>100</v>
      </c>
      <c r="KD52" s="1">
        <v>0</v>
      </c>
      <c r="KE52" s="1">
        <v>62</v>
      </c>
      <c r="KF52" s="1">
        <v>2.9344262295081966</v>
      </c>
      <c r="KG52" s="1">
        <v>14.754098360655712</v>
      </c>
      <c r="KH52" s="1">
        <v>26.229508196721319</v>
      </c>
      <c r="KI52" s="1">
        <v>19.672131147540988</v>
      </c>
      <c r="KJ52" s="1">
        <v>29.508196721311425</v>
      </c>
      <c r="KK52" s="1">
        <v>9.8360655737704938</v>
      </c>
      <c r="KL52" s="1">
        <v>61</v>
      </c>
      <c r="KM52" s="1">
        <v>51.180327868852501</v>
      </c>
      <c r="KN52" s="1">
        <v>82</v>
      </c>
      <c r="KO52" s="1">
        <v>0</v>
      </c>
      <c r="KP52" s="1">
        <v>25</v>
      </c>
      <c r="KQ52" s="1">
        <v>25</v>
      </c>
      <c r="KR52" s="1">
        <v>0</v>
      </c>
      <c r="KS52" s="1">
        <v>50</v>
      </c>
      <c r="KT52" s="1">
        <v>4</v>
      </c>
      <c r="KU52" s="1">
        <v>1.6129032258064493</v>
      </c>
      <c r="KV52" s="1">
        <v>1.6129032258064493</v>
      </c>
      <c r="KW52" s="1">
        <v>1.6129032258064493</v>
      </c>
      <c r="KX52" s="1">
        <v>95.161290322580555</v>
      </c>
      <c r="KY52" s="1">
        <v>0</v>
      </c>
      <c r="KZ52" s="1">
        <v>62</v>
      </c>
      <c r="LA52" s="1">
        <v>12.068965517241386</v>
      </c>
      <c r="LB52" s="1">
        <v>87.931034482758747</v>
      </c>
      <c r="LC52" s="1">
        <v>58</v>
      </c>
      <c r="LD52" s="1">
        <v>0</v>
      </c>
      <c r="LE52" s="1">
        <v>42.857142857142847</v>
      </c>
      <c r="LF52" s="1">
        <v>57.142857142857125</v>
      </c>
      <c r="LG52" s="1">
        <v>7</v>
      </c>
    </row>
    <row r="53" spans="1:319" x14ac:dyDescent="0.25">
      <c r="A53" s="1">
        <v>187</v>
      </c>
      <c r="B53" s="1">
        <v>16.000000000000004</v>
      </c>
      <c r="C53" s="1">
        <v>84</v>
      </c>
      <c r="D53" s="1">
        <v>75</v>
      </c>
      <c r="E53" s="1">
        <v>78.688524590163965</v>
      </c>
      <c r="F53" s="1">
        <v>21.311475409836042</v>
      </c>
      <c r="G53" s="1">
        <v>61</v>
      </c>
      <c r="H53" s="1">
        <v>56.521739130434824</v>
      </c>
      <c r="I53" s="1">
        <v>43.478260869565233</v>
      </c>
      <c r="J53" s="1">
        <v>46</v>
      </c>
      <c r="K53" s="1">
        <v>1</v>
      </c>
      <c r="L53" s="1">
        <v>40.582480000000025</v>
      </c>
      <c r="M53" s="1">
        <v>4.8058199999999944</v>
      </c>
      <c r="N53" s="1">
        <v>4.2718399999999983</v>
      </c>
      <c r="O53" s="1">
        <v>15.485419999999982</v>
      </c>
      <c r="P53" s="1">
        <v>1.0679599999999996</v>
      </c>
      <c r="Q53" s="1">
        <v>13.349500000000017</v>
      </c>
      <c r="R53" s="1">
        <v>2.1359199999999992</v>
      </c>
      <c r="S53" s="1">
        <v>1.0679599999999996</v>
      </c>
      <c r="T53" s="1">
        <v>7.4757200000000132</v>
      </c>
      <c r="U53" s="1">
        <v>2.1359199999999992</v>
      </c>
      <c r="V53" s="1">
        <v>5.8737800000000071</v>
      </c>
      <c r="W53" s="1">
        <v>0.11842105263157889</v>
      </c>
      <c r="X53" s="1">
        <v>0.10526315789473681</v>
      </c>
      <c r="Y53" s="1">
        <v>0.38157894736842057</v>
      </c>
      <c r="Z53" s="1">
        <v>2.6315789473684202E-2</v>
      </c>
      <c r="AA53" s="1">
        <v>0.32894736842105227</v>
      </c>
      <c r="AB53" s="1">
        <v>5.2631578947368404E-2</v>
      </c>
      <c r="AC53" s="1">
        <v>2.6315789473684202E-2</v>
      </c>
      <c r="AD53" s="1">
        <v>0.18421052631578963</v>
      </c>
      <c r="AE53" s="1">
        <v>5.2631578947368404E-2</v>
      </c>
      <c r="AF53" s="1">
        <v>0.14473684210526336</v>
      </c>
      <c r="AG53" s="1">
        <v>1</v>
      </c>
      <c r="AH53" s="1">
        <v>76</v>
      </c>
      <c r="AI53" s="1">
        <v>1</v>
      </c>
      <c r="AJ53" s="1">
        <v>36.844619999999942</v>
      </c>
      <c r="AK53" s="1">
        <v>29.36889999999995</v>
      </c>
      <c r="AL53" s="1">
        <v>13.349500000000017</v>
      </c>
      <c r="AM53" s="1">
        <v>17.087359999999993</v>
      </c>
      <c r="AN53" s="1">
        <v>17.087359999999993</v>
      </c>
      <c r="AO53" s="1">
        <v>2.1359199999999992</v>
      </c>
      <c r="AP53" s="1">
        <v>8.0096999999999863</v>
      </c>
      <c r="AQ53" s="1">
        <v>0.79710144927536108</v>
      </c>
      <c r="AR53" s="1">
        <v>0.36231884057971064</v>
      </c>
      <c r="AS53" s="1">
        <v>0.4637681159420291</v>
      </c>
      <c r="AT53" s="1">
        <v>0.4637681159420291</v>
      </c>
      <c r="AU53" s="1">
        <v>5.7971014492753652E-2</v>
      </c>
      <c r="AV53" s="1">
        <v>0.21739130434782566</v>
      </c>
      <c r="AW53" s="1">
        <v>1</v>
      </c>
      <c r="AX53" s="1">
        <v>69</v>
      </c>
      <c r="AY53" s="1">
        <v>9.8219178082191778</v>
      </c>
      <c r="AZ53" s="1">
        <v>9.8243243243243246</v>
      </c>
      <c r="BA53" s="1">
        <v>9.8028169014084501</v>
      </c>
      <c r="BB53" s="1">
        <v>0</v>
      </c>
      <c r="BC53" s="1">
        <v>0</v>
      </c>
      <c r="BD53" s="1">
        <v>0</v>
      </c>
      <c r="BE53" s="1">
        <v>0</v>
      </c>
      <c r="BF53" s="1">
        <v>0</v>
      </c>
      <c r="BG53" s="1">
        <v>0</v>
      </c>
      <c r="BH53" s="1">
        <v>1.3698630136986321</v>
      </c>
      <c r="BI53" s="1">
        <v>4.1095890410958882</v>
      </c>
      <c r="BJ53" s="1">
        <v>5.4794520547945282</v>
      </c>
      <c r="BK53" s="1">
        <v>89.041095890411029</v>
      </c>
      <c r="BL53" s="1">
        <v>9.8219178082191778</v>
      </c>
      <c r="BM53" s="1">
        <v>73</v>
      </c>
      <c r="BN53" s="1">
        <v>0</v>
      </c>
      <c r="BO53" s="1">
        <v>0</v>
      </c>
      <c r="BP53" s="1">
        <v>0</v>
      </c>
      <c r="BQ53" s="1">
        <v>0</v>
      </c>
      <c r="BR53" s="1">
        <v>0</v>
      </c>
      <c r="BS53" s="1">
        <v>0</v>
      </c>
      <c r="BT53" s="1">
        <v>0</v>
      </c>
      <c r="BU53" s="1">
        <v>5.4054054054054141</v>
      </c>
      <c r="BV53" s="1">
        <v>6.7567567567567686</v>
      </c>
      <c r="BW53" s="1">
        <v>87.837837837837725</v>
      </c>
      <c r="BX53" s="1">
        <v>9.8243243243243565</v>
      </c>
      <c r="BY53" s="1">
        <v>74</v>
      </c>
      <c r="BZ53" s="1">
        <v>0</v>
      </c>
      <c r="CA53" s="1">
        <v>0</v>
      </c>
      <c r="CB53" s="1">
        <v>0</v>
      </c>
      <c r="CC53" s="1">
        <v>0</v>
      </c>
      <c r="CD53" s="1">
        <v>0</v>
      </c>
      <c r="CE53" s="1">
        <v>0</v>
      </c>
      <c r="CF53" s="1">
        <v>1.4084507042253547</v>
      </c>
      <c r="CG53" s="1">
        <v>4.2253521126760507</v>
      </c>
      <c r="CH53" s="1">
        <v>7.0422535211267734</v>
      </c>
      <c r="CI53" s="1">
        <v>87.323943661971683</v>
      </c>
      <c r="CJ53" s="1">
        <v>9.8028169014084821</v>
      </c>
      <c r="CK53" s="1">
        <v>71</v>
      </c>
      <c r="CL53" s="1">
        <v>51.351351351351362</v>
      </c>
      <c r="CM53" s="1">
        <v>40.540540540540491</v>
      </c>
      <c r="CN53" s="1">
        <v>5.4054054054054141</v>
      </c>
      <c r="CO53" s="1">
        <v>1.3513513513513535</v>
      </c>
      <c r="CP53" s="1">
        <v>1.3513513513513535</v>
      </c>
      <c r="CQ53" s="1">
        <v>74</v>
      </c>
      <c r="CR53" s="1">
        <v>75.342465753424463</v>
      </c>
      <c r="CS53" s="1">
        <v>20.54794520547944</v>
      </c>
      <c r="CT53" s="1">
        <v>4.1095890410958882</v>
      </c>
      <c r="CU53" s="1">
        <v>0</v>
      </c>
      <c r="CV53" s="1">
        <v>0</v>
      </c>
      <c r="CW53" s="1">
        <v>73</v>
      </c>
      <c r="CX53" s="1">
        <v>82.666666666666785</v>
      </c>
      <c r="CY53" s="1">
        <v>16.000000000000004</v>
      </c>
      <c r="CZ53" s="1">
        <v>1.3333333333333324</v>
      </c>
      <c r="DA53" s="1">
        <v>0</v>
      </c>
      <c r="DB53" s="1">
        <v>0</v>
      </c>
      <c r="DC53" s="1">
        <v>75</v>
      </c>
      <c r="DD53" s="1">
        <v>88.157894736842266</v>
      </c>
      <c r="DE53" s="1">
        <v>11.842105263157912</v>
      </c>
      <c r="DF53" s="1">
        <v>0</v>
      </c>
      <c r="DG53" s="1">
        <v>0</v>
      </c>
      <c r="DH53" s="1">
        <v>0</v>
      </c>
      <c r="DI53" s="1">
        <v>76</v>
      </c>
      <c r="DJ53" s="1">
        <v>87.837837837837725</v>
      </c>
      <c r="DK53" s="1">
        <v>12.162162162162167</v>
      </c>
      <c r="DL53" s="1">
        <v>0</v>
      </c>
      <c r="DM53" s="1">
        <v>0</v>
      </c>
      <c r="DN53" s="1">
        <v>0</v>
      </c>
      <c r="DO53" s="1">
        <v>74</v>
      </c>
      <c r="DP53" s="1">
        <v>94.736842105263293</v>
      </c>
      <c r="DQ53" s="1">
        <v>5.2631578947368363</v>
      </c>
      <c r="DR53" s="1">
        <v>0</v>
      </c>
      <c r="DS53" s="1">
        <v>0</v>
      </c>
      <c r="DT53" s="1">
        <v>0</v>
      </c>
      <c r="DU53" s="1">
        <v>76</v>
      </c>
      <c r="DV53" s="1">
        <v>79.166666666666785</v>
      </c>
      <c r="DW53" s="1">
        <v>12.500000000000002</v>
      </c>
      <c r="DX53" s="1">
        <v>4.1666666666666723</v>
      </c>
      <c r="DY53" s="1">
        <v>2.0833333333333361</v>
      </c>
      <c r="DZ53" s="1">
        <v>2.0833333333333361</v>
      </c>
      <c r="EA53" s="1">
        <v>48</v>
      </c>
      <c r="EB53" s="1">
        <v>81.818181818181927</v>
      </c>
      <c r="EC53" s="1">
        <v>15.151515151515179</v>
      </c>
      <c r="ED53" s="1">
        <v>0</v>
      </c>
      <c r="EE53" s="1">
        <v>0</v>
      </c>
      <c r="EF53" s="1">
        <v>3.0303030303030356</v>
      </c>
      <c r="EG53" s="1">
        <v>33</v>
      </c>
      <c r="EH53" s="1">
        <v>54.545454545454625</v>
      </c>
      <c r="EI53" s="1">
        <v>40.90909090909097</v>
      </c>
      <c r="EJ53" s="1">
        <v>0</v>
      </c>
      <c r="EK53" s="1">
        <v>4.5454545454545574</v>
      </c>
      <c r="EL53" s="1">
        <v>0</v>
      </c>
      <c r="EM53" s="1">
        <v>22</v>
      </c>
      <c r="EN53" s="1">
        <v>58.823529411764802</v>
      </c>
      <c r="EO53" s="1">
        <v>32.352941176470615</v>
      </c>
      <c r="EP53" s="1">
        <v>8.8235294117647225</v>
      </c>
      <c r="EQ53" s="1">
        <v>0</v>
      </c>
      <c r="ER53" s="1">
        <v>0</v>
      </c>
      <c r="ES53" s="1">
        <v>34</v>
      </c>
      <c r="ET53" s="1">
        <v>64.705882352941231</v>
      </c>
      <c r="EU53" s="1">
        <v>23.52941176470587</v>
      </c>
      <c r="EV53" s="1">
        <v>11.764705882352935</v>
      </c>
      <c r="EW53" s="1">
        <v>0</v>
      </c>
      <c r="EX53" s="1">
        <v>0</v>
      </c>
      <c r="EY53" s="1">
        <v>34</v>
      </c>
      <c r="EZ53" s="1">
        <v>61.538461538461604</v>
      </c>
      <c r="FA53" s="1">
        <v>23.076923076923066</v>
      </c>
      <c r="FB53" s="1">
        <v>11.538461538461533</v>
      </c>
      <c r="FC53" s="1">
        <v>0</v>
      </c>
      <c r="FD53" s="1">
        <v>3.8461538461538525</v>
      </c>
      <c r="FE53" s="1">
        <v>26</v>
      </c>
      <c r="FF53" s="1">
        <v>60.000000000000007</v>
      </c>
      <c r="FG53" s="1">
        <v>32.000000000000007</v>
      </c>
      <c r="FH53" s="1">
        <v>8.0000000000000018</v>
      </c>
      <c r="FI53" s="1">
        <v>0</v>
      </c>
      <c r="FJ53" s="1">
        <v>0</v>
      </c>
      <c r="FK53" s="1">
        <v>25</v>
      </c>
      <c r="FL53" s="1">
        <v>50.000000000000007</v>
      </c>
      <c r="FM53" s="1">
        <v>26.92307692307697</v>
      </c>
      <c r="FN53" s="1">
        <v>11.538461538461533</v>
      </c>
      <c r="FO53" s="1">
        <v>7.6923076923077049</v>
      </c>
      <c r="FP53" s="1">
        <v>3.8461538461538525</v>
      </c>
      <c r="FQ53" s="1">
        <v>26</v>
      </c>
      <c r="FR53" s="1">
        <v>66.666666666666742</v>
      </c>
      <c r="FS53" s="1">
        <v>20</v>
      </c>
      <c r="FT53" s="1">
        <v>13.333333333333329</v>
      </c>
      <c r="FU53" s="1">
        <v>0</v>
      </c>
      <c r="FV53" s="1">
        <v>0</v>
      </c>
      <c r="FW53" s="1">
        <v>15</v>
      </c>
      <c r="FX53" s="1">
        <v>98.648648648648489</v>
      </c>
      <c r="FY53" s="1">
        <v>1.3513513513513535</v>
      </c>
      <c r="FZ53" s="1">
        <v>0</v>
      </c>
      <c r="GA53" s="1">
        <v>0</v>
      </c>
      <c r="GB53" s="1">
        <v>0</v>
      </c>
      <c r="GC53" s="1">
        <v>74</v>
      </c>
      <c r="GD53" s="1">
        <v>72.916666666666757</v>
      </c>
      <c r="GE53" s="1">
        <v>25.000000000000004</v>
      </c>
      <c r="GF53" s="1">
        <v>2.0833333333333361</v>
      </c>
      <c r="GG53" s="1">
        <v>0</v>
      </c>
      <c r="GH53" s="1">
        <v>0</v>
      </c>
      <c r="GI53" s="1">
        <v>48</v>
      </c>
      <c r="GJ53" s="1">
        <v>80.555555555555642</v>
      </c>
      <c r="GK53" s="1">
        <v>16.666666666666689</v>
      </c>
      <c r="GL53" s="1">
        <v>0</v>
      </c>
      <c r="GM53" s="1">
        <v>2.7777777777777768</v>
      </c>
      <c r="GN53" s="1">
        <v>0</v>
      </c>
      <c r="GO53" s="1">
        <v>36</v>
      </c>
      <c r="GP53" s="1">
        <v>74.603174603174722</v>
      </c>
      <c r="GQ53" s="1">
        <v>23.809523809523842</v>
      </c>
      <c r="GR53" s="1">
        <v>1.5873015873015874</v>
      </c>
      <c r="GS53" s="1">
        <v>0</v>
      </c>
      <c r="GT53" s="1">
        <v>0</v>
      </c>
      <c r="GU53" s="1">
        <v>63</v>
      </c>
      <c r="GV53" s="1">
        <v>83.606557377049242</v>
      </c>
      <c r="GW53" s="1">
        <v>16.393442622950786</v>
      </c>
      <c r="GX53" s="1">
        <v>0</v>
      </c>
      <c r="GY53" s="1">
        <v>0</v>
      </c>
      <c r="GZ53" s="1">
        <v>0</v>
      </c>
      <c r="HA53" s="1">
        <v>61</v>
      </c>
      <c r="HB53" s="1">
        <v>78.260869565217263</v>
      </c>
      <c r="HC53" s="1">
        <v>17.391304347826068</v>
      </c>
      <c r="HD53" s="1">
        <v>4.3478260869565171</v>
      </c>
      <c r="HE53" s="1">
        <v>0</v>
      </c>
      <c r="HF53" s="1">
        <v>0</v>
      </c>
      <c r="HG53" s="1">
        <v>23</v>
      </c>
      <c r="HH53" s="1">
        <v>71.428571428571502</v>
      </c>
      <c r="HI53" s="1">
        <v>21.428571428571395</v>
      </c>
      <c r="HJ53" s="1">
        <v>0</v>
      </c>
      <c r="HK53" s="1">
        <v>7.1428571428571415</v>
      </c>
      <c r="HL53" s="1">
        <v>0</v>
      </c>
      <c r="HM53" s="1">
        <v>14</v>
      </c>
      <c r="HN53" s="1">
        <v>0</v>
      </c>
      <c r="HO53" s="1">
        <v>0</v>
      </c>
      <c r="HP53" s="1">
        <v>0</v>
      </c>
      <c r="HQ53" s="1">
        <v>0</v>
      </c>
      <c r="HR53" s="1">
        <v>0</v>
      </c>
      <c r="HS53" s="1">
        <v>0</v>
      </c>
      <c r="HT53" s="1">
        <v>0</v>
      </c>
      <c r="HU53" s="1">
        <v>0</v>
      </c>
      <c r="HV53" s="1">
        <v>0</v>
      </c>
      <c r="HW53" s="1">
        <v>0</v>
      </c>
      <c r="HX53" s="1">
        <v>0</v>
      </c>
      <c r="HY53" s="1">
        <v>0</v>
      </c>
      <c r="HZ53" s="1">
        <v>0</v>
      </c>
      <c r="IA53" s="1">
        <v>0</v>
      </c>
      <c r="IB53" s="1">
        <v>0</v>
      </c>
      <c r="IC53" s="1">
        <v>0</v>
      </c>
      <c r="ID53" s="1">
        <v>0</v>
      </c>
      <c r="IE53" s="1">
        <v>0</v>
      </c>
      <c r="IF53" s="1">
        <v>9.4444444444444446</v>
      </c>
      <c r="IG53" s="1">
        <v>0</v>
      </c>
      <c r="IH53" s="1">
        <v>0</v>
      </c>
      <c r="II53" s="1">
        <v>0</v>
      </c>
      <c r="IJ53" s="1">
        <v>0</v>
      </c>
      <c r="IK53" s="1">
        <v>1.5873015873015874</v>
      </c>
      <c r="IL53" s="1">
        <v>0</v>
      </c>
      <c r="IM53" s="1">
        <v>0</v>
      </c>
      <c r="IN53" s="1">
        <v>12.698412698412699</v>
      </c>
      <c r="IO53" s="1">
        <v>22.222222222222186</v>
      </c>
      <c r="IP53" s="1">
        <v>63.492063492063586</v>
      </c>
      <c r="IQ53" s="1">
        <v>9.4444444444444553</v>
      </c>
      <c r="IR53" s="1">
        <v>63</v>
      </c>
      <c r="IS53" s="1">
        <v>75.675675675675791</v>
      </c>
      <c r="IT53" s="1">
        <v>9.4594594594594739</v>
      </c>
      <c r="IU53" s="1">
        <v>6.7567567567567686</v>
      </c>
      <c r="IV53" s="1">
        <v>4.0540540540540597</v>
      </c>
      <c r="IW53" s="1">
        <v>4.0540540540540597</v>
      </c>
      <c r="IX53" s="1">
        <v>74</v>
      </c>
      <c r="IY53" s="1">
        <v>1</v>
      </c>
      <c r="IZ53" s="1">
        <v>40.048499999999905</v>
      </c>
      <c r="JA53" s="1">
        <v>25.631040000000034</v>
      </c>
      <c r="JB53" s="1">
        <v>5.3398000000000092</v>
      </c>
      <c r="JC53" s="1">
        <v>3.7378600000000075</v>
      </c>
      <c r="JD53" s="1">
        <v>7.4757200000000132</v>
      </c>
      <c r="JE53" s="1">
        <v>0.64000000000000046</v>
      </c>
      <c r="JF53" s="1">
        <v>0.13333333333333328</v>
      </c>
      <c r="JG53" s="1">
        <v>9.3333333333333532E-2</v>
      </c>
      <c r="JH53" s="1">
        <v>0.18666666666666706</v>
      </c>
      <c r="JI53" s="1">
        <v>1</v>
      </c>
      <c r="JJ53" s="1">
        <v>75</v>
      </c>
      <c r="JK53" s="1">
        <v>2.810810810810811</v>
      </c>
      <c r="JL53" s="1">
        <v>2.8108108108108096</v>
      </c>
      <c r="JM53" s="1">
        <v>74</v>
      </c>
      <c r="JN53" s="1">
        <v>96.000000000000014</v>
      </c>
      <c r="JO53" s="1">
        <v>4.0000000000000009</v>
      </c>
      <c r="JP53" s="1">
        <v>25</v>
      </c>
      <c r="JQ53" s="1">
        <v>100</v>
      </c>
      <c r="JR53" s="1">
        <v>0</v>
      </c>
      <c r="JS53" s="1">
        <v>38</v>
      </c>
      <c r="JT53" s="1">
        <v>95.161290322580669</v>
      </c>
      <c r="JU53" s="1">
        <v>4.8387096774193461</v>
      </c>
      <c r="JV53" s="1">
        <v>62</v>
      </c>
      <c r="JW53" s="1">
        <v>97.142857142857025</v>
      </c>
      <c r="JX53" s="1">
        <v>2.8571428571428577</v>
      </c>
      <c r="JY53" s="1">
        <v>35</v>
      </c>
      <c r="JZ53" s="1">
        <v>42.85714285714279</v>
      </c>
      <c r="KA53" s="1">
        <v>57.142857142857132</v>
      </c>
      <c r="KB53" s="1">
        <v>70</v>
      </c>
      <c r="KC53" s="1">
        <v>100</v>
      </c>
      <c r="KD53" s="1">
        <v>0</v>
      </c>
      <c r="KE53" s="1">
        <v>67</v>
      </c>
      <c r="KF53" s="1">
        <v>3.5245901639344264</v>
      </c>
      <c r="KG53" s="1">
        <v>1.6393442622950827</v>
      </c>
      <c r="KH53" s="1">
        <v>16.393442622950786</v>
      </c>
      <c r="KI53" s="1">
        <v>26.229508196721323</v>
      </c>
      <c r="KJ53" s="1">
        <v>39.344262295081982</v>
      </c>
      <c r="KK53" s="1">
        <v>16.393442622950786</v>
      </c>
      <c r="KL53" s="1">
        <v>61</v>
      </c>
      <c r="KM53" s="1">
        <v>60.918032786885298</v>
      </c>
      <c r="KN53" s="1">
        <v>0</v>
      </c>
      <c r="KO53" s="1">
        <v>0</v>
      </c>
      <c r="KP53" s="1">
        <v>0</v>
      </c>
      <c r="KQ53" s="1">
        <v>0</v>
      </c>
      <c r="KR53" s="1">
        <v>0</v>
      </c>
      <c r="KS53" s="1">
        <v>0</v>
      </c>
      <c r="KT53" s="1">
        <v>0</v>
      </c>
      <c r="KU53" s="1">
        <v>1.4285714285714288</v>
      </c>
      <c r="KV53" s="1">
        <v>0</v>
      </c>
      <c r="KW53" s="1">
        <v>1.4285714285714288</v>
      </c>
      <c r="KX53" s="1">
        <v>95.714285714285637</v>
      </c>
      <c r="KY53" s="1">
        <v>1.4285714285714288</v>
      </c>
      <c r="KZ53" s="1">
        <v>70</v>
      </c>
      <c r="LA53" s="1">
        <v>15.942028985507251</v>
      </c>
      <c r="LB53" s="1">
        <v>84.057971014492907</v>
      </c>
      <c r="LC53" s="1">
        <v>69</v>
      </c>
      <c r="LD53" s="1">
        <v>0</v>
      </c>
      <c r="LE53" s="1">
        <v>0</v>
      </c>
      <c r="LF53" s="1">
        <v>100</v>
      </c>
      <c r="LG53" s="1">
        <v>11</v>
      </c>
    </row>
    <row r="54" spans="1:319" x14ac:dyDescent="0.25">
      <c r="A54" s="1">
        <v>191</v>
      </c>
      <c r="B54" s="1">
        <v>34.482758620689623</v>
      </c>
      <c r="C54" s="1">
        <v>65.51724137931042</v>
      </c>
      <c r="D54" s="1">
        <v>116</v>
      </c>
      <c r="E54" s="1">
        <v>76.712328767123225</v>
      </c>
      <c r="F54" s="1">
        <v>23.287671232876669</v>
      </c>
      <c r="G54" s="1">
        <v>73</v>
      </c>
      <c r="H54" s="1">
        <v>49.01960784313723</v>
      </c>
      <c r="I54" s="1">
        <v>50.980392156862735</v>
      </c>
      <c r="J54" s="1">
        <v>51</v>
      </c>
      <c r="K54" s="1">
        <v>1</v>
      </c>
      <c r="L54" s="1">
        <v>59.901240000000136</v>
      </c>
      <c r="M54" s="1">
        <v>7.7458500000000114</v>
      </c>
      <c r="N54" s="1">
        <v>15.491700000000023</v>
      </c>
      <c r="O54" s="1">
        <v>14.975310000000023</v>
      </c>
      <c r="P54" s="1">
        <v>0</v>
      </c>
      <c r="Q54" s="1">
        <v>17.040870000000005</v>
      </c>
      <c r="R54" s="1">
        <v>4.1311200000000072</v>
      </c>
      <c r="S54" s="1">
        <v>9.2950200000000152</v>
      </c>
      <c r="T54" s="1">
        <v>8.2622400000000145</v>
      </c>
      <c r="U54" s="1">
        <v>2.5819500000000049</v>
      </c>
      <c r="V54" s="1">
        <v>7.7458500000000114</v>
      </c>
      <c r="W54" s="1">
        <v>0.12931034482758591</v>
      </c>
      <c r="X54" s="1">
        <v>0.25862068965517176</v>
      </c>
      <c r="Y54" s="1">
        <v>0.24999999999999983</v>
      </c>
      <c r="Z54" s="1">
        <v>0</v>
      </c>
      <c r="AA54" s="1">
        <v>0.28448275862068978</v>
      </c>
      <c r="AB54" s="1">
        <v>6.896551724137906E-2</v>
      </c>
      <c r="AC54" s="1">
        <v>0.1551724137931032</v>
      </c>
      <c r="AD54" s="1">
        <v>0.13793103448275812</v>
      </c>
      <c r="AE54" s="1">
        <v>4.3103448275862079E-2</v>
      </c>
      <c r="AF54" s="1">
        <v>0.12931034482758591</v>
      </c>
      <c r="AG54" s="1">
        <v>1</v>
      </c>
      <c r="AH54" s="1">
        <v>116</v>
      </c>
      <c r="AI54" s="1">
        <v>1</v>
      </c>
      <c r="AJ54" s="1">
        <v>57.835680000000131</v>
      </c>
      <c r="AK54" s="1">
        <v>36.147300000000008</v>
      </c>
      <c r="AL54" s="1">
        <v>39.245640000000087</v>
      </c>
      <c r="AM54" s="1">
        <v>22.721160000000044</v>
      </c>
      <c r="AN54" s="1">
        <v>22.204769999999968</v>
      </c>
      <c r="AO54" s="1">
        <v>4.6475100000000076</v>
      </c>
      <c r="AP54" s="1">
        <v>10.844190000000021</v>
      </c>
      <c r="AQ54" s="1">
        <v>0.62499999999999989</v>
      </c>
      <c r="AR54" s="1">
        <v>0.67857142857142971</v>
      </c>
      <c r="AS54" s="1">
        <v>0.39285714285714379</v>
      </c>
      <c r="AT54" s="1">
        <v>0.3839285714285699</v>
      </c>
      <c r="AU54" s="1">
        <v>8.0357142857142502E-2</v>
      </c>
      <c r="AV54" s="1">
        <v>0.18749999999999992</v>
      </c>
      <c r="AW54" s="1">
        <v>1</v>
      </c>
      <c r="AX54" s="1">
        <v>112</v>
      </c>
      <c r="AY54" s="1">
        <v>9.9009009009009006</v>
      </c>
      <c r="AZ54" s="1">
        <v>9.9464285714285712</v>
      </c>
      <c r="BA54" s="1">
        <v>9.9459459459459456</v>
      </c>
      <c r="BB54" s="1">
        <v>0</v>
      </c>
      <c r="BC54" s="1">
        <v>0</v>
      </c>
      <c r="BD54" s="1">
        <v>0</v>
      </c>
      <c r="BE54" s="1">
        <v>0</v>
      </c>
      <c r="BF54" s="1">
        <v>0</v>
      </c>
      <c r="BG54" s="1">
        <v>0</v>
      </c>
      <c r="BH54" s="1">
        <v>0</v>
      </c>
      <c r="BI54" s="1">
        <v>1.8018018018017941</v>
      </c>
      <c r="BJ54" s="1">
        <v>6.3063063063062854</v>
      </c>
      <c r="BK54" s="1">
        <v>91.89189189189176</v>
      </c>
      <c r="BL54" s="1">
        <v>9.9009009009009095</v>
      </c>
      <c r="BM54" s="1">
        <v>111</v>
      </c>
      <c r="BN54" s="1">
        <v>0</v>
      </c>
      <c r="BO54" s="1">
        <v>0</v>
      </c>
      <c r="BP54" s="1">
        <v>0</v>
      </c>
      <c r="BQ54" s="1">
        <v>0</v>
      </c>
      <c r="BR54" s="1">
        <v>0</v>
      </c>
      <c r="BS54" s="1">
        <v>0</v>
      </c>
      <c r="BT54" s="1">
        <v>0</v>
      </c>
      <c r="BU54" s="1">
        <v>1.7857142857142794</v>
      </c>
      <c r="BV54" s="1">
        <v>1.7857142857142794</v>
      </c>
      <c r="BW54" s="1">
        <v>96.428571428571189</v>
      </c>
      <c r="BX54" s="1">
        <v>9.9464285714285872</v>
      </c>
      <c r="BY54" s="1">
        <v>112</v>
      </c>
      <c r="BZ54" s="1">
        <v>0</v>
      </c>
      <c r="CA54" s="1">
        <v>0</v>
      </c>
      <c r="CB54" s="1">
        <v>0</v>
      </c>
      <c r="CC54" s="1">
        <v>0</v>
      </c>
      <c r="CD54" s="1">
        <v>0</v>
      </c>
      <c r="CE54" s="1">
        <v>0</v>
      </c>
      <c r="CF54" s="1">
        <v>0</v>
      </c>
      <c r="CG54" s="1">
        <v>1.8018018018017941</v>
      </c>
      <c r="CH54" s="1">
        <v>1.8018018018017941</v>
      </c>
      <c r="CI54" s="1">
        <v>96.396396396396199</v>
      </c>
      <c r="CJ54" s="1">
        <v>9.9459459459459669</v>
      </c>
      <c r="CK54" s="1">
        <v>111</v>
      </c>
      <c r="CL54" s="1">
        <v>74.774774774774585</v>
      </c>
      <c r="CM54" s="1">
        <v>18.918918918918877</v>
      </c>
      <c r="CN54" s="1">
        <v>4.5045045045045056</v>
      </c>
      <c r="CO54" s="1">
        <v>1.8018018018017941</v>
      </c>
      <c r="CP54" s="1">
        <v>0</v>
      </c>
      <c r="CQ54" s="1">
        <v>111</v>
      </c>
      <c r="CR54" s="1">
        <v>85.840707964602032</v>
      </c>
      <c r="CS54" s="1">
        <v>13.274336283185852</v>
      </c>
      <c r="CT54" s="1">
        <v>0.88495575221238887</v>
      </c>
      <c r="CU54" s="1">
        <v>0</v>
      </c>
      <c r="CV54" s="1">
        <v>0</v>
      </c>
      <c r="CW54" s="1">
        <v>113</v>
      </c>
      <c r="CX54" s="1">
        <v>65.486725663716953</v>
      </c>
      <c r="CY54" s="1">
        <v>25.663716814159219</v>
      </c>
      <c r="CZ54" s="1">
        <v>7.9646017699114946</v>
      </c>
      <c r="DA54" s="1">
        <v>0.88495575221238887</v>
      </c>
      <c r="DB54" s="1">
        <v>0</v>
      </c>
      <c r="DC54" s="1">
        <v>113</v>
      </c>
      <c r="DD54" s="1">
        <v>88.888888888888729</v>
      </c>
      <c r="DE54" s="1">
        <v>11.111111111111088</v>
      </c>
      <c r="DF54" s="1">
        <v>0</v>
      </c>
      <c r="DG54" s="1">
        <v>0</v>
      </c>
      <c r="DH54" s="1">
        <v>0</v>
      </c>
      <c r="DI54" s="1">
        <v>117</v>
      </c>
      <c r="DJ54" s="1">
        <v>83.962264150943199</v>
      </c>
      <c r="DK54" s="1">
        <v>15.094339622641471</v>
      </c>
      <c r="DL54" s="1">
        <v>0.94339622641509191</v>
      </c>
      <c r="DM54" s="1">
        <v>0</v>
      </c>
      <c r="DN54" s="1">
        <v>0</v>
      </c>
      <c r="DO54" s="1">
        <v>106</v>
      </c>
      <c r="DP54" s="1">
        <v>94.017094017093882</v>
      </c>
      <c r="DQ54" s="1">
        <v>5.9829059829059776</v>
      </c>
      <c r="DR54" s="1">
        <v>0</v>
      </c>
      <c r="DS54" s="1">
        <v>0</v>
      </c>
      <c r="DT54" s="1">
        <v>0</v>
      </c>
      <c r="DU54" s="1">
        <v>117</v>
      </c>
      <c r="DV54" s="1">
        <v>86.84210526315789</v>
      </c>
      <c r="DW54" s="1">
        <v>11.842105263157904</v>
      </c>
      <c r="DX54" s="1">
        <v>1.31578947368421</v>
      </c>
      <c r="DY54" s="1">
        <v>0</v>
      </c>
      <c r="DZ54" s="1">
        <v>0</v>
      </c>
      <c r="EA54" s="1">
        <v>76</v>
      </c>
      <c r="EB54" s="1">
        <v>88.059701492537116</v>
      </c>
      <c r="EC54" s="1">
        <v>11.940298507462714</v>
      </c>
      <c r="ED54" s="1">
        <v>0</v>
      </c>
      <c r="EE54" s="1">
        <v>0</v>
      </c>
      <c r="EF54" s="1">
        <v>0</v>
      </c>
      <c r="EG54" s="1">
        <v>67</v>
      </c>
      <c r="EH54" s="1">
        <v>84.210526315789522</v>
      </c>
      <c r="EI54" s="1">
        <v>14.035087719298204</v>
      </c>
      <c r="EJ54" s="1">
        <v>0</v>
      </c>
      <c r="EK54" s="1">
        <v>1.7543859649122755</v>
      </c>
      <c r="EL54" s="1">
        <v>0</v>
      </c>
      <c r="EM54" s="1">
        <v>57</v>
      </c>
      <c r="EN54" s="1">
        <v>74.137931034482619</v>
      </c>
      <c r="EO54" s="1">
        <v>22.413793103448334</v>
      </c>
      <c r="EP54" s="1">
        <v>3.4482758620689569</v>
      </c>
      <c r="EQ54" s="1">
        <v>0</v>
      </c>
      <c r="ER54" s="1">
        <v>0</v>
      </c>
      <c r="ES54" s="1">
        <v>58</v>
      </c>
      <c r="ET54" s="1">
        <v>62.295081967213207</v>
      </c>
      <c r="EU54" s="1">
        <v>32.78688524590153</v>
      </c>
      <c r="EV54" s="1">
        <v>4.9180327868852345</v>
      </c>
      <c r="EW54" s="1">
        <v>0</v>
      </c>
      <c r="EX54" s="1">
        <v>0</v>
      </c>
      <c r="EY54" s="1">
        <v>61</v>
      </c>
      <c r="EZ54" s="1">
        <v>72.093023255813776</v>
      </c>
      <c r="FA54" s="1">
        <v>25.581395348837273</v>
      </c>
      <c r="FB54" s="1">
        <v>2.3255813953488378</v>
      </c>
      <c r="FC54" s="1">
        <v>0</v>
      </c>
      <c r="FD54" s="1">
        <v>0</v>
      </c>
      <c r="FE54" s="1">
        <v>43</v>
      </c>
      <c r="FF54" s="1">
        <v>81.578947368421098</v>
      </c>
      <c r="FG54" s="1">
        <v>15.78947368421057</v>
      </c>
      <c r="FH54" s="1">
        <v>2.6315789473684226</v>
      </c>
      <c r="FI54" s="1">
        <v>0</v>
      </c>
      <c r="FJ54" s="1">
        <v>0</v>
      </c>
      <c r="FK54" s="1">
        <v>38</v>
      </c>
      <c r="FL54" s="1">
        <v>77.499999999999986</v>
      </c>
      <c r="FM54" s="1">
        <v>17.499999999999996</v>
      </c>
      <c r="FN54" s="1">
        <v>4.9999999999999991</v>
      </c>
      <c r="FO54" s="1">
        <v>0</v>
      </c>
      <c r="FP54" s="1">
        <v>0</v>
      </c>
      <c r="FQ54" s="1">
        <v>40</v>
      </c>
      <c r="FR54" s="1">
        <v>80.000000000000014</v>
      </c>
      <c r="FS54" s="1">
        <v>13.333333333333309</v>
      </c>
      <c r="FT54" s="1">
        <v>6.6666666666666545</v>
      </c>
      <c r="FU54" s="1">
        <v>0</v>
      </c>
      <c r="FV54" s="1">
        <v>0</v>
      </c>
      <c r="FW54" s="1">
        <v>30</v>
      </c>
      <c r="FX54" s="1">
        <v>91.304347826086669</v>
      </c>
      <c r="FY54" s="1">
        <v>8.695652173913011</v>
      </c>
      <c r="FZ54" s="1">
        <v>0</v>
      </c>
      <c r="GA54" s="1">
        <v>0</v>
      </c>
      <c r="GB54" s="1">
        <v>0</v>
      </c>
      <c r="GC54" s="1">
        <v>115</v>
      </c>
      <c r="GD54" s="1">
        <v>85.714285714285737</v>
      </c>
      <c r="GE54" s="1">
        <v>14.285714285714235</v>
      </c>
      <c r="GF54" s="1">
        <v>0</v>
      </c>
      <c r="GG54" s="1">
        <v>0</v>
      </c>
      <c r="GH54" s="1">
        <v>0</v>
      </c>
      <c r="GI54" s="1">
        <v>84</v>
      </c>
      <c r="GJ54" s="1">
        <v>87.301587301587134</v>
      </c>
      <c r="GK54" s="1">
        <v>12.698412698412712</v>
      </c>
      <c r="GL54" s="1">
        <v>0</v>
      </c>
      <c r="GM54" s="1">
        <v>0</v>
      </c>
      <c r="GN54" s="1">
        <v>0</v>
      </c>
      <c r="GO54" s="1">
        <v>63</v>
      </c>
      <c r="GP54" s="1">
        <v>88.524590163934249</v>
      </c>
      <c r="GQ54" s="1">
        <v>11.475409836065577</v>
      </c>
      <c r="GR54" s="1">
        <v>0</v>
      </c>
      <c r="GS54" s="1">
        <v>0</v>
      </c>
      <c r="GT54" s="1">
        <v>0</v>
      </c>
      <c r="GU54" s="1">
        <v>61</v>
      </c>
      <c r="GV54" s="1">
        <v>86.885245901639635</v>
      </c>
      <c r="GW54" s="1">
        <v>13.11475409836066</v>
      </c>
      <c r="GX54" s="1">
        <v>0</v>
      </c>
      <c r="GY54" s="1">
        <v>0</v>
      </c>
      <c r="GZ54" s="1">
        <v>0</v>
      </c>
      <c r="HA54" s="1">
        <v>61</v>
      </c>
      <c r="HB54" s="1">
        <v>81.012658227848092</v>
      </c>
      <c r="HC54" s="1">
        <v>16.455696202531676</v>
      </c>
      <c r="HD54" s="1">
        <v>2.531645569620252</v>
      </c>
      <c r="HE54" s="1">
        <v>0</v>
      </c>
      <c r="HF54" s="1">
        <v>0</v>
      </c>
      <c r="HG54" s="1">
        <v>79</v>
      </c>
      <c r="HH54" s="1">
        <v>75.609756097561146</v>
      </c>
      <c r="HI54" s="1">
        <v>21.951219512195156</v>
      </c>
      <c r="HJ54" s="1">
        <v>2.4390243902439015</v>
      </c>
      <c r="HK54" s="1">
        <v>0</v>
      </c>
      <c r="HL54" s="1">
        <v>0</v>
      </c>
      <c r="HM54" s="1">
        <v>41</v>
      </c>
      <c r="HN54" s="1">
        <v>0</v>
      </c>
      <c r="HO54" s="1">
        <v>0</v>
      </c>
      <c r="HP54" s="1">
        <v>0</v>
      </c>
      <c r="HQ54" s="1">
        <v>0</v>
      </c>
      <c r="HR54" s="1">
        <v>0</v>
      </c>
      <c r="HS54" s="1">
        <v>0</v>
      </c>
      <c r="HT54" s="1">
        <v>0</v>
      </c>
      <c r="HU54" s="1">
        <v>0</v>
      </c>
      <c r="HV54" s="1">
        <v>0</v>
      </c>
      <c r="HW54" s="1">
        <v>0</v>
      </c>
      <c r="HX54" s="1">
        <v>0</v>
      </c>
      <c r="HY54" s="1">
        <v>0</v>
      </c>
      <c r="HZ54" s="1">
        <v>0</v>
      </c>
      <c r="IA54" s="1">
        <v>0</v>
      </c>
      <c r="IB54" s="1">
        <v>0</v>
      </c>
      <c r="IC54" s="1">
        <v>0</v>
      </c>
      <c r="ID54" s="1">
        <v>0</v>
      </c>
      <c r="IE54" s="1">
        <v>0</v>
      </c>
      <c r="IF54" s="1">
        <v>9.672727272727272</v>
      </c>
      <c r="IG54" s="1">
        <v>0</v>
      </c>
      <c r="IH54" s="1">
        <v>0</v>
      </c>
      <c r="II54" s="1">
        <v>0</v>
      </c>
      <c r="IJ54" s="1">
        <v>0</v>
      </c>
      <c r="IK54" s="1">
        <v>0</v>
      </c>
      <c r="IL54" s="1">
        <v>0</v>
      </c>
      <c r="IM54" s="1">
        <v>0</v>
      </c>
      <c r="IN54" s="1">
        <v>3.6363636363636269</v>
      </c>
      <c r="IO54" s="1">
        <v>25.454545454545464</v>
      </c>
      <c r="IP54" s="1">
        <v>70.90909090909085</v>
      </c>
      <c r="IQ54" s="1">
        <v>9.6727272727272755</v>
      </c>
      <c r="IR54" s="1">
        <v>110</v>
      </c>
      <c r="IS54" s="1">
        <v>84.210526315789522</v>
      </c>
      <c r="IT54" s="1">
        <v>7.0175438596491011</v>
      </c>
      <c r="IU54" s="1">
        <v>7.0175438596491011</v>
      </c>
      <c r="IV54" s="1">
        <v>0</v>
      </c>
      <c r="IW54" s="1">
        <v>1.7543859649122753</v>
      </c>
      <c r="IX54" s="1">
        <v>114</v>
      </c>
      <c r="IY54" s="1">
        <v>1</v>
      </c>
      <c r="IZ54" s="1">
        <v>56.802899999999923</v>
      </c>
      <c r="JA54" s="1">
        <v>29.434229999999953</v>
      </c>
      <c r="JB54" s="1">
        <v>16.524480000000025</v>
      </c>
      <c r="JC54" s="1">
        <v>3.6147300000000055</v>
      </c>
      <c r="JD54" s="1">
        <v>11.876970000000014</v>
      </c>
      <c r="JE54" s="1">
        <v>0.51818181818181708</v>
      </c>
      <c r="JF54" s="1">
        <v>0.29090909090908978</v>
      </c>
      <c r="JG54" s="1">
        <v>6.3636363636363574E-2</v>
      </c>
      <c r="JH54" s="1">
        <v>0.20909090909090816</v>
      </c>
      <c r="JI54" s="1">
        <v>1</v>
      </c>
      <c r="JJ54" s="1">
        <v>110</v>
      </c>
      <c r="JK54" s="1">
        <v>3.2612612612612613</v>
      </c>
      <c r="JL54" s="1">
        <v>3.2612612612612644</v>
      </c>
      <c r="JM54" s="1">
        <v>111</v>
      </c>
      <c r="JN54" s="1">
        <v>93.846153846154124</v>
      </c>
      <c r="JO54" s="1">
        <v>6.1538461538461604</v>
      </c>
      <c r="JP54" s="1">
        <v>65</v>
      </c>
      <c r="JQ54" s="1">
        <v>98.41269841269829</v>
      </c>
      <c r="JR54" s="1">
        <v>1.587301587301589</v>
      </c>
      <c r="JS54" s="1">
        <v>63</v>
      </c>
      <c r="JT54" s="1">
        <v>95.959595959595831</v>
      </c>
      <c r="JU54" s="1">
        <v>4.0404040404040407</v>
      </c>
      <c r="JV54" s="1">
        <v>99</v>
      </c>
      <c r="JW54" s="1">
        <v>93.421052631578746</v>
      </c>
      <c r="JX54" s="1">
        <v>6.5789473684210416</v>
      </c>
      <c r="JY54" s="1">
        <v>76</v>
      </c>
      <c r="JZ54" s="1">
        <v>44.859813084111991</v>
      </c>
      <c r="KA54" s="1">
        <v>55.140186915887895</v>
      </c>
      <c r="KB54" s="1">
        <v>107</v>
      </c>
      <c r="KC54" s="1">
        <v>100</v>
      </c>
      <c r="KD54" s="1">
        <v>0</v>
      </c>
      <c r="KE54" s="1">
        <v>93</v>
      </c>
      <c r="KF54" s="1">
        <v>3.489795918367347</v>
      </c>
      <c r="KG54" s="1">
        <v>3.061224489795908</v>
      </c>
      <c r="KH54" s="1">
        <v>14.285714285714235</v>
      </c>
      <c r="KI54" s="1">
        <v>34.693877551020329</v>
      </c>
      <c r="KJ54" s="1">
        <v>26.530612244897867</v>
      </c>
      <c r="KK54" s="1">
        <v>21.428571428571427</v>
      </c>
      <c r="KL54" s="1">
        <v>98</v>
      </c>
      <c r="KM54" s="1">
        <v>60.969387755101877</v>
      </c>
      <c r="KN54" s="1">
        <v>0</v>
      </c>
      <c r="KO54" s="1">
        <v>0</v>
      </c>
      <c r="KP54" s="1">
        <v>0</v>
      </c>
      <c r="KQ54" s="1">
        <v>0</v>
      </c>
      <c r="KR54" s="1">
        <v>0</v>
      </c>
      <c r="KS54" s="1">
        <v>0</v>
      </c>
      <c r="KT54" s="1">
        <v>0</v>
      </c>
      <c r="KU54" s="1">
        <v>0</v>
      </c>
      <c r="KV54" s="1">
        <v>0.95238095238094989</v>
      </c>
      <c r="KW54" s="1">
        <v>0.95238095238094989</v>
      </c>
      <c r="KX54" s="1">
        <v>98.0952380952384</v>
      </c>
      <c r="KY54" s="1">
        <v>0</v>
      </c>
      <c r="KZ54" s="1">
        <v>105</v>
      </c>
      <c r="LA54" s="1">
        <v>18.269230769230759</v>
      </c>
      <c r="LB54" s="1">
        <v>81.730769230769383</v>
      </c>
      <c r="LC54" s="1">
        <v>104</v>
      </c>
      <c r="LD54" s="1">
        <v>0</v>
      </c>
      <c r="LE54" s="1">
        <v>6.2499999999999991</v>
      </c>
      <c r="LF54" s="1">
        <v>93.750000000000014</v>
      </c>
      <c r="LG54" s="1">
        <v>16</v>
      </c>
    </row>
    <row r="55" spans="1:319" x14ac:dyDescent="0.25">
      <c r="A55" s="1">
        <v>192</v>
      </c>
      <c r="B55" s="1">
        <v>38.775510204081669</v>
      </c>
      <c r="C55" s="1">
        <v>61.224489795918402</v>
      </c>
      <c r="D55" s="1">
        <v>49</v>
      </c>
      <c r="E55" s="1">
        <v>72.413793103448313</v>
      </c>
      <c r="F55" s="1">
        <v>27.586206896551737</v>
      </c>
      <c r="G55" s="1">
        <v>29</v>
      </c>
      <c r="H55" s="1">
        <v>45.000000000000007</v>
      </c>
      <c r="I55" s="1">
        <v>55</v>
      </c>
      <c r="J55" s="1">
        <v>20</v>
      </c>
      <c r="K55" s="1">
        <v>1</v>
      </c>
      <c r="L55" s="1">
        <v>20.241999999999983</v>
      </c>
      <c r="M55" s="1">
        <v>10.120999999999992</v>
      </c>
      <c r="N55" s="1">
        <v>5.6677599999999941</v>
      </c>
      <c r="O55" s="1">
        <v>1.21452</v>
      </c>
      <c r="P55" s="1">
        <v>0</v>
      </c>
      <c r="Q55" s="1">
        <v>6.8822799999999971</v>
      </c>
      <c r="R55" s="1">
        <v>0.80968000000000007</v>
      </c>
      <c r="S55" s="1">
        <v>1.6193600000000001</v>
      </c>
      <c r="T55" s="1">
        <v>3.2387200000000003</v>
      </c>
      <c r="U55" s="1">
        <v>2.8338799999999971</v>
      </c>
      <c r="V55" s="1">
        <v>1.21452</v>
      </c>
      <c r="W55" s="1">
        <v>0.5</v>
      </c>
      <c r="X55" s="1">
        <v>0.2799999999999998</v>
      </c>
      <c r="Y55" s="1">
        <v>6.0000000000000026E-2</v>
      </c>
      <c r="Z55" s="1">
        <v>0</v>
      </c>
      <c r="AA55" s="1">
        <v>0.33999999999999991</v>
      </c>
      <c r="AB55" s="1">
        <v>4.0000000000000015E-2</v>
      </c>
      <c r="AC55" s="1">
        <v>8.0000000000000029E-2</v>
      </c>
      <c r="AD55" s="1">
        <v>0.16000000000000006</v>
      </c>
      <c r="AE55" s="1">
        <v>0.1399999999999999</v>
      </c>
      <c r="AF55" s="1">
        <v>6.0000000000000026E-2</v>
      </c>
      <c r="AG55" s="1">
        <v>1</v>
      </c>
      <c r="AH55" s="1">
        <v>50</v>
      </c>
      <c r="AI55" s="1">
        <v>1</v>
      </c>
      <c r="AJ55" s="1">
        <v>20.241999999999983</v>
      </c>
      <c r="AK55" s="1">
        <v>14.979079999999989</v>
      </c>
      <c r="AL55" s="1">
        <v>10.525840000000006</v>
      </c>
      <c r="AM55" s="1">
        <v>10.120999999999992</v>
      </c>
      <c r="AN55" s="1">
        <v>12.145200000000001</v>
      </c>
      <c r="AO55" s="1">
        <v>1.21452</v>
      </c>
      <c r="AP55" s="1">
        <v>2.0241999999999973</v>
      </c>
      <c r="AQ55" s="1">
        <v>0.73999999999999966</v>
      </c>
      <c r="AR55" s="1">
        <v>0.51999999999999968</v>
      </c>
      <c r="AS55" s="1">
        <v>0.5</v>
      </c>
      <c r="AT55" s="1">
        <v>0.60000000000000053</v>
      </c>
      <c r="AU55" s="1">
        <v>6.0000000000000026E-2</v>
      </c>
      <c r="AV55" s="1">
        <v>9.9999999999999964E-2</v>
      </c>
      <c r="AW55" s="1">
        <v>1</v>
      </c>
      <c r="AX55" s="1">
        <v>50</v>
      </c>
      <c r="AY55" s="1">
        <v>9.9387755102040813</v>
      </c>
      <c r="AZ55" s="1">
        <v>9.9795918367346932</v>
      </c>
      <c r="BA55" s="1">
        <v>9.9555555555555557</v>
      </c>
      <c r="BB55" s="1">
        <v>0</v>
      </c>
      <c r="BC55" s="1">
        <v>0</v>
      </c>
      <c r="BD55" s="1">
        <v>0</v>
      </c>
      <c r="BE55" s="1">
        <v>0</v>
      </c>
      <c r="BF55" s="1">
        <v>0</v>
      </c>
      <c r="BG55" s="1">
        <v>0</v>
      </c>
      <c r="BH55" s="1">
        <v>0</v>
      </c>
      <c r="BI55" s="1">
        <v>0</v>
      </c>
      <c r="BJ55" s="1">
        <v>6.1224489795918311</v>
      </c>
      <c r="BK55" s="1">
        <v>93.877551020408106</v>
      </c>
      <c r="BL55" s="1">
        <v>9.9387755102040813</v>
      </c>
      <c r="BM55" s="1">
        <v>49</v>
      </c>
      <c r="BN55" s="1">
        <v>0</v>
      </c>
      <c r="BO55" s="1">
        <v>0</v>
      </c>
      <c r="BP55" s="1">
        <v>0</v>
      </c>
      <c r="BQ55" s="1">
        <v>0</v>
      </c>
      <c r="BR55" s="1">
        <v>0</v>
      </c>
      <c r="BS55" s="1">
        <v>0</v>
      </c>
      <c r="BT55" s="1">
        <v>0</v>
      </c>
      <c r="BU55" s="1">
        <v>0</v>
      </c>
      <c r="BV55" s="1">
        <v>2.0408163265306132</v>
      </c>
      <c r="BW55" s="1">
        <v>97.959183673469298</v>
      </c>
      <c r="BX55" s="1">
        <v>9.9795918367346879</v>
      </c>
      <c r="BY55" s="1">
        <v>49</v>
      </c>
      <c r="BZ55" s="1">
        <v>0</v>
      </c>
      <c r="CA55" s="1">
        <v>0</v>
      </c>
      <c r="CB55" s="1">
        <v>0</v>
      </c>
      <c r="CC55" s="1">
        <v>0</v>
      </c>
      <c r="CD55" s="1">
        <v>0</v>
      </c>
      <c r="CE55" s="1">
        <v>0</v>
      </c>
      <c r="CF55" s="1">
        <v>0</v>
      </c>
      <c r="CG55" s="1">
        <v>0</v>
      </c>
      <c r="CH55" s="1">
        <v>4.4444444444444491</v>
      </c>
      <c r="CI55" s="1">
        <v>95.555555555555614</v>
      </c>
      <c r="CJ55" s="1">
        <v>9.9555555555555362</v>
      </c>
      <c r="CK55" s="1">
        <v>45</v>
      </c>
      <c r="CL55" s="1">
        <v>46.666666666666664</v>
      </c>
      <c r="CM55" s="1">
        <v>37.777777777777814</v>
      </c>
      <c r="CN55" s="1">
        <v>8.8888888888888982</v>
      </c>
      <c r="CO55" s="1">
        <v>6.6666666666666687</v>
      </c>
      <c r="CP55" s="1">
        <v>0</v>
      </c>
      <c r="CQ55" s="1">
        <v>45</v>
      </c>
      <c r="CR55" s="1">
        <v>91.666666666666643</v>
      </c>
      <c r="CS55" s="1">
        <v>8.3333333333333286</v>
      </c>
      <c r="CT55" s="1">
        <v>0</v>
      </c>
      <c r="CU55" s="1">
        <v>0</v>
      </c>
      <c r="CV55" s="1">
        <v>0</v>
      </c>
      <c r="CW55" s="1">
        <v>48</v>
      </c>
      <c r="CX55" s="1">
        <v>97.872340425531888</v>
      </c>
      <c r="CY55" s="1">
        <v>2.1276595744680837</v>
      </c>
      <c r="CZ55" s="1">
        <v>0</v>
      </c>
      <c r="DA55" s="1">
        <v>0</v>
      </c>
      <c r="DB55" s="1">
        <v>0</v>
      </c>
      <c r="DC55" s="1">
        <v>47</v>
      </c>
      <c r="DD55" s="1">
        <v>100</v>
      </c>
      <c r="DE55" s="1">
        <v>0</v>
      </c>
      <c r="DF55" s="1">
        <v>0</v>
      </c>
      <c r="DG55" s="1">
        <v>0</v>
      </c>
      <c r="DH55" s="1">
        <v>0</v>
      </c>
      <c r="DI55" s="1">
        <v>46</v>
      </c>
      <c r="DJ55" s="1">
        <v>83.720930232558189</v>
      </c>
      <c r="DK55" s="1">
        <v>13.953488372093032</v>
      </c>
      <c r="DL55" s="1">
        <v>0</v>
      </c>
      <c r="DM55" s="1">
        <v>2.3255813953488351</v>
      </c>
      <c r="DN55" s="1">
        <v>0</v>
      </c>
      <c r="DO55" s="1">
        <v>43</v>
      </c>
      <c r="DP55" s="1">
        <v>91.1111111111112</v>
      </c>
      <c r="DQ55" s="1">
        <v>8.8888888888888982</v>
      </c>
      <c r="DR55" s="1">
        <v>0</v>
      </c>
      <c r="DS55" s="1">
        <v>0</v>
      </c>
      <c r="DT55" s="1">
        <v>0</v>
      </c>
      <c r="DU55" s="1">
        <v>45</v>
      </c>
      <c r="DV55" s="1">
        <v>71.428571428571459</v>
      </c>
      <c r="DW55" s="1">
        <v>14.285714285714297</v>
      </c>
      <c r="DX55" s="1">
        <v>7.1428571428571486</v>
      </c>
      <c r="DY55" s="1">
        <v>7.1428571428571486</v>
      </c>
      <c r="DZ55" s="1">
        <v>0</v>
      </c>
      <c r="EA55" s="1">
        <v>42</v>
      </c>
      <c r="EB55" s="1">
        <v>39.999999999999993</v>
      </c>
      <c r="EC55" s="1">
        <v>19.999999999999996</v>
      </c>
      <c r="ED55" s="1">
        <v>39.999999999999993</v>
      </c>
      <c r="EE55" s="1">
        <v>0</v>
      </c>
      <c r="EF55" s="1">
        <v>0</v>
      </c>
      <c r="EG55" s="1">
        <v>5</v>
      </c>
      <c r="EH55" s="1">
        <v>19.999999999999996</v>
      </c>
      <c r="EI55" s="1">
        <v>39.999999999999993</v>
      </c>
      <c r="EJ55" s="1">
        <v>39.999999999999993</v>
      </c>
      <c r="EK55" s="1">
        <v>0</v>
      </c>
      <c r="EL55" s="1">
        <v>0</v>
      </c>
      <c r="EM55" s="1">
        <v>5</v>
      </c>
      <c r="EN55" s="1">
        <v>40</v>
      </c>
      <c r="EO55" s="1">
        <v>36.666666666666693</v>
      </c>
      <c r="EP55" s="1">
        <v>20</v>
      </c>
      <c r="EQ55" s="1">
        <v>0</v>
      </c>
      <c r="ER55" s="1">
        <v>3.3333333333333344</v>
      </c>
      <c r="ES55" s="1">
        <v>30</v>
      </c>
      <c r="ET55" s="1">
        <v>37.931034482758612</v>
      </c>
      <c r="EU55" s="1">
        <v>44.827586206896555</v>
      </c>
      <c r="EV55" s="1">
        <v>17.241379310344847</v>
      </c>
      <c r="EW55" s="1">
        <v>0</v>
      </c>
      <c r="EX55" s="1">
        <v>0</v>
      </c>
      <c r="EY55" s="1">
        <v>29</v>
      </c>
      <c r="EZ55" s="1">
        <v>52.941176470588282</v>
      </c>
      <c r="FA55" s="1">
        <v>35.294117647058798</v>
      </c>
      <c r="FB55" s="1">
        <v>11.764705882352933</v>
      </c>
      <c r="FC55" s="1">
        <v>0</v>
      </c>
      <c r="FD55" s="1">
        <v>0</v>
      </c>
      <c r="FE55" s="1">
        <v>17</v>
      </c>
      <c r="FF55" s="1">
        <v>41.176470588235311</v>
      </c>
      <c r="FG55" s="1">
        <v>52.941176470588282</v>
      </c>
      <c r="FH55" s="1">
        <v>5.8823529411764666</v>
      </c>
      <c r="FI55" s="1">
        <v>0</v>
      </c>
      <c r="FJ55" s="1">
        <v>0</v>
      </c>
      <c r="FK55" s="1">
        <v>17</v>
      </c>
      <c r="FL55" s="1">
        <v>68.75</v>
      </c>
      <c r="FM55" s="1">
        <v>18.749999999999996</v>
      </c>
      <c r="FN55" s="1">
        <v>6.2499999999999991</v>
      </c>
      <c r="FO55" s="1">
        <v>0</v>
      </c>
      <c r="FP55" s="1">
        <v>6.2499999999999991</v>
      </c>
      <c r="FQ55" s="1">
        <v>16</v>
      </c>
      <c r="FR55" s="1">
        <v>45.454545454545475</v>
      </c>
      <c r="FS55" s="1">
        <v>27.272727272727256</v>
      </c>
      <c r="FT55" s="1">
        <v>18.181818181818162</v>
      </c>
      <c r="FU55" s="1">
        <v>9.0909090909090811</v>
      </c>
      <c r="FV55" s="1">
        <v>0</v>
      </c>
      <c r="FW55" s="1">
        <v>11</v>
      </c>
      <c r="FX55" s="1">
        <v>88.095238095238116</v>
      </c>
      <c r="FY55" s="1">
        <v>9.5238095238095202</v>
      </c>
      <c r="FZ55" s="1">
        <v>0</v>
      </c>
      <c r="GA55" s="1">
        <v>2.38095238095238</v>
      </c>
      <c r="GB55" s="1">
        <v>0</v>
      </c>
      <c r="GC55" s="1">
        <v>42</v>
      </c>
      <c r="GD55" s="1">
        <v>57.142857142857189</v>
      </c>
      <c r="GE55" s="1">
        <v>21.428571428571431</v>
      </c>
      <c r="GF55" s="1">
        <v>21.428571428571431</v>
      </c>
      <c r="GG55" s="1">
        <v>0</v>
      </c>
      <c r="GH55" s="1">
        <v>0</v>
      </c>
      <c r="GI55" s="1">
        <v>14</v>
      </c>
      <c r="GJ55" s="1">
        <v>69.230769230769184</v>
      </c>
      <c r="GK55" s="1">
        <v>15.384615384615367</v>
      </c>
      <c r="GL55" s="1">
        <v>15.384615384615367</v>
      </c>
      <c r="GM55" s="1">
        <v>0</v>
      </c>
      <c r="GN55" s="1">
        <v>0</v>
      </c>
      <c r="GO55" s="1">
        <v>13</v>
      </c>
      <c r="GP55" s="1">
        <v>67.741935483870876</v>
      </c>
      <c r="GQ55" s="1">
        <v>25.806451612903196</v>
      </c>
      <c r="GR55" s="1">
        <v>3.2258064516128995</v>
      </c>
      <c r="GS55" s="1">
        <v>3.2258064516128995</v>
      </c>
      <c r="GT55" s="1">
        <v>0</v>
      </c>
      <c r="GU55" s="1">
        <v>31</v>
      </c>
      <c r="GV55" s="1">
        <v>80</v>
      </c>
      <c r="GW55" s="1">
        <v>9.9999999999999982</v>
      </c>
      <c r="GX55" s="1">
        <v>6.6666666666666687</v>
      </c>
      <c r="GY55" s="1">
        <v>3.3333333333333344</v>
      </c>
      <c r="GZ55" s="1">
        <v>0</v>
      </c>
      <c r="HA55" s="1">
        <v>30</v>
      </c>
      <c r="HB55" s="1">
        <v>44.4444444444444</v>
      </c>
      <c r="HC55" s="1">
        <v>22.2222222222222</v>
      </c>
      <c r="HD55" s="1">
        <v>11.1111111111111</v>
      </c>
      <c r="HE55" s="1">
        <v>11.1111111111111</v>
      </c>
      <c r="HF55" s="1">
        <v>11.1111111111111</v>
      </c>
      <c r="HG55" s="1">
        <v>9</v>
      </c>
      <c r="HH55" s="1">
        <v>45.454545454545475</v>
      </c>
      <c r="HI55" s="1">
        <v>18.181818181818162</v>
      </c>
      <c r="HJ55" s="1">
        <v>18.181818181818162</v>
      </c>
      <c r="HK55" s="1">
        <v>0</v>
      </c>
      <c r="HL55" s="1">
        <v>18.181818181818162</v>
      </c>
      <c r="HM55" s="1">
        <v>11</v>
      </c>
      <c r="HN55" s="1">
        <v>0</v>
      </c>
      <c r="HO55" s="1">
        <v>0</v>
      </c>
      <c r="HP55" s="1">
        <v>0</v>
      </c>
      <c r="HQ55" s="1">
        <v>0</v>
      </c>
      <c r="HR55" s="1">
        <v>0</v>
      </c>
      <c r="HS55" s="1">
        <v>0</v>
      </c>
      <c r="HT55" s="1">
        <v>0</v>
      </c>
      <c r="HU55" s="1">
        <v>0</v>
      </c>
      <c r="HV55" s="1">
        <v>0</v>
      </c>
      <c r="HW55" s="1">
        <v>0</v>
      </c>
      <c r="HX55" s="1">
        <v>0</v>
      </c>
      <c r="HY55" s="1">
        <v>0</v>
      </c>
      <c r="HZ55" s="1">
        <v>0</v>
      </c>
      <c r="IA55" s="1">
        <v>0</v>
      </c>
      <c r="IB55" s="1">
        <v>0</v>
      </c>
      <c r="IC55" s="1">
        <v>0</v>
      </c>
      <c r="ID55" s="1">
        <v>0</v>
      </c>
      <c r="IE55" s="1">
        <v>0</v>
      </c>
      <c r="IF55" s="1">
        <v>9.2666666666666675</v>
      </c>
      <c r="IG55" s="1">
        <v>0</v>
      </c>
      <c r="IH55" s="1">
        <v>0</v>
      </c>
      <c r="II55" s="1">
        <v>0</v>
      </c>
      <c r="IJ55" s="1">
        <v>0</v>
      </c>
      <c r="IK55" s="1">
        <v>2.2222222222222245</v>
      </c>
      <c r="IL55" s="1">
        <v>0</v>
      </c>
      <c r="IM55" s="1">
        <v>0</v>
      </c>
      <c r="IN55" s="1">
        <v>20.000000000000004</v>
      </c>
      <c r="IO55" s="1">
        <v>22.2222222222222</v>
      </c>
      <c r="IP55" s="1">
        <v>55.555555555555614</v>
      </c>
      <c r="IQ55" s="1">
        <v>9.2666666666666551</v>
      </c>
      <c r="IR55" s="1">
        <v>45</v>
      </c>
      <c r="IS55" s="1">
        <v>17.777777777777796</v>
      </c>
      <c r="IT55" s="1">
        <v>37.777777777777814</v>
      </c>
      <c r="IU55" s="1">
        <v>33.333333333333314</v>
      </c>
      <c r="IV55" s="1">
        <v>11.1111111111111</v>
      </c>
      <c r="IW55" s="1">
        <v>0</v>
      </c>
      <c r="IX55" s="1">
        <v>45</v>
      </c>
      <c r="IY55" s="1">
        <v>1</v>
      </c>
      <c r="IZ55" s="1">
        <v>18.217800000000008</v>
      </c>
      <c r="JA55" s="1">
        <v>9.7161600000000004</v>
      </c>
      <c r="JB55" s="1">
        <v>4.0483999999999947</v>
      </c>
      <c r="JC55" s="1">
        <v>1.6193600000000001</v>
      </c>
      <c r="JD55" s="1">
        <v>4.0483999999999947</v>
      </c>
      <c r="JE55" s="1">
        <v>0.53333333333333399</v>
      </c>
      <c r="JF55" s="1">
        <v>0.22222222222222202</v>
      </c>
      <c r="JG55" s="1">
        <v>8.8888888888888892E-2</v>
      </c>
      <c r="JH55" s="1">
        <v>0.22222222222222202</v>
      </c>
      <c r="JI55" s="1">
        <v>1</v>
      </c>
      <c r="JJ55" s="1">
        <v>45</v>
      </c>
      <c r="JK55" s="1">
        <v>2.4523809523809526</v>
      </c>
      <c r="JL55" s="1">
        <v>2.4523809523809503</v>
      </c>
      <c r="JM55" s="1">
        <v>42</v>
      </c>
      <c r="JN55" s="1">
        <v>100</v>
      </c>
      <c r="JO55" s="1">
        <v>0</v>
      </c>
      <c r="JP55" s="1">
        <v>16</v>
      </c>
      <c r="JQ55" s="1">
        <v>100</v>
      </c>
      <c r="JR55" s="1">
        <v>0</v>
      </c>
      <c r="JS55" s="1">
        <v>29</v>
      </c>
      <c r="JT55" s="1">
        <v>85.714285714285737</v>
      </c>
      <c r="JU55" s="1">
        <v>14.285714285714297</v>
      </c>
      <c r="JV55" s="1">
        <v>42</v>
      </c>
      <c r="JW55" s="1">
        <v>92.857142857142819</v>
      </c>
      <c r="JX55" s="1">
        <v>7.1428571428571486</v>
      </c>
      <c r="JY55" s="1">
        <v>28</v>
      </c>
      <c r="JZ55" s="1">
        <v>68.42105263157886</v>
      </c>
      <c r="KA55" s="1">
        <v>31.578947368421044</v>
      </c>
      <c r="KB55" s="1">
        <v>38</v>
      </c>
      <c r="KC55" s="1">
        <v>100</v>
      </c>
      <c r="KD55" s="1">
        <v>0</v>
      </c>
      <c r="KE55" s="1">
        <v>38</v>
      </c>
      <c r="KF55" s="1">
        <v>2.5526315789473686</v>
      </c>
      <c r="KG55" s="1">
        <v>28.947368421052641</v>
      </c>
      <c r="KH55" s="1">
        <v>21.052631578947373</v>
      </c>
      <c r="KI55" s="1">
        <v>23.684210526315816</v>
      </c>
      <c r="KJ55" s="1">
        <v>18.421052631578956</v>
      </c>
      <c r="KK55" s="1">
        <v>7.8947368421052611</v>
      </c>
      <c r="KL55" s="1">
        <v>38</v>
      </c>
      <c r="KM55" s="1">
        <v>45.789473684210463</v>
      </c>
      <c r="KN55" s="1">
        <v>0</v>
      </c>
      <c r="KO55" s="1">
        <v>0</v>
      </c>
      <c r="KP55" s="1">
        <v>0</v>
      </c>
      <c r="KQ55" s="1">
        <v>0</v>
      </c>
      <c r="KR55" s="1">
        <v>0</v>
      </c>
      <c r="KS55" s="1">
        <v>0</v>
      </c>
      <c r="KT55" s="1">
        <v>0</v>
      </c>
      <c r="KU55" s="1">
        <v>7.8947368421052611</v>
      </c>
      <c r="KV55" s="1">
        <v>0</v>
      </c>
      <c r="KW55" s="1">
        <v>0</v>
      </c>
      <c r="KX55" s="1">
        <v>89.473684210526329</v>
      </c>
      <c r="KY55" s="1">
        <v>2.6315789473684217</v>
      </c>
      <c r="KZ55" s="1">
        <v>38</v>
      </c>
      <c r="LA55" s="1">
        <v>15.789473684210522</v>
      </c>
      <c r="LB55" s="1">
        <v>84.210526315789494</v>
      </c>
      <c r="LC55" s="1">
        <v>38</v>
      </c>
      <c r="LD55" s="1">
        <v>0</v>
      </c>
      <c r="LE55" s="1">
        <v>0</v>
      </c>
      <c r="LF55" s="1">
        <v>100</v>
      </c>
      <c r="LG55" s="1">
        <v>6</v>
      </c>
    </row>
    <row r="56" spans="1:319" x14ac:dyDescent="0.25">
      <c r="A56" s="1">
        <v>193</v>
      </c>
      <c r="B56" s="1">
        <v>23.999999999999996</v>
      </c>
      <c r="C56" s="1">
        <v>75.999999999999986</v>
      </c>
      <c r="D56" s="1">
        <v>25</v>
      </c>
      <c r="E56" s="1">
        <v>73.684210526315809</v>
      </c>
      <c r="F56" s="1">
        <v>26.315789473684216</v>
      </c>
      <c r="G56" s="1">
        <v>19</v>
      </c>
      <c r="H56" s="1">
        <v>46.666666666666664</v>
      </c>
      <c r="I56" s="1">
        <v>53.333333333333343</v>
      </c>
      <c r="J56" s="1">
        <v>15</v>
      </c>
      <c r="K56" s="1">
        <v>1</v>
      </c>
      <c r="L56" s="1">
        <v>38.546300000000002</v>
      </c>
      <c r="M56" s="1">
        <v>20.755699999999997</v>
      </c>
      <c r="N56" s="1">
        <v>4.4476499999999994</v>
      </c>
      <c r="O56" s="1">
        <v>11.860400000000006</v>
      </c>
      <c r="P56" s="1">
        <v>0</v>
      </c>
      <c r="Q56" s="1">
        <v>7.4127499999999973</v>
      </c>
      <c r="R56" s="1">
        <v>0</v>
      </c>
      <c r="S56" s="1">
        <v>2.9651000000000014</v>
      </c>
      <c r="T56" s="1">
        <v>5.9302000000000028</v>
      </c>
      <c r="U56" s="1">
        <v>1.4825500000000007</v>
      </c>
      <c r="V56" s="1">
        <v>4.4476499999999994</v>
      </c>
      <c r="W56" s="1">
        <v>0.53846153846153821</v>
      </c>
      <c r="X56" s="1">
        <v>0.11538461538461539</v>
      </c>
      <c r="Y56" s="1">
        <v>0.30769230769230754</v>
      </c>
      <c r="Z56" s="1">
        <v>0</v>
      </c>
      <c r="AA56" s="1">
        <v>0.19230769230769224</v>
      </c>
      <c r="AB56" s="1">
        <v>0</v>
      </c>
      <c r="AC56" s="1">
        <v>7.6923076923076886E-2</v>
      </c>
      <c r="AD56" s="1">
        <v>0.15384615384615377</v>
      </c>
      <c r="AE56" s="1">
        <v>3.8461538461538443E-2</v>
      </c>
      <c r="AF56" s="1">
        <v>0.11538461538461539</v>
      </c>
      <c r="AG56" s="1">
        <v>1</v>
      </c>
      <c r="AH56" s="1">
        <v>26</v>
      </c>
      <c r="AI56" s="1">
        <v>1</v>
      </c>
      <c r="AJ56" s="1">
        <v>38.546300000000002</v>
      </c>
      <c r="AK56" s="1">
        <v>26.685899999999986</v>
      </c>
      <c r="AL56" s="1">
        <v>37.06375000000002</v>
      </c>
      <c r="AM56" s="1">
        <v>22.238249999999997</v>
      </c>
      <c r="AN56" s="1">
        <v>29.650999999999989</v>
      </c>
      <c r="AO56" s="1">
        <v>5.9302000000000028</v>
      </c>
      <c r="AP56" s="1">
        <v>1.4825500000000007</v>
      </c>
      <c r="AQ56" s="1">
        <v>0.69230769230769185</v>
      </c>
      <c r="AR56" s="1">
        <v>0.96153846153846101</v>
      </c>
      <c r="AS56" s="1">
        <v>0.57692307692307665</v>
      </c>
      <c r="AT56" s="1">
        <v>0.76923076923076894</v>
      </c>
      <c r="AU56" s="1">
        <v>0.15384615384615377</v>
      </c>
      <c r="AV56" s="1">
        <v>3.8461538461538443E-2</v>
      </c>
      <c r="AW56" s="1">
        <v>1</v>
      </c>
      <c r="AX56" s="1">
        <v>26</v>
      </c>
      <c r="AY56" s="1">
        <v>10</v>
      </c>
      <c r="AZ56" s="1">
        <v>9.9615384615384617</v>
      </c>
      <c r="BA56" s="1">
        <v>9.9600000000000009</v>
      </c>
      <c r="BB56" s="1">
        <v>0</v>
      </c>
      <c r="BC56" s="1">
        <v>0</v>
      </c>
      <c r="BD56" s="1">
        <v>0</v>
      </c>
      <c r="BE56" s="1">
        <v>0</v>
      </c>
      <c r="BF56" s="1">
        <v>0</v>
      </c>
      <c r="BG56" s="1">
        <v>0</v>
      </c>
      <c r="BH56" s="1">
        <v>0</v>
      </c>
      <c r="BI56" s="1">
        <v>0</v>
      </c>
      <c r="BJ56" s="1">
        <v>0</v>
      </c>
      <c r="BK56" s="1">
        <v>100</v>
      </c>
      <c r="BL56" s="1">
        <v>9.9999999999999929</v>
      </c>
      <c r="BM56" s="1">
        <v>26</v>
      </c>
      <c r="BN56" s="1">
        <v>0</v>
      </c>
      <c r="BO56" s="1">
        <v>0</v>
      </c>
      <c r="BP56" s="1">
        <v>0</v>
      </c>
      <c r="BQ56" s="1">
        <v>0</v>
      </c>
      <c r="BR56" s="1">
        <v>0</v>
      </c>
      <c r="BS56" s="1">
        <v>0</v>
      </c>
      <c r="BT56" s="1">
        <v>0</v>
      </c>
      <c r="BU56" s="1">
        <v>0</v>
      </c>
      <c r="BV56" s="1">
        <v>3.8461538461538436</v>
      </c>
      <c r="BW56" s="1">
        <v>96.153846153846175</v>
      </c>
      <c r="BX56" s="1">
        <v>9.9615384615384528</v>
      </c>
      <c r="BY56" s="1">
        <v>26</v>
      </c>
      <c r="BZ56" s="1">
        <v>0</v>
      </c>
      <c r="CA56" s="1">
        <v>0</v>
      </c>
      <c r="CB56" s="1">
        <v>0</v>
      </c>
      <c r="CC56" s="1">
        <v>0</v>
      </c>
      <c r="CD56" s="1">
        <v>0</v>
      </c>
      <c r="CE56" s="1">
        <v>0</v>
      </c>
      <c r="CF56" s="1">
        <v>0</v>
      </c>
      <c r="CG56" s="1">
        <v>0</v>
      </c>
      <c r="CH56" s="1">
        <v>3.9999999999999996</v>
      </c>
      <c r="CI56" s="1">
        <v>95.999999999999986</v>
      </c>
      <c r="CJ56" s="1">
        <v>9.9599999999999866</v>
      </c>
      <c r="CK56" s="1">
        <v>25</v>
      </c>
      <c r="CL56" s="1">
        <v>45.833333333333336</v>
      </c>
      <c r="CM56" s="1">
        <v>33.333333333333343</v>
      </c>
      <c r="CN56" s="1">
        <v>0</v>
      </c>
      <c r="CO56" s="1">
        <v>20.833333333333321</v>
      </c>
      <c r="CP56" s="1">
        <v>0</v>
      </c>
      <c r="CQ56" s="1">
        <v>24</v>
      </c>
      <c r="CR56" s="1">
        <v>61.538461538461497</v>
      </c>
      <c r="CS56" s="1">
        <v>34.615384615384613</v>
      </c>
      <c r="CT56" s="1">
        <v>0</v>
      </c>
      <c r="CU56" s="1">
        <v>3.8461538461538436</v>
      </c>
      <c r="CV56" s="1">
        <v>0</v>
      </c>
      <c r="CW56" s="1">
        <v>26</v>
      </c>
      <c r="CX56" s="1">
        <v>88.46153846153841</v>
      </c>
      <c r="CY56" s="1">
        <v>11.53846153846154</v>
      </c>
      <c r="CZ56" s="1">
        <v>0</v>
      </c>
      <c r="DA56" s="1">
        <v>0</v>
      </c>
      <c r="DB56" s="1">
        <v>0</v>
      </c>
      <c r="DC56" s="1">
        <v>26</v>
      </c>
      <c r="DD56" s="1">
        <v>73.07692307692308</v>
      </c>
      <c r="DE56" s="1">
        <v>23.07692307692308</v>
      </c>
      <c r="DF56" s="1">
        <v>0</v>
      </c>
      <c r="DG56" s="1">
        <v>3.8461538461538436</v>
      </c>
      <c r="DH56" s="1">
        <v>0</v>
      </c>
      <c r="DI56" s="1">
        <v>26</v>
      </c>
      <c r="DJ56" s="1">
        <v>63.636363636363669</v>
      </c>
      <c r="DK56" s="1">
        <v>22.727272727272734</v>
      </c>
      <c r="DL56" s="1">
        <v>13.63636363636363</v>
      </c>
      <c r="DM56" s="1">
        <v>0</v>
      </c>
      <c r="DN56" s="1">
        <v>0</v>
      </c>
      <c r="DO56" s="1">
        <v>22</v>
      </c>
      <c r="DP56" s="1">
        <v>92.307692307692321</v>
      </c>
      <c r="DQ56" s="1">
        <v>7.6923076923076872</v>
      </c>
      <c r="DR56" s="1">
        <v>0</v>
      </c>
      <c r="DS56" s="1">
        <v>0</v>
      </c>
      <c r="DT56" s="1">
        <v>0</v>
      </c>
      <c r="DU56" s="1">
        <v>26</v>
      </c>
      <c r="DV56" s="1">
        <v>78.260869565217419</v>
      </c>
      <c r="DW56" s="1">
        <v>13.043478260869565</v>
      </c>
      <c r="DX56" s="1">
        <v>4.3478260869565197</v>
      </c>
      <c r="DY56" s="1">
        <v>4.3478260869565197</v>
      </c>
      <c r="DZ56" s="1">
        <v>0</v>
      </c>
      <c r="EA56" s="1">
        <v>23</v>
      </c>
      <c r="EB56" s="1">
        <v>80</v>
      </c>
      <c r="EC56" s="1">
        <v>20</v>
      </c>
      <c r="ED56" s="1">
        <v>0</v>
      </c>
      <c r="EE56" s="1">
        <v>0</v>
      </c>
      <c r="EF56" s="1">
        <v>0</v>
      </c>
      <c r="EG56" s="1">
        <v>5</v>
      </c>
      <c r="EH56" s="1">
        <v>60.000000000000007</v>
      </c>
      <c r="EI56" s="1">
        <v>40</v>
      </c>
      <c r="EJ56" s="1">
        <v>0</v>
      </c>
      <c r="EK56" s="1">
        <v>0</v>
      </c>
      <c r="EL56" s="1">
        <v>0</v>
      </c>
      <c r="EM56" s="1">
        <v>5</v>
      </c>
      <c r="EN56" s="1">
        <v>26.666666666666664</v>
      </c>
      <c r="EO56" s="1">
        <v>46.666666666666671</v>
      </c>
      <c r="EP56" s="1">
        <v>26.666666666666664</v>
      </c>
      <c r="EQ56" s="1">
        <v>0</v>
      </c>
      <c r="ER56" s="1">
        <v>0</v>
      </c>
      <c r="ES56" s="1">
        <v>15</v>
      </c>
      <c r="ET56" s="1">
        <v>40</v>
      </c>
      <c r="EU56" s="1">
        <v>40</v>
      </c>
      <c r="EV56" s="1">
        <v>20</v>
      </c>
      <c r="EW56" s="1">
        <v>0</v>
      </c>
      <c r="EX56" s="1">
        <v>0</v>
      </c>
      <c r="EY56" s="1">
        <v>15</v>
      </c>
      <c r="EZ56" s="1">
        <v>55.555555555555578</v>
      </c>
      <c r="FA56" s="1">
        <v>22.222222222222221</v>
      </c>
      <c r="FB56" s="1">
        <v>22.222222222222221</v>
      </c>
      <c r="FC56" s="1">
        <v>0</v>
      </c>
      <c r="FD56" s="1">
        <v>0</v>
      </c>
      <c r="FE56" s="1">
        <v>9</v>
      </c>
      <c r="FF56" s="1">
        <v>33.333333333333343</v>
      </c>
      <c r="FG56" s="1">
        <v>50</v>
      </c>
      <c r="FH56" s="1">
        <v>16.666666666666671</v>
      </c>
      <c r="FI56" s="1">
        <v>0</v>
      </c>
      <c r="FJ56" s="1">
        <v>0</v>
      </c>
      <c r="FK56" s="1">
        <v>6</v>
      </c>
      <c r="FL56" s="1">
        <v>27.272727272727259</v>
      </c>
      <c r="FM56" s="1">
        <v>36.363636363636367</v>
      </c>
      <c r="FN56" s="1">
        <v>9.0909090909090917</v>
      </c>
      <c r="FO56" s="1">
        <v>18.181818181818183</v>
      </c>
      <c r="FP56" s="1">
        <v>9.0909090909090917</v>
      </c>
      <c r="FQ56" s="1">
        <v>11</v>
      </c>
      <c r="FR56" s="1">
        <v>37.5</v>
      </c>
      <c r="FS56" s="1">
        <v>25</v>
      </c>
      <c r="FT56" s="1">
        <v>25</v>
      </c>
      <c r="FU56" s="1">
        <v>0</v>
      </c>
      <c r="FV56" s="1">
        <v>12.5</v>
      </c>
      <c r="FW56" s="1">
        <v>8</v>
      </c>
      <c r="FX56" s="1">
        <v>100</v>
      </c>
      <c r="FY56" s="1">
        <v>0</v>
      </c>
      <c r="FZ56" s="1">
        <v>0</v>
      </c>
      <c r="GA56" s="1">
        <v>0</v>
      </c>
      <c r="GB56" s="1">
        <v>0</v>
      </c>
      <c r="GC56" s="1">
        <v>26</v>
      </c>
      <c r="GD56" s="1">
        <v>61.538461538461505</v>
      </c>
      <c r="GE56" s="1">
        <v>23.07692307692308</v>
      </c>
      <c r="GF56" s="1">
        <v>7.6923076923076881</v>
      </c>
      <c r="GG56" s="1">
        <v>7.6923076923076881</v>
      </c>
      <c r="GH56" s="1">
        <v>0</v>
      </c>
      <c r="GI56" s="1">
        <v>13</v>
      </c>
      <c r="GJ56" s="1">
        <v>75</v>
      </c>
      <c r="GK56" s="1">
        <v>16.666666666666671</v>
      </c>
      <c r="GL56" s="1">
        <v>8.3333333333333357</v>
      </c>
      <c r="GM56" s="1">
        <v>0</v>
      </c>
      <c r="GN56" s="1">
        <v>0</v>
      </c>
      <c r="GO56" s="1">
        <v>12</v>
      </c>
      <c r="GP56" s="1">
        <v>72.727272727272734</v>
      </c>
      <c r="GQ56" s="1">
        <v>18.181818181818183</v>
      </c>
      <c r="GR56" s="1">
        <v>9.0909090909090917</v>
      </c>
      <c r="GS56" s="1">
        <v>0</v>
      </c>
      <c r="GT56" s="1">
        <v>0</v>
      </c>
      <c r="GU56" s="1">
        <v>22</v>
      </c>
      <c r="GV56" s="1">
        <v>80</v>
      </c>
      <c r="GW56" s="1">
        <v>10</v>
      </c>
      <c r="GX56" s="1">
        <v>10</v>
      </c>
      <c r="GY56" s="1">
        <v>0</v>
      </c>
      <c r="GZ56" s="1">
        <v>0</v>
      </c>
      <c r="HA56" s="1">
        <v>20</v>
      </c>
      <c r="HB56" s="1">
        <v>28.571428571428559</v>
      </c>
      <c r="HC56" s="1">
        <v>42.857142857142883</v>
      </c>
      <c r="HD56" s="1">
        <v>28.571428571428559</v>
      </c>
      <c r="HE56" s="1">
        <v>0</v>
      </c>
      <c r="HF56" s="1">
        <v>0</v>
      </c>
      <c r="HG56" s="1">
        <v>7</v>
      </c>
      <c r="HH56" s="1">
        <v>50</v>
      </c>
      <c r="HI56" s="1">
        <v>0</v>
      </c>
      <c r="HJ56" s="1">
        <v>50</v>
      </c>
      <c r="HK56" s="1">
        <v>0</v>
      </c>
      <c r="HL56" s="1">
        <v>0</v>
      </c>
      <c r="HM56" s="1">
        <v>2</v>
      </c>
      <c r="HN56" s="1">
        <v>0</v>
      </c>
      <c r="HO56" s="1">
        <v>0</v>
      </c>
      <c r="HP56" s="1">
        <v>0</v>
      </c>
      <c r="HQ56" s="1">
        <v>0</v>
      </c>
      <c r="HR56" s="1">
        <v>0</v>
      </c>
      <c r="HS56" s="1">
        <v>0</v>
      </c>
      <c r="HT56" s="1">
        <v>0</v>
      </c>
      <c r="HU56" s="1">
        <v>0</v>
      </c>
      <c r="HV56" s="1">
        <v>0</v>
      </c>
      <c r="HW56" s="1">
        <v>0</v>
      </c>
      <c r="HX56" s="1">
        <v>0</v>
      </c>
      <c r="HY56" s="1">
        <v>0</v>
      </c>
      <c r="HZ56" s="1">
        <v>0</v>
      </c>
      <c r="IA56" s="1">
        <v>0</v>
      </c>
      <c r="IB56" s="1">
        <v>0</v>
      </c>
      <c r="IC56" s="1">
        <v>0</v>
      </c>
      <c r="ID56" s="1">
        <v>0</v>
      </c>
      <c r="IE56" s="1">
        <v>0</v>
      </c>
      <c r="IF56" s="1">
        <v>9.4166666666666661</v>
      </c>
      <c r="IG56" s="1">
        <v>0</v>
      </c>
      <c r="IH56" s="1">
        <v>0</v>
      </c>
      <c r="II56" s="1">
        <v>0</v>
      </c>
      <c r="IJ56" s="1">
        <v>0</v>
      </c>
      <c r="IK56" s="1">
        <v>0</v>
      </c>
      <c r="IL56" s="1">
        <v>0</v>
      </c>
      <c r="IM56" s="1">
        <v>0</v>
      </c>
      <c r="IN56" s="1">
        <v>16.666666666666671</v>
      </c>
      <c r="IO56" s="1">
        <v>24.999999999999996</v>
      </c>
      <c r="IP56" s="1">
        <v>58.333333333333321</v>
      </c>
      <c r="IQ56" s="1">
        <v>9.416666666666659</v>
      </c>
      <c r="IR56" s="1">
        <v>24</v>
      </c>
      <c r="IS56" s="1">
        <v>26.923076923076909</v>
      </c>
      <c r="IT56" s="1">
        <v>42.307692307692278</v>
      </c>
      <c r="IU56" s="1">
        <v>23.07692307692308</v>
      </c>
      <c r="IV56" s="1">
        <v>7.6923076923076872</v>
      </c>
      <c r="IW56" s="1">
        <v>0</v>
      </c>
      <c r="IX56" s="1">
        <v>26</v>
      </c>
      <c r="IY56" s="1">
        <v>1</v>
      </c>
      <c r="IZ56" s="1">
        <v>38.546300000000002</v>
      </c>
      <c r="JA56" s="1">
        <v>19.27314999999999</v>
      </c>
      <c r="JB56" s="1">
        <v>7.4127499999999973</v>
      </c>
      <c r="JC56" s="1">
        <v>7.4127499999999973</v>
      </c>
      <c r="JD56" s="1">
        <v>8.8952999999999989</v>
      </c>
      <c r="JE56" s="1">
        <v>0.49999999999999994</v>
      </c>
      <c r="JF56" s="1">
        <v>0.19230769230769224</v>
      </c>
      <c r="JG56" s="1">
        <v>0.19230769230769224</v>
      </c>
      <c r="JH56" s="1">
        <v>0.23076923076923078</v>
      </c>
      <c r="JI56" s="1">
        <v>1</v>
      </c>
      <c r="JJ56" s="1">
        <v>26</v>
      </c>
      <c r="JK56" s="1">
        <v>3</v>
      </c>
      <c r="JL56" s="1">
        <v>3</v>
      </c>
      <c r="JM56" s="1">
        <v>25</v>
      </c>
      <c r="JN56" s="1">
        <v>85.714285714285765</v>
      </c>
      <c r="JO56" s="1">
        <v>14.285714285714279</v>
      </c>
      <c r="JP56" s="1">
        <v>7</v>
      </c>
      <c r="JQ56" s="1">
        <v>100</v>
      </c>
      <c r="JR56" s="1">
        <v>0</v>
      </c>
      <c r="JS56" s="1">
        <v>13</v>
      </c>
      <c r="JT56" s="1">
        <v>91.304347826086982</v>
      </c>
      <c r="JU56" s="1">
        <v>8.6956521739130395</v>
      </c>
      <c r="JV56" s="1">
        <v>23</v>
      </c>
      <c r="JW56" s="1">
        <v>100</v>
      </c>
      <c r="JX56" s="1">
        <v>0</v>
      </c>
      <c r="JY56" s="1">
        <v>17</v>
      </c>
      <c r="JZ56" s="1">
        <v>50</v>
      </c>
      <c r="KA56" s="1">
        <v>50</v>
      </c>
      <c r="KB56" s="1">
        <v>22</v>
      </c>
      <c r="KC56" s="1">
        <v>100</v>
      </c>
      <c r="KD56" s="1">
        <v>0</v>
      </c>
      <c r="KE56" s="1">
        <v>20</v>
      </c>
      <c r="KF56" s="1">
        <v>2.9090909090909092</v>
      </c>
      <c r="KG56" s="1">
        <v>18.181818181818183</v>
      </c>
      <c r="KH56" s="1">
        <v>13.63636363636363</v>
      </c>
      <c r="KI56" s="1">
        <v>31.818181818181834</v>
      </c>
      <c r="KJ56" s="1">
        <v>31.818181818181834</v>
      </c>
      <c r="KK56" s="1">
        <v>4.5454545454545459</v>
      </c>
      <c r="KL56" s="1">
        <v>22</v>
      </c>
      <c r="KM56" s="1">
        <v>50.227272727272741</v>
      </c>
      <c r="KN56" s="1">
        <v>150</v>
      </c>
      <c r="KO56" s="1">
        <v>0</v>
      </c>
      <c r="KP56" s="1">
        <v>0</v>
      </c>
      <c r="KQ56" s="1">
        <v>0</v>
      </c>
      <c r="KR56" s="1">
        <v>0</v>
      </c>
      <c r="KS56" s="1">
        <v>100</v>
      </c>
      <c r="KT56" s="1">
        <v>2</v>
      </c>
      <c r="KU56" s="1">
        <v>4.7619047619047601</v>
      </c>
      <c r="KV56" s="1">
        <v>0</v>
      </c>
      <c r="KW56" s="1">
        <v>0</v>
      </c>
      <c r="KX56" s="1">
        <v>90.476190476190425</v>
      </c>
      <c r="KY56" s="1">
        <v>4.7619047619047601</v>
      </c>
      <c r="KZ56" s="1">
        <v>21</v>
      </c>
      <c r="LA56" s="1">
        <v>18.181818181818183</v>
      </c>
      <c r="LB56" s="1">
        <v>81.81818181818177</v>
      </c>
      <c r="LC56" s="1">
        <v>22</v>
      </c>
      <c r="LD56" s="1">
        <v>0</v>
      </c>
      <c r="LE56" s="1">
        <v>25</v>
      </c>
      <c r="LF56" s="1">
        <v>75</v>
      </c>
      <c r="LG56" s="1">
        <v>4</v>
      </c>
    </row>
    <row r="57" spans="1:319" x14ac:dyDescent="0.25">
      <c r="A57" s="1">
        <v>198</v>
      </c>
      <c r="B57" s="1">
        <v>16.129032258064516</v>
      </c>
      <c r="C57" s="1">
        <v>83.870967741935559</v>
      </c>
      <c r="D57" s="1">
        <v>31</v>
      </c>
      <c r="E57" s="1">
        <v>84.000000000000014</v>
      </c>
      <c r="F57" s="1">
        <v>16.000000000000004</v>
      </c>
      <c r="G57" s="1">
        <v>25</v>
      </c>
      <c r="H57" s="1">
        <v>68.421052631578945</v>
      </c>
      <c r="I57" s="1">
        <v>31.578947368421041</v>
      </c>
      <c r="J57" s="1">
        <v>19</v>
      </c>
      <c r="K57" s="1">
        <v>1</v>
      </c>
      <c r="L57" s="1">
        <v>14.973439999999986</v>
      </c>
      <c r="M57" s="1">
        <v>0.93583999999999967</v>
      </c>
      <c r="N57" s="1">
        <v>0.93583999999999967</v>
      </c>
      <c r="O57" s="1">
        <v>9.3583999999999978</v>
      </c>
      <c r="P57" s="1">
        <v>2.3395999999999995</v>
      </c>
      <c r="Q57" s="1">
        <v>4.2112800000000004</v>
      </c>
      <c r="R57" s="1">
        <v>0</v>
      </c>
      <c r="S57" s="1">
        <v>0</v>
      </c>
      <c r="T57" s="1">
        <v>1.403759999999999</v>
      </c>
      <c r="U57" s="1">
        <v>1.403759999999999</v>
      </c>
      <c r="V57" s="1">
        <v>0</v>
      </c>
      <c r="W57" s="1">
        <v>6.2500000000000014E-2</v>
      </c>
      <c r="X57" s="1">
        <v>6.2500000000000014E-2</v>
      </c>
      <c r="Y57" s="1">
        <v>0.62500000000000011</v>
      </c>
      <c r="Z57" s="1">
        <v>0.15625000000000003</v>
      </c>
      <c r="AA57" s="1">
        <v>0.28125000000000006</v>
      </c>
      <c r="AB57" s="1">
        <v>0</v>
      </c>
      <c r="AC57" s="1">
        <v>0</v>
      </c>
      <c r="AD57" s="1">
        <v>9.3750000000000014E-2</v>
      </c>
      <c r="AE57" s="1">
        <v>9.3750000000000014E-2</v>
      </c>
      <c r="AF57" s="1">
        <v>0</v>
      </c>
      <c r="AG57" s="1">
        <v>1</v>
      </c>
      <c r="AH57" s="1">
        <v>32</v>
      </c>
      <c r="AI57" s="1">
        <v>1</v>
      </c>
      <c r="AJ57" s="1">
        <v>12.633840000000003</v>
      </c>
      <c r="AK57" s="1">
        <v>6.5508800000000047</v>
      </c>
      <c r="AL57" s="1">
        <v>6.0829600000000053</v>
      </c>
      <c r="AM57" s="1">
        <v>2.807519999999998</v>
      </c>
      <c r="AN57" s="1">
        <v>3.2754400000000019</v>
      </c>
      <c r="AO57" s="1">
        <v>0.46791999999999984</v>
      </c>
      <c r="AP57" s="1">
        <v>4.2112800000000004</v>
      </c>
      <c r="AQ57" s="1">
        <v>0.51851851851851893</v>
      </c>
      <c r="AR57" s="1">
        <v>0.4814814814814814</v>
      </c>
      <c r="AS57" s="1">
        <v>0.22222222222222229</v>
      </c>
      <c r="AT57" s="1">
        <v>0.25925925925925947</v>
      </c>
      <c r="AU57" s="1">
        <v>3.7037037037037049E-2</v>
      </c>
      <c r="AV57" s="1">
        <v>0.33333333333333337</v>
      </c>
      <c r="AW57" s="1">
        <v>1</v>
      </c>
      <c r="AX57" s="1">
        <v>27</v>
      </c>
      <c r="AY57" s="1">
        <v>9.7096774193548381</v>
      </c>
      <c r="AZ57" s="1">
        <v>9.935483870967742</v>
      </c>
      <c r="BA57" s="1">
        <v>9.9</v>
      </c>
      <c r="BB57" s="1">
        <v>0</v>
      </c>
      <c r="BC57" s="1">
        <v>0</v>
      </c>
      <c r="BD57" s="1">
        <v>0</v>
      </c>
      <c r="BE57" s="1">
        <v>3.225806451612907</v>
      </c>
      <c r="BF57" s="1">
        <v>0</v>
      </c>
      <c r="BG57" s="1">
        <v>0</v>
      </c>
      <c r="BH57" s="1">
        <v>0</v>
      </c>
      <c r="BI57" s="1">
        <v>3.225806451612907</v>
      </c>
      <c r="BJ57" s="1">
        <v>3.225806451612907</v>
      </c>
      <c r="BK57" s="1">
        <v>90.322580645161324</v>
      </c>
      <c r="BL57" s="1">
        <v>9.7096774193548399</v>
      </c>
      <c r="BM57" s="1">
        <v>31</v>
      </c>
      <c r="BN57" s="1">
        <v>0</v>
      </c>
      <c r="BO57" s="1">
        <v>0</v>
      </c>
      <c r="BP57" s="1">
        <v>0</v>
      </c>
      <c r="BQ57" s="1">
        <v>0</v>
      </c>
      <c r="BR57" s="1">
        <v>0</v>
      </c>
      <c r="BS57" s="1">
        <v>0</v>
      </c>
      <c r="BT57" s="1">
        <v>0</v>
      </c>
      <c r="BU57" s="1">
        <v>3.225806451612907</v>
      </c>
      <c r="BV57" s="1">
        <v>0</v>
      </c>
      <c r="BW57" s="1">
        <v>96.77419354838716</v>
      </c>
      <c r="BX57" s="1">
        <v>9.935483870967742</v>
      </c>
      <c r="BY57" s="1">
        <v>31</v>
      </c>
      <c r="BZ57" s="1">
        <v>0</v>
      </c>
      <c r="CA57" s="1">
        <v>0</v>
      </c>
      <c r="CB57" s="1">
        <v>0</v>
      </c>
      <c r="CC57" s="1">
        <v>0</v>
      </c>
      <c r="CD57" s="1">
        <v>0</v>
      </c>
      <c r="CE57" s="1">
        <v>0</v>
      </c>
      <c r="CF57" s="1">
        <v>0</v>
      </c>
      <c r="CG57" s="1">
        <v>3.3333333333333326</v>
      </c>
      <c r="CH57" s="1">
        <v>3.3333333333333326</v>
      </c>
      <c r="CI57" s="1">
        <v>93.333333333333371</v>
      </c>
      <c r="CJ57" s="1">
        <v>9.8999999999999986</v>
      </c>
      <c r="CK57" s="1">
        <v>30</v>
      </c>
      <c r="CL57" s="1">
        <v>50.000000000000007</v>
      </c>
      <c r="CM57" s="1">
        <v>46.666666666666721</v>
      </c>
      <c r="CN57" s="1">
        <v>0</v>
      </c>
      <c r="CO57" s="1">
        <v>3.3333333333333326</v>
      </c>
      <c r="CP57" s="1">
        <v>0</v>
      </c>
      <c r="CQ57" s="1">
        <v>30</v>
      </c>
      <c r="CR57" s="1">
        <v>93.93939393939398</v>
      </c>
      <c r="CS57" s="1">
        <v>6.0606060606060632</v>
      </c>
      <c r="CT57" s="1">
        <v>0</v>
      </c>
      <c r="CU57" s="1">
        <v>0</v>
      </c>
      <c r="CV57" s="1">
        <v>0</v>
      </c>
      <c r="CW57" s="1">
        <v>33</v>
      </c>
      <c r="CX57" s="1">
        <v>93.75</v>
      </c>
      <c r="CY57" s="1">
        <v>3.1250000000000004</v>
      </c>
      <c r="CZ57" s="1">
        <v>0</v>
      </c>
      <c r="DA57" s="1">
        <v>3.1250000000000004</v>
      </c>
      <c r="DB57" s="1">
        <v>0</v>
      </c>
      <c r="DC57" s="1">
        <v>32</v>
      </c>
      <c r="DD57" s="1">
        <v>90.909090909090949</v>
      </c>
      <c r="DE57" s="1">
        <v>6.0606060606060632</v>
      </c>
      <c r="DF57" s="1">
        <v>0</v>
      </c>
      <c r="DG57" s="1">
        <v>3.0303030303030316</v>
      </c>
      <c r="DH57" s="1">
        <v>0</v>
      </c>
      <c r="DI57" s="1">
        <v>33</v>
      </c>
      <c r="DJ57" s="1">
        <v>79.310344827586221</v>
      </c>
      <c r="DK57" s="1">
        <v>17.241379310344833</v>
      </c>
      <c r="DL57" s="1">
        <v>3.4482758620689675</v>
      </c>
      <c r="DM57" s="1">
        <v>0</v>
      </c>
      <c r="DN57" s="1">
        <v>0</v>
      </c>
      <c r="DO57" s="1">
        <v>29</v>
      </c>
      <c r="DP57" s="1">
        <v>87.500000000000014</v>
      </c>
      <c r="DQ57" s="1">
        <v>9.3750000000000018</v>
      </c>
      <c r="DR57" s="1">
        <v>3.1250000000000004</v>
      </c>
      <c r="DS57" s="1">
        <v>0</v>
      </c>
      <c r="DT57" s="1">
        <v>0</v>
      </c>
      <c r="DU57" s="1">
        <v>32</v>
      </c>
      <c r="DV57" s="1">
        <v>70</v>
      </c>
      <c r="DW57" s="1">
        <v>19.999999999999996</v>
      </c>
      <c r="DX57" s="1">
        <v>0</v>
      </c>
      <c r="DY57" s="1">
        <v>9.9999999999999982</v>
      </c>
      <c r="DZ57" s="1">
        <v>0</v>
      </c>
      <c r="EA57" s="1">
        <v>20</v>
      </c>
      <c r="EB57" s="1">
        <v>72.222222222222186</v>
      </c>
      <c r="EC57" s="1">
        <v>22.222222222222211</v>
      </c>
      <c r="ED57" s="1">
        <v>5.5555555555555527</v>
      </c>
      <c r="EE57" s="1">
        <v>0</v>
      </c>
      <c r="EF57" s="1">
        <v>0</v>
      </c>
      <c r="EG57" s="1">
        <v>18</v>
      </c>
      <c r="EH57" s="1">
        <v>49.999999999999993</v>
      </c>
      <c r="EI57" s="1">
        <v>31.249999999999993</v>
      </c>
      <c r="EJ57" s="1">
        <v>12.499999999999998</v>
      </c>
      <c r="EK57" s="1">
        <v>6.2499999999999991</v>
      </c>
      <c r="EL57" s="1">
        <v>0</v>
      </c>
      <c r="EM57" s="1">
        <v>16</v>
      </c>
      <c r="EN57" s="1">
        <v>49.999999999999993</v>
      </c>
      <c r="EO57" s="1">
        <v>28.571428571428559</v>
      </c>
      <c r="EP57" s="1">
        <v>14.285714285714279</v>
      </c>
      <c r="EQ57" s="1">
        <v>7.1428571428571397</v>
      </c>
      <c r="ER57" s="1">
        <v>0</v>
      </c>
      <c r="ES57" s="1">
        <v>14</v>
      </c>
      <c r="ET57" s="1">
        <v>56.249999999999993</v>
      </c>
      <c r="EU57" s="1">
        <v>31.249999999999993</v>
      </c>
      <c r="EV57" s="1">
        <v>12.499999999999998</v>
      </c>
      <c r="EW57" s="1">
        <v>0</v>
      </c>
      <c r="EX57" s="1">
        <v>0</v>
      </c>
      <c r="EY57" s="1">
        <v>16</v>
      </c>
      <c r="EZ57" s="1">
        <v>64.285714285714235</v>
      </c>
      <c r="FA57" s="1">
        <v>21.428571428571434</v>
      </c>
      <c r="FB57" s="1">
        <v>7.1428571428571397</v>
      </c>
      <c r="FC57" s="1">
        <v>7.1428571428571397</v>
      </c>
      <c r="FD57" s="1">
        <v>0</v>
      </c>
      <c r="FE57" s="1">
        <v>14</v>
      </c>
      <c r="FF57" s="1">
        <v>69.230769230769226</v>
      </c>
      <c r="FG57" s="1">
        <v>15.384615384615373</v>
      </c>
      <c r="FH57" s="1">
        <v>7.6923076923076863</v>
      </c>
      <c r="FI57" s="1">
        <v>7.6923076923076863</v>
      </c>
      <c r="FJ57" s="1">
        <v>0</v>
      </c>
      <c r="FK57" s="1">
        <v>13</v>
      </c>
      <c r="FL57" s="1">
        <v>70</v>
      </c>
      <c r="FM57" s="1">
        <v>20</v>
      </c>
      <c r="FN57" s="1">
        <v>10</v>
      </c>
      <c r="FO57" s="1">
        <v>0</v>
      </c>
      <c r="FP57" s="1">
        <v>0</v>
      </c>
      <c r="FQ57" s="1">
        <v>10</v>
      </c>
      <c r="FR57" s="1">
        <v>80</v>
      </c>
      <c r="FS57" s="1">
        <v>0</v>
      </c>
      <c r="FT57" s="1">
        <v>20</v>
      </c>
      <c r="FU57" s="1">
        <v>0</v>
      </c>
      <c r="FV57" s="1">
        <v>0</v>
      </c>
      <c r="FW57" s="1">
        <v>5</v>
      </c>
      <c r="FX57" s="1">
        <v>72.413793103448327</v>
      </c>
      <c r="FY57" s="1">
        <v>27.58620689655174</v>
      </c>
      <c r="FZ57" s="1">
        <v>0</v>
      </c>
      <c r="GA57" s="1">
        <v>0</v>
      </c>
      <c r="GB57" s="1">
        <v>0</v>
      </c>
      <c r="GC57" s="1">
        <v>29</v>
      </c>
      <c r="GD57" s="1">
        <v>81.818181818181841</v>
      </c>
      <c r="GE57" s="1">
        <v>13.63636363636363</v>
      </c>
      <c r="GF57" s="1">
        <v>4.545454545454545</v>
      </c>
      <c r="GG57" s="1">
        <v>0</v>
      </c>
      <c r="GH57" s="1">
        <v>0</v>
      </c>
      <c r="GI57" s="1">
        <v>22</v>
      </c>
      <c r="GJ57" s="1">
        <v>80.769230769230802</v>
      </c>
      <c r="GK57" s="1">
        <v>15.384615384615373</v>
      </c>
      <c r="GL57" s="1">
        <v>3.8461538461538431</v>
      </c>
      <c r="GM57" s="1">
        <v>0</v>
      </c>
      <c r="GN57" s="1">
        <v>0</v>
      </c>
      <c r="GO57" s="1">
        <v>26</v>
      </c>
      <c r="GP57" s="1">
        <v>73.913043478260946</v>
      </c>
      <c r="GQ57" s="1">
        <v>13.043478260869565</v>
      </c>
      <c r="GR57" s="1">
        <v>13.043478260869565</v>
      </c>
      <c r="GS57" s="1">
        <v>0</v>
      </c>
      <c r="GT57" s="1">
        <v>0</v>
      </c>
      <c r="GU57" s="1">
        <v>23</v>
      </c>
      <c r="GV57" s="1">
        <v>68.181818181818215</v>
      </c>
      <c r="GW57" s="1">
        <v>27.272727272727256</v>
      </c>
      <c r="GX57" s="1">
        <v>4.545454545454545</v>
      </c>
      <c r="GY57" s="1">
        <v>0</v>
      </c>
      <c r="GZ57" s="1">
        <v>0</v>
      </c>
      <c r="HA57" s="1">
        <v>22</v>
      </c>
      <c r="HB57" s="1">
        <v>68.421052631578931</v>
      </c>
      <c r="HC57" s="1">
        <v>15.789473684210524</v>
      </c>
      <c r="HD57" s="1">
        <v>15.789473684210524</v>
      </c>
      <c r="HE57" s="1">
        <v>0</v>
      </c>
      <c r="HF57" s="1">
        <v>0</v>
      </c>
      <c r="HG57" s="1">
        <v>19</v>
      </c>
      <c r="HH57" s="1">
        <v>66.666666666666686</v>
      </c>
      <c r="HI57" s="1">
        <v>16.666666666666671</v>
      </c>
      <c r="HJ57" s="1">
        <v>5.5555555555555527</v>
      </c>
      <c r="HK57" s="1">
        <v>5.5555555555555527</v>
      </c>
      <c r="HL57" s="1">
        <v>5.5555555555555527</v>
      </c>
      <c r="HM57" s="1">
        <v>18</v>
      </c>
      <c r="HN57" s="1">
        <v>0</v>
      </c>
      <c r="HO57" s="1">
        <v>0</v>
      </c>
      <c r="HP57" s="1">
        <v>0</v>
      </c>
      <c r="HQ57" s="1">
        <v>0</v>
      </c>
      <c r="HR57" s="1">
        <v>0</v>
      </c>
      <c r="HS57" s="1">
        <v>0</v>
      </c>
      <c r="HT57" s="1">
        <v>0</v>
      </c>
      <c r="HU57" s="1">
        <v>0</v>
      </c>
      <c r="HV57" s="1">
        <v>0</v>
      </c>
      <c r="HW57" s="1">
        <v>0</v>
      </c>
      <c r="HX57" s="1">
        <v>0</v>
      </c>
      <c r="HY57" s="1">
        <v>0</v>
      </c>
      <c r="HZ57" s="1">
        <v>0</v>
      </c>
      <c r="IA57" s="1">
        <v>0</v>
      </c>
      <c r="IB57" s="1">
        <v>0</v>
      </c>
      <c r="IC57" s="1">
        <v>0</v>
      </c>
      <c r="ID57" s="1">
        <v>0</v>
      </c>
      <c r="IE57" s="1">
        <v>0</v>
      </c>
      <c r="IF57" s="1">
        <v>9.3103448275862064</v>
      </c>
      <c r="IG57" s="1">
        <v>0</v>
      </c>
      <c r="IH57" s="1">
        <v>0</v>
      </c>
      <c r="II57" s="1">
        <v>0</v>
      </c>
      <c r="IJ57" s="1">
        <v>0</v>
      </c>
      <c r="IK57" s="1">
        <v>0</v>
      </c>
      <c r="IL57" s="1">
        <v>0</v>
      </c>
      <c r="IM57" s="1">
        <v>6.896551724137935</v>
      </c>
      <c r="IN57" s="1">
        <v>10.344827586206902</v>
      </c>
      <c r="IO57" s="1">
        <v>27.58620689655174</v>
      </c>
      <c r="IP57" s="1">
        <v>55.17241379310348</v>
      </c>
      <c r="IQ57" s="1">
        <v>9.3103448275862153</v>
      </c>
      <c r="IR57" s="1">
        <v>29</v>
      </c>
      <c r="IS57" s="1">
        <v>60.60606060606068</v>
      </c>
      <c r="IT57" s="1">
        <v>18.181818181818194</v>
      </c>
      <c r="IU57" s="1">
        <v>15.151515151515142</v>
      </c>
      <c r="IV57" s="1">
        <v>0</v>
      </c>
      <c r="IW57" s="1">
        <v>6.0606060606060632</v>
      </c>
      <c r="IX57" s="1">
        <v>33</v>
      </c>
      <c r="IY57" s="1">
        <v>1</v>
      </c>
      <c r="IZ57" s="1">
        <v>14.505519999999992</v>
      </c>
      <c r="JA57" s="1">
        <v>6.5508800000000047</v>
      </c>
      <c r="JB57" s="1">
        <v>4.2112800000000004</v>
      </c>
      <c r="JC57" s="1">
        <v>2.3395999999999995</v>
      </c>
      <c r="JD57" s="1">
        <v>4.6791999999999989</v>
      </c>
      <c r="JE57" s="1">
        <v>0.45161290322580644</v>
      </c>
      <c r="JF57" s="1">
        <v>0.29032258064516131</v>
      </c>
      <c r="JG57" s="1">
        <v>0.1612903225806451</v>
      </c>
      <c r="JH57" s="1">
        <v>0.3225806451612902</v>
      </c>
      <c r="JI57" s="1">
        <v>1</v>
      </c>
      <c r="JJ57" s="1">
        <v>31</v>
      </c>
      <c r="JK57" s="1">
        <v>2.21875</v>
      </c>
      <c r="JL57" s="1">
        <v>2.21875</v>
      </c>
      <c r="JM57" s="1">
        <v>32</v>
      </c>
      <c r="JN57" s="1">
        <v>93.333333333333357</v>
      </c>
      <c r="JO57" s="1">
        <v>6.6666666666666643</v>
      </c>
      <c r="JP57" s="1">
        <v>15</v>
      </c>
      <c r="JQ57" s="1">
        <v>95.652173913043484</v>
      </c>
      <c r="JR57" s="1">
        <v>4.3478260869565206</v>
      </c>
      <c r="JS57" s="1">
        <v>23</v>
      </c>
      <c r="JT57" s="1">
        <v>85.185185185185205</v>
      </c>
      <c r="JU57" s="1">
        <v>14.814814814814826</v>
      </c>
      <c r="JV57" s="1">
        <v>27</v>
      </c>
      <c r="JW57" s="1">
        <v>96</v>
      </c>
      <c r="JX57" s="1">
        <v>4.0000000000000009</v>
      </c>
      <c r="JY57" s="1">
        <v>25</v>
      </c>
      <c r="JZ57" s="1">
        <v>43.750000000000007</v>
      </c>
      <c r="KA57" s="1">
        <v>56.250000000000014</v>
      </c>
      <c r="KB57" s="1">
        <v>32</v>
      </c>
      <c r="KC57" s="1">
        <v>100</v>
      </c>
      <c r="KD57" s="1">
        <v>0</v>
      </c>
      <c r="KE57" s="1">
        <v>30</v>
      </c>
      <c r="KF57" s="1">
        <v>3.2142857142857144</v>
      </c>
      <c r="KG57" s="1">
        <v>7.1428571428571406</v>
      </c>
      <c r="KH57" s="1">
        <v>21.428571428571441</v>
      </c>
      <c r="KI57" s="1">
        <v>35.714285714285751</v>
      </c>
      <c r="KJ57" s="1">
        <v>14.285714285714281</v>
      </c>
      <c r="KK57" s="1">
        <v>21.428571428571441</v>
      </c>
      <c r="KL57" s="1">
        <v>28</v>
      </c>
      <c r="KM57" s="1">
        <v>55.571428571428605</v>
      </c>
      <c r="KN57" s="1">
        <v>0</v>
      </c>
      <c r="KO57" s="1">
        <v>0</v>
      </c>
      <c r="KP57" s="1">
        <v>0</v>
      </c>
      <c r="KQ57" s="1">
        <v>0</v>
      </c>
      <c r="KR57" s="1">
        <v>0</v>
      </c>
      <c r="KS57" s="1">
        <v>0</v>
      </c>
      <c r="KT57" s="1">
        <v>0</v>
      </c>
      <c r="KU57" s="1">
        <v>0</v>
      </c>
      <c r="KV57" s="1">
        <v>0</v>
      </c>
      <c r="KW57" s="1">
        <v>6.451612903225814</v>
      </c>
      <c r="KX57" s="1">
        <v>90.322580645161324</v>
      </c>
      <c r="KY57" s="1">
        <v>3.225806451612907</v>
      </c>
      <c r="KZ57" s="1">
        <v>31</v>
      </c>
      <c r="LA57" s="1">
        <v>22.580645161290331</v>
      </c>
      <c r="LB57" s="1">
        <v>77.419354838709737</v>
      </c>
      <c r="LC57" s="1">
        <v>31</v>
      </c>
      <c r="LD57" s="1">
        <v>0</v>
      </c>
      <c r="LE57" s="1">
        <v>0</v>
      </c>
      <c r="LF57" s="1">
        <v>100</v>
      </c>
      <c r="LG57" s="1">
        <v>7</v>
      </c>
    </row>
    <row r="58" spans="1:319" x14ac:dyDescent="0.25">
      <c r="A58" s="1">
        <v>201</v>
      </c>
      <c r="B58" s="1">
        <v>26.530612244897984</v>
      </c>
      <c r="C58" s="1">
        <v>73.469387755102147</v>
      </c>
      <c r="D58" s="1">
        <v>49</v>
      </c>
      <c r="E58" s="1">
        <v>71.428571428571416</v>
      </c>
      <c r="F58" s="1">
        <v>28.571428571428562</v>
      </c>
      <c r="G58" s="1">
        <v>35</v>
      </c>
      <c r="H58" s="1">
        <v>51.999999999999993</v>
      </c>
      <c r="I58" s="1">
        <v>47.999999999999993</v>
      </c>
      <c r="J58" s="1">
        <v>25</v>
      </c>
      <c r="K58" s="1">
        <v>1</v>
      </c>
      <c r="L58" s="1">
        <v>47.54500000000003</v>
      </c>
      <c r="M58" s="1">
        <v>12.361700000000003</v>
      </c>
      <c r="N58" s="1">
        <v>8.5581000000000085</v>
      </c>
      <c r="O58" s="1">
        <v>6.6562999999999928</v>
      </c>
      <c r="P58" s="1">
        <v>0.95089999999999941</v>
      </c>
      <c r="Q58" s="1">
        <v>19.018000000000022</v>
      </c>
      <c r="R58" s="1">
        <v>2.8526999999999991</v>
      </c>
      <c r="S58" s="1">
        <v>8.5581000000000085</v>
      </c>
      <c r="T58" s="1">
        <v>3.8035999999999976</v>
      </c>
      <c r="U58" s="1">
        <v>1.9017999999999988</v>
      </c>
      <c r="V58" s="1">
        <v>9.5090000000000092</v>
      </c>
      <c r="W58" s="1">
        <v>0.25999999999999995</v>
      </c>
      <c r="X58" s="1">
        <v>0.17999999999999994</v>
      </c>
      <c r="Y58" s="1">
        <v>0.13999999999999993</v>
      </c>
      <c r="Z58" s="1">
        <v>2.0000000000000014E-2</v>
      </c>
      <c r="AA58" s="1">
        <v>0.4000000000000008</v>
      </c>
      <c r="AB58" s="1">
        <v>6.0000000000000046E-2</v>
      </c>
      <c r="AC58" s="1">
        <v>0.17999999999999994</v>
      </c>
      <c r="AD58" s="1">
        <v>8.0000000000000057E-2</v>
      </c>
      <c r="AE58" s="1">
        <v>4.0000000000000029E-2</v>
      </c>
      <c r="AF58" s="1">
        <v>0.19999999999999996</v>
      </c>
      <c r="AG58" s="1">
        <v>1</v>
      </c>
      <c r="AH58" s="1">
        <v>50</v>
      </c>
      <c r="AI58" s="1">
        <v>1</v>
      </c>
      <c r="AJ58" s="1">
        <v>44.692299999999967</v>
      </c>
      <c r="AK58" s="1">
        <v>28.52700000000004</v>
      </c>
      <c r="AL58" s="1">
        <v>32.330600000000011</v>
      </c>
      <c r="AM58" s="1">
        <v>15.214399999999991</v>
      </c>
      <c r="AN58" s="1">
        <v>15.214399999999991</v>
      </c>
      <c r="AO58" s="1">
        <v>1.9017999999999988</v>
      </c>
      <c r="AP58" s="1">
        <v>7.6071999999999953</v>
      </c>
      <c r="AQ58" s="1">
        <v>0.63829787234042645</v>
      </c>
      <c r="AR58" s="1">
        <v>0.72340425531914976</v>
      </c>
      <c r="AS58" s="1">
        <v>0.34042553191489394</v>
      </c>
      <c r="AT58" s="1">
        <v>0.34042553191489394</v>
      </c>
      <c r="AU58" s="1">
        <v>4.2553191489361736E-2</v>
      </c>
      <c r="AV58" s="1">
        <v>0.17021276595744694</v>
      </c>
      <c r="AW58" s="1">
        <v>1</v>
      </c>
      <c r="AX58" s="1">
        <v>47</v>
      </c>
      <c r="AY58" s="1">
        <v>9.9591836734693882</v>
      </c>
      <c r="AZ58" s="1">
        <v>9.9591836734693882</v>
      </c>
      <c r="BA58" s="1">
        <v>9.9565217391304355</v>
      </c>
      <c r="BB58" s="1">
        <v>0</v>
      </c>
      <c r="BC58" s="1">
        <v>0</v>
      </c>
      <c r="BD58" s="1">
        <v>0</v>
      </c>
      <c r="BE58" s="1">
        <v>0</v>
      </c>
      <c r="BF58" s="1">
        <v>0</v>
      </c>
      <c r="BG58" s="1">
        <v>0</v>
      </c>
      <c r="BH58" s="1">
        <v>0</v>
      </c>
      <c r="BI58" s="1">
        <v>0</v>
      </c>
      <c r="BJ58" s="1">
        <v>4.0816326530612272</v>
      </c>
      <c r="BK58" s="1">
        <v>95.91836734693878</v>
      </c>
      <c r="BL58" s="1">
        <v>9.9591836734693988</v>
      </c>
      <c r="BM58" s="1">
        <v>49</v>
      </c>
      <c r="BN58" s="1">
        <v>0</v>
      </c>
      <c r="BO58" s="1">
        <v>0</v>
      </c>
      <c r="BP58" s="1">
        <v>0</v>
      </c>
      <c r="BQ58" s="1">
        <v>0</v>
      </c>
      <c r="BR58" s="1">
        <v>0</v>
      </c>
      <c r="BS58" s="1">
        <v>0</v>
      </c>
      <c r="BT58" s="1">
        <v>0</v>
      </c>
      <c r="BU58" s="1">
        <v>0</v>
      </c>
      <c r="BV58" s="1">
        <v>4.0816326530612272</v>
      </c>
      <c r="BW58" s="1">
        <v>95.91836734693878</v>
      </c>
      <c r="BX58" s="1">
        <v>9.9591836734693988</v>
      </c>
      <c r="BY58" s="1">
        <v>49</v>
      </c>
      <c r="BZ58" s="1">
        <v>0</v>
      </c>
      <c r="CA58" s="1">
        <v>0</v>
      </c>
      <c r="CB58" s="1">
        <v>0</v>
      </c>
      <c r="CC58" s="1">
        <v>0</v>
      </c>
      <c r="CD58" s="1">
        <v>0</v>
      </c>
      <c r="CE58" s="1">
        <v>0</v>
      </c>
      <c r="CF58" s="1">
        <v>0</v>
      </c>
      <c r="CG58" s="1">
        <v>0</v>
      </c>
      <c r="CH58" s="1">
        <v>4.3478260869565277</v>
      </c>
      <c r="CI58" s="1">
        <v>95.652173913043555</v>
      </c>
      <c r="CJ58" s="1">
        <v>9.9565217391304408</v>
      </c>
      <c r="CK58" s="1">
        <v>46</v>
      </c>
      <c r="CL58" s="1">
        <v>52.083333333333442</v>
      </c>
      <c r="CM58" s="1">
        <v>31.250000000000004</v>
      </c>
      <c r="CN58" s="1">
        <v>10.41666666666668</v>
      </c>
      <c r="CO58" s="1">
        <v>4.1666666666666652</v>
      </c>
      <c r="CP58" s="1">
        <v>2.0833333333333326</v>
      </c>
      <c r="CQ58" s="1">
        <v>48</v>
      </c>
      <c r="CR58" s="1">
        <v>90.000000000000014</v>
      </c>
      <c r="CS58" s="1">
        <v>10.000000000000002</v>
      </c>
      <c r="CT58" s="1">
        <v>0</v>
      </c>
      <c r="CU58" s="1">
        <v>0</v>
      </c>
      <c r="CV58" s="1">
        <v>0</v>
      </c>
      <c r="CW58" s="1">
        <v>50</v>
      </c>
      <c r="CX58" s="1">
        <v>95.91836734693878</v>
      </c>
      <c r="CY58" s="1">
        <v>4.0816326530612272</v>
      </c>
      <c r="CZ58" s="1">
        <v>0</v>
      </c>
      <c r="DA58" s="1">
        <v>0</v>
      </c>
      <c r="DB58" s="1">
        <v>0</v>
      </c>
      <c r="DC58" s="1">
        <v>49</v>
      </c>
      <c r="DD58" s="1">
        <v>94</v>
      </c>
      <c r="DE58" s="1">
        <v>6.0000000000000009</v>
      </c>
      <c r="DF58" s="1">
        <v>0</v>
      </c>
      <c r="DG58" s="1">
        <v>0</v>
      </c>
      <c r="DH58" s="1">
        <v>0</v>
      </c>
      <c r="DI58" s="1">
        <v>50</v>
      </c>
      <c r="DJ58" s="1">
        <v>85.106382978723516</v>
      </c>
      <c r="DK58" s="1">
        <v>14.89361702127659</v>
      </c>
      <c r="DL58" s="1">
        <v>0</v>
      </c>
      <c r="DM58" s="1">
        <v>0</v>
      </c>
      <c r="DN58" s="1">
        <v>0</v>
      </c>
      <c r="DO58" s="1">
        <v>47</v>
      </c>
      <c r="DP58" s="1">
        <v>98.000000000000014</v>
      </c>
      <c r="DQ58" s="1">
        <v>2.0000000000000004</v>
      </c>
      <c r="DR58" s="1">
        <v>0</v>
      </c>
      <c r="DS58" s="1">
        <v>0</v>
      </c>
      <c r="DT58" s="1">
        <v>0</v>
      </c>
      <c r="DU58" s="1">
        <v>50</v>
      </c>
      <c r="DV58" s="1">
        <v>74.285714285714235</v>
      </c>
      <c r="DW58" s="1">
        <v>17.142857142857121</v>
      </c>
      <c r="DX58" s="1">
        <v>5.7142857142857171</v>
      </c>
      <c r="DY58" s="1">
        <v>2.8571428571428585</v>
      </c>
      <c r="DZ58" s="1">
        <v>0</v>
      </c>
      <c r="EA58" s="1">
        <v>35</v>
      </c>
      <c r="EB58" s="1">
        <v>100</v>
      </c>
      <c r="EC58" s="1">
        <v>0</v>
      </c>
      <c r="ED58" s="1">
        <v>0</v>
      </c>
      <c r="EE58" s="1">
        <v>0</v>
      </c>
      <c r="EF58" s="1">
        <v>0</v>
      </c>
      <c r="EG58" s="1">
        <v>8</v>
      </c>
      <c r="EH58" s="1">
        <v>85.714285714285722</v>
      </c>
      <c r="EI58" s="1">
        <v>14.285714285714295</v>
      </c>
      <c r="EJ58" s="1">
        <v>0</v>
      </c>
      <c r="EK58" s="1">
        <v>0</v>
      </c>
      <c r="EL58" s="1">
        <v>0</v>
      </c>
      <c r="EM58" s="1">
        <v>7</v>
      </c>
      <c r="EN58" s="1">
        <v>35.294117647058791</v>
      </c>
      <c r="EO58" s="1">
        <v>47.058823529411718</v>
      </c>
      <c r="EP58" s="1">
        <v>11.76470588235293</v>
      </c>
      <c r="EQ58" s="1">
        <v>5.8823529411764648</v>
      </c>
      <c r="ER58" s="1">
        <v>0</v>
      </c>
      <c r="ES58" s="1">
        <v>17</v>
      </c>
      <c r="ET58" s="1">
        <v>36.842105263157904</v>
      </c>
      <c r="EU58" s="1">
        <v>63.157894736842088</v>
      </c>
      <c r="EV58" s="1">
        <v>0</v>
      </c>
      <c r="EW58" s="1">
        <v>0</v>
      </c>
      <c r="EX58" s="1">
        <v>0</v>
      </c>
      <c r="EY58" s="1">
        <v>19</v>
      </c>
      <c r="EZ58" s="1">
        <v>77.777777777777814</v>
      </c>
      <c r="FA58" s="1">
        <v>22.2222222222222</v>
      </c>
      <c r="FB58" s="1">
        <v>0</v>
      </c>
      <c r="FC58" s="1">
        <v>0</v>
      </c>
      <c r="FD58" s="1">
        <v>0</v>
      </c>
      <c r="FE58" s="1">
        <v>9</v>
      </c>
      <c r="FF58" s="1">
        <v>77.777777777777814</v>
      </c>
      <c r="FG58" s="1">
        <v>22.2222222222222</v>
      </c>
      <c r="FH58" s="1">
        <v>0</v>
      </c>
      <c r="FI58" s="1">
        <v>0</v>
      </c>
      <c r="FJ58" s="1">
        <v>0</v>
      </c>
      <c r="FK58" s="1">
        <v>9</v>
      </c>
      <c r="FL58" s="1">
        <v>74.999999999999986</v>
      </c>
      <c r="FM58" s="1">
        <v>16.666666666666657</v>
      </c>
      <c r="FN58" s="1">
        <v>0</v>
      </c>
      <c r="FO58" s="1">
        <v>8.3333333333333286</v>
      </c>
      <c r="FP58" s="1">
        <v>0</v>
      </c>
      <c r="FQ58" s="1">
        <v>12</v>
      </c>
      <c r="FR58" s="1">
        <v>75</v>
      </c>
      <c r="FS58" s="1">
        <v>12.5</v>
      </c>
      <c r="FT58" s="1">
        <v>0</v>
      </c>
      <c r="FU58" s="1">
        <v>12.5</v>
      </c>
      <c r="FV58" s="1">
        <v>0</v>
      </c>
      <c r="FW58" s="1">
        <v>8</v>
      </c>
      <c r="FX58" s="1">
        <v>91.304347826086982</v>
      </c>
      <c r="FY58" s="1">
        <v>8.6956521739130554</v>
      </c>
      <c r="FZ58" s="1">
        <v>0</v>
      </c>
      <c r="GA58" s="1">
        <v>0</v>
      </c>
      <c r="GB58" s="1">
        <v>0</v>
      </c>
      <c r="GC58" s="1">
        <v>46</v>
      </c>
      <c r="GD58" s="1">
        <v>85.714285714285722</v>
      </c>
      <c r="GE58" s="1">
        <v>9.5238095238095202</v>
      </c>
      <c r="GF58" s="1">
        <v>4.7619047619047601</v>
      </c>
      <c r="GG58" s="1">
        <v>0</v>
      </c>
      <c r="GH58" s="1">
        <v>0</v>
      </c>
      <c r="GI58" s="1">
        <v>21</v>
      </c>
      <c r="GJ58" s="1">
        <v>90.909090909090949</v>
      </c>
      <c r="GK58" s="1">
        <v>9.0909090909090793</v>
      </c>
      <c r="GL58" s="1">
        <v>0</v>
      </c>
      <c r="GM58" s="1">
        <v>0</v>
      </c>
      <c r="GN58" s="1">
        <v>0</v>
      </c>
      <c r="GO58" s="1">
        <v>22</v>
      </c>
      <c r="GP58" s="1">
        <v>86.1111111111112</v>
      </c>
      <c r="GQ58" s="1">
        <v>8.3333333333333286</v>
      </c>
      <c r="GR58" s="1">
        <v>2.777777777777775</v>
      </c>
      <c r="GS58" s="1">
        <v>2.777777777777775</v>
      </c>
      <c r="GT58" s="1">
        <v>0</v>
      </c>
      <c r="GU58" s="1">
        <v>36</v>
      </c>
      <c r="GV58" s="1">
        <v>96.774193548387217</v>
      </c>
      <c r="GW58" s="1">
        <v>3.225806451612899</v>
      </c>
      <c r="GX58" s="1">
        <v>0</v>
      </c>
      <c r="GY58" s="1">
        <v>0</v>
      </c>
      <c r="GZ58" s="1">
        <v>0</v>
      </c>
      <c r="HA58" s="1">
        <v>31</v>
      </c>
      <c r="HB58" s="1">
        <v>40</v>
      </c>
      <c r="HC58" s="1">
        <v>59.999999999999993</v>
      </c>
      <c r="HD58" s="1">
        <v>0</v>
      </c>
      <c r="HE58" s="1">
        <v>0</v>
      </c>
      <c r="HF58" s="1">
        <v>0</v>
      </c>
      <c r="HG58" s="1">
        <v>5</v>
      </c>
      <c r="HH58" s="1">
        <v>83.3333333333334</v>
      </c>
      <c r="HI58" s="1">
        <v>16.666666666666657</v>
      </c>
      <c r="HJ58" s="1">
        <v>0</v>
      </c>
      <c r="HK58" s="1">
        <v>0</v>
      </c>
      <c r="HL58" s="1">
        <v>0</v>
      </c>
      <c r="HM58" s="1">
        <v>6</v>
      </c>
      <c r="HN58" s="1">
        <v>0</v>
      </c>
      <c r="HO58" s="1">
        <v>0</v>
      </c>
      <c r="HP58" s="1">
        <v>0</v>
      </c>
      <c r="HQ58" s="1">
        <v>0</v>
      </c>
      <c r="HR58" s="1">
        <v>0</v>
      </c>
      <c r="HS58" s="1">
        <v>0</v>
      </c>
      <c r="HT58" s="1">
        <v>0</v>
      </c>
      <c r="HU58" s="1">
        <v>0</v>
      </c>
      <c r="HV58" s="1">
        <v>0</v>
      </c>
      <c r="HW58" s="1">
        <v>0</v>
      </c>
      <c r="HX58" s="1">
        <v>0</v>
      </c>
      <c r="HY58" s="1">
        <v>0</v>
      </c>
      <c r="HZ58" s="1">
        <v>0</v>
      </c>
      <c r="IA58" s="1">
        <v>0</v>
      </c>
      <c r="IB58" s="1">
        <v>0</v>
      </c>
      <c r="IC58" s="1">
        <v>0</v>
      </c>
      <c r="ID58" s="1">
        <v>0</v>
      </c>
      <c r="IE58" s="1">
        <v>0</v>
      </c>
      <c r="IF58" s="1">
        <v>9.625</v>
      </c>
      <c r="IG58" s="1">
        <v>0</v>
      </c>
      <c r="IH58" s="1">
        <v>0</v>
      </c>
      <c r="II58" s="1">
        <v>0</v>
      </c>
      <c r="IJ58" s="1">
        <v>0</v>
      </c>
      <c r="IK58" s="1">
        <v>0</v>
      </c>
      <c r="IL58" s="1">
        <v>0</v>
      </c>
      <c r="IM58" s="1">
        <v>2.0833333333333326</v>
      </c>
      <c r="IN58" s="1">
        <v>8.3333333333333304</v>
      </c>
      <c r="IO58" s="1">
        <v>14.583333333333339</v>
      </c>
      <c r="IP58" s="1">
        <v>75.000000000000014</v>
      </c>
      <c r="IQ58" s="1">
        <v>9.6250000000000036</v>
      </c>
      <c r="IR58" s="1">
        <v>48</v>
      </c>
      <c r="IS58" s="1">
        <v>67.34693877551031</v>
      </c>
      <c r="IT58" s="1">
        <v>30.612244897959211</v>
      </c>
      <c r="IU58" s="1">
        <v>2.0408163265306136</v>
      </c>
      <c r="IV58" s="1">
        <v>0</v>
      </c>
      <c r="IW58" s="1">
        <v>0</v>
      </c>
      <c r="IX58" s="1">
        <v>49</v>
      </c>
      <c r="IY58" s="1">
        <v>1</v>
      </c>
      <c r="IZ58" s="1">
        <v>46.594099999999983</v>
      </c>
      <c r="JA58" s="1">
        <v>31.37970000000001</v>
      </c>
      <c r="JB58" s="1">
        <v>9.5090000000000092</v>
      </c>
      <c r="JC58" s="1">
        <v>3.8035999999999976</v>
      </c>
      <c r="JD58" s="1">
        <v>4.7545000000000046</v>
      </c>
      <c r="JE58" s="1">
        <v>0.67346938775510257</v>
      </c>
      <c r="JF58" s="1">
        <v>0.20408163265306117</v>
      </c>
      <c r="JG58" s="1">
        <v>8.1632653061224567E-2</v>
      </c>
      <c r="JH58" s="1">
        <v>0.10204081632653059</v>
      </c>
      <c r="JI58" s="1">
        <v>1</v>
      </c>
      <c r="JJ58" s="1">
        <v>49</v>
      </c>
      <c r="JK58" s="1">
        <v>2.8333333333333335</v>
      </c>
      <c r="JL58" s="1">
        <v>2.8333333333333326</v>
      </c>
      <c r="JM58" s="1">
        <v>48</v>
      </c>
      <c r="JN58" s="1">
        <v>100</v>
      </c>
      <c r="JO58" s="1">
        <v>0</v>
      </c>
      <c r="JP58" s="1">
        <v>22</v>
      </c>
      <c r="JQ58" s="1">
        <v>100</v>
      </c>
      <c r="JR58" s="1">
        <v>0</v>
      </c>
      <c r="JS58" s="1">
        <v>27</v>
      </c>
      <c r="JT58" s="1">
        <v>92.500000000000014</v>
      </c>
      <c r="JU58" s="1">
        <v>7.4999999999999991</v>
      </c>
      <c r="JV58" s="1">
        <v>40</v>
      </c>
      <c r="JW58" s="1">
        <v>95.454545454545425</v>
      </c>
      <c r="JX58" s="1">
        <v>4.5454545454545396</v>
      </c>
      <c r="JY58" s="1">
        <v>22</v>
      </c>
      <c r="JZ58" s="1">
        <v>44.897959183673521</v>
      </c>
      <c r="KA58" s="1">
        <v>55.1020408163266</v>
      </c>
      <c r="KB58" s="1">
        <v>49</v>
      </c>
      <c r="KC58" s="1">
        <v>100</v>
      </c>
      <c r="KD58" s="1">
        <v>0</v>
      </c>
      <c r="KE58" s="1">
        <v>44</v>
      </c>
      <c r="KF58" s="1">
        <v>3.3023255813953489</v>
      </c>
      <c r="KG58" s="1">
        <v>2.3255813953488356</v>
      </c>
      <c r="KH58" s="1">
        <v>11.627906976744196</v>
      </c>
      <c r="KI58" s="1">
        <v>46.511627906976784</v>
      </c>
      <c r="KJ58" s="1">
        <v>32.55813953488375</v>
      </c>
      <c r="KK58" s="1">
        <v>6.976744186046516</v>
      </c>
      <c r="KL58" s="1">
        <v>43</v>
      </c>
      <c r="KM58" s="1">
        <v>59.232558139534838</v>
      </c>
      <c r="KN58" s="1">
        <v>142</v>
      </c>
      <c r="KO58" s="1">
        <v>0</v>
      </c>
      <c r="KP58" s="1">
        <v>0</v>
      </c>
      <c r="KQ58" s="1">
        <v>0</v>
      </c>
      <c r="KR58" s="1">
        <v>100</v>
      </c>
      <c r="KS58" s="1">
        <v>0</v>
      </c>
      <c r="KT58" s="1">
        <v>1</v>
      </c>
      <c r="KU58" s="1">
        <v>0</v>
      </c>
      <c r="KV58" s="1">
        <v>0</v>
      </c>
      <c r="KW58" s="1">
        <v>0</v>
      </c>
      <c r="KX58" s="1">
        <v>100</v>
      </c>
      <c r="KY58" s="1">
        <v>0</v>
      </c>
      <c r="KZ58" s="1">
        <v>46</v>
      </c>
      <c r="LA58" s="1">
        <v>21.276595744680879</v>
      </c>
      <c r="LB58" s="1">
        <v>78.723404255319139</v>
      </c>
      <c r="LC58" s="1">
        <v>47</v>
      </c>
      <c r="LD58" s="1">
        <v>0</v>
      </c>
      <c r="LE58" s="1">
        <v>10</v>
      </c>
      <c r="LF58" s="1">
        <v>89.999999999999986</v>
      </c>
      <c r="LG58" s="1">
        <v>10</v>
      </c>
    </row>
    <row r="59" spans="1:319" x14ac:dyDescent="0.25">
      <c r="A59" s="1">
        <v>202</v>
      </c>
      <c r="B59" s="1">
        <v>7.6923076923076863</v>
      </c>
      <c r="C59" s="1">
        <v>92.307692307692335</v>
      </c>
      <c r="D59" s="1">
        <v>13</v>
      </c>
      <c r="E59" s="1">
        <v>72.727272727272734</v>
      </c>
      <c r="F59" s="1">
        <v>27.27272727272727</v>
      </c>
      <c r="G59" s="1">
        <v>11</v>
      </c>
      <c r="H59" s="1">
        <v>62.5</v>
      </c>
      <c r="I59" s="1">
        <v>37.5</v>
      </c>
      <c r="J59" s="1">
        <v>8</v>
      </c>
      <c r="K59" s="1">
        <v>1</v>
      </c>
      <c r="L59" s="1">
        <v>13.620360000000003</v>
      </c>
      <c r="M59" s="1">
        <v>2.0954399999999982</v>
      </c>
      <c r="N59" s="1">
        <v>2.0954399999999982</v>
      </c>
      <c r="O59" s="1">
        <v>6.2863199999999972</v>
      </c>
      <c r="P59" s="1">
        <v>1.0477199999999991</v>
      </c>
      <c r="Q59" s="1">
        <v>5.238599999999999</v>
      </c>
      <c r="R59" s="1">
        <v>0</v>
      </c>
      <c r="S59" s="1">
        <v>0</v>
      </c>
      <c r="T59" s="1">
        <v>3.1431599999999986</v>
      </c>
      <c r="U59" s="1">
        <v>1.0477199999999991</v>
      </c>
      <c r="V59" s="1">
        <v>0</v>
      </c>
      <c r="W59" s="1">
        <v>0.15384615384615385</v>
      </c>
      <c r="X59" s="1">
        <v>0.15384615384615385</v>
      </c>
      <c r="Y59" s="1">
        <v>0.46153846153846162</v>
      </c>
      <c r="Z59" s="1">
        <v>7.6923076923076927E-2</v>
      </c>
      <c r="AA59" s="1">
        <v>0.38461538461538486</v>
      </c>
      <c r="AB59" s="1">
        <v>0</v>
      </c>
      <c r="AC59" s="1">
        <v>0</v>
      </c>
      <c r="AD59" s="1">
        <v>0.23076923076923081</v>
      </c>
      <c r="AE59" s="1">
        <v>7.6923076923076927E-2</v>
      </c>
      <c r="AF59" s="1">
        <v>0</v>
      </c>
      <c r="AG59" s="1">
        <v>1</v>
      </c>
      <c r="AH59" s="1">
        <v>13</v>
      </c>
      <c r="AI59" s="1">
        <v>1</v>
      </c>
      <c r="AJ59" s="1">
        <v>13.620360000000003</v>
      </c>
      <c r="AK59" s="1">
        <v>9.429480000000007</v>
      </c>
      <c r="AL59" s="1">
        <v>12.572639999999994</v>
      </c>
      <c r="AM59" s="1">
        <v>7.3340399999999946</v>
      </c>
      <c r="AN59" s="1">
        <v>8.3817599999999928</v>
      </c>
      <c r="AO59" s="1">
        <v>1.0477199999999991</v>
      </c>
      <c r="AP59" s="1">
        <v>1.0477199999999991</v>
      </c>
      <c r="AQ59" s="1">
        <v>0.6923076923076924</v>
      </c>
      <c r="AR59" s="1">
        <v>0.92307692307692324</v>
      </c>
      <c r="AS59" s="1">
        <v>0.53846153846153855</v>
      </c>
      <c r="AT59" s="1">
        <v>0.61538461538461542</v>
      </c>
      <c r="AU59" s="1">
        <v>7.6923076923076927E-2</v>
      </c>
      <c r="AV59" s="1">
        <v>7.6923076923076927E-2</v>
      </c>
      <c r="AW59" s="1">
        <v>1</v>
      </c>
      <c r="AX59" s="1">
        <v>13</v>
      </c>
      <c r="AY59" s="1">
        <v>9.75</v>
      </c>
      <c r="AZ59" s="1">
        <v>9.9166666666666661</v>
      </c>
      <c r="BA59" s="1">
        <v>9.9166666666666661</v>
      </c>
      <c r="BB59" s="1">
        <v>0</v>
      </c>
      <c r="BC59" s="1">
        <v>0</v>
      </c>
      <c r="BD59" s="1">
        <v>0</v>
      </c>
      <c r="BE59" s="1">
        <v>0</v>
      </c>
      <c r="BF59" s="1">
        <v>0</v>
      </c>
      <c r="BG59" s="1">
        <v>0</v>
      </c>
      <c r="BH59" s="1">
        <v>0</v>
      </c>
      <c r="BI59" s="1">
        <v>8.3333333333333357</v>
      </c>
      <c r="BJ59" s="1">
        <v>8.3333333333333357</v>
      </c>
      <c r="BK59" s="1">
        <v>83.333333333333357</v>
      </c>
      <c r="BL59" s="1">
        <v>9.7499999999999982</v>
      </c>
      <c r="BM59" s="1">
        <v>12</v>
      </c>
      <c r="BN59" s="1">
        <v>0</v>
      </c>
      <c r="BO59" s="1">
        <v>0</v>
      </c>
      <c r="BP59" s="1">
        <v>0</v>
      </c>
      <c r="BQ59" s="1">
        <v>0</v>
      </c>
      <c r="BR59" s="1">
        <v>0</v>
      </c>
      <c r="BS59" s="1">
        <v>0</v>
      </c>
      <c r="BT59" s="1">
        <v>0</v>
      </c>
      <c r="BU59" s="1">
        <v>0</v>
      </c>
      <c r="BV59" s="1">
        <v>8.3333333333333357</v>
      </c>
      <c r="BW59" s="1">
        <v>91.666666666666643</v>
      </c>
      <c r="BX59" s="1">
        <v>9.9166666666666643</v>
      </c>
      <c r="BY59" s="1">
        <v>12</v>
      </c>
      <c r="BZ59" s="1">
        <v>0</v>
      </c>
      <c r="CA59" s="1">
        <v>0</v>
      </c>
      <c r="CB59" s="1">
        <v>0</v>
      </c>
      <c r="CC59" s="1">
        <v>0</v>
      </c>
      <c r="CD59" s="1">
        <v>0</v>
      </c>
      <c r="CE59" s="1">
        <v>0</v>
      </c>
      <c r="CF59" s="1">
        <v>0</v>
      </c>
      <c r="CG59" s="1">
        <v>0</v>
      </c>
      <c r="CH59" s="1">
        <v>8.3333333333333357</v>
      </c>
      <c r="CI59" s="1">
        <v>91.666666666666643</v>
      </c>
      <c r="CJ59" s="1">
        <v>9.9166666666666643</v>
      </c>
      <c r="CK59" s="1">
        <v>12</v>
      </c>
      <c r="CL59" s="1">
        <v>53.846153846153825</v>
      </c>
      <c r="CM59" s="1">
        <v>30.769230769230745</v>
      </c>
      <c r="CN59" s="1">
        <v>7.6923076923076863</v>
      </c>
      <c r="CO59" s="1">
        <v>7.6923076923076863</v>
      </c>
      <c r="CP59" s="1">
        <v>0</v>
      </c>
      <c r="CQ59" s="1">
        <v>13</v>
      </c>
      <c r="CR59" s="1">
        <v>84.615384615384627</v>
      </c>
      <c r="CS59" s="1">
        <v>15.384615384615373</v>
      </c>
      <c r="CT59" s="1">
        <v>0</v>
      </c>
      <c r="CU59" s="1">
        <v>0</v>
      </c>
      <c r="CV59" s="1">
        <v>0</v>
      </c>
      <c r="CW59" s="1">
        <v>13</v>
      </c>
      <c r="CX59" s="1">
        <v>69.230769230769255</v>
      </c>
      <c r="CY59" s="1">
        <v>23.076923076923084</v>
      </c>
      <c r="CZ59" s="1">
        <v>7.6923076923076863</v>
      </c>
      <c r="DA59" s="1">
        <v>0</v>
      </c>
      <c r="DB59" s="1">
        <v>0</v>
      </c>
      <c r="DC59" s="1">
        <v>13</v>
      </c>
      <c r="DD59" s="1">
        <v>69.230769230769255</v>
      </c>
      <c r="DE59" s="1">
        <v>30.769230769230745</v>
      </c>
      <c r="DF59" s="1">
        <v>0</v>
      </c>
      <c r="DG59" s="1">
        <v>0</v>
      </c>
      <c r="DH59" s="1">
        <v>0</v>
      </c>
      <c r="DI59" s="1">
        <v>13</v>
      </c>
      <c r="DJ59" s="1">
        <v>50</v>
      </c>
      <c r="DK59" s="1">
        <v>33.333333333333343</v>
      </c>
      <c r="DL59" s="1">
        <v>16.666666666666671</v>
      </c>
      <c r="DM59" s="1">
        <v>0</v>
      </c>
      <c r="DN59" s="1">
        <v>0</v>
      </c>
      <c r="DO59" s="1">
        <v>12</v>
      </c>
      <c r="DP59" s="1">
        <v>84.615384615384627</v>
      </c>
      <c r="DQ59" s="1">
        <v>15.384615384615373</v>
      </c>
      <c r="DR59" s="1">
        <v>0</v>
      </c>
      <c r="DS59" s="1">
        <v>0</v>
      </c>
      <c r="DT59" s="1">
        <v>0</v>
      </c>
      <c r="DU59" s="1">
        <v>13</v>
      </c>
      <c r="DV59" s="1">
        <v>84.615384615384627</v>
      </c>
      <c r="DW59" s="1">
        <v>15.384615384615373</v>
      </c>
      <c r="DX59" s="1">
        <v>0</v>
      </c>
      <c r="DY59" s="1">
        <v>0</v>
      </c>
      <c r="DZ59" s="1">
        <v>0</v>
      </c>
      <c r="EA59" s="1">
        <v>13</v>
      </c>
      <c r="EB59" s="1">
        <v>66.666666666666686</v>
      </c>
      <c r="EC59" s="1">
        <v>33.333333333333343</v>
      </c>
      <c r="ED59" s="1">
        <v>0</v>
      </c>
      <c r="EE59" s="1">
        <v>0</v>
      </c>
      <c r="EF59" s="1">
        <v>0</v>
      </c>
      <c r="EG59" s="1">
        <v>3</v>
      </c>
      <c r="EH59" s="1">
        <v>33.333333333333343</v>
      </c>
      <c r="EI59" s="1">
        <v>33.333333333333343</v>
      </c>
      <c r="EJ59" s="1">
        <v>33.333333333333343</v>
      </c>
      <c r="EK59" s="1">
        <v>0</v>
      </c>
      <c r="EL59" s="1">
        <v>0</v>
      </c>
      <c r="EM59" s="1">
        <v>3</v>
      </c>
      <c r="EN59" s="1">
        <v>25</v>
      </c>
      <c r="EO59" s="1">
        <v>50</v>
      </c>
      <c r="EP59" s="1">
        <v>25</v>
      </c>
      <c r="EQ59" s="1">
        <v>0</v>
      </c>
      <c r="ER59" s="1">
        <v>0</v>
      </c>
      <c r="ES59" s="1">
        <v>4</v>
      </c>
      <c r="ET59" s="1">
        <v>25</v>
      </c>
      <c r="EU59" s="1">
        <v>75</v>
      </c>
      <c r="EV59" s="1">
        <v>0</v>
      </c>
      <c r="EW59" s="1">
        <v>0</v>
      </c>
      <c r="EX59" s="1">
        <v>0</v>
      </c>
      <c r="EY59" s="1">
        <v>4</v>
      </c>
      <c r="EZ59" s="1">
        <v>66.666666666666686</v>
      </c>
      <c r="FA59" s="1">
        <v>33.333333333333343</v>
      </c>
      <c r="FB59" s="1">
        <v>0</v>
      </c>
      <c r="FC59" s="1">
        <v>0</v>
      </c>
      <c r="FD59" s="1">
        <v>0</v>
      </c>
      <c r="FE59" s="1">
        <v>3</v>
      </c>
      <c r="FF59" s="1">
        <v>50</v>
      </c>
      <c r="FG59" s="1">
        <v>50</v>
      </c>
      <c r="FH59" s="1">
        <v>0</v>
      </c>
      <c r="FI59" s="1">
        <v>0</v>
      </c>
      <c r="FJ59" s="1">
        <v>0</v>
      </c>
      <c r="FK59" s="1">
        <v>2</v>
      </c>
      <c r="FL59" s="1">
        <v>100</v>
      </c>
      <c r="FM59" s="1">
        <v>0</v>
      </c>
      <c r="FN59" s="1">
        <v>0</v>
      </c>
      <c r="FO59" s="1">
        <v>0</v>
      </c>
      <c r="FP59" s="1">
        <v>0</v>
      </c>
      <c r="FQ59" s="1">
        <v>2</v>
      </c>
      <c r="FR59" s="1">
        <v>100</v>
      </c>
      <c r="FS59" s="1">
        <v>0</v>
      </c>
      <c r="FT59" s="1">
        <v>0</v>
      </c>
      <c r="FU59" s="1">
        <v>0</v>
      </c>
      <c r="FV59" s="1">
        <v>0</v>
      </c>
      <c r="FW59" s="1">
        <v>3</v>
      </c>
      <c r="FX59" s="1">
        <v>100</v>
      </c>
      <c r="FY59" s="1">
        <v>0</v>
      </c>
      <c r="FZ59" s="1">
        <v>0</v>
      </c>
      <c r="GA59" s="1">
        <v>0</v>
      </c>
      <c r="GB59" s="1">
        <v>0</v>
      </c>
      <c r="GC59" s="1">
        <v>13</v>
      </c>
      <c r="GD59" s="1">
        <v>80</v>
      </c>
      <c r="GE59" s="1">
        <v>0</v>
      </c>
      <c r="GF59" s="1">
        <v>20</v>
      </c>
      <c r="GG59" s="1">
        <v>0</v>
      </c>
      <c r="GH59" s="1">
        <v>0</v>
      </c>
      <c r="GI59" s="1">
        <v>5</v>
      </c>
      <c r="GJ59" s="1">
        <v>80</v>
      </c>
      <c r="GK59" s="1">
        <v>0</v>
      </c>
      <c r="GL59" s="1">
        <v>20</v>
      </c>
      <c r="GM59" s="1">
        <v>0</v>
      </c>
      <c r="GN59" s="1">
        <v>0</v>
      </c>
      <c r="GO59" s="1">
        <v>5</v>
      </c>
      <c r="GP59" s="1">
        <v>100</v>
      </c>
      <c r="GQ59" s="1">
        <v>0</v>
      </c>
      <c r="GR59" s="1">
        <v>0</v>
      </c>
      <c r="GS59" s="1">
        <v>0</v>
      </c>
      <c r="GT59" s="1">
        <v>0</v>
      </c>
      <c r="GU59" s="1">
        <v>7</v>
      </c>
      <c r="GV59" s="1">
        <v>100</v>
      </c>
      <c r="GW59" s="1">
        <v>0</v>
      </c>
      <c r="GX59" s="1">
        <v>0</v>
      </c>
      <c r="GY59" s="1">
        <v>0</v>
      </c>
      <c r="GZ59" s="1">
        <v>0</v>
      </c>
      <c r="HA59" s="1">
        <v>8</v>
      </c>
      <c r="HB59" s="1">
        <v>25</v>
      </c>
      <c r="HC59" s="1">
        <v>50</v>
      </c>
      <c r="HD59" s="1">
        <v>25</v>
      </c>
      <c r="HE59" s="1">
        <v>0</v>
      </c>
      <c r="HF59" s="1">
        <v>0</v>
      </c>
      <c r="HG59" s="1">
        <v>4</v>
      </c>
      <c r="HH59" s="1">
        <v>50</v>
      </c>
      <c r="HI59" s="1">
        <v>0</v>
      </c>
      <c r="HJ59" s="1">
        <v>50</v>
      </c>
      <c r="HK59" s="1">
        <v>0</v>
      </c>
      <c r="HL59" s="1">
        <v>0</v>
      </c>
      <c r="HM59" s="1">
        <v>2</v>
      </c>
      <c r="HN59" s="1">
        <v>0</v>
      </c>
      <c r="HO59" s="1">
        <v>0</v>
      </c>
      <c r="HP59" s="1">
        <v>0</v>
      </c>
      <c r="HQ59" s="1">
        <v>0</v>
      </c>
      <c r="HR59" s="1">
        <v>0</v>
      </c>
      <c r="HS59" s="1">
        <v>0</v>
      </c>
      <c r="HT59" s="1">
        <v>0</v>
      </c>
      <c r="HU59" s="1">
        <v>0</v>
      </c>
      <c r="HV59" s="1">
        <v>0</v>
      </c>
      <c r="HW59" s="1">
        <v>0</v>
      </c>
      <c r="HX59" s="1">
        <v>0</v>
      </c>
      <c r="HY59" s="1">
        <v>0</v>
      </c>
      <c r="HZ59" s="1">
        <v>0</v>
      </c>
      <c r="IA59" s="1">
        <v>0</v>
      </c>
      <c r="IB59" s="1">
        <v>0</v>
      </c>
      <c r="IC59" s="1">
        <v>0</v>
      </c>
      <c r="ID59" s="1">
        <v>0</v>
      </c>
      <c r="IE59" s="1">
        <v>0</v>
      </c>
      <c r="IF59" s="1">
        <v>9.7777777777777786</v>
      </c>
      <c r="IG59" s="1">
        <v>0</v>
      </c>
      <c r="IH59" s="1">
        <v>0</v>
      </c>
      <c r="II59" s="1">
        <v>0</v>
      </c>
      <c r="IJ59" s="1">
        <v>0</v>
      </c>
      <c r="IK59" s="1">
        <v>0</v>
      </c>
      <c r="IL59" s="1">
        <v>0</v>
      </c>
      <c r="IM59" s="1">
        <v>0</v>
      </c>
      <c r="IN59" s="1">
        <v>0</v>
      </c>
      <c r="IO59" s="1">
        <v>22.222222222222211</v>
      </c>
      <c r="IP59" s="1">
        <v>77.777777777777814</v>
      </c>
      <c r="IQ59" s="1">
        <v>9.7777777777777732</v>
      </c>
      <c r="IR59" s="1">
        <v>9</v>
      </c>
      <c r="IS59" s="1">
        <v>75</v>
      </c>
      <c r="IT59" s="1">
        <v>16.666666666666671</v>
      </c>
      <c r="IU59" s="1">
        <v>8.3333333333333357</v>
      </c>
      <c r="IV59" s="1">
        <v>0</v>
      </c>
      <c r="IW59" s="1">
        <v>0</v>
      </c>
      <c r="IX59" s="1">
        <v>12</v>
      </c>
      <c r="IY59" s="1">
        <v>1</v>
      </c>
      <c r="IZ59" s="1">
        <v>13.620360000000003</v>
      </c>
      <c r="JA59" s="1">
        <v>9.429480000000007</v>
      </c>
      <c r="JB59" s="1">
        <v>1.0477199999999991</v>
      </c>
      <c r="JC59" s="1">
        <v>1.0477199999999991</v>
      </c>
      <c r="JD59" s="1">
        <v>3.1431599999999986</v>
      </c>
      <c r="JE59" s="1">
        <v>0.6923076923076924</v>
      </c>
      <c r="JF59" s="1">
        <v>7.6923076923076927E-2</v>
      </c>
      <c r="JG59" s="1">
        <v>7.6923076923076927E-2</v>
      </c>
      <c r="JH59" s="1">
        <v>0.23076923076923081</v>
      </c>
      <c r="JI59" s="1">
        <v>1</v>
      </c>
      <c r="JJ59" s="1">
        <v>13</v>
      </c>
      <c r="JK59" s="1">
        <v>3.1538461538461537</v>
      </c>
      <c r="JL59" s="1">
        <v>3.153846153846156</v>
      </c>
      <c r="JM59" s="1">
        <v>13</v>
      </c>
      <c r="JN59" s="1">
        <v>100</v>
      </c>
      <c r="JO59" s="1">
        <v>0</v>
      </c>
      <c r="JP59" s="1">
        <v>4</v>
      </c>
      <c r="JQ59" s="1">
        <v>100</v>
      </c>
      <c r="JR59" s="1">
        <v>0</v>
      </c>
      <c r="JS59" s="1">
        <v>10</v>
      </c>
      <c r="JT59" s="1">
        <v>90.909090909090949</v>
      </c>
      <c r="JU59" s="1">
        <v>9.0909090909090899</v>
      </c>
      <c r="JV59" s="1">
        <v>11</v>
      </c>
      <c r="JW59" s="1">
        <v>87.5</v>
      </c>
      <c r="JX59" s="1">
        <v>12.5</v>
      </c>
      <c r="JY59" s="1">
        <v>8</v>
      </c>
      <c r="JZ59" s="1">
        <v>53.846153846153825</v>
      </c>
      <c r="KA59" s="1">
        <v>46.153846153846168</v>
      </c>
      <c r="KB59" s="1">
        <v>13</v>
      </c>
      <c r="KC59" s="1">
        <v>100</v>
      </c>
      <c r="KD59" s="1">
        <v>0</v>
      </c>
      <c r="KE59" s="1">
        <v>13</v>
      </c>
      <c r="KF59" s="1">
        <v>3.4166666666666665</v>
      </c>
      <c r="KG59" s="1">
        <v>8.3333333333333357</v>
      </c>
      <c r="KH59" s="1">
        <v>8.3333333333333357</v>
      </c>
      <c r="KI59" s="1">
        <v>25</v>
      </c>
      <c r="KJ59" s="1">
        <v>50</v>
      </c>
      <c r="KK59" s="1">
        <v>8.3333333333333357</v>
      </c>
      <c r="KL59" s="1">
        <v>12</v>
      </c>
      <c r="KM59" s="1">
        <v>59.499999999999993</v>
      </c>
      <c r="KN59" s="1">
        <v>150</v>
      </c>
      <c r="KO59" s="1">
        <v>0</v>
      </c>
      <c r="KP59" s="1">
        <v>0</v>
      </c>
      <c r="KQ59" s="1">
        <v>0</v>
      </c>
      <c r="KR59" s="1">
        <v>0</v>
      </c>
      <c r="KS59" s="1">
        <v>100</v>
      </c>
      <c r="KT59" s="1">
        <v>1</v>
      </c>
      <c r="KU59" s="1">
        <v>0</v>
      </c>
      <c r="KV59" s="1">
        <v>0</v>
      </c>
      <c r="KW59" s="1">
        <v>0</v>
      </c>
      <c r="KX59" s="1">
        <v>100</v>
      </c>
      <c r="KY59" s="1">
        <v>0</v>
      </c>
      <c r="KZ59" s="1">
        <v>12</v>
      </c>
      <c r="LA59" s="1">
        <v>8.3333333333333357</v>
      </c>
      <c r="LB59" s="1">
        <v>91.666666666666643</v>
      </c>
      <c r="LC59" s="1">
        <v>12</v>
      </c>
      <c r="LD59" s="1">
        <v>0</v>
      </c>
      <c r="LE59" s="1">
        <v>100</v>
      </c>
      <c r="LF59" s="1">
        <v>0</v>
      </c>
      <c r="LG59" s="1">
        <v>1</v>
      </c>
    </row>
    <row r="60" spans="1:319" x14ac:dyDescent="0.25">
      <c r="A60" s="1">
        <v>203</v>
      </c>
      <c r="B60" s="1">
        <v>33.333333333333329</v>
      </c>
      <c r="C60" s="1">
        <v>66.666666666666657</v>
      </c>
      <c r="D60" s="1">
        <v>15</v>
      </c>
      <c r="E60" s="1">
        <v>100</v>
      </c>
      <c r="F60" s="1">
        <v>0</v>
      </c>
      <c r="G60" s="1">
        <v>10</v>
      </c>
      <c r="H60" s="1">
        <v>88.8888888888889</v>
      </c>
      <c r="I60" s="1">
        <v>11.111111111111112</v>
      </c>
      <c r="J60" s="1">
        <v>9</v>
      </c>
      <c r="K60" s="1">
        <v>1</v>
      </c>
      <c r="L60" s="1">
        <v>14.353199999999994</v>
      </c>
      <c r="M60" s="1">
        <v>4.7843999999999998</v>
      </c>
      <c r="N60" s="1">
        <v>2.8706400000000007</v>
      </c>
      <c r="O60" s="1">
        <v>3.8275199999999998</v>
      </c>
      <c r="P60" s="1">
        <v>0</v>
      </c>
      <c r="Q60" s="1">
        <v>5.7412800000000015</v>
      </c>
      <c r="R60" s="1">
        <v>0.95687999999999995</v>
      </c>
      <c r="S60" s="1">
        <v>1.9137599999999999</v>
      </c>
      <c r="T60" s="1">
        <v>3.8275199999999998</v>
      </c>
      <c r="U60" s="1">
        <v>1.9137599999999999</v>
      </c>
      <c r="V60" s="1">
        <v>0.95687999999999995</v>
      </c>
      <c r="W60" s="1">
        <v>0.33333333333333326</v>
      </c>
      <c r="X60" s="1">
        <v>0.20000000000000004</v>
      </c>
      <c r="Y60" s="1">
        <v>0.26666666666666666</v>
      </c>
      <c r="Z60" s="1">
        <v>0</v>
      </c>
      <c r="AA60" s="1">
        <v>0.40000000000000008</v>
      </c>
      <c r="AB60" s="1">
        <v>6.6666666666666666E-2</v>
      </c>
      <c r="AC60" s="1">
        <v>0.13333333333333333</v>
      </c>
      <c r="AD60" s="1">
        <v>0.26666666666666666</v>
      </c>
      <c r="AE60" s="1">
        <v>0.13333333333333333</v>
      </c>
      <c r="AF60" s="1">
        <v>6.6666666666666666E-2</v>
      </c>
      <c r="AG60" s="1">
        <v>1</v>
      </c>
      <c r="AH60" s="1">
        <v>15</v>
      </c>
      <c r="AI60" s="1">
        <v>1</v>
      </c>
      <c r="AJ60" s="1">
        <v>13.396320000000001</v>
      </c>
      <c r="AK60" s="1">
        <v>7.6550399999999996</v>
      </c>
      <c r="AL60" s="1">
        <v>11.482560000000003</v>
      </c>
      <c r="AM60" s="1">
        <v>7.6550399999999996</v>
      </c>
      <c r="AN60" s="1">
        <v>8.6119199999999996</v>
      </c>
      <c r="AO60" s="1">
        <v>1.9137599999999999</v>
      </c>
      <c r="AP60" s="1">
        <v>1.9137599999999999</v>
      </c>
      <c r="AQ60" s="1">
        <v>0.57142857142857129</v>
      </c>
      <c r="AR60" s="1">
        <v>0.85714285714285721</v>
      </c>
      <c r="AS60" s="1">
        <v>0.57142857142857129</v>
      </c>
      <c r="AT60" s="1">
        <v>0.6428571428571429</v>
      </c>
      <c r="AU60" s="1">
        <v>0.14285714285714282</v>
      </c>
      <c r="AV60" s="1">
        <v>0.14285714285714282</v>
      </c>
      <c r="AW60" s="1">
        <v>1</v>
      </c>
      <c r="AX60" s="1">
        <v>14</v>
      </c>
      <c r="AY60" s="1">
        <v>9.384615384615385</v>
      </c>
      <c r="AZ60" s="1">
        <v>9.615384615384615</v>
      </c>
      <c r="BA60" s="1">
        <v>9.4166666666666661</v>
      </c>
      <c r="BB60" s="1">
        <v>0</v>
      </c>
      <c r="BC60" s="1">
        <v>0</v>
      </c>
      <c r="BD60" s="1">
        <v>0</v>
      </c>
      <c r="BE60" s="1">
        <v>0</v>
      </c>
      <c r="BF60" s="1">
        <v>7.6923076923076925</v>
      </c>
      <c r="BG60" s="1">
        <v>0</v>
      </c>
      <c r="BH60" s="1">
        <v>7.6923076923076925</v>
      </c>
      <c r="BI60" s="1">
        <v>0</v>
      </c>
      <c r="BJ60" s="1">
        <v>0</v>
      </c>
      <c r="BK60" s="1">
        <v>84.615384615384613</v>
      </c>
      <c r="BL60" s="1">
        <v>9.384615384615385</v>
      </c>
      <c r="BM60" s="1">
        <v>13</v>
      </c>
      <c r="BN60" s="1">
        <v>0</v>
      </c>
      <c r="BO60" s="1">
        <v>0</v>
      </c>
      <c r="BP60" s="1">
        <v>0</v>
      </c>
      <c r="BQ60" s="1">
        <v>0</v>
      </c>
      <c r="BR60" s="1">
        <v>7.6923076923076925</v>
      </c>
      <c r="BS60" s="1">
        <v>0</v>
      </c>
      <c r="BT60" s="1">
        <v>0</v>
      </c>
      <c r="BU60" s="1">
        <v>0</v>
      </c>
      <c r="BV60" s="1">
        <v>0</v>
      </c>
      <c r="BW60" s="1">
        <v>92.307692307692307</v>
      </c>
      <c r="BX60" s="1">
        <v>9.6153846153846132</v>
      </c>
      <c r="BY60" s="1">
        <v>13</v>
      </c>
      <c r="BZ60" s="1">
        <v>0</v>
      </c>
      <c r="CA60" s="1">
        <v>0</v>
      </c>
      <c r="CB60" s="1">
        <v>0</v>
      </c>
      <c r="CC60" s="1">
        <v>0</v>
      </c>
      <c r="CD60" s="1">
        <v>8.3333333333333304</v>
      </c>
      <c r="CE60" s="1">
        <v>0</v>
      </c>
      <c r="CF60" s="1">
        <v>0</v>
      </c>
      <c r="CG60" s="1">
        <v>0</v>
      </c>
      <c r="CH60" s="1">
        <v>16.666666666666661</v>
      </c>
      <c r="CI60" s="1">
        <v>75</v>
      </c>
      <c r="CJ60" s="1">
        <v>9.4166666666666661</v>
      </c>
      <c r="CK60" s="1">
        <v>12</v>
      </c>
      <c r="CL60" s="1">
        <v>28.571428571428559</v>
      </c>
      <c r="CM60" s="1">
        <v>49.999999999999993</v>
      </c>
      <c r="CN60" s="1">
        <v>14.285714285714279</v>
      </c>
      <c r="CO60" s="1">
        <v>7.1428571428571397</v>
      </c>
      <c r="CP60" s="1">
        <v>0</v>
      </c>
      <c r="CQ60" s="1">
        <v>14</v>
      </c>
      <c r="CR60" s="1">
        <v>92.857142857142875</v>
      </c>
      <c r="CS60" s="1">
        <v>0</v>
      </c>
      <c r="CT60" s="1">
        <v>7.1428571428571397</v>
      </c>
      <c r="CU60" s="1">
        <v>0</v>
      </c>
      <c r="CV60" s="1">
        <v>0</v>
      </c>
      <c r="CW60" s="1">
        <v>14</v>
      </c>
      <c r="CX60" s="1">
        <v>78.571428571428584</v>
      </c>
      <c r="CY60" s="1">
        <v>14.285714285714279</v>
      </c>
      <c r="CZ60" s="1">
        <v>7.1428571428571397</v>
      </c>
      <c r="DA60" s="1">
        <v>0</v>
      </c>
      <c r="DB60" s="1">
        <v>0</v>
      </c>
      <c r="DC60" s="1">
        <v>14</v>
      </c>
      <c r="DD60" s="1">
        <v>64.285714285714306</v>
      </c>
      <c r="DE60" s="1">
        <v>21.428571428571427</v>
      </c>
      <c r="DF60" s="1">
        <v>7.1428571428571397</v>
      </c>
      <c r="DG60" s="1">
        <v>7.1428571428571397</v>
      </c>
      <c r="DH60" s="1">
        <v>0</v>
      </c>
      <c r="DI60" s="1">
        <v>14</v>
      </c>
      <c r="DJ60" s="1">
        <v>63.636363636363633</v>
      </c>
      <c r="DK60" s="1">
        <v>27.272727272727266</v>
      </c>
      <c r="DL60" s="1">
        <v>9.0909090909090917</v>
      </c>
      <c r="DM60" s="1">
        <v>0</v>
      </c>
      <c r="DN60" s="1">
        <v>0</v>
      </c>
      <c r="DO60" s="1">
        <v>11</v>
      </c>
      <c r="DP60" s="1">
        <v>92.857142857142875</v>
      </c>
      <c r="DQ60" s="1">
        <v>0</v>
      </c>
      <c r="DR60" s="1">
        <v>7.1428571428571397</v>
      </c>
      <c r="DS60" s="1">
        <v>0</v>
      </c>
      <c r="DT60" s="1">
        <v>0</v>
      </c>
      <c r="DU60" s="1">
        <v>14</v>
      </c>
      <c r="DV60" s="1">
        <v>71.428571428571431</v>
      </c>
      <c r="DW60" s="1">
        <v>14.285714285714279</v>
      </c>
      <c r="DX60" s="1">
        <v>14.285714285714279</v>
      </c>
      <c r="DY60" s="1">
        <v>0</v>
      </c>
      <c r="DZ60" s="1">
        <v>0</v>
      </c>
      <c r="EA60" s="1">
        <v>14</v>
      </c>
      <c r="EB60" s="1">
        <v>99.999999999999986</v>
      </c>
      <c r="EC60" s="1">
        <v>0</v>
      </c>
      <c r="ED60" s="1">
        <v>0</v>
      </c>
      <c r="EE60" s="1">
        <v>0</v>
      </c>
      <c r="EF60" s="1">
        <v>0</v>
      </c>
      <c r="EG60" s="1">
        <v>2</v>
      </c>
      <c r="EH60" s="1">
        <v>0</v>
      </c>
      <c r="EI60" s="1">
        <v>99.999999999999986</v>
      </c>
      <c r="EJ60" s="1">
        <v>0</v>
      </c>
      <c r="EK60" s="1">
        <v>0</v>
      </c>
      <c r="EL60" s="1">
        <v>0</v>
      </c>
      <c r="EM60" s="1">
        <v>1</v>
      </c>
      <c r="EN60" s="1">
        <v>37.5</v>
      </c>
      <c r="EO60" s="1">
        <v>49.999999999999993</v>
      </c>
      <c r="EP60" s="1">
        <v>12.499999999999998</v>
      </c>
      <c r="EQ60" s="1">
        <v>0</v>
      </c>
      <c r="ER60" s="1">
        <v>0</v>
      </c>
      <c r="ES60" s="1">
        <v>8</v>
      </c>
      <c r="ET60" s="1">
        <v>49.999999999999993</v>
      </c>
      <c r="EU60" s="1">
        <v>24.999999999999996</v>
      </c>
      <c r="EV60" s="1">
        <v>24.999999999999996</v>
      </c>
      <c r="EW60" s="1">
        <v>0</v>
      </c>
      <c r="EX60" s="1">
        <v>0</v>
      </c>
      <c r="EY60" s="1">
        <v>8</v>
      </c>
      <c r="EZ60" s="1">
        <v>66.666666666666643</v>
      </c>
      <c r="FA60" s="1">
        <v>33.333333333333321</v>
      </c>
      <c r="FB60" s="1">
        <v>0</v>
      </c>
      <c r="FC60" s="1">
        <v>0</v>
      </c>
      <c r="FD60" s="1">
        <v>0</v>
      </c>
      <c r="FE60" s="1">
        <v>3</v>
      </c>
      <c r="FF60" s="1">
        <v>33.333333333333321</v>
      </c>
      <c r="FG60" s="1">
        <v>66.666666666666643</v>
      </c>
      <c r="FH60" s="1">
        <v>0</v>
      </c>
      <c r="FI60" s="1">
        <v>0</v>
      </c>
      <c r="FJ60" s="1">
        <v>0</v>
      </c>
      <c r="FK60" s="1">
        <v>3</v>
      </c>
      <c r="FL60" s="1">
        <v>24.999999999999996</v>
      </c>
      <c r="FM60" s="1">
        <v>24.999999999999996</v>
      </c>
      <c r="FN60" s="1">
        <v>24.999999999999996</v>
      </c>
      <c r="FO60" s="1">
        <v>24.999999999999996</v>
      </c>
      <c r="FP60" s="1">
        <v>0</v>
      </c>
      <c r="FQ60" s="1">
        <v>4</v>
      </c>
      <c r="FR60" s="1">
        <v>100</v>
      </c>
      <c r="FS60" s="1">
        <v>0</v>
      </c>
      <c r="FT60" s="1">
        <v>0</v>
      </c>
      <c r="FU60" s="1">
        <v>0</v>
      </c>
      <c r="FV60" s="1">
        <v>0</v>
      </c>
      <c r="FW60" s="1">
        <v>5</v>
      </c>
      <c r="FX60" s="1">
        <v>92.307692307692307</v>
      </c>
      <c r="FY60" s="1">
        <v>0</v>
      </c>
      <c r="FZ60" s="1">
        <v>7.6923076923076925</v>
      </c>
      <c r="GA60" s="1">
        <v>0</v>
      </c>
      <c r="GB60" s="1">
        <v>0</v>
      </c>
      <c r="GC60" s="1">
        <v>13</v>
      </c>
      <c r="GD60" s="1">
        <v>0</v>
      </c>
      <c r="GE60" s="1">
        <v>0</v>
      </c>
      <c r="GF60" s="1">
        <v>99.999999999999986</v>
      </c>
      <c r="GG60" s="1">
        <v>0</v>
      </c>
      <c r="GH60" s="1">
        <v>0</v>
      </c>
      <c r="GI60" s="1">
        <v>2</v>
      </c>
      <c r="GJ60" s="1">
        <v>0</v>
      </c>
      <c r="GK60" s="1">
        <v>99.999999999999986</v>
      </c>
      <c r="GL60" s="1">
        <v>0</v>
      </c>
      <c r="GM60" s="1">
        <v>0</v>
      </c>
      <c r="GN60" s="1">
        <v>0</v>
      </c>
      <c r="GO60" s="1">
        <v>1</v>
      </c>
      <c r="GP60" s="1">
        <v>90.909090909090921</v>
      </c>
      <c r="GQ60" s="1">
        <v>9.0909090909090917</v>
      </c>
      <c r="GR60" s="1">
        <v>0</v>
      </c>
      <c r="GS60" s="1">
        <v>0</v>
      </c>
      <c r="GT60" s="1">
        <v>0</v>
      </c>
      <c r="GU60" s="1">
        <v>11</v>
      </c>
      <c r="GV60" s="1">
        <v>100</v>
      </c>
      <c r="GW60" s="1">
        <v>0</v>
      </c>
      <c r="GX60" s="1">
        <v>0</v>
      </c>
      <c r="GY60" s="1">
        <v>0</v>
      </c>
      <c r="GZ60" s="1">
        <v>0</v>
      </c>
      <c r="HA60" s="1">
        <v>11</v>
      </c>
      <c r="HB60" s="1">
        <v>49.999999999999993</v>
      </c>
      <c r="HC60" s="1">
        <v>49.999999999999993</v>
      </c>
      <c r="HD60" s="1">
        <v>0</v>
      </c>
      <c r="HE60" s="1">
        <v>0</v>
      </c>
      <c r="HF60" s="1">
        <v>0</v>
      </c>
      <c r="HG60" s="1">
        <v>2</v>
      </c>
      <c r="HH60" s="1">
        <v>99.999999999999986</v>
      </c>
      <c r="HI60" s="1">
        <v>0</v>
      </c>
      <c r="HJ60" s="1">
        <v>0</v>
      </c>
      <c r="HK60" s="1">
        <v>0</v>
      </c>
      <c r="HL60" s="1">
        <v>0</v>
      </c>
      <c r="HM60" s="1">
        <v>2</v>
      </c>
      <c r="HN60" s="1">
        <v>0</v>
      </c>
      <c r="HO60" s="1">
        <v>0</v>
      </c>
      <c r="HP60" s="1">
        <v>0</v>
      </c>
      <c r="HQ60" s="1">
        <v>0</v>
      </c>
      <c r="HR60" s="1">
        <v>0</v>
      </c>
      <c r="HS60" s="1">
        <v>0</v>
      </c>
      <c r="HT60" s="1">
        <v>0</v>
      </c>
      <c r="HU60" s="1">
        <v>0</v>
      </c>
      <c r="HV60" s="1">
        <v>0</v>
      </c>
      <c r="HW60" s="1">
        <v>0</v>
      </c>
      <c r="HX60" s="1">
        <v>0</v>
      </c>
      <c r="HY60" s="1">
        <v>0</v>
      </c>
      <c r="HZ60" s="1">
        <v>0</v>
      </c>
      <c r="IA60" s="1">
        <v>0</v>
      </c>
      <c r="IB60" s="1">
        <v>0</v>
      </c>
      <c r="IC60" s="1">
        <v>0</v>
      </c>
      <c r="ID60" s="1">
        <v>0</v>
      </c>
      <c r="IE60" s="1">
        <v>0</v>
      </c>
      <c r="IF60" s="1">
        <v>9.615384615384615</v>
      </c>
      <c r="IG60" s="1">
        <v>0</v>
      </c>
      <c r="IH60" s="1">
        <v>0</v>
      </c>
      <c r="II60" s="1">
        <v>0</v>
      </c>
      <c r="IJ60" s="1">
        <v>0</v>
      </c>
      <c r="IK60" s="1">
        <v>0</v>
      </c>
      <c r="IL60" s="1">
        <v>0</v>
      </c>
      <c r="IM60" s="1">
        <v>0</v>
      </c>
      <c r="IN60" s="1">
        <v>7.6923076923076925</v>
      </c>
      <c r="IO60" s="1">
        <v>23.076923076923077</v>
      </c>
      <c r="IP60" s="1">
        <v>69.230769230769255</v>
      </c>
      <c r="IQ60" s="1">
        <v>9.6153846153846132</v>
      </c>
      <c r="IR60" s="1">
        <v>13</v>
      </c>
      <c r="IS60" s="1">
        <v>49.999999999999993</v>
      </c>
      <c r="IT60" s="1">
        <v>35.714285714285715</v>
      </c>
      <c r="IU60" s="1">
        <v>14.285714285714279</v>
      </c>
      <c r="IV60" s="1">
        <v>0</v>
      </c>
      <c r="IW60" s="1">
        <v>0</v>
      </c>
      <c r="IX60" s="1">
        <v>14</v>
      </c>
      <c r="IY60" s="1">
        <v>1</v>
      </c>
      <c r="IZ60" s="1">
        <v>13.396320000000001</v>
      </c>
      <c r="JA60" s="1">
        <v>5.7412800000000015</v>
      </c>
      <c r="JB60" s="1">
        <v>5.7412800000000015</v>
      </c>
      <c r="JC60" s="1">
        <v>2.8706400000000007</v>
      </c>
      <c r="JD60" s="1">
        <v>2.8706400000000007</v>
      </c>
      <c r="JE60" s="1">
        <v>0.4285714285714286</v>
      </c>
      <c r="JF60" s="1">
        <v>0.4285714285714286</v>
      </c>
      <c r="JG60" s="1">
        <v>0.2142857142857143</v>
      </c>
      <c r="JH60" s="1">
        <v>0.2142857142857143</v>
      </c>
      <c r="JI60" s="1">
        <v>1</v>
      </c>
      <c r="JJ60" s="1">
        <v>14</v>
      </c>
      <c r="JK60" s="1">
        <v>2.9166666666666665</v>
      </c>
      <c r="JL60" s="1">
        <v>2.9166666666666652</v>
      </c>
      <c r="JM60" s="1">
        <v>12</v>
      </c>
      <c r="JN60" s="1">
        <v>100</v>
      </c>
      <c r="JO60" s="1">
        <v>0</v>
      </c>
      <c r="JP60" s="1">
        <v>5</v>
      </c>
      <c r="JQ60" s="1">
        <v>100</v>
      </c>
      <c r="JR60" s="1">
        <v>0</v>
      </c>
      <c r="JS60" s="1">
        <v>10</v>
      </c>
      <c r="JT60" s="1">
        <v>100</v>
      </c>
      <c r="JU60" s="1">
        <v>0</v>
      </c>
      <c r="JV60" s="1">
        <v>11</v>
      </c>
      <c r="JW60" s="1">
        <v>100</v>
      </c>
      <c r="JX60" s="1">
        <v>0</v>
      </c>
      <c r="JY60" s="1">
        <v>9</v>
      </c>
      <c r="JZ60" s="1">
        <v>46.666666666666657</v>
      </c>
      <c r="KA60" s="1">
        <v>53.333333333333343</v>
      </c>
      <c r="KB60" s="1">
        <v>15</v>
      </c>
      <c r="KC60" s="1">
        <v>99.999999999999986</v>
      </c>
      <c r="KD60" s="1">
        <v>0</v>
      </c>
      <c r="KE60" s="1">
        <v>14</v>
      </c>
      <c r="KF60" s="1">
        <v>3</v>
      </c>
      <c r="KG60" s="1">
        <v>0</v>
      </c>
      <c r="KH60" s="1">
        <v>38.46153846153846</v>
      </c>
      <c r="KI60" s="1">
        <v>30.76923076923077</v>
      </c>
      <c r="KJ60" s="1">
        <v>23.076923076923077</v>
      </c>
      <c r="KK60" s="1">
        <v>7.6923076923076925</v>
      </c>
      <c r="KL60" s="1">
        <v>13</v>
      </c>
      <c r="KM60" s="1">
        <v>53.384615384615365</v>
      </c>
      <c r="KN60" s="1">
        <v>150</v>
      </c>
      <c r="KO60" s="1">
        <v>0</v>
      </c>
      <c r="KP60" s="1">
        <v>0</v>
      </c>
      <c r="KQ60" s="1">
        <v>0</v>
      </c>
      <c r="KR60" s="1">
        <v>0</v>
      </c>
      <c r="KS60" s="1">
        <v>99.999999999999986</v>
      </c>
      <c r="KT60" s="1">
        <v>1</v>
      </c>
      <c r="KU60" s="1">
        <v>0</v>
      </c>
      <c r="KV60" s="1">
        <v>0</v>
      </c>
      <c r="KW60" s="1">
        <v>0</v>
      </c>
      <c r="KX60" s="1">
        <v>99.999999999999986</v>
      </c>
      <c r="KY60" s="1">
        <v>0</v>
      </c>
      <c r="KZ60" s="1">
        <v>14</v>
      </c>
      <c r="LA60" s="1">
        <v>6.6666666666666679</v>
      </c>
      <c r="LB60" s="1">
        <v>93.333333333333314</v>
      </c>
      <c r="LC60" s="1">
        <v>15</v>
      </c>
      <c r="LD60" s="1">
        <v>0</v>
      </c>
      <c r="LE60" s="1">
        <v>99.999999999999986</v>
      </c>
      <c r="LF60" s="1">
        <v>0</v>
      </c>
      <c r="LG60" s="1">
        <v>1</v>
      </c>
    </row>
    <row r="61" spans="1:319" x14ac:dyDescent="0.25">
      <c r="A61" s="1">
        <v>205</v>
      </c>
      <c r="B61" s="1">
        <v>16.666666666666668</v>
      </c>
      <c r="C61" s="1">
        <v>83.333333333333314</v>
      </c>
      <c r="D61" s="1">
        <v>18</v>
      </c>
      <c r="E61" s="1">
        <v>60</v>
      </c>
      <c r="F61" s="1">
        <v>40.000000000000007</v>
      </c>
      <c r="G61" s="1">
        <v>15</v>
      </c>
      <c r="H61" s="1">
        <v>77.777777777777771</v>
      </c>
      <c r="I61" s="1">
        <v>22.222222222222221</v>
      </c>
      <c r="J61" s="1">
        <v>9</v>
      </c>
      <c r="K61" s="1">
        <v>1</v>
      </c>
      <c r="L61" s="1">
        <v>17.847180000000002</v>
      </c>
      <c r="M61" s="1">
        <v>5.949060000000002</v>
      </c>
      <c r="N61" s="1">
        <v>3.9660400000000009</v>
      </c>
      <c r="O61" s="1">
        <v>2.974530000000001</v>
      </c>
      <c r="P61" s="1">
        <v>0</v>
      </c>
      <c r="Q61" s="1">
        <v>2.974530000000001</v>
      </c>
      <c r="R61" s="1">
        <v>0</v>
      </c>
      <c r="S61" s="1">
        <v>0</v>
      </c>
      <c r="T61" s="1">
        <v>4.9575499999999995</v>
      </c>
      <c r="U61" s="1">
        <v>0.99151000000000022</v>
      </c>
      <c r="V61" s="1">
        <v>3.9660400000000009</v>
      </c>
      <c r="W61" s="1">
        <v>0.3333333333333332</v>
      </c>
      <c r="X61" s="1">
        <v>0.22222222222222227</v>
      </c>
      <c r="Y61" s="1">
        <v>0.1666666666666666</v>
      </c>
      <c r="Z61" s="1">
        <v>0</v>
      </c>
      <c r="AA61" s="1">
        <v>0.1666666666666666</v>
      </c>
      <c r="AB61" s="1">
        <v>0</v>
      </c>
      <c r="AC61" s="1">
        <v>0</v>
      </c>
      <c r="AD61" s="1">
        <v>0.27777777777777773</v>
      </c>
      <c r="AE61" s="1">
        <v>5.5555555555555566E-2</v>
      </c>
      <c r="AF61" s="1">
        <v>0.22222222222222227</v>
      </c>
      <c r="AG61" s="1">
        <v>1</v>
      </c>
      <c r="AH61" s="1">
        <v>18</v>
      </c>
      <c r="AI61" s="1">
        <v>1</v>
      </c>
      <c r="AJ61" s="1">
        <v>16.855669999999996</v>
      </c>
      <c r="AK61" s="1">
        <v>8.9235900000000008</v>
      </c>
      <c r="AL61" s="1">
        <v>12.889630000000006</v>
      </c>
      <c r="AM61" s="1">
        <v>6.9405699999999975</v>
      </c>
      <c r="AN61" s="1">
        <v>8.9235900000000008</v>
      </c>
      <c r="AO61" s="1">
        <v>1.9830200000000004</v>
      </c>
      <c r="AP61" s="1">
        <v>2.974530000000001</v>
      </c>
      <c r="AQ61" s="1">
        <v>0.52941176470588236</v>
      </c>
      <c r="AR61" s="1">
        <v>0.76470588235294157</v>
      </c>
      <c r="AS61" s="1">
        <v>0.41176470588235309</v>
      </c>
      <c r="AT61" s="1">
        <v>0.52941176470588236</v>
      </c>
      <c r="AU61" s="1">
        <v>0.11764705882352941</v>
      </c>
      <c r="AV61" s="1">
        <v>0.17647058823529405</v>
      </c>
      <c r="AW61" s="1">
        <v>1</v>
      </c>
      <c r="AX61" s="1">
        <v>17</v>
      </c>
      <c r="AY61" s="1">
        <v>10</v>
      </c>
      <c r="AZ61" s="1">
        <v>10</v>
      </c>
      <c r="BA61" s="1">
        <v>10</v>
      </c>
      <c r="BB61" s="1">
        <v>0</v>
      </c>
      <c r="BC61" s="1">
        <v>0</v>
      </c>
      <c r="BD61" s="1">
        <v>0</v>
      </c>
      <c r="BE61" s="1">
        <v>0</v>
      </c>
      <c r="BF61" s="1">
        <v>0</v>
      </c>
      <c r="BG61" s="1">
        <v>0</v>
      </c>
      <c r="BH61" s="1">
        <v>0</v>
      </c>
      <c r="BI61" s="1">
        <v>0</v>
      </c>
      <c r="BJ61" s="1">
        <v>0</v>
      </c>
      <c r="BK61" s="1">
        <v>100</v>
      </c>
      <c r="BL61" s="1">
        <v>9.9999999999999982</v>
      </c>
      <c r="BM61" s="1">
        <v>18</v>
      </c>
      <c r="BN61" s="1">
        <v>0</v>
      </c>
      <c r="BO61" s="1">
        <v>0</v>
      </c>
      <c r="BP61" s="1">
        <v>0</v>
      </c>
      <c r="BQ61" s="1">
        <v>0</v>
      </c>
      <c r="BR61" s="1">
        <v>0</v>
      </c>
      <c r="BS61" s="1">
        <v>0</v>
      </c>
      <c r="BT61" s="1">
        <v>0</v>
      </c>
      <c r="BU61" s="1">
        <v>0</v>
      </c>
      <c r="BV61" s="1">
        <v>0</v>
      </c>
      <c r="BW61" s="1">
        <v>100</v>
      </c>
      <c r="BX61" s="1">
        <v>9.9999999999999982</v>
      </c>
      <c r="BY61" s="1">
        <v>18</v>
      </c>
      <c r="BZ61" s="1">
        <v>0</v>
      </c>
      <c r="CA61" s="1">
        <v>0</v>
      </c>
      <c r="CB61" s="1">
        <v>0</v>
      </c>
      <c r="CC61" s="1">
        <v>0</v>
      </c>
      <c r="CD61" s="1">
        <v>0</v>
      </c>
      <c r="CE61" s="1">
        <v>0</v>
      </c>
      <c r="CF61" s="1">
        <v>0</v>
      </c>
      <c r="CG61" s="1">
        <v>0</v>
      </c>
      <c r="CH61" s="1">
        <v>0</v>
      </c>
      <c r="CI61" s="1">
        <v>100</v>
      </c>
      <c r="CJ61" s="1">
        <v>9.9999999999999982</v>
      </c>
      <c r="CK61" s="1">
        <v>18</v>
      </c>
      <c r="CL61" s="1">
        <v>52.941176470588267</v>
      </c>
      <c r="CM61" s="1">
        <v>47.05882352941174</v>
      </c>
      <c r="CN61" s="1">
        <v>0</v>
      </c>
      <c r="CO61" s="1">
        <v>0</v>
      </c>
      <c r="CP61" s="1">
        <v>0</v>
      </c>
      <c r="CQ61" s="1">
        <v>17</v>
      </c>
      <c r="CR61" s="1">
        <v>89.473684210526272</v>
      </c>
      <c r="CS61" s="1">
        <v>5.2631578947368398</v>
      </c>
      <c r="CT61" s="1">
        <v>5.2631578947368398</v>
      </c>
      <c r="CU61" s="1">
        <v>0</v>
      </c>
      <c r="CV61" s="1">
        <v>0</v>
      </c>
      <c r="CW61" s="1">
        <v>19</v>
      </c>
      <c r="CX61" s="1">
        <v>78.947368421052644</v>
      </c>
      <c r="CY61" s="1">
        <v>10.52631578947368</v>
      </c>
      <c r="CZ61" s="1">
        <v>10.52631578947368</v>
      </c>
      <c r="DA61" s="1">
        <v>0</v>
      </c>
      <c r="DB61" s="1">
        <v>0</v>
      </c>
      <c r="DC61" s="1">
        <v>19</v>
      </c>
      <c r="DD61" s="1">
        <v>73.684210526315809</v>
      </c>
      <c r="DE61" s="1">
        <v>26.315789473684216</v>
      </c>
      <c r="DF61" s="1">
        <v>0</v>
      </c>
      <c r="DG61" s="1">
        <v>0</v>
      </c>
      <c r="DH61" s="1">
        <v>0</v>
      </c>
      <c r="DI61" s="1">
        <v>19</v>
      </c>
      <c r="DJ61" s="1">
        <v>78.947368421052644</v>
      </c>
      <c r="DK61" s="1">
        <v>15.789473684210524</v>
      </c>
      <c r="DL61" s="1">
        <v>5.2631578947368398</v>
      </c>
      <c r="DM61" s="1">
        <v>0</v>
      </c>
      <c r="DN61" s="1">
        <v>0</v>
      </c>
      <c r="DO61" s="1">
        <v>19</v>
      </c>
      <c r="DP61" s="1">
        <v>89.473684210526272</v>
      </c>
      <c r="DQ61" s="1">
        <v>10.52631578947368</v>
      </c>
      <c r="DR61" s="1">
        <v>0</v>
      </c>
      <c r="DS61" s="1">
        <v>0</v>
      </c>
      <c r="DT61" s="1">
        <v>0</v>
      </c>
      <c r="DU61" s="1">
        <v>19</v>
      </c>
      <c r="DV61" s="1">
        <v>94.117647058823479</v>
      </c>
      <c r="DW61" s="1">
        <v>5.8823529411764675</v>
      </c>
      <c r="DX61" s="1">
        <v>0</v>
      </c>
      <c r="DY61" s="1">
        <v>0</v>
      </c>
      <c r="DZ61" s="1">
        <v>0</v>
      </c>
      <c r="EA61" s="1">
        <v>17</v>
      </c>
      <c r="EB61" s="1">
        <v>100</v>
      </c>
      <c r="EC61" s="1">
        <v>0</v>
      </c>
      <c r="ED61" s="1">
        <v>0</v>
      </c>
      <c r="EE61" s="1">
        <v>0</v>
      </c>
      <c r="EF61" s="1">
        <v>0</v>
      </c>
      <c r="EG61" s="1">
        <v>4</v>
      </c>
      <c r="EH61" s="1">
        <v>100</v>
      </c>
      <c r="EI61" s="1">
        <v>0</v>
      </c>
      <c r="EJ61" s="1">
        <v>0</v>
      </c>
      <c r="EK61" s="1">
        <v>0</v>
      </c>
      <c r="EL61" s="1">
        <v>0</v>
      </c>
      <c r="EM61" s="1">
        <v>3</v>
      </c>
      <c r="EN61" s="1">
        <v>25</v>
      </c>
      <c r="EO61" s="1">
        <v>66.666666666666657</v>
      </c>
      <c r="EP61" s="1">
        <v>8.3333333333333321</v>
      </c>
      <c r="EQ61" s="1">
        <v>0</v>
      </c>
      <c r="ER61" s="1">
        <v>0</v>
      </c>
      <c r="ES61" s="1">
        <v>12</v>
      </c>
      <c r="ET61" s="1">
        <v>28.571428571428562</v>
      </c>
      <c r="EU61" s="1">
        <v>64.285714285714292</v>
      </c>
      <c r="EV61" s="1">
        <v>0</v>
      </c>
      <c r="EW61" s="1">
        <v>7.1428571428571406</v>
      </c>
      <c r="EX61" s="1">
        <v>0</v>
      </c>
      <c r="EY61" s="1">
        <v>14</v>
      </c>
      <c r="EZ61" s="1">
        <v>66.666666666666657</v>
      </c>
      <c r="FA61" s="1">
        <v>33.333333333333329</v>
      </c>
      <c r="FB61" s="1">
        <v>0</v>
      </c>
      <c r="FC61" s="1">
        <v>0</v>
      </c>
      <c r="FD61" s="1">
        <v>0</v>
      </c>
      <c r="FE61" s="1">
        <v>3</v>
      </c>
      <c r="FF61" s="1">
        <v>66.666666666666657</v>
      </c>
      <c r="FG61" s="1">
        <v>33.333333333333329</v>
      </c>
      <c r="FH61" s="1">
        <v>0</v>
      </c>
      <c r="FI61" s="1">
        <v>0</v>
      </c>
      <c r="FJ61" s="1">
        <v>0</v>
      </c>
      <c r="FK61" s="1">
        <v>3</v>
      </c>
      <c r="FL61" s="1">
        <v>90</v>
      </c>
      <c r="FM61" s="1">
        <v>9.9999999999999982</v>
      </c>
      <c r="FN61" s="1">
        <v>0</v>
      </c>
      <c r="FO61" s="1">
        <v>0</v>
      </c>
      <c r="FP61" s="1">
        <v>0</v>
      </c>
      <c r="FQ61" s="1">
        <v>10</v>
      </c>
      <c r="FR61" s="1">
        <v>91.666666666666686</v>
      </c>
      <c r="FS61" s="1">
        <v>8.3333333333333321</v>
      </c>
      <c r="FT61" s="1">
        <v>0</v>
      </c>
      <c r="FU61" s="1">
        <v>0</v>
      </c>
      <c r="FV61" s="1">
        <v>0</v>
      </c>
      <c r="FW61" s="1">
        <v>12</v>
      </c>
      <c r="FX61" s="1">
        <v>100</v>
      </c>
      <c r="FY61" s="1">
        <v>0</v>
      </c>
      <c r="FZ61" s="1">
        <v>0</v>
      </c>
      <c r="GA61" s="1">
        <v>0</v>
      </c>
      <c r="GB61" s="1">
        <v>0</v>
      </c>
      <c r="GC61" s="1">
        <v>19</v>
      </c>
      <c r="GD61" s="1">
        <v>100</v>
      </c>
      <c r="GE61" s="1">
        <v>0</v>
      </c>
      <c r="GF61" s="1">
        <v>0</v>
      </c>
      <c r="GG61" s="1">
        <v>0</v>
      </c>
      <c r="GH61" s="1">
        <v>0</v>
      </c>
      <c r="GI61" s="1">
        <v>9</v>
      </c>
      <c r="GJ61" s="1">
        <v>100</v>
      </c>
      <c r="GK61" s="1">
        <v>0</v>
      </c>
      <c r="GL61" s="1">
        <v>0</v>
      </c>
      <c r="GM61" s="1">
        <v>0</v>
      </c>
      <c r="GN61" s="1">
        <v>0</v>
      </c>
      <c r="GO61" s="1">
        <v>8</v>
      </c>
      <c r="GP61" s="1">
        <v>80.000000000000014</v>
      </c>
      <c r="GQ61" s="1">
        <v>20.000000000000004</v>
      </c>
      <c r="GR61" s="1">
        <v>0</v>
      </c>
      <c r="GS61" s="1">
        <v>0</v>
      </c>
      <c r="GT61" s="1">
        <v>0</v>
      </c>
      <c r="GU61" s="1">
        <v>15</v>
      </c>
      <c r="GV61" s="1">
        <v>93.75</v>
      </c>
      <c r="GW61" s="1">
        <v>6.25</v>
      </c>
      <c r="GX61" s="1">
        <v>0</v>
      </c>
      <c r="GY61" s="1">
        <v>0</v>
      </c>
      <c r="GZ61" s="1">
        <v>0</v>
      </c>
      <c r="HA61" s="1">
        <v>16</v>
      </c>
      <c r="HB61" s="1">
        <v>100</v>
      </c>
      <c r="HC61" s="1">
        <v>0</v>
      </c>
      <c r="HD61" s="1">
        <v>0</v>
      </c>
      <c r="HE61" s="1">
        <v>0</v>
      </c>
      <c r="HF61" s="1">
        <v>0</v>
      </c>
      <c r="HG61" s="1">
        <v>2</v>
      </c>
      <c r="HH61" s="1">
        <v>66.666666666666657</v>
      </c>
      <c r="HI61" s="1">
        <v>33.333333333333329</v>
      </c>
      <c r="HJ61" s="1">
        <v>0</v>
      </c>
      <c r="HK61" s="1">
        <v>0</v>
      </c>
      <c r="HL61" s="1">
        <v>0</v>
      </c>
      <c r="HM61" s="1">
        <v>3</v>
      </c>
      <c r="HN61" s="1">
        <v>0</v>
      </c>
      <c r="HO61" s="1">
        <v>0</v>
      </c>
      <c r="HP61" s="1">
        <v>0</v>
      </c>
      <c r="HQ61" s="1">
        <v>0</v>
      </c>
      <c r="HR61" s="1">
        <v>0</v>
      </c>
      <c r="HS61" s="1">
        <v>0</v>
      </c>
      <c r="HT61" s="1">
        <v>0</v>
      </c>
      <c r="HU61" s="1">
        <v>0</v>
      </c>
      <c r="HV61" s="1">
        <v>0</v>
      </c>
      <c r="HW61" s="1">
        <v>0</v>
      </c>
      <c r="HX61" s="1">
        <v>0</v>
      </c>
      <c r="HY61" s="1">
        <v>0</v>
      </c>
      <c r="HZ61" s="1">
        <v>0</v>
      </c>
      <c r="IA61" s="1">
        <v>0</v>
      </c>
      <c r="IB61" s="1">
        <v>0</v>
      </c>
      <c r="IC61" s="1">
        <v>0</v>
      </c>
      <c r="ID61" s="1">
        <v>0</v>
      </c>
      <c r="IE61" s="1">
        <v>0</v>
      </c>
      <c r="IF61" s="1">
        <v>9.7777777777777786</v>
      </c>
      <c r="IG61" s="1">
        <v>0</v>
      </c>
      <c r="IH61" s="1">
        <v>0</v>
      </c>
      <c r="II61" s="1">
        <v>0</v>
      </c>
      <c r="IJ61" s="1">
        <v>0</v>
      </c>
      <c r="IK61" s="1">
        <v>0</v>
      </c>
      <c r="IL61" s="1">
        <v>0</v>
      </c>
      <c r="IM61" s="1">
        <v>0</v>
      </c>
      <c r="IN61" s="1">
        <v>11.111111111111112</v>
      </c>
      <c r="IO61" s="1">
        <v>0</v>
      </c>
      <c r="IP61" s="1">
        <v>88.8888888888889</v>
      </c>
      <c r="IQ61" s="1">
        <v>9.7777777777777732</v>
      </c>
      <c r="IR61" s="1">
        <v>18</v>
      </c>
      <c r="IS61" s="1">
        <v>66.666666666666671</v>
      </c>
      <c r="IT61" s="1">
        <v>27.777777777777775</v>
      </c>
      <c r="IU61" s="1">
        <v>0</v>
      </c>
      <c r="IV61" s="1">
        <v>5.5555555555555562</v>
      </c>
      <c r="IW61" s="1">
        <v>0</v>
      </c>
      <c r="IX61" s="1">
        <v>18</v>
      </c>
      <c r="IY61" s="1">
        <v>1</v>
      </c>
      <c r="IZ61" s="1">
        <v>17.847180000000002</v>
      </c>
      <c r="JA61" s="1">
        <v>12.889630000000006</v>
      </c>
      <c r="JB61" s="1">
        <v>3.9660400000000009</v>
      </c>
      <c r="JC61" s="1">
        <v>0</v>
      </c>
      <c r="JD61" s="1">
        <v>0.99151000000000022</v>
      </c>
      <c r="JE61" s="1">
        <v>0.72222222222222188</v>
      </c>
      <c r="JF61" s="1">
        <v>0.22222222222222227</v>
      </c>
      <c r="JG61" s="1">
        <v>0</v>
      </c>
      <c r="JH61" s="1">
        <v>5.5555555555555566E-2</v>
      </c>
      <c r="JI61" s="1">
        <v>1</v>
      </c>
      <c r="JJ61" s="1">
        <v>18</v>
      </c>
      <c r="JK61" s="1">
        <v>3.8823529411764706</v>
      </c>
      <c r="JL61" s="1">
        <v>3.8823529411764723</v>
      </c>
      <c r="JM61" s="1">
        <v>17</v>
      </c>
      <c r="JN61" s="1">
        <v>66.666666666666671</v>
      </c>
      <c r="JO61" s="1">
        <v>33.333333333333336</v>
      </c>
      <c r="JP61" s="1">
        <v>9</v>
      </c>
      <c r="JQ61" s="1">
        <v>100</v>
      </c>
      <c r="JR61" s="1">
        <v>0</v>
      </c>
      <c r="JS61" s="1">
        <v>10</v>
      </c>
      <c r="JT61" s="1">
        <v>100</v>
      </c>
      <c r="JU61" s="1">
        <v>0</v>
      </c>
      <c r="JV61" s="1">
        <v>18</v>
      </c>
      <c r="JW61" s="1">
        <v>91.666666666666686</v>
      </c>
      <c r="JX61" s="1">
        <v>8.3333333333333321</v>
      </c>
      <c r="JY61" s="1">
        <v>12</v>
      </c>
      <c r="JZ61" s="1">
        <v>47.05882352941174</v>
      </c>
      <c r="KA61" s="1">
        <v>52.941176470588267</v>
      </c>
      <c r="KB61" s="1">
        <v>17</v>
      </c>
      <c r="KC61" s="1">
        <v>100</v>
      </c>
      <c r="KD61" s="1">
        <v>0</v>
      </c>
      <c r="KE61" s="1">
        <v>15</v>
      </c>
      <c r="KF61" s="1">
        <v>2.8</v>
      </c>
      <c r="KG61" s="1">
        <v>6.6666666666666687</v>
      </c>
      <c r="KH61" s="1">
        <v>33.333333333333336</v>
      </c>
      <c r="KI61" s="1">
        <v>40.000000000000007</v>
      </c>
      <c r="KJ61" s="1">
        <v>13.333333333333337</v>
      </c>
      <c r="KK61" s="1">
        <v>6.6666666666666687</v>
      </c>
      <c r="KL61" s="1">
        <v>15</v>
      </c>
      <c r="KM61" s="1">
        <v>49</v>
      </c>
      <c r="KN61" s="1">
        <v>0</v>
      </c>
      <c r="KO61" s="1">
        <v>0</v>
      </c>
      <c r="KP61" s="1">
        <v>0</v>
      </c>
      <c r="KQ61" s="1">
        <v>0</v>
      </c>
      <c r="KR61" s="1">
        <v>0</v>
      </c>
      <c r="KS61" s="1">
        <v>0</v>
      </c>
      <c r="KT61" s="1">
        <v>0</v>
      </c>
      <c r="KU61" s="1">
        <v>0</v>
      </c>
      <c r="KV61" s="1">
        <v>0</v>
      </c>
      <c r="KW61" s="1">
        <v>0</v>
      </c>
      <c r="KX61" s="1">
        <v>100</v>
      </c>
      <c r="KY61" s="1">
        <v>0</v>
      </c>
      <c r="KZ61" s="1">
        <v>15</v>
      </c>
      <c r="LA61" s="1">
        <v>13.333333333333337</v>
      </c>
      <c r="LB61" s="1">
        <v>86.666666666666686</v>
      </c>
      <c r="LC61" s="1">
        <v>15</v>
      </c>
      <c r="LD61" s="1">
        <v>0</v>
      </c>
      <c r="LE61" s="1">
        <v>0</v>
      </c>
      <c r="LF61" s="1">
        <v>100</v>
      </c>
      <c r="LG61" s="1">
        <v>2</v>
      </c>
    </row>
    <row r="62" spans="1:319" x14ac:dyDescent="0.25">
      <c r="A62" s="1">
        <v>206</v>
      </c>
      <c r="B62" s="1">
        <v>12.000000000000002</v>
      </c>
      <c r="C62" s="1">
        <v>88.000000000000014</v>
      </c>
      <c r="D62" s="1">
        <v>25</v>
      </c>
      <c r="E62" s="1">
        <v>81.818181818181813</v>
      </c>
      <c r="F62" s="1">
        <v>18.181818181818187</v>
      </c>
      <c r="G62" s="1">
        <v>22</v>
      </c>
      <c r="H62" s="1">
        <v>55.55555555555555</v>
      </c>
      <c r="I62" s="1">
        <v>44.44444444444445</v>
      </c>
      <c r="J62" s="1">
        <v>18</v>
      </c>
      <c r="K62" s="1">
        <v>1</v>
      </c>
      <c r="L62" s="1">
        <v>11.929249999999991</v>
      </c>
      <c r="M62" s="1">
        <v>8.1118899999999954</v>
      </c>
      <c r="N62" s="1">
        <v>0</v>
      </c>
      <c r="O62" s="1">
        <v>0.47716999999999976</v>
      </c>
      <c r="P62" s="1">
        <v>1.4315099999999998</v>
      </c>
      <c r="Q62" s="1">
        <v>0.95433999999999952</v>
      </c>
      <c r="R62" s="1">
        <v>0.47716999999999976</v>
      </c>
      <c r="S62" s="1">
        <v>0</v>
      </c>
      <c r="T62" s="1">
        <v>1.4315099999999998</v>
      </c>
      <c r="U62" s="1">
        <v>2.8630199999999997</v>
      </c>
      <c r="V62" s="1">
        <v>1.4315099999999998</v>
      </c>
      <c r="W62" s="1">
        <v>0.68000000000000016</v>
      </c>
      <c r="X62" s="1">
        <v>0</v>
      </c>
      <c r="Y62" s="1">
        <v>4.0000000000000029E-2</v>
      </c>
      <c r="Z62" s="1">
        <v>0.12000000000000006</v>
      </c>
      <c r="AA62" s="1">
        <v>8.0000000000000057E-2</v>
      </c>
      <c r="AB62" s="1">
        <v>4.0000000000000029E-2</v>
      </c>
      <c r="AC62" s="1">
        <v>0</v>
      </c>
      <c r="AD62" s="1">
        <v>0.12000000000000006</v>
      </c>
      <c r="AE62" s="1">
        <v>0.24000000000000019</v>
      </c>
      <c r="AF62" s="1">
        <v>0.12000000000000006</v>
      </c>
      <c r="AG62" s="1">
        <v>1</v>
      </c>
      <c r="AH62" s="1">
        <v>25</v>
      </c>
      <c r="AI62" s="1">
        <v>1</v>
      </c>
      <c r="AJ62" s="1">
        <v>11.452079999999997</v>
      </c>
      <c r="AK62" s="1">
        <v>8.5890599999999964</v>
      </c>
      <c r="AL62" s="1">
        <v>7.1575500000000032</v>
      </c>
      <c r="AM62" s="1">
        <v>8.1118899999999954</v>
      </c>
      <c r="AN62" s="1">
        <v>10.020569999999994</v>
      </c>
      <c r="AO62" s="1">
        <v>0.47716999999999976</v>
      </c>
      <c r="AP62" s="1">
        <v>0.95433999999999952</v>
      </c>
      <c r="AQ62" s="1">
        <v>0.75000000000000011</v>
      </c>
      <c r="AR62" s="1">
        <v>0.62500000000000011</v>
      </c>
      <c r="AS62" s="1">
        <v>0.7083333333333337</v>
      </c>
      <c r="AT62" s="1">
        <v>0.87500000000000011</v>
      </c>
      <c r="AU62" s="1">
        <v>4.1666666666666713E-2</v>
      </c>
      <c r="AV62" s="1">
        <v>8.3333333333333426E-2</v>
      </c>
      <c r="AW62" s="1">
        <v>1</v>
      </c>
      <c r="AX62" s="1">
        <v>24</v>
      </c>
      <c r="AY62" s="1">
        <v>9.84</v>
      </c>
      <c r="AZ62" s="1">
        <v>9.8800000000000008</v>
      </c>
      <c r="BA62" s="1">
        <v>9.9523809523809526</v>
      </c>
      <c r="BB62" s="1">
        <v>0</v>
      </c>
      <c r="BC62" s="1">
        <v>0</v>
      </c>
      <c r="BD62" s="1">
        <v>0</v>
      </c>
      <c r="BE62" s="1">
        <v>0</v>
      </c>
      <c r="BF62" s="1">
        <v>0</v>
      </c>
      <c r="BG62" s="1">
        <v>0</v>
      </c>
      <c r="BH62" s="1">
        <v>0</v>
      </c>
      <c r="BI62" s="1">
        <v>8.0000000000000018</v>
      </c>
      <c r="BJ62" s="1">
        <v>0</v>
      </c>
      <c r="BK62" s="1">
        <v>92</v>
      </c>
      <c r="BL62" s="1">
        <v>9.8400000000000016</v>
      </c>
      <c r="BM62" s="1">
        <v>25</v>
      </c>
      <c r="BN62" s="1">
        <v>0</v>
      </c>
      <c r="BO62" s="1">
        <v>0</v>
      </c>
      <c r="BP62" s="1">
        <v>0</v>
      </c>
      <c r="BQ62" s="1">
        <v>0</v>
      </c>
      <c r="BR62" s="1">
        <v>0</v>
      </c>
      <c r="BS62" s="1">
        <v>0</v>
      </c>
      <c r="BT62" s="1">
        <v>4.0000000000000009</v>
      </c>
      <c r="BU62" s="1">
        <v>0</v>
      </c>
      <c r="BV62" s="1">
        <v>0</v>
      </c>
      <c r="BW62" s="1">
        <v>96.000000000000014</v>
      </c>
      <c r="BX62" s="1">
        <v>9.8799999999999972</v>
      </c>
      <c r="BY62" s="1">
        <v>25</v>
      </c>
      <c r="BZ62" s="1">
        <v>0</v>
      </c>
      <c r="CA62" s="1">
        <v>0</v>
      </c>
      <c r="CB62" s="1">
        <v>0</v>
      </c>
      <c r="CC62" s="1">
        <v>0</v>
      </c>
      <c r="CD62" s="1">
        <v>0</v>
      </c>
      <c r="CE62" s="1">
        <v>0</v>
      </c>
      <c r="CF62" s="1">
        <v>0</v>
      </c>
      <c r="CG62" s="1">
        <v>0</v>
      </c>
      <c r="CH62" s="1">
        <v>4.7619047619047601</v>
      </c>
      <c r="CI62" s="1">
        <v>95.238095238095227</v>
      </c>
      <c r="CJ62" s="1">
        <v>9.9523809523809561</v>
      </c>
      <c r="CK62" s="1">
        <v>21</v>
      </c>
      <c r="CL62" s="1">
        <v>30.434782608695656</v>
      </c>
      <c r="CM62" s="1">
        <v>56.521739130434774</v>
      </c>
      <c r="CN62" s="1">
        <v>0</v>
      </c>
      <c r="CO62" s="1">
        <v>13.043478260869565</v>
      </c>
      <c r="CP62" s="1">
        <v>0</v>
      </c>
      <c r="CQ62" s="1">
        <v>23</v>
      </c>
      <c r="CR62" s="1">
        <v>75.000000000000014</v>
      </c>
      <c r="CS62" s="1">
        <v>25.000000000000004</v>
      </c>
      <c r="CT62" s="1">
        <v>0</v>
      </c>
      <c r="CU62" s="1">
        <v>0</v>
      </c>
      <c r="CV62" s="1">
        <v>0</v>
      </c>
      <c r="CW62" s="1">
        <v>24</v>
      </c>
      <c r="CX62" s="1">
        <v>95.833333333333314</v>
      </c>
      <c r="CY62" s="1">
        <v>4.1666666666666705</v>
      </c>
      <c r="CZ62" s="1">
        <v>0</v>
      </c>
      <c r="DA62" s="1">
        <v>0</v>
      </c>
      <c r="DB62" s="1">
        <v>0</v>
      </c>
      <c r="DC62" s="1">
        <v>24</v>
      </c>
      <c r="DD62" s="1">
        <v>83.333333333333314</v>
      </c>
      <c r="DE62" s="1">
        <v>12.500000000000002</v>
      </c>
      <c r="DF62" s="1">
        <v>4.1666666666666705</v>
      </c>
      <c r="DG62" s="1">
        <v>0</v>
      </c>
      <c r="DH62" s="1">
        <v>0</v>
      </c>
      <c r="DI62" s="1">
        <v>24</v>
      </c>
      <c r="DJ62" s="1">
        <v>79.166666666666728</v>
      </c>
      <c r="DK62" s="1">
        <v>20.833333333333357</v>
      </c>
      <c r="DL62" s="1">
        <v>0</v>
      </c>
      <c r="DM62" s="1">
        <v>0</v>
      </c>
      <c r="DN62" s="1">
        <v>0</v>
      </c>
      <c r="DO62" s="1">
        <v>24</v>
      </c>
      <c r="DP62" s="1">
        <v>100.00000000000001</v>
      </c>
      <c r="DQ62" s="1">
        <v>0</v>
      </c>
      <c r="DR62" s="1">
        <v>0</v>
      </c>
      <c r="DS62" s="1">
        <v>0</v>
      </c>
      <c r="DT62" s="1">
        <v>0</v>
      </c>
      <c r="DU62" s="1">
        <v>24</v>
      </c>
      <c r="DV62" s="1">
        <v>72.727272727272762</v>
      </c>
      <c r="DW62" s="1">
        <v>22.727272727272744</v>
      </c>
      <c r="DX62" s="1">
        <v>0</v>
      </c>
      <c r="DY62" s="1">
        <v>4.5454545454545467</v>
      </c>
      <c r="DZ62" s="1">
        <v>0</v>
      </c>
      <c r="EA62" s="1">
        <v>22</v>
      </c>
      <c r="EB62" s="1">
        <v>0</v>
      </c>
      <c r="EC62" s="1">
        <v>0</v>
      </c>
      <c r="ED62" s="1">
        <v>0</v>
      </c>
      <c r="EE62" s="1">
        <v>0</v>
      </c>
      <c r="EF62" s="1">
        <v>0</v>
      </c>
      <c r="EG62" s="1">
        <v>0</v>
      </c>
      <c r="EH62" s="1">
        <v>0</v>
      </c>
      <c r="EI62" s="1">
        <v>0</v>
      </c>
      <c r="EJ62" s="1">
        <v>0</v>
      </c>
      <c r="EK62" s="1">
        <v>0</v>
      </c>
      <c r="EL62" s="1">
        <v>0</v>
      </c>
      <c r="EM62" s="1">
        <v>0</v>
      </c>
      <c r="EN62" s="1">
        <v>29.411764705882351</v>
      </c>
      <c r="EO62" s="1">
        <v>58.823529411764703</v>
      </c>
      <c r="EP62" s="1">
        <v>11.764705882352935</v>
      </c>
      <c r="EQ62" s="1">
        <v>0</v>
      </c>
      <c r="ER62" s="1">
        <v>0</v>
      </c>
      <c r="ES62" s="1">
        <v>17</v>
      </c>
      <c r="ET62" s="1">
        <v>31.25</v>
      </c>
      <c r="EU62" s="1">
        <v>56.249999999999993</v>
      </c>
      <c r="EV62" s="1">
        <v>12.499999999999998</v>
      </c>
      <c r="EW62" s="1">
        <v>0</v>
      </c>
      <c r="EX62" s="1">
        <v>0</v>
      </c>
      <c r="EY62" s="1">
        <v>16</v>
      </c>
      <c r="EZ62" s="1">
        <v>33.333333333333343</v>
      </c>
      <c r="FA62" s="1">
        <v>33.333333333333343</v>
      </c>
      <c r="FB62" s="1">
        <v>33.333333333333343</v>
      </c>
      <c r="FC62" s="1">
        <v>0</v>
      </c>
      <c r="FD62" s="1">
        <v>0</v>
      </c>
      <c r="FE62" s="1">
        <v>6</v>
      </c>
      <c r="FF62" s="1">
        <v>66.666666666666686</v>
      </c>
      <c r="FG62" s="1">
        <v>0</v>
      </c>
      <c r="FH62" s="1">
        <v>33.333333333333343</v>
      </c>
      <c r="FI62" s="1">
        <v>0</v>
      </c>
      <c r="FJ62" s="1">
        <v>0</v>
      </c>
      <c r="FK62" s="1">
        <v>3</v>
      </c>
      <c r="FL62" s="1">
        <v>70</v>
      </c>
      <c r="FM62" s="1">
        <v>20</v>
      </c>
      <c r="FN62" s="1">
        <v>0</v>
      </c>
      <c r="FO62" s="1">
        <v>0</v>
      </c>
      <c r="FP62" s="1">
        <v>10</v>
      </c>
      <c r="FQ62" s="1">
        <v>10</v>
      </c>
      <c r="FR62" s="1">
        <v>71.428571428571388</v>
      </c>
      <c r="FS62" s="1">
        <v>14.285714285714279</v>
      </c>
      <c r="FT62" s="1">
        <v>14.285714285714279</v>
      </c>
      <c r="FU62" s="1">
        <v>0</v>
      </c>
      <c r="FV62" s="1">
        <v>0</v>
      </c>
      <c r="FW62" s="1">
        <v>7</v>
      </c>
      <c r="FX62" s="1">
        <v>95.652173913043484</v>
      </c>
      <c r="FY62" s="1">
        <v>4.3478260869565259</v>
      </c>
      <c r="FZ62" s="1">
        <v>0</v>
      </c>
      <c r="GA62" s="1">
        <v>0</v>
      </c>
      <c r="GB62" s="1">
        <v>0</v>
      </c>
      <c r="GC62" s="1">
        <v>23</v>
      </c>
      <c r="GD62" s="1">
        <v>75</v>
      </c>
      <c r="GE62" s="1">
        <v>25</v>
      </c>
      <c r="GF62" s="1">
        <v>0</v>
      </c>
      <c r="GG62" s="1">
        <v>0</v>
      </c>
      <c r="GH62" s="1">
        <v>0</v>
      </c>
      <c r="GI62" s="1">
        <v>4</v>
      </c>
      <c r="GJ62" s="1">
        <v>83.3333333333333</v>
      </c>
      <c r="GK62" s="1">
        <v>16.666666666666671</v>
      </c>
      <c r="GL62" s="1">
        <v>0</v>
      </c>
      <c r="GM62" s="1">
        <v>0</v>
      </c>
      <c r="GN62" s="1">
        <v>0</v>
      </c>
      <c r="GO62" s="1">
        <v>6</v>
      </c>
      <c r="GP62" s="1">
        <v>66.666666666666728</v>
      </c>
      <c r="GQ62" s="1">
        <v>28.571428571428566</v>
      </c>
      <c r="GR62" s="1">
        <v>0</v>
      </c>
      <c r="GS62" s="1">
        <v>4.7619047619047601</v>
      </c>
      <c r="GT62" s="1">
        <v>0</v>
      </c>
      <c r="GU62" s="1">
        <v>21</v>
      </c>
      <c r="GV62" s="1">
        <v>86.363636363636431</v>
      </c>
      <c r="GW62" s="1">
        <v>9.0909090909090935</v>
      </c>
      <c r="GX62" s="1">
        <v>4.5454545454545467</v>
      </c>
      <c r="GY62" s="1">
        <v>0</v>
      </c>
      <c r="GZ62" s="1">
        <v>0</v>
      </c>
      <c r="HA62" s="1">
        <v>22</v>
      </c>
      <c r="HB62" s="1">
        <v>100</v>
      </c>
      <c r="HC62" s="1">
        <v>0</v>
      </c>
      <c r="HD62" s="1">
        <v>0</v>
      </c>
      <c r="HE62" s="1">
        <v>0</v>
      </c>
      <c r="HF62" s="1">
        <v>0</v>
      </c>
      <c r="HG62" s="1">
        <v>1</v>
      </c>
      <c r="HH62" s="1">
        <v>0</v>
      </c>
      <c r="HI62" s="1">
        <v>0</v>
      </c>
      <c r="HJ62" s="1">
        <v>0</v>
      </c>
      <c r="HK62" s="1">
        <v>0</v>
      </c>
      <c r="HL62" s="1">
        <v>0</v>
      </c>
      <c r="HM62" s="1">
        <v>0</v>
      </c>
      <c r="HN62" s="1">
        <v>0</v>
      </c>
      <c r="HO62" s="1">
        <v>0</v>
      </c>
      <c r="HP62" s="1">
        <v>0</v>
      </c>
      <c r="HQ62" s="1">
        <v>0</v>
      </c>
      <c r="HR62" s="1">
        <v>0</v>
      </c>
      <c r="HS62" s="1">
        <v>0</v>
      </c>
      <c r="HT62" s="1">
        <v>0</v>
      </c>
      <c r="HU62" s="1">
        <v>0</v>
      </c>
      <c r="HV62" s="1">
        <v>0</v>
      </c>
      <c r="HW62" s="1">
        <v>0</v>
      </c>
      <c r="HX62" s="1">
        <v>0</v>
      </c>
      <c r="HY62" s="1">
        <v>0</v>
      </c>
      <c r="HZ62" s="1">
        <v>0</v>
      </c>
      <c r="IA62" s="1">
        <v>0</v>
      </c>
      <c r="IB62" s="1">
        <v>0</v>
      </c>
      <c r="IC62" s="1">
        <v>0</v>
      </c>
      <c r="ID62" s="1">
        <v>0</v>
      </c>
      <c r="IE62" s="1">
        <v>0</v>
      </c>
      <c r="IF62" s="1">
        <v>9.3000000000000007</v>
      </c>
      <c r="IG62" s="1">
        <v>0</v>
      </c>
      <c r="IH62" s="1">
        <v>0</v>
      </c>
      <c r="II62" s="1">
        <v>0</v>
      </c>
      <c r="IJ62" s="1">
        <v>0</v>
      </c>
      <c r="IK62" s="1">
        <v>0</v>
      </c>
      <c r="IL62" s="1">
        <v>0</v>
      </c>
      <c r="IM62" s="1">
        <v>5.0000000000000009</v>
      </c>
      <c r="IN62" s="1">
        <v>15</v>
      </c>
      <c r="IO62" s="1">
        <v>25.000000000000004</v>
      </c>
      <c r="IP62" s="1">
        <v>55.000000000000007</v>
      </c>
      <c r="IQ62" s="1">
        <v>9.3000000000000043</v>
      </c>
      <c r="IR62" s="1">
        <v>20</v>
      </c>
      <c r="IS62" s="1">
        <v>12.500000000000002</v>
      </c>
      <c r="IT62" s="1">
        <v>54.166666666666721</v>
      </c>
      <c r="IU62" s="1">
        <v>33.333333333333364</v>
      </c>
      <c r="IV62" s="1">
        <v>0</v>
      </c>
      <c r="IW62" s="1">
        <v>0</v>
      </c>
      <c r="IX62" s="1">
        <v>24</v>
      </c>
      <c r="IY62" s="1">
        <v>1</v>
      </c>
      <c r="IZ62" s="1">
        <v>11.452079999999997</v>
      </c>
      <c r="JA62" s="1">
        <v>3.3401900000000015</v>
      </c>
      <c r="JB62" s="1">
        <v>3.3401900000000015</v>
      </c>
      <c r="JC62" s="1">
        <v>2.8630199999999997</v>
      </c>
      <c r="JD62" s="1">
        <v>4.2945299999999982</v>
      </c>
      <c r="JE62" s="1">
        <v>0.29166666666666691</v>
      </c>
      <c r="JF62" s="1">
        <v>0.29166666666666691</v>
      </c>
      <c r="JG62" s="1">
        <v>0.25000000000000006</v>
      </c>
      <c r="JH62" s="1">
        <v>0.37500000000000006</v>
      </c>
      <c r="JI62" s="1">
        <v>1</v>
      </c>
      <c r="JJ62" s="1">
        <v>24</v>
      </c>
      <c r="JK62" s="1">
        <v>4.0434782608695654</v>
      </c>
      <c r="JL62" s="1">
        <v>4.0434782608695636</v>
      </c>
      <c r="JM62" s="1">
        <v>23</v>
      </c>
      <c r="JN62" s="1">
        <v>100</v>
      </c>
      <c r="JO62" s="1">
        <v>0</v>
      </c>
      <c r="JP62" s="1">
        <v>5</v>
      </c>
      <c r="JQ62" s="1">
        <v>100</v>
      </c>
      <c r="JR62" s="1">
        <v>0</v>
      </c>
      <c r="JS62" s="1">
        <v>13</v>
      </c>
      <c r="JT62" s="1">
        <v>100</v>
      </c>
      <c r="JU62" s="1">
        <v>0</v>
      </c>
      <c r="JV62" s="1">
        <v>22</v>
      </c>
      <c r="JW62" s="1">
        <v>83.333333333333314</v>
      </c>
      <c r="JX62" s="1">
        <v>16.666666666666671</v>
      </c>
      <c r="JY62" s="1">
        <v>18</v>
      </c>
      <c r="JZ62" s="1">
        <v>50.000000000000007</v>
      </c>
      <c r="KA62" s="1">
        <v>50.000000000000007</v>
      </c>
      <c r="KB62" s="1">
        <v>22</v>
      </c>
      <c r="KC62" s="1">
        <v>100</v>
      </c>
      <c r="KD62" s="1">
        <v>0</v>
      </c>
      <c r="KE62" s="1">
        <v>21</v>
      </c>
      <c r="KF62" s="1">
        <v>2.5909090909090908</v>
      </c>
      <c r="KG62" s="1">
        <v>22.727272727272744</v>
      </c>
      <c r="KH62" s="1">
        <v>31.818181818181834</v>
      </c>
      <c r="KI62" s="1">
        <v>18.181818181818187</v>
      </c>
      <c r="KJ62" s="1">
        <v>18.181818181818187</v>
      </c>
      <c r="KK62" s="1">
        <v>9.0909090909090935</v>
      </c>
      <c r="KL62" s="1">
        <v>22</v>
      </c>
      <c r="KM62" s="1">
        <v>45.681818181818215</v>
      </c>
      <c r="KN62" s="1">
        <v>0</v>
      </c>
      <c r="KO62" s="1">
        <v>0</v>
      </c>
      <c r="KP62" s="1">
        <v>0</v>
      </c>
      <c r="KQ62" s="1">
        <v>0</v>
      </c>
      <c r="KR62" s="1">
        <v>0</v>
      </c>
      <c r="KS62" s="1">
        <v>0</v>
      </c>
      <c r="KT62" s="1">
        <v>0</v>
      </c>
      <c r="KU62" s="1">
        <v>0</v>
      </c>
      <c r="KV62" s="1">
        <v>0</v>
      </c>
      <c r="KW62" s="1">
        <v>0</v>
      </c>
      <c r="KX62" s="1">
        <v>100</v>
      </c>
      <c r="KY62" s="1">
        <v>0</v>
      </c>
      <c r="KZ62" s="1">
        <v>22</v>
      </c>
      <c r="LA62" s="1">
        <v>13.636363636363631</v>
      </c>
      <c r="LB62" s="1">
        <v>86.363636363636431</v>
      </c>
      <c r="LC62" s="1">
        <v>22</v>
      </c>
      <c r="LD62" s="1">
        <v>0</v>
      </c>
      <c r="LE62" s="1">
        <v>0</v>
      </c>
      <c r="LF62" s="1">
        <v>100</v>
      </c>
      <c r="LG62" s="1">
        <v>3</v>
      </c>
    </row>
    <row r="63" spans="1:319" x14ac:dyDescent="0.25">
      <c r="A63" s="1">
        <v>208</v>
      </c>
      <c r="B63" s="1">
        <v>22.580645161290331</v>
      </c>
      <c r="C63" s="1">
        <v>77.419354838709737</v>
      </c>
      <c r="D63" s="1">
        <v>31</v>
      </c>
      <c r="E63" s="1">
        <v>91.304347826086982</v>
      </c>
      <c r="F63" s="1">
        <v>8.6956521739130395</v>
      </c>
      <c r="G63" s="1">
        <v>23</v>
      </c>
      <c r="H63" s="1">
        <v>64.999999999999986</v>
      </c>
      <c r="I63" s="1">
        <v>34.999999999999993</v>
      </c>
      <c r="J63" s="1">
        <v>20</v>
      </c>
      <c r="K63" s="1">
        <v>1</v>
      </c>
      <c r="L63" s="1">
        <v>20.126750000000005</v>
      </c>
      <c r="M63" s="1">
        <v>3.8954999999999989</v>
      </c>
      <c r="N63" s="1">
        <v>3.8954999999999989</v>
      </c>
      <c r="O63" s="1">
        <v>8.4402499999999971</v>
      </c>
      <c r="P63" s="1">
        <v>0</v>
      </c>
      <c r="Q63" s="1">
        <v>9.7387500000000014</v>
      </c>
      <c r="R63" s="1">
        <v>0</v>
      </c>
      <c r="S63" s="1">
        <v>0.64924999999999977</v>
      </c>
      <c r="T63" s="1">
        <v>2.5969999999999991</v>
      </c>
      <c r="U63" s="1">
        <v>1.2984999999999995</v>
      </c>
      <c r="V63" s="1">
        <v>0</v>
      </c>
      <c r="W63" s="1">
        <v>0.1935483870967741</v>
      </c>
      <c r="X63" s="1">
        <v>0.1935483870967741</v>
      </c>
      <c r="Y63" s="1">
        <v>0.41935483870967782</v>
      </c>
      <c r="Z63" s="1">
        <v>0</v>
      </c>
      <c r="AA63" s="1">
        <v>0.48387096774193583</v>
      </c>
      <c r="AB63" s="1">
        <v>0</v>
      </c>
      <c r="AC63" s="1">
        <v>3.2258064516129024E-2</v>
      </c>
      <c r="AD63" s="1">
        <v>0.1290322580645161</v>
      </c>
      <c r="AE63" s="1">
        <v>6.4516129032258049E-2</v>
      </c>
      <c r="AF63" s="1">
        <v>0</v>
      </c>
      <c r="AG63" s="1">
        <v>1</v>
      </c>
      <c r="AH63" s="1">
        <v>31</v>
      </c>
      <c r="AI63" s="1">
        <v>1</v>
      </c>
      <c r="AJ63" s="1">
        <v>18.178999999999988</v>
      </c>
      <c r="AK63" s="1">
        <v>11.037250000000009</v>
      </c>
      <c r="AL63" s="1">
        <v>11.037250000000009</v>
      </c>
      <c r="AM63" s="1">
        <v>7.1417500000000009</v>
      </c>
      <c r="AN63" s="1">
        <v>7.7909999999999986</v>
      </c>
      <c r="AO63" s="1">
        <v>0</v>
      </c>
      <c r="AP63" s="1">
        <v>2.5969999999999991</v>
      </c>
      <c r="AQ63" s="1">
        <v>0.60714285714285754</v>
      </c>
      <c r="AR63" s="1">
        <v>0.60714285714285754</v>
      </c>
      <c r="AS63" s="1">
        <v>0.39285714285714279</v>
      </c>
      <c r="AT63" s="1">
        <v>0.42857142857142877</v>
      </c>
      <c r="AU63" s="1">
        <v>0</v>
      </c>
      <c r="AV63" s="1">
        <v>0.14285714285714288</v>
      </c>
      <c r="AW63" s="1">
        <v>1</v>
      </c>
      <c r="AX63" s="1">
        <v>28</v>
      </c>
      <c r="AY63" s="1">
        <v>9.8666666666666671</v>
      </c>
      <c r="AZ63" s="1">
        <v>9.9333333333333336</v>
      </c>
      <c r="BA63" s="1">
        <v>9.8666666666666671</v>
      </c>
      <c r="BB63" s="1">
        <v>0</v>
      </c>
      <c r="BC63" s="1">
        <v>0</v>
      </c>
      <c r="BD63" s="1">
        <v>0</v>
      </c>
      <c r="BE63" s="1">
        <v>0</v>
      </c>
      <c r="BF63" s="1">
        <v>0</v>
      </c>
      <c r="BG63" s="1">
        <v>0</v>
      </c>
      <c r="BH63" s="1">
        <v>0</v>
      </c>
      <c r="BI63" s="1">
        <v>3.3333333333333326</v>
      </c>
      <c r="BJ63" s="1">
        <v>6.6666666666666652</v>
      </c>
      <c r="BK63" s="1">
        <v>90.000000000000014</v>
      </c>
      <c r="BL63" s="1">
        <v>9.8666666666666725</v>
      </c>
      <c r="BM63" s="1">
        <v>30</v>
      </c>
      <c r="BN63" s="1">
        <v>0</v>
      </c>
      <c r="BO63" s="1">
        <v>0</v>
      </c>
      <c r="BP63" s="1">
        <v>0</v>
      </c>
      <c r="BQ63" s="1">
        <v>0</v>
      </c>
      <c r="BR63" s="1">
        <v>0</v>
      </c>
      <c r="BS63" s="1">
        <v>0</v>
      </c>
      <c r="BT63" s="1">
        <v>0</v>
      </c>
      <c r="BU63" s="1">
        <v>0</v>
      </c>
      <c r="BV63" s="1">
        <v>6.6666666666666652</v>
      </c>
      <c r="BW63" s="1">
        <v>93.333333333333371</v>
      </c>
      <c r="BX63" s="1">
        <v>9.9333333333333389</v>
      </c>
      <c r="BY63" s="1">
        <v>30</v>
      </c>
      <c r="BZ63" s="1">
        <v>0</v>
      </c>
      <c r="CA63" s="1">
        <v>0</v>
      </c>
      <c r="CB63" s="1">
        <v>0</v>
      </c>
      <c r="CC63" s="1">
        <v>0</v>
      </c>
      <c r="CD63" s="1">
        <v>0</v>
      </c>
      <c r="CE63" s="1">
        <v>0</v>
      </c>
      <c r="CF63" s="1">
        <v>0</v>
      </c>
      <c r="CG63" s="1">
        <v>3.3333333333333326</v>
      </c>
      <c r="CH63" s="1">
        <v>6.6666666666666652</v>
      </c>
      <c r="CI63" s="1">
        <v>90.000000000000014</v>
      </c>
      <c r="CJ63" s="1">
        <v>9.8666666666666725</v>
      </c>
      <c r="CK63" s="1">
        <v>30</v>
      </c>
      <c r="CL63" s="1">
        <v>53.333333333333321</v>
      </c>
      <c r="CM63" s="1">
        <v>36.666666666666664</v>
      </c>
      <c r="CN63" s="1">
        <v>3.3333333333333326</v>
      </c>
      <c r="CO63" s="1">
        <v>6.6666666666666652</v>
      </c>
      <c r="CP63" s="1">
        <v>0</v>
      </c>
      <c r="CQ63" s="1">
        <v>30</v>
      </c>
      <c r="CR63" s="1">
        <v>90.322580645161324</v>
      </c>
      <c r="CS63" s="1">
        <v>6.4516129032258025</v>
      </c>
      <c r="CT63" s="1">
        <v>3.2258064516129012</v>
      </c>
      <c r="CU63" s="1">
        <v>0</v>
      </c>
      <c r="CV63" s="1">
        <v>0</v>
      </c>
      <c r="CW63" s="1">
        <v>31</v>
      </c>
      <c r="CX63" s="1">
        <v>86.666666666666671</v>
      </c>
      <c r="CY63" s="1">
        <v>6.6666666666666652</v>
      </c>
      <c r="CZ63" s="1">
        <v>6.6666666666666652</v>
      </c>
      <c r="DA63" s="1">
        <v>0</v>
      </c>
      <c r="DB63" s="1">
        <v>0</v>
      </c>
      <c r="DC63" s="1">
        <v>30</v>
      </c>
      <c r="DD63" s="1">
        <v>90.322580645161324</v>
      </c>
      <c r="DE63" s="1">
        <v>9.6774193548387171</v>
      </c>
      <c r="DF63" s="1">
        <v>0</v>
      </c>
      <c r="DG63" s="1">
        <v>0</v>
      </c>
      <c r="DH63" s="1">
        <v>0</v>
      </c>
      <c r="DI63" s="1">
        <v>31</v>
      </c>
      <c r="DJ63" s="1">
        <v>76.666666666666686</v>
      </c>
      <c r="DK63" s="1">
        <v>20.000000000000004</v>
      </c>
      <c r="DL63" s="1">
        <v>3.3333333333333326</v>
      </c>
      <c r="DM63" s="1">
        <v>0</v>
      </c>
      <c r="DN63" s="1">
        <v>0</v>
      </c>
      <c r="DO63" s="1">
        <v>30</v>
      </c>
      <c r="DP63" s="1">
        <v>96.77419354838716</v>
      </c>
      <c r="DQ63" s="1">
        <v>3.2258064516129012</v>
      </c>
      <c r="DR63" s="1">
        <v>0</v>
      </c>
      <c r="DS63" s="1">
        <v>0</v>
      </c>
      <c r="DT63" s="1">
        <v>0</v>
      </c>
      <c r="DU63" s="1">
        <v>31</v>
      </c>
      <c r="DV63" s="1">
        <v>86.956521739130451</v>
      </c>
      <c r="DW63" s="1">
        <v>13.043478260869563</v>
      </c>
      <c r="DX63" s="1">
        <v>0</v>
      </c>
      <c r="DY63" s="1">
        <v>0</v>
      </c>
      <c r="DZ63" s="1">
        <v>0</v>
      </c>
      <c r="EA63" s="1">
        <v>23</v>
      </c>
      <c r="EB63" s="1">
        <v>100</v>
      </c>
      <c r="EC63" s="1">
        <v>0</v>
      </c>
      <c r="ED63" s="1">
        <v>0</v>
      </c>
      <c r="EE63" s="1">
        <v>0</v>
      </c>
      <c r="EF63" s="1">
        <v>0</v>
      </c>
      <c r="EG63" s="1">
        <v>14</v>
      </c>
      <c r="EH63" s="1">
        <v>91.666666666666643</v>
      </c>
      <c r="EI63" s="1">
        <v>8.3333333333333357</v>
      </c>
      <c r="EJ63" s="1">
        <v>0</v>
      </c>
      <c r="EK63" s="1">
        <v>0</v>
      </c>
      <c r="EL63" s="1">
        <v>0</v>
      </c>
      <c r="EM63" s="1">
        <v>12</v>
      </c>
      <c r="EN63" s="1">
        <v>80</v>
      </c>
      <c r="EO63" s="1">
        <v>6.6666666666666643</v>
      </c>
      <c r="EP63" s="1">
        <v>6.6666666666666643</v>
      </c>
      <c r="EQ63" s="1">
        <v>6.6666666666666643</v>
      </c>
      <c r="ER63" s="1">
        <v>0</v>
      </c>
      <c r="ES63" s="1">
        <v>15</v>
      </c>
      <c r="ET63" s="1">
        <v>71.428571428571402</v>
      </c>
      <c r="EU63" s="1">
        <v>7.1428571428571397</v>
      </c>
      <c r="EV63" s="1">
        <v>14.285714285714279</v>
      </c>
      <c r="EW63" s="1">
        <v>7.1428571428571397</v>
      </c>
      <c r="EX63" s="1">
        <v>0</v>
      </c>
      <c r="EY63" s="1">
        <v>14</v>
      </c>
      <c r="EZ63" s="1">
        <v>72.72727272727272</v>
      </c>
      <c r="FA63" s="1">
        <v>9.0909090909090899</v>
      </c>
      <c r="FB63" s="1">
        <v>18.18181818181818</v>
      </c>
      <c r="FC63" s="1">
        <v>0</v>
      </c>
      <c r="FD63" s="1">
        <v>0</v>
      </c>
      <c r="FE63" s="1">
        <v>11</v>
      </c>
      <c r="FF63" s="1">
        <v>69.999999999999986</v>
      </c>
      <c r="FG63" s="1">
        <v>9.9999999999999982</v>
      </c>
      <c r="FH63" s="1">
        <v>19.999999999999996</v>
      </c>
      <c r="FI63" s="1">
        <v>0</v>
      </c>
      <c r="FJ63" s="1">
        <v>0</v>
      </c>
      <c r="FK63" s="1">
        <v>10</v>
      </c>
      <c r="FL63" s="1">
        <v>74.999999999999986</v>
      </c>
      <c r="FM63" s="1">
        <v>0</v>
      </c>
      <c r="FN63" s="1">
        <v>12.5</v>
      </c>
      <c r="FO63" s="1">
        <v>0</v>
      </c>
      <c r="FP63" s="1">
        <v>12.5</v>
      </c>
      <c r="FQ63" s="1">
        <v>8</v>
      </c>
      <c r="FR63" s="1">
        <v>87.5</v>
      </c>
      <c r="FS63" s="1">
        <v>0</v>
      </c>
      <c r="FT63" s="1">
        <v>12.5</v>
      </c>
      <c r="FU63" s="1">
        <v>0</v>
      </c>
      <c r="FV63" s="1">
        <v>0</v>
      </c>
      <c r="FW63" s="1">
        <v>8</v>
      </c>
      <c r="FX63" s="1">
        <v>93.103448275862007</v>
      </c>
      <c r="FY63" s="1">
        <v>6.8965517241379342</v>
      </c>
      <c r="FZ63" s="1">
        <v>0</v>
      </c>
      <c r="GA63" s="1">
        <v>0</v>
      </c>
      <c r="GB63" s="1">
        <v>0</v>
      </c>
      <c r="GC63" s="1">
        <v>29</v>
      </c>
      <c r="GD63" s="1">
        <v>71.428571428571402</v>
      </c>
      <c r="GE63" s="1">
        <v>23.809523809523817</v>
      </c>
      <c r="GF63" s="1">
        <v>4.7619047619047601</v>
      </c>
      <c r="GG63" s="1">
        <v>0</v>
      </c>
      <c r="GH63" s="1">
        <v>0</v>
      </c>
      <c r="GI63" s="1">
        <v>21</v>
      </c>
      <c r="GJ63" s="1">
        <v>78.94736842105263</v>
      </c>
      <c r="GK63" s="1">
        <v>15.789473684210522</v>
      </c>
      <c r="GL63" s="1">
        <v>5.2631578947368416</v>
      </c>
      <c r="GM63" s="1">
        <v>0</v>
      </c>
      <c r="GN63" s="1">
        <v>0</v>
      </c>
      <c r="GO63" s="1">
        <v>19</v>
      </c>
      <c r="GP63" s="1">
        <v>100</v>
      </c>
      <c r="GQ63" s="1">
        <v>0</v>
      </c>
      <c r="GR63" s="1">
        <v>0</v>
      </c>
      <c r="GS63" s="1">
        <v>0</v>
      </c>
      <c r="GT63" s="1">
        <v>0</v>
      </c>
      <c r="GU63" s="1">
        <v>22</v>
      </c>
      <c r="GV63" s="1">
        <v>100</v>
      </c>
      <c r="GW63" s="1">
        <v>0</v>
      </c>
      <c r="GX63" s="1">
        <v>0</v>
      </c>
      <c r="GY63" s="1">
        <v>0</v>
      </c>
      <c r="GZ63" s="1">
        <v>0</v>
      </c>
      <c r="HA63" s="1">
        <v>19</v>
      </c>
      <c r="HB63" s="1">
        <v>59.999999999999993</v>
      </c>
      <c r="HC63" s="1">
        <v>33.333333333333343</v>
      </c>
      <c r="HD63" s="1">
        <v>6.6666666666666643</v>
      </c>
      <c r="HE63" s="1">
        <v>0</v>
      </c>
      <c r="HF63" s="1">
        <v>0</v>
      </c>
      <c r="HG63" s="1">
        <v>15</v>
      </c>
      <c r="HH63" s="1">
        <v>100</v>
      </c>
      <c r="HI63" s="1">
        <v>0</v>
      </c>
      <c r="HJ63" s="1">
        <v>0</v>
      </c>
      <c r="HK63" s="1">
        <v>0</v>
      </c>
      <c r="HL63" s="1">
        <v>0</v>
      </c>
      <c r="HM63" s="1">
        <v>9</v>
      </c>
      <c r="HN63" s="1">
        <v>100</v>
      </c>
      <c r="HO63" s="1">
        <v>0</v>
      </c>
      <c r="HP63" s="1">
        <v>0</v>
      </c>
      <c r="HQ63" s="1">
        <v>0</v>
      </c>
      <c r="HR63" s="1">
        <v>0</v>
      </c>
      <c r="HS63" s="1">
        <v>1</v>
      </c>
      <c r="HT63" s="1">
        <v>0</v>
      </c>
      <c r="HU63" s="1">
        <v>100</v>
      </c>
      <c r="HV63" s="1">
        <v>0</v>
      </c>
      <c r="HW63" s="1">
        <v>0</v>
      </c>
      <c r="HX63" s="1">
        <v>0</v>
      </c>
      <c r="HY63" s="1">
        <v>1</v>
      </c>
      <c r="HZ63" s="1">
        <v>0</v>
      </c>
      <c r="IA63" s="1">
        <v>100</v>
      </c>
      <c r="IB63" s="1">
        <v>0</v>
      </c>
      <c r="IC63" s="1">
        <v>0</v>
      </c>
      <c r="ID63" s="1">
        <v>0</v>
      </c>
      <c r="IE63" s="1">
        <v>1</v>
      </c>
      <c r="IF63" s="1">
        <v>9.5925925925925934</v>
      </c>
      <c r="IG63" s="1">
        <v>0</v>
      </c>
      <c r="IH63" s="1">
        <v>0</v>
      </c>
      <c r="II63" s="1">
        <v>0</v>
      </c>
      <c r="IJ63" s="1">
        <v>0</v>
      </c>
      <c r="IK63" s="1">
        <v>0</v>
      </c>
      <c r="IL63" s="1">
        <v>0</v>
      </c>
      <c r="IM63" s="1">
        <v>0</v>
      </c>
      <c r="IN63" s="1">
        <v>11.111111111111105</v>
      </c>
      <c r="IO63" s="1">
        <v>18.518518518518523</v>
      </c>
      <c r="IP63" s="1">
        <v>70.370370370370424</v>
      </c>
      <c r="IQ63" s="1">
        <v>9.5925925925925917</v>
      </c>
      <c r="IR63" s="1">
        <v>27</v>
      </c>
      <c r="IS63" s="1">
        <v>86.206896551724171</v>
      </c>
      <c r="IT63" s="1">
        <v>10.3448275862069</v>
      </c>
      <c r="IU63" s="1">
        <v>3.4482758620689671</v>
      </c>
      <c r="IV63" s="1">
        <v>0</v>
      </c>
      <c r="IW63" s="1">
        <v>0</v>
      </c>
      <c r="IX63" s="1">
        <v>29</v>
      </c>
      <c r="IY63" s="1">
        <v>1</v>
      </c>
      <c r="IZ63" s="1">
        <v>18.828250000000011</v>
      </c>
      <c r="JA63" s="1">
        <v>12.98500000000001</v>
      </c>
      <c r="JB63" s="1">
        <v>2.5969999999999991</v>
      </c>
      <c r="JC63" s="1">
        <v>0.64924999999999977</v>
      </c>
      <c r="JD63" s="1">
        <v>3.2462500000000021</v>
      </c>
      <c r="JE63" s="1">
        <v>0.68965517241379348</v>
      </c>
      <c r="JF63" s="1">
        <v>0.13793103448275859</v>
      </c>
      <c r="JG63" s="1">
        <v>3.4482758620689648E-2</v>
      </c>
      <c r="JH63" s="1">
        <v>0.17241379310344837</v>
      </c>
      <c r="JI63" s="1">
        <v>1</v>
      </c>
      <c r="JJ63" s="1">
        <v>29</v>
      </c>
      <c r="JK63" s="1">
        <v>2.5172413793103448</v>
      </c>
      <c r="JL63" s="1">
        <v>2.5172413793103474</v>
      </c>
      <c r="JM63" s="1">
        <v>29</v>
      </c>
      <c r="JN63" s="1">
        <v>91.666666666666643</v>
      </c>
      <c r="JO63" s="1">
        <v>8.3333333333333357</v>
      </c>
      <c r="JP63" s="1">
        <v>12</v>
      </c>
      <c r="JQ63" s="1">
        <v>93.333333333333357</v>
      </c>
      <c r="JR63" s="1">
        <v>6.6666666666666643</v>
      </c>
      <c r="JS63" s="1">
        <v>15</v>
      </c>
      <c r="JT63" s="1">
        <v>78.260869565217448</v>
      </c>
      <c r="JU63" s="1">
        <v>21.739130434782613</v>
      </c>
      <c r="JV63" s="1">
        <v>23</v>
      </c>
      <c r="JW63" s="1">
        <v>66.666666666666686</v>
      </c>
      <c r="JX63" s="1">
        <v>33.333333333333343</v>
      </c>
      <c r="JY63" s="1">
        <v>12</v>
      </c>
      <c r="JZ63" s="1">
        <v>48.38709677419358</v>
      </c>
      <c r="KA63" s="1">
        <v>51.612903225806512</v>
      </c>
      <c r="KB63" s="1">
        <v>31</v>
      </c>
      <c r="KC63" s="1">
        <v>100</v>
      </c>
      <c r="KD63" s="1">
        <v>0</v>
      </c>
      <c r="KE63" s="1">
        <v>29</v>
      </c>
      <c r="KF63" s="1">
        <v>3.8461538461538463</v>
      </c>
      <c r="KG63" s="1">
        <v>3.8461538461538431</v>
      </c>
      <c r="KH63" s="1">
        <v>7.6923076923076863</v>
      </c>
      <c r="KI63" s="1">
        <v>19.230769230769237</v>
      </c>
      <c r="KJ63" s="1">
        <v>38.461538461538474</v>
      </c>
      <c r="KK63" s="1">
        <v>30.769230769230745</v>
      </c>
      <c r="KL63" s="1">
        <v>26</v>
      </c>
      <c r="KM63" s="1">
        <v>66.653846153846175</v>
      </c>
      <c r="KN63" s="1">
        <v>0</v>
      </c>
      <c r="KO63" s="1">
        <v>0</v>
      </c>
      <c r="KP63" s="1">
        <v>0</v>
      </c>
      <c r="KQ63" s="1">
        <v>0</v>
      </c>
      <c r="KR63" s="1">
        <v>0</v>
      </c>
      <c r="KS63" s="1">
        <v>0</v>
      </c>
      <c r="KT63" s="1">
        <v>0</v>
      </c>
      <c r="KU63" s="1">
        <v>0</v>
      </c>
      <c r="KV63" s="1">
        <v>0</v>
      </c>
      <c r="KW63" s="1">
        <v>0</v>
      </c>
      <c r="KX63" s="1">
        <v>100</v>
      </c>
      <c r="KY63" s="1">
        <v>0</v>
      </c>
      <c r="KZ63" s="1">
        <v>30</v>
      </c>
      <c r="LA63" s="1">
        <v>3.4482758620689671</v>
      </c>
      <c r="LB63" s="1">
        <v>96.551724137931117</v>
      </c>
      <c r="LC63" s="1">
        <v>29</v>
      </c>
      <c r="LD63" s="1">
        <v>0</v>
      </c>
      <c r="LE63" s="1">
        <v>0</v>
      </c>
      <c r="LF63" s="1">
        <v>100</v>
      </c>
      <c r="LG63" s="1">
        <v>1</v>
      </c>
    </row>
    <row r="64" spans="1:319" x14ac:dyDescent="0.25">
      <c r="A64" s="1">
        <v>209</v>
      </c>
      <c r="B64" s="1">
        <v>13.8888888888889</v>
      </c>
      <c r="C64" s="1">
        <v>86.111111111111171</v>
      </c>
      <c r="D64" s="1">
        <v>36</v>
      </c>
      <c r="E64" s="1">
        <v>73.3333333333333</v>
      </c>
      <c r="F64" s="1">
        <v>26.666666666666639</v>
      </c>
      <c r="G64" s="1">
        <v>30</v>
      </c>
      <c r="H64" s="1">
        <v>28.571428571428566</v>
      </c>
      <c r="I64" s="1">
        <v>71.428571428571388</v>
      </c>
      <c r="J64" s="1">
        <v>21</v>
      </c>
      <c r="K64" s="1">
        <v>1</v>
      </c>
      <c r="L64" s="1">
        <v>35.188200000000023</v>
      </c>
      <c r="M64" s="1">
        <v>8.7970500000000058</v>
      </c>
      <c r="N64" s="1">
        <v>2.93235</v>
      </c>
      <c r="O64" s="1">
        <v>12.70684999999999</v>
      </c>
      <c r="P64" s="1">
        <v>0</v>
      </c>
      <c r="Q64" s="1">
        <v>12.70684999999999</v>
      </c>
      <c r="R64" s="1">
        <v>0</v>
      </c>
      <c r="S64" s="1">
        <v>0.97745000000000004</v>
      </c>
      <c r="T64" s="1">
        <v>4.8872499999999972</v>
      </c>
      <c r="U64" s="1">
        <v>2.93235</v>
      </c>
      <c r="V64" s="1">
        <v>4.8872499999999972</v>
      </c>
      <c r="W64" s="1">
        <v>0.25</v>
      </c>
      <c r="X64" s="1">
        <v>8.3333333333333356E-2</v>
      </c>
      <c r="Y64" s="1">
        <v>0.36111111111111088</v>
      </c>
      <c r="Z64" s="1">
        <v>0</v>
      </c>
      <c r="AA64" s="1">
        <v>0.36111111111111088</v>
      </c>
      <c r="AB64" s="1">
        <v>0</v>
      </c>
      <c r="AC64" s="1">
        <v>2.7777777777777783E-2</v>
      </c>
      <c r="AD64" s="1">
        <v>0.13888888888888895</v>
      </c>
      <c r="AE64" s="1">
        <v>8.3333333333333356E-2</v>
      </c>
      <c r="AF64" s="1">
        <v>0.13888888888888895</v>
      </c>
      <c r="AG64" s="1">
        <v>1</v>
      </c>
      <c r="AH64" s="1">
        <v>36</v>
      </c>
      <c r="AI64" s="1">
        <v>1</v>
      </c>
      <c r="AJ64" s="1">
        <v>35.188200000000023</v>
      </c>
      <c r="AK64" s="1">
        <v>29.323499999999992</v>
      </c>
      <c r="AL64" s="1">
        <v>19.548999999999989</v>
      </c>
      <c r="AM64" s="1">
        <v>15.639199999999997</v>
      </c>
      <c r="AN64" s="1">
        <v>15.639199999999997</v>
      </c>
      <c r="AO64" s="1">
        <v>0.97745000000000004</v>
      </c>
      <c r="AP64" s="1">
        <v>5.8647</v>
      </c>
      <c r="AQ64" s="1">
        <v>0.83333333333333304</v>
      </c>
      <c r="AR64" s="1">
        <v>0.5555555555555558</v>
      </c>
      <c r="AS64" s="1">
        <v>0.44444444444444453</v>
      </c>
      <c r="AT64" s="1">
        <v>0.44444444444444453</v>
      </c>
      <c r="AU64" s="1">
        <v>2.7777777777777783E-2</v>
      </c>
      <c r="AV64" s="1">
        <v>0.16666666666666671</v>
      </c>
      <c r="AW64" s="1">
        <v>1</v>
      </c>
      <c r="AX64" s="1">
        <v>36</v>
      </c>
      <c r="AY64" s="1">
        <v>10</v>
      </c>
      <c r="AZ64" s="1">
        <v>10</v>
      </c>
      <c r="BA64" s="1">
        <v>10</v>
      </c>
      <c r="BB64" s="1">
        <v>0</v>
      </c>
      <c r="BC64" s="1">
        <v>0</v>
      </c>
      <c r="BD64" s="1">
        <v>0</v>
      </c>
      <c r="BE64" s="1">
        <v>0</v>
      </c>
      <c r="BF64" s="1">
        <v>0</v>
      </c>
      <c r="BG64" s="1">
        <v>0</v>
      </c>
      <c r="BH64" s="1">
        <v>0</v>
      </c>
      <c r="BI64" s="1">
        <v>0</v>
      </c>
      <c r="BJ64" s="1">
        <v>0</v>
      </c>
      <c r="BK64" s="1">
        <v>100</v>
      </c>
      <c r="BL64" s="1">
        <v>9.9999999999999947</v>
      </c>
      <c r="BM64" s="1">
        <v>34</v>
      </c>
      <c r="BN64" s="1">
        <v>0</v>
      </c>
      <c r="BO64" s="1">
        <v>0</v>
      </c>
      <c r="BP64" s="1">
        <v>0</v>
      </c>
      <c r="BQ64" s="1">
        <v>0</v>
      </c>
      <c r="BR64" s="1">
        <v>0</v>
      </c>
      <c r="BS64" s="1">
        <v>0</v>
      </c>
      <c r="BT64" s="1">
        <v>0</v>
      </c>
      <c r="BU64" s="1">
        <v>0</v>
      </c>
      <c r="BV64" s="1">
        <v>0</v>
      </c>
      <c r="BW64" s="1">
        <v>100</v>
      </c>
      <c r="BX64" s="1">
        <v>9.9999999999999947</v>
      </c>
      <c r="BY64" s="1">
        <v>34</v>
      </c>
      <c r="BZ64" s="1">
        <v>0</v>
      </c>
      <c r="CA64" s="1">
        <v>0</v>
      </c>
      <c r="CB64" s="1">
        <v>0</v>
      </c>
      <c r="CC64" s="1">
        <v>0</v>
      </c>
      <c r="CD64" s="1">
        <v>0</v>
      </c>
      <c r="CE64" s="1">
        <v>0</v>
      </c>
      <c r="CF64" s="1">
        <v>0</v>
      </c>
      <c r="CG64" s="1">
        <v>0</v>
      </c>
      <c r="CH64" s="1">
        <v>0</v>
      </c>
      <c r="CI64" s="1">
        <v>100</v>
      </c>
      <c r="CJ64" s="1">
        <v>9.9999999999999947</v>
      </c>
      <c r="CK64" s="1">
        <v>31</v>
      </c>
      <c r="CL64" s="1">
        <v>55.882352941176407</v>
      </c>
      <c r="CM64" s="1">
        <v>41.17647058823529</v>
      </c>
      <c r="CN64" s="1">
        <v>0</v>
      </c>
      <c r="CO64" s="1">
        <v>2.9411764705882333</v>
      </c>
      <c r="CP64" s="1">
        <v>0</v>
      </c>
      <c r="CQ64" s="1">
        <v>34</v>
      </c>
      <c r="CR64" s="1">
        <v>85.294117647058869</v>
      </c>
      <c r="CS64" s="1">
        <v>14.705882352941167</v>
      </c>
      <c r="CT64" s="1">
        <v>0</v>
      </c>
      <c r="CU64" s="1">
        <v>0</v>
      </c>
      <c r="CV64" s="1">
        <v>0</v>
      </c>
      <c r="CW64" s="1">
        <v>34</v>
      </c>
      <c r="CX64" s="1">
        <v>86.111111111111171</v>
      </c>
      <c r="CY64" s="1">
        <v>13.8888888888889</v>
      </c>
      <c r="CZ64" s="1">
        <v>0</v>
      </c>
      <c r="DA64" s="1">
        <v>0</v>
      </c>
      <c r="DB64" s="1">
        <v>0</v>
      </c>
      <c r="DC64" s="1">
        <v>36</v>
      </c>
      <c r="DD64" s="1">
        <v>94.444444444444386</v>
      </c>
      <c r="DE64" s="1">
        <v>5.5555555555555518</v>
      </c>
      <c r="DF64" s="1">
        <v>0</v>
      </c>
      <c r="DG64" s="1">
        <v>0</v>
      </c>
      <c r="DH64" s="1">
        <v>0</v>
      </c>
      <c r="DI64" s="1">
        <v>36</v>
      </c>
      <c r="DJ64" s="1">
        <v>87.499999999999986</v>
      </c>
      <c r="DK64" s="1">
        <v>12.499999999999998</v>
      </c>
      <c r="DL64" s="1">
        <v>0</v>
      </c>
      <c r="DM64" s="1">
        <v>0</v>
      </c>
      <c r="DN64" s="1">
        <v>0</v>
      </c>
      <c r="DO64" s="1">
        <v>24</v>
      </c>
      <c r="DP64" s="1">
        <v>94.444444444444386</v>
      </c>
      <c r="DQ64" s="1">
        <v>5.5555555555555518</v>
      </c>
      <c r="DR64" s="1">
        <v>0</v>
      </c>
      <c r="DS64" s="1">
        <v>0</v>
      </c>
      <c r="DT64" s="1">
        <v>0</v>
      </c>
      <c r="DU64" s="1">
        <v>36</v>
      </c>
      <c r="DV64" s="1">
        <v>81.818181818181827</v>
      </c>
      <c r="DW64" s="1">
        <v>18.181818181818173</v>
      </c>
      <c r="DX64" s="1">
        <v>0</v>
      </c>
      <c r="DY64" s="1">
        <v>0</v>
      </c>
      <c r="DZ64" s="1">
        <v>0</v>
      </c>
      <c r="EA64" s="1">
        <v>22</v>
      </c>
      <c r="EB64" s="1">
        <v>87.5</v>
      </c>
      <c r="EC64" s="1">
        <v>12.500000000000002</v>
      </c>
      <c r="ED64" s="1">
        <v>0</v>
      </c>
      <c r="EE64" s="1">
        <v>0</v>
      </c>
      <c r="EF64" s="1">
        <v>0</v>
      </c>
      <c r="EG64" s="1">
        <v>16</v>
      </c>
      <c r="EH64" s="1">
        <v>78.571428571428569</v>
      </c>
      <c r="EI64" s="1">
        <v>21.428571428571441</v>
      </c>
      <c r="EJ64" s="1">
        <v>0</v>
      </c>
      <c r="EK64" s="1">
        <v>0</v>
      </c>
      <c r="EL64" s="1">
        <v>0</v>
      </c>
      <c r="EM64" s="1">
        <v>14</v>
      </c>
      <c r="EN64" s="1">
        <v>73.684210526315823</v>
      </c>
      <c r="EO64" s="1">
        <v>26.315789473684191</v>
      </c>
      <c r="EP64" s="1">
        <v>0</v>
      </c>
      <c r="EQ64" s="1">
        <v>0</v>
      </c>
      <c r="ER64" s="1">
        <v>0</v>
      </c>
      <c r="ES64" s="1">
        <v>19</v>
      </c>
      <c r="ET64" s="1">
        <v>66.666666666666671</v>
      </c>
      <c r="EU64" s="1">
        <v>33.333333333333343</v>
      </c>
      <c r="EV64" s="1">
        <v>0</v>
      </c>
      <c r="EW64" s="1">
        <v>0</v>
      </c>
      <c r="EX64" s="1">
        <v>0</v>
      </c>
      <c r="EY64" s="1">
        <v>18</v>
      </c>
      <c r="EZ64" s="1">
        <v>70</v>
      </c>
      <c r="FA64" s="1">
        <v>30.000000000000007</v>
      </c>
      <c r="FB64" s="1">
        <v>0</v>
      </c>
      <c r="FC64" s="1">
        <v>0</v>
      </c>
      <c r="FD64" s="1">
        <v>0</v>
      </c>
      <c r="FE64" s="1">
        <v>10</v>
      </c>
      <c r="FF64" s="1">
        <v>80</v>
      </c>
      <c r="FG64" s="1">
        <v>20</v>
      </c>
      <c r="FH64" s="1">
        <v>0</v>
      </c>
      <c r="FI64" s="1">
        <v>0</v>
      </c>
      <c r="FJ64" s="1">
        <v>0</v>
      </c>
      <c r="FK64" s="1">
        <v>10</v>
      </c>
      <c r="FL64" s="1">
        <v>100</v>
      </c>
      <c r="FM64" s="1">
        <v>0</v>
      </c>
      <c r="FN64" s="1">
        <v>0</v>
      </c>
      <c r="FO64" s="1">
        <v>0</v>
      </c>
      <c r="FP64" s="1">
        <v>0</v>
      </c>
      <c r="FQ64" s="1">
        <v>8</v>
      </c>
      <c r="FR64" s="1">
        <v>100</v>
      </c>
      <c r="FS64" s="1">
        <v>0</v>
      </c>
      <c r="FT64" s="1">
        <v>0</v>
      </c>
      <c r="FU64" s="1">
        <v>0</v>
      </c>
      <c r="FV64" s="1">
        <v>0</v>
      </c>
      <c r="FW64" s="1">
        <v>6</v>
      </c>
      <c r="FX64" s="1">
        <v>94.285714285714263</v>
      </c>
      <c r="FY64" s="1">
        <v>5.7142857142857153</v>
      </c>
      <c r="FZ64" s="1">
        <v>0</v>
      </c>
      <c r="GA64" s="1">
        <v>0</v>
      </c>
      <c r="GB64" s="1">
        <v>0</v>
      </c>
      <c r="GC64" s="1">
        <v>35</v>
      </c>
      <c r="GD64" s="1">
        <v>95.238095238095283</v>
      </c>
      <c r="GE64" s="1">
        <v>4.7619047619047601</v>
      </c>
      <c r="GF64" s="1">
        <v>0</v>
      </c>
      <c r="GG64" s="1">
        <v>0</v>
      </c>
      <c r="GH64" s="1">
        <v>0</v>
      </c>
      <c r="GI64" s="1">
        <v>21</v>
      </c>
      <c r="GJ64" s="1">
        <v>95.238095238095283</v>
      </c>
      <c r="GK64" s="1">
        <v>4.7619047619047601</v>
      </c>
      <c r="GL64" s="1">
        <v>0</v>
      </c>
      <c r="GM64" s="1">
        <v>0</v>
      </c>
      <c r="GN64" s="1">
        <v>0</v>
      </c>
      <c r="GO64" s="1">
        <v>21</v>
      </c>
      <c r="GP64" s="1">
        <v>91.666666666666629</v>
      </c>
      <c r="GQ64" s="1">
        <v>4.166666666666667</v>
      </c>
      <c r="GR64" s="1">
        <v>4.166666666666667</v>
      </c>
      <c r="GS64" s="1">
        <v>0</v>
      </c>
      <c r="GT64" s="1">
        <v>0</v>
      </c>
      <c r="GU64" s="1">
        <v>24</v>
      </c>
      <c r="GV64" s="1">
        <v>96.428571428571459</v>
      </c>
      <c r="GW64" s="1">
        <v>3.5714285714285703</v>
      </c>
      <c r="GX64" s="1">
        <v>0</v>
      </c>
      <c r="GY64" s="1">
        <v>0</v>
      </c>
      <c r="GZ64" s="1">
        <v>0</v>
      </c>
      <c r="HA64" s="1">
        <v>28</v>
      </c>
      <c r="HB64" s="1">
        <v>83.333333333333371</v>
      </c>
      <c r="HC64" s="1">
        <v>16.666666666666671</v>
      </c>
      <c r="HD64" s="1">
        <v>0</v>
      </c>
      <c r="HE64" s="1">
        <v>0</v>
      </c>
      <c r="HF64" s="1">
        <v>0</v>
      </c>
      <c r="HG64" s="1">
        <v>12</v>
      </c>
      <c r="HH64" s="1">
        <v>100</v>
      </c>
      <c r="HI64" s="1">
        <v>0</v>
      </c>
      <c r="HJ64" s="1">
        <v>0</v>
      </c>
      <c r="HK64" s="1">
        <v>0</v>
      </c>
      <c r="HL64" s="1">
        <v>0</v>
      </c>
      <c r="HM64" s="1">
        <v>9</v>
      </c>
      <c r="HN64" s="1">
        <v>66.666666666666686</v>
      </c>
      <c r="HO64" s="1">
        <v>8.3333333333333357</v>
      </c>
      <c r="HP64" s="1">
        <v>25.000000000000004</v>
      </c>
      <c r="HQ64" s="1">
        <v>0</v>
      </c>
      <c r="HR64" s="1">
        <v>0</v>
      </c>
      <c r="HS64" s="1">
        <v>12</v>
      </c>
      <c r="HT64" s="1">
        <v>20</v>
      </c>
      <c r="HU64" s="1">
        <v>20</v>
      </c>
      <c r="HV64" s="1">
        <v>60.000000000000014</v>
      </c>
      <c r="HW64" s="1">
        <v>0</v>
      </c>
      <c r="HX64" s="1">
        <v>0</v>
      </c>
      <c r="HY64" s="1">
        <v>5</v>
      </c>
      <c r="HZ64" s="1">
        <v>33.333333333333336</v>
      </c>
      <c r="IA64" s="1">
        <v>16.666666666666668</v>
      </c>
      <c r="IB64" s="1">
        <v>50</v>
      </c>
      <c r="IC64" s="1">
        <v>0</v>
      </c>
      <c r="ID64" s="1">
        <v>0</v>
      </c>
      <c r="IE64" s="1">
        <v>6</v>
      </c>
      <c r="IF64" s="1">
        <v>9.6969696969696972</v>
      </c>
      <c r="IG64" s="1">
        <v>0</v>
      </c>
      <c r="IH64" s="1">
        <v>0</v>
      </c>
      <c r="II64" s="1">
        <v>0</v>
      </c>
      <c r="IJ64" s="1">
        <v>0</v>
      </c>
      <c r="IK64" s="1">
        <v>0</v>
      </c>
      <c r="IL64" s="1">
        <v>0</v>
      </c>
      <c r="IM64" s="1">
        <v>0</v>
      </c>
      <c r="IN64" s="1">
        <v>6.0606060606060614</v>
      </c>
      <c r="IO64" s="1">
        <v>18.181818181818173</v>
      </c>
      <c r="IP64" s="1">
        <v>75.757575757575808</v>
      </c>
      <c r="IQ64" s="1">
        <v>9.6969696969696901</v>
      </c>
      <c r="IR64" s="1">
        <v>33</v>
      </c>
      <c r="IS64" s="1">
        <v>86.111111111111171</v>
      </c>
      <c r="IT64" s="1">
        <v>5.5555555555555518</v>
      </c>
      <c r="IU64" s="1">
        <v>8.3333333333333339</v>
      </c>
      <c r="IV64" s="1">
        <v>0</v>
      </c>
      <c r="IW64" s="1">
        <v>0</v>
      </c>
      <c r="IX64" s="1">
        <v>36</v>
      </c>
      <c r="IY64" s="1">
        <v>1</v>
      </c>
      <c r="IZ64" s="1">
        <v>34.21074999999999</v>
      </c>
      <c r="JA64" s="1">
        <v>15.639199999999997</v>
      </c>
      <c r="JB64" s="1">
        <v>11.729399999999998</v>
      </c>
      <c r="JC64" s="1">
        <v>1.9549000000000001</v>
      </c>
      <c r="JD64" s="1">
        <v>5.8647</v>
      </c>
      <c r="JE64" s="1">
        <v>0.45714285714285707</v>
      </c>
      <c r="JF64" s="1">
        <v>0.34285714285714286</v>
      </c>
      <c r="JG64" s="1">
        <v>5.7142857142857148E-2</v>
      </c>
      <c r="JH64" s="1">
        <v>0.17142857142857149</v>
      </c>
      <c r="JI64" s="1">
        <v>1</v>
      </c>
      <c r="JJ64" s="1">
        <v>35</v>
      </c>
      <c r="JK64" s="1">
        <v>2.6</v>
      </c>
      <c r="JL64" s="1">
        <v>2.5999999999999983</v>
      </c>
      <c r="JM64" s="1">
        <v>35</v>
      </c>
      <c r="JN64" s="1">
        <v>100</v>
      </c>
      <c r="JO64" s="1">
        <v>0</v>
      </c>
      <c r="JP64" s="1">
        <v>17</v>
      </c>
      <c r="JQ64" s="1">
        <v>100</v>
      </c>
      <c r="JR64" s="1">
        <v>0</v>
      </c>
      <c r="JS64" s="1">
        <v>23</v>
      </c>
      <c r="JT64" s="1">
        <v>96.428571428571459</v>
      </c>
      <c r="JU64" s="1">
        <v>3.5714285714285703</v>
      </c>
      <c r="JV64" s="1">
        <v>28</v>
      </c>
      <c r="JW64" s="1">
        <v>89.473684210526287</v>
      </c>
      <c r="JX64" s="1">
        <v>10.526315789473694</v>
      </c>
      <c r="JY64" s="1">
        <v>19</v>
      </c>
      <c r="JZ64" s="1">
        <v>51.515151515151494</v>
      </c>
      <c r="KA64" s="1">
        <v>48.484848484848477</v>
      </c>
      <c r="KB64" s="1">
        <v>33</v>
      </c>
      <c r="KC64" s="1">
        <v>100</v>
      </c>
      <c r="KD64" s="1">
        <v>0</v>
      </c>
      <c r="KE64" s="1">
        <v>30</v>
      </c>
      <c r="KF64" s="1">
        <v>3.6551724137931036</v>
      </c>
      <c r="KG64" s="1">
        <v>0</v>
      </c>
      <c r="KH64" s="1">
        <v>10.344827586206899</v>
      </c>
      <c r="KI64" s="1">
        <v>34.482758620689623</v>
      </c>
      <c r="KJ64" s="1">
        <v>34.482758620689623</v>
      </c>
      <c r="KK64" s="1">
        <v>20.689655172413797</v>
      </c>
      <c r="KL64" s="1">
        <v>29</v>
      </c>
      <c r="KM64" s="1">
        <v>64.551724137931004</v>
      </c>
      <c r="KN64" s="1">
        <v>19</v>
      </c>
      <c r="KO64" s="1">
        <v>0</v>
      </c>
      <c r="KP64" s="1">
        <v>0</v>
      </c>
      <c r="KQ64" s="1">
        <v>100</v>
      </c>
      <c r="KR64" s="1">
        <v>0</v>
      </c>
      <c r="KS64" s="1">
        <v>0</v>
      </c>
      <c r="KT64" s="1">
        <v>1</v>
      </c>
      <c r="KU64" s="1">
        <v>0</v>
      </c>
      <c r="KV64" s="1">
        <v>0</v>
      </c>
      <c r="KW64" s="1">
        <v>0</v>
      </c>
      <c r="KX64" s="1">
        <v>100</v>
      </c>
      <c r="KY64" s="1">
        <v>0</v>
      </c>
      <c r="KZ64" s="1">
        <v>32</v>
      </c>
      <c r="LA64" s="1">
        <v>12.499999999999998</v>
      </c>
      <c r="LB64" s="1">
        <v>87.499999999999986</v>
      </c>
      <c r="LC64" s="1">
        <v>32</v>
      </c>
      <c r="LD64" s="1">
        <v>0</v>
      </c>
      <c r="LE64" s="1">
        <v>0</v>
      </c>
      <c r="LF64" s="1">
        <v>100</v>
      </c>
      <c r="LG64" s="1">
        <v>4</v>
      </c>
    </row>
    <row r="65" spans="1:319" x14ac:dyDescent="0.25">
      <c r="A65" s="1">
        <v>210</v>
      </c>
      <c r="B65" s="1">
        <v>19.999999999999996</v>
      </c>
      <c r="C65" s="1">
        <v>79.999999999999986</v>
      </c>
      <c r="D65" s="1">
        <v>85</v>
      </c>
      <c r="E65" s="1">
        <v>92.647058823529449</v>
      </c>
      <c r="F65" s="1">
        <v>7.352941176470595</v>
      </c>
      <c r="G65" s="1">
        <v>68</v>
      </c>
      <c r="H65" s="1">
        <v>82.812499999999986</v>
      </c>
      <c r="I65" s="1">
        <v>17.1875</v>
      </c>
      <c r="J65" s="1">
        <v>64</v>
      </c>
      <c r="K65" s="1">
        <v>1</v>
      </c>
      <c r="L65" s="1">
        <v>249.91019999999978</v>
      </c>
      <c r="M65" s="1">
        <v>141.12575999999959</v>
      </c>
      <c r="N65" s="1">
        <v>2.9401200000000016</v>
      </c>
      <c r="O65" s="1">
        <v>58.802399999999928</v>
      </c>
      <c r="P65" s="1">
        <v>5.8802400000000032</v>
      </c>
      <c r="Q65" s="1">
        <v>44.10179999999994</v>
      </c>
      <c r="R65" s="1">
        <v>41.161680000000054</v>
      </c>
      <c r="S65" s="1">
        <v>0</v>
      </c>
      <c r="T65" s="1">
        <v>17.640720000000027</v>
      </c>
      <c r="U65" s="1">
        <v>35.281440000000053</v>
      </c>
      <c r="V65" s="1">
        <v>35.281440000000053</v>
      </c>
      <c r="W65" s="1">
        <v>0.56470588235293961</v>
      </c>
      <c r="X65" s="1">
        <v>1.176470588235292E-2</v>
      </c>
      <c r="Y65" s="1">
        <v>0.23529411764705832</v>
      </c>
      <c r="Z65" s="1">
        <v>2.3529411764705844E-2</v>
      </c>
      <c r="AA65" s="1">
        <v>0.17647058823529382</v>
      </c>
      <c r="AB65" s="1">
        <v>0.16470588235294095</v>
      </c>
      <c r="AC65" s="1">
        <v>0</v>
      </c>
      <c r="AD65" s="1">
        <v>7.0588235294117466E-2</v>
      </c>
      <c r="AE65" s="1">
        <v>0.14117647058823493</v>
      </c>
      <c r="AF65" s="1">
        <v>0.14117647058823493</v>
      </c>
      <c r="AG65" s="1">
        <v>1</v>
      </c>
      <c r="AH65" s="1">
        <v>85</v>
      </c>
      <c r="AI65" s="1">
        <v>1</v>
      </c>
      <c r="AJ65" s="1">
        <v>217.56888000000015</v>
      </c>
      <c r="AK65" s="1">
        <v>132.30539999999976</v>
      </c>
      <c r="AL65" s="1">
        <v>32.341319999999996</v>
      </c>
      <c r="AM65" s="1">
        <v>85.263479999999831</v>
      </c>
      <c r="AN65" s="1">
        <v>155.82635999999965</v>
      </c>
      <c r="AO65" s="1">
        <v>11.760480000000006</v>
      </c>
      <c r="AP65" s="1">
        <v>26.461080000000027</v>
      </c>
      <c r="AQ65" s="1">
        <v>0.60810810810810689</v>
      </c>
      <c r="AR65" s="1">
        <v>0.14864864864864871</v>
      </c>
      <c r="AS65" s="1">
        <v>0.39189189189189155</v>
      </c>
      <c r="AT65" s="1">
        <v>0.71621621621621623</v>
      </c>
      <c r="AU65" s="1">
        <v>5.4054054054054036E-2</v>
      </c>
      <c r="AV65" s="1">
        <v>0.12162162162162155</v>
      </c>
      <c r="AW65" s="1">
        <v>1</v>
      </c>
      <c r="AX65" s="1">
        <v>74</v>
      </c>
      <c r="AY65" s="1">
        <v>9.7469879518072293</v>
      </c>
      <c r="AZ65" s="1">
        <v>9.8192771084337345</v>
      </c>
      <c r="BA65" s="1">
        <v>9.75</v>
      </c>
      <c r="BB65" s="1">
        <v>0</v>
      </c>
      <c r="BC65" s="1">
        <v>0</v>
      </c>
      <c r="BD65" s="1">
        <v>0</v>
      </c>
      <c r="BE65" s="1">
        <v>0</v>
      </c>
      <c r="BF65" s="1">
        <v>0</v>
      </c>
      <c r="BG65" s="1">
        <v>1.2048192771084314</v>
      </c>
      <c r="BH65" s="1">
        <v>2.4096385542168628</v>
      </c>
      <c r="BI65" s="1">
        <v>2.4096385542168628</v>
      </c>
      <c r="BJ65" s="1">
        <v>8.4337349397590167</v>
      </c>
      <c r="BK65" s="1">
        <v>85.542168674698644</v>
      </c>
      <c r="BL65" s="1">
        <v>9.7469879518072258</v>
      </c>
      <c r="BM65" s="1">
        <v>83</v>
      </c>
      <c r="BN65" s="1">
        <v>0</v>
      </c>
      <c r="BO65" s="1">
        <v>0</v>
      </c>
      <c r="BP65" s="1">
        <v>0</v>
      </c>
      <c r="BQ65" s="1">
        <v>0</v>
      </c>
      <c r="BR65" s="1">
        <v>0</v>
      </c>
      <c r="BS65" s="1">
        <v>0</v>
      </c>
      <c r="BT65" s="1">
        <v>0</v>
      </c>
      <c r="BU65" s="1">
        <v>2.4096385542168628</v>
      </c>
      <c r="BV65" s="1">
        <v>13.253012048192756</v>
      </c>
      <c r="BW65" s="1">
        <v>84.337349397590458</v>
      </c>
      <c r="BX65" s="1">
        <v>9.8192771084337398</v>
      </c>
      <c r="BY65" s="1">
        <v>83</v>
      </c>
      <c r="BZ65" s="1">
        <v>0</v>
      </c>
      <c r="CA65" s="1">
        <v>0</v>
      </c>
      <c r="CB65" s="1">
        <v>0</v>
      </c>
      <c r="CC65" s="1">
        <v>0</v>
      </c>
      <c r="CD65" s="1">
        <v>0</v>
      </c>
      <c r="CE65" s="1">
        <v>0</v>
      </c>
      <c r="CF65" s="1">
        <v>0</v>
      </c>
      <c r="CG65" s="1">
        <v>8.7499999999999982</v>
      </c>
      <c r="CH65" s="1">
        <v>7.4999999999999991</v>
      </c>
      <c r="CI65" s="1">
        <v>83.749999999999986</v>
      </c>
      <c r="CJ65" s="1">
        <v>9.7499999999999982</v>
      </c>
      <c r="CK65" s="1">
        <v>80</v>
      </c>
      <c r="CL65" s="1">
        <v>59.999999999999979</v>
      </c>
      <c r="CM65" s="1">
        <v>32.499999999999993</v>
      </c>
      <c r="CN65" s="1">
        <v>2.4999999999999996</v>
      </c>
      <c r="CO65" s="1">
        <v>3.7499999999999996</v>
      </c>
      <c r="CP65" s="1">
        <v>1.2499999999999998</v>
      </c>
      <c r="CQ65" s="1">
        <v>80</v>
      </c>
      <c r="CR65" s="1">
        <v>91.764705882353098</v>
      </c>
      <c r="CS65" s="1">
        <v>7.0588235294117547</v>
      </c>
      <c r="CT65" s="1">
        <v>0</v>
      </c>
      <c r="CU65" s="1">
        <v>1.176470588235291</v>
      </c>
      <c r="CV65" s="1">
        <v>0</v>
      </c>
      <c r="CW65" s="1">
        <v>85</v>
      </c>
      <c r="CX65" s="1">
        <v>94.117647058823437</v>
      </c>
      <c r="CY65" s="1">
        <v>5.8823529411764648</v>
      </c>
      <c r="CZ65" s="1">
        <v>0</v>
      </c>
      <c r="DA65" s="1">
        <v>0</v>
      </c>
      <c r="DB65" s="1">
        <v>0</v>
      </c>
      <c r="DC65" s="1">
        <v>85</v>
      </c>
      <c r="DD65" s="1">
        <v>88.372093023255744</v>
      </c>
      <c r="DE65" s="1">
        <v>10.465116279069768</v>
      </c>
      <c r="DF65" s="1">
        <v>0</v>
      </c>
      <c r="DG65" s="1">
        <v>1.1627906976744198</v>
      </c>
      <c r="DH65" s="1">
        <v>0</v>
      </c>
      <c r="DI65" s="1">
        <v>86</v>
      </c>
      <c r="DJ65" s="1">
        <v>83.333333333333229</v>
      </c>
      <c r="DK65" s="1">
        <v>16.666666666666668</v>
      </c>
      <c r="DL65" s="1">
        <v>0</v>
      </c>
      <c r="DM65" s="1">
        <v>0</v>
      </c>
      <c r="DN65" s="1">
        <v>0</v>
      </c>
      <c r="DO65" s="1">
        <v>84</v>
      </c>
      <c r="DP65" s="1">
        <v>87.058823529411725</v>
      </c>
      <c r="DQ65" s="1">
        <v>11.76470588235293</v>
      </c>
      <c r="DR65" s="1">
        <v>1.176470588235291</v>
      </c>
      <c r="DS65" s="1">
        <v>0</v>
      </c>
      <c r="DT65" s="1">
        <v>0</v>
      </c>
      <c r="DU65" s="1">
        <v>85</v>
      </c>
      <c r="DV65" s="1">
        <v>82.142857142857096</v>
      </c>
      <c r="DW65" s="1">
        <v>10.714285714285696</v>
      </c>
      <c r="DX65" s="1">
        <v>7.1428571428571477</v>
      </c>
      <c r="DY65" s="1">
        <v>0</v>
      </c>
      <c r="DZ65" s="1">
        <v>0</v>
      </c>
      <c r="EA65" s="1">
        <v>28</v>
      </c>
      <c r="EB65" s="1">
        <v>78.431372549019471</v>
      </c>
      <c r="EC65" s="1">
        <v>21.568627450980379</v>
      </c>
      <c r="ED65" s="1">
        <v>0</v>
      </c>
      <c r="EE65" s="1">
        <v>0</v>
      </c>
      <c r="EF65" s="1">
        <v>0</v>
      </c>
      <c r="EG65" s="1">
        <v>51</v>
      </c>
      <c r="EH65" s="1">
        <v>45.652173913043505</v>
      </c>
      <c r="EI65" s="1">
        <v>39.130434782608653</v>
      </c>
      <c r="EJ65" s="1">
        <v>10.869565217391338</v>
      </c>
      <c r="EK65" s="1">
        <v>4.3478260869565197</v>
      </c>
      <c r="EL65" s="1">
        <v>0</v>
      </c>
      <c r="EM65" s="1">
        <v>46</v>
      </c>
      <c r="EN65" s="1">
        <v>41.538461538461462</v>
      </c>
      <c r="EO65" s="1">
        <v>43.076923076922981</v>
      </c>
      <c r="EP65" s="1">
        <v>12.307692307692294</v>
      </c>
      <c r="EQ65" s="1">
        <v>3.0769230769230735</v>
      </c>
      <c r="ER65" s="1">
        <v>0</v>
      </c>
      <c r="ES65" s="1">
        <v>65</v>
      </c>
      <c r="ET65" s="1">
        <v>41.7910447761193</v>
      </c>
      <c r="EU65" s="1">
        <v>41.7910447761193</v>
      </c>
      <c r="EV65" s="1">
        <v>14.925373134328332</v>
      </c>
      <c r="EW65" s="1">
        <v>1.4925373134328346</v>
      </c>
      <c r="EX65" s="1">
        <v>0</v>
      </c>
      <c r="EY65" s="1">
        <v>67</v>
      </c>
      <c r="EZ65" s="1">
        <v>53.06122448979599</v>
      </c>
      <c r="FA65" s="1">
        <v>40.816326530612187</v>
      </c>
      <c r="FB65" s="1">
        <v>6.1224489795918506</v>
      </c>
      <c r="FC65" s="1">
        <v>0</v>
      </c>
      <c r="FD65" s="1">
        <v>0</v>
      </c>
      <c r="FE65" s="1">
        <v>49</v>
      </c>
      <c r="FF65" s="1">
        <v>41.666666666666636</v>
      </c>
      <c r="FG65" s="1">
        <v>50.000000000000007</v>
      </c>
      <c r="FH65" s="1">
        <v>8.333333333333341</v>
      </c>
      <c r="FI65" s="1">
        <v>0</v>
      </c>
      <c r="FJ65" s="1">
        <v>0</v>
      </c>
      <c r="FK65" s="1">
        <v>48</v>
      </c>
      <c r="FL65" s="1">
        <v>33.333333333333364</v>
      </c>
      <c r="FM65" s="1">
        <v>33.333333333333364</v>
      </c>
      <c r="FN65" s="1">
        <v>17.647058823529445</v>
      </c>
      <c r="FO65" s="1">
        <v>13.725490196078452</v>
      </c>
      <c r="FP65" s="1">
        <v>1.9607843137254948</v>
      </c>
      <c r="FQ65" s="1">
        <v>51</v>
      </c>
      <c r="FR65" s="1">
        <v>65.957446808510539</v>
      </c>
      <c r="FS65" s="1">
        <v>27.659574468085147</v>
      </c>
      <c r="FT65" s="1">
        <v>2.1276595744680851</v>
      </c>
      <c r="FU65" s="1">
        <v>4.2553191489361701</v>
      </c>
      <c r="FV65" s="1">
        <v>0</v>
      </c>
      <c r="FW65" s="1">
        <v>47</v>
      </c>
      <c r="FX65" s="1">
        <v>89.655172413793252</v>
      </c>
      <c r="FY65" s="1">
        <v>10.344827586206868</v>
      </c>
      <c r="FZ65" s="1">
        <v>0</v>
      </c>
      <c r="GA65" s="1">
        <v>0</v>
      </c>
      <c r="GB65" s="1">
        <v>0</v>
      </c>
      <c r="GC65" s="1">
        <v>87</v>
      </c>
      <c r="GD65" s="1">
        <v>70.000000000000014</v>
      </c>
      <c r="GE65" s="1">
        <v>26.6666666666667</v>
      </c>
      <c r="GF65" s="1">
        <v>0</v>
      </c>
      <c r="GG65" s="1">
        <v>3.3333333333333375</v>
      </c>
      <c r="GH65" s="1">
        <v>0</v>
      </c>
      <c r="GI65" s="1">
        <v>30</v>
      </c>
      <c r="GJ65" s="1">
        <v>56.250000000000007</v>
      </c>
      <c r="GK65" s="1">
        <v>34.375000000000007</v>
      </c>
      <c r="GL65" s="1">
        <v>9.3750000000000018</v>
      </c>
      <c r="GM65" s="1">
        <v>0</v>
      </c>
      <c r="GN65" s="1">
        <v>0</v>
      </c>
      <c r="GO65" s="1">
        <v>32</v>
      </c>
      <c r="GP65" s="1">
        <v>67.924528301886625</v>
      </c>
      <c r="GQ65" s="1">
        <v>26.415094339622609</v>
      </c>
      <c r="GR65" s="1">
        <v>5.6603773584905648</v>
      </c>
      <c r="GS65" s="1">
        <v>0</v>
      </c>
      <c r="GT65" s="1">
        <v>0</v>
      </c>
      <c r="GU65" s="1">
        <v>53</v>
      </c>
      <c r="GV65" s="1">
        <v>83.018867924528365</v>
      </c>
      <c r="GW65" s="1">
        <v>13.207547169811304</v>
      </c>
      <c r="GX65" s="1">
        <v>3.7735849056603779</v>
      </c>
      <c r="GY65" s="1">
        <v>0</v>
      </c>
      <c r="GZ65" s="1">
        <v>0</v>
      </c>
      <c r="HA65" s="1">
        <v>53</v>
      </c>
      <c r="HB65" s="1">
        <v>45.8333333333334</v>
      </c>
      <c r="HC65" s="1">
        <v>45.8333333333334</v>
      </c>
      <c r="HD65" s="1">
        <v>4.1666666666666705</v>
      </c>
      <c r="HE65" s="1">
        <v>0</v>
      </c>
      <c r="HF65" s="1">
        <v>4.1666666666666705</v>
      </c>
      <c r="HG65" s="1">
        <v>24</v>
      </c>
      <c r="HH65" s="1">
        <v>71.428571428571502</v>
      </c>
      <c r="HI65" s="1">
        <v>14.28571428571429</v>
      </c>
      <c r="HJ65" s="1">
        <v>9.5238095238095202</v>
      </c>
      <c r="HK65" s="1">
        <v>4.7619047619047601</v>
      </c>
      <c r="HL65" s="1">
        <v>0</v>
      </c>
      <c r="HM65" s="1">
        <v>21</v>
      </c>
      <c r="HN65" s="1">
        <v>95.121951219512127</v>
      </c>
      <c r="HO65" s="1">
        <v>4.8780487804878057</v>
      </c>
      <c r="HP65" s="1">
        <v>0</v>
      </c>
      <c r="HQ65" s="1">
        <v>0</v>
      </c>
      <c r="HR65" s="1">
        <v>0</v>
      </c>
      <c r="HS65" s="1">
        <v>41</v>
      </c>
      <c r="HT65" s="1">
        <v>82.758620689655103</v>
      </c>
      <c r="HU65" s="1">
        <v>17.241379310344865</v>
      </c>
      <c r="HV65" s="1">
        <v>0</v>
      </c>
      <c r="HW65" s="1">
        <v>0</v>
      </c>
      <c r="HX65" s="1">
        <v>0</v>
      </c>
      <c r="HY65" s="1">
        <v>29</v>
      </c>
      <c r="HZ65" s="1">
        <v>78.787878787878924</v>
      </c>
      <c r="IA65" s="1">
        <v>21.212121212121243</v>
      </c>
      <c r="IB65" s="1">
        <v>0</v>
      </c>
      <c r="IC65" s="1">
        <v>0</v>
      </c>
      <c r="ID65" s="1">
        <v>0</v>
      </c>
      <c r="IE65" s="1">
        <v>33</v>
      </c>
      <c r="IF65" s="1">
        <v>9.5060240963855414</v>
      </c>
      <c r="IG65" s="1">
        <v>0</v>
      </c>
      <c r="IH65" s="1">
        <v>0</v>
      </c>
      <c r="II65" s="1">
        <v>0</v>
      </c>
      <c r="IJ65" s="1">
        <v>0</v>
      </c>
      <c r="IK65" s="1">
        <v>0</v>
      </c>
      <c r="IL65" s="1">
        <v>0</v>
      </c>
      <c r="IM65" s="1">
        <v>0</v>
      </c>
      <c r="IN65" s="1">
        <v>9.6385542168674512</v>
      </c>
      <c r="IO65" s="1">
        <v>30.120481927710863</v>
      </c>
      <c r="IP65" s="1">
        <v>60.240963855421711</v>
      </c>
      <c r="IQ65" s="1">
        <v>9.5060240963855431</v>
      </c>
      <c r="IR65" s="1">
        <v>83</v>
      </c>
      <c r="IS65" s="1">
        <v>65.517241379310363</v>
      </c>
      <c r="IT65" s="1">
        <v>8.0459770114942604</v>
      </c>
      <c r="IU65" s="1">
        <v>25.287356321839066</v>
      </c>
      <c r="IV65" s="1">
        <v>0</v>
      </c>
      <c r="IW65" s="1">
        <v>1.1494252873563224</v>
      </c>
      <c r="IX65" s="1">
        <v>87</v>
      </c>
      <c r="IY65" s="1">
        <v>1</v>
      </c>
      <c r="IZ65" s="1">
        <v>255.79044000000042</v>
      </c>
      <c r="JA65" s="1">
        <v>117.60479999999984</v>
      </c>
      <c r="JB65" s="1">
        <v>52.922160000000055</v>
      </c>
      <c r="JC65" s="1">
        <v>38.221559999999961</v>
      </c>
      <c r="JD65" s="1">
        <v>97.023959999999775</v>
      </c>
      <c r="JE65" s="1">
        <v>0.45977011494252851</v>
      </c>
      <c r="JF65" s="1">
        <v>0.20689655172413762</v>
      </c>
      <c r="JG65" s="1">
        <v>0.14942528735632141</v>
      </c>
      <c r="JH65" s="1">
        <v>0.3793103448275863</v>
      </c>
      <c r="JI65" s="1">
        <v>1</v>
      </c>
      <c r="JJ65" s="1">
        <v>87</v>
      </c>
      <c r="JK65" s="1">
        <v>3.3176470588235296</v>
      </c>
      <c r="JL65" s="1">
        <v>3.3176470588235252</v>
      </c>
      <c r="JM65" s="1">
        <v>85</v>
      </c>
      <c r="JN65" s="1">
        <v>96.875000000000014</v>
      </c>
      <c r="JO65" s="1">
        <v>3.1250000000000004</v>
      </c>
      <c r="JP65" s="1">
        <v>32</v>
      </c>
      <c r="JQ65" s="1">
        <v>100</v>
      </c>
      <c r="JR65" s="1">
        <v>0</v>
      </c>
      <c r="JS65" s="1">
        <v>37</v>
      </c>
      <c r="JT65" s="1">
        <v>95.833333333333215</v>
      </c>
      <c r="JU65" s="1">
        <v>4.1666666666666696</v>
      </c>
      <c r="JV65" s="1">
        <v>72</v>
      </c>
      <c r="JW65" s="1">
        <v>81.999999999999986</v>
      </c>
      <c r="JX65" s="1">
        <v>18.000000000000004</v>
      </c>
      <c r="JY65" s="1">
        <v>50</v>
      </c>
      <c r="JZ65" s="1">
        <v>50.588235294117524</v>
      </c>
      <c r="KA65" s="1">
        <v>49.41176470588232</v>
      </c>
      <c r="KB65" s="1">
        <v>85</v>
      </c>
      <c r="KC65" s="1">
        <v>100</v>
      </c>
      <c r="KD65" s="1">
        <v>0</v>
      </c>
      <c r="KE65" s="1">
        <v>79</v>
      </c>
      <c r="KF65" s="1">
        <v>2.8157894736842106</v>
      </c>
      <c r="KG65" s="1">
        <v>27.631578947368372</v>
      </c>
      <c r="KH65" s="1">
        <v>9.2105263157894779</v>
      </c>
      <c r="KI65" s="1">
        <v>26.315789473684173</v>
      </c>
      <c r="KJ65" s="1">
        <v>27.631578947368372</v>
      </c>
      <c r="KK65" s="1">
        <v>9.2105263157894779</v>
      </c>
      <c r="KL65" s="1">
        <v>76</v>
      </c>
      <c r="KM65" s="1">
        <v>49.105263157894683</v>
      </c>
      <c r="KN65" s="1">
        <v>19</v>
      </c>
      <c r="KO65" s="1">
        <v>0</v>
      </c>
      <c r="KP65" s="1">
        <v>0</v>
      </c>
      <c r="KQ65" s="1">
        <v>100</v>
      </c>
      <c r="KR65" s="1">
        <v>0</v>
      </c>
      <c r="KS65" s="1">
        <v>0</v>
      </c>
      <c r="KT65" s="1">
        <v>1</v>
      </c>
      <c r="KU65" s="1">
        <v>3.571428571428561</v>
      </c>
      <c r="KV65" s="1">
        <v>0</v>
      </c>
      <c r="KW65" s="1">
        <v>0</v>
      </c>
      <c r="KX65" s="1">
        <v>92.857142857142946</v>
      </c>
      <c r="KY65" s="1">
        <v>3.571428571428561</v>
      </c>
      <c r="KZ65" s="1">
        <v>84</v>
      </c>
      <c r="LA65" s="1">
        <v>9.6385542168674512</v>
      </c>
      <c r="LB65" s="1">
        <v>90.361445783132638</v>
      </c>
      <c r="LC65" s="1">
        <v>83</v>
      </c>
      <c r="LD65" s="1">
        <v>0</v>
      </c>
      <c r="LE65" s="1">
        <v>12.5</v>
      </c>
      <c r="LF65" s="1">
        <v>87.5</v>
      </c>
      <c r="LG65" s="1">
        <v>8</v>
      </c>
    </row>
    <row r="66" spans="1:319" x14ac:dyDescent="0.25">
      <c r="A66" s="1">
        <v>211</v>
      </c>
      <c r="B66" s="1">
        <v>26.923076923076927</v>
      </c>
      <c r="C66" s="1">
        <v>73.076923076922981</v>
      </c>
      <c r="D66" s="1">
        <v>52</v>
      </c>
      <c r="E66" s="1">
        <v>60.526315789473742</v>
      </c>
      <c r="F66" s="1">
        <v>39.473684210526315</v>
      </c>
      <c r="G66" s="1">
        <v>38</v>
      </c>
      <c r="H66" s="1">
        <v>40.909090909090907</v>
      </c>
      <c r="I66" s="1">
        <v>59.090909090909108</v>
      </c>
      <c r="J66" s="1">
        <v>22</v>
      </c>
      <c r="K66" s="1">
        <v>1</v>
      </c>
      <c r="L66" s="1">
        <v>30.036759999999962</v>
      </c>
      <c r="M66" s="1">
        <v>5.7762999999999973</v>
      </c>
      <c r="N66" s="1">
        <v>4.0434099999999962</v>
      </c>
      <c r="O66" s="1">
        <v>7.509189999999994</v>
      </c>
      <c r="P66" s="1">
        <v>0.57762999999999942</v>
      </c>
      <c r="Q66" s="1">
        <v>11.552599999999988</v>
      </c>
      <c r="R66" s="1">
        <v>8.0868199999999923</v>
      </c>
      <c r="S66" s="1">
        <v>1.1552599999999988</v>
      </c>
      <c r="T66" s="1">
        <v>0.57762999999999942</v>
      </c>
      <c r="U66" s="1">
        <v>5.7762999999999973</v>
      </c>
      <c r="V66" s="1">
        <v>2.8881499999999987</v>
      </c>
      <c r="W66" s="1">
        <v>0.19230769230769265</v>
      </c>
      <c r="X66" s="1">
        <v>0.13461538461538483</v>
      </c>
      <c r="Y66" s="1">
        <v>0.25000000000000011</v>
      </c>
      <c r="Z66" s="1">
        <v>1.9230769230769263E-2</v>
      </c>
      <c r="AA66" s="1">
        <v>0.38461538461538458</v>
      </c>
      <c r="AB66" s="1">
        <v>0.26923076923076966</v>
      </c>
      <c r="AC66" s="1">
        <v>3.8461538461538526E-2</v>
      </c>
      <c r="AD66" s="1">
        <v>1.9230769230769263E-2</v>
      </c>
      <c r="AE66" s="1">
        <v>0.19230769230769265</v>
      </c>
      <c r="AF66" s="1">
        <v>9.6153846153846326E-2</v>
      </c>
      <c r="AG66" s="1">
        <v>1</v>
      </c>
      <c r="AH66" s="1">
        <v>52</v>
      </c>
      <c r="AI66" s="1">
        <v>1</v>
      </c>
      <c r="AJ66" s="1">
        <v>28.303869999999964</v>
      </c>
      <c r="AK66" s="1">
        <v>17.32889999999998</v>
      </c>
      <c r="AL66" s="1">
        <v>17.32889999999998</v>
      </c>
      <c r="AM66" s="1">
        <v>5.7762999999999973</v>
      </c>
      <c r="AN66" s="1">
        <v>5.1986699999999946</v>
      </c>
      <c r="AO66" s="1">
        <v>1.7328899999999987</v>
      </c>
      <c r="AP66" s="1">
        <v>6.3539299999999956</v>
      </c>
      <c r="AQ66" s="1">
        <v>0.61224489795918324</v>
      </c>
      <c r="AR66" s="1">
        <v>0.61224489795918324</v>
      </c>
      <c r="AS66" s="1">
        <v>0.20408163265306117</v>
      </c>
      <c r="AT66" s="1">
        <v>0.18367346938775531</v>
      </c>
      <c r="AU66" s="1">
        <v>6.1224489795918345E-2</v>
      </c>
      <c r="AV66" s="1">
        <v>0.22448979591836768</v>
      </c>
      <c r="AW66" s="1">
        <v>1</v>
      </c>
      <c r="AX66" s="1">
        <v>49</v>
      </c>
      <c r="AY66" s="1">
        <v>9.914893617021276</v>
      </c>
      <c r="AZ66" s="1">
        <v>9.9600000000000009</v>
      </c>
      <c r="BA66" s="1">
        <v>9.9183673469387763</v>
      </c>
      <c r="BB66" s="1">
        <v>0</v>
      </c>
      <c r="BC66" s="1">
        <v>0</v>
      </c>
      <c r="BD66" s="1">
        <v>0</v>
      </c>
      <c r="BE66" s="1">
        <v>0</v>
      </c>
      <c r="BF66" s="1">
        <v>0</v>
      </c>
      <c r="BG66" s="1">
        <v>0</v>
      </c>
      <c r="BH66" s="1">
        <v>0</v>
      </c>
      <c r="BI66" s="1">
        <v>4.2553191489361728</v>
      </c>
      <c r="BJ66" s="1">
        <v>0</v>
      </c>
      <c r="BK66" s="1">
        <v>95.744680851063919</v>
      </c>
      <c r="BL66" s="1">
        <v>9.9148936170212814</v>
      </c>
      <c r="BM66" s="1">
        <v>47</v>
      </c>
      <c r="BN66" s="1">
        <v>0</v>
      </c>
      <c r="BO66" s="1">
        <v>0</v>
      </c>
      <c r="BP66" s="1">
        <v>0</v>
      </c>
      <c r="BQ66" s="1">
        <v>0</v>
      </c>
      <c r="BR66" s="1">
        <v>0</v>
      </c>
      <c r="BS66" s="1">
        <v>0</v>
      </c>
      <c r="BT66" s="1">
        <v>0</v>
      </c>
      <c r="BU66" s="1">
        <v>2.0000000000000004</v>
      </c>
      <c r="BV66" s="1">
        <v>0</v>
      </c>
      <c r="BW66" s="1">
        <v>98</v>
      </c>
      <c r="BX66" s="1">
        <v>9.9599999999999937</v>
      </c>
      <c r="BY66" s="1">
        <v>50</v>
      </c>
      <c r="BZ66" s="1">
        <v>0</v>
      </c>
      <c r="CA66" s="1">
        <v>0</v>
      </c>
      <c r="CB66" s="1">
        <v>0</v>
      </c>
      <c r="CC66" s="1">
        <v>0</v>
      </c>
      <c r="CD66" s="1">
        <v>0</v>
      </c>
      <c r="CE66" s="1">
        <v>0</v>
      </c>
      <c r="CF66" s="1">
        <v>0</v>
      </c>
      <c r="CG66" s="1">
        <v>4.0816326530612326</v>
      </c>
      <c r="CH66" s="1">
        <v>0</v>
      </c>
      <c r="CI66" s="1">
        <v>95.91836734693878</v>
      </c>
      <c r="CJ66" s="1">
        <v>9.9183673469387905</v>
      </c>
      <c r="CK66" s="1">
        <v>49</v>
      </c>
      <c r="CL66" s="1">
        <v>73.469387755102133</v>
      </c>
      <c r="CM66" s="1">
        <v>22.448979591836764</v>
      </c>
      <c r="CN66" s="1">
        <v>2.0408163265306163</v>
      </c>
      <c r="CO66" s="1">
        <v>2.0408163265306163</v>
      </c>
      <c r="CP66" s="1">
        <v>0</v>
      </c>
      <c r="CQ66" s="1">
        <v>49</v>
      </c>
      <c r="CR66" s="1">
        <v>88.235294117646944</v>
      </c>
      <c r="CS66" s="1">
        <v>11.764705882352938</v>
      </c>
      <c r="CT66" s="1">
        <v>0</v>
      </c>
      <c r="CU66" s="1">
        <v>0</v>
      </c>
      <c r="CV66" s="1">
        <v>0</v>
      </c>
      <c r="CW66" s="1">
        <v>51</v>
      </c>
      <c r="CX66" s="1">
        <v>92</v>
      </c>
      <c r="CY66" s="1">
        <v>8.0000000000000018</v>
      </c>
      <c r="CZ66" s="1">
        <v>0</v>
      </c>
      <c r="DA66" s="1">
        <v>0</v>
      </c>
      <c r="DB66" s="1">
        <v>0</v>
      </c>
      <c r="DC66" s="1">
        <v>50</v>
      </c>
      <c r="DD66" s="1">
        <v>86.538461538461505</v>
      </c>
      <c r="DE66" s="1">
        <v>7.6923076923076943</v>
      </c>
      <c r="DF66" s="1">
        <v>3.8461538461538471</v>
      </c>
      <c r="DG66" s="1">
        <v>1.9230769230769236</v>
      </c>
      <c r="DH66" s="1">
        <v>0</v>
      </c>
      <c r="DI66" s="1">
        <v>52</v>
      </c>
      <c r="DJ66" s="1">
        <v>65.789473684210506</v>
      </c>
      <c r="DK66" s="1">
        <v>18.421052631578963</v>
      </c>
      <c r="DL66" s="1">
        <v>2.6315789473684235</v>
      </c>
      <c r="DM66" s="1">
        <v>7.8947368421052646</v>
      </c>
      <c r="DN66" s="1">
        <v>5.2631578947368469</v>
      </c>
      <c r="DO66" s="1">
        <v>38</v>
      </c>
      <c r="DP66" s="1">
        <v>96</v>
      </c>
      <c r="DQ66" s="1">
        <v>2.0000000000000004</v>
      </c>
      <c r="DR66" s="1">
        <v>2.0000000000000004</v>
      </c>
      <c r="DS66" s="1">
        <v>0</v>
      </c>
      <c r="DT66" s="1">
        <v>0</v>
      </c>
      <c r="DU66" s="1">
        <v>50</v>
      </c>
      <c r="DV66" s="1">
        <v>90.000000000000014</v>
      </c>
      <c r="DW66" s="1">
        <v>10.000000000000002</v>
      </c>
      <c r="DX66" s="1">
        <v>0</v>
      </c>
      <c r="DY66" s="1">
        <v>0</v>
      </c>
      <c r="DZ66" s="1">
        <v>0</v>
      </c>
      <c r="EA66" s="1">
        <v>30</v>
      </c>
      <c r="EB66" s="1">
        <v>75.000000000000014</v>
      </c>
      <c r="EC66" s="1">
        <v>0</v>
      </c>
      <c r="ED66" s="1">
        <v>0</v>
      </c>
      <c r="EE66" s="1">
        <v>12.5</v>
      </c>
      <c r="EF66" s="1">
        <v>12.5</v>
      </c>
      <c r="EG66" s="1">
        <v>8</v>
      </c>
      <c r="EH66" s="1">
        <v>83.333333333333371</v>
      </c>
      <c r="EI66" s="1">
        <v>16.666666666666654</v>
      </c>
      <c r="EJ66" s="1">
        <v>0</v>
      </c>
      <c r="EK66" s="1">
        <v>0</v>
      </c>
      <c r="EL66" s="1">
        <v>0</v>
      </c>
      <c r="EM66" s="1">
        <v>6</v>
      </c>
      <c r="EN66" s="1">
        <v>35.71428571428573</v>
      </c>
      <c r="EO66" s="1">
        <v>57.142857142857189</v>
      </c>
      <c r="EP66" s="1">
        <v>0</v>
      </c>
      <c r="EQ66" s="1">
        <v>7.1428571428571486</v>
      </c>
      <c r="ER66" s="1">
        <v>0</v>
      </c>
      <c r="ES66" s="1">
        <v>14</v>
      </c>
      <c r="ET66" s="1">
        <v>37.500000000000007</v>
      </c>
      <c r="EU66" s="1">
        <v>50.000000000000007</v>
      </c>
      <c r="EV66" s="1">
        <v>6.2500000000000009</v>
      </c>
      <c r="EW66" s="1">
        <v>6.2500000000000009</v>
      </c>
      <c r="EX66" s="1">
        <v>0</v>
      </c>
      <c r="EY66" s="1">
        <v>16</v>
      </c>
      <c r="EZ66" s="1">
        <v>29.999999999999996</v>
      </c>
      <c r="FA66" s="1">
        <v>50</v>
      </c>
      <c r="FB66" s="1">
        <v>20</v>
      </c>
      <c r="FC66" s="1">
        <v>0</v>
      </c>
      <c r="FD66" s="1">
        <v>0</v>
      </c>
      <c r="FE66" s="1">
        <v>10</v>
      </c>
      <c r="FF66" s="1">
        <v>25</v>
      </c>
      <c r="FG66" s="1">
        <v>75.000000000000014</v>
      </c>
      <c r="FH66" s="1">
        <v>0</v>
      </c>
      <c r="FI66" s="1">
        <v>0</v>
      </c>
      <c r="FJ66" s="1">
        <v>0</v>
      </c>
      <c r="FK66" s="1">
        <v>8</v>
      </c>
      <c r="FL66" s="1">
        <v>83.333333333333371</v>
      </c>
      <c r="FM66" s="1">
        <v>16.666666666666654</v>
      </c>
      <c r="FN66" s="1">
        <v>0</v>
      </c>
      <c r="FO66" s="1">
        <v>0</v>
      </c>
      <c r="FP66" s="1">
        <v>0</v>
      </c>
      <c r="FQ66" s="1">
        <v>12</v>
      </c>
      <c r="FR66" s="1">
        <v>77.777777777777814</v>
      </c>
      <c r="FS66" s="1">
        <v>22.222222222222197</v>
      </c>
      <c r="FT66" s="1">
        <v>0</v>
      </c>
      <c r="FU66" s="1">
        <v>0</v>
      </c>
      <c r="FV66" s="1">
        <v>0</v>
      </c>
      <c r="FW66" s="1">
        <v>9</v>
      </c>
      <c r="FX66" s="1">
        <v>95.121951219512113</v>
      </c>
      <c r="FY66" s="1">
        <v>4.8780487804878039</v>
      </c>
      <c r="FZ66" s="1">
        <v>0</v>
      </c>
      <c r="GA66" s="1">
        <v>0</v>
      </c>
      <c r="GB66" s="1">
        <v>0</v>
      </c>
      <c r="GC66" s="1">
        <v>41</v>
      </c>
      <c r="GD66" s="1">
        <v>79.166666666666629</v>
      </c>
      <c r="GE66" s="1">
        <v>16.666666666666657</v>
      </c>
      <c r="GF66" s="1">
        <v>0</v>
      </c>
      <c r="GG66" s="1">
        <v>4.1666666666666643</v>
      </c>
      <c r="GH66" s="1">
        <v>0</v>
      </c>
      <c r="GI66" s="1">
        <v>24</v>
      </c>
      <c r="GJ66" s="1">
        <v>86.666666666666643</v>
      </c>
      <c r="GK66" s="1">
        <v>13.333333333333339</v>
      </c>
      <c r="GL66" s="1">
        <v>0</v>
      </c>
      <c r="GM66" s="1">
        <v>0</v>
      </c>
      <c r="GN66" s="1">
        <v>0</v>
      </c>
      <c r="GO66" s="1">
        <v>15</v>
      </c>
      <c r="GP66" s="1">
        <v>87.500000000000014</v>
      </c>
      <c r="GQ66" s="1">
        <v>9.3750000000000018</v>
      </c>
      <c r="GR66" s="1">
        <v>3.1250000000000004</v>
      </c>
      <c r="GS66" s="1">
        <v>0</v>
      </c>
      <c r="GT66" s="1">
        <v>0</v>
      </c>
      <c r="GU66" s="1">
        <v>32</v>
      </c>
      <c r="GV66" s="1">
        <v>96.875</v>
      </c>
      <c r="GW66" s="1">
        <v>3.1250000000000004</v>
      </c>
      <c r="GX66" s="1">
        <v>0</v>
      </c>
      <c r="GY66" s="1">
        <v>0</v>
      </c>
      <c r="GZ66" s="1">
        <v>0</v>
      </c>
      <c r="HA66" s="1">
        <v>32</v>
      </c>
      <c r="HB66" s="1">
        <v>75</v>
      </c>
      <c r="HC66" s="1">
        <v>25</v>
      </c>
      <c r="HD66" s="1">
        <v>0</v>
      </c>
      <c r="HE66" s="1">
        <v>0</v>
      </c>
      <c r="HF66" s="1">
        <v>0</v>
      </c>
      <c r="HG66" s="1">
        <v>4</v>
      </c>
      <c r="HH66" s="1">
        <v>85.714285714285722</v>
      </c>
      <c r="HI66" s="1">
        <v>0</v>
      </c>
      <c r="HJ66" s="1">
        <v>0</v>
      </c>
      <c r="HK66" s="1">
        <v>0</v>
      </c>
      <c r="HL66" s="1">
        <v>14.285714285714297</v>
      </c>
      <c r="HM66" s="1">
        <v>7</v>
      </c>
      <c r="HN66" s="1">
        <v>22.222222222222197</v>
      </c>
      <c r="HO66" s="1">
        <v>22.222222222222197</v>
      </c>
      <c r="HP66" s="1">
        <v>33.333333333333307</v>
      </c>
      <c r="HQ66" s="1">
        <v>22.222222222222197</v>
      </c>
      <c r="HR66" s="1">
        <v>0</v>
      </c>
      <c r="HS66" s="1">
        <v>9</v>
      </c>
      <c r="HT66" s="1">
        <v>49.999999999999993</v>
      </c>
      <c r="HU66" s="1">
        <v>16.666666666666654</v>
      </c>
      <c r="HV66" s="1">
        <v>33.333333333333307</v>
      </c>
      <c r="HW66" s="1">
        <v>0</v>
      </c>
      <c r="HX66" s="1">
        <v>0</v>
      </c>
      <c r="HY66" s="1">
        <v>6</v>
      </c>
      <c r="HZ66" s="1">
        <v>42.857142857142854</v>
      </c>
      <c r="IA66" s="1">
        <v>28.571428571428594</v>
      </c>
      <c r="IB66" s="1">
        <v>28.571428571428594</v>
      </c>
      <c r="IC66" s="1">
        <v>0</v>
      </c>
      <c r="ID66" s="1">
        <v>0</v>
      </c>
      <c r="IE66" s="1">
        <v>7</v>
      </c>
      <c r="IF66" s="1">
        <v>9.6739130434782616</v>
      </c>
      <c r="IG66" s="1">
        <v>0</v>
      </c>
      <c r="IH66" s="1">
        <v>0</v>
      </c>
      <c r="II66" s="1">
        <v>0</v>
      </c>
      <c r="IJ66" s="1">
        <v>0</v>
      </c>
      <c r="IK66" s="1">
        <v>0</v>
      </c>
      <c r="IL66" s="1">
        <v>0</v>
      </c>
      <c r="IM66" s="1">
        <v>0</v>
      </c>
      <c r="IN66" s="1">
        <v>4.3478260869565286</v>
      </c>
      <c r="IO66" s="1">
        <v>23.913043478260903</v>
      </c>
      <c r="IP66" s="1">
        <v>71.739130434782538</v>
      </c>
      <c r="IQ66" s="1">
        <v>9.6739130434782545</v>
      </c>
      <c r="IR66" s="1">
        <v>46</v>
      </c>
      <c r="IS66" s="1">
        <v>84.61538461538467</v>
      </c>
      <c r="IT66" s="1">
        <v>3.8461538461538471</v>
      </c>
      <c r="IU66" s="1">
        <v>11.538461538461549</v>
      </c>
      <c r="IV66" s="1">
        <v>0</v>
      </c>
      <c r="IW66" s="1">
        <v>0</v>
      </c>
      <c r="IX66" s="1">
        <v>52</v>
      </c>
      <c r="IY66" s="1">
        <v>1</v>
      </c>
      <c r="IZ66" s="1">
        <v>29.459129999999963</v>
      </c>
      <c r="JA66" s="1">
        <v>13.285489999999983</v>
      </c>
      <c r="JB66" s="1">
        <v>12.130229999999987</v>
      </c>
      <c r="JC66" s="1">
        <v>0.57762999999999942</v>
      </c>
      <c r="JD66" s="1">
        <v>4.6210399999999954</v>
      </c>
      <c r="JE66" s="1">
        <v>0.45098039215686347</v>
      </c>
      <c r="JF66" s="1">
        <v>0.41176470588235276</v>
      </c>
      <c r="JG66" s="1">
        <v>1.9607843137254933E-2</v>
      </c>
      <c r="JH66" s="1">
        <v>0.15686274509803946</v>
      </c>
      <c r="JI66" s="1">
        <v>1</v>
      </c>
      <c r="JJ66" s="1">
        <v>51</v>
      </c>
      <c r="JK66" s="1">
        <v>2.46</v>
      </c>
      <c r="JL66" s="1">
        <v>2.4600000000000044</v>
      </c>
      <c r="JM66" s="1">
        <v>50</v>
      </c>
      <c r="JN66" s="1">
        <v>93.333333333333343</v>
      </c>
      <c r="JO66" s="1">
        <v>6.6666666666666696</v>
      </c>
      <c r="JP66" s="1">
        <v>15</v>
      </c>
      <c r="JQ66" s="1">
        <v>100</v>
      </c>
      <c r="JR66" s="1">
        <v>0</v>
      </c>
      <c r="JS66" s="1">
        <v>24</v>
      </c>
      <c r="JT66" s="1">
        <v>90.625000000000014</v>
      </c>
      <c r="JU66" s="1">
        <v>9.3750000000000018</v>
      </c>
      <c r="JV66" s="1">
        <v>32</v>
      </c>
      <c r="JW66" s="1">
        <v>82.758620689655231</v>
      </c>
      <c r="JX66" s="1">
        <v>17.241379310344854</v>
      </c>
      <c r="JY66" s="1">
        <v>29</v>
      </c>
      <c r="JZ66" s="1">
        <v>48.936170212765944</v>
      </c>
      <c r="KA66" s="1">
        <v>51.063829787234091</v>
      </c>
      <c r="KB66" s="1">
        <v>47</v>
      </c>
      <c r="KC66" s="1">
        <v>100</v>
      </c>
      <c r="KD66" s="1">
        <v>0</v>
      </c>
      <c r="KE66" s="1">
        <v>43</v>
      </c>
      <c r="KF66" s="1">
        <v>3.9318181818181817</v>
      </c>
      <c r="KG66" s="1">
        <v>0</v>
      </c>
      <c r="KH66" s="1">
        <v>4.5454545454545539</v>
      </c>
      <c r="KI66" s="1">
        <v>25.000000000000007</v>
      </c>
      <c r="KJ66" s="1">
        <v>43.181818181818208</v>
      </c>
      <c r="KK66" s="1">
        <v>27.272727272727273</v>
      </c>
      <c r="KL66" s="1">
        <v>44</v>
      </c>
      <c r="KM66" s="1">
        <v>66.727272727272648</v>
      </c>
      <c r="KN66" s="1">
        <v>0</v>
      </c>
      <c r="KO66" s="1">
        <v>0</v>
      </c>
      <c r="KP66" s="1">
        <v>0</v>
      </c>
      <c r="KQ66" s="1">
        <v>0</v>
      </c>
      <c r="KR66" s="1">
        <v>0</v>
      </c>
      <c r="KS66" s="1">
        <v>0</v>
      </c>
      <c r="KT66" s="1">
        <v>0</v>
      </c>
      <c r="KU66" s="1">
        <v>0</v>
      </c>
      <c r="KV66" s="1">
        <v>0</v>
      </c>
      <c r="KW66" s="1">
        <v>2.1276595744680864</v>
      </c>
      <c r="KX66" s="1">
        <v>97.872340425531874</v>
      </c>
      <c r="KY66" s="1">
        <v>0</v>
      </c>
      <c r="KZ66" s="1">
        <v>47</v>
      </c>
      <c r="LA66" s="1">
        <v>17.777777777777803</v>
      </c>
      <c r="LB66" s="1">
        <v>82.222222222222214</v>
      </c>
      <c r="LC66" s="1">
        <v>45</v>
      </c>
      <c r="LD66" s="1">
        <v>0</v>
      </c>
      <c r="LE66" s="1">
        <v>0</v>
      </c>
      <c r="LF66" s="1">
        <v>100</v>
      </c>
      <c r="LG66" s="1">
        <v>8</v>
      </c>
    </row>
    <row r="67" spans="1:319" x14ac:dyDescent="0.25">
      <c r="A67" s="1">
        <v>212</v>
      </c>
      <c r="B67" s="1">
        <v>27.586206896551737</v>
      </c>
      <c r="C67" s="1">
        <v>72.413793103448313</v>
      </c>
      <c r="D67" s="1">
        <v>29</v>
      </c>
      <c r="E67" s="1">
        <v>85</v>
      </c>
      <c r="F67" s="1">
        <v>14.999999999999996</v>
      </c>
      <c r="G67" s="1">
        <v>20</v>
      </c>
      <c r="H67" s="1">
        <v>21.428571428571427</v>
      </c>
      <c r="I67" s="1">
        <v>78.571428571428584</v>
      </c>
      <c r="J67" s="1">
        <v>14</v>
      </c>
      <c r="K67" s="1">
        <v>1</v>
      </c>
      <c r="L67" s="1">
        <v>19.989120000000003</v>
      </c>
      <c r="M67" s="1">
        <v>5.51424</v>
      </c>
      <c r="N67" s="1">
        <v>3.4463999999999979</v>
      </c>
      <c r="O67" s="1">
        <v>10.339200000000003</v>
      </c>
      <c r="P67" s="1">
        <v>0</v>
      </c>
      <c r="Q67" s="1">
        <v>6.8927999999999958</v>
      </c>
      <c r="R67" s="1">
        <v>2.0678399999999986</v>
      </c>
      <c r="S67" s="1">
        <v>0.68928</v>
      </c>
      <c r="T67" s="1">
        <v>0</v>
      </c>
      <c r="U67" s="1">
        <v>0.68928</v>
      </c>
      <c r="V67" s="1">
        <v>3.4463999999999979</v>
      </c>
      <c r="W67" s="1">
        <v>0.27586206896551713</v>
      </c>
      <c r="X67" s="1">
        <v>0.17241379310344837</v>
      </c>
      <c r="Y67" s="1">
        <v>0.51724137931034508</v>
      </c>
      <c r="Z67" s="1">
        <v>0</v>
      </c>
      <c r="AA67" s="1">
        <v>0.34482758620689674</v>
      </c>
      <c r="AB67" s="1">
        <v>0.10344827586206896</v>
      </c>
      <c r="AC67" s="1">
        <v>3.4482758620689634E-2</v>
      </c>
      <c r="AD67" s="1">
        <v>0</v>
      </c>
      <c r="AE67" s="1">
        <v>3.4482758620689634E-2</v>
      </c>
      <c r="AF67" s="1">
        <v>0.17241379310344837</v>
      </c>
      <c r="AG67" s="1">
        <v>1</v>
      </c>
      <c r="AH67" s="1">
        <v>29</v>
      </c>
      <c r="AI67" s="1">
        <v>1</v>
      </c>
      <c r="AJ67" s="1">
        <v>16.542719999999989</v>
      </c>
      <c r="AK67" s="1">
        <v>6.2035199999999984</v>
      </c>
      <c r="AL67" s="1">
        <v>4.1356799999999971</v>
      </c>
      <c r="AM67" s="1">
        <v>6.8927999999999958</v>
      </c>
      <c r="AN67" s="1">
        <v>6.8927999999999958</v>
      </c>
      <c r="AO67" s="1">
        <v>1.37856</v>
      </c>
      <c r="AP67" s="1">
        <v>4.1356799999999971</v>
      </c>
      <c r="AQ67" s="1">
        <v>0.375</v>
      </c>
      <c r="AR67" s="1">
        <v>0.25</v>
      </c>
      <c r="AS67" s="1">
        <v>0.41666666666666657</v>
      </c>
      <c r="AT67" s="1">
        <v>0.41666666666666657</v>
      </c>
      <c r="AU67" s="1">
        <v>8.3333333333333329E-2</v>
      </c>
      <c r="AV67" s="1">
        <v>0.25</v>
      </c>
      <c r="AW67" s="1">
        <v>1</v>
      </c>
      <c r="AX67" s="1">
        <v>24</v>
      </c>
      <c r="AY67" s="1">
        <v>9.8461538461538467</v>
      </c>
      <c r="AZ67" s="1">
        <v>9.884615384615385</v>
      </c>
      <c r="BA67" s="1">
        <v>9.9600000000000009</v>
      </c>
      <c r="BB67" s="1">
        <v>0</v>
      </c>
      <c r="BC67" s="1">
        <v>0</v>
      </c>
      <c r="BD67" s="1">
        <v>0</v>
      </c>
      <c r="BE67" s="1">
        <v>0</v>
      </c>
      <c r="BF67" s="1">
        <v>0</v>
      </c>
      <c r="BG67" s="1">
        <v>0</v>
      </c>
      <c r="BH67" s="1">
        <v>0</v>
      </c>
      <c r="BI67" s="1">
        <v>3.8461538461538436</v>
      </c>
      <c r="BJ67" s="1">
        <v>7.6923076923076872</v>
      </c>
      <c r="BK67" s="1">
        <v>88.461538461538524</v>
      </c>
      <c r="BL67" s="1">
        <v>9.8461538461538431</v>
      </c>
      <c r="BM67" s="1">
        <v>26</v>
      </c>
      <c r="BN67" s="1">
        <v>0</v>
      </c>
      <c r="BO67" s="1">
        <v>0</v>
      </c>
      <c r="BP67" s="1">
        <v>0</v>
      </c>
      <c r="BQ67" s="1">
        <v>0</v>
      </c>
      <c r="BR67" s="1">
        <v>0</v>
      </c>
      <c r="BS67" s="1">
        <v>0</v>
      </c>
      <c r="BT67" s="1">
        <v>0</v>
      </c>
      <c r="BU67" s="1">
        <v>3.8461538461538436</v>
      </c>
      <c r="BV67" s="1">
        <v>3.8461538461538436</v>
      </c>
      <c r="BW67" s="1">
        <v>92.307692307692335</v>
      </c>
      <c r="BX67" s="1">
        <v>9.8846153846153815</v>
      </c>
      <c r="BY67" s="1">
        <v>26</v>
      </c>
      <c r="BZ67" s="1">
        <v>0</v>
      </c>
      <c r="CA67" s="1">
        <v>0</v>
      </c>
      <c r="CB67" s="1">
        <v>0</v>
      </c>
      <c r="CC67" s="1">
        <v>0</v>
      </c>
      <c r="CD67" s="1">
        <v>0</v>
      </c>
      <c r="CE67" s="1">
        <v>0</v>
      </c>
      <c r="CF67" s="1">
        <v>0</v>
      </c>
      <c r="CG67" s="1">
        <v>0</v>
      </c>
      <c r="CH67" s="1">
        <v>4</v>
      </c>
      <c r="CI67" s="1">
        <v>96</v>
      </c>
      <c r="CJ67" s="1">
        <v>9.9599999999999991</v>
      </c>
      <c r="CK67" s="1">
        <v>25</v>
      </c>
      <c r="CL67" s="1">
        <v>83.333333333333329</v>
      </c>
      <c r="CM67" s="1">
        <v>16.666666666666675</v>
      </c>
      <c r="CN67" s="1">
        <v>0</v>
      </c>
      <c r="CO67" s="1">
        <v>0</v>
      </c>
      <c r="CP67" s="1">
        <v>0</v>
      </c>
      <c r="CQ67" s="1">
        <v>24</v>
      </c>
      <c r="CR67" s="1">
        <v>88.888888888888857</v>
      </c>
      <c r="CS67" s="1">
        <v>11.111111111111107</v>
      </c>
      <c r="CT67" s="1">
        <v>0</v>
      </c>
      <c r="CU67" s="1">
        <v>0</v>
      </c>
      <c r="CV67" s="1">
        <v>0</v>
      </c>
      <c r="CW67" s="1">
        <v>27</v>
      </c>
      <c r="CX67" s="1">
        <v>88.888888888888857</v>
      </c>
      <c r="CY67" s="1">
        <v>11.111111111111107</v>
      </c>
      <c r="CZ67" s="1">
        <v>0</v>
      </c>
      <c r="DA67" s="1">
        <v>0</v>
      </c>
      <c r="DB67" s="1">
        <v>0</v>
      </c>
      <c r="DC67" s="1">
        <v>27</v>
      </c>
      <c r="DD67" s="1">
        <v>89.285714285714235</v>
      </c>
      <c r="DE67" s="1">
        <v>10.714285714285717</v>
      </c>
      <c r="DF67" s="1">
        <v>0</v>
      </c>
      <c r="DG67" s="1">
        <v>0</v>
      </c>
      <c r="DH67" s="1">
        <v>0</v>
      </c>
      <c r="DI67" s="1">
        <v>28</v>
      </c>
      <c r="DJ67" s="1">
        <v>53.333333333333321</v>
      </c>
      <c r="DK67" s="1">
        <v>40</v>
      </c>
      <c r="DL67" s="1">
        <v>6.6666666666666652</v>
      </c>
      <c r="DM67" s="1">
        <v>0</v>
      </c>
      <c r="DN67" s="1">
        <v>0</v>
      </c>
      <c r="DO67" s="1">
        <v>15</v>
      </c>
      <c r="DP67" s="1">
        <v>81.481481481481481</v>
      </c>
      <c r="DQ67" s="1">
        <v>18.518518518518526</v>
      </c>
      <c r="DR67" s="1">
        <v>0</v>
      </c>
      <c r="DS67" s="1">
        <v>0</v>
      </c>
      <c r="DT67" s="1">
        <v>0</v>
      </c>
      <c r="DU67" s="1">
        <v>27</v>
      </c>
      <c r="DV67" s="1">
        <v>70</v>
      </c>
      <c r="DW67" s="1">
        <v>20</v>
      </c>
      <c r="DX67" s="1">
        <v>10</v>
      </c>
      <c r="DY67" s="1">
        <v>0</v>
      </c>
      <c r="DZ67" s="1">
        <v>0</v>
      </c>
      <c r="EA67" s="1">
        <v>10</v>
      </c>
      <c r="EB67" s="1">
        <v>81.818181818181799</v>
      </c>
      <c r="EC67" s="1">
        <v>18.181818181818183</v>
      </c>
      <c r="ED67" s="1">
        <v>0</v>
      </c>
      <c r="EE67" s="1">
        <v>0</v>
      </c>
      <c r="EF67" s="1">
        <v>0</v>
      </c>
      <c r="EG67" s="1">
        <v>11</v>
      </c>
      <c r="EH67" s="1">
        <v>75</v>
      </c>
      <c r="EI67" s="1">
        <v>12.5</v>
      </c>
      <c r="EJ67" s="1">
        <v>0</v>
      </c>
      <c r="EK67" s="1">
        <v>12.5</v>
      </c>
      <c r="EL67" s="1">
        <v>0</v>
      </c>
      <c r="EM67" s="1">
        <v>8</v>
      </c>
      <c r="EN67" s="1">
        <v>59.999999999999993</v>
      </c>
      <c r="EO67" s="1">
        <v>29.999999999999996</v>
      </c>
      <c r="EP67" s="1">
        <v>10</v>
      </c>
      <c r="EQ67" s="1">
        <v>0</v>
      </c>
      <c r="ER67" s="1">
        <v>0</v>
      </c>
      <c r="ES67" s="1">
        <v>10</v>
      </c>
      <c r="ET67" s="1">
        <v>49.999999999999993</v>
      </c>
      <c r="EU67" s="1">
        <v>49.999999999999993</v>
      </c>
      <c r="EV67" s="1">
        <v>0</v>
      </c>
      <c r="EW67" s="1">
        <v>0</v>
      </c>
      <c r="EX67" s="1">
        <v>0</v>
      </c>
      <c r="EY67" s="1">
        <v>10</v>
      </c>
      <c r="EZ67" s="1">
        <v>70</v>
      </c>
      <c r="FA67" s="1">
        <v>29.999999999999996</v>
      </c>
      <c r="FB67" s="1">
        <v>0</v>
      </c>
      <c r="FC67" s="1">
        <v>0</v>
      </c>
      <c r="FD67" s="1">
        <v>0</v>
      </c>
      <c r="FE67" s="1">
        <v>10</v>
      </c>
      <c r="FF67" s="1">
        <v>55.555555555555586</v>
      </c>
      <c r="FG67" s="1">
        <v>33.333333333333343</v>
      </c>
      <c r="FH67" s="1">
        <v>11.111111111111107</v>
      </c>
      <c r="FI67" s="1">
        <v>0</v>
      </c>
      <c r="FJ67" s="1">
        <v>0</v>
      </c>
      <c r="FK67" s="1">
        <v>9</v>
      </c>
      <c r="FL67" s="1">
        <v>66.666666666666686</v>
      </c>
      <c r="FM67" s="1">
        <v>22.222222222222214</v>
      </c>
      <c r="FN67" s="1">
        <v>0</v>
      </c>
      <c r="FO67" s="1">
        <v>11.111111111111107</v>
      </c>
      <c r="FP67" s="1">
        <v>0</v>
      </c>
      <c r="FQ67" s="1">
        <v>9</v>
      </c>
      <c r="FR67" s="1">
        <v>66.6666666666667</v>
      </c>
      <c r="FS67" s="1">
        <v>33.33333333333335</v>
      </c>
      <c r="FT67" s="1">
        <v>0</v>
      </c>
      <c r="FU67" s="1">
        <v>0</v>
      </c>
      <c r="FV67" s="1">
        <v>0</v>
      </c>
      <c r="FW67" s="1">
        <v>6</v>
      </c>
      <c r="FX67" s="1">
        <v>80.769230769230759</v>
      </c>
      <c r="FY67" s="1">
        <v>15.384615384615374</v>
      </c>
      <c r="FZ67" s="1">
        <v>0</v>
      </c>
      <c r="GA67" s="1">
        <v>3.8461538461538436</v>
      </c>
      <c r="GB67" s="1">
        <v>0</v>
      </c>
      <c r="GC67" s="1">
        <v>26</v>
      </c>
      <c r="GD67" s="1">
        <v>76.47058823529413</v>
      </c>
      <c r="GE67" s="1">
        <v>23.529411764705866</v>
      </c>
      <c r="GF67" s="1">
        <v>0</v>
      </c>
      <c r="GG67" s="1">
        <v>0</v>
      </c>
      <c r="GH67" s="1">
        <v>0</v>
      </c>
      <c r="GI67" s="1">
        <v>17</v>
      </c>
      <c r="GJ67" s="1">
        <v>72.222222222222186</v>
      </c>
      <c r="GK67" s="1">
        <v>27.777777777777793</v>
      </c>
      <c r="GL67" s="1">
        <v>0</v>
      </c>
      <c r="GM67" s="1">
        <v>0</v>
      </c>
      <c r="GN67" s="1">
        <v>0</v>
      </c>
      <c r="GO67" s="1">
        <v>18</v>
      </c>
      <c r="GP67" s="1">
        <v>69.230769230769269</v>
      </c>
      <c r="GQ67" s="1">
        <v>30.769230769230749</v>
      </c>
      <c r="GR67" s="1">
        <v>0</v>
      </c>
      <c r="GS67" s="1">
        <v>0</v>
      </c>
      <c r="GT67" s="1">
        <v>0</v>
      </c>
      <c r="GU67" s="1">
        <v>13</v>
      </c>
      <c r="GV67" s="1">
        <v>76.923076923076934</v>
      </c>
      <c r="GW67" s="1">
        <v>23.076923076923084</v>
      </c>
      <c r="GX67" s="1">
        <v>0</v>
      </c>
      <c r="GY67" s="1">
        <v>0</v>
      </c>
      <c r="GZ67" s="1">
        <v>0</v>
      </c>
      <c r="HA67" s="1">
        <v>13</v>
      </c>
      <c r="HB67" s="1">
        <v>57.142857142857117</v>
      </c>
      <c r="HC67" s="1">
        <v>42.857142857142868</v>
      </c>
      <c r="HD67" s="1">
        <v>0</v>
      </c>
      <c r="HE67" s="1">
        <v>0</v>
      </c>
      <c r="HF67" s="1">
        <v>0</v>
      </c>
      <c r="HG67" s="1">
        <v>7</v>
      </c>
      <c r="HH67" s="1">
        <v>50</v>
      </c>
      <c r="HI67" s="1">
        <v>50</v>
      </c>
      <c r="HJ67" s="1">
        <v>0</v>
      </c>
      <c r="HK67" s="1">
        <v>0</v>
      </c>
      <c r="HL67" s="1">
        <v>0</v>
      </c>
      <c r="HM67" s="1">
        <v>4</v>
      </c>
      <c r="HN67" s="1">
        <v>85.714285714285737</v>
      </c>
      <c r="HO67" s="1">
        <v>7.1428571428571397</v>
      </c>
      <c r="HP67" s="1">
        <v>7.1428571428571397</v>
      </c>
      <c r="HQ67" s="1">
        <v>0</v>
      </c>
      <c r="HR67" s="1">
        <v>0</v>
      </c>
      <c r="HS67" s="1">
        <v>14</v>
      </c>
      <c r="HT67" s="1">
        <v>71.428571428571388</v>
      </c>
      <c r="HU67" s="1">
        <v>28.571428571428559</v>
      </c>
      <c r="HV67" s="1">
        <v>0</v>
      </c>
      <c r="HW67" s="1">
        <v>0</v>
      </c>
      <c r="HX67" s="1">
        <v>0</v>
      </c>
      <c r="HY67" s="1">
        <v>7</v>
      </c>
      <c r="HZ67" s="1">
        <v>71.428571428571388</v>
      </c>
      <c r="IA67" s="1">
        <v>28.571428571428559</v>
      </c>
      <c r="IB67" s="1">
        <v>0</v>
      </c>
      <c r="IC67" s="1">
        <v>0</v>
      </c>
      <c r="ID67" s="1">
        <v>0</v>
      </c>
      <c r="IE67" s="1">
        <v>7</v>
      </c>
      <c r="IF67" s="1">
        <v>9.75</v>
      </c>
      <c r="IG67" s="1">
        <v>0</v>
      </c>
      <c r="IH67" s="1">
        <v>0</v>
      </c>
      <c r="II67" s="1">
        <v>0</v>
      </c>
      <c r="IJ67" s="1">
        <v>0</v>
      </c>
      <c r="IK67" s="1">
        <v>0</v>
      </c>
      <c r="IL67" s="1">
        <v>0</v>
      </c>
      <c r="IM67" s="1">
        <v>0</v>
      </c>
      <c r="IN67" s="1">
        <v>4.1666666666666687</v>
      </c>
      <c r="IO67" s="1">
        <v>16.666666666666675</v>
      </c>
      <c r="IP67" s="1">
        <v>79.166666666666671</v>
      </c>
      <c r="IQ67" s="1">
        <v>9.7499999999999982</v>
      </c>
      <c r="IR67" s="1">
        <v>24</v>
      </c>
      <c r="IS67" s="1">
        <v>75</v>
      </c>
      <c r="IT67" s="1">
        <v>3.5714285714285698</v>
      </c>
      <c r="IU67" s="1">
        <v>21.428571428571434</v>
      </c>
      <c r="IV67" s="1">
        <v>0</v>
      </c>
      <c r="IW67" s="1">
        <v>0</v>
      </c>
      <c r="IX67" s="1">
        <v>28</v>
      </c>
      <c r="IY67" s="1">
        <v>1</v>
      </c>
      <c r="IZ67" s="1">
        <v>19.299840000000007</v>
      </c>
      <c r="JA67" s="1">
        <v>8.960640000000005</v>
      </c>
      <c r="JB67" s="1">
        <v>2.75712</v>
      </c>
      <c r="JC67" s="1">
        <v>4.8249600000000017</v>
      </c>
      <c r="JD67" s="1">
        <v>6.2035199999999984</v>
      </c>
      <c r="JE67" s="1">
        <v>0.46428571428571402</v>
      </c>
      <c r="JF67" s="1">
        <v>0.14285714285714282</v>
      </c>
      <c r="JG67" s="1">
        <v>0.25</v>
      </c>
      <c r="JH67" s="1">
        <v>0.32142857142857134</v>
      </c>
      <c r="JI67" s="1">
        <v>1</v>
      </c>
      <c r="JJ67" s="1">
        <v>28</v>
      </c>
      <c r="JK67" s="1">
        <v>2.0384615384615383</v>
      </c>
      <c r="JL67" s="1">
        <v>2.0384615384615397</v>
      </c>
      <c r="JM67" s="1">
        <v>26</v>
      </c>
      <c r="JN67" s="1">
        <v>100</v>
      </c>
      <c r="JO67" s="1">
        <v>0</v>
      </c>
      <c r="JP67" s="1">
        <v>13</v>
      </c>
      <c r="JQ67" s="1">
        <v>100</v>
      </c>
      <c r="JR67" s="1">
        <v>0</v>
      </c>
      <c r="JS67" s="1">
        <v>22</v>
      </c>
      <c r="JT67" s="1">
        <v>90.476190476190411</v>
      </c>
      <c r="JU67" s="1">
        <v>9.5238095238095202</v>
      </c>
      <c r="JV67" s="1">
        <v>21</v>
      </c>
      <c r="JW67" s="1">
        <v>100</v>
      </c>
      <c r="JX67" s="1">
        <v>0</v>
      </c>
      <c r="JY67" s="1">
        <v>19</v>
      </c>
      <c r="JZ67" s="1">
        <v>59.259259259259288</v>
      </c>
      <c r="KA67" s="1">
        <v>40.74074074074074</v>
      </c>
      <c r="KB67" s="1">
        <v>27</v>
      </c>
      <c r="KC67" s="1">
        <v>95.833333333333357</v>
      </c>
      <c r="KD67" s="1">
        <v>4.1666666666666687</v>
      </c>
      <c r="KE67" s="1">
        <v>24</v>
      </c>
      <c r="KF67" s="1">
        <v>3.36</v>
      </c>
      <c r="KG67" s="1">
        <v>16</v>
      </c>
      <c r="KH67" s="1">
        <v>8</v>
      </c>
      <c r="KI67" s="1">
        <v>24</v>
      </c>
      <c r="KJ67" s="1">
        <v>28</v>
      </c>
      <c r="KK67" s="1">
        <v>24</v>
      </c>
      <c r="KL67" s="1">
        <v>25</v>
      </c>
      <c r="KM67" s="1">
        <v>57.279999999999987</v>
      </c>
      <c r="KN67" s="1">
        <v>62.666666666666664</v>
      </c>
      <c r="KO67" s="1">
        <v>0</v>
      </c>
      <c r="KP67" s="1">
        <v>0</v>
      </c>
      <c r="KQ67" s="1">
        <v>66.6666666666667</v>
      </c>
      <c r="KR67" s="1">
        <v>0</v>
      </c>
      <c r="KS67" s="1">
        <v>33.33333333333335</v>
      </c>
      <c r="KT67" s="1">
        <v>3</v>
      </c>
      <c r="KU67" s="1">
        <v>3.7037037037037055</v>
      </c>
      <c r="KV67" s="1">
        <v>0</v>
      </c>
      <c r="KW67" s="1">
        <v>0</v>
      </c>
      <c r="KX67" s="1">
        <v>96.296296296296234</v>
      </c>
      <c r="KY67" s="1">
        <v>0</v>
      </c>
      <c r="KZ67" s="1">
        <v>27</v>
      </c>
      <c r="LA67" s="1">
        <v>11.111111111111107</v>
      </c>
      <c r="LB67" s="1">
        <v>88.888888888888857</v>
      </c>
      <c r="LC67" s="1">
        <v>27</v>
      </c>
      <c r="LD67" s="1">
        <v>0</v>
      </c>
      <c r="LE67" s="1">
        <v>0</v>
      </c>
      <c r="LF67" s="1">
        <v>100</v>
      </c>
      <c r="LG67" s="1">
        <v>3</v>
      </c>
    </row>
    <row r="68" spans="1:319" x14ac:dyDescent="0.25">
      <c r="A68" s="1">
        <v>213</v>
      </c>
      <c r="B68" s="1">
        <v>9.090909090909097</v>
      </c>
      <c r="C68" s="1">
        <v>90.909090909090949</v>
      </c>
      <c r="D68" s="1">
        <v>33</v>
      </c>
      <c r="E68" s="1">
        <v>85.185185185185205</v>
      </c>
      <c r="F68" s="1">
        <v>14.814814814814834</v>
      </c>
      <c r="G68" s="1">
        <v>27</v>
      </c>
      <c r="H68" s="1">
        <v>54.545454545454525</v>
      </c>
      <c r="I68" s="1">
        <v>45.454545454545467</v>
      </c>
      <c r="J68" s="1">
        <v>22</v>
      </c>
      <c r="K68" s="1">
        <v>1</v>
      </c>
      <c r="L68" s="1">
        <v>27.388189999999998</v>
      </c>
      <c r="M68" s="1">
        <v>2.650469999999999</v>
      </c>
      <c r="N68" s="1">
        <v>1.7669799999999987</v>
      </c>
      <c r="O68" s="1">
        <v>9.7183899999999994</v>
      </c>
      <c r="P68" s="1">
        <v>1.7669799999999987</v>
      </c>
      <c r="Q68" s="1">
        <v>12.368859999999998</v>
      </c>
      <c r="R68" s="1">
        <v>0</v>
      </c>
      <c r="S68" s="1">
        <v>0.88348999999999933</v>
      </c>
      <c r="T68" s="1">
        <v>3.5339599999999973</v>
      </c>
      <c r="U68" s="1">
        <v>2.650469999999999</v>
      </c>
      <c r="V68" s="1">
        <v>4.4174500000000014</v>
      </c>
      <c r="W68" s="1">
        <v>9.6774193548387122E-2</v>
      </c>
      <c r="X68" s="1">
        <v>6.4516129032258063E-2</v>
      </c>
      <c r="Y68" s="1">
        <v>0.35483870967741976</v>
      </c>
      <c r="Z68" s="1">
        <v>6.4516129032258063E-2</v>
      </c>
      <c r="AA68" s="1">
        <v>0.45161290322580649</v>
      </c>
      <c r="AB68" s="1">
        <v>0</v>
      </c>
      <c r="AC68" s="1">
        <v>3.2258064516129031E-2</v>
      </c>
      <c r="AD68" s="1">
        <v>0.12903225806451613</v>
      </c>
      <c r="AE68" s="1">
        <v>9.6774193548387122E-2</v>
      </c>
      <c r="AF68" s="1">
        <v>0.16129032258064527</v>
      </c>
      <c r="AG68" s="1">
        <v>1</v>
      </c>
      <c r="AH68" s="1">
        <v>31</v>
      </c>
      <c r="AI68" s="1">
        <v>1</v>
      </c>
      <c r="AJ68" s="1">
        <v>22.970739999999982</v>
      </c>
      <c r="AK68" s="1">
        <v>9.7183899999999994</v>
      </c>
      <c r="AL68" s="1">
        <v>17.669800000000006</v>
      </c>
      <c r="AM68" s="1">
        <v>5.300939999999998</v>
      </c>
      <c r="AN68" s="1">
        <v>3.5339599999999973</v>
      </c>
      <c r="AO68" s="1">
        <v>1.7669799999999987</v>
      </c>
      <c r="AP68" s="1">
        <v>2.650469999999999</v>
      </c>
      <c r="AQ68" s="1">
        <v>0.42307692307692329</v>
      </c>
      <c r="AR68" s="1">
        <v>0.76923076923076994</v>
      </c>
      <c r="AS68" s="1">
        <v>0.23076923076923087</v>
      </c>
      <c r="AT68" s="1">
        <v>0.15384615384615391</v>
      </c>
      <c r="AU68" s="1">
        <v>7.6923076923076955E-2</v>
      </c>
      <c r="AV68" s="1">
        <v>0.11538461538461543</v>
      </c>
      <c r="AW68" s="1">
        <v>1</v>
      </c>
      <c r="AX68" s="1">
        <v>26</v>
      </c>
      <c r="AY68" s="1">
        <v>9.78125</v>
      </c>
      <c r="AZ68" s="1">
        <v>9.90625</v>
      </c>
      <c r="BA68" s="1">
        <v>9.65625</v>
      </c>
      <c r="BB68" s="1">
        <v>0</v>
      </c>
      <c r="BC68" s="1">
        <v>0</v>
      </c>
      <c r="BD68" s="1">
        <v>0</v>
      </c>
      <c r="BE68" s="1">
        <v>0</v>
      </c>
      <c r="BF68" s="1">
        <v>0</v>
      </c>
      <c r="BG68" s="1">
        <v>3.1250000000000013</v>
      </c>
      <c r="BH68" s="1">
        <v>0</v>
      </c>
      <c r="BI68" s="1">
        <v>3.1250000000000013</v>
      </c>
      <c r="BJ68" s="1">
        <v>3.1250000000000013</v>
      </c>
      <c r="BK68" s="1">
        <v>90.625000000000014</v>
      </c>
      <c r="BL68" s="1">
        <v>9.7812500000000053</v>
      </c>
      <c r="BM68" s="1">
        <v>32</v>
      </c>
      <c r="BN68" s="1">
        <v>0</v>
      </c>
      <c r="BO68" s="1">
        <v>0</v>
      </c>
      <c r="BP68" s="1">
        <v>0</v>
      </c>
      <c r="BQ68" s="1">
        <v>0</v>
      </c>
      <c r="BR68" s="1">
        <v>0</v>
      </c>
      <c r="BS68" s="1">
        <v>0</v>
      </c>
      <c r="BT68" s="1">
        <v>0</v>
      </c>
      <c r="BU68" s="1">
        <v>0</v>
      </c>
      <c r="BV68" s="1">
        <v>9.3750000000000018</v>
      </c>
      <c r="BW68" s="1">
        <v>90.625000000000014</v>
      </c>
      <c r="BX68" s="1">
        <v>9.9062500000000053</v>
      </c>
      <c r="BY68" s="1">
        <v>32</v>
      </c>
      <c r="BZ68" s="1">
        <v>0</v>
      </c>
      <c r="CA68" s="1">
        <v>0</v>
      </c>
      <c r="CB68" s="1">
        <v>0</v>
      </c>
      <c r="CC68" s="1">
        <v>0</v>
      </c>
      <c r="CD68" s="1">
        <v>3.1250000000000013</v>
      </c>
      <c r="CE68" s="1">
        <v>0</v>
      </c>
      <c r="CF68" s="1">
        <v>0</v>
      </c>
      <c r="CG68" s="1">
        <v>6.2500000000000027</v>
      </c>
      <c r="CH68" s="1">
        <v>6.2500000000000027</v>
      </c>
      <c r="CI68" s="1">
        <v>84.375000000000014</v>
      </c>
      <c r="CJ68" s="1">
        <v>9.6562500000000053</v>
      </c>
      <c r="CK68" s="1">
        <v>32</v>
      </c>
      <c r="CL68" s="1">
        <v>50.000000000000021</v>
      </c>
      <c r="CM68" s="1">
        <v>28.125000000000007</v>
      </c>
      <c r="CN68" s="1">
        <v>6.2500000000000027</v>
      </c>
      <c r="CO68" s="1">
        <v>15.625000000000004</v>
      </c>
      <c r="CP68" s="1">
        <v>0</v>
      </c>
      <c r="CQ68" s="1">
        <v>32</v>
      </c>
      <c r="CR68" s="1">
        <v>90.909090909090949</v>
      </c>
      <c r="CS68" s="1">
        <v>9.090909090909097</v>
      </c>
      <c r="CT68" s="1">
        <v>0</v>
      </c>
      <c r="CU68" s="1">
        <v>0</v>
      </c>
      <c r="CV68" s="1">
        <v>0</v>
      </c>
      <c r="CW68" s="1">
        <v>33</v>
      </c>
      <c r="CX68" s="1">
        <v>72.727272727272776</v>
      </c>
      <c r="CY68" s="1">
        <v>15.15151515151517</v>
      </c>
      <c r="CZ68" s="1">
        <v>12.121212121212126</v>
      </c>
      <c r="DA68" s="1">
        <v>0</v>
      </c>
      <c r="DB68" s="1">
        <v>0</v>
      </c>
      <c r="DC68" s="1">
        <v>33</v>
      </c>
      <c r="DD68" s="1">
        <v>78.78787878787881</v>
      </c>
      <c r="DE68" s="1">
        <v>21.212121212121236</v>
      </c>
      <c r="DF68" s="1">
        <v>0</v>
      </c>
      <c r="DG68" s="1">
        <v>0</v>
      </c>
      <c r="DH68" s="1">
        <v>0</v>
      </c>
      <c r="DI68" s="1">
        <v>33</v>
      </c>
      <c r="DJ68" s="1">
        <v>66.666666666666714</v>
      </c>
      <c r="DK68" s="1">
        <v>33.333333333333357</v>
      </c>
      <c r="DL68" s="1">
        <v>0</v>
      </c>
      <c r="DM68" s="1">
        <v>0</v>
      </c>
      <c r="DN68" s="1">
        <v>0</v>
      </c>
      <c r="DO68" s="1">
        <v>24</v>
      </c>
      <c r="DP68" s="1">
        <v>78.125000000000014</v>
      </c>
      <c r="DQ68" s="1">
        <v>18.750000000000004</v>
      </c>
      <c r="DR68" s="1">
        <v>3.1250000000000013</v>
      </c>
      <c r="DS68" s="1">
        <v>0</v>
      </c>
      <c r="DT68" s="1">
        <v>0</v>
      </c>
      <c r="DU68" s="1">
        <v>32</v>
      </c>
      <c r="DV68" s="1">
        <v>72.222222222222186</v>
      </c>
      <c r="DW68" s="1">
        <v>16.666666666666671</v>
      </c>
      <c r="DX68" s="1">
        <v>5.5555555555555527</v>
      </c>
      <c r="DY68" s="1">
        <v>5.5555555555555527</v>
      </c>
      <c r="DZ68" s="1">
        <v>0</v>
      </c>
      <c r="EA68" s="1">
        <v>18</v>
      </c>
      <c r="EB68" s="1">
        <v>94.117647058823465</v>
      </c>
      <c r="EC68" s="1">
        <v>0</v>
      </c>
      <c r="ED68" s="1">
        <v>0</v>
      </c>
      <c r="EE68" s="1">
        <v>0</v>
      </c>
      <c r="EF68" s="1">
        <v>5.8823529411764666</v>
      </c>
      <c r="EG68" s="1">
        <v>17</v>
      </c>
      <c r="EH68" s="1">
        <v>74.999999999999986</v>
      </c>
      <c r="EI68" s="1">
        <v>12.5</v>
      </c>
      <c r="EJ68" s="1">
        <v>0</v>
      </c>
      <c r="EK68" s="1">
        <v>6.25</v>
      </c>
      <c r="EL68" s="1">
        <v>6.25</v>
      </c>
      <c r="EM68" s="1">
        <v>16</v>
      </c>
      <c r="EN68" s="1">
        <v>60</v>
      </c>
      <c r="EO68" s="1">
        <v>40.000000000000007</v>
      </c>
      <c r="EP68" s="1">
        <v>0</v>
      </c>
      <c r="EQ68" s="1">
        <v>0</v>
      </c>
      <c r="ER68" s="1">
        <v>0</v>
      </c>
      <c r="ES68" s="1">
        <v>10</v>
      </c>
      <c r="ET68" s="1">
        <v>54.545454545454518</v>
      </c>
      <c r="EU68" s="1">
        <v>45.454545454545475</v>
      </c>
      <c r="EV68" s="1">
        <v>0</v>
      </c>
      <c r="EW68" s="1">
        <v>0</v>
      </c>
      <c r="EX68" s="1">
        <v>0</v>
      </c>
      <c r="EY68" s="1">
        <v>11</v>
      </c>
      <c r="EZ68" s="1">
        <v>66.666666666666686</v>
      </c>
      <c r="FA68" s="1">
        <v>33.333333333333343</v>
      </c>
      <c r="FB68" s="1">
        <v>0</v>
      </c>
      <c r="FC68" s="1">
        <v>0</v>
      </c>
      <c r="FD68" s="1">
        <v>0</v>
      </c>
      <c r="FE68" s="1">
        <v>9</v>
      </c>
      <c r="FF68" s="1">
        <v>99.999999999999986</v>
      </c>
      <c r="FG68" s="1">
        <v>0</v>
      </c>
      <c r="FH68" s="1">
        <v>0</v>
      </c>
      <c r="FI68" s="1">
        <v>0</v>
      </c>
      <c r="FJ68" s="1">
        <v>0</v>
      </c>
      <c r="FK68" s="1">
        <v>6</v>
      </c>
      <c r="FL68" s="1">
        <v>57.142857142857125</v>
      </c>
      <c r="FM68" s="1">
        <v>42.857142857142868</v>
      </c>
      <c r="FN68" s="1">
        <v>0</v>
      </c>
      <c r="FO68" s="1">
        <v>0</v>
      </c>
      <c r="FP68" s="1">
        <v>0</v>
      </c>
      <c r="FQ68" s="1">
        <v>7</v>
      </c>
      <c r="FR68" s="1">
        <v>50</v>
      </c>
      <c r="FS68" s="1">
        <v>12.5</v>
      </c>
      <c r="FT68" s="1">
        <v>0</v>
      </c>
      <c r="FU68" s="1">
        <v>12.5</v>
      </c>
      <c r="FV68" s="1">
        <v>25</v>
      </c>
      <c r="FW68" s="1">
        <v>8</v>
      </c>
      <c r="FX68" s="1">
        <v>86.666666666666643</v>
      </c>
      <c r="FY68" s="1">
        <v>13.333333333333353</v>
      </c>
      <c r="FZ68" s="1">
        <v>0</v>
      </c>
      <c r="GA68" s="1">
        <v>0</v>
      </c>
      <c r="GB68" s="1">
        <v>0</v>
      </c>
      <c r="GC68" s="1">
        <v>30</v>
      </c>
      <c r="GD68" s="1">
        <v>82.352941176470594</v>
      </c>
      <c r="GE68" s="1">
        <v>17.647058823529402</v>
      </c>
      <c r="GF68" s="1">
        <v>0</v>
      </c>
      <c r="GG68" s="1">
        <v>0</v>
      </c>
      <c r="GH68" s="1">
        <v>0</v>
      </c>
      <c r="GI68" s="1">
        <v>17</v>
      </c>
      <c r="GJ68" s="1">
        <v>81.25</v>
      </c>
      <c r="GK68" s="1">
        <v>18.749999999999996</v>
      </c>
      <c r="GL68" s="1">
        <v>0</v>
      </c>
      <c r="GM68" s="1">
        <v>0</v>
      </c>
      <c r="GN68" s="1">
        <v>0</v>
      </c>
      <c r="GO68" s="1">
        <v>16</v>
      </c>
      <c r="GP68" s="1">
        <v>66.666666666666686</v>
      </c>
      <c r="GQ68" s="1">
        <v>28.571428571428562</v>
      </c>
      <c r="GR68" s="1">
        <v>4.7619047619047601</v>
      </c>
      <c r="GS68" s="1">
        <v>0</v>
      </c>
      <c r="GT68" s="1">
        <v>0</v>
      </c>
      <c r="GU68" s="1">
        <v>21</v>
      </c>
      <c r="GV68" s="1">
        <v>72.727272727272776</v>
      </c>
      <c r="GW68" s="1">
        <v>27.272727272727259</v>
      </c>
      <c r="GX68" s="1">
        <v>0</v>
      </c>
      <c r="GY68" s="1">
        <v>0</v>
      </c>
      <c r="GZ68" s="1">
        <v>0</v>
      </c>
      <c r="HA68" s="1">
        <v>22</v>
      </c>
      <c r="HB68" s="1">
        <v>28.571428571428562</v>
      </c>
      <c r="HC68" s="1">
        <v>57.142857142857125</v>
      </c>
      <c r="HD68" s="1">
        <v>0</v>
      </c>
      <c r="HE68" s="1">
        <v>0</v>
      </c>
      <c r="HF68" s="1">
        <v>14.285714285714281</v>
      </c>
      <c r="HG68" s="1">
        <v>7</v>
      </c>
      <c r="HH68" s="1">
        <v>79.999999999999986</v>
      </c>
      <c r="HI68" s="1">
        <v>13.333333333333329</v>
      </c>
      <c r="HJ68" s="1">
        <v>0</v>
      </c>
      <c r="HK68" s="1">
        <v>6.6666666666666643</v>
      </c>
      <c r="HL68" s="1">
        <v>0</v>
      </c>
      <c r="HM68" s="1">
        <v>15</v>
      </c>
      <c r="HN68" s="1">
        <v>40.000000000000007</v>
      </c>
      <c r="HO68" s="1">
        <v>40.000000000000007</v>
      </c>
      <c r="HP68" s="1">
        <v>20.000000000000004</v>
      </c>
      <c r="HQ68" s="1">
        <v>0</v>
      </c>
      <c r="HR68" s="1">
        <v>0</v>
      </c>
      <c r="HS68" s="1">
        <v>5</v>
      </c>
      <c r="HT68" s="1">
        <v>0</v>
      </c>
      <c r="HU68" s="1">
        <v>99.999999999999986</v>
      </c>
      <c r="HV68" s="1">
        <v>0</v>
      </c>
      <c r="HW68" s="1">
        <v>0</v>
      </c>
      <c r="HX68" s="1">
        <v>0</v>
      </c>
      <c r="HY68" s="1">
        <v>3</v>
      </c>
      <c r="HZ68" s="1">
        <v>25</v>
      </c>
      <c r="IA68" s="1">
        <v>74.999999999999986</v>
      </c>
      <c r="IB68" s="1">
        <v>0</v>
      </c>
      <c r="IC68" s="1">
        <v>0</v>
      </c>
      <c r="ID68" s="1">
        <v>0</v>
      </c>
      <c r="IE68" s="1">
        <v>4</v>
      </c>
      <c r="IF68" s="1">
        <v>9.5</v>
      </c>
      <c r="IG68" s="1">
        <v>0</v>
      </c>
      <c r="IH68" s="1">
        <v>0</v>
      </c>
      <c r="II68" s="1">
        <v>0</v>
      </c>
      <c r="IJ68" s="1">
        <v>0</v>
      </c>
      <c r="IK68" s="1">
        <v>0</v>
      </c>
      <c r="IL68" s="1">
        <v>0</v>
      </c>
      <c r="IM68" s="1">
        <v>0</v>
      </c>
      <c r="IN68" s="1">
        <v>16.666666666666679</v>
      </c>
      <c r="IO68" s="1">
        <v>16.666666666666679</v>
      </c>
      <c r="IP68" s="1">
        <v>66.666666666666714</v>
      </c>
      <c r="IQ68" s="1">
        <v>9.5000000000000053</v>
      </c>
      <c r="IR68" s="1">
        <v>30</v>
      </c>
      <c r="IS68" s="1">
        <v>90.625000000000014</v>
      </c>
      <c r="IT68" s="1">
        <v>3.1250000000000013</v>
      </c>
      <c r="IU68" s="1">
        <v>6.2500000000000027</v>
      </c>
      <c r="IV68" s="1">
        <v>0</v>
      </c>
      <c r="IW68" s="1">
        <v>0</v>
      </c>
      <c r="IX68" s="1">
        <v>32</v>
      </c>
      <c r="IY68" s="1">
        <v>1</v>
      </c>
      <c r="IZ68" s="1">
        <v>27.388189999999998</v>
      </c>
      <c r="JA68" s="1">
        <v>8.8349000000000029</v>
      </c>
      <c r="JB68" s="1">
        <v>13.252349999999995</v>
      </c>
      <c r="JC68" s="1">
        <v>0.88348999999999933</v>
      </c>
      <c r="JD68" s="1">
        <v>7.0679199999999947</v>
      </c>
      <c r="JE68" s="1">
        <v>0.32258064516129054</v>
      </c>
      <c r="JF68" s="1">
        <v>0.48387096774193589</v>
      </c>
      <c r="JG68" s="1">
        <v>3.2258064516129031E-2</v>
      </c>
      <c r="JH68" s="1">
        <v>0.25806451612903225</v>
      </c>
      <c r="JI68" s="1">
        <v>1</v>
      </c>
      <c r="JJ68" s="1">
        <v>31</v>
      </c>
      <c r="JK68" s="1">
        <v>2.103448275862069</v>
      </c>
      <c r="JL68" s="1">
        <v>2.1034482758620703</v>
      </c>
      <c r="JM68" s="1">
        <v>29</v>
      </c>
      <c r="JN68" s="1">
        <v>57.142857142857125</v>
      </c>
      <c r="JO68" s="1">
        <v>42.857142857142868</v>
      </c>
      <c r="JP68" s="1">
        <v>7</v>
      </c>
      <c r="JQ68" s="1">
        <v>100</v>
      </c>
      <c r="JR68" s="1">
        <v>0</v>
      </c>
      <c r="JS68" s="1">
        <v>14</v>
      </c>
      <c r="JT68" s="1">
        <v>75.862068965517224</v>
      </c>
      <c r="JU68" s="1">
        <v>24.137931034482783</v>
      </c>
      <c r="JV68" s="1">
        <v>29</v>
      </c>
      <c r="JW68" s="1">
        <v>64.285714285714235</v>
      </c>
      <c r="JX68" s="1">
        <v>35.714285714285701</v>
      </c>
      <c r="JY68" s="1">
        <v>14</v>
      </c>
      <c r="JZ68" s="1">
        <v>42.857142857142883</v>
      </c>
      <c r="KA68" s="1">
        <v>57.14285714285716</v>
      </c>
      <c r="KB68" s="1">
        <v>28</v>
      </c>
      <c r="KC68" s="1">
        <v>100</v>
      </c>
      <c r="KD68" s="1">
        <v>0</v>
      </c>
      <c r="KE68" s="1">
        <v>28</v>
      </c>
      <c r="KF68" s="1">
        <v>3.88</v>
      </c>
      <c r="KG68" s="1">
        <v>0</v>
      </c>
      <c r="KH68" s="1">
        <v>4.0000000000000009</v>
      </c>
      <c r="KI68" s="1">
        <v>32.000000000000007</v>
      </c>
      <c r="KJ68" s="1">
        <v>36.000000000000007</v>
      </c>
      <c r="KK68" s="1">
        <v>28.000000000000004</v>
      </c>
      <c r="KL68" s="1">
        <v>25</v>
      </c>
      <c r="KM68" s="1">
        <v>66.240000000000023</v>
      </c>
      <c r="KN68" s="1">
        <v>0</v>
      </c>
      <c r="KO68" s="1">
        <v>0</v>
      </c>
      <c r="KP68" s="1">
        <v>0</v>
      </c>
      <c r="KQ68" s="1">
        <v>0</v>
      </c>
      <c r="KR68" s="1">
        <v>0</v>
      </c>
      <c r="KS68" s="1">
        <v>0</v>
      </c>
      <c r="KT68" s="1">
        <v>0</v>
      </c>
      <c r="KU68" s="1">
        <v>0</v>
      </c>
      <c r="KV68" s="1">
        <v>0</v>
      </c>
      <c r="KW68" s="1">
        <v>3.3333333333333384</v>
      </c>
      <c r="KX68" s="1">
        <v>93.333333333333371</v>
      </c>
      <c r="KY68" s="1">
        <v>3.3333333333333384</v>
      </c>
      <c r="KZ68" s="1">
        <v>30</v>
      </c>
      <c r="LA68" s="1">
        <v>17.857142857142875</v>
      </c>
      <c r="LB68" s="1">
        <v>82.142857142857181</v>
      </c>
      <c r="LC68" s="1">
        <v>28</v>
      </c>
      <c r="LD68" s="1">
        <v>0</v>
      </c>
      <c r="LE68" s="1">
        <v>20.000000000000004</v>
      </c>
      <c r="LF68" s="1">
        <v>80.000000000000014</v>
      </c>
      <c r="LG68" s="1">
        <v>5</v>
      </c>
    </row>
    <row r="69" spans="1:319" x14ac:dyDescent="0.25">
      <c r="A69" s="1">
        <v>214</v>
      </c>
      <c r="B69" s="1">
        <v>41.935483870967808</v>
      </c>
      <c r="C69" s="1">
        <v>58.064516129032299</v>
      </c>
      <c r="D69" s="1">
        <v>62</v>
      </c>
      <c r="E69" s="1">
        <v>85.714285714285765</v>
      </c>
      <c r="F69" s="1">
        <v>14.285714285714281</v>
      </c>
      <c r="G69" s="1">
        <v>35</v>
      </c>
      <c r="H69" s="1">
        <v>42.857142857142868</v>
      </c>
      <c r="I69" s="1">
        <v>57.142857142857117</v>
      </c>
      <c r="J69" s="1">
        <v>28</v>
      </c>
      <c r="K69" s="1">
        <v>1</v>
      </c>
      <c r="L69" s="1">
        <v>35.623349999999895</v>
      </c>
      <c r="M69" s="1">
        <v>12.439899999999996</v>
      </c>
      <c r="N69" s="1">
        <v>4.5235999999999938</v>
      </c>
      <c r="O69" s="1">
        <v>14.136250000000015</v>
      </c>
      <c r="P69" s="1">
        <v>0.56544999999999923</v>
      </c>
      <c r="Q69" s="1">
        <v>8.4817499999999928</v>
      </c>
      <c r="R69" s="1">
        <v>0</v>
      </c>
      <c r="S69" s="1">
        <v>4.5235999999999938</v>
      </c>
      <c r="T69" s="1">
        <v>5.089050000000003</v>
      </c>
      <c r="U69" s="1">
        <v>1.6963499999999987</v>
      </c>
      <c r="V69" s="1">
        <v>2.8272499999999998</v>
      </c>
      <c r="W69" s="1">
        <v>0.3492063492063493</v>
      </c>
      <c r="X69" s="1">
        <v>0.12698412698412723</v>
      </c>
      <c r="Y69" s="1">
        <v>0.39682539682539791</v>
      </c>
      <c r="Z69" s="1">
        <v>1.5873015873015903E-2</v>
      </c>
      <c r="AA69" s="1">
        <v>0.23809523809523866</v>
      </c>
      <c r="AB69" s="1">
        <v>0</v>
      </c>
      <c r="AC69" s="1">
        <v>0.12698412698412723</v>
      </c>
      <c r="AD69" s="1">
        <v>0.14285714285714307</v>
      </c>
      <c r="AE69" s="1">
        <v>4.7619047619047755E-2</v>
      </c>
      <c r="AF69" s="1">
        <v>7.936507936507943E-2</v>
      </c>
      <c r="AG69" s="1">
        <v>1</v>
      </c>
      <c r="AH69" s="1">
        <v>63</v>
      </c>
      <c r="AI69" s="1">
        <v>1</v>
      </c>
      <c r="AJ69" s="1">
        <v>35.057899999999961</v>
      </c>
      <c r="AK69" s="1">
        <v>28.837949999999925</v>
      </c>
      <c r="AL69" s="1">
        <v>27.141599999999944</v>
      </c>
      <c r="AM69" s="1">
        <v>16.398050000000008</v>
      </c>
      <c r="AN69" s="1">
        <v>22.052549999999965</v>
      </c>
      <c r="AO69" s="1">
        <v>2.8272499999999998</v>
      </c>
      <c r="AP69" s="1">
        <v>0.56544999999999923</v>
      </c>
      <c r="AQ69" s="1">
        <v>0.82258064516128993</v>
      </c>
      <c r="AR69" s="1">
        <v>0.77419354838709653</v>
      </c>
      <c r="AS69" s="1">
        <v>0.46774193548387183</v>
      </c>
      <c r="AT69" s="1">
        <v>0.6290322580645169</v>
      </c>
      <c r="AU69" s="1">
        <v>8.0645161290322689E-2</v>
      </c>
      <c r="AV69" s="1">
        <v>1.6129032258064523E-2</v>
      </c>
      <c r="AW69" s="1">
        <v>1</v>
      </c>
      <c r="AX69" s="1">
        <v>62</v>
      </c>
      <c r="AY69" s="1">
        <v>9.721311475409836</v>
      </c>
      <c r="AZ69" s="1">
        <v>9.9180327868852451</v>
      </c>
      <c r="BA69" s="1">
        <v>9.9152542372881349</v>
      </c>
      <c r="BB69" s="1">
        <v>0</v>
      </c>
      <c r="BC69" s="1">
        <v>0</v>
      </c>
      <c r="BD69" s="1">
        <v>1.6393442622950831</v>
      </c>
      <c r="BE69" s="1">
        <v>0</v>
      </c>
      <c r="BF69" s="1">
        <v>0</v>
      </c>
      <c r="BG69" s="1">
        <v>0</v>
      </c>
      <c r="BH69" s="1">
        <v>0</v>
      </c>
      <c r="BI69" s="1">
        <v>3.2786885245901662</v>
      </c>
      <c r="BJ69" s="1">
        <v>9.8360655737705009</v>
      </c>
      <c r="BK69" s="1">
        <v>85.245901639344169</v>
      </c>
      <c r="BL69" s="1">
        <v>9.7213114754098431</v>
      </c>
      <c r="BM69" s="1">
        <v>61</v>
      </c>
      <c r="BN69" s="1">
        <v>0</v>
      </c>
      <c r="BO69" s="1">
        <v>0</v>
      </c>
      <c r="BP69" s="1">
        <v>0</v>
      </c>
      <c r="BQ69" s="1">
        <v>0</v>
      </c>
      <c r="BR69" s="1">
        <v>0</v>
      </c>
      <c r="BS69" s="1">
        <v>0</v>
      </c>
      <c r="BT69" s="1">
        <v>0</v>
      </c>
      <c r="BU69" s="1">
        <v>0</v>
      </c>
      <c r="BV69" s="1">
        <v>8.1967213114754163</v>
      </c>
      <c r="BW69" s="1">
        <v>91.8032786885245</v>
      </c>
      <c r="BX69" s="1">
        <v>9.9180327868852629</v>
      </c>
      <c r="BY69" s="1">
        <v>61</v>
      </c>
      <c r="BZ69" s="1">
        <v>0</v>
      </c>
      <c r="CA69" s="1">
        <v>0</v>
      </c>
      <c r="CB69" s="1">
        <v>0</v>
      </c>
      <c r="CC69" s="1">
        <v>0</v>
      </c>
      <c r="CD69" s="1">
        <v>0</v>
      </c>
      <c r="CE69" s="1">
        <v>0</v>
      </c>
      <c r="CF69" s="1">
        <v>0</v>
      </c>
      <c r="CG69" s="1">
        <v>0</v>
      </c>
      <c r="CH69" s="1">
        <v>8.4745762711864501</v>
      </c>
      <c r="CI69" s="1">
        <v>91.525423728813607</v>
      </c>
      <c r="CJ69" s="1">
        <v>9.9152542372881527</v>
      </c>
      <c r="CK69" s="1">
        <v>59</v>
      </c>
      <c r="CL69" s="1">
        <v>59.016393442623091</v>
      </c>
      <c r="CM69" s="1">
        <v>29.508196721311549</v>
      </c>
      <c r="CN69" s="1">
        <v>4.9180327868852496</v>
      </c>
      <c r="CO69" s="1">
        <v>6.5573770491803325</v>
      </c>
      <c r="CP69" s="1">
        <v>0</v>
      </c>
      <c r="CQ69" s="1">
        <v>61</v>
      </c>
      <c r="CR69" s="1">
        <v>85.714285714285651</v>
      </c>
      <c r="CS69" s="1">
        <v>11.11111111111112</v>
      </c>
      <c r="CT69" s="1">
        <v>3.1746031746031829</v>
      </c>
      <c r="CU69" s="1">
        <v>0</v>
      </c>
      <c r="CV69" s="1">
        <v>0</v>
      </c>
      <c r="CW69" s="1">
        <v>63</v>
      </c>
      <c r="CX69" s="1">
        <v>93.442622950819825</v>
      </c>
      <c r="CY69" s="1">
        <v>6.5573770491803325</v>
      </c>
      <c r="CZ69" s="1">
        <v>0</v>
      </c>
      <c r="DA69" s="1">
        <v>0</v>
      </c>
      <c r="DB69" s="1">
        <v>0</v>
      </c>
      <c r="DC69" s="1">
        <v>61</v>
      </c>
      <c r="DD69" s="1">
        <v>95.161290322580555</v>
      </c>
      <c r="DE69" s="1">
        <v>4.8387096774193648</v>
      </c>
      <c r="DF69" s="1">
        <v>0</v>
      </c>
      <c r="DG69" s="1">
        <v>0</v>
      </c>
      <c r="DH69" s="1">
        <v>0</v>
      </c>
      <c r="DI69" s="1">
        <v>62</v>
      </c>
      <c r="DJ69" s="1">
        <v>81.6666666666667</v>
      </c>
      <c r="DK69" s="1">
        <v>16.666666666666714</v>
      </c>
      <c r="DL69" s="1">
        <v>1.6666666666666703</v>
      </c>
      <c r="DM69" s="1">
        <v>0</v>
      </c>
      <c r="DN69" s="1">
        <v>0</v>
      </c>
      <c r="DO69" s="1">
        <v>60</v>
      </c>
      <c r="DP69" s="1">
        <v>92.063492063492063</v>
      </c>
      <c r="DQ69" s="1">
        <v>6.3492063492063657</v>
      </c>
      <c r="DR69" s="1">
        <v>0</v>
      </c>
      <c r="DS69" s="1">
        <v>1.5873015873015914</v>
      </c>
      <c r="DT69" s="1">
        <v>0</v>
      </c>
      <c r="DU69" s="1">
        <v>63</v>
      </c>
      <c r="DV69" s="1">
        <v>79.245283018867966</v>
      </c>
      <c r="DW69" s="1">
        <v>16.981132075471706</v>
      </c>
      <c r="DX69" s="1">
        <v>3.7735849056603841</v>
      </c>
      <c r="DY69" s="1">
        <v>0</v>
      </c>
      <c r="DZ69" s="1">
        <v>0</v>
      </c>
      <c r="EA69" s="1">
        <v>53</v>
      </c>
      <c r="EB69" s="1">
        <v>80.555555555555642</v>
      </c>
      <c r="EC69" s="1">
        <v>19.444444444444436</v>
      </c>
      <c r="ED69" s="1">
        <v>0</v>
      </c>
      <c r="EE69" s="1">
        <v>0</v>
      </c>
      <c r="EF69" s="1">
        <v>0</v>
      </c>
      <c r="EG69" s="1">
        <v>36</v>
      </c>
      <c r="EH69" s="1">
        <v>75.862068965517224</v>
      </c>
      <c r="EI69" s="1">
        <v>20.68965517241379</v>
      </c>
      <c r="EJ69" s="1">
        <v>3.4482758620689613</v>
      </c>
      <c r="EK69" s="1">
        <v>0</v>
      </c>
      <c r="EL69" s="1">
        <v>0</v>
      </c>
      <c r="EM69" s="1">
        <v>29</v>
      </c>
      <c r="EN69" s="1">
        <v>64.285714285714306</v>
      </c>
      <c r="EO69" s="1">
        <v>33.333333333333321</v>
      </c>
      <c r="EP69" s="1">
        <v>2.3809523809523805</v>
      </c>
      <c r="EQ69" s="1">
        <v>0</v>
      </c>
      <c r="ER69" s="1">
        <v>0</v>
      </c>
      <c r="ES69" s="1">
        <v>42</v>
      </c>
      <c r="ET69" s="1">
        <v>66.666666666666643</v>
      </c>
      <c r="EU69" s="1">
        <v>28.571428571428619</v>
      </c>
      <c r="EV69" s="1">
        <v>4.761904761904761</v>
      </c>
      <c r="EW69" s="1">
        <v>0</v>
      </c>
      <c r="EX69" s="1">
        <v>0</v>
      </c>
      <c r="EY69" s="1">
        <v>42</v>
      </c>
      <c r="EZ69" s="1">
        <v>69.230769230769184</v>
      </c>
      <c r="FA69" s="1">
        <v>23.076923076923087</v>
      </c>
      <c r="FB69" s="1">
        <v>7.6923076923076827</v>
      </c>
      <c r="FC69" s="1">
        <v>0</v>
      </c>
      <c r="FD69" s="1">
        <v>0</v>
      </c>
      <c r="FE69" s="1">
        <v>26</v>
      </c>
      <c r="FF69" s="1">
        <v>68</v>
      </c>
      <c r="FG69" s="1">
        <v>23.999999999999996</v>
      </c>
      <c r="FH69" s="1">
        <v>7.9999999999999991</v>
      </c>
      <c r="FI69" s="1">
        <v>0</v>
      </c>
      <c r="FJ69" s="1">
        <v>0</v>
      </c>
      <c r="FK69" s="1">
        <v>25</v>
      </c>
      <c r="FL69" s="1">
        <v>73.913043478260903</v>
      </c>
      <c r="FM69" s="1">
        <v>13.04347826086954</v>
      </c>
      <c r="FN69" s="1">
        <v>8.6956521739130448</v>
      </c>
      <c r="FO69" s="1">
        <v>4.3478260869565224</v>
      </c>
      <c r="FP69" s="1">
        <v>0</v>
      </c>
      <c r="FQ69" s="1">
        <v>23</v>
      </c>
      <c r="FR69" s="1">
        <v>56.52173913043486</v>
      </c>
      <c r="FS69" s="1">
        <v>21.739130434782588</v>
      </c>
      <c r="FT69" s="1">
        <v>13.04347826086954</v>
      </c>
      <c r="FU69" s="1">
        <v>8.6956521739130448</v>
      </c>
      <c r="FV69" s="1">
        <v>0</v>
      </c>
      <c r="FW69" s="1">
        <v>23</v>
      </c>
      <c r="FX69" s="1">
        <v>95</v>
      </c>
      <c r="FY69" s="1">
        <v>5.0000000000000018</v>
      </c>
      <c r="FZ69" s="1">
        <v>0</v>
      </c>
      <c r="GA69" s="1">
        <v>0</v>
      </c>
      <c r="GB69" s="1">
        <v>0</v>
      </c>
      <c r="GC69" s="1">
        <v>60</v>
      </c>
      <c r="GD69" s="1">
        <v>87.5</v>
      </c>
      <c r="GE69" s="1">
        <v>12.499999999999998</v>
      </c>
      <c r="GF69" s="1">
        <v>0</v>
      </c>
      <c r="GG69" s="1">
        <v>0</v>
      </c>
      <c r="GH69" s="1">
        <v>0</v>
      </c>
      <c r="GI69" s="1">
        <v>24</v>
      </c>
      <c r="GJ69" s="1">
        <v>85.185185185185205</v>
      </c>
      <c r="GK69" s="1">
        <v>14.814814814814804</v>
      </c>
      <c r="GL69" s="1">
        <v>0</v>
      </c>
      <c r="GM69" s="1">
        <v>0</v>
      </c>
      <c r="GN69" s="1">
        <v>0</v>
      </c>
      <c r="GO69" s="1">
        <v>27</v>
      </c>
      <c r="GP69" s="1">
        <v>81.818181818181912</v>
      </c>
      <c r="GQ69" s="1">
        <v>13.636363636363635</v>
      </c>
      <c r="GR69" s="1">
        <v>2.2727272727272774</v>
      </c>
      <c r="GS69" s="1">
        <v>2.2727272727272774</v>
      </c>
      <c r="GT69" s="1">
        <v>0</v>
      </c>
      <c r="GU69" s="1">
        <v>44</v>
      </c>
      <c r="GV69" s="1">
        <v>90.909090909090978</v>
      </c>
      <c r="GW69" s="1">
        <v>6.8181818181818166</v>
      </c>
      <c r="GX69" s="1">
        <v>0</v>
      </c>
      <c r="GY69" s="1">
        <v>2.2727272727272774</v>
      </c>
      <c r="GZ69" s="1">
        <v>0</v>
      </c>
      <c r="HA69" s="1">
        <v>44</v>
      </c>
      <c r="HB69" s="1">
        <v>66.666666666666615</v>
      </c>
      <c r="HC69" s="1">
        <v>22.222222222222193</v>
      </c>
      <c r="HD69" s="1">
        <v>11.111111111111097</v>
      </c>
      <c r="HE69" s="1">
        <v>0</v>
      </c>
      <c r="HF69" s="1">
        <v>0</v>
      </c>
      <c r="HG69" s="1">
        <v>9</v>
      </c>
      <c r="HH69" s="1">
        <v>76.923076923077033</v>
      </c>
      <c r="HI69" s="1">
        <v>7.6923076923076827</v>
      </c>
      <c r="HJ69" s="1">
        <v>7.6923076923076827</v>
      </c>
      <c r="HK69" s="1">
        <v>7.6923076923076827</v>
      </c>
      <c r="HL69" s="1">
        <v>0</v>
      </c>
      <c r="HM69" s="1">
        <v>13</v>
      </c>
      <c r="HN69" s="1">
        <v>81.818181818181898</v>
      </c>
      <c r="HO69" s="1">
        <v>18.181818181818166</v>
      </c>
      <c r="HP69" s="1">
        <v>0</v>
      </c>
      <c r="HQ69" s="1">
        <v>0</v>
      </c>
      <c r="HR69" s="1">
        <v>0</v>
      </c>
      <c r="HS69" s="1">
        <v>11</v>
      </c>
      <c r="HT69" s="1">
        <v>66.666666666666615</v>
      </c>
      <c r="HU69" s="1">
        <v>22.222222222222193</v>
      </c>
      <c r="HV69" s="1">
        <v>11.111111111111097</v>
      </c>
      <c r="HW69" s="1">
        <v>0</v>
      </c>
      <c r="HX69" s="1">
        <v>0</v>
      </c>
      <c r="HY69" s="1">
        <v>9</v>
      </c>
      <c r="HZ69" s="1">
        <v>69.999999999999986</v>
      </c>
      <c r="IA69" s="1">
        <v>19.999999999999996</v>
      </c>
      <c r="IB69" s="1">
        <v>9.9999999999999982</v>
      </c>
      <c r="IC69" s="1">
        <v>0</v>
      </c>
      <c r="ID69" s="1">
        <v>0</v>
      </c>
      <c r="IE69" s="1">
        <v>10</v>
      </c>
      <c r="IF69" s="1">
        <v>9.6166666666666671</v>
      </c>
      <c r="IG69" s="1">
        <v>0</v>
      </c>
      <c r="IH69" s="1">
        <v>0</v>
      </c>
      <c r="II69" s="1">
        <v>0</v>
      </c>
      <c r="IJ69" s="1">
        <v>0</v>
      </c>
      <c r="IK69" s="1">
        <v>0</v>
      </c>
      <c r="IL69" s="1">
        <v>0</v>
      </c>
      <c r="IM69" s="1">
        <v>0</v>
      </c>
      <c r="IN69" s="1">
        <v>8.333333333333357</v>
      </c>
      <c r="IO69" s="1">
        <v>21.666666666666725</v>
      </c>
      <c r="IP69" s="1">
        <v>70.000000000000014</v>
      </c>
      <c r="IQ69" s="1">
        <v>9.616666666666676</v>
      </c>
      <c r="IR69" s="1">
        <v>60</v>
      </c>
      <c r="IS69" s="1">
        <v>88.3333333333333</v>
      </c>
      <c r="IT69" s="1">
        <v>8.333333333333357</v>
      </c>
      <c r="IU69" s="1">
        <v>1.6666666666666703</v>
      </c>
      <c r="IV69" s="1">
        <v>1.6666666666666703</v>
      </c>
      <c r="IW69" s="1">
        <v>0</v>
      </c>
      <c r="IX69" s="1">
        <v>60</v>
      </c>
      <c r="IY69" s="1">
        <v>1</v>
      </c>
      <c r="IZ69" s="1">
        <v>34.492449999999941</v>
      </c>
      <c r="JA69" s="1">
        <v>24.314349999999951</v>
      </c>
      <c r="JB69" s="1">
        <v>6.2199499999999981</v>
      </c>
      <c r="JC69" s="1">
        <v>2.2617999999999969</v>
      </c>
      <c r="JD69" s="1">
        <v>3.9581499999999958</v>
      </c>
      <c r="JE69" s="1">
        <v>0.70491803278688547</v>
      </c>
      <c r="JF69" s="1">
        <v>0.18032786885245913</v>
      </c>
      <c r="JG69" s="1">
        <v>6.5573770491803365E-2</v>
      </c>
      <c r="JH69" s="1">
        <v>0.11475409836065603</v>
      </c>
      <c r="JI69" s="1">
        <v>1</v>
      </c>
      <c r="JJ69" s="1">
        <v>61</v>
      </c>
      <c r="JK69" s="1">
        <v>3.1694915254237288</v>
      </c>
      <c r="JL69" s="1">
        <v>3.1694915254237297</v>
      </c>
      <c r="JM69" s="1">
        <v>59</v>
      </c>
      <c r="JN69" s="1">
        <v>96</v>
      </c>
      <c r="JO69" s="1">
        <v>3.9999999999999996</v>
      </c>
      <c r="JP69" s="1">
        <v>25</v>
      </c>
      <c r="JQ69" s="1">
        <v>91.666666666666728</v>
      </c>
      <c r="JR69" s="1">
        <v>8.3333333333333286</v>
      </c>
      <c r="JS69" s="1">
        <v>36</v>
      </c>
      <c r="JT69" s="1">
        <v>93.478260869565091</v>
      </c>
      <c r="JU69" s="1">
        <v>6.5217391304347929</v>
      </c>
      <c r="JV69" s="1">
        <v>46</v>
      </c>
      <c r="JW69" s="1">
        <v>100</v>
      </c>
      <c r="JX69" s="1">
        <v>0</v>
      </c>
      <c r="JY69" s="1">
        <v>36</v>
      </c>
      <c r="JZ69" s="1">
        <v>59.677419354838669</v>
      </c>
      <c r="KA69" s="1">
        <v>40.322580645161409</v>
      </c>
      <c r="KB69" s="1">
        <v>62</v>
      </c>
      <c r="KC69" s="1">
        <v>100</v>
      </c>
      <c r="KD69" s="1">
        <v>0</v>
      </c>
      <c r="KE69" s="1">
        <v>56</v>
      </c>
      <c r="KF69" s="1">
        <v>2.9152542372881354</v>
      </c>
      <c r="KG69" s="1">
        <v>16.9491525423729</v>
      </c>
      <c r="KH69" s="1">
        <v>20.338983050847467</v>
      </c>
      <c r="KI69" s="1">
        <v>28.813559322033989</v>
      </c>
      <c r="KJ69" s="1">
        <v>22.033898305084758</v>
      </c>
      <c r="KK69" s="1">
        <v>11.864406779661037</v>
      </c>
      <c r="KL69" s="1">
        <v>59</v>
      </c>
      <c r="KM69" s="1">
        <v>51.084745762711911</v>
      </c>
      <c r="KN69" s="1">
        <v>150</v>
      </c>
      <c r="KO69" s="1">
        <v>0</v>
      </c>
      <c r="KP69" s="1">
        <v>0</v>
      </c>
      <c r="KQ69" s="1">
        <v>0</v>
      </c>
      <c r="KR69" s="1">
        <v>0</v>
      </c>
      <c r="KS69" s="1">
        <v>100</v>
      </c>
      <c r="KT69" s="1">
        <v>2</v>
      </c>
      <c r="KU69" s="1">
        <v>0</v>
      </c>
      <c r="KV69" s="1">
        <v>0</v>
      </c>
      <c r="KW69" s="1">
        <v>0</v>
      </c>
      <c r="KX69" s="1">
        <v>100</v>
      </c>
      <c r="KY69" s="1">
        <v>0</v>
      </c>
      <c r="KZ69" s="1">
        <v>61</v>
      </c>
      <c r="LA69" s="1">
        <v>11.666666666666666</v>
      </c>
      <c r="LB69" s="1">
        <v>88.3333333333333</v>
      </c>
      <c r="LC69" s="1">
        <v>60</v>
      </c>
      <c r="LD69" s="1">
        <v>0</v>
      </c>
      <c r="LE69" s="1">
        <v>14.285714285714281</v>
      </c>
      <c r="LF69" s="1">
        <v>85.714285714285694</v>
      </c>
      <c r="LG69" s="1">
        <v>7</v>
      </c>
    </row>
    <row r="70" spans="1:319" x14ac:dyDescent="0.25">
      <c r="A70" s="1">
        <v>216</v>
      </c>
      <c r="B70" s="1">
        <v>24.242424242424246</v>
      </c>
      <c r="C70" s="1">
        <v>75.757575757575793</v>
      </c>
      <c r="D70" s="1">
        <v>33</v>
      </c>
      <c r="E70" s="1">
        <v>82.608695652173935</v>
      </c>
      <c r="F70" s="1">
        <v>17.391304347826079</v>
      </c>
      <c r="G70" s="1">
        <v>23</v>
      </c>
      <c r="H70" s="1">
        <v>63.157894736842096</v>
      </c>
      <c r="I70" s="1">
        <v>36.842105263157904</v>
      </c>
      <c r="J70" s="1">
        <v>19</v>
      </c>
      <c r="K70" s="1">
        <v>1</v>
      </c>
      <c r="L70" s="1">
        <v>34.089079999999989</v>
      </c>
      <c r="M70" s="1">
        <v>6.0157199999999955</v>
      </c>
      <c r="N70" s="1">
        <v>7.0183399999999967</v>
      </c>
      <c r="O70" s="1">
        <v>14.036679999999993</v>
      </c>
      <c r="P70" s="1">
        <v>0</v>
      </c>
      <c r="Q70" s="1">
        <v>12.031439999999991</v>
      </c>
      <c r="R70" s="1">
        <v>0</v>
      </c>
      <c r="S70" s="1">
        <v>4.0104800000000003</v>
      </c>
      <c r="T70" s="1">
        <v>2.0052400000000001</v>
      </c>
      <c r="U70" s="1">
        <v>3.0078599999999978</v>
      </c>
      <c r="V70" s="1">
        <v>4.0104800000000003</v>
      </c>
      <c r="W70" s="1">
        <v>0.17647058823529416</v>
      </c>
      <c r="X70" s="1">
        <v>0.20588235294117657</v>
      </c>
      <c r="Y70" s="1">
        <v>0.41176470588235314</v>
      </c>
      <c r="Z70" s="1">
        <v>0</v>
      </c>
      <c r="AA70" s="1">
        <v>0.35294117647058831</v>
      </c>
      <c r="AB70" s="1">
        <v>0</v>
      </c>
      <c r="AC70" s="1">
        <v>0.11764705882352941</v>
      </c>
      <c r="AD70" s="1">
        <v>5.8823529411764705E-2</v>
      </c>
      <c r="AE70" s="1">
        <v>8.8235294117647078E-2</v>
      </c>
      <c r="AF70" s="1">
        <v>0.11764705882352941</v>
      </c>
      <c r="AG70" s="1">
        <v>1</v>
      </c>
      <c r="AH70" s="1">
        <v>34</v>
      </c>
      <c r="AI70" s="1">
        <v>1</v>
      </c>
      <c r="AJ70" s="1">
        <v>30.078600000000023</v>
      </c>
      <c r="AK70" s="1">
        <v>18.047159999999998</v>
      </c>
      <c r="AL70" s="1">
        <v>19.049780000000013</v>
      </c>
      <c r="AM70" s="1">
        <v>10.026200000000001</v>
      </c>
      <c r="AN70" s="1">
        <v>12.031439999999991</v>
      </c>
      <c r="AO70" s="1">
        <v>0</v>
      </c>
      <c r="AP70" s="1">
        <v>2.0052400000000001</v>
      </c>
      <c r="AQ70" s="1">
        <v>0.6000000000000002</v>
      </c>
      <c r="AR70" s="1">
        <v>0.63333333333333297</v>
      </c>
      <c r="AS70" s="1">
        <v>0.33333333333333343</v>
      </c>
      <c r="AT70" s="1">
        <v>0.40000000000000019</v>
      </c>
      <c r="AU70" s="1">
        <v>0</v>
      </c>
      <c r="AV70" s="1">
        <v>6.666666666666668E-2</v>
      </c>
      <c r="AW70" s="1">
        <v>1</v>
      </c>
      <c r="AX70" s="1">
        <v>30</v>
      </c>
      <c r="AY70" s="1">
        <v>9.8181818181818183</v>
      </c>
      <c r="AZ70" s="1">
        <v>9.9090909090909083</v>
      </c>
      <c r="BA70" s="1">
        <v>9.870967741935484</v>
      </c>
      <c r="BB70" s="1">
        <v>0</v>
      </c>
      <c r="BC70" s="1">
        <v>0</v>
      </c>
      <c r="BD70" s="1">
        <v>0</v>
      </c>
      <c r="BE70" s="1">
        <v>0</v>
      </c>
      <c r="BF70" s="1">
        <v>0</v>
      </c>
      <c r="BG70" s="1">
        <v>0</v>
      </c>
      <c r="BH70" s="1">
        <v>0</v>
      </c>
      <c r="BI70" s="1">
        <v>3.0303030303030307</v>
      </c>
      <c r="BJ70" s="1">
        <v>12.121212121212123</v>
      </c>
      <c r="BK70" s="1">
        <v>84.848484848484873</v>
      </c>
      <c r="BL70" s="1">
        <v>9.8181818181818148</v>
      </c>
      <c r="BM70" s="1">
        <v>33</v>
      </c>
      <c r="BN70" s="1">
        <v>0</v>
      </c>
      <c r="BO70" s="1">
        <v>0</v>
      </c>
      <c r="BP70" s="1">
        <v>0</v>
      </c>
      <c r="BQ70" s="1">
        <v>0</v>
      </c>
      <c r="BR70" s="1">
        <v>0</v>
      </c>
      <c r="BS70" s="1">
        <v>0</v>
      </c>
      <c r="BT70" s="1">
        <v>0</v>
      </c>
      <c r="BU70" s="1">
        <v>0</v>
      </c>
      <c r="BV70" s="1">
        <v>9.0909090909090882</v>
      </c>
      <c r="BW70" s="1">
        <v>90.909090909090949</v>
      </c>
      <c r="BX70" s="1">
        <v>9.9090909090909154</v>
      </c>
      <c r="BY70" s="1">
        <v>33</v>
      </c>
      <c r="BZ70" s="1">
        <v>0</v>
      </c>
      <c r="CA70" s="1">
        <v>0</v>
      </c>
      <c r="CB70" s="1">
        <v>0</v>
      </c>
      <c r="CC70" s="1">
        <v>0</v>
      </c>
      <c r="CD70" s="1">
        <v>0</v>
      </c>
      <c r="CE70" s="1">
        <v>0</v>
      </c>
      <c r="CF70" s="1">
        <v>0</v>
      </c>
      <c r="CG70" s="1">
        <v>0</v>
      </c>
      <c r="CH70" s="1">
        <v>12.903225806451601</v>
      </c>
      <c r="CI70" s="1">
        <v>87.096774193548342</v>
      </c>
      <c r="CJ70" s="1">
        <v>9.8709677419354858</v>
      </c>
      <c r="CK70" s="1">
        <v>31</v>
      </c>
      <c r="CL70" s="1">
        <v>73.333333333333343</v>
      </c>
      <c r="CM70" s="1">
        <v>23.333333333333343</v>
      </c>
      <c r="CN70" s="1">
        <v>0</v>
      </c>
      <c r="CO70" s="1">
        <v>3.3333333333333321</v>
      </c>
      <c r="CP70" s="1">
        <v>0</v>
      </c>
      <c r="CQ70" s="1">
        <v>30</v>
      </c>
      <c r="CR70" s="1">
        <v>76.47058823529413</v>
      </c>
      <c r="CS70" s="1">
        <v>23.529411764705866</v>
      </c>
      <c r="CT70" s="1">
        <v>0</v>
      </c>
      <c r="CU70" s="1">
        <v>0</v>
      </c>
      <c r="CV70" s="1">
        <v>0</v>
      </c>
      <c r="CW70" s="1">
        <v>34</v>
      </c>
      <c r="CX70" s="1">
        <v>54.545454545454518</v>
      </c>
      <c r="CY70" s="1">
        <v>33.333333333333336</v>
      </c>
      <c r="CZ70" s="1">
        <v>6.0606060606060614</v>
      </c>
      <c r="DA70" s="1">
        <v>6.0606060606060614</v>
      </c>
      <c r="DB70" s="1">
        <v>0</v>
      </c>
      <c r="DC70" s="1">
        <v>33</v>
      </c>
      <c r="DD70" s="1">
        <v>70.588235294117624</v>
      </c>
      <c r="DE70" s="1">
        <v>29.411764705882344</v>
      </c>
      <c r="DF70" s="1">
        <v>0</v>
      </c>
      <c r="DG70" s="1">
        <v>0</v>
      </c>
      <c r="DH70" s="1">
        <v>0</v>
      </c>
      <c r="DI70" s="1">
        <v>34</v>
      </c>
      <c r="DJ70" s="1">
        <v>74.074074074074076</v>
      </c>
      <c r="DK70" s="1">
        <v>18.518518518518519</v>
      </c>
      <c r="DL70" s="1">
        <v>7.4074074074074119</v>
      </c>
      <c r="DM70" s="1">
        <v>0</v>
      </c>
      <c r="DN70" s="1">
        <v>0</v>
      </c>
      <c r="DO70" s="1">
        <v>27</v>
      </c>
      <c r="DP70" s="1">
        <v>79.411764705882391</v>
      </c>
      <c r="DQ70" s="1">
        <v>17.647058823529406</v>
      </c>
      <c r="DR70" s="1">
        <v>2.9411764705882333</v>
      </c>
      <c r="DS70" s="1">
        <v>0</v>
      </c>
      <c r="DT70" s="1">
        <v>0</v>
      </c>
      <c r="DU70" s="1">
        <v>34</v>
      </c>
      <c r="DV70" s="1">
        <v>68.75</v>
      </c>
      <c r="DW70" s="1">
        <v>25</v>
      </c>
      <c r="DX70" s="1">
        <v>6.25</v>
      </c>
      <c r="DY70" s="1">
        <v>0</v>
      </c>
      <c r="DZ70" s="1">
        <v>0</v>
      </c>
      <c r="EA70" s="1">
        <v>16</v>
      </c>
      <c r="EB70" s="1">
        <v>93.333333333333371</v>
      </c>
      <c r="EC70" s="1">
        <v>6.6666666666666643</v>
      </c>
      <c r="ED70" s="1">
        <v>0</v>
      </c>
      <c r="EE70" s="1">
        <v>0</v>
      </c>
      <c r="EF70" s="1">
        <v>0</v>
      </c>
      <c r="EG70" s="1">
        <v>15</v>
      </c>
      <c r="EH70" s="1">
        <v>53.333333333333314</v>
      </c>
      <c r="EI70" s="1">
        <v>40</v>
      </c>
      <c r="EJ70" s="1">
        <v>6.6666666666666643</v>
      </c>
      <c r="EK70" s="1">
        <v>0</v>
      </c>
      <c r="EL70" s="1">
        <v>0</v>
      </c>
      <c r="EM70" s="1">
        <v>15</v>
      </c>
      <c r="EN70" s="1">
        <v>52.631578947368382</v>
      </c>
      <c r="EO70" s="1">
        <v>36.842105263157912</v>
      </c>
      <c r="EP70" s="1">
        <v>0</v>
      </c>
      <c r="EQ70" s="1">
        <v>10.526315789473685</v>
      </c>
      <c r="ER70" s="1">
        <v>0</v>
      </c>
      <c r="ES70" s="1">
        <v>19</v>
      </c>
      <c r="ET70" s="1">
        <v>63.157894736842096</v>
      </c>
      <c r="EU70" s="1">
        <v>31.578947368421048</v>
      </c>
      <c r="EV70" s="1">
        <v>0</v>
      </c>
      <c r="EW70" s="1">
        <v>5.2631578947368425</v>
      </c>
      <c r="EX70" s="1">
        <v>0</v>
      </c>
      <c r="EY70" s="1">
        <v>19</v>
      </c>
      <c r="EZ70" s="1">
        <v>41.666666666666679</v>
      </c>
      <c r="FA70" s="1">
        <v>58.333333333333307</v>
      </c>
      <c r="FB70" s="1">
        <v>0</v>
      </c>
      <c r="FC70" s="1">
        <v>0</v>
      </c>
      <c r="FD70" s="1">
        <v>0</v>
      </c>
      <c r="FE70" s="1">
        <v>12</v>
      </c>
      <c r="FF70" s="1">
        <v>50</v>
      </c>
      <c r="FG70" s="1">
        <v>50</v>
      </c>
      <c r="FH70" s="1">
        <v>0</v>
      </c>
      <c r="FI70" s="1">
        <v>0</v>
      </c>
      <c r="FJ70" s="1">
        <v>0</v>
      </c>
      <c r="FK70" s="1">
        <v>8</v>
      </c>
      <c r="FL70" s="1">
        <v>24.999999999999996</v>
      </c>
      <c r="FM70" s="1">
        <v>50</v>
      </c>
      <c r="FN70" s="1">
        <v>8.3333333333333339</v>
      </c>
      <c r="FO70" s="1">
        <v>8.3333333333333339</v>
      </c>
      <c r="FP70" s="1">
        <v>8.3333333333333339</v>
      </c>
      <c r="FQ70" s="1">
        <v>12</v>
      </c>
      <c r="FR70" s="1">
        <v>83.333333333333357</v>
      </c>
      <c r="FS70" s="1">
        <v>16.666666666666668</v>
      </c>
      <c r="FT70" s="1">
        <v>0</v>
      </c>
      <c r="FU70" s="1">
        <v>0</v>
      </c>
      <c r="FV70" s="1">
        <v>0</v>
      </c>
      <c r="FW70" s="1">
        <v>6</v>
      </c>
      <c r="FX70" s="1">
        <v>96.969696969696983</v>
      </c>
      <c r="FY70" s="1">
        <v>3.0303030303030307</v>
      </c>
      <c r="FZ70" s="1">
        <v>0</v>
      </c>
      <c r="GA70" s="1">
        <v>0</v>
      </c>
      <c r="GB70" s="1">
        <v>0</v>
      </c>
      <c r="GC70" s="1">
        <v>33</v>
      </c>
      <c r="GD70" s="1">
        <v>96</v>
      </c>
      <c r="GE70" s="1">
        <v>3.9999999999999991</v>
      </c>
      <c r="GF70" s="1">
        <v>0</v>
      </c>
      <c r="GG70" s="1">
        <v>0</v>
      </c>
      <c r="GH70" s="1">
        <v>0</v>
      </c>
      <c r="GI70" s="1">
        <v>25</v>
      </c>
      <c r="GJ70" s="1">
        <v>94.117647058823465</v>
      </c>
      <c r="GK70" s="1">
        <v>5.8823529411764666</v>
      </c>
      <c r="GL70" s="1">
        <v>0</v>
      </c>
      <c r="GM70" s="1">
        <v>0</v>
      </c>
      <c r="GN70" s="1">
        <v>0</v>
      </c>
      <c r="GO70" s="1">
        <v>17</v>
      </c>
      <c r="GP70" s="1">
        <v>87.5</v>
      </c>
      <c r="GQ70" s="1">
        <v>12.499999999999998</v>
      </c>
      <c r="GR70" s="1">
        <v>0</v>
      </c>
      <c r="GS70" s="1">
        <v>0</v>
      </c>
      <c r="GT70" s="1">
        <v>0</v>
      </c>
      <c r="GU70" s="1">
        <v>24</v>
      </c>
      <c r="GV70" s="1">
        <v>86.95652173913048</v>
      </c>
      <c r="GW70" s="1">
        <v>13.043478260869563</v>
      </c>
      <c r="GX70" s="1">
        <v>0</v>
      </c>
      <c r="GY70" s="1">
        <v>0</v>
      </c>
      <c r="GZ70" s="1">
        <v>0</v>
      </c>
      <c r="HA70" s="1">
        <v>23</v>
      </c>
      <c r="HB70" s="1">
        <v>66.666666666666671</v>
      </c>
      <c r="HC70" s="1">
        <v>33.333333333333336</v>
      </c>
      <c r="HD70" s="1">
        <v>0</v>
      </c>
      <c r="HE70" s="1">
        <v>0</v>
      </c>
      <c r="HF70" s="1">
        <v>0</v>
      </c>
      <c r="HG70" s="1">
        <v>12</v>
      </c>
      <c r="HH70" s="1">
        <v>90</v>
      </c>
      <c r="HI70" s="1">
        <v>9.9999999999999982</v>
      </c>
      <c r="HJ70" s="1">
        <v>0</v>
      </c>
      <c r="HK70" s="1">
        <v>0</v>
      </c>
      <c r="HL70" s="1">
        <v>0</v>
      </c>
      <c r="HM70" s="1">
        <v>10</v>
      </c>
      <c r="HN70" s="1">
        <v>49.999999999999993</v>
      </c>
      <c r="HO70" s="1">
        <v>49.999999999999993</v>
      </c>
      <c r="HP70" s="1">
        <v>0</v>
      </c>
      <c r="HQ70" s="1">
        <v>0</v>
      </c>
      <c r="HR70" s="1">
        <v>0</v>
      </c>
      <c r="HS70" s="1">
        <v>6</v>
      </c>
      <c r="HT70" s="1">
        <v>62.5</v>
      </c>
      <c r="HU70" s="1">
        <v>37.5</v>
      </c>
      <c r="HV70" s="1">
        <v>0</v>
      </c>
      <c r="HW70" s="1">
        <v>0</v>
      </c>
      <c r="HX70" s="1">
        <v>0</v>
      </c>
      <c r="HY70" s="1">
        <v>8</v>
      </c>
      <c r="HZ70" s="1">
        <v>33.333333333333336</v>
      </c>
      <c r="IA70" s="1">
        <v>49.999999999999993</v>
      </c>
      <c r="IB70" s="1">
        <v>0</v>
      </c>
      <c r="IC70" s="1">
        <v>16.666666666666668</v>
      </c>
      <c r="ID70" s="1">
        <v>0</v>
      </c>
      <c r="IE70" s="1">
        <v>6</v>
      </c>
      <c r="IF70" s="1">
        <v>9.4838709677419359</v>
      </c>
      <c r="IG70" s="1">
        <v>0</v>
      </c>
      <c r="IH70" s="1">
        <v>0</v>
      </c>
      <c r="II70" s="1">
        <v>0</v>
      </c>
      <c r="IJ70" s="1">
        <v>0</v>
      </c>
      <c r="IK70" s="1">
        <v>0</v>
      </c>
      <c r="IL70" s="1">
        <v>3.2258064516129004</v>
      </c>
      <c r="IM70" s="1">
        <v>0</v>
      </c>
      <c r="IN70" s="1">
        <v>6.4516129032258007</v>
      </c>
      <c r="IO70" s="1">
        <v>25.806451612903203</v>
      </c>
      <c r="IP70" s="1">
        <v>64.516129032258064</v>
      </c>
      <c r="IQ70" s="1">
        <v>9.4838709677419342</v>
      </c>
      <c r="IR70" s="1">
        <v>31</v>
      </c>
      <c r="IS70" s="1">
        <v>71.875</v>
      </c>
      <c r="IT70" s="1">
        <v>25</v>
      </c>
      <c r="IU70" s="1">
        <v>3.125</v>
      </c>
      <c r="IV70" s="1">
        <v>0</v>
      </c>
      <c r="IW70" s="1">
        <v>0</v>
      </c>
      <c r="IX70" s="1">
        <v>32</v>
      </c>
      <c r="IY70" s="1">
        <v>1</v>
      </c>
      <c r="IZ70" s="1">
        <v>34.089079999999989</v>
      </c>
      <c r="JA70" s="1">
        <v>19.049780000000013</v>
      </c>
      <c r="JB70" s="1">
        <v>11.028819999999998</v>
      </c>
      <c r="JC70" s="1">
        <v>4.0104800000000003</v>
      </c>
      <c r="JD70" s="1">
        <v>4.0104800000000003</v>
      </c>
      <c r="JE70" s="1">
        <v>0.55882352941176461</v>
      </c>
      <c r="JF70" s="1">
        <v>0.32352941176470601</v>
      </c>
      <c r="JG70" s="1">
        <v>0.11764705882352941</v>
      </c>
      <c r="JH70" s="1">
        <v>0.11764705882352941</v>
      </c>
      <c r="JI70" s="1">
        <v>1</v>
      </c>
      <c r="JJ70" s="1">
        <v>34</v>
      </c>
      <c r="JK70" s="1">
        <v>2.606060606060606</v>
      </c>
      <c r="JL70" s="1">
        <v>2.6060606060606077</v>
      </c>
      <c r="JM70" s="1">
        <v>33</v>
      </c>
      <c r="JN70" s="1">
        <v>91.666666666666629</v>
      </c>
      <c r="JO70" s="1">
        <v>8.3333333333333339</v>
      </c>
      <c r="JP70" s="1">
        <v>12</v>
      </c>
      <c r="JQ70" s="1">
        <v>94.736842105263221</v>
      </c>
      <c r="JR70" s="1">
        <v>5.2631578947368425</v>
      </c>
      <c r="JS70" s="1">
        <v>19</v>
      </c>
      <c r="JT70" s="1">
        <v>92.592592592592595</v>
      </c>
      <c r="JU70" s="1">
        <v>7.4074074074074119</v>
      </c>
      <c r="JV70" s="1">
        <v>27</v>
      </c>
      <c r="JW70" s="1">
        <v>100</v>
      </c>
      <c r="JX70" s="1">
        <v>0</v>
      </c>
      <c r="JY70" s="1">
        <v>18</v>
      </c>
      <c r="JZ70" s="1">
        <v>56.25</v>
      </c>
      <c r="KA70" s="1">
        <v>43.75</v>
      </c>
      <c r="KB70" s="1">
        <v>32</v>
      </c>
      <c r="KC70" s="1">
        <v>100</v>
      </c>
      <c r="KD70" s="1">
        <v>0</v>
      </c>
      <c r="KE70" s="1">
        <v>29</v>
      </c>
      <c r="KF70" s="1">
        <v>3.1923076923076925</v>
      </c>
      <c r="KG70" s="1">
        <v>11.538461538461542</v>
      </c>
      <c r="KH70" s="1">
        <v>15.384615384615373</v>
      </c>
      <c r="KI70" s="1">
        <v>26.923076923076909</v>
      </c>
      <c r="KJ70" s="1">
        <v>34.61538461538462</v>
      </c>
      <c r="KK70" s="1">
        <v>11.538461538461542</v>
      </c>
      <c r="KL70" s="1">
        <v>26</v>
      </c>
      <c r="KM70" s="1">
        <v>55.346153846153818</v>
      </c>
      <c r="KN70" s="1">
        <v>0</v>
      </c>
      <c r="KO70" s="1">
        <v>0</v>
      </c>
      <c r="KP70" s="1">
        <v>0</v>
      </c>
      <c r="KQ70" s="1">
        <v>0</v>
      </c>
      <c r="KR70" s="1">
        <v>0</v>
      </c>
      <c r="KS70" s="1">
        <v>0</v>
      </c>
      <c r="KT70" s="1">
        <v>0</v>
      </c>
      <c r="KU70" s="1">
        <v>0</v>
      </c>
      <c r="KV70" s="1">
        <v>0</v>
      </c>
      <c r="KW70" s="1">
        <v>0</v>
      </c>
      <c r="KX70" s="1">
        <v>100</v>
      </c>
      <c r="KY70" s="1">
        <v>0</v>
      </c>
      <c r="KZ70" s="1">
        <v>29</v>
      </c>
      <c r="LA70" s="1">
        <v>13.793103448275868</v>
      </c>
      <c r="LB70" s="1">
        <v>86.206896551724171</v>
      </c>
      <c r="LC70" s="1">
        <v>29</v>
      </c>
      <c r="LD70" s="1">
        <v>0</v>
      </c>
      <c r="LE70" s="1">
        <v>0</v>
      </c>
      <c r="LF70" s="1">
        <v>100</v>
      </c>
      <c r="LG70" s="1">
        <v>4</v>
      </c>
    </row>
    <row r="71" spans="1:319" x14ac:dyDescent="0.25">
      <c r="A71" s="1">
        <v>217</v>
      </c>
      <c r="B71" s="1">
        <v>50</v>
      </c>
      <c r="C71" s="1">
        <v>50</v>
      </c>
      <c r="D71" s="1">
        <v>4</v>
      </c>
      <c r="E71" s="1">
        <v>100</v>
      </c>
      <c r="F71" s="1">
        <v>0</v>
      </c>
      <c r="G71" s="1">
        <v>2</v>
      </c>
      <c r="H71" s="1">
        <v>0</v>
      </c>
      <c r="I71" s="1">
        <v>100</v>
      </c>
      <c r="J71" s="1">
        <v>2</v>
      </c>
      <c r="K71" s="1">
        <v>1</v>
      </c>
      <c r="L71" s="1">
        <v>4.2718199999999991</v>
      </c>
      <c r="M71" s="1">
        <v>2.84788</v>
      </c>
      <c r="N71" s="1">
        <v>0</v>
      </c>
      <c r="O71" s="1">
        <v>0</v>
      </c>
      <c r="P71" s="1">
        <v>0</v>
      </c>
      <c r="Q71" s="1">
        <v>0</v>
      </c>
      <c r="R71" s="1">
        <v>0</v>
      </c>
      <c r="S71" s="1">
        <v>0</v>
      </c>
      <c r="T71" s="1">
        <v>1.42394</v>
      </c>
      <c r="U71" s="1">
        <v>0</v>
      </c>
      <c r="V71" s="1">
        <v>0</v>
      </c>
      <c r="W71" s="1">
        <v>0.66666666666666663</v>
      </c>
      <c r="X71" s="1">
        <v>0</v>
      </c>
      <c r="Y71" s="1">
        <v>0</v>
      </c>
      <c r="Z71" s="1">
        <v>0</v>
      </c>
      <c r="AA71" s="1">
        <v>0</v>
      </c>
      <c r="AB71" s="1">
        <v>0</v>
      </c>
      <c r="AC71" s="1">
        <v>0</v>
      </c>
      <c r="AD71" s="1">
        <v>0.33333333333333331</v>
      </c>
      <c r="AE71" s="1">
        <v>0</v>
      </c>
      <c r="AF71" s="1">
        <v>0</v>
      </c>
      <c r="AG71" s="1">
        <v>1</v>
      </c>
      <c r="AH71" s="1">
        <v>6</v>
      </c>
      <c r="AI71" s="1">
        <v>1</v>
      </c>
      <c r="AJ71" s="1">
        <v>4.2718199999999991</v>
      </c>
      <c r="AK71" s="1">
        <v>2.1359099999999995</v>
      </c>
      <c r="AL71" s="1">
        <v>4.2718199999999991</v>
      </c>
      <c r="AM71" s="1">
        <v>2.84788</v>
      </c>
      <c r="AN71" s="1">
        <v>2.84788</v>
      </c>
      <c r="AO71" s="1">
        <v>0</v>
      </c>
      <c r="AP71" s="1">
        <v>0</v>
      </c>
      <c r="AQ71" s="1">
        <v>0.5</v>
      </c>
      <c r="AR71" s="1">
        <v>1</v>
      </c>
      <c r="AS71" s="1">
        <v>0.66666666666666663</v>
      </c>
      <c r="AT71" s="1">
        <v>0.66666666666666663</v>
      </c>
      <c r="AU71" s="1">
        <v>0</v>
      </c>
      <c r="AV71" s="1">
        <v>0</v>
      </c>
      <c r="AW71" s="1">
        <v>1</v>
      </c>
      <c r="AX71" s="1">
        <v>6</v>
      </c>
      <c r="AY71" s="1">
        <v>10</v>
      </c>
      <c r="AZ71" s="1">
        <v>10</v>
      </c>
      <c r="BA71" s="1">
        <v>10</v>
      </c>
      <c r="BB71" s="1">
        <v>0</v>
      </c>
      <c r="BC71" s="1">
        <v>0</v>
      </c>
      <c r="BD71" s="1">
        <v>0</v>
      </c>
      <c r="BE71" s="1">
        <v>0</v>
      </c>
      <c r="BF71" s="1">
        <v>0</v>
      </c>
      <c r="BG71" s="1">
        <v>0</v>
      </c>
      <c r="BH71" s="1">
        <v>0</v>
      </c>
      <c r="BI71" s="1">
        <v>0</v>
      </c>
      <c r="BJ71" s="1">
        <v>0</v>
      </c>
      <c r="BK71" s="1">
        <v>100</v>
      </c>
      <c r="BL71" s="1">
        <v>10</v>
      </c>
      <c r="BM71" s="1">
        <v>6</v>
      </c>
      <c r="BN71" s="1">
        <v>0</v>
      </c>
      <c r="BO71" s="1">
        <v>0</v>
      </c>
      <c r="BP71" s="1">
        <v>0</v>
      </c>
      <c r="BQ71" s="1">
        <v>0</v>
      </c>
      <c r="BR71" s="1">
        <v>0</v>
      </c>
      <c r="BS71" s="1">
        <v>0</v>
      </c>
      <c r="BT71" s="1">
        <v>0</v>
      </c>
      <c r="BU71" s="1">
        <v>0</v>
      </c>
      <c r="BV71" s="1">
        <v>0</v>
      </c>
      <c r="BW71" s="1">
        <v>100</v>
      </c>
      <c r="BX71" s="1">
        <v>10</v>
      </c>
      <c r="BY71" s="1">
        <v>6</v>
      </c>
      <c r="BZ71" s="1">
        <v>0</v>
      </c>
      <c r="CA71" s="1">
        <v>0</v>
      </c>
      <c r="CB71" s="1">
        <v>0</v>
      </c>
      <c r="CC71" s="1">
        <v>0</v>
      </c>
      <c r="CD71" s="1">
        <v>0</v>
      </c>
      <c r="CE71" s="1">
        <v>0</v>
      </c>
      <c r="CF71" s="1">
        <v>0</v>
      </c>
      <c r="CG71" s="1">
        <v>0</v>
      </c>
      <c r="CH71" s="1">
        <v>0</v>
      </c>
      <c r="CI71" s="1">
        <v>100</v>
      </c>
      <c r="CJ71" s="1">
        <v>10</v>
      </c>
      <c r="CK71" s="1">
        <v>6</v>
      </c>
      <c r="CL71" s="1">
        <v>66.666666666666671</v>
      </c>
      <c r="CM71" s="1">
        <v>33.333333333333336</v>
      </c>
      <c r="CN71" s="1">
        <v>0</v>
      </c>
      <c r="CO71" s="1">
        <v>0</v>
      </c>
      <c r="CP71" s="1">
        <v>0</v>
      </c>
      <c r="CQ71" s="1">
        <v>6</v>
      </c>
      <c r="CR71" s="1">
        <v>100</v>
      </c>
      <c r="CS71" s="1">
        <v>0</v>
      </c>
      <c r="CT71" s="1">
        <v>0</v>
      </c>
      <c r="CU71" s="1">
        <v>0</v>
      </c>
      <c r="CV71" s="1">
        <v>0</v>
      </c>
      <c r="CW71" s="1">
        <v>6</v>
      </c>
      <c r="CX71" s="1">
        <v>100</v>
      </c>
      <c r="CY71" s="1">
        <v>0</v>
      </c>
      <c r="CZ71" s="1">
        <v>0</v>
      </c>
      <c r="DA71" s="1">
        <v>0</v>
      </c>
      <c r="DB71" s="1">
        <v>0</v>
      </c>
      <c r="DC71" s="1">
        <v>6</v>
      </c>
      <c r="DD71" s="1">
        <v>100</v>
      </c>
      <c r="DE71" s="1">
        <v>0</v>
      </c>
      <c r="DF71" s="1">
        <v>0</v>
      </c>
      <c r="DG71" s="1">
        <v>0</v>
      </c>
      <c r="DH71" s="1">
        <v>0</v>
      </c>
      <c r="DI71" s="1">
        <v>6</v>
      </c>
      <c r="DJ71" s="1">
        <v>100</v>
      </c>
      <c r="DK71" s="1">
        <v>0</v>
      </c>
      <c r="DL71" s="1">
        <v>0</v>
      </c>
      <c r="DM71" s="1">
        <v>0</v>
      </c>
      <c r="DN71" s="1">
        <v>0</v>
      </c>
      <c r="DO71" s="1">
        <v>6</v>
      </c>
      <c r="DP71" s="1">
        <v>100</v>
      </c>
      <c r="DQ71" s="1">
        <v>0</v>
      </c>
      <c r="DR71" s="1">
        <v>0</v>
      </c>
      <c r="DS71" s="1">
        <v>0</v>
      </c>
      <c r="DT71" s="1">
        <v>0</v>
      </c>
      <c r="DU71" s="1">
        <v>6</v>
      </c>
      <c r="DV71" s="1">
        <v>100</v>
      </c>
      <c r="DW71" s="1">
        <v>0</v>
      </c>
      <c r="DX71" s="1">
        <v>0</v>
      </c>
      <c r="DY71" s="1">
        <v>0</v>
      </c>
      <c r="DZ71" s="1">
        <v>0</v>
      </c>
      <c r="EA71" s="1">
        <v>6</v>
      </c>
      <c r="EB71" s="1">
        <v>100</v>
      </c>
      <c r="EC71" s="1">
        <v>0</v>
      </c>
      <c r="ED71" s="1">
        <v>0</v>
      </c>
      <c r="EE71" s="1">
        <v>0</v>
      </c>
      <c r="EF71" s="1">
        <v>0</v>
      </c>
      <c r="EG71" s="1">
        <v>2</v>
      </c>
      <c r="EH71" s="1">
        <v>0</v>
      </c>
      <c r="EI71" s="1">
        <v>0</v>
      </c>
      <c r="EJ71" s="1">
        <v>0</v>
      </c>
      <c r="EK71" s="1">
        <v>0</v>
      </c>
      <c r="EL71" s="1">
        <v>0</v>
      </c>
      <c r="EM71" s="1">
        <v>0</v>
      </c>
      <c r="EN71" s="1">
        <v>50</v>
      </c>
      <c r="EO71" s="1">
        <v>50</v>
      </c>
      <c r="EP71" s="1">
        <v>0</v>
      </c>
      <c r="EQ71" s="1">
        <v>0</v>
      </c>
      <c r="ER71" s="1">
        <v>0</v>
      </c>
      <c r="ES71" s="1">
        <v>4</v>
      </c>
      <c r="ET71" s="1">
        <v>50</v>
      </c>
      <c r="EU71" s="1">
        <v>50</v>
      </c>
      <c r="EV71" s="1">
        <v>0</v>
      </c>
      <c r="EW71" s="1">
        <v>0</v>
      </c>
      <c r="EX71" s="1">
        <v>0</v>
      </c>
      <c r="EY71" s="1">
        <v>4</v>
      </c>
      <c r="EZ71" s="1">
        <v>0</v>
      </c>
      <c r="FA71" s="1">
        <v>100</v>
      </c>
      <c r="FB71" s="1">
        <v>0</v>
      </c>
      <c r="FC71" s="1">
        <v>0</v>
      </c>
      <c r="FD71" s="1">
        <v>0</v>
      </c>
      <c r="FE71" s="1">
        <v>2</v>
      </c>
      <c r="FF71" s="1">
        <v>0</v>
      </c>
      <c r="FG71" s="1">
        <v>100</v>
      </c>
      <c r="FH71" s="1">
        <v>0</v>
      </c>
      <c r="FI71" s="1">
        <v>0</v>
      </c>
      <c r="FJ71" s="1">
        <v>0</v>
      </c>
      <c r="FK71" s="1">
        <v>2</v>
      </c>
      <c r="FL71" s="1">
        <v>100</v>
      </c>
      <c r="FM71" s="1">
        <v>0</v>
      </c>
      <c r="FN71" s="1">
        <v>0</v>
      </c>
      <c r="FO71" s="1">
        <v>0</v>
      </c>
      <c r="FP71" s="1">
        <v>0</v>
      </c>
      <c r="FQ71" s="1">
        <v>2</v>
      </c>
      <c r="FR71" s="1">
        <v>100</v>
      </c>
      <c r="FS71" s="1">
        <v>0</v>
      </c>
      <c r="FT71" s="1">
        <v>0</v>
      </c>
      <c r="FU71" s="1">
        <v>0</v>
      </c>
      <c r="FV71" s="1">
        <v>0</v>
      </c>
      <c r="FW71" s="1">
        <v>2</v>
      </c>
      <c r="FX71" s="1">
        <v>100</v>
      </c>
      <c r="FY71" s="1">
        <v>0</v>
      </c>
      <c r="FZ71" s="1">
        <v>0</v>
      </c>
      <c r="GA71" s="1">
        <v>0</v>
      </c>
      <c r="GB71" s="1">
        <v>0</v>
      </c>
      <c r="GC71" s="1">
        <v>6</v>
      </c>
      <c r="GD71" s="1">
        <v>100</v>
      </c>
      <c r="GE71" s="1">
        <v>0</v>
      </c>
      <c r="GF71" s="1">
        <v>0</v>
      </c>
      <c r="GG71" s="1">
        <v>0</v>
      </c>
      <c r="GH71" s="1">
        <v>0</v>
      </c>
      <c r="GI71" s="1">
        <v>6</v>
      </c>
      <c r="GJ71" s="1">
        <v>100</v>
      </c>
      <c r="GK71" s="1">
        <v>0</v>
      </c>
      <c r="GL71" s="1">
        <v>0</v>
      </c>
      <c r="GM71" s="1">
        <v>0</v>
      </c>
      <c r="GN71" s="1">
        <v>0</v>
      </c>
      <c r="GO71" s="1">
        <v>6</v>
      </c>
      <c r="GP71" s="1">
        <v>100</v>
      </c>
      <c r="GQ71" s="1">
        <v>0</v>
      </c>
      <c r="GR71" s="1">
        <v>0</v>
      </c>
      <c r="GS71" s="1">
        <v>0</v>
      </c>
      <c r="GT71" s="1">
        <v>0</v>
      </c>
      <c r="GU71" s="1">
        <v>6</v>
      </c>
      <c r="GV71" s="1">
        <v>100</v>
      </c>
      <c r="GW71" s="1">
        <v>0</v>
      </c>
      <c r="GX71" s="1">
        <v>0</v>
      </c>
      <c r="GY71" s="1">
        <v>0</v>
      </c>
      <c r="GZ71" s="1">
        <v>0</v>
      </c>
      <c r="HA71" s="1">
        <v>6</v>
      </c>
      <c r="HB71" s="1">
        <v>0</v>
      </c>
      <c r="HC71" s="1">
        <v>0</v>
      </c>
      <c r="HD71" s="1">
        <v>0</v>
      </c>
      <c r="HE71" s="1">
        <v>0</v>
      </c>
      <c r="HF71" s="1">
        <v>0</v>
      </c>
      <c r="HG71" s="1">
        <v>0</v>
      </c>
      <c r="HH71" s="1">
        <v>0</v>
      </c>
      <c r="HI71" s="1">
        <v>0</v>
      </c>
      <c r="HJ71" s="1">
        <v>0</v>
      </c>
      <c r="HK71" s="1">
        <v>0</v>
      </c>
      <c r="HL71" s="1">
        <v>0</v>
      </c>
      <c r="HM71" s="1">
        <v>0</v>
      </c>
      <c r="HN71" s="1">
        <v>0</v>
      </c>
      <c r="HO71" s="1">
        <v>0</v>
      </c>
      <c r="HP71" s="1">
        <v>0</v>
      </c>
      <c r="HQ71" s="1">
        <v>0</v>
      </c>
      <c r="HR71" s="1">
        <v>0</v>
      </c>
      <c r="HS71" s="1">
        <v>0</v>
      </c>
      <c r="HT71" s="1">
        <v>0</v>
      </c>
      <c r="HU71" s="1">
        <v>0</v>
      </c>
      <c r="HV71" s="1">
        <v>0</v>
      </c>
      <c r="HW71" s="1">
        <v>0</v>
      </c>
      <c r="HX71" s="1">
        <v>0</v>
      </c>
      <c r="HY71" s="1">
        <v>0</v>
      </c>
      <c r="HZ71" s="1">
        <v>0</v>
      </c>
      <c r="IA71" s="1">
        <v>0</v>
      </c>
      <c r="IB71" s="1">
        <v>0</v>
      </c>
      <c r="IC71" s="1">
        <v>0</v>
      </c>
      <c r="ID71" s="1">
        <v>0</v>
      </c>
      <c r="IE71" s="1">
        <v>0</v>
      </c>
      <c r="IF71" s="1">
        <v>10</v>
      </c>
      <c r="IG71" s="1">
        <v>0</v>
      </c>
      <c r="IH71" s="1">
        <v>0</v>
      </c>
      <c r="II71" s="1">
        <v>0</v>
      </c>
      <c r="IJ71" s="1">
        <v>0</v>
      </c>
      <c r="IK71" s="1">
        <v>0</v>
      </c>
      <c r="IL71" s="1">
        <v>0</v>
      </c>
      <c r="IM71" s="1">
        <v>0</v>
      </c>
      <c r="IN71" s="1">
        <v>0</v>
      </c>
      <c r="IO71" s="1">
        <v>0</v>
      </c>
      <c r="IP71" s="1">
        <v>100</v>
      </c>
      <c r="IQ71" s="1">
        <v>10</v>
      </c>
      <c r="IR71" s="1">
        <v>6</v>
      </c>
      <c r="IS71" s="1">
        <v>33.333333333333336</v>
      </c>
      <c r="IT71" s="1">
        <v>33.333333333333336</v>
      </c>
      <c r="IU71" s="1">
        <v>33.333333333333336</v>
      </c>
      <c r="IV71" s="1">
        <v>0</v>
      </c>
      <c r="IW71" s="1">
        <v>0</v>
      </c>
      <c r="IX71" s="1">
        <v>6</v>
      </c>
      <c r="IY71" s="1">
        <v>1</v>
      </c>
      <c r="IZ71" s="1">
        <v>4.2718199999999991</v>
      </c>
      <c r="JA71" s="1">
        <v>0</v>
      </c>
      <c r="JB71" s="1">
        <v>1.42394</v>
      </c>
      <c r="JC71" s="1">
        <v>0</v>
      </c>
      <c r="JD71" s="1">
        <v>2.84788</v>
      </c>
      <c r="JE71" s="1">
        <v>0</v>
      </c>
      <c r="JF71" s="1">
        <v>0.33333333333333331</v>
      </c>
      <c r="JG71" s="1">
        <v>0</v>
      </c>
      <c r="JH71" s="1">
        <v>0.66666666666666663</v>
      </c>
      <c r="JI71" s="1">
        <v>1</v>
      </c>
      <c r="JJ71" s="1">
        <v>6</v>
      </c>
      <c r="JK71" s="1">
        <v>2.5</v>
      </c>
      <c r="JL71" s="1">
        <v>2.5000000000000004</v>
      </c>
      <c r="JM71" s="1">
        <v>6</v>
      </c>
      <c r="JN71" s="1">
        <v>100</v>
      </c>
      <c r="JO71" s="1">
        <v>0</v>
      </c>
      <c r="JP71" s="1">
        <v>2</v>
      </c>
      <c r="JQ71" s="1">
        <v>100</v>
      </c>
      <c r="JR71" s="1">
        <v>0</v>
      </c>
      <c r="JS71" s="1">
        <v>2</v>
      </c>
      <c r="JT71" s="1">
        <v>100</v>
      </c>
      <c r="JU71" s="1">
        <v>0</v>
      </c>
      <c r="JV71" s="1">
        <v>6</v>
      </c>
      <c r="JW71" s="1">
        <v>100</v>
      </c>
      <c r="JX71" s="1">
        <v>0</v>
      </c>
      <c r="JY71" s="1">
        <v>4</v>
      </c>
      <c r="JZ71" s="1">
        <v>100</v>
      </c>
      <c r="KA71" s="1">
        <v>0</v>
      </c>
      <c r="KB71" s="1">
        <v>2</v>
      </c>
      <c r="KC71" s="1">
        <v>100</v>
      </c>
      <c r="KD71" s="1">
        <v>0</v>
      </c>
      <c r="KE71" s="1">
        <v>2</v>
      </c>
      <c r="KF71" s="1">
        <v>2</v>
      </c>
      <c r="KG71" s="1">
        <v>0</v>
      </c>
      <c r="KH71" s="1">
        <v>100</v>
      </c>
      <c r="KI71" s="1">
        <v>0</v>
      </c>
      <c r="KJ71" s="1">
        <v>0</v>
      </c>
      <c r="KK71" s="1">
        <v>0</v>
      </c>
      <c r="KL71" s="1">
        <v>2</v>
      </c>
      <c r="KM71" s="1">
        <v>35</v>
      </c>
      <c r="KN71" s="1">
        <v>0</v>
      </c>
      <c r="KO71" s="1">
        <v>0</v>
      </c>
      <c r="KP71" s="1">
        <v>0</v>
      </c>
      <c r="KQ71" s="1">
        <v>0</v>
      </c>
      <c r="KR71" s="1">
        <v>0</v>
      </c>
      <c r="KS71" s="1">
        <v>0</v>
      </c>
      <c r="KT71" s="1">
        <v>0</v>
      </c>
      <c r="KU71" s="1">
        <v>0</v>
      </c>
      <c r="KV71" s="1">
        <v>0</v>
      </c>
      <c r="KW71" s="1">
        <v>0</v>
      </c>
      <c r="KX71" s="1">
        <v>100</v>
      </c>
      <c r="KY71" s="1">
        <v>0</v>
      </c>
      <c r="KZ71" s="1">
        <v>2</v>
      </c>
      <c r="LA71" s="1">
        <v>0</v>
      </c>
      <c r="LB71" s="1">
        <v>100</v>
      </c>
      <c r="LC71" s="1">
        <v>2</v>
      </c>
      <c r="LD71" s="1">
        <v>0</v>
      </c>
      <c r="LE71" s="1">
        <v>0</v>
      </c>
      <c r="LF71" s="1">
        <v>0</v>
      </c>
      <c r="LG71" s="1">
        <v>0</v>
      </c>
    </row>
    <row r="72" spans="1:319" x14ac:dyDescent="0.25">
      <c r="A72" s="1">
        <v>218</v>
      </c>
      <c r="B72" s="1">
        <v>33.33333333333335</v>
      </c>
      <c r="C72" s="1">
        <v>66.666666666666686</v>
      </c>
      <c r="D72" s="1">
        <v>27</v>
      </c>
      <c r="E72" s="1">
        <v>83.333333333333329</v>
      </c>
      <c r="F72" s="1">
        <v>16.666666666666679</v>
      </c>
      <c r="G72" s="1">
        <v>18</v>
      </c>
      <c r="H72" s="1">
        <v>53.333333333333364</v>
      </c>
      <c r="I72" s="1">
        <v>46.666666666666664</v>
      </c>
      <c r="J72" s="1">
        <v>15</v>
      </c>
      <c r="K72" s="1">
        <v>1</v>
      </c>
      <c r="L72" s="1">
        <v>10.44009</v>
      </c>
      <c r="M72" s="1">
        <v>0</v>
      </c>
      <c r="N72" s="1">
        <v>0.77334000000000003</v>
      </c>
      <c r="O72" s="1">
        <v>3.8666999999999985</v>
      </c>
      <c r="P72" s="1">
        <v>0.38667000000000001</v>
      </c>
      <c r="Q72" s="1">
        <v>3.8666999999999985</v>
      </c>
      <c r="R72" s="1">
        <v>0.77334000000000003</v>
      </c>
      <c r="S72" s="1">
        <v>0.77334000000000003</v>
      </c>
      <c r="T72" s="1">
        <v>1.16001</v>
      </c>
      <c r="U72" s="1">
        <v>0.77334000000000003</v>
      </c>
      <c r="V72" s="1">
        <v>0.77334000000000003</v>
      </c>
      <c r="W72" s="1">
        <v>0</v>
      </c>
      <c r="X72" s="1">
        <v>7.4074074074074112E-2</v>
      </c>
      <c r="Y72" s="1">
        <v>0.37037037037037029</v>
      </c>
      <c r="Z72" s="1">
        <v>3.7037037037037056E-2</v>
      </c>
      <c r="AA72" s="1">
        <v>0.37037037037037029</v>
      </c>
      <c r="AB72" s="1">
        <v>7.4074074074074112E-2</v>
      </c>
      <c r="AC72" s="1">
        <v>7.4074074074074112E-2</v>
      </c>
      <c r="AD72" s="1">
        <v>0.11111111111111115</v>
      </c>
      <c r="AE72" s="1">
        <v>7.4074074074074112E-2</v>
      </c>
      <c r="AF72" s="1">
        <v>7.4074074074074112E-2</v>
      </c>
      <c r="AG72" s="1">
        <v>1</v>
      </c>
      <c r="AH72" s="1">
        <v>27</v>
      </c>
      <c r="AI72" s="1">
        <v>1</v>
      </c>
      <c r="AJ72" s="1">
        <v>10.44009</v>
      </c>
      <c r="AK72" s="1">
        <v>8.1200699999999966</v>
      </c>
      <c r="AL72" s="1">
        <v>7.7333999999999952</v>
      </c>
      <c r="AM72" s="1">
        <v>6.1867200000000002</v>
      </c>
      <c r="AN72" s="1">
        <v>5.0267099999999987</v>
      </c>
      <c r="AO72" s="1">
        <v>0.38667000000000001</v>
      </c>
      <c r="AP72" s="1">
        <v>0.77334000000000003</v>
      </c>
      <c r="AQ72" s="1">
        <v>0.77777777777777757</v>
      </c>
      <c r="AR72" s="1">
        <v>0.74074074074074048</v>
      </c>
      <c r="AS72" s="1">
        <v>0.592592592592592</v>
      </c>
      <c r="AT72" s="1">
        <v>0.48148148148148134</v>
      </c>
      <c r="AU72" s="1">
        <v>3.7037037037037056E-2</v>
      </c>
      <c r="AV72" s="1">
        <v>7.4074074074074112E-2</v>
      </c>
      <c r="AW72" s="1">
        <v>1</v>
      </c>
      <c r="AX72" s="1">
        <v>27</v>
      </c>
      <c r="AY72" s="1">
        <v>10</v>
      </c>
      <c r="AZ72" s="1">
        <v>9.9615384615384617</v>
      </c>
      <c r="BA72" s="1">
        <v>9.9230769230769234</v>
      </c>
      <c r="BB72" s="1">
        <v>0</v>
      </c>
      <c r="BC72" s="1">
        <v>0</v>
      </c>
      <c r="BD72" s="1">
        <v>0</v>
      </c>
      <c r="BE72" s="1">
        <v>0</v>
      </c>
      <c r="BF72" s="1">
        <v>0</v>
      </c>
      <c r="BG72" s="1">
        <v>0</v>
      </c>
      <c r="BH72" s="1">
        <v>0</v>
      </c>
      <c r="BI72" s="1">
        <v>0</v>
      </c>
      <c r="BJ72" s="1">
        <v>0</v>
      </c>
      <c r="BK72" s="1">
        <v>100</v>
      </c>
      <c r="BL72" s="1">
        <v>9.9999999999999982</v>
      </c>
      <c r="BM72" s="1">
        <v>27</v>
      </c>
      <c r="BN72" s="1">
        <v>0</v>
      </c>
      <c r="BO72" s="1">
        <v>0</v>
      </c>
      <c r="BP72" s="1">
        <v>0</v>
      </c>
      <c r="BQ72" s="1">
        <v>0</v>
      </c>
      <c r="BR72" s="1">
        <v>0</v>
      </c>
      <c r="BS72" s="1">
        <v>0</v>
      </c>
      <c r="BT72" s="1">
        <v>0</v>
      </c>
      <c r="BU72" s="1">
        <v>0</v>
      </c>
      <c r="BV72" s="1">
        <v>3.8461538461538436</v>
      </c>
      <c r="BW72" s="1">
        <v>96.153846153846175</v>
      </c>
      <c r="BX72" s="1">
        <v>9.9615384615384546</v>
      </c>
      <c r="BY72" s="1">
        <v>26</v>
      </c>
      <c r="BZ72" s="1">
        <v>0</v>
      </c>
      <c r="CA72" s="1">
        <v>0</v>
      </c>
      <c r="CB72" s="1">
        <v>0</v>
      </c>
      <c r="CC72" s="1">
        <v>0</v>
      </c>
      <c r="CD72" s="1">
        <v>0</v>
      </c>
      <c r="CE72" s="1">
        <v>0</v>
      </c>
      <c r="CF72" s="1">
        <v>0</v>
      </c>
      <c r="CG72" s="1">
        <v>3.8461538461538436</v>
      </c>
      <c r="CH72" s="1">
        <v>0</v>
      </c>
      <c r="CI72" s="1">
        <v>96.153846153846175</v>
      </c>
      <c r="CJ72" s="1">
        <v>9.9230769230769109</v>
      </c>
      <c r="CK72" s="1">
        <v>26</v>
      </c>
      <c r="CL72" s="1">
        <v>76.923076923076906</v>
      </c>
      <c r="CM72" s="1">
        <v>23.076923076923091</v>
      </c>
      <c r="CN72" s="1">
        <v>0</v>
      </c>
      <c r="CO72" s="1">
        <v>0</v>
      </c>
      <c r="CP72" s="1">
        <v>0</v>
      </c>
      <c r="CQ72" s="1">
        <v>26</v>
      </c>
      <c r="CR72" s="1">
        <v>70.370370370370381</v>
      </c>
      <c r="CS72" s="1">
        <v>25.925925925925906</v>
      </c>
      <c r="CT72" s="1">
        <v>0</v>
      </c>
      <c r="CU72" s="1">
        <v>3.7037037037037055</v>
      </c>
      <c r="CV72" s="1">
        <v>0</v>
      </c>
      <c r="CW72" s="1">
        <v>27</v>
      </c>
      <c r="CX72" s="1">
        <v>96.296296296296234</v>
      </c>
      <c r="CY72" s="1">
        <v>3.7037037037037055</v>
      </c>
      <c r="CZ72" s="1">
        <v>0</v>
      </c>
      <c r="DA72" s="1">
        <v>0</v>
      </c>
      <c r="DB72" s="1">
        <v>0</v>
      </c>
      <c r="DC72" s="1">
        <v>27</v>
      </c>
      <c r="DD72" s="1">
        <v>85.185185185185205</v>
      </c>
      <c r="DE72" s="1">
        <v>14.814814814814822</v>
      </c>
      <c r="DF72" s="1">
        <v>0</v>
      </c>
      <c r="DG72" s="1">
        <v>0</v>
      </c>
      <c r="DH72" s="1">
        <v>0</v>
      </c>
      <c r="DI72" s="1">
        <v>27</v>
      </c>
      <c r="DJ72" s="1">
        <v>82.608695652173949</v>
      </c>
      <c r="DK72" s="1">
        <v>13.043478260869565</v>
      </c>
      <c r="DL72" s="1">
        <v>4.3478260869565259</v>
      </c>
      <c r="DM72" s="1">
        <v>0</v>
      </c>
      <c r="DN72" s="1">
        <v>0</v>
      </c>
      <c r="DO72" s="1">
        <v>23</v>
      </c>
      <c r="DP72" s="1">
        <v>96.296296296296234</v>
      </c>
      <c r="DQ72" s="1">
        <v>3.7037037037037055</v>
      </c>
      <c r="DR72" s="1">
        <v>0</v>
      </c>
      <c r="DS72" s="1">
        <v>0</v>
      </c>
      <c r="DT72" s="1">
        <v>0</v>
      </c>
      <c r="DU72" s="1">
        <v>27</v>
      </c>
      <c r="DV72" s="1">
        <v>91.304347826086982</v>
      </c>
      <c r="DW72" s="1">
        <v>4.3478260869565259</v>
      </c>
      <c r="DX72" s="1">
        <v>0</v>
      </c>
      <c r="DY72" s="1">
        <v>0</v>
      </c>
      <c r="DZ72" s="1">
        <v>4.3478260869565259</v>
      </c>
      <c r="EA72" s="1">
        <v>23</v>
      </c>
      <c r="EB72" s="1">
        <v>50</v>
      </c>
      <c r="EC72" s="1">
        <v>0</v>
      </c>
      <c r="ED72" s="1">
        <v>33.33333333333335</v>
      </c>
      <c r="EE72" s="1">
        <v>0</v>
      </c>
      <c r="EF72" s="1">
        <v>16.666666666666675</v>
      </c>
      <c r="EG72" s="1">
        <v>6</v>
      </c>
      <c r="EH72" s="1">
        <v>60</v>
      </c>
      <c r="EI72" s="1">
        <v>0</v>
      </c>
      <c r="EJ72" s="1">
        <v>40</v>
      </c>
      <c r="EK72" s="1">
        <v>0</v>
      </c>
      <c r="EL72" s="1">
        <v>0</v>
      </c>
      <c r="EM72" s="1">
        <v>5</v>
      </c>
      <c r="EN72" s="1">
        <v>55.555555555555586</v>
      </c>
      <c r="EO72" s="1">
        <v>11.111111111111109</v>
      </c>
      <c r="EP72" s="1">
        <v>11.111111111111109</v>
      </c>
      <c r="EQ72" s="1">
        <v>11.111111111111109</v>
      </c>
      <c r="ER72" s="1">
        <v>11.111111111111109</v>
      </c>
      <c r="ES72" s="1">
        <v>9</v>
      </c>
      <c r="ET72" s="1">
        <v>44.444444444444436</v>
      </c>
      <c r="EU72" s="1">
        <v>33.33333333333335</v>
      </c>
      <c r="EV72" s="1">
        <v>0</v>
      </c>
      <c r="EW72" s="1">
        <v>11.111111111111109</v>
      </c>
      <c r="EX72" s="1">
        <v>11.111111111111109</v>
      </c>
      <c r="EY72" s="1">
        <v>9</v>
      </c>
      <c r="EZ72" s="1">
        <v>50</v>
      </c>
      <c r="FA72" s="1">
        <v>37.5</v>
      </c>
      <c r="FB72" s="1">
        <v>0</v>
      </c>
      <c r="FC72" s="1">
        <v>0</v>
      </c>
      <c r="FD72" s="1">
        <v>12.5</v>
      </c>
      <c r="FE72" s="1">
        <v>8</v>
      </c>
      <c r="FF72" s="1">
        <v>42.857142857142883</v>
      </c>
      <c r="FG72" s="1">
        <v>28.571428571428562</v>
      </c>
      <c r="FH72" s="1">
        <v>14.285714285714281</v>
      </c>
      <c r="FI72" s="1">
        <v>0</v>
      </c>
      <c r="FJ72" s="1">
        <v>14.285714285714281</v>
      </c>
      <c r="FK72" s="1">
        <v>7</v>
      </c>
      <c r="FL72" s="1">
        <v>50</v>
      </c>
      <c r="FM72" s="1">
        <v>16.666666666666675</v>
      </c>
      <c r="FN72" s="1">
        <v>33.33333333333335</v>
      </c>
      <c r="FO72" s="1">
        <v>0</v>
      </c>
      <c r="FP72" s="1">
        <v>0</v>
      </c>
      <c r="FQ72" s="1">
        <v>6</v>
      </c>
      <c r="FR72" s="1">
        <v>66.6666666666667</v>
      </c>
      <c r="FS72" s="1">
        <v>16.666666666666675</v>
      </c>
      <c r="FT72" s="1">
        <v>16.666666666666675</v>
      </c>
      <c r="FU72" s="1">
        <v>0</v>
      </c>
      <c r="FV72" s="1">
        <v>0</v>
      </c>
      <c r="FW72" s="1">
        <v>6</v>
      </c>
      <c r="FX72" s="1">
        <v>100</v>
      </c>
      <c r="FY72" s="1">
        <v>0</v>
      </c>
      <c r="FZ72" s="1">
        <v>0</v>
      </c>
      <c r="GA72" s="1">
        <v>0</v>
      </c>
      <c r="GB72" s="1">
        <v>0</v>
      </c>
      <c r="GC72" s="1">
        <v>26</v>
      </c>
      <c r="GD72" s="1">
        <v>88.235294117647044</v>
      </c>
      <c r="GE72" s="1">
        <v>5.8823529411764719</v>
      </c>
      <c r="GF72" s="1">
        <v>0</v>
      </c>
      <c r="GG72" s="1">
        <v>5.8823529411764719</v>
      </c>
      <c r="GH72" s="1">
        <v>0</v>
      </c>
      <c r="GI72" s="1">
        <v>17</v>
      </c>
      <c r="GJ72" s="1">
        <v>92.307692307692363</v>
      </c>
      <c r="GK72" s="1">
        <v>7.6923076923076872</v>
      </c>
      <c r="GL72" s="1">
        <v>0</v>
      </c>
      <c r="GM72" s="1">
        <v>0</v>
      </c>
      <c r="GN72" s="1">
        <v>0</v>
      </c>
      <c r="GO72" s="1">
        <v>13</v>
      </c>
      <c r="GP72" s="1">
        <v>95.238095238095255</v>
      </c>
      <c r="GQ72" s="1">
        <v>0</v>
      </c>
      <c r="GR72" s="1">
        <v>0</v>
      </c>
      <c r="GS72" s="1">
        <v>4.7619047619047619</v>
      </c>
      <c r="GT72" s="1">
        <v>0</v>
      </c>
      <c r="GU72" s="1">
        <v>21</v>
      </c>
      <c r="GV72" s="1">
        <v>90</v>
      </c>
      <c r="GW72" s="1">
        <v>0</v>
      </c>
      <c r="GX72" s="1">
        <v>5.0000000000000009</v>
      </c>
      <c r="GY72" s="1">
        <v>5.0000000000000009</v>
      </c>
      <c r="GZ72" s="1">
        <v>0</v>
      </c>
      <c r="HA72" s="1">
        <v>20</v>
      </c>
      <c r="HB72" s="1">
        <v>80</v>
      </c>
      <c r="HC72" s="1">
        <v>0</v>
      </c>
      <c r="HD72" s="1">
        <v>20</v>
      </c>
      <c r="HE72" s="1">
        <v>0</v>
      </c>
      <c r="HF72" s="1">
        <v>0</v>
      </c>
      <c r="HG72" s="1">
        <v>5</v>
      </c>
      <c r="HH72" s="1">
        <v>87.499999999999986</v>
      </c>
      <c r="HI72" s="1">
        <v>12.5</v>
      </c>
      <c r="HJ72" s="1">
        <v>0</v>
      </c>
      <c r="HK72" s="1">
        <v>0</v>
      </c>
      <c r="HL72" s="1">
        <v>0</v>
      </c>
      <c r="HM72" s="1">
        <v>8</v>
      </c>
      <c r="HN72" s="1">
        <v>33.33333333333335</v>
      </c>
      <c r="HO72" s="1">
        <v>0</v>
      </c>
      <c r="HP72" s="1">
        <v>66.6666666666667</v>
      </c>
      <c r="HQ72" s="1">
        <v>0</v>
      </c>
      <c r="HR72" s="1">
        <v>0</v>
      </c>
      <c r="HS72" s="1">
        <v>3</v>
      </c>
      <c r="HT72" s="1">
        <v>60</v>
      </c>
      <c r="HU72" s="1">
        <v>0</v>
      </c>
      <c r="HV72" s="1">
        <v>40</v>
      </c>
      <c r="HW72" s="1">
        <v>0</v>
      </c>
      <c r="HX72" s="1">
        <v>0</v>
      </c>
      <c r="HY72" s="1">
        <v>5</v>
      </c>
      <c r="HZ72" s="1">
        <v>50</v>
      </c>
      <c r="IA72" s="1">
        <v>0</v>
      </c>
      <c r="IB72" s="1">
        <v>50</v>
      </c>
      <c r="IC72" s="1">
        <v>0</v>
      </c>
      <c r="ID72" s="1">
        <v>0</v>
      </c>
      <c r="IE72" s="1">
        <v>4</v>
      </c>
      <c r="IF72" s="1">
        <v>9.56</v>
      </c>
      <c r="IG72" s="1">
        <v>0</v>
      </c>
      <c r="IH72" s="1">
        <v>0</v>
      </c>
      <c r="II72" s="1">
        <v>0</v>
      </c>
      <c r="IJ72" s="1">
        <v>0</v>
      </c>
      <c r="IK72" s="1">
        <v>0</v>
      </c>
      <c r="IL72" s="1">
        <v>4.0000000000000009</v>
      </c>
      <c r="IM72" s="1">
        <v>0</v>
      </c>
      <c r="IN72" s="1">
        <v>8.0000000000000018</v>
      </c>
      <c r="IO72" s="1">
        <v>12.000000000000002</v>
      </c>
      <c r="IP72" s="1">
        <v>75.999999999999986</v>
      </c>
      <c r="IQ72" s="1">
        <v>9.56</v>
      </c>
      <c r="IR72" s="1">
        <v>25</v>
      </c>
      <c r="IS72" s="1">
        <v>88.888888888888872</v>
      </c>
      <c r="IT72" s="1">
        <v>11.111111111111109</v>
      </c>
      <c r="IU72" s="1">
        <v>0</v>
      </c>
      <c r="IV72" s="1">
        <v>0</v>
      </c>
      <c r="IW72" s="1">
        <v>0</v>
      </c>
      <c r="IX72" s="1">
        <v>27</v>
      </c>
      <c r="IY72" s="1">
        <v>1</v>
      </c>
      <c r="IZ72" s="1">
        <v>10.053419999999997</v>
      </c>
      <c r="JA72" s="1">
        <v>6.1867200000000002</v>
      </c>
      <c r="JB72" s="1">
        <v>2.7066900000000005</v>
      </c>
      <c r="JC72" s="1">
        <v>1.5466800000000001</v>
      </c>
      <c r="JD72" s="1">
        <v>0.77334000000000003</v>
      </c>
      <c r="JE72" s="1">
        <v>0.6153846153846152</v>
      </c>
      <c r="JF72" s="1">
        <v>0.26923076923076922</v>
      </c>
      <c r="JG72" s="1">
        <v>0.1538461538461538</v>
      </c>
      <c r="JH72" s="1">
        <v>7.69230769230769E-2</v>
      </c>
      <c r="JI72" s="1">
        <v>1</v>
      </c>
      <c r="JJ72" s="1">
        <v>26</v>
      </c>
      <c r="JK72" s="1">
        <v>2.76</v>
      </c>
      <c r="JL72" s="1">
        <v>2.7600000000000007</v>
      </c>
      <c r="JM72" s="1">
        <v>25</v>
      </c>
      <c r="JN72" s="1">
        <v>92.307692307692363</v>
      </c>
      <c r="JO72" s="1">
        <v>7.6923076923076872</v>
      </c>
      <c r="JP72" s="1">
        <v>13</v>
      </c>
      <c r="JQ72" s="1">
        <v>100</v>
      </c>
      <c r="JR72" s="1">
        <v>0</v>
      </c>
      <c r="JS72" s="1">
        <v>20</v>
      </c>
      <c r="JT72" s="1">
        <v>100</v>
      </c>
      <c r="JU72" s="1">
        <v>0</v>
      </c>
      <c r="JV72" s="1">
        <v>23</v>
      </c>
      <c r="JW72" s="1">
        <v>95.454545454545482</v>
      </c>
      <c r="JX72" s="1">
        <v>4.5454545454545476</v>
      </c>
      <c r="JY72" s="1">
        <v>22</v>
      </c>
      <c r="JZ72" s="1">
        <v>36.000000000000007</v>
      </c>
      <c r="KA72" s="1">
        <v>63.999999999999993</v>
      </c>
      <c r="KB72" s="1">
        <v>25</v>
      </c>
      <c r="KC72" s="1">
        <v>100</v>
      </c>
      <c r="KD72" s="1">
        <v>0</v>
      </c>
      <c r="KE72" s="1">
        <v>24</v>
      </c>
      <c r="KF72" s="1">
        <v>3.4782608695652173</v>
      </c>
      <c r="KG72" s="1">
        <v>0</v>
      </c>
      <c r="KH72" s="1">
        <v>17.391304347826104</v>
      </c>
      <c r="KI72" s="1">
        <v>21.73913043478262</v>
      </c>
      <c r="KJ72" s="1">
        <v>56.521739130434767</v>
      </c>
      <c r="KK72" s="1">
        <v>4.3478260869565259</v>
      </c>
      <c r="KL72" s="1">
        <v>23</v>
      </c>
      <c r="KM72" s="1">
        <v>62.347826086956509</v>
      </c>
      <c r="KN72" s="1">
        <v>19</v>
      </c>
      <c r="KO72" s="1">
        <v>0</v>
      </c>
      <c r="KP72" s="1">
        <v>0</v>
      </c>
      <c r="KQ72" s="1">
        <v>100</v>
      </c>
      <c r="KR72" s="1">
        <v>0</v>
      </c>
      <c r="KS72" s="1">
        <v>0</v>
      </c>
      <c r="KT72" s="1">
        <v>1</v>
      </c>
      <c r="KU72" s="1">
        <v>0</v>
      </c>
      <c r="KV72" s="1">
        <v>0</v>
      </c>
      <c r="KW72" s="1">
        <v>0</v>
      </c>
      <c r="KX72" s="1">
        <v>100</v>
      </c>
      <c r="KY72" s="1">
        <v>0</v>
      </c>
      <c r="KZ72" s="1">
        <v>25</v>
      </c>
      <c r="LA72" s="1">
        <v>8.0000000000000018</v>
      </c>
      <c r="LB72" s="1">
        <v>91.999999999999986</v>
      </c>
      <c r="LC72" s="1">
        <v>25</v>
      </c>
      <c r="LD72" s="1">
        <v>0</v>
      </c>
      <c r="LE72" s="1">
        <v>0</v>
      </c>
      <c r="LF72" s="1">
        <v>100</v>
      </c>
      <c r="LG72" s="1">
        <v>2</v>
      </c>
    </row>
    <row r="73" spans="1:319" x14ac:dyDescent="0.25">
      <c r="A73" s="1">
        <v>221</v>
      </c>
      <c r="B73" s="1">
        <v>34.14634146341465</v>
      </c>
      <c r="C73" s="1">
        <v>65.853658536585371</v>
      </c>
      <c r="D73" s="1">
        <v>41</v>
      </c>
      <c r="E73" s="1">
        <v>76.92307692307692</v>
      </c>
      <c r="F73" s="1">
        <v>23.07692307692308</v>
      </c>
      <c r="G73" s="1">
        <v>26</v>
      </c>
      <c r="H73" s="1">
        <v>56.25</v>
      </c>
      <c r="I73" s="1">
        <v>43.75</v>
      </c>
      <c r="J73" s="1">
        <v>16</v>
      </c>
      <c r="K73" s="1">
        <v>1</v>
      </c>
      <c r="L73" s="1">
        <v>18.545529999999989</v>
      </c>
      <c r="M73" s="1">
        <v>2.2616500000000017</v>
      </c>
      <c r="N73" s="1">
        <v>0.90466000000000002</v>
      </c>
      <c r="O73" s="1">
        <v>6.7849500000000011</v>
      </c>
      <c r="P73" s="1">
        <v>0.90466000000000002</v>
      </c>
      <c r="Q73" s="1">
        <v>7.6896099999999983</v>
      </c>
      <c r="R73" s="1">
        <v>0.45233000000000001</v>
      </c>
      <c r="S73" s="1">
        <v>0.90466000000000002</v>
      </c>
      <c r="T73" s="1">
        <v>2.7139800000000025</v>
      </c>
      <c r="U73" s="1">
        <v>2.7139800000000025</v>
      </c>
      <c r="V73" s="1">
        <v>0.90466000000000002</v>
      </c>
      <c r="W73" s="1">
        <v>0.1219512195121952</v>
      </c>
      <c r="X73" s="1">
        <v>4.8780487804878071E-2</v>
      </c>
      <c r="Y73" s="1">
        <v>0.36585365853658514</v>
      </c>
      <c r="Z73" s="1">
        <v>4.8780487804878071E-2</v>
      </c>
      <c r="AA73" s="1">
        <v>0.41463414634146323</v>
      </c>
      <c r="AB73" s="1">
        <v>2.4390243902439039E-2</v>
      </c>
      <c r="AC73" s="1">
        <v>4.8780487804878071E-2</v>
      </c>
      <c r="AD73" s="1">
        <v>0.14634146341463422</v>
      </c>
      <c r="AE73" s="1">
        <v>0.14634146341463422</v>
      </c>
      <c r="AF73" s="1">
        <v>4.8780487804878071E-2</v>
      </c>
      <c r="AG73" s="1">
        <v>1</v>
      </c>
      <c r="AH73" s="1">
        <v>41</v>
      </c>
      <c r="AI73" s="1">
        <v>1</v>
      </c>
      <c r="AJ73" s="1">
        <v>18.093200000000014</v>
      </c>
      <c r="AK73" s="1">
        <v>10.403590000000005</v>
      </c>
      <c r="AL73" s="1">
        <v>14.926889999999997</v>
      </c>
      <c r="AM73" s="1">
        <v>2.7139800000000025</v>
      </c>
      <c r="AN73" s="1">
        <v>4.0709699999999991</v>
      </c>
      <c r="AO73" s="1">
        <v>0.90466000000000002</v>
      </c>
      <c r="AP73" s="1">
        <v>0.90466000000000002</v>
      </c>
      <c r="AQ73" s="1">
        <v>0.57499999999999951</v>
      </c>
      <c r="AR73" s="1">
        <v>0.82499999999999973</v>
      </c>
      <c r="AS73" s="1">
        <v>0.15000000000000011</v>
      </c>
      <c r="AT73" s="1">
        <v>0.22499999999999981</v>
      </c>
      <c r="AU73" s="1">
        <v>5.0000000000000017E-2</v>
      </c>
      <c r="AV73" s="1">
        <v>5.0000000000000017E-2</v>
      </c>
      <c r="AW73" s="1">
        <v>1</v>
      </c>
      <c r="AX73" s="1">
        <v>40</v>
      </c>
      <c r="AY73" s="1">
        <v>9.9756097560975618</v>
      </c>
      <c r="AZ73" s="1">
        <v>10</v>
      </c>
      <c r="BA73" s="1">
        <v>9.9499999999999993</v>
      </c>
      <c r="BB73" s="1">
        <v>0</v>
      </c>
      <c r="BC73" s="1">
        <v>0</v>
      </c>
      <c r="BD73" s="1">
        <v>0</v>
      </c>
      <c r="BE73" s="1">
        <v>0</v>
      </c>
      <c r="BF73" s="1">
        <v>0</v>
      </c>
      <c r="BG73" s="1">
        <v>0</v>
      </c>
      <c r="BH73" s="1">
        <v>0</v>
      </c>
      <c r="BI73" s="1">
        <v>0</v>
      </c>
      <c r="BJ73" s="1">
        <v>2.4390243902439015</v>
      </c>
      <c r="BK73" s="1">
        <v>97.560975609756056</v>
      </c>
      <c r="BL73" s="1">
        <v>9.9756097560975689</v>
      </c>
      <c r="BM73" s="1">
        <v>41</v>
      </c>
      <c r="BN73" s="1">
        <v>0</v>
      </c>
      <c r="BO73" s="1">
        <v>0</v>
      </c>
      <c r="BP73" s="1">
        <v>0</v>
      </c>
      <c r="BQ73" s="1">
        <v>0</v>
      </c>
      <c r="BR73" s="1">
        <v>0</v>
      </c>
      <c r="BS73" s="1">
        <v>0</v>
      </c>
      <c r="BT73" s="1">
        <v>0</v>
      </c>
      <c r="BU73" s="1">
        <v>0</v>
      </c>
      <c r="BV73" s="1">
        <v>0</v>
      </c>
      <c r="BW73" s="1">
        <v>100</v>
      </c>
      <c r="BX73" s="1">
        <v>10.000000000000002</v>
      </c>
      <c r="BY73" s="1">
        <v>41</v>
      </c>
      <c r="BZ73" s="1">
        <v>0</v>
      </c>
      <c r="CA73" s="1">
        <v>0</v>
      </c>
      <c r="CB73" s="1">
        <v>0</v>
      </c>
      <c r="CC73" s="1">
        <v>0</v>
      </c>
      <c r="CD73" s="1">
        <v>0</v>
      </c>
      <c r="CE73" s="1">
        <v>0</v>
      </c>
      <c r="CF73" s="1">
        <v>0</v>
      </c>
      <c r="CG73" s="1">
        <v>0</v>
      </c>
      <c r="CH73" s="1">
        <v>5.0000000000000009</v>
      </c>
      <c r="CI73" s="1">
        <v>95</v>
      </c>
      <c r="CJ73" s="1">
        <v>9.9500000000000028</v>
      </c>
      <c r="CK73" s="1">
        <v>40</v>
      </c>
      <c r="CL73" s="1">
        <v>62.499999999999986</v>
      </c>
      <c r="CM73" s="1">
        <v>29.999999999999993</v>
      </c>
      <c r="CN73" s="1">
        <v>0</v>
      </c>
      <c r="CO73" s="1">
        <v>7.5000000000000018</v>
      </c>
      <c r="CP73" s="1">
        <v>0</v>
      </c>
      <c r="CQ73" s="1">
        <v>40</v>
      </c>
      <c r="CR73" s="1">
        <v>84.615384615384656</v>
      </c>
      <c r="CS73" s="1">
        <v>15.384615384615369</v>
      </c>
      <c r="CT73" s="1">
        <v>0</v>
      </c>
      <c r="CU73" s="1">
        <v>0</v>
      </c>
      <c r="CV73" s="1">
        <v>0</v>
      </c>
      <c r="CW73" s="1">
        <v>39</v>
      </c>
      <c r="CX73" s="1">
        <v>90.243902439024296</v>
      </c>
      <c r="CY73" s="1">
        <v>9.756097560975606</v>
      </c>
      <c r="CZ73" s="1">
        <v>0</v>
      </c>
      <c r="DA73" s="1">
        <v>0</v>
      </c>
      <c r="DB73" s="1">
        <v>0</v>
      </c>
      <c r="DC73" s="1">
        <v>41</v>
      </c>
      <c r="DD73" s="1">
        <v>95.121951219512113</v>
      </c>
      <c r="DE73" s="1">
        <v>4.878048780487803</v>
      </c>
      <c r="DF73" s="1">
        <v>0</v>
      </c>
      <c r="DG73" s="1">
        <v>0</v>
      </c>
      <c r="DH73" s="1">
        <v>0</v>
      </c>
      <c r="DI73" s="1">
        <v>41</v>
      </c>
      <c r="DJ73" s="1">
        <v>86.486486486486555</v>
      </c>
      <c r="DK73" s="1">
        <v>13.513513513513505</v>
      </c>
      <c r="DL73" s="1">
        <v>0</v>
      </c>
      <c r="DM73" s="1">
        <v>0</v>
      </c>
      <c r="DN73" s="1">
        <v>0</v>
      </c>
      <c r="DO73" s="1">
        <v>37</v>
      </c>
      <c r="DP73" s="1">
        <v>95.121951219512113</v>
      </c>
      <c r="DQ73" s="1">
        <v>4.878048780487803</v>
      </c>
      <c r="DR73" s="1">
        <v>0</v>
      </c>
      <c r="DS73" s="1">
        <v>0</v>
      </c>
      <c r="DT73" s="1">
        <v>0</v>
      </c>
      <c r="DU73" s="1">
        <v>41</v>
      </c>
      <c r="DV73" s="1">
        <v>100</v>
      </c>
      <c r="DW73" s="1">
        <v>0</v>
      </c>
      <c r="DX73" s="1">
        <v>0</v>
      </c>
      <c r="DY73" s="1">
        <v>0</v>
      </c>
      <c r="DZ73" s="1">
        <v>0</v>
      </c>
      <c r="EA73" s="1">
        <v>28</v>
      </c>
      <c r="EB73" s="1">
        <v>66.666666666666643</v>
      </c>
      <c r="EC73" s="1">
        <v>26.666666666666661</v>
      </c>
      <c r="ED73" s="1">
        <v>6.6666666666666652</v>
      </c>
      <c r="EE73" s="1">
        <v>0</v>
      </c>
      <c r="EF73" s="1">
        <v>0</v>
      </c>
      <c r="EG73" s="1">
        <v>15</v>
      </c>
      <c r="EH73" s="1">
        <v>54.545454545454518</v>
      </c>
      <c r="EI73" s="1">
        <v>27.272727272727259</v>
      </c>
      <c r="EJ73" s="1">
        <v>18.181818181818169</v>
      </c>
      <c r="EK73" s="1">
        <v>0</v>
      </c>
      <c r="EL73" s="1">
        <v>0</v>
      </c>
      <c r="EM73" s="1">
        <v>11</v>
      </c>
      <c r="EN73" s="1">
        <v>61.538461538461476</v>
      </c>
      <c r="EO73" s="1">
        <v>30.769230769230738</v>
      </c>
      <c r="EP73" s="1">
        <v>7.6923076923076845</v>
      </c>
      <c r="EQ73" s="1">
        <v>0</v>
      </c>
      <c r="ER73" s="1">
        <v>0</v>
      </c>
      <c r="ES73" s="1">
        <v>13</v>
      </c>
      <c r="ET73" s="1">
        <v>83.333333333333371</v>
      </c>
      <c r="EU73" s="1">
        <v>16.666666666666661</v>
      </c>
      <c r="EV73" s="1">
        <v>0</v>
      </c>
      <c r="EW73" s="1">
        <v>0</v>
      </c>
      <c r="EX73" s="1">
        <v>0</v>
      </c>
      <c r="EY73" s="1">
        <v>12</v>
      </c>
      <c r="EZ73" s="1">
        <v>75</v>
      </c>
      <c r="FA73" s="1">
        <v>12.500000000000004</v>
      </c>
      <c r="FB73" s="1">
        <v>12.500000000000004</v>
      </c>
      <c r="FC73" s="1">
        <v>0</v>
      </c>
      <c r="FD73" s="1">
        <v>0</v>
      </c>
      <c r="FE73" s="1">
        <v>8</v>
      </c>
      <c r="FF73" s="1">
        <v>85.714285714285751</v>
      </c>
      <c r="FG73" s="1">
        <v>0</v>
      </c>
      <c r="FH73" s="1">
        <v>14.285714285714286</v>
      </c>
      <c r="FI73" s="1">
        <v>0</v>
      </c>
      <c r="FJ73" s="1">
        <v>0</v>
      </c>
      <c r="FK73" s="1">
        <v>7</v>
      </c>
      <c r="FL73" s="1">
        <v>100</v>
      </c>
      <c r="FM73" s="1">
        <v>0</v>
      </c>
      <c r="FN73" s="1">
        <v>0</v>
      </c>
      <c r="FO73" s="1">
        <v>0</v>
      </c>
      <c r="FP73" s="1">
        <v>0</v>
      </c>
      <c r="FQ73" s="1">
        <v>13</v>
      </c>
      <c r="FR73" s="1">
        <v>87.5</v>
      </c>
      <c r="FS73" s="1">
        <v>12.500000000000004</v>
      </c>
      <c r="FT73" s="1">
        <v>0</v>
      </c>
      <c r="FU73" s="1">
        <v>0</v>
      </c>
      <c r="FV73" s="1">
        <v>0</v>
      </c>
      <c r="FW73" s="1">
        <v>8</v>
      </c>
      <c r="FX73" s="1">
        <v>95.121951219512113</v>
      </c>
      <c r="FY73" s="1">
        <v>4.878048780487803</v>
      </c>
      <c r="FZ73" s="1">
        <v>0</v>
      </c>
      <c r="GA73" s="1">
        <v>0</v>
      </c>
      <c r="GB73" s="1">
        <v>0</v>
      </c>
      <c r="GC73" s="1">
        <v>41</v>
      </c>
      <c r="GD73" s="1">
        <v>82.608695652173964</v>
      </c>
      <c r="GE73" s="1">
        <v>17.39130434782609</v>
      </c>
      <c r="GF73" s="1">
        <v>0</v>
      </c>
      <c r="GG73" s="1">
        <v>0</v>
      </c>
      <c r="GH73" s="1">
        <v>0</v>
      </c>
      <c r="GI73" s="1">
        <v>23</v>
      </c>
      <c r="GJ73" s="1">
        <v>76.923076923076991</v>
      </c>
      <c r="GK73" s="1">
        <v>23.076923076923087</v>
      </c>
      <c r="GL73" s="1">
        <v>0</v>
      </c>
      <c r="GM73" s="1">
        <v>0</v>
      </c>
      <c r="GN73" s="1">
        <v>0</v>
      </c>
      <c r="GO73" s="1">
        <v>26</v>
      </c>
      <c r="GP73" s="1">
        <v>82.608695652173964</v>
      </c>
      <c r="GQ73" s="1">
        <v>17.39130434782609</v>
      </c>
      <c r="GR73" s="1">
        <v>0</v>
      </c>
      <c r="GS73" s="1">
        <v>0</v>
      </c>
      <c r="GT73" s="1">
        <v>0</v>
      </c>
      <c r="GU73" s="1">
        <v>23</v>
      </c>
      <c r="GV73" s="1">
        <v>90</v>
      </c>
      <c r="GW73" s="1">
        <v>10.000000000000002</v>
      </c>
      <c r="GX73" s="1">
        <v>0</v>
      </c>
      <c r="GY73" s="1">
        <v>0</v>
      </c>
      <c r="GZ73" s="1">
        <v>0</v>
      </c>
      <c r="HA73" s="1">
        <v>20</v>
      </c>
      <c r="HB73" s="1">
        <v>90</v>
      </c>
      <c r="HC73" s="1">
        <v>10.000000000000002</v>
      </c>
      <c r="HD73" s="1">
        <v>0</v>
      </c>
      <c r="HE73" s="1">
        <v>0</v>
      </c>
      <c r="HF73" s="1">
        <v>0</v>
      </c>
      <c r="HG73" s="1">
        <v>20</v>
      </c>
      <c r="HH73" s="1">
        <v>81.818181818181856</v>
      </c>
      <c r="HI73" s="1">
        <v>18.181818181818169</v>
      </c>
      <c r="HJ73" s="1">
        <v>0</v>
      </c>
      <c r="HK73" s="1">
        <v>0</v>
      </c>
      <c r="HL73" s="1">
        <v>0</v>
      </c>
      <c r="HM73" s="1">
        <v>11</v>
      </c>
      <c r="HN73" s="1">
        <v>100</v>
      </c>
      <c r="HO73" s="1">
        <v>0</v>
      </c>
      <c r="HP73" s="1">
        <v>0</v>
      </c>
      <c r="HQ73" s="1">
        <v>0</v>
      </c>
      <c r="HR73" s="1">
        <v>0</v>
      </c>
      <c r="HS73" s="1">
        <v>24</v>
      </c>
      <c r="HT73" s="1">
        <v>87.5</v>
      </c>
      <c r="HU73" s="1">
        <v>6.2500000000000018</v>
      </c>
      <c r="HV73" s="1">
        <v>6.2500000000000018</v>
      </c>
      <c r="HW73" s="1">
        <v>0</v>
      </c>
      <c r="HX73" s="1">
        <v>0</v>
      </c>
      <c r="HY73" s="1">
        <v>16</v>
      </c>
      <c r="HZ73" s="1">
        <v>90</v>
      </c>
      <c r="IA73" s="1">
        <v>0</v>
      </c>
      <c r="IB73" s="1">
        <v>10.000000000000002</v>
      </c>
      <c r="IC73" s="1">
        <v>0</v>
      </c>
      <c r="ID73" s="1">
        <v>0</v>
      </c>
      <c r="IE73" s="1">
        <v>10</v>
      </c>
      <c r="IF73" s="1">
        <v>9.7560975609756095</v>
      </c>
      <c r="IG73" s="1">
        <v>0</v>
      </c>
      <c r="IH73" s="1">
        <v>0</v>
      </c>
      <c r="II73" s="1">
        <v>0</v>
      </c>
      <c r="IJ73" s="1">
        <v>0</v>
      </c>
      <c r="IK73" s="1">
        <v>0</v>
      </c>
      <c r="IL73" s="1">
        <v>0</v>
      </c>
      <c r="IM73" s="1">
        <v>0</v>
      </c>
      <c r="IN73" s="1">
        <v>4.878048780487803</v>
      </c>
      <c r="IO73" s="1">
        <v>14.63414634146341</v>
      </c>
      <c r="IP73" s="1">
        <v>80.487804878048777</v>
      </c>
      <c r="IQ73" s="1">
        <v>9.7560975609756078</v>
      </c>
      <c r="IR73" s="1">
        <v>41</v>
      </c>
      <c r="IS73" s="1">
        <v>87.499999999999986</v>
      </c>
      <c r="IT73" s="1">
        <v>10.000000000000002</v>
      </c>
      <c r="IU73" s="1">
        <v>2.5000000000000004</v>
      </c>
      <c r="IV73" s="1">
        <v>0</v>
      </c>
      <c r="IW73" s="1">
        <v>0</v>
      </c>
      <c r="IX73" s="1">
        <v>40</v>
      </c>
      <c r="IY73" s="1">
        <v>1</v>
      </c>
      <c r="IZ73" s="1">
        <v>18.093200000000014</v>
      </c>
      <c r="JA73" s="1">
        <v>7.6896099999999983</v>
      </c>
      <c r="JB73" s="1">
        <v>8.1419399999999982</v>
      </c>
      <c r="JC73" s="1">
        <v>1.80932</v>
      </c>
      <c r="JD73" s="1">
        <v>2.7139800000000025</v>
      </c>
      <c r="JE73" s="1">
        <v>0.42500000000000027</v>
      </c>
      <c r="JF73" s="1">
        <v>0.44999999999999962</v>
      </c>
      <c r="JG73" s="1">
        <v>0.10000000000000003</v>
      </c>
      <c r="JH73" s="1">
        <v>0.15000000000000011</v>
      </c>
      <c r="JI73" s="1">
        <v>1</v>
      </c>
      <c r="JJ73" s="1">
        <v>40</v>
      </c>
      <c r="JK73" s="1">
        <v>2.6666666666666665</v>
      </c>
      <c r="JL73" s="1">
        <v>2.6666666666666679</v>
      </c>
      <c r="JM73" s="1">
        <v>39</v>
      </c>
      <c r="JN73" s="1">
        <v>75</v>
      </c>
      <c r="JO73" s="1">
        <v>25.000000000000007</v>
      </c>
      <c r="JP73" s="1">
        <v>16</v>
      </c>
      <c r="JQ73" s="1">
        <v>96</v>
      </c>
      <c r="JR73" s="1">
        <v>4.0000000000000009</v>
      </c>
      <c r="JS73" s="1">
        <v>25</v>
      </c>
      <c r="JT73" s="1">
        <v>84.375</v>
      </c>
      <c r="JU73" s="1">
        <v>15.625000000000004</v>
      </c>
      <c r="JV73" s="1">
        <v>32</v>
      </c>
      <c r="JW73" s="1">
        <v>87.5</v>
      </c>
      <c r="JX73" s="1">
        <v>12.500000000000004</v>
      </c>
      <c r="JY73" s="1">
        <v>24</v>
      </c>
      <c r="JZ73" s="1">
        <v>46.34146341463412</v>
      </c>
      <c r="KA73" s="1">
        <v>53.658536585365873</v>
      </c>
      <c r="KB73" s="1">
        <v>41</v>
      </c>
      <c r="KC73" s="1">
        <v>100</v>
      </c>
      <c r="KD73" s="1">
        <v>0</v>
      </c>
      <c r="KE73" s="1">
        <v>38</v>
      </c>
      <c r="KF73" s="1">
        <v>3.3076923076923075</v>
      </c>
      <c r="KG73" s="1">
        <v>5.1282051282051313</v>
      </c>
      <c r="KH73" s="1">
        <v>17.948717948717938</v>
      </c>
      <c r="KI73" s="1">
        <v>30.769230769230738</v>
      </c>
      <c r="KJ73" s="1">
        <v>33.333333333333321</v>
      </c>
      <c r="KK73" s="1">
        <v>12.820512820512821</v>
      </c>
      <c r="KL73" s="1">
        <v>39</v>
      </c>
      <c r="KM73" s="1">
        <v>58.717948717948715</v>
      </c>
      <c r="KN73" s="1">
        <v>84.5</v>
      </c>
      <c r="KO73" s="1">
        <v>0</v>
      </c>
      <c r="KP73" s="1">
        <v>0</v>
      </c>
      <c r="KQ73" s="1">
        <v>50</v>
      </c>
      <c r="KR73" s="1">
        <v>0</v>
      </c>
      <c r="KS73" s="1">
        <v>50</v>
      </c>
      <c r="KT73" s="1">
        <v>2</v>
      </c>
      <c r="KU73" s="1">
        <v>0</v>
      </c>
      <c r="KV73" s="1">
        <v>0</v>
      </c>
      <c r="KW73" s="1">
        <v>0</v>
      </c>
      <c r="KX73" s="1">
        <v>100</v>
      </c>
      <c r="KY73" s="1">
        <v>0</v>
      </c>
      <c r="KZ73" s="1">
        <v>36</v>
      </c>
      <c r="LA73" s="1">
        <v>16.216216216216218</v>
      </c>
      <c r="LB73" s="1">
        <v>83.783783783783761</v>
      </c>
      <c r="LC73" s="1">
        <v>37</v>
      </c>
      <c r="LD73" s="1">
        <v>0</v>
      </c>
      <c r="LE73" s="1">
        <v>0</v>
      </c>
      <c r="LF73" s="1">
        <v>100</v>
      </c>
      <c r="LG73" s="1">
        <v>6</v>
      </c>
    </row>
    <row r="74" spans="1:319" x14ac:dyDescent="0.25">
      <c r="A74" s="1">
        <v>222</v>
      </c>
      <c r="B74" s="1">
        <v>35.714285714285715</v>
      </c>
      <c r="C74" s="1">
        <v>64.285714285714249</v>
      </c>
      <c r="D74" s="1">
        <v>14</v>
      </c>
      <c r="E74" s="1">
        <v>88.8888888888889</v>
      </c>
      <c r="F74" s="1">
        <v>11.111111111111112</v>
      </c>
      <c r="G74" s="1">
        <v>9</v>
      </c>
      <c r="H74" s="1">
        <v>75</v>
      </c>
      <c r="I74" s="1">
        <v>25.000000000000004</v>
      </c>
      <c r="J74" s="1">
        <v>8</v>
      </c>
      <c r="K74" s="1">
        <v>1</v>
      </c>
      <c r="L74" s="1">
        <v>33.640460000000004</v>
      </c>
      <c r="M74" s="1">
        <v>19.223119999999998</v>
      </c>
      <c r="N74" s="1">
        <v>2.4028899999999997</v>
      </c>
      <c r="O74" s="1">
        <v>2.4028899999999997</v>
      </c>
      <c r="P74" s="1">
        <v>0</v>
      </c>
      <c r="Q74" s="1">
        <v>14.417339999999998</v>
      </c>
      <c r="R74" s="1">
        <v>4.8057799999999995</v>
      </c>
      <c r="S74" s="1">
        <v>0</v>
      </c>
      <c r="T74" s="1">
        <v>9.611559999999999</v>
      </c>
      <c r="U74" s="1">
        <v>14.417339999999998</v>
      </c>
      <c r="V74" s="1">
        <v>0</v>
      </c>
      <c r="W74" s="1">
        <v>0.57142857142857129</v>
      </c>
      <c r="X74" s="1">
        <v>7.1428571428571425E-2</v>
      </c>
      <c r="Y74" s="1">
        <v>7.1428571428571425E-2</v>
      </c>
      <c r="Z74" s="1">
        <v>0</v>
      </c>
      <c r="AA74" s="1">
        <v>0.42857142857142877</v>
      </c>
      <c r="AB74" s="1">
        <v>0.14285714285714285</v>
      </c>
      <c r="AC74" s="1">
        <v>0</v>
      </c>
      <c r="AD74" s="1">
        <v>0.2857142857142857</v>
      </c>
      <c r="AE74" s="1">
        <v>0.42857142857142877</v>
      </c>
      <c r="AF74" s="1">
        <v>0</v>
      </c>
      <c r="AG74" s="1">
        <v>1</v>
      </c>
      <c r="AH74" s="1">
        <v>14</v>
      </c>
      <c r="AI74" s="1">
        <v>1</v>
      </c>
      <c r="AJ74" s="1">
        <v>31.237570000000002</v>
      </c>
      <c r="AK74" s="1">
        <v>19.223119999999998</v>
      </c>
      <c r="AL74" s="1">
        <v>16.820230000000002</v>
      </c>
      <c r="AM74" s="1">
        <v>12.01445</v>
      </c>
      <c r="AN74" s="1">
        <v>16.820230000000002</v>
      </c>
      <c r="AO74" s="1">
        <v>7.2086699999999988</v>
      </c>
      <c r="AP74" s="1">
        <v>4.8057799999999995</v>
      </c>
      <c r="AQ74" s="1">
        <v>0.6153846153846152</v>
      </c>
      <c r="AR74" s="1">
        <v>0.53846153846153844</v>
      </c>
      <c r="AS74" s="1">
        <v>0.38461538461538469</v>
      </c>
      <c r="AT74" s="1">
        <v>0.53846153846153844</v>
      </c>
      <c r="AU74" s="1">
        <v>0.23076923076923084</v>
      </c>
      <c r="AV74" s="1">
        <v>0.15384615384615391</v>
      </c>
      <c r="AW74" s="1">
        <v>1</v>
      </c>
      <c r="AX74" s="1">
        <v>13</v>
      </c>
      <c r="AY74" s="1">
        <v>10</v>
      </c>
      <c r="AZ74" s="1">
        <v>10</v>
      </c>
      <c r="BA74" s="1">
        <v>10</v>
      </c>
      <c r="BB74" s="1">
        <v>0</v>
      </c>
      <c r="BC74" s="1">
        <v>0</v>
      </c>
      <c r="BD74" s="1">
        <v>0</v>
      </c>
      <c r="BE74" s="1">
        <v>0</v>
      </c>
      <c r="BF74" s="1">
        <v>0</v>
      </c>
      <c r="BG74" s="1">
        <v>0</v>
      </c>
      <c r="BH74" s="1">
        <v>0</v>
      </c>
      <c r="BI74" s="1">
        <v>0</v>
      </c>
      <c r="BJ74" s="1">
        <v>0</v>
      </c>
      <c r="BK74" s="1">
        <v>100</v>
      </c>
      <c r="BL74" s="1">
        <v>10.000000000000002</v>
      </c>
      <c r="BM74" s="1">
        <v>14</v>
      </c>
      <c r="BN74" s="1">
        <v>0</v>
      </c>
      <c r="BO74" s="1">
        <v>0</v>
      </c>
      <c r="BP74" s="1">
        <v>0</v>
      </c>
      <c r="BQ74" s="1">
        <v>0</v>
      </c>
      <c r="BR74" s="1">
        <v>0</v>
      </c>
      <c r="BS74" s="1">
        <v>0</v>
      </c>
      <c r="BT74" s="1">
        <v>0</v>
      </c>
      <c r="BU74" s="1">
        <v>0</v>
      </c>
      <c r="BV74" s="1">
        <v>0</v>
      </c>
      <c r="BW74" s="1">
        <v>100</v>
      </c>
      <c r="BX74" s="1">
        <v>10.000000000000002</v>
      </c>
      <c r="BY74" s="1">
        <v>14</v>
      </c>
      <c r="BZ74" s="1">
        <v>0</v>
      </c>
      <c r="CA74" s="1">
        <v>0</v>
      </c>
      <c r="CB74" s="1">
        <v>0</v>
      </c>
      <c r="CC74" s="1">
        <v>0</v>
      </c>
      <c r="CD74" s="1">
        <v>0</v>
      </c>
      <c r="CE74" s="1">
        <v>0</v>
      </c>
      <c r="CF74" s="1">
        <v>0</v>
      </c>
      <c r="CG74" s="1">
        <v>0</v>
      </c>
      <c r="CH74" s="1">
        <v>0</v>
      </c>
      <c r="CI74" s="1">
        <v>100</v>
      </c>
      <c r="CJ74" s="1">
        <v>10.000000000000002</v>
      </c>
      <c r="CK74" s="1">
        <v>14</v>
      </c>
      <c r="CL74" s="1">
        <v>53.846153846153847</v>
      </c>
      <c r="CM74" s="1">
        <v>38.46153846153846</v>
      </c>
      <c r="CN74" s="1">
        <v>0</v>
      </c>
      <c r="CO74" s="1">
        <v>7.6923076923076943</v>
      </c>
      <c r="CP74" s="1">
        <v>0</v>
      </c>
      <c r="CQ74" s="1">
        <v>13</v>
      </c>
      <c r="CR74" s="1">
        <v>76.92307692307692</v>
      </c>
      <c r="CS74" s="1">
        <v>15.384615384615389</v>
      </c>
      <c r="CT74" s="1">
        <v>0</v>
      </c>
      <c r="CU74" s="1">
        <v>7.6923076923076943</v>
      </c>
      <c r="CV74" s="1">
        <v>0</v>
      </c>
      <c r="CW74" s="1">
        <v>13</v>
      </c>
      <c r="CX74" s="1">
        <v>71.428571428571431</v>
      </c>
      <c r="CY74" s="1">
        <v>28.571428571428573</v>
      </c>
      <c r="CZ74" s="1">
        <v>0</v>
      </c>
      <c r="DA74" s="1">
        <v>0</v>
      </c>
      <c r="DB74" s="1">
        <v>0</v>
      </c>
      <c r="DC74" s="1">
        <v>14</v>
      </c>
      <c r="DD74" s="1">
        <v>57.142857142857132</v>
      </c>
      <c r="DE74" s="1">
        <v>42.857142857142875</v>
      </c>
      <c r="DF74" s="1">
        <v>0</v>
      </c>
      <c r="DG74" s="1">
        <v>0</v>
      </c>
      <c r="DH74" s="1">
        <v>0</v>
      </c>
      <c r="DI74" s="1">
        <v>14</v>
      </c>
      <c r="DJ74" s="1">
        <v>55.55555555555555</v>
      </c>
      <c r="DK74" s="1">
        <v>44.44444444444445</v>
      </c>
      <c r="DL74" s="1">
        <v>0</v>
      </c>
      <c r="DM74" s="1">
        <v>0</v>
      </c>
      <c r="DN74" s="1">
        <v>0</v>
      </c>
      <c r="DO74" s="1">
        <v>9</v>
      </c>
      <c r="DP74" s="1">
        <v>71.428571428571431</v>
      </c>
      <c r="DQ74" s="1">
        <v>28.571428571428573</v>
      </c>
      <c r="DR74" s="1">
        <v>0</v>
      </c>
      <c r="DS74" s="1">
        <v>0</v>
      </c>
      <c r="DT74" s="1">
        <v>0</v>
      </c>
      <c r="DU74" s="1">
        <v>14</v>
      </c>
      <c r="DV74" s="1">
        <v>88.8888888888889</v>
      </c>
      <c r="DW74" s="1">
        <v>11.111111111111112</v>
      </c>
      <c r="DX74" s="1">
        <v>0</v>
      </c>
      <c r="DY74" s="1">
        <v>0</v>
      </c>
      <c r="DZ74" s="1">
        <v>0</v>
      </c>
      <c r="EA74" s="1">
        <v>9</v>
      </c>
      <c r="EB74" s="1">
        <v>80</v>
      </c>
      <c r="EC74" s="1">
        <v>0</v>
      </c>
      <c r="ED74" s="1">
        <v>20</v>
      </c>
      <c r="EE74" s="1">
        <v>0</v>
      </c>
      <c r="EF74" s="1">
        <v>0</v>
      </c>
      <c r="EG74" s="1">
        <v>5</v>
      </c>
      <c r="EH74" s="1">
        <v>80</v>
      </c>
      <c r="EI74" s="1">
        <v>0</v>
      </c>
      <c r="EJ74" s="1">
        <v>20</v>
      </c>
      <c r="EK74" s="1">
        <v>0</v>
      </c>
      <c r="EL74" s="1">
        <v>0</v>
      </c>
      <c r="EM74" s="1">
        <v>5</v>
      </c>
      <c r="EN74" s="1">
        <v>45.454545454545453</v>
      </c>
      <c r="EO74" s="1">
        <v>27.272727272727277</v>
      </c>
      <c r="EP74" s="1">
        <v>18.181818181818187</v>
      </c>
      <c r="EQ74" s="1">
        <v>9.0909090909090935</v>
      </c>
      <c r="ER74" s="1">
        <v>0</v>
      </c>
      <c r="ES74" s="1">
        <v>11</v>
      </c>
      <c r="ET74" s="1">
        <v>54.54545454545454</v>
      </c>
      <c r="EU74" s="1">
        <v>9.0909090909090935</v>
      </c>
      <c r="EV74" s="1">
        <v>27.272727272727277</v>
      </c>
      <c r="EW74" s="1">
        <v>9.0909090909090935</v>
      </c>
      <c r="EX74" s="1">
        <v>0</v>
      </c>
      <c r="EY74" s="1">
        <v>11</v>
      </c>
      <c r="EZ74" s="1">
        <v>66.666666666666657</v>
      </c>
      <c r="FA74" s="1">
        <v>11.111111111111112</v>
      </c>
      <c r="FB74" s="1">
        <v>22.222222222222225</v>
      </c>
      <c r="FC74" s="1">
        <v>0</v>
      </c>
      <c r="FD74" s="1">
        <v>0</v>
      </c>
      <c r="FE74" s="1">
        <v>9</v>
      </c>
      <c r="FF74" s="1">
        <v>66.666666666666657</v>
      </c>
      <c r="FG74" s="1">
        <v>22.222222222222225</v>
      </c>
      <c r="FH74" s="1">
        <v>11.111111111111112</v>
      </c>
      <c r="FI74" s="1">
        <v>0</v>
      </c>
      <c r="FJ74" s="1">
        <v>0</v>
      </c>
      <c r="FK74" s="1">
        <v>9</v>
      </c>
      <c r="FL74" s="1">
        <v>75</v>
      </c>
      <c r="FM74" s="1">
        <v>25.000000000000004</v>
      </c>
      <c r="FN74" s="1">
        <v>0</v>
      </c>
      <c r="FO74" s="1">
        <v>0</v>
      </c>
      <c r="FP74" s="1">
        <v>0</v>
      </c>
      <c r="FQ74" s="1">
        <v>8</v>
      </c>
      <c r="FR74" s="1">
        <v>83.333333333333343</v>
      </c>
      <c r="FS74" s="1">
        <v>16.666666666666664</v>
      </c>
      <c r="FT74" s="1">
        <v>0</v>
      </c>
      <c r="FU74" s="1">
        <v>0</v>
      </c>
      <c r="FV74" s="1">
        <v>0</v>
      </c>
      <c r="FW74" s="1">
        <v>6</v>
      </c>
      <c r="FX74" s="1">
        <v>100</v>
      </c>
      <c r="FY74" s="1">
        <v>0</v>
      </c>
      <c r="FZ74" s="1">
        <v>0</v>
      </c>
      <c r="GA74" s="1">
        <v>0</v>
      </c>
      <c r="GB74" s="1">
        <v>0</v>
      </c>
      <c r="GC74" s="1">
        <v>13</v>
      </c>
      <c r="GD74" s="1">
        <v>72.727272727272734</v>
      </c>
      <c r="GE74" s="1">
        <v>27.272727272727277</v>
      </c>
      <c r="GF74" s="1">
        <v>0</v>
      </c>
      <c r="GG74" s="1">
        <v>0</v>
      </c>
      <c r="GH74" s="1">
        <v>0</v>
      </c>
      <c r="GI74" s="1">
        <v>11</v>
      </c>
      <c r="GJ74" s="1">
        <v>72.727272727272734</v>
      </c>
      <c r="GK74" s="1">
        <v>27.272727272727277</v>
      </c>
      <c r="GL74" s="1">
        <v>0</v>
      </c>
      <c r="GM74" s="1">
        <v>0</v>
      </c>
      <c r="GN74" s="1">
        <v>0</v>
      </c>
      <c r="GO74" s="1">
        <v>11</v>
      </c>
      <c r="GP74" s="1">
        <v>69.230769230769255</v>
      </c>
      <c r="GQ74" s="1">
        <v>30.769230769230777</v>
      </c>
      <c r="GR74" s="1">
        <v>0</v>
      </c>
      <c r="GS74" s="1">
        <v>0</v>
      </c>
      <c r="GT74" s="1">
        <v>0</v>
      </c>
      <c r="GU74" s="1">
        <v>13</v>
      </c>
      <c r="GV74" s="1">
        <v>76.92307692307692</v>
      </c>
      <c r="GW74" s="1">
        <v>23.076923076923091</v>
      </c>
      <c r="GX74" s="1">
        <v>0</v>
      </c>
      <c r="GY74" s="1">
        <v>0</v>
      </c>
      <c r="GZ74" s="1">
        <v>0</v>
      </c>
      <c r="HA74" s="1">
        <v>13</v>
      </c>
      <c r="HB74" s="1">
        <v>100</v>
      </c>
      <c r="HC74" s="1">
        <v>0</v>
      </c>
      <c r="HD74" s="1">
        <v>0</v>
      </c>
      <c r="HE74" s="1">
        <v>0</v>
      </c>
      <c r="HF74" s="1">
        <v>0</v>
      </c>
      <c r="HG74" s="1">
        <v>2</v>
      </c>
      <c r="HH74" s="1">
        <v>85.714285714285751</v>
      </c>
      <c r="HI74" s="1">
        <v>14.285714285714286</v>
      </c>
      <c r="HJ74" s="1">
        <v>0</v>
      </c>
      <c r="HK74" s="1">
        <v>0</v>
      </c>
      <c r="HL74" s="1">
        <v>0</v>
      </c>
      <c r="HM74" s="1">
        <v>7</v>
      </c>
      <c r="HN74" s="1">
        <v>100</v>
      </c>
      <c r="HO74" s="1">
        <v>0</v>
      </c>
      <c r="HP74" s="1">
        <v>0</v>
      </c>
      <c r="HQ74" s="1">
        <v>0</v>
      </c>
      <c r="HR74" s="1">
        <v>0</v>
      </c>
      <c r="HS74" s="1">
        <v>7</v>
      </c>
      <c r="HT74" s="1">
        <v>83.333333333333343</v>
      </c>
      <c r="HU74" s="1">
        <v>0</v>
      </c>
      <c r="HV74" s="1">
        <v>16.666666666666664</v>
      </c>
      <c r="HW74" s="1">
        <v>0</v>
      </c>
      <c r="HX74" s="1">
        <v>0</v>
      </c>
      <c r="HY74" s="1">
        <v>6</v>
      </c>
      <c r="HZ74" s="1">
        <v>83.333333333333343</v>
      </c>
      <c r="IA74" s="1">
        <v>0</v>
      </c>
      <c r="IB74" s="1">
        <v>16.666666666666664</v>
      </c>
      <c r="IC74" s="1">
        <v>0</v>
      </c>
      <c r="ID74" s="1">
        <v>0</v>
      </c>
      <c r="IE74" s="1">
        <v>6</v>
      </c>
      <c r="IF74" s="1">
        <v>9.5833333333333339</v>
      </c>
      <c r="IG74" s="1">
        <v>0</v>
      </c>
      <c r="IH74" s="1">
        <v>0</v>
      </c>
      <c r="II74" s="1">
        <v>0</v>
      </c>
      <c r="IJ74" s="1">
        <v>0</v>
      </c>
      <c r="IK74" s="1">
        <v>0</v>
      </c>
      <c r="IL74" s="1">
        <v>0</v>
      </c>
      <c r="IM74" s="1">
        <v>0</v>
      </c>
      <c r="IN74" s="1">
        <v>16.666666666666679</v>
      </c>
      <c r="IO74" s="1">
        <v>8.3333333333333393</v>
      </c>
      <c r="IP74" s="1">
        <v>75</v>
      </c>
      <c r="IQ74" s="1">
        <v>9.5833333333333321</v>
      </c>
      <c r="IR74" s="1">
        <v>12</v>
      </c>
      <c r="IS74" s="1">
        <v>15.384615384615389</v>
      </c>
      <c r="IT74" s="1">
        <v>38.46153846153846</v>
      </c>
      <c r="IU74" s="1">
        <v>46.153846153846175</v>
      </c>
      <c r="IV74" s="1">
        <v>0</v>
      </c>
      <c r="IW74" s="1">
        <v>0</v>
      </c>
      <c r="IX74" s="1">
        <v>13</v>
      </c>
      <c r="IY74" s="1">
        <v>1</v>
      </c>
      <c r="IZ74" s="1">
        <v>26.431789999999996</v>
      </c>
      <c r="JA74" s="1">
        <v>14.417339999999998</v>
      </c>
      <c r="JB74" s="1">
        <v>7.2086699999999988</v>
      </c>
      <c r="JC74" s="1">
        <v>2.4028899999999997</v>
      </c>
      <c r="JD74" s="1">
        <v>2.4028899999999997</v>
      </c>
      <c r="JE74" s="1">
        <v>0.54545454545454564</v>
      </c>
      <c r="JF74" s="1">
        <v>0.27272727272727287</v>
      </c>
      <c r="JG74" s="1">
        <v>9.0909090909090912E-2</v>
      </c>
      <c r="JH74" s="1">
        <v>9.0909090909090912E-2</v>
      </c>
      <c r="JI74" s="1">
        <v>1</v>
      </c>
      <c r="JJ74" s="1">
        <v>11</v>
      </c>
      <c r="JK74" s="1">
        <v>2.3571428571428572</v>
      </c>
      <c r="JL74" s="1">
        <v>2.3571428571428572</v>
      </c>
      <c r="JM74" s="1">
        <v>14</v>
      </c>
      <c r="JN74" s="1">
        <v>100</v>
      </c>
      <c r="JO74" s="1">
        <v>0</v>
      </c>
      <c r="JP74" s="1">
        <v>5</v>
      </c>
      <c r="JQ74" s="1">
        <v>100</v>
      </c>
      <c r="JR74" s="1">
        <v>0</v>
      </c>
      <c r="JS74" s="1">
        <v>8</v>
      </c>
      <c r="JT74" s="1">
        <v>100</v>
      </c>
      <c r="JU74" s="1">
        <v>0</v>
      </c>
      <c r="JV74" s="1">
        <v>12</v>
      </c>
      <c r="JW74" s="1">
        <v>100</v>
      </c>
      <c r="JX74" s="1">
        <v>0</v>
      </c>
      <c r="JY74" s="1">
        <v>8</v>
      </c>
      <c r="JZ74" s="1">
        <v>7.6923076923076943</v>
      </c>
      <c r="KA74" s="1">
        <v>92.307692307692292</v>
      </c>
      <c r="KB74" s="1">
        <v>13</v>
      </c>
      <c r="KC74" s="1">
        <v>100</v>
      </c>
      <c r="KD74" s="1">
        <v>0</v>
      </c>
      <c r="KE74" s="1">
        <v>12</v>
      </c>
      <c r="KF74" s="1">
        <v>2.25</v>
      </c>
      <c r="KG74" s="1">
        <v>41.666666666666679</v>
      </c>
      <c r="KH74" s="1">
        <v>25.000000000000004</v>
      </c>
      <c r="KI74" s="1">
        <v>0</v>
      </c>
      <c r="KJ74" s="1">
        <v>33.333333333333357</v>
      </c>
      <c r="KK74" s="1">
        <v>0</v>
      </c>
      <c r="KL74" s="1">
        <v>12</v>
      </c>
      <c r="KM74" s="1">
        <v>40.583333333333329</v>
      </c>
      <c r="KN74" s="1">
        <v>0</v>
      </c>
      <c r="KO74" s="1">
        <v>0</v>
      </c>
      <c r="KP74" s="1">
        <v>0</v>
      </c>
      <c r="KQ74" s="1">
        <v>0</v>
      </c>
      <c r="KR74" s="1">
        <v>0</v>
      </c>
      <c r="KS74" s="1">
        <v>0</v>
      </c>
      <c r="KT74" s="1">
        <v>0</v>
      </c>
      <c r="KU74" s="1">
        <v>0</v>
      </c>
      <c r="KV74" s="1">
        <v>0</v>
      </c>
      <c r="KW74" s="1">
        <v>0</v>
      </c>
      <c r="KX74" s="1">
        <v>100</v>
      </c>
      <c r="KY74" s="1">
        <v>0</v>
      </c>
      <c r="KZ74" s="1">
        <v>13</v>
      </c>
      <c r="LA74" s="1">
        <v>9.0909090909090935</v>
      </c>
      <c r="LB74" s="1">
        <v>90.909090909090907</v>
      </c>
      <c r="LC74" s="1">
        <v>11</v>
      </c>
      <c r="LD74" s="1">
        <v>0</v>
      </c>
      <c r="LE74" s="1">
        <v>0</v>
      </c>
      <c r="LF74" s="1">
        <v>100</v>
      </c>
      <c r="LG74" s="1">
        <v>1</v>
      </c>
    </row>
    <row r="75" spans="1:319" x14ac:dyDescent="0.25">
      <c r="A75" s="1">
        <v>227</v>
      </c>
      <c r="B75" s="1">
        <v>0</v>
      </c>
      <c r="C75" s="1">
        <v>100</v>
      </c>
      <c r="D75" s="1">
        <v>8</v>
      </c>
      <c r="E75" s="1">
        <v>75</v>
      </c>
      <c r="F75" s="1">
        <v>25</v>
      </c>
      <c r="G75" s="1">
        <v>8</v>
      </c>
      <c r="H75" s="1">
        <v>83.333333333333357</v>
      </c>
      <c r="I75" s="1">
        <v>16.666666666666668</v>
      </c>
      <c r="J75" s="1">
        <v>6</v>
      </c>
      <c r="K75" s="1">
        <v>1</v>
      </c>
      <c r="L75" s="1">
        <v>79.153999999999996</v>
      </c>
      <c r="M75" s="1">
        <v>59.365499999999997</v>
      </c>
      <c r="N75" s="1">
        <v>9.8942499999999995</v>
      </c>
      <c r="O75" s="1">
        <v>0</v>
      </c>
      <c r="P75" s="1">
        <v>0</v>
      </c>
      <c r="Q75" s="1">
        <v>9.8942499999999995</v>
      </c>
      <c r="R75" s="1">
        <v>0</v>
      </c>
      <c r="S75" s="1">
        <v>0</v>
      </c>
      <c r="T75" s="1">
        <v>9.8942499999999995</v>
      </c>
      <c r="U75" s="1">
        <v>9.8942499999999995</v>
      </c>
      <c r="V75" s="1">
        <v>0</v>
      </c>
      <c r="W75" s="1">
        <v>0.75</v>
      </c>
      <c r="X75" s="1">
        <v>0.125</v>
      </c>
      <c r="Y75" s="1">
        <v>0</v>
      </c>
      <c r="Z75" s="1">
        <v>0</v>
      </c>
      <c r="AA75" s="1">
        <v>0.125</v>
      </c>
      <c r="AB75" s="1">
        <v>0</v>
      </c>
      <c r="AC75" s="1">
        <v>0</v>
      </c>
      <c r="AD75" s="1">
        <v>0.125</v>
      </c>
      <c r="AE75" s="1">
        <v>0.125</v>
      </c>
      <c r="AF75" s="1">
        <v>0</v>
      </c>
      <c r="AG75" s="1">
        <v>1</v>
      </c>
      <c r="AH75" s="1">
        <v>8</v>
      </c>
      <c r="AI75" s="1">
        <v>1</v>
      </c>
      <c r="AJ75" s="1">
        <v>79.153999999999996</v>
      </c>
      <c r="AK75" s="1">
        <v>49.471249999999998</v>
      </c>
      <c r="AL75" s="1">
        <v>59.365499999999997</v>
      </c>
      <c r="AM75" s="1">
        <v>39.576999999999998</v>
      </c>
      <c r="AN75" s="1">
        <v>69.259749999999997</v>
      </c>
      <c r="AO75" s="1">
        <v>9.8942499999999995</v>
      </c>
      <c r="AP75" s="1">
        <v>0</v>
      </c>
      <c r="AQ75" s="1">
        <v>0.625</v>
      </c>
      <c r="AR75" s="1">
        <v>0.75</v>
      </c>
      <c r="AS75" s="1">
        <v>0.5</v>
      </c>
      <c r="AT75" s="1">
        <v>0.875</v>
      </c>
      <c r="AU75" s="1">
        <v>0.125</v>
      </c>
      <c r="AV75" s="1">
        <v>0</v>
      </c>
      <c r="AW75" s="1">
        <v>1</v>
      </c>
      <c r="AX75" s="1">
        <v>8</v>
      </c>
      <c r="AY75" s="1">
        <v>9.625</v>
      </c>
      <c r="AZ75" s="1">
        <v>9.875</v>
      </c>
      <c r="BA75" s="1">
        <v>9.875</v>
      </c>
      <c r="BB75" s="1">
        <v>0</v>
      </c>
      <c r="BC75" s="1">
        <v>0</v>
      </c>
      <c r="BD75" s="1">
        <v>0</v>
      </c>
      <c r="BE75" s="1">
        <v>0</v>
      </c>
      <c r="BF75" s="1">
        <v>0</v>
      </c>
      <c r="BG75" s="1">
        <v>0</v>
      </c>
      <c r="BH75" s="1">
        <v>0</v>
      </c>
      <c r="BI75" s="1">
        <v>12.5</v>
      </c>
      <c r="BJ75" s="1">
        <v>12.5</v>
      </c>
      <c r="BK75" s="1">
        <v>75</v>
      </c>
      <c r="BL75" s="1">
        <v>9.625</v>
      </c>
      <c r="BM75" s="1">
        <v>8</v>
      </c>
      <c r="BN75" s="1">
        <v>0</v>
      </c>
      <c r="BO75" s="1">
        <v>0</v>
      </c>
      <c r="BP75" s="1">
        <v>0</v>
      </c>
      <c r="BQ75" s="1">
        <v>0</v>
      </c>
      <c r="BR75" s="1">
        <v>0</v>
      </c>
      <c r="BS75" s="1">
        <v>0</v>
      </c>
      <c r="BT75" s="1">
        <v>0</v>
      </c>
      <c r="BU75" s="1">
        <v>0</v>
      </c>
      <c r="BV75" s="1">
        <v>12.5</v>
      </c>
      <c r="BW75" s="1">
        <v>87.5</v>
      </c>
      <c r="BX75" s="1">
        <v>9.875</v>
      </c>
      <c r="BY75" s="1">
        <v>8</v>
      </c>
      <c r="BZ75" s="1">
        <v>0</v>
      </c>
      <c r="CA75" s="1">
        <v>0</v>
      </c>
      <c r="CB75" s="1">
        <v>0</v>
      </c>
      <c r="CC75" s="1">
        <v>0</v>
      </c>
      <c r="CD75" s="1">
        <v>0</v>
      </c>
      <c r="CE75" s="1">
        <v>0</v>
      </c>
      <c r="CF75" s="1">
        <v>0</v>
      </c>
      <c r="CG75" s="1">
        <v>0</v>
      </c>
      <c r="CH75" s="1">
        <v>12.5</v>
      </c>
      <c r="CI75" s="1">
        <v>87.5</v>
      </c>
      <c r="CJ75" s="1">
        <v>9.875</v>
      </c>
      <c r="CK75" s="1">
        <v>8</v>
      </c>
      <c r="CL75" s="1">
        <v>37.5</v>
      </c>
      <c r="CM75" s="1">
        <v>12.5</v>
      </c>
      <c r="CN75" s="1">
        <v>0</v>
      </c>
      <c r="CO75" s="1">
        <v>25</v>
      </c>
      <c r="CP75" s="1">
        <v>25</v>
      </c>
      <c r="CQ75" s="1">
        <v>8</v>
      </c>
      <c r="CR75" s="1">
        <v>71.428571428571431</v>
      </c>
      <c r="CS75" s="1">
        <v>28.571428571428577</v>
      </c>
      <c r="CT75" s="1">
        <v>0</v>
      </c>
      <c r="CU75" s="1">
        <v>0</v>
      </c>
      <c r="CV75" s="1">
        <v>0</v>
      </c>
      <c r="CW75" s="1">
        <v>7</v>
      </c>
      <c r="CX75" s="1">
        <v>75</v>
      </c>
      <c r="CY75" s="1">
        <v>25</v>
      </c>
      <c r="CZ75" s="1">
        <v>0</v>
      </c>
      <c r="DA75" s="1">
        <v>0</v>
      </c>
      <c r="DB75" s="1">
        <v>0</v>
      </c>
      <c r="DC75" s="1">
        <v>8</v>
      </c>
      <c r="DD75" s="1">
        <v>75</v>
      </c>
      <c r="DE75" s="1">
        <v>25</v>
      </c>
      <c r="DF75" s="1">
        <v>0</v>
      </c>
      <c r="DG75" s="1">
        <v>0</v>
      </c>
      <c r="DH75" s="1">
        <v>0</v>
      </c>
      <c r="DI75" s="1">
        <v>8</v>
      </c>
      <c r="DJ75" s="1">
        <v>37.5</v>
      </c>
      <c r="DK75" s="1">
        <v>50</v>
      </c>
      <c r="DL75" s="1">
        <v>0</v>
      </c>
      <c r="DM75" s="1">
        <v>12.5</v>
      </c>
      <c r="DN75" s="1">
        <v>0</v>
      </c>
      <c r="DO75" s="1">
        <v>8</v>
      </c>
      <c r="DP75" s="1">
        <v>87.5</v>
      </c>
      <c r="DQ75" s="1">
        <v>12.5</v>
      </c>
      <c r="DR75" s="1">
        <v>0</v>
      </c>
      <c r="DS75" s="1">
        <v>0</v>
      </c>
      <c r="DT75" s="1">
        <v>0</v>
      </c>
      <c r="DU75" s="1">
        <v>8</v>
      </c>
      <c r="DV75" s="1">
        <v>83.333333333333357</v>
      </c>
      <c r="DW75" s="1">
        <v>16.666666666666668</v>
      </c>
      <c r="DX75" s="1">
        <v>0</v>
      </c>
      <c r="DY75" s="1">
        <v>0</v>
      </c>
      <c r="DZ75" s="1">
        <v>0</v>
      </c>
      <c r="EA75" s="1">
        <v>6</v>
      </c>
      <c r="EB75" s="1">
        <v>0</v>
      </c>
      <c r="EC75" s="1">
        <v>0</v>
      </c>
      <c r="ED75" s="1">
        <v>0</v>
      </c>
      <c r="EE75" s="1">
        <v>0</v>
      </c>
      <c r="EF75" s="1">
        <v>0</v>
      </c>
      <c r="EG75" s="1">
        <v>0</v>
      </c>
      <c r="EH75" s="1">
        <v>0</v>
      </c>
      <c r="EI75" s="1">
        <v>0</v>
      </c>
      <c r="EJ75" s="1">
        <v>0</v>
      </c>
      <c r="EK75" s="1">
        <v>0</v>
      </c>
      <c r="EL75" s="1">
        <v>0</v>
      </c>
      <c r="EM75" s="1">
        <v>0</v>
      </c>
      <c r="EN75" s="1">
        <v>0</v>
      </c>
      <c r="EO75" s="1">
        <v>66.666666666666671</v>
      </c>
      <c r="EP75" s="1">
        <v>0</v>
      </c>
      <c r="EQ75" s="1">
        <v>33.333333333333336</v>
      </c>
      <c r="ER75" s="1">
        <v>0</v>
      </c>
      <c r="ES75" s="1">
        <v>3</v>
      </c>
      <c r="ET75" s="1">
        <v>25</v>
      </c>
      <c r="EU75" s="1">
        <v>50</v>
      </c>
      <c r="EV75" s="1">
        <v>0</v>
      </c>
      <c r="EW75" s="1">
        <v>25</v>
      </c>
      <c r="EX75" s="1">
        <v>0</v>
      </c>
      <c r="EY75" s="1">
        <v>4</v>
      </c>
      <c r="EZ75" s="1">
        <v>100</v>
      </c>
      <c r="FA75" s="1">
        <v>0</v>
      </c>
      <c r="FB75" s="1">
        <v>0</v>
      </c>
      <c r="FC75" s="1">
        <v>0</v>
      </c>
      <c r="FD75" s="1">
        <v>0</v>
      </c>
      <c r="FE75" s="1">
        <v>1</v>
      </c>
      <c r="FF75" s="1">
        <v>100</v>
      </c>
      <c r="FG75" s="1">
        <v>0</v>
      </c>
      <c r="FH75" s="1">
        <v>0</v>
      </c>
      <c r="FI75" s="1">
        <v>0</v>
      </c>
      <c r="FJ75" s="1">
        <v>0</v>
      </c>
      <c r="FK75" s="1">
        <v>1</v>
      </c>
      <c r="FL75" s="1">
        <v>75</v>
      </c>
      <c r="FM75" s="1">
        <v>0</v>
      </c>
      <c r="FN75" s="1">
        <v>25</v>
      </c>
      <c r="FO75" s="1">
        <v>0</v>
      </c>
      <c r="FP75" s="1">
        <v>0</v>
      </c>
      <c r="FQ75" s="1">
        <v>4</v>
      </c>
      <c r="FR75" s="1">
        <v>99.999999999999986</v>
      </c>
      <c r="FS75" s="1">
        <v>0</v>
      </c>
      <c r="FT75" s="1">
        <v>0</v>
      </c>
      <c r="FU75" s="1">
        <v>0</v>
      </c>
      <c r="FV75" s="1">
        <v>0</v>
      </c>
      <c r="FW75" s="1">
        <v>3</v>
      </c>
      <c r="FX75" s="1">
        <v>87.5</v>
      </c>
      <c r="FY75" s="1">
        <v>12.5</v>
      </c>
      <c r="FZ75" s="1">
        <v>0</v>
      </c>
      <c r="GA75" s="1">
        <v>0</v>
      </c>
      <c r="GB75" s="1">
        <v>0</v>
      </c>
      <c r="GC75" s="1">
        <v>8</v>
      </c>
      <c r="GD75" s="1">
        <v>0</v>
      </c>
      <c r="GE75" s="1">
        <v>0</v>
      </c>
      <c r="GF75" s="1">
        <v>0</v>
      </c>
      <c r="GG75" s="1">
        <v>0</v>
      </c>
      <c r="GH75" s="1">
        <v>0</v>
      </c>
      <c r="GI75" s="1">
        <v>0</v>
      </c>
      <c r="GJ75" s="1">
        <v>66.666666666666671</v>
      </c>
      <c r="GK75" s="1">
        <v>33.333333333333336</v>
      </c>
      <c r="GL75" s="1">
        <v>0</v>
      </c>
      <c r="GM75" s="1">
        <v>0</v>
      </c>
      <c r="GN75" s="1">
        <v>0</v>
      </c>
      <c r="GO75" s="1">
        <v>3</v>
      </c>
      <c r="GP75" s="1">
        <v>71.428571428571431</v>
      </c>
      <c r="GQ75" s="1">
        <v>28.571428571428577</v>
      </c>
      <c r="GR75" s="1">
        <v>0</v>
      </c>
      <c r="GS75" s="1">
        <v>0</v>
      </c>
      <c r="GT75" s="1">
        <v>0</v>
      </c>
      <c r="GU75" s="1">
        <v>7</v>
      </c>
      <c r="GV75" s="1">
        <v>71.428571428571431</v>
      </c>
      <c r="GW75" s="1">
        <v>28.571428571428577</v>
      </c>
      <c r="GX75" s="1">
        <v>0</v>
      </c>
      <c r="GY75" s="1">
        <v>0</v>
      </c>
      <c r="GZ75" s="1">
        <v>0</v>
      </c>
      <c r="HA75" s="1">
        <v>7</v>
      </c>
      <c r="HB75" s="1">
        <v>0</v>
      </c>
      <c r="HC75" s="1">
        <v>0</v>
      </c>
      <c r="HD75" s="1">
        <v>0</v>
      </c>
      <c r="HE75" s="1">
        <v>100</v>
      </c>
      <c r="HF75" s="1">
        <v>0</v>
      </c>
      <c r="HG75" s="1">
        <v>1</v>
      </c>
      <c r="HH75" s="1">
        <v>0</v>
      </c>
      <c r="HI75" s="1">
        <v>0</v>
      </c>
      <c r="HJ75" s="1">
        <v>0</v>
      </c>
      <c r="HK75" s="1">
        <v>0</v>
      </c>
      <c r="HL75" s="1">
        <v>0</v>
      </c>
      <c r="HM75" s="1">
        <v>0</v>
      </c>
      <c r="HN75" s="1">
        <v>0</v>
      </c>
      <c r="HO75" s="1">
        <v>0</v>
      </c>
      <c r="HP75" s="1">
        <v>0</v>
      </c>
      <c r="HQ75" s="1">
        <v>0</v>
      </c>
      <c r="HR75" s="1">
        <v>0</v>
      </c>
      <c r="HS75" s="1">
        <v>0</v>
      </c>
      <c r="HT75" s="1">
        <v>0</v>
      </c>
      <c r="HU75" s="1">
        <v>0</v>
      </c>
      <c r="HV75" s="1">
        <v>0</v>
      </c>
      <c r="HW75" s="1">
        <v>0</v>
      </c>
      <c r="HX75" s="1">
        <v>0</v>
      </c>
      <c r="HY75" s="1">
        <v>0</v>
      </c>
      <c r="HZ75" s="1">
        <v>0</v>
      </c>
      <c r="IA75" s="1">
        <v>0</v>
      </c>
      <c r="IB75" s="1">
        <v>0</v>
      </c>
      <c r="IC75" s="1">
        <v>0</v>
      </c>
      <c r="ID75" s="1">
        <v>0</v>
      </c>
      <c r="IE75" s="1">
        <v>0</v>
      </c>
      <c r="IF75" s="1">
        <v>8</v>
      </c>
      <c r="IG75" s="1">
        <v>0</v>
      </c>
      <c r="IH75" s="1">
        <v>0</v>
      </c>
      <c r="II75" s="1">
        <v>0</v>
      </c>
      <c r="IJ75" s="1">
        <v>0</v>
      </c>
      <c r="IK75" s="1">
        <v>14.285714285714288</v>
      </c>
      <c r="IL75" s="1">
        <v>0</v>
      </c>
      <c r="IM75" s="1">
        <v>42.857142857142847</v>
      </c>
      <c r="IN75" s="1">
        <v>0</v>
      </c>
      <c r="IO75" s="1">
        <v>0</v>
      </c>
      <c r="IP75" s="1">
        <v>42.857142857142847</v>
      </c>
      <c r="IQ75" s="1">
        <v>8</v>
      </c>
      <c r="IR75" s="1">
        <v>7</v>
      </c>
      <c r="IS75" s="1">
        <v>57.142857142857153</v>
      </c>
      <c r="IT75" s="1">
        <v>14.285714285714288</v>
      </c>
      <c r="IU75" s="1">
        <v>28.571428571428577</v>
      </c>
      <c r="IV75" s="1">
        <v>0</v>
      </c>
      <c r="IW75" s="1">
        <v>0</v>
      </c>
      <c r="IX75" s="1">
        <v>7</v>
      </c>
      <c r="IY75" s="1">
        <v>1</v>
      </c>
      <c r="IZ75" s="1">
        <v>79.153999999999996</v>
      </c>
      <c r="JA75" s="1">
        <v>39.576999999999998</v>
      </c>
      <c r="JB75" s="1">
        <v>19.788499999999999</v>
      </c>
      <c r="JC75" s="1">
        <v>9.8942499999999995</v>
      </c>
      <c r="JD75" s="1">
        <v>9.8942499999999995</v>
      </c>
      <c r="JE75" s="1">
        <v>0.5</v>
      </c>
      <c r="JF75" s="1">
        <v>0.25</v>
      </c>
      <c r="JG75" s="1">
        <v>0.125</v>
      </c>
      <c r="JH75" s="1">
        <v>0.125</v>
      </c>
      <c r="JI75" s="1">
        <v>1</v>
      </c>
      <c r="JJ75" s="1">
        <v>8</v>
      </c>
      <c r="JK75" s="1">
        <v>3</v>
      </c>
      <c r="JL75" s="1">
        <v>3</v>
      </c>
      <c r="JM75" s="1">
        <v>8</v>
      </c>
      <c r="JN75" s="1">
        <v>100</v>
      </c>
      <c r="JO75" s="1">
        <v>0</v>
      </c>
      <c r="JP75" s="1">
        <v>2</v>
      </c>
      <c r="JQ75" s="1">
        <v>100</v>
      </c>
      <c r="JR75" s="1">
        <v>0</v>
      </c>
      <c r="JS75" s="1">
        <v>5</v>
      </c>
      <c r="JT75" s="1">
        <v>100</v>
      </c>
      <c r="JU75" s="1">
        <v>0</v>
      </c>
      <c r="JV75" s="1">
        <v>7</v>
      </c>
      <c r="JW75" s="1">
        <v>100</v>
      </c>
      <c r="JX75" s="1">
        <v>0</v>
      </c>
      <c r="JY75" s="1">
        <v>7</v>
      </c>
      <c r="JZ75" s="1">
        <v>62.5</v>
      </c>
      <c r="KA75" s="1">
        <v>37.5</v>
      </c>
      <c r="KB75" s="1">
        <v>8</v>
      </c>
      <c r="KC75" s="1">
        <v>100</v>
      </c>
      <c r="KD75" s="1">
        <v>0</v>
      </c>
      <c r="KE75" s="1">
        <v>8</v>
      </c>
      <c r="KF75" s="1">
        <v>3.1428571428571428</v>
      </c>
      <c r="KG75" s="1">
        <v>0</v>
      </c>
      <c r="KH75" s="1">
        <v>42.857142857142847</v>
      </c>
      <c r="KI75" s="1">
        <v>0</v>
      </c>
      <c r="KJ75" s="1">
        <v>57.142857142857153</v>
      </c>
      <c r="KK75" s="1">
        <v>0</v>
      </c>
      <c r="KL75" s="1">
        <v>7</v>
      </c>
      <c r="KM75" s="1">
        <v>54.857142857142847</v>
      </c>
      <c r="KN75" s="1">
        <v>0</v>
      </c>
      <c r="KO75" s="1">
        <v>0</v>
      </c>
      <c r="KP75" s="1">
        <v>0</v>
      </c>
      <c r="KQ75" s="1">
        <v>0</v>
      </c>
      <c r="KR75" s="1">
        <v>0</v>
      </c>
      <c r="KS75" s="1">
        <v>0</v>
      </c>
      <c r="KT75" s="1">
        <v>0</v>
      </c>
      <c r="KU75" s="1">
        <v>0</v>
      </c>
      <c r="KV75" s="1">
        <v>0</v>
      </c>
      <c r="KW75" s="1">
        <v>0</v>
      </c>
      <c r="KX75" s="1">
        <v>100</v>
      </c>
      <c r="KY75" s="1">
        <v>0</v>
      </c>
      <c r="KZ75" s="1">
        <v>7</v>
      </c>
      <c r="LA75" s="1">
        <v>0</v>
      </c>
      <c r="LB75" s="1">
        <v>100</v>
      </c>
      <c r="LC75" s="1">
        <v>7</v>
      </c>
      <c r="LD75" s="1">
        <v>0</v>
      </c>
      <c r="LE75" s="1">
        <v>0</v>
      </c>
      <c r="LF75" s="1">
        <v>0</v>
      </c>
      <c r="LG75" s="1">
        <v>0</v>
      </c>
    </row>
    <row r="76" spans="1:319" x14ac:dyDescent="0.25">
      <c r="A76" s="1">
        <v>231</v>
      </c>
      <c r="B76" s="1">
        <v>24.242424242424239</v>
      </c>
      <c r="C76" s="1">
        <v>75.757575757575708</v>
      </c>
      <c r="D76" s="1">
        <v>33</v>
      </c>
      <c r="E76" s="1">
        <v>72</v>
      </c>
      <c r="F76" s="1">
        <v>28</v>
      </c>
      <c r="G76" s="1">
        <v>25</v>
      </c>
      <c r="H76" s="1">
        <v>75</v>
      </c>
      <c r="I76" s="1">
        <v>25.000000000000004</v>
      </c>
      <c r="J76" s="1">
        <v>16</v>
      </c>
      <c r="K76" s="1">
        <v>1</v>
      </c>
      <c r="L76" s="1">
        <v>42.266070000000042</v>
      </c>
      <c r="M76" s="1">
        <v>34.581329999999987</v>
      </c>
      <c r="N76" s="1">
        <v>0</v>
      </c>
      <c r="O76" s="1">
        <v>1.2807900000000005</v>
      </c>
      <c r="P76" s="1">
        <v>2.5615800000000011</v>
      </c>
      <c r="Q76" s="1">
        <v>11.527109999999995</v>
      </c>
      <c r="R76" s="1">
        <v>3.8423700000000016</v>
      </c>
      <c r="S76" s="1">
        <v>0</v>
      </c>
      <c r="T76" s="1">
        <v>3.8423700000000016</v>
      </c>
      <c r="U76" s="1">
        <v>8.9655299999999993</v>
      </c>
      <c r="V76" s="1">
        <v>2.5615800000000011</v>
      </c>
      <c r="W76" s="1">
        <v>0.81818181818181746</v>
      </c>
      <c r="X76" s="1">
        <v>0</v>
      </c>
      <c r="Y76" s="1">
        <v>3.030303030303028E-2</v>
      </c>
      <c r="Z76" s="1">
        <v>6.0606060606060559E-2</v>
      </c>
      <c r="AA76" s="1">
        <v>0.2727272727272726</v>
      </c>
      <c r="AB76" s="1">
        <v>9.0909090909090842E-2</v>
      </c>
      <c r="AC76" s="1">
        <v>0</v>
      </c>
      <c r="AD76" s="1">
        <v>9.0909090909090842E-2</v>
      </c>
      <c r="AE76" s="1">
        <v>0.21212121212121196</v>
      </c>
      <c r="AF76" s="1">
        <v>6.0606060606060559E-2</v>
      </c>
      <c r="AG76" s="1">
        <v>1</v>
      </c>
      <c r="AH76" s="1">
        <v>33</v>
      </c>
      <c r="AI76" s="1">
        <v>1</v>
      </c>
      <c r="AJ76" s="1">
        <v>40.985280000000024</v>
      </c>
      <c r="AK76" s="1">
        <v>23.05421999999999</v>
      </c>
      <c r="AL76" s="1">
        <v>35.862120000000004</v>
      </c>
      <c r="AM76" s="1">
        <v>19.211850000000013</v>
      </c>
      <c r="AN76" s="1">
        <v>32.019750000000016</v>
      </c>
      <c r="AO76" s="1">
        <v>2.5615800000000011</v>
      </c>
      <c r="AP76" s="1">
        <v>2.5615800000000011</v>
      </c>
      <c r="AQ76" s="1">
        <v>0.56249999999999989</v>
      </c>
      <c r="AR76" s="1">
        <v>0.87499999999999989</v>
      </c>
      <c r="AS76" s="1">
        <v>0.46874999999999994</v>
      </c>
      <c r="AT76" s="1">
        <v>0.78124999999999989</v>
      </c>
      <c r="AU76" s="1">
        <v>6.2499999999999986E-2</v>
      </c>
      <c r="AV76" s="1">
        <v>6.2499999999999986E-2</v>
      </c>
      <c r="AW76" s="1">
        <v>1</v>
      </c>
      <c r="AX76" s="1">
        <v>32</v>
      </c>
      <c r="AY76" s="1">
        <v>10</v>
      </c>
      <c r="AZ76" s="1">
        <v>9.9090909090909083</v>
      </c>
      <c r="BA76" s="1">
        <v>9.8181818181818183</v>
      </c>
      <c r="BB76" s="1">
        <v>0</v>
      </c>
      <c r="BC76" s="1">
        <v>0</v>
      </c>
      <c r="BD76" s="1">
        <v>0</v>
      </c>
      <c r="BE76" s="1">
        <v>0</v>
      </c>
      <c r="BF76" s="1">
        <v>0</v>
      </c>
      <c r="BG76" s="1">
        <v>0</v>
      </c>
      <c r="BH76" s="1">
        <v>0</v>
      </c>
      <c r="BI76" s="1">
        <v>0</v>
      </c>
      <c r="BJ76" s="1">
        <v>0</v>
      </c>
      <c r="BK76" s="1">
        <v>100</v>
      </c>
      <c r="BL76" s="1">
        <v>9.9999999999999982</v>
      </c>
      <c r="BM76" s="1">
        <v>33</v>
      </c>
      <c r="BN76" s="1">
        <v>0</v>
      </c>
      <c r="BO76" s="1">
        <v>0</v>
      </c>
      <c r="BP76" s="1">
        <v>0</v>
      </c>
      <c r="BQ76" s="1">
        <v>0</v>
      </c>
      <c r="BR76" s="1">
        <v>0</v>
      </c>
      <c r="BS76" s="1">
        <v>0</v>
      </c>
      <c r="BT76" s="1">
        <v>0</v>
      </c>
      <c r="BU76" s="1">
        <v>3.0303030303030303</v>
      </c>
      <c r="BV76" s="1">
        <v>3.0303030303030303</v>
      </c>
      <c r="BW76" s="1">
        <v>93.939393939393966</v>
      </c>
      <c r="BX76" s="1">
        <v>9.909090909090903</v>
      </c>
      <c r="BY76" s="1">
        <v>33</v>
      </c>
      <c r="BZ76" s="1">
        <v>0</v>
      </c>
      <c r="CA76" s="1">
        <v>0</v>
      </c>
      <c r="CB76" s="1">
        <v>0</v>
      </c>
      <c r="CC76" s="1">
        <v>0</v>
      </c>
      <c r="CD76" s="1">
        <v>0</v>
      </c>
      <c r="CE76" s="1">
        <v>0</v>
      </c>
      <c r="CF76" s="1">
        <v>0</v>
      </c>
      <c r="CG76" s="1">
        <v>6.0606060606060606</v>
      </c>
      <c r="CH76" s="1">
        <v>6.0606060606060606</v>
      </c>
      <c r="CI76" s="1">
        <v>87.878787878787861</v>
      </c>
      <c r="CJ76" s="1">
        <v>9.8181818181818148</v>
      </c>
      <c r="CK76" s="1">
        <v>33</v>
      </c>
      <c r="CL76" s="1">
        <v>37.499999999999993</v>
      </c>
      <c r="CM76" s="1">
        <v>59.374999999999993</v>
      </c>
      <c r="CN76" s="1">
        <v>0</v>
      </c>
      <c r="CO76" s="1">
        <v>3.1249999999999996</v>
      </c>
      <c r="CP76" s="1">
        <v>0</v>
      </c>
      <c r="CQ76" s="1">
        <v>32</v>
      </c>
      <c r="CR76" s="1">
        <v>90.624999999999986</v>
      </c>
      <c r="CS76" s="1">
        <v>6.2499999999999991</v>
      </c>
      <c r="CT76" s="1">
        <v>0</v>
      </c>
      <c r="CU76" s="1">
        <v>3.1249999999999996</v>
      </c>
      <c r="CV76" s="1">
        <v>0</v>
      </c>
      <c r="CW76" s="1">
        <v>32</v>
      </c>
      <c r="CX76" s="1">
        <v>96.969696969696983</v>
      </c>
      <c r="CY76" s="1">
        <v>3.0303030303030303</v>
      </c>
      <c r="CZ76" s="1">
        <v>0</v>
      </c>
      <c r="DA76" s="1">
        <v>0</v>
      </c>
      <c r="DB76" s="1">
        <v>0</v>
      </c>
      <c r="DC76" s="1">
        <v>33</v>
      </c>
      <c r="DD76" s="1">
        <v>87.878787878787861</v>
      </c>
      <c r="DE76" s="1">
        <v>9.0909090909090882</v>
      </c>
      <c r="DF76" s="1">
        <v>3.0303030303030303</v>
      </c>
      <c r="DG76" s="1">
        <v>0</v>
      </c>
      <c r="DH76" s="1">
        <v>0</v>
      </c>
      <c r="DI76" s="1">
        <v>33</v>
      </c>
      <c r="DJ76" s="1">
        <v>81.818181818181813</v>
      </c>
      <c r="DK76" s="1">
        <v>18.181818181818176</v>
      </c>
      <c r="DL76" s="1">
        <v>0</v>
      </c>
      <c r="DM76" s="1">
        <v>0</v>
      </c>
      <c r="DN76" s="1">
        <v>0</v>
      </c>
      <c r="DO76" s="1">
        <v>33</v>
      </c>
      <c r="DP76" s="1">
        <v>90.909090909090949</v>
      </c>
      <c r="DQ76" s="1">
        <v>6.0606060606060606</v>
      </c>
      <c r="DR76" s="1">
        <v>3.0303030303030303</v>
      </c>
      <c r="DS76" s="1">
        <v>0</v>
      </c>
      <c r="DT76" s="1">
        <v>0</v>
      </c>
      <c r="DU76" s="1">
        <v>33</v>
      </c>
      <c r="DV76" s="1">
        <v>74.074074074074062</v>
      </c>
      <c r="DW76" s="1">
        <v>22.222222222222211</v>
      </c>
      <c r="DX76" s="1">
        <v>0</v>
      </c>
      <c r="DY76" s="1">
        <v>3.7037037037037059</v>
      </c>
      <c r="DZ76" s="1">
        <v>0</v>
      </c>
      <c r="EA76" s="1">
        <v>27</v>
      </c>
      <c r="EB76" s="1">
        <v>66.666666666666686</v>
      </c>
      <c r="EC76" s="1">
        <v>33.333333333333343</v>
      </c>
      <c r="ED76" s="1">
        <v>0</v>
      </c>
      <c r="EE76" s="1">
        <v>0</v>
      </c>
      <c r="EF76" s="1">
        <v>0</v>
      </c>
      <c r="EG76" s="1">
        <v>6</v>
      </c>
      <c r="EH76" s="1">
        <v>80</v>
      </c>
      <c r="EI76" s="1">
        <v>20</v>
      </c>
      <c r="EJ76" s="1">
        <v>0</v>
      </c>
      <c r="EK76" s="1">
        <v>0</v>
      </c>
      <c r="EL76" s="1">
        <v>0</v>
      </c>
      <c r="EM76" s="1">
        <v>5</v>
      </c>
      <c r="EN76" s="1">
        <v>42.857142857142868</v>
      </c>
      <c r="EO76" s="1">
        <v>57.142857142857125</v>
      </c>
      <c r="EP76" s="1">
        <v>0</v>
      </c>
      <c r="EQ76" s="1">
        <v>0</v>
      </c>
      <c r="ER76" s="1">
        <v>0</v>
      </c>
      <c r="ES76" s="1">
        <v>21</v>
      </c>
      <c r="ET76" s="1">
        <v>43.478260869565226</v>
      </c>
      <c r="EU76" s="1">
        <v>52.173913043478258</v>
      </c>
      <c r="EV76" s="1">
        <v>4.3478260869565206</v>
      </c>
      <c r="EW76" s="1">
        <v>0</v>
      </c>
      <c r="EX76" s="1">
        <v>0</v>
      </c>
      <c r="EY76" s="1">
        <v>23</v>
      </c>
      <c r="EZ76" s="1">
        <v>64.285714285714235</v>
      </c>
      <c r="FA76" s="1">
        <v>35.714285714285701</v>
      </c>
      <c r="FB76" s="1">
        <v>0</v>
      </c>
      <c r="FC76" s="1">
        <v>0</v>
      </c>
      <c r="FD76" s="1">
        <v>0</v>
      </c>
      <c r="FE76" s="1">
        <v>14</v>
      </c>
      <c r="FF76" s="1">
        <v>58.333333333333307</v>
      </c>
      <c r="FG76" s="1">
        <v>41.666666666666679</v>
      </c>
      <c r="FH76" s="1">
        <v>0</v>
      </c>
      <c r="FI76" s="1">
        <v>0</v>
      </c>
      <c r="FJ76" s="1">
        <v>0</v>
      </c>
      <c r="FK76" s="1">
        <v>12</v>
      </c>
      <c r="FL76" s="1">
        <v>87.5</v>
      </c>
      <c r="FM76" s="1">
        <v>12.500000000000002</v>
      </c>
      <c r="FN76" s="1">
        <v>0</v>
      </c>
      <c r="FO76" s="1">
        <v>0</v>
      </c>
      <c r="FP76" s="1">
        <v>0</v>
      </c>
      <c r="FQ76" s="1">
        <v>16</v>
      </c>
      <c r="FR76" s="1">
        <v>58.333333333333307</v>
      </c>
      <c r="FS76" s="1">
        <v>16.666666666666679</v>
      </c>
      <c r="FT76" s="1">
        <v>16.666666666666679</v>
      </c>
      <c r="FU76" s="1">
        <v>0</v>
      </c>
      <c r="FV76" s="1">
        <v>8.3333333333333393</v>
      </c>
      <c r="FW76" s="1">
        <v>12</v>
      </c>
      <c r="FX76" s="1">
        <v>100</v>
      </c>
      <c r="FY76" s="1">
        <v>0</v>
      </c>
      <c r="FZ76" s="1">
        <v>0</v>
      </c>
      <c r="GA76" s="1">
        <v>0</v>
      </c>
      <c r="GB76" s="1">
        <v>0</v>
      </c>
      <c r="GC76" s="1">
        <v>33</v>
      </c>
      <c r="GD76" s="1">
        <v>75</v>
      </c>
      <c r="GE76" s="1">
        <v>16.666666666666679</v>
      </c>
      <c r="GF76" s="1">
        <v>8.3333333333333393</v>
      </c>
      <c r="GG76" s="1">
        <v>0</v>
      </c>
      <c r="GH76" s="1">
        <v>0</v>
      </c>
      <c r="GI76" s="1">
        <v>12</v>
      </c>
      <c r="GJ76" s="1">
        <v>99.999999999999986</v>
      </c>
      <c r="GK76" s="1">
        <v>0</v>
      </c>
      <c r="GL76" s="1">
        <v>0</v>
      </c>
      <c r="GM76" s="1">
        <v>0</v>
      </c>
      <c r="GN76" s="1">
        <v>0</v>
      </c>
      <c r="GO76" s="1">
        <v>10</v>
      </c>
      <c r="GP76" s="1">
        <v>75.000000000000014</v>
      </c>
      <c r="GQ76" s="1">
        <v>20.000000000000004</v>
      </c>
      <c r="GR76" s="1">
        <v>0</v>
      </c>
      <c r="GS76" s="1">
        <v>5.0000000000000009</v>
      </c>
      <c r="GT76" s="1">
        <v>0</v>
      </c>
      <c r="GU76" s="1">
        <v>20</v>
      </c>
      <c r="GV76" s="1">
        <v>90</v>
      </c>
      <c r="GW76" s="1">
        <v>10.000000000000002</v>
      </c>
      <c r="GX76" s="1">
        <v>0</v>
      </c>
      <c r="GY76" s="1">
        <v>0</v>
      </c>
      <c r="GZ76" s="1">
        <v>0</v>
      </c>
      <c r="HA76" s="1">
        <v>20</v>
      </c>
      <c r="HB76" s="1">
        <v>100</v>
      </c>
      <c r="HC76" s="1">
        <v>0</v>
      </c>
      <c r="HD76" s="1">
        <v>0</v>
      </c>
      <c r="HE76" s="1">
        <v>0</v>
      </c>
      <c r="HF76" s="1">
        <v>0</v>
      </c>
      <c r="HG76" s="1">
        <v>3</v>
      </c>
      <c r="HH76" s="1">
        <v>100</v>
      </c>
      <c r="HI76" s="1">
        <v>0</v>
      </c>
      <c r="HJ76" s="1">
        <v>0</v>
      </c>
      <c r="HK76" s="1">
        <v>0</v>
      </c>
      <c r="HL76" s="1">
        <v>0</v>
      </c>
      <c r="HM76" s="1">
        <v>2</v>
      </c>
      <c r="HN76" s="1">
        <v>0</v>
      </c>
      <c r="HO76" s="1">
        <v>0</v>
      </c>
      <c r="HP76" s="1">
        <v>0</v>
      </c>
      <c r="HQ76" s="1">
        <v>0</v>
      </c>
      <c r="HR76" s="1">
        <v>0</v>
      </c>
      <c r="HS76" s="1">
        <v>0</v>
      </c>
      <c r="HT76" s="1">
        <v>0</v>
      </c>
      <c r="HU76" s="1">
        <v>0</v>
      </c>
      <c r="HV76" s="1">
        <v>0</v>
      </c>
      <c r="HW76" s="1">
        <v>0</v>
      </c>
      <c r="HX76" s="1">
        <v>0</v>
      </c>
      <c r="HY76" s="1">
        <v>0</v>
      </c>
      <c r="HZ76" s="1">
        <v>0</v>
      </c>
      <c r="IA76" s="1">
        <v>0</v>
      </c>
      <c r="IB76" s="1">
        <v>0</v>
      </c>
      <c r="IC76" s="1">
        <v>0</v>
      </c>
      <c r="ID76" s="1">
        <v>0</v>
      </c>
      <c r="IE76" s="1">
        <v>0</v>
      </c>
      <c r="IF76" s="1">
        <v>9.7096774193548381</v>
      </c>
      <c r="IG76" s="1">
        <v>0</v>
      </c>
      <c r="IH76" s="1">
        <v>0</v>
      </c>
      <c r="II76" s="1">
        <v>0</v>
      </c>
      <c r="IJ76" s="1">
        <v>0</v>
      </c>
      <c r="IK76" s="1">
        <v>0</v>
      </c>
      <c r="IL76" s="1">
        <v>0</v>
      </c>
      <c r="IM76" s="1">
        <v>0</v>
      </c>
      <c r="IN76" s="1">
        <v>3.2258064516129008</v>
      </c>
      <c r="IO76" s="1">
        <v>22.580645161290324</v>
      </c>
      <c r="IP76" s="1">
        <v>74.193548387096754</v>
      </c>
      <c r="IQ76" s="1">
        <v>9.7096774193548381</v>
      </c>
      <c r="IR76" s="1">
        <v>31</v>
      </c>
      <c r="IS76" s="1">
        <v>27.272727272727256</v>
      </c>
      <c r="IT76" s="1">
        <v>21.212121212121207</v>
      </c>
      <c r="IU76" s="1">
        <v>45.454545454545432</v>
      </c>
      <c r="IV76" s="1">
        <v>6.0606060606060606</v>
      </c>
      <c r="IW76" s="1">
        <v>0</v>
      </c>
      <c r="IX76" s="1">
        <v>33</v>
      </c>
      <c r="IY76" s="1">
        <v>1</v>
      </c>
      <c r="IZ76" s="1">
        <v>42.266070000000042</v>
      </c>
      <c r="JA76" s="1">
        <v>19.211850000000013</v>
      </c>
      <c r="JB76" s="1">
        <v>8.9655299999999993</v>
      </c>
      <c r="JC76" s="1">
        <v>3.8423700000000016</v>
      </c>
      <c r="JD76" s="1">
        <v>14.088689999999989</v>
      </c>
      <c r="JE76" s="1">
        <v>0.45454545454545459</v>
      </c>
      <c r="JF76" s="1">
        <v>0.21212121212121196</v>
      </c>
      <c r="JG76" s="1">
        <v>9.0909090909090842E-2</v>
      </c>
      <c r="JH76" s="1">
        <v>0.33333333333333326</v>
      </c>
      <c r="JI76" s="1">
        <v>1</v>
      </c>
      <c r="JJ76" s="1">
        <v>33</v>
      </c>
      <c r="JK76" s="1">
        <v>2.78125</v>
      </c>
      <c r="JL76" s="1">
        <v>2.7812499999999996</v>
      </c>
      <c r="JM76" s="1">
        <v>32</v>
      </c>
      <c r="JN76" s="1">
        <v>91.666666666666643</v>
      </c>
      <c r="JO76" s="1">
        <v>8.3333333333333393</v>
      </c>
      <c r="JP76" s="1">
        <v>12</v>
      </c>
      <c r="JQ76" s="1">
        <v>95.454545454545482</v>
      </c>
      <c r="JR76" s="1">
        <v>4.5454545454545485</v>
      </c>
      <c r="JS76" s="1">
        <v>22</v>
      </c>
      <c r="JT76" s="1">
        <v>93.548387096774164</v>
      </c>
      <c r="JU76" s="1">
        <v>6.4516129032258016</v>
      </c>
      <c r="JV76" s="1">
        <v>31</v>
      </c>
      <c r="JW76" s="1">
        <v>90.476190476190411</v>
      </c>
      <c r="JX76" s="1">
        <v>9.5238095238095202</v>
      </c>
      <c r="JY76" s="1">
        <v>21</v>
      </c>
      <c r="JZ76" s="1">
        <v>43.749999999999993</v>
      </c>
      <c r="KA76" s="1">
        <v>56.249999999999986</v>
      </c>
      <c r="KB76" s="1">
        <v>32</v>
      </c>
      <c r="KC76" s="1">
        <v>100.00000000000001</v>
      </c>
      <c r="KD76" s="1">
        <v>0</v>
      </c>
      <c r="KE76" s="1">
        <v>32</v>
      </c>
      <c r="KF76" s="1">
        <v>2.2666666666666666</v>
      </c>
      <c r="KG76" s="1">
        <v>36.66666666666665</v>
      </c>
      <c r="KH76" s="1">
        <v>26.666666666666636</v>
      </c>
      <c r="KI76" s="1">
        <v>19.999999999999996</v>
      </c>
      <c r="KJ76" s="1">
        <v>6.6666666666666643</v>
      </c>
      <c r="KK76" s="1">
        <v>9.9999999999999982</v>
      </c>
      <c r="KL76" s="1">
        <v>30</v>
      </c>
      <c r="KM76" s="1">
        <v>39.966666666666676</v>
      </c>
      <c r="KN76" s="1">
        <v>19</v>
      </c>
      <c r="KO76" s="1">
        <v>0</v>
      </c>
      <c r="KP76" s="1">
        <v>0</v>
      </c>
      <c r="KQ76" s="1">
        <v>100</v>
      </c>
      <c r="KR76" s="1">
        <v>0</v>
      </c>
      <c r="KS76" s="1">
        <v>0</v>
      </c>
      <c r="KT76" s="1">
        <v>1</v>
      </c>
      <c r="KU76" s="1">
        <v>0</v>
      </c>
      <c r="KV76" s="1">
        <v>0</v>
      </c>
      <c r="KW76" s="1">
        <v>3.3333333333333321</v>
      </c>
      <c r="KX76" s="1">
        <v>96.666666666666629</v>
      </c>
      <c r="KY76" s="1">
        <v>0</v>
      </c>
      <c r="KZ76" s="1">
        <v>30</v>
      </c>
      <c r="LA76" s="1">
        <v>21.874999999999996</v>
      </c>
      <c r="LB76" s="1">
        <v>78.124999999999986</v>
      </c>
      <c r="LC76" s="1">
        <v>32</v>
      </c>
      <c r="LD76" s="1">
        <v>0</v>
      </c>
      <c r="LE76" s="1">
        <v>14.28571428571429</v>
      </c>
      <c r="LF76" s="1">
        <v>85.714285714285694</v>
      </c>
      <c r="LG76" s="1">
        <v>7</v>
      </c>
    </row>
    <row r="77" spans="1:319" x14ac:dyDescent="0.25">
      <c r="A77" s="1">
        <v>232</v>
      </c>
      <c r="B77" s="1">
        <v>34.545454545454554</v>
      </c>
      <c r="C77" s="1">
        <v>65.454545454545496</v>
      </c>
      <c r="D77" s="1">
        <v>55</v>
      </c>
      <c r="E77" s="1">
        <v>83.333333333333442</v>
      </c>
      <c r="F77" s="1">
        <v>16.666666666666671</v>
      </c>
      <c r="G77" s="1">
        <v>36</v>
      </c>
      <c r="H77" s="1">
        <v>53.846153846153818</v>
      </c>
      <c r="I77" s="1">
        <v>46.153846153846168</v>
      </c>
      <c r="J77" s="1">
        <v>26</v>
      </c>
      <c r="K77" s="1">
        <v>1</v>
      </c>
      <c r="L77" s="1">
        <v>67.194449999999946</v>
      </c>
      <c r="M77" s="1">
        <v>10.609649999999991</v>
      </c>
      <c r="N77" s="1">
        <v>7.0731000000000064</v>
      </c>
      <c r="O77" s="1">
        <v>31.828950000000031</v>
      </c>
      <c r="P77" s="1">
        <v>0</v>
      </c>
      <c r="Q77" s="1">
        <v>16.503900000000016</v>
      </c>
      <c r="R77" s="1">
        <v>5.8942499999999995</v>
      </c>
      <c r="S77" s="1">
        <v>0</v>
      </c>
      <c r="T77" s="1">
        <v>3.5365500000000032</v>
      </c>
      <c r="U77" s="1">
        <v>4.7153999999999945</v>
      </c>
      <c r="V77" s="1">
        <v>7.0731000000000064</v>
      </c>
      <c r="W77" s="1">
        <v>0.15789473684210545</v>
      </c>
      <c r="X77" s="1">
        <v>0.10526315789473695</v>
      </c>
      <c r="Y77" s="1">
        <v>0.47368421052631599</v>
      </c>
      <c r="Z77" s="1">
        <v>0</v>
      </c>
      <c r="AA77" s="1">
        <v>0.24561403508771928</v>
      </c>
      <c r="AB77" s="1">
        <v>8.7719298245614113E-2</v>
      </c>
      <c r="AC77" s="1">
        <v>0</v>
      </c>
      <c r="AD77" s="1">
        <v>5.2631578947368474E-2</v>
      </c>
      <c r="AE77" s="1">
        <v>7.0175438596491363E-2</v>
      </c>
      <c r="AF77" s="1">
        <v>0.10526315789473695</v>
      </c>
      <c r="AG77" s="1">
        <v>1</v>
      </c>
      <c r="AH77" s="1">
        <v>57</v>
      </c>
      <c r="AI77" s="1">
        <v>1</v>
      </c>
      <c r="AJ77" s="1">
        <v>55.405949999999883</v>
      </c>
      <c r="AK77" s="1">
        <v>43.617450000000012</v>
      </c>
      <c r="AL77" s="1">
        <v>23.577000000000002</v>
      </c>
      <c r="AM77" s="1">
        <v>14.146200000000015</v>
      </c>
      <c r="AN77" s="1">
        <v>16.503900000000016</v>
      </c>
      <c r="AO77" s="1">
        <v>3.5365500000000032</v>
      </c>
      <c r="AP77" s="1">
        <v>9.430799999999989</v>
      </c>
      <c r="AQ77" s="1">
        <v>0.78723404255319229</v>
      </c>
      <c r="AR77" s="1">
        <v>0.42553191489361786</v>
      </c>
      <c r="AS77" s="1">
        <v>0.25531914893617025</v>
      </c>
      <c r="AT77" s="1">
        <v>0.2978723404255324</v>
      </c>
      <c r="AU77" s="1">
        <v>6.3829787234042562E-2</v>
      </c>
      <c r="AV77" s="1">
        <v>0.17021276595744686</v>
      </c>
      <c r="AW77" s="1">
        <v>1</v>
      </c>
      <c r="AX77" s="1">
        <v>47</v>
      </c>
      <c r="AY77" s="1">
        <v>9.7586206896551726</v>
      </c>
      <c r="AZ77" s="1">
        <v>10</v>
      </c>
      <c r="BA77" s="1">
        <v>10</v>
      </c>
      <c r="BB77" s="1">
        <v>1.7241379310344869</v>
      </c>
      <c r="BC77" s="1">
        <v>0</v>
      </c>
      <c r="BD77" s="1">
        <v>0</v>
      </c>
      <c r="BE77" s="1">
        <v>0</v>
      </c>
      <c r="BF77" s="1">
        <v>0</v>
      </c>
      <c r="BG77" s="1">
        <v>0</v>
      </c>
      <c r="BH77" s="1">
        <v>0</v>
      </c>
      <c r="BI77" s="1">
        <v>1.7241379310344869</v>
      </c>
      <c r="BJ77" s="1">
        <v>5.1724137931034528</v>
      </c>
      <c r="BK77" s="1">
        <v>91.37931034482763</v>
      </c>
      <c r="BL77" s="1">
        <v>9.7586206896551815</v>
      </c>
      <c r="BM77" s="1">
        <v>58</v>
      </c>
      <c r="BN77" s="1">
        <v>0</v>
      </c>
      <c r="BO77" s="1">
        <v>0</v>
      </c>
      <c r="BP77" s="1">
        <v>0</v>
      </c>
      <c r="BQ77" s="1">
        <v>0</v>
      </c>
      <c r="BR77" s="1">
        <v>0</v>
      </c>
      <c r="BS77" s="1">
        <v>0</v>
      </c>
      <c r="BT77" s="1">
        <v>0</v>
      </c>
      <c r="BU77" s="1">
        <v>0</v>
      </c>
      <c r="BV77" s="1">
        <v>0</v>
      </c>
      <c r="BW77" s="1">
        <v>100</v>
      </c>
      <c r="BX77" s="1">
        <v>10.000000000000004</v>
      </c>
      <c r="BY77" s="1">
        <v>57</v>
      </c>
      <c r="BZ77" s="1">
        <v>0</v>
      </c>
      <c r="CA77" s="1">
        <v>0</v>
      </c>
      <c r="CB77" s="1">
        <v>0</v>
      </c>
      <c r="CC77" s="1">
        <v>0</v>
      </c>
      <c r="CD77" s="1">
        <v>0</v>
      </c>
      <c r="CE77" s="1">
        <v>0</v>
      </c>
      <c r="CF77" s="1">
        <v>0</v>
      </c>
      <c r="CG77" s="1">
        <v>0</v>
      </c>
      <c r="CH77" s="1">
        <v>0</v>
      </c>
      <c r="CI77" s="1">
        <v>100</v>
      </c>
      <c r="CJ77" s="1">
        <v>10.000000000000004</v>
      </c>
      <c r="CK77" s="1">
        <v>57</v>
      </c>
      <c r="CL77" s="1">
        <v>74.545454545454561</v>
      </c>
      <c r="CM77" s="1">
        <v>21.818181818181838</v>
      </c>
      <c r="CN77" s="1">
        <v>0</v>
      </c>
      <c r="CO77" s="1">
        <v>1.818181818181817</v>
      </c>
      <c r="CP77" s="1">
        <v>1.818181818181817</v>
      </c>
      <c r="CQ77" s="1">
        <v>55</v>
      </c>
      <c r="CR77" s="1">
        <v>93.220338983050993</v>
      </c>
      <c r="CS77" s="1">
        <v>6.7796610169491531</v>
      </c>
      <c r="CT77" s="1">
        <v>0</v>
      </c>
      <c r="CU77" s="1">
        <v>0</v>
      </c>
      <c r="CV77" s="1">
        <v>0</v>
      </c>
      <c r="CW77" s="1">
        <v>59</v>
      </c>
      <c r="CX77" s="1">
        <v>100</v>
      </c>
      <c r="CY77" s="1">
        <v>0</v>
      </c>
      <c r="CZ77" s="1">
        <v>0</v>
      </c>
      <c r="DA77" s="1">
        <v>0</v>
      </c>
      <c r="DB77" s="1">
        <v>0</v>
      </c>
      <c r="DC77" s="1">
        <v>59</v>
      </c>
      <c r="DD77" s="1">
        <v>94.915254237288224</v>
      </c>
      <c r="DE77" s="1">
        <v>5.084745762711866</v>
      </c>
      <c r="DF77" s="1">
        <v>0</v>
      </c>
      <c r="DG77" s="1">
        <v>0</v>
      </c>
      <c r="DH77" s="1">
        <v>0</v>
      </c>
      <c r="DI77" s="1">
        <v>59</v>
      </c>
      <c r="DJ77" s="1">
        <v>94.230769230769255</v>
      </c>
      <c r="DK77" s="1">
        <v>5.7692307692307745</v>
      </c>
      <c r="DL77" s="1">
        <v>0</v>
      </c>
      <c r="DM77" s="1">
        <v>0</v>
      </c>
      <c r="DN77" s="1">
        <v>0</v>
      </c>
      <c r="DO77" s="1">
        <v>52</v>
      </c>
      <c r="DP77" s="1">
        <v>96.551724137931103</v>
      </c>
      <c r="DQ77" s="1">
        <v>3.4482758620689737</v>
      </c>
      <c r="DR77" s="1">
        <v>0</v>
      </c>
      <c r="DS77" s="1">
        <v>0</v>
      </c>
      <c r="DT77" s="1">
        <v>0</v>
      </c>
      <c r="DU77" s="1">
        <v>58</v>
      </c>
      <c r="DV77" s="1">
        <v>96</v>
      </c>
      <c r="DW77" s="1">
        <v>3.9999999999999996</v>
      </c>
      <c r="DX77" s="1">
        <v>0</v>
      </c>
      <c r="DY77" s="1">
        <v>0</v>
      </c>
      <c r="DZ77" s="1">
        <v>0</v>
      </c>
      <c r="EA77" s="1">
        <v>25</v>
      </c>
      <c r="EB77" s="1">
        <v>71.428571428571473</v>
      </c>
      <c r="EC77" s="1">
        <v>0</v>
      </c>
      <c r="ED77" s="1">
        <v>7.1428571428571512</v>
      </c>
      <c r="EE77" s="1">
        <v>21.428571428571413</v>
      </c>
      <c r="EF77" s="1">
        <v>0</v>
      </c>
      <c r="EG77" s="1">
        <v>14</v>
      </c>
      <c r="EH77" s="1">
        <v>66.6666666666666</v>
      </c>
      <c r="EI77" s="1">
        <v>16.66666666666665</v>
      </c>
      <c r="EJ77" s="1">
        <v>16.66666666666665</v>
      </c>
      <c r="EK77" s="1">
        <v>0</v>
      </c>
      <c r="EL77" s="1">
        <v>0</v>
      </c>
      <c r="EM77" s="1">
        <v>6</v>
      </c>
      <c r="EN77" s="1">
        <v>53.846153846153818</v>
      </c>
      <c r="EO77" s="1">
        <v>30.769230769230731</v>
      </c>
      <c r="EP77" s="1">
        <v>15.384615384615365</v>
      </c>
      <c r="EQ77" s="1">
        <v>0</v>
      </c>
      <c r="ER77" s="1">
        <v>0</v>
      </c>
      <c r="ES77" s="1">
        <v>13</v>
      </c>
      <c r="ET77" s="1">
        <v>49.999999999999993</v>
      </c>
      <c r="EU77" s="1">
        <v>33.3333333333333</v>
      </c>
      <c r="EV77" s="1">
        <v>16.66666666666665</v>
      </c>
      <c r="EW77" s="1">
        <v>0</v>
      </c>
      <c r="EX77" s="1">
        <v>0</v>
      </c>
      <c r="EY77" s="1">
        <v>12</v>
      </c>
      <c r="EZ77" s="1">
        <v>59.999999999999993</v>
      </c>
      <c r="FA77" s="1">
        <v>30</v>
      </c>
      <c r="FB77" s="1">
        <v>9.9999999999999982</v>
      </c>
      <c r="FC77" s="1">
        <v>0</v>
      </c>
      <c r="FD77" s="1">
        <v>0</v>
      </c>
      <c r="FE77" s="1">
        <v>10</v>
      </c>
      <c r="FF77" s="1">
        <v>85.71428571428568</v>
      </c>
      <c r="FG77" s="1">
        <v>0</v>
      </c>
      <c r="FH77" s="1">
        <v>14.285714285714302</v>
      </c>
      <c r="FI77" s="1">
        <v>0</v>
      </c>
      <c r="FJ77" s="1">
        <v>0</v>
      </c>
      <c r="FK77" s="1">
        <v>7</v>
      </c>
      <c r="FL77" s="1">
        <v>59.999999999999993</v>
      </c>
      <c r="FM77" s="1">
        <v>19.999999999999996</v>
      </c>
      <c r="FN77" s="1">
        <v>9.9999999999999982</v>
      </c>
      <c r="FO77" s="1">
        <v>9.9999999999999982</v>
      </c>
      <c r="FP77" s="1">
        <v>0</v>
      </c>
      <c r="FQ77" s="1">
        <v>10</v>
      </c>
      <c r="FR77" s="1">
        <v>71.428571428571473</v>
      </c>
      <c r="FS77" s="1">
        <v>14.285714285714302</v>
      </c>
      <c r="FT77" s="1">
        <v>14.285714285714302</v>
      </c>
      <c r="FU77" s="1">
        <v>0</v>
      </c>
      <c r="FV77" s="1">
        <v>0</v>
      </c>
      <c r="FW77" s="1">
        <v>7</v>
      </c>
      <c r="FX77" s="1">
        <v>94.230769230769255</v>
      </c>
      <c r="FY77" s="1">
        <v>5.7692307692307745</v>
      </c>
      <c r="FZ77" s="1">
        <v>0</v>
      </c>
      <c r="GA77" s="1">
        <v>0</v>
      </c>
      <c r="GB77" s="1">
        <v>0</v>
      </c>
      <c r="GC77" s="1">
        <v>52</v>
      </c>
      <c r="GD77" s="1">
        <v>92.592592592592482</v>
      </c>
      <c r="GE77" s="1">
        <v>7.407407407407395</v>
      </c>
      <c r="GF77" s="1">
        <v>0</v>
      </c>
      <c r="GG77" s="1">
        <v>0</v>
      </c>
      <c r="GH77" s="1">
        <v>0</v>
      </c>
      <c r="GI77" s="1">
        <v>27</v>
      </c>
      <c r="GJ77" s="1">
        <v>86.956521739130395</v>
      </c>
      <c r="GK77" s="1">
        <v>13.043478260869543</v>
      </c>
      <c r="GL77" s="1">
        <v>0</v>
      </c>
      <c r="GM77" s="1">
        <v>0</v>
      </c>
      <c r="GN77" s="1">
        <v>0</v>
      </c>
      <c r="GO77" s="1">
        <v>23</v>
      </c>
      <c r="GP77" s="1">
        <v>78.571428571428513</v>
      </c>
      <c r="GQ77" s="1">
        <v>21.428571428571413</v>
      </c>
      <c r="GR77" s="1">
        <v>0</v>
      </c>
      <c r="GS77" s="1">
        <v>0</v>
      </c>
      <c r="GT77" s="1">
        <v>0</v>
      </c>
      <c r="GU77" s="1">
        <v>28</v>
      </c>
      <c r="GV77" s="1">
        <v>92.592592592592482</v>
      </c>
      <c r="GW77" s="1">
        <v>7.407407407407395</v>
      </c>
      <c r="GX77" s="1">
        <v>0</v>
      </c>
      <c r="GY77" s="1">
        <v>0</v>
      </c>
      <c r="GZ77" s="1">
        <v>0</v>
      </c>
      <c r="HA77" s="1">
        <v>27</v>
      </c>
      <c r="HB77" s="1">
        <v>72.727272727272663</v>
      </c>
      <c r="HC77" s="1">
        <v>18.181818181818166</v>
      </c>
      <c r="HD77" s="1">
        <v>9.0909090909090828</v>
      </c>
      <c r="HE77" s="1">
        <v>0</v>
      </c>
      <c r="HF77" s="1">
        <v>0</v>
      </c>
      <c r="HG77" s="1">
        <v>11</v>
      </c>
      <c r="HH77" s="1">
        <v>66.6666666666666</v>
      </c>
      <c r="HI77" s="1">
        <v>16.66666666666665</v>
      </c>
      <c r="HJ77" s="1">
        <v>16.66666666666665</v>
      </c>
      <c r="HK77" s="1">
        <v>0</v>
      </c>
      <c r="HL77" s="1">
        <v>0</v>
      </c>
      <c r="HM77" s="1">
        <v>18</v>
      </c>
      <c r="HN77" s="1">
        <v>0</v>
      </c>
      <c r="HO77" s="1">
        <v>0</v>
      </c>
      <c r="HP77" s="1">
        <v>0</v>
      </c>
      <c r="HQ77" s="1">
        <v>0</v>
      </c>
      <c r="HR77" s="1">
        <v>0</v>
      </c>
      <c r="HS77" s="1">
        <v>0</v>
      </c>
      <c r="HT77" s="1">
        <v>0</v>
      </c>
      <c r="HU77" s="1">
        <v>0</v>
      </c>
      <c r="HV77" s="1">
        <v>0</v>
      </c>
      <c r="HW77" s="1">
        <v>0</v>
      </c>
      <c r="HX77" s="1">
        <v>0</v>
      </c>
      <c r="HY77" s="1">
        <v>0</v>
      </c>
      <c r="HZ77" s="1">
        <v>0</v>
      </c>
      <c r="IA77" s="1">
        <v>0</v>
      </c>
      <c r="IB77" s="1">
        <v>0</v>
      </c>
      <c r="IC77" s="1">
        <v>0</v>
      </c>
      <c r="ID77" s="1">
        <v>0</v>
      </c>
      <c r="IE77" s="1">
        <v>0</v>
      </c>
      <c r="IF77" s="1">
        <v>9.865384615384615</v>
      </c>
      <c r="IG77" s="1">
        <v>0</v>
      </c>
      <c r="IH77" s="1">
        <v>0</v>
      </c>
      <c r="II77" s="1">
        <v>0</v>
      </c>
      <c r="IJ77" s="1">
        <v>0</v>
      </c>
      <c r="IK77" s="1">
        <v>0</v>
      </c>
      <c r="IL77" s="1">
        <v>0</v>
      </c>
      <c r="IM77" s="1">
        <v>0</v>
      </c>
      <c r="IN77" s="1">
        <v>1.9230769230769231</v>
      </c>
      <c r="IO77" s="1">
        <v>9.6153846153846327</v>
      </c>
      <c r="IP77" s="1">
        <v>88.461538461538439</v>
      </c>
      <c r="IQ77" s="1">
        <v>9.8653846153846327</v>
      </c>
      <c r="IR77" s="1">
        <v>52</v>
      </c>
      <c r="IS77" s="1">
        <v>70.689655172413865</v>
      </c>
      <c r="IT77" s="1">
        <v>6.8965517241379475</v>
      </c>
      <c r="IU77" s="1">
        <v>18.96551724137931</v>
      </c>
      <c r="IV77" s="1">
        <v>0</v>
      </c>
      <c r="IW77" s="1">
        <v>3.4482758620689737</v>
      </c>
      <c r="IX77" s="1">
        <v>58</v>
      </c>
      <c r="IY77" s="1">
        <v>1</v>
      </c>
      <c r="IZ77" s="1">
        <v>67.194449999999946</v>
      </c>
      <c r="JA77" s="1">
        <v>31.828950000000031</v>
      </c>
      <c r="JB77" s="1">
        <v>18.861599999999978</v>
      </c>
      <c r="JC77" s="1">
        <v>12.967350000000009</v>
      </c>
      <c r="JD77" s="1">
        <v>12.967350000000009</v>
      </c>
      <c r="JE77" s="1">
        <v>0.47368421052631599</v>
      </c>
      <c r="JF77" s="1">
        <v>0.28070175438596545</v>
      </c>
      <c r="JG77" s="1">
        <v>0.19298245614035106</v>
      </c>
      <c r="JH77" s="1">
        <v>0.19298245614035106</v>
      </c>
      <c r="JI77" s="1">
        <v>1</v>
      </c>
      <c r="JJ77" s="1">
        <v>57</v>
      </c>
      <c r="JK77" s="1">
        <v>2.3684210526315788</v>
      </c>
      <c r="JL77" s="1">
        <v>2.3684210526315792</v>
      </c>
      <c r="JM77" s="1">
        <v>57</v>
      </c>
      <c r="JN77" s="1">
        <v>92.857142857142861</v>
      </c>
      <c r="JO77" s="1">
        <v>7.1428571428571512</v>
      </c>
      <c r="JP77" s="1">
        <v>14</v>
      </c>
      <c r="JQ77" s="1">
        <v>100.00000000000001</v>
      </c>
      <c r="JR77" s="1">
        <v>0</v>
      </c>
      <c r="JS77" s="1">
        <v>26</v>
      </c>
      <c r="JT77" s="1">
        <v>97.222222222222314</v>
      </c>
      <c r="JU77" s="1">
        <v>2.7777777777777741</v>
      </c>
      <c r="JV77" s="1">
        <v>36</v>
      </c>
      <c r="JW77" s="1">
        <v>100</v>
      </c>
      <c r="JX77" s="1">
        <v>0</v>
      </c>
      <c r="JY77" s="1">
        <v>32</v>
      </c>
      <c r="JZ77" s="1">
        <v>50.000000000000028</v>
      </c>
      <c r="KA77" s="1">
        <v>50.000000000000028</v>
      </c>
      <c r="KB77" s="1">
        <v>56</v>
      </c>
      <c r="KC77" s="1">
        <v>100</v>
      </c>
      <c r="KD77" s="1">
        <v>0</v>
      </c>
      <c r="KE77" s="1">
        <v>56</v>
      </c>
      <c r="KF77" s="1">
        <v>3.5370370370370372</v>
      </c>
      <c r="KG77" s="1">
        <v>1.8518518518518514</v>
      </c>
      <c r="KH77" s="1">
        <v>18.518518518518555</v>
      </c>
      <c r="KI77" s="1">
        <v>25.925925925925938</v>
      </c>
      <c r="KJ77" s="1">
        <v>31.48148148148152</v>
      </c>
      <c r="KK77" s="1">
        <v>22.222222222222243</v>
      </c>
      <c r="KL77" s="1">
        <v>54</v>
      </c>
      <c r="KM77" s="1">
        <v>61.31481481481481</v>
      </c>
      <c r="KN77" s="1">
        <v>61.555555555555557</v>
      </c>
      <c r="KO77" s="1">
        <v>0</v>
      </c>
      <c r="KP77" s="1">
        <v>11.111111111111097</v>
      </c>
      <c r="KQ77" s="1">
        <v>55.555555555555621</v>
      </c>
      <c r="KR77" s="1">
        <v>0</v>
      </c>
      <c r="KS77" s="1">
        <v>33.3333333333333</v>
      </c>
      <c r="KT77" s="1">
        <v>9</v>
      </c>
      <c r="KU77" s="1">
        <v>0</v>
      </c>
      <c r="KV77" s="1">
        <v>0</v>
      </c>
      <c r="KW77" s="1">
        <v>5.4545454545454595</v>
      </c>
      <c r="KX77" s="1">
        <v>94.545454545454646</v>
      </c>
      <c r="KY77" s="1">
        <v>0</v>
      </c>
      <c r="KZ77" s="1">
        <v>55</v>
      </c>
      <c r="LA77" s="1">
        <v>12.727272727272746</v>
      </c>
      <c r="LB77" s="1">
        <v>87.272727272727295</v>
      </c>
      <c r="LC77" s="1">
        <v>55</v>
      </c>
      <c r="LD77" s="1">
        <v>0</v>
      </c>
      <c r="LE77" s="1">
        <v>0</v>
      </c>
      <c r="LF77" s="1">
        <v>100</v>
      </c>
      <c r="LG77" s="1">
        <v>7</v>
      </c>
    </row>
    <row r="78" spans="1:319" x14ac:dyDescent="0.25">
      <c r="A78" s="1">
        <v>233</v>
      </c>
      <c r="B78" s="1">
        <v>6.8181818181818139</v>
      </c>
      <c r="C78" s="1">
        <v>93.181818181818102</v>
      </c>
      <c r="D78" s="1">
        <v>44</v>
      </c>
      <c r="E78" s="1">
        <v>74.999999999999986</v>
      </c>
      <c r="F78" s="1">
        <v>25.000000000000007</v>
      </c>
      <c r="G78" s="1">
        <v>40</v>
      </c>
      <c r="H78" s="1">
        <v>56.666666666666728</v>
      </c>
      <c r="I78" s="1">
        <v>43.333333333333336</v>
      </c>
      <c r="J78" s="1">
        <v>30</v>
      </c>
      <c r="K78" s="1">
        <v>1</v>
      </c>
      <c r="L78" s="1">
        <v>22.427099999999999</v>
      </c>
      <c r="M78" s="1">
        <v>17.443299999999994</v>
      </c>
      <c r="N78" s="1">
        <v>0</v>
      </c>
      <c r="O78" s="1">
        <v>2.9902799999999994</v>
      </c>
      <c r="P78" s="1">
        <v>0.49837999999999999</v>
      </c>
      <c r="Q78" s="1">
        <v>1.99352</v>
      </c>
      <c r="R78" s="1">
        <v>0.99675999999999998</v>
      </c>
      <c r="S78" s="1">
        <v>0</v>
      </c>
      <c r="T78" s="1">
        <v>1.99352</v>
      </c>
      <c r="U78" s="1">
        <v>4.9838000000000013</v>
      </c>
      <c r="V78" s="1">
        <v>1.4951399999999997</v>
      </c>
      <c r="W78" s="1">
        <v>0.7777777777777779</v>
      </c>
      <c r="X78" s="1">
        <v>0</v>
      </c>
      <c r="Y78" s="1">
        <v>0.13333333333333344</v>
      </c>
      <c r="Z78" s="1">
        <v>2.2222222222222233E-2</v>
      </c>
      <c r="AA78" s="1">
        <v>8.8888888888888934E-2</v>
      </c>
      <c r="AB78" s="1">
        <v>4.4444444444444495E-2</v>
      </c>
      <c r="AC78" s="1">
        <v>0</v>
      </c>
      <c r="AD78" s="1">
        <v>8.8888888888888934E-2</v>
      </c>
      <c r="AE78" s="1">
        <v>0.2222222222222221</v>
      </c>
      <c r="AF78" s="1">
        <v>6.6666666666666721E-2</v>
      </c>
      <c r="AG78" s="1">
        <v>1</v>
      </c>
      <c r="AH78" s="1">
        <v>45</v>
      </c>
      <c r="AI78" s="1">
        <v>1</v>
      </c>
      <c r="AJ78" s="1">
        <v>21.928719999999998</v>
      </c>
      <c r="AK78" s="1">
        <v>17.443299999999994</v>
      </c>
      <c r="AL78" s="1">
        <v>10.964359999999997</v>
      </c>
      <c r="AM78" s="1">
        <v>13.954639999999994</v>
      </c>
      <c r="AN78" s="1">
        <v>17.443299999999994</v>
      </c>
      <c r="AO78" s="1">
        <v>3.4886600000000008</v>
      </c>
      <c r="AP78" s="1">
        <v>2.4919000000000007</v>
      </c>
      <c r="AQ78" s="1">
        <v>0.79545454545454597</v>
      </c>
      <c r="AR78" s="1">
        <v>0.49999999999999994</v>
      </c>
      <c r="AS78" s="1">
        <v>0.63636363636363646</v>
      </c>
      <c r="AT78" s="1">
        <v>0.79545454545454597</v>
      </c>
      <c r="AU78" s="1">
        <v>0.15909090909090914</v>
      </c>
      <c r="AV78" s="1">
        <v>0.11363636363636359</v>
      </c>
      <c r="AW78" s="1">
        <v>1</v>
      </c>
      <c r="AX78" s="1">
        <v>44</v>
      </c>
      <c r="AY78" s="1">
        <v>9.8181818181818183</v>
      </c>
      <c r="AZ78" s="1">
        <v>9.6363636363636367</v>
      </c>
      <c r="BA78" s="1">
        <v>9.7441860465116275</v>
      </c>
      <c r="BB78" s="1">
        <v>0</v>
      </c>
      <c r="BC78" s="1">
        <v>0</v>
      </c>
      <c r="BD78" s="1">
        <v>0</v>
      </c>
      <c r="BE78" s="1">
        <v>0</v>
      </c>
      <c r="BF78" s="1">
        <v>0</v>
      </c>
      <c r="BG78" s="1">
        <v>2.2727272727272707</v>
      </c>
      <c r="BH78" s="1">
        <v>0</v>
      </c>
      <c r="BI78" s="1">
        <v>4.5454545454545414</v>
      </c>
      <c r="BJ78" s="1">
        <v>0</v>
      </c>
      <c r="BK78" s="1">
        <v>93.181818181818102</v>
      </c>
      <c r="BL78" s="1">
        <v>9.8181818181818166</v>
      </c>
      <c r="BM78" s="1">
        <v>44</v>
      </c>
      <c r="BN78" s="1">
        <v>0</v>
      </c>
      <c r="BO78" s="1">
        <v>0</v>
      </c>
      <c r="BP78" s="1">
        <v>0</v>
      </c>
      <c r="BQ78" s="1">
        <v>0</v>
      </c>
      <c r="BR78" s="1">
        <v>0</v>
      </c>
      <c r="BS78" s="1">
        <v>2.2727272727272707</v>
      </c>
      <c r="BT78" s="1">
        <v>0</v>
      </c>
      <c r="BU78" s="1">
        <v>9.0909090909090828</v>
      </c>
      <c r="BV78" s="1">
        <v>9.0909090909090828</v>
      </c>
      <c r="BW78" s="1">
        <v>79.545454545454504</v>
      </c>
      <c r="BX78" s="1">
        <v>9.6363636363636314</v>
      </c>
      <c r="BY78" s="1">
        <v>44</v>
      </c>
      <c r="BZ78" s="1">
        <v>0</v>
      </c>
      <c r="CA78" s="1">
        <v>0</v>
      </c>
      <c r="CB78" s="1">
        <v>0</v>
      </c>
      <c r="CC78" s="1">
        <v>0</v>
      </c>
      <c r="CD78" s="1">
        <v>0</v>
      </c>
      <c r="CE78" s="1">
        <v>0</v>
      </c>
      <c r="CF78" s="1">
        <v>2.3255813953488351</v>
      </c>
      <c r="CG78" s="1">
        <v>6.976744186046516</v>
      </c>
      <c r="CH78" s="1">
        <v>4.6511627906976702</v>
      </c>
      <c r="CI78" s="1">
        <v>86.046511627906952</v>
      </c>
      <c r="CJ78" s="1">
        <v>9.744186046511631</v>
      </c>
      <c r="CK78" s="1">
        <v>43</v>
      </c>
      <c r="CL78" s="1">
        <v>68.8888888888888</v>
      </c>
      <c r="CM78" s="1">
        <v>31.111111111111089</v>
      </c>
      <c r="CN78" s="1">
        <v>0</v>
      </c>
      <c r="CO78" s="1">
        <v>0</v>
      </c>
      <c r="CP78" s="1">
        <v>0</v>
      </c>
      <c r="CQ78" s="1">
        <v>45</v>
      </c>
      <c r="CR78" s="1">
        <v>91.111111111111185</v>
      </c>
      <c r="CS78" s="1">
        <v>8.8888888888888964</v>
      </c>
      <c r="CT78" s="1">
        <v>0</v>
      </c>
      <c r="CU78" s="1">
        <v>0</v>
      </c>
      <c r="CV78" s="1">
        <v>0</v>
      </c>
      <c r="CW78" s="1">
        <v>45</v>
      </c>
      <c r="CX78" s="1">
        <v>93.333333333333371</v>
      </c>
      <c r="CY78" s="1">
        <v>6.666666666666667</v>
      </c>
      <c r="CZ78" s="1">
        <v>0</v>
      </c>
      <c r="DA78" s="1">
        <v>0</v>
      </c>
      <c r="DB78" s="1">
        <v>0</v>
      </c>
      <c r="DC78" s="1">
        <v>45</v>
      </c>
      <c r="DD78" s="1">
        <v>88.8888888888888</v>
      </c>
      <c r="DE78" s="1">
        <v>11.1111111111111</v>
      </c>
      <c r="DF78" s="1">
        <v>0</v>
      </c>
      <c r="DG78" s="1">
        <v>0</v>
      </c>
      <c r="DH78" s="1">
        <v>0</v>
      </c>
      <c r="DI78" s="1">
        <v>45</v>
      </c>
      <c r="DJ78" s="1">
        <v>73.333333333333357</v>
      </c>
      <c r="DK78" s="1">
        <v>24.444444444444443</v>
      </c>
      <c r="DL78" s="1">
        <v>0</v>
      </c>
      <c r="DM78" s="1">
        <v>2.2222222222222241</v>
      </c>
      <c r="DN78" s="1">
        <v>0</v>
      </c>
      <c r="DO78" s="1">
        <v>45</v>
      </c>
      <c r="DP78" s="1">
        <v>84.090909090909022</v>
      </c>
      <c r="DQ78" s="1">
        <v>13.636363636363628</v>
      </c>
      <c r="DR78" s="1">
        <v>2.2727272727272707</v>
      </c>
      <c r="DS78" s="1">
        <v>0</v>
      </c>
      <c r="DT78" s="1">
        <v>0</v>
      </c>
      <c r="DU78" s="1">
        <v>44</v>
      </c>
      <c r="DV78" s="1">
        <v>67.857142857142961</v>
      </c>
      <c r="DW78" s="1">
        <v>25.000000000000004</v>
      </c>
      <c r="DX78" s="1">
        <v>3.5714285714285747</v>
      </c>
      <c r="DY78" s="1">
        <v>3.5714285714285747</v>
      </c>
      <c r="DZ78" s="1">
        <v>0</v>
      </c>
      <c r="EA78" s="1">
        <v>28</v>
      </c>
      <c r="EB78" s="1">
        <v>85.714285714285751</v>
      </c>
      <c r="EC78" s="1">
        <v>14.285714285714292</v>
      </c>
      <c r="ED78" s="1">
        <v>0</v>
      </c>
      <c r="EE78" s="1">
        <v>0</v>
      </c>
      <c r="EF78" s="1">
        <v>0</v>
      </c>
      <c r="EG78" s="1">
        <v>7</v>
      </c>
      <c r="EH78" s="1">
        <v>80.000000000000014</v>
      </c>
      <c r="EI78" s="1">
        <v>20.000000000000004</v>
      </c>
      <c r="EJ78" s="1">
        <v>0</v>
      </c>
      <c r="EK78" s="1">
        <v>0</v>
      </c>
      <c r="EL78" s="1">
        <v>0</v>
      </c>
      <c r="EM78" s="1">
        <v>5</v>
      </c>
      <c r="EN78" s="1">
        <v>33.333333333333329</v>
      </c>
      <c r="EO78" s="1">
        <v>56.410256410256359</v>
      </c>
      <c r="EP78" s="1">
        <v>5.1282051282051331</v>
      </c>
      <c r="EQ78" s="1">
        <v>5.1282051282051331</v>
      </c>
      <c r="ER78" s="1">
        <v>0</v>
      </c>
      <c r="ES78" s="1">
        <v>39</v>
      </c>
      <c r="ET78" s="1">
        <v>39.473684210526308</v>
      </c>
      <c r="EU78" s="1">
        <v>47.368421052631625</v>
      </c>
      <c r="EV78" s="1">
        <v>10.526315789473696</v>
      </c>
      <c r="EW78" s="1">
        <v>2.6315789473684239</v>
      </c>
      <c r="EX78" s="1">
        <v>0</v>
      </c>
      <c r="EY78" s="1">
        <v>38</v>
      </c>
      <c r="EZ78" s="1">
        <v>57.142857142857167</v>
      </c>
      <c r="FA78" s="1">
        <v>33.333333333333329</v>
      </c>
      <c r="FB78" s="1">
        <v>9.5238095238095219</v>
      </c>
      <c r="FC78" s="1">
        <v>0</v>
      </c>
      <c r="FD78" s="1">
        <v>0</v>
      </c>
      <c r="FE78" s="1">
        <v>21</v>
      </c>
      <c r="FF78" s="1">
        <v>50</v>
      </c>
      <c r="FG78" s="1">
        <v>41.666666666666693</v>
      </c>
      <c r="FH78" s="1">
        <v>8.3333333333333304</v>
      </c>
      <c r="FI78" s="1">
        <v>0</v>
      </c>
      <c r="FJ78" s="1">
        <v>0</v>
      </c>
      <c r="FK78" s="1">
        <v>12</v>
      </c>
      <c r="FL78" s="1">
        <v>79.411764705882405</v>
      </c>
      <c r="FM78" s="1">
        <v>8.8235294117647012</v>
      </c>
      <c r="FN78" s="1">
        <v>11.76470588235294</v>
      </c>
      <c r="FO78" s="1">
        <v>0</v>
      </c>
      <c r="FP78" s="1">
        <v>0</v>
      </c>
      <c r="FQ78" s="1">
        <v>34</v>
      </c>
      <c r="FR78" s="1">
        <v>87.500000000000014</v>
      </c>
      <c r="FS78" s="1">
        <v>12.500000000000002</v>
      </c>
      <c r="FT78" s="1">
        <v>0</v>
      </c>
      <c r="FU78" s="1">
        <v>0</v>
      </c>
      <c r="FV78" s="1">
        <v>0</v>
      </c>
      <c r="FW78" s="1">
        <v>24</v>
      </c>
      <c r="FX78" s="1">
        <v>97.777777777777771</v>
      </c>
      <c r="FY78" s="1">
        <v>2.2222222222222241</v>
      </c>
      <c r="FZ78" s="1">
        <v>0</v>
      </c>
      <c r="GA78" s="1">
        <v>0</v>
      </c>
      <c r="GB78" s="1">
        <v>0</v>
      </c>
      <c r="GC78" s="1">
        <v>45</v>
      </c>
      <c r="GD78" s="1">
        <v>53.846153846153818</v>
      </c>
      <c r="GE78" s="1">
        <v>30.769230769230738</v>
      </c>
      <c r="GF78" s="1">
        <v>15.384615384615369</v>
      </c>
      <c r="GG78" s="1">
        <v>0</v>
      </c>
      <c r="GH78" s="1">
        <v>0</v>
      </c>
      <c r="GI78" s="1">
        <v>13</v>
      </c>
      <c r="GJ78" s="1">
        <v>70</v>
      </c>
      <c r="GK78" s="1">
        <v>20.000000000000004</v>
      </c>
      <c r="GL78" s="1">
        <v>10.000000000000002</v>
      </c>
      <c r="GM78" s="1">
        <v>0</v>
      </c>
      <c r="GN78" s="1">
        <v>0</v>
      </c>
      <c r="GO78" s="1">
        <v>10</v>
      </c>
      <c r="GP78" s="1">
        <v>57.142857142857167</v>
      </c>
      <c r="GQ78" s="1">
        <v>28.571428571428584</v>
      </c>
      <c r="GR78" s="1">
        <v>7.1428571428571459</v>
      </c>
      <c r="GS78" s="1">
        <v>7.1428571428571459</v>
      </c>
      <c r="GT78" s="1">
        <v>0</v>
      </c>
      <c r="GU78" s="1">
        <v>42</v>
      </c>
      <c r="GV78" s="1">
        <v>83.720930232558175</v>
      </c>
      <c r="GW78" s="1">
        <v>13.953488372093032</v>
      </c>
      <c r="GX78" s="1">
        <v>0</v>
      </c>
      <c r="GY78" s="1">
        <v>2.3255813953488351</v>
      </c>
      <c r="GZ78" s="1">
        <v>0</v>
      </c>
      <c r="HA78" s="1">
        <v>43</v>
      </c>
      <c r="HB78" s="1">
        <v>40.000000000000007</v>
      </c>
      <c r="HC78" s="1">
        <v>60</v>
      </c>
      <c r="HD78" s="1">
        <v>0</v>
      </c>
      <c r="HE78" s="1">
        <v>0</v>
      </c>
      <c r="HF78" s="1">
        <v>0</v>
      </c>
      <c r="HG78" s="1">
        <v>5</v>
      </c>
      <c r="HH78" s="1">
        <v>66.666666666666643</v>
      </c>
      <c r="HI78" s="1">
        <v>0</v>
      </c>
      <c r="HJ78" s="1">
        <v>33.333333333333321</v>
      </c>
      <c r="HK78" s="1">
        <v>0</v>
      </c>
      <c r="HL78" s="1">
        <v>0</v>
      </c>
      <c r="HM78" s="1">
        <v>3</v>
      </c>
      <c r="HN78" s="1">
        <v>0</v>
      </c>
      <c r="HO78" s="1">
        <v>0</v>
      </c>
      <c r="HP78" s="1">
        <v>0</v>
      </c>
      <c r="HQ78" s="1">
        <v>0</v>
      </c>
      <c r="HR78" s="1">
        <v>0</v>
      </c>
      <c r="HS78" s="1">
        <v>0</v>
      </c>
      <c r="HT78" s="1">
        <v>0</v>
      </c>
      <c r="HU78" s="1">
        <v>0</v>
      </c>
      <c r="HV78" s="1">
        <v>0</v>
      </c>
      <c r="HW78" s="1">
        <v>0</v>
      </c>
      <c r="HX78" s="1">
        <v>0</v>
      </c>
      <c r="HY78" s="1">
        <v>0</v>
      </c>
      <c r="HZ78" s="1">
        <v>0</v>
      </c>
      <c r="IA78" s="1">
        <v>0</v>
      </c>
      <c r="IB78" s="1">
        <v>0</v>
      </c>
      <c r="IC78" s="1">
        <v>0</v>
      </c>
      <c r="ID78" s="1">
        <v>0</v>
      </c>
      <c r="IE78" s="1">
        <v>0</v>
      </c>
      <c r="IF78" s="1">
        <v>9.3720930232558146</v>
      </c>
      <c r="IG78" s="1">
        <v>0</v>
      </c>
      <c r="IH78" s="1">
        <v>0</v>
      </c>
      <c r="II78" s="1">
        <v>0</v>
      </c>
      <c r="IJ78" s="1">
        <v>0</v>
      </c>
      <c r="IK78" s="1">
        <v>2.3255813953488351</v>
      </c>
      <c r="IL78" s="1">
        <v>0</v>
      </c>
      <c r="IM78" s="1">
        <v>0</v>
      </c>
      <c r="IN78" s="1">
        <v>6.976744186046516</v>
      </c>
      <c r="IO78" s="1">
        <v>37.209302325581362</v>
      </c>
      <c r="IP78" s="1">
        <v>53.488372093023223</v>
      </c>
      <c r="IQ78" s="1">
        <v>9.372093023255827</v>
      </c>
      <c r="IR78" s="1">
        <v>43</v>
      </c>
      <c r="IS78" s="1">
        <v>2.2222222222222241</v>
      </c>
      <c r="IT78" s="1">
        <v>55.555555555555515</v>
      </c>
      <c r="IU78" s="1">
        <v>40</v>
      </c>
      <c r="IV78" s="1">
        <v>0</v>
      </c>
      <c r="IW78" s="1">
        <v>2.2222222222222241</v>
      </c>
      <c r="IX78" s="1">
        <v>45</v>
      </c>
      <c r="IY78" s="1">
        <v>1</v>
      </c>
      <c r="IZ78" s="1">
        <v>22.427099999999999</v>
      </c>
      <c r="JA78" s="1">
        <v>8.9708400000000044</v>
      </c>
      <c r="JB78" s="1">
        <v>5.4821799999999996</v>
      </c>
      <c r="JC78" s="1">
        <v>3.9870399999999999</v>
      </c>
      <c r="JD78" s="1">
        <v>7.4757000000000016</v>
      </c>
      <c r="JE78" s="1">
        <v>0.4</v>
      </c>
      <c r="JF78" s="1">
        <v>0.24444444444444421</v>
      </c>
      <c r="JG78" s="1">
        <v>0.17777777777777787</v>
      </c>
      <c r="JH78" s="1">
        <v>0.33333333333333354</v>
      </c>
      <c r="JI78" s="1">
        <v>1</v>
      </c>
      <c r="JJ78" s="1">
        <v>45</v>
      </c>
      <c r="JK78" s="1">
        <v>4.177777777777778</v>
      </c>
      <c r="JL78" s="1">
        <v>4.1777777777777763</v>
      </c>
      <c r="JM78" s="1">
        <v>45</v>
      </c>
      <c r="JN78" s="1">
        <v>88.235294117646959</v>
      </c>
      <c r="JO78" s="1">
        <v>11.764705882352933</v>
      </c>
      <c r="JP78" s="1">
        <v>17</v>
      </c>
      <c r="JQ78" s="1">
        <v>100</v>
      </c>
      <c r="JR78" s="1">
        <v>0</v>
      </c>
      <c r="JS78" s="1">
        <v>20</v>
      </c>
      <c r="JT78" s="1">
        <v>100</v>
      </c>
      <c r="JU78" s="1">
        <v>0</v>
      </c>
      <c r="JV78" s="1">
        <v>36</v>
      </c>
      <c r="JW78" s="1">
        <v>90.625000000000014</v>
      </c>
      <c r="JX78" s="1">
        <v>9.3750000000000018</v>
      </c>
      <c r="JY78" s="1">
        <v>32</v>
      </c>
      <c r="JZ78" s="1">
        <v>50</v>
      </c>
      <c r="KA78" s="1">
        <v>50</v>
      </c>
      <c r="KB78" s="1">
        <v>40</v>
      </c>
      <c r="KC78" s="1">
        <v>97.435897435897445</v>
      </c>
      <c r="KD78" s="1">
        <v>2.5641025641025665</v>
      </c>
      <c r="KE78" s="1">
        <v>39</v>
      </c>
      <c r="KF78" s="1">
        <v>2.6842105263157894</v>
      </c>
      <c r="KG78" s="1">
        <v>10.526315789473696</v>
      </c>
      <c r="KH78" s="1">
        <v>36.842105263157912</v>
      </c>
      <c r="KI78" s="1">
        <v>31.578947368421044</v>
      </c>
      <c r="KJ78" s="1">
        <v>15.789473684210522</v>
      </c>
      <c r="KK78" s="1">
        <v>5.2631578947368478</v>
      </c>
      <c r="KL78" s="1">
        <v>38</v>
      </c>
      <c r="KM78" s="1">
        <v>47.18421052631583</v>
      </c>
      <c r="KN78" s="1">
        <v>43.4</v>
      </c>
      <c r="KO78" s="1">
        <v>0</v>
      </c>
      <c r="KP78" s="1">
        <v>10.000000000000002</v>
      </c>
      <c r="KQ78" s="1">
        <v>70</v>
      </c>
      <c r="KR78" s="1">
        <v>10.000000000000002</v>
      </c>
      <c r="KS78" s="1">
        <v>10.000000000000002</v>
      </c>
      <c r="KT78" s="1">
        <v>10</v>
      </c>
      <c r="KU78" s="1">
        <v>5.1282051282051331</v>
      </c>
      <c r="KV78" s="1">
        <v>0</v>
      </c>
      <c r="KW78" s="1">
        <v>2.5641025641025665</v>
      </c>
      <c r="KX78" s="1">
        <v>89.743589743589808</v>
      </c>
      <c r="KY78" s="1">
        <v>2.5641025641025665</v>
      </c>
      <c r="KZ78" s="1">
        <v>39</v>
      </c>
      <c r="LA78" s="1">
        <v>17.500000000000004</v>
      </c>
      <c r="LB78" s="1">
        <v>82.499999999999986</v>
      </c>
      <c r="LC78" s="1">
        <v>40</v>
      </c>
      <c r="LD78" s="1">
        <v>0</v>
      </c>
      <c r="LE78" s="1">
        <v>14.285714285714288</v>
      </c>
      <c r="LF78" s="1">
        <v>85.714285714285694</v>
      </c>
      <c r="LG78" s="1">
        <v>7</v>
      </c>
    </row>
    <row r="79" spans="1:319" x14ac:dyDescent="0.25">
      <c r="A79" s="1">
        <v>243</v>
      </c>
      <c r="B79" s="1">
        <v>36.885245901639401</v>
      </c>
      <c r="C79" s="1">
        <v>63.114754098360933</v>
      </c>
      <c r="D79" s="1">
        <v>122</v>
      </c>
      <c r="E79" s="1">
        <v>90.666666666666757</v>
      </c>
      <c r="F79" s="1">
        <v>9.3333333333333321</v>
      </c>
      <c r="G79" s="1">
        <v>75</v>
      </c>
      <c r="H79" s="1">
        <v>46.03174603174601</v>
      </c>
      <c r="I79" s="1">
        <v>53.968253968253947</v>
      </c>
      <c r="J79" s="1">
        <v>63</v>
      </c>
      <c r="K79" s="1">
        <v>1</v>
      </c>
      <c r="L79" s="1">
        <v>100.1945699999997</v>
      </c>
      <c r="M79" s="1">
        <v>27.696060000000088</v>
      </c>
      <c r="N79" s="1">
        <v>41.544090000000047</v>
      </c>
      <c r="O79" s="1">
        <v>30.95442000000002</v>
      </c>
      <c r="P79" s="1">
        <v>1.6291799999999979</v>
      </c>
      <c r="Q79" s="1">
        <v>21.179340000000007</v>
      </c>
      <c r="R79" s="1">
        <v>0.81458999999999893</v>
      </c>
      <c r="S79" s="1">
        <v>0</v>
      </c>
      <c r="T79" s="1">
        <v>8.9604900000000143</v>
      </c>
      <c r="U79" s="1">
        <v>4.8875399999999907</v>
      </c>
      <c r="V79" s="1">
        <v>4.8875399999999907</v>
      </c>
      <c r="W79" s="1">
        <v>0.27642276422764261</v>
      </c>
      <c r="X79" s="1">
        <v>0.41463414634146334</v>
      </c>
      <c r="Y79" s="1">
        <v>0.30894308943089482</v>
      </c>
      <c r="Z79" s="1">
        <v>1.6260162601626053E-2</v>
      </c>
      <c r="AA79" s="1">
        <v>0.21138211382113806</v>
      </c>
      <c r="AB79" s="1">
        <v>8.1300813008130263E-3</v>
      </c>
      <c r="AC79" s="1">
        <v>0</v>
      </c>
      <c r="AD79" s="1">
        <v>8.943089430894334E-2</v>
      </c>
      <c r="AE79" s="1">
        <v>4.8780487804878099E-2</v>
      </c>
      <c r="AF79" s="1">
        <v>4.8780487804878099E-2</v>
      </c>
      <c r="AG79" s="1">
        <v>1</v>
      </c>
      <c r="AH79" s="1">
        <v>123</v>
      </c>
      <c r="AI79" s="1">
        <v>1</v>
      </c>
      <c r="AJ79" s="1">
        <v>99.379979999999748</v>
      </c>
      <c r="AK79" s="1">
        <v>46.431630000000034</v>
      </c>
      <c r="AL79" s="1">
        <v>81.45900000000006</v>
      </c>
      <c r="AM79" s="1">
        <v>25.252289999999938</v>
      </c>
      <c r="AN79" s="1">
        <v>16.291799999999981</v>
      </c>
      <c r="AO79" s="1">
        <v>4.0729499999999943</v>
      </c>
      <c r="AP79" s="1">
        <v>13.848030000000044</v>
      </c>
      <c r="AQ79" s="1">
        <v>0.46721311475410043</v>
      </c>
      <c r="AR79" s="1">
        <v>0.81967213114754156</v>
      </c>
      <c r="AS79" s="1">
        <v>0.25409836065573832</v>
      </c>
      <c r="AT79" s="1">
        <v>0.16393442622950863</v>
      </c>
      <c r="AU79" s="1">
        <v>4.098360655737715E-2</v>
      </c>
      <c r="AV79" s="1">
        <v>0.13934426229508251</v>
      </c>
      <c r="AW79" s="1">
        <v>1</v>
      </c>
      <c r="AX79" s="1">
        <v>122</v>
      </c>
      <c r="AY79" s="1">
        <v>9.8595041322314056</v>
      </c>
      <c r="AZ79" s="1">
        <v>9.9586776859504127</v>
      </c>
      <c r="BA79" s="1">
        <v>9.9250000000000007</v>
      </c>
      <c r="BB79" s="1">
        <v>0</v>
      </c>
      <c r="BC79" s="1">
        <v>0</v>
      </c>
      <c r="BD79" s="1">
        <v>0</v>
      </c>
      <c r="BE79" s="1">
        <v>0</v>
      </c>
      <c r="BF79" s="1">
        <v>0</v>
      </c>
      <c r="BG79" s="1">
        <v>0</v>
      </c>
      <c r="BH79" s="1">
        <v>0.82644628099173534</v>
      </c>
      <c r="BI79" s="1">
        <v>3.3057851239669414</v>
      </c>
      <c r="BJ79" s="1">
        <v>4.9586776859504189</v>
      </c>
      <c r="BK79" s="1">
        <v>90.909090909090722</v>
      </c>
      <c r="BL79" s="1">
        <v>9.8595041322314287</v>
      </c>
      <c r="BM79" s="1">
        <v>121</v>
      </c>
      <c r="BN79" s="1">
        <v>0</v>
      </c>
      <c r="BO79" s="1">
        <v>0</v>
      </c>
      <c r="BP79" s="1">
        <v>0</v>
      </c>
      <c r="BQ79" s="1">
        <v>0</v>
      </c>
      <c r="BR79" s="1">
        <v>0</v>
      </c>
      <c r="BS79" s="1">
        <v>0</v>
      </c>
      <c r="BT79" s="1">
        <v>0</v>
      </c>
      <c r="BU79" s="1">
        <v>0.82644628099173534</v>
      </c>
      <c r="BV79" s="1">
        <v>2.4793388429752095</v>
      </c>
      <c r="BW79" s="1">
        <v>96.694214876033129</v>
      </c>
      <c r="BX79" s="1">
        <v>9.9586776859503949</v>
      </c>
      <c r="BY79" s="1">
        <v>121</v>
      </c>
      <c r="BZ79" s="1">
        <v>0</v>
      </c>
      <c r="CA79" s="1">
        <v>0</v>
      </c>
      <c r="CB79" s="1">
        <v>0</v>
      </c>
      <c r="CC79" s="1">
        <v>0</v>
      </c>
      <c r="CD79" s="1">
        <v>0</v>
      </c>
      <c r="CE79" s="1">
        <v>0</v>
      </c>
      <c r="CF79" s="1">
        <v>0.83333333333333259</v>
      </c>
      <c r="CG79" s="1">
        <v>0.83333333333333259</v>
      </c>
      <c r="CH79" s="1">
        <v>3.3333333333333304</v>
      </c>
      <c r="CI79" s="1">
        <v>95.000000000000014</v>
      </c>
      <c r="CJ79" s="1">
        <v>9.9249999999999758</v>
      </c>
      <c r="CK79" s="1">
        <v>120</v>
      </c>
      <c r="CL79" s="1">
        <v>50.406504065040906</v>
      </c>
      <c r="CM79" s="1">
        <v>34.959349593495972</v>
      </c>
      <c r="CN79" s="1">
        <v>5.691056910569122</v>
      </c>
      <c r="CO79" s="1">
        <v>7.3170731707317307</v>
      </c>
      <c r="CP79" s="1">
        <v>1.6260162601626014</v>
      </c>
      <c r="CQ79" s="1">
        <v>123</v>
      </c>
      <c r="CR79" s="1">
        <v>81.451612903225936</v>
      </c>
      <c r="CS79" s="1">
        <v>16.93548387096779</v>
      </c>
      <c r="CT79" s="1">
        <v>0.80645161290322775</v>
      </c>
      <c r="CU79" s="1">
        <v>0.80645161290322775</v>
      </c>
      <c r="CV79" s="1">
        <v>0</v>
      </c>
      <c r="CW79" s="1">
        <v>124</v>
      </c>
      <c r="CX79" s="1">
        <v>77.235772357723675</v>
      </c>
      <c r="CY79" s="1">
        <v>20.325203252032544</v>
      </c>
      <c r="CZ79" s="1">
        <v>2.4390243902439024</v>
      </c>
      <c r="DA79" s="1">
        <v>0</v>
      </c>
      <c r="DB79" s="1">
        <v>0</v>
      </c>
      <c r="DC79" s="1">
        <v>123</v>
      </c>
      <c r="DD79" s="1">
        <v>78.399999999999821</v>
      </c>
      <c r="DE79" s="1">
        <v>19.200000000000003</v>
      </c>
      <c r="DF79" s="1">
        <v>1.600000000000001</v>
      </c>
      <c r="DG79" s="1">
        <v>0.80000000000000049</v>
      </c>
      <c r="DH79" s="1">
        <v>0</v>
      </c>
      <c r="DI79" s="1">
        <v>125</v>
      </c>
      <c r="DJ79" s="1">
        <v>72.321428571428697</v>
      </c>
      <c r="DK79" s="1">
        <v>24.107142857142811</v>
      </c>
      <c r="DL79" s="1">
        <v>2.6785714285714395</v>
      </c>
      <c r="DM79" s="1">
        <v>0.89285714285714202</v>
      </c>
      <c r="DN79" s="1">
        <v>0</v>
      </c>
      <c r="DO79" s="1">
        <v>112</v>
      </c>
      <c r="DP79" s="1">
        <v>84.79999999999994</v>
      </c>
      <c r="DQ79" s="1">
        <v>13.599999999999977</v>
      </c>
      <c r="DR79" s="1">
        <v>1.600000000000001</v>
      </c>
      <c r="DS79" s="1">
        <v>0</v>
      </c>
      <c r="DT79" s="1">
        <v>0</v>
      </c>
      <c r="DU79" s="1">
        <v>125</v>
      </c>
      <c r="DV79" s="1">
        <v>63.888888888888872</v>
      </c>
      <c r="DW79" s="1">
        <v>27.777777777777821</v>
      </c>
      <c r="DX79" s="1">
        <v>4.6296296296296298</v>
      </c>
      <c r="DY79" s="1">
        <v>2.7777777777777755</v>
      </c>
      <c r="DZ79" s="1">
        <v>0.92592592592592471</v>
      </c>
      <c r="EA79" s="1">
        <v>108</v>
      </c>
      <c r="EB79" s="1">
        <v>71.428571428571445</v>
      </c>
      <c r="EC79" s="1">
        <v>22.857142857142819</v>
      </c>
      <c r="ED79" s="1">
        <v>5.7142857142857046</v>
      </c>
      <c r="EE79" s="1">
        <v>0</v>
      </c>
      <c r="EF79" s="1">
        <v>0</v>
      </c>
      <c r="EG79" s="1">
        <v>35</v>
      </c>
      <c r="EH79" s="1">
        <v>56.250000000000007</v>
      </c>
      <c r="EI79" s="1">
        <v>37.500000000000007</v>
      </c>
      <c r="EJ79" s="1">
        <v>6.2500000000000009</v>
      </c>
      <c r="EK79" s="1">
        <v>0</v>
      </c>
      <c r="EL79" s="1">
        <v>0</v>
      </c>
      <c r="EM79" s="1">
        <v>32</v>
      </c>
      <c r="EN79" s="1">
        <v>43.750000000000007</v>
      </c>
      <c r="EO79" s="1">
        <v>21.875000000000004</v>
      </c>
      <c r="EP79" s="1">
        <v>21.875000000000004</v>
      </c>
      <c r="EQ79" s="1">
        <v>6.2500000000000009</v>
      </c>
      <c r="ER79" s="1">
        <v>6.2500000000000009</v>
      </c>
      <c r="ES79" s="1">
        <v>32</v>
      </c>
      <c r="ET79" s="1">
        <v>46.875000000000007</v>
      </c>
      <c r="EU79" s="1">
        <v>21.875000000000004</v>
      </c>
      <c r="EV79" s="1">
        <v>15.625000000000002</v>
      </c>
      <c r="EW79" s="1">
        <v>9.3750000000000018</v>
      </c>
      <c r="EX79" s="1">
        <v>6.2500000000000009</v>
      </c>
      <c r="EY79" s="1">
        <v>32</v>
      </c>
      <c r="EZ79" s="1">
        <v>46.666666666666728</v>
      </c>
      <c r="FA79" s="1">
        <v>23.333333333333361</v>
      </c>
      <c r="FB79" s="1">
        <v>20</v>
      </c>
      <c r="FC79" s="1">
        <v>6.6666666666666563</v>
      </c>
      <c r="FD79" s="1">
        <v>3.3333333333333282</v>
      </c>
      <c r="FE79" s="1">
        <v>30</v>
      </c>
      <c r="FF79" s="1">
        <v>51.612903225806576</v>
      </c>
      <c r="FG79" s="1">
        <v>22.580645161290281</v>
      </c>
      <c r="FH79" s="1">
        <v>16.129032258064569</v>
      </c>
      <c r="FI79" s="1">
        <v>6.4516129032258176</v>
      </c>
      <c r="FJ79" s="1">
        <v>3.2258064516129088</v>
      </c>
      <c r="FK79" s="1">
        <v>31</v>
      </c>
      <c r="FL79" s="1">
        <v>73.529411764706111</v>
      </c>
      <c r="FM79" s="1">
        <v>17.647058823529438</v>
      </c>
      <c r="FN79" s="1">
        <v>0</v>
      </c>
      <c r="FO79" s="1">
        <v>2.9411764705882328</v>
      </c>
      <c r="FP79" s="1">
        <v>5.8823529411764657</v>
      </c>
      <c r="FQ79" s="1">
        <v>34</v>
      </c>
      <c r="FR79" s="1">
        <v>41.176470588235205</v>
      </c>
      <c r="FS79" s="1">
        <v>11.76470588235293</v>
      </c>
      <c r="FT79" s="1">
        <v>29.411764705882405</v>
      </c>
      <c r="FU79" s="1">
        <v>17.647058823529434</v>
      </c>
      <c r="FV79" s="1">
        <v>0</v>
      </c>
      <c r="FW79" s="1">
        <v>17</v>
      </c>
      <c r="FX79" s="1">
        <v>91.304347826087252</v>
      </c>
      <c r="FY79" s="1">
        <v>8.6956521739130288</v>
      </c>
      <c r="FZ79" s="1">
        <v>0</v>
      </c>
      <c r="GA79" s="1">
        <v>0</v>
      </c>
      <c r="GB79" s="1">
        <v>0</v>
      </c>
      <c r="GC79" s="1">
        <v>115</v>
      </c>
      <c r="GD79" s="1">
        <v>76.923076923076835</v>
      </c>
      <c r="GE79" s="1">
        <v>17.948717948717949</v>
      </c>
      <c r="GF79" s="1">
        <v>5.1282051282051171</v>
      </c>
      <c r="GG79" s="1">
        <v>0</v>
      </c>
      <c r="GH79" s="1">
        <v>0</v>
      </c>
      <c r="GI79" s="1">
        <v>78</v>
      </c>
      <c r="GJ79" s="1">
        <v>75.675675675675663</v>
      </c>
      <c r="GK79" s="1">
        <v>21.621621621621639</v>
      </c>
      <c r="GL79" s="1">
        <v>2.7027027027027044</v>
      </c>
      <c r="GM79" s="1">
        <v>0</v>
      </c>
      <c r="GN79" s="1">
        <v>0</v>
      </c>
      <c r="GO79" s="1">
        <v>74</v>
      </c>
      <c r="GP79" s="1">
        <v>76.249999999999986</v>
      </c>
      <c r="GQ79" s="1">
        <v>16.249999999999996</v>
      </c>
      <c r="GR79" s="1">
        <v>3.7499999999999991</v>
      </c>
      <c r="GS79" s="1">
        <v>2.4999999999999996</v>
      </c>
      <c r="GT79" s="1">
        <v>1.2499999999999998</v>
      </c>
      <c r="GU79" s="1">
        <v>80</v>
      </c>
      <c r="GV79" s="1">
        <v>85.365853658536636</v>
      </c>
      <c r="GW79" s="1">
        <v>9.7560975609756024</v>
      </c>
      <c r="GX79" s="1">
        <v>3.6585365853658383</v>
      </c>
      <c r="GY79" s="1">
        <v>0</v>
      </c>
      <c r="GZ79" s="1">
        <v>1.2195121951219503</v>
      </c>
      <c r="HA79" s="1">
        <v>82</v>
      </c>
      <c r="HB79" s="1">
        <v>61.904761904761706</v>
      </c>
      <c r="HC79" s="1">
        <v>9.5238095238095379</v>
      </c>
      <c r="HD79" s="1">
        <v>23.809523809523842</v>
      </c>
      <c r="HE79" s="1">
        <v>4.761904761904769</v>
      </c>
      <c r="HF79" s="1">
        <v>0</v>
      </c>
      <c r="HG79" s="1">
        <v>21</v>
      </c>
      <c r="HH79" s="1">
        <v>70.270270270270146</v>
      </c>
      <c r="HI79" s="1">
        <v>16.216216216216242</v>
      </c>
      <c r="HJ79" s="1">
        <v>10.81081081081083</v>
      </c>
      <c r="HK79" s="1">
        <v>2.7027027027027075</v>
      </c>
      <c r="HL79" s="1">
        <v>0</v>
      </c>
      <c r="HM79" s="1">
        <v>37</v>
      </c>
      <c r="HN79" s="1">
        <v>0</v>
      </c>
      <c r="HO79" s="1">
        <v>0</v>
      </c>
      <c r="HP79" s="1">
        <v>0</v>
      </c>
      <c r="HQ79" s="1">
        <v>0</v>
      </c>
      <c r="HR79" s="1">
        <v>0</v>
      </c>
      <c r="HS79" s="1">
        <v>0</v>
      </c>
      <c r="HT79" s="1">
        <v>0</v>
      </c>
      <c r="HU79" s="1">
        <v>0</v>
      </c>
      <c r="HV79" s="1">
        <v>0</v>
      </c>
      <c r="HW79" s="1">
        <v>0</v>
      </c>
      <c r="HX79" s="1">
        <v>0</v>
      </c>
      <c r="HY79" s="1">
        <v>0</v>
      </c>
      <c r="HZ79" s="1">
        <v>0</v>
      </c>
      <c r="IA79" s="1">
        <v>0</v>
      </c>
      <c r="IB79" s="1">
        <v>0</v>
      </c>
      <c r="IC79" s="1">
        <v>0</v>
      </c>
      <c r="ID79" s="1">
        <v>0</v>
      </c>
      <c r="IE79" s="1">
        <v>0</v>
      </c>
      <c r="IF79" s="1">
        <v>9.4054054054054053</v>
      </c>
      <c r="IG79" s="1">
        <v>0</v>
      </c>
      <c r="IH79" s="1">
        <v>0</v>
      </c>
      <c r="II79" s="1">
        <v>0</v>
      </c>
      <c r="IJ79" s="1">
        <v>0</v>
      </c>
      <c r="IK79" s="1">
        <v>0</v>
      </c>
      <c r="IL79" s="1">
        <v>0.90090090090090391</v>
      </c>
      <c r="IM79" s="1">
        <v>3.6036036036036156</v>
      </c>
      <c r="IN79" s="1">
        <v>12.612612612612621</v>
      </c>
      <c r="IO79" s="1">
        <v>19.819819819819852</v>
      </c>
      <c r="IP79" s="1">
        <v>63.063063063063098</v>
      </c>
      <c r="IQ79" s="1">
        <v>9.4054054054054124</v>
      </c>
      <c r="IR79" s="1">
        <v>111</v>
      </c>
      <c r="IS79" s="1">
        <v>30.000000000000004</v>
      </c>
      <c r="IT79" s="1">
        <v>41.666666666666707</v>
      </c>
      <c r="IU79" s="1">
        <v>21.666666666666671</v>
      </c>
      <c r="IV79" s="1">
        <v>5.0000000000000009</v>
      </c>
      <c r="IW79" s="1">
        <v>1.6666666666666652</v>
      </c>
      <c r="IX79" s="1">
        <v>120</v>
      </c>
      <c r="IY79" s="1">
        <v>1</v>
      </c>
      <c r="IZ79" s="1">
        <v>95.307029999999926</v>
      </c>
      <c r="JA79" s="1">
        <v>59.465070000000146</v>
      </c>
      <c r="JB79" s="1">
        <v>17.106389999999969</v>
      </c>
      <c r="JC79" s="1">
        <v>7.3313100000000073</v>
      </c>
      <c r="JD79" s="1">
        <v>20.364750000000019</v>
      </c>
      <c r="JE79" s="1">
        <v>0.62393162393162527</v>
      </c>
      <c r="JF79" s="1">
        <v>0.17948717948717915</v>
      </c>
      <c r="JG79" s="1">
        <v>7.6923076923076816E-2</v>
      </c>
      <c r="JH79" s="1">
        <v>0.21367521367521369</v>
      </c>
      <c r="JI79" s="1">
        <v>1</v>
      </c>
      <c r="JJ79" s="1">
        <v>117</v>
      </c>
      <c r="JK79" s="1">
        <v>2.0338983050847457</v>
      </c>
      <c r="JL79" s="1">
        <v>2.0338983050847541</v>
      </c>
      <c r="JM79" s="1">
        <v>118</v>
      </c>
      <c r="JN79" s="1">
        <v>95.918367346938481</v>
      </c>
      <c r="JO79" s="1">
        <v>4.0816326530612166</v>
      </c>
      <c r="JP79" s="1">
        <v>49</v>
      </c>
      <c r="JQ79" s="1">
        <v>98.571428571428783</v>
      </c>
      <c r="JR79" s="1">
        <v>1.4285714285714244</v>
      </c>
      <c r="JS79" s="1">
        <v>70</v>
      </c>
      <c r="JT79" s="1">
        <v>95.412844036697166</v>
      </c>
      <c r="JU79" s="1">
        <v>4.5871559633027461</v>
      </c>
      <c r="JV79" s="1">
        <v>109</v>
      </c>
      <c r="JW79" s="1">
        <v>94.444444444444656</v>
      </c>
      <c r="JX79" s="1">
        <v>5.5555555555555438</v>
      </c>
      <c r="JY79" s="1">
        <v>72</v>
      </c>
      <c r="JZ79" s="1">
        <v>44.347826086956644</v>
      </c>
      <c r="KA79" s="1">
        <v>55.652173913043711</v>
      </c>
      <c r="KB79" s="1">
        <v>115</v>
      </c>
      <c r="KC79" s="1">
        <v>99.099099099099334</v>
      </c>
      <c r="KD79" s="1">
        <v>0.90090090090090391</v>
      </c>
      <c r="KE79" s="1">
        <v>111</v>
      </c>
      <c r="KF79" s="1">
        <v>2.675925925925926</v>
      </c>
      <c r="KG79" s="1">
        <v>14.814814814814795</v>
      </c>
      <c r="KH79" s="1">
        <v>32.407407407407398</v>
      </c>
      <c r="KI79" s="1">
        <v>28.703703703703798</v>
      </c>
      <c r="KJ79" s="1">
        <v>18.518518518518544</v>
      </c>
      <c r="KK79" s="1">
        <v>5.5555555555555509</v>
      </c>
      <c r="KL79" s="1">
        <v>108</v>
      </c>
      <c r="KM79" s="1">
        <v>46.67592592592603</v>
      </c>
      <c r="KN79" s="1">
        <v>103.66666666666667</v>
      </c>
      <c r="KO79" s="1">
        <v>0</v>
      </c>
      <c r="KP79" s="1">
        <v>0</v>
      </c>
      <c r="KQ79" s="1">
        <v>33.333333333333378</v>
      </c>
      <c r="KR79" s="1">
        <v>33.333333333333378</v>
      </c>
      <c r="KS79" s="1">
        <v>33.333333333333378</v>
      </c>
      <c r="KT79" s="1">
        <v>3</v>
      </c>
      <c r="KU79" s="1">
        <v>6.3063063063062916</v>
      </c>
      <c r="KV79" s="1">
        <v>0</v>
      </c>
      <c r="KW79" s="1">
        <v>0.90090090090090391</v>
      </c>
      <c r="KX79" s="1">
        <v>91.891891891891774</v>
      </c>
      <c r="KY79" s="1">
        <v>0.90090090090090391</v>
      </c>
      <c r="KZ79" s="1">
        <v>111</v>
      </c>
      <c r="LA79" s="1">
        <v>14.414414414414463</v>
      </c>
      <c r="LB79" s="1">
        <v>85.585585585585648</v>
      </c>
      <c r="LC79" s="1">
        <v>111</v>
      </c>
      <c r="LD79" s="1">
        <v>0</v>
      </c>
      <c r="LE79" s="1">
        <v>24.999999999999996</v>
      </c>
      <c r="LF79" s="1">
        <v>74.999999999999986</v>
      </c>
      <c r="LG79" s="1">
        <v>16</v>
      </c>
    </row>
    <row r="80" spans="1:319" x14ac:dyDescent="0.25">
      <c r="A80" s="1">
        <v>247</v>
      </c>
      <c r="B80" s="1">
        <v>10.526315789473678</v>
      </c>
      <c r="C80" s="1">
        <v>89.473684210526301</v>
      </c>
      <c r="D80" s="1">
        <v>19</v>
      </c>
      <c r="E80" s="1">
        <v>64.705882352941188</v>
      </c>
      <c r="F80" s="1">
        <v>35.294117647058798</v>
      </c>
      <c r="G80" s="1">
        <v>17</v>
      </c>
      <c r="H80" s="1">
        <v>45.454545454545453</v>
      </c>
      <c r="I80" s="1">
        <v>54.545454545454511</v>
      </c>
      <c r="J80" s="1">
        <v>11</v>
      </c>
      <c r="K80" s="1">
        <v>1</v>
      </c>
      <c r="L80" s="1">
        <v>11.929200000000007</v>
      </c>
      <c r="M80" s="1">
        <v>11.929200000000007</v>
      </c>
      <c r="N80" s="1">
        <v>0</v>
      </c>
      <c r="O80" s="1">
        <v>0</v>
      </c>
      <c r="P80" s="1">
        <v>0</v>
      </c>
      <c r="Q80" s="1">
        <v>0</v>
      </c>
      <c r="R80" s="1">
        <v>1.1929200000000004</v>
      </c>
      <c r="S80" s="1">
        <v>0</v>
      </c>
      <c r="T80" s="1">
        <v>1.1929200000000004</v>
      </c>
      <c r="U80" s="1">
        <v>1.1929200000000004</v>
      </c>
      <c r="V80" s="1">
        <v>0.59646000000000021</v>
      </c>
      <c r="W80" s="1">
        <v>1</v>
      </c>
      <c r="X80" s="1">
        <v>0</v>
      </c>
      <c r="Y80" s="1">
        <v>0</v>
      </c>
      <c r="Z80" s="1">
        <v>0</v>
      </c>
      <c r="AA80" s="1">
        <v>0</v>
      </c>
      <c r="AB80" s="1">
        <v>9.9999999999999922E-2</v>
      </c>
      <c r="AC80" s="1">
        <v>0</v>
      </c>
      <c r="AD80" s="1">
        <v>9.9999999999999922E-2</v>
      </c>
      <c r="AE80" s="1">
        <v>9.9999999999999922E-2</v>
      </c>
      <c r="AF80" s="1">
        <v>4.9999999999999961E-2</v>
      </c>
      <c r="AG80" s="1">
        <v>1</v>
      </c>
      <c r="AH80" s="1">
        <v>20</v>
      </c>
      <c r="AI80" s="1">
        <v>1</v>
      </c>
      <c r="AJ80" s="1">
        <v>11.929200000000007</v>
      </c>
      <c r="AK80" s="1">
        <v>7.1575200000000034</v>
      </c>
      <c r="AL80" s="1">
        <v>8.9469000000000012</v>
      </c>
      <c r="AM80" s="1">
        <v>6.5610599999999994</v>
      </c>
      <c r="AN80" s="1">
        <v>8.9469000000000012</v>
      </c>
      <c r="AO80" s="1">
        <v>2.3858400000000008</v>
      </c>
      <c r="AP80" s="1">
        <v>1.1929200000000004</v>
      </c>
      <c r="AQ80" s="1">
        <v>0.59999999999999976</v>
      </c>
      <c r="AR80" s="1">
        <v>0.74999999999999989</v>
      </c>
      <c r="AS80" s="1">
        <v>0.55000000000000004</v>
      </c>
      <c r="AT80" s="1">
        <v>0.74999999999999989</v>
      </c>
      <c r="AU80" s="1">
        <v>0.19999999999999984</v>
      </c>
      <c r="AV80" s="1">
        <v>9.9999999999999922E-2</v>
      </c>
      <c r="AW80" s="1">
        <v>1</v>
      </c>
      <c r="AX80" s="1">
        <v>20</v>
      </c>
      <c r="AY80" s="1">
        <v>10</v>
      </c>
      <c r="AZ80" s="1">
        <v>10</v>
      </c>
      <c r="BA80" s="1">
        <v>10</v>
      </c>
      <c r="BB80" s="1">
        <v>0</v>
      </c>
      <c r="BC80" s="1">
        <v>0</v>
      </c>
      <c r="BD80" s="1">
        <v>0</v>
      </c>
      <c r="BE80" s="1">
        <v>0</v>
      </c>
      <c r="BF80" s="1">
        <v>0</v>
      </c>
      <c r="BG80" s="1">
        <v>0</v>
      </c>
      <c r="BH80" s="1">
        <v>0</v>
      </c>
      <c r="BI80" s="1">
        <v>0</v>
      </c>
      <c r="BJ80" s="1">
        <v>0</v>
      </c>
      <c r="BK80" s="1">
        <v>100</v>
      </c>
      <c r="BL80" s="1">
        <v>9.9999999999999982</v>
      </c>
      <c r="BM80" s="1">
        <v>20</v>
      </c>
      <c r="BN80" s="1">
        <v>0</v>
      </c>
      <c r="BO80" s="1">
        <v>0</v>
      </c>
      <c r="BP80" s="1">
        <v>0</v>
      </c>
      <c r="BQ80" s="1">
        <v>0</v>
      </c>
      <c r="BR80" s="1">
        <v>0</v>
      </c>
      <c r="BS80" s="1">
        <v>0</v>
      </c>
      <c r="BT80" s="1">
        <v>0</v>
      </c>
      <c r="BU80" s="1">
        <v>0</v>
      </c>
      <c r="BV80" s="1">
        <v>0</v>
      </c>
      <c r="BW80" s="1">
        <v>100</v>
      </c>
      <c r="BX80" s="1">
        <v>9.9999999999999982</v>
      </c>
      <c r="BY80" s="1">
        <v>20</v>
      </c>
      <c r="BZ80" s="1">
        <v>0</v>
      </c>
      <c r="CA80" s="1">
        <v>0</v>
      </c>
      <c r="CB80" s="1">
        <v>0</v>
      </c>
      <c r="CC80" s="1">
        <v>0</v>
      </c>
      <c r="CD80" s="1">
        <v>0</v>
      </c>
      <c r="CE80" s="1">
        <v>0</v>
      </c>
      <c r="CF80" s="1">
        <v>0</v>
      </c>
      <c r="CG80" s="1">
        <v>0</v>
      </c>
      <c r="CH80" s="1">
        <v>0</v>
      </c>
      <c r="CI80" s="1">
        <v>100</v>
      </c>
      <c r="CJ80" s="1">
        <v>9.9999999999999982</v>
      </c>
      <c r="CK80" s="1">
        <v>20</v>
      </c>
      <c r="CL80" s="1">
        <v>80</v>
      </c>
      <c r="CM80" s="1">
        <v>19.999999999999996</v>
      </c>
      <c r="CN80" s="1">
        <v>0</v>
      </c>
      <c r="CO80" s="1">
        <v>0</v>
      </c>
      <c r="CP80" s="1">
        <v>0</v>
      </c>
      <c r="CQ80" s="1">
        <v>20</v>
      </c>
      <c r="CR80" s="1">
        <v>95</v>
      </c>
      <c r="CS80" s="1">
        <v>4.9999999999999991</v>
      </c>
      <c r="CT80" s="1">
        <v>0</v>
      </c>
      <c r="CU80" s="1">
        <v>0</v>
      </c>
      <c r="CV80" s="1">
        <v>0</v>
      </c>
      <c r="CW80" s="1">
        <v>20</v>
      </c>
      <c r="CX80" s="1">
        <v>95</v>
      </c>
      <c r="CY80" s="1">
        <v>4.9999999999999991</v>
      </c>
      <c r="CZ80" s="1">
        <v>0</v>
      </c>
      <c r="DA80" s="1">
        <v>0</v>
      </c>
      <c r="DB80" s="1">
        <v>0</v>
      </c>
      <c r="DC80" s="1">
        <v>20</v>
      </c>
      <c r="DD80" s="1">
        <v>90</v>
      </c>
      <c r="DE80" s="1">
        <v>4.9999999999999991</v>
      </c>
      <c r="DF80" s="1">
        <v>0</v>
      </c>
      <c r="DG80" s="1">
        <v>4.9999999999999991</v>
      </c>
      <c r="DH80" s="1">
        <v>0</v>
      </c>
      <c r="DI80" s="1">
        <v>20</v>
      </c>
      <c r="DJ80" s="1">
        <v>83.333333333333314</v>
      </c>
      <c r="DK80" s="1">
        <v>16.66666666666665</v>
      </c>
      <c r="DL80" s="1">
        <v>0</v>
      </c>
      <c r="DM80" s="1">
        <v>0</v>
      </c>
      <c r="DN80" s="1">
        <v>0</v>
      </c>
      <c r="DO80" s="1">
        <v>18</v>
      </c>
      <c r="DP80" s="1">
        <v>95</v>
      </c>
      <c r="DQ80" s="1">
        <v>4.9999999999999991</v>
      </c>
      <c r="DR80" s="1">
        <v>0</v>
      </c>
      <c r="DS80" s="1">
        <v>0</v>
      </c>
      <c r="DT80" s="1">
        <v>0</v>
      </c>
      <c r="DU80" s="1">
        <v>20</v>
      </c>
      <c r="DV80" s="1">
        <v>68.421052631578945</v>
      </c>
      <c r="DW80" s="1">
        <v>15.789473684210517</v>
      </c>
      <c r="DX80" s="1">
        <v>0</v>
      </c>
      <c r="DY80" s="1">
        <v>15.789473684210517</v>
      </c>
      <c r="DZ80" s="1">
        <v>0</v>
      </c>
      <c r="EA80" s="1">
        <v>19</v>
      </c>
      <c r="EB80" s="1">
        <v>0</v>
      </c>
      <c r="EC80" s="1">
        <v>0</v>
      </c>
      <c r="ED80" s="1">
        <v>0</v>
      </c>
      <c r="EE80" s="1">
        <v>0</v>
      </c>
      <c r="EF80" s="1">
        <v>0</v>
      </c>
      <c r="EG80" s="1">
        <v>0</v>
      </c>
      <c r="EH80" s="1">
        <v>0</v>
      </c>
      <c r="EI80" s="1">
        <v>0</v>
      </c>
      <c r="EJ80" s="1">
        <v>0</v>
      </c>
      <c r="EK80" s="1">
        <v>0</v>
      </c>
      <c r="EL80" s="1">
        <v>0</v>
      </c>
      <c r="EM80" s="1">
        <v>0</v>
      </c>
      <c r="EN80" s="1">
        <v>49.999999999999993</v>
      </c>
      <c r="EO80" s="1">
        <v>35.714285714285708</v>
      </c>
      <c r="EP80" s="1">
        <v>7.1428571428571406</v>
      </c>
      <c r="EQ80" s="1">
        <v>7.1428571428571406</v>
      </c>
      <c r="ER80" s="1">
        <v>0</v>
      </c>
      <c r="ES80" s="1">
        <v>14</v>
      </c>
      <c r="ET80" s="1">
        <v>49.999999999999993</v>
      </c>
      <c r="EU80" s="1">
        <v>35.714285714285708</v>
      </c>
      <c r="EV80" s="1">
        <v>14.285714285714281</v>
      </c>
      <c r="EW80" s="1">
        <v>0</v>
      </c>
      <c r="EX80" s="1">
        <v>0</v>
      </c>
      <c r="EY80" s="1">
        <v>14</v>
      </c>
      <c r="EZ80" s="1">
        <v>44.44444444444445</v>
      </c>
      <c r="FA80" s="1">
        <v>44.44444444444445</v>
      </c>
      <c r="FB80" s="1">
        <v>11.111111111111112</v>
      </c>
      <c r="FC80" s="1">
        <v>0</v>
      </c>
      <c r="FD80" s="1">
        <v>0</v>
      </c>
      <c r="FE80" s="1">
        <v>9</v>
      </c>
      <c r="FF80" s="1">
        <v>50</v>
      </c>
      <c r="FG80" s="1">
        <v>37.5</v>
      </c>
      <c r="FH80" s="1">
        <v>12.5</v>
      </c>
      <c r="FI80" s="1">
        <v>0</v>
      </c>
      <c r="FJ80" s="1">
        <v>0</v>
      </c>
      <c r="FK80" s="1">
        <v>8</v>
      </c>
      <c r="FL80" s="1">
        <v>88.8888888888889</v>
      </c>
      <c r="FM80" s="1">
        <v>11.111111111111111</v>
      </c>
      <c r="FN80" s="1">
        <v>0</v>
      </c>
      <c r="FO80" s="1">
        <v>0</v>
      </c>
      <c r="FP80" s="1">
        <v>0</v>
      </c>
      <c r="FQ80" s="1">
        <v>18</v>
      </c>
      <c r="FR80" s="1">
        <v>100</v>
      </c>
      <c r="FS80" s="1">
        <v>0</v>
      </c>
      <c r="FT80" s="1">
        <v>0</v>
      </c>
      <c r="FU80" s="1">
        <v>0</v>
      </c>
      <c r="FV80" s="1">
        <v>0</v>
      </c>
      <c r="FW80" s="1">
        <v>8</v>
      </c>
      <c r="FX80" s="1">
        <v>100</v>
      </c>
      <c r="FY80" s="1">
        <v>0</v>
      </c>
      <c r="FZ80" s="1">
        <v>0</v>
      </c>
      <c r="GA80" s="1">
        <v>0</v>
      </c>
      <c r="GB80" s="1">
        <v>0</v>
      </c>
      <c r="GC80" s="1">
        <v>20</v>
      </c>
      <c r="GD80" s="1">
        <v>87.499999999999986</v>
      </c>
      <c r="GE80" s="1">
        <v>12.5</v>
      </c>
      <c r="GF80" s="1">
        <v>0</v>
      </c>
      <c r="GG80" s="1">
        <v>0</v>
      </c>
      <c r="GH80" s="1">
        <v>0</v>
      </c>
      <c r="GI80" s="1">
        <v>8</v>
      </c>
      <c r="GJ80" s="1">
        <v>60</v>
      </c>
      <c r="GK80" s="1">
        <v>40</v>
      </c>
      <c r="GL80" s="1">
        <v>0</v>
      </c>
      <c r="GM80" s="1">
        <v>0</v>
      </c>
      <c r="GN80" s="1">
        <v>0</v>
      </c>
      <c r="GO80" s="1">
        <v>5</v>
      </c>
      <c r="GP80" s="1">
        <v>84.615384615384599</v>
      </c>
      <c r="GQ80" s="1">
        <v>15.384615384615381</v>
      </c>
      <c r="GR80" s="1">
        <v>0</v>
      </c>
      <c r="GS80" s="1">
        <v>0</v>
      </c>
      <c r="GT80" s="1">
        <v>0</v>
      </c>
      <c r="GU80" s="1">
        <v>13</v>
      </c>
      <c r="GV80" s="1">
        <v>92.307692307692321</v>
      </c>
      <c r="GW80" s="1">
        <v>7.6923076923076907</v>
      </c>
      <c r="GX80" s="1">
        <v>0</v>
      </c>
      <c r="GY80" s="1">
        <v>0</v>
      </c>
      <c r="GZ80" s="1">
        <v>0</v>
      </c>
      <c r="HA80" s="1">
        <v>13</v>
      </c>
      <c r="HB80" s="1">
        <v>100</v>
      </c>
      <c r="HC80" s="1">
        <v>0</v>
      </c>
      <c r="HD80" s="1">
        <v>0</v>
      </c>
      <c r="HE80" s="1">
        <v>0</v>
      </c>
      <c r="HF80" s="1">
        <v>0</v>
      </c>
      <c r="HG80" s="1">
        <v>1</v>
      </c>
      <c r="HH80" s="1">
        <v>100</v>
      </c>
      <c r="HI80" s="1">
        <v>0</v>
      </c>
      <c r="HJ80" s="1">
        <v>0</v>
      </c>
      <c r="HK80" s="1">
        <v>0</v>
      </c>
      <c r="HL80" s="1">
        <v>0</v>
      </c>
      <c r="HM80" s="1">
        <v>1</v>
      </c>
      <c r="HN80" s="1">
        <v>0</v>
      </c>
      <c r="HO80" s="1">
        <v>0</v>
      </c>
      <c r="HP80" s="1">
        <v>0</v>
      </c>
      <c r="HQ80" s="1">
        <v>0</v>
      </c>
      <c r="HR80" s="1">
        <v>0</v>
      </c>
      <c r="HS80" s="1">
        <v>0</v>
      </c>
      <c r="HT80" s="1">
        <v>0</v>
      </c>
      <c r="HU80" s="1">
        <v>0</v>
      </c>
      <c r="HV80" s="1">
        <v>0</v>
      </c>
      <c r="HW80" s="1">
        <v>0</v>
      </c>
      <c r="HX80" s="1">
        <v>0</v>
      </c>
      <c r="HY80" s="1">
        <v>0</v>
      </c>
      <c r="HZ80" s="1">
        <v>0</v>
      </c>
      <c r="IA80" s="1">
        <v>0</v>
      </c>
      <c r="IB80" s="1">
        <v>0</v>
      </c>
      <c r="IC80" s="1">
        <v>0</v>
      </c>
      <c r="ID80" s="1">
        <v>0</v>
      </c>
      <c r="IE80" s="1">
        <v>0</v>
      </c>
      <c r="IF80" s="1">
        <v>9.7777777777777786</v>
      </c>
      <c r="IG80" s="1">
        <v>0</v>
      </c>
      <c r="IH80" s="1">
        <v>0</v>
      </c>
      <c r="II80" s="1">
        <v>0</v>
      </c>
      <c r="IJ80" s="1">
        <v>0</v>
      </c>
      <c r="IK80" s="1">
        <v>0</v>
      </c>
      <c r="IL80" s="1">
        <v>0</v>
      </c>
      <c r="IM80" s="1">
        <v>0</v>
      </c>
      <c r="IN80" s="1">
        <v>0</v>
      </c>
      <c r="IO80" s="1">
        <v>22.222222222222221</v>
      </c>
      <c r="IP80" s="1">
        <v>77.7777777777778</v>
      </c>
      <c r="IQ80" s="1">
        <v>9.7777777777777732</v>
      </c>
      <c r="IR80" s="1">
        <v>18</v>
      </c>
      <c r="IS80" s="1">
        <v>4.9999999999999991</v>
      </c>
      <c r="IT80" s="1">
        <v>44.999999999999993</v>
      </c>
      <c r="IU80" s="1">
        <v>49.999999999999993</v>
      </c>
      <c r="IV80" s="1">
        <v>0</v>
      </c>
      <c r="IW80" s="1">
        <v>0</v>
      </c>
      <c r="IX80" s="1">
        <v>20</v>
      </c>
      <c r="IY80" s="1">
        <v>1</v>
      </c>
      <c r="IZ80" s="1">
        <v>11.929200000000007</v>
      </c>
      <c r="JA80" s="1">
        <v>2.3858400000000008</v>
      </c>
      <c r="JB80" s="1">
        <v>3.5787600000000013</v>
      </c>
      <c r="JC80" s="1">
        <v>3.5787600000000013</v>
      </c>
      <c r="JD80" s="1">
        <v>5.3681399999999986</v>
      </c>
      <c r="JE80" s="1">
        <v>0.19999999999999984</v>
      </c>
      <c r="JF80" s="1">
        <v>0.29999999999999988</v>
      </c>
      <c r="JG80" s="1">
        <v>0.29999999999999988</v>
      </c>
      <c r="JH80" s="1">
        <v>0.4499999999999999</v>
      </c>
      <c r="JI80" s="1">
        <v>1</v>
      </c>
      <c r="JJ80" s="1">
        <v>20</v>
      </c>
      <c r="JK80" s="1">
        <v>3.45</v>
      </c>
      <c r="JL80" s="1">
        <v>3.4500000000000006</v>
      </c>
      <c r="JM80" s="1">
        <v>20</v>
      </c>
      <c r="JN80" s="1">
        <v>100</v>
      </c>
      <c r="JO80" s="1">
        <v>0</v>
      </c>
      <c r="JP80" s="1">
        <v>11</v>
      </c>
      <c r="JQ80" s="1">
        <v>100.00000000000001</v>
      </c>
      <c r="JR80" s="1">
        <v>0</v>
      </c>
      <c r="JS80" s="1">
        <v>5</v>
      </c>
      <c r="JT80" s="1">
        <v>94.4444444444444</v>
      </c>
      <c r="JU80" s="1">
        <v>5.5555555555555554</v>
      </c>
      <c r="JV80" s="1">
        <v>18</v>
      </c>
      <c r="JW80" s="1">
        <v>92.307692307692321</v>
      </c>
      <c r="JX80" s="1">
        <v>7.6923076923076907</v>
      </c>
      <c r="JY80" s="1">
        <v>13</v>
      </c>
      <c r="JZ80" s="1">
        <v>68.421052631578945</v>
      </c>
      <c r="KA80" s="1">
        <v>31.578947368421034</v>
      </c>
      <c r="KB80" s="1">
        <v>19</v>
      </c>
      <c r="KC80" s="1">
        <v>100.00000000000001</v>
      </c>
      <c r="KD80" s="1">
        <v>0</v>
      </c>
      <c r="KE80" s="1">
        <v>19</v>
      </c>
      <c r="KF80" s="1">
        <v>1.9473684210526316</v>
      </c>
      <c r="KG80" s="1">
        <v>36.842105263157883</v>
      </c>
      <c r="KH80" s="1">
        <v>31.578947368421034</v>
      </c>
      <c r="KI80" s="1">
        <v>31.578947368421034</v>
      </c>
      <c r="KJ80" s="1">
        <v>0</v>
      </c>
      <c r="KK80" s="1">
        <v>0</v>
      </c>
      <c r="KL80" s="1">
        <v>19</v>
      </c>
      <c r="KM80" s="1">
        <v>35.368421052631568</v>
      </c>
      <c r="KN80" s="1">
        <v>19</v>
      </c>
      <c r="KO80" s="1">
        <v>0</v>
      </c>
      <c r="KP80" s="1">
        <v>0</v>
      </c>
      <c r="KQ80" s="1">
        <v>100</v>
      </c>
      <c r="KR80" s="1">
        <v>0</v>
      </c>
      <c r="KS80" s="1">
        <v>0</v>
      </c>
      <c r="KT80" s="1">
        <v>3</v>
      </c>
      <c r="KU80" s="1">
        <v>5.2631578947368389</v>
      </c>
      <c r="KV80" s="1">
        <v>0</v>
      </c>
      <c r="KW80" s="1">
        <v>0</v>
      </c>
      <c r="KX80" s="1">
        <v>94.736842105263136</v>
      </c>
      <c r="KY80" s="1">
        <v>0</v>
      </c>
      <c r="KZ80" s="1">
        <v>19</v>
      </c>
      <c r="LA80" s="1">
        <v>16.66666666666665</v>
      </c>
      <c r="LB80" s="1">
        <v>83.333333333333314</v>
      </c>
      <c r="LC80" s="1">
        <v>18</v>
      </c>
      <c r="LD80" s="1">
        <v>0</v>
      </c>
      <c r="LE80" s="1">
        <v>0</v>
      </c>
      <c r="LF80" s="1">
        <v>100</v>
      </c>
      <c r="LG80" s="1">
        <v>3</v>
      </c>
    </row>
    <row r="81" spans="1:319" x14ac:dyDescent="0.25">
      <c r="A81" s="1">
        <v>248</v>
      </c>
      <c r="B81" s="1">
        <v>37.5</v>
      </c>
      <c r="C81" s="1">
        <v>62.5</v>
      </c>
      <c r="D81" s="1">
        <v>8</v>
      </c>
      <c r="E81" s="1">
        <v>60</v>
      </c>
      <c r="F81" s="1">
        <v>40</v>
      </c>
      <c r="G81" s="1">
        <v>5</v>
      </c>
      <c r="H81" s="1">
        <v>0</v>
      </c>
      <c r="I81" s="1">
        <v>100.00000000000001</v>
      </c>
      <c r="J81" s="1">
        <v>3</v>
      </c>
      <c r="K81" s="1">
        <v>1</v>
      </c>
      <c r="L81" s="1">
        <v>4.2945599999999997</v>
      </c>
      <c r="M81" s="1">
        <v>2.6841000000000004</v>
      </c>
      <c r="N81" s="1">
        <v>0</v>
      </c>
      <c r="O81" s="1">
        <v>1.6104599999999998</v>
      </c>
      <c r="P81" s="1">
        <v>0</v>
      </c>
      <c r="Q81" s="1">
        <v>1.0736399999999999</v>
      </c>
      <c r="R81" s="1">
        <v>0.53681999999999996</v>
      </c>
      <c r="S81" s="1">
        <v>0</v>
      </c>
      <c r="T81" s="1">
        <v>0</v>
      </c>
      <c r="U81" s="1">
        <v>0.53681999999999996</v>
      </c>
      <c r="V81" s="1">
        <v>0.53681999999999996</v>
      </c>
      <c r="W81" s="1">
        <v>0.625</v>
      </c>
      <c r="X81" s="1">
        <v>0</v>
      </c>
      <c r="Y81" s="1">
        <v>0.375</v>
      </c>
      <c r="Z81" s="1">
        <v>0</v>
      </c>
      <c r="AA81" s="1">
        <v>0.25</v>
      </c>
      <c r="AB81" s="1">
        <v>0.125</v>
      </c>
      <c r="AC81" s="1">
        <v>0</v>
      </c>
      <c r="AD81" s="1">
        <v>0</v>
      </c>
      <c r="AE81" s="1">
        <v>0.125</v>
      </c>
      <c r="AF81" s="1">
        <v>0.125</v>
      </c>
      <c r="AG81" s="1">
        <v>1</v>
      </c>
      <c r="AH81" s="1">
        <v>8</v>
      </c>
      <c r="AI81" s="1">
        <v>1</v>
      </c>
      <c r="AJ81" s="1">
        <v>4.2945599999999997</v>
      </c>
      <c r="AK81" s="1">
        <v>3.22092</v>
      </c>
      <c r="AL81" s="1">
        <v>4.2945599999999997</v>
      </c>
      <c r="AM81" s="1">
        <v>2.6841000000000004</v>
      </c>
      <c r="AN81" s="1">
        <v>3.7577399999999992</v>
      </c>
      <c r="AO81" s="1">
        <v>0.53681999999999996</v>
      </c>
      <c r="AP81" s="1">
        <v>1.0736399999999999</v>
      </c>
      <c r="AQ81" s="1">
        <v>0.75</v>
      </c>
      <c r="AR81" s="1">
        <v>1</v>
      </c>
      <c r="AS81" s="1">
        <v>0.625</v>
      </c>
      <c r="AT81" s="1">
        <v>0.87500000000000011</v>
      </c>
      <c r="AU81" s="1">
        <v>0.125</v>
      </c>
      <c r="AV81" s="1">
        <v>0.25</v>
      </c>
      <c r="AW81" s="1">
        <v>1</v>
      </c>
      <c r="AX81" s="1">
        <v>8</v>
      </c>
      <c r="AY81" s="1">
        <v>10</v>
      </c>
      <c r="AZ81" s="1">
        <v>10</v>
      </c>
      <c r="BA81" s="1">
        <v>9.75</v>
      </c>
      <c r="BB81" s="1">
        <v>0</v>
      </c>
      <c r="BC81" s="1">
        <v>0</v>
      </c>
      <c r="BD81" s="1">
        <v>0</v>
      </c>
      <c r="BE81" s="1">
        <v>0</v>
      </c>
      <c r="BF81" s="1">
        <v>0</v>
      </c>
      <c r="BG81" s="1">
        <v>0</v>
      </c>
      <c r="BH81" s="1">
        <v>0</v>
      </c>
      <c r="BI81" s="1">
        <v>0</v>
      </c>
      <c r="BJ81" s="1">
        <v>0</v>
      </c>
      <c r="BK81" s="1">
        <v>100</v>
      </c>
      <c r="BL81" s="1">
        <v>10.000000000000002</v>
      </c>
      <c r="BM81" s="1">
        <v>8</v>
      </c>
      <c r="BN81" s="1">
        <v>0</v>
      </c>
      <c r="BO81" s="1">
        <v>0</v>
      </c>
      <c r="BP81" s="1">
        <v>0</v>
      </c>
      <c r="BQ81" s="1">
        <v>0</v>
      </c>
      <c r="BR81" s="1">
        <v>0</v>
      </c>
      <c r="BS81" s="1">
        <v>0</v>
      </c>
      <c r="BT81" s="1">
        <v>0</v>
      </c>
      <c r="BU81" s="1">
        <v>0</v>
      </c>
      <c r="BV81" s="1">
        <v>0</v>
      </c>
      <c r="BW81" s="1">
        <v>100</v>
      </c>
      <c r="BX81" s="1">
        <v>10.000000000000002</v>
      </c>
      <c r="BY81" s="1">
        <v>8</v>
      </c>
      <c r="BZ81" s="1">
        <v>0</v>
      </c>
      <c r="CA81" s="1">
        <v>0</v>
      </c>
      <c r="CB81" s="1">
        <v>0</v>
      </c>
      <c r="CC81" s="1">
        <v>0</v>
      </c>
      <c r="CD81" s="1">
        <v>0</v>
      </c>
      <c r="CE81" s="1">
        <v>0</v>
      </c>
      <c r="CF81" s="1">
        <v>0</v>
      </c>
      <c r="CG81" s="1">
        <v>12.5</v>
      </c>
      <c r="CH81" s="1">
        <v>0</v>
      </c>
      <c r="CI81" s="1">
        <v>87.5</v>
      </c>
      <c r="CJ81" s="1">
        <v>9.7500000000000018</v>
      </c>
      <c r="CK81" s="1">
        <v>8</v>
      </c>
      <c r="CL81" s="1">
        <v>50</v>
      </c>
      <c r="CM81" s="1">
        <v>50</v>
      </c>
      <c r="CN81" s="1">
        <v>0</v>
      </c>
      <c r="CO81" s="1">
        <v>0</v>
      </c>
      <c r="CP81" s="1">
        <v>0</v>
      </c>
      <c r="CQ81" s="1">
        <v>8</v>
      </c>
      <c r="CR81" s="1">
        <v>75</v>
      </c>
      <c r="CS81" s="1">
        <v>25</v>
      </c>
      <c r="CT81" s="1">
        <v>0</v>
      </c>
      <c r="CU81" s="1">
        <v>0</v>
      </c>
      <c r="CV81" s="1">
        <v>0</v>
      </c>
      <c r="CW81" s="1">
        <v>8</v>
      </c>
      <c r="CX81" s="1">
        <v>75</v>
      </c>
      <c r="CY81" s="1">
        <v>25</v>
      </c>
      <c r="CZ81" s="1">
        <v>0</v>
      </c>
      <c r="DA81" s="1">
        <v>0</v>
      </c>
      <c r="DB81" s="1">
        <v>0</v>
      </c>
      <c r="DC81" s="1">
        <v>8</v>
      </c>
      <c r="DD81" s="1">
        <v>50</v>
      </c>
      <c r="DE81" s="1">
        <v>50</v>
      </c>
      <c r="DF81" s="1">
        <v>0</v>
      </c>
      <c r="DG81" s="1">
        <v>0</v>
      </c>
      <c r="DH81" s="1">
        <v>0</v>
      </c>
      <c r="DI81" s="1">
        <v>8</v>
      </c>
      <c r="DJ81" s="1">
        <v>87.5</v>
      </c>
      <c r="DK81" s="1">
        <v>12.5</v>
      </c>
      <c r="DL81" s="1">
        <v>0</v>
      </c>
      <c r="DM81" s="1">
        <v>0</v>
      </c>
      <c r="DN81" s="1">
        <v>0</v>
      </c>
      <c r="DO81" s="1">
        <v>8</v>
      </c>
      <c r="DP81" s="1">
        <v>87.5</v>
      </c>
      <c r="DQ81" s="1">
        <v>12.5</v>
      </c>
      <c r="DR81" s="1">
        <v>0</v>
      </c>
      <c r="DS81" s="1">
        <v>0</v>
      </c>
      <c r="DT81" s="1">
        <v>0</v>
      </c>
      <c r="DU81" s="1">
        <v>8</v>
      </c>
      <c r="DV81" s="1">
        <v>75</v>
      </c>
      <c r="DW81" s="1">
        <v>25</v>
      </c>
      <c r="DX81" s="1">
        <v>0</v>
      </c>
      <c r="DY81" s="1">
        <v>0</v>
      </c>
      <c r="DZ81" s="1">
        <v>0</v>
      </c>
      <c r="EA81" s="1">
        <v>8</v>
      </c>
      <c r="EB81" s="1">
        <v>50</v>
      </c>
      <c r="EC81" s="1">
        <v>0</v>
      </c>
      <c r="ED81" s="1">
        <v>50</v>
      </c>
      <c r="EE81" s="1">
        <v>0</v>
      </c>
      <c r="EF81" s="1">
        <v>0</v>
      </c>
      <c r="EG81" s="1">
        <v>2</v>
      </c>
      <c r="EH81" s="1">
        <v>50</v>
      </c>
      <c r="EI81" s="1">
        <v>0</v>
      </c>
      <c r="EJ81" s="1">
        <v>50</v>
      </c>
      <c r="EK81" s="1">
        <v>0</v>
      </c>
      <c r="EL81" s="1">
        <v>0</v>
      </c>
      <c r="EM81" s="1">
        <v>2</v>
      </c>
      <c r="EN81" s="1">
        <v>50</v>
      </c>
      <c r="EO81" s="1">
        <v>33.333333333333321</v>
      </c>
      <c r="EP81" s="1">
        <v>0</v>
      </c>
      <c r="EQ81" s="1">
        <v>16.666666666666661</v>
      </c>
      <c r="ER81" s="1">
        <v>0</v>
      </c>
      <c r="ES81" s="1">
        <v>6</v>
      </c>
      <c r="ET81" s="1">
        <v>50</v>
      </c>
      <c r="EU81" s="1">
        <v>33.333333333333321</v>
      </c>
      <c r="EV81" s="1">
        <v>0</v>
      </c>
      <c r="EW81" s="1">
        <v>16.666666666666661</v>
      </c>
      <c r="EX81" s="1">
        <v>0</v>
      </c>
      <c r="EY81" s="1">
        <v>6</v>
      </c>
      <c r="EZ81" s="1">
        <v>25</v>
      </c>
      <c r="FA81" s="1">
        <v>50</v>
      </c>
      <c r="FB81" s="1">
        <v>25</v>
      </c>
      <c r="FC81" s="1">
        <v>0</v>
      </c>
      <c r="FD81" s="1">
        <v>0</v>
      </c>
      <c r="FE81" s="1">
        <v>4</v>
      </c>
      <c r="FF81" s="1">
        <v>25</v>
      </c>
      <c r="FG81" s="1">
        <v>50</v>
      </c>
      <c r="FH81" s="1">
        <v>25</v>
      </c>
      <c r="FI81" s="1">
        <v>0</v>
      </c>
      <c r="FJ81" s="1">
        <v>0</v>
      </c>
      <c r="FK81" s="1">
        <v>4</v>
      </c>
      <c r="FL81" s="1">
        <v>20</v>
      </c>
      <c r="FM81" s="1">
        <v>40</v>
      </c>
      <c r="FN81" s="1">
        <v>0</v>
      </c>
      <c r="FO81" s="1">
        <v>40</v>
      </c>
      <c r="FP81" s="1">
        <v>0</v>
      </c>
      <c r="FQ81" s="1">
        <v>5</v>
      </c>
      <c r="FR81" s="1">
        <v>50</v>
      </c>
      <c r="FS81" s="1">
        <v>50</v>
      </c>
      <c r="FT81" s="1">
        <v>0</v>
      </c>
      <c r="FU81" s="1">
        <v>0</v>
      </c>
      <c r="FV81" s="1">
        <v>0</v>
      </c>
      <c r="FW81" s="1">
        <v>2</v>
      </c>
      <c r="FX81" s="1">
        <v>87.5</v>
      </c>
      <c r="FY81" s="1">
        <v>12.5</v>
      </c>
      <c r="FZ81" s="1">
        <v>0</v>
      </c>
      <c r="GA81" s="1">
        <v>0</v>
      </c>
      <c r="GB81" s="1">
        <v>0</v>
      </c>
      <c r="GC81" s="1">
        <v>8</v>
      </c>
      <c r="GD81" s="1">
        <v>100</v>
      </c>
      <c r="GE81" s="1">
        <v>0</v>
      </c>
      <c r="GF81" s="1">
        <v>0</v>
      </c>
      <c r="GG81" s="1">
        <v>0</v>
      </c>
      <c r="GH81" s="1">
        <v>0</v>
      </c>
      <c r="GI81" s="1">
        <v>2</v>
      </c>
      <c r="GJ81" s="1">
        <v>100</v>
      </c>
      <c r="GK81" s="1">
        <v>0</v>
      </c>
      <c r="GL81" s="1">
        <v>0</v>
      </c>
      <c r="GM81" s="1">
        <v>0</v>
      </c>
      <c r="GN81" s="1">
        <v>0</v>
      </c>
      <c r="GO81" s="1">
        <v>2</v>
      </c>
      <c r="GP81" s="1">
        <v>99.999999999999986</v>
      </c>
      <c r="GQ81" s="1">
        <v>0</v>
      </c>
      <c r="GR81" s="1">
        <v>0</v>
      </c>
      <c r="GS81" s="1">
        <v>0</v>
      </c>
      <c r="GT81" s="1">
        <v>0</v>
      </c>
      <c r="GU81" s="1">
        <v>5</v>
      </c>
      <c r="GV81" s="1">
        <v>99.999999999999986</v>
      </c>
      <c r="GW81" s="1">
        <v>0</v>
      </c>
      <c r="GX81" s="1">
        <v>0</v>
      </c>
      <c r="GY81" s="1">
        <v>0</v>
      </c>
      <c r="GZ81" s="1">
        <v>0</v>
      </c>
      <c r="HA81" s="1">
        <v>5</v>
      </c>
      <c r="HB81" s="1">
        <v>0</v>
      </c>
      <c r="HC81" s="1">
        <v>0</v>
      </c>
      <c r="HD81" s="1">
        <v>0</v>
      </c>
      <c r="HE81" s="1">
        <v>0</v>
      </c>
      <c r="HF81" s="1">
        <v>0</v>
      </c>
      <c r="HG81" s="1">
        <v>0</v>
      </c>
      <c r="HH81" s="1">
        <v>0</v>
      </c>
      <c r="HI81" s="1">
        <v>0</v>
      </c>
      <c r="HJ81" s="1">
        <v>0</v>
      </c>
      <c r="HK81" s="1">
        <v>0</v>
      </c>
      <c r="HL81" s="1">
        <v>0</v>
      </c>
      <c r="HM81" s="1">
        <v>0</v>
      </c>
      <c r="HN81" s="1">
        <v>0</v>
      </c>
      <c r="HO81" s="1">
        <v>0</v>
      </c>
      <c r="HP81" s="1">
        <v>0</v>
      </c>
      <c r="HQ81" s="1">
        <v>0</v>
      </c>
      <c r="HR81" s="1">
        <v>0</v>
      </c>
      <c r="HS81" s="1">
        <v>0</v>
      </c>
      <c r="HT81" s="1">
        <v>0</v>
      </c>
      <c r="HU81" s="1">
        <v>0</v>
      </c>
      <c r="HV81" s="1">
        <v>0</v>
      </c>
      <c r="HW81" s="1">
        <v>0</v>
      </c>
      <c r="HX81" s="1">
        <v>0</v>
      </c>
      <c r="HY81" s="1">
        <v>0</v>
      </c>
      <c r="HZ81" s="1">
        <v>0</v>
      </c>
      <c r="IA81" s="1">
        <v>0</v>
      </c>
      <c r="IB81" s="1">
        <v>0</v>
      </c>
      <c r="IC81" s="1">
        <v>0</v>
      </c>
      <c r="ID81" s="1">
        <v>0</v>
      </c>
      <c r="IE81" s="1">
        <v>0</v>
      </c>
      <c r="IF81" s="1">
        <v>9.3333333333333339</v>
      </c>
      <c r="IG81" s="1">
        <v>0</v>
      </c>
      <c r="IH81" s="1">
        <v>0</v>
      </c>
      <c r="II81" s="1">
        <v>0</v>
      </c>
      <c r="IJ81" s="1">
        <v>0</v>
      </c>
      <c r="IK81" s="1">
        <v>0</v>
      </c>
      <c r="IL81" s="1">
        <v>0</v>
      </c>
      <c r="IM81" s="1">
        <v>16.666666666666661</v>
      </c>
      <c r="IN81" s="1">
        <v>0</v>
      </c>
      <c r="IO81" s="1">
        <v>16.666666666666661</v>
      </c>
      <c r="IP81" s="1">
        <v>66.666666666666643</v>
      </c>
      <c r="IQ81" s="1">
        <v>9.3333333333333304</v>
      </c>
      <c r="IR81" s="1">
        <v>6</v>
      </c>
      <c r="IS81" s="1">
        <v>37.5</v>
      </c>
      <c r="IT81" s="1">
        <v>12.5</v>
      </c>
      <c r="IU81" s="1">
        <v>37.5</v>
      </c>
      <c r="IV81" s="1">
        <v>0</v>
      </c>
      <c r="IW81" s="1">
        <v>12.5</v>
      </c>
      <c r="IX81" s="1">
        <v>8</v>
      </c>
      <c r="IY81" s="1">
        <v>1</v>
      </c>
      <c r="IZ81" s="1">
        <v>4.2945599999999997</v>
      </c>
      <c r="JA81" s="1">
        <v>1.0736399999999999</v>
      </c>
      <c r="JB81" s="1">
        <v>1.6104599999999998</v>
      </c>
      <c r="JC81" s="1">
        <v>1.6104599999999998</v>
      </c>
      <c r="JD81" s="1">
        <v>0</v>
      </c>
      <c r="JE81" s="1">
        <v>0.25</v>
      </c>
      <c r="JF81" s="1">
        <v>0.375</v>
      </c>
      <c r="JG81" s="1">
        <v>0.375</v>
      </c>
      <c r="JH81" s="1">
        <v>0</v>
      </c>
      <c r="JI81" s="1">
        <v>1</v>
      </c>
      <c r="JJ81" s="1">
        <v>8</v>
      </c>
      <c r="JK81" s="1">
        <v>2.875</v>
      </c>
      <c r="JL81" s="1">
        <v>2.8749999999999996</v>
      </c>
      <c r="JM81" s="1">
        <v>8</v>
      </c>
      <c r="JN81" s="1">
        <v>100</v>
      </c>
      <c r="JO81" s="1">
        <v>0</v>
      </c>
      <c r="JP81" s="1">
        <v>4</v>
      </c>
      <c r="JQ81" s="1">
        <v>100</v>
      </c>
      <c r="JR81" s="1">
        <v>0</v>
      </c>
      <c r="JS81" s="1">
        <v>2</v>
      </c>
      <c r="JT81" s="1">
        <v>71.428571428571431</v>
      </c>
      <c r="JU81" s="1">
        <v>28.571428571428562</v>
      </c>
      <c r="JV81" s="1">
        <v>7</v>
      </c>
      <c r="JW81" s="1">
        <v>99.999999999999986</v>
      </c>
      <c r="JX81" s="1">
        <v>0</v>
      </c>
      <c r="JY81" s="1">
        <v>5</v>
      </c>
      <c r="JZ81" s="1">
        <v>85.714285714285694</v>
      </c>
      <c r="KA81" s="1">
        <v>14.285714285714281</v>
      </c>
      <c r="KB81" s="1">
        <v>7</v>
      </c>
      <c r="KC81" s="1">
        <v>100</v>
      </c>
      <c r="KD81" s="1">
        <v>0</v>
      </c>
      <c r="KE81" s="1">
        <v>7</v>
      </c>
      <c r="KF81" s="1">
        <v>2.7142857142857144</v>
      </c>
      <c r="KG81" s="1">
        <v>14.285714285714281</v>
      </c>
      <c r="KH81" s="1">
        <v>28.571428571428562</v>
      </c>
      <c r="KI81" s="1">
        <v>28.571428571428562</v>
      </c>
      <c r="KJ81" s="1">
        <v>28.571428571428562</v>
      </c>
      <c r="KK81" s="1">
        <v>0</v>
      </c>
      <c r="KL81" s="1">
        <v>7</v>
      </c>
      <c r="KM81" s="1">
        <v>49.142857142857125</v>
      </c>
      <c r="KN81" s="1">
        <v>0</v>
      </c>
      <c r="KO81" s="1">
        <v>0</v>
      </c>
      <c r="KP81" s="1">
        <v>0</v>
      </c>
      <c r="KQ81" s="1">
        <v>0</v>
      </c>
      <c r="KR81" s="1">
        <v>0</v>
      </c>
      <c r="KS81" s="1">
        <v>0</v>
      </c>
      <c r="KT81" s="1">
        <v>0</v>
      </c>
      <c r="KU81" s="1">
        <v>0</v>
      </c>
      <c r="KV81" s="1">
        <v>0</v>
      </c>
      <c r="KW81" s="1">
        <v>0</v>
      </c>
      <c r="KX81" s="1">
        <v>83.333333333333329</v>
      </c>
      <c r="KY81" s="1">
        <v>16.666666666666661</v>
      </c>
      <c r="KZ81" s="1">
        <v>6</v>
      </c>
      <c r="LA81" s="1">
        <v>0</v>
      </c>
      <c r="LB81" s="1">
        <v>100</v>
      </c>
      <c r="LC81" s="1">
        <v>7</v>
      </c>
      <c r="LD81" s="1">
        <v>0</v>
      </c>
      <c r="LE81" s="1">
        <v>0</v>
      </c>
      <c r="LF81" s="1">
        <v>0</v>
      </c>
      <c r="LG81" s="1">
        <v>0</v>
      </c>
    </row>
    <row r="82" spans="1:319" x14ac:dyDescent="0.25">
      <c r="A82" s="1">
        <v>252</v>
      </c>
      <c r="B82" s="1">
        <v>11.111111111111114</v>
      </c>
      <c r="C82" s="1">
        <v>88.8888888888889</v>
      </c>
      <c r="D82" s="1">
        <v>18</v>
      </c>
      <c r="E82" s="1">
        <v>81.250000000000014</v>
      </c>
      <c r="F82" s="1">
        <v>18.75</v>
      </c>
      <c r="G82" s="1">
        <v>16</v>
      </c>
      <c r="H82" s="1">
        <v>24.999999999999996</v>
      </c>
      <c r="I82" s="1">
        <v>75.000000000000014</v>
      </c>
      <c r="J82" s="1">
        <v>12</v>
      </c>
      <c r="K82" s="1">
        <v>1</v>
      </c>
      <c r="L82" s="1">
        <v>6.5111399999999984</v>
      </c>
      <c r="M82" s="1">
        <v>1.8086500000000001</v>
      </c>
      <c r="N82" s="1">
        <v>1.4469199999999995</v>
      </c>
      <c r="O82" s="1">
        <v>1.4469199999999995</v>
      </c>
      <c r="P82" s="1">
        <v>0</v>
      </c>
      <c r="Q82" s="1">
        <v>3.2555699999999992</v>
      </c>
      <c r="R82" s="1">
        <v>0</v>
      </c>
      <c r="S82" s="1">
        <v>0</v>
      </c>
      <c r="T82" s="1">
        <v>0.36172999999999988</v>
      </c>
      <c r="U82" s="1">
        <v>2.1703800000000006</v>
      </c>
      <c r="V82" s="1">
        <v>0</v>
      </c>
      <c r="W82" s="1">
        <v>0.27777777777777779</v>
      </c>
      <c r="X82" s="1">
        <v>0.22222222222222227</v>
      </c>
      <c r="Y82" s="1">
        <v>0.22222222222222227</v>
      </c>
      <c r="Z82" s="1">
        <v>0</v>
      </c>
      <c r="AA82" s="1">
        <v>0.50000000000000011</v>
      </c>
      <c r="AB82" s="1">
        <v>0</v>
      </c>
      <c r="AC82" s="1">
        <v>0</v>
      </c>
      <c r="AD82" s="1">
        <v>5.5555555555555566E-2</v>
      </c>
      <c r="AE82" s="1">
        <v>0.33333333333333326</v>
      </c>
      <c r="AF82" s="1">
        <v>0</v>
      </c>
      <c r="AG82" s="1">
        <v>1</v>
      </c>
      <c r="AH82" s="1">
        <v>18</v>
      </c>
      <c r="AI82" s="1">
        <v>1</v>
      </c>
      <c r="AJ82" s="1">
        <v>5.7876799999999982</v>
      </c>
      <c r="AK82" s="1">
        <v>3.2555699999999992</v>
      </c>
      <c r="AL82" s="1">
        <v>4.3407600000000013</v>
      </c>
      <c r="AM82" s="1">
        <v>1.8086500000000001</v>
      </c>
      <c r="AN82" s="1">
        <v>3.6173000000000011</v>
      </c>
      <c r="AO82" s="1">
        <v>0.72345999999999977</v>
      </c>
      <c r="AP82" s="1">
        <v>1.4469199999999995</v>
      </c>
      <c r="AQ82" s="1">
        <v>0.56250000000000011</v>
      </c>
      <c r="AR82" s="1">
        <v>0.75000000000000011</v>
      </c>
      <c r="AS82" s="1">
        <v>0.31250000000000006</v>
      </c>
      <c r="AT82" s="1">
        <v>0.62500000000000011</v>
      </c>
      <c r="AU82" s="1">
        <v>0.12500000000000003</v>
      </c>
      <c r="AV82" s="1">
        <v>0.25000000000000006</v>
      </c>
      <c r="AW82" s="1">
        <v>1</v>
      </c>
      <c r="AX82" s="1">
        <v>16</v>
      </c>
      <c r="AY82" s="1">
        <v>9.9444444444444446</v>
      </c>
      <c r="AZ82" s="1">
        <v>9.9444444444444446</v>
      </c>
      <c r="BA82" s="1">
        <v>9.8888888888888893</v>
      </c>
      <c r="BB82" s="1">
        <v>0</v>
      </c>
      <c r="BC82" s="1">
        <v>0</v>
      </c>
      <c r="BD82" s="1">
        <v>0</v>
      </c>
      <c r="BE82" s="1">
        <v>0</v>
      </c>
      <c r="BF82" s="1">
        <v>0</v>
      </c>
      <c r="BG82" s="1">
        <v>0</v>
      </c>
      <c r="BH82" s="1">
        <v>0</v>
      </c>
      <c r="BI82" s="1">
        <v>0</v>
      </c>
      <c r="BJ82" s="1">
        <v>5.5555555555555571</v>
      </c>
      <c r="BK82" s="1">
        <v>94.444444444444414</v>
      </c>
      <c r="BL82" s="1">
        <v>9.94444444444445</v>
      </c>
      <c r="BM82" s="1">
        <v>18</v>
      </c>
      <c r="BN82" s="1">
        <v>0</v>
      </c>
      <c r="BO82" s="1">
        <v>0</v>
      </c>
      <c r="BP82" s="1">
        <v>0</v>
      </c>
      <c r="BQ82" s="1">
        <v>0</v>
      </c>
      <c r="BR82" s="1">
        <v>0</v>
      </c>
      <c r="BS82" s="1">
        <v>0</v>
      </c>
      <c r="BT82" s="1">
        <v>0</v>
      </c>
      <c r="BU82" s="1">
        <v>0</v>
      </c>
      <c r="BV82" s="1">
        <v>5.5555555555555571</v>
      </c>
      <c r="BW82" s="1">
        <v>94.444444444444414</v>
      </c>
      <c r="BX82" s="1">
        <v>9.94444444444445</v>
      </c>
      <c r="BY82" s="1">
        <v>18</v>
      </c>
      <c r="BZ82" s="1">
        <v>0</v>
      </c>
      <c r="CA82" s="1">
        <v>0</v>
      </c>
      <c r="CB82" s="1">
        <v>0</v>
      </c>
      <c r="CC82" s="1">
        <v>0</v>
      </c>
      <c r="CD82" s="1">
        <v>0</v>
      </c>
      <c r="CE82" s="1">
        <v>0</v>
      </c>
      <c r="CF82" s="1">
        <v>0</v>
      </c>
      <c r="CG82" s="1">
        <v>5.5555555555555571</v>
      </c>
      <c r="CH82" s="1">
        <v>0</v>
      </c>
      <c r="CI82" s="1">
        <v>94.444444444444414</v>
      </c>
      <c r="CJ82" s="1">
        <v>9.8888888888888893</v>
      </c>
      <c r="CK82" s="1">
        <v>18</v>
      </c>
      <c r="CL82" s="1">
        <v>61.111111111111114</v>
      </c>
      <c r="CM82" s="1">
        <v>38.888888888888907</v>
      </c>
      <c r="CN82" s="1">
        <v>0</v>
      </c>
      <c r="CO82" s="1">
        <v>0</v>
      </c>
      <c r="CP82" s="1">
        <v>0</v>
      </c>
      <c r="CQ82" s="1">
        <v>18</v>
      </c>
      <c r="CR82" s="1">
        <v>94.444444444444414</v>
      </c>
      <c r="CS82" s="1">
        <v>5.5555555555555571</v>
      </c>
      <c r="CT82" s="1">
        <v>0</v>
      </c>
      <c r="CU82" s="1">
        <v>0</v>
      </c>
      <c r="CV82" s="1">
        <v>0</v>
      </c>
      <c r="CW82" s="1">
        <v>18</v>
      </c>
      <c r="CX82" s="1">
        <v>88.8888888888889</v>
      </c>
      <c r="CY82" s="1">
        <v>11.111111111111114</v>
      </c>
      <c r="CZ82" s="1">
        <v>0</v>
      </c>
      <c r="DA82" s="1">
        <v>0</v>
      </c>
      <c r="DB82" s="1">
        <v>0</v>
      </c>
      <c r="DC82" s="1">
        <v>18</v>
      </c>
      <c r="DD82" s="1">
        <v>94.444444444444414</v>
      </c>
      <c r="DE82" s="1">
        <v>5.5555555555555571</v>
      </c>
      <c r="DF82" s="1">
        <v>0</v>
      </c>
      <c r="DG82" s="1">
        <v>0</v>
      </c>
      <c r="DH82" s="1">
        <v>0</v>
      </c>
      <c r="DI82" s="1">
        <v>18</v>
      </c>
      <c r="DJ82" s="1">
        <v>42.857142857142875</v>
      </c>
      <c r="DK82" s="1">
        <v>42.857142857142875</v>
      </c>
      <c r="DL82" s="1">
        <v>7.1428571428571423</v>
      </c>
      <c r="DM82" s="1">
        <v>7.1428571428571423</v>
      </c>
      <c r="DN82" s="1">
        <v>0</v>
      </c>
      <c r="DO82" s="1">
        <v>14</v>
      </c>
      <c r="DP82" s="1">
        <v>100</v>
      </c>
      <c r="DQ82" s="1">
        <v>0</v>
      </c>
      <c r="DR82" s="1">
        <v>0</v>
      </c>
      <c r="DS82" s="1">
        <v>0</v>
      </c>
      <c r="DT82" s="1">
        <v>0</v>
      </c>
      <c r="DU82" s="1">
        <v>16</v>
      </c>
      <c r="DV82" s="1">
        <v>70</v>
      </c>
      <c r="DW82" s="1">
        <v>29.999999999999993</v>
      </c>
      <c r="DX82" s="1">
        <v>0</v>
      </c>
      <c r="DY82" s="1">
        <v>0</v>
      </c>
      <c r="DZ82" s="1">
        <v>0</v>
      </c>
      <c r="EA82" s="1">
        <v>10</v>
      </c>
      <c r="EB82" s="1">
        <v>50</v>
      </c>
      <c r="EC82" s="1">
        <v>0</v>
      </c>
      <c r="ED82" s="1">
        <v>50</v>
      </c>
      <c r="EE82" s="1">
        <v>0</v>
      </c>
      <c r="EF82" s="1">
        <v>0</v>
      </c>
      <c r="EG82" s="1">
        <v>2</v>
      </c>
      <c r="EH82" s="1">
        <v>0</v>
      </c>
      <c r="EI82" s="1">
        <v>0</v>
      </c>
      <c r="EJ82" s="1">
        <v>0</v>
      </c>
      <c r="EK82" s="1">
        <v>0</v>
      </c>
      <c r="EL82" s="1">
        <v>0</v>
      </c>
      <c r="EM82" s="1">
        <v>0</v>
      </c>
      <c r="EN82" s="1">
        <v>55.55555555555555</v>
      </c>
      <c r="EO82" s="1">
        <v>44.44444444444445</v>
      </c>
      <c r="EP82" s="1">
        <v>0</v>
      </c>
      <c r="EQ82" s="1">
        <v>0</v>
      </c>
      <c r="ER82" s="1">
        <v>0</v>
      </c>
      <c r="ES82" s="1">
        <v>9</v>
      </c>
      <c r="ET82" s="1">
        <v>70</v>
      </c>
      <c r="EU82" s="1">
        <v>9.9999999999999982</v>
      </c>
      <c r="EV82" s="1">
        <v>9.9999999999999982</v>
      </c>
      <c r="EW82" s="1">
        <v>9.9999999999999982</v>
      </c>
      <c r="EX82" s="1">
        <v>0</v>
      </c>
      <c r="EY82" s="1">
        <v>10</v>
      </c>
      <c r="EZ82" s="1">
        <v>80</v>
      </c>
      <c r="FA82" s="1">
        <v>0</v>
      </c>
      <c r="FB82" s="1">
        <v>20</v>
      </c>
      <c r="FC82" s="1">
        <v>0</v>
      </c>
      <c r="FD82" s="1">
        <v>0</v>
      </c>
      <c r="FE82" s="1">
        <v>5</v>
      </c>
      <c r="FF82" s="1">
        <v>100</v>
      </c>
      <c r="FG82" s="1">
        <v>0</v>
      </c>
      <c r="FH82" s="1">
        <v>0</v>
      </c>
      <c r="FI82" s="1">
        <v>0</v>
      </c>
      <c r="FJ82" s="1">
        <v>0</v>
      </c>
      <c r="FK82" s="1">
        <v>1</v>
      </c>
      <c r="FL82" s="1">
        <v>75</v>
      </c>
      <c r="FM82" s="1">
        <v>0</v>
      </c>
      <c r="FN82" s="1">
        <v>25</v>
      </c>
      <c r="FO82" s="1">
        <v>0</v>
      </c>
      <c r="FP82" s="1">
        <v>0</v>
      </c>
      <c r="FQ82" s="1">
        <v>4</v>
      </c>
      <c r="FR82" s="1">
        <v>66.666666666666671</v>
      </c>
      <c r="FS82" s="1">
        <v>33.333333333333336</v>
      </c>
      <c r="FT82" s="1">
        <v>0</v>
      </c>
      <c r="FU82" s="1">
        <v>0</v>
      </c>
      <c r="FV82" s="1">
        <v>0</v>
      </c>
      <c r="FW82" s="1">
        <v>3</v>
      </c>
      <c r="FX82" s="1">
        <v>88.235294117647058</v>
      </c>
      <c r="FY82" s="1">
        <v>11.764705882352949</v>
      </c>
      <c r="FZ82" s="1">
        <v>0</v>
      </c>
      <c r="GA82" s="1">
        <v>0</v>
      </c>
      <c r="GB82" s="1">
        <v>0</v>
      </c>
      <c r="GC82" s="1">
        <v>17</v>
      </c>
      <c r="GD82" s="1">
        <v>100</v>
      </c>
      <c r="GE82" s="1">
        <v>0</v>
      </c>
      <c r="GF82" s="1">
        <v>0</v>
      </c>
      <c r="GG82" s="1">
        <v>0</v>
      </c>
      <c r="GH82" s="1">
        <v>0</v>
      </c>
      <c r="GI82" s="1">
        <v>3</v>
      </c>
      <c r="GJ82" s="1">
        <v>88.8888888888889</v>
      </c>
      <c r="GK82" s="1">
        <v>0</v>
      </c>
      <c r="GL82" s="1">
        <v>11.111111111111112</v>
      </c>
      <c r="GM82" s="1">
        <v>0</v>
      </c>
      <c r="GN82" s="1">
        <v>0</v>
      </c>
      <c r="GO82" s="1">
        <v>9</v>
      </c>
      <c r="GP82" s="1">
        <v>90</v>
      </c>
      <c r="GQ82" s="1">
        <v>9.9999999999999982</v>
      </c>
      <c r="GR82" s="1">
        <v>0</v>
      </c>
      <c r="GS82" s="1">
        <v>0</v>
      </c>
      <c r="GT82" s="1">
        <v>0</v>
      </c>
      <c r="GU82" s="1">
        <v>10</v>
      </c>
      <c r="GV82" s="1">
        <v>100</v>
      </c>
      <c r="GW82" s="1">
        <v>0</v>
      </c>
      <c r="GX82" s="1">
        <v>0</v>
      </c>
      <c r="GY82" s="1">
        <v>0</v>
      </c>
      <c r="GZ82" s="1">
        <v>0</v>
      </c>
      <c r="HA82" s="1">
        <v>9</v>
      </c>
      <c r="HB82" s="1">
        <v>0</v>
      </c>
      <c r="HC82" s="1">
        <v>0</v>
      </c>
      <c r="HD82" s="1">
        <v>0</v>
      </c>
      <c r="HE82" s="1">
        <v>0</v>
      </c>
      <c r="HF82" s="1">
        <v>0</v>
      </c>
      <c r="HG82" s="1">
        <v>0</v>
      </c>
      <c r="HH82" s="1">
        <v>50</v>
      </c>
      <c r="HI82" s="1">
        <v>0</v>
      </c>
      <c r="HJ82" s="1">
        <v>0</v>
      </c>
      <c r="HK82" s="1">
        <v>50</v>
      </c>
      <c r="HL82" s="1">
        <v>0</v>
      </c>
      <c r="HM82" s="1">
        <v>2</v>
      </c>
      <c r="HN82" s="1">
        <v>0</v>
      </c>
      <c r="HO82" s="1">
        <v>0</v>
      </c>
      <c r="HP82" s="1">
        <v>0</v>
      </c>
      <c r="HQ82" s="1">
        <v>0</v>
      </c>
      <c r="HR82" s="1">
        <v>0</v>
      </c>
      <c r="HS82" s="1">
        <v>0</v>
      </c>
      <c r="HT82" s="1">
        <v>0</v>
      </c>
      <c r="HU82" s="1">
        <v>0</v>
      </c>
      <c r="HV82" s="1">
        <v>0</v>
      </c>
      <c r="HW82" s="1">
        <v>0</v>
      </c>
      <c r="HX82" s="1">
        <v>0</v>
      </c>
      <c r="HY82" s="1">
        <v>0</v>
      </c>
      <c r="HZ82" s="1">
        <v>0</v>
      </c>
      <c r="IA82" s="1">
        <v>0</v>
      </c>
      <c r="IB82" s="1">
        <v>0</v>
      </c>
      <c r="IC82" s="1">
        <v>0</v>
      </c>
      <c r="ID82" s="1">
        <v>0</v>
      </c>
      <c r="IE82" s="1">
        <v>0</v>
      </c>
      <c r="IF82" s="1">
        <v>9.4375</v>
      </c>
      <c r="IG82" s="1">
        <v>0</v>
      </c>
      <c r="IH82" s="1">
        <v>0</v>
      </c>
      <c r="II82" s="1">
        <v>0</v>
      </c>
      <c r="IJ82" s="1">
        <v>0</v>
      </c>
      <c r="IK82" s="1">
        <v>0</v>
      </c>
      <c r="IL82" s="1">
        <v>0</v>
      </c>
      <c r="IM82" s="1">
        <v>6.2500000000000009</v>
      </c>
      <c r="IN82" s="1">
        <v>6.2500000000000009</v>
      </c>
      <c r="IO82" s="1">
        <v>25.000000000000004</v>
      </c>
      <c r="IP82" s="1">
        <v>62.500000000000014</v>
      </c>
      <c r="IQ82" s="1">
        <v>9.4375000000000018</v>
      </c>
      <c r="IR82" s="1">
        <v>16</v>
      </c>
      <c r="IS82" s="1">
        <v>47.058823529411796</v>
      </c>
      <c r="IT82" s="1">
        <v>41.176470588235325</v>
      </c>
      <c r="IU82" s="1">
        <v>11.764705882352949</v>
      </c>
      <c r="IV82" s="1">
        <v>0</v>
      </c>
      <c r="IW82" s="1">
        <v>0</v>
      </c>
      <c r="IX82" s="1">
        <v>17</v>
      </c>
      <c r="IY82" s="1">
        <v>1</v>
      </c>
      <c r="IZ82" s="1">
        <v>5.4259499999999994</v>
      </c>
      <c r="JA82" s="1">
        <v>1.8086500000000001</v>
      </c>
      <c r="JB82" s="1">
        <v>2.5321100000000007</v>
      </c>
      <c r="JC82" s="1">
        <v>1.4469199999999995</v>
      </c>
      <c r="JD82" s="1">
        <v>1.0851900000000003</v>
      </c>
      <c r="JE82" s="1">
        <v>0.33333333333333326</v>
      </c>
      <c r="JF82" s="1">
        <v>0.46666666666666679</v>
      </c>
      <c r="JG82" s="1">
        <v>0.26666666666666666</v>
      </c>
      <c r="JH82" s="1">
        <v>0.20000000000000007</v>
      </c>
      <c r="JI82" s="1">
        <v>1</v>
      </c>
      <c r="JJ82" s="1">
        <v>15</v>
      </c>
      <c r="JK82" s="1">
        <v>3.1176470588235294</v>
      </c>
      <c r="JL82" s="1">
        <v>3.1176470588235294</v>
      </c>
      <c r="JM82" s="1">
        <v>17</v>
      </c>
      <c r="JN82" s="1">
        <v>100</v>
      </c>
      <c r="JO82" s="1">
        <v>0</v>
      </c>
      <c r="JP82" s="1">
        <v>6</v>
      </c>
      <c r="JQ82" s="1">
        <v>100</v>
      </c>
      <c r="JR82" s="1">
        <v>0</v>
      </c>
      <c r="JS82" s="1">
        <v>9</v>
      </c>
      <c r="JT82" s="1">
        <v>93.333333333333314</v>
      </c>
      <c r="JU82" s="1">
        <v>6.6666666666666705</v>
      </c>
      <c r="JV82" s="1">
        <v>15</v>
      </c>
      <c r="JW82" s="1">
        <v>99.999999999999986</v>
      </c>
      <c r="JX82" s="1">
        <v>0</v>
      </c>
      <c r="JY82" s="1">
        <v>8</v>
      </c>
      <c r="JZ82" s="1">
        <v>54.545454545454533</v>
      </c>
      <c r="KA82" s="1">
        <v>45.454545454545467</v>
      </c>
      <c r="KB82" s="1">
        <v>11</v>
      </c>
      <c r="KC82" s="1">
        <v>100</v>
      </c>
      <c r="KD82" s="1">
        <v>0</v>
      </c>
      <c r="KE82" s="1">
        <v>9</v>
      </c>
      <c r="KF82" s="1">
        <v>3.2</v>
      </c>
      <c r="KG82" s="1">
        <v>0</v>
      </c>
      <c r="KH82" s="1">
        <v>9.9999999999999982</v>
      </c>
      <c r="KI82" s="1">
        <v>59.999999999999986</v>
      </c>
      <c r="KJ82" s="1">
        <v>29.999999999999993</v>
      </c>
      <c r="KK82" s="1">
        <v>0</v>
      </c>
      <c r="KL82" s="1">
        <v>10</v>
      </c>
      <c r="KM82" s="1">
        <v>58.499999999999986</v>
      </c>
      <c r="KN82" s="1">
        <v>0</v>
      </c>
      <c r="KO82" s="1">
        <v>0</v>
      </c>
      <c r="KP82" s="1">
        <v>0</v>
      </c>
      <c r="KQ82" s="1">
        <v>0</v>
      </c>
      <c r="KR82" s="1">
        <v>0</v>
      </c>
      <c r="KS82" s="1">
        <v>0</v>
      </c>
      <c r="KT82" s="1">
        <v>0</v>
      </c>
      <c r="KU82" s="1">
        <v>0</v>
      </c>
      <c r="KV82" s="1">
        <v>0</v>
      </c>
      <c r="KW82" s="1">
        <v>0</v>
      </c>
      <c r="KX82" s="1">
        <v>100</v>
      </c>
      <c r="KY82" s="1">
        <v>0</v>
      </c>
      <c r="KZ82" s="1">
        <v>10</v>
      </c>
      <c r="LA82" s="1">
        <v>9.9999999999999982</v>
      </c>
      <c r="LB82" s="1">
        <v>90</v>
      </c>
      <c r="LC82" s="1">
        <v>10</v>
      </c>
      <c r="LD82" s="1">
        <v>0</v>
      </c>
      <c r="LE82" s="1">
        <v>0</v>
      </c>
      <c r="LF82" s="1">
        <v>100</v>
      </c>
      <c r="LG82" s="1">
        <v>1</v>
      </c>
    </row>
    <row r="83" spans="1:319" x14ac:dyDescent="0.25">
      <c r="A83" s="1">
        <v>262</v>
      </c>
      <c r="B83" s="1">
        <v>0</v>
      </c>
      <c r="C83" s="1">
        <v>100</v>
      </c>
      <c r="D83" s="1">
        <v>21</v>
      </c>
      <c r="E83" s="1">
        <v>76.190476190476176</v>
      </c>
      <c r="F83" s="1">
        <v>23.809523809523803</v>
      </c>
      <c r="G83" s="1">
        <v>21</v>
      </c>
      <c r="H83" s="1">
        <v>43.75</v>
      </c>
      <c r="I83" s="1">
        <v>56.250000000000007</v>
      </c>
      <c r="J83" s="1">
        <v>16</v>
      </c>
      <c r="K83" s="1">
        <v>1</v>
      </c>
      <c r="L83" s="1">
        <v>7.8153599999999992</v>
      </c>
      <c r="M83" s="1">
        <v>5.9545599999999999</v>
      </c>
      <c r="N83" s="1">
        <v>0</v>
      </c>
      <c r="O83" s="1">
        <v>0.37215999999999999</v>
      </c>
      <c r="P83" s="1">
        <v>0</v>
      </c>
      <c r="Q83" s="1">
        <v>0.37215999999999999</v>
      </c>
      <c r="R83" s="1">
        <v>0</v>
      </c>
      <c r="S83" s="1">
        <v>0</v>
      </c>
      <c r="T83" s="1">
        <v>0.37215999999999999</v>
      </c>
      <c r="U83" s="1">
        <v>1.1164799999999995</v>
      </c>
      <c r="V83" s="1">
        <v>0</v>
      </c>
      <c r="W83" s="1">
        <v>0.76190476190476231</v>
      </c>
      <c r="X83" s="1">
        <v>0</v>
      </c>
      <c r="Y83" s="1">
        <v>4.7619047619047644E-2</v>
      </c>
      <c r="Z83" s="1">
        <v>0</v>
      </c>
      <c r="AA83" s="1">
        <v>4.7619047619047644E-2</v>
      </c>
      <c r="AB83" s="1">
        <v>0</v>
      </c>
      <c r="AC83" s="1">
        <v>0</v>
      </c>
      <c r="AD83" s="1">
        <v>4.7619047619047644E-2</v>
      </c>
      <c r="AE83" s="1">
        <v>0.14285714285714282</v>
      </c>
      <c r="AF83" s="1">
        <v>0</v>
      </c>
      <c r="AG83" s="1">
        <v>1</v>
      </c>
      <c r="AH83" s="1">
        <v>21</v>
      </c>
      <c r="AI83" s="1">
        <v>1</v>
      </c>
      <c r="AJ83" s="1">
        <v>7.8153599999999992</v>
      </c>
      <c r="AK83" s="1">
        <v>3.3494400000000009</v>
      </c>
      <c r="AL83" s="1">
        <v>7.4431999999999992</v>
      </c>
      <c r="AM83" s="1">
        <v>1.8607999999999998</v>
      </c>
      <c r="AN83" s="1">
        <v>1.1164799999999995</v>
      </c>
      <c r="AO83" s="1">
        <v>1.1164799999999995</v>
      </c>
      <c r="AP83" s="1">
        <v>0.74431999999999998</v>
      </c>
      <c r="AQ83" s="1">
        <v>0.42857142857142866</v>
      </c>
      <c r="AR83" s="1">
        <v>0.95238095238095244</v>
      </c>
      <c r="AS83" s="1">
        <v>0.23809523809523811</v>
      </c>
      <c r="AT83" s="1">
        <v>0.14285714285714282</v>
      </c>
      <c r="AU83" s="1">
        <v>0.14285714285714282</v>
      </c>
      <c r="AV83" s="1">
        <v>9.5238095238095288E-2</v>
      </c>
      <c r="AW83" s="1">
        <v>1</v>
      </c>
      <c r="AX83" s="1">
        <v>21</v>
      </c>
      <c r="AY83" s="1">
        <v>9.4761904761904763</v>
      </c>
      <c r="AZ83" s="1">
        <v>9.8095238095238102</v>
      </c>
      <c r="BA83" s="1">
        <v>9.6666666666666661</v>
      </c>
      <c r="BB83" s="1">
        <v>0</v>
      </c>
      <c r="BC83" s="1">
        <v>0</v>
      </c>
      <c r="BD83" s="1">
        <v>0</v>
      </c>
      <c r="BE83" s="1">
        <v>0</v>
      </c>
      <c r="BF83" s="1">
        <v>0</v>
      </c>
      <c r="BG83" s="1">
        <v>0</v>
      </c>
      <c r="BH83" s="1">
        <v>0</v>
      </c>
      <c r="BI83" s="1">
        <v>23.8095238095238</v>
      </c>
      <c r="BJ83" s="1">
        <v>4.7619047619047601</v>
      </c>
      <c r="BK83" s="1">
        <v>71.428571428571402</v>
      </c>
      <c r="BL83" s="1">
        <v>9.4761904761904798</v>
      </c>
      <c r="BM83" s="1">
        <v>21</v>
      </c>
      <c r="BN83" s="1">
        <v>0</v>
      </c>
      <c r="BO83" s="1">
        <v>0</v>
      </c>
      <c r="BP83" s="1">
        <v>0</v>
      </c>
      <c r="BQ83" s="1">
        <v>0</v>
      </c>
      <c r="BR83" s="1">
        <v>0</v>
      </c>
      <c r="BS83" s="1">
        <v>0</v>
      </c>
      <c r="BT83" s="1">
        <v>0</v>
      </c>
      <c r="BU83" s="1">
        <v>4.7619047619047601</v>
      </c>
      <c r="BV83" s="1">
        <v>9.5238095238095202</v>
      </c>
      <c r="BW83" s="1">
        <v>85.714285714285765</v>
      </c>
      <c r="BX83" s="1">
        <v>9.8095238095238031</v>
      </c>
      <c r="BY83" s="1">
        <v>21</v>
      </c>
      <c r="BZ83" s="1">
        <v>0</v>
      </c>
      <c r="CA83" s="1">
        <v>0</v>
      </c>
      <c r="CB83" s="1">
        <v>0</v>
      </c>
      <c r="CC83" s="1">
        <v>0</v>
      </c>
      <c r="CD83" s="1">
        <v>0</v>
      </c>
      <c r="CE83" s="1">
        <v>0</v>
      </c>
      <c r="CF83" s="1">
        <v>0</v>
      </c>
      <c r="CG83" s="1">
        <v>9.5238095238095202</v>
      </c>
      <c r="CH83" s="1">
        <v>14.285714285714279</v>
      </c>
      <c r="CI83" s="1">
        <v>76.190476190476161</v>
      </c>
      <c r="CJ83" s="1">
        <v>9.6666666666666643</v>
      </c>
      <c r="CK83" s="1">
        <v>21</v>
      </c>
      <c r="CL83" s="1">
        <v>45</v>
      </c>
      <c r="CM83" s="1">
        <v>20</v>
      </c>
      <c r="CN83" s="1">
        <v>0</v>
      </c>
      <c r="CO83" s="1">
        <v>35</v>
      </c>
      <c r="CP83" s="1">
        <v>0</v>
      </c>
      <c r="CQ83" s="1">
        <v>20</v>
      </c>
      <c r="CR83" s="1">
        <v>66.666666666666686</v>
      </c>
      <c r="CS83" s="1">
        <v>33.333333333333343</v>
      </c>
      <c r="CT83" s="1">
        <v>0</v>
      </c>
      <c r="CU83" s="1">
        <v>0</v>
      </c>
      <c r="CV83" s="1">
        <v>0</v>
      </c>
      <c r="CW83" s="1">
        <v>21</v>
      </c>
      <c r="CX83" s="1">
        <v>65</v>
      </c>
      <c r="CY83" s="1">
        <v>35</v>
      </c>
      <c r="CZ83" s="1">
        <v>0</v>
      </c>
      <c r="DA83" s="1">
        <v>0</v>
      </c>
      <c r="DB83" s="1">
        <v>0</v>
      </c>
      <c r="DC83" s="1">
        <v>20</v>
      </c>
      <c r="DD83" s="1">
        <v>57.142857142857117</v>
      </c>
      <c r="DE83" s="1">
        <v>23.8095238095238</v>
      </c>
      <c r="DF83" s="1">
        <v>19.04761904761904</v>
      </c>
      <c r="DG83" s="1">
        <v>0</v>
      </c>
      <c r="DH83" s="1">
        <v>0</v>
      </c>
      <c r="DI83" s="1">
        <v>21</v>
      </c>
      <c r="DJ83" s="1">
        <v>80.952380952380949</v>
      </c>
      <c r="DK83" s="1">
        <v>19.04761904761904</v>
      </c>
      <c r="DL83" s="1">
        <v>0</v>
      </c>
      <c r="DM83" s="1">
        <v>0</v>
      </c>
      <c r="DN83" s="1">
        <v>0</v>
      </c>
      <c r="DO83" s="1">
        <v>21</v>
      </c>
      <c r="DP83" s="1">
        <v>80.952380952380949</v>
      </c>
      <c r="DQ83" s="1">
        <v>14.285714285714279</v>
      </c>
      <c r="DR83" s="1">
        <v>4.7619047619047601</v>
      </c>
      <c r="DS83" s="1">
        <v>0</v>
      </c>
      <c r="DT83" s="1">
        <v>0</v>
      </c>
      <c r="DU83" s="1">
        <v>21</v>
      </c>
      <c r="DV83" s="1">
        <v>61.111111111111093</v>
      </c>
      <c r="DW83" s="1">
        <v>27.777777777777782</v>
      </c>
      <c r="DX83" s="1">
        <v>0</v>
      </c>
      <c r="DY83" s="1">
        <v>11.111111111111112</v>
      </c>
      <c r="DZ83" s="1">
        <v>0</v>
      </c>
      <c r="EA83" s="1">
        <v>18</v>
      </c>
      <c r="EB83" s="1">
        <v>100</v>
      </c>
      <c r="EC83" s="1">
        <v>0</v>
      </c>
      <c r="ED83" s="1">
        <v>0</v>
      </c>
      <c r="EE83" s="1">
        <v>0</v>
      </c>
      <c r="EF83" s="1">
        <v>0</v>
      </c>
      <c r="EG83" s="1">
        <v>2</v>
      </c>
      <c r="EH83" s="1">
        <v>100</v>
      </c>
      <c r="EI83" s="1">
        <v>0</v>
      </c>
      <c r="EJ83" s="1">
        <v>0</v>
      </c>
      <c r="EK83" s="1">
        <v>0</v>
      </c>
      <c r="EL83" s="1">
        <v>0</v>
      </c>
      <c r="EM83" s="1">
        <v>2</v>
      </c>
      <c r="EN83" s="1">
        <v>20</v>
      </c>
      <c r="EO83" s="1">
        <v>20</v>
      </c>
      <c r="EP83" s="1">
        <v>20</v>
      </c>
      <c r="EQ83" s="1">
        <v>20</v>
      </c>
      <c r="ER83" s="1">
        <v>20</v>
      </c>
      <c r="ES83" s="1">
        <v>5</v>
      </c>
      <c r="ET83" s="1">
        <v>33.333333333333343</v>
      </c>
      <c r="EU83" s="1">
        <v>16.666666666666671</v>
      </c>
      <c r="EV83" s="1">
        <v>0</v>
      </c>
      <c r="EW83" s="1">
        <v>16.666666666666671</v>
      </c>
      <c r="EX83" s="1">
        <v>33.333333333333343</v>
      </c>
      <c r="EY83" s="1">
        <v>6</v>
      </c>
      <c r="EZ83" s="1">
        <v>57.142857142857132</v>
      </c>
      <c r="FA83" s="1">
        <v>28.571428571428566</v>
      </c>
      <c r="FB83" s="1">
        <v>0</v>
      </c>
      <c r="FC83" s="1">
        <v>14.285714285714283</v>
      </c>
      <c r="FD83" s="1">
        <v>0</v>
      </c>
      <c r="FE83" s="1">
        <v>7</v>
      </c>
      <c r="FF83" s="1">
        <v>85.714285714285722</v>
      </c>
      <c r="FG83" s="1">
        <v>14.285714285714283</v>
      </c>
      <c r="FH83" s="1">
        <v>0</v>
      </c>
      <c r="FI83" s="1">
        <v>0</v>
      </c>
      <c r="FJ83" s="1">
        <v>0</v>
      </c>
      <c r="FK83" s="1">
        <v>7</v>
      </c>
      <c r="FL83" s="1">
        <v>100</v>
      </c>
      <c r="FM83" s="1">
        <v>0</v>
      </c>
      <c r="FN83" s="1">
        <v>0</v>
      </c>
      <c r="FO83" s="1">
        <v>0</v>
      </c>
      <c r="FP83" s="1">
        <v>0</v>
      </c>
      <c r="FQ83" s="1">
        <v>8</v>
      </c>
      <c r="FR83" s="1">
        <v>80</v>
      </c>
      <c r="FS83" s="1">
        <v>20</v>
      </c>
      <c r="FT83" s="1">
        <v>0</v>
      </c>
      <c r="FU83" s="1">
        <v>0</v>
      </c>
      <c r="FV83" s="1">
        <v>0</v>
      </c>
      <c r="FW83" s="1">
        <v>10</v>
      </c>
      <c r="FX83" s="1">
        <v>63.636363636363654</v>
      </c>
      <c r="FY83" s="1">
        <v>9.0909090909090917</v>
      </c>
      <c r="FZ83" s="1">
        <v>13.636363636363631</v>
      </c>
      <c r="GA83" s="1">
        <v>13.636363636363631</v>
      </c>
      <c r="GB83" s="1">
        <v>0</v>
      </c>
      <c r="GC83" s="1">
        <v>22</v>
      </c>
      <c r="GD83" s="1">
        <v>71.428571428571402</v>
      </c>
      <c r="GE83" s="1">
        <v>0</v>
      </c>
      <c r="GF83" s="1">
        <v>0</v>
      </c>
      <c r="GG83" s="1">
        <v>0</v>
      </c>
      <c r="GH83" s="1">
        <v>28.571428571428566</v>
      </c>
      <c r="GI83" s="1">
        <v>7</v>
      </c>
      <c r="GJ83" s="1">
        <v>66.666666666666686</v>
      </c>
      <c r="GK83" s="1">
        <v>16.666666666666671</v>
      </c>
      <c r="GL83" s="1">
        <v>16.666666666666671</v>
      </c>
      <c r="GM83" s="1">
        <v>0</v>
      </c>
      <c r="GN83" s="1">
        <v>0</v>
      </c>
      <c r="GO83" s="1">
        <v>6</v>
      </c>
      <c r="GP83" s="1">
        <v>57.894736842105225</v>
      </c>
      <c r="GQ83" s="1">
        <v>31.578947368421044</v>
      </c>
      <c r="GR83" s="1">
        <v>5.263157894736846</v>
      </c>
      <c r="GS83" s="1">
        <v>5.263157894736846</v>
      </c>
      <c r="GT83" s="1">
        <v>0</v>
      </c>
      <c r="GU83" s="1">
        <v>19</v>
      </c>
      <c r="GV83" s="1">
        <v>77.777777777777814</v>
      </c>
      <c r="GW83" s="1">
        <v>22.222222222222225</v>
      </c>
      <c r="GX83" s="1">
        <v>0</v>
      </c>
      <c r="GY83" s="1">
        <v>0</v>
      </c>
      <c r="GZ83" s="1">
        <v>0</v>
      </c>
      <c r="HA83" s="1">
        <v>18</v>
      </c>
      <c r="HB83" s="1">
        <v>100</v>
      </c>
      <c r="HC83" s="1">
        <v>0</v>
      </c>
      <c r="HD83" s="1">
        <v>0</v>
      </c>
      <c r="HE83" s="1">
        <v>0</v>
      </c>
      <c r="HF83" s="1">
        <v>0</v>
      </c>
      <c r="HG83" s="1">
        <v>1</v>
      </c>
      <c r="HH83" s="1">
        <v>50</v>
      </c>
      <c r="HI83" s="1">
        <v>0</v>
      </c>
      <c r="HJ83" s="1">
        <v>12.5</v>
      </c>
      <c r="HK83" s="1">
        <v>37.5</v>
      </c>
      <c r="HL83" s="1">
        <v>0</v>
      </c>
      <c r="HM83" s="1">
        <v>8</v>
      </c>
      <c r="HN83" s="1">
        <v>0</v>
      </c>
      <c r="HO83" s="1">
        <v>0</v>
      </c>
      <c r="HP83" s="1">
        <v>0</v>
      </c>
      <c r="HQ83" s="1">
        <v>0</v>
      </c>
      <c r="HR83" s="1">
        <v>0</v>
      </c>
      <c r="HS83" s="1">
        <v>0</v>
      </c>
      <c r="HT83" s="1">
        <v>0</v>
      </c>
      <c r="HU83" s="1">
        <v>0</v>
      </c>
      <c r="HV83" s="1">
        <v>0</v>
      </c>
      <c r="HW83" s="1">
        <v>0</v>
      </c>
      <c r="HX83" s="1">
        <v>0</v>
      </c>
      <c r="HY83" s="1">
        <v>0</v>
      </c>
      <c r="HZ83" s="1">
        <v>0</v>
      </c>
      <c r="IA83" s="1">
        <v>0</v>
      </c>
      <c r="IB83" s="1">
        <v>0</v>
      </c>
      <c r="IC83" s="1">
        <v>0</v>
      </c>
      <c r="ID83" s="1">
        <v>0</v>
      </c>
      <c r="IE83" s="1">
        <v>0</v>
      </c>
      <c r="IF83" s="1">
        <v>8.6818181818181817</v>
      </c>
      <c r="IG83" s="1">
        <v>0</v>
      </c>
      <c r="IH83" s="1">
        <v>0</v>
      </c>
      <c r="II83" s="1">
        <v>0</v>
      </c>
      <c r="IJ83" s="1">
        <v>0</v>
      </c>
      <c r="IK83" s="1">
        <v>0</v>
      </c>
      <c r="IL83" s="1">
        <v>9.0909090909090917</v>
      </c>
      <c r="IM83" s="1">
        <v>9.0909090909090917</v>
      </c>
      <c r="IN83" s="1">
        <v>22.727272727272734</v>
      </c>
      <c r="IO83" s="1">
        <v>22.727272727272734</v>
      </c>
      <c r="IP83" s="1">
        <v>36.363636363636367</v>
      </c>
      <c r="IQ83" s="1">
        <v>8.6818181818181852</v>
      </c>
      <c r="IR83" s="1">
        <v>22</v>
      </c>
      <c r="IS83" s="1">
        <v>14.285714285714279</v>
      </c>
      <c r="IT83" s="1">
        <v>71.428571428571402</v>
      </c>
      <c r="IU83" s="1">
        <v>9.5238095238095202</v>
      </c>
      <c r="IV83" s="1">
        <v>0</v>
      </c>
      <c r="IW83" s="1">
        <v>4.7619047619047601</v>
      </c>
      <c r="IX83" s="1">
        <v>21</v>
      </c>
      <c r="IY83" s="1">
        <v>1</v>
      </c>
      <c r="IZ83" s="1">
        <v>7.0710399999999991</v>
      </c>
      <c r="JA83" s="1">
        <v>4.4659199999999979</v>
      </c>
      <c r="JB83" s="1">
        <v>1.48864</v>
      </c>
      <c r="JC83" s="1">
        <v>0.37215999999999999</v>
      </c>
      <c r="JD83" s="1">
        <v>1.1164799999999995</v>
      </c>
      <c r="JE83" s="1">
        <v>0.63157894736842113</v>
      </c>
      <c r="JF83" s="1">
        <v>0.21052631578947356</v>
      </c>
      <c r="JG83" s="1">
        <v>5.263157894736839E-2</v>
      </c>
      <c r="JH83" s="1">
        <v>0.15789473684210528</v>
      </c>
      <c r="JI83" s="1">
        <v>1</v>
      </c>
      <c r="JJ83" s="1">
        <v>19</v>
      </c>
      <c r="JK83" s="1">
        <v>4.8</v>
      </c>
      <c r="JL83" s="1">
        <v>4.799999999999998</v>
      </c>
      <c r="JM83" s="1">
        <v>20</v>
      </c>
      <c r="JN83" s="1">
        <v>75</v>
      </c>
      <c r="JO83" s="1">
        <v>25</v>
      </c>
      <c r="JP83" s="1">
        <v>8</v>
      </c>
      <c r="JQ83" s="1">
        <v>87.5</v>
      </c>
      <c r="JR83" s="1">
        <v>12.5</v>
      </c>
      <c r="JS83" s="1">
        <v>8</v>
      </c>
      <c r="JT83" s="1">
        <v>95</v>
      </c>
      <c r="JU83" s="1">
        <v>5</v>
      </c>
      <c r="JV83" s="1">
        <v>20</v>
      </c>
      <c r="JW83" s="1">
        <v>100</v>
      </c>
      <c r="JX83" s="1">
        <v>0</v>
      </c>
      <c r="JY83" s="1">
        <v>14</v>
      </c>
      <c r="JZ83" s="1">
        <v>22.222222222222225</v>
      </c>
      <c r="KA83" s="1">
        <v>77.777777777777814</v>
      </c>
      <c r="KB83" s="1">
        <v>18</v>
      </c>
      <c r="KC83" s="1">
        <v>100</v>
      </c>
      <c r="KD83" s="1">
        <v>0</v>
      </c>
      <c r="KE83" s="1">
        <v>18</v>
      </c>
      <c r="KF83" s="1">
        <v>2.9411764705882355</v>
      </c>
      <c r="KG83" s="1">
        <v>17.647058823529409</v>
      </c>
      <c r="KH83" s="1">
        <v>11.764705882352935</v>
      </c>
      <c r="KI83" s="1">
        <v>41.176470588235276</v>
      </c>
      <c r="KJ83" s="1">
        <v>17.647058823529409</v>
      </c>
      <c r="KK83" s="1">
        <v>11.764705882352935</v>
      </c>
      <c r="KL83" s="1">
        <v>17</v>
      </c>
      <c r="KM83" s="1">
        <v>51.470588235294123</v>
      </c>
      <c r="KN83" s="1">
        <v>55</v>
      </c>
      <c r="KO83" s="1">
        <v>0</v>
      </c>
      <c r="KP83" s="1">
        <v>14.285714285714283</v>
      </c>
      <c r="KQ83" s="1">
        <v>57.142857142857132</v>
      </c>
      <c r="KR83" s="1">
        <v>0</v>
      </c>
      <c r="KS83" s="1">
        <v>28.571428571428566</v>
      </c>
      <c r="KT83" s="1">
        <v>7</v>
      </c>
      <c r="KU83" s="1">
        <v>6.25</v>
      </c>
      <c r="KV83" s="1">
        <v>0</v>
      </c>
      <c r="KW83" s="1">
        <v>0</v>
      </c>
      <c r="KX83" s="1">
        <v>93.75</v>
      </c>
      <c r="KY83" s="1">
        <v>0</v>
      </c>
      <c r="KZ83" s="1">
        <v>16</v>
      </c>
      <c r="LA83" s="1">
        <v>6.6666666666666679</v>
      </c>
      <c r="LB83" s="1">
        <v>93.333333333333314</v>
      </c>
      <c r="LC83" s="1">
        <v>15</v>
      </c>
      <c r="LD83" s="1">
        <v>0</v>
      </c>
      <c r="LE83" s="1">
        <v>100</v>
      </c>
      <c r="LF83" s="1">
        <v>0</v>
      </c>
      <c r="LG83" s="1">
        <v>1</v>
      </c>
    </row>
    <row r="84" spans="1:319" x14ac:dyDescent="0.25">
      <c r="A84" s="1">
        <v>347</v>
      </c>
      <c r="B84" s="1">
        <v>27.39726027397268</v>
      </c>
      <c r="C84" s="1">
        <v>72.602739726027437</v>
      </c>
      <c r="D84" s="1">
        <v>73</v>
      </c>
      <c r="E84" s="1">
        <v>44.230769230769255</v>
      </c>
      <c r="F84" s="1">
        <v>55.769230769230823</v>
      </c>
      <c r="G84" s="1">
        <v>52</v>
      </c>
      <c r="H84" s="1">
        <v>36.363636363636367</v>
      </c>
      <c r="I84" s="1">
        <v>63.636363636363662</v>
      </c>
      <c r="J84" s="1">
        <v>22</v>
      </c>
      <c r="K84" s="1">
        <v>1</v>
      </c>
      <c r="L84" s="1">
        <v>28.445179999999951</v>
      </c>
      <c r="M84" s="1">
        <v>3.8966000000000016</v>
      </c>
      <c r="N84" s="1">
        <v>8.1828600000000034</v>
      </c>
      <c r="O84" s="1">
        <v>7.7932000000000032</v>
      </c>
      <c r="P84" s="1">
        <v>1.1689800000000006</v>
      </c>
      <c r="Q84" s="1">
        <v>10.910480000000003</v>
      </c>
      <c r="R84" s="1">
        <v>1.5586399999999978</v>
      </c>
      <c r="S84" s="1">
        <v>0</v>
      </c>
      <c r="T84" s="1">
        <v>2.7276200000000013</v>
      </c>
      <c r="U84" s="1">
        <v>2.7276200000000013</v>
      </c>
      <c r="V84" s="1">
        <v>3.8966000000000016</v>
      </c>
      <c r="W84" s="1">
        <v>0.1369863013698632</v>
      </c>
      <c r="X84" s="1">
        <v>0.28767123287671248</v>
      </c>
      <c r="Y84" s="1">
        <v>0.2739726027397264</v>
      </c>
      <c r="Z84" s="1">
        <v>4.1095890410959034E-2</v>
      </c>
      <c r="AA84" s="1">
        <v>0.38356164383561636</v>
      </c>
      <c r="AB84" s="1">
        <v>5.4794520547945327E-2</v>
      </c>
      <c r="AC84" s="1">
        <v>0</v>
      </c>
      <c r="AD84" s="1">
        <v>9.5890410958904104E-2</v>
      </c>
      <c r="AE84" s="1">
        <v>9.5890410958904104E-2</v>
      </c>
      <c r="AF84" s="1">
        <v>0.1369863013698632</v>
      </c>
      <c r="AG84" s="1">
        <v>1</v>
      </c>
      <c r="AH84" s="1">
        <v>73</v>
      </c>
      <c r="AI84" s="1">
        <v>1</v>
      </c>
      <c r="AJ84" s="1">
        <v>25.717559999999999</v>
      </c>
      <c r="AK84" s="1">
        <v>17.924359999999982</v>
      </c>
      <c r="AL84" s="1">
        <v>13.638100000000003</v>
      </c>
      <c r="AM84" s="1">
        <v>8.9621799999999929</v>
      </c>
      <c r="AN84" s="1">
        <v>6.6242199999999931</v>
      </c>
      <c r="AO84" s="1">
        <v>1.9483000000000008</v>
      </c>
      <c r="AP84" s="1">
        <v>6.2345599999999912</v>
      </c>
      <c r="AQ84" s="1">
        <v>0.69696969696969602</v>
      </c>
      <c r="AR84" s="1">
        <v>0.53030303030303094</v>
      </c>
      <c r="AS84" s="1">
        <v>0.34848484848484856</v>
      </c>
      <c r="AT84" s="1">
        <v>0.25757575757575785</v>
      </c>
      <c r="AU84" s="1">
        <v>7.5757575757575898E-2</v>
      </c>
      <c r="AV84" s="1">
        <v>0.24242424242424249</v>
      </c>
      <c r="AW84" s="1">
        <v>1</v>
      </c>
      <c r="AX84" s="1">
        <v>66</v>
      </c>
      <c r="AY84" s="1">
        <v>9.9</v>
      </c>
      <c r="AZ84" s="1">
        <v>9.9857142857142858</v>
      </c>
      <c r="BA84" s="1">
        <v>9.9714285714285715</v>
      </c>
      <c r="BB84" s="1">
        <v>0</v>
      </c>
      <c r="BC84" s="1">
        <v>0</v>
      </c>
      <c r="BD84" s="1">
        <v>0</v>
      </c>
      <c r="BE84" s="1">
        <v>0</v>
      </c>
      <c r="BF84" s="1">
        <v>0</v>
      </c>
      <c r="BG84" s="1">
        <v>0</v>
      </c>
      <c r="BH84" s="1">
        <v>1.4285714285714306</v>
      </c>
      <c r="BI84" s="1">
        <v>0</v>
      </c>
      <c r="BJ84" s="1">
        <v>5.7142857142857224</v>
      </c>
      <c r="BK84" s="1">
        <v>92.857142857142904</v>
      </c>
      <c r="BL84" s="1">
        <v>9.9000000000000128</v>
      </c>
      <c r="BM84" s="1">
        <v>70</v>
      </c>
      <c r="BN84" s="1">
        <v>0</v>
      </c>
      <c r="BO84" s="1">
        <v>0</v>
      </c>
      <c r="BP84" s="1">
        <v>0</v>
      </c>
      <c r="BQ84" s="1">
        <v>0</v>
      </c>
      <c r="BR84" s="1">
        <v>0</v>
      </c>
      <c r="BS84" s="1">
        <v>0</v>
      </c>
      <c r="BT84" s="1">
        <v>0</v>
      </c>
      <c r="BU84" s="1">
        <v>0</v>
      </c>
      <c r="BV84" s="1">
        <v>1.4285714285714306</v>
      </c>
      <c r="BW84" s="1">
        <v>98.571428571428484</v>
      </c>
      <c r="BX84" s="1">
        <v>9.9857142857142982</v>
      </c>
      <c r="BY84" s="1">
        <v>70</v>
      </c>
      <c r="BZ84" s="1">
        <v>0</v>
      </c>
      <c r="CA84" s="1">
        <v>0</v>
      </c>
      <c r="CB84" s="1">
        <v>0</v>
      </c>
      <c r="CC84" s="1">
        <v>0</v>
      </c>
      <c r="CD84" s="1">
        <v>0</v>
      </c>
      <c r="CE84" s="1">
        <v>0</v>
      </c>
      <c r="CF84" s="1">
        <v>0</v>
      </c>
      <c r="CG84" s="1">
        <v>0</v>
      </c>
      <c r="CH84" s="1">
        <v>2.8571428571428612</v>
      </c>
      <c r="CI84" s="1">
        <v>97.142857142857082</v>
      </c>
      <c r="CJ84" s="1">
        <v>9.9714285714286088</v>
      </c>
      <c r="CK84" s="1">
        <v>70</v>
      </c>
      <c r="CL84" s="1">
        <v>84.931506849315127</v>
      </c>
      <c r="CM84" s="1">
        <v>15.068493150684944</v>
      </c>
      <c r="CN84" s="1">
        <v>0</v>
      </c>
      <c r="CO84" s="1">
        <v>0</v>
      </c>
      <c r="CP84" s="1">
        <v>0</v>
      </c>
      <c r="CQ84" s="1">
        <v>73</v>
      </c>
      <c r="CR84" s="1">
        <v>93.150684931506717</v>
      </c>
      <c r="CS84" s="1">
        <v>6.8493150684931701</v>
      </c>
      <c r="CT84" s="1">
        <v>0</v>
      </c>
      <c r="CU84" s="1">
        <v>0</v>
      </c>
      <c r="CV84" s="1">
        <v>0</v>
      </c>
      <c r="CW84" s="1">
        <v>73</v>
      </c>
      <c r="CX84" s="1">
        <v>70.422535211267686</v>
      </c>
      <c r="CY84" s="1">
        <v>26.760563380281781</v>
      </c>
      <c r="CZ84" s="1">
        <v>2.8169014084507116</v>
      </c>
      <c r="DA84" s="1">
        <v>0</v>
      </c>
      <c r="DB84" s="1">
        <v>0</v>
      </c>
      <c r="DC84" s="1">
        <v>71</v>
      </c>
      <c r="DD84" s="1">
        <v>82.191780821917774</v>
      </c>
      <c r="DE84" s="1">
        <v>16.438356164383567</v>
      </c>
      <c r="DF84" s="1">
        <v>0</v>
      </c>
      <c r="DG84" s="1">
        <v>1.3698630136986334</v>
      </c>
      <c r="DH84" s="1">
        <v>0</v>
      </c>
      <c r="DI84" s="1">
        <v>73</v>
      </c>
      <c r="DJ84" s="1">
        <v>75.000000000000014</v>
      </c>
      <c r="DK84" s="1">
        <v>17.857142857142886</v>
      </c>
      <c r="DL84" s="1">
        <v>5.3571428571428719</v>
      </c>
      <c r="DM84" s="1">
        <v>0</v>
      </c>
      <c r="DN84" s="1">
        <v>1.7857142857142885</v>
      </c>
      <c r="DO84" s="1">
        <v>56</v>
      </c>
      <c r="DP84" s="1">
        <v>94.202898550724754</v>
      </c>
      <c r="DQ84" s="1">
        <v>4.3478260869565242</v>
      </c>
      <c r="DR84" s="1">
        <v>1.4492753623188432</v>
      </c>
      <c r="DS84" s="1">
        <v>0</v>
      </c>
      <c r="DT84" s="1">
        <v>0</v>
      </c>
      <c r="DU84" s="1">
        <v>69</v>
      </c>
      <c r="DV84" s="1">
        <v>87.500000000000014</v>
      </c>
      <c r="DW84" s="1">
        <v>6.2500000000000009</v>
      </c>
      <c r="DX84" s="1">
        <v>6.2500000000000009</v>
      </c>
      <c r="DY84" s="1">
        <v>0</v>
      </c>
      <c r="DZ84" s="1">
        <v>0</v>
      </c>
      <c r="EA84" s="1">
        <v>32</v>
      </c>
      <c r="EB84" s="1">
        <v>93.103448275862107</v>
      </c>
      <c r="EC84" s="1">
        <v>6.8965517241379208</v>
      </c>
      <c r="ED84" s="1">
        <v>0</v>
      </c>
      <c r="EE84" s="1">
        <v>0</v>
      </c>
      <c r="EF84" s="1">
        <v>0</v>
      </c>
      <c r="EG84" s="1">
        <v>29</v>
      </c>
      <c r="EH84" s="1">
        <v>86.363636363636303</v>
      </c>
      <c r="EI84" s="1">
        <v>13.636363636363628</v>
      </c>
      <c r="EJ84" s="1">
        <v>0</v>
      </c>
      <c r="EK84" s="1">
        <v>0</v>
      </c>
      <c r="EL84" s="1">
        <v>0</v>
      </c>
      <c r="EM84" s="1">
        <v>22</v>
      </c>
      <c r="EN84" s="1">
        <v>68.421052631578902</v>
      </c>
      <c r="EO84" s="1">
        <v>31.578947368421073</v>
      </c>
      <c r="EP84" s="1">
        <v>0</v>
      </c>
      <c r="EQ84" s="1">
        <v>0</v>
      </c>
      <c r="ER84" s="1">
        <v>0</v>
      </c>
      <c r="ES84" s="1">
        <v>19</v>
      </c>
      <c r="ET84" s="1">
        <v>78.947368421052545</v>
      </c>
      <c r="EU84" s="1">
        <v>21.052631578947345</v>
      </c>
      <c r="EV84" s="1">
        <v>0</v>
      </c>
      <c r="EW84" s="1">
        <v>0</v>
      </c>
      <c r="EX84" s="1">
        <v>0</v>
      </c>
      <c r="EY84" s="1">
        <v>19</v>
      </c>
      <c r="EZ84" s="1">
        <v>83.333333333333272</v>
      </c>
      <c r="FA84" s="1">
        <v>16.666666666666668</v>
      </c>
      <c r="FB84" s="1">
        <v>0</v>
      </c>
      <c r="FC84" s="1">
        <v>0</v>
      </c>
      <c r="FD84" s="1">
        <v>0</v>
      </c>
      <c r="FE84" s="1">
        <v>18</v>
      </c>
      <c r="FF84" s="1">
        <v>83.333333333333272</v>
      </c>
      <c r="FG84" s="1">
        <v>16.666666666666668</v>
      </c>
      <c r="FH84" s="1">
        <v>0</v>
      </c>
      <c r="FI84" s="1">
        <v>0</v>
      </c>
      <c r="FJ84" s="1">
        <v>0</v>
      </c>
      <c r="FK84" s="1">
        <v>12</v>
      </c>
      <c r="FL84" s="1">
        <v>80</v>
      </c>
      <c r="FM84" s="1">
        <v>19.999999999999996</v>
      </c>
      <c r="FN84" s="1">
        <v>0</v>
      </c>
      <c r="FO84" s="1">
        <v>0</v>
      </c>
      <c r="FP84" s="1">
        <v>0</v>
      </c>
      <c r="FQ84" s="1">
        <v>10</v>
      </c>
      <c r="FR84" s="1">
        <v>49.999999999999993</v>
      </c>
      <c r="FS84" s="1">
        <v>49.999999999999993</v>
      </c>
      <c r="FT84" s="1">
        <v>0</v>
      </c>
      <c r="FU84" s="1">
        <v>0</v>
      </c>
      <c r="FV84" s="1">
        <v>0</v>
      </c>
      <c r="FW84" s="1">
        <v>6</v>
      </c>
      <c r="FX84" s="1">
        <v>92.64705882352952</v>
      </c>
      <c r="FY84" s="1">
        <v>5.8823529411764683</v>
      </c>
      <c r="FZ84" s="1">
        <v>1.4705882352941171</v>
      </c>
      <c r="GA84" s="1">
        <v>0</v>
      </c>
      <c r="GB84" s="1">
        <v>0</v>
      </c>
      <c r="GC84" s="1">
        <v>68</v>
      </c>
      <c r="GD84" s="1">
        <v>82.85714285714289</v>
      </c>
      <c r="GE84" s="1">
        <v>17.142857142857132</v>
      </c>
      <c r="GF84" s="1">
        <v>0</v>
      </c>
      <c r="GG84" s="1">
        <v>0</v>
      </c>
      <c r="GH84" s="1">
        <v>0</v>
      </c>
      <c r="GI84" s="1">
        <v>35</v>
      </c>
      <c r="GJ84" s="1">
        <v>90.47619047619061</v>
      </c>
      <c r="GK84" s="1">
        <v>7.1428571428571539</v>
      </c>
      <c r="GL84" s="1">
        <v>0</v>
      </c>
      <c r="GM84" s="1">
        <v>2.3809523809523805</v>
      </c>
      <c r="GN84" s="1">
        <v>0</v>
      </c>
      <c r="GO84" s="1">
        <v>42</v>
      </c>
      <c r="GP84" s="1">
        <v>86.486486486486612</v>
      </c>
      <c r="GQ84" s="1">
        <v>10.810810810810828</v>
      </c>
      <c r="GR84" s="1">
        <v>2.7027027027027071</v>
      </c>
      <c r="GS84" s="1">
        <v>0</v>
      </c>
      <c r="GT84" s="1">
        <v>0</v>
      </c>
      <c r="GU84" s="1">
        <v>37</v>
      </c>
      <c r="GV84" s="1">
        <v>90.625</v>
      </c>
      <c r="GW84" s="1">
        <v>6.2500000000000009</v>
      </c>
      <c r="GX84" s="1">
        <v>3.1250000000000004</v>
      </c>
      <c r="GY84" s="1">
        <v>0</v>
      </c>
      <c r="GZ84" s="1">
        <v>0</v>
      </c>
      <c r="HA84" s="1">
        <v>32</v>
      </c>
      <c r="HB84" s="1">
        <v>72.222222222222285</v>
      </c>
      <c r="HC84" s="1">
        <v>27.777777777777811</v>
      </c>
      <c r="HD84" s="1">
        <v>0</v>
      </c>
      <c r="HE84" s="1">
        <v>0</v>
      </c>
      <c r="HF84" s="1">
        <v>0</v>
      </c>
      <c r="HG84" s="1">
        <v>18</v>
      </c>
      <c r="HH84" s="1">
        <v>83.333333333333272</v>
      </c>
      <c r="HI84" s="1">
        <v>16.666666666666668</v>
      </c>
      <c r="HJ84" s="1">
        <v>0</v>
      </c>
      <c r="HK84" s="1">
        <v>0</v>
      </c>
      <c r="HL84" s="1">
        <v>0</v>
      </c>
      <c r="HM84" s="1">
        <v>18</v>
      </c>
      <c r="HN84" s="1">
        <v>0</v>
      </c>
      <c r="HO84" s="1">
        <v>0</v>
      </c>
      <c r="HP84" s="1">
        <v>0</v>
      </c>
      <c r="HQ84" s="1">
        <v>0</v>
      </c>
      <c r="HR84" s="1">
        <v>0</v>
      </c>
      <c r="HS84" s="1">
        <v>0</v>
      </c>
      <c r="HT84" s="1">
        <v>0</v>
      </c>
      <c r="HU84" s="1">
        <v>0</v>
      </c>
      <c r="HV84" s="1">
        <v>0</v>
      </c>
      <c r="HW84" s="1">
        <v>0</v>
      </c>
      <c r="HX84" s="1">
        <v>0</v>
      </c>
      <c r="HY84" s="1">
        <v>0</v>
      </c>
      <c r="HZ84" s="1">
        <v>0</v>
      </c>
      <c r="IA84" s="1">
        <v>0</v>
      </c>
      <c r="IB84" s="1">
        <v>0</v>
      </c>
      <c r="IC84" s="1">
        <v>0</v>
      </c>
      <c r="ID84" s="1">
        <v>0</v>
      </c>
      <c r="IE84" s="1">
        <v>0</v>
      </c>
      <c r="IF84" s="1">
        <v>9.5072463768115938</v>
      </c>
      <c r="IG84" s="1">
        <v>0</v>
      </c>
      <c r="IH84" s="1">
        <v>0</v>
      </c>
      <c r="II84" s="1">
        <v>0</v>
      </c>
      <c r="IJ84" s="1">
        <v>0</v>
      </c>
      <c r="IK84" s="1">
        <v>1.4492753623188432</v>
      </c>
      <c r="IL84" s="1">
        <v>2.8985507246376865</v>
      </c>
      <c r="IM84" s="1">
        <v>1.4492753623188432</v>
      </c>
      <c r="IN84" s="1">
        <v>5.797101449275373</v>
      </c>
      <c r="IO84" s="1">
        <v>14.49275362318841</v>
      </c>
      <c r="IP84" s="1">
        <v>73.91304347826096</v>
      </c>
      <c r="IQ84" s="1">
        <v>9.5072463768116204</v>
      </c>
      <c r="IR84" s="1">
        <v>69</v>
      </c>
      <c r="IS84" s="1">
        <v>4.1666666666666794</v>
      </c>
      <c r="IT84" s="1">
        <v>69.444444444444372</v>
      </c>
      <c r="IU84" s="1">
        <v>20.833333333333329</v>
      </c>
      <c r="IV84" s="1">
        <v>2.7777777777777786</v>
      </c>
      <c r="IW84" s="1">
        <v>2.7777777777777786</v>
      </c>
      <c r="IX84" s="1">
        <v>72</v>
      </c>
      <c r="IY84" s="1">
        <v>1</v>
      </c>
      <c r="IZ84" s="1">
        <v>27.665860000000013</v>
      </c>
      <c r="JA84" s="1">
        <v>13.638100000000003</v>
      </c>
      <c r="JB84" s="1">
        <v>9.3518400000000046</v>
      </c>
      <c r="JC84" s="1">
        <v>3.1172799999999956</v>
      </c>
      <c r="JD84" s="1">
        <v>4.6759200000000023</v>
      </c>
      <c r="JE84" s="1">
        <v>0.49295774647887292</v>
      </c>
      <c r="JF84" s="1">
        <v>0.33802816901408433</v>
      </c>
      <c r="JG84" s="1">
        <v>0.11267605633802819</v>
      </c>
      <c r="JH84" s="1">
        <v>0.16901408450704244</v>
      </c>
      <c r="JI84" s="1">
        <v>1</v>
      </c>
      <c r="JJ84" s="1">
        <v>71</v>
      </c>
      <c r="JK84" s="1">
        <v>1.9855072463768115</v>
      </c>
      <c r="JL84" s="1">
        <v>1.9855072463768124</v>
      </c>
      <c r="JM84" s="1">
        <v>69</v>
      </c>
      <c r="JN84" s="1">
        <v>95.454545454545297</v>
      </c>
      <c r="JO84" s="1">
        <v>4.545454545454545</v>
      </c>
      <c r="JP84" s="1">
        <v>22</v>
      </c>
      <c r="JQ84" s="1">
        <v>100</v>
      </c>
      <c r="JR84" s="1">
        <v>0</v>
      </c>
      <c r="JS84" s="1">
        <v>52</v>
      </c>
      <c r="JT84" s="1">
        <v>98.387096774193424</v>
      </c>
      <c r="JU84" s="1">
        <v>1.6129032258064517</v>
      </c>
      <c r="JV84" s="1">
        <v>62</v>
      </c>
      <c r="JW84" s="1">
        <v>97.826086956521777</v>
      </c>
      <c r="JX84" s="1">
        <v>2.1739130434782616</v>
      </c>
      <c r="JY84" s="1">
        <v>46</v>
      </c>
      <c r="JZ84" s="1">
        <v>50.000000000000007</v>
      </c>
      <c r="KA84" s="1">
        <v>50.000000000000007</v>
      </c>
      <c r="KB84" s="1">
        <v>68</v>
      </c>
      <c r="KC84" s="1">
        <v>100</v>
      </c>
      <c r="KD84" s="1">
        <v>0</v>
      </c>
      <c r="KE84" s="1">
        <v>63</v>
      </c>
      <c r="KF84" s="1">
        <v>3.078125</v>
      </c>
      <c r="KG84" s="1">
        <v>3.1250000000000013</v>
      </c>
      <c r="KH84" s="1">
        <v>26.562500000000011</v>
      </c>
      <c r="KI84" s="1">
        <v>34.375000000000014</v>
      </c>
      <c r="KJ84" s="1">
        <v>31.250000000000011</v>
      </c>
      <c r="KK84" s="1">
        <v>4.6875000000000018</v>
      </c>
      <c r="KL84" s="1">
        <v>64</v>
      </c>
      <c r="KM84" s="1">
        <v>55.203125000000021</v>
      </c>
      <c r="KN84" s="1">
        <v>14</v>
      </c>
      <c r="KO84" s="1">
        <v>0</v>
      </c>
      <c r="KP84" s="1">
        <v>50</v>
      </c>
      <c r="KQ84" s="1">
        <v>50</v>
      </c>
      <c r="KR84" s="1">
        <v>0</v>
      </c>
      <c r="KS84" s="1">
        <v>0</v>
      </c>
      <c r="KT84" s="1">
        <v>2</v>
      </c>
      <c r="KU84" s="1">
        <v>0</v>
      </c>
      <c r="KV84" s="1">
        <v>1.515151515151516</v>
      </c>
      <c r="KW84" s="1">
        <v>4.5454545454545565</v>
      </c>
      <c r="KX84" s="1">
        <v>90.909090909090963</v>
      </c>
      <c r="KY84" s="1">
        <v>3.0303030303030321</v>
      </c>
      <c r="KZ84" s="1">
        <v>66</v>
      </c>
      <c r="LA84" s="1">
        <v>7.4626865671641944</v>
      </c>
      <c r="LB84" s="1">
        <v>92.537313432835688</v>
      </c>
      <c r="LC84" s="1">
        <v>67</v>
      </c>
      <c r="LD84" s="1">
        <v>0</v>
      </c>
      <c r="LE84" s="1">
        <v>20</v>
      </c>
      <c r="LF84" s="1">
        <v>80</v>
      </c>
      <c r="LG84" s="1">
        <v>5</v>
      </c>
    </row>
    <row r="85" spans="1:319" x14ac:dyDescent="0.25">
      <c r="A85" s="1">
        <v>352</v>
      </c>
      <c r="B85" s="1">
        <v>40.909090909090928</v>
      </c>
      <c r="C85" s="1">
        <v>59.090909090909051</v>
      </c>
      <c r="D85" s="1">
        <v>44</v>
      </c>
      <c r="E85" s="1">
        <v>62.500000000000007</v>
      </c>
      <c r="F85" s="1">
        <v>37.500000000000007</v>
      </c>
      <c r="G85" s="1">
        <v>24</v>
      </c>
      <c r="H85" s="1">
        <v>50.000000000000007</v>
      </c>
      <c r="I85" s="1">
        <v>50.000000000000007</v>
      </c>
      <c r="J85" s="1">
        <v>14</v>
      </c>
      <c r="K85" s="1">
        <v>1</v>
      </c>
      <c r="L85" s="1">
        <v>17.105400000000003</v>
      </c>
      <c r="M85" s="1">
        <v>4.9415600000000017</v>
      </c>
      <c r="N85" s="1">
        <v>2.6608400000000034</v>
      </c>
      <c r="O85" s="1">
        <v>4.9415600000000017</v>
      </c>
      <c r="P85" s="1">
        <v>0.3801199999999999</v>
      </c>
      <c r="Q85" s="1">
        <v>7.9825200000000018</v>
      </c>
      <c r="R85" s="1">
        <v>1.1403600000000007</v>
      </c>
      <c r="S85" s="1">
        <v>0.3801199999999999</v>
      </c>
      <c r="T85" s="1">
        <v>1.5204799999999996</v>
      </c>
      <c r="U85" s="1">
        <v>1.9005999999999985</v>
      </c>
      <c r="V85" s="1">
        <v>0.7602399999999998</v>
      </c>
      <c r="W85" s="1">
        <v>0.28888888888888914</v>
      </c>
      <c r="X85" s="1">
        <v>0.1555555555555557</v>
      </c>
      <c r="Y85" s="1">
        <v>0.28888888888888914</v>
      </c>
      <c r="Z85" s="1">
        <v>2.2222222222222247E-2</v>
      </c>
      <c r="AA85" s="1">
        <v>0.46666666666666634</v>
      </c>
      <c r="AB85" s="1">
        <v>6.6666666666666721E-2</v>
      </c>
      <c r="AC85" s="1">
        <v>2.2222222222222247E-2</v>
      </c>
      <c r="AD85" s="1">
        <v>8.8888888888888989E-2</v>
      </c>
      <c r="AE85" s="1">
        <v>0.11111111111111105</v>
      </c>
      <c r="AF85" s="1">
        <v>4.4444444444444495E-2</v>
      </c>
      <c r="AG85" s="1">
        <v>1</v>
      </c>
      <c r="AH85" s="1">
        <v>45</v>
      </c>
      <c r="AI85" s="1">
        <v>1</v>
      </c>
      <c r="AJ85" s="1">
        <v>15.584920000000004</v>
      </c>
      <c r="AK85" s="1">
        <v>10.263239999999996</v>
      </c>
      <c r="AL85" s="1">
        <v>10.643359999999987</v>
      </c>
      <c r="AM85" s="1">
        <v>5.7017999999999942</v>
      </c>
      <c r="AN85" s="1">
        <v>4.1813199999999995</v>
      </c>
      <c r="AO85" s="1">
        <v>0.7602399999999998</v>
      </c>
      <c r="AP85" s="1">
        <v>1.5204799999999996</v>
      </c>
      <c r="AQ85" s="1">
        <v>0.65853658536585424</v>
      </c>
      <c r="AR85" s="1">
        <v>0.68292682926829307</v>
      </c>
      <c r="AS85" s="1">
        <v>0.36585365853658525</v>
      </c>
      <c r="AT85" s="1">
        <v>0.26829268292682917</v>
      </c>
      <c r="AU85" s="1">
        <v>4.8780487804878085E-2</v>
      </c>
      <c r="AV85" s="1">
        <v>9.756097560975617E-2</v>
      </c>
      <c r="AW85" s="1">
        <v>1</v>
      </c>
      <c r="AX85" s="1">
        <v>41</v>
      </c>
      <c r="AY85" s="1">
        <v>9.7333333333333325</v>
      </c>
      <c r="AZ85" s="1">
        <v>9.9090909090909083</v>
      </c>
      <c r="BA85" s="1">
        <v>9.8333333333333339</v>
      </c>
      <c r="BB85" s="1">
        <v>0</v>
      </c>
      <c r="BC85" s="1">
        <v>0</v>
      </c>
      <c r="BD85" s="1">
        <v>0</v>
      </c>
      <c r="BE85" s="1">
        <v>0</v>
      </c>
      <c r="BF85" s="1">
        <v>0</v>
      </c>
      <c r="BG85" s="1">
        <v>2.2222222222222245</v>
      </c>
      <c r="BH85" s="1">
        <v>0</v>
      </c>
      <c r="BI85" s="1">
        <v>4.4444444444444491</v>
      </c>
      <c r="BJ85" s="1">
        <v>8.8888888888888982</v>
      </c>
      <c r="BK85" s="1">
        <v>84.444444444444372</v>
      </c>
      <c r="BL85" s="1">
        <v>9.7333333333333343</v>
      </c>
      <c r="BM85" s="1">
        <v>45</v>
      </c>
      <c r="BN85" s="1">
        <v>0</v>
      </c>
      <c r="BO85" s="1">
        <v>0</v>
      </c>
      <c r="BP85" s="1">
        <v>0</v>
      </c>
      <c r="BQ85" s="1">
        <v>0</v>
      </c>
      <c r="BR85" s="1">
        <v>0</v>
      </c>
      <c r="BS85" s="1">
        <v>0</v>
      </c>
      <c r="BT85" s="1">
        <v>0</v>
      </c>
      <c r="BU85" s="1">
        <v>2.272727272727276</v>
      </c>
      <c r="BV85" s="1">
        <v>4.5454545454545521</v>
      </c>
      <c r="BW85" s="1">
        <v>93.181818181818116</v>
      </c>
      <c r="BX85" s="1">
        <v>9.9090909090908941</v>
      </c>
      <c r="BY85" s="1">
        <v>44</v>
      </c>
      <c r="BZ85" s="1">
        <v>0</v>
      </c>
      <c r="CA85" s="1">
        <v>0</v>
      </c>
      <c r="CB85" s="1">
        <v>0</v>
      </c>
      <c r="CC85" s="1">
        <v>0</v>
      </c>
      <c r="CD85" s="1">
        <v>0</v>
      </c>
      <c r="CE85" s="1">
        <v>0</v>
      </c>
      <c r="CF85" s="1">
        <v>0</v>
      </c>
      <c r="CG85" s="1">
        <v>4.761904761904761</v>
      </c>
      <c r="CH85" s="1">
        <v>7.1428571428571459</v>
      </c>
      <c r="CI85" s="1">
        <v>88.095238095238088</v>
      </c>
      <c r="CJ85" s="1">
        <v>9.8333333333333197</v>
      </c>
      <c r="CK85" s="1">
        <v>42</v>
      </c>
      <c r="CL85" s="1">
        <v>37.500000000000007</v>
      </c>
      <c r="CM85" s="1">
        <v>37.500000000000007</v>
      </c>
      <c r="CN85" s="1">
        <v>0</v>
      </c>
      <c r="CO85" s="1">
        <v>20.000000000000004</v>
      </c>
      <c r="CP85" s="1">
        <v>5.0000000000000009</v>
      </c>
      <c r="CQ85" s="1">
        <v>40</v>
      </c>
      <c r="CR85" s="1">
        <v>77.272727272727352</v>
      </c>
      <c r="CS85" s="1">
        <v>22.727272727272741</v>
      </c>
      <c r="CT85" s="1">
        <v>0</v>
      </c>
      <c r="CU85" s="1">
        <v>0</v>
      </c>
      <c r="CV85" s="1">
        <v>0</v>
      </c>
      <c r="CW85" s="1">
        <v>44</v>
      </c>
      <c r="CX85" s="1">
        <v>80.487804878048777</v>
      </c>
      <c r="CY85" s="1">
        <v>19.512195121951216</v>
      </c>
      <c r="CZ85" s="1">
        <v>0</v>
      </c>
      <c r="DA85" s="1">
        <v>0</v>
      </c>
      <c r="DB85" s="1">
        <v>0</v>
      </c>
      <c r="DC85" s="1">
        <v>41</v>
      </c>
      <c r="DD85" s="1">
        <v>81.818181818181856</v>
      </c>
      <c r="DE85" s="1">
        <v>13.636363636363631</v>
      </c>
      <c r="DF85" s="1">
        <v>4.5454545454545521</v>
      </c>
      <c r="DG85" s="1">
        <v>0</v>
      </c>
      <c r="DH85" s="1">
        <v>0</v>
      </c>
      <c r="DI85" s="1">
        <v>44</v>
      </c>
      <c r="DJ85" s="1">
        <v>71.794871794871739</v>
      </c>
      <c r="DK85" s="1">
        <v>25.641025641025639</v>
      </c>
      <c r="DL85" s="1">
        <v>0</v>
      </c>
      <c r="DM85" s="1">
        <v>2.5641025641025665</v>
      </c>
      <c r="DN85" s="1">
        <v>0</v>
      </c>
      <c r="DO85" s="1">
        <v>39</v>
      </c>
      <c r="DP85" s="1">
        <v>88.636363636363541</v>
      </c>
      <c r="DQ85" s="1">
        <v>11.363636363636372</v>
      </c>
      <c r="DR85" s="1">
        <v>0</v>
      </c>
      <c r="DS85" s="1">
        <v>0</v>
      </c>
      <c r="DT85" s="1">
        <v>0</v>
      </c>
      <c r="DU85" s="1">
        <v>44</v>
      </c>
      <c r="DV85" s="1">
        <v>78.378378378378343</v>
      </c>
      <c r="DW85" s="1">
        <v>10.810810810810825</v>
      </c>
      <c r="DX85" s="1">
        <v>5.4054054054054124</v>
      </c>
      <c r="DY85" s="1">
        <v>5.4054054054054124</v>
      </c>
      <c r="DZ85" s="1">
        <v>0</v>
      </c>
      <c r="EA85" s="1">
        <v>37</v>
      </c>
      <c r="EB85" s="1">
        <v>86.6666666666666</v>
      </c>
      <c r="EC85" s="1">
        <v>13.333333333333334</v>
      </c>
      <c r="ED85" s="1">
        <v>0</v>
      </c>
      <c r="EE85" s="1">
        <v>0</v>
      </c>
      <c r="EF85" s="1">
        <v>0</v>
      </c>
      <c r="EG85" s="1">
        <v>15</v>
      </c>
      <c r="EH85" s="1">
        <v>83.333333333333385</v>
      </c>
      <c r="EI85" s="1">
        <v>16.666666666666661</v>
      </c>
      <c r="EJ85" s="1">
        <v>0</v>
      </c>
      <c r="EK85" s="1">
        <v>0</v>
      </c>
      <c r="EL85" s="1">
        <v>0</v>
      </c>
      <c r="EM85" s="1">
        <v>12</v>
      </c>
      <c r="EN85" s="1">
        <v>53.333333333333336</v>
      </c>
      <c r="EO85" s="1">
        <v>33.333333333333329</v>
      </c>
      <c r="EP85" s="1">
        <v>13.333333333333334</v>
      </c>
      <c r="EQ85" s="1">
        <v>0</v>
      </c>
      <c r="ER85" s="1">
        <v>0</v>
      </c>
      <c r="ES85" s="1">
        <v>15</v>
      </c>
      <c r="ET85" s="1">
        <v>53.333333333333336</v>
      </c>
      <c r="EU85" s="1">
        <v>26.666666666666668</v>
      </c>
      <c r="EV85" s="1">
        <v>20.000000000000004</v>
      </c>
      <c r="EW85" s="1">
        <v>0</v>
      </c>
      <c r="EX85" s="1">
        <v>0</v>
      </c>
      <c r="EY85" s="1">
        <v>15</v>
      </c>
      <c r="EZ85" s="1">
        <v>58.333333333333343</v>
      </c>
      <c r="FA85" s="1">
        <v>16.666666666666661</v>
      </c>
      <c r="FB85" s="1">
        <v>25.000000000000004</v>
      </c>
      <c r="FC85" s="1">
        <v>0</v>
      </c>
      <c r="FD85" s="1">
        <v>0</v>
      </c>
      <c r="FE85" s="1">
        <v>12</v>
      </c>
      <c r="FF85" s="1">
        <v>63.63636363636364</v>
      </c>
      <c r="FG85" s="1">
        <v>9.0909090909090828</v>
      </c>
      <c r="FH85" s="1">
        <v>27.272727272727256</v>
      </c>
      <c r="FI85" s="1">
        <v>0</v>
      </c>
      <c r="FJ85" s="1">
        <v>0</v>
      </c>
      <c r="FK85" s="1">
        <v>11</v>
      </c>
      <c r="FL85" s="1">
        <v>60.000000000000007</v>
      </c>
      <c r="FM85" s="1">
        <v>20.000000000000004</v>
      </c>
      <c r="FN85" s="1">
        <v>0</v>
      </c>
      <c r="FO85" s="1">
        <v>20.000000000000004</v>
      </c>
      <c r="FP85" s="1">
        <v>0</v>
      </c>
      <c r="FQ85" s="1">
        <v>15</v>
      </c>
      <c r="FR85" s="1">
        <v>88.8888888888888</v>
      </c>
      <c r="FS85" s="1">
        <v>11.1111111111111</v>
      </c>
      <c r="FT85" s="1">
        <v>0</v>
      </c>
      <c r="FU85" s="1">
        <v>0</v>
      </c>
      <c r="FV85" s="1">
        <v>0</v>
      </c>
      <c r="FW85" s="1">
        <v>9</v>
      </c>
      <c r="FX85" s="1">
        <v>90.697674418604578</v>
      </c>
      <c r="FY85" s="1">
        <v>9.3023255813953512</v>
      </c>
      <c r="FZ85" s="1">
        <v>0</v>
      </c>
      <c r="GA85" s="1">
        <v>0</v>
      </c>
      <c r="GB85" s="1">
        <v>0</v>
      </c>
      <c r="GC85" s="1">
        <v>43</v>
      </c>
      <c r="GD85" s="1">
        <v>90</v>
      </c>
      <c r="GE85" s="1">
        <v>10.000000000000002</v>
      </c>
      <c r="GF85" s="1">
        <v>0</v>
      </c>
      <c r="GG85" s="1">
        <v>0</v>
      </c>
      <c r="GH85" s="1">
        <v>0</v>
      </c>
      <c r="GI85" s="1">
        <v>20</v>
      </c>
      <c r="GJ85" s="1">
        <v>80</v>
      </c>
      <c r="GK85" s="1">
        <v>16.000000000000004</v>
      </c>
      <c r="GL85" s="1">
        <v>4.0000000000000009</v>
      </c>
      <c r="GM85" s="1">
        <v>0</v>
      </c>
      <c r="GN85" s="1">
        <v>0</v>
      </c>
      <c r="GO85" s="1">
        <v>25</v>
      </c>
      <c r="GP85" s="1">
        <v>73.684210526315823</v>
      </c>
      <c r="GQ85" s="1">
        <v>10.526315789473696</v>
      </c>
      <c r="GR85" s="1">
        <v>15.789473684210522</v>
      </c>
      <c r="GS85" s="1">
        <v>0</v>
      </c>
      <c r="GT85" s="1">
        <v>0</v>
      </c>
      <c r="GU85" s="1">
        <v>19</v>
      </c>
      <c r="GV85" s="1">
        <v>89.473684210526272</v>
      </c>
      <c r="GW85" s="1">
        <v>10.526315789473696</v>
      </c>
      <c r="GX85" s="1">
        <v>0</v>
      </c>
      <c r="GY85" s="1">
        <v>0</v>
      </c>
      <c r="GZ85" s="1">
        <v>0</v>
      </c>
      <c r="HA85" s="1">
        <v>19</v>
      </c>
      <c r="HB85" s="1">
        <v>80.000000000000014</v>
      </c>
      <c r="HC85" s="1">
        <v>20.000000000000004</v>
      </c>
      <c r="HD85" s="1">
        <v>0</v>
      </c>
      <c r="HE85" s="1">
        <v>0</v>
      </c>
      <c r="HF85" s="1">
        <v>0</v>
      </c>
      <c r="HG85" s="1">
        <v>15</v>
      </c>
      <c r="HH85" s="1">
        <v>83.333333333333385</v>
      </c>
      <c r="HI85" s="1">
        <v>8.3333333333333304</v>
      </c>
      <c r="HJ85" s="1">
        <v>8.3333333333333304</v>
      </c>
      <c r="HK85" s="1">
        <v>0</v>
      </c>
      <c r="HL85" s="1">
        <v>0</v>
      </c>
      <c r="HM85" s="1">
        <v>12</v>
      </c>
      <c r="HN85" s="1">
        <v>0</v>
      </c>
      <c r="HO85" s="1">
        <v>0</v>
      </c>
      <c r="HP85" s="1">
        <v>0</v>
      </c>
      <c r="HQ85" s="1">
        <v>0</v>
      </c>
      <c r="HR85" s="1">
        <v>0</v>
      </c>
      <c r="HS85" s="1">
        <v>0</v>
      </c>
      <c r="HT85" s="1">
        <v>0</v>
      </c>
      <c r="HU85" s="1">
        <v>0</v>
      </c>
      <c r="HV85" s="1">
        <v>0</v>
      </c>
      <c r="HW85" s="1">
        <v>0</v>
      </c>
      <c r="HX85" s="1">
        <v>0</v>
      </c>
      <c r="HY85" s="1">
        <v>0</v>
      </c>
      <c r="HZ85" s="1">
        <v>0</v>
      </c>
      <c r="IA85" s="1">
        <v>0</v>
      </c>
      <c r="IB85" s="1">
        <v>0</v>
      </c>
      <c r="IC85" s="1">
        <v>0</v>
      </c>
      <c r="ID85" s="1">
        <v>0</v>
      </c>
      <c r="IE85" s="1">
        <v>0</v>
      </c>
      <c r="IF85" s="1">
        <v>9.2307692307692299</v>
      </c>
      <c r="IG85" s="1">
        <v>0</v>
      </c>
      <c r="IH85" s="1">
        <v>0</v>
      </c>
      <c r="II85" s="1">
        <v>0</v>
      </c>
      <c r="IJ85" s="1">
        <v>0</v>
      </c>
      <c r="IK85" s="1">
        <v>2.5641025641025665</v>
      </c>
      <c r="IL85" s="1">
        <v>0</v>
      </c>
      <c r="IM85" s="1">
        <v>5.1282051282051331</v>
      </c>
      <c r="IN85" s="1">
        <v>15.38461538461539</v>
      </c>
      <c r="IO85" s="1">
        <v>17.948717948717977</v>
      </c>
      <c r="IP85" s="1">
        <v>58.974358974358935</v>
      </c>
      <c r="IQ85" s="1">
        <v>9.2307692307692282</v>
      </c>
      <c r="IR85" s="1">
        <v>39</v>
      </c>
      <c r="IS85" s="1">
        <v>13.636363636363631</v>
      </c>
      <c r="IT85" s="1">
        <v>79.545454545454518</v>
      </c>
      <c r="IU85" s="1">
        <v>4.5454545454545521</v>
      </c>
      <c r="IV85" s="1">
        <v>0</v>
      </c>
      <c r="IW85" s="1">
        <v>2.272727272727276</v>
      </c>
      <c r="IX85" s="1">
        <v>44</v>
      </c>
      <c r="IY85" s="1">
        <v>1</v>
      </c>
      <c r="IZ85" s="1">
        <v>16.345159999999975</v>
      </c>
      <c r="JA85" s="1">
        <v>9.1228800000000039</v>
      </c>
      <c r="JB85" s="1">
        <v>3.0409599999999992</v>
      </c>
      <c r="JC85" s="1">
        <v>1.9005999999999985</v>
      </c>
      <c r="JD85" s="1">
        <v>3.0409599999999992</v>
      </c>
      <c r="JE85" s="1">
        <v>0.55813953488372159</v>
      </c>
      <c r="JF85" s="1">
        <v>0.18604651162790714</v>
      </c>
      <c r="JG85" s="1">
        <v>0.11627906976744198</v>
      </c>
      <c r="JH85" s="1">
        <v>0.18604651162790714</v>
      </c>
      <c r="JI85" s="1">
        <v>1</v>
      </c>
      <c r="JJ85" s="1">
        <v>43</v>
      </c>
      <c r="JK85" s="1">
        <v>1.8571428571428572</v>
      </c>
      <c r="JL85" s="1">
        <v>1.8571428571428599</v>
      </c>
      <c r="JM85" s="1">
        <v>42</v>
      </c>
      <c r="JN85" s="1">
        <v>92.857142857142776</v>
      </c>
      <c r="JO85" s="1">
        <v>7.1428571428571459</v>
      </c>
      <c r="JP85" s="1">
        <v>14</v>
      </c>
      <c r="JQ85" s="1">
        <v>100</v>
      </c>
      <c r="JR85" s="1">
        <v>0</v>
      </c>
      <c r="JS85" s="1">
        <v>27</v>
      </c>
      <c r="JT85" s="1">
        <v>92.105263157894683</v>
      </c>
      <c r="JU85" s="1">
        <v>7.8947368421052611</v>
      </c>
      <c r="JV85" s="1">
        <v>38</v>
      </c>
      <c r="JW85" s="1">
        <v>100</v>
      </c>
      <c r="JX85" s="1">
        <v>0</v>
      </c>
      <c r="JY85" s="1">
        <v>28</v>
      </c>
      <c r="JZ85" s="1">
        <v>61.538461538461476</v>
      </c>
      <c r="KA85" s="1">
        <v>38.461538461538503</v>
      </c>
      <c r="KB85" s="1">
        <v>39</v>
      </c>
      <c r="KC85" s="1">
        <v>100</v>
      </c>
      <c r="KD85" s="1">
        <v>0</v>
      </c>
      <c r="KE85" s="1">
        <v>37</v>
      </c>
      <c r="KF85" s="1">
        <v>3.0294117647058822</v>
      </c>
      <c r="KG85" s="1">
        <v>14.705882352941185</v>
      </c>
      <c r="KH85" s="1">
        <v>17.647058823529402</v>
      </c>
      <c r="KI85" s="1">
        <v>26.470588235294141</v>
      </c>
      <c r="KJ85" s="1">
        <v>32.352941176470573</v>
      </c>
      <c r="KK85" s="1">
        <v>8.8235294117647012</v>
      </c>
      <c r="KL85" s="1">
        <v>34</v>
      </c>
      <c r="KM85" s="1">
        <v>52.735294117647108</v>
      </c>
      <c r="KN85" s="1">
        <v>0</v>
      </c>
      <c r="KO85" s="1">
        <v>0</v>
      </c>
      <c r="KP85" s="1">
        <v>0</v>
      </c>
      <c r="KQ85" s="1">
        <v>0</v>
      </c>
      <c r="KR85" s="1">
        <v>0</v>
      </c>
      <c r="KS85" s="1">
        <v>0</v>
      </c>
      <c r="KT85" s="1">
        <v>0</v>
      </c>
      <c r="KU85" s="1">
        <v>21.052631578947391</v>
      </c>
      <c r="KV85" s="1">
        <v>0</v>
      </c>
      <c r="KW85" s="1">
        <v>0</v>
      </c>
      <c r="KX85" s="1">
        <v>71.052631578947398</v>
      </c>
      <c r="KY85" s="1">
        <v>7.8947368421052611</v>
      </c>
      <c r="KZ85" s="1">
        <v>38</v>
      </c>
      <c r="LA85" s="1">
        <v>10.810810810810825</v>
      </c>
      <c r="LB85" s="1">
        <v>89.189189189189179</v>
      </c>
      <c r="LC85" s="1">
        <v>37</v>
      </c>
      <c r="LD85" s="1">
        <v>0</v>
      </c>
      <c r="LE85" s="1">
        <v>0</v>
      </c>
      <c r="LF85" s="1">
        <v>100</v>
      </c>
      <c r="LG85" s="1">
        <v>4</v>
      </c>
    </row>
    <row r="86" spans="1:319" x14ac:dyDescent="0.25">
      <c r="A86" s="1">
        <v>358</v>
      </c>
      <c r="B86" s="1">
        <v>33.333333333333414</v>
      </c>
      <c r="C86" s="1">
        <v>66.666666666666643</v>
      </c>
      <c r="D86" s="1">
        <v>48</v>
      </c>
      <c r="E86" s="1">
        <v>80.645161290322591</v>
      </c>
      <c r="F86" s="1">
        <v>19.354838709677434</v>
      </c>
      <c r="G86" s="1">
        <v>31</v>
      </c>
      <c r="H86" s="1">
        <v>53.846153846153875</v>
      </c>
      <c r="I86" s="1">
        <v>46.153846153846182</v>
      </c>
      <c r="J86" s="1">
        <v>26</v>
      </c>
      <c r="K86" s="1">
        <v>1</v>
      </c>
      <c r="L86" s="1">
        <v>23.428999999999995</v>
      </c>
      <c r="M86" s="1">
        <v>5.1543800000000024</v>
      </c>
      <c r="N86" s="1">
        <v>5.6229600000000008</v>
      </c>
      <c r="O86" s="1">
        <v>3.7486399999999969</v>
      </c>
      <c r="P86" s="1">
        <v>0.46857999999999961</v>
      </c>
      <c r="Q86" s="1">
        <v>14.525980000000002</v>
      </c>
      <c r="R86" s="1">
        <v>3.2800600000000002</v>
      </c>
      <c r="S86" s="1">
        <v>1.4057400000000002</v>
      </c>
      <c r="T86" s="1">
        <v>1.4057400000000002</v>
      </c>
      <c r="U86" s="1">
        <v>1.8743199999999984</v>
      </c>
      <c r="V86" s="1">
        <v>1.4057400000000002</v>
      </c>
      <c r="W86" s="1">
        <v>0.22000000000000047</v>
      </c>
      <c r="X86" s="1">
        <v>0.24000000000000024</v>
      </c>
      <c r="Y86" s="1">
        <v>0.16000000000000017</v>
      </c>
      <c r="Z86" s="1">
        <v>2.0000000000000021E-2</v>
      </c>
      <c r="AA86" s="1">
        <v>0.62000000000000077</v>
      </c>
      <c r="AB86" s="1">
        <v>0.14000000000000032</v>
      </c>
      <c r="AC86" s="1">
        <v>6.0000000000000053E-2</v>
      </c>
      <c r="AD86" s="1">
        <v>6.0000000000000053E-2</v>
      </c>
      <c r="AE86" s="1">
        <v>8.0000000000000071E-2</v>
      </c>
      <c r="AF86" s="1">
        <v>6.0000000000000053E-2</v>
      </c>
      <c r="AG86" s="1">
        <v>1</v>
      </c>
      <c r="AH86" s="1">
        <v>50</v>
      </c>
      <c r="AI86" s="1">
        <v>1</v>
      </c>
      <c r="AJ86" s="1">
        <v>22.023259999999965</v>
      </c>
      <c r="AK86" s="1">
        <v>14.99455999999998</v>
      </c>
      <c r="AL86" s="1">
        <v>9.8401799999999895</v>
      </c>
      <c r="AM86" s="1">
        <v>7.0287000000000095</v>
      </c>
      <c r="AN86" s="1">
        <v>6.5601200000000013</v>
      </c>
      <c r="AO86" s="1">
        <v>2.8114800000000004</v>
      </c>
      <c r="AP86" s="1">
        <v>4.6858000000000013</v>
      </c>
      <c r="AQ86" s="1">
        <v>0.68085106382978777</v>
      </c>
      <c r="AR86" s="1">
        <v>0.44680851063829857</v>
      </c>
      <c r="AS86" s="1">
        <v>0.31914893617021345</v>
      </c>
      <c r="AT86" s="1">
        <v>0.29787234042553257</v>
      </c>
      <c r="AU86" s="1">
        <v>0.12765957446808515</v>
      </c>
      <c r="AV86" s="1">
        <v>0.2127659574468089</v>
      </c>
      <c r="AW86" s="1">
        <v>1</v>
      </c>
      <c r="AX86" s="1">
        <v>47</v>
      </c>
      <c r="AY86" s="1">
        <v>9.5399999999999991</v>
      </c>
      <c r="AZ86" s="1">
        <v>9.8000000000000007</v>
      </c>
      <c r="BA86" s="1">
        <v>9.6938775510204085</v>
      </c>
      <c r="BB86" s="1">
        <v>0</v>
      </c>
      <c r="BC86" s="1">
        <v>0</v>
      </c>
      <c r="BD86" s="1">
        <v>0</v>
      </c>
      <c r="BE86" s="1">
        <v>0</v>
      </c>
      <c r="BF86" s="1">
        <v>2.0000000000000004</v>
      </c>
      <c r="BG86" s="1">
        <v>0</v>
      </c>
      <c r="BH86" s="1">
        <v>2.0000000000000004</v>
      </c>
      <c r="BI86" s="1">
        <v>8.0000000000000018</v>
      </c>
      <c r="BJ86" s="1">
        <v>14.000000000000009</v>
      </c>
      <c r="BK86" s="1">
        <v>74.000000000000014</v>
      </c>
      <c r="BL86" s="1">
        <v>9.5400000000000151</v>
      </c>
      <c r="BM86" s="1">
        <v>50</v>
      </c>
      <c r="BN86" s="1">
        <v>0</v>
      </c>
      <c r="BO86" s="1">
        <v>0</v>
      </c>
      <c r="BP86" s="1">
        <v>0</v>
      </c>
      <c r="BQ86" s="1">
        <v>0</v>
      </c>
      <c r="BR86" s="1">
        <v>0</v>
      </c>
      <c r="BS86" s="1">
        <v>0</v>
      </c>
      <c r="BT86" s="1">
        <v>2.0000000000000004</v>
      </c>
      <c r="BU86" s="1">
        <v>2.0000000000000004</v>
      </c>
      <c r="BV86" s="1">
        <v>10.000000000000004</v>
      </c>
      <c r="BW86" s="1">
        <v>86.000000000000014</v>
      </c>
      <c r="BX86" s="1">
        <v>9.8000000000000096</v>
      </c>
      <c r="BY86" s="1">
        <v>50</v>
      </c>
      <c r="BZ86" s="1">
        <v>0</v>
      </c>
      <c r="CA86" s="1">
        <v>0</v>
      </c>
      <c r="CB86" s="1">
        <v>0</v>
      </c>
      <c r="CC86" s="1">
        <v>0</v>
      </c>
      <c r="CD86" s="1">
        <v>2.0408163265306158</v>
      </c>
      <c r="CE86" s="1">
        <v>0</v>
      </c>
      <c r="CF86" s="1">
        <v>0</v>
      </c>
      <c r="CG86" s="1">
        <v>4.0816326530612317</v>
      </c>
      <c r="CH86" s="1">
        <v>12.244897959183689</v>
      </c>
      <c r="CI86" s="1">
        <v>81.632653061224545</v>
      </c>
      <c r="CJ86" s="1">
        <v>9.6938775510204191</v>
      </c>
      <c r="CK86" s="1">
        <v>49</v>
      </c>
      <c r="CL86" s="1">
        <v>55.102040816326586</v>
      </c>
      <c r="CM86" s="1">
        <v>40.81632653061228</v>
      </c>
      <c r="CN86" s="1">
        <v>0</v>
      </c>
      <c r="CO86" s="1">
        <v>4.0816326530612317</v>
      </c>
      <c r="CP86" s="1">
        <v>0</v>
      </c>
      <c r="CQ86" s="1">
        <v>49</v>
      </c>
      <c r="CR86" s="1">
        <v>79.591836734693942</v>
      </c>
      <c r="CS86" s="1">
        <v>14.285714285714302</v>
      </c>
      <c r="CT86" s="1">
        <v>4.0816326530612317</v>
      </c>
      <c r="CU86" s="1">
        <v>2.0408163265306158</v>
      </c>
      <c r="CV86" s="1">
        <v>0</v>
      </c>
      <c r="CW86" s="1">
        <v>49</v>
      </c>
      <c r="CX86" s="1">
        <v>61.224489795918416</v>
      </c>
      <c r="CY86" s="1">
        <v>28.571428571428605</v>
      </c>
      <c r="CZ86" s="1">
        <v>8.1632653061224634</v>
      </c>
      <c r="DA86" s="1">
        <v>2.0408163265306158</v>
      </c>
      <c r="DB86" s="1">
        <v>0</v>
      </c>
      <c r="DC86" s="1">
        <v>49</v>
      </c>
      <c r="DD86" s="1">
        <v>57.142857142857189</v>
      </c>
      <c r="DE86" s="1">
        <v>32.653061224489853</v>
      </c>
      <c r="DF86" s="1">
        <v>6.1224489795918444</v>
      </c>
      <c r="DG86" s="1">
        <v>4.0816326530612317</v>
      </c>
      <c r="DH86" s="1">
        <v>0</v>
      </c>
      <c r="DI86" s="1">
        <v>49</v>
      </c>
      <c r="DJ86" s="1">
        <v>46.666666666666693</v>
      </c>
      <c r="DK86" s="1">
        <v>37.777777777777821</v>
      </c>
      <c r="DL86" s="1">
        <v>6.6666666666666803</v>
      </c>
      <c r="DM86" s="1">
        <v>8.8888888888889017</v>
      </c>
      <c r="DN86" s="1">
        <v>0</v>
      </c>
      <c r="DO86" s="1">
        <v>45</v>
      </c>
      <c r="DP86" s="1">
        <v>74.000000000000014</v>
      </c>
      <c r="DQ86" s="1">
        <v>16.000000000000007</v>
      </c>
      <c r="DR86" s="1">
        <v>10.000000000000004</v>
      </c>
      <c r="DS86" s="1">
        <v>0</v>
      </c>
      <c r="DT86" s="1">
        <v>0</v>
      </c>
      <c r="DU86" s="1">
        <v>50</v>
      </c>
      <c r="DV86" s="1">
        <v>60.000000000000007</v>
      </c>
      <c r="DW86" s="1">
        <v>25</v>
      </c>
      <c r="DX86" s="1">
        <v>9.9999999999999982</v>
      </c>
      <c r="DY86" s="1">
        <v>4.9999999999999991</v>
      </c>
      <c r="DZ86" s="1">
        <v>0</v>
      </c>
      <c r="EA86" s="1">
        <v>20</v>
      </c>
      <c r="EB86" s="1">
        <v>100</v>
      </c>
      <c r="EC86" s="1">
        <v>0</v>
      </c>
      <c r="ED86" s="1">
        <v>0</v>
      </c>
      <c r="EE86" s="1">
        <v>0</v>
      </c>
      <c r="EF86" s="1">
        <v>0</v>
      </c>
      <c r="EG86" s="1">
        <v>13</v>
      </c>
      <c r="EH86" s="1">
        <v>77.777777777777814</v>
      </c>
      <c r="EI86" s="1">
        <v>22.2222222222222</v>
      </c>
      <c r="EJ86" s="1">
        <v>0</v>
      </c>
      <c r="EK86" s="1">
        <v>0</v>
      </c>
      <c r="EL86" s="1">
        <v>0</v>
      </c>
      <c r="EM86" s="1">
        <v>9</v>
      </c>
      <c r="EN86" s="1">
        <v>28.571428571428594</v>
      </c>
      <c r="EO86" s="1">
        <v>35.71428571428573</v>
      </c>
      <c r="EP86" s="1">
        <v>21.428571428571431</v>
      </c>
      <c r="EQ86" s="1">
        <v>0</v>
      </c>
      <c r="ER86" s="1">
        <v>14.285714285714297</v>
      </c>
      <c r="ES86" s="1">
        <v>14</v>
      </c>
      <c r="ET86" s="1">
        <v>46.153846153846168</v>
      </c>
      <c r="EU86" s="1">
        <v>23.076923076923084</v>
      </c>
      <c r="EV86" s="1">
        <v>23.076923076923084</v>
      </c>
      <c r="EW86" s="1">
        <v>7.6923076923076836</v>
      </c>
      <c r="EX86" s="1">
        <v>0</v>
      </c>
      <c r="EY86" s="1">
        <v>13</v>
      </c>
      <c r="EZ86" s="1">
        <v>54.545454545454511</v>
      </c>
      <c r="FA86" s="1">
        <v>18.181818181818159</v>
      </c>
      <c r="FB86" s="1">
        <v>27.272727272727256</v>
      </c>
      <c r="FC86" s="1">
        <v>0</v>
      </c>
      <c r="FD86" s="1">
        <v>0</v>
      </c>
      <c r="FE86" s="1">
        <v>11</v>
      </c>
      <c r="FF86" s="1">
        <v>55.555555555555614</v>
      </c>
      <c r="FG86" s="1">
        <v>22.2222222222222</v>
      </c>
      <c r="FH86" s="1">
        <v>11.1111111111111</v>
      </c>
      <c r="FI86" s="1">
        <v>11.1111111111111</v>
      </c>
      <c r="FJ86" s="1">
        <v>0</v>
      </c>
      <c r="FK86" s="1">
        <v>9</v>
      </c>
      <c r="FL86" s="1">
        <v>55.555555555555614</v>
      </c>
      <c r="FM86" s="1">
        <v>22.2222222222222</v>
      </c>
      <c r="FN86" s="1">
        <v>11.1111111111111</v>
      </c>
      <c r="FO86" s="1">
        <v>0</v>
      </c>
      <c r="FP86" s="1">
        <v>11.1111111111111</v>
      </c>
      <c r="FQ86" s="1">
        <v>9</v>
      </c>
      <c r="FR86" s="1">
        <v>33.333333333333314</v>
      </c>
      <c r="FS86" s="1">
        <v>33.333333333333314</v>
      </c>
      <c r="FT86" s="1">
        <v>16.666666666666657</v>
      </c>
      <c r="FU86" s="1">
        <v>0</v>
      </c>
      <c r="FV86" s="1">
        <v>16.666666666666657</v>
      </c>
      <c r="FW86" s="1">
        <v>6</v>
      </c>
      <c r="FX86" s="1">
        <v>69.387755102040856</v>
      </c>
      <c r="FY86" s="1">
        <v>28.571428571428605</v>
      </c>
      <c r="FZ86" s="1">
        <v>2.0408163265306158</v>
      </c>
      <c r="GA86" s="1">
        <v>0</v>
      </c>
      <c r="GB86" s="1">
        <v>0</v>
      </c>
      <c r="GC86" s="1">
        <v>49</v>
      </c>
      <c r="GD86" s="1">
        <v>75.000000000000014</v>
      </c>
      <c r="GE86" s="1">
        <v>21.428571428571434</v>
      </c>
      <c r="GF86" s="1">
        <v>3.5714285714285743</v>
      </c>
      <c r="GG86" s="1">
        <v>0</v>
      </c>
      <c r="GH86" s="1">
        <v>0</v>
      </c>
      <c r="GI86" s="1">
        <v>28</v>
      </c>
      <c r="GJ86" s="1">
        <v>57.575757575757542</v>
      </c>
      <c r="GK86" s="1">
        <v>33.333333333333321</v>
      </c>
      <c r="GL86" s="1">
        <v>9.0909090909091059</v>
      </c>
      <c r="GM86" s="1">
        <v>0</v>
      </c>
      <c r="GN86" s="1">
        <v>0</v>
      </c>
      <c r="GO86" s="1">
        <v>33</v>
      </c>
      <c r="GP86" s="1">
        <v>63.636363636363619</v>
      </c>
      <c r="GQ86" s="1">
        <v>22.727272727272737</v>
      </c>
      <c r="GR86" s="1">
        <v>4.5454545454545405</v>
      </c>
      <c r="GS86" s="1">
        <v>4.5454545454545405</v>
      </c>
      <c r="GT86" s="1">
        <v>4.5454545454545405</v>
      </c>
      <c r="GU86" s="1">
        <v>22</v>
      </c>
      <c r="GV86" s="1">
        <v>65.217391304347871</v>
      </c>
      <c r="GW86" s="1">
        <v>26.086956521739154</v>
      </c>
      <c r="GX86" s="1">
        <v>0</v>
      </c>
      <c r="GY86" s="1">
        <v>4.3478260869565242</v>
      </c>
      <c r="GZ86" s="1">
        <v>4.3478260869565242</v>
      </c>
      <c r="HA86" s="1">
        <v>23</v>
      </c>
      <c r="HB86" s="1">
        <v>52.631578947368368</v>
      </c>
      <c r="HC86" s="1">
        <v>36.842105263157912</v>
      </c>
      <c r="HD86" s="1">
        <v>10.526315789473687</v>
      </c>
      <c r="HE86" s="1">
        <v>0</v>
      </c>
      <c r="HF86" s="1">
        <v>0</v>
      </c>
      <c r="HG86" s="1">
        <v>19</v>
      </c>
      <c r="HH86" s="1">
        <v>61.904761904761926</v>
      </c>
      <c r="HI86" s="1">
        <v>23.809523809523832</v>
      </c>
      <c r="HJ86" s="1">
        <v>9.5238095238095202</v>
      </c>
      <c r="HK86" s="1">
        <v>0</v>
      </c>
      <c r="HL86" s="1">
        <v>4.7619047619047601</v>
      </c>
      <c r="HM86" s="1">
        <v>21</v>
      </c>
      <c r="HN86" s="1">
        <v>0</v>
      </c>
      <c r="HO86" s="1">
        <v>0</v>
      </c>
      <c r="HP86" s="1">
        <v>0</v>
      </c>
      <c r="HQ86" s="1">
        <v>0</v>
      </c>
      <c r="HR86" s="1">
        <v>0</v>
      </c>
      <c r="HS86" s="1">
        <v>0</v>
      </c>
      <c r="HT86" s="1">
        <v>0</v>
      </c>
      <c r="HU86" s="1">
        <v>0</v>
      </c>
      <c r="HV86" s="1">
        <v>0</v>
      </c>
      <c r="HW86" s="1">
        <v>0</v>
      </c>
      <c r="HX86" s="1">
        <v>0</v>
      </c>
      <c r="HY86" s="1">
        <v>0</v>
      </c>
      <c r="HZ86" s="1">
        <v>0</v>
      </c>
      <c r="IA86" s="1">
        <v>0</v>
      </c>
      <c r="IB86" s="1">
        <v>0</v>
      </c>
      <c r="IC86" s="1">
        <v>0</v>
      </c>
      <c r="ID86" s="1">
        <v>0</v>
      </c>
      <c r="IE86" s="1">
        <v>0</v>
      </c>
      <c r="IF86" s="1">
        <v>9.1818181818181817</v>
      </c>
      <c r="IG86" s="1">
        <v>0</v>
      </c>
      <c r="IH86" s="1">
        <v>0</v>
      </c>
      <c r="II86" s="1">
        <v>0</v>
      </c>
      <c r="IJ86" s="1">
        <v>0</v>
      </c>
      <c r="IK86" s="1">
        <v>0</v>
      </c>
      <c r="IL86" s="1">
        <v>0</v>
      </c>
      <c r="IM86" s="1">
        <v>6.8181818181818183</v>
      </c>
      <c r="IN86" s="1">
        <v>13.636363636363637</v>
      </c>
      <c r="IO86" s="1">
        <v>34.090909090909172</v>
      </c>
      <c r="IP86" s="1">
        <v>45.454545454545489</v>
      </c>
      <c r="IQ86" s="1">
        <v>9.1818181818181852</v>
      </c>
      <c r="IR86" s="1">
        <v>44</v>
      </c>
      <c r="IS86" s="1">
        <v>19.607843137254921</v>
      </c>
      <c r="IT86" s="1">
        <v>50.98039215686277</v>
      </c>
      <c r="IU86" s="1">
        <v>23.529411764705877</v>
      </c>
      <c r="IV86" s="1">
        <v>1.9607843137254932</v>
      </c>
      <c r="IW86" s="1">
        <v>3.9215686274509864</v>
      </c>
      <c r="IX86" s="1">
        <v>51</v>
      </c>
      <c r="IY86" s="1">
        <v>1</v>
      </c>
      <c r="IZ86" s="1">
        <v>23.897579999999987</v>
      </c>
      <c r="JA86" s="1">
        <v>10.308760000000005</v>
      </c>
      <c r="JB86" s="1">
        <v>6.0915400000000064</v>
      </c>
      <c r="JC86" s="1">
        <v>6.5601200000000013</v>
      </c>
      <c r="JD86" s="1">
        <v>3.2800600000000002</v>
      </c>
      <c r="JE86" s="1">
        <v>0.43137254901960859</v>
      </c>
      <c r="JF86" s="1">
        <v>0.25490196078431415</v>
      </c>
      <c r="JG86" s="1">
        <v>0.27450980392156904</v>
      </c>
      <c r="JH86" s="1">
        <v>0.13725490196078452</v>
      </c>
      <c r="JI86" s="1">
        <v>1</v>
      </c>
      <c r="JJ86" s="1">
        <v>51</v>
      </c>
      <c r="JK86" s="1">
        <v>1.8431372549019607</v>
      </c>
      <c r="JL86" s="1">
        <v>1.8431372549019611</v>
      </c>
      <c r="JM86" s="1">
        <v>51</v>
      </c>
      <c r="JN86" s="1">
        <v>94.117647058823465</v>
      </c>
      <c r="JO86" s="1">
        <v>5.8823529411764648</v>
      </c>
      <c r="JP86" s="1">
        <v>17</v>
      </c>
      <c r="JQ86" s="1">
        <v>97.297297297297433</v>
      </c>
      <c r="JR86" s="1">
        <v>2.7027027027027062</v>
      </c>
      <c r="JS86" s="1">
        <v>37</v>
      </c>
      <c r="JT86" s="1">
        <v>87.804878048780552</v>
      </c>
      <c r="JU86" s="1">
        <v>12.195121951219525</v>
      </c>
      <c r="JV86" s="1">
        <v>41</v>
      </c>
      <c r="JW86" s="1">
        <v>91.891891891891945</v>
      </c>
      <c r="JX86" s="1">
        <v>8.1081081081081212</v>
      </c>
      <c r="JY86" s="1">
        <v>37</v>
      </c>
      <c r="JZ86" s="1">
        <v>44.444444444444507</v>
      </c>
      <c r="KA86" s="1">
        <v>55.555555555555621</v>
      </c>
      <c r="KB86" s="1">
        <v>45</v>
      </c>
      <c r="KC86" s="1">
        <v>100</v>
      </c>
      <c r="KD86" s="1">
        <v>0</v>
      </c>
      <c r="KE86" s="1">
        <v>41</v>
      </c>
      <c r="KF86" s="1">
        <v>3.2195121951219514</v>
      </c>
      <c r="KG86" s="1">
        <v>4.8780487804878039</v>
      </c>
      <c r="KH86" s="1">
        <v>21.951219512195156</v>
      </c>
      <c r="KI86" s="1">
        <v>39.024390243902459</v>
      </c>
      <c r="KJ86" s="1">
        <v>14.634146341463415</v>
      </c>
      <c r="KK86" s="1">
        <v>19.512195121951219</v>
      </c>
      <c r="KL86" s="1">
        <v>41</v>
      </c>
      <c r="KM86" s="1">
        <v>57.341463414634255</v>
      </c>
      <c r="KN86" s="1">
        <v>19</v>
      </c>
      <c r="KO86" s="1">
        <v>0</v>
      </c>
      <c r="KP86" s="1">
        <v>0</v>
      </c>
      <c r="KQ86" s="1">
        <v>100</v>
      </c>
      <c r="KR86" s="1">
        <v>0</v>
      </c>
      <c r="KS86" s="1">
        <v>0</v>
      </c>
      <c r="KT86" s="1">
        <v>1</v>
      </c>
      <c r="KU86" s="1">
        <v>6.6666666666666803</v>
      </c>
      <c r="KV86" s="1">
        <v>0</v>
      </c>
      <c r="KW86" s="1">
        <v>2.2222222222222254</v>
      </c>
      <c r="KX86" s="1">
        <v>86.666666666666629</v>
      </c>
      <c r="KY86" s="1">
        <v>4.4444444444444509</v>
      </c>
      <c r="KZ86" s="1">
        <v>45</v>
      </c>
      <c r="LA86" s="1">
        <v>9.3023255813953494</v>
      </c>
      <c r="LB86" s="1">
        <v>90.69767441860462</v>
      </c>
      <c r="LC86" s="1">
        <v>43</v>
      </c>
      <c r="LD86" s="1">
        <v>0</v>
      </c>
      <c r="LE86" s="1">
        <v>25</v>
      </c>
      <c r="LF86" s="1">
        <v>75.000000000000014</v>
      </c>
      <c r="LG86" s="1">
        <v>4</v>
      </c>
    </row>
    <row r="87" spans="1:319" x14ac:dyDescent="0.25">
      <c r="A87" s="1">
        <v>366</v>
      </c>
      <c r="B87" s="1">
        <v>27.272727272727273</v>
      </c>
      <c r="C87" s="1">
        <v>72.727272727272734</v>
      </c>
      <c r="D87" s="1">
        <v>11</v>
      </c>
      <c r="E87" s="1">
        <v>50</v>
      </c>
      <c r="F87" s="1">
        <v>50</v>
      </c>
      <c r="G87" s="1">
        <v>8</v>
      </c>
      <c r="H87" s="1">
        <v>100</v>
      </c>
      <c r="I87" s="1">
        <v>0</v>
      </c>
      <c r="J87" s="1">
        <v>4</v>
      </c>
      <c r="K87" s="1">
        <v>1</v>
      </c>
      <c r="L87" s="1">
        <v>4.1813199999999995</v>
      </c>
      <c r="M87" s="1">
        <v>4.1813199999999995</v>
      </c>
      <c r="N87" s="1">
        <v>0</v>
      </c>
      <c r="O87" s="1">
        <v>0</v>
      </c>
      <c r="P87" s="1">
        <v>0</v>
      </c>
      <c r="Q87" s="1">
        <v>0</v>
      </c>
      <c r="R87" s="1">
        <v>0</v>
      </c>
      <c r="S87" s="1">
        <v>0</v>
      </c>
      <c r="T87" s="1">
        <v>0.38011999999999996</v>
      </c>
      <c r="U87" s="1">
        <v>0.76023999999999992</v>
      </c>
      <c r="V87" s="1">
        <v>0</v>
      </c>
      <c r="W87" s="1">
        <v>1</v>
      </c>
      <c r="X87" s="1">
        <v>0</v>
      </c>
      <c r="Y87" s="1">
        <v>0</v>
      </c>
      <c r="Z87" s="1">
        <v>0</v>
      </c>
      <c r="AA87" s="1">
        <v>0</v>
      </c>
      <c r="AB87" s="1">
        <v>0</v>
      </c>
      <c r="AC87" s="1">
        <v>0</v>
      </c>
      <c r="AD87" s="1">
        <v>9.0909090909090925E-2</v>
      </c>
      <c r="AE87" s="1">
        <v>0.18181818181818185</v>
      </c>
      <c r="AF87" s="1">
        <v>0</v>
      </c>
      <c r="AG87" s="1">
        <v>1</v>
      </c>
      <c r="AH87" s="1">
        <v>11</v>
      </c>
      <c r="AI87" s="1">
        <v>1</v>
      </c>
      <c r="AJ87" s="1">
        <v>4.1813199999999995</v>
      </c>
      <c r="AK87" s="1">
        <v>3.0409599999999997</v>
      </c>
      <c r="AL87" s="1">
        <v>4.1813199999999995</v>
      </c>
      <c r="AM87" s="1">
        <v>3.0409599999999997</v>
      </c>
      <c r="AN87" s="1">
        <v>3.0409599999999997</v>
      </c>
      <c r="AO87" s="1">
        <v>0.76023999999999992</v>
      </c>
      <c r="AP87" s="1">
        <v>1.1403599999999998</v>
      </c>
      <c r="AQ87" s="1">
        <v>0.7272727272727274</v>
      </c>
      <c r="AR87" s="1">
        <v>1</v>
      </c>
      <c r="AS87" s="1">
        <v>0.7272727272727274</v>
      </c>
      <c r="AT87" s="1">
        <v>0.7272727272727274</v>
      </c>
      <c r="AU87" s="1">
        <v>0.18181818181818185</v>
      </c>
      <c r="AV87" s="1">
        <v>0.27272727272727282</v>
      </c>
      <c r="AW87" s="1">
        <v>1</v>
      </c>
      <c r="AX87" s="1">
        <v>11</v>
      </c>
      <c r="AY87" s="1">
        <v>10</v>
      </c>
      <c r="AZ87" s="1">
        <v>10</v>
      </c>
      <c r="BA87" s="1">
        <v>10</v>
      </c>
      <c r="BB87" s="1">
        <v>0</v>
      </c>
      <c r="BC87" s="1">
        <v>0</v>
      </c>
      <c r="BD87" s="1">
        <v>0</v>
      </c>
      <c r="BE87" s="1">
        <v>0</v>
      </c>
      <c r="BF87" s="1">
        <v>0</v>
      </c>
      <c r="BG87" s="1">
        <v>0</v>
      </c>
      <c r="BH87" s="1">
        <v>0</v>
      </c>
      <c r="BI87" s="1">
        <v>0</v>
      </c>
      <c r="BJ87" s="1">
        <v>0</v>
      </c>
      <c r="BK87" s="1">
        <v>100</v>
      </c>
      <c r="BL87" s="1">
        <v>10.000000000000002</v>
      </c>
      <c r="BM87" s="1">
        <v>11</v>
      </c>
      <c r="BN87" s="1">
        <v>0</v>
      </c>
      <c r="BO87" s="1">
        <v>0</v>
      </c>
      <c r="BP87" s="1">
        <v>0</v>
      </c>
      <c r="BQ87" s="1">
        <v>0</v>
      </c>
      <c r="BR87" s="1">
        <v>0</v>
      </c>
      <c r="BS87" s="1">
        <v>0</v>
      </c>
      <c r="BT87" s="1">
        <v>0</v>
      </c>
      <c r="BU87" s="1">
        <v>0</v>
      </c>
      <c r="BV87" s="1">
        <v>0</v>
      </c>
      <c r="BW87" s="1">
        <v>100</v>
      </c>
      <c r="BX87" s="1">
        <v>10.000000000000002</v>
      </c>
      <c r="BY87" s="1">
        <v>11</v>
      </c>
      <c r="BZ87" s="1">
        <v>0</v>
      </c>
      <c r="CA87" s="1">
        <v>0</v>
      </c>
      <c r="CB87" s="1">
        <v>0</v>
      </c>
      <c r="CC87" s="1">
        <v>0</v>
      </c>
      <c r="CD87" s="1">
        <v>0</v>
      </c>
      <c r="CE87" s="1">
        <v>0</v>
      </c>
      <c r="CF87" s="1">
        <v>0</v>
      </c>
      <c r="CG87" s="1">
        <v>0</v>
      </c>
      <c r="CH87" s="1">
        <v>0</v>
      </c>
      <c r="CI87" s="1">
        <v>100</v>
      </c>
      <c r="CJ87" s="1">
        <v>10.000000000000002</v>
      </c>
      <c r="CK87" s="1">
        <v>11</v>
      </c>
      <c r="CL87" s="1">
        <v>60.000000000000007</v>
      </c>
      <c r="CM87" s="1">
        <v>40.000000000000007</v>
      </c>
      <c r="CN87" s="1">
        <v>0</v>
      </c>
      <c r="CO87" s="1">
        <v>0</v>
      </c>
      <c r="CP87" s="1">
        <v>0</v>
      </c>
      <c r="CQ87" s="1">
        <v>10</v>
      </c>
      <c r="CR87" s="1">
        <v>81.818181818181841</v>
      </c>
      <c r="CS87" s="1">
        <v>9.0909090909090917</v>
      </c>
      <c r="CT87" s="1">
        <v>9.0909090909090917</v>
      </c>
      <c r="CU87" s="1">
        <v>0</v>
      </c>
      <c r="CV87" s="1">
        <v>0</v>
      </c>
      <c r="CW87" s="1">
        <v>11</v>
      </c>
      <c r="CX87" s="1">
        <v>45.454545454545446</v>
      </c>
      <c r="CY87" s="1">
        <v>27.272727272727273</v>
      </c>
      <c r="CZ87" s="1">
        <v>9.0909090909090917</v>
      </c>
      <c r="DA87" s="1">
        <v>18.181818181818183</v>
      </c>
      <c r="DB87" s="1">
        <v>0</v>
      </c>
      <c r="DC87" s="1">
        <v>11</v>
      </c>
      <c r="DD87" s="1">
        <v>45.454545454545446</v>
      </c>
      <c r="DE87" s="1">
        <v>36.363636363636367</v>
      </c>
      <c r="DF87" s="1">
        <v>9.0909090909090917</v>
      </c>
      <c r="DG87" s="1">
        <v>9.0909090909090917</v>
      </c>
      <c r="DH87" s="1">
        <v>0</v>
      </c>
      <c r="DI87" s="1">
        <v>11</v>
      </c>
      <c r="DJ87" s="1">
        <v>40.000000000000007</v>
      </c>
      <c r="DK87" s="1">
        <v>40.000000000000007</v>
      </c>
      <c r="DL87" s="1">
        <v>10.000000000000002</v>
      </c>
      <c r="DM87" s="1">
        <v>0</v>
      </c>
      <c r="DN87" s="1">
        <v>10.000000000000002</v>
      </c>
      <c r="DO87" s="1">
        <v>10</v>
      </c>
      <c r="DP87" s="1">
        <v>81.818181818181841</v>
      </c>
      <c r="DQ87" s="1">
        <v>9.0909090909090917</v>
      </c>
      <c r="DR87" s="1">
        <v>9.0909090909090917</v>
      </c>
      <c r="DS87" s="1">
        <v>0</v>
      </c>
      <c r="DT87" s="1">
        <v>0</v>
      </c>
      <c r="DU87" s="1">
        <v>11</v>
      </c>
      <c r="DV87" s="1">
        <v>62.5</v>
      </c>
      <c r="DW87" s="1">
        <v>37.5</v>
      </c>
      <c r="DX87" s="1">
        <v>0</v>
      </c>
      <c r="DY87" s="1">
        <v>0</v>
      </c>
      <c r="DZ87" s="1">
        <v>0</v>
      </c>
      <c r="EA87" s="1">
        <v>8</v>
      </c>
      <c r="EB87" s="1">
        <v>0</v>
      </c>
      <c r="EC87" s="1">
        <v>50</v>
      </c>
      <c r="ED87" s="1">
        <v>50</v>
      </c>
      <c r="EE87" s="1">
        <v>0</v>
      </c>
      <c r="EF87" s="1">
        <v>0</v>
      </c>
      <c r="EG87" s="1">
        <v>2</v>
      </c>
      <c r="EH87" s="1">
        <v>33.333333333333329</v>
      </c>
      <c r="EI87" s="1">
        <v>33.333333333333329</v>
      </c>
      <c r="EJ87" s="1">
        <v>33.333333333333329</v>
      </c>
      <c r="EK87" s="1">
        <v>0</v>
      </c>
      <c r="EL87" s="1">
        <v>0</v>
      </c>
      <c r="EM87" s="1">
        <v>3</v>
      </c>
      <c r="EN87" s="1">
        <v>28.571428571428559</v>
      </c>
      <c r="EO87" s="1">
        <v>57.142857142857117</v>
      </c>
      <c r="EP87" s="1">
        <v>0</v>
      </c>
      <c r="EQ87" s="1">
        <v>14.285714285714279</v>
      </c>
      <c r="ER87" s="1">
        <v>0</v>
      </c>
      <c r="ES87" s="1">
        <v>7</v>
      </c>
      <c r="ET87" s="1">
        <v>66.666666666666657</v>
      </c>
      <c r="EU87" s="1">
        <v>16.666666666666664</v>
      </c>
      <c r="EV87" s="1">
        <v>16.666666666666664</v>
      </c>
      <c r="EW87" s="1">
        <v>0</v>
      </c>
      <c r="EX87" s="1">
        <v>0</v>
      </c>
      <c r="EY87" s="1">
        <v>6</v>
      </c>
      <c r="EZ87" s="1">
        <v>75</v>
      </c>
      <c r="FA87" s="1">
        <v>0</v>
      </c>
      <c r="FB87" s="1">
        <v>25</v>
      </c>
      <c r="FC87" s="1">
        <v>0</v>
      </c>
      <c r="FD87" s="1">
        <v>0</v>
      </c>
      <c r="FE87" s="1">
        <v>4</v>
      </c>
      <c r="FF87" s="1">
        <v>66.666666666666657</v>
      </c>
      <c r="FG87" s="1">
        <v>0</v>
      </c>
      <c r="FH87" s="1">
        <v>33.333333333333329</v>
      </c>
      <c r="FI87" s="1">
        <v>0</v>
      </c>
      <c r="FJ87" s="1">
        <v>0</v>
      </c>
      <c r="FK87" s="1">
        <v>3</v>
      </c>
      <c r="FL87" s="1">
        <v>50</v>
      </c>
      <c r="FM87" s="1">
        <v>33.333333333333329</v>
      </c>
      <c r="FN87" s="1">
        <v>16.666666666666664</v>
      </c>
      <c r="FO87" s="1">
        <v>0</v>
      </c>
      <c r="FP87" s="1">
        <v>0</v>
      </c>
      <c r="FQ87" s="1">
        <v>6</v>
      </c>
      <c r="FR87" s="1">
        <v>28.571428571428559</v>
      </c>
      <c r="FS87" s="1">
        <v>42.85714285714284</v>
      </c>
      <c r="FT87" s="1">
        <v>14.285714285714279</v>
      </c>
      <c r="FU87" s="1">
        <v>0</v>
      </c>
      <c r="FV87" s="1">
        <v>14.285714285714279</v>
      </c>
      <c r="FW87" s="1">
        <v>7</v>
      </c>
      <c r="FX87" s="1">
        <v>90.909090909090892</v>
      </c>
      <c r="FY87" s="1">
        <v>0</v>
      </c>
      <c r="FZ87" s="1">
        <v>9.0909090909090917</v>
      </c>
      <c r="GA87" s="1">
        <v>0</v>
      </c>
      <c r="GB87" s="1">
        <v>0</v>
      </c>
      <c r="GC87" s="1">
        <v>11</v>
      </c>
      <c r="GD87" s="1">
        <v>85.71428571428568</v>
      </c>
      <c r="GE87" s="1">
        <v>14.285714285714279</v>
      </c>
      <c r="GF87" s="1">
        <v>0</v>
      </c>
      <c r="GG87" s="1">
        <v>0</v>
      </c>
      <c r="GH87" s="1">
        <v>0</v>
      </c>
      <c r="GI87" s="1">
        <v>7</v>
      </c>
      <c r="GJ87" s="1">
        <v>100</v>
      </c>
      <c r="GK87" s="1">
        <v>0</v>
      </c>
      <c r="GL87" s="1">
        <v>0</v>
      </c>
      <c r="GM87" s="1">
        <v>0</v>
      </c>
      <c r="GN87" s="1">
        <v>0</v>
      </c>
      <c r="GO87" s="1">
        <v>6</v>
      </c>
      <c r="GP87" s="1">
        <v>88.8888888888889</v>
      </c>
      <c r="GQ87" s="1">
        <v>11.111111111111112</v>
      </c>
      <c r="GR87" s="1">
        <v>0</v>
      </c>
      <c r="GS87" s="1">
        <v>0</v>
      </c>
      <c r="GT87" s="1">
        <v>0</v>
      </c>
      <c r="GU87" s="1">
        <v>9</v>
      </c>
      <c r="GV87" s="1">
        <v>100</v>
      </c>
      <c r="GW87" s="1">
        <v>0</v>
      </c>
      <c r="GX87" s="1">
        <v>0</v>
      </c>
      <c r="GY87" s="1">
        <v>0</v>
      </c>
      <c r="GZ87" s="1">
        <v>0</v>
      </c>
      <c r="HA87" s="1">
        <v>9</v>
      </c>
      <c r="HB87" s="1">
        <v>100</v>
      </c>
      <c r="HC87" s="1">
        <v>0</v>
      </c>
      <c r="HD87" s="1">
        <v>0</v>
      </c>
      <c r="HE87" s="1">
        <v>0</v>
      </c>
      <c r="HF87" s="1">
        <v>0</v>
      </c>
      <c r="HG87" s="1">
        <v>1</v>
      </c>
      <c r="HH87" s="1">
        <v>100</v>
      </c>
      <c r="HI87" s="1">
        <v>0</v>
      </c>
      <c r="HJ87" s="1">
        <v>0</v>
      </c>
      <c r="HK87" s="1">
        <v>0</v>
      </c>
      <c r="HL87" s="1">
        <v>0</v>
      </c>
      <c r="HM87" s="1">
        <v>2</v>
      </c>
      <c r="HN87" s="1">
        <v>0</v>
      </c>
      <c r="HO87" s="1">
        <v>0</v>
      </c>
      <c r="HP87" s="1">
        <v>0</v>
      </c>
      <c r="HQ87" s="1">
        <v>0</v>
      </c>
      <c r="HR87" s="1">
        <v>0</v>
      </c>
      <c r="HS87" s="1">
        <v>0</v>
      </c>
      <c r="HT87" s="1">
        <v>0</v>
      </c>
      <c r="HU87" s="1">
        <v>0</v>
      </c>
      <c r="HV87" s="1">
        <v>0</v>
      </c>
      <c r="HW87" s="1">
        <v>0</v>
      </c>
      <c r="HX87" s="1">
        <v>0</v>
      </c>
      <c r="HY87" s="1">
        <v>0</v>
      </c>
      <c r="HZ87" s="1">
        <v>0</v>
      </c>
      <c r="IA87" s="1">
        <v>0</v>
      </c>
      <c r="IB87" s="1">
        <v>0</v>
      </c>
      <c r="IC87" s="1">
        <v>0</v>
      </c>
      <c r="ID87" s="1">
        <v>0</v>
      </c>
      <c r="IE87" s="1">
        <v>0</v>
      </c>
      <c r="IF87" s="1">
        <v>9.3000000000000007</v>
      </c>
      <c r="IG87" s="1">
        <v>0</v>
      </c>
      <c r="IH87" s="1">
        <v>0</v>
      </c>
      <c r="II87" s="1">
        <v>0</v>
      </c>
      <c r="IJ87" s="1">
        <v>0</v>
      </c>
      <c r="IK87" s="1">
        <v>0</v>
      </c>
      <c r="IL87" s="1">
        <v>0</v>
      </c>
      <c r="IM87" s="1">
        <v>20.000000000000004</v>
      </c>
      <c r="IN87" s="1">
        <v>0</v>
      </c>
      <c r="IO87" s="1">
        <v>10.000000000000002</v>
      </c>
      <c r="IP87" s="1">
        <v>70.000000000000014</v>
      </c>
      <c r="IQ87" s="1">
        <v>9.3000000000000007</v>
      </c>
      <c r="IR87" s="1">
        <v>10</v>
      </c>
      <c r="IS87" s="1">
        <v>0</v>
      </c>
      <c r="IT87" s="1">
        <v>90.909090909090892</v>
      </c>
      <c r="IU87" s="1">
        <v>9.0909090909090917</v>
      </c>
      <c r="IV87" s="1">
        <v>0</v>
      </c>
      <c r="IW87" s="1">
        <v>0</v>
      </c>
      <c r="IX87" s="1">
        <v>11</v>
      </c>
      <c r="IY87" s="1">
        <v>1</v>
      </c>
      <c r="IZ87" s="1">
        <v>3.801200000000001</v>
      </c>
      <c r="JA87" s="1">
        <v>1.9006000000000005</v>
      </c>
      <c r="JB87" s="1">
        <v>0.38011999999999996</v>
      </c>
      <c r="JC87" s="1">
        <v>0</v>
      </c>
      <c r="JD87" s="1">
        <v>1.5204799999999998</v>
      </c>
      <c r="JE87" s="1">
        <v>0.50000000000000011</v>
      </c>
      <c r="JF87" s="1">
        <v>9.9999999999999992E-2</v>
      </c>
      <c r="JG87" s="1">
        <v>0</v>
      </c>
      <c r="JH87" s="1">
        <v>0.39999999999999997</v>
      </c>
      <c r="JI87" s="1">
        <v>1</v>
      </c>
      <c r="JJ87" s="1">
        <v>10</v>
      </c>
      <c r="JK87" s="1">
        <v>3.0909090909090908</v>
      </c>
      <c r="JL87" s="1">
        <v>3.0909090909090904</v>
      </c>
      <c r="JM87" s="1">
        <v>11</v>
      </c>
      <c r="JN87" s="1">
        <v>100</v>
      </c>
      <c r="JO87" s="1">
        <v>0</v>
      </c>
      <c r="JP87" s="1">
        <v>5</v>
      </c>
      <c r="JQ87" s="1">
        <v>100</v>
      </c>
      <c r="JR87" s="1">
        <v>0</v>
      </c>
      <c r="JS87" s="1">
        <v>8</v>
      </c>
      <c r="JT87" s="1">
        <v>100</v>
      </c>
      <c r="JU87" s="1">
        <v>0</v>
      </c>
      <c r="JV87" s="1">
        <v>11</v>
      </c>
      <c r="JW87" s="1">
        <v>100</v>
      </c>
      <c r="JX87" s="1">
        <v>0</v>
      </c>
      <c r="JY87" s="1">
        <v>10</v>
      </c>
      <c r="JZ87" s="1">
        <v>63.636363636363654</v>
      </c>
      <c r="KA87" s="1">
        <v>36.363636363636367</v>
      </c>
      <c r="KB87" s="1">
        <v>11</v>
      </c>
      <c r="KC87" s="1">
        <v>100</v>
      </c>
      <c r="KD87" s="1">
        <v>0</v>
      </c>
      <c r="KE87" s="1">
        <v>10</v>
      </c>
      <c r="KF87" s="1">
        <v>2.1818181818181817</v>
      </c>
      <c r="KG87" s="1">
        <v>54.545454545454547</v>
      </c>
      <c r="KH87" s="1">
        <v>9.0909090909090917</v>
      </c>
      <c r="KI87" s="1">
        <v>9.0909090909090917</v>
      </c>
      <c r="KJ87" s="1">
        <v>18.181818181818183</v>
      </c>
      <c r="KK87" s="1">
        <v>9.0909090909090917</v>
      </c>
      <c r="KL87" s="1">
        <v>11</v>
      </c>
      <c r="KM87" s="1">
        <v>38.636363636363633</v>
      </c>
      <c r="KN87" s="1">
        <v>142</v>
      </c>
      <c r="KO87" s="1">
        <v>0</v>
      </c>
      <c r="KP87" s="1">
        <v>0</v>
      </c>
      <c r="KQ87" s="1">
        <v>0</v>
      </c>
      <c r="KR87" s="1">
        <v>100</v>
      </c>
      <c r="KS87" s="1">
        <v>0</v>
      </c>
      <c r="KT87" s="1">
        <v>1</v>
      </c>
      <c r="KU87" s="1">
        <v>18.181818181818183</v>
      </c>
      <c r="KV87" s="1">
        <v>18.181818181818183</v>
      </c>
      <c r="KW87" s="1">
        <v>18.181818181818183</v>
      </c>
      <c r="KX87" s="1">
        <v>45.454545454545446</v>
      </c>
      <c r="KY87" s="1">
        <v>0</v>
      </c>
      <c r="KZ87" s="1">
        <v>11</v>
      </c>
      <c r="LA87" s="1">
        <v>27.272727272727273</v>
      </c>
      <c r="LB87" s="1">
        <v>72.727272727272734</v>
      </c>
      <c r="LC87" s="1">
        <v>11</v>
      </c>
      <c r="LD87" s="1">
        <v>0</v>
      </c>
      <c r="LE87" s="1">
        <v>0</v>
      </c>
      <c r="LF87" s="1">
        <v>100</v>
      </c>
      <c r="LG87" s="1">
        <v>3</v>
      </c>
    </row>
    <row r="88" spans="1:319" x14ac:dyDescent="0.25">
      <c r="A88" s="1">
        <v>422</v>
      </c>
      <c r="B88" s="1">
        <v>0</v>
      </c>
      <c r="C88" s="1">
        <v>100</v>
      </c>
      <c r="D88" s="1">
        <v>10</v>
      </c>
      <c r="E88" s="1">
        <v>39.999999999999993</v>
      </c>
      <c r="F88" s="1">
        <v>59.999999999999986</v>
      </c>
      <c r="G88" s="1">
        <v>10</v>
      </c>
      <c r="H88" s="1">
        <v>75</v>
      </c>
      <c r="I88" s="1">
        <v>25</v>
      </c>
      <c r="J88" s="1">
        <v>4</v>
      </c>
      <c r="K88" s="1">
        <v>1</v>
      </c>
      <c r="L88" s="1">
        <v>3.9346000000000005</v>
      </c>
      <c r="M88" s="1">
        <v>1.9673000000000003</v>
      </c>
      <c r="N88" s="1">
        <v>0</v>
      </c>
      <c r="O88" s="1">
        <v>0</v>
      </c>
      <c r="P88" s="1">
        <v>0</v>
      </c>
      <c r="Q88" s="1">
        <v>0</v>
      </c>
      <c r="R88" s="1">
        <v>0</v>
      </c>
      <c r="S88" s="1">
        <v>0.39346000000000003</v>
      </c>
      <c r="T88" s="1">
        <v>1.1803799999999998</v>
      </c>
      <c r="U88" s="1">
        <v>0.39346000000000003</v>
      </c>
      <c r="V88" s="1">
        <v>0.78692000000000006</v>
      </c>
      <c r="W88" s="1">
        <v>0.49999999999999989</v>
      </c>
      <c r="X88" s="1">
        <v>0</v>
      </c>
      <c r="Y88" s="1">
        <v>0</v>
      </c>
      <c r="Z88" s="1">
        <v>0</v>
      </c>
      <c r="AA88" s="1">
        <v>0</v>
      </c>
      <c r="AB88" s="1">
        <v>0</v>
      </c>
      <c r="AC88" s="1">
        <v>9.9999999999999978E-2</v>
      </c>
      <c r="AD88" s="1">
        <v>0.29999999999999988</v>
      </c>
      <c r="AE88" s="1">
        <v>9.9999999999999978E-2</v>
      </c>
      <c r="AF88" s="1">
        <v>0.19999999999999996</v>
      </c>
      <c r="AG88" s="1">
        <v>1</v>
      </c>
      <c r="AH88" s="1">
        <v>10</v>
      </c>
      <c r="AI88" s="1">
        <v>1</v>
      </c>
      <c r="AJ88" s="1">
        <v>3.9346000000000005</v>
      </c>
      <c r="AK88" s="1">
        <v>2.7542200000000001</v>
      </c>
      <c r="AL88" s="1">
        <v>3.9346000000000005</v>
      </c>
      <c r="AM88" s="1">
        <v>1.1803799999999998</v>
      </c>
      <c r="AN88" s="1">
        <v>2.7542200000000001</v>
      </c>
      <c r="AO88" s="1">
        <v>0</v>
      </c>
      <c r="AP88" s="1">
        <v>0.39346000000000003</v>
      </c>
      <c r="AQ88" s="1">
        <v>0.70000000000000007</v>
      </c>
      <c r="AR88" s="1">
        <v>1</v>
      </c>
      <c r="AS88" s="1">
        <v>0.29999999999999988</v>
      </c>
      <c r="AT88" s="1">
        <v>0.70000000000000007</v>
      </c>
      <c r="AU88" s="1">
        <v>0</v>
      </c>
      <c r="AV88" s="1">
        <v>9.9999999999999978E-2</v>
      </c>
      <c r="AW88" s="1">
        <v>1</v>
      </c>
      <c r="AX88" s="1">
        <v>10</v>
      </c>
      <c r="AY88" s="1">
        <v>9.8000000000000007</v>
      </c>
      <c r="AZ88" s="1">
        <v>10</v>
      </c>
      <c r="BA88" s="1">
        <v>10</v>
      </c>
      <c r="BB88" s="1">
        <v>0</v>
      </c>
      <c r="BC88" s="1">
        <v>0</v>
      </c>
      <c r="BD88" s="1">
        <v>0</v>
      </c>
      <c r="BE88" s="1">
        <v>0</v>
      </c>
      <c r="BF88" s="1">
        <v>0</v>
      </c>
      <c r="BG88" s="1">
        <v>0</v>
      </c>
      <c r="BH88" s="1">
        <v>0</v>
      </c>
      <c r="BI88" s="1">
        <v>9.9999999999999982</v>
      </c>
      <c r="BJ88" s="1">
        <v>0</v>
      </c>
      <c r="BK88" s="1">
        <v>90</v>
      </c>
      <c r="BL88" s="1">
        <v>9.7999999999999972</v>
      </c>
      <c r="BM88" s="1">
        <v>10</v>
      </c>
      <c r="BN88" s="1">
        <v>0</v>
      </c>
      <c r="BO88" s="1">
        <v>0</v>
      </c>
      <c r="BP88" s="1">
        <v>0</v>
      </c>
      <c r="BQ88" s="1">
        <v>0</v>
      </c>
      <c r="BR88" s="1">
        <v>0</v>
      </c>
      <c r="BS88" s="1">
        <v>0</v>
      </c>
      <c r="BT88" s="1">
        <v>0</v>
      </c>
      <c r="BU88" s="1">
        <v>0</v>
      </c>
      <c r="BV88" s="1">
        <v>0</v>
      </c>
      <c r="BW88" s="1">
        <v>100</v>
      </c>
      <c r="BX88" s="1">
        <v>10</v>
      </c>
      <c r="BY88" s="1">
        <v>10</v>
      </c>
      <c r="BZ88" s="1">
        <v>0</v>
      </c>
      <c r="CA88" s="1">
        <v>0</v>
      </c>
      <c r="CB88" s="1">
        <v>0</v>
      </c>
      <c r="CC88" s="1">
        <v>0</v>
      </c>
      <c r="CD88" s="1">
        <v>0</v>
      </c>
      <c r="CE88" s="1">
        <v>0</v>
      </c>
      <c r="CF88" s="1">
        <v>0</v>
      </c>
      <c r="CG88" s="1">
        <v>0</v>
      </c>
      <c r="CH88" s="1">
        <v>0</v>
      </c>
      <c r="CI88" s="1">
        <v>100</v>
      </c>
      <c r="CJ88" s="1">
        <v>10</v>
      </c>
      <c r="CK88" s="1">
        <v>10</v>
      </c>
      <c r="CL88" s="1">
        <v>19.999999999999996</v>
      </c>
      <c r="CM88" s="1">
        <v>49.999999999999993</v>
      </c>
      <c r="CN88" s="1">
        <v>0</v>
      </c>
      <c r="CO88" s="1">
        <v>19.999999999999996</v>
      </c>
      <c r="CP88" s="1">
        <v>9.9999999999999982</v>
      </c>
      <c r="CQ88" s="1">
        <v>10</v>
      </c>
      <c r="CR88" s="1">
        <v>77.777777777777786</v>
      </c>
      <c r="CS88" s="1">
        <v>11.111111111111111</v>
      </c>
      <c r="CT88" s="1">
        <v>11.111111111111111</v>
      </c>
      <c r="CU88" s="1">
        <v>0</v>
      </c>
      <c r="CV88" s="1">
        <v>0</v>
      </c>
      <c r="CW88" s="1">
        <v>9</v>
      </c>
      <c r="CX88" s="1">
        <v>59.999999999999986</v>
      </c>
      <c r="CY88" s="1">
        <v>29.999999999999993</v>
      </c>
      <c r="CZ88" s="1">
        <v>0</v>
      </c>
      <c r="DA88" s="1">
        <v>9.9999999999999982</v>
      </c>
      <c r="DB88" s="1">
        <v>0</v>
      </c>
      <c r="DC88" s="1">
        <v>10</v>
      </c>
      <c r="DD88" s="1">
        <v>59.999999999999986</v>
      </c>
      <c r="DE88" s="1">
        <v>29.999999999999993</v>
      </c>
      <c r="DF88" s="1">
        <v>9.9999999999999982</v>
      </c>
      <c r="DG88" s="1">
        <v>0</v>
      </c>
      <c r="DH88" s="1">
        <v>0</v>
      </c>
      <c r="DI88" s="1">
        <v>10</v>
      </c>
      <c r="DJ88" s="1">
        <v>55.555555555555543</v>
      </c>
      <c r="DK88" s="1">
        <v>22.222222222222221</v>
      </c>
      <c r="DL88" s="1">
        <v>22.222222222222221</v>
      </c>
      <c r="DM88" s="1">
        <v>0</v>
      </c>
      <c r="DN88" s="1">
        <v>0</v>
      </c>
      <c r="DO88" s="1">
        <v>9</v>
      </c>
      <c r="DP88" s="1">
        <v>59.999999999999986</v>
      </c>
      <c r="DQ88" s="1">
        <v>19.999999999999996</v>
      </c>
      <c r="DR88" s="1">
        <v>9.9999999999999982</v>
      </c>
      <c r="DS88" s="1">
        <v>9.9999999999999982</v>
      </c>
      <c r="DT88" s="1">
        <v>0</v>
      </c>
      <c r="DU88" s="1">
        <v>10</v>
      </c>
      <c r="DV88" s="1">
        <v>59.999999999999986</v>
      </c>
      <c r="DW88" s="1">
        <v>39.999999999999993</v>
      </c>
      <c r="DX88" s="1">
        <v>0</v>
      </c>
      <c r="DY88" s="1">
        <v>0</v>
      </c>
      <c r="DZ88" s="1">
        <v>0</v>
      </c>
      <c r="EA88" s="1">
        <v>10</v>
      </c>
      <c r="EB88" s="1">
        <v>100</v>
      </c>
      <c r="EC88" s="1">
        <v>0</v>
      </c>
      <c r="ED88" s="1">
        <v>0</v>
      </c>
      <c r="EE88" s="1">
        <v>0</v>
      </c>
      <c r="EF88" s="1">
        <v>0</v>
      </c>
      <c r="EG88" s="1">
        <v>4</v>
      </c>
      <c r="EH88" s="1">
        <v>66.666666666666643</v>
      </c>
      <c r="EI88" s="1">
        <v>33.333333333333321</v>
      </c>
      <c r="EJ88" s="1">
        <v>0</v>
      </c>
      <c r="EK88" s="1">
        <v>0</v>
      </c>
      <c r="EL88" s="1">
        <v>0</v>
      </c>
      <c r="EM88" s="1">
        <v>3</v>
      </c>
      <c r="EN88" s="1">
        <v>16.666666666666661</v>
      </c>
      <c r="EO88" s="1">
        <v>50</v>
      </c>
      <c r="EP88" s="1">
        <v>33.333333333333321</v>
      </c>
      <c r="EQ88" s="1">
        <v>0</v>
      </c>
      <c r="ER88" s="1">
        <v>0</v>
      </c>
      <c r="ES88" s="1">
        <v>6</v>
      </c>
      <c r="ET88" s="1">
        <v>16.666666666666661</v>
      </c>
      <c r="EU88" s="1">
        <v>50</v>
      </c>
      <c r="EV88" s="1">
        <v>33.333333333333321</v>
      </c>
      <c r="EW88" s="1">
        <v>0</v>
      </c>
      <c r="EX88" s="1">
        <v>0</v>
      </c>
      <c r="EY88" s="1">
        <v>6</v>
      </c>
      <c r="EZ88" s="1">
        <v>0</v>
      </c>
      <c r="FA88" s="1">
        <v>60.000000000000014</v>
      </c>
      <c r="FB88" s="1">
        <v>40</v>
      </c>
      <c r="FC88" s="1">
        <v>0</v>
      </c>
      <c r="FD88" s="1">
        <v>0</v>
      </c>
      <c r="FE88" s="1">
        <v>5</v>
      </c>
      <c r="FF88" s="1">
        <v>0</v>
      </c>
      <c r="FG88" s="1">
        <v>66.666666666666643</v>
      </c>
      <c r="FH88" s="1">
        <v>33.333333333333321</v>
      </c>
      <c r="FI88" s="1">
        <v>0</v>
      </c>
      <c r="FJ88" s="1">
        <v>0</v>
      </c>
      <c r="FK88" s="1">
        <v>3</v>
      </c>
      <c r="FL88" s="1">
        <v>0</v>
      </c>
      <c r="FM88" s="1">
        <v>75</v>
      </c>
      <c r="FN88" s="1">
        <v>25</v>
      </c>
      <c r="FO88" s="1">
        <v>0</v>
      </c>
      <c r="FP88" s="1">
        <v>0</v>
      </c>
      <c r="FQ88" s="1">
        <v>4</v>
      </c>
      <c r="FR88" s="1">
        <v>66.666666666666643</v>
      </c>
      <c r="FS88" s="1">
        <v>33.333333333333321</v>
      </c>
      <c r="FT88" s="1">
        <v>0</v>
      </c>
      <c r="FU88" s="1">
        <v>0</v>
      </c>
      <c r="FV88" s="1">
        <v>0</v>
      </c>
      <c r="FW88" s="1">
        <v>3</v>
      </c>
      <c r="FX88" s="1">
        <v>90</v>
      </c>
      <c r="FY88" s="1">
        <v>9.9999999999999982</v>
      </c>
      <c r="FZ88" s="1">
        <v>0</v>
      </c>
      <c r="GA88" s="1">
        <v>0</v>
      </c>
      <c r="GB88" s="1">
        <v>0</v>
      </c>
      <c r="GC88" s="1">
        <v>10</v>
      </c>
      <c r="GD88" s="1">
        <v>100</v>
      </c>
      <c r="GE88" s="1">
        <v>0</v>
      </c>
      <c r="GF88" s="1">
        <v>0</v>
      </c>
      <c r="GG88" s="1">
        <v>0</v>
      </c>
      <c r="GH88" s="1">
        <v>0</v>
      </c>
      <c r="GI88" s="1">
        <v>1</v>
      </c>
      <c r="GJ88" s="1">
        <v>100</v>
      </c>
      <c r="GK88" s="1">
        <v>0</v>
      </c>
      <c r="GL88" s="1">
        <v>0</v>
      </c>
      <c r="GM88" s="1">
        <v>0</v>
      </c>
      <c r="GN88" s="1">
        <v>0</v>
      </c>
      <c r="GO88" s="1">
        <v>1</v>
      </c>
      <c r="GP88" s="1">
        <v>60.000000000000014</v>
      </c>
      <c r="GQ88" s="1">
        <v>40</v>
      </c>
      <c r="GR88" s="1">
        <v>0</v>
      </c>
      <c r="GS88" s="1">
        <v>0</v>
      </c>
      <c r="GT88" s="1">
        <v>0</v>
      </c>
      <c r="GU88" s="1">
        <v>5</v>
      </c>
      <c r="GV88" s="1">
        <v>83.333333333333343</v>
      </c>
      <c r="GW88" s="1">
        <v>16.666666666666661</v>
      </c>
      <c r="GX88" s="1">
        <v>0</v>
      </c>
      <c r="GY88" s="1">
        <v>0</v>
      </c>
      <c r="GZ88" s="1">
        <v>0</v>
      </c>
      <c r="HA88" s="1">
        <v>6</v>
      </c>
      <c r="HB88" s="1">
        <v>0</v>
      </c>
      <c r="HC88" s="1">
        <v>0</v>
      </c>
      <c r="HD88" s="1">
        <v>0</v>
      </c>
      <c r="HE88" s="1">
        <v>100</v>
      </c>
      <c r="HF88" s="1">
        <v>0</v>
      </c>
      <c r="HG88" s="1">
        <v>1</v>
      </c>
      <c r="HH88" s="1">
        <v>0</v>
      </c>
      <c r="HI88" s="1">
        <v>0</v>
      </c>
      <c r="HJ88" s="1">
        <v>0</v>
      </c>
      <c r="HK88" s="1">
        <v>0</v>
      </c>
      <c r="HL88" s="1">
        <v>0</v>
      </c>
      <c r="HM88" s="1">
        <v>0</v>
      </c>
      <c r="HN88" s="1">
        <v>0</v>
      </c>
      <c r="HO88" s="1">
        <v>0</v>
      </c>
      <c r="HP88" s="1">
        <v>0</v>
      </c>
      <c r="HQ88" s="1">
        <v>0</v>
      </c>
      <c r="HR88" s="1">
        <v>0</v>
      </c>
      <c r="HS88" s="1">
        <v>0</v>
      </c>
      <c r="HT88" s="1">
        <v>0</v>
      </c>
      <c r="HU88" s="1">
        <v>0</v>
      </c>
      <c r="HV88" s="1">
        <v>0</v>
      </c>
      <c r="HW88" s="1">
        <v>0</v>
      </c>
      <c r="HX88" s="1">
        <v>0</v>
      </c>
      <c r="HY88" s="1">
        <v>0</v>
      </c>
      <c r="HZ88" s="1">
        <v>0</v>
      </c>
      <c r="IA88" s="1">
        <v>0</v>
      </c>
      <c r="IB88" s="1">
        <v>0</v>
      </c>
      <c r="IC88" s="1">
        <v>0</v>
      </c>
      <c r="ID88" s="1">
        <v>0</v>
      </c>
      <c r="IE88" s="1">
        <v>0</v>
      </c>
      <c r="IF88" s="1">
        <v>9.1</v>
      </c>
      <c r="IG88" s="1">
        <v>0</v>
      </c>
      <c r="IH88" s="1">
        <v>0</v>
      </c>
      <c r="II88" s="1">
        <v>0</v>
      </c>
      <c r="IJ88" s="1">
        <v>0</v>
      </c>
      <c r="IK88" s="1">
        <v>0</v>
      </c>
      <c r="IL88" s="1">
        <v>0</v>
      </c>
      <c r="IM88" s="1">
        <v>9.9999999999999982</v>
      </c>
      <c r="IN88" s="1">
        <v>9.9999999999999982</v>
      </c>
      <c r="IO88" s="1">
        <v>39.999999999999993</v>
      </c>
      <c r="IP88" s="1">
        <v>39.999999999999993</v>
      </c>
      <c r="IQ88" s="1">
        <v>9.0999999999999961</v>
      </c>
      <c r="IR88" s="1">
        <v>10</v>
      </c>
      <c r="IS88" s="1">
        <v>19.999999999999996</v>
      </c>
      <c r="IT88" s="1">
        <v>49.999999999999993</v>
      </c>
      <c r="IU88" s="1">
        <v>9.9999999999999982</v>
      </c>
      <c r="IV88" s="1">
        <v>9.9999999999999982</v>
      </c>
      <c r="IW88" s="1">
        <v>9.9999999999999982</v>
      </c>
      <c r="IX88" s="1">
        <v>10</v>
      </c>
      <c r="IY88" s="1">
        <v>1</v>
      </c>
      <c r="IZ88" s="1">
        <v>3.9346000000000005</v>
      </c>
      <c r="JA88" s="1">
        <v>1.9673000000000003</v>
      </c>
      <c r="JB88" s="1">
        <v>0.78692000000000006</v>
      </c>
      <c r="JC88" s="1">
        <v>0</v>
      </c>
      <c r="JD88" s="1">
        <v>1.1803799999999998</v>
      </c>
      <c r="JE88" s="1">
        <v>0.49999999999999989</v>
      </c>
      <c r="JF88" s="1">
        <v>0.19999999999999996</v>
      </c>
      <c r="JG88" s="1">
        <v>0</v>
      </c>
      <c r="JH88" s="1">
        <v>0.29999999999999988</v>
      </c>
      <c r="JI88" s="1">
        <v>1</v>
      </c>
      <c r="JJ88" s="1">
        <v>10</v>
      </c>
      <c r="JK88" s="1">
        <v>2.9</v>
      </c>
      <c r="JL88" s="1">
        <v>2.899999999999999</v>
      </c>
      <c r="JM88" s="1">
        <v>10</v>
      </c>
      <c r="JN88" s="1">
        <v>66.666666666666643</v>
      </c>
      <c r="JO88" s="1">
        <v>33.333333333333321</v>
      </c>
      <c r="JP88" s="1">
        <v>6</v>
      </c>
      <c r="JQ88" s="1">
        <v>100</v>
      </c>
      <c r="JR88" s="1">
        <v>0</v>
      </c>
      <c r="JS88" s="1">
        <v>4</v>
      </c>
      <c r="JT88" s="1">
        <v>100</v>
      </c>
      <c r="JU88" s="1">
        <v>0</v>
      </c>
      <c r="JV88" s="1">
        <v>10</v>
      </c>
      <c r="JW88" s="1">
        <v>83.333333333333343</v>
      </c>
      <c r="JX88" s="1">
        <v>16.666666666666661</v>
      </c>
      <c r="JY88" s="1">
        <v>6</v>
      </c>
      <c r="JZ88" s="1">
        <v>70</v>
      </c>
      <c r="KA88" s="1">
        <v>29.999999999999993</v>
      </c>
      <c r="KB88" s="1">
        <v>10</v>
      </c>
      <c r="KC88" s="1">
        <v>100</v>
      </c>
      <c r="KD88" s="1">
        <v>0</v>
      </c>
      <c r="KE88" s="1">
        <v>10</v>
      </c>
      <c r="KF88" s="1">
        <v>2.2000000000000002</v>
      </c>
      <c r="KG88" s="1">
        <v>19.999999999999996</v>
      </c>
      <c r="KH88" s="1">
        <v>49.999999999999993</v>
      </c>
      <c r="KI88" s="1">
        <v>19.999999999999996</v>
      </c>
      <c r="KJ88" s="1">
        <v>9.9999999999999982</v>
      </c>
      <c r="KK88" s="1">
        <v>0</v>
      </c>
      <c r="KL88" s="1">
        <v>10</v>
      </c>
      <c r="KM88" s="1">
        <v>38.899999999999984</v>
      </c>
      <c r="KN88" s="1">
        <v>14</v>
      </c>
      <c r="KO88" s="1">
        <v>0</v>
      </c>
      <c r="KP88" s="1">
        <v>50</v>
      </c>
      <c r="KQ88" s="1">
        <v>50</v>
      </c>
      <c r="KR88" s="1">
        <v>0</v>
      </c>
      <c r="KS88" s="1">
        <v>0</v>
      </c>
      <c r="KT88" s="1">
        <v>2</v>
      </c>
      <c r="KU88" s="1">
        <v>19.999999999999996</v>
      </c>
      <c r="KV88" s="1">
        <v>0</v>
      </c>
      <c r="KW88" s="1">
        <v>0</v>
      </c>
      <c r="KX88" s="1">
        <v>80</v>
      </c>
      <c r="KY88" s="1">
        <v>0</v>
      </c>
      <c r="KZ88" s="1">
        <v>10</v>
      </c>
      <c r="LA88" s="1">
        <v>9.9999999999999982</v>
      </c>
      <c r="LB88" s="1">
        <v>90</v>
      </c>
      <c r="LC88" s="1">
        <v>10</v>
      </c>
      <c r="LD88" s="1">
        <v>0</v>
      </c>
      <c r="LE88" s="1">
        <v>0</v>
      </c>
      <c r="LF88" s="1">
        <v>100</v>
      </c>
      <c r="LG88" s="1">
        <v>1</v>
      </c>
    </row>
    <row r="89" spans="1:319" x14ac:dyDescent="0.25">
      <c r="A89" s="1">
        <v>551</v>
      </c>
      <c r="B89" s="1">
        <v>23.07692307692307</v>
      </c>
      <c r="C89" s="1">
        <v>76.923076923076977</v>
      </c>
      <c r="D89" s="1">
        <v>39</v>
      </c>
      <c r="E89" s="1">
        <v>68.965517241379288</v>
      </c>
      <c r="F89" s="1">
        <v>31.03448275862069</v>
      </c>
      <c r="G89" s="1">
        <v>29</v>
      </c>
      <c r="H89" s="1">
        <v>25.000000000000007</v>
      </c>
      <c r="I89" s="1">
        <v>75.000000000000014</v>
      </c>
      <c r="J89" s="1">
        <v>16</v>
      </c>
      <c r="K89" s="1">
        <v>1</v>
      </c>
      <c r="L89" s="1">
        <v>35.042280000000041</v>
      </c>
      <c r="M89" s="1">
        <v>11.680760000000006</v>
      </c>
      <c r="N89" s="1">
        <v>19.767439999999993</v>
      </c>
      <c r="O89" s="1">
        <v>0.89852000000000032</v>
      </c>
      <c r="P89" s="1">
        <v>0</v>
      </c>
      <c r="Q89" s="1">
        <v>7.1881600000000025</v>
      </c>
      <c r="R89" s="1">
        <v>0</v>
      </c>
      <c r="S89" s="1">
        <v>0.89852000000000032</v>
      </c>
      <c r="T89" s="1">
        <v>4.4926000000000004</v>
      </c>
      <c r="U89" s="1">
        <v>2.69556</v>
      </c>
      <c r="V89" s="1">
        <v>2.69556</v>
      </c>
      <c r="W89" s="1">
        <v>0.33333333333333337</v>
      </c>
      <c r="X89" s="1">
        <v>0.56410256410256332</v>
      </c>
      <c r="Y89" s="1">
        <v>2.5641025641025637E-2</v>
      </c>
      <c r="Z89" s="1">
        <v>0</v>
      </c>
      <c r="AA89" s="1">
        <v>0.20512820512820509</v>
      </c>
      <c r="AB89" s="1">
        <v>0</v>
      </c>
      <c r="AC89" s="1">
        <v>2.5641025641025637E-2</v>
      </c>
      <c r="AD89" s="1">
        <v>0.12820512820512808</v>
      </c>
      <c r="AE89" s="1">
        <v>7.6923076923076941E-2</v>
      </c>
      <c r="AF89" s="1">
        <v>7.6923076923076941E-2</v>
      </c>
      <c r="AG89" s="1">
        <v>1</v>
      </c>
      <c r="AH89" s="1">
        <v>39</v>
      </c>
      <c r="AI89" s="1">
        <v>1</v>
      </c>
      <c r="AJ89" s="1">
        <v>34.143760000000007</v>
      </c>
      <c r="AK89" s="1">
        <v>19.767439999999993</v>
      </c>
      <c r="AL89" s="1">
        <v>28.752640000000028</v>
      </c>
      <c r="AM89" s="1">
        <v>16.173359999999999</v>
      </c>
      <c r="AN89" s="1">
        <v>19.767439999999993</v>
      </c>
      <c r="AO89" s="1">
        <v>0</v>
      </c>
      <c r="AP89" s="1">
        <v>2.69556</v>
      </c>
      <c r="AQ89" s="1">
        <v>0.57894736842105232</v>
      </c>
      <c r="AR89" s="1">
        <v>0.84210526315789447</v>
      </c>
      <c r="AS89" s="1">
        <v>0.47368421052631515</v>
      </c>
      <c r="AT89" s="1">
        <v>0.57894736842105232</v>
      </c>
      <c r="AU89" s="1">
        <v>0</v>
      </c>
      <c r="AV89" s="1">
        <v>7.8947368421052641E-2</v>
      </c>
      <c r="AW89" s="1">
        <v>1</v>
      </c>
      <c r="AX89" s="1">
        <v>38</v>
      </c>
      <c r="AY89" s="1">
        <v>9.9487179487179489</v>
      </c>
      <c r="AZ89" s="1">
        <v>9.9230769230769234</v>
      </c>
      <c r="BA89" s="1">
        <v>9.9473684210526319</v>
      </c>
      <c r="BB89" s="1">
        <v>0</v>
      </c>
      <c r="BC89" s="1">
        <v>0</v>
      </c>
      <c r="BD89" s="1">
        <v>0</v>
      </c>
      <c r="BE89" s="1">
        <v>0</v>
      </c>
      <c r="BF89" s="1">
        <v>0</v>
      </c>
      <c r="BG89" s="1">
        <v>0</v>
      </c>
      <c r="BH89" s="1">
        <v>0</v>
      </c>
      <c r="BI89" s="1">
        <v>2.5641025641025652</v>
      </c>
      <c r="BJ89" s="1">
        <v>0</v>
      </c>
      <c r="BK89" s="1">
        <v>97.435897435897445</v>
      </c>
      <c r="BL89" s="1">
        <v>9.9487179487179525</v>
      </c>
      <c r="BM89" s="1">
        <v>39</v>
      </c>
      <c r="BN89" s="1">
        <v>0</v>
      </c>
      <c r="BO89" s="1">
        <v>0</v>
      </c>
      <c r="BP89" s="1">
        <v>0</v>
      </c>
      <c r="BQ89" s="1">
        <v>0</v>
      </c>
      <c r="BR89" s="1">
        <v>0</v>
      </c>
      <c r="BS89" s="1">
        <v>0</v>
      </c>
      <c r="BT89" s="1">
        <v>0</v>
      </c>
      <c r="BU89" s="1">
        <v>2.5641025641025652</v>
      </c>
      <c r="BV89" s="1">
        <v>2.5641025641025652</v>
      </c>
      <c r="BW89" s="1">
        <v>94.871794871794904</v>
      </c>
      <c r="BX89" s="1">
        <v>9.9230769230769198</v>
      </c>
      <c r="BY89" s="1">
        <v>39</v>
      </c>
      <c r="BZ89" s="1">
        <v>0</v>
      </c>
      <c r="CA89" s="1">
        <v>0</v>
      </c>
      <c r="CB89" s="1">
        <v>0</v>
      </c>
      <c r="CC89" s="1">
        <v>0</v>
      </c>
      <c r="CD89" s="1">
        <v>0</v>
      </c>
      <c r="CE89" s="1">
        <v>0</v>
      </c>
      <c r="CF89" s="1">
        <v>0</v>
      </c>
      <c r="CG89" s="1">
        <v>0</v>
      </c>
      <c r="CH89" s="1">
        <v>5.2631578947368425</v>
      </c>
      <c r="CI89" s="1">
        <v>94.736842105263236</v>
      </c>
      <c r="CJ89" s="1">
        <v>9.9473684210526194</v>
      </c>
      <c r="CK89" s="1">
        <v>38</v>
      </c>
      <c r="CL89" s="1">
        <v>57.894736842105232</v>
      </c>
      <c r="CM89" s="1">
        <v>36.842105263157897</v>
      </c>
      <c r="CN89" s="1">
        <v>5.2631578947368425</v>
      </c>
      <c r="CO89" s="1">
        <v>0</v>
      </c>
      <c r="CP89" s="1">
        <v>0</v>
      </c>
      <c r="CQ89" s="1">
        <v>38</v>
      </c>
      <c r="CR89" s="1">
        <v>89.743589743589808</v>
      </c>
      <c r="CS89" s="1">
        <v>7.6923076923076854</v>
      </c>
      <c r="CT89" s="1">
        <v>2.5641025641025652</v>
      </c>
      <c r="CU89" s="1">
        <v>0</v>
      </c>
      <c r="CV89" s="1">
        <v>0</v>
      </c>
      <c r="CW89" s="1">
        <v>39</v>
      </c>
      <c r="CX89" s="1">
        <v>79.487179487179532</v>
      </c>
      <c r="CY89" s="1">
        <v>20.512820512820518</v>
      </c>
      <c r="CZ89" s="1">
        <v>0</v>
      </c>
      <c r="DA89" s="1">
        <v>0</v>
      </c>
      <c r="DB89" s="1">
        <v>0</v>
      </c>
      <c r="DC89" s="1">
        <v>39</v>
      </c>
      <c r="DD89" s="1">
        <v>92.307692307692363</v>
      </c>
      <c r="DE89" s="1">
        <v>7.6923076923076854</v>
      </c>
      <c r="DF89" s="1">
        <v>0</v>
      </c>
      <c r="DG89" s="1">
        <v>0</v>
      </c>
      <c r="DH89" s="1">
        <v>0</v>
      </c>
      <c r="DI89" s="1">
        <v>39</v>
      </c>
      <c r="DJ89" s="1">
        <v>72.727272727272677</v>
      </c>
      <c r="DK89" s="1">
        <v>24.242424242424242</v>
      </c>
      <c r="DL89" s="1">
        <v>3.0303030303030303</v>
      </c>
      <c r="DM89" s="1">
        <v>0</v>
      </c>
      <c r="DN89" s="1">
        <v>0</v>
      </c>
      <c r="DO89" s="1">
        <v>33</v>
      </c>
      <c r="DP89" s="1">
        <v>88.888888888888815</v>
      </c>
      <c r="DQ89" s="1">
        <v>11.111111111111098</v>
      </c>
      <c r="DR89" s="1">
        <v>0</v>
      </c>
      <c r="DS89" s="1">
        <v>0</v>
      </c>
      <c r="DT89" s="1">
        <v>0</v>
      </c>
      <c r="DU89" s="1">
        <v>36</v>
      </c>
      <c r="DV89" s="1">
        <v>84.848484848484873</v>
      </c>
      <c r="DW89" s="1">
        <v>12.121212121212121</v>
      </c>
      <c r="DX89" s="1">
        <v>0</v>
      </c>
      <c r="DY89" s="1">
        <v>3.0303030303030303</v>
      </c>
      <c r="DZ89" s="1">
        <v>0</v>
      </c>
      <c r="EA89" s="1">
        <v>33</v>
      </c>
      <c r="EB89" s="1">
        <v>77.777777777777814</v>
      </c>
      <c r="EC89" s="1">
        <v>11.111111111111104</v>
      </c>
      <c r="ED89" s="1">
        <v>11.111111111111104</v>
      </c>
      <c r="EE89" s="1">
        <v>0</v>
      </c>
      <c r="EF89" s="1">
        <v>0</v>
      </c>
      <c r="EG89" s="1">
        <v>9</v>
      </c>
      <c r="EH89" s="1">
        <v>50.000000000000007</v>
      </c>
      <c r="EI89" s="1">
        <v>16.666666666666668</v>
      </c>
      <c r="EJ89" s="1">
        <v>33.333333333333336</v>
      </c>
      <c r="EK89" s="1">
        <v>0</v>
      </c>
      <c r="EL89" s="1">
        <v>0</v>
      </c>
      <c r="EM89" s="1">
        <v>6</v>
      </c>
      <c r="EN89" s="1">
        <v>64.70588235294116</v>
      </c>
      <c r="EO89" s="1">
        <v>23.52941176470588</v>
      </c>
      <c r="EP89" s="1">
        <v>11.76470588235294</v>
      </c>
      <c r="EQ89" s="1">
        <v>0</v>
      </c>
      <c r="ER89" s="1">
        <v>0</v>
      </c>
      <c r="ES89" s="1">
        <v>17</v>
      </c>
      <c r="ET89" s="1">
        <v>52.631578947368382</v>
      </c>
      <c r="EU89" s="1">
        <v>42.105263157894747</v>
      </c>
      <c r="EV89" s="1">
        <v>5.2631578947368478</v>
      </c>
      <c r="EW89" s="1">
        <v>0</v>
      </c>
      <c r="EX89" s="1">
        <v>0</v>
      </c>
      <c r="EY89" s="1">
        <v>19</v>
      </c>
      <c r="EZ89" s="1">
        <v>27.272727272727263</v>
      </c>
      <c r="FA89" s="1">
        <v>72.727272727272677</v>
      </c>
      <c r="FB89" s="1">
        <v>0</v>
      </c>
      <c r="FC89" s="1">
        <v>0</v>
      </c>
      <c r="FD89" s="1">
        <v>0</v>
      </c>
      <c r="FE89" s="1">
        <v>11</v>
      </c>
      <c r="FF89" s="1">
        <v>50.000000000000007</v>
      </c>
      <c r="FG89" s="1">
        <v>41.666666666666693</v>
      </c>
      <c r="FH89" s="1">
        <v>0</v>
      </c>
      <c r="FI89" s="1">
        <v>0</v>
      </c>
      <c r="FJ89" s="1">
        <v>8.3333333333333339</v>
      </c>
      <c r="FK89" s="1">
        <v>12</v>
      </c>
      <c r="FL89" s="1">
        <v>66.666666666666657</v>
      </c>
      <c r="FM89" s="1">
        <v>8.3333333333333339</v>
      </c>
      <c r="FN89" s="1">
        <v>0</v>
      </c>
      <c r="FO89" s="1">
        <v>0</v>
      </c>
      <c r="FP89" s="1">
        <v>25.000000000000004</v>
      </c>
      <c r="FQ89" s="1">
        <v>12</v>
      </c>
      <c r="FR89" s="1">
        <v>44.444444444444414</v>
      </c>
      <c r="FS89" s="1">
        <v>22.222222222222207</v>
      </c>
      <c r="FT89" s="1">
        <v>11.111111111111104</v>
      </c>
      <c r="FU89" s="1">
        <v>0</v>
      </c>
      <c r="FV89" s="1">
        <v>22.222222222222207</v>
      </c>
      <c r="FW89" s="1">
        <v>9</v>
      </c>
      <c r="FX89" s="1">
        <v>97.435897435897445</v>
      </c>
      <c r="FY89" s="1">
        <v>2.5641025641025652</v>
      </c>
      <c r="FZ89" s="1">
        <v>0</v>
      </c>
      <c r="GA89" s="1">
        <v>0</v>
      </c>
      <c r="GB89" s="1">
        <v>0</v>
      </c>
      <c r="GC89" s="1">
        <v>39</v>
      </c>
      <c r="GD89" s="1">
        <v>88.235294117646973</v>
      </c>
      <c r="GE89" s="1">
        <v>11.76470588235294</v>
      </c>
      <c r="GF89" s="1">
        <v>0</v>
      </c>
      <c r="GG89" s="1">
        <v>0</v>
      </c>
      <c r="GH89" s="1">
        <v>0</v>
      </c>
      <c r="GI89" s="1">
        <v>17</v>
      </c>
      <c r="GJ89" s="1">
        <v>80.952380952380878</v>
      </c>
      <c r="GK89" s="1">
        <v>19.04761904761904</v>
      </c>
      <c r="GL89" s="1">
        <v>0</v>
      </c>
      <c r="GM89" s="1">
        <v>0</v>
      </c>
      <c r="GN89" s="1">
        <v>0</v>
      </c>
      <c r="GO89" s="1">
        <v>21</v>
      </c>
      <c r="GP89" s="1">
        <v>72.413793103448242</v>
      </c>
      <c r="GQ89" s="1">
        <v>27.586206896551719</v>
      </c>
      <c r="GR89" s="1">
        <v>0</v>
      </c>
      <c r="GS89" s="1">
        <v>0</v>
      </c>
      <c r="GT89" s="1">
        <v>0</v>
      </c>
      <c r="GU89" s="1">
        <v>29</v>
      </c>
      <c r="GV89" s="1">
        <v>92.592592592592595</v>
      </c>
      <c r="GW89" s="1">
        <v>7.4074074074074092</v>
      </c>
      <c r="GX89" s="1">
        <v>0</v>
      </c>
      <c r="GY89" s="1">
        <v>0</v>
      </c>
      <c r="GZ89" s="1">
        <v>0</v>
      </c>
      <c r="HA89" s="1">
        <v>27</v>
      </c>
      <c r="HB89" s="1">
        <v>80.000000000000014</v>
      </c>
      <c r="HC89" s="1">
        <v>20.000000000000004</v>
      </c>
      <c r="HD89" s="1">
        <v>0</v>
      </c>
      <c r="HE89" s="1">
        <v>0</v>
      </c>
      <c r="HF89" s="1">
        <v>0</v>
      </c>
      <c r="HG89" s="1">
        <v>5</v>
      </c>
      <c r="HH89" s="1">
        <v>50.000000000000007</v>
      </c>
      <c r="HI89" s="1">
        <v>37.500000000000007</v>
      </c>
      <c r="HJ89" s="1">
        <v>0</v>
      </c>
      <c r="HK89" s="1">
        <v>12.500000000000002</v>
      </c>
      <c r="HL89" s="1">
        <v>0</v>
      </c>
      <c r="HM89" s="1">
        <v>8</v>
      </c>
      <c r="HN89" s="1">
        <v>0</v>
      </c>
      <c r="HO89" s="1">
        <v>0</v>
      </c>
      <c r="HP89" s="1">
        <v>0</v>
      </c>
      <c r="HQ89" s="1">
        <v>0</v>
      </c>
      <c r="HR89" s="1">
        <v>0</v>
      </c>
      <c r="HS89" s="1">
        <v>0</v>
      </c>
      <c r="HT89" s="1">
        <v>0</v>
      </c>
      <c r="HU89" s="1">
        <v>0</v>
      </c>
      <c r="HV89" s="1">
        <v>0</v>
      </c>
      <c r="HW89" s="1">
        <v>0</v>
      </c>
      <c r="HX89" s="1">
        <v>0</v>
      </c>
      <c r="HY89" s="1">
        <v>0</v>
      </c>
      <c r="HZ89" s="1">
        <v>0</v>
      </c>
      <c r="IA89" s="1">
        <v>0</v>
      </c>
      <c r="IB89" s="1">
        <v>0</v>
      </c>
      <c r="IC89" s="1">
        <v>0</v>
      </c>
      <c r="ID89" s="1">
        <v>0</v>
      </c>
      <c r="IE89" s="1">
        <v>0</v>
      </c>
      <c r="IF89" s="1">
        <v>9.5</v>
      </c>
      <c r="IG89" s="1">
        <v>0</v>
      </c>
      <c r="IH89" s="1">
        <v>0</v>
      </c>
      <c r="II89" s="1">
        <v>0</v>
      </c>
      <c r="IJ89" s="1">
        <v>0</v>
      </c>
      <c r="IK89" s="1">
        <v>0</v>
      </c>
      <c r="IL89" s="1">
        <v>0</v>
      </c>
      <c r="IM89" s="1">
        <v>0</v>
      </c>
      <c r="IN89" s="1">
        <v>13.888888888888873</v>
      </c>
      <c r="IO89" s="1">
        <v>22.222222222222197</v>
      </c>
      <c r="IP89" s="1">
        <v>63.888888888888836</v>
      </c>
      <c r="IQ89" s="1">
        <v>9.4999999999999982</v>
      </c>
      <c r="IR89" s="1">
        <v>36</v>
      </c>
      <c r="IS89" s="1">
        <v>30.555555555555522</v>
      </c>
      <c r="IT89" s="1">
        <v>22.222222222222197</v>
      </c>
      <c r="IU89" s="1">
        <v>47.222222222222179</v>
      </c>
      <c r="IV89" s="1">
        <v>0</v>
      </c>
      <c r="IW89" s="1">
        <v>0</v>
      </c>
      <c r="IX89" s="1">
        <v>36</v>
      </c>
      <c r="IY89" s="1">
        <v>1</v>
      </c>
      <c r="IZ89" s="1">
        <v>32.346720000000012</v>
      </c>
      <c r="JA89" s="1">
        <v>17.071879999999997</v>
      </c>
      <c r="JB89" s="1">
        <v>5.3911199999999999</v>
      </c>
      <c r="JC89" s="1">
        <v>5.3911199999999999</v>
      </c>
      <c r="JD89" s="1">
        <v>7.1881600000000025</v>
      </c>
      <c r="JE89" s="1">
        <v>0.52777777777777746</v>
      </c>
      <c r="JF89" s="1">
        <v>0.16666666666666669</v>
      </c>
      <c r="JG89" s="1">
        <v>0.16666666666666669</v>
      </c>
      <c r="JH89" s="1">
        <v>0.22222222222222213</v>
      </c>
      <c r="JI89" s="1">
        <v>1</v>
      </c>
      <c r="JJ89" s="1">
        <v>36</v>
      </c>
      <c r="JK89" s="1">
        <v>1.7222222222222223</v>
      </c>
      <c r="JL89" s="1">
        <v>1.722222222222221</v>
      </c>
      <c r="JM89" s="1">
        <v>36</v>
      </c>
      <c r="JN89" s="1">
        <v>84.615384615384656</v>
      </c>
      <c r="JO89" s="1">
        <v>15.384615384615396</v>
      </c>
      <c r="JP89" s="1">
        <v>13</v>
      </c>
      <c r="JQ89" s="1">
        <v>91.666666666666615</v>
      </c>
      <c r="JR89" s="1">
        <v>8.3333333333333339</v>
      </c>
      <c r="JS89" s="1">
        <v>12</v>
      </c>
      <c r="JT89" s="1">
        <v>97.058823529411725</v>
      </c>
      <c r="JU89" s="1">
        <v>2.9411764705882324</v>
      </c>
      <c r="JV89" s="1">
        <v>34</v>
      </c>
      <c r="JW89" s="1">
        <v>89.473684210526258</v>
      </c>
      <c r="JX89" s="1">
        <v>10.526315789473696</v>
      </c>
      <c r="JY89" s="1">
        <v>19</v>
      </c>
      <c r="JZ89" s="1">
        <v>54.054054054053999</v>
      </c>
      <c r="KA89" s="1">
        <v>45.94594594594588</v>
      </c>
      <c r="KB89" s="1">
        <v>37</v>
      </c>
      <c r="KC89" s="1">
        <v>100</v>
      </c>
      <c r="KD89" s="1">
        <v>0</v>
      </c>
      <c r="KE89" s="1">
        <v>35</v>
      </c>
      <c r="KF89" s="1">
        <v>2.3333333333333335</v>
      </c>
      <c r="KG89" s="1">
        <v>29.999999999999993</v>
      </c>
      <c r="KH89" s="1">
        <v>26.666666666666636</v>
      </c>
      <c r="KI89" s="1">
        <v>29.999999999999993</v>
      </c>
      <c r="KJ89" s="1">
        <v>6.666666666666659</v>
      </c>
      <c r="KK89" s="1">
        <v>6.666666666666659</v>
      </c>
      <c r="KL89" s="1">
        <v>30</v>
      </c>
      <c r="KM89" s="1">
        <v>40.733333333333341</v>
      </c>
      <c r="KN89" s="1">
        <v>60</v>
      </c>
      <c r="KO89" s="1">
        <v>0</v>
      </c>
      <c r="KP89" s="1">
        <v>0</v>
      </c>
      <c r="KQ89" s="1">
        <v>66.666666666666657</v>
      </c>
      <c r="KR89" s="1">
        <v>33.333333333333329</v>
      </c>
      <c r="KS89" s="1">
        <v>0</v>
      </c>
      <c r="KT89" s="1">
        <v>3</v>
      </c>
      <c r="KU89" s="1">
        <v>13.888888888888873</v>
      </c>
      <c r="KV89" s="1">
        <v>2.7777777777777746</v>
      </c>
      <c r="KW89" s="1">
        <v>0</v>
      </c>
      <c r="KX89" s="1">
        <v>80.555555555555628</v>
      </c>
      <c r="KY89" s="1">
        <v>2.7777777777777746</v>
      </c>
      <c r="KZ89" s="1">
        <v>36</v>
      </c>
      <c r="LA89" s="1">
        <v>12.121212121212121</v>
      </c>
      <c r="LB89" s="1">
        <v>87.87878787878789</v>
      </c>
      <c r="LC89" s="1">
        <v>33</v>
      </c>
      <c r="LD89" s="1">
        <v>0</v>
      </c>
      <c r="LE89" s="1">
        <v>0</v>
      </c>
      <c r="LF89" s="1">
        <v>100</v>
      </c>
      <c r="LG89" s="1">
        <v>4</v>
      </c>
    </row>
    <row r="90" spans="1:319" x14ac:dyDescent="0.25">
      <c r="A90" s="1">
        <v>756</v>
      </c>
      <c r="B90" s="1">
        <v>18.51851851851853</v>
      </c>
      <c r="C90" s="1">
        <v>81.481481481481495</v>
      </c>
      <c r="D90" s="1">
        <v>27</v>
      </c>
      <c r="E90" s="1">
        <v>80.952380952380949</v>
      </c>
      <c r="F90" s="1">
        <v>19.04761904761904</v>
      </c>
      <c r="G90" s="1">
        <v>21</v>
      </c>
      <c r="H90" s="1">
        <v>58.823529411764724</v>
      </c>
      <c r="I90" s="1">
        <v>41.17647058823529</v>
      </c>
      <c r="J90" s="1">
        <v>17</v>
      </c>
      <c r="K90" s="1">
        <v>1</v>
      </c>
      <c r="L90" s="1">
        <v>18.24579</v>
      </c>
      <c r="M90" s="1">
        <v>8.7850099999999998</v>
      </c>
      <c r="N90" s="1">
        <v>2.7030799999999999</v>
      </c>
      <c r="O90" s="1">
        <v>0.67576999999999998</v>
      </c>
      <c r="P90" s="1">
        <v>0</v>
      </c>
      <c r="Q90" s="1">
        <v>0.67576999999999998</v>
      </c>
      <c r="R90" s="1">
        <v>0.67576999999999998</v>
      </c>
      <c r="S90" s="1">
        <v>0</v>
      </c>
      <c r="T90" s="1">
        <v>1.35154</v>
      </c>
      <c r="U90" s="1">
        <v>8.7850099999999998</v>
      </c>
      <c r="V90" s="1">
        <v>2.7030799999999999</v>
      </c>
      <c r="W90" s="1">
        <v>0.48148148148148134</v>
      </c>
      <c r="X90" s="1">
        <v>0.14814814814814806</v>
      </c>
      <c r="Y90" s="1">
        <v>3.7037037037037007E-2</v>
      </c>
      <c r="Z90" s="1">
        <v>0</v>
      </c>
      <c r="AA90" s="1">
        <v>3.7037037037037007E-2</v>
      </c>
      <c r="AB90" s="1">
        <v>3.7037037037037007E-2</v>
      </c>
      <c r="AC90" s="1">
        <v>0</v>
      </c>
      <c r="AD90" s="1">
        <v>7.4074074074074028E-2</v>
      </c>
      <c r="AE90" s="1">
        <v>0.48148148148148134</v>
      </c>
      <c r="AF90" s="1">
        <v>0.14814814814814806</v>
      </c>
      <c r="AG90" s="1">
        <v>1</v>
      </c>
      <c r="AH90" s="1">
        <v>27</v>
      </c>
      <c r="AI90" s="1">
        <v>1</v>
      </c>
      <c r="AJ90" s="1">
        <v>18.24579</v>
      </c>
      <c r="AK90" s="1">
        <v>13.5154</v>
      </c>
      <c r="AL90" s="1">
        <v>14.86694</v>
      </c>
      <c r="AM90" s="1">
        <v>9.4607799999999997</v>
      </c>
      <c r="AN90" s="1">
        <v>8.7850099999999998</v>
      </c>
      <c r="AO90" s="1">
        <v>1.35154</v>
      </c>
      <c r="AP90" s="1">
        <v>2.7030799999999999</v>
      </c>
      <c r="AQ90" s="1">
        <v>0.74074074074074059</v>
      </c>
      <c r="AR90" s="1">
        <v>0.81481481481481433</v>
      </c>
      <c r="AS90" s="1">
        <v>0.5185185185185186</v>
      </c>
      <c r="AT90" s="1">
        <v>0.48148148148148134</v>
      </c>
      <c r="AU90" s="1">
        <v>7.4074074074074028E-2</v>
      </c>
      <c r="AV90" s="1">
        <v>0.14814814814814806</v>
      </c>
      <c r="AW90" s="1">
        <v>1</v>
      </c>
      <c r="AX90" s="1">
        <v>27</v>
      </c>
      <c r="AY90" s="1">
        <v>9.7692307692307701</v>
      </c>
      <c r="AZ90" s="1">
        <v>10</v>
      </c>
      <c r="BA90" s="1">
        <v>9.9615384615384617</v>
      </c>
      <c r="BB90" s="1">
        <v>0</v>
      </c>
      <c r="BC90" s="1">
        <v>0</v>
      </c>
      <c r="BD90" s="1">
        <v>0</v>
      </c>
      <c r="BE90" s="1">
        <v>0</v>
      </c>
      <c r="BF90" s="1">
        <v>0</v>
      </c>
      <c r="BG90" s="1">
        <v>0</v>
      </c>
      <c r="BH90" s="1">
        <v>3.8461538461538436</v>
      </c>
      <c r="BI90" s="1">
        <v>3.8461538461538436</v>
      </c>
      <c r="BJ90" s="1">
        <v>3.8461538461538436</v>
      </c>
      <c r="BK90" s="1">
        <v>88.46153846153851</v>
      </c>
      <c r="BL90" s="1">
        <v>9.7692307692307718</v>
      </c>
      <c r="BM90" s="1">
        <v>26</v>
      </c>
      <c r="BN90" s="1">
        <v>0</v>
      </c>
      <c r="BO90" s="1">
        <v>0</v>
      </c>
      <c r="BP90" s="1">
        <v>0</v>
      </c>
      <c r="BQ90" s="1">
        <v>0</v>
      </c>
      <c r="BR90" s="1">
        <v>0</v>
      </c>
      <c r="BS90" s="1">
        <v>0</v>
      </c>
      <c r="BT90" s="1">
        <v>0</v>
      </c>
      <c r="BU90" s="1">
        <v>0</v>
      </c>
      <c r="BV90" s="1">
        <v>0</v>
      </c>
      <c r="BW90" s="1">
        <v>100</v>
      </c>
      <c r="BX90" s="1">
        <v>10</v>
      </c>
      <c r="BY90" s="1">
        <v>26</v>
      </c>
      <c r="BZ90" s="1">
        <v>0</v>
      </c>
      <c r="CA90" s="1">
        <v>0</v>
      </c>
      <c r="CB90" s="1">
        <v>0</v>
      </c>
      <c r="CC90" s="1">
        <v>0</v>
      </c>
      <c r="CD90" s="1">
        <v>0</v>
      </c>
      <c r="CE90" s="1">
        <v>0</v>
      </c>
      <c r="CF90" s="1">
        <v>0</v>
      </c>
      <c r="CG90" s="1">
        <v>0</v>
      </c>
      <c r="CH90" s="1">
        <v>3.8461538461538436</v>
      </c>
      <c r="CI90" s="1">
        <v>96.153846153846175</v>
      </c>
      <c r="CJ90" s="1">
        <v>9.9615384615384599</v>
      </c>
      <c r="CK90" s="1">
        <v>26</v>
      </c>
      <c r="CL90" s="1">
        <v>54.166666666666686</v>
      </c>
      <c r="CM90" s="1">
        <v>29.166666666666657</v>
      </c>
      <c r="CN90" s="1">
        <v>0</v>
      </c>
      <c r="CO90" s="1">
        <v>16.666666666666671</v>
      </c>
      <c r="CP90" s="1">
        <v>0</v>
      </c>
      <c r="CQ90" s="1">
        <v>24</v>
      </c>
      <c r="CR90" s="1">
        <v>91.666666666666671</v>
      </c>
      <c r="CS90" s="1">
        <v>8.3333333333333357</v>
      </c>
      <c r="CT90" s="1">
        <v>0</v>
      </c>
      <c r="CU90" s="1">
        <v>0</v>
      </c>
      <c r="CV90" s="1">
        <v>0</v>
      </c>
      <c r="CW90" s="1">
        <v>24</v>
      </c>
      <c r="CX90" s="1">
        <v>80</v>
      </c>
      <c r="CY90" s="1">
        <v>16</v>
      </c>
      <c r="CZ90" s="1">
        <v>4</v>
      </c>
      <c r="DA90" s="1">
        <v>0</v>
      </c>
      <c r="DB90" s="1">
        <v>0</v>
      </c>
      <c r="DC90" s="1">
        <v>25</v>
      </c>
      <c r="DD90" s="1">
        <v>92</v>
      </c>
      <c r="DE90" s="1">
        <v>4</v>
      </c>
      <c r="DF90" s="1">
        <v>4</v>
      </c>
      <c r="DG90" s="1">
        <v>0</v>
      </c>
      <c r="DH90" s="1">
        <v>0</v>
      </c>
      <c r="DI90" s="1">
        <v>25</v>
      </c>
      <c r="DJ90" s="1">
        <v>92</v>
      </c>
      <c r="DK90" s="1">
        <v>8</v>
      </c>
      <c r="DL90" s="1">
        <v>0</v>
      </c>
      <c r="DM90" s="1">
        <v>0</v>
      </c>
      <c r="DN90" s="1">
        <v>0</v>
      </c>
      <c r="DO90" s="1">
        <v>25</v>
      </c>
      <c r="DP90" s="1">
        <v>100</v>
      </c>
      <c r="DQ90" s="1">
        <v>0</v>
      </c>
      <c r="DR90" s="1">
        <v>0</v>
      </c>
      <c r="DS90" s="1">
        <v>0</v>
      </c>
      <c r="DT90" s="1">
        <v>0</v>
      </c>
      <c r="DU90" s="1">
        <v>25</v>
      </c>
      <c r="DV90" s="1">
        <v>77.272727272727266</v>
      </c>
      <c r="DW90" s="1">
        <v>13.63636363636363</v>
      </c>
      <c r="DX90" s="1">
        <v>4.5454545454545459</v>
      </c>
      <c r="DY90" s="1">
        <v>4.5454545454545459</v>
      </c>
      <c r="DZ90" s="1">
        <v>0</v>
      </c>
      <c r="EA90" s="1">
        <v>22</v>
      </c>
      <c r="EB90" s="1">
        <v>75</v>
      </c>
      <c r="EC90" s="1">
        <v>25</v>
      </c>
      <c r="ED90" s="1">
        <v>0</v>
      </c>
      <c r="EE90" s="1">
        <v>0</v>
      </c>
      <c r="EF90" s="1">
        <v>0</v>
      </c>
      <c r="EG90" s="1">
        <v>8</v>
      </c>
      <c r="EH90" s="1">
        <v>33.333333333333343</v>
      </c>
      <c r="EI90" s="1">
        <v>66.666666666666686</v>
      </c>
      <c r="EJ90" s="1">
        <v>0</v>
      </c>
      <c r="EK90" s="1">
        <v>0</v>
      </c>
      <c r="EL90" s="1">
        <v>0</v>
      </c>
      <c r="EM90" s="1">
        <v>6</v>
      </c>
      <c r="EN90" s="1">
        <v>26.666666666666661</v>
      </c>
      <c r="EO90" s="1">
        <v>66.666666666666686</v>
      </c>
      <c r="EP90" s="1">
        <v>6.6666666666666652</v>
      </c>
      <c r="EQ90" s="1">
        <v>0</v>
      </c>
      <c r="ER90" s="1">
        <v>0</v>
      </c>
      <c r="ES90" s="1">
        <v>15</v>
      </c>
      <c r="ET90" s="1">
        <v>26.666666666666661</v>
      </c>
      <c r="EU90" s="1">
        <v>73.3333333333333</v>
      </c>
      <c r="EV90" s="1">
        <v>0</v>
      </c>
      <c r="EW90" s="1">
        <v>0</v>
      </c>
      <c r="EX90" s="1">
        <v>0</v>
      </c>
      <c r="EY90" s="1">
        <v>15</v>
      </c>
      <c r="EZ90" s="1">
        <v>28.571428571428562</v>
      </c>
      <c r="FA90" s="1">
        <v>71.428571428571388</v>
      </c>
      <c r="FB90" s="1">
        <v>0</v>
      </c>
      <c r="FC90" s="1">
        <v>0</v>
      </c>
      <c r="FD90" s="1">
        <v>0</v>
      </c>
      <c r="FE90" s="1">
        <v>7</v>
      </c>
      <c r="FF90" s="1">
        <v>20</v>
      </c>
      <c r="FG90" s="1">
        <v>80</v>
      </c>
      <c r="FH90" s="1">
        <v>0</v>
      </c>
      <c r="FI90" s="1">
        <v>0</v>
      </c>
      <c r="FJ90" s="1">
        <v>0</v>
      </c>
      <c r="FK90" s="1">
        <v>5</v>
      </c>
      <c r="FL90" s="1">
        <v>50</v>
      </c>
      <c r="FM90" s="1">
        <v>50</v>
      </c>
      <c r="FN90" s="1">
        <v>0</v>
      </c>
      <c r="FO90" s="1">
        <v>0</v>
      </c>
      <c r="FP90" s="1">
        <v>0</v>
      </c>
      <c r="FQ90" s="1">
        <v>8</v>
      </c>
      <c r="FR90" s="1">
        <v>77.777777777777814</v>
      </c>
      <c r="FS90" s="1">
        <v>22.222222222222218</v>
      </c>
      <c r="FT90" s="1">
        <v>0</v>
      </c>
      <c r="FU90" s="1">
        <v>0</v>
      </c>
      <c r="FV90" s="1">
        <v>0</v>
      </c>
      <c r="FW90" s="1">
        <v>9</v>
      </c>
      <c r="FX90" s="1">
        <v>87.5</v>
      </c>
      <c r="FY90" s="1">
        <v>12.5</v>
      </c>
      <c r="FZ90" s="1">
        <v>0</v>
      </c>
      <c r="GA90" s="1">
        <v>0</v>
      </c>
      <c r="GB90" s="1">
        <v>0</v>
      </c>
      <c r="GC90" s="1">
        <v>24</v>
      </c>
      <c r="GD90" s="1">
        <v>71.428571428571388</v>
      </c>
      <c r="GE90" s="1">
        <v>28.571428571428562</v>
      </c>
      <c r="GF90" s="1">
        <v>0</v>
      </c>
      <c r="GG90" s="1">
        <v>0</v>
      </c>
      <c r="GH90" s="1">
        <v>0</v>
      </c>
      <c r="GI90" s="1">
        <v>7</v>
      </c>
      <c r="GJ90" s="1">
        <v>75</v>
      </c>
      <c r="GK90" s="1">
        <v>25</v>
      </c>
      <c r="GL90" s="1">
        <v>0</v>
      </c>
      <c r="GM90" s="1">
        <v>0</v>
      </c>
      <c r="GN90" s="1">
        <v>0</v>
      </c>
      <c r="GO90" s="1">
        <v>8</v>
      </c>
      <c r="GP90" s="1">
        <v>82.352941176470566</v>
      </c>
      <c r="GQ90" s="1">
        <v>17.647058823529406</v>
      </c>
      <c r="GR90" s="1">
        <v>0</v>
      </c>
      <c r="GS90" s="1">
        <v>0</v>
      </c>
      <c r="GT90" s="1">
        <v>0</v>
      </c>
      <c r="GU90" s="1">
        <v>17</v>
      </c>
      <c r="GV90" s="1">
        <v>85.714285714285722</v>
      </c>
      <c r="GW90" s="1">
        <v>14.285714285714281</v>
      </c>
      <c r="GX90" s="1">
        <v>0</v>
      </c>
      <c r="GY90" s="1">
        <v>0</v>
      </c>
      <c r="GZ90" s="1">
        <v>0</v>
      </c>
      <c r="HA90" s="1">
        <v>14</v>
      </c>
      <c r="HB90" s="1">
        <v>60</v>
      </c>
      <c r="HC90" s="1">
        <v>40</v>
      </c>
      <c r="HD90" s="1">
        <v>0</v>
      </c>
      <c r="HE90" s="1">
        <v>0</v>
      </c>
      <c r="HF90" s="1">
        <v>0</v>
      </c>
      <c r="HG90" s="1">
        <v>5</v>
      </c>
      <c r="HH90" s="1">
        <v>60</v>
      </c>
      <c r="HI90" s="1">
        <v>0</v>
      </c>
      <c r="HJ90" s="1">
        <v>20</v>
      </c>
      <c r="HK90" s="1">
        <v>0</v>
      </c>
      <c r="HL90" s="1">
        <v>20</v>
      </c>
      <c r="HM90" s="1">
        <v>5</v>
      </c>
      <c r="HN90" s="1">
        <v>0</v>
      </c>
      <c r="HO90" s="1">
        <v>0</v>
      </c>
      <c r="HP90" s="1">
        <v>0</v>
      </c>
      <c r="HQ90" s="1">
        <v>0</v>
      </c>
      <c r="HR90" s="1">
        <v>0</v>
      </c>
      <c r="HS90" s="1">
        <v>0</v>
      </c>
      <c r="HT90" s="1">
        <v>0</v>
      </c>
      <c r="HU90" s="1">
        <v>0</v>
      </c>
      <c r="HV90" s="1">
        <v>0</v>
      </c>
      <c r="HW90" s="1">
        <v>0</v>
      </c>
      <c r="HX90" s="1">
        <v>0</v>
      </c>
      <c r="HY90" s="1">
        <v>0</v>
      </c>
      <c r="HZ90" s="1">
        <v>0</v>
      </c>
      <c r="IA90" s="1">
        <v>0</v>
      </c>
      <c r="IB90" s="1">
        <v>0</v>
      </c>
      <c r="IC90" s="1">
        <v>0</v>
      </c>
      <c r="ID90" s="1">
        <v>0</v>
      </c>
      <c r="IE90" s="1">
        <v>0</v>
      </c>
      <c r="IF90" s="1">
        <v>9.6521739130434785</v>
      </c>
      <c r="IG90" s="1">
        <v>0</v>
      </c>
      <c r="IH90" s="1">
        <v>0</v>
      </c>
      <c r="II90" s="1">
        <v>0</v>
      </c>
      <c r="IJ90" s="1">
        <v>0</v>
      </c>
      <c r="IK90" s="1">
        <v>0</v>
      </c>
      <c r="IL90" s="1">
        <v>0</v>
      </c>
      <c r="IM90" s="1">
        <v>0</v>
      </c>
      <c r="IN90" s="1">
        <v>4.3478260869565197</v>
      </c>
      <c r="IO90" s="1">
        <v>26.086956521739129</v>
      </c>
      <c r="IP90" s="1">
        <v>69.565217391304316</v>
      </c>
      <c r="IQ90" s="1">
        <v>9.6521739130434749</v>
      </c>
      <c r="IR90" s="1">
        <v>23</v>
      </c>
      <c r="IS90" s="1">
        <v>14.814814814814822</v>
      </c>
      <c r="IT90" s="1">
        <v>77.777777777777814</v>
      </c>
      <c r="IU90" s="1">
        <v>3.7037037037037055</v>
      </c>
      <c r="IV90" s="1">
        <v>0</v>
      </c>
      <c r="IW90" s="1">
        <v>3.7037037037037055</v>
      </c>
      <c r="IX90" s="1">
        <v>27</v>
      </c>
      <c r="IY90" s="1">
        <v>1</v>
      </c>
      <c r="IZ90" s="1">
        <v>18.24579</v>
      </c>
      <c r="JA90" s="1">
        <v>11.48809</v>
      </c>
      <c r="JB90" s="1">
        <v>5.4061599999999999</v>
      </c>
      <c r="JC90" s="1">
        <v>3.3788499999999999</v>
      </c>
      <c r="JD90" s="1">
        <v>0.67576999999999998</v>
      </c>
      <c r="JE90" s="1">
        <v>0.62962962962962965</v>
      </c>
      <c r="JF90" s="1">
        <v>0.29629629629629611</v>
      </c>
      <c r="JG90" s="1">
        <v>0.18518518518518515</v>
      </c>
      <c r="JH90" s="1">
        <v>3.7037037037037007E-2</v>
      </c>
      <c r="JI90" s="1">
        <v>1</v>
      </c>
      <c r="JJ90" s="1">
        <v>27</v>
      </c>
      <c r="JK90" s="1">
        <v>3.4615384615384617</v>
      </c>
      <c r="JL90" s="1">
        <v>3.4615384615384621</v>
      </c>
      <c r="JM90" s="1">
        <v>26</v>
      </c>
      <c r="JN90" s="1">
        <v>83.333333333333314</v>
      </c>
      <c r="JO90" s="1">
        <v>16.666666666666671</v>
      </c>
      <c r="JP90" s="1">
        <v>6</v>
      </c>
      <c r="JQ90" s="1">
        <v>100</v>
      </c>
      <c r="JR90" s="1">
        <v>0</v>
      </c>
      <c r="JS90" s="1">
        <v>6</v>
      </c>
      <c r="JT90" s="1">
        <v>96.296296296296248</v>
      </c>
      <c r="JU90" s="1">
        <v>3.7037037037037055</v>
      </c>
      <c r="JV90" s="1">
        <v>27</v>
      </c>
      <c r="JW90" s="1">
        <v>91.666666666666671</v>
      </c>
      <c r="JX90" s="1">
        <v>8.3333333333333357</v>
      </c>
      <c r="JY90" s="1">
        <v>12</v>
      </c>
      <c r="JZ90" s="1">
        <v>12.5</v>
      </c>
      <c r="KA90" s="1">
        <v>87.5</v>
      </c>
      <c r="KB90" s="1">
        <v>24</v>
      </c>
      <c r="KC90" s="1">
        <v>100</v>
      </c>
      <c r="KD90" s="1">
        <v>0</v>
      </c>
      <c r="KE90" s="1">
        <v>20</v>
      </c>
      <c r="KF90" s="1">
        <v>3.6818181818181817</v>
      </c>
      <c r="KG90" s="1">
        <v>0</v>
      </c>
      <c r="KH90" s="1">
        <v>22.727272727272734</v>
      </c>
      <c r="KI90" s="1">
        <v>18.181818181818183</v>
      </c>
      <c r="KJ90" s="1">
        <v>27.272727272727259</v>
      </c>
      <c r="KK90" s="1">
        <v>31.818181818181838</v>
      </c>
      <c r="KL90" s="1">
        <v>22</v>
      </c>
      <c r="KM90" s="1">
        <v>63</v>
      </c>
      <c r="KN90" s="1">
        <v>19</v>
      </c>
      <c r="KO90" s="1">
        <v>0</v>
      </c>
      <c r="KP90" s="1">
        <v>0</v>
      </c>
      <c r="KQ90" s="1">
        <v>100</v>
      </c>
      <c r="KR90" s="1">
        <v>0</v>
      </c>
      <c r="KS90" s="1">
        <v>0</v>
      </c>
      <c r="KT90" s="1">
        <v>1</v>
      </c>
      <c r="KU90" s="1">
        <v>0</v>
      </c>
      <c r="KV90" s="1">
        <v>0</v>
      </c>
      <c r="KW90" s="1">
        <v>0</v>
      </c>
      <c r="KX90" s="1">
        <v>100</v>
      </c>
      <c r="KY90" s="1">
        <v>0</v>
      </c>
      <c r="KZ90" s="1">
        <v>23</v>
      </c>
      <c r="LA90" s="1">
        <v>13.043478260869565</v>
      </c>
      <c r="LB90" s="1">
        <v>86.95652173913048</v>
      </c>
      <c r="LC90" s="1">
        <v>23</v>
      </c>
      <c r="LD90" s="1">
        <v>0</v>
      </c>
      <c r="LE90" s="1">
        <v>0</v>
      </c>
      <c r="LF90" s="1">
        <v>100</v>
      </c>
      <c r="LG90" s="1">
        <v>3</v>
      </c>
    </row>
    <row r="91" spans="1:319" x14ac:dyDescent="0.25">
      <c r="A91" s="1">
        <v>757</v>
      </c>
      <c r="B91" s="1">
        <v>15.384615384615369</v>
      </c>
      <c r="C91" s="1">
        <v>84.615384615384727</v>
      </c>
      <c r="D91" s="1">
        <v>39</v>
      </c>
      <c r="E91" s="1">
        <v>87.878787878787946</v>
      </c>
      <c r="F91" s="1">
        <v>12.121212121212123</v>
      </c>
      <c r="G91" s="1">
        <v>33</v>
      </c>
      <c r="H91" s="1">
        <v>82.758620689655174</v>
      </c>
      <c r="I91" s="1">
        <v>17.241379310344822</v>
      </c>
      <c r="J91" s="1">
        <v>29</v>
      </c>
      <c r="K91" s="1">
        <v>1</v>
      </c>
      <c r="L91" s="1">
        <v>21.987200000000005</v>
      </c>
      <c r="M91" s="1">
        <v>1.6490399999999998</v>
      </c>
      <c r="N91" s="1">
        <v>3.8477599999999965</v>
      </c>
      <c r="O91" s="1">
        <v>4.3974399999999987</v>
      </c>
      <c r="P91" s="1">
        <v>1.0993599999999997</v>
      </c>
      <c r="Q91" s="1">
        <v>12.642640000000014</v>
      </c>
      <c r="R91" s="1">
        <v>0.54967999999999984</v>
      </c>
      <c r="S91" s="1">
        <v>0</v>
      </c>
      <c r="T91" s="1">
        <v>1.6490399999999998</v>
      </c>
      <c r="U91" s="1">
        <v>2.7484000000000006</v>
      </c>
      <c r="V91" s="1">
        <v>7.1458400000000015</v>
      </c>
      <c r="W91" s="1">
        <v>7.5000000000000039E-2</v>
      </c>
      <c r="X91" s="1">
        <v>0.17499999999999988</v>
      </c>
      <c r="Y91" s="1">
        <v>0.20000000000000012</v>
      </c>
      <c r="Z91" s="1">
        <v>5.0000000000000031E-2</v>
      </c>
      <c r="AA91" s="1">
        <v>0.57500000000000029</v>
      </c>
      <c r="AB91" s="1">
        <v>2.5000000000000012E-2</v>
      </c>
      <c r="AC91" s="1">
        <v>0</v>
      </c>
      <c r="AD91" s="1">
        <v>7.5000000000000039E-2</v>
      </c>
      <c r="AE91" s="1">
        <v>0.12500000000000003</v>
      </c>
      <c r="AF91" s="1">
        <v>0.32499999999999984</v>
      </c>
      <c r="AG91" s="1">
        <v>1</v>
      </c>
      <c r="AH91" s="1">
        <v>40</v>
      </c>
      <c r="AI91" s="1">
        <v>1</v>
      </c>
      <c r="AJ91" s="1">
        <v>17.040079999999996</v>
      </c>
      <c r="AK91" s="1">
        <v>6.5961599999999994</v>
      </c>
      <c r="AL91" s="1">
        <v>7.1458400000000015</v>
      </c>
      <c r="AM91" s="1">
        <v>3.8477599999999965</v>
      </c>
      <c r="AN91" s="1">
        <v>1.0993599999999997</v>
      </c>
      <c r="AO91" s="1">
        <v>0.54967999999999984</v>
      </c>
      <c r="AP91" s="1">
        <v>8.2452000000000076</v>
      </c>
      <c r="AQ91" s="1">
        <v>0.38709677419354815</v>
      </c>
      <c r="AR91" s="1">
        <v>0.41935483870967749</v>
      </c>
      <c r="AS91" s="1">
        <v>0.22580645161290316</v>
      </c>
      <c r="AT91" s="1">
        <v>6.4516129032258021E-2</v>
      </c>
      <c r="AU91" s="1">
        <v>3.2258064516129011E-2</v>
      </c>
      <c r="AV91" s="1">
        <v>0.48387096774193566</v>
      </c>
      <c r="AW91" s="1">
        <v>1</v>
      </c>
      <c r="AX91" s="1">
        <v>31</v>
      </c>
      <c r="AY91" s="1">
        <v>9.85</v>
      </c>
      <c r="AZ91" s="1">
        <v>9.9250000000000007</v>
      </c>
      <c r="BA91" s="1">
        <v>9.8461538461538467</v>
      </c>
      <c r="BB91" s="1">
        <v>0</v>
      </c>
      <c r="BC91" s="1">
        <v>0</v>
      </c>
      <c r="BD91" s="1">
        <v>0</v>
      </c>
      <c r="BE91" s="1">
        <v>0</v>
      </c>
      <c r="BF91" s="1">
        <v>0</v>
      </c>
      <c r="BG91" s="1">
        <v>0</v>
      </c>
      <c r="BH91" s="1">
        <v>0</v>
      </c>
      <c r="BI91" s="1">
        <v>5.0000000000000009</v>
      </c>
      <c r="BJ91" s="1">
        <v>5.0000000000000009</v>
      </c>
      <c r="BK91" s="1">
        <v>90.000000000000014</v>
      </c>
      <c r="BL91" s="1">
        <v>9.8500000000000085</v>
      </c>
      <c r="BM91" s="1">
        <v>40</v>
      </c>
      <c r="BN91" s="1">
        <v>0</v>
      </c>
      <c r="BO91" s="1">
        <v>0</v>
      </c>
      <c r="BP91" s="1">
        <v>0</v>
      </c>
      <c r="BQ91" s="1">
        <v>0</v>
      </c>
      <c r="BR91" s="1">
        <v>0</v>
      </c>
      <c r="BS91" s="1">
        <v>0</v>
      </c>
      <c r="BT91" s="1">
        <v>0</v>
      </c>
      <c r="BU91" s="1">
        <v>0</v>
      </c>
      <c r="BV91" s="1">
        <v>7.5000000000000018</v>
      </c>
      <c r="BW91" s="1">
        <v>92.500000000000014</v>
      </c>
      <c r="BX91" s="1">
        <v>9.9250000000000096</v>
      </c>
      <c r="BY91" s="1">
        <v>40</v>
      </c>
      <c r="BZ91" s="1">
        <v>0</v>
      </c>
      <c r="CA91" s="1">
        <v>0</v>
      </c>
      <c r="CB91" s="1">
        <v>0</v>
      </c>
      <c r="CC91" s="1">
        <v>0</v>
      </c>
      <c r="CD91" s="1">
        <v>0</v>
      </c>
      <c r="CE91" s="1">
        <v>0</v>
      </c>
      <c r="CF91" s="1">
        <v>0</v>
      </c>
      <c r="CG91" s="1">
        <v>2.5641025641025657</v>
      </c>
      <c r="CH91" s="1">
        <v>10.256410256410263</v>
      </c>
      <c r="CI91" s="1">
        <v>87.179487179487268</v>
      </c>
      <c r="CJ91" s="1">
        <v>9.8461538461538538</v>
      </c>
      <c r="CK91" s="1">
        <v>39</v>
      </c>
      <c r="CL91" s="1">
        <v>43.243243243243292</v>
      </c>
      <c r="CM91" s="1">
        <v>29.729729729729723</v>
      </c>
      <c r="CN91" s="1">
        <v>10.810810810810819</v>
      </c>
      <c r="CO91" s="1">
        <v>13.513513513513505</v>
      </c>
      <c r="CP91" s="1">
        <v>2.7027027027027049</v>
      </c>
      <c r="CQ91" s="1">
        <v>37</v>
      </c>
      <c r="CR91" s="1">
        <v>86.842105263157933</v>
      </c>
      <c r="CS91" s="1">
        <v>10.526315789473696</v>
      </c>
      <c r="CT91" s="1">
        <v>2.6315789473684239</v>
      </c>
      <c r="CU91" s="1">
        <v>0</v>
      </c>
      <c r="CV91" s="1">
        <v>0</v>
      </c>
      <c r="CW91" s="1">
        <v>38</v>
      </c>
      <c r="CX91" s="1">
        <v>67.500000000000014</v>
      </c>
      <c r="CY91" s="1">
        <v>20.000000000000004</v>
      </c>
      <c r="CZ91" s="1">
        <v>7.5000000000000018</v>
      </c>
      <c r="DA91" s="1">
        <v>5.0000000000000009</v>
      </c>
      <c r="DB91" s="1">
        <v>0</v>
      </c>
      <c r="DC91" s="1">
        <v>40</v>
      </c>
      <c r="DD91" s="1">
        <v>80.000000000000014</v>
      </c>
      <c r="DE91" s="1">
        <v>15.000000000000004</v>
      </c>
      <c r="DF91" s="1">
        <v>2.5000000000000004</v>
      </c>
      <c r="DG91" s="1">
        <v>2.5000000000000004</v>
      </c>
      <c r="DH91" s="1">
        <v>0</v>
      </c>
      <c r="DI91" s="1">
        <v>40</v>
      </c>
      <c r="DJ91" s="1">
        <v>15.624999999999996</v>
      </c>
      <c r="DK91" s="1">
        <v>15.624999999999996</v>
      </c>
      <c r="DL91" s="1">
        <v>12.499999999999998</v>
      </c>
      <c r="DM91" s="1">
        <v>31.249999999999993</v>
      </c>
      <c r="DN91" s="1">
        <v>24.999999999999996</v>
      </c>
      <c r="DO91" s="1">
        <v>32</v>
      </c>
      <c r="DP91" s="1">
        <v>95.000000000000014</v>
      </c>
      <c r="DQ91" s="1">
        <v>2.5000000000000004</v>
      </c>
      <c r="DR91" s="1">
        <v>2.5000000000000004</v>
      </c>
      <c r="DS91" s="1">
        <v>0</v>
      </c>
      <c r="DT91" s="1">
        <v>0</v>
      </c>
      <c r="DU91" s="1">
        <v>40</v>
      </c>
      <c r="DV91" s="1">
        <v>63.636363636363555</v>
      </c>
      <c r="DW91" s="1">
        <v>27.272727272727259</v>
      </c>
      <c r="DX91" s="1">
        <v>9.0909090909090828</v>
      </c>
      <c r="DY91" s="1">
        <v>0</v>
      </c>
      <c r="DZ91" s="1">
        <v>0</v>
      </c>
      <c r="EA91" s="1">
        <v>22</v>
      </c>
      <c r="EB91" s="1">
        <v>74.999999999999986</v>
      </c>
      <c r="EC91" s="1">
        <v>18.749999999999996</v>
      </c>
      <c r="ED91" s="1">
        <v>6.2499999999999991</v>
      </c>
      <c r="EE91" s="1">
        <v>0</v>
      </c>
      <c r="EF91" s="1">
        <v>0</v>
      </c>
      <c r="EG91" s="1">
        <v>16</v>
      </c>
      <c r="EH91" s="1">
        <v>35.714285714285715</v>
      </c>
      <c r="EI91" s="1">
        <v>49.999999999999993</v>
      </c>
      <c r="EJ91" s="1">
        <v>0</v>
      </c>
      <c r="EK91" s="1">
        <v>7.1428571428571432</v>
      </c>
      <c r="EL91" s="1">
        <v>7.1428571428571432</v>
      </c>
      <c r="EM91" s="1">
        <v>14</v>
      </c>
      <c r="EN91" s="1">
        <v>29.999999999999993</v>
      </c>
      <c r="EO91" s="1">
        <v>49.999999999999993</v>
      </c>
      <c r="EP91" s="1">
        <v>19.999999999999996</v>
      </c>
      <c r="EQ91" s="1">
        <v>0</v>
      </c>
      <c r="ER91" s="1">
        <v>0</v>
      </c>
      <c r="ES91" s="1">
        <v>10</v>
      </c>
      <c r="ET91" s="1">
        <v>29.999999999999993</v>
      </c>
      <c r="EU91" s="1">
        <v>49.999999999999993</v>
      </c>
      <c r="EV91" s="1">
        <v>19.999999999999996</v>
      </c>
      <c r="EW91" s="1">
        <v>0</v>
      </c>
      <c r="EX91" s="1">
        <v>0</v>
      </c>
      <c r="EY91" s="1">
        <v>10</v>
      </c>
      <c r="EZ91" s="1">
        <v>57.142857142857146</v>
      </c>
      <c r="FA91" s="1">
        <v>42.857142857142883</v>
      </c>
      <c r="FB91" s="1">
        <v>0</v>
      </c>
      <c r="FC91" s="1">
        <v>0</v>
      </c>
      <c r="FD91" s="1">
        <v>0</v>
      </c>
      <c r="FE91" s="1">
        <v>7</v>
      </c>
      <c r="FF91" s="1">
        <v>66.666666666666657</v>
      </c>
      <c r="FG91" s="1">
        <v>33.333333333333329</v>
      </c>
      <c r="FH91" s="1">
        <v>0</v>
      </c>
      <c r="FI91" s="1">
        <v>0</v>
      </c>
      <c r="FJ91" s="1">
        <v>0</v>
      </c>
      <c r="FK91" s="1">
        <v>9</v>
      </c>
      <c r="FL91" s="1">
        <v>66.666666666666657</v>
      </c>
      <c r="FM91" s="1">
        <v>24.999999999999996</v>
      </c>
      <c r="FN91" s="1">
        <v>8.3333333333333321</v>
      </c>
      <c r="FO91" s="1">
        <v>0</v>
      </c>
      <c r="FP91" s="1">
        <v>0</v>
      </c>
      <c r="FQ91" s="1">
        <v>12</v>
      </c>
      <c r="FR91" s="1">
        <v>71.428571428571431</v>
      </c>
      <c r="FS91" s="1">
        <v>14.285714285714286</v>
      </c>
      <c r="FT91" s="1">
        <v>0</v>
      </c>
      <c r="FU91" s="1">
        <v>14.285714285714286</v>
      </c>
      <c r="FV91" s="1">
        <v>0</v>
      </c>
      <c r="FW91" s="1">
        <v>7</v>
      </c>
      <c r="FX91" s="1">
        <v>63.888888888888957</v>
      </c>
      <c r="FY91" s="1">
        <v>36.1111111111111</v>
      </c>
      <c r="FZ91" s="1">
        <v>0</v>
      </c>
      <c r="GA91" s="1">
        <v>0</v>
      </c>
      <c r="GB91" s="1">
        <v>0</v>
      </c>
      <c r="GC91" s="1">
        <v>36</v>
      </c>
      <c r="GD91" s="1">
        <v>46.153846153846175</v>
      </c>
      <c r="GE91" s="1">
        <v>53.846153846153825</v>
      </c>
      <c r="GF91" s="1">
        <v>0</v>
      </c>
      <c r="GG91" s="1">
        <v>0</v>
      </c>
      <c r="GH91" s="1">
        <v>0</v>
      </c>
      <c r="GI91" s="1">
        <v>13</v>
      </c>
      <c r="GJ91" s="1">
        <v>61.904761904761912</v>
      </c>
      <c r="GK91" s="1">
        <v>38.095238095238081</v>
      </c>
      <c r="GL91" s="1">
        <v>0</v>
      </c>
      <c r="GM91" s="1">
        <v>0</v>
      </c>
      <c r="GN91" s="1">
        <v>0</v>
      </c>
      <c r="GO91" s="1">
        <v>21</v>
      </c>
      <c r="GP91" s="1">
        <v>80.952380952380878</v>
      </c>
      <c r="GQ91" s="1">
        <v>19.04761904761904</v>
      </c>
      <c r="GR91" s="1">
        <v>0</v>
      </c>
      <c r="GS91" s="1">
        <v>0</v>
      </c>
      <c r="GT91" s="1">
        <v>0</v>
      </c>
      <c r="GU91" s="1">
        <v>21</v>
      </c>
      <c r="GV91" s="1">
        <v>94.999999999999986</v>
      </c>
      <c r="GW91" s="1">
        <v>0</v>
      </c>
      <c r="GX91" s="1">
        <v>4.9999999999999991</v>
      </c>
      <c r="GY91" s="1">
        <v>0</v>
      </c>
      <c r="GZ91" s="1">
        <v>0</v>
      </c>
      <c r="HA91" s="1">
        <v>20</v>
      </c>
      <c r="HB91" s="1">
        <v>72.727272727272677</v>
      </c>
      <c r="HC91" s="1">
        <v>27.272727272727259</v>
      </c>
      <c r="HD91" s="1">
        <v>0</v>
      </c>
      <c r="HE91" s="1">
        <v>0</v>
      </c>
      <c r="HF91" s="1">
        <v>0</v>
      </c>
      <c r="HG91" s="1">
        <v>11</v>
      </c>
      <c r="HH91" s="1">
        <v>78.571428571428484</v>
      </c>
      <c r="HI91" s="1">
        <v>14.285714285714286</v>
      </c>
      <c r="HJ91" s="1">
        <v>7.1428571428571432</v>
      </c>
      <c r="HK91" s="1">
        <v>0</v>
      </c>
      <c r="HL91" s="1">
        <v>0</v>
      </c>
      <c r="HM91" s="1">
        <v>14</v>
      </c>
      <c r="HN91" s="1">
        <v>0</v>
      </c>
      <c r="HO91" s="1">
        <v>0</v>
      </c>
      <c r="HP91" s="1">
        <v>0</v>
      </c>
      <c r="HQ91" s="1">
        <v>0</v>
      </c>
      <c r="HR91" s="1">
        <v>0</v>
      </c>
      <c r="HS91" s="1">
        <v>0</v>
      </c>
      <c r="HT91" s="1">
        <v>0</v>
      </c>
      <c r="HU91" s="1">
        <v>0</v>
      </c>
      <c r="HV91" s="1">
        <v>0</v>
      </c>
      <c r="HW91" s="1">
        <v>0</v>
      </c>
      <c r="HX91" s="1">
        <v>0</v>
      </c>
      <c r="HY91" s="1">
        <v>0</v>
      </c>
      <c r="HZ91" s="1">
        <v>0</v>
      </c>
      <c r="IA91" s="1">
        <v>0</v>
      </c>
      <c r="IB91" s="1">
        <v>0</v>
      </c>
      <c r="IC91" s="1">
        <v>0</v>
      </c>
      <c r="ID91" s="1">
        <v>0</v>
      </c>
      <c r="IE91" s="1">
        <v>0</v>
      </c>
      <c r="IF91" s="1">
        <v>9.2058823529411757</v>
      </c>
      <c r="IG91" s="1">
        <v>0</v>
      </c>
      <c r="IH91" s="1">
        <v>0</v>
      </c>
      <c r="II91" s="1">
        <v>0</v>
      </c>
      <c r="IJ91" s="1">
        <v>0</v>
      </c>
      <c r="IK91" s="1">
        <v>0</v>
      </c>
      <c r="IL91" s="1">
        <v>0</v>
      </c>
      <c r="IM91" s="1">
        <v>2.9411764705882328</v>
      </c>
      <c r="IN91" s="1">
        <v>20.588235294117652</v>
      </c>
      <c r="IO91" s="1">
        <v>29.411764705882355</v>
      </c>
      <c r="IP91" s="1">
        <v>47.058823529411754</v>
      </c>
      <c r="IQ91" s="1">
        <v>9.2058823529411651</v>
      </c>
      <c r="IR91" s="1">
        <v>34</v>
      </c>
      <c r="IS91" s="1">
        <v>55.000000000000014</v>
      </c>
      <c r="IT91" s="1">
        <v>10.000000000000002</v>
      </c>
      <c r="IU91" s="1">
        <v>35.000000000000007</v>
      </c>
      <c r="IV91" s="1">
        <v>0</v>
      </c>
      <c r="IW91" s="1">
        <v>0</v>
      </c>
      <c r="IX91" s="1">
        <v>40</v>
      </c>
      <c r="IY91" s="1">
        <v>1</v>
      </c>
      <c r="IZ91" s="1">
        <v>20.887839999999986</v>
      </c>
      <c r="JA91" s="1">
        <v>6.5961599999999994</v>
      </c>
      <c r="JB91" s="1">
        <v>10.443919999999995</v>
      </c>
      <c r="JC91" s="1">
        <v>1.6490399999999998</v>
      </c>
      <c r="JD91" s="1">
        <v>4.3974399999999987</v>
      </c>
      <c r="JE91" s="1">
        <v>0.31578947368421062</v>
      </c>
      <c r="JF91" s="1">
        <v>0.50000000000000011</v>
      </c>
      <c r="JG91" s="1">
        <v>7.8947368421052641E-2</v>
      </c>
      <c r="JH91" s="1">
        <v>0.21052631578947362</v>
      </c>
      <c r="JI91" s="1">
        <v>1</v>
      </c>
      <c r="JJ91" s="1">
        <v>38</v>
      </c>
      <c r="JK91" s="1">
        <v>2.7749999999999999</v>
      </c>
      <c r="JL91" s="1">
        <v>2.7750000000000017</v>
      </c>
      <c r="JM91" s="1">
        <v>40</v>
      </c>
      <c r="JN91" s="1">
        <v>94.736842105263236</v>
      </c>
      <c r="JO91" s="1">
        <v>5.2631578947368425</v>
      </c>
      <c r="JP91" s="1">
        <v>19</v>
      </c>
      <c r="JQ91" s="1">
        <v>100</v>
      </c>
      <c r="JR91" s="1">
        <v>0</v>
      </c>
      <c r="JS91" s="1">
        <v>34</v>
      </c>
      <c r="JT91" s="1">
        <v>100</v>
      </c>
      <c r="JU91" s="1">
        <v>0</v>
      </c>
      <c r="JV91" s="1">
        <v>23</v>
      </c>
      <c r="JW91" s="1">
        <v>100</v>
      </c>
      <c r="JX91" s="1">
        <v>0</v>
      </c>
      <c r="JY91" s="1">
        <v>23</v>
      </c>
      <c r="JZ91" s="1">
        <v>56.410256410256409</v>
      </c>
      <c r="KA91" s="1">
        <v>43.589743589743634</v>
      </c>
      <c r="KB91" s="1">
        <v>39</v>
      </c>
      <c r="KC91" s="1">
        <v>100</v>
      </c>
      <c r="KD91" s="1">
        <v>0</v>
      </c>
      <c r="KE91" s="1">
        <v>36</v>
      </c>
      <c r="KF91" s="1">
        <v>3.9210526315789473</v>
      </c>
      <c r="KG91" s="1">
        <v>2.6315789473684239</v>
      </c>
      <c r="KH91" s="1">
        <v>2.6315789473684239</v>
      </c>
      <c r="KI91" s="1">
        <v>26.315789473684191</v>
      </c>
      <c r="KJ91" s="1">
        <v>36.842105263157912</v>
      </c>
      <c r="KK91" s="1">
        <v>31.578947368421048</v>
      </c>
      <c r="KL91" s="1">
        <v>38</v>
      </c>
      <c r="KM91" s="1">
        <v>67.605263157894711</v>
      </c>
      <c r="KN91" s="1">
        <v>19</v>
      </c>
      <c r="KO91" s="1">
        <v>0</v>
      </c>
      <c r="KP91" s="1">
        <v>0</v>
      </c>
      <c r="KQ91" s="1">
        <v>100</v>
      </c>
      <c r="KR91" s="1">
        <v>0</v>
      </c>
      <c r="KS91" s="1">
        <v>0</v>
      </c>
      <c r="KT91" s="1">
        <v>1</v>
      </c>
      <c r="KU91" s="1">
        <v>0</v>
      </c>
      <c r="KV91" s="1">
        <v>0</v>
      </c>
      <c r="KW91" s="1">
        <v>2.7777777777777755</v>
      </c>
      <c r="KX91" s="1">
        <v>97.222222222222186</v>
      </c>
      <c r="KY91" s="1">
        <v>0</v>
      </c>
      <c r="KZ91" s="1">
        <v>36</v>
      </c>
      <c r="LA91" s="1">
        <v>8.1081081081081088</v>
      </c>
      <c r="LB91" s="1">
        <v>91.891891891891973</v>
      </c>
      <c r="LC91" s="1">
        <v>37</v>
      </c>
      <c r="LD91" s="1">
        <v>0</v>
      </c>
      <c r="LE91" s="1">
        <v>0</v>
      </c>
      <c r="LF91" s="1">
        <v>100.00000000000001</v>
      </c>
      <c r="LG91" s="1">
        <v>3</v>
      </c>
    </row>
    <row r="92" spans="1:319" x14ac:dyDescent="0.25">
      <c r="A92" s="1">
        <v>813</v>
      </c>
      <c r="B92" s="1">
        <v>12.5</v>
      </c>
      <c r="C92" s="1">
        <v>87.500000000000014</v>
      </c>
      <c r="D92" s="1">
        <v>16</v>
      </c>
      <c r="E92" s="1">
        <v>50</v>
      </c>
      <c r="F92" s="1">
        <v>50</v>
      </c>
      <c r="G92" s="1">
        <v>14</v>
      </c>
      <c r="H92" s="1">
        <v>42.857142857142847</v>
      </c>
      <c r="I92" s="1">
        <v>57.142857142857125</v>
      </c>
      <c r="J92" s="1">
        <v>7</v>
      </c>
      <c r="K92" s="1">
        <v>1</v>
      </c>
      <c r="L92" s="1">
        <v>6.8420799999999966</v>
      </c>
      <c r="M92" s="1">
        <v>3.4210399999999996</v>
      </c>
      <c r="N92" s="1">
        <v>0.85525999999999991</v>
      </c>
      <c r="O92" s="1">
        <v>1.2828900000000005</v>
      </c>
      <c r="P92" s="1">
        <v>0.85525999999999991</v>
      </c>
      <c r="Q92" s="1">
        <v>0.85525999999999991</v>
      </c>
      <c r="R92" s="1">
        <v>0</v>
      </c>
      <c r="S92" s="1">
        <v>0</v>
      </c>
      <c r="T92" s="1">
        <v>0.42762999999999995</v>
      </c>
      <c r="U92" s="1">
        <v>2.9934099999999995</v>
      </c>
      <c r="V92" s="1">
        <v>0.42762999999999995</v>
      </c>
      <c r="W92" s="1">
        <v>0.50000000000000011</v>
      </c>
      <c r="X92" s="1">
        <v>0.12500000000000003</v>
      </c>
      <c r="Y92" s="1">
        <v>0.18750000000000003</v>
      </c>
      <c r="Z92" s="1">
        <v>0.12500000000000003</v>
      </c>
      <c r="AA92" s="1">
        <v>0.12500000000000003</v>
      </c>
      <c r="AB92" s="1">
        <v>0</v>
      </c>
      <c r="AC92" s="1">
        <v>0</v>
      </c>
      <c r="AD92" s="1">
        <v>6.2500000000000014E-2</v>
      </c>
      <c r="AE92" s="1">
        <v>0.43750000000000006</v>
      </c>
      <c r="AF92" s="1">
        <v>6.2500000000000014E-2</v>
      </c>
      <c r="AG92" s="1">
        <v>1</v>
      </c>
      <c r="AH92" s="1">
        <v>16</v>
      </c>
      <c r="AI92" s="1">
        <v>1</v>
      </c>
      <c r="AJ92" s="1">
        <v>6.8420799999999966</v>
      </c>
      <c r="AK92" s="1">
        <v>4.7039300000000006</v>
      </c>
      <c r="AL92" s="1">
        <v>4.2763</v>
      </c>
      <c r="AM92" s="1">
        <v>2.5657800000000011</v>
      </c>
      <c r="AN92" s="1">
        <v>4.7039300000000006</v>
      </c>
      <c r="AO92" s="1">
        <v>0.85525999999999991</v>
      </c>
      <c r="AP92" s="1">
        <v>1.2828900000000005</v>
      </c>
      <c r="AQ92" s="1">
        <v>0.68750000000000011</v>
      </c>
      <c r="AR92" s="1">
        <v>0.62500000000000011</v>
      </c>
      <c r="AS92" s="1">
        <v>0.37500000000000006</v>
      </c>
      <c r="AT92" s="1">
        <v>0.68750000000000011</v>
      </c>
      <c r="AU92" s="1">
        <v>0.12500000000000003</v>
      </c>
      <c r="AV92" s="1">
        <v>0.18750000000000003</v>
      </c>
      <c r="AW92" s="1">
        <v>1</v>
      </c>
      <c r="AX92" s="1">
        <v>16</v>
      </c>
      <c r="AY92" s="1">
        <v>9.7333333333333325</v>
      </c>
      <c r="AZ92" s="1">
        <v>9.8666666666666671</v>
      </c>
      <c r="BA92" s="1">
        <v>9.8000000000000007</v>
      </c>
      <c r="BB92" s="1">
        <v>0</v>
      </c>
      <c r="BC92" s="1">
        <v>0</v>
      </c>
      <c r="BD92" s="1">
        <v>0</v>
      </c>
      <c r="BE92" s="1">
        <v>0</v>
      </c>
      <c r="BF92" s="1">
        <v>0</v>
      </c>
      <c r="BG92" s="1">
        <v>0</v>
      </c>
      <c r="BH92" s="1">
        <v>0</v>
      </c>
      <c r="BI92" s="1">
        <v>6.6666666666666679</v>
      </c>
      <c r="BJ92" s="1">
        <v>13.333333333333336</v>
      </c>
      <c r="BK92" s="1">
        <v>80.000000000000014</v>
      </c>
      <c r="BL92" s="1">
        <v>9.7333333333333307</v>
      </c>
      <c r="BM92" s="1">
        <v>15</v>
      </c>
      <c r="BN92" s="1">
        <v>0</v>
      </c>
      <c r="BO92" s="1">
        <v>0</v>
      </c>
      <c r="BP92" s="1">
        <v>0</v>
      </c>
      <c r="BQ92" s="1">
        <v>0</v>
      </c>
      <c r="BR92" s="1">
        <v>0</v>
      </c>
      <c r="BS92" s="1">
        <v>0</v>
      </c>
      <c r="BT92" s="1">
        <v>0</v>
      </c>
      <c r="BU92" s="1">
        <v>6.6666666666666679</v>
      </c>
      <c r="BV92" s="1">
        <v>0</v>
      </c>
      <c r="BW92" s="1">
        <v>93.333333333333329</v>
      </c>
      <c r="BX92" s="1">
        <v>9.8666666666666654</v>
      </c>
      <c r="BY92" s="1">
        <v>15</v>
      </c>
      <c r="BZ92" s="1">
        <v>0</v>
      </c>
      <c r="CA92" s="1">
        <v>0</v>
      </c>
      <c r="CB92" s="1">
        <v>0</v>
      </c>
      <c r="CC92" s="1">
        <v>0</v>
      </c>
      <c r="CD92" s="1">
        <v>0</v>
      </c>
      <c r="CE92" s="1">
        <v>0</v>
      </c>
      <c r="CF92" s="1">
        <v>0</v>
      </c>
      <c r="CG92" s="1">
        <v>6.6666666666666679</v>
      </c>
      <c r="CH92" s="1">
        <v>6.6666666666666679</v>
      </c>
      <c r="CI92" s="1">
        <v>86.666666666666671</v>
      </c>
      <c r="CJ92" s="1">
        <v>9.8000000000000007</v>
      </c>
      <c r="CK92" s="1">
        <v>15</v>
      </c>
      <c r="CL92" s="1">
        <v>53.333333333333364</v>
      </c>
      <c r="CM92" s="1">
        <v>20.000000000000004</v>
      </c>
      <c r="CN92" s="1">
        <v>6.6666666666666679</v>
      </c>
      <c r="CO92" s="1">
        <v>20.000000000000004</v>
      </c>
      <c r="CP92" s="1">
        <v>0</v>
      </c>
      <c r="CQ92" s="1">
        <v>15</v>
      </c>
      <c r="CR92" s="1">
        <v>92.307692307692349</v>
      </c>
      <c r="CS92" s="1">
        <v>7.6923076923076925</v>
      </c>
      <c r="CT92" s="1">
        <v>0</v>
      </c>
      <c r="CU92" s="1">
        <v>0</v>
      </c>
      <c r="CV92" s="1">
        <v>0</v>
      </c>
      <c r="CW92" s="1">
        <v>13</v>
      </c>
      <c r="CX92" s="1">
        <v>92.857142857142875</v>
      </c>
      <c r="CY92" s="1">
        <v>7.1428571428571397</v>
      </c>
      <c r="CZ92" s="1">
        <v>0</v>
      </c>
      <c r="DA92" s="1">
        <v>0</v>
      </c>
      <c r="DB92" s="1">
        <v>0</v>
      </c>
      <c r="DC92" s="1">
        <v>14</v>
      </c>
      <c r="DD92" s="1">
        <v>85.714285714285751</v>
      </c>
      <c r="DE92" s="1">
        <v>14.285714285714279</v>
      </c>
      <c r="DF92" s="1">
        <v>0</v>
      </c>
      <c r="DG92" s="1">
        <v>0</v>
      </c>
      <c r="DH92" s="1">
        <v>0</v>
      </c>
      <c r="DI92" s="1">
        <v>14</v>
      </c>
      <c r="DJ92" s="1">
        <v>91.666666666666671</v>
      </c>
      <c r="DK92" s="1">
        <v>8.3333333333333304</v>
      </c>
      <c r="DL92" s="1">
        <v>0</v>
      </c>
      <c r="DM92" s="1">
        <v>0</v>
      </c>
      <c r="DN92" s="1">
        <v>0</v>
      </c>
      <c r="DO92" s="1">
        <v>12</v>
      </c>
      <c r="DP92" s="1">
        <v>92.857142857142875</v>
      </c>
      <c r="DQ92" s="1">
        <v>7.1428571428571397</v>
      </c>
      <c r="DR92" s="1">
        <v>0</v>
      </c>
      <c r="DS92" s="1">
        <v>0</v>
      </c>
      <c r="DT92" s="1">
        <v>0</v>
      </c>
      <c r="DU92" s="1">
        <v>14</v>
      </c>
      <c r="DV92" s="1">
        <v>100</v>
      </c>
      <c r="DW92" s="1">
        <v>0</v>
      </c>
      <c r="DX92" s="1">
        <v>0</v>
      </c>
      <c r="DY92" s="1">
        <v>0</v>
      </c>
      <c r="DZ92" s="1">
        <v>0</v>
      </c>
      <c r="EA92" s="1">
        <v>10</v>
      </c>
      <c r="EB92" s="1">
        <v>100</v>
      </c>
      <c r="EC92" s="1">
        <v>0</v>
      </c>
      <c r="ED92" s="1">
        <v>0</v>
      </c>
      <c r="EE92" s="1">
        <v>0</v>
      </c>
      <c r="EF92" s="1">
        <v>0</v>
      </c>
      <c r="EG92" s="1">
        <v>4</v>
      </c>
      <c r="EH92" s="1">
        <v>100</v>
      </c>
      <c r="EI92" s="1">
        <v>0</v>
      </c>
      <c r="EJ92" s="1">
        <v>0</v>
      </c>
      <c r="EK92" s="1">
        <v>0</v>
      </c>
      <c r="EL92" s="1">
        <v>0</v>
      </c>
      <c r="EM92" s="1">
        <v>4</v>
      </c>
      <c r="EN92" s="1">
        <v>69.999999999999986</v>
      </c>
      <c r="EO92" s="1">
        <v>19.999999999999996</v>
      </c>
      <c r="EP92" s="1">
        <v>9.9999999999999982</v>
      </c>
      <c r="EQ92" s="1">
        <v>0</v>
      </c>
      <c r="ER92" s="1">
        <v>0</v>
      </c>
      <c r="ES92" s="1">
        <v>10</v>
      </c>
      <c r="ET92" s="1">
        <v>63.636363636363633</v>
      </c>
      <c r="EU92" s="1">
        <v>27.272727272727266</v>
      </c>
      <c r="EV92" s="1">
        <v>9.0909090909090917</v>
      </c>
      <c r="EW92" s="1">
        <v>0</v>
      </c>
      <c r="EX92" s="1">
        <v>0</v>
      </c>
      <c r="EY92" s="1">
        <v>11</v>
      </c>
      <c r="EZ92" s="1">
        <v>80</v>
      </c>
      <c r="FA92" s="1">
        <v>20</v>
      </c>
      <c r="FB92" s="1">
        <v>0</v>
      </c>
      <c r="FC92" s="1">
        <v>0</v>
      </c>
      <c r="FD92" s="1">
        <v>0</v>
      </c>
      <c r="FE92" s="1">
        <v>5</v>
      </c>
      <c r="FF92" s="1">
        <v>75.000000000000014</v>
      </c>
      <c r="FG92" s="1">
        <v>25</v>
      </c>
      <c r="FH92" s="1">
        <v>0</v>
      </c>
      <c r="FI92" s="1">
        <v>0</v>
      </c>
      <c r="FJ92" s="1">
        <v>0</v>
      </c>
      <c r="FK92" s="1">
        <v>4</v>
      </c>
      <c r="FL92" s="1">
        <v>71.428571428571431</v>
      </c>
      <c r="FM92" s="1">
        <v>0</v>
      </c>
      <c r="FN92" s="1">
        <v>14.285714285714279</v>
      </c>
      <c r="FO92" s="1">
        <v>0</v>
      </c>
      <c r="FP92" s="1">
        <v>14.285714285714279</v>
      </c>
      <c r="FQ92" s="1">
        <v>7</v>
      </c>
      <c r="FR92" s="1">
        <v>85.714285714285708</v>
      </c>
      <c r="FS92" s="1">
        <v>14.285714285714279</v>
      </c>
      <c r="FT92" s="1">
        <v>0</v>
      </c>
      <c r="FU92" s="1">
        <v>0</v>
      </c>
      <c r="FV92" s="1">
        <v>0</v>
      </c>
      <c r="FW92" s="1">
        <v>7</v>
      </c>
      <c r="FX92" s="1">
        <v>100</v>
      </c>
      <c r="FY92" s="1">
        <v>0</v>
      </c>
      <c r="FZ92" s="1">
        <v>0</v>
      </c>
      <c r="GA92" s="1">
        <v>0</v>
      </c>
      <c r="GB92" s="1">
        <v>0</v>
      </c>
      <c r="GC92" s="1">
        <v>13</v>
      </c>
      <c r="GD92" s="1">
        <v>99.999999999999986</v>
      </c>
      <c r="GE92" s="1">
        <v>0</v>
      </c>
      <c r="GF92" s="1">
        <v>0</v>
      </c>
      <c r="GG92" s="1">
        <v>0</v>
      </c>
      <c r="GH92" s="1">
        <v>0</v>
      </c>
      <c r="GI92" s="1">
        <v>7</v>
      </c>
      <c r="GJ92" s="1">
        <v>77.7777777777778</v>
      </c>
      <c r="GK92" s="1">
        <v>22.222222222222225</v>
      </c>
      <c r="GL92" s="1">
        <v>0</v>
      </c>
      <c r="GM92" s="1">
        <v>0</v>
      </c>
      <c r="GN92" s="1">
        <v>0</v>
      </c>
      <c r="GO92" s="1">
        <v>9</v>
      </c>
      <c r="GP92" s="1">
        <v>90.909090909090921</v>
      </c>
      <c r="GQ92" s="1">
        <v>9.0909090909090917</v>
      </c>
      <c r="GR92" s="1">
        <v>0</v>
      </c>
      <c r="GS92" s="1">
        <v>0</v>
      </c>
      <c r="GT92" s="1">
        <v>0</v>
      </c>
      <c r="GU92" s="1">
        <v>11</v>
      </c>
      <c r="GV92" s="1">
        <v>100</v>
      </c>
      <c r="GW92" s="1">
        <v>0</v>
      </c>
      <c r="GX92" s="1">
        <v>0</v>
      </c>
      <c r="GY92" s="1">
        <v>0</v>
      </c>
      <c r="GZ92" s="1">
        <v>0</v>
      </c>
      <c r="HA92" s="1">
        <v>11</v>
      </c>
      <c r="HB92" s="1">
        <v>66.666666666666643</v>
      </c>
      <c r="HC92" s="1">
        <v>33.333333333333321</v>
      </c>
      <c r="HD92" s="1">
        <v>0</v>
      </c>
      <c r="HE92" s="1">
        <v>0</v>
      </c>
      <c r="HF92" s="1">
        <v>0</v>
      </c>
      <c r="HG92" s="1">
        <v>3</v>
      </c>
      <c r="HH92" s="1">
        <v>66.666666666666643</v>
      </c>
      <c r="HI92" s="1">
        <v>33.333333333333321</v>
      </c>
      <c r="HJ92" s="1">
        <v>0</v>
      </c>
      <c r="HK92" s="1">
        <v>0</v>
      </c>
      <c r="HL92" s="1">
        <v>0</v>
      </c>
      <c r="HM92" s="1">
        <v>3</v>
      </c>
      <c r="HN92" s="1">
        <v>0</v>
      </c>
      <c r="HO92" s="1">
        <v>0</v>
      </c>
      <c r="HP92" s="1">
        <v>0</v>
      </c>
      <c r="HQ92" s="1">
        <v>0</v>
      </c>
      <c r="HR92" s="1">
        <v>0</v>
      </c>
      <c r="HS92" s="1">
        <v>0</v>
      </c>
      <c r="HT92" s="1">
        <v>0</v>
      </c>
      <c r="HU92" s="1">
        <v>0</v>
      </c>
      <c r="HV92" s="1">
        <v>0</v>
      </c>
      <c r="HW92" s="1">
        <v>0</v>
      </c>
      <c r="HX92" s="1">
        <v>0</v>
      </c>
      <c r="HY92" s="1">
        <v>0</v>
      </c>
      <c r="HZ92" s="1">
        <v>0</v>
      </c>
      <c r="IA92" s="1">
        <v>0</v>
      </c>
      <c r="IB92" s="1">
        <v>0</v>
      </c>
      <c r="IC92" s="1">
        <v>0</v>
      </c>
      <c r="ID92" s="1">
        <v>0</v>
      </c>
      <c r="IE92" s="1">
        <v>0</v>
      </c>
      <c r="IF92" s="1">
        <v>9.5714285714285712</v>
      </c>
      <c r="IG92" s="1">
        <v>0</v>
      </c>
      <c r="IH92" s="1">
        <v>0</v>
      </c>
      <c r="II92" s="1">
        <v>0</v>
      </c>
      <c r="IJ92" s="1">
        <v>0</v>
      </c>
      <c r="IK92" s="1">
        <v>0</v>
      </c>
      <c r="IL92" s="1">
        <v>0</v>
      </c>
      <c r="IM92" s="1">
        <v>0</v>
      </c>
      <c r="IN92" s="1">
        <v>0</v>
      </c>
      <c r="IO92" s="1">
        <v>42.857142857142875</v>
      </c>
      <c r="IP92" s="1">
        <v>57.142857142857139</v>
      </c>
      <c r="IQ92" s="1">
        <v>9.5714285714285694</v>
      </c>
      <c r="IR92" s="1">
        <v>14</v>
      </c>
      <c r="IS92" s="1">
        <v>6.25</v>
      </c>
      <c r="IT92" s="1">
        <v>81.25</v>
      </c>
      <c r="IU92" s="1">
        <v>12.5</v>
      </c>
      <c r="IV92" s="1">
        <v>0</v>
      </c>
      <c r="IW92" s="1">
        <v>0</v>
      </c>
      <c r="IX92" s="1">
        <v>16</v>
      </c>
      <c r="IY92" s="1">
        <v>1</v>
      </c>
      <c r="IZ92" s="1">
        <v>6.8420799999999966</v>
      </c>
      <c r="JA92" s="1">
        <v>2.5657800000000011</v>
      </c>
      <c r="JB92" s="1">
        <v>1.2828900000000005</v>
      </c>
      <c r="JC92" s="1">
        <v>2.5657800000000011</v>
      </c>
      <c r="JD92" s="1">
        <v>2.5657800000000011</v>
      </c>
      <c r="JE92" s="1">
        <v>0.37500000000000006</v>
      </c>
      <c r="JF92" s="1">
        <v>0.18750000000000003</v>
      </c>
      <c r="JG92" s="1">
        <v>0.37500000000000006</v>
      </c>
      <c r="JH92" s="1">
        <v>0.37500000000000006</v>
      </c>
      <c r="JI92" s="1">
        <v>1</v>
      </c>
      <c r="JJ92" s="1">
        <v>16</v>
      </c>
      <c r="JK92" s="1">
        <v>3.4</v>
      </c>
      <c r="JL92" s="1">
        <v>3.4000000000000004</v>
      </c>
      <c r="JM92" s="1">
        <v>15</v>
      </c>
      <c r="JN92" s="1">
        <v>100</v>
      </c>
      <c r="JO92" s="1">
        <v>0</v>
      </c>
      <c r="JP92" s="1">
        <v>6</v>
      </c>
      <c r="JQ92" s="1">
        <v>100</v>
      </c>
      <c r="JR92" s="1">
        <v>0</v>
      </c>
      <c r="JS92" s="1">
        <v>5</v>
      </c>
      <c r="JT92" s="1">
        <v>100</v>
      </c>
      <c r="JU92" s="1">
        <v>0</v>
      </c>
      <c r="JV92" s="1">
        <v>15</v>
      </c>
      <c r="JW92" s="1">
        <v>100</v>
      </c>
      <c r="JX92" s="1">
        <v>0</v>
      </c>
      <c r="JY92" s="1">
        <v>11</v>
      </c>
      <c r="JZ92" s="1">
        <v>28.571428571428559</v>
      </c>
      <c r="KA92" s="1">
        <v>71.428571428571445</v>
      </c>
      <c r="KB92" s="1">
        <v>14</v>
      </c>
      <c r="KC92" s="1">
        <v>100</v>
      </c>
      <c r="KD92" s="1">
        <v>0</v>
      </c>
      <c r="KE92" s="1">
        <v>14</v>
      </c>
      <c r="KF92" s="1">
        <v>3.2307692307692308</v>
      </c>
      <c r="KG92" s="1">
        <v>0</v>
      </c>
      <c r="KH92" s="1">
        <v>23.076923076923087</v>
      </c>
      <c r="KI92" s="1">
        <v>46.153846153846175</v>
      </c>
      <c r="KJ92" s="1">
        <v>15.384615384615385</v>
      </c>
      <c r="KK92" s="1">
        <v>15.384615384615385</v>
      </c>
      <c r="KL92" s="1">
        <v>13</v>
      </c>
      <c r="KM92" s="1">
        <v>56.46153846153846</v>
      </c>
      <c r="KN92" s="1">
        <v>82.5</v>
      </c>
      <c r="KO92" s="1">
        <v>0</v>
      </c>
      <c r="KP92" s="1">
        <v>0</v>
      </c>
      <c r="KQ92" s="1">
        <v>50</v>
      </c>
      <c r="KR92" s="1">
        <v>25</v>
      </c>
      <c r="KS92" s="1">
        <v>25</v>
      </c>
      <c r="KT92" s="1">
        <v>4</v>
      </c>
      <c r="KU92" s="1">
        <v>0</v>
      </c>
      <c r="KV92" s="1">
        <v>0</v>
      </c>
      <c r="KW92" s="1">
        <v>0</v>
      </c>
      <c r="KX92" s="1">
        <v>100</v>
      </c>
      <c r="KY92" s="1">
        <v>0</v>
      </c>
      <c r="KZ92" s="1">
        <v>13</v>
      </c>
      <c r="LA92" s="1">
        <v>8.3333333333333304</v>
      </c>
      <c r="LB92" s="1">
        <v>91.666666666666671</v>
      </c>
      <c r="LC92" s="1">
        <v>12</v>
      </c>
      <c r="LD92" s="1">
        <v>0</v>
      </c>
      <c r="LE92" s="1">
        <v>0</v>
      </c>
      <c r="LF92" s="1">
        <v>100</v>
      </c>
      <c r="LG92" s="1">
        <v>1</v>
      </c>
    </row>
    <row r="93" spans="1:319" x14ac:dyDescent="0.25">
      <c r="A93" s="1">
        <v>1070</v>
      </c>
      <c r="B93" s="1">
        <v>30.76923076923077</v>
      </c>
      <c r="C93" s="1">
        <v>69.230769230769255</v>
      </c>
      <c r="D93" s="1">
        <v>13</v>
      </c>
      <c r="E93" s="1">
        <v>55.55555555555555</v>
      </c>
      <c r="F93" s="1">
        <v>44.44444444444445</v>
      </c>
      <c r="G93" s="1">
        <v>9</v>
      </c>
      <c r="H93" s="1">
        <v>60</v>
      </c>
      <c r="I93" s="1">
        <v>40</v>
      </c>
      <c r="J93" s="1">
        <v>5</v>
      </c>
      <c r="K93" s="1">
        <v>1</v>
      </c>
      <c r="L93" s="1">
        <v>6.7281499999999994</v>
      </c>
      <c r="M93" s="1">
        <v>1.0350999999999999</v>
      </c>
      <c r="N93" s="1">
        <v>0.51754999999999995</v>
      </c>
      <c r="O93" s="1">
        <v>1.5526499999999999</v>
      </c>
      <c r="P93" s="1">
        <v>3.6228499999999997</v>
      </c>
      <c r="Q93" s="1">
        <v>0</v>
      </c>
      <c r="R93" s="1">
        <v>1.0350999999999999</v>
      </c>
      <c r="S93" s="1">
        <v>0</v>
      </c>
      <c r="T93" s="1">
        <v>0</v>
      </c>
      <c r="U93" s="1">
        <v>1.0350999999999999</v>
      </c>
      <c r="V93" s="1">
        <v>0.51754999999999995</v>
      </c>
      <c r="W93" s="1">
        <v>0.1538461538461538</v>
      </c>
      <c r="X93" s="1">
        <v>7.69230769230769E-2</v>
      </c>
      <c r="Y93" s="1">
        <v>0.23076923076923081</v>
      </c>
      <c r="Z93" s="1">
        <v>0.53846153846153844</v>
      </c>
      <c r="AA93" s="1">
        <v>0</v>
      </c>
      <c r="AB93" s="1">
        <v>0.1538461538461538</v>
      </c>
      <c r="AC93" s="1">
        <v>0</v>
      </c>
      <c r="AD93" s="1">
        <v>0</v>
      </c>
      <c r="AE93" s="1">
        <v>0.1538461538461538</v>
      </c>
      <c r="AF93" s="1">
        <v>7.69230769230769E-2</v>
      </c>
      <c r="AG93" s="1">
        <v>1</v>
      </c>
      <c r="AH93" s="1">
        <v>13</v>
      </c>
      <c r="AI93" s="1">
        <v>1</v>
      </c>
      <c r="AJ93" s="1">
        <v>6.7281499999999994</v>
      </c>
      <c r="AK93" s="1">
        <v>3.6228499999999997</v>
      </c>
      <c r="AL93" s="1">
        <v>6.7281499999999994</v>
      </c>
      <c r="AM93" s="1">
        <v>2.5877499999999998</v>
      </c>
      <c r="AN93" s="1">
        <v>1.5526499999999999</v>
      </c>
      <c r="AO93" s="1">
        <v>0.51754999999999995</v>
      </c>
      <c r="AP93" s="1">
        <v>0.51754999999999995</v>
      </c>
      <c r="AQ93" s="1">
        <v>0.53846153846153844</v>
      </c>
      <c r="AR93" s="1">
        <v>1</v>
      </c>
      <c r="AS93" s="1">
        <v>0.38461538461538469</v>
      </c>
      <c r="AT93" s="1">
        <v>0.23076923076923081</v>
      </c>
      <c r="AU93" s="1">
        <v>7.69230769230769E-2</v>
      </c>
      <c r="AV93" s="1">
        <v>7.69230769230769E-2</v>
      </c>
      <c r="AW93" s="1">
        <v>1</v>
      </c>
      <c r="AX93" s="1">
        <v>13</v>
      </c>
      <c r="AY93" s="1">
        <v>9.7692307692307701</v>
      </c>
      <c r="AZ93" s="1">
        <v>9.75</v>
      </c>
      <c r="BA93" s="1">
        <v>9.6923076923076916</v>
      </c>
      <c r="BB93" s="1">
        <v>0</v>
      </c>
      <c r="BC93" s="1">
        <v>0</v>
      </c>
      <c r="BD93" s="1">
        <v>0</v>
      </c>
      <c r="BE93" s="1">
        <v>0</v>
      </c>
      <c r="BF93" s="1">
        <v>0</v>
      </c>
      <c r="BG93" s="1">
        <v>0</v>
      </c>
      <c r="BH93" s="1">
        <v>0</v>
      </c>
      <c r="BI93" s="1">
        <v>0</v>
      </c>
      <c r="BJ93" s="1">
        <v>23.076923076923073</v>
      </c>
      <c r="BK93" s="1">
        <v>76.92307692307692</v>
      </c>
      <c r="BL93" s="1">
        <v>9.7692307692307718</v>
      </c>
      <c r="BM93" s="1">
        <v>13</v>
      </c>
      <c r="BN93" s="1">
        <v>0</v>
      </c>
      <c r="BO93" s="1">
        <v>0</v>
      </c>
      <c r="BP93" s="1">
        <v>0</v>
      </c>
      <c r="BQ93" s="1">
        <v>0</v>
      </c>
      <c r="BR93" s="1">
        <v>0</v>
      </c>
      <c r="BS93" s="1">
        <v>0</v>
      </c>
      <c r="BT93" s="1">
        <v>0</v>
      </c>
      <c r="BU93" s="1">
        <v>8.3333333333333321</v>
      </c>
      <c r="BV93" s="1">
        <v>8.3333333333333321</v>
      </c>
      <c r="BW93" s="1">
        <v>83.333333333333343</v>
      </c>
      <c r="BX93" s="1">
        <v>9.75</v>
      </c>
      <c r="BY93" s="1">
        <v>12</v>
      </c>
      <c r="BZ93" s="1">
        <v>0</v>
      </c>
      <c r="CA93" s="1">
        <v>0</v>
      </c>
      <c r="CB93" s="1">
        <v>0</v>
      </c>
      <c r="CC93" s="1">
        <v>0</v>
      </c>
      <c r="CD93" s="1">
        <v>0</v>
      </c>
      <c r="CE93" s="1">
        <v>0</v>
      </c>
      <c r="CF93" s="1">
        <v>7.6923076923076925</v>
      </c>
      <c r="CG93" s="1">
        <v>0</v>
      </c>
      <c r="CH93" s="1">
        <v>7.6923076923076925</v>
      </c>
      <c r="CI93" s="1">
        <v>84.615384615384627</v>
      </c>
      <c r="CJ93" s="1">
        <v>9.6923076923076916</v>
      </c>
      <c r="CK93" s="1">
        <v>13</v>
      </c>
      <c r="CL93" s="1">
        <v>23.076923076923073</v>
      </c>
      <c r="CM93" s="1">
        <v>61.53846153846154</v>
      </c>
      <c r="CN93" s="1">
        <v>0</v>
      </c>
      <c r="CO93" s="1">
        <v>15.384615384615385</v>
      </c>
      <c r="CP93" s="1">
        <v>0</v>
      </c>
      <c r="CQ93" s="1">
        <v>13</v>
      </c>
      <c r="CR93" s="1">
        <v>53.846153846153847</v>
      </c>
      <c r="CS93" s="1">
        <v>46.153846153846146</v>
      </c>
      <c r="CT93" s="1">
        <v>0</v>
      </c>
      <c r="CU93" s="1">
        <v>0</v>
      </c>
      <c r="CV93" s="1">
        <v>0</v>
      </c>
      <c r="CW93" s="1">
        <v>13</v>
      </c>
      <c r="CX93" s="1">
        <v>76.92307692307692</v>
      </c>
      <c r="CY93" s="1">
        <v>15.384615384615385</v>
      </c>
      <c r="CZ93" s="1">
        <v>7.6923076923076925</v>
      </c>
      <c r="DA93" s="1">
        <v>0</v>
      </c>
      <c r="DB93" s="1">
        <v>0</v>
      </c>
      <c r="DC93" s="1">
        <v>13</v>
      </c>
      <c r="DD93" s="1">
        <v>69.230769230769255</v>
      </c>
      <c r="DE93" s="1">
        <v>23.076923076923073</v>
      </c>
      <c r="DF93" s="1">
        <v>7.6923076923076925</v>
      </c>
      <c r="DG93" s="1">
        <v>0</v>
      </c>
      <c r="DH93" s="1">
        <v>0</v>
      </c>
      <c r="DI93" s="1">
        <v>13</v>
      </c>
      <c r="DJ93" s="1">
        <v>72.727272727272734</v>
      </c>
      <c r="DK93" s="1">
        <v>18.181818181818183</v>
      </c>
      <c r="DL93" s="1">
        <v>0</v>
      </c>
      <c r="DM93" s="1">
        <v>9.0909090909090917</v>
      </c>
      <c r="DN93" s="1">
        <v>0</v>
      </c>
      <c r="DO93" s="1">
        <v>11</v>
      </c>
      <c r="DP93" s="1">
        <v>84.615384615384627</v>
      </c>
      <c r="DQ93" s="1">
        <v>15.384615384615385</v>
      </c>
      <c r="DR93" s="1">
        <v>0</v>
      </c>
      <c r="DS93" s="1">
        <v>0</v>
      </c>
      <c r="DT93" s="1">
        <v>0</v>
      </c>
      <c r="DU93" s="1">
        <v>13</v>
      </c>
      <c r="DV93" s="1">
        <v>75</v>
      </c>
      <c r="DW93" s="1">
        <v>16.666666666666664</v>
      </c>
      <c r="DX93" s="1">
        <v>0</v>
      </c>
      <c r="DY93" s="1">
        <v>0</v>
      </c>
      <c r="DZ93" s="1">
        <v>8.3333333333333321</v>
      </c>
      <c r="EA93" s="1">
        <v>12</v>
      </c>
      <c r="EB93" s="1">
        <v>66.666666666666657</v>
      </c>
      <c r="EC93" s="1">
        <v>33.333333333333329</v>
      </c>
      <c r="ED93" s="1">
        <v>0</v>
      </c>
      <c r="EE93" s="1">
        <v>0</v>
      </c>
      <c r="EF93" s="1">
        <v>0</v>
      </c>
      <c r="EG93" s="1">
        <v>3</v>
      </c>
      <c r="EH93" s="1">
        <v>0</v>
      </c>
      <c r="EI93" s="1">
        <v>0</v>
      </c>
      <c r="EJ93" s="1">
        <v>0</v>
      </c>
      <c r="EK93" s="1">
        <v>0</v>
      </c>
      <c r="EL93" s="1">
        <v>100</v>
      </c>
      <c r="EM93" s="1">
        <v>1</v>
      </c>
      <c r="EN93" s="1">
        <v>25</v>
      </c>
      <c r="EO93" s="1">
        <v>50</v>
      </c>
      <c r="EP93" s="1">
        <v>0</v>
      </c>
      <c r="EQ93" s="1">
        <v>0</v>
      </c>
      <c r="ER93" s="1">
        <v>25</v>
      </c>
      <c r="ES93" s="1">
        <v>4</v>
      </c>
      <c r="ET93" s="1">
        <v>50</v>
      </c>
      <c r="EU93" s="1">
        <v>25</v>
      </c>
      <c r="EV93" s="1">
        <v>0</v>
      </c>
      <c r="EW93" s="1">
        <v>0</v>
      </c>
      <c r="EX93" s="1">
        <v>25</v>
      </c>
      <c r="EY93" s="1">
        <v>4</v>
      </c>
      <c r="EZ93" s="1">
        <v>50</v>
      </c>
      <c r="FA93" s="1">
        <v>0</v>
      </c>
      <c r="FB93" s="1">
        <v>0</v>
      </c>
      <c r="FC93" s="1">
        <v>0</v>
      </c>
      <c r="FD93" s="1">
        <v>50</v>
      </c>
      <c r="FE93" s="1">
        <v>2</v>
      </c>
      <c r="FF93" s="1">
        <v>0</v>
      </c>
      <c r="FG93" s="1">
        <v>0</v>
      </c>
      <c r="FH93" s="1">
        <v>0</v>
      </c>
      <c r="FI93" s="1">
        <v>0</v>
      </c>
      <c r="FJ93" s="1">
        <v>100</v>
      </c>
      <c r="FK93" s="1">
        <v>1</v>
      </c>
      <c r="FL93" s="1">
        <v>0</v>
      </c>
      <c r="FM93" s="1">
        <v>0</v>
      </c>
      <c r="FN93" s="1">
        <v>0</v>
      </c>
      <c r="FO93" s="1">
        <v>50</v>
      </c>
      <c r="FP93" s="1">
        <v>50</v>
      </c>
      <c r="FQ93" s="1">
        <v>2</v>
      </c>
      <c r="FR93" s="1">
        <v>33.333333333333329</v>
      </c>
      <c r="FS93" s="1">
        <v>33.333333333333329</v>
      </c>
      <c r="FT93" s="1">
        <v>0</v>
      </c>
      <c r="FU93" s="1">
        <v>0</v>
      </c>
      <c r="FV93" s="1">
        <v>33.333333333333329</v>
      </c>
      <c r="FW93" s="1">
        <v>3</v>
      </c>
      <c r="FX93" s="1">
        <v>69.230769230769255</v>
      </c>
      <c r="FY93" s="1">
        <v>23.076923076923073</v>
      </c>
      <c r="FZ93" s="1">
        <v>0</v>
      </c>
      <c r="GA93" s="1">
        <v>7.6923076923076925</v>
      </c>
      <c r="GB93" s="1">
        <v>0</v>
      </c>
      <c r="GC93" s="1">
        <v>13</v>
      </c>
      <c r="GD93" s="1">
        <v>33.333333333333329</v>
      </c>
      <c r="GE93" s="1">
        <v>0</v>
      </c>
      <c r="GF93" s="1">
        <v>0</v>
      </c>
      <c r="GG93" s="1">
        <v>33.333333333333329</v>
      </c>
      <c r="GH93" s="1">
        <v>33.333333333333329</v>
      </c>
      <c r="GI93" s="1">
        <v>3</v>
      </c>
      <c r="GJ93" s="1">
        <v>50</v>
      </c>
      <c r="GK93" s="1">
        <v>25</v>
      </c>
      <c r="GL93" s="1">
        <v>0</v>
      </c>
      <c r="GM93" s="1">
        <v>0</v>
      </c>
      <c r="GN93" s="1">
        <v>25</v>
      </c>
      <c r="GO93" s="1">
        <v>4</v>
      </c>
      <c r="GP93" s="1">
        <v>83.333333333333343</v>
      </c>
      <c r="GQ93" s="1">
        <v>0</v>
      </c>
      <c r="GR93" s="1">
        <v>0</v>
      </c>
      <c r="GS93" s="1">
        <v>0</v>
      </c>
      <c r="GT93" s="1">
        <v>16.666666666666664</v>
      </c>
      <c r="GU93" s="1">
        <v>6</v>
      </c>
      <c r="GV93" s="1">
        <v>83.333333333333343</v>
      </c>
      <c r="GW93" s="1">
        <v>0</v>
      </c>
      <c r="GX93" s="1">
        <v>0</v>
      </c>
      <c r="GY93" s="1">
        <v>16.666666666666664</v>
      </c>
      <c r="GZ93" s="1">
        <v>0</v>
      </c>
      <c r="HA93" s="1">
        <v>6</v>
      </c>
      <c r="HB93" s="1">
        <v>0</v>
      </c>
      <c r="HC93" s="1">
        <v>0</v>
      </c>
      <c r="HD93" s="1">
        <v>0</v>
      </c>
      <c r="HE93" s="1">
        <v>0</v>
      </c>
      <c r="HF93" s="1">
        <v>0</v>
      </c>
      <c r="HG93" s="1">
        <v>0</v>
      </c>
      <c r="HH93" s="1">
        <v>0</v>
      </c>
      <c r="HI93" s="1">
        <v>0</v>
      </c>
      <c r="HJ93" s="1">
        <v>0</v>
      </c>
      <c r="HK93" s="1">
        <v>100</v>
      </c>
      <c r="HL93" s="1">
        <v>0</v>
      </c>
      <c r="HM93" s="1">
        <v>2</v>
      </c>
      <c r="HN93" s="1">
        <v>0</v>
      </c>
      <c r="HO93" s="1">
        <v>0</v>
      </c>
      <c r="HP93" s="1">
        <v>0</v>
      </c>
      <c r="HQ93" s="1">
        <v>0</v>
      </c>
      <c r="HR93" s="1">
        <v>0</v>
      </c>
      <c r="HS93" s="1">
        <v>0</v>
      </c>
      <c r="HT93" s="1">
        <v>0</v>
      </c>
      <c r="HU93" s="1">
        <v>0</v>
      </c>
      <c r="HV93" s="1">
        <v>0</v>
      </c>
      <c r="HW93" s="1">
        <v>0</v>
      </c>
      <c r="HX93" s="1">
        <v>0</v>
      </c>
      <c r="HY93" s="1">
        <v>0</v>
      </c>
      <c r="HZ93" s="1">
        <v>0</v>
      </c>
      <c r="IA93" s="1">
        <v>0</v>
      </c>
      <c r="IB93" s="1">
        <v>0</v>
      </c>
      <c r="IC93" s="1">
        <v>0</v>
      </c>
      <c r="ID93" s="1">
        <v>0</v>
      </c>
      <c r="IE93" s="1">
        <v>0</v>
      </c>
      <c r="IF93" s="1">
        <v>8.7692307692307701</v>
      </c>
      <c r="IG93" s="1">
        <v>0</v>
      </c>
      <c r="IH93" s="1">
        <v>0</v>
      </c>
      <c r="II93" s="1">
        <v>0</v>
      </c>
      <c r="IJ93" s="1">
        <v>7.6923076923076925</v>
      </c>
      <c r="IK93" s="1">
        <v>0</v>
      </c>
      <c r="IL93" s="1">
        <v>0</v>
      </c>
      <c r="IM93" s="1">
        <v>0</v>
      </c>
      <c r="IN93" s="1">
        <v>23.076923076923073</v>
      </c>
      <c r="IO93" s="1">
        <v>30.76923076923077</v>
      </c>
      <c r="IP93" s="1">
        <v>38.46153846153846</v>
      </c>
      <c r="IQ93" s="1">
        <v>8.7692307692307718</v>
      </c>
      <c r="IR93" s="1">
        <v>13</v>
      </c>
      <c r="IS93" s="1">
        <v>61.53846153846154</v>
      </c>
      <c r="IT93" s="1">
        <v>23.076923076923073</v>
      </c>
      <c r="IU93" s="1">
        <v>15.384615384615385</v>
      </c>
      <c r="IV93" s="1">
        <v>0</v>
      </c>
      <c r="IW93" s="1">
        <v>0</v>
      </c>
      <c r="IX93" s="1">
        <v>13</v>
      </c>
      <c r="IY93" s="1">
        <v>1</v>
      </c>
      <c r="IZ93" s="1">
        <v>6.7281499999999994</v>
      </c>
      <c r="JA93" s="1">
        <v>3.1052999999999997</v>
      </c>
      <c r="JB93" s="1">
        <v>2.0701999999999998</v>
      </c>
      <c r="JC93" s="1">
        <v>1.5526499999999999</v>
      </c>
      <c r="JD93" s="1">
        <v>1.5526499999999999</v>
      </c>
      <c r="JE93" s="1">
        <v>0.46153846153846162</v>
      </c>
      <c r="JF93" s="1">
        <v>0.3076923076923076</v>
      </c>
      <c r="JG93" s="1">
        <v>0.23076923076923081</v>
      </c>
      <c r="JH93" s="1">
        <v>0.23076923076923081</v>
      </c>
      <c r="JI93" s="1">
        <v>1</v>
      </c>
      <c r="JJ93" s="1">
        <v>13</v>
      </c>
      <c r="JK93" s="1">
        <v>2.5384615384615383</v>
      </c>
      <c r="JL93" s="1">
        <v>2.5384615384615392</v>
      </c>
      <c r="JM93" s="1">
        <v>13</v>
      </c>
      <c r="JN93" s="1">
        <v>25</v>
      </c>
      <c r="JO93" s="1">
        <v>75</v>
      </c>
      <c r="JP93" s="1">
        <v>4</v>
      </c>
      <c r="JQ93" s="1">
        <v>100</v>
      </c>
      <c r="JR93" s="1">
        <v>0</v>
      </c>
      <c r="JS93" s="1">
        <v>3</v>
      </c>
      <c r="JT93" s="1">
        <v>100</v>
      </c>
      <c r="JU93" s="1">
        <v>0</v>
      </c>
      <c r="JV93" s="1">
        <v>12</v>
      </c>
      <c r="JW93" s="1">
        <v>85.714285714285694</v>
      </c>
      <c r="JX93" s="1">
        <v>14.285714285714285</v>
      </c>
      <c r="JY93" s="1">
        <v>7</v>
      </c>
      <c r="JZ93" s="1">
        <v>15.384615384615385</v>
      </c>
      <c r="KA93" s="1">
        <v>84.615384615384627</v>
      </c>
      <c r="KB93" s="1">
        <v>13</v>
      </c>
      <c r="KC93" s="1">
        <v>100</v>
      </c>
      <c r="KD93" s="1">
        <v>0</v>
      </c>
      <c r="KE93" s="1">
        <v>13</v>
      </c>
      <c r="KF93" s="1">
        <v>3.3846153846153846</v>
      </c>
      <c r="KG93" s="1">
        <v>0</v>
      </c>
      <c r="KH93" s="1">
        <v>0</v>
      </c>
      <c r="KI93" s="1">
        <v>61.53846153846154</v>
      </c>
      <c r="KJ93" s="1">
        <v>38.46153846153846</v>
      </c>
      <c r="KK93" s="1">
        <v>0</v>
      </c>
      <c r="KL93" s="1">
        <v>13</v>
      </c>
      <c r="KM93" s="1">
        <v>59.923076923076913</v>
      </c>
      <c r="KN93" s="1">
        <v>0</v>
      </c>
      <c r="KO93" s="1">
        <v>0</v>
      </c>
      <c r="KP93" s="1">
        <v>0</v>
      </c>
      <c r="KQ93" s="1">
        <v>0</v>
      </c>
      <c r="KR93" s="1">
        <v>0</v>
      </c>
      <c r="KS93" s="1">
        <v>0</v>
      </c>
      <c r="KT93" s="1">
        <v>0</v>
      </c>
      <c r="KU93" s="1">
        <v>0</v>
      </c>
      <c r="KV93" s="1">
        <v>0</v>
      </c>
      <c r="KW93" s="1">
        <v>0</v>
      </c>
      <c r="KX93" s="1">
        <v>100</v>
      </c>
      <c r="KY93" s="1">
        <v>0</v>
      </c>
      <c r="KZ93" s="1">
        <v>12</v>
      </c>
      <c r="LA93" s="1">
        <v>18.181818181818183</v>
      </c>
      <c r="LB93" s="1">
        <v>81.818181818181785</v>
      </c>
      <c r="LC93" s="1">
        <v>11</v>
      </c>
      <c r="LD93" s="1">
        <v>0</v>
      </c>
      <c r="LE93" s="1">
        <v>50</v>
      </c>
      <c r="LF93" s="1">
        <v>50</v>
      </c>
      <c r="LG93" s="1">
        <v>2</v>
      </c>
    </row>
    <row r="94" spans="1:319" x14ac:dyDescent="0.25">
      <c r="A94" s="1">
        <v>1103</v>
      </c>
      <c r="B94" s="1">
        <v>25.000000000000004</v>
      </c>
      <c r="C94" s="1">
        <v>75.000000000000014</v>
      </c>
      <c r="D94" s="1">
        <v>16</v>
      </c>
      <c r="E94" s="1">
        <v>81.818181818181841</v>
      </c>
      <c r="F94" s="1">
        <v>18.181818181818183</v>
      </c>
      <c r="G94" s="1">
        <v>11</v>
      </c>
      <c r="H94" s="1">
        <v>57.142857142857146</v>
      </c>
      <c r="I94" s="1">
        <v>42.857142857142868</v>
      </c>
      <c r="J94" s="1">
        <v>7</v>
      </c>
      <c r="K94" s="1">
        <v>1</v>
      </c>
      <c r="L94" s="1">
        <v>6.1867199999999976</v>
      </c>
      <c r="M94" s="1">
        <v>2.7066900000000009</v>
      </c>
      <c r="N94" s="1">
        <v>0</v>
      </c>
      <c r="O94" s="1">
        <v>0</v>
      </c>
      <c r="P94" s="1">
        <v>0</v>
      </c>
      <c r="Q94" s="1">
        <v>0.3866699999999999</v>
      </c>
      <c r="R94" s="1">
        <v>1.16001</v>
      </c>
      <c r="S94" s="1">
        <v>0</v>
      </c>
      <c r="T94" s="1">
        <v>0.77333999999999981</v>
      </c>
      <c r="U94" s="1">
        <v>0.77333999999999981</v>
      </c>
      <c r="V94" s="1">
        <v>1.16001</v>
      </c>
      <c r="W94" s="1">
        <v>0.43750000000000006</v>
      </c>
      <c r="X94" s="1">
        <v>0</v>
      </c>
      <c r="Y94" s="1">
        <v>0</v>
      </c>
      <c r="Z94" s="1">
        <v>0</v>
      </c>
      <c r="AA94" s="1">
        <v>6.2500000000000014E-2</v>
      </c>
      <c r="AB94" s="1">
        <v>0.18750000000000003</v>
      </c>
      <c r="AC94" s="1">
        <v>0</v>
      </c>
      <c r="AD94" s="1">
        <v>0.12500000000000003</v>
      </c>
      <c r="AE94" s="1">
        <v>0.12500000000000003</v>
      </c>
      <c r="AF94" s="1">
        <v>0.18750000000000003</v>
      </c>
      <c r="AG94" s="1">
        <v>1</v>
      </c>
      <c r="AH94" s="1">
        <v>16</v>
      </c>
      <c r="AI94" s="1">
        <v>1</v>
      </c>
      <c r="AJ94" s="1">
        <v>6.5733899999999998</v>
      </c>
      <c r="AK94" s="1">
        <v>4.2533700000000021</v>
      </c>
      <c r="AL94" s="1">
        <v>5.0267099999999996</v>
      </c>
      <c r="AM94" s="1">
        <v>1.9333500000000006</v>
      </c>
      <c r="AN94" s="1">
        <v>4.2533700000000021</v>
      </c>
      <c r="AO94" s="1">
        <v>0</v>
      </c>
      <c r="AP94" s="1">
        <v>0.3866699999999999</v>
      </c>
      <c r="AQ94" s="1">
        <v>0.64705882352941191</v>
      </c>
      <c r="AR94" s="1">
        <v>0.76470588235294146</v>
      </c>
      <c r="AS94" s="1">
        <v>0.29411764705882365</v>
      </c>
      <c r="AT94" s="1">
        <v>0.64705882352941191</v>
      </c>
      <c r="AU94" s="1">
        <v>0</v>
      </c>
      <c r="AV94" s="1">
        <v>5.8823529411764733E-2</v>
      </c>
      <c r="AW94" s="1">
        <v>1</v>
      </c>
      <c r="AX94" s="1">
        <v>17</v>
      </c>
      <c r="AY94" s="1">
        <v>10</v>
      </c>
      <c r="AZ94" s="1">
        <v>9.9411764705882355</v>
      </c>
      <c r="BA94" s="1">
        <v>9.9411764705882355</v>
      </c>
      <c r="BB94" s="1">
        <v>0</v>
      </c>
      <c r="BC94" s="1">
        <v>0</v>
      </c>
      <c r="BD94" s="1">
        <v>0</v>
      </c>
      <c r="BE94" s="1">
        <v>0</v>
      </c>
      <c r="BF94" s="1">
        <v>0</v>
      </c>
      <c r="BG94" s="1">
        <v>0</v>
      </c>
      <c r="BH94" s="1">
        <v>0</v>
      </c>
      <c r="BI94" s="1">
        <v>0</v>
      </c>
      <c r="BJ94" s="1">
        <v>0</v>
      </c>
      <c r="BK94" s="1">
        <v>100</v>
      </c>
      <c r="BL94" s="1">
        <v>10.000000000000004</v>
      </c>
      <c r="BM94" s="1">
        <v>17</v>
      </c>
      <c r="BN94" s="1">
        <v>0</v>
      </c>
      <c r="BO94" s="1">
        <v>0</v>
      </c>
      <c r="BP94" s="1">
        <v>0</v>
      </c>
      <c r="BQ94" s="1">
        <v>0</v>
      </c>
      <c r="BR94" s="1">
        <v>0</v>
      </c>
      <c r="BS94" s="1">
        <v>0</v>
      </c>
      <c r="BT94" s="1">
        <v>0</v>
      </c>
      <c r="BU94" s="1">
        <v>0</v>
      </c>
      <c r="BV94" s="1">
        <v>5.8823529411764737</v>
      </c>
      <c r="BW94" s="1">
        <v>94.117647058823493</v>
      </c>
      <c r="BX94" s="1">
        <v>9.9411764705882355</v>
      </c>
      <c r="BY94" s="1">
        <v>17</v>
      </c>
      <c r="BZ94" s="1">
        <v>0</v>
      </c>
      <c r="CA94" s="1">
        <v>0</v>
      </c>
      <c r="CB94" s="1">
        <v>0</v>
      </c>
      <c r="CC94" s="1">
        <v>0</v>
      </c>
      <c r="CD94" s="1">
        <v>0</v>
      </c>
      <c r="CE94" s="1">
        <v>0</v>
      </c>
      <c r="CF94" s="1">
        <v>0</v>
      </c>
      <c r="CG94" s="1">
        <v>0</v>
      </c>
      <c r="CH94" s="1">
        <v>5.8823529411764737</v>
      </c>
      <c r="CI94" s="1">
        <v>94.117647058823493</v>
      </c>
      <c r="CJ94" s="1">
        <v>9.9411764705882355</v>
      </c>
      <c r="CK94" s="1">
        <v>17</v>
      </c>
      <c r="CL94" s="1">
        <v>46.666666666666664</v>
      </c>
      <c r="CM94" s="1">
        <v>40.000000000000007</v>
      </c>
      <c r="CN94" s="1">
        <v>0</v>
      </c>
      <c r="CO94" s="1">
        <v>6.6666666666666705</v>
      </c>
      <c r="CP94" s="1">
        <v>6.6666666666666705</v>
      </c>
      <c r="CQ94" s="1">
        <v>15</v>
      </c>
      <c r="CR94" s="1">
        <v>88.235294117647072</v>
      </c>
      <c r="CS94" s="1">
        <v>11.764705882352947</v>
      </c>
      <c r="CT94" s="1">
        <v>0</v>
      </c>
      <c r="CU94" s="1">
        <v>0</v>
      </c>
      <c r="CV94" s="1">
        <v>0</v>
      </c>
      <c r="CW94" s="1">
        <v>17</v>
      </c>
      <c r="CX94" s="1">
        <v>94.117647058823493</v>
      </c>
      <c r="CY94" s="1">
        <v>5.8823529411764737</v>
      </c>
      <c r="CZ94" s="1">
        <v>0</v>
      </c>
      <c r="DA94" s="1">
        <v>0</v>
      </c>
      <c r="DB94" s="1">
        <v>0</v>
      </c>
      <c r="DC94" s="1">
        <v>17</v>
      </c>
      <c r="DD94" s="1">
        <v>94.117647058823493</v>
      </c>
      <c r="DE94" s="1">
        <v>5.8823529411764737</v>
      </c>
      <c r="DF94" s="1">
        <v>0</v>
      </c>
      <c r="DG94" s="1">
        <v>0</v>
      </c>
      <c r="DH94" s="1">
        <v>0</v>
      </c>
      <c r="DI94" s="1">
        <v>17</v>
      </c>
      <c r="DJ94" s="1">
        <v>82.352941176470637</v>
      </c>
      <c r="DK94" s="1">
        <v>5.8823529411764737</v>
      </c>
      <c r="DL94" s="1">
        <v>11.764705882352947</v>
      </c>
      <c r="DM94" s="1">
        <v>0</v>
      </c>
      <c r="DN94" s="1">
        <v>0</v>
      </c>
      <c r="DO94" s="1">
        <v>17</v>
      </c>
      <c r="DP94" s="1">
        <v>88.235294117647072</v>
      </c>
      <c r="DQ94" s="1">
        <v>5.8823529411764737</v>
      </c>
      <c r="DR94" s="1">
        <v>5.8823529411764737</v>
      </c>
      <c r="DS94" s="1">
        <v>0</v>
      </c>
      <c r="DT94" s="1">
        <v>0</v>
      </c>
      <c r="DU94" s="1">
        <v>17</v>
      </c>
      <c r="DV94" s="1">
        <v>86.666666666666671</v>
      </c>
      <c r="DW94" s="1">
        <v>0</v>
      </c>
      <c r="DX94" s="1">
        <v>0</v>
      </c>
      <c r="DY94" s="1">
        <v>6.6666666666666705</v>
      </c>
      <c r="DZ94" s="1">
        <v>6.6666666666666705</v>
      </c>
      <c r="EA94" s="1">
        <v>15</v>
      </c>
      <c r="EB94" s="1">
        <v>85.714285714285751</v>
      </c>
      <c r="EC94" s="1">
        <v>14.285714285714283</v>
      </c>
      <c r="ED94" s="1">
        <v>0</v>
      </c>
      <c r="EE94" s="1">
        <v>0</v>
      </c>
      <c r="EF94" s="1">
        <v>0</v>
      </c>
      <c r="EG94" s="1">
        <v>7</v>
      </c>
      <c r="EH94" s="1">
        <v>83.333333333333343</v>
      </c>
      <c r="EI94" s="1">
        <v>16.666666666666664</v>
      </c>
      <c r="EJ94" s="1">
        <v>0</v>
      </c>
      <c r="EK94" s="1">
        <v>0</v>
      </c>
      <c r="EL94" s="1">
        <v>0</v>
      </c>
      <c r="EM94" s="1">
        <v>6</v>
      </c>
      <c r="EN94" s="1">
        <v>38.46153846153846</v>
      </c>
      <c r="EO94" s="1">
        <v>53.84615384615384</v>
      </c>
      <c r="EP94" s="1">
        <v>0</v>
      </c>
      <c r="EQ94" s="1">
        <v>7.6923076923076925</v>
      </c>
      <c r="ER94" s="1">
        <v>0</v>
      </c>
      <c r="ES94" s="1">
        <v>13</v>
      </c>
      <c r="ET94" s="1">
        <v>57.142857142857139</v>
      </c>
      <c r="EU94" s="1">
        <v>42.857142857142883</v>
      </c>
      <c r="EV94" s="1">
        <v>0</v>
      </c>
      <c r="EW94" s="1">
        <v>0</v>
      </c>
      <c r="EX94" s="1">
        <v>0</v>
      </c>
      <c r="EY94" s="1">
        <v>14</v>
      </c>
      <c r="EZ94" s="1">
        <v>57.142857142857132</v>
      </c>
      <c r="FA94" s="1">
        <v>42.857142857142875</v>
      </c>
      <c r="FB94" s="1">
        <v>0</v>
      </c>
      <c r="FC94" s="1">
        <v>0</v>
      </c>
      <c r="FD94" s="1">
        <v>0</v>
      </c>
      <c r="FE94" s="1">
        <v>7</v>
      </c>
      <c r="FF94" s="1">
        <v>80</v>
      </c>
      <c r="FG94" s="1">
        <v>20</v>
      </c>
      <c r="FH94" s="1">
        <v>0</v>
      </c>
      <c r="FI94" s="1">
        <v>0</v>
      </c>
      <c r="FJ94" s="1">
        <v>0</v>
      </c>
      <c r="FK94" s="1">
        <v>5</v>
      </c>
      <c r="FL94" s="1">
        <v>69.999999999999986</v>
      </c>
      <c r="FM94" s="1">
        <v>0</v>
      </c>
      <c r="FN94" s="1">
        <v>10</v>
      </c>
      <c r="FO94" s="1">
        <v>10</v>
      </c>
      <c r="FP94" s="1">
        <v>10</v>
      </c>
      <c r="FQ94" s="1">
        <v>10</v>
      </c>
      <c r="FR94" s="1">
        <v>66.666666666666657</v>
      </c>
      <c r="FS94" s="1">
        <v>33.333333333333329</v>
      </c>
      <c r="FT94" s="1">
        <v>0</v>
      </c>
      <c r="FU94" s="1">
        <v>0</v>
      </c>
      <c r="FV94" s="1">
        <v>0</v>
      </c>
      <c r="FW94" s="1">
        <v>6</v>
      </c>
      <c r="FX94" s="1">
        <v>100</v>
      </c>
      <c r="FY94" s="1">
        <v>0</v>
      </c>
      <c r="FZ94" s="1">
        <v>0</v>
      </c>
      <c r="GA94" s="1">
        <v>0</v>
      </c>
      <c r="GB94" s="1">
        <v>0</v>
      </c>
      <c r="GC94" s="1">
        <v>17</v>
      </c>
      <c r="GD94" s="1">
        <v>100</v>
      </c>
      <c r="GE94" s="1">
        <v>0</v>
      </c>
      <c r="GF94" s="1">
        <v>0</v>
      </c>
      <c r="GG94" s="1">
        <v>0</v>
      </c>
      <c r="GH94" s="1">
        <v>0</v>
      </c>
      <c r="GI94" s="1">
        <v>6</v>
      </c>
      <c r="GJ94" s="1">
        <v>100</v>
      </c>
      <c r="GK94" s="1">
        <v>0</v>
      </c>
      <c r="GL94" s="1">
        <v>0</v>
      </c>
      <c r="GM94" s="1">
        <v>0</v>
      </c>
      <c r="GN94" s="1">
        <v>0</v>
      </c>
      <c r="GO94" s="1">
        <v>8</v>
      </c>
      <c r="GP94" s="1">
        <v>66.666666666666657</v>
      </c>
      <c r="GQ94" s="1">
        <v>33.333333333333329</v>
      </c>
      <c r="GR94" s="1">
        <v>0</v>
      </c>
      <c r="GS94" s="1">
        <v>0</v>
      </c>
      <c r="GT94" s="1">
        <v>0</v>
      </c>
      <c r="GU94" s="1">
        <v>12</v>
      </c>
      <c r="GV94" s="1">
        <v>83.333333333333343</v>
      </c>
      <c r="GW94" s="1">
        <v>16.666666666666664</v>
      </c>
      <c r="GX94" s="1">
        <v>0</v>
      </c>
      <c r="GY94" s="1">
        <v>0</v>
      </c>
      <c r="GZ94" s="1">
        <v>0</v>
      </c>
      <c r="HA94" s="1">
        <v>12</v>
      </c>
      <c r="HB94" s="1">
        <v>100</v>
      </c>
      <c r="HC94" s="1">
        <v>0</v>
      </c>
      <c r="HD94" s="1">
        <v>0</v>
      </c>
      <c r="HE94" s="1">
        <v>0</v>
      </c>
      <c r="HF94" s="1">
        <v>0</v>
      </c>
      <c r="HG94" s="1">
        <v>2</v>
      </c>
      <c r="HH94" s="1">
        <v>100</v>
      </c>
      <c r="HI94" s="1">
        <v>0</v>
      </c>
      <c r="HJ94" s="1">
        <v>0</v>
      </c>
      <c r="HK94" s="1">
        <v>0</v>
      </c>
      <c r="HL94" s="1">
        <v>0</v>
      </c>
      <c r="HM94" s="1">
        <v>6</v>
      </c>
      <c r="HN94" s="1">
        <v>0</v>
      </c>
      <c r="HO94" s="1">
        <v>0</v>
      </c>
      <c r="HP94" s="1">
        <v>0</v>
      </c>
      <c r="HQ94" s="1">
        <v>0</v>
      </c>
      <c r="HR94" s="1">
        <v>0</v>
      </c>
      <c r="HS94" s="1">
        <v>0</v>
      </c>
      <c r="HT94" s="1">
        <v>0</v>
      </c>
      <c r="HU94" s="1">
        <v>0</v>
      </c>
      <c r="HV94" s="1">
        <v>0</v>
      </c>
      <c r="HW94" s="1">
        <v>0</v>
      </c>
      <c r="HX94" s="1">
        <v>0</v>
      </c>
      <c r="HY94" s="1">
        <v>0</v>
      </c>
      <c r="HZ94" s="1">
        <v>0</v>
      </c>
      <c r="IA94" s="1">
        <v>0</v>
      </c>
      <c r="IB94" s="1">
        <v>0</v>
      </c>
      <c r="IC94" s="1">
        <v>0</v>
      </c>
      <c r="ID94" s="1">
        <v>0</v>
      </c>
      <c r="IE94" s="1">
        <v>0</v>
      </c>
      <c r="IF94" s="1">
        <v>9.4375</v>
      </c>
      <c r="IG94" s="1">
        <v>0</v>
      </c>
      <c r="IH94" s="1">
        <v>0</v>
      </c>
      <c r="II94" s="1">
        <v>0</v>
      </c>
      <c r="IJ94" s="1">
        <v>0</v>
      </c>
      <c r="IK94" s="1">
        <v>0</v>
      </c>
      <c r="IL94" s="1">
        <v>0</v>
      </c>
      <c r="IM94" s="1">
        <v>0</v>
      </c>
      <c r="IN94" s="1">
        <v>25.000000000000004</v>
      </c>
      <c r="IO94" s="1">
        <v>6.2500000000000009</v>
      </c>
      <c r="IP94" s="1">
        <v>68.750000000000014</v>
      </c>
      <c r="IQ94" s="1">
        <v>9.4375000000000018</v>
      </c>
      <c r="IR94" s="1">
        <v>16</v>
      </c>
      <c r="IS94" s="1">
        <v>5.8823529411764737</v>
      </c>
      <c r="IT94" s="1">
        <v>35.294117647058833</v>
      </c>
      <c r="IU94" s="1">
        <v>41.176470588235318</v>
      </c>
      <c r="IV94" s="1">
        <v>5.8823529411764737</v>
      </c>
      <c r="IW94" s="1">
        <v>11.764705882352947</v>
      </c>
      <c r="IX94" s="1">
        <v>17</v>
      </c>
      <c r="IY94" s="1">
        <v>1</v>
      </c>
      <c r="IZ94" s="1">
        <v>6.5733899999999998</v>
      </c>
      <c r="JA94" s="1">
        <v>3.0933599999999992</v>
      </c>
      <c r="JB94" s="1">
        <v>1.16001</v>
      </c>
      <c r="JC94" s="1">
        <v>0.77333999999999981</v>
      </c>
      <c r="JD94" s="1">
        <v>2.32002</v>
      </c>
      <c r="JE94" s="1">
        <v>0.47058823529411786</v>
      </c>
      <c r="JF94" s="1">
        <v>0.17647058823529421</v>
      </c>
      <c r="JG94" s="1">
        <v>0.11764705882352947</v>
      </c>
      <c r="JH94" s="1">
        <v>0.35294117647058842</v>
      </c>
      <c r="JI94" s="1">
        <v>1</v>
      </c>
      <c r="JJ94" s="1">
        <v>17</v>
      </c>
      <c r="JK94" s="1">
        <v>4.25</v>
      </c>
      <c r="JL94" s="1">
        <v>4.2500000000000009</v>
      </c>
      <c r="JM94" s="1">
        <v>16</v>
      </c>
      <c r="JN94" s="1">
        <v>100</v>
      </c>
      <c r="JO94" s="1">
        <v>0</v>
      </c>
      <c r="JP94" s="1">
        <v>8</v>
      </c>
      <c r="JQ94" s="1">
        <v>100</v>
      </c>
      <c r="JR94" s="1">
        <v>0</v>
      </c>
      <c r="JS94" s="1">
        <v>8</v>
      </c>
      <c r="JT94" s="1">
        <v>100</v>
      </c>
      <c r="JU94" s="1">
        <v>0</v>
      </c>
      <c r="JV94" s="1">
        <v>13</v>
      </c>
      <c r="JW94" s="1">
        <v>100</v>
      </c>
      <c r="JX94" s="1">
        <v>0</v>
      </c>
      <c r="JY94" s="1">
        <v>13</v>
      </c>
      <c r="JZ94" s="1">
        <v>37.500000000000007</v>
      </c>
      <c r="KA94" s="1">
        <v>62.500000000000014</v>
      </c>
      <c r="KB94" s="1">
        <v>16</v>
      </c>
      <c r="KC94" s="1">
        <v>100.00000000000001</v>
      </c>
      <c r="KD94" s="1">
        <v>0</v>
      </c>
      <c r="KE94" s="1">
        <v>14</v>
      </c>
      <c r="KF94" s="1">
        <v>2.5384615384615383</v>
      </c>
      <c r="KG94" s="1">
        <v>38.46153846153846</v>
      </c>
      <c r="KH94" s="1">
        <v>15.384615384615385</v>
      </c>
      <c r="KI94" s="1">
        <v>15.384615384615385</v>
      </c>
      <c r="KJ94" s="1">
        <v>15.384615384615385</v>
      </c>
      <c r="KK94" s="1">
        <v>15.384615384615385</v>
      </c>
      <c r="KL94" s="1">
        <v>13</v>
      </c>
      <c r="KM94" s="1">
        <v>46.230769230769248</v>
      </c>
      <c r="KN94" s="1">
        <v>150</v>
      </c>
      <c r="KO94" s="1">
        <v>0</v>
      </c>
      <c r="KP94" s="1">
        <v>0</v>
      </c>
      <c r="KQ94" s="1">
        <v>0</v>
      </c>
      <c r="KR94" s="1">
        <v>0</v>
      </c>
      <c r="KS94" s="1">
        <v>100</v>
      </c>
      <c r="KT94" s="1">
        <v>1</v>
      </c>
      <c r="KU94" s="1">
        <v>14.285714285714285</v>
      </c>
      <c r="KV94" s="1">
        <v>0</v>
      </c>
      <c r="KW94" s="1">
        <v>0</v>
      </c>
      <c r="KX94" s="1">
        <v>85.714285714285765</v>
      </c>
      <c r="KY94" s="1">
        <v>0</v>
      </c>
      <c r="KZ94" s="1">
        <v>14</v>
      </c>
      <c r="LA94" s="1">
        <v>21.428571428571441</v>
      </c>
      <c r="LB94" s="1">
        <v>78.571428571428598</v>
      </c>
      <c r="LC94" s="1">
        <v>14</v>
      </c>
      <c r="LD94" s="1">
        <v>0</v>
      </c>
      <c r="LE94" s="1">
        <v>0</v>
      </c>
      <c r="LF94" s="1">
        <v>100</v>
      </c>
      <c r="LG94" s="1">
        <v>3</v>
      </c>
    </row>
    <row r="95" spans="1:319" x14ac:dyDescent="0.25">
      <c r="A95" s="1">
        <v>1229</v>
      </c>
      <c r="B95" s="1">
        <v>6.8965517241379288</v>
      </c>
      <c r="C95" s="1">
        <v>93.103448275862021</v>
      </c>
      <c r="D95" s="1">
        <v>29</v>
      </c>
      <c r="E95" s="1">
        <v>73.07692307692308</v>
      </c>
      <c r="F95" s="1">
        <v>26.923076923076909</v>
      </c>
      <c r="G95" s="1">
        <v>26</v>
      </c>
      <c r="H95" s="1">
        <v>61.1111111111111</v>
      </c>
      <c r="I95" s="1">
        <v>38.888888888888907</v>
      </c>
      <c r="J95" s="1">
        <v>18</v>
      </c>
      <c r="K95" s="1">
        <v>1</v>
      </c>
      <c r="L95" s="1">
        <v>15.103780000000013</v>
      </c>
      <c r="M95" s="1">
        <v>11.978859999999999</v>
      </c>
      <c r="N95" s="1">
        <v>0</v>
      </c>
      <c r="O95" s="1">
        <v>2.0832800000000007</v>
      </c>
      <c r="P95" s="1">
        <v>0</v>
      </c>
      <c r="Q95" s="1">
        <v>0.52082000000000017</v>
      </c>
      <c r="R95" s="1">
        <v>0</v>
      </c>
      <c r="S95" s="1">
        <v>0</v>
      </c>
      <c r="T95" s="1">
        <v>1.5624600000000008</v>
      </c>
      <c r="U95" s="1">
        <v>2.0832800000000007</v>
      </c>
      <c r="V95" s="1">
        <v>0.52082000000000017</v>
      </c>
      <c r="W95" s="1">
        <v>0.79310344827586154</v>
      </c>
      <c r="X95" s="1">
        <v>0</v>
      </c>
      <c r="Y95" s="1">
        <v>0.13793103448275848</v>
      </c>
      <c r="Z95" s="1">
        <v>0</v>
      </c>
      <c r="AA95" s="1">
        <v>3.448275862068962E-2</v>
      </c>
      <c r="AB95" s="1">
        <v>0</v>
      </c>
      <c r="AC95" s="1">
        <v>0</v>
      </c>
      <c r="AD95" s="1">
        <v>0.10344827586206894</v>
      </c>
      <c r="AE95" s="1">
        <v>0.13793103448275848</v>
      </c>
      <c r="AF95" s="1">
        <v>3.448275862068962E-2</v>
      </c>
      <c r="AG95" s="1">
        <v>1</v>
      </c>
      <c r="AH95" s="1">
        <v>29</v>
      </c>
      <c r="AI95" s="1">
        <v>1</v>
      </c>
      <c r="AJ95" s="1">
        <v>15.103780000000013</v>
      </c>
      <c r="AK95" s="1">
        <v>10.937220000000003</v>
      </c>
      <c r="AL95" s="1">
        <v>14.582960000000011</v>
      </c>
      <c r="AM95" s="1">
        <v>9.8955799999999972</v>
      </c>
      <c r="AN95" s="1">
        <v>11.978859999999999</v>
      </c>
      <c r="AO95" s="1">
        <v>5.729019999999994</v>
      </c>
      <c r="AP95" s="1">
        <v>1.5624600000000008</v>
      </c>
      <c r="AQ95" s="1">
        <v>0.72413793103448265</v>
      </c>
      <c r="AR95" s="1">
        <v>0.96551724137930983</v>
      </c>
      <c r="AS95" s="1">
        <v>0.6551724137931032</v>
      </c>
      <c r="AT95" s="1">
        <v>0.79310344827586154</v>
      </c>
      <c r="AU95" s="1">
        <v>0.37931034482758597</v>
      </c>
      <c r="AV95" s="1">
        <v>0.10344827586206894</v>
      </c>
      <c r="AW95" s="1">
        <v>1</v>
      </c>
      <c r="AX95" s="1">
        <v>29</v>
      </c>
      <c r="AY95" s="1">
        <v>9.8275862068965516</v>
      </c>
      <c r="AZ95" s="1">
        <v>9.931034482758621</v>
      </c>
      <c r="BA95" s="1">
        <v>9.7586206896551726</v>
      </c>
      <c r="BB95" s="1">
        <v>0</v>
      </c>
      <c r="BC95" s="1">
        <v>0</v>
      </c>
      <c r="BD95" s="1">
        <v>0</v>
      </c>
      <c r="BE95" s="1">
        <v>0</v>
      </c>
      <c r="BF95" s="1">
        <v>0</v>
      </c>
      <c r="BG95" s="1">
        <v>0</v>
      </c>
      <c r="BH95" s="1">
        <v>0</v>
      </c>
      <c r="BI95" s="1">
        <v>3.4482758620689644</v>
      </c>
      <c r="BJ95" s="1">
        <v>10.344827586206895</v>
      </c>
      <c r="BK95" s="1">
        <v>86.206896551724171</v>
      </c>
      <c r="BL95" s="1">
        <v>9.8275862068965498</v>
      </c>
      <c r="BM95" s="1">
        <v>29</v>
      </c>
      <c r="BN95" s="1">
        <v>0</v>
      </c>
      <c r="BO95" s="1">
        <v>0</v>
      </c>
      <c r="BP95" s="1">
        <v>0</v>
      </c>
      <c r="BQ95" s="1">
        <v>0</v>
      </c>
      <c r="BR95" s="1">
        <v>0</v>
      </c>
      <c r="BS95" s="1">
        <v>0</v>
      </c>
      <c r="BT95" s="1">
        <v>0</v>
      </c>
      <c r="BU95" s="1">
        <v>0</v>
      </c>
      <c r="BV95" s="1">
        <v>6.8965517241379288</v>
      </c>
      <c r="BW95" s="1">
        <v>93.103448275862021</v>
      </c>
      <c r="BX95" s="1">
        <v>9.9310344827586245</v>
      </c>
      <c r="BY95" s="1">
        <v>29</v>
      </c>
      <c r="BZ95" s="1">
        <v>0</v>
      </c>
      <c r="CA95" s="1">
        <v>0</v>
      </c>
      <c r="CB95" s="1">
        <v>0</v>
      </c>
      <c r="CC95" s="1">
        <v>0</v>
      </c>
      <c r="CD95" s="1">
        <v>3.4482758620689644</v>
      </c>
      <c r="CE95" s="1">
        <v>0</v>
      </c>
      <c r="CF95" s="1">
        <v>0</v>
      </c>
      <c r="CG95" s="1">
        <v>0</v>
      </c>
      <c r="CH95" s="1">
        <v>6.8965517241379288</v>
      </c>
      <c r="CI95" s="1">
        <v>89.655172413793068</v>
      </c>
      <c r="CJ95" s="1">
        <v>9.7586206896551726</v>
      </c>
      <c r="CK95" s="1">
        <v>29</v>
      </c>
      <c r="CL95" s="1">
        <v>44.444444444444414</v>
      </c>
      <c r="CM95" s="1">
        <v>33.333333333333343</v>
      </c>
      <c r="CN95" s="1">
        <v>3.7037037037037002</v>
      </c>
      <c r="CO95" s="1">
        <v>14.814814814814801</v>
      </c>
      <c r="CP95" s="1">
        <v>3.7037037037037002</v>
      </c>
      <c r="CQ95" s="1">
        <v>27</v>
      </c>
      <c r="CR95" s="1">
        <v>85.714285714285737</v>
      </c>
      <c r="CS95" s="1">
        <v>10.714285714285717</v>
      </c>
      <c r="CT95" s="1">
        <v>3.5714285714285698</v>
      </c>
      <c r="CU95" s="1">
        <v>0</v>
      </c>
      <c r="CV95" s="1">
        <v>0</v>
      </c>
      <c r="CW95" s="1">
        <v>28</v>
      </c>
      <c r="CX95" s="1">
        <v>96.153846153846175</v>
      </c>
      <c r="CY95" s="1">
        <v>0</v>
      </c>
      <c r="CZ95" s="1">
        <v>3.8461538461538436</v>
      </c>
      <c r="DA95" s="1">
        <v>0</v>
      </c>
      <c r="DB95" s="1">
        <v>0</v>
      </c>
      <c r="DC95" s="1">
        <v>26</v>
      </c>
      <c r="DD95" s="1">
        <v>78.571428571428498</v>
      </c>
      <c r="DE95" s="1">
        <v>17.857142857142847</v>
      </c>
      <c r="DF95" s="1">
        <v>3.5714285714285698</v>
      </c>
      <c r="DG95" s="1">
        <v>0</v>
      </c>
      <c r="DH95" s="1">
        <v>0</v>
      </c>
      <c r="DI95" s="1">
        <v>28</v>
      </c>
      <c r="DJ95" s="1">
        <v>66.666666666666686</v>
      </c>
      <c r="DK95" s="1">
        <v>25</v>
      </c>
      <c r="DL95" s="1">
        <v>0</v>
      </c>
      <c r="DM95" s="1">
        <v>8.3333333333333357</v>
      </c>
      <c r="DN95" s="1">
        <v>0</v>
      </c>
      <c r="DO95" s="1">
        <v>24</v>
      </c>
      <c r="DP95" s="1">
        <v>85.714285714285737</v>
      </c>
      <c r="DQ95" s="1">
        <v>10.714285714285717</v>
      </c>
      <c r="DR95" s="1">
        <v>3.5714285714285698</v>
      </c>
      <c r="DS95" s="1">
        <v>0</v>
      </c>
      <c r="DT95" s="1">
        <v>0</v>
      </c>
      <c r="DU95" s="1">
        <v>28</v>
      </c>
      <c r="DV95" s="1">
        <v>58.333333333333272</v>
      </c>
      <c r="DW95" s="1">
        <v>25</v>
      </c>
      <c r="DX95" s="1">
        <v>4.1666666666666679</v>
      </c>
      <c r="DY95" s="1">
        <v>8.3333333333333357</v>
      </c>
      <c r="DZ95" s="1">
        <v>4.1666666666666679</v>
      </c>
      <c r="EA95" s="1">
        <v>24</v>
      </c>
      <c r="EB95" s="1">
        <v>80</v>
      </c>
      <c r="EC95" s="1">
        <v>20</v>
      </c>
      <c r="ED95" s="1">
        <v>0</v>
      </c>
      <c r="EE95" s="1">
        <v>0</v>
      </c>
      <c r="EF95" s="1">
        <v>0</v>
      </c>
      <c r="EG95" s="1">
        <v>5</v>
      </c>
      <c r="EH95" s="1">
        <v>100</v>
      </c>
      <c r="EI95" s="1">
        <v>0</v>
      </c>
      <c r="EJ95" s="1">
        <v>0</v>
      </c>
      <c r="EK95" s="1">
        <v>0</v>
      </c>
      <c r="EL95" s="1">
        <v>0</v>
      </c>
      <c r="EM95" s="1">
        <v>3</v>
      </c>
      <c r="EN95" s="1">
        <v>36.363636363636367</v>
      </c>
      <c r="EO95" s="1">
        <v>40.909090909090899</v>
      </c>
      <c r="EP95" s="1">
        <v>9.0909090909090917</v>
      </c>
      <c r="EQ95" s="1">
        <v>13.63636363636363</v>
      </c>
      <c r="ER95" s="1">
        <v>0</v>
      </c>
      <c r="ES95" s="1">
        <v>22</v>
      </c>
      <c r="ET95" s="1">
        <v>36.363636363636367</v>
      </c>
      <c r="EU95" s="1">
        <v>45.454545454545475</v>
      </c>
      <c r="EV95" s="1">
        <v>4.5454545454545459</v>
      </c>
      <c r="EW95" s="1">
        <v>13.63636363636363</v>
      </c>
      <c r="EX95" s="1">
        <v>0</v>
      </c>
      <c r="EY95" s="1">
        <v>22</v>
      </c>
      <c r="EZ95" s="1">
        <v>63.636363636363676</v>
      </c>
      <c r="FA95" s="1">
        <v>18.181818181818183</v>
      </c>
      <c r="FB95" s="1">
        <v>18.181818181818183</v>
      </c>
      <c r="FC95" s="1">
        <v>0</v>
      </c>
      <c r="FD95" s="1">
        <v>0</v>
      </c>
      <c r="FE95" s="1">
        <v>11</v>
      </c>
      <c r="FF95" s="1">
        <v>80</v>
      </c>
      <c r="FG95" s="1">
        <v>0</v>
      </c>
      <c r="FH95" s="1">
        <v>20</v>
      </c>
      <c r="FI95" s="1">
        <v>0</v>
      </c>
      <c r="FJ95" s="1">
        <v>0</v>
      </c>
      <c r="FK95" s="1">
        <v>5</v>
      </c>
      <c r="FL95" s="1">
        <v>73.076923076923066</v>
      </c>
      <c r="FM95" s="1">
        <v>23.076923076923084</v>
      </c>
      <c r="FN95" s="1">
        <v>0</v>
      </c>
      <c r="FO95" s="1">
        <v>0</v>
      </c>
      <c r="FP95" s="1">
        <v>3.8461538461538436</v>
      </c>
      <c r="FQ95" s="1">
        <v>26</v>
      </c>
      <c r="FR95" s="1">
        <v>100</v>
      </c>
      <c r="FS95" s="1">
        <v>0</v>
      </c>
      <c r="FT95" s="1">
        <v>0</v>
      </c>
      <c r="FU95" s="1">
        <v>0</v>
      </c>
      <c r="FV95" s="1">
        <v>0</v>
      </c>
      <c r="FW95" s="1">
        <v>18</v>
      </c>
      <c r="FX95" s="1">
        <v>92.592592592592595</v>
      </c>
      <c r="FY95" s="1">
        <v>3.7037037037037002</v>
      </c>
      <c r="FZ95" s="1">
        <v>3.7037037037037002</v>
      </c>
      <c r="GA95" s="1">
        <v>0</v>
      </c>
      <c r="GB95" s="1">
        <v>0</v>
      </c>
      <c r="GC95" s="1">
        <v>27</v>
      </c>
      <c r="GD95" s="1">
        <v>75.000000000000014</v>
      </c>
      <c r="GE95" s="1">
        <v>12.5</v>
      </c>
      <c r="GF95" s="1">
        <v>0</v>
      </c>
      <c r="GG95" s="1">
        <v>0</v>
      </c>
      <c r="GH95" s="1">
        <v>12.5</v>
      </c>
      <c r="GI95" s="1">
        <v>8</v>
      </c>
      <c r="GJ95" s="1">
        <v>77.777777777777814</v>
      </c>
      <c r="GK95" s="1">
        <v>22.222222222222214</v>
      </c>
      <c r="GL95" s="1">
        <v>0</v>
      </c>
      <c r="GM95" s="1">
        <v>0</v>
      </c>
      <c r="GN95" s="1">
        <v>0</v>
      </c>
      <c r="GO95" s="1">
        <v>9</v>
      </c>
      <c r="GP95" s="1">
        <v>79.166666666666671</v>
      </c>
      <c r="GQ95" s="1">
        <v>16.666666666666671</v>
      </c>
      <c r="GR95" s="1">
        <v>4.1666666666666679</v>
      </c>
      <c r="GS95" s="1">
        <v>0</v>
      </c>
      <c r="GT95" s="1">
        <v>0</v>
      </c>
      <c r="GU95" s="1">
        <v>24</v>
      </c>
      <c r="GV95" s="1">
        <v>95.999999999999986</v>
      </c>
      <c r="GW95" s="1">
        <v>3.9999999999999996</v>
      </c>
      <c r="GX95" s="1">
        <v>0</v>
      </c>
      <c r="GY95" s="1">
        <v>0</v>
      </c>
      <c r="GZ95" s="1">
        <v>0</v>
      </c>
      <c r="HA95" s="1">
        <v>25</v>
      </c>
      <c r="HB95" s="1">
        <v>50</v>
      </c>
      <c r="HC95" s="1">
        <v>0</v>
      </c>
      <c r="HD95" s="1">
        <v>50</v>
      </c>
      <c r="HE95" s="1">
        <v>0</v>
      </c>
      <c r="HF95" s="1">
        <v>0</v>
      </c>
      <c r="HG95" s="1">
        <v>2</v>
      </c>
      <c r="HH95" s="1">
        <v>66.6666666666667</v>
      </c>
      <c r="HI95" s="1">
        <v>33.33333333333335</v>
      </c>
      <c r="HJ95" s="1">
        <v>0</v>
      </c>
      <c r="HK95" s="1">
        <v>0</v>
      </c>
      <c r="HL95" s="1">
        <v>0</v>
      </c>
      <c r="HM95" s="1">
        <v>3</v>
      </c>
      <c r="HN95" s="1">
        <v>0</v>
      </c>
      <c r="HO95" s="1">
        <v>0</v>
      </c>
      <c r="HP95" s="1">
        <v>0</v>
      </c>
      <c r="HQ95" s="1">
        <v>0</v>
      </c>
      <c r="HR95" s="1">
        <v>0</v>
      </c>
      <c r="HS95" s="1">
        <v>0</v>
      </c>
      <c r="HT95" s="1">
        <v>0</v>
      </c>
      <c r="HU95" s="1">
        <v>0</v>
      </c>
      <c r="HV95" s="1">
        <v>0</v>
      </c>
      <c r="HW95" s="1">
        <v>0</v>
      </c>
      <c r="HX95" s="1">
        <v>0</v>
      </c>
      <c r="HY95" s="1">
        <v>0</v>
      </c>
      <c r="HZ95" s="1">
        <v>0</v>
      </c>
      <c r="IA95" s="1">
        <v>0</v>
      </c>
      <c r="IB95" s="1">
        <v>0</v>
      </c>
      <c r="IC95" s="1">
        <v>0</v>
      </c>
      <c r="ID95" s="1">
        <v>0</v>
      </c>
      <c r="IE95" s="1">
        <v>0</v>
      </c>
      <c r="IF95" s="1">
        <v>9.1111111111111107</v>
      </c>
      <c r="IG95" s="1">
        <v>0</v>
      </c>
      <c r="IH95" s="1">
        <v>0</v>
      </c>
      <c r="II95" s="1">
        <v>0</v>
      </c>
      <c r="IJ95" s="1">
        <v>0</v>
      </c>
      <c r="IK95" s="1">
        <v>0</v>
      </c>
      <c r="IL95" s="1">
        <v>0</v>
      </c>
      <c r="IM95" s="1">
        <v>18.518518518518519</v>
      </c>
      <c r="IN95" s="1">
        <v>11.111111111111107</v>
      </c>
      <c r="IO95" s="1">
        <v>11.111111111111107</v>
      </c>
      <c r="IP95" s="1">
        <v>59.259259259259188</v>
      </c>
      <c r="IQ95" s="1">
        <v>9.1111111111111125</v>
      </c>
      <c r="IR95" s="1">
        <v>27</v>
      </c>
      <c r="IS95" s="1">
        <v>0</v>
      </c>
      <c r="IT95" s="1">
        <v>92.857142857142833</v>
      </c>
      <c r="IU95" s="1">
        <v>3.5714285714285698</v>
      </c>
      <c r="IV95" s="1">
        <v>0</v>
      </c>
      <c r="IW95" s="1">
        <v>3.5714285714285698</v>
      </c>
      <c r="IX95" s="1">
        <v>28</v>
      </c>
      <c r="IY95" s="1">
        <v>1</v>
      </c>
      <c r="IZ95" s="1">
        <v>15.103780000000013</v>
      </c>
      <c r="JA95" s="1">
        <v>7.29148</v>
      </c>
      <c r="JB95" s="1">
        <v>4.687380000000001</v>
      </c>
      <c r="JC95" s="1">
        <v>1.5624600000000008</v>
      </c>
      <c r="JD95" s="1">
        <v>3.6457400000000026</v>
      </c>
      <c r="JE95" s="1">
        <v>0.48275862068965486</v>
      </c>
      <c r="JF95" s="1">
        <v>0.31034482758620657</v>
      </c>
      <c r="JG95" s="1">
        <v>0.10344827586206894</v>
      </c>
      <c r="JH95" s="1">
        <v>0.24137931034482743</v>
      </c>
      <c r="JI95" s="1">
        <v>1</v>
      </c>
      <c r="JJ95" s="1">
        <v>29</v>
      </c>
      <c r="JK95" s="1">
        <v>4.25</v>
      </c>
      <c r="JL95" s="1">
        <v>4.25</v>
      </c>
      <c r="JM95" s="1">
        <v>28</v>
      </c>
      <c r="JN95" s="1">
        <v>75.000000000000014</v>
      </c>
      <c r="JO95" s="1">
        <v>25</v>
      </c>
      <c r="JP95" s="1">
        <v>8</v>
      </c>
      <c r="JQ95" s="1">
        <v>84.615384615384613</v>
      </c>
      <c r="JR95" s="1">
        <v>15.384615384615399</v>
      </c>
      <c r="JS95" s="1">
        <v>13</v>
      </c>
      <c r="JT95" s="1">
        <v>100</v>
      </c>
      <c r="JU95" s="1">
        <v>0</v>
      </c>
      <c r="JV95" s="1">
        <v>25</v>
      </c>
      <c r="JW95" s="1">
        <v>95</v>
      </c>
      <c r="JX95" s="1">
        <v>5</v>
      </c>
      <c r="JY95" s="1">
        <v>20</v>
      </c>
      <c r="JZ95" s="1">
        <v>40.740740740740726</v>
      </c>
      <c r="KA95" s="1">
        <v>59.259259259259188</v>
      </c>
      <c r="KB95" s="1">
        <v>27</v>
      </c>
      <c r="KC95" s="1">
        <v>100</v>
      </c>
      <c r="KD95" s="1">
        <v>0</v>
      </c>
      <c r="KE95" s="1">
        <v>27</v>
      </c>
      <c r="KF95" s="1">
        <v>2.88</v>
      </c>
      <c r="KG95" s="1">
        <v>3.9999999999999996</v>
      </c>
      <c r="KH95" s="1">
        <v>35.999999999999993</v>
      </c>
      <c r="KI95" s="1">
        <v>31.999999999999996</v>
      </c>
      <c r="KJ95" s="1">
        <v>23.999999999999996</v>
      </c>
      <c r="KK95" s="1">
        <v>3.9999999999999996</v>
      </c>
      <c r="KL95" s="1">
        <v>25</v>
      </c>
      <c r="KM95" s="1">
        <v>50.519999999999982</v>
      </c>
      <c r="KN95" s="1">
        <v>72.916666666666671</v>
      </c>
      <c r="KO95" s="1">
        <v>0</v>
      </c>
      <c r="KP95" s="1">
        <v>0</v>
      </c>
      <c r="KQ95" s="1">
        <v>58.333333333333321</v>
      </c>
      <c r="KR95" s="1">
        <v>8.333333333333341</v>
      </c>
      <c r="KS95" s="1">
        <v>33.333333333333364</v>
      </c>
      <c r="KT95" s="1">
        <v>12</v>
      </c>
      <c r="KU95" s="1">
        <v>11.538461538461542</v>
      </c>
      <c r="KV95" s="1">
        <v>3.8461538461538436</v>
      </c>
      <c r="KW95" s="1">
        <v>0</v>
      </c>
      <c r="KX95" s="1">
        <v>84.615384615384613</v>
      </c>
      <c r="KY95" s="1">
        <v>0</v>
      </c>
      <c r="KZ95" s="1">
        <v>26</v>
      </c>
      <c r="LA95" s="1">
        <v>11.111111111111107</v>
      </c>
      <c r="LB95" s="1">
        <v>88.888888888888857</v>
      </c>
      <c r="LC95" s="1">
        <v>27</v>
      </c>
      <c r="LD95" s="1">
        <v>0</v>
      </c>
      <c r="LE95" s="1">
        <v>0</v>
      </c>
      <c r="LF95" s="1">
        <v>100</v>
      </c>
      <c r="LG95" s="1">
        <v>3</v>
      </c>
    </row>
    <row r="96" spans="1:319" x14ac:dyDescent="0.25">
      <c r="A96" s="1">
        <v>1239</v>
      </c>
      <c r="B96" s="1">
        <v>46.153846153846168</v>
      </c>
      <c r="C96" s="1">
        <v>53.846153846153825</v>
      </c>
      <c r="D96" s="1">
        <v>26</v>
      </c>
      <c r="E96" s="1">
        <v>71.428571428571431</v>
      </c>
      <c r="F96" s="1">
        <v>28.571428571428573</v>
      </c>
      <c r="G96" s="1">
        <v>14</v>
      </c>
      <c r="H96" s="1">
        <v>25.000000000000004</v>
      </c>
      <c r="I96" s="1">
        <v>75</v>
      </c>
      <c r="J96" s="1">
        <v>8</v>
      </c>
      <c r="K96" s="1">
        <v>1</v>
      </c>
      <c r="L96" s="1">
        <v>16.934579999999986</v>
      </c>
      <c r="M96" s="1">
        <v>13.677930000000002</v>
      </c>
      <c r="N96" s="1">
        <v>0.65133000000000019</v>
      </c>
      <c r="O96" s="1">
        <v>0.65133000000000019</v>
      </c>
      <c r="P96" s="1">
        <v>1.953989999999999</v>
      </c>
      <c r="Q96" s="1">
        <v>0.65133000000000019</v>
      </c>
      <c r="R96" s="1">
        <v>1.953989999999999</v>
      </c>
      <c r="S96" s="1">
        <v>0</v>
      </c>
      <c r="T96" s="1">
        <v>0</v>
      </c>
      <c r="U96" s="1">
        <v>1.953989999999999</v>
      </c>
      <c r="V96" s="1">
        <v>0.65133000000000019</v>
      </c>
      <c r="W96" s="1">
        <v>0.80769230769230749</v>
      </c>
      <c r="X96" s="1">
        <v>3.8461538461538464E-2</v>
      </c>
      <c r="Y96" s="1">
        <v>3.8461538461538464E-2</v>
      </c>
      <c r="Z96" s="1">
        <v>0.1153846153846154</v>
      </c>
      <c r="AA96" s="1">
        <v>3.8461538461538464E-2</v>
      </c>
      <c r="AB96" s="1">
        <v>0.1153846153846154</v>
      </c>
      <c r="AC96" s="1">
        <v>0</v>
      </c>
      <c r="AD96" s="1">
        <v>0</v>
      </c>
      <c r="AE96" s="1">
        <v>0.1153846153846154</v>
      </c>
      <c r="AF96" s="1">
        <v>3.8461538461538464E-2</v>
      </c>
      <c r="AG96" s="1">
        <v>1</v>
      </c>
      <c r="AH96" s="1">
        <v>26</v>
      </c>
      <c r="AI96" s="1">
        <v>1</v>
      </c>
      <c r="AJ96" s="1">
        <v>16.934579999999986</v>
      </c>
      <c r="AK96" s="1">
        <v>8.4672899999999931</v>
      </c>
      <c r="AL96" s="1">
        <v>11.723939999999988</v>
      </c>
      <c r="AM96" s="1">
        <v>5.8619699999999941</v>
      </c>
      <c r="AN96" s="1">
        <v>5.2106400000000015</v>
      </c>
      <c r="AO96" s="1">
        <v>0.65133000000000019</v>
      </c>
      <c r="AP96" s="1">
        <v>0.65133000000000019</v>
      </c>
      <c r="AQ96" s="1">
        <v>0.5</v>
      </c>
      <c r="AR96" s="1">
        <v>0.6923076923076924</v>
      </c>
      <c r="AS96" s="1">
        <v>0.3461538461538462</v>
      </c>
      <c r="AT96" s="1">
        <v>0.30769230769230771</v>
      </c>
      <c r="AU96" s="1">
        <v>3.8461538461538464E-2</v>
      </c>
      <c r="AV96" s="1">
        <v>3.8461538461538464E-2</v>
      </c>
      <c r="AW96" s="1">
        <v>1</v>
      </c>
      <c r="AX96" s="1">
        <v>26</v>
      </c>
      <c r="AY96" s="1">
        <v>9.5769230769230766</v>
      </c>
      <c r="AZ96" s="1">
        <v>9.884615384615385</v>
      </c>
      <c r="BA96" s="1">
        <v>9.8076923076923084</v>
      </c>
      <c r="BB96" s="1">
        <v>0</v>
      </c>
      <c r="BC96" s="1">
        <v>0</v>
      </c>
      <c r="BD96" s="1">
        <v>0</v>
      </c>
      <c r="BE96" s="1">
        <v>0</v>
      </c>
      <c r="BF96" s="1">
        <v>3.8461538461538431</v>
      </c>
      <c r="BG96" s="1">
        <v>0</v>
      </c>
      <c r="BH96" s="1">
        <v>3.8461538461538431</v>
      </c>
      <c r="BI96" s="1">
        <v>0</v>
      </c>
      <c r="BJ96" s="1">
        <v>11.538461538461545</v>
      </c>
      <c r="BK96" s="1">
        <v>80.769230769230774</v>
      </c>
      <c r="BL96" s="1">
        <v>9.5769230769230766</v>
      </c>
      <c r="BM96" s="1">
        <v>26</v>
      </c>
      <c r="BN96" s="1">
        <v>0</v>
      </c>
      <c r="BO96" s="1">
        <v>0</v>
      </c>
      <c r="BP96" s="1">
        <v>0</v>
      </c>
      <c r="BQ96" s="1">
        <v>0</v>
      </c>
      <c r="BR96" s="1">
        <v>0</v>
      </c>
      <c r="BS96" s="1">
        <v>0</v>
      </c>
      <c r="BT96" s="1">
        <v>0</v>
      </c>
      <c r="BU96" s="1">
        <v>0</v>
      </c>
      <c r="BV96" s="1">
        <v>11.538461538461545</v>
      </c>
      <c r="BW96" s="1">
        <v>88.461538461538524</v>
      </c>
      <c r="BX96" s="1">
        <v>9.8846153846153797</v>
      </c>
      <c r="BY96" s="1">
        <v>26</v>
      </c>
      <c r="BZ96" s="1">
        <v>0</v>
      </c>
      <c r="CA96" s="1">
        <v>0</v>
      </c>
      <c r="CB96" s="1">
        <v>0</v>
      </c>
      <c r="CC96" s="1">
        <v>0</v>
      </c>
      <c r="CD96" s="1">
        <v>0</v>
      </c>
      <c r="CE96" s="1">
        <v>0</v>
      </c>
      <c r="CF96" s="1">
        <v>0</v>
      </c>
      <c r="CG96" s="1">
        <v>0</v>
      </c>
      <c r="CH96" s="1">
        <v>19.230769230769237</v>
      </c>
      <c r="CI96" s="1">
        <v>80.769230769230774</v>
      </c>
      <c r="CJ96" s="1">
        <v>9.807692307692303</v>
      </c>
      <c r="CK96" s="1">
        <v>26</v>
      </c>
      <c r="CL96" s="1">
        <v>28.000000000000004</v>
      </c>
      <c r="CM96" s="1">
        <v>52</v>
      </c>
      <c r="CN96" s="1">
        <v>12.000000000000002</v>
      </c>
      <c r="CO96" s="1">
        <v>8.0000000000000018</v>
      </c>
      <c r="CP96" s="1">
        <v>0</v>
      </c>
      <c r="CQ96" s="1">
        <v>25</v>
      </c>
      <c r="CR96" s="1">
        <v>61.53846153846149</v>
      </c>
      <c r="CS96" s="1">
        <v>34.615384615384627</v>
      </c>
      <c r="CT96" s="1">
        <v>3.8461538461538431</v>
      </c>
      <c r="CU96" s="1">
        <v>0</v>
      </c>
      <c r="CV96" s="1">
        <v>0</v>
      </c>
      <c r="CW96" s="1">
        <v>26</v>
      </c>
      <c r="CX96" s="1">
        <v>69.230769230769255</v>
      </c>
      <c r="CY96" s="1">
        <v>26.923076923076913</v>
      </c>
      <c r="CZ96" s="1">
        <v>3.8461538461538431</v>
      </c>
      <c r="DA96" s="1">
        <v>0</v>
      </c>
      <c r="DB96" s="1">
        <v>0</v>
      </c>
      <c r="DC96" s="1">
        <v>26</v>
      </c>
      <c r="DD96" s="1">
        <v>76.923076923076948</v>
      </c>
      <c r="DE96" s="1">
        <v>23.076923076923084</v>
      </c>
      <c r="DF96" s="1">
        <v>0</v>
      </c>
      <c r="DG96" s="1">
        <v>0</v>
      </c>
      <c r="DH96" s="1">
        <v>0</v>
      </c>
      <c r="DI96" s="1">
        <v>26</v>
      </c>
      <c r="DJ96" s="1">
        <v>53.846153846153825</v>
      </c>
      <c r="DK96" s="1">
        <v>30.769230769230745</v>
      </c>
      <c r="DL96" s="1">
        <v>15.384615384615373</v>
      </c>
      <c r="DM96" s="1">
        <v>0</v>
      </c>
      <c r="DN96" s="1">
        <v>0</v>
      </c>
      <c r="DO96" s="1">
        <v>26</v>
      </c>
      <c r="DP96" s="1">
        <v>76.923076923076948</v>
      </c>
      <c r="DQ96" s="1">
        <v>23.076923076923084</v>
      </c>
      <c r="DR96" s="1">
        <v>0</v>
      </c>
      <c r="DS96" s="1">
        <v>0</v>
      </c>
      <c r="DT96" s="1">
        <v>0</v>
      </c>
      <c r="DU96" s="1">
        <v>26</v>
      </c>
      <c r="DV96" s="1">
        <v>65.2173913043478</v>
      </c>
      <c r="DW96" s="1">
        <v>30.434782608695635</v>
      </c>
      <c r="DX96" s="1">
        <v>0</v>
      </c>
      <c r="DY96" s="1">
        <v>4.3478260869565206</v>
      </c>
      <c r="DZ96" s="1">
        <v>0</v>
      </c>
      <c r="EA96" s="1">
        <v>23</v>
      </c>
      <c r="EB96" s="1">
        <v>0</v>
      </c>
      <c r="EC96" s="1">
        <v>20</v>
      </c>
      <c r="ED96" s="1">
        <v>60.000000000000007</v>
      </c>
      <c r="EE96" s="1">
        <v>20</v>
      </c>
      <c r="EF96" s="1">
        <v>0</v>
      </c>
      <c r="EG96" s="1">
        <v>5</v>
      </c>
      <c r="EH96" s="1">
        <v>0</v>
      </c>
      <c r="EI96" s="1">
        <v>66.666666666666686</v>
      </c>
      <c r="EJ96" s="1">
        <v>33.333333333333343</v>
      </c>
      <c r="EK96" s="1">
        <v>0</v>
      </c>
      <c r="EL96" s="1">
        <v>0</v>
      </c>
      <c r="EM96" s="1">
        <v>3</v>
      </c>
      <c r="EN96" s="1">
        <v>28.571428571428562</v>
      </c>
      <c r="EO96" s="1">
        <v>64.285714285714263</v>
      </c>
      <c r="EP96" s="1">
        <v>7.1428571428571406</v>
      </c>
      <c r="EQ96" s="1">
        <v>0</v>
      </c>
      <c r="ER96" s="1">
        <v>0</v>
      </c>
      <c r="ES96" s="1">
        <v>14</v>
      </c>
      <c r="ET96" s="1">
        <v>28.571428571428562</v>
      </c>
      <c r="EU96" s="1">
        <v>64.285714285714263</v>
      </c>
      <c r="EV96" s="1">
        <v>7.1428571428571406</v>
      </c>
      <c r="EW96" s="1">
        <v>0</v>
      </c>
      <c r="EX96" s="1">
        <v>0</v>
      </c>
      <c r="EY96" s="1">
        <v>14</v>
      </c>
      <c r="EZ96" s="1">
        <v>18.181818181818194</v>
      </c>
      <c r="FA96" s="1">
        <v>72.72727272727272</v>
      </c>
      <c r="FB96" s="1">
        <v>9.090909090909097</v>
      </c>
      <c r="FC96" s="1">
        <v>0</v>
      </c>
      <c r="FD96" s="1">
        <v>0</v>
      </c>
      <c r="FE96" s="1">
        <v>11</v>
      </c>
      <c r="FF96" s="1">
        <v>18.181818181818194</v>
      </c>
      <c r="FG96" s="1">
        <v>81.818181818181841</v>
      </c>
      <c r="FH96" s="1">
        <v>0</v>
      </c>
      <c r="FI96" s="1">
        <v>0</v>
      </c>
      <c r="FJ96" s="1">
        <v>0</v>
      </c>
      <c r="FK96" s="1">
        <v>11</v>
      </c>
      <c r="FL96" s="1">
        <v>56.25</v>
      </c>
      <c r="FM96" s="1">
        <v>31.250000000000004</v>
      </c>
      <c r="FN96" s="1">
        <v>6.2500000000000009</v>
      </c>
      <c r="FO96" s="1">
        <v>6.2500000000000009</v>
      </c>
      <c r="FP96" s="1">
        <v>0</v>
      </c>
      <c r="FQ96" s="1">
        <v>16</v>
      </c>
      <c r="FR96" s="1">
        <v>25.000000000000004</v>
      </c>
      <c r="FS96" s="1">
        <v>33.333333333333357</v>
      </c>
      <c r="FT96" s="1">
        <v>41.666666666666679</v>
      </c>
      <c r="FU96" s="1">
        <v>0</v>
      </c>
      <c r="FV96" s="1">
        <v>0</v>
      </c>
      <c r="FW96" s="1">
        <v>12</v>
      </c>
      <c r="FX96" s="1">
        <v>76.923076923076948</v>
      </c>
      <c r="FY96" s="1">
        <v>23.076923076923084</v>
      </c>
      <c r="FZ96" s="1">
        <v>0</v>
      </c>
      <c r="GA96" s="1">
        <v>0</v>
      </c>
      <c r="GB96" s="1">
        <v>0</v>
      </c>
      <c r="GC96" s="1">
        <v>26</v>
      </c>
      <c r="GD96" s="1">
        <v>73.333333333333329</v>
      </c>
      <c r="GE96" s="1">
        <v>13.33333333333333</v>
      </c>
      <c r="GF96" s="1">
        <v>13.33333333333333</v>
      </c>
      <c r="GG96" s="1">
        <v>0</v>
      </c>
      <c r="GH96" s="1">
        <v>0</v>
      </c>
      <c r="GI96" s="1">
        <v>15</v>
      </c>
      <c r="GJ96" s="1">
        <v>64.705882352941202</v>
      </c>
      <c r="GK96" s="1">
        <v>35.294117647058812</v>
      </c>
      <c r="GL96" s="1">
        <v>0</v>
      </c>
      <c r="GM96" s="1">
        <v>0</v>
      </c>
      <c r="GN96" s="1">
        <v>0</v>
      </c>
      <c r="GO96" s="1">
        <v>17</v>
      </c>
      <c r="GP96" s="1">
        <v>78.571428571428584</v>
      </c>
      <c r="GQ96" s="1">
        <v>21.428571428571441</v>
      </c>
      <c r="GR96" s="1">
        <v>0</v>
      </c>
      <c r="GS96" s="1">
        <v>0</v>
      </c>
      <c r="GT96" s="1">
        <v>0</v>
      </c>
      <c r="GU96" s="1">
        <v>14</v>
      </c>
      <c r="GV96" s="1">
        <v>69.230769230769255</v>
      </c>
      <c r="GW96" s="1">
        <v>30.769230769230745</v>
      </c>
      <c r="GX96" s="1">
        <v>0</v>
      </c>
      <c r="GY96" s="1">
        <v>0</v>
      </c>
      <c r="GZ96" s="1">
        <v>0</v>
      </c>
      <c r="HA96" s="1">
        <v>13</v>
      </c>
      <c r="HB96" s="1">
        <v>100</v>
      </c>
      <c r="HC96" s="1">
        <v>0</v>
      </c>
      <c r="HD96" s="1">
        <v>0</v>
      </c>
      <c r="HE96" s="1">
        <v>0</v>
      </c>
      <c r="HF96" s="1">
        <v>0</v>
      </c>
      <c r="HG96" s="1">
        <v>3</v>
      </c>
      <c r="HH96" s="1">
        <v>66.666666666666686</v>
      </c>
      <c r="HI96" s="1">
        <v>33.333333333333343</v>
      </c>
      <c r="HJ96" s="1">
        <v>0</v>
      </c>
      <c r="HK96" s="1">
        <v>0</v>
      </c>
      <c r="HL96" s="1">
        <v>0</v>
      </c>
      <c r="HM96" s="1">
        <v>3</v>
      </c>
      <c r="HN96" s="1">
        <v>50</v>
      </c>
      <c r="HO96" s="1">
        <v>0</v>
      </c>
      <c r="HP96" s="1">
        <v>50</v>
      </c>
      <c r="HQ96" s="1">
        <v>0</v>
      </c>
      <c r="HR96" s="1">
        <v>0</v>
      </c>
      <c r="HS96" s="1">
        <v>2</v>
      </c>
      <c r="HT96" s="1">
        <v>50</v>
      </c>
      <c r="HU96" s="1">
        <v>50</v>
      </c>
      <c r="HV96" s="1">
        <v>0</v>
      </c>
      <c r="HW96" s="1">
        <v>0</v>
      </c>
      <c r="HX96" s="1">
        <v>0</v>
      </c>
      <c r="HY96" s="1">
        <v>2</v>
      </c>
      <c r="HZ96" s="1">
        <v>50</v>
      </c>
      <c r="IA96" s="1">
        <v>50</v>
      </c>
      <c r="IB96" s="1">
        <v>0</v>
      </c>
      <c r="IC96" s="1">
        <v>0</v>
      </c>
      <c r="ID96" s="1">
        <v>0</v>
      </c>
      <c r="IE96" s="1">
        <v>2</v>
      </c>
      <c r="IF96" s="1">
        <v>9.1428571428571423</v>
      </c>
      <c r="IG96" s="1">
        <v>0</v>
      </c>
      <c r="IH96" s="1">
        <v>0</v>
      </c>
      <c r="II96" s="1">
        <v>0</v>
      </c>
      <c r="IJ96" s="1">
        <v>0</v>
      </c>
      <c r="IK96" s="1">
        <v>0</v>
      </c>
      <c r="IL96" s="1">
        <v>0</v>
      </c>
      <c r="IM96" s="1">
        <v>0</v>
      </c>
      <c r="IN96" s="1">
        <v>33.333333333333343</v>
      </c>
      <c r="IO96" s="1">
        <v>19.04761904761904</v>
      </c>
      <c r="IP96" s="1">
        <v>47.619047619047635</v>
      </c>
      <c r="IQ96" s="1">
        <v>9.1428571428571441</v>
      </c>
      <c r="IR96" s="1">
        <v>21</v>
      </c>
      <c r="IS96" s="1">
        <v>4.0000000000000009</v>
      </c>
      <c r="IT96" s="1">
        <v>8.0000000000000018</v>
      </c>
      <c r="IU96" s="1">
        <v>84</v>
      </c>
      <c r="IV96" s="1">
        <v>0</v>
      </c>
      <c r="IW96" s="1">
        <v>4.0000000000000009</v>
      </c>
      <c r="IX96" s="1">
        <v>25</v>
      </c>
      <c r="IY96" s="1">
        <v>1</v>
      </c>
      <c r="IZ96" s="1">
        <v>14.980590000000003</v>
      </c>
      <c r="JA96" s="1">
        <v>7.1646299999999945</v>
      </c>
      <c r="JB96" s="1">
        <v>3.2566499999999974</v>
      </c>
      <c r="JC96" s="1">
        <v>1.953989999999999</v>
      </c>
      <c r="JD96" s="1">
        <v>3.2566499999999974</v>
      </c>
      <c r="JE96" s="1">
        <v>0.47826086956521718</v>
      </c>
      <c r="JF96" s="1">
        <v>0.21739130434782614</v>
      </c>
      <c r="JG96" s="1">
        <v>0.13043478260869573</v>
      </c>
      <c r="JH96" s="1">
        <v>0.21739130434782614</v>
      </c>
      <c r="JI96" s="1">
        <v>1</v>
      </c>
      <c r="JJ96" s="1">
        <v>23</v>
      </c>
      <c r="JK96" s="1">
        <v>2.0833333333333335</v>
      </c>
      <c r="JL96" s="1">
        <v>2.0833333333333348</v>
      </c>
      <c r="JM96" s="1">
        <v>24</v>
      </c>
      <c r="JN96" s="1">
        <v>90.909090909090949</v>
      </c>
      <c r="JO96" s="1">
        <v>9.090909090909097</v>
      </c>
      <c r="JP96" s="1">
        <v>11</v>
      </c>
      <c r="JQ96" s="1">
        <v>100</v>
      </c>
      <c r="JR96" s="1">
        <v>0</v>
      </c>
      <c r="JS96" s="1">
        <v>16</v>
      </c>
      <c r="JT96" s="1">
        <v>100</v>
      </c>
      <c r="JU96" s="1">
        <v>0</v>
      </c>
      <c r="JV96" s="1">
        <v>23</v>
      </c>
      <c r="JW96" s="1">
        <v>95</v>
      </c>
      <c r="JX96" s="1">
        <v>5.0000000000000009</v>
      </c>
      <c r="JY96" s="1">
        <v>20</v>
      </c>
      <c r="JZ96" s="1">
        <v>61.904761904761919</v>
      </c>
      <c r="KA96" s="1">
        <v>38.095238095238081</v>
      </c>
      <c r="KB96" s="1">
        <v>21</v>
      </c>
      <c r="KC96" s="1">
        <v>100</v>
      </c>
      <c r="KD96" s="1">
        <v>0</v>
      </c>
      <c r="KE96" s="1">
        <v>21</v>
      </c>
      <c r="KF96" s="1">
        <v>1.5714285714285714</v>
      </c>
      <c r="KG96" s="1">
        <v>66.666666666666686</v>
      </c>
      <c r="KH96" s="1">
        <v>14.285714285714281</v>
      </c>
      <c r="KI96" s="1">
        <v>14.285714285714281</v>
      </c>
      <c r="KJ96" s="1">
        <v>4.7619047619047601</v>
      </c>
      <c r="KK96" s="1">
        <v>0</v>
      </c>
      <c r="KL96" s="1">
        <v>21</v>
      </c>
      <c r="KM96" s="1">
        <v>29</v>
      </c>
      <c r="KN96" s="1">
        <v>0</v>
      </c>
      <c r="KO96" s="1">
        <v>0</v>
      </c>
      <c r="KP96" s="1">
        <v>0</v>
      </c>
      <c r="KQ96" s="1">
        <v>0</v>
      </c>
      <c r="KR96" s="1">
        <v>0</v>
      </c>
      <c r="KS96" s="1">
        <v>0</v>
      </c>
      <c r="KT96" s="1">
        <v>0</v>
      </c>
      <c r="KU96" s="1">
        <v>5.0000000000000009</v>
      </c>
      <c r="KV96" s="1">
        <v>0</v>
      </c>
      <c r="KW96" s="1">
        <v>0</v>
      </c>
      <c r="KX96" s="1">
        <v>90</v>
      </c>
      <c r="KY96" s="1">
        <v>5.0000000000000009</v>
      </c>
      <c r="KZ96" s="1">
        <v>20</v>
      </c>
      <c r="LA96" s="1">
        <v>20.000000000000004</v>
      </c>
      <c r="LB96" s="1">
        <v>80</v>
      </c>
      <c r="LC96" s="1">
        <v>20</v>
      </c>
      <c r="LD96" s="1">
        <v>0</v>
      </c>
      <c r="LE96" s="1">
        <v>0</v>
      </c>
      <c r="LF96" s="1">
        <v>100</v>
      </c>
      <c r="LG96" s="1">
        <v>4</v>
      </c>
    </row>
    <row r="97" spans="1:319" x14ac:dyDescent="0.25">
      <c r="A97" s="1">
        <v>1539</v>
      </c>
      <c r="B97" s="1">
        <v>24.418604651162866</v>
      </c>
      <c r="C97" s="1">
        <v>75.581395348837475</v>
      </c>
      <c r="D97" s="1">
        <v>86</v>
      </c>
      <c r="E97" s="1">
        <v>90.769230769230745</v>
      </c>
      <c r="F97" s="1">
        <v>9.2307692307692335</v>
      </c>
      <c r="G97" s="1">
        <v>65</v>
      </c>
      <c r="H97" s="1">
        <v>59.649122807017619</v>
      </c>
      <c r="I97" s="1">
        <v>40.350877192982402</v>
      </c>
      <c r="J97" s="1">
        <v>57</v>
      </c>
      <c r="K97" s="1">
        <v>1</v>
      </c>
      <c r="L97" s="1">
        <v>44.007919999999984</v>
      </c>
      <c r="M97" s="1">
        <v>4.0937599999999952</v>
      </c>
      <c r="N97" s="1">
        <v>6.1406400000000074</v>
      </c>
      <c r="O97" s="1">
        <v>22.515679999999989</v>
      </c>
      <c r="P97" s="1">
        <v>1.0234399999999988</v>
      </c>
      <c r="Q97" s="1">
        <v>6.6523599999999963</v>
      </c>
      <c r="R97" s="1">
        <v>3.0703200000000028</v>
      </c>
      <c r="S97" s="1">
        <v>2.0468799999999976</v>
      </c>
      <c r="T97" s="1">
        <v>3.0703200000000028</v>
      </c>
      <c r="U97" s="1">
        <v>2.0468799999999976</v>
      </c>
      <c r="V97" s="1">
        <v>14.839879999999996</v>
      </c>
      <c r="W97" s="1">
        <v>9.302325581395364E-2</v>
      </c>
      <c r="X97" s="1">
        <v>0.13953488372093045</v>
      </c>
      <c r="Y97" s="1">
        <v>0.51162790697674421</v>
      </c>
      <c r="Z97" s="1">
        <v>2.325581395348841E-2</v>
      </c>
      <c r="AA97" s="1">
        <v>0.15116279069767433</v>
      </c>
      <c r="AB97" s="1">
        <v>6.9767441860465226E-2</v>
      </c>
      <c r="AC97" s="1">
        <v>4.651162790697682E-2</v>
      </c>
      <c r="AD97" s="1">
        <v>6.9767441860465226E-2</v>
      </c>
      <c r="AE97" s="1">
        <v>4.651162790697682E-2</v>
      </c>
      <c r="AF97" s="1">
        <v>0.33720930232558266</v>
      </c>
      <c r="AG97" s="1">
        <v>1</v>
      </c>
      <c r="AH97" s="1">
        <v>86</v>
      </c>
      <c r="AI97" s="1">
        <v>1</v>
      </c>
      <c r="AJ97" s="1">
        <v>33.261800000000065</v>
      </c>
      <c r="AK97" s="1">
        <v>18.421920000000004</v>
      </c>
      <c r="AL97" s="1">
        <v>10.746120000000017</v>
      </c>
      <c r="AM97" s="1">
        <v>9.7226799999999951</v>
      </c>
      <c r="AN97" s="1">
        <v>11.769559999999984</v>
      </c>
      <c r="AO97" s="1">
        <v>2.5586000000000042</v>
      </c>
      <c r="AP97" s="1">
        <v>7.16408000000001</v>
      </c>
      <c r="AQ97" s="1">
        <v>0.55384615384615365</v>
      </c>
      <c r="AR97" s="1">
        <v>0.32307692307692276</v>
      </c>
      <c r="AS97" s="1">
        <v>0.29230769230769216</v>
      </c>
      <c r="AT97" s="1">
        <v>0.35384615384615331</v>
      </c>
      <c r="AU97" s="1">
        <v>7.6923076923076844E-2</v>
      </c>
      <c r="AV97" s="1">
        <v>0.21538461538461498</v>
      </c>
      <c r="AW97" s="1">
        <v>1</v>
      </c>
      <c r="AX97" s="1">
        <v>65</v>
      </c>
      <c r="AY97" s="1">
        <v>9.9625000000000004</v>
      </c>
      <c r="AZ97" s="1">
        <v>9.9875000000000007</v>
      </c>
      <c r="BA97" s="1">
        <v>9.962025316455696</v>
      </c>
      <c r="BB97" s="1">
        <v>0</v>
      </c>
      <c r="BC97" s="1">
        <v>0</v>
      </c>
      <c r="BD97" s="1">
        <v>0</v>
      </c>
      <c r="BE97" s="1">
        <v>0</v>
      </c>
      <c r="BF97" s="1">
        <v>0</v>
      </c>
      <c r="BG97" s="1">
        <v>0</v>
      </c>
      <c r="BH97" s="1">
        <v>0</v>
      </c>
      <c r="BI97" s="1">
        <v>1.2500000000000002</v>
      </c>
      <c r="BJ97" s="1">
        <v>1.2500000000000002</v>
      </c>
      <c r="BK97" s="1">
        <v>97.500000000000014</v>
      </c>
      <c r="BL97" s="1">
        <v>9.9625000000000092</v>
      </c>
      <c r="BM97" s="1">
        <v>80</v>
      </c>
      <c r="BN97" s="1">
        <v>0</v>
      </c>
      <c r="BO97" s="1">
        <v>0</v>
      </c>
      <c r="BP97" s="1">
        <v>0</v>
      </c>
      <c r="BQ97" s="1">
        <v>0</v>
      </c>
      <c r="BR97" s="1">
        <v>0</v>
      </c>
      <c r="BS97" s="1">
        <v>0</v>
      </c>
      <c r="BT97" s="1">
        <v>0</v>
      </c>
      <c r="BU97" s="1">
        <v>0</v>
      </c>
      <c r="BV97" s="1">
        <v>1.2500000000000002</v>
      </c>
      <c r="BW97" s="1">
        <v>98.75</v>
      </c>
      <c r="BX97" s="1">
        <v>9.9875000000000362</v>
      </c>
      <c r="BY97" s="1">
        <v>80</v>
      </c>
      <c r="BZ97" s="1">
        <v>0</v>
      </c>
      <c r="CA97" s="1">
        <v>0</v>
      </c>
      <c r="CB97" s="1">
        <v>0</v>
      </c>
      <c r="CC97" s="1">
        <v>0</v>
      </c>
      <c r="CD97" s="1">
        <v>0</v>
      </c>
      <c r="CE97" s="1">
        <v>0</v>
      </c>
      <c r="CF97" s="1">
        <v>0</v>
      </c>
      <c r="CG97" s="1">
        <v>1.2658227848101264</v>
      </c>
      <c r="CH97" s="1">
        <v>1.2658227848101264</v>
      </c>
      <c r="CI97" s="1">
        <v>97.46835443037979</v>
      </c>
      <c r="CJ97" s="1">
        <v>9.9620253164557333</v>
      </c>
      <c r="CK97" s="1">
        <v>79</v>
      </c>
      <c r="CL97" s="1">
        <v>68.42105263157913</v>
      </c>
      <c r="CM97" s="1">
        <v>26.315789473684205</v>
      </c>
      <c r="CN97" s="1">
        <v>3.9473684210526372</v>
      </c>
      <c r="CO97" s="1">
        <v>1.3157894736842091</v>
      </c>
      <c r="CP97" s="1">
        <v>0</v>
      </c>
      <c r="CQ97" s="1">
        <v>76</v>
      </c>
      <c r="CR97" s="1">
        <v>91.358024691357983</v>
      </c>
      <c r="CS97" s="1">
        <v>8.6419753086419924</v>
      </c>
      <c r="CT97" s="1">
        <v>0</v>
      </c>
      <c r="CU97" s="1">
        <v>0</v>
      </c>
      <c r="CV97" s="1">
        <v>0</v>
      </c>
      <c r="CW97" s="1">
        <v>81</v>
      </c>
      <c r="CX97" s="1">
        <v>95.000000000000014</v>
      </c>
      <c r="CY97" s="1">
        <v>5.0000000000000009</v>
      </c>
      <c r="CZ97" s="1">
        <v>0</v>
      </c>
      <c r="DA97" s="1">
        <v>0</v>
      </c>
      <c r="DB97" s="1">
        <v>0</v>
      </c>
      <c r="DC97" s="1">
        <v>80</v>
      </c>
      <c r="DD97" s="1">
        <v>99.999999999999986</v>
      </c>
      <c r="DE97" s="1">
        <v>0</v>
      </c>
      <c r="DF97" s="1">
        <v>0</v>
      </c>
      <c r="DG97" s="1">
        <v>0</v>
      </c>
      <c r="DH97" s="1">
        <v>0</v>
      </c>
      <c r="DI97" s="1">
        <v>82</v>
      </c>
      <c r="DJ97" s="1">
        <v>90.140845070422756</v>
      </c>
      <c r="DK97" s="1">
        <v>9.8591549295774694</v>
      </c>
      <c r="DL97" s="1">
        <v>0</v>
      </c>
      <c r="DM97" s="1">
        <v>0</v>
      </c>
      <c r="DN97" s="1">
        <v>0</v>
      </c>
      <c r="DO97" s="1">
        <v>71</v>
      </c>
      <c r="DP97" s="1">
        <v>98.80952380952381</v>
      </c>
      <c r="DQ97" s="1">
        <v>1.19047619047619</v>
      </c>
      <c r="DR97" s="1">
        <v>0</v>
      </c>
      <c r="DS97" s="1">
        <v>0</v>
      </c>
      <c r="DT97" s="1">
        <v>0</v>
      </c>
      <c r="DU97" s="1">
        <v>84</v>
      </c>
      <c r="DV97" s="1">
        <v>89.655172413793252</v>
      </c>
      <c r="DW97" s="1">
        <v>3.4482758620689591</v>
      </c>
      <c r="DX97" s="1">
        <v>6.8965517241379182</v>
      </c>
      <c r="DY97" s="1">
        <v>0</v>
      </c>
      <c r="DZ97" s="1">
        <v>0</v>
      </c>
      <c r="EA97" s="1">
        <v>29</v>
      </c>
      <c r="EB97" s="1">
        <v>93.650793650793489</v>
      </c>
      <c r="EC97" s="1">
        <v>6.3492063492063409</v>
      </c>
      <c r="ED97" s="1">
        <v>0</v>
      </c>
      <c r="EE97" s="1">
        <v>0</v>
      </c>
      <c r="EF97" s="1">
        <v>0</v>
      </c>
      <c r="EG97" s="1">
        <v>63</v>
      </c>
      <c r="EH97" s="1">
        <v>81.967213114754244</v>
      </c>
      <c r="EI97" s="1">
        <v>13.114754098360658</v>
      </c>
      <c r="EJ97" s="1">
        <v>4.9180327868852478</v>
      </c>
      <c r="EK97" s="1">
        <v>0</v>
      </c>
      <c r="EL97" s="1">
        <v>0</v>
      </c>
      <c r="EM97" s="1">
        <v>61</v>
      </c>
      <c r="EN97" s="1">
        <v>70.588235294117737</v>
      </c>
      <c r="EO97" s="1">
        <v>29.411764705882391</v>
      </c>
      <c r="EP97" s="1">
        <v>0</v>
      </c>
      <c r="EQ97" s="1">
        <v>0</v>
      </c>
      <c r="ER97" s="1">
        <v>0</v>
      </c>
      <c r="ES97" s="1">
        <v>51</v>
      </c>
      <c r="ET97" s="1">
        <v>82.692307692307637</v>
      </c>
      <c r="EU97" s="1">
        <v>17.307692307692314</v>
      </c>
      <c r="EV97" s="1">
        <v>0</v>
      </c>
      <c r="EW97" s="1">
        <v>0</v>
      </c>
      <c r="EX97" s="1">
        <v>0</v>
      </c>
      <c r="EY97" s="1">
        <v>52</v>
      </c>
      <c r="EZ97" s="1">
        <v>86.111111111111256</v>
      </c>
      <c r="FA97" s="1">
        <v>13.888888888888896</v>
      </c>
      <c r="FB97" s="1">
        <v>0</v>
      </c>
      <c r="FC97" s="1">
        <v>0</v>
      </c>
      <c r="FD97" s="1">
        <v>0</v>
      </c>
      <c r="FE97" s="1">
        <v>36</v>
      </c>
      <c r="FF97" s="1">
        <v>84.375</v>
      </c>
      <c r="FG97" s="1">
        <v>12.499999999999998</v>
      </c>
      <c r="FH97" s="1">
        <v>3.1249999999999996</v>
      </c>
      <c r="FI97" s="1">
        <v>0</v>
      </c>
      <c r="FJ97" s="1">
        <v>0</v>
      </c>
      <c r="FK97" s="1">
        <v>32</v>
      </c>
      <c r="FL97" s="1">
        <v>77.777777777777644</v>
      </c>
      <c r="FM97" s="1">
        <v>18.518518518518491</v>
      </c>
      <c r="FN97" s="1">
        <v>3.7037037037036966</v>
      </c>
      <c r="FO97" s="1">
        <v>0</v>
      </c>
      <c r="FP97" s="1">
        <v>0</v>
      </c>
      <c r="FQ97" s="1">
        <v>27</v>
      </c>
      <c r="FR97" s="1">
        <v>79.999999999999986</v>
      </c>
      <c r="FS97" s="1">
        <v>19.999999999999996</v>
      </c>
      <c r="FT97" s="1">
        <v>0</v>
      </c>
      <c r="FU97" s="1">
        <v>0</v>
      </c>
      <c r="FV97" s="1">
        <v>0</v>
      </c>
      <c r="FW97" s="1">
        <v>15</v>
      </c>
      <c r="FX97" s="1">
        <v>90.789473684210677</v>
      </c>
      <c r="FY97" s="1">
        <v>7.8947368421052744</v>
      </c>
      <c r="FZ97" s="1">
        <v>1.3157894736842091</v>
      </c>
      <c r="GA97" s="1">
        <v>0</v>
      </c>
      <c r="GB97" s="1">
        <v>0</v>
      </c>
      <c r="GC97" s="1">
        <v>76</v>
      </c>
      <c r="GD97" s="1">
        <v>93.548387096774377</v>
      </c>
      <c r="GE97" s="1">
        <v>3.2258064516128999</v>
      </c>
      <c r="GF97" s="1">
        <v>3.2258064516128999</v>
      </c>
      <c r="GG97" s="1">
        <v>0</v>
      </c>
      <c r="GH97" s="1">
        <v>0</v>
      </c>
      <c r="GI97" s="1">
        <v>31</v>
      </c>
      <c r="GJ97" s="1">
        <v>87.878787878787975</v>
      </c>
      <c r="GK97" s="1">
        <v>9.0909090909090917</v>
      </c>
      <c r="GL97" s="1">
        <v>3.0303030303030298</v>
      </c>
      <c r="GM97" s="1">
        <v>0</v>
      </c>
      <c r="GN97" s="1">
        <v>0</v>
      </c>
      <c r="GO97" s="1">
        <v>33</v>
      </c>
      <c r="GP97" s="1">
        <v>91.489361702127781</v>
      </c>
      <c r="GQ97" s="1">
        <v>6.3829787234042614</v>
      </c>
      <c r="GR97" s="1">
        <v>2.1276595744680837</v>
      </c>
      <c r="GS97" s="1">
        <v>0</v>
      </c>
      <c r="GT97" s="1">
        <v>0</v>
      </c>
      <c r="GU97" s="1">
        <v>47</v>
      </c>
      <c r="GV97" s="1">
        <v>90</v>
      </c>
      <c r="GW97" s="1">
        <v>7.4999999999999991</v>
      </c>
      <c r="GX97" s="1">
        <v>2.4999999999999996</v>
      </c>
      <c r="GY97" s="1">
        <v>0</v>
      </c>
      <c r="GZ97" s="1">
        <v>0</v>
      </c>
      <c r="HA97" s="1">
        <v>40</v>
      </c>
      <c r="HB97" s="1">
        <v>77.777777777777644</v>
      </c>
      <c r="HC97" s="1">
        <v>11.111111111111093</v>
      </c>
      <c r="HD97" s="1">
        <v>11.111111111111093</v>
      </c>
      <c r="HE97" s="1">
        <v>0</v>
      </c>
      <c r="HF97" s="1">
        <v>0</v>
      </c>
      <c r="HG97" s="1">
        <v>9</v>
      </c>
      <c r="HH97" s="1">
        <v>84</v>
      </c>
      <c r="HI97" s="1">
        <v>15.999999999999998</v>
      </c>
      <c r="HJ97" s="1">
        <v>0</v>
      </c>
      <c r="HK97" s="1">
        <v>0</v>
      </c>
      <c r="HL97" s="1">
        <v>0</v>
      </c>
      <c r="HM97" s="1">
        <v>25</v>
      </c>
      <c r="HN97" s="1">
        <v>0</v>
      </c>
      <c r="HO97" s="1">
        <v>0</v>
      </c>
      <c r="HP97" s="1">
        <v>0</v>
      </c>
      <c r="HQ97" s="1">
        <v>0</v>
      </c>
      <c r="HR97" s="1">
        <v>0</v>
      </c>
      <c r="HS97" s="1">
        <v>0</v>
      </c>
      <c r="HT97" s="1">
        <v>0</v>
      </c>
      <c r="HU97" s="1">
        <v>0</v>
      </c>
      <c r="HV97" s="1">
        <v>0</v>
      </c>
      <c r="HW97" s="1">
        <v>0</v>
      </c>
      <c r="HX97" s="1">
        <v>0</v>
      </c>
      <c r="HY97" s="1">
        <v>0</v>
      </c>
      <c r="HZ97" s="1">
        <v>0</v>
      </c>
      <c r="IA97" s="1">
        <v>0</v>
      </c>
      <c r="IB97" s="1">
        <v>0</v>
      </c>
      <c r="IC97" s="1">
        <v>0</v>
      </c>
      <c r="ID97" s="1">
        <v>0</v>
      </c>
      <c r="IE97" s="1">
        <v>0</v>
      </c>
      <c r="IF97" s="1">
        <v>9.8493150684931514</v>
      </c>
      <c r="IG97" s="1">
        <v>0</v>
      </c>
      <c r="IH97" s="1">
        <v>0</v>
      </c>
      <c r="II97" s="1">
        <v>0</v>
      </c>
      <c r="IJ97" s="1">
        <v>0</v>
      </c>
      <c r="IK97" s="1">
        <v>0</v>
      </c>
      <c r="IL97" s="1">
        <v>0</v>
      </c>
      <c r="IM97" s="1">
        <v>1.3698630136986329</v>
      </c>
      <c r="IN97" s="1">
        <v>1.3698630136986329</v>
      </c>
      <c r="IO97" s="1">
        <v>8.2191780821917764</v>
      </c>
      <c r="IP97" s="1">
        <v>89.041095890411086</v>
      </c>
      <c r="IQ97" s="1">
        <v>9.8493150684931763</v>
      </c>
      <c r="IR97" s="1">
        <v>73</v>
      </c>
      <c r="IS97" s="1">
        <v>55.421686746988051</v>
      </c>
      <c r="IT97" s="1">
        <v>4.8192771084337496</v>
      </c>
      <c r="IU97" s="1">
        <v>37.349397590361569</v>
      </c>
      <c r="IV97" s="1">
        <v>1.2048192771084374</v>
      </c>
      <c r="IW97" s="1">
        <v>1.2048192771084374</v>
      </c>
      <c r="IX97" s="1">
        <v>83</v>
      </c>
      <c r="IY97" s="1">
        <v>1</v>
      </c>
      <c r="IZ97" s="1">
        <v>41.961040000000018</v>
      </c>
      <c r="JA97" s="1">
        <v>26.097720000000013</v>
      </c>
      <c r="JB97" s="1">
        <v>9.2109600000000018</v>
      </c>
      <c r="JC97" s="1">
        <v>6.6523599999999963</v>
      </c>
      <c r="JD97" s="1">
        <v>3.0703200000000028</v>
      </c>
      <c r="JE97" s="1">
        <v>0.62195121951219734</v>
      </c>
      <c r="JF97" s="1">
        <v>0.21951219512195164</v>
      </c>
      <c r="JG97" s="1">
        <v>0.15853658536585374</v>
      </c>
      <c r="JH97" s="1">
        <v>7.3170731707317138E-2</v>
      </c>
      <c r="JI97" s="1">
        <v>1</v>
      </c>
      <c r="JJ97" s="1">
        <v>82</v>
      </c>
      <c r="JK97" s="1">
        <v>2.2469135802469138</v>
      </c>
      <c r="JL97" s="1">
        <v>2.2469135802469116</v>
      </c>
      <c r="JM97" s="1">
        <v>81</v>
      </c>
      <c r="JN97" s="1">
        <v>93.93939393939398</v>
      </c>
      <c r="JO97" s="1">
        <v>6.0606060606060597</v>
      </c>
      <c r="JP97" s="1">
        <v>33</v>
      </c>
      <c r="JQ97" s="1">
        <v>100.00000000000001</v>
      </c>
      <c r="JR97" s="1">
        <v>0</v>
      </c>
      <c r="JS97" s="1">
        <v>43</v>
      </c>
      <c r="JT97" s="1">
        <v>90.740740740740819</v>
      </c>
      <c r="JU97" s="1">
        <v>9.25925925925924</v>
      </c>
      <c r="JV97" s="1">
        <v>54</v>
      </c>
      <c r="JW97" s="1">
        <v>97.95918367346917</v>
      </c>
      <c r="JX97" s="1">
        <v>2.040816326530611</v>
      </c>
      <c r="JY97" s="1">
        <v>49</v>
      </c>
      <c r="JZ97" s="1">
        <v>58.666666666666693</v>
      </c>
      <c r="KA97" s="1">
        <v>41.333333333333456</v>
      </c>
      <c r="KB97" s="1">
        <v>75</v>
      </c>
      <c r="KC97" s="1">
        <v>100</v>
      </c>
      <c r="KD97" s="1">
        <v>0</v>
      </c>
      <c r="KE97" s="1">
        <v>73</v>
      </c>
      <c r="KF97" s="1">
        <v>3.591549295774648</v>
      </c>
      <c r="KG97" s="1">
        <v>0</v>
      </c>
      <c r="KH97" s="1">
        <v>12.676056338028168</v>
      </c>
      <c r="KI97" s="1">
        <v>30.985915492957737</v>
      </c>
      <c r="KJ97" s="1">
        <v>40.845070422535201</v>
      </c>
      <c r="KK97" s="1">
        <v>15.492957746478856</v>
      </c>
      <c r="KL97" s="1">
        <v>71</v>
      </c>
      <c r="KM97" s="1">
        <v>62.915492957746473</v>
      </c>
      <c r="KN97" s="1">
        <v>150</v>
      </c>
      <c r="KO97" s="1">
        <v>0</v>
      </c>
      <c r="KP97" s="1">
        <v>0</v>
      </c>
      <c r="KQ97" s="1">
        <v>0</v>
      </c>
      <c r="KR97" s="1">
        <v>0</v>
      </c>
      <c r="KS97" s="1">
        <v>100</v>
      </c>
      <c r="KT97" s="1">
        <v>54</v>
      </c>
      <c r="KU97" s="1">
        <v>0</v>
      </c>
      <c r="KV97" s="1">
        <v>1.4084507042253556</v>
      </c>
      <c r="KW97" s="1">
        <v>0</v>
      </c>
      <c r="KX97" s="1">
        <v>98.591549295774669</v>
      </c>
      <c r="KY97" s="1">
        <v>0</v>
      </c>
      <c r="KZ97" s="1">
        <v>71</v>
      </c>
      <c r="LA97" s="1">
        <v>10.958904109589064</v>
      </c>
      <c r="LB97" s="1">
        <v>89.041095890411086</v>
      </c>
      <c r="LC97" s="1">
        <v>73</v>
      </c>
      <c r="LD97" s="1">
        <v>0</v>
      </c>
      <c r="LE97" s="1">
        <v>0</v>
      </c>
      <c r="LF97" s="1">
        <v>100</v>
      </c>
      <c r="LG97" s="1">
        <v>8</v>
      </c>
    </row>
    <row r="98" spans="1:319" x14ac:dyDescent="0.25">
      <c r="A98" s="1">
        <v>1585</v>
      </c>
      <c r="B98" s="1">
        <v>5.8823529411764701</v>
      </c>
      <c r="C98" s="1">
        <v>94.117647058823465</v>
      </c>
      <c r="D98" s="1">
        <v>34</v>
      </c>
      <c r="E98" s="1">
        <v>68.750000000000014</v>
      </c>
      <c r="F98" s="1">
        <v>31.250000000000004</v>
      </c>
      <c r="G98" s="1">
        <v>32</v>
      </c>
      <c r="H98" s="1">
        <v>77.272727272727266</v>
      </c>
      <c r="I98" s="1">
        <v>22.727272727272734</v>
      </c>
      <c r="J98" s="1">
        <v>22</v>
      </c>
      <c r="K98" s="1">
        <v>1</v>
      </c>
      <c r="L98" s="1">
        <v>16.389000000000006</v>
      </c>
      <c r="M98" s="1">
        <v>1.3657499999999991</v>
      </c>
      <c r="N98" s="1">
        <v>11.381250000000005</v>
      </c>
      <c r="O98" s="1">
        <v>0.91049999999999975</v>
      </c>
      <c r="P98" s="1">
        <v>0.45524999999999988</v>
      </c>
      <c r="Q98" s="1">
        <v>1.8209999999999995</v>
      </c>
      <c r="R98" s="1">
        <v>0.91049999999999975</v>
      </c>
      <c r="S98" s="1">
        <v>0</v>
      </c>
      <c r="T98" s="1">
        <v>5.4629999999999965</v>
      </c>
      <c r="U98" s="1">
        <v>0.91049999999999975</v>
      </c>
      <c r="V98" s="1">
        <v>1.8209999999999995</v>
      </c>
      <c r="W98" s="1">
        <v>8.3333333333333356E-2</v>
      </c>
      <c r="X98" s="1">
        <v>0.69444444444444409</v>
      </c>
      <c r="Y98" s="1">
        <v>5.5555555555555566E-2</v>
      </c>
      <c r="Z98" s="1">
        <v>2.7777777777777783E-2</v>
      </c>
      <c r="AA98" s="1">
        <v>0.11111111111111113</v>
      </c>
      <c r="AB98" s="1">
        <v>5.5555555555555566E-2</v>
      </c>
      <c r="AC98" s="1">
        <v>0</v>
      </c>
      <c r="AD98" s="1">
        <v>0.33333333333333376</v>
      </c>
      <c r="AE98" s="1">
        <v>5.5555555555555566E-2</v>
      </c>
      <c r="AF98" s="1">
        <v>0.11111111111111113</v>
      </c>
      <c r="AG98" s="1">
        <v>1</v>
      </c>
      <c r="AH98" s="1">
        <v>36</v>
      </c>
      <c r="AI98" s="1">
        <v>1</v>
      </c>
      <c r="AJ98" s="1">
        <v>15.933749999999991</v>
      </c>
      <c r="AK98" s="1">
        <v>13.202249999999994</v>
      </c>
      <c r="AL98" s="1">
        <v>12.747000000000002</v>
      </c>
      <c r="AM98" s="1">
        <v>7.739250000000002</v>
      </c>
      <c r="AN98" s="1">
        <v>7.283999999999998</v>
      </c>
      <c r="AO98" s="1">
        <v>2.2762500000000001</v>
      </c>
      <c r="AP98" s="1">
        <v>1.3657499999999991</v>
      </c>
      <c r="AQ98" s="1">
        <v>0.82857142857142907</v>
      </c>
      <c r="AR98" s="1">
        <v>0.80000000000000049</v>
      </c>
      <c r="AS98" s="1">
        <v>0.48571428571428604</v>
      </c>
      <c r="AT98" s="1">
        <v>0.45714285714285741</v>
      </c>
      <c r="AU98" s="1">
        <v>0.1428571428571429</v>
      </c>
      <c r="AV98" s="1">
        <v>8.5714285714285812E-2</v>
      </c>
      <c r="AW98" s="1">
        <v>1</v>
      </c>
      <c r="AX98" s="1">
        <v>35</v>
      </c>
      <c r="AY98" s="1">
        <v>9.8888888888888893</v>
      </c>
      <c r="AZ98" s="1">
        <v>9.9166666666666661</v>
      </c>
      <c r="BA98" s="1">
        <v>9.8888888888888893</v>
      </c>
      <c r="BB98" s="1">
        <v>0</v>
      </c>
      <c r="BC98" s="1">
        <v>0</v>
      </c>
      <c r="BD98" s="1">
        <v>0</v>
      </c>
      <c r="BE98" s="1">
        <v>0</v>
      </c>
      <c r="BF98" s="1">
        <v>0</v>
      </c>
      <c r="BG98" s="1">
        <v>0</v>
      </c>
      <c r="BH98" s="1">
        <v>0</v>
      </c>
      <c r="BI98" s="1">
        <v>0</v>
      </c>
      <c r="BJ98" s="1">
        <v>11.111111111111105</v>
      </c>
      <c r="BK98" s="1">
        <v>88.888888888888829</v>
      </c>
      <c r="BL98" s="1">
        <v>9.8888888888888982</v>
      </c>
      <c r="BM98" s="1">
        <v>36</v>
      </c>
      <c r="BN98" s="1">
        <v>0</v>
      </c>
      <c r="BO98" s="1">
        <v>0</v>
      </c>
      <c r="BP98" s="1">
        <v>0</v>
      </c>
      <c r="BQ98" s="1">
        <v>0</v>
      </c>
      <c r="BR98" s="1">
        <v>0</v>
      </c>
      <c r="BS98" s="1">
        <v>0</v>
      </c>
      <c r="BT98" s="1">
        <v>0</v>
      </c>
      <c r="BU98" s="1">
        <v>2.7777777777777763</v>
      </c>
      <c r="BV98" s="1">
        <v>2.7777777777777763</v>
      </c>
      <c r="BW98" s="1">
        <v>94.444444444444386</v>
      </c>
      <c r="BX98" s="1">
        <v>9.9166666666666803</v>
      </c>
      <c r="BY98" s="1">
        <v>36</v>
      </c>
      <c r="BZ98" s="1">
        <v>0</v>
      </c>
      <c r="CA98" s="1">
        <v>0</v>
      </c>
      <c r="CB98" s="1">
        <v>0</v>
      </c>
      <c r="CC98" s="1">
        <v>0</v>
      </c>
      <c r="CD98" s="1">
        <v>0</v>
      </c>
      <c r="CE98" s="1">
        <v>0</v>
      </c>
      <c r="CF98" s="1">
        <v>0</v>
      </c>
      <c r="CG98" s="1">
        <v>2.7777777777777763</v>
      </c>
      <c r="CH98" s="1">
        <v>5.5555555555555527</v>
      </c>
      <c r="CI98" s="1">
        <v>91.666666666666629</v>
      </c>
      <c r="CJ98" s="1">
        <v>9.8888888888888946</v>
      </c>
      <c r="CK98" s="1">
        <v>36</v>
      </c>
      <c r="CL98" s="1">
        <v>50.000000000000014</v>
      </c>
      <c r="CM98" s="1">
        <v>41.17647058823534</v>
      </c>
      <c r="CN98" s="1">
        <v>5.8823529411764701</v>
      </c>
      <c r="CO98" s="1">
        <v>2.9411764705882351</v>
      </c>
      <c r="CP98" s="1">
        <v>0</v>
      </c>
      <c r="CQ98" s="1">
        <v>34</v>
      </c>
      <c r="CR98" s="1">
        <v>62.857142857142861</v>
      </c>
      <c r="CS98" s="1">
        <v>22.857142857142879</v>
      </c>
      <c r="CT98" s="1">
        <v>8.571428571428573</v>
      </c>
      <c r="CU98" s="1">
        <v>5.7142857142857197</v>
      </c>
      <c r="CV98" s="1">
        <v>0</v>
      </c>
      <c r="CW98" s="1">
        <v>35</v>
      </c>
      <c r="CX98" s="1">
        <v>88.888888888888829</v>
      </c>
      <c r="CY98" s="1">
        <v>8.3333333333333339</v>
      </c>
      <c r="CZ98" s="1">
        <v>2.7777777777777763</v>
      </c>
      <c r="DA98" s="1">
        <v>0</v>
      </c>
      <c r="DB98" s="1">
        <v>0</v>
      </c>
      <c r="DC98" s="1">
        <v>36</v>
      </c>
      <c r="DD98" s="1">
        <v>72.222222222222186</v>
      </c>
      <c r="DE98" s="1">
        <v>22.222222222222211</v>
      </c>
      <c r="DF98" s="1">
        <v>5.5555555555555527</v>
      </c>
      <c r="DG98" s="1">
        <v>0</v>
      </c>
      <c r="DH98" s="1">
        <v>0</v>
      </c>
      <c r="DI98" s="1">
        <v>36</v>
      </c>
      <c r="DJ98" s="1">
        <v>68.750000000000014</v>
      </c>
      <c r="DK98" s="1">
        <v>25.000000000000004</v>
      </c>
      <c r="DL98" s="1">
        <v>3.1250000000000004</v>
      </c>
      <c r="DM98" s="1">
        <v>0</v>
      </c>
      <c r="DN98" s="1">
        <v>3.1250000000000004</v>
      </c>
      <c r="DO98" s="1">
        <v>32</v>
      </c>
      <c r="DP98" s="1">
        <v>83.333333333333371</v>
      </c>
      <c r="DQ98" s="1">
        <v>13.8888888888889</v>
      </c>
      <c r="DR98" s="1">
        <v>2.7777777777777763</v>
      </c>
      <c r="DS98" s="1">
        <v>0</v>
      </c>
      <c r="DT98" s="1">
        <v>0</v>
      </c>
      <c r="DU98" s="1">
        <v>36</v>
      </c>
      <c r="DV98" s="1">
        <v>55.555555555555614</v>
      </c>
      <c r="DW98" s="1">
        <v>27.7777777777778</v>
      </c>
      <c r="DX98" s="1">
        <v>11.111111111111105</v>
      </c>
      <c r="DY98" s="1">
        <v>5.5555555555555527</v>
      </c>
      <c r="DZ98" s="1">
        <v>0</v>
      </c>
      <c r="EA98" s="1">
        <v>36</v>
      </c>
      <c r="EB98" s="1">
        <v>100</v>
      </c>
      <c r="EC98" s="1">
        <v>0</v>
      </c>
      <c r="ED98" s="1">
        <v>0</v>
      </c>
      <c r="EE98" s="1">
        <v>0</v>
      </c>
      <c r="EF98" s="1">
        <v>0</v>
      </c>
      <c r="EG98" s="1">
        <v>7</v>
      </c>
      <c r="EH98" s="1">
        <v>99.999999999999986</v>
      </c>
      <c r="EI98" s="1">
        <v>0</v>
      </c>
      <c r="EJ98" s="1">
        <v>0</v>
      </c>
      <c r="EK98" s="1">
        <v>0</v>
      </c>
      <c r="EL98" s="1">
        <v>0</v>
      </c>
      <c r="EM98" s="1">
        <v>3</v>
      </c>
      <c r="EN98" s="1">
        <v>54.545454545454511</v>
      </c>
      <c r="EO98" s="1">
        <v>18.181818181818173</v>
      </c>
      <c r="EP98" s="1">
        <v>18.181818181818173</v>
      </c>
      <c r="EQ98" s="1">
        <v>9.0909090909090864</v>
      </c>
      <c r="ER98" s="1">
        <v>0</v>
      </c>
      <c r="ES98" s="1">
        <v>11</v>
      </c>
      <c r="ET98" s="1">
        <v>42.857142857142868</v>
      </c>
      <c r="EU98" s="1">
        <v>35.714285714285708</v>
      </c>
      <c r="EV98" s="1">
        <v>21.428571428571434</v>
      </c>
      <c r="EW98" s="1">
        <v>0</v>
      </c>
      <c r="EX98" s="1">
        <v>0</v>
      </c>
      <c r="EY98" s="1">
        <v>14</v>
      </c>
      <c r="EZ98" s="1">
        <v>66.666666666666671</v>
      </c>
      <c r="FA98" s="1">
        <v>24.999999999999996</v>
      </c>
      <c r="FB98" s="1">
        <v>8.3333333333333339</v>
      </c>
      <c r="FC98" s="1">
        <v>0</v>
      </c>
      <c r="FD98" s="1">
        <v>0</v>
      </c>
      <c r="FE98" s="1">
        <v>12</v>
      </c>
      <c r="FF98" s="1">
        <v>66.666666666666671</v>
      </c>
      <c r="FG98" s="1">
        <v>22.222222222222207</v>
      </c>
      <c r="FH98" s="1">
        <v>11.111111111111104</v>
      </c>
      <c r="FI98" s="1">
        <v>0</v>
      </c>
      <c r="FJ98" s="1">
        <v>0</v>
      </c>
      <c r="FK98" s="1">
        <v>9</v>
      </c>
      <c r="FL98" s="1">
        <v>66.666666666666671</v>
      </c>
      <c r="FM98" s="1">
        <v>16.666666666666668</v>
      </c>
      <c r="FN98" s="1">
        <v>8.3333333333333339</v>
      </c>
      <c r="FO98" s="1">
        <v>8.3333333333333339</v>
      </c>
      <c r="FP98" s="1">
        <v>0</v>
      </c>
      <c r="FQ98" s="1">
        <v>12</v>
      </c>
      <c r="FR98" s="1">
        <v>70</v>
      </c>
      <c r="FS98" s="1">
        <v>20</v>
      </c>
      <c r="FT98" s="1">
        <v>0</v>
      </c>
      <c r="FU98" s="1">
        <v>10</v>
      </c>
      <c r="FV98" s="1">
        <v>0</v>
      </c>
      <c r="FW98" s="1">
        <v>10</v>
      </c>
      <c r="FX98" s="1">
        <v>97.222222222222186</v>
      </c>
      <c r="FY98" s="1">
        <v>0</v>
      </c>
      <c r="FZ98" s="1">
        <v>2.7777777777777763</v>
      </c>
      <c r="GA98" s="1">
        <v>0</v>
      </c>
      <c r="GB98" s="1">
        <v>0</v>
      </c>
      <c r="GC98" s="1">
        <v>36</v>
      </c>
      <c r="GD98" s="1">
        <v>99.999999999999986</v>
      </c>
      <c r="GE98" s="1">
        <v>0</v>
      </c>
      <c r="GF98" s="1">
        <v>0</v>
      </c>
      <c r="GG98" s="1">
        <v>0</v>
      </c>
      <c r="GH98" s="1">
        <v>0</v>
      </c>
      <c r="GI98" s="1">
        <v>6</v>
      </c>
      <c r="GJ98" s="1">
        <v>83.333333333333343</v>
      </c>
      <c r="GK98" s="1">
        <v>16.666666666666668</v>
      </c>
      <c r="GL98" s="1">
        <v>0</v>
      </c>
      <c r="GM98" s="1">
        <v>0</v>
      </c>
      <c r="GN98" s="1">
        <v>0</v>
      </c>
      <c r="GO98" s="1">
        <v>12</v>
      </c>
      <c r="GP98" s="1">
        <v>88.888888888888829</v>
      </c>
      <c r="GQ98" s="1">
        <v>3.7037037037037055</v>
      </c>
      <c r="GR98" s="1">
        <v>7.407407407407411</v>
      </c>
      <c r="GS98" s="1">
        <v>0</v>
      </c>
      <c r="GT98" s="1">
        <v>0</v>
      </c>
      <c r="GU98" s="1">
        <v>27</v>
      </c>
      <c r="GV98" s="1">
        <v>90.909090909090949</v>
      </c>
      <c r="GW98" s="1">
        <v>4.5454545454545432</v>
      </c>
      <c r="GX98" s="1">
        <v>4.5454545454545432</v>
      </c>
      <c r="GY98" s="1">
        <v>0</v>
      </c>
      <c r="GZ98" s="1">
        <v>0</v>
      </c>
      <c r="HA98" s="1">
        <v>22</v>
      </c>
      <c r="HB98" s="1">
        <v>0</v>
      </c>
      <c r="HC98" s="1">
        <v>0</v>
      </c>
      <c r="HD98" s="1">
        <v>0</v>
      </c>
      <c r="HE98" s="1">
        <v>0</v>
      </c>
      <c r="HF98" s="1">
        <v>0</v>
      </c>
      <c r="HG98" s="1">
        <v>0</v>
      </c>
      <c r="HH98" s="1">
        <v>66.666666666666671</v>
      </c>
      <c r="HI98" s="1">
        <v>0</v>
      </c>
      <c r="HJ98" s="1">
        <v>33.333333333333336</v>
      </c>
      <c r="HK98" s="1">
        <v>0</v>
      </c>
      <c r="HL98" s="1">
        <v>0</v>
      </c>
      <c r="HM98" s="1">
        <v>3</v>
      </c>
      <c r="HN98" s="1">
        <v>0</v>
      </c>
      <c r="HO98" s="1">
        <v>0</v>
      </c>
      <c r="HP98" s="1">
        <v>0</v>
      </c>
      <c r="HQ98" s="1">
        <v>0</v>
      </c>
      <c r="HR98" s="1">
        <v>0</v>
      </c>
      <c r="HS98" s="1">
        <v>0</v>
      </c>
      <c r="HT98" s="1">
        <v>0</v>
      </c>
      <c r="HU98" s="1">
        <v>0</v>
      </c>
      <c r="HV98" s="1">
        <v>0</v>
      </c>
      <c r="HW98" s="1">
        <v>0</v>
      </c>
      <c r="HX98" s="1">
        <v>0</v>
      </c>
      <c r="HY98" s="1">
        <v>0</v>
      </c>
      <c r="HZ98" s="1">
        <v>0</v>
      </c>
      <c r="IA98" s="1">
        <v>0</v>
      </c>
      <c r="IB98" s="1">
        <v>0</v>
      </c>
      <c r="IC98" s="1">
        <v>0</v>
      </c>
      <c r="ID98" s="1">
        <v>0</v>
      </c>
      <c r="IE98" s="1">
        <v>0</v>
      </c>
      <c r="IF98" s="1">
        <v>9.4117647058823533</v>
      </c>
      <c r="IG98" s="1">
        <v>0</v>
      </c>
      <c r="IH98" s="1">
        <v>0</v>
      </c>
      <c r="II98" s="1">
        <v>0</v>
      </c>
      <c r="IJ98" s="1">
        <v>0</v>
      </c>
      <c r="IK98" s="1">
        <v>0</v>
      </c>
      <c r="IL98" s="1">
        <v>0</v>
      </c>
      <c r="IM98" s="1">
        <v>0</v>
      </c>
      <c r="IN98" s="1">
        <v>14.705882352941176</v>
      </c>
      <c r="IO98" s="1">
        <v>29.411764705882351</v>
      </c>
      <c r="IP98" s="1">
        <v>55.882352941176535</v>
      </c>
      <c r="IQ98" s="1">
        <v>9.4117647058823586</v>
      </c>
      <c r="IR98" s="1">
        <v>34</v>
      </c>
      <c r="IS98" s="1">
        <v>69.4444444444444</v>
      </c>
      <c r="IT98" s="1">
        <v>19.444444444444454</v>
      </c>
      <c r="IU98" s="1">
        <v>5.5555555555555527</v>
      </c>
      <c r="IV98" s="1">
        <v>2.7777777777777763</v>
      </c>
      <c r="IW98" s="1">
        <v>2.7777777777777763</v>
      </c>
      <c r="IX98" s="1">
        <v>36</v>
      </c>
      <c r="IY98" s="1">
        <v>1</v>
      </c>
      <c r="IZ98" s="1">
        <v>16.389000000000006</v>
      </c>
      <c r="JA98" s="1">
        <v>9.1050000000000004</v>
      </c>
      <c r="JB98" s="1">
        <v>5.4629999999999965</v>
      </c>
      <c r="JC98" s="1">
        <v>1.3657499999999991</v>
      </c>
      <c r="JD98" s="1">
        <v>1.8209999999999995</v>
      </c>
      <c r="JE98" s="1">
        <v>0.5555555555555558</v>
      </c>
      <c r="JF98" s="1">
        <v>0.33333333333333376</v>
      </c>
      <c r="JG98" s="1">
        <v>8.3333333333333356E-2</v>
      </c>
      <c r="JH98" s="1">
        <v>0.11111111111111113</v>
      </c>
      <c r="JI98" s="1">
        <v>1</v>
      </c>
      <c r="JJ98" s="1">
        <v>36</v>
      </c>
      <c r="JK98" s="1">
        <v>2.8055555555555554</v>
      </c>
      <c r="JL98" s="1">
        <v>2.8055555555555567</v>
      </c>
      <c r="JM98" s="1">
        <v>36</v>
      </c>
      <c r="JN98" s="1">
        <v>88.888888888888829</v>
      </c>
      <c r="JO98" s="1">
        <v>11.111111111111104</v>
      </c>
      <c r="JP98" s="1">
        <v>9</v>
      </c>
      <c r="JQ98" s="1">
        <v>100</v>
      </c>
      <c r="JR98" s="1">
        <v>0</v>
      </c>
      <c r="JS98" s="1">
        <v>10</v>
      </c>
      <c r="JT98" s="1">
        <v>100</v>
      </c>
      <c r="JU98" s="1">
        <v>0</v>
      </c>
      <c r="JV98" s="1">
        <v>33</v>
      </c>
      <c r="JW98" s="1">
        <v>93.75</v>
      </c>
      <c r="JX98" s="1">
        <v>6.2499999999999991</v>
      </c>
      <c r="JY98" s="1">
        <v>16</v>
      </c>
      <c r="JZ98" s="1">
        <v>51.428571428571502</v>
      </c>
      <c r="KA98" s="1">
        <v>48.571428571428619</v>
      </c>
      <c r="KB98" s="1">
        <v>35</v>
      </c>
      <c r="KC98" s="1">
        <v>100</v>
      </c>
      <c r="KD98" s="1">
        <v>0</v>
      </c>
      <c r="KE98" s="1">
        <v>34</v>
      </c>
      <c r="KF98" s="1">
        <v>2.5588235294117645</v>
      </c>
      <c r="KG98" s="1">
        <v>2.9411764705882351</v>
      </c>
      <c r="KH98" s="1">
        <v>61.764705882352956</v>
      </c>
      <c r="KI98" s="1">
        <v>17.647058823529406</v>
      </c>
      <c r="KJ98" s="1">
        <v>11.76470588235294</v>
      </c>
      <c r="KK98" s="1">
        <v>5.8823529411764701</v>
      </c>
      <c r="KL98" s="1">
        <v>34</v>
      </c>
      <c r="KM98" s="1">
        <v>43.970588235294137</v>
      </c>
      <c r="KN98" s="1">
        <v>0</v>
      </c>
      <c r="KO98" s="1">
        <v>0</v>
      </c>
      <c r="KP98" s="1">
        <v>0</v>
      </c>
      <c r="KQ98" s="1">
        <v>0</v>
      </c>
      <c r="KR98" s="1">
        <v>0</v>
      </c>
      <c r="KS98" s="1">
        <v>0</v>
      </c>
      <c r="KT98" s="1">
        <v>0</v>
      </c>
      <c r="KU98" s="1">
        <v>0</v>
      </c>
      <c r="KV98" s="1">
        <v>0</v>
      </c>
      <c r="KW98" s="1">
        <v>2.8571428571428599</v>
      </c>
      <c r="KX98" s="1">
        <v>97.14285714285721</v>
      </c>
      <c r="KY98" s="1">
        <v>0</v>
      </c>
      <c r="KZ98" s="1">
        <v>35</v>
      </c>
      <c r="LA98" s="1">
        <v>8.571428571428573</v>
      </c>
      <c r="LB98" s="1">
        <v>91.428571428571445</v>
      </c>
      <c r="LC98" s="1">
        <v>35</v>
      </c>
      <c r="LD98" s="1">
        <v>0</v>
      </c>
      <c r="LE98" s="1">
        <v>33.333333333333329</v>
      </c>
      <c r="LF98" s="1">
        <v>66.666666666666657</v>
      </c>
      <c r="LG98" s="1">
        <v>3</v>
      </c>
    </row>
    <row r="99" spans="1:319" x14ac:dyDescent="0.25">
      <c r="A99" s="1">
        <v>1623</v>
      </c>
      <c r="B99" s="1">
        <v>12.500000000000002</v>
      </c>
      <c r="C99" s="1">
        <v>87.5</v>
      </c>
      <c r="D99" s="1">
        <v>32</v>
      </c>
      <c r="E99" s="1">
        <v>66.666666666666728</v>
      </c>
      <c r="F99" s="1">
        <v>33.333333333333364</v>
      </c>
      <c r="G99" s="1">
        <v>27</v>
      </c>
      <c r="H99" s="1">
        <v>73.684210526315823</v>
      </c>
      <c r="I99" s="1">
        <v>26.31578947368422</v>
      </c>
      <c r="J99" s="1">
        <v>19</v>
      </c>
      <c r="K99" s="1">
        <v>1</v>
      </c>
      <c r="L99" s="1">
        <v>25.749529999999968</v>
      </c>
      <c r="M99" s="1">
        <v>8.3062999999999967</v>
      </c>
      <c r="N99" s="1">
        <v>6.6450399999999963</v>
      </c>
      <c r="O99" s="1">
        <v>5.8144100000000014</v>
      </c>
      <c r="P99" s="1">
        <v>1.6612599999999991</v>
      </c>
      <c r="Q99" s="1">
        <v>9.9675599999999935</v>
      </c>
      <c r="R99" s="1">
        <v>0.83062999999999954</v>
      </c>
      <c r="S99" s="1">
        <v>0.83062999999999954</v>
      </c>
      <c r="T99" s="1">
        <v>2.4918899999999984</v>
      </c>
      <c r="U99" s="1">
        <v>3.3225199999999981</v>
      </c>
      <c r="V99" s="1">
        <v>20.765749999999993</v>
      </c>
      <c r="W99" s="1">
        <v>0.32258064516129054</v>
      </c>
      <c r="X99" s="1">
        <v>0.25806451612903225</v>
      </c>
      <c r="Y99" s="1">
        <v>0.22580645161290325</v>
      </c>
      <c r="Z99" s="1">
        <v>6.4516129032258063E-2</v>
      </c>
      <c r="AA99" s="1">
        <v>0.38709677419354849</v>
      </c>
      <c r="AB99" s="1">
        <v>3.2258064516129031E-2</v>
      </c>
      <c r="AC99" s="1">
        <v>3.2258064516129031E-2</v>
      </c>
      <c r="AD99" s="1">
        <v>9.6774193548387122E-2</v>
      </c>
      <c r="AE99" s="1">
        <v>0.12903225806451613</v>
      </c>
      <c r="AF99" s="1">
        <v>0.8064516129032252</v>
      </c>
      <c r="AG99" s="1">
        <v>1</v>
      </c>
      <c r="AH99" s="1">
        <v>31</v>
      </c>
      <c r="AI99" s="1">
        <v>1</v>
      </c>
      <c r="AJ99" s="1">
        <v>24.088269999999977</v>
      </c>
      <c r="AK99" s="1">
        <v>9.9675599999999935</v>
      </c>
      <c r="AL99" s="1">
        <v>16.61259999999999</v>
      </c>
      <c r="AM99" s="1">
        <v>8.3062999999999967</v>
      </c>
      <c r="AN99" s="1">
        <v>9.9675599999999935</v>
      </c>
      <c r="AO99" s="1">
        <v>2.4918899999999984</v>
      </c>
      <c r="AP99" s="1">
        <v>1.6612599999999991</v>
      </c>
      <c r="AQ99" s="1">
        <v>0.41379310344827586</v>
      </c>
      <c r="AR99" s="1">
        <v>0.68965517241379348</v>
      </c>
      <c r="AS99" s="1">
        <v>0.34482758620689674</v>
      </c>
      <c r="AT99" s="1">
        <v>0.41379310344827586</v>
      </c>
      <c r="AU99" s="1">
        <v>0.10344827586206896</v>
      </c>
      <c r="AV99" s="1">
        <v>6.8965517241379393E-2</v>
      </c>
      <c r="AW99" s="1">
        <v>1</v>
      </c>
      <c r="AX99" s="1">
        <v>29</v>
      </c>
      <c r="AY99" s="1">
        <v>9.75</v>
      </c>
      <c r="AZ99" s="1">
        <v>9.806451612903226</v>
      </c>
      <c r="BA99" s="1">
        <v>9.7096774193548381</v>
      </c>
      <c r="BB99" s="1">
        <v>0</v>
      </c>
      <c r="BC99" s="1">
        <v>0</v>
      </c>
      <c r="BD99" s="1">
        <v>0</v>
      </c>
      <c r="BE99" s="1">
        <v>0</v>
      </c>
      <c r="BF99" s="1">
        <v>0</v>
      </c>
      <c r="BG99" s="1">
        <v>0</v>
      </c>
      <c r="BH99" s="1">
        <v>3.1250000000000004</v>
      </c>
      <c r="BI99" s="1">
        <v>0</v>
      </c>
      <c r="BJ99" s="1">
        <v>15.625000000000004</v>
      </c>
      <c r="BK99" s="1">
        <v>81.250000000000014</v>
      </c>
      <c r="BL99" s="1">
        <v>9.7500000000000018</v>
      </c>
      <c r="BM99" s="1">
        <v>32</v>
      </c>
      <c r="BN99" s="1">
        <v>0</v>
      </c>
      <c r="BO99" s="1">
        <v>0</v>
      </c>
      <c r="BP99" s="1">
        <v>0</v>
      </c>
      <c r="BQ99" s="1">
        <v>0</v>
      </c>
      <c r="BR99" s="1">
        <v>0</v>
      </c>
      <c r="BS99" s="1">
        <v>0</v>
      </c>
      <c r="BT99" s="1">
        <v>0</v>
      </c>
      <c r="BU99" s="1">
        <v>6.451612903225814</v>
      </c>
      <c r="BV99" s="1">
        <v>6.451612903225814</v>
      </c>
      <c r="BW99" s="1">
        <v>87.096774193548342</v>
      </c>
      <c r="BX99" s="1">
        <v>9.8064516129032295</v>
      </c>
      <c r="BY99" s="1">
        <v>31</v>
      </c>
      <c r="BZ99" s="1">
        <v>0</v>
      </c>
      <c r="CA99" s="1">
        <v>0</v>
      </c>
      <c r="CB99" s="1">
        <v>0</v>
      </c>
      <c r="CC99" s="1">
        <v>0</v>
      </c>
      <c r="CD99" s="1">
        <v>0</v>
      </c>
      <c r="CE99" s="1">
        <v>0</v>
      </c>
      <c r="CF99" s="1">
        <v>0</v>
      </c>
      <c r="CG99" s="1">
        <v>12.903225806451628</v>
      </c>
      <c r="CH99" s="1">
        <v>3.225806451612907</v>
      </c>
      <c r="CI99" s="1">
        <v>83.870967741935559</v>
      </c>
      <c r="CJ99" s="1">
        <v>9.7096774193548381</v>
      </c>
      <c r="CK99" s="1">
        <v>31</v>
      </c>
      <c r="CL99" s="1">
        <v>75</v>
      </c>
      <c r="CM99" s="1">
        <v>21.875000000000004</v>
      </c>
      <c r="CN99" s="1">
        <v>0</v>
      </c>
      <c r="CO99" s="1">
        <v>3.1250000000000004</v>
      </c>
      <c r="CP99" s="1">
        <v>0</v>
      </c>
      <c r="CQ99" s="1">
        <v>32</v>
      </c>
      <c r="CR99" s="1">
        <v>90.625000000000014</v>
      </c>
      <c r="CS99" s="1">
        <v>9.3750000000000018</v>
      </c>
      <c r="CT99" s="1">
        <v>0</v>
      </c>
      <c r="CU99" s="1">
        <v>0</v>
      </c>
      <c r="CV99" s="1">
        <v>0</v>
      </c>
      <c r="CW99" s="1">
        <v>32</v>
      </c>
      <c r="CX99" s="1">
        <v>93.75</v>
      </c>
      <c r="CY99" s="1">
        <v>6.2500000000000009</v>
      </c>
      <c r="CZ99" s="1">
        <v>0</v>
      </c>
      <c r="DA99" s="1">
        <v>0</v>
      </c>
      <c r="DB99" s="1">
        <v>0</v>
      </c>
      <c r="DC99" s="1">
        <v>32</v>
      </c>
      <c r="DD99" s="1">
        <v>90.625000000000014</v>
      </c>
      <c r="DE99" s="1">
        <v>9.3750000000000018</v>
      </c>
      <c r="DF99" s="1">
        <v>0</v>
      </c>
      <c r="DG99" s="1">
        <v>0</v>
      </c>
      <c r="DH99" s="1">
        <v>0</v>
      </c>
      <c r="DI99" s="1">
        <v>32</v>
      </c>
      <c r="DJ99" s="1">
        <v>83.333333333333343</v>
      </c>
      <c r="DK99" s="1">
        <v>6.6666666666666652</v>
      </c>
      <c r="DL99" s="1">
        <v>6.6666666666666652</v>
      </c>
      <c r="DM99" s="1">
        <v>3.3333333333333326</v>
      </c>
      <c r="DN99" s="1">
        <v>0</v>
      </c>
      <c r="DO99" s="1">
        <v>30</v>
      </c>
      <c r="DP99" s="1">
        <v>90.322580645161324</v>
      </c>
      <c r="DQ99" s="1">
        <v>9.6774193548387171</v>
      </c>
      <c r="DR99" s="1">
        <v>0</v>
      </c>
      <c r="DS99" s="1">
        <v>0</v>
      </c>
      <c r="DT99" s="1">
        <v>0</v>
      </c>
      <c r="DU99" s="1">
        <v>31</v>
      </c>
      <c r="DV99" s="1">
        <v>85.185185185185205</v>
      </c>
      <c r="DW99" s="1">
        <v>3.7037037037037064</v>
      </c>
      <c r="DX99" s="1">
        <v>7.4074074074074128</v>
      </c>
      <c r="DY99" s="1">
        <v>0</v>
      </c>
      <c r="DZ99" s="1">
        <v>3.7037037037037064</v>
      </c>
      <c r="EA99" s="1">
        <v>27</v>
      </c>
      <c r="EB99" s="1">
        <v>66.666666666666686</v>
      </c>
      <c r="EC99" s="1">
        <v>33.333333333333343</v>
      </c>
      <c r="ED99" s="1">
        <v>0</v>
      </c>
      <c r="EE99" s="1">
        <v>0</v>
      </c>
      <c r="EF99" s="1">
        <v>0</v>
      </c>
      <c r="EG99" s="1">
        <v>12</v>
      </c>
      <c r="EH99" s="1">
        <v>29.999999999999996</v>
      </c>
      <c r="EI99" s="1">
        <v>29.999999999999996</v>
      </c>
      <c r="EJ99" s="1">
        <v>10</v>
      </c>
      <c r="EK99" s="1">
        <v>20</v>
      </c>
      <c r="EL99" s="1">
        <v>10</v>
      </c>
      <c r="EM99" s="1">
        <v>10</v>
      </c>
      <c r="EN99" s="1">
        <v>42.857142857142883</v>
      </c>
      <c r="EO99" s="1">
        <v>35.714285714285751</v>
      </c>
      <c r="EP99" s="1">
        <v>7.1428571428571406</v>
      </c>
      <c r="EQ99" s="1">
        <v>14.285714285714281</v>
      </c>
      <c r="ER99" s="1">
        <v>0</v>
      </c>
      <c r="ES99" s="1">
        <v>14</v>
      </c>
      <c r="ET99" s="1">
        <v>28.571428571428562</v>
      </c>
      <c r="EU99" s="1">
        <v>57.142857142857125</v>
      </c>
      <c r="EV99" s="1">
        <v>7.1428571428571406</v>
      </c>
      <c r="EW99" s="1">
        <v>7.1428571428571406</v>
      </c>
      <c r="EX99" s="1">
        <v>0</v>
      </c>
      <c r="EY99" s="1">
        <v>14</v>
      </c>
      <c r="EZ99" s="1">
        <v>28.571428571428559</v>
      </c>
      <c r="FA99" s="1">
        <v>42.857142857142868</v>
      </c>
      <c r="FB99" s="1">
        <v>28.571428571428559</v>
      </c>
      <c r="FC99" s="1">
        <v>0</v>
      </c>
      <c r="FD99" s="1">
        <v>0</v>
      </c>
      <c r="FE99" s="1">
        <v>7</v>
      </c>
      <c r="FF99" s="1">
        <v>49.999999999999993</v>
      </c>
      <c r="FG99" s="1">
        <v>33.333333333333343</v>
      </c>
      <c r="FH99" s="1">
        <v>16.666666666666671</v>
      </c>
      <c r="FI99" s="1">
        <v>0</v>
      </c>
      <c r="FJ99" s="1">
        <v>0</v>
      </c>
      <c r="FK99" s="1">
        <v>6</v>
      </c>
      <c r="FL99" s="1">
        <v>37.499999999999993</v>
      </c>
      <c r="FM99" s="1">
        <v>37.499999999999993</v>
      </c>
      <c r="FN99" s="1">
        <v>0</v>
      </c>
      <c r="FO99" s="1">
        <v>12.499999999999998</v>
      </c>
      <c r="FP99" s="1">
        <v>12.499999999999998</v>
      </c>
      <c r="FQ99" s="1">
        <v>8</v>
      </c>
      <c r="FR99" s="1">
        <v>44.444444444444422</v>
      </c>
      <c r="FS99" s="1">
        <v>44.444444444444422</v>
      </c>
      <c r="FT99" s="1">
        <v>11.111111111111105</v>
      </c>
      <c r="FU99" s="1">
        <v>0</v>
      </c>
      <c r="FV99" s="1">
        <v>0</v>
      </c>
      <c r="FW99" s="1">
        <v>9</v>
      </c>
      <c r="FX99" s="1">
        <v>82.758620689655189</v>
      </c>
      <c r="FY99" s="1">
        <v>17.241379310344833</v>
      </c>
      <c r="FZ99" s="1">
        <v>0</v>
      </c>
      <c r="GA99" s="1">
        <v>0</v>
      </c>
      <c r="GB99" s="1">
        <v>0</v>
      </c>
      <c r="GC99" s="1">
        <v>29</v>
      </c>
      <c r="GD99" s="1">
        <v>69.230769230769255</v>
      </c>
      <c r="GE99" s="1">
        <v>30.769230769230745</v>
      </c>
      <c r="GF99" s="1">
        <v>0</v>
      </c>
      <c r="GG99" s="1">
        <v>0</v>
      </c>
      <c r="GH99" s="1">
        <v>0</v>
      </c>
      <c r="GI99" s="1">
        <v>13</v>
      </c>
      <c r="GJ99" s="1">
        <v>80.000000000000014</v>
      </c>
      <c r="GK99" s="1">
        <v>20.000000000000004</v>
      </c>
      <c r="GL99" s="1">
        <v>0</v>
      </c>
      <c r="GM99" s="1">
        <v>0</v>
      </c>
      <c r="GN99" s="1">
        <v>0</v>
      </c>
      <c r="GO99" s="1">
        <v>15</v>
      </c>
      <c r="GP99" s="1">
        <v>72.72727272727272</v>
      </c>
      <c r="GQ99" s="1">
        <v>22.727272727272744</v>
      </c>
      <c r="GR99" s="1">
        <v>0</v>
      </c>
      <c r="GS99" s="1">
        <v>0</v>
      </c>
      <c r="GT99" s="1">
        <v>4.5454545454545485</v>
      </c>
      <c r="GU99" s="1">
        <v>22</v>
      </c>
      <c r="GV99" s="1">
        <v>86.95652173913048</v>
      </c>
      <c r="GW99" s="1">
        <v>13.043478260869565</v>
      </c>
      <c r="GX99" s="1">
        <v>0</v>
      </c>
      <c r="GY99" s="1">
        <v>0</v>
      </c>
      <c r="GZ99" s="1">
        <v>0</v>
      </c>
      <c r="HA99" s="1">
        <v>23</v>
      </c>
      <c r="HB99" s="1">
        <v>54.545454545454518</v>
      </c>
      <c r="HC99" s="1">
        <v>18.18181818181818</v>
      </c>
      <c r="HD99" s="1">
        <v>18.18181818181818</v>
      </c>
      <c r="HE99" s="1">
        <v>0</v>
      </c>
      <c r="HF99" s="1">
        <v>9.0909090909090899</v>
      </c>
      <c r="HG99" s="1">
        <v>11</v>
      </c>
      <c r="HH99" s="1">
        <v>55.555555555555593</v>
      </c>
      <c r="HI99" s="1">
        <v>22.222222222222211</v>
      </c>
      <c r="HJ99" s="1">
        <v>22.222222222222211</v>
      </c>
      <c r="HK99" s="1">
        <v>0</v>
      </c>
      <c r="HL99" s="1">
        <v>0</v>
      </c>
      <c r="HM99" s="1">
        <v>9</v>
      </c>
      <c r="HN99" s="1">
        <v>0</v>
      </c>
      <c r="HO99" s="1">
        <v>0</v>
      </c>
      <c r="HP99" s="1">
        <v>0</v>
      </c>
      <c r="HQ99" s="1">
        <v>0</v>
      </c>
      <c r="HR99" s="1">
        <v>0</v>
      </c>
      <c r="HS99" s="1">
        <v>0</v>
      </c>
      <c r="HT99" s="1">
        <v>0</v>
      </c>
      <c r="HU99" s="1">
        <v>0</v>
      </c>
      <c r="HV99" s="1">
        <v>0</v>
      </c>
      <c r="HW99" s="1">
        <v>0</v>
      </c>
      <c r="HX99" s="1">
        <v>0</v>
      </c>
      <c r="HY99" s="1">
        <v>0</v>
      </c>
      <c r="HZ99" s="1">
        <v>0</v>
      </c>
      <c r="IA99" s="1">
        <v>0</v>
      </c>
      <c r="IB99" s="1">
        <v>0</v>
      </c>
      <c r="IC99" s="1">
        <v>0</v>
      </c>
      <c r="ID99" s="1">
        <v>0</v>
      </c>
      <c r="IE99" s="1">
        <v>0</v>
      </c>
      <c r="IF99" s="1">
        <v>9.5</v>
      </c>
      <c r="IG99" s="1">
        <v>0</v>
      </c>
      <c r="IH99" s="1">
        <v>0</v>
      </c>
      <c r="II99" s="1">
        <v>0</v>
      </c>
      <c r="IJ99" s="1">
        <v>0</v>
      </c>
      <c r="IK99" s="1">
        <v>0</v>
      </c>
      <c r="IL99" s="1">
        <v>0</v>
      </c>
      <c r="IM99" s="1">
        <v>0</v>
      </c>
      <c r="IN99" s="1">
        <v>16.666666666666679</v>
      </c>
      <c r="IO99" s="1">
        <v>16.666666666666679</v>
      </c>
      <c r="IP99" s="1">
        <v>66.666666666666686</v>
      </c>
      <c r="IQ99" s="1">
        <v>9.5000000000000018</v>
      </c>
      <c r="IR99" s="1">
        <v>30</v>
      </c>
      <c r="IS99" s="1">
        <v>15.625000000000004</v>
      </c>
      <c r="IT99" s="1">
        <v>62.500000000000007</v>
      </c>
      <c r="IU99" s="1">
        <v>15.625000000000004</v>
      </c>
      <c r="IV99" s="1">
        <v>0</v>
      </c>
      <c r="IW99" s="1">
        <v>6.2500000000000009</v>
      </c>
      <c r="IX99" s="1">
        <v>32</v>
      </c>
      <c r="IY99" s="1">
        <v>1</v>
      </c>
      <c r="IZ99" s="1">
        <v>23.257639999999999</v>
      </c>
      <c r="JA99" s="1">
        <v>12.459450000000002</v>
      </c>
      <c r="JB99" s="1">
        <v>5.8144100000000014</v>
      </c>
      <c r="JC99" s="1">
        <v>4.9837799999999985</v>
      </c>
      <c r="JD99" s="1">
        <v>4.9837799999999985</v>
      </c>
      <c r="JE99" s="1">
        <v>0.53571428571428592</v>
      </c>
      <c r="JF99" s="1">
        <v>0.25000000000000006</v>
      </c>
      <c r="JG99" s="1">
        <v>0.21428571428571441</v>
      </c>
      <c r="JH99" s="1">
        <v>0.21428571428571441</v>
      </c>
      <c r="JI99" s="1">
        <v>1</v>
      </c>
      <c r="JJ99" s="1">
        <v>28</v>
      </c>
      <c r="JK99" s="1">
        <v>2.5</v>
      </c>
      <c r="JL99" s="1">
        <v>2.5000000000000004</v>
      </c>
      <c r="JM99" s="1">
        <v>32</v>
      </c>
      <c r="JN99" s="1">
        <v>87.5</v>
      </c>
      <c r="JO99" s="1">
        <v>12.499999999999998</v>
      </c>
      <c r="JP99" s="1">
        <v>8</v>
      </c>
      <c r="JQ99" s="1">
        <v>100</v>
      </c>
      <c r="JR99" s="1">
        <v>0</v>
      </c>
      <c r="JS99" s="1">
        <v>20</v>
      </c>
      <c r="JT99" s="1">
        <v>96.428571428571445</v>
      </c>
      <c r="JU99" s="1">
        <v>3.5714285714285725</v>
      </c>
      <c r="JV99" s="1">
        <v>28</v>
      </c>
      <c r="JW99" s="1">
        <v>95.652173913043484</v>
      </c>
      <c r="JX99" s="1">
        <v>4.3478260869565268</v>
      </c>
      <c r="JY99" s="1">
        <v>23</v>
      </c>
      <c r="JZ99" s="1">
        <v>48.275862068965559</v>
      </c>
      <c r="KA99" s="1">
        <v>51.724137931034477</v>
      </c>
      <c r="KB99" s="1">
        <v>29</v>
      </c>
      <c r="KC99" s="1">
        <v>96.296296296296362</v>
      </c>
      <c r="KD99" s="1">
        <v>3.7037037037037064</v>
      </c>
      <c r="KE99" s="1">
        <v>27</v>
      </c>
      <c r="KF99" s="1">
        <v>2.8846153846153846</v>
      </c>
      <c r="KG99" s="1">
        <v>19.230769230769241</v>
      </c>
      <c r="KH99" s="1">
        <v>19.230769230769241</v>
      </c>
      <c r="KI99" s="1">
        <v>26.923076923076934</v>
      </c>
      <c r="KJ99" s="1">
        <v>23.076923076923091</v>
      </c>
      <c r="KK99" s="1">
        <v>11.538461538461545</v>
      </c>
      <c r="KL99" s="1">
        <v>26</v>
      </c>
      <c r="KM99" s="1">
        <v>51.307692307692356</v>
      </c>
      <c r="KN99" s="1">
        <v>19</v>
      </c>
      <c r="KO99" s="1">
        <v>0</v>
      </c>
      <c r="KP99" s="1">
        <v>0</v>
      </c>
      <c r="KQ99" s="1">
        <v>100</v>
      </c>
      <c r="KR99" s="1">
        <v>0</v>
      </c>
      <c r="KS99" s="1">
        <v>0</v>
      </c>
      <c r="KT99" s="1">
        <v>1</v>
      </c>
      <c r="KU99" s="1">
        <v>3.4482758620689675</v>
      </c>
      <c r="KV99" s="1">
        <v>0</v>
      </c>
      <c r="KW99" s="1">
        <v>3.4482758620689675</v>
      </c>
      <c r="KX99" s="1">
        <v>93.103448275862007</v>
      </c>
      <c r="KY99" s="1">
        <v>0</v>
      </c>
      <c r="KZ99" s="1">
        <v>29</v>
      </c>
      <c r="LA99" s="1">
        <v>11.111111111111123</v>
      </c>
      <c r="LB99" s="1">
        <v>88.888888888888843</v>
      </c>
      <c r="LC99" s="1">
        <v>27</v>
      </c>
      <c r="LD99" s="1">
        <v>0</v>
      </c>
      <c r="LE99" s="1">
        <v>0</v>
      </c>
      <c r="LF99" s="1">
        <v>100</v>
      </c>
      <c r="LG99" s="1">
        <v>3</v>
      </c>
    </row>
    <row r="100" spans="1:319" x14ac:dyDescent="0.25">
      <c r="A100" s="1">
        <v>1741</v>
      </c>
      <c r="B100" s="1">
        <v>42.857142857142861</v>
      </c>
      <c r="C100" s="1">
        <v>57.142857142857132</v>
      </c>
      <c r="D100" s="1">
        <v>21</v>
      </c>
      <c r="E100" s="1">
        <v>81.818181818181799</v>
      </c>
      <c r="F100" s="1">
        <v>18.181818181818183</v>
      </c>
      <c r="G100" s="1">
        <v>11</v>
      </c>
      <c r="H100" s="1">
        <v>62.499999999999986</v>
      </c>
      <c r="I100" s="1">
        <v>37.5</v>
      </c>
      <c r="J100" s="1">
        <v>8</v>
      </c>
      <c r="K100" s="1">
        <v>1</v>
      </c>
      <c r="L100" s="1">
        <v>28.594280000000015</v>
      </c>
      <c r="M100" s="1">
        <v>2.5994799999999998</v>
      </c>
      <c r="N100" s="1">
        <v>5.1989599999999996</v>
      </c>
      <c r="O100" s="1">
        <v>14.297140000000008</v>
      </c>
      <c r="P100" s="1">
        <v>1.2997399999999999</v>
      </c>
      <c r="Q100" s="1">
        <v>9.0981800000000028</v>
      </c>
      <c r="R100" s="1">
        <v>5.1989599999999996</v>
      </c>
      <c r="S100" s="1">
        <v>0</v>
      </c>
      <c r="T100" s="1">
        <v>0</v>
      </c>
      <c r="U100" s="1">
        <v>0</v>
      </c>
      <c r="V100" s="1">
        <v>0</v>
      </c>
      <c r="W100" s="1">
        <v>9.0909090909090884E-2</v>
      </c>
      <c r="X100" s="1">
        <v>0.18181818181818177</v>
      </c>
      <c r="Y100" s="1">
        <v>0.5</v>
      </c>
      <c r="Z100" s="1">
        <v>4.5454545454545442E-2</v>
      </c>
      <c r="AA100" s="1">
        <v>0.31818181818181829</v>
      </c>
      <c r="AB100" s="1">
        <v>0.18181818181818177</v>
      </c>
      <c r="AC100" s="1">
        <v>0</v>
      </c>
      <c r="AD100" s="1">
        <v>0</v>
      </c>
      <c r="AE100" s="1">
        <v>0</v>
      </c>
      <c r="AF100" s="1">
        <v>0</v>
      </c>
      <c r="AG100" s="1">
        <v>1</v>
      </c>
      <c r="AH100" s="1">
        <v>22</v>
      </c>
      <c r="AI100" s="1">
        <v>1</v>
      </c>
      <c r="AJ100" s="1">
        <v>23.395319999999984</v>
      </c>
      <c r="AK100" s="1">
        <v>14.297140000000008</v>
      </c>
      <c r="AL100" s="1">
        <v>6.4986999999999986</v>
      </c>
      <c r="AM100" s="1">
        <v>9.0981800000000028</v>
      </c>
      <c r="AN100" s="1">
        <v>3.8992199999999997</v>
      </c>
      <c r="AO100" s="1">
        <v>1.2997399999999999</v>
      </c>
      <c r="AP100" s="1">
        <v>3.8992199999999997</v>
      </c>
      <c r="AQ100" s="1">
        <v>0.61111111111111083</v>
      </c>
      <c r="AR100" s="1">
        <v>0.27777777777777773</v>
      </c>
      <c r="AS100" s="1">
        <v>0.38888888888888906</v>
      </c>
      <c r="AT100" s="1">
        <v>0.1666666666666666</v>
      </c>
      <c r="AU100" s="1">
        <v>5.5555555555555573E-2</v>
      </c>
      <c r="AV100" s="1">
        <v>0.1666666666666666</v>
      </c>
      <c r="AW100" s="1">
        <v>1</v>
      </c>
      <c r="AX100" s="1">
        <v>18</v>
      </c>
      <c r="AY100" s="1">
        <v>9.9047619047619051</v>
      </c>
      <c r="AZ100" s="1">
        <v>9.9047619047619051</v>
      </c>
      <c r="BA100" s="1">
        <v>9.882352941176471</v>
      </c>
      <c r="BB100" s="1">
        <v>0</v>
      </c>
      <c r="BC100" s="1">
        <v>0</v>
      </c>
      <c r="BD100" s="1">
        <v>0</v>
      </c>
      <c r="BE100" s="1">
        <v>0</v>
      </c>
      <c r="BF100" s="1">
        <v>0</v>
      </c>
      <c r="BG100" s="1">
        <v>0</v>
      </c>
      <c r="BH100" s="1">
        <v>0</v>
      </c>
      <c r="BI100" s="1">
        <v>0</v>
      </c>
      <c r="BJ100" s="1">
        <v>9.5238095238095202</v>
      </c>
      <c r="BK100" s="1">
        <v>90.476190476190425</v>
      </c>
      <c r="BL100" s="1">
        <v>9.9047619047618998</v>
      </c>
      <c r="BM100" s="1">
        <v>21</v>
      </c>
      <c r="BN100" s="1">
        <v>0</v>
      </c>
      <c r="BO100" s="1">
        <v>0</v>
      </c>
      <c r="BP100" s="1">
        <v>0</v>
      </c>
      <c r="BQ100" s="1">
        <v>0</v>
      </c>
      <c r="BR100" s="1">
        <v>0</v>
      </c>
      <c r="BS100" s="1">
        <v>0</v>
      </c>
      <c r="BT100" s="1">
        <v>0</v>
      </c>
      <c r="BU100" s="1">
        <v>0</v>
      </c>
      <c r="BV100" s="1">
        <v>9.5238095238095202</v>
      </c>
      <c r="BW100" s="1">
        <v>90.476190476190425</v>
      </c>
      <c r="BX100" s="1">
        <v>9.9047619047618998</v>
      </c>
      <c r="BY100" s="1">
        <v>21</v>
      </c>
      <c r="BZ100" s="1">
        <v>0</v>
      </c>
      <c r="CA100" s="1">
        <v>0</v>
      </c>
      <c r="CB100" s="1">
        <v>0</v>
      </c>
      <c r="CC100" s="1">
        <v>0</v>
      </c>
      <c r="CD100" s="1">
        <v>0</v>
      </c>
      <c r="CE100" s="1">
        <v>0</v>
      </c>
      <c r="CF100" s="1">
        <v>0</v>
      </c>
      <c r="CG100" s="1">
        <v>0</v>
      </c>
      <c r="CH100" s="1">
        <v>11.764705882352935</v>
      </c>
      <c r="CI100" s="1">
        <v>88.235294117647058</v>
      </c>
      <c r="CJ100" s="1">
        <v>9.8823529411764657</v>
      </c>
      <c r="CK100" s="1">
        <v>17</v>
      </c>
      <c r="CL100" s="1">
        <v>88.8888888888889</v>
      </c>
      <c r="CM100" s="1">
        <v>0</v>
      </c>
      <c r="CN100" s="1">
        <v>5.5555555555555562</v>
      </c>
      <c r="CO100" s="1">
        <v>5.5555555555555562</v>
      </c>
      <c r="CP100" s="1">
        <v>0</v>
      </c>
      <c r="CQ100" s="1">
        <v>18</v>
      </c>
      <c r="CR100" s="1">
        <v>95.238095238095198</v>
      </c>
      <c r="CS100" s="1">
        <v>4.7619047619047601</v>
      </c>
      <c r="CT100" s="1">
        <v>0</v>
      </c>
      <c r="CU100" s="1">
        <v>0</v>
      </c>
      <c r="CV100" s="1">
        <v>0</v>
      </c>
      <c r="CW100" s="1">
        <v>21</v>
      </c>
      <c r="CX100" s="1">
        <v>95</v>
      </c>
      <c r="CY100" s="1">
        <v>5</v>
      </c>
      <c r="CZ100" s="1">
        <v>0</v>
      </c>
      <c r="DA100" s="1">
        <v>0</v>
      </c>
      <c r="DB100" s="1">
        <v>0</v>
      </c>
      <c r="DC100" s="1">
        <v>20</v>
      </c>
      <c r="DD100" s="1">
        <v>95</v>
      </c>
      <c r="DE100" s="1">
        <v>5</v>
      </c>
      <c r="DF100" s="1">
        <v>0</v>
      </c>
      <c r="DG100" s="1">
        <v>0</v>
      </c>
      <c r="DH100" s="1">
        <v>0</v>
      </c>
      <c r="DI100" s="1">
        <v>20</v>
      </c>
      <c r="DJ100" s="1">
        <v>94.4444444444444</v>
      </c>
      <c r="DK100" s="1">
        <v>5.5555555555555562</v>
      </c>
      <c r="DL100" s="1">
        <v>0</v>
      </c>
      <c r="DM100" s="1">
        <v>0</v>
      </c>
      <c r="DN100" s="1">
        <v>0</v>
      </c>
      <c r="DO100" s="1">
        <v>18</v>
      </c>
      <c r="DP100" s="1">
        <v>99.999999999999986</v>
      </c>
      <c r="DQ100" s="1">
        <v>0</v>
      </c>
      <c r="DR100" s="1">
        <v>0</v>
      </c>
      <c r="DS100" s="1">
        <v>0</v>
      </c>
      <c r="DT100" s="1">
        <v>0</v>
      </c>
      <c r="DU100" s="1">
        <v>20</v>
      </c>
      <c r="DV100" s="1">
        <v>80</v>
      </c>
      <c r="DW100" s="1">
        <v>20</v>
      </c>
      <c r="DX100" s="1">
        <v>0</v>
      </c>
      <c r="DY100" s="1">
        <v>0</v>
      </c>
      <c r="DZ100" s="1">
        <v>0</v>
      </c>
      <c r="EA100" s="1">
        <v>5</v>
      </c>
      <c r="EB100" s="1">
        <v>100</v>
      </c>
      <c r="EC100" s="1">
        <v>0</v>
      </c>
      <c r="ED100" s="1">
        <v>0</v>
      </c>
      <c r="EE100" s="1">
        <v>0</v>
      </c>
      <c r="EF100" s="1">
        <v>0</v>
      </c>
      <c r="EG100" s="1">
        <v>3</v>
      </c>
      <c r="EH100" s="1">
        <v>100</v>
      </c>
      <c r="EI100" s="1">
        <v>0</v>
      </c>
      <c r="EJ100" s="1">
        <v>0</v>
      </c>
      <c r="EK100" s="1">
        <v>0</v>
      </c>
      <c r="EL100" s="1">
        <v>0</v>
      </c>
      <c r="EM100" s="1">
        <v>3</v>
      </c>
      <c r="EN100" s="1">
        <v>80</v>
      </c>
      <c r="EO100" s="1">
        <v>20</v>
      </c>
      <c r="EP100" s="1">
        <v>0</v>
      </c>
      <c r="EQ100" s="1">
        <v>0</v>
      </c>
      <c r="ER100" s="1">
        <v>0</v>
      </c>
      <c r="ES100" s="1">
        <v>5</v>
      </c>
      <c r="ET100" s="1">
        <v>99.999999999999986</v>
      </c>
      <c r="EU100" s="1">
        <v>0</v>
      </c>
      <c r="EV100" s="1">
        <v>0</v>
      </c>
      <c r="EW100" s="1">
        <v>0</v>
      </c>
      <c r="EX100" s="1">
        <v>0</v>
      </c>
      <c r="EY100" s="1">
        <v>5</v>
      </c>
      <c r="EZ100" s="1">
        <v>83.333333333333314</v>
      </c>
      <c r="FA100" s="1">
        <v>0</v>
      </c>
      <c r="FB100" s="1">
        <v>16.666666666666671</v>
      </c>
      <c r="FC100" s="1">
        <v>0</v>
      </c>
      <c r="FD100" s="1">
        <v>0</v>
      </c>
      <c r="FE100" s="1">
        <v>6</v>
      </c>
      <c r="FF100" s="1">
        <v>100</v>
      </c>
      <c r="FG100" s="1">
        <v>0</v>
      </c>
      <c r="FH100" s="1">
        <v>0</v>
      </c>
      <c r="FI100" s="1">
        <v>0</v>
      </c>
      <c r="FJ100" s="1">
        <v>0</v>
      </c>
      <c r="FK100" s="1">
        <v>2</v>
      </c>
      <c r="FL100" s="1">
        <v>100</v>
      </c>
      <c r="FM100" s="1">
        <v>0</v>
      </c>
      <c r="FN100" s="1">
        <v>0</v>
      </c>
      <c r="FO100" s="1">
        <v>0</v>
      </c>
      <c r="FP100" s="1">
        <v>0</v>
      </c>
      <c r="FQ100" s="1">
        <v>3</v>
      </c>
      <c r="FR100" s="1">
        <v>100</v>
      </c>
      <c r="FS100" s="1">
        <v>0</v>
      </c>
      <c r="FT100" s="1">
        <v>0</v>
      </c>
      <c r="FU100" s="1">
        <v>0</v>
      </c>
      <c r="FV100" s="1">
        <v>0</v>
      </c>
      <c r="FW100" s="1">
        <v>1</v>
      </c>
      <c r="FX100" s="1">
        <v>100.00000000000001</v>
      </c>
      <c r="FY100" s="1">
        <v>0</v>
      </c>
      <c r="FZ100" s="1">
        <v>0</v>
      </c>
      <c r="GA100" s="1">
        <v>0</v>
      </c>
      <c r="GB100" s="1">
        <v>0</v>
      </c>
      <c r="GC100" s="1">
        <v>17</v>
      </c>
      <c r="GD100" s="1">
        <v>92.307692307692321</v>
      </c>
      <c r="GE100" s="1">
        <v>7.6923076923076898</v>
      </c>
      <c r="GF100" s="1">
        <v>0</v>
      </c>
      <c r="GG100" s="1">
        <v>0</v>
      </c>
      <c r="GH100" s="1">
        <v>0</v>
      </c>
      <c r="GI100" s="1">
        <v>13</v>
      </c>
      <c r="GJ100" s="1">
        <v>91.666666666666686</v>
      </c>
      <c r="GK100" s="1">
        <v>0</v>
      </c>
      <c r="GL100" s="1">
        <v>8.3333333333333357</v>
      </c>
      <c r="GM100" s="1">
        <v>0</v>
      </c>
      <c r="GN100" s="1">
        <v>0</v>
      </c>
      <c r="GO100" s="1">
        <v>12</v>
      </c>
      <c r="GP100" s="1">
        <v>85.714285714285722</v>
      </c>
      <c r="GQ100" s="1">
        <v>14.285714285714283</v>
      </c>
      <c r="GR100" s="1">
        <v>0</v>
      </c>
      <c r="GS100" s="1">
        <v>0</v>
      </c>
      <c r="GT100" s="1">
        <v>0</v>
      </c>
      <c r="GU100" s="1">
        <v>7</v>
      </c>
      <c r="GV100" s="1">
        <v>85.714285714285722</v>
      </c>
      <c r="GW100" s="1">
        <v>14.285714285714283</v>
      </c>
      <c r="GX100" s="1">
        <v>0</v>
      </c>
      <c r="GY100" s="1">
        <v>0</v>
      </c>
      <c r="GZ100" s="1">
        <v>0</v>
      </c>
      <c r="HA100" s="1">
        <v>7</v>
      </c>
      <c r="HB100" s="1">
        <v>99.999999999999986</v>
      </c>
      <c r="HC100" s="1">
        <v>0</v>
      </c>
      <c r="HD100" s="1">
        <v>0</v>
      </c>
      <c r="HE100" s="1">
        <v>0</v>
      </c>
      <c r="HF100" s="1">
        <v>0</v>
      </c>
      <c r="HG100" s="1">
        <v>5</v>
      </c>
      <c r="HH100" s="1">
        <v>100</v>
      </c>
      <c r="HI100" s="1">
        <v>0</v>
      </c>
      <c r="HJ100" s="1">
        <v>0</v>
      </c>
      <c r="HK100" s="1">
        <v>0</v>
      </c>
      <c r="HL100" s="1">
        <v>0</v>
      </c>
      <c r="HM100" s="1">
        <v>3</v>
      </c>
      <c r="HN100" s="1">
        <v>0</v>
      </c>
      <c r="HO100" s="1">
        <v>0</v>
      </c>
      <c r="HP100" s="1">
        <v>0</v>
      </c>
      <c r="HQ100" s="1">
        <v>0</v>
      </c>
      <c r="HR100" s="1">
        <v>0</v>
      </c>
      <c r="HS100" s="1">
        <v>0</v>
      </c>
      <c r="HT100" s="1">
        <v>0</v>
      </c>
      <c r="HU100" s="1">
        <v>0</v>
      </c>
      <c r="HV100" s="1">
        <v>0</v>
      </c>
      <c r="HW100" s="1">
        <v>0</v>
      </c>
      <c r="HX100" s="1">
        <v>0</v>
      </c>
      <c r="HY100" s="1">
        <v>0</v>
      </c>
      <c r="HZ100" s="1">
        <v>0</v>
      </c>
      <c r="IA100" s="1">
        <v>0</v>
      </c>
      <c r="IB100" s="1">
        <v>0</v>
      </c>
      <c r="IC100" s="1">
        <v>0</v>
      </c>
      <c r="ID100" s="1">
        <v>0</v>
      </c>
      <c r="IE100" s="1">
        <v>0</v>
      </c>
      <c r="IF100" s="1">
        <v>9.6923076923076916</v>
      </c>
      <c r="IG100" s="1">
        <v>0</v>
      </c>
      <c r="IH100" s="1">
        <v>0</v>
      </c>
      <c r="II100" s="1">
        <v>0</v>
      </c>
      <c r="IJ100" s="1">
        <v>0</v>
      </c>
      <c r="IK100" s="1">
        <v>0</v>
      </c>
      <c r="IL100" s="1">
        <v>0</v>
      </c>
      <c r="IM100" s="1">
        <v>0</v>
      </c>
      <c r="IN100" s="1">
        <v>7.6923076923076898</v>
      </c>
      <c r="IO100" s="1">
        <v>15.38461538461538</v>
      </c>
      <c r="IP100" s="1">
        <v>76.92307692307692</v>
      </c>
      <c r="IQ100" s="1">
        <v>9.6923076923076863</v>
      </c>
      <c r="IR100" s="1">
        <v>13</v>
      </c>
      <c r="IS100" s="1">
        <v>80.952380952380963</v>
      </c>
      <c r="IT100" s="1">
        <v>9.5238095238095202</v>
      </c>
      <c r="IU100" s="1">
        <v>4.7619047619047601</v>
      </c>
      <c r="IV100" s="1">
        <v>0</v>
      </c>
      <c r="IW100" s="1">
        <v>4.7619047619047601</v>
      </c>
      <c r="IX100" s="1">
        <v>21</v>
      </c>
      <c r="IY100" s="1">
        <v>1</v>
      </c>
      <c r="IZ100" s="1">
        <v>24.695060000000009</v>
      </c>
      <c r="JA100" s="1">
        <v>6.4986999999999986</v>
      </c>
      <c r="JB100" s="1">
        <v>12.997399999999997</v>
      </c>
      <c r="JC100" s="1">
        <v>7.7984399999999994</v>
      </c>
      <c r="JD100" s="1">
        <v>3.8992199999999997</v>
      </c>
      <c r="JE100" s="1">
        <v>0.2631578947368422</v>
      </c>
      <c r="JF100" s="1">
        <v>0.5263157894736844</v>
      </c>
      <c r="JG100" s="1">
        <v>0.31578947368421056</v>
      </c>
      <c r="JH100" s="1">
        <v>0.15789473684210528</v>
      </c>
      <c r="JI100" s="1">
        <v>1</v>
      </c>
      <c r="JJ100" s="1">
        <v>19</v>
      </c>
      <c r="JK100" s="1">
        <v>1.8823529411764706</v>
      </c>
      <c r="JL100" s="1">
        <v>1.8823529411764708</v>
      </c>
      <c r="JM100" s="1">
        <v>17</v>
      </c>
      <c r="JN100" s="1">
        <v>99.999999999999986</v>
      </c>
      <c r="JO100" s="1">
        <v>0</v>
      </c>
      <c r="JP100" s="1">
        <v>5</v>
      </c>
      <c r="JQ100" s="1">
        <v>100</v>
      </c>
      <c r="JR100" s="1">
        <v>0</v>
      </c>
      <c r="JS100" s="1">
        <v>11</v>
      </c>
      <c r="JT100" s="1">
        <v>100</v>
      </c>
      <c r="JU100" s="1">
        <v>0</v>
      </c>
      <c r="JV100" s="1">
        <v>9</v>
      </c>
      <c r="JW100" s="1">
        <v>90</v>
      </c>
      <c r="JX100" s="1">
        <v>10</v>
      </c>
      <c r="JY100" s="1">
        <v>10</v>
      </c>
      <c r="JZ100" s="1">
        <v>57.894736842105274</v>
      </c>
      <c r="KA100" s="1">
        <v>42.105263157894768</v>
      </c>
      <c r="KB100" s="1">
        <v>19</v>
      </c>
      <c r="KC100" s="1">
        <v>100</v>
      </c>
      <c r="KD100" s="1">
        <v>0</v>
      </c>
      <c r="KE100" s="1">
        <v>15</v>
      </c>
      <c r="KF100" s="1">
        <v>3.6666666666666665</v>
      </c>
      <c r="KG100" s="1">
        <v>5.5555555555555562</v>
      </c>
      <c r="KH100" s="1">
        <v>5.5555555555555562</v>
      </c>
      <c r="KI100" s="1">
        <v>33.333333333333343</v>
      </c>
      <c r="KJ100" s="1">
        <v>27.777777777777782</v>
      </c>
      <c r="KK100" s="1">
        <v>27.777777777777782</v>
      </c>
      <c r="KL100" s="1">
        <v>18</v>
      </c>
      <c r="KM100" s="1">
        <v>62.833333333333321</v>
      </c>
      <c r="KN100" s="1">
        <v>0</v>
      </c>
      <c r="KO100" s="1">
        <v>0</v>
      </c>
      <c r="KP100" s="1">
        <v>0</v>
      </c>
      <c r="KQ100" s="1">
        <v>0</v>
      </c>
      <c r="KR100" s="1">
        <v>0</v>
      </c>
      <c r="KS100" s="1">
        <v>0</v>
      </c>
      <c r="KT100" s="1">
        <v>0</v>
      </c>
      <c r="KU100" s="1">
        <v>0</v>
      </c>
      <c r="KV100" s="1">
        <v>0</v>
      </c>
      <c r="KW100" s="1">
        <v>0</v>
      </c>
      <c r="KX100" s="1">
        <v>100.00000000000001</v>
      </c>
      <c r="KY100" s="1">
        <v>0</v>
      </c>
      <c r="KZ100" s="1">
        <v>17</v>
      </c>
      <c r="LA100" s="1">
        <v>11.111111111111112</v>
      </c>
      <c r="LB100" s="1">
        <v>88.8888888888889</v>
      </c>
      <c r="LC100" s="1">
        <v>18</v>
      </c>
      <c r="LD100" s="1">
        <v>0</v>
      </c>
      <c r="LE100" s="1">
        <v>50</v>
      </c>
      <c r="LF100" s="1">
        <v>50</v>
      </c>
      <c r="LG100" s="1">
        <v>2</v>
      </c>
    </row>
    <row r="101" spans="1:319" x14ac:dyDescent="0.25">
      <c r="A101" s="1">
        <v>1800</v>
      </c>
      <c r="B101" s="1">
        <v>28</v>
      </c>
      <c r="C101" s="1">
        <v>72</v>
      </c>
      <c r="D101" s="1">
        <v>25</v>
      </c>
      <c r="E101" s="1">
        <v>77.7777777777778</v>
      </c>
      <c r="F101" s="1">
        <v>22.222222222222225</v>
      </c>
      <c r="G101" s="1">
        <v>18</v>
      </c>
      <c r="H101" s="1">
        <v>58.33333333333335</v>
      </c>
      <c r="I101" s="1">
        <v>41.666666666666671</v>
      </c>
      <c r="J101" s="1">
        <v>12</v>
      </c>
      <c r="K101" s="1">
        <v>1</v>
      </c>
      <c r="L101" s="1">
        <v>36.310250000000003</v>
      </c>
      <c r="M101" s="1">
        <v>4.3572300000000004</v>
      </c>
      <c r="N101" s="1">
        <v>13.071689999999995</v>
      </c>
      <c r="O101" s="1">
        <v>13.071689999999995</v>
      </c>
      <c r="P101" s="1">
        <v>1.4524100000000002</v>
      </c>
      <c r="Q101" s="1">
        <v>15.976510000000005</v>
      </c>
      <c r="R101" s="1">
        <v>4.3572300000000004</v>
      </c>
      <c r="S101" s="1">
        <v>1.4524100000000002</v>
      </c>
      <c r="T101" s="1">
        <v>2.9048200000000004</v>
      </c>
      <c r="U101" s="1">
        <v>10.166869999999996</v>
      </c>
      <c r="V101" s="1">
        <v>1.4524100000000002</v>
      </c>
      <c r="W101" s="1">
        <v>0.12</v>
      </c>
      <c r="X101" s="1">
        <v>0.3600000000000001</v>
      </c>
      <c r="Y101" s="1">
        <v>0.3600000000000001</v>
      </c>
      <c r="Z101" s="1">
        <v>4.0000000000000008E-2</v>
      </c>
      <c r="AA101" s="1">
        <v>0.44</v>
      </c>
      <c r="AB101" s="1">
        <v>0.12</v>
      </c>
      <c r="AC101" s="1">
        <v>4.0000000000000008E-2</v>
      </c>
      <c r="AD101" s="1">
        <v>8.0000000000000016E-2</v>
      </c>
      <c r="AE101" s="1">
        <v>0.28000000000000019</v>
      </c>
      <c r="AF101" s="1">
        <v>4.0000000000000008E-2</v>
      </c>
      <c r="AG101" s="1">
        <v>1</v>
      </c>
      <c r="AH101" s="1">
        <v>25</v>
      </c>
      <c r="AI101" s="1">
        <v>1</v>
      </c>
      <c r="AJ101" s="1">
        <v>34.857840000000003</v>
      </c>
      <c r="AK101" s="1">
        <v>30.500610000000016</v>
      </c>
      <c r="AL101" s="1">
        <v>13.071689999999995</v>
      </c>
      <c r="AM101" s="1">
        <v>15.976510000000005</v>
      </c>
      <c r="AN101" s="1">
        <v>20.333739999999992</v>
      </c>
      <c r="AO101" s="1">
        <v>0</v>
      </c>
      <c r="AP101" s="1">
        <v>2.9048200000000004</v>
      </c>
      <c r="AQ101" s="1">
        <v>0.87500000000000011</v>
      </c>
      <c r="AR101" s="1">
        <v>0.375</v>
      </c>
      <c r="AS101" s="1">
        <v>0.45833333333333343</v>
      </c>
      <c r="AT101" s="1">
        <v>0.58333333333333359</v>
      </c>
      <c r="AU101" s="1">
        <v>0</v>
      </c>
      <c r="AV101" s="1">
        <v>8.3333333333333301E-2</v>
      </c>
      <c r="AW101" s="1">
        <v>1</v>
      </c>
      <c r="AX101" s="1">
        <v>24</v>
      </c>
      <c r="AY101" s="1">
        <v>8.695652173913043</v>
      </c>
      <c r="AZ101" s="1">
        <v>8.875</v>
      </c>
      <c r="BA101" s="1">
        <v>9.0434782608695645</v>
      </c>
      <c r="BB101" s="1">
        <v>0</v>
      </c>
      <c r="BC101" s="1">
        <v>0</v>
      </c>
      <c r="BD101" s="1">
        <v>8.6956521739130395</v>
      </c>
      <c r="BE101" s="1">
        <v>0</v>
      </c>
      <c r="BF101" s="1">
        <v>0</v>
      </c>
      <c r="BG101" s="1">
        <v>4.3478260869565197</v>
      </c>
      <c r="BH101" s="1">
        <v>4.3478260869565197</v>
      </c>
      <c r="BI101" s="1">
        <v>8.6956521739130395</v>
      </c>
      <c r="BJ101" s="1">
        <v>21.73913043478262</v>
      </c>
      <c r="BK101" s="1">
        <v>52.173913043478258</v>
      </c>
      <c r="BL101" s="1">
        <v>8.6956521739130395</v>
      </c>
      <c r="BM101" s="1">
        <v>23</v>
      </c>
      <c r="BN101" s="1">
        <v>0</v>
      </c>
      <c r="BO101" s="1">
        <v>0</v>
      </c>
      <c r="BP101" s="1">
        <v>0</v>
      </c>
      <c r="BQ101" s="1">
        <v>0</v>
      </c>
      <c r="BR101" s="1">
        <v>8.3333333333333357</v>
      </c>
      <c r="BS101" s="1">
        <v>0</v>
      </c>
      <c r="BT101" s="1">
        <v>12.499999999999998</v>
      </c>
      <c r="BU101" s="1">
        <v>8.3333333333333357</v>
      </c>
      <c r="BV101" s="1">
        <v>16.666666666666671</v>
      </c>
      <c r="BW101" s="1">
        <v>54.166666666666679</v>
      </c>
      <c r="BX101" s="1">
        <v>8.8749999999999982</v>
      </c>
      <c r="BY101" s="1">
        <v>24</v>
      </c>
      <c r="BZ101" s="1">
        <v>0</v>
      </c>
      <c r="CA101" s="1">
        <v>0</v>
      </c>
      <c r="CB101" s="1">
        <v>0</v>
      </c>
      <c r="CC101" s="1">
        <v>0</v>
      </c>
      <c r="CD101" s="1">
        <v>0</v>
      </c>
      <c r="CE101" s="1">
        <v>4.3478260869565197</v>
      </c>
      <c r="CF101" s="1">
        <v>8.6956521739130395</v>
      </c>
      <c r="CG101" s="1">
        <v>13.043478260869563</v>
      </c>
      <c r="CH101" s="1">
        <v>26.086956521739129</v>
      </c>
      <c r="CI101" s="1">
        <v>47.826086956521742</v>
      </c>
      <c r="CJ101" s="1">
        <v>9.0434782608695645</v>
      </c>
      <c r="CK101" s="1">
        <v>23</v>
      </c>
      <c r="CL101" s="1">
        <v>45.833333333333343</v>
      </c>
      <c r="CM101" s="1">
        <v>45.833333333333343</v>
      </c>
      <c r="CN101" s="1">
        <v>4.1666666666666679</v>
      </c>
      <c r="CO101" s="1">
        <v>4.1666666666666679</v>
      </c>
      <c r="CP101" s="1">
        <v>0</v>
      </c>
      <c r="CQ101" s="1">
        <v>24</v>
      </c>
      <c r="CR101" s="1">
        <v>65.217391304347814</v>
      </c>
      <c r="CS101" s="1">
        <v>30.434782608695638</v>
      </c>
      <c r="CT101" s="1">
        <v>0</v>
      </c>
      <c r="CU101" s="1">
        <v>4.3478260869565197</v>
      </c>
      <c r="CV101" s="1">
        <v>0</v>
      </c>
      <c r="CW101" s="1">
        <v>23</v>
      </c>
      <c r="CX101" s="1">
        <v>76.000000000000014</v>
      </c>
      <c r="CY101" s="1">
        <v>11.999999999999998</v>
      </c>
      <c r="CZ101" s="1">
        <v>3.9999999999999996</v>
      </c>
      <c r="DA101" s="1">
        <v>7.9999999999999991</v>
      </c>
      <c r="DB101" s="1">
        <v>0</v>
      </c>
      <c r="DC101" s="1">
        <v>25</v>
      </c>
      <c r="DD101" s="1">
        <v>83.333333333333314</v>
      </c>
      <c r="DE101" s="1">
        <v>8.3333333333333357</v>
      </c>
      <c r="DF101" s="1">
        <v>8.3333333333333357</v>
      </c>
      <c r="DG101" s="1">
        <v>0</v>
      </c>
      <c r="DH101" s="1">
        <v>0</v>
      </c>
      <c r="DI101" s="1">
        <v>24</v>
      </c>
      <c r="DJ101" s="1">
        <v>60.869565217391276</v>
      </c>
      <c r="DK101" s="1">
        <v>21.73913043478262</v>
      </c>
      <c r="DL101" s="1">
        <v>13.043478260869563</v>
      </c>
      <c r="DM101" s="1">
        <v>4.3478260869565197</v>
      </c>
      <c r="DN101" s="1">
        <v>0</v>
      </c>
      <c r="DO101" s="1">
        <v>23</v>
      </c>
      <c r="DP101" s="1">
        <v>80.000000000000014</v>
      </c>
      <c r="DQ101" s="1">
        <v>15.999999999999998</v>
      </c>
      <c r="DR101" s="1">
        <v>0</v>
      </c>
      <c r="DS101" s="1">
        <v>3.9999999999999996</v>
      </c>
      <c r="DT101" s="1">
        <v>0</v>
      </c>
      <c r="DU101" s="1">
        <v>25</v>
      </c>
      <c r="DV101" s="1">
        <v>41.176470588235276</v>
      </c>
      <c r="DW101" s="1">
        <v>35.294117647058812</v>
      </c>
      <c r="DX101" s="1">
        <v>11.764705882352935</v>
      </c>
      <c r="DY101" s="1">
        <v>11.764705882352935</v>
      </c>
      <c r="DZ101" s="1">
        <v>0</v>
      </c>
      <c r="EA101" s="1">
        <v>17</v>
      </c>
      <c r="EB101" s="1">
        <v>57.894736842105267</v>
      </c>
      <c r="EC101" s="1">
        <v>31.578947368421044</v>
      </c>
      <c r="ED101" s="1">
        <v>0</v>
      </c>
      <c r="EE101" s="1">
        <v>10.526315789473678</v>
      </c>
      <c r="EF101" s="1">
        <v>0</v>
      </c>
      <c r="EG101" s="1">
        <v>19</v>
      </c>
      <c r="EH101" s="1">
        <v>41.176470588235276</v>
      </c>
      <c r="EI101" s="1">
        <v>35.294117647058812</v>
      </c>
      <c r="EJ101" s="1">
        <v>0</v>
      </c>
      <c r="EK101" s="1">
        <v>11.764705882352935</v>
      </c>
      <c r="EL101" s="1">
        <v>11.764705882352935</v>
      </c>
      <c r="EM101" s="1">
        <v>17</v>
      </c>
      <c r="EN101" s="1">
        <v>19.999999999999996</v>
      </c>
      <c r="EO101" s="1">
        <v>46.666666666666657</v>
      </c>
      <c r="EP101" s="1">
        <v>19.999999999999996</v>
      </c>
      <c r="EQ101" s="1">
        <v>13.333333333333332</v>
      </c>
      <c r="ER101" s="1">
        <v>0</v>
      </c>
      <c r="ES101" s="1">
        <v>15</v>
      </c>
      <c r="ET101" s="1">
        <v>18.749999999999996</v>
      </c>
      <c r="EU101" s="1">
        <v>68.75</v>
      </c>
      <c r="EV101" s="1">
        <v>6.2499999999999991</v>
      </c>
      <c r="EW101" s="1">
        <v>0</v>
      </c>
      <c r="EX101" s="1">
        <v>6.2499999999999991</v>
      </c>
      <c r="EY101" s="1">
        <v>16</v>
      </c>
      <c r="EZ101" s="1">
        <v>24.999999999999996</v>
      </c>
      <c r="FA101" s="1">
        <v>24.999999999999996</v>
      </c>
      <c r="FB101" s="1">
        <v>37.499999999999993</v>
      </c>
      <c r="FC101" s="1">
        <v>12.499999999999998</v>
      </c>
      <c r="FD101" s="1">
        <v>0</v>
      </c>
      <c r="FE101" s="1">
        <v>8</v>
      </c>
      <c r="FF101" s="1">
        <v>39.999999999999993</v>
      </c>
      <c r="FG101" s="1">
        <v>29.999999999999996</v>
      </c>
      <c r="FH101" s="1">
        <v>29.999999999999996</v>
      </c>
      <c r="FI101" s="1">
        <v>0</v>
      </c>
      <c r="FJ101" s="1">
        <v>0</v>
      </c>
      <c r="FK101" s="1">
        <v>10</v>
      </c>
      <c r="FL101" s="1">
        <v>49.999999999999993</v>
      </c>
      <c r="FM101" s="1">
        <v>19.999999999999996</v>
      </c>
      <c r="FN101" s="1">
        <v>19.999999999999996</v>
      </c>
      <c r="FO101" s="1">
        <v>9.9999999999999982</v>
      </c>
      <c r="FP101" s="1">
        <v>0</v>
      </c>
      <c r="FQ101" s="1">
        <v>10</v>
      </c>
      <c r="FR101" s="1">
        <v>33.333333333333343</v>
      </c>
      <c r="FS101" s="1">
        <v>33.333333333333343</v>
      </c>
      <c r="FT101" s="1">
        <v>16.666666666666671</v>
      </c>
      <c r="FU101" s="1">
        <v>16.666666666666671</v>
      </c>
      <c r="FV101" s="1">
        <v>0</v>
      </c>
      <c r="FW101" s="1">
        <v>6</v>
      </c>
      <c r="FX101" s="1">
        <v>83.333333333333314</v>
      </c>
      <c r="FY101" s="1">
        <v>16.666666666666671</v>
      </c>
      <c r="FZ101" s="1">
        <v>0</v>
      </c>
      <c r="GA101" s="1">
        <v>0</v>
      </c>
      <c r="GB101" s="1">
        <v>0</v>
      </c>
      <c r="GC101" s="1">
        <v>24</v>
      </c>
      <c r="GD101" s="1">
        <v>37.499999999999993</v>
      </c>
      <c r="GE101" s="1">
        <v>24.999999999999996</v>
      </c>
      <c r="GF101" s="1">
        <v>12.499999999999998</v>
      </c>
      <c r="GG101" s="1">
        <v>24.999999999999996</v>
      </c>
      <c r="GH101" s="1">
        <v>0</v>
      </c>
      <c r="GI101" s="1">
        <v>8</v>
      </c>
      <c r="GJ101" s="1">
        <v>44.444444444444443</v>
      </c>
      <c r="GK101" s="1">
        <v>22.222222222222221</v>
      </c>
      <c r="GL101" s="1">
        <v>33.333333333333343</v>
      </c>
      <c r="GM101" s="1">
        <v>0</v>
      </c>
      <c r="GN101" s="1">
        <v>0</v>
      </c>
      <c r="GO101" s="1">
        <v>9</v>
      </c>
      <c r="GP101" s="1">
        <v>33.333333333333343</v>
      </c>
      <c r="GQ101" s="1">
        <v>55.555555555555571</v>
      </c>
      <c r="GR101" s="1">
        <v>0</v>
      </c>
      <c r="GS101" s="1">
        <v>0</v>
      </c>
      <c r="GT101" s="1">
        <v>11.111111111111111</v>
      </c>
      <c r="GU101" s="1">
        <v>18</v>
      </c>
      <c r="GV101" s="1">
        <v>62.500000000000007</v>
      </c>
      <c r="GW101" s="1">
        <v>24.999999999999996</v>
      </c>
      <c r="GX101" s="1">
        <v>0</v>
      </c>
      <c r="GY101" s="1">
        <v>6.2499999999999991</v>
      </c>
      <c r="GZ101" s="1">
        <v>6.2499999999999991</v>
      </c>
      <c r="HA101" s="1">
        <v>16</v>
      </c>
      <c r="HB101" s="1">
        <v>45.454545454545467</v>
      </c>
      <c r="HC101" s="1">
        <v>9.0909090909090917</v>
      </c>
      <c r="HD101" s="1">
        <v>18.181818181818183</v>
      </c>
      <c r="HE101" s="1">
        <v>18.181818181818183</v>
      </c>
      <c r="HF101" s="1">
        <v>9.0909090909090917</v>
      </c>
      <c r="HG101" s="1">
        <v>11</v>
      </c>
      <c r="HH101" s="1">
        <v>55.555555555555571</v>
      </c>
      <c r="HI101" s="1">
        <v>0</v>
      </c>
      <c r="HJ101" s="1">
        <v>11.111111111111111</v>
      </c>
      <c r="HK101" s="1">
        <v>11.111111111111111</v>
      </c>
      <c r="HL101" s="1">
        <v>22.222222222222221</v>
      </c>
      <c r="HM101" s="1">
        <v>9</v>
      </c>
      <c r="HN101" s="1">
        <v>0</v>
      </c>
      <c r="HO101" s="1">
        <v>0</v>
      </c>
      <c r="HP101" s="1">
        <v>0</v>
      </c>
      <c r="HQ101" s="1">
        <v>0</v>
      </c>
      <c r="HR101" s="1">
        <v>0</v>
      </c>
      <c r="HS101" s="1">
        <v>0</v>
      </c>
      <c r="HT101" s="1">
        <v>0</v>
      </c>
      <c r="HU101" s="1">
        <v>0</v>
      </c>
      <c r="HV101" s="1">
        <v>0</v>
      </c>
      <c r="HW101" s="1">
        <v>0</v>
      </c>
      <c r="HX101" s="1">
        <v>0</v>
      </c>
      <c r="HY101" s="1">
        <v>0</v>
      </c>
      <c r="HZ101" s="1">
        <v>0</v>
      </c>
      <c r="IA101" s="1">
        <v>0</v>
      </c>
      <c r="IB101" s="1">
        <v>0</v>
      </c>
      <c r="IC101" s="1">
        <v>0</v>
      </c>
      <c r="ID101" s="1">
        <v>0</v>
      </c>
      <c r="IE101" s="1">
        <v>0</v>
      </c>
      <c r="IF101" s="1">
        <v>8.3333333333333339</v>
      </c>
      <c r="IG101" s="1">
        <v>0</v>
      </c>
      <c r="IH101" s="1">
        <v>0</v>
      </c>
      <c r="II101" s="1">
        <v>0</v>
      </c>
      <c r="IJ101" s="1">
        <v>0</v>
      </c>
      <c r="IK101" s="1">
        <v>0</v>
      </c>
      <c r="IL101" s="1">
        <v>9.5238095238095202</v>
      </c>
      <c r="IM101" s="1">
        <v>4.7619047619047601</v>
      </c>
      <c r="IN101" s="1">
        <v>42.857142857142861</v>
      </c>
      <c r="IO101" s="1">
        <v>28.571428571428559</v>
      </c>
      <c r="IP101" s="1">
        <v>14.285714285714279</v>
      </c>
      <c r="IQ101" s="1">
        <v>8.3333333333333357</v>
      </c>
      <c r="IR101" s="1">
        <v>21</v>
      </c>
      <c r="IS101" s="1">
        <v>56</v>
      </c>
      <c r="IT101" s="1">
        <v>28</v>
      </c>
      <c r="IU101" s="1">
        <v>0</v>
      </c>
      <c r="IV101" s="1">
        <v>3.9999999999999996</v>
      </c>
      <c r="IW101" s="1">
        <v>11.999999999999998</v>
      </c>
      <c r="IX101" s="1">
        <v>25</v>
      </c>
      <c r="IY101" s="1">
        <v>1</v>
      </c>
      <c r="IZ101" s="1">
        <v>33.405430000000017</v>
      </c>
      <c r="JA101" s="1">
        <v>24.690969999999997</v>
      </c>
      <c r="JB101" s="1">
        <v>2.9048200000000004</v>
      </c>
      <c r="JC101" s="1">
        <v>2.9048200000000004</v>
      </c>
      <c r="JD101" s="1">
        <v>7.2620499999999968</v>
      </c>
      <c r="JE101" s="1">
        <v>0.73913043478260898</v>
      </c>
      <c r="JF101" s="1">
        <v>8.6956521739130391E-2</v>
      </c>
      <c r="JG101" s="1">
        <v>8.6956521739130391E-2</v>
      </c>
      <c r="JH101" s="1">
        <v>0.21739130434782614</v>
      </c>
      <c r="JI101" s="1">
        <v>1</v>
      </c>
      <c r="JJ101" s="1">
        <v>23</v>
      </c>
      <c r="JK101" s="1">
        <v>3.2608695652173911</v>
      </c>
      <c r="JL101" s="1">
        <v>3.2608695652173911</v>
      </c>
      <c r="JM101" s="1">
        <v>23</v>
      </c>
      <c r="JN101" s="1">
        <v>80</v>
      </c>
      <c r="JO101" s="1">
        <v>19.999999999999996</v>
      </c>
      <c r="JP101" s="1">
        <v>10</v>
      </c>
      <c r="JQ101" s="1">
        <v>100</v>
      </c>
      <c r="JR101" s="1">
        <v>0</v>
      </c>
      <c r="JS101" s="1">
        <v>12</v>
      </c>
      <c r="JT101" s="1">
        <v>84.999999999999986</v>
      </c>
      <c r="JU101" s="1">
        <v>14.999999999999998</v>
      </c>
      <c r="JV101" s="1">
        <v>20</v>
      </c>
      <c r="JW101" s="1">
        <v>86.666666666666686</v>
      </c>
      <c r="JX101" s="1">
        <v>13.333333333333332</v>
      </c>
      <c r="JY101" s="1">
        <v>15</v>
      </c>
      <c r="JZ101" s="1">
        <v>36.363636363636367</v>
      </c>
      <c r="KA101" s="1">
        <v>63.636363636363669</v>
      </c>
      <c r="KB101" s="1">
        <v>22</v>
      </c>
      <c r="KC101" s="1">
        <v>100</v>
      </c>
      <c r="KD101" s="1">
        <v>0</v>
      </c>
      <c r="KE101" s="1">
        <v>20</v>
      </c>
      <c r="KF101" s="1">
        <v>3.4210526315789473</v>
      </c>
      <c r="KG101" s="1">
        <v>0</v>
      </c>
      <c r="KH101" s="1">
        <v>15.789473684210522</v>
      </c>
      <c r="KI101" s="1">
        <v>31.578947368421044</v>
      </c>
      <c r="KJ101" s="1">
        <v>47.368421052631582</v>
      </c>
      <c r="KK101" s="1">
        <v>5.2631578947368389</v>
      </c>
      <c r="KL101" s="1">
        <v>19</v>
      </c>
      <c r="KM101" s="1">
        <v>61.421052631578952</v>
      </c>
      <c r="KN101" s="1">
        <v>62.666666666666664</v>
      </c>
      <c r="KO101" s="1">
        <v>0</v>
      </c>
      <c r="KP101" s="1">
        <v>0</v>
      </c>
      <c r="KQ101" s="1">
        <v>66.666666666666686</v>
      </c>
      <c r="KR101" s="1">
        <v>0</v>
      </c>
      <c r="KS101" s="1">
        <v>33.333333333333343</v>
      </c>
      <c r="KT101" s="1">
        <v>3</v>
      </c>
      <c r="KU101" s="1">
        <v>0</v>
      </c>
      <c r="KV101" s="1">
        <v>0</v>
      </c>
      <c r="KW101" s="1">
        <v>0</v>
      </c>
      <c r="KX101" s="1">
        <v>100</v>
      </c>
      <c r="KY101" s="1">
        <v>0</v>
      </c>
      <c r="KZ101" s="1">
        <v>21</v>
      </c>
      <c r="LA101" s="1">
        <v>4.3478260869565197</v>
      </c>
      <c r="LB101" s="1">
        <v>95.652173913043484</v>
      </c>
      <c r="LC101" s="1">
        <v>23</v>
      </c>
      <c r="LD101" s="1">
        <v>0</v>
      </c>
      <c r="LE101" s="1">
        <v>0</v>
      </c>
      <c r="LF101" s="1">
        <v>99.999999999999986</v>
      </c>
      <c r="LG101" s="1">
        <v>1</v>
      </c>
    </row>
    <row r="102" spans="1:319" x14ac:dyDescent="0.25">
      <c r="A102" s="1">
        <v>1831</v>
      </c>
      <c r="B102" s="1">
        <v>11.538461538461545</v>
      </c>
      <c r="C102" s="1">
        <v>88.46153846153851</v>
      </c>
      <c r="D102" s="1">
        <v>26</v>
      </c>
      <c r="E102" s="1">
        <v>85</v>
      </c>
      <c r="F102" s="1">
        <v>15.000000000000002</v>
      </c>
      <c r="G102" s="1">
        <v>20</v>
      </c>
      <c r="H102" s="1">
        <v>76.47058823529413</v>
      </c>
      <c r="I102" s="1">
        <v>23.529411764705898</v>
      </c>
      <c r="J102" s="1">
        <v>17</v>
      </c>
      <c r="K102" s="1">
        <v>1</v>
      </c>
      <c r="L102" s="1">
        <v>17.079119999999993</v>
      </c>
      <c r="M102" s="1">
        <v>0.63256000000000001</v>
      </c>
      <c r="N102" s="1">
        <v>1.26512</v>
      </c>
      <c r="O102" s="1">
        <v>10.12096</v>
      </c>
      <c r="P102" s="1">
        <v>0</v>
      </c>
      <c r="Q102" s="1">
        <v>6.3256000000000006</v>
      </c>
      <c r="R102" s="1">
        <v>0.63256000000000001</v>
      </c>
      <c r="S102" s="1">
        <v>0</v>
      </c>
      <c r="T102" s="1">
        <v>1.26512</v>
      </c>
      <c r="U102" s="1">
        <v>1.26512</v>
      </c>
      <c r="V102" s="1">
        <v>1.8976800000000007</v>
      </c>
      <c r="W102" s="1">
        <v>3.7037037037037063E-2</v>
      </c>
      <c r="X102" s="1">
        <v>7.4074074074074125E-2</v>
      </c>
      <c r="Y102" s="1">
        <v>0.59259259259259223</v>
      </c>
      <c r="Z102" s="1">
        <v>0</v>
      </c>
      <c r="AA102" s="1">
        <v>0.37037037037037029</v>
      </c>
      <c r="AB102" s="1">
        <v>3.7037037037037063E-2</v>
      </c>
      <c r="AC102" s="1">
        <v>0</v>
      </c>
      <c r="AD102" s="1">
        <v>7.4074074074074125E-2</v>
      </c>
      <c r="AE102" s="1">
        <v>7.4074074074074125E-2</v>
      </c>
      <c r="AF102" s="1">
        <v>0.11111111111111115</v>
      </c>
      <c r="AG102" s="1">
        <v>1</v>
      </c>
      <c r="AH102" s="1">
        <v>27</v>
      </c>
      <c r="AI102" s="1">
        <v>1</v>
      </c>
      <c r="AJ102" s="1">
        <v>13.283759999999992</v>
      </c>
      <c r="AK102" s="1">
        <v>5.6930399999999972</v>
      </c>
      <c r="AL102" s="1">
        <v>9.4884000000000039</v>
      </c>
      <c r="AM102" s="1">
        <v>3.1628000000000003</v>
      </c>
      <c r="AN102" s="1">
        <v>3.1628000000000003</v>
      </c>
      <c r="AO102" s="1">
        <v>1.8976800000000007</v>
      </c>
      <c r="AP102" s="1">
        <v>2.53024</v>
      </c>
      <c r="AQ102" s="1">
        <v>0.42857142857142877</v>
      </c>
      <c r="AR102" s="1">
        <v>0.71428571428571408</v>
      </c>
      <c r="AS102" s="1">
        <v>0.23809523809523814</v>
      </c>
      <c r="AT102" s="1">
        <v>0.23809523809523814</v>
      </c>
      <c r="AU102" s="1">
        <v>0.14285714285714282</v>
      </c>
      <c r="AV102" s="1">
        <v>0.19047619047619058</v>
      </c>
      <c r="AW102" s="1">
        <v>1</v>
      </c>
      <c r="AX102" s="1">
        <v>21</v>
      </c>
      <c r="AY102" s="1">
        <v>9.5384615384615383</v>
      </c>
      <c r="AZ102" s="1">
        <v>9.6923076923076916</v>
      </c>
      <c r="BA102" s="1">
        <v>9.76</v>
      </c>
      <c r="BB102" s="1">
        <v>0</v>
      </c>
      <c r="BC102" s="1">
        <v>0</v>
      </c>
      <c r="BD102" s="1">
        <v>0</v>
      </c>
      <c r="BE102" s="1">
        <v>0</v>
      </c>
      <c r="BF102" s="1">
        <v>3.8461538461538436</v>
      </c>
      <c r="BG102" s="1">
        <v>0</v>
      </c>
      <c r="BH102" s="1">
        <v>0</v>
      </c>
      <c r="BI102" s="1">
        <v>7.6923076923076872</v>
      </c>
      <c r="BJ102" s="1">
        <v>11.538461538461545</v>
      </c>
      <c r="BK102" s="1">
        <v>76.923076923076891</v>
      </c>
      <c r="BL102" s="1">
        <v>9.5384615384615401</v>
      </c>
      <c r="BM102" s="1">
        <v>26</v>
      </c>
      <c r="BN102" s="1">
        <v>0</v>
      </c>
      <c r="BO102" s="1">
        <v>0</v>
      </c>
      <c r="BP102" s="1">
        <v>0</v>
      </c>
      <c r="BQ102" s="1">
        <v>0</v>
      </c>
      <c r="BR102" s="1">
        <v>0</v>
      </c>
      <c r="BS102" s="1">
        <v>0</v>
      </c>
      <c r="BT102" s="1">
        <v>0</v>
      </c>
      <c r="BU102" s="1">
        <v>11.538461538461545</v>
      </c>
      <c r="BV102" s="1">
        <v>7.6923076923076872</v>
      </c>
      <c r="BW102" s="1">
        <v>80.769230769230745</v>
      </c>
      <c r="BX102" s="1">
        <v>9.6923076923076863</v>
      </c>
      <c r="BY102" s="1">
        <v>26</v>
      </c>
      <c r="BZ102" s="1">
        <v>0</v>
      </c>
      <c r="CA102" s="1">
        <v>0</v>
      </c>
      <c r="CB102" s="1">
        <v>0</v>
      </c>
      <c r="CC102" s="1">
        <v>0</v>
      </c>
      <c r="CD102" s="1">
        <v>0</v>
      </c>
      <c r="CE102" s="1">
        <v>0</v>
      </c>
      <c r="CF102" s="1">
        <v>4.0000000000000009</v>
      </c>
      <c r="CG102" s="1">
        <v>4.0000000000000009</v>
      </c>
      <c r="CH102" s="1">
        <v>4.0000000000000009</v>
      </c>
      <c r="CI102" s="1">
        <v>88</v>
      </c>
      <c r="CJ102" s="1">
        <v>9.759999999999998</v>
      </c>
      <c r="CK102" s="1">
        <v>25</v>
      </c>
      <c r="CL102" s="1">
        <v>19.23076923076923</v>
      </c>
      <c r="CM102" s="1">
        <v>34.615384615384635</v>
      </c>
      <c r="CN102" s="1">
        <v>15.384615384615374</v>
      </c>
      <c r="CO102" s="1">
        <v>23.07692307692308</v>
      </c>
      <c r="CP102" s="1">
        <v>7.6923076923076872</v>
      </c>
      <c r="CQ102" s="1">
        <v>26</v>
      </c>
      <c r="CR102" s="1">
        <v>84.615384615384585</v>
      </c>
      <c r="CS102" s="1">
        <v>7.6923076923076872</v>
      </c>
      <c r="CT102" s="1">
        <v>3.8461538461538436</v>
      </c>
      <c r="CU102" s="1">
        <v>3.8461538461538436</v>
      </c>
      <c r="CV102" s="1">
        <v>0</v>
      </c>
      <c r="CW102" s="1">
        <v>26</v>
      </c>
      <c r="CX102" s="1">
        <v>65.384615384615415</v>
      </c>
      <c r="CY102" s="1">
        <v>23.07692307692308</v>
      </c>
      <c r="CZ102" s="1">
        <v>7.6923076923076872</v>
      </c>
      <c r="DA102" s="1">
        <v>3.8461538461538436</v>
      </c>
      <c r="DB102" s="1">
        <v>0</v>
      </c>
      <c r="DC102" s="1">
        <v>26</v>
      </c>
      <c r="DD102" s="1">
        <v>62.962962962962983</v>
      </c>
      <c r="DE102" s="1">
        <v>29.629629629629644</v>
      </c>
      <c r="DF102" s="1">
        <v>7.407407407407411</v>
      </c>
      <c r="DG102" s="1">
        <v>0</v>
      </c>
      <c r="DH102" s="1">
        <v>0</v>
      </c>
      <c r="DI102" s="1">
        <v>27</v>
      </c>
      <c r="DJ102" s="1">
        <v>74.07407407407409</v>
      </c>
      <c r="DK102" s="1">
        <v>14.814814814814822</v>
      </c>
      <c r="DL102" s="1">
        <v>7.407407407407411</v>
      </c>
      <c r="DM102" s="1">
        <v>3.7037037037037055</v>
      </c>
      <c r="DN102" s="1">
        <v>0</v>
      </c>
      <c r="DO102" s="1">
        <v>27</v>
      </c>
      <c r="DP102" s="1">
        <v>77.777777777777814</v>
      </c>
      <c r="DQ102" s="1">
        <v>14.814814814814822</v>
      </c>
      <c r="DR102" s="1">
        <v>7.407407407407411</v>
      </c>
      <c r="DS102" s="1">
        <v>0</v>
      </c>
      <c r="DT102" s="1">
        <v>0</v>
      </c>
      <c r="DU102" s="1">
        <v>27</v>
      </c>
      <c r="DV102" s="1">
        <v>73.684210526315823</v>
      </c>
      <c r="DW102" s="1">
        <v>10.526315789473692</v>
      </c>
      <c r="DX102" s="1">
        <v>10.526315789473692</v>
      </c>
      <c r="DY102" s="1">
        <v>5.263157894736846</v>
      </c>
      <c r="DZ102" s="1">
        <v>0</v>
      </c>
      <c r="EA102" s="1">
        <v>19</v>
      </c>
      <c r="EB102" s="1">
        <v>61.538461538461497</v>
      </c>
      <c r="EC102" s="1">
        <v>23.076923076923091</v>
      </c>
      <c r="ED102" s="1">
        <v>7.6923076923076872</v>
      </c>
      <c r="EE102" s="1">
        <v>7.6923076923076872</v>
      </c>
      <c r="EF102" s="1">
        <v>0</v>
      </c>
      <c r="EG102" s="1">
        <v>13</v>
      </c>
      <c r="EH102" s="1">
        <v>40.000000000000007</v>
      </c>
      <c r="EI102" s="1">
        <v>40.000000000000007</v>
      </c>
      <c r="EJ102" s="1">
        <v>20.000000000000004</v>
      </c>
      <c r="EK102" s="1">
        <v>0</v>
      </c>
      <c r="EL102" s="1">
        <v>0</v>
      </c>
      <c r="EM102" s="1">
        <v>10</v>
      </c>
      <c r="EN102" s="1">
        <v>40.000000000000007</v>
      </c>
      <c r="EO102" s="1">
        <v>20.000000000000004</v>
      </c>
      <c r="EP102" s="1">
        <v>20.000000000000004</v>
      </c>
      <c r="EQ102" s="1">
        <v>20.000000000000004</v>
      </c>
      <c r="ER102" s="1">
        <v>0</v>
      </c>
      <c r="ES102" s="1">
        <v>10</v>
      </c>
      <c r="ET102" s="1">
        <v>75</v>
      </c>
      <c r="EU102" s="1">
        <v>12.500000000000002</v>
      </c>
      <c r="EV102" s="1">
        <v>12.500000000000002</v>
      </c>
      <c r="EW102" s="1">
        <v>0</v>
      </c>
      <c r="EX102" s="1">
        <v>0</v>
      </c>
      <c r="EY102" s="1">
        <v>8</v>
      </c>
      <c r="EZ102" s="1">
        <v>66.666666666666686</v>
      </c>
      <c r="FA102" s="1">
        <v>11.111111111111109</v>
      </c>
      <c r="FB102" s="1">
        <v>22.222222222222218</v>
      </c>
      <c r="FC102" s="1">
        <v>0</v>
      </c>
      <c r="FD102" s="1">
        <v>0</v>
      </c>
      <c r="FE102" s="1">
        <v>9</v>
      </c>
      <c r="FF102" s="1">
        <v>44.444444444444436</v>
      </c>
      <c r="FG102" s="1">
        <v>44.444444444444436</v>
      </c>
      <c r="FH102" s="1">
        <v>11.111111111111109</v>
      </c>
      <c r="FI102" s="1">
        <v>0</v>
      </c>
      <c r="FJ102" s="1">
        <v>0</v>
      </c>
      <c r="FK102" s="1">
        <v>9</v>
      </c>
      <c r="FL102" s="1">
        <v>44.444444444444436</v>
      </c>
      <c r="FM102" s="1">
        <v>22.222222222222218</v>
      </c>
      <c r="FN102" s="1">
        <v>11.111111111111109</v>
      </c>
      <c r="FO102" s="1">
        <v>11.111111111111109</v>
      </c>
      <c r="FP102" s="1">
        <v>11.111111111111109</v>
      </c>
      <c r="FQ102" s="1">
        <v>9</v>
      </c>
      <c r="FR102" s="1">
        <v>50.000000000000007</v>
      </c>
      <c r="FS102" s="1">
        <v>25.000000000000004</v>
      </c>
      <c r="FT102" s="1">
        <v>0</v>
      </c>
      <c r="FU102" s="1">
        <v>25.000000000000004</v>
      </c>
      <c r="FV102" s="1">
        <v>0</v>
      </c>
      <c r="FW102" s="1">
        <v>8</v>
      </c>
      <c r="FX102" s="1">
        <v>88</v>
      </c>
      <c r="FY102" s="1">
        <v>12.000000000000002</v>
      </c>
      <c r="FZ102" s="1">
        <v>0</v>
      </c>
      <c r="GA102" s="1">
        <v>0</v>
      </c>
      <c r="GB102" s="1">
        <v>0</v>
      </c>
      <c r="GC102" s="1">
        <v>25</v>
      </c>
      <c r="GD102" s="1">
        <v>68.421052631578945</v>
      </c>
      <c r="GE102" s="1">
        <v>31.578947368421044</v>
      </c>
      <c r="GF102" s="1">
        <v>0</v>
      </c>
      <c r="GG102" s="1">
        <v>0</v>
      </c>
      <c r="GH102" s="1">
        <v>0</v>
      </c>
      <c r="GI102" s="1">
        <v>19</v>
      </c>
      <c r="GJ102" s="1">
        <v>59.999999999999993</v>
      </c>
      <c r="GK102" s="1">
        <v>33.333333333333343</v>
      </c>
      <c r="GL102" s="1">
        <v>6.666666666666667</v>
      </c>
      <c r="GM102" s="1">
        <v>0</v>
      </c>
      <c r="GN102" s="1">
        <v>0</v>
      </c>
      <c r="GO102" s="1">
        <v>15</v>
      </c>
      <c r="GP102" s="1">
        <v>69.230769230769269</v>
      </c>
      <c r="GQ102" s="1">
        <v>23.076923076923091</v>
      </c>
      <c r="GR102" s="1">
        <v>0</v>
      </c>
      <c r="GS102" s="1">
        <v>7.6923076923076872</v>
      </c>
      <c r="GT102" s="1">
        <v>0</v>
      </c>
      <c r="GU102" s="1">
        <v>13</v>
      </c>
      <c r="GV102" s="1">
        <v>76.923076923076891</v>
      </c>
      <c r="GW102" s="1">
        <v>23.076923076923091</v>
      </c>
      <c r="GX102" s="1">
        <v>0</v>
      </c>
      <c r="GY102" s="1">
        <v>0</v>
      </c>
      <c r="GZ102" s="1">
        <v>0</v>
      </c>
      <c r="HA102" s="1">
        <v>13</v>
      </c>
      <c r="HB102" s="1">
        <v>60.869565217391269</v>
      </c>
      <c r="HC102" s="1">
        <v>26.086956521739129</v>
      </c>
      <c r="HD102" s="1">
        <v>8.6956521739130395</v>
      </c>
      <c r="HE102" s="1">
        <v>4.3478260869565197</v>
      </c>
      <c r="HF102" s="1">
        <v>0</v>
      </c>
      <c r="HG102" s="1">
        <v>23</v>
      </c>
      <c r="HH102" s="1">
        <v>85.714285714285722</v>
      </c>
      <c r="HI102" s="1">
        <v>0</v>
      </c>
      <c r="HJ102" s="1">
        <v>0</v>
      </c>
      <c r="HK102" s="1">
        <v>0</v>
      </c>
      <c r="HL102" s="1">
        <v>14.285714285714281</v>
      </c>
      <c r="HM102" s="1">
        <v>7</v>
      </c>
      <c r="HN102" s="1">
        <v>0</v>
      </c>
      <c r="HO102" s="1">
        <v>0</v>
      </c>
      <c r="HP102" s="1">
        <v>0</v>
      </c>
      <c r="HQ102" s="1">
        <v>0</v>
      </c>
      <c r="HR102" s="1">
        <v>0</v>
      </c>
      <c r="HS102" s="1">
        <v>0</v>
      </c>
      <c r="HT102" s="1">
        <v>0</v>
      </c>
      <c r="HU102" s="1">
        <v>0</v>
      </c>
      <c r="HV102" s="1">
        <v>0</v>
      </c>
      <c r="HW102" s="1">
        <v>0</v>
      </c>
      <c r="HX102" s="1">
        <v>0</v>
      </c>
      <c r="HY102" s="1">
        <v>0</v>
      </c>
      <c r="HZ102" s="1">
        <v>0</v>
      </c>
      <c r="IA102" s="1">
        <v>0</v>
      </c>
      <c r="IB102" s="1">
        <v>0</v>
      </c>
      <c r="IC102" s="1">
        <v>0</v>
      </c>
      <c r="ID102" s="1">
        <v>0</v>
      </c>
      <c r="IE102" s="1">
        <v>0</v>
      </c>
      <c r="IF102" s="1">
        <v>9</v>
      </c>
      <c r="IG102" s="1">
        <v>0</v>
      </c>
      <c r="IH102" s="1">
        <v>0</v>
      </c>
      <c r="II102" s="1">
        <v>0</v>
      </c>
      <c r="IJ102" s="1">
        <v>0</v>
      </c>
      <c r="IK102" s="1">
        <v>0</v>
      </c>
      <c r="IL102" s="1">
        <v>4.1666666666666705</v>
      </c>
      <c r="IM102" s="1">
        <v>0</v>
      </c>
      <c r="IN102" s="1">
        <v>20.833333333333332</v>
      </c>
      <c r="IO102" s="1">
        <v>41.666666666666657</v>
      </c>
      <c r="IP102" s="1">
        <v>33.333333333333343</v>
      </c>
      <c r="IQ102" s="1">
        <v>9</v>
      </c>
      <c r="IR102" s="1">
        <v>24</v>
      </c>
      <c r="IS102" s="1">
        <v>74.07407407407409</v>
      </c>
      <c r="IT102" s="1">
        <v>11.111111111111109</v>
      </c>
      <c r="IU102" s="1">
        <v>14.814814814814822</v>
      </c>
      <c r="IV102" s="1">
        <v>0</v>
      </c>
      <c r="IW102" s="1">
        <v>0</v>
      </c>
      <c r="IX102" s="1">
        <v>27</v>
      </c>
      <c r="IY102" s="1">
        <v>1</v>
      </c>
      <c r="IZ102" s="1">
        <v>16.446559999999991</v>
      </c>
      <c r="JA102" s="1">
        <v>6.9581599999999941</v>
      </c>
      <c r="JB102" s="1">
        <v>7.5907200000000028</v>
      </c>
      <c r="JC102" s="1">
        <v>1.26512</v>
      </c>
      <c r="JD102" s="1">
        <v>2.53024</v>
      </c>
      <c r="JE102" s="1">
        <v>0.42307692307692324</v>
      </c>
      <c r="JF102" s="1">
        <v>0.46153846153846162</v>
      </c>
      <c r="JG102" s="1">
        <v>7.69230769230769E-2</v>
      </c>
      <c r="JH102" s="1">
        <v>0.1538461538461538</v>
      </c>
      <c r="JI102" s="1">
        <v>1</v>
      </c>
      <c r="JJ102" s="1">
        <v>26</v>
      </c>
      <c r="JK102" s="1">
        <v>3.2592592592592591</v>
      </c>
      <c r="JL102" s="1">
        <v>3.2592592592592617</v>
      </c>
      <c r="JM102" s="1">
        <v>27</v>
      </c>
      <c r="JN102" s="1">
        <v>99.999999999999986</v>
      </c>
      <c r="JO102" s="1">
        <v>0</v>
      </c>
      <c r="JP102" s="1">
        <v>10</v>
      </c>
      <c r="JQ102" s="1">
        <v>100</v>
      </c>
      <c r="JR102" s="1">
        <v>0</v>
      </c>
      <c r="JS102" s="1">
        <v>14</v>
      </c>
      <c r="JT102" s="1">
        <v>100</v>
      </c>
      <c r="JU102" s="1">
        <v>0</v>
      </c>
      <c r="JV102" s="1">
        <v>21</v>
      </c>
      <c r="JW102" s="1">
        <v>100</v>
      </c>
      <c r="JX102" s="1">
        <v>0</v>
      </c>
      <c r="JY102" s="1">
        <v>12</v>
      </c>
      <c r="JZ102" s="1">
        <v>37.5</v>
      </c>
      <c r="KA102" s="1">
        <v>62.500000000000007</v>
      </c>
      <c r="KB102" s="1">
        <v>24</v>
      </c>
      <c r="KC102" s="1">
        <v>100</v>
      </c>
      <c r="KD102" s="1">
        <v>0</v>
      </c>
      <c r="KE102" s="1">
        <v>23</v>
      </c>
      <c r="KF102" s="1">
        <v>3.7916666666666665</v>
      </c>
      <c r="KG102" s="1">
        <v>4.1666666666666705</v>
      </c>
      <c r="KH102" s="1">
        <v>8.333333333333341</v>
      </c>
      <c r="KI102" s="1">
        <v>20.833333333333332</v>
      </c>
      <c r="KJ102" s="1">
        <v>37.5</v>
      </c>
      <c r="KK102" s="1">
        <v>29.166666666666657</v>
      </c>
      <c r="KL102" s="1">
        <v>24</v>
      </c>
      <c r="KM102" s="1">
        <v>65.750000000000014</v>
      </c>
      <c r="KN102" s="1">
        <v>19</v>
      </c>
      <c r="KO102" s="1">
        <v>0</v>
      </c>
      <c r="KP102" s="1">
        <v>0</v>
      </c>
      <c r="KQ102" s="1">
        <v>100</v>
      </c>
      <c r="KR102" s="1">
        <v>0</v>
      </c>
      <c r="KS102" s="1">
        <v>0</v>
      </c>
      <c r="KT102" s="1">
        <v>2</v>
      </c>
      <c r="KU102" s="1">
        <v>0</v>
      </c>
      <c r="KV102" s="1">
        <v>0</v>
      </c>
      <c r="KW102" s="1">
        <v>0</v>
      </c>
      <c r="KX102" s="1">
        <v>100</v>
      </c>
      <c r="KY102" s="1">
        <v>0</v>
      </c>
      <c r="KZ102" s="1">
        <v>23</v>
      </c>
      <c r="LA102" s="1">
        <v>25</v>
      </c>
      <c r="LB102" s="1">
        <v>75</v>
      </c>
      <c r="LC102" s="1">
        <v>24</v>
      </c>
      <c r="LD102" s="1">
        <v>0</v>
      </c>
      <c r="LE102" s="1">
        <v>0</v>
      </c>
      <c r="LF102" s="1">
        <v>100</v>
      </c>
      <c r="LG102" s="1">
        <v>6</v>
      </c>
    </row>
    <row r="103" spans="1:319" x14ac:dyDescent="0.25">
      <c r="A103" s="1">
        <v>1952</v>
      </c>
      <c r="B103" s="1">
        <v>23.076923076923073</v>
      </c>
      <c r="C103" s="1">
        <v>76.92307692307692</v>
      </c>
      <c r="D103" s="1">
        <v>13</v>
      </c>
      <c r="E103" s="1">
        <v>60</v>
      </c>
      <c r="F103" s="1">
        <v>40.000000000000007</v>
      </c>
      <c r="G103" s="1">
        <v>10</v>
      </c>
      <c r="H103" s="1">
        <v>100.00000000000001</v>
      </c>
      <c r="I103" s="1">
        <v>0</v>
      </c>
      <c r="J103" s="1">
        <v>2</v>
      </c>
      <c r="K103" s="1">
        <v>1</v>
      </c>
      <c r="L103" s="1">
        <v>9.6115499999999976</v>
      </c>
      <c r="M103" s="1">
        <v>2.218049999999999</v>
      </c>
      <c r="N103" s="1">
        <v>4.4360999999999979</v>
      </c>
      <c r="O103" s="1">
        <v>0</v>
      </c>
      <c r="P103" s="1">
        <v>0</v>
      </c>
      <c r="Q103" s="1">
        <v>3.6967500000000011</v>
      </c>
      <c r="R103" s="1">
        <v>0</v>
      </c>
      <c r="S103" s="1">
        <v>0.73934999999999995</v>
      </c>
      <c r="T103" s="1">
        <v>1.4786999999999999</v>
      </c>
      <c r="U103" s="1">
        <v>0.73934999999999995</v>
      </c>
      <c r="V103" s="1">
        <v>0.73934999999999995</v>
      </c>
      <c r="W103" s="1">
        <v>0.23076923076923081</v>
      </c>
      <c r="X103" s="1">
        <v>0.46153846153846162</v>
      </c>
      <c r="Y103" s="1">
        <v>0</v>
      </c>
      <c r="Z103" s="1">
        <v>0</v>
      </c>
      <c r="AA103" s="1">
        <v>0.38461538461538469</v>
      </c>
      <c r="AB103" s="1">
        <v>0</v>
      </c>
      <c r="AC103" s="1">
        <v>7.69230769230769E-2</v>
      </c>
      <c r="AD103" s="1">
        <v>0.1538461538461538</v>
      </c>
      <c r="AE103" s="1">
        <v>7.69230769230769E-2</v>
      </c>
      <c r="AF103" s="1">
        <v>7.69230769230769E-2</v>
      </c>
      <c r="AG103" s="1">
        <v>1</v>
      </c>
      <c r="AH103" s="1">
        <v>13</v>
      </c>
      <c r="AI103" s="1">
        <v>1</v>
      </c>
      <c r="AJ103" s="1">
        <v>8.8721999999999959</v>
      </c>
      <c r="AK103" s="1">
        <v>3.6967500000000011</v>
      </c>
      <c r="AL103" s="1">
        <v>6.6541500000000005</v>
      </c>
      <c r="AM103" s="1">
        <v>4.4360999999999979</v>
      </c>
      <c r="AN103" s="1">
        <v>5.1754499999999988</v>
      </c>
      <c r="AO103" s="1">
        <v>0</v>
      </c>
      <c r="AP103" s="1">
        <v>0.73934999999999995</v>
      </c>
      <c r="AQ103" s="1">
        <v>0.41666666666666669</v>
      </c>
      <c r="AR103" s="1">
        <v>0.75</v>
      </c>
      <c r="AS103" s="1">
        <v>0.5</v>
      </c>
      <c r="AT103" s="1">
        <v>0.58333333333333326</v>
      </c>
      <c r="AU103" s="1">
        <v>0</v>
      </c>
      <c r="AV103" s="1">
        <v>8.3333333333333329E-2</v>
      </c>
      <c r="AW103" s="1">
        <v>1</v>
      </c>
      <c r="AX103" s="1">
        <v>12</v>
      </c>
      <c r="AY103" s="1">
        <v>10</v>
      </c>
      <c r="AZ103" s="1">
        <v>10</v>
      </c>
      <c r="BA103" s="1">
        <v>10</v>
      </c>
      <c r="BB103" s="1">
        <v>0</v>
      </c>
      <c r="BC103" s="1">
        <v>0</v>
      </c>
      <c r="BD103" s="1">
        <v>0</v>
      </c>
      <c r="BE103" s="1">
        <v>0</v>
      </c>
      <c r="BF103" s="1">
        <v>0</v>
      </c>
      <c r="BG103" s="1">
        <v>0</v>
      </c>
      <c r="BH103" s="1">
        <v>0</v>
      </c>
      <c r="BI103" s="1">
        <v>0</v>
      </c>
      <c r="BJ103" s="1">
        <v>0</v>
      </c>
      <c r="BK103" s="1">
        <v>100</v>
      </c>
      <c r="BL103" s="1">
        <v>10.000000000000002</v>
      </c>
      <c r="BM103" s="1">
        <v>13</v>
      </c>
      <c r="BN103" s="1">
        <v>0</v>
      </c>
      <c r="BO103" s="1">
        <v>0</v>
      </c>
      <c r="BP103" s="1">
        <v>0</v>
      </c>
      <c r="BQ103" s="1">
        <v>0</v>
      </c>
      <c r="BR103" s="1">
        <v>0</v>
      </c>
      <c r="BS103" s="1">
        <v>0</v>
      </c>
      <c r="BT103" s="1">
        <v>0</v>
      </c>
      <c r="BU103" s="1">
        <v>0</v>
      </c>
      <c r="BV103" s="1">
        <v>0</v>
      </c>
      <c r="BW103" s="1">
        <v>100</v>
      </c>
      <c r="BX103" s="1">
        <v>10.000000000000002</v>
      </c>
      <c r="BY103" s="1">
        <v>13</v>
      </c>
      <c r="BZ103" s="1">
        <v>0</v>
      </c>
      <c r="CA103" s="1">
        <v>0</v>
      </c>
      <c r="CB103" s="1">
        <v>0</v>
      </c>
      <c r="CC103" s="1">
        <v>0</v>
      </c>
      <c r="CD103" s="1">
        <v>0</v>
      </c>
      <c r="CE103" s="1">
        <v>0</v>
      </c>
      <c r="CF103" s="1">
        <v>0</v>
      </c>
      <c r="CG103" s="1">
        <v>0</v>
      </c>
      <c r="CH103" s="1">
        <v>0</v>
      </c>
      <c r="CI103" s="1">
        <v>100</v>
      </c>
      <c r="CJ103" s="1">
        <v>10.000000000000002</v>
      </c>
      <c r="CK103" s="1">
        <v>13</v>
      </c>
      <c r="CL103" s="1">
        <v>53.846153846153847</v>
      </c>
      <c r="CM103" s="1">
        <v>38.46153846153846</v>
      </c>
      <c r="CN103" s="1">
        <v>7.6923076923076934</v>
      </c>
      <c r="CO103" s="1">
        <v>0</v>
      </c>
      <c r="CP103" s="1">
        <v>0</v>
      </c>
      <c r="CQ103" s="1">
        <v>13</v>
      </c>
      <c r="CR103" s="1">
        <v>100</v>
      </c>
      <c r="CS103" s="1">
        <v>0</v>
      </c>
      <c r="CT103" s="1">
        <v>0</v>
      </c>
      <c r="CU103" s="1">
        <v>0</v>
      </c>
      <c r="CV103" s="1">
        <v>0</v>
      </c>
      <c r="CW103" s="1">
        <v>13</v>
      </c>
      <c r="CX103" s="1">
        <v>92.307692307692292</v>
      </c>
      <c r="CY103" s="1">
        <v>7.6923076923076934</v>
      </c>
      <c r="CZ103" s="1">
        <v>0</v>
      </c>
      <c r="DA103" s="1">
        <v>0</v>
      </c>
      <c r="DB103" s="1">
        <v>0</v>
      </c>
      <c r="DC103" s="1">
        <v>13</v>
      </c>
      <c r="DD103" s="1">
        <v>92.307692307692292</v>
      </c>
      <c r="DE103" s="1">
        <v>7.6923076923076934</v>
      </c>
      <c r="DF103" s="1">
        <v>0</v>
      </c>
      <c r="DG103" s="1">
        <v>0</v>
      </c>
      <c r="DH103" s="1">
        <v>0</v>
      </c>
      <c r="DI103" s="1">
        <v>13</v>
      </c>
      <c r="DJ103" s="1">
        <v>90.909090909090907</v>
      </c>
      <c r="DK103" s="1">
        <v>9.0909090909090917</v>
      </c>
      <c r="DL103" s="1">
        <v>0</v>
      </c>
      <c r="DM103" s="1">
        <v>0</v>
      </c>
      <c r="DN103" s="1">
        <v>0</v>
      </c>
      <c r="DO103" s="1">
        <v>11</v>
      </c>
      <c r="DP103" s="1">
        <v>100</v>
      </c>
      <c r="DQ103" s="1">
        <v>0</v>
      </c>
      <c r="DR103" s="1">
        <v>0</v>
      </c>
      <c r="DS103" s="1">
        <v>0</v>
      </c>
      <c r="DT103" s="1">
        <v>0</v>
      </c>
      <c r="DU103" s="1">
        <v>10</v>
      </c>
      <c r="DV103" s="1">
        <v>100.00000000000001</v>
      </c>
      <c r="DW103" s="1">
        <v>0</v>
      </c>
      <c r="DX103" s="1">
        <v>0</v>
      </c>
      <c r="DY103" s="1">
        <v>0</v>
      </c>
      <c r="DZ103" s="1">
        <v>0</v>
      </c>
      <c r="EA103" s="1">
        <v>8</v>
      </c>
      <c r="EB103" s="1">
        <v>83.333333333333343</v>
      </c>
      <c r="EC103" s="1">
        <v>0</v>
      </c>
      <c r="ED103" s="1">
        <v>16.666666666666664</v>
      </c>
      <c r="EE103" s="1">
        <v>0</v>
      </c>
      <c r="EF103" s="1">
        <v>0</v>
      </c>
      <c r="EG103" s="1">
        <v>6</v>
      </c>
      <c r="EH103" s="1">
        <v>60</v>
      </c>
      <c r="EI103" s="1">
        <v>0</v>
      </c>
      <c r="EJ103" s="1">
        <v>40.000000000000007</v>
      </c>
      <c r="EK103" s="1">
        <v>0</v>
      </c>
      <c r="EL103" s="1">
        <v>0</v>
      </c>
      <c r="EM103" s="1">
        <v>5</v>
      </c>
      <c r="EN103" s="1">
        <v>60</v>
      </c>
      <c r="EO103" s="1">
        <v>20.000000000000004</v>
      </c>
      <c r="EP103" s="1">
        <v>20.000000000000004</v>
      </c>
      <c r="EQ103" s="1">
        <v>0</v>
      </c>
      <c r="ER103" s="1">
        <v>0</v>
      </c>
      <c r="ES103" s="1">
        <v>5</v>
      </c>
      <c r="ET103" s="1">
        <v>50</v>
      </c>
      <c r="EU103" s="1">
        <v>50</v>
      </c>
      <c r="EV103" s="1">
        <v>0</v>
      </c>
      <c r="EW103" s="1">
        <v>0</v>
      </c>
      <c r="EX103" s="1">
        <v>0</v>
      </c>
      <c r="EY103" s="1">
        <v>6</v>
      </c>
      <c r="EZ103" s="1">
        <v>0</v>
      </c>
      <c r="FA103" s="1">
        <v>100</v>
      </c>
      <c r="FB103" s="1">
        <v>0</v>
      </c>
      <c r="FC103" s="1">
        <v>0</v>
      </c>
      <c r="FD103" s="1">
        <v>0</v>
      </c>
      <c r="FE103" s="1">
        <v>3</v>
      </c>
      <c r="FF103" s="1">
        <v>40.000000000000007</v>
      </c>
      <c r="FG103" s="1">
        <v>60</v>
      </c>
      <c r="FH103" s="1">
        <v>0</v>
      </c>
      <c r="FI103" s="1">
        <v>0</v>
      </c>
      <c r="FJ103" s="1">
        <v>0</v>
      </c>
      <c r="FK103" s="1">
        <v>5</v>
      </c>
      <c r="FL103" s="1">
        <v>80.000000000000014</v>
      </c>
      <c r="FM103" s="1">
        <v>0</v>
      </c>
      <c r="FN103" s="1">
        <v>0</v>
      </c>
      <c r="FO103" s="1">
        <v>0</v>
      </c>
      <c r="FP103" s="1">
        <v>20.000000000000004</v>
      </c>
      <c r="FQ103" s="1">
        <v>5</v>
      </c>
      <c r="FR103" s="1">
        <v>66.666666666666657</v>
      </c>
      <c r="FS103" s="1">
        <v>0</v>
      </c>
      <c r="FT103" s="1">
        <v>33.333333333333329</v>
      </c>
      <c r="FU103" s="1">
        <v>0</v>
      </c>
      <c r="FV103" s="1">
        <v>0</v>
      </c>
      <c r="FW103" s="1">
        <v>3</v>
      </c>
      <c r="FX103" s="1">
        <v>100</v>
      </c>
      <c r="FY103" s="1">
        <v>0</v>
      </c>
      <c r="FZ103" s="1">
        <v>0</v>
      </c>
      <c r="GA103" s="1">
        <v>0</v>
      </c>
      <c r="GB103" s="1">
        <v>0</v>
      </c>
      <c r="GC103" s="1">
        <v>13</v>
      </c>
      <c r="GD103" s="1">
        <v>80.000000000000014</v>
      </c>
      <c r="GE103" s="1">
        <v>20.000000000000004</v>
      </c>
      <c r="GF103" s="1">
        <v>0</v>
      </c>
      <c r="GG103" s="1">
        <v>0</v>
      </c>
      <c r="GH103" s="1">
        <v>0</v>
      </c>
      <c r="GI103" s="1">
        <v>5</v>
      </c>
      <c r="GJ103" s="1">
        <v>83.333333333333343</v>
      </c>
      <c r="GK103" s="1">
        <v>16.666666666666664</v>
      </c>
      <c r="GL103" s="1">
        <v>0</v>
      </c>
      <c r="GM103" s="1">
        <v>0</v>
      </c>
      <c r="GN103" s="1">
        <v>0</v>
      </c>
      <c r="GO103" s="1">
        <v>6</v>
      </c>
      <c r="GP103" s="1">
        <v>60</v>
      </c>
      <c r="GQ103" s="1">
        <v>40.000000000000007</v>
      </c>
      <c r="GR103" s="1">
        <v>0</v>
      </c>
      <c r="GS103" s="1">
        <v>0</v>
      </c>
      <c r="GT103" s="1">
        <v>0</v>
      </c>
      <c r="GU103" s="1">
        <v>10</v>
      </c>
      <c r="GV103" s="1">
        <v>90</v>
      </c>
      <c r="GW103" s="1">
        <v>10.000000000000002</v>
      </c>
      <c r="GX103" s="1">
        <v>0</v>
      </c>
      <c r="GY103" s="1">
        <v>0</v>
      </c>
      <c r="GZ103" s="1">
        <v>0</v>
      </c>
      <c r="HA103" s="1">
        <v>10</v>
      </c>
      <c r="HB103" s="1">
        <v>0</v>
      </c>
      <c r="HC103" s="1">
        <v>100.00000000000001</v>
      </c>
      <c r="HD103" s="1">
        <v>0</v>
      </c>
      <c r="HE103" s="1">
        <v>0</v>
      </c>
      <c r="HF103" s="1">
        <v>0</v>
      </c>
      <c r="HG103" s="1">
        <v>1</v>
      </c>
      <c r="HH103" s="1">
        <v>60</v>
      </c>
      <c r="HI103" s="1">
        <v>40.000000000000007</v>
      </c>
      <c r="HJ103" s="1">
        <v>0</v>
      </c>
      <c r="HK103" s="1">
        <v>0</v>
      </c>
      <c r="HL103" s="1">
        <v>0</v>
      </c>
      <c r="HM103" s="1">
        <v>5</v>
      </c>
      <c r="HN103" s="1">
        <v>100</v>
      </c>
      <c r="HO103" s="1">
        <v>0</v>
      </c>
      <c r="HP103" s="1">
        <v>0</v>
      </c>
      <c r="HQ103" s="1">
        <v>0</v>
      </c>
      <c r="HR103" s="1">
        <v>0</v>
      </c>
      <c r="HS103" s="1">
        <v>3</v>
      </c>
      <c r="HT103" s="1">
        <v>50.000000000000007</v>
      </c>
      <c r="HU103" s="1">
        <v>50.000000000000007</v>
      </c>
      <c r="HV103" s="1">
        <v>0</v>
      </c>
      <c r="HW103" s="1">
        <v>0</v>
      </c>
      <c r="HX103" s="1">
        <v>0</v>
      </c>
      <c r="HY103" s="1">
        <v>2</v>
      </c>
      <c r="HZ103" s="1">
        <v>50.000000000000007</v>
      </c>
      <c r="IA103" s="1">
        <v>50.000000000000007</v>
      </c>
      <c r="IB103" s="1">
        <v>0</v>
      </c>
      <c r="IC103" s="1">
        <v>0</v>
      </c>
      <c r="ID103" s="1">
        <v>0</v>
      </c>
      <c r="IE103" s="1">
        <v>2</v>
      </c>
      <c r="IF103" s="1">
        <v>9.6923076923076916</v>
      </c>
      <c r="IG103" s="1">
        <v>0</v>
      </c>
      <c r="IH103" s="1">
        <v>0</v>
      </c>
      <c r="II103" s="1">
        <v>0</v>
      </c>
      <c r="IJ103" s="1">
        <v>0</v>
      </c>
      <c r="IK103" s="1">
        <v>0</v>
      </c>
      <c r="IL103" s="1">
        <v>0</v>
      </c>
      <c r="IM103" s="1">
        <v>0</v>
      </c>
      <c r="IN103" s="1">
        <v>7.6923076923076934</v>
      </c>
      <c r="IO103" s="1">
        <v>15.384615384615387</v>
      </c>
      <c r="IP103" s="1">
        <v>76.92307692307692</v>
      </c>
      <c r="IQ103" s="1">
        <v>9.6923076923076952</v>
      </c>
      <c r="IR103" s="1">
        <v>13</v>
      </c>
      <c r="IS103" s="1">
        <v>66.666666666666657</v>
      </c>
      <c r="IT103" s="1">
        <v>8.3333333333333321</v>
      </c>
      <c r="IU103" s="1">
        <v>25</v>
      </c>
      <c r="IV103" s="1">
        <v>0</v>
      </c>
      <c r="IW103" s="1">
        <v>0</v>
      </c>
      <c r="IX103" s="1">
        <v>12</v>
      </c>
      <c r="IY103" s="1">
        <v>1</v>
      </c>
      <c r="IZ103" s="1">
        <v>8.8721999999999959</v>
      </c>
      <c r="JA103" s="1">
        <v>3.6967500000000011</v>
      </c>
      <c r="JB103" s="1">
        <v>2.9573999999999998</v>
      </c>
      <c r="JC103" s="1">
        <v>1.4786999999999999</v>
      </c>
      <c r="JD103" s="1">
        <v>1.4786999999999999</v>
      </c>
      <c r="JE103" s="1">
        <v>0.41666666666666669</v>
      </c>
      <c r="JF103" s="1">
        <v>0.33333333333333331</v>
      </c>
      <c r="JG103" s="1">
        <v>0.16666666666666666</v>
      </c>
      <c r="JH103" s="1">
        <v>0.16666666666666666</v>
      </c>
      <c r="JI103" s="1">
        <v>1</v>
      </c>
      <c r="JJ103" s="1">
        <v>12</v>
      </c>
      <c r="JK103" s="1">
        <v>1.5833333333333333</v>
      </c>
      <c r="JL103" s="1">
        <v>1.5833333333333333</v>
      </c>
      <c r="JM103" s="1">
        <v>12</v>
      </c>
      <c r="JN103" s="1">
        <v>50.000000000000007</v>
      </c>
      <c r="JO103" s="1">
        <v>50.000000000000007</v>
      </c>
      <c r="JP103" s="1">
        <v>2</v>
      </c>
      <c r="JQ103" s="1">
        <v>66.666666666666657</v>
      </c>
      <c r="JR103" s="1">
        <v>33.333333333333329</v>
      </c>
      <c r="JS103" s="1">
        <v>3</v>
      </c>
      <c r="JT103" s="1">
        <v>100</v>
      </c>
      <c r="JU103" s="1">
        <v>0</v>
      </c>
      <c r="JV103" s="1">
        <v>10</v>
      </c>
      <c r="JW103" s="1">
        <v>83.333333333333343</v>
      </c>
      <c r="JX103" s="1">
        <v>16.666666666666664</v>
      </c>
      <c r="JY103" s="1">
        <v>6</v>
      </c>
      <c r="JZ103" s="1">
        <v>58.333333333333343</v>
      </c>
      <c r="KA103" s="1">
        <v>41.666666666666671</v>
      </c>
      <c r="KB103" s="1">
        <v>12</v>
      </c>
      <c r="KC103" s="1">
        <v>100</v>
      </c>
      <c r="KD103" s="1">
        <v>0</v>
      </c>
      <c r="KE103" s="1">
        <v>11</v>
      </c>
      <c r="KF103" s="1">
        <v>3</v>
      </c>
      <c r="KG103" s="1">
        <v>0</v>
      </c>
      <c r="KH103" s="1">
        <v>12.500000000000002</v>
      </c>
      <c r="KI103" s="1">
        <v>75</v>
      </c>
      <c r="KJ103" s="1">
        <v>12.500000000000002</v>
      </c>
      <c r="KK103" s="1">
        <v>0</v>
      </c>
      <c r="KL103" s="1">
        <v>8</v>
      </c>
      <c r="KM103" s="1">
        <v>56.25</v>
      </c>
      <c r="KN103" s="1">
        <v>0</v>
      </c>
      <c r="KO103" s="1">
        <v>0</v>
      </c>
      <c r="KP103" s="1">
        <v>0</v>
      </c>
      <c r="KQ103" s="1">
        <v>0</v>
      </c>
      <c r="KR103" s="1">
        <v>0</v>
      </c>
      <c r="KS103" s="1">
        <v>0</v>
      </c>
      <c r="KT103" s="1">
        <v>0</v>
      </c>
      <c r="KU103" s="1">
        <v>0</v>
      </c>
      <c r="KV103" s="1">
        <v>0</v>
      </c>
      <c r="KW103" s="1">
        <v>0</v>
      </c>
      <c r="KX103" s="1">
        <v>100</v>
      </c>
      <c r="KY103" s="1">
        <v>0</v>
      </c>
      <c r="KZ103" s="1">
        <v>12</v>
      </c>
      <c r="LA103" s="1">
        <v>12.500000000000002</v>
      </c>
      <c r="LB103" s="1">
        <v>87.5</v>
      </c>
      <c r="LC103" s="1">
        <v>8</v>
      </c>
      <c r="LD103" s="1">
        <v>0</v>
      </c>
      <c r="LE103" s="1">
        <v>0</v>
      </c>
      <c r="LF103" s="1">
        <v>100.00000000000001</v>
      </c>
      <c r="LG103" s="1">
        <v>1</v>
      </c>
    </row>
    <row r="104" spans="1:319" x14ac:dyDescent="0.25">
      <c r="A104" s="1">
        <v>2008</v>
      </c>
      <c r="B104" s="1">
        <v>31.999999999999989</v>
      </c>
      <c r="C104" s="1">
        <v>67.999999999999986</v>
      </c>
      <c r="D104" s="1">
        <v>25</v>
      </c>
      <c r="E104" s="1">
        <v>71.428571428571431</v>
      </c>
      <c r="F104" s="1">
        <v>28.571428571428566</v>
      </c>
      <c r="G104" s="1">
        <v>14</v>
      </c>
      <c r="H104" s="1">
        <v>77.777777777777786</v>
      </c>
      <c r="I104" s="1">
        <v>22.222222222222225</v>
      </c>
      <c r="J104" s="1">
        <v>9</v>
      </c>
      <c r="K104" s="1">
        <v>1</v>
      </c>
      <c r="L104" s="1">
        <v>23.973749999999999</v>
      </c>
      <c r="M104" s="1">
        <v>0</v>
      </c>
      <c r="N104" s="1">
        <v>2.8768499999999992</v>
      </c>
      <c r="O104" s="1">
        <v>8.6305499999999995</v>
      </c>
      <c r="P104" s="1">
        <v>0</v>
      </c>
      <c r="Q104" s="1">
        <v>7.6716000000000033</v>
      </c>
      <c r="R104" s="1">
        <v>4.794749999999997</v>
      </c>
      <c r="S104" s="1">
        <v>0</v>
      </c>
      <c r="T104" s="1">
        <v>2.8768499999999992</v>
      </c>
      <c r="U104" s="1">
        <v>0.95895000000000041</v>
      </c>
      <c r="V104" s="1">
        <v>0.95895000000000041</v>
      </c>
      <c r="W104" s="1">
        <v>0</v>
      </c>
      <c r="X104" s="1">
        <v>0.11999999999999998</v>
      </c>
      <c r="Y104" s="1">
        <v>0.35999999999999965</v>
      </c>
      <c r="Z104" s="1">
        <v>0</v>
      </c>
      <c r="AA104" s="1">
        <v>0.32000000000000006</v>
      </c>
      <c r="AB104" s="1">
        <v>0.1999999999999999</v>
      </c>
      <c r="AC104" s="1">
        <v>0</v>
      </c>
      <c r="AD104" s="1">
        <v>0.11999999999999998</v>
      </c>
      <c r="AE104" s="1">
        <v>4.0000000000000008E-2</v>
      </c>
      <c r="AF104" s="1">
        <v>4.0000000000000008E-2</v>
      </c>
      <c r="AG104" s="1">
        <v>1</v>
      </c>
      <c r="AH104" s="1">
        <v>25</v>
      </c>
      <c r="AI104" s="1">
        <v>1</v>
      </c>
      <c r="AJ104" s="1">
        <v>22.055850000000014</v>
      </c>
      <c r="AK104" s="1">
        <v>12.466349999999998</v>
      </c>
      <c r="AL104" s="1">
        <v>8.6305499999999995</v>
      </c>
      <c r="AM104" s="1">
        <v>1.9179000000000008</v>
      </c>
      <c r="AN104" s="1">
        <v>3.8358000000000017</v>
      </c>
      <c r="AO104" s="1">
        <v>1.9179000000000008</v>
      </c>
      <c r="AP104" s="1">
        <v>5.7536999999999985</v>
      </c>
      <c r="AQ104" s="1">
        <v>0.56521739130434756</v>
      </c>
      <c r="AR104" s="1">
        <v>0.39130434782608675</v>
      </c>
      <c r="AS104" s="1">
        <v>8.6956521739130391E-2</v>
      </c>
      <c r="AT104" s="1">
        <v>0.17391304347826078</v>
      </c>
      <c r="AU104" s="1">
        <v>8.6956521739130391E-2</v>
      </c>
      <c r="AV104" s="1">
        <v>0.26086956521739135</v>
      </c>
      <c r="AW104" s="1">
        <v>1</v>
      </c>
      <c r="AX104" s="1">
        <v>23</v>
      </c>
      <c r="AY104" s="1">
        <v>9.9600000000000009</v>
      </c>
      <c r="AZ104" s="1">
        <v>10</v>
      </c>
      <c r="BA104" s="1">
        <v>9.8800000000000008</v>
      </c>
      <c r="BB104" s="1">
        <v>0</v>
      </c>
      <c r="BC104" s="1">
        <v>0</v>
      </c>
      <c r="BD104" s="1">
        <v>0</v>
      </c>
      <c r="BE104" s="1">
        <v>0</v>
      </c>
      <c r="BF104" s="1">
        <v>0</v>
      </c>
      <c r="BG104" s="1">
        <v>0</v>
      </c>
      <c r="BH104" s="1">
        <v>0</v>
      </c>
      <c r="BI104" s="1">
        <v>0</v>
      </c>
      <c r="BJ104" s="1">
        <v>3.9999999999999996</v>
      </c>
      <c r="BK104" s="1">
        <v>96</v>
      </c>
      <c r="BL104" s="1">
        <v>9.9599999999999866</v>
      </c>
      <c r="BM104" s="1">
        <v>25</v>
      </c>
      <c r="BN104" s="1">
        <v>0</v>
      </c>
      <c r="BO104" s="1">
        <v>0</v>
      </c>
      <c r="BP104" s="1">
        <v>0</v>
      </c>
      <c r="BQ104" s="1">
        <v>0</v>
      </c>
      <c r="BR104" s="1">
        <v>0</v>
      </c>
      <c r="BS104" s="1">
        <v>0</v>
      </c>
      <c r="BT104" s="1">
        <v>0</v>
      </c>
      <c r="BU104" s="1">
        <v>0</v>
      </c>
      <c r="BV104" s="1">
        <v>0</v>
      </c>
      <c r="BW104" s="1">
        <v>100</v>
      </c>
      <c r="BX104" s="1">
        <v>9.9999999999999929</v>
      </c>
      <c r="BY104" s="1">
        <v>25</v>
      </c>
      <c r="BZ104" s="1">
        <v>0</v>
      </c>
      <c r="CA104" s="1">
        <v>0</v>
      </c>
      <c r="CB104" s="1">
        <v>0</v>
      </c>
      <c r="CC104" s="1">
        <v>0</v>
      </c>
      <c r="CD104" s="1">
        <v>0</v>
      </c>
      <c r="CE104" s="1">
        <v>0</v>
      </c>
      <c r="CF104" s="1">
        <v>0</v>
      </c>
      <c r="CG104" s="1">
        <v>3.9999999999999996</v>
      </c>
      <c r="CH104" s="1">
        <v>3.9999999999999996</v>
      </c>
      <c r="CI104" s="1">
        <v>91.999999999999986</v>
      </c>
      <c r="CJ104" s="1">
        <v>9.8799999999999937</v>
      </c>
      <c r="CK104" s="1">
        <v>25</v>
      </c>
      <c r="CL104" s="1">
        <v>80.952380952380949</v>
      </c>
      <c r="CM104" s="1">
        <v>19.04761904761904</v>
      </c>
      <c r="CN104" s="1">
        <v>0</v>
      </c>
      <c r="CO104" s="1">
        <v>0</v>
      </c>
      <c r="CP104" s="1">
        <v>0</v>
      </c>
      <c r="CQ104" s="1">
        <v>21</v>
      </c>
      <c r="CR104" s="1">
        <v>91.304347826086982</v>
      </c>
      <c r="CS104" s="1">
        <v>8.6956521739130395</v>
      </c>
      <c r="CT104" s="1">
        <v>0</v>
      </c>
      <c r="CU104" s="1">
        <v>0</v>
      </c>
      <c r="CV104" s="1">
        <v>0</v>
      </c>
      <c r="CW104" s="1">
        <v>23</v>
      </c>
      <c r="CX104" s="1">
        <v>95.454545454545482</v>
      </c>
      <c r="CY104" s="1">
        <v>4.5454545454545459</v>
      </c>
      <c r="CZ104" s="1">
        <v>0</v>
      </c>
      <c r="DA104" s="1">
        <v>0</v>
      </c>
      <c r="DB104" s="1">
        <v>0</v>
      </c>
      <c r="DC104" s="1">
        <v>22</v>
      </c>
      <c r="DD104" s="1">
        <v>95.652173913043484</v>
      </c>
      <c r="DE104" s="1">
        <v>4.3478260869565197</v>
      </c>
      <c r="DF104" s="1">
        <v>0</v>
      </c>
      <c r="DG104" s="1">
        <v>0</v>
      </c>
      <c r="DH104" s="1">
        <v>0</v>
      </c>
      <c r="DI104" s="1">
        <v>23</v>
      </c>
      <c r="DJ104" s="1">
        <v>79.999999999999986</v>
      </c>
      <c r="DK104" s="1">
        <v>19.999999999999996</v>
      </c>
      <c r="DL104" s="1">
        <v>0</v>
      </c>
      <c r="DM104" s="1">
        <v>0</v>
      </c>
      <c r="DN104" s="1">
        <v>0</v>
      </c>
      <c r="DO104" s="1">
        <v>20</v>
      </c>
      <c r="DP104" s="1">
        <v>95.652173913043484</v>
      </c>
      <c r="DQ104" s="1">
        <v>4.3478260869565197</v>
      </c>
      <c r="DR104" s="1">
        <v>0</v>
      </c>
      <c r="DS104" s="1">
        <v>0</v>
      </c>
      <c r="DT104" s="1">
        <v>0</v>
      </c>
      <c r="DU104" s="1">
        <v>23</v>
      </c>
      <c r="DV104" s="1">
        <v>77.777777777777814</v>
      </c>
      <c r="DW104" s="1">
        <v>11.111111111111111</v>
      </c>
      <c r="DX104" s="1">
        <v>11.111111111111111</v>
      </c>
      <c r="DY104" s="1">
        <v>0</v>
      </c>
      <c r="DZ104" s="1">
        <v>0</v>
      </c>
      <c r="EA104" s="1">
        <v>9</v>
      </c>
      <c r="EB104" s="1">
        <v>92.307692307692321</v>
      </c>
      <c r="EC104" s="1">
        <v>7.6923076923076881</v>
      </c>
      <c r="ED104" s="1">
        <v>0</v>
      </c>
      <c r="EE104" s="1">
        <v>0</v>
      </c>
      <c r="EF104" s="1">
        <v>0</v>
      </c>
      <c r="EG104" s="1">
        <v>13</v>
      </c>
      <c r="EH104" s="1">
        <v>81.818181818181799</v>
      </c>
      <c r="EI104" s="1">
        <v>18.181818181818183</v>
      </c>
      <c r="EJ104" s="1">
        <v>0</v>
      </c>
      <c r="EK104" s="1">
        <v>0</v>
      </c>
      <c r="EL104" s="1">
        <v>0</v>
      </c>
      <c r="EM104" s="1">
        <v>11</v>
      </c>
      <c r="EN104" s="1">
        <v>75</v>
      </c>
      <c r="EO104" s="1">
        <v>12.500000000000002</v>
      </c>
      <c r="EP104" s="1">
        <v>12.500000000000002</v>
      </c>
      <c r="EQ104" s="1">
        <v>0</v>
      </c>
      <c r="ER104" s="1">
        <v>0</v>
      </c>
      <c r="ES104" s="1">
        <v>8</v>
      </c>
      <c r="ET104" s="1">
        <v>66.666666666666686</v>
      </c>
      <c r="EU104" s="1">
        <v>33.333333333333343</v>
      </c>
      <c r="EV104" s="1">
        <v>0</v>
      </c>
      <c r="EW104" s="1">
        <v>0</v>
      </c>
      <c r="EX104" s="1">
        <v>0</v>
      </c>
      <c r="EY104" s="1">
        <v>9</v>
      </c>
      <c r="EZ104" s="1">
        <v>60.000000000000007</v>
      </c>
      <c r="FA104" s="1">
        <v>40</v>
      </c>
      <c r="FB104" s="1">
        <v>0</v>
      </c>
      <c r="FC104" s="1">
        <v>0</v>
      </c>
      <c r="FD104" s="1">
        <v>0</v>
      </c>
      <c r="FE104" s="1">
        <v>5</v>
      </c>
      <c r="FF104" s="1">
        <v>66.666666666666686</v>
      </c>
      <c r="FG104" s="1">
        <v>33.333333333333343</v>
      </c>
      <c r="FH104" s="1">
        <v>0</v>
      </c>
      <c r="FI104" s="1">
        <v>0</v>
      </c>
      <c r="FJ104" s="1">
        <v>0</v>
      </c>
      <c r="FK104" s="1">
        <v>9</v>
      </c>
      <c r="FL104" s="1">
        <v>83.333333333333314</v>
      </c>
      <c r="FM104" s="1">
        <v>16.666666666666671</v>
      </c>
      <c r="FN104" s="1">
        <v>0</v>
      </c>
      <c r="FO104" s="1">
        <v>0</v>
      </c>
      <c r="FP104" s="1">
        <v>0</v>
      </c>
      <c r="FQ104" s="1">
        <v>6</v>
      </c>
      <c r="FR104" s="1">
        <v>83.333333333333314</v>
      </c>
      <c r="FS104" s="1">
        <v>0</v>
      </c>
      <c r="FT104" s="1">
        <v>16.666666666666671</v>
      </c>
      <c r="FU104" s="1">
        <v>0</v>
      </c>
      <c r="FV104" s="1">
        <v>0</v>
      </c>
      <c r="FW104" s="1">
        <v>6</v>
      </c>
      <c r="FX104" s="1">
        <v>95.238095238095227</v>
      </c>
      <c r="FY104" s="1">
        <v>4.7619047619047601</v>
      </c>
      <c r="FZ104" s="1">
        <v>0</v>
      </c>
      <c r="GA104" s="1">
        <v>0</v>
      </c>
      <c r="GB104" s="1">
        <v>0</v>
      </c>
      <c r="GC104" s="1">
        <v>21</v>
      </c>
      <c r="GD104" s="1">
        <v>69.230769230769269</v>
      </c>
      <c r="GE104" s="1">
        <v>30.769230769230752</v>
      </c>
      <c r="GF104" s="1">
        <v>0</v>
      </c>
      <c r="GG104" s="1">
        <v>0</v>
      </c>
      <c r="GH104" s="1">
        <v>0</v>
      </c>
      <c r="GI104" s="1">
        <v>13</v>
      </c>
      <c r="GJ104" s="1">
        <v>83.333333333333314</v>
      </c>
      <c r="GK104" s="1">
        <v>16.666666666666671</v>
      </c>
      <c r="GL104" s="1">
        <v>0</v>
      </c>
      <c r="GM104" s="1">
        <v>0</v>
      </c>
      <c r="GN104" s="1">
        <v>0</v>
      </c>
      <c r="GO104" s="1">
        <v>12</v>
      </c>
      <c r="GP104" s="1">
        <v>75</v>
      </c>
      <c r="GQ104" s="1">
        <v>25.000000000000004</v>
      </c>
      <c r="GR104" s="1">
        <v>0</v>
      </c>
      <c r="GS104" s="1">
        <v>0</v>
      </c>
      <c r="GT104" s="1">
        <v>0</v>
      </c>
      <c r="GU104" s="1">
        <v>8</v>
      </c>
      <c r="GV104" s="1">
        <v>85.714285714285722</v>
      </c>
      <c r="GW104" s="1">
        <v>14.285714285714283</v>
      </c>
      <c r="GX104" s="1">
        <v>0</v>
      </c>
      <c r="GY104" s="1">
        <v>0</v>
      </c>
      <c r="GZ104" s="1">
        <v>0</v>
      </c>
      <c r="HA104" s="1">
        <v>7</v>
      </c>
      <c r="HB104" s="1">
        <v>60.000000000000007</v>
      </c>
      <c r="HC104" s="1">
        <v>40</v>
      </c>
      <c r="HD104" s="1">
        <v>0</v>
      </c>
      <c r="HE104" s="1">
        <v>0</v>
      </c>
      <c r="HF104" s="1">
        <v>0</v>
      </c>
      <c r="HG104" s="1">
        <v>5</v>
      </c>
      <c r="HH104" s="1">
        <v>85.714285714285722</v>
      </c>
      <c r="HI104" s="1">
        <v>14.285714285714283</v>
      </c>
      <c r="HJ104" s="1">
        <v>0</v>
      </c>
      <c r="HK104" s="1">
        <v>0</v>
      </c>
      <c r="HL104" s="1">
        <v>0</v>
      </c>
      <c r="HM104" s="1">
        <v>7</v>
      </c>
      <c r="HN104" s="1">
        <v>83.333333333333314</v>
      </c>
      <c r="HO104" s="1">
        <v>0</v>
      </c>
      <c r="HP104" s="1">
        <v>16.666666666666671</v>
      </c>
      <c r="HQ104" s="1">
        <v>0</v>
      </c>
      <c r="HR104" s="1">
        <v>0</v>
      </c>
      <c r="HS104" s="1">
        <v>6</v>
      </c>
      <c r="HT104" s="1">
        <v>75</v>
      </c>
      <c r="HU104" s="1">
        <v>25</v>
      </c>
      <c r="HV104" s="1">
        <v>0</v>
      </c>
      <c r="HW104" s="1">
        <v>0</v>
      </c>
      <c r="HX104" s="1">
        <v>0</v>
      </c>
      <c r="HY104" s="1">
        <v>4</v>
      </c>
      <c r="HZ104" s="1">
        <v>66.666666666666686</v>
      </c>
      <c r="IA104" s="1">
        <v>0</v>
      </c>
      <c r="IB104" s="1">
        <v>33.333333333333343</v>
      </c>
      <c r="IC104" s="1">
        <v>0</v>
      </c>
      <c r="ID104" s="1">
        <v>0</v>
      </c>
      <c r="IE104" s="1">
        <v>3</v>
      </c>
      <c r="IF104" s="1">
        <v>9.7391304347826093</v>
      </c>
      <c r="IG104" s="1">
        <v>0</v>
      </c>
      <c r="IH104" s="1">
        <v>0</v>
      </c>
      <c r="II104" s="1">
        <v>0</v>
      </c>
      <c r="IJ104" s="1">
        <v>0</v>
      </c>
      <c r="IK104" s="1">
        <v>0</v>
      </c>
      <c r="IL104" s="1">
        <v>0</v>
      </c>
      <c r="IM104" s="1">
        <v>0</v>
      </c>
      <c r="IN104" s="1">
        <v>4.3478260869565197</v>
      </c>
      <c r="IO104" s="1">
        <v>17.391304347826079</v>
      </c>
      <c r="IP104" s="1">
        <v>78.26086956521732</v>
      </c>
      <c r="IQ104" s="1">
        <v>9.7391304347825969</v>
      </c>
      <c r="IR104" s="1">
        <v>23</v>
      </c>
      <c r="IS104" s="1">
        <v>59.999999999999979</v>
      </c>
      <c r="IT104" s="1">
        <v>7.9999999999999991</v>
      </c>
      <c r="IU104" s="1">
        <v>31.999999999999989</v>
      </c>
      <c r="IV104" s="1">
        <v>0</v>
      </c>
      <c r="IW104" s="1">
        <v>0</v>
      </c>
      <c r="IX104" s="1">
        <v>25</v>
      </c>
      <c r="IY104" s="1">
        <v>1</v>
      </c>
      <c r="IZ104" s="1">
        <v>23.014800000000022</v>
      </c>
      <c r="JA104" s="1">
        <v>11.507399999999997</v>
      </c>
      <c r="JB104" s="1">
        <v>4.794749999999997</v>
      </c>
      <c r="JC104" s="1">
        <v>2.8768499999999992</v>
      </c>
      <c r="JD104" s="1">
        <v>4.794749999999997</v>
      </c>
      <c r="JE104" s="1">
        <v>0.49999999999999994</v>
      </c>
      <c r="JF104" s="1">
        <v>0.20833333333333312</v>
      </c>
      <c r="JG104" s="1">
        <v>0.12499999999999999</v>
      </c>
      <c r="JH104" s="1">
        <v>0.20833333333333312</v>
      </c>
      <c r="JI104" s="1">
        <v>1</v>
      </c>
      <c r="JJ104" s="1">
        <v>24</v>
      </c>
      <c r="JK104" s="1">
        <v>1.72</v>
      </c>
      <c r="JL104" s="1">
        <v>1.7199999999999995</v>
      </c>
      <c r="JM104" s="1">
        <v>25</v>
      </c>
      <c r="JN104" s="1">
        <v>92.307692307692321</v>
      </c>
      <c r="JO104" s="1">
        <v>7.6923076923076881</v>
      </c>
      <c r="JP104" s="1">
        <v>13</v>
      </c>
      <c r="JQ104" s="1">
        <v>92.857142857142861</v>
      </c>
      <c r="JR104" s="1">
        <v>7.1428571428571415</v>
      </c>
      <c r="JS104" s="1">
        <v>14</v>
      </c>
      <c r="JT104" s="1">
        <v>80.952380952380949</v>
      </c>
      <c r="JU104" s="1">
        <v>19.04761904761904</v>
      </c>
      <c r="JV104" s="1">
        <v>21</v>
      </c>
      <c r="JW104" s="1">
        <v>94.736842105263165</v>
      </c>
      <c r="JX104" s="1">
        <v>5.2631578947368389</v>
      </c>
      <c r="JY104" s="1">
        <v>19</v>
      </c>
      <c r="JZ104" s="1">
        <v>72.727272727272734</v>
      </c>
      <c r="KA104" s="1">
        <v>27.272727272727256</v>
      </c>
      <c r="KB104" s="1">
        <v>22</v>
      </c>
      <c r="KC104" s="1">
        <v>100</v>
      </c>
      <c r="KD104" s="1">
        <v>0</v>
      </c>
      <c r="KE104" s="1">
        <v>22</v>
      </c>
      <c r="KF104" s="1">
        <v>3.5454545454545454</v>
      </c>
      <c r="KG104" s="1">
        <v>0</v>
      </c>
      <c r="KH104" s="1">
        <v>13.636363636363628</v>
      </c>
      <c r="KI104" s="1">
        <v>40.909090909090885</v>
      </c>
      <c r="KJ104" s="1">
        <v>22.727272727272734</v>
      </c>
      <c r="KK104" s="1">
        <v>22.727272727272734</v>
      </c>
      <c r="KL104" s="1">
        <v>22</v>
      </c>
      <c r="KM104" s="1">
        <v>62.863636363636324</v>
      </c>
      <c r="KN104" s="1">
        <v>0</v>
      </c>
      <c r="KO104" s="1">
        <v>0</v>
      </c>
      <c r="KP104" s="1">
        <v>0</v>
      </c>
      <c r="KQ104" s="1">
        <v>0</v>
      </c>
      <c r="KR104" s="1">
        <v>0</v>
      </c>
      <c r="KS104" s="1">
        <v>0</v>
      </c>
      <c r="KT104" s="1">
        <v>0</v>
      </c>
      <c r="KU104" s="1">
        <v>13.043478260869561</v>
      </c>
      <c r="KV104" s="1">
        <v>0</v>
      </c>
      <c r="KW104" s="1">
        <v>0</v>
      </c>
      <c r="KX104" s="1">
        <v>82.608695652173935</v>
      </c>
      <c r="KY104" s="1">
        <v>4.3478260869565197</v>
      </c>
      <c r="KZ104" s="1">
        <v>23</v>
      </c>
      <c r="LA104" s="1">
        <v>8.6956521739130395</v>
      </c>
      <c r="LB104" s="1">
        <v>91.304347826086982</v>
      </c>
      <c r="LC104" s="1">
        <v>23</v>
      </c>
      <c r="LD104" s="1">
        <v>0</v>
      </c>
      <c r="LE104" s="1">
        <v>0</v>
      </c>
      <c r="LF104" s="1">
        <v>100</v>
      </c>
      <c r="LG104" s="1">
        <v>2</v>
      </c>
    </row>
    <row r="105" spans="1:319" x14ac:dyDescent="0.25">
      <c r="A105" s="1">
        <v>2108</v>
      </c>
      <c r="B105" s="1">
        <v>41.463414634146361</v>
      </c>
      <c r="C105" s="1">
        <v>58.536585365853639</v>
      </c>
      <c r="D105" s="1">
        <v>41</v>
      </c>
      <c r="E105" s="1">
        <v>86.95652173913048</v>
      </c>
      <c r="F105" s="1">
        <v>13.043478260869561</v>
      </c>
      <c r="G105" s="1">
        <v>23</v>
      </c>
      <c r="H105" s="1">
        <v>49.999999999999986</v>
      </c>
      <c r="I105" s="1">
        <v>49.999999999999986</v>
      </c>
      <c r="J105" s="1">
        <v>20</v>
      </c>
      <c r="K105" s="1">
        <v>1</v>
      </c>
      <c r="L105" s="1">
        <v>15.307350000000007</v>
      </c>
      <c r="M105" s="1">
        <v>8.2137000000000118</v>
      </c>
      <c r="N105" s="1">
        <v>0.74670000000000036</v>
      </c>
      <c r="O105" s="1">
        <v>0</v>
      </c>
      <c r="P105" s="1">
        <v>0</v>
      </c>
      <c r="Q105" s="1">
        <v>0.37335000000000018</v>
      </c>
      <c r="R105" s="1">
        <v>3.7334999999999958</v>
      </c>
      <c r="S105" s="1">
        <v>0</v>
      </c>
      <c r="T105" s="1">
        <v>0.74670000000000036</v>
      </c>
      <c r="U105" s="1">
        <v>4.4801999999999973</v>
      </c>
      <c r="V105" s="1">
        <v>4.1068500000000006</v>
      </c>
      <c r="W105" s="1">
        <v>0.53658536585365824</v>
      </c>
      <c r="X105" s="1">
        <v>4.878048780487805E-2</v>
      </c>
      <c r="Y105" s="1">
        <v>0</v>
      </c>
      <c r="Z105" s="1">
        <v>0</v>
      </c>
      <c r="AA105" s="1">
        <v>2.4390243902439025E-2</v>
      </c>
      <c r="AB105" s="1">
        <v>0.24390243902439029</v>
      </c>
      <c r="AC105" s="1">
        <v>0</v>
      </c>
      <c r="AD105" s="1">
        <v>4.878048780487805E-2</v>
      </c>
      <c r="AE105" s="1">
        <v>0.29268292682926839</v>
      </c>
      <c r="AF105" s="1">
        <v>0.26829268292682912</v>
      </c>
      <c r="AG105" s="1">
        <v>1</v>
      </c>
      <c r="AH105" s="1">
        <v>41</v>
      </c>
      <c r="AI105" s="1">
        <v>1</v>
      </c>
      <c r="AJ105" s="1">
        <v>13.067250000000005</v>
      </c>
      <c r="AK105" s="1">
        <v>3.7334999999999958</v>
      </c>
      <c r="AL105" s="1">
        <v>8.2137000000000118</v>
      </c>
      <c r="AM105" s="1">
        <v>1.8667500000000006</v>
      </c>
      <c r="AN105" s="1">
        <v>1.4934000000000007</v>
      </c>
      <c r="AO105" s="1">
        <v>0</v>
      </c>
      <c r="AP105" s="1">
        <v>2.9868000000000015</v>
      </c>
      <c r="AQ105" s="1">
        <v>0.28571428571428531</v>
      </c>
      <c r="AR105" s="1">
        <v>0.62857142857142889</v>
      </c>
      <c r="AS105" s="1">
        <v>0.14285714285714265</v>
      </c>
      <c r="AT105" s="1">
        <v>0.11428571428571423</v>
      </c>
      <c r="AU105" s="1">
        <v>0</v>
      </c>
      <c r="AV105" s="1">
        <v>0.22857142857142845</v>
      </c>
      <c r="AW105" s="1">
        <v>1</v>
      </c>
      <c r="AX105" s="1">
        <v>35</v>
      </c>
      <c r="AY105" s="1">
        <v>9.9743589743589745</v>
      </c>
      <c r="AZ105" s="1">
        <v>10</v>
      </c>
      <c r="BA105" s="1">
        <v>9.9743589743589745</v>
      </c>
      <c r="BB105" s="1">
        <v>0</v>
      </c>
      <c r="BC105" s="1">
        <v>0</v>
      </c>
      <c r="BD105" s="1">
        <v>0</v>
      </c>
      <c r="BE105" s="1">
        <v>0</v>
      </c>
      <c r="BF105" s="1">
        <v>0</v>
      </c>
      <c r="BG105" s="1">
        <v>0</v>
      </c>
      <c r="BH105" s="1">
        <v>0</v>
      </c>
      <c r="BI105" s="1">
        <v>0</v>
      </c>
      <c r="BJ105" s="1">
        <v>2.5641025641025652</v>
      </c>
      <c r="BK105" s="1">
        <v>97.435897435897445</v>
      </c>
      <c r="BL105" s="1">
        <v>9.9743589743589656</v>
      </c>
      <c r="BM105" s="1">
        <v>39</v>
      </c>
      <c r="BN105" s="1">
        <v>0</v>
      </c>
      <c r="BO105" s="1">
        <v>0</v>
      </c>
      <c r="BP105" s="1">
        <v>0</v>
      </c>
      <c r="BQ105" s="1">
        <v>0</v>
      </c>
      <c r="BR105" s="1">
        <v>0</v>
      </c>
      <c r="BS105" s="1">
        <v>0</v>
      </c>
      <c r="BT105" s="1">
        <v>0</v>
      </c>
      <c r="BU105" s="1">
        <v>0</v>
      </c>
      <c r="BV105" s="1">
        <v>0</v>
      </c>
      <c r="BW105" s="1">
        <v>100</v>
      </c>
      <c r="BX105" s="1">
        <v>9.9999999999999982</v>
      </c>
      <c r="BY105" s="1">
        <v>40</v>
      </c>
      <c r="BZ105" s="1">
        <v>0</v>
      </c>
      <c r="CA105" s="1">
        <v>0</v>
      </c>
      <c r="CB105" s="1">
        <v>0</v>
      </c>
      <c r="CC105" s="1">
        <v>0</v>
      </c>
      <c r="CD105" s="1">
        <v>0</v>
      </c>
      <c r="CE105" s="1">
        <v>0</v>
      </c>
      <c r="CF105" s="1">
        <v>0</v>
      </c>
      <c r="CG105" s="1">
        <v>0</v>
      </c>
      <c r="CH105" s="1">
        <v>2.5641025641025652</v>
      </c>
      <c r="CI105" s="1">
        <v>97.435897435897445</v>
      </c>
      <c r="CJ105" s="1">
        <v>9.9743589743589656</v>
      </c>
      <c r="CK105" s="1">
        <v>39</v>
      </c>
      <c r="CL105" s="1">
        <v>74.999999999999986</v>
      </c>
      <c r="CM105" s="1">
        <v>22.222222222222197</v>
      </c>
      <c r="CN105" s="1">
        <v>2.7777777777777746</v>
      </c>
      <c r="CO105" s="1">
        <v>0</v>
      </c>
      <c r="CP105" s="1">
        <v>0</v>
      </c>
      <c r="CQ105" s="1">
        <v>36</v>
      </c>
      <c r="CR105" s="1">
        <v>84.999999999999986</v>
      </c>
      <c r="CS105" s="1">
        <v>12.499999999999996</v>
      </c>
      <c r="CT105" s="1">
        <v>0</v>
      </c>
      <c r="CU105" s="1">
        <v>2.4999999999999996</v>
      </c>
      <c r="CV105" s="1">
        <v>0</v>
      </c>
      <c r="CW105" s="1">
        <v>40</v>
      </c>
      <c r="CX105" s="1">
        <v>87.499999999999986</v>
      </c>
      <c r="CY105" s="1">
        <v>7.4999999999999982</v>
      </c>
      <c r="CZ105" s="1">
        <v>0</v>
      </c>
      <c r="DA105" s="1">
        <v>4.9999999999999991</v>
      </c>
      <c r="DB105" s="1">
        <v>0</v>
      </c>
      <c r="DC105" s="1">
        <v>40</v>
      </c>
      <c r="DD105" s="1">
        <v>85.365853658536608</v>
      </c>
      <c r="DE105" s="1">
        <v>14.634146341463406</v>
      </c>
      <c r="DF105" s="1">
        <v>0</v>
      </c>
      <c r="DG105" s="1">
        <v>0</v>
      </c>
      <c r="DH105" s="1">
        <v>0</v>
      </c>
      <c r="DI105" s="1">
        <v>41</v>
      </c>
      <c r="DJ105" s="1">
        <v>73.684210526315823</v>
      </c>
      <c r="DK105" s="1">
        <v>23.684210526315752</v>
      </c>
      <c r="DL105" s="1">
        <v>2.6315789473684212</v>
      </c>
      <c r="DM105" s="1">
        <v>0</v>
      </c>
      <c r="DN105" s="1">
        <v>0</v>
      </c>
      <c r="DO105" s="1">
        <v>38</v>
      </c>
      <c r="DP105" s="1">
        <v>76.923076923076991</v>
      </c>
      <c r="DQ105" s="1">
        <v>20.512820512820522</v>
      </c>
      <c r="DR105" s="1">
        <v>2.5641025641025652</v>
      </c>
      <c r="DS105" s="1">
        <v>0</v>
      </c>
      <c r="DT105" s="1">
        <v>0</v>
      </c>
      <c r="DU105" s="1">
        <v>39</v>
      </c>
      <c r="DV105" s="1">
        <v>73.91304347826086</v>
      </c>
      <c r="DW105" s="1">
        <v>21.739130434782616</v>
      </c>
      <c r="DX105" s="1">
        <v>0</v>
      </c>
      <c r="DY105" s="1">
        <v>4.3478260869565224</v>
      </c>
      <c r="DZ105" s="1">
        <v>0</v>
      </c>
      <c r="EA105" s="1">
        <v>23</v>
      </c>
      <c r="EB105" s="1">
        <v>70</v>
      </c>
      <c r="EC105" s="1">
        <v>30.000000000000007</v>
      </c>
      <c r="ED105" s="1">
        <v>0</v>
      </c>
      <c r="EE105" s="1">
        <v>0</v>
      </c>
      <c r="EF105" s="1">
        <v>0</v>
      </c>
      <c r="EG105" s="1">
        <v>10</v>
      </c>
      <c r="EH105" s="1">
        <v>57.142857142857146</v>
      </c>
      <c r="EI105" s="1">
        <v>28.571428571428573</v>
      </c>
      <c r="EJ105" s="1">
        <v>14.285714285714286</v>
      </c>
      <c r="EK105" s="1">
        <v>0</v>
      </c>
      <c r="EL105" s="1">
        <v>0</v>
      </c>
      <c r="EM105" s="1">
        <v>7</v>
      </c>
      <c r="EN105" s="1">
        <v>33.333333333333321</v>
      </c>
      <c r="EO105" s="1">
        <v>50</v>
      </c>
      <c r="EP105" s="1">
        <v>8.3333333333333304</v>
      </c>
      <c r="EQ105" s="1">
        <v>8.3333333333333304</v>
      </c>
      <c r="ER105" s="1">
        <v>0</v>
      </c>
      <c r="ES105" s="1">
        <v>12</v>
      </c>
      <c r="ET105" s="1">
        <v>41.666666666666693</v>
      </c>
      <c r="EU105" s="1">
        <v>58.333333333333329</v>
      </c>
      <c r="EV105" s="1">
        <v>0</v>
      </c>
      <c r="EW105" s="1">
        <v>0</v>
      </c>
      <c r="EX105" s="1">
        <v>0</v>
      </c>
      <c r="EY105" s="1">
        <v>12</v>
      </c>
      <c r="EZ105" s="1">
        <v>70</v>
      </c>
      <c r="FA105" s="1">
        <v>20.000000000000004</v>
      </c>
      <c r="FB105" s="1">
        <v>10.000000000000002</v>
      </c>
      <c r="FC105" s="1">
        <v>0</v>
      </c>
      <c r="FD105" s="1">
        <v>0</v>
      </c>
      <c r="FE105" s="1">
        <v>10</v>
      </c>
      <c r="FF105" s="1">
        <v>77.777777777777814</v>
      </c>
      <c r="FG105" s="1">
        <v>0</v>
      </c>
      <c r="FH105" s="1">
        <v>22.222222222222204</v>
      </c>
      <c r="FI105" s="1">
        <v>0</v>
      </c>
      <c r="FJ105" s="1">
        <v>0</v>
      </c>
      <c r="FK105" s="1">
        <v>9</v>
      </c>
      <c r="FL105" s="1">
        <v>69.999999999999986</v>
      </c>
      <c r="FM105" s="1">
        <v>24.999999999999993</v>
      </c>
      <c r="FN105" s="1">
        <v>4.9999999999999991</v>
      </c>
      <c r="FO105" s="1">
        <v>0</v>
      </c>
      <c r="FP105" s="1">
        <v>0</v>
      </c>
      <c r="FQ105" s="1">
        <v>20</v>
      </c>
      <c r="FR105" s="1">
        <v>68.749999999999986</v>
      </c>
      <c r="FS105" s="1">
        <v>31.249999999999993</v>
      </c>
      <c r="FT105" s="1">
        <v>0</v>
      </c>
      <c r="FU105" s="1">
        <v>0</v>
      </c>
      <c r="FV105" s="1">
        <v>0</v>
      </c>
      <c r="FW105" s="1">
        <v>16</v>
      </c>
      <c r="FX105" s="1">
        <v>77.499999999999986</v>
      </c>
      <c r="FY105" s="1">
        <v>22.499999999999993</v>
      </c>
      <c r="FZ105" s="1">
        <v>0</v>
      </c>
      <c r="GA105" s="1">
        <v>0</v>
      </c>
      <c r="GB105" s="1">
        <v>0</v>
      </c>
      <c r="GC105" s="1">
        <v>40</v>
      </c>
      <c r="GD105" s="1">
        <v>82.352941176470623</v>
      </c>
      <c r="GE105" s="1">
        <v>17.647058823529395</v>
      </c>
      <c r="GF105" s="1">
        <v>0</v>
      </c>
      <c r="GG105" s="1">
        <v>0</v>
      </c>
      <c r="GH105" s="1">
        <v>0</v>
      </c>
      <c r="GI105" s="1">
        <v>17</v>
      </c>
      <c r="GJ105" s="1">
        <v>88</v>
      </c>
      <c r="GK105" s="1">
        <v>11.999999999999998</v>
      </c>
      <c r="GL105" s="1">
        <v>0</v>
      </c>
      <c r="GM105" s="1">
        <v>0</v>
      </c>
      <c r="GN105" s="1">
        <v>0</v>
      </c>
      <c r="GO105" s="1">
        <v>25</v>
      </c>
      <c r="GP105" s="1">
        <v>89.473684210526272</v>
      </c>
      <c r="GQ105" s="1">
        <v>10.526315789473687</v>
      </c>
      <c r="GR105" s="1">
        <v>0</v>
      </c>
      <c r="GS105" s="1">
        <v>0</v>
      </c>
      <c r="GT105" s="1">
        <v>0</v>
      </c>
      <c r="GU105" s="1">
        <v>19</v>
      </c>
      <c r="GV105" s="1">
        <v>89.473684210526272</v>
      </c>
      <c r="GW105" s="1">
        <v>10.526315789473687</v>
      </c>
      <c r="GX105" s="1">
        <v>0</v>
      </c>
      <c r="GY105" s="1">
        <v>0</v>
      </c>
      <c r="GZ105" s="1">
        <v>0</v>
      </c>
      <c r="HA105" s="1">
        <v>19</v>
      </c>
      <c r="HB105" s="1">
        <v>0</v>
      </c>
      <c r="HC105" s="1">
        <v>0</v>
      </c>
      <c r="HD105" s="1">
        <v>0</v>
      </c>
      <c r="HE105" s="1">
        <v>0</v>
      </c>
      <c r="HF105" s="1">
        <v>0</v>
      </c>
      <c r="HG105" s="1">
        <v>0</v>
      </c>
      <c r="HH105" s="1">
        <v>100</v>
      </c>
      <c r="HI105" s="1">
        <v>0</v>
      </c>
      <c r="HJ105" s="1">
        <v>0</v>
      </c>
      <c r="HK105" s="1">
        <v>0</v>
      </c>
      <c r="HL105" s="1">
        <v>0</v>
      </c>
      <c r="HM105" s="1">
        <v>2</v>
      </c>
      <c r="HN105" s="1">
        <v>0</v>
      </c>
      <c r="HO105" s="1">
        <v>0</v>
      </c>
      <c r="HP105" s="1">
        <v>0</v>
      </c>
      <c r="HQ105" s="1">
        <v>0</v>
      </c>
      <c r="HR105" s="1">
        <v>0</v>
      </c>
      <c r="HS105" s="1">
        <v>0</v>
      </c>
      <c r="HT105" s="1">
        <v>0</v>
      </c>
      <c r="HU105" s="1">
        <v>0</v>
      </c>
      <c r="HV105" s="1">
        <v>0</v>
      </c>
      <c r="HW105" s="1">
        <v>0</v>
      </c>
      <c r="HX105" s="1">
        <v>0</v>
      </c>
      <c r="HY105" s="1">
        <v>0</v>
      </c>
      <c r="HZ105" s="1">
        <v>0</v>
      </c>
      <c r="IA105" s="1">
        <v>0</v>
      </c>
      <c r="IB105" s="1">
        <v>0</v>
      </c>
      <c r="IC105" s="1">
        <v>0</v>
      </c>
      <c r="ID105" s="1">
        <v>0</v>
      </c>
      <c r="IE105" s="1">
        <v>0</v>
      </c>
      <c r="IF105" s="1">
        <v>9.625</v>
      </c>
      <c r="IG105" s="1">
        <v>0</v>
      </c>
      <c r="IH105" s="1">
        <v>0</v>
      </c>
      <c r="II105" s="1">
        <v>0</v>
      </c>
      <c r="IJ105" s="1">
        <v>0</v>
      </c>
      <c r="IK105" s="1">
        <v>0</v>
      </c>
      <c r="IL105" s="1">
        <v>2.4999999999999996</v>
      </c>
      <c r="IM105" s="1">
        <v>2.4999999999999996</v>
      </c>
      <c r="IN105" s="1">
        <v>7.4999999999999982</v>
      </c>
      <c r="IO105" s="1">
        <v>4.9999999999999991</v>
      </c>
      <c r="IP105" s="1">
        <v>82.499999999999986</v>
      </c>
      <c r="IQ105" s="1">
        <v>9.6249999999999982</v>
      </c>
      <c r="IR105" s="1">
        <v>40</v>
      </c>
      <c r="IS105" s="1">
        <v>14.634146341463406</v>
      </c>
      <c r="IT105" s="1">
        <v>39.024390243902424</v>
      </c>
      <c r="IU105" s="1">
        <v>36.585365853658523</v>
      </c>
      <c r="IV105" s="1">
        <v>7.3170731707317032</v>
      </c>
      <c r="IW105" s="1">
        <v>2.4390243902439011</v>
      </c>
      <c r="IX105" s="1">
        <v>41</v>
      </c>
      <c r="IY105" s="1">
        <v>1</v>
      </c>
      <c r="IZ105" s="1">
        <v>14.934000000000008</v>
      </c>
      <c r="JA105" s="1">
        <v>7.0936500000000011</v>
      </c>
      <c r="JB105" s="1">
        <v>4.4801999999999973</v>
      </c>
      <c r="JC105" s="1">
        <v>1.4934000000000007</v>
      </c>
      <c r="JD105" s="1">
        <v>4.1068500000000006</v>
      </c>
      <c r="JE105" s="1">
        <v>0.47500000000000003</v>
      </c>
      <c r="JF105" s="1">
        <v>0.3000000000000001</v>
      </c>
      <c r="JG105" s="1">
        <v>9.9999999999999992E-2</v>
      </c>
      <c r="JH105" s="1">
        <v>0.27499999999999986</v>
      </c>
      <c r="JI105" s="1">
        <v>1</v>
      </c>
      <c r="JJ105" s="1">
        <v>40</v>
      </c>
      <c r="JK105" s="1">
        <v>2.3902439024390243</v>
      </c>
      <c r="JL105" s="1">
        <v>2.3902439024390243</v>
      </c>
      <c r="JM105" s="1">
        <v>41</v>
      </c>
      <c r="JN105" s="1">
        <v>100</v>
      </c>
      <c r="JO105" s="1">
        <v>0</v>
      </c>
      <c r="JP105" s="1">
        <v>24</v>
      </c>
      <c r="JQ105" s="1">
        <v>95.833333333333385</v>
      </c>
      <c r="JR105" s="1">
        <v>4.1666666666666652</v>
      </c>
      <c r="JS105" s="1">
        <v>24</v>
      </c>
      <c r="JT105" s="1">
        <v>100</v>
      </c>
      <c r="JU105" s="1">
        <v>0</v>
      </c>
      <c r="JV105" s="1">
        <v>22</v>
      </c>
      <c r="JW105" s="1">
        <v>100</v>
      </c>
      <c r="JX105" s="1">
        <v>0</v>
      </c>
      <c r="JY105" s="1">
        <v>36</v>
      </c>
      <c r="JZ105" s="1">
        <v>89.999999999999986</v>
      </c>
      <c r="KA105" s="1">
        <v>9.9999999999999982</v>
      </c>
      <c r="KB105" s="1">
        <v>40</v>
      </c>
      <c r="KC105" s="1">
        <v>100</v>
      </c>
      <c r="KD105" s="1">
        <v>0</v>
      </c>
      <c r="KE105" s="1">
        <v>39</v>
      </c>
      <c r="KF105" s="1">
        <v>2.4736842105263159</v>
      </c>
      <c r="KG105" s="1">
        <v>44.736842105263129</v>
      </c>
      <c r="KH105" s="1">
        <v>13.157894736842092</v>
      </c>
      <c r="KI105" s="1">
        <v>13.157894736842092</v>
      </c>
      <c r="KJ105" s="1">
        <v>7.8947368421052584</v>
      </c>
      <c r="KK105" s="1">
        <v>21.052631578947366</v>
      </c>
      <c r="KL105" s="1">
        <v>38</v>
      </c>
      <c r="KM105" s="1">
        <v>42.157894736842088</v>
      </c>
      <c r="KN105" s="1">
        <v>0</v>
      </c>
      <c r="KO105" s="1">
        <v>0</v>
      </c>
      <c r="KP105" s="1">
        <v>0</v>
      </c>
      <c r="KQ105" s="1">
        <v>0</v>
      </c>
      <c r="KR105" s="1">
        <v>0</v>
      </c>
      <c r="KS105" s="1">
        <v>0</v>
      </c>
      <c r="KT105" s="1">
        <v>0</v>
      </c>
      <c r="KU105" s="1">
        <v>7.6923076923076836</v>
      </c>
      <c r="KV105" s="1">
        <v>2.5641025641025652</v>
      </c>
      <c r="KW105" s="1">
        <v>0</v>
      </c>
      <c r="KX105" s="1">
        <v>87.179487179487197</v>
      </c>
      <c r="KY105" s="1">
        <v>2.5641025641025652</v>
      </c>
      <c r="KZ105" s="1">
        <v>39</v>
      </c>
      <c r="LA105" s="1">
        <v>25.641025641025628</v>
      </c>
      <c r="LB105" s="1">
        <v>74.358974358974436</v>
      </c>
      <c r="LC105" s="1">
        <v>39</v>
      </c>
      <c r="LD105" s="1">
        <v>0</v>
      </c>
      <c r="LE105" s="1">
        <v>0</v>
      </c>
      <c r="LF105" s="1">
        <v>99.999999999999986</v>
      </c>
      <c r="LG105" s="1">
        <v>10</v>
      </c>
    </row>
    <row r="106" spans="1:319" x14ac:dyDescent="0.25">
      <c r="A106" s="1">
        <v>3010</v>
      </c>
      <c r="B106" s="1">
        <v>6.0606060606060614</v>
      </c>
      <c r="C106" s="1">
        <v>93.93939393939398</v>
      </c>
      <c r="D106" s="1">
        <v>33</v>
      </c>
      <c r="E106" s="1">
        <v>58.620689655172384</v>
      </c>
      <c r="F106" s="1">
        <v>41.379310344827594</v>
      </c>
      <c r="G106" s="1">
        <v>29</v>
      </c>
      <c r="H106" s="1">
        <v>57.142857142857117</v>
      </c>
      <c r="I106" s="1">
        <v>42.857142857142854</v>
      </c>
      <c r="J106" s="1">
        <v>14</v>
      </c>
      <c r="K106" s="1">
        <v>1</v>
      </c>
      <c r="L106" s="1">
        <v>13.203300000000009</v>
      </c>
      <c r="M106" s="1">
        <v>8.402099999999999</v>
      </c>
      <c r="N106" s="1">
        <v>1.6004000000000003</v>
      </c>
      <c r="O106" s="1">
        <v>0.80020000000000013</v>
      </c>
      <c r="P106" s="1">
        <v>0</v>
      </c>
      <c r="Q106" s="1">
        <v>0</v>
      </c>
      <c r="R106" s="1">
        <v>1.6004000000000003</v>
      </c>
      <c r="S106" s="1">
        <v>0</v>
      </c>
      <c r="T106" s="1">
        <v>2.4005999999999985</v>
      </c>
      <c r="U106" s="1">
        <v>1.6004000000000003</v>
      </c>
      <c r="V106" s="1">
        <v>0.40010000000000007</v>
      </c>
      <c r="W106" s="1">
        <v>0.63636363636363658</v>
      </c>
      <c r="X106" s="1">
        <v>0.12121212121212113</v>
      </c>
      <c r="Y106" s="1">
        <v>6.0606060606060566E-2</v>
      </c>
      <c r="Z106" s="1">
        <v>0</v>
      </c>
      <c r="AA106" s="1">
        <v>0</v>
      </c>
      <c r="AB106" s="1">
        <v>0.12121212121212113</v>
      </c>
      <c r="AC106" s="1">
        <v>0</v>
      </c>
      <c r="AD106" s="1">
        <v>0.18181818181818171</v>
      </c>
      <c r="AE106" s="1">
        <v>0.12121212121212113</v>
      </c>
      <c r="AF106" s="1">
        <v>3.0303030303030283E-2</v>
      </c>
      <c r="AG106" s="1">
        <v>1</v>
      </c>
      <c r="AH106" s="1">
        <v>33</v>
      </c>
      <c r="AI106" s="1">
        <v>1</v>
      </c>
      <c r="AJ106" s="1">
        <v>12.803200000000002</v>
      </c>
      <c r="AK106" s="1">
        <v>9.202300000000001</v>
      </c>
      <c r="AL106" s="1">
        <v>10.80270000000001</v>
      </c>
      <c r="AM106" s="1">
        <v>7.2017999999999978</v>
      </c>
      <c r="AN106" s="1">
        <v>9.6023999999999941</v>
      </c>
      <c r="AO106" s="1">
        <v>2.4005999999999985</v>
      </c>
      <c r="AP106" s="1">
        <v>0.40010000000000007</v>
      </c>
      <c r="AQ106" s="1">
        <v>0.71875</v>
      </c>
      <c r="AR106" s="1">
        <v>0.84375</v>
      </c>
      <c r="AS106" s="1">
        <v>0.5625</v>
      </c>
      <c r="AT106" s="1">
        <v>0.75</v>
      </c>
      <c r="AU106" s="1">
        <v>0.1875</v>
      </c>
      <c r="AV106" s="1">
        <v>3.125E-2</v>
      </c>
      <c r="AW106" s="1">
        <v>1</v>
      </c>
      <c r="AX106" s="1">
        <v>32</v>
      </c>
      <c r="AY106" s="1">
        <v>9.8181818181818183</v>
      </c>
      <c r="AZ106" s="1">
        <v>9.8787878787878789</v>
      </c>
      <c r="BA106" s="1">
        <v>9.8484848484848477</v>
      </c>
      <c r="BB106" s="1">
        <v>0</v>
      </c>
      <c r="BC106" s="1">
        <v>0</v>
      </c>
      <c r="BD106" s="1">
        <v>0</v>
      </c>
      <c r="BE106" s="1">
        <v>0</v>
      </c>
      <c r="BF106" s="1">
        <v>0</v>
      </c>
      <c r="BG106" s="1">
        <v>0</v>
      </c>
      <c r="BH106" s="1">
        <v>0</v>
      </c>
      <c r="BI106" s="1">
        <v>6.0606060606060614</v>
      </c>
      <c r="BJ106" s="1">
        <v>6.0606060606060614</v>
      </c>
      <c r="BK106" s="1">
        <v>87.878787878787946</v>
      </c>
      <c r="BL106" s="1">
        <v>9.8181818181818148</v>
      </c>
      <c r="BM106" s="1">
        <v>33</v>
      </c>
      <c r="BN106" s="1">
        <v>0</v>
      </c>
      <c r="BO106" s="1">
        <v>0</v>
      </c>
      <c r="BP106" s="1">
        <v>0</v>
      </c>
      <c r="BQ106" s="1">
        <v>0</v>
      </c>
      <c r="BR106" s="1">
        <v>0</v>
      </c>
      <c r="BS106" s="1">
        <v>0</v>
      </c>
      <c r="BT106" s="1">
        <v>0</v>
      </c>
      <c r="BU106" s="1">
        <v>0</v>
      </c>
      <c r="BV106" s="1">
        <v>12.121212121212123</v>
      </c>
      <c r="BW106" s="1">
        <v>87.878787878787946</v>
      </c>
      <c r="BX106" s="1">
        <v>9.8787878787878771</v>
      </c>
      <c r="BY106" s="1">
        <v>33</v>
      </c>
      <c r="BZ106" s="1">
        <v>0</v>
      </c>
      <c r="CA106" s="1">
        <v>0</v>
      </c>
      <c r="CB106" s="1">
        <v>0</v>
      </c>
      <c r="CC106" s="1">
        <v>0</v>
      </c>
      <c r="CD106" s="1">
        <v>0</v>
      </c>
      <c r="CE106" s="1">
        <v>0</v>
      </c>
      <c r="CF106" s="1">
        <v>0</v>
      </c>
      <c r="CG106" s="1">
        <v>3.0303030303030307</v>
      </c>
      <c r="CH106" s="1">
        <v>9.0909090909090864</v>
      </c>
      <c r="CI106" s="1">
        <v>87.878787878787946</v>
      </c>
      <c r="CJ106" s="1">
        <v>9.8484848484848531</v>
      </c>
      <c r="CK106" s="1">
        <v>33</v>
      </c>
      <c r="CL106" s="1">
        <v>57.575757575757557</v>
      </c>
      <c r="CM106" s="1">
        <v>33.333333333333336</v>
      </c>
      <c r="CN106" s="1">
        <v>0</v>
      </c>
      <c r="CO106" s="1">
        <v>9.0909090909090864</v>
      </c>
      <c r="CP106" s="1">
        <v>0</v>
      </c>
      <c r="CQ106" s="1">
        <v>33</v>
      </c>
      <c r="CR106" s="1">
        <v>93.93939393939398</v>
      </c>
      <c r="CS106" s="1">
        <v>3.0303030303030307</v>
      </c>
      <c r="CT106" s="1">
        <v>3.0303030303030307</v>
      </c>
      <c r="CU106" s="1">
        <v>0</v>
      </c>
      <c r="CV106" s="1">
        <v>0</v>
      </c>
      <c r="CW106" s="1">
        <v>33</v>
      </c>
      <c r="CX106" s="1">
        <v>93.75</v>
      </c>
      <c r="CY106" s="1">
        <v>6.2499999999999991</v>
      </c>
      <c r="CZ106" s="1">
        <v>0</v>
      </c>
      <c r="DA106" s="1">
        <v>0</v>
      </c>
      <c r="DB106" s="1">
        <v>0</v>
      </c>
      <c r="DC106" s="1">
        <v>32</v>
      </c>
      <c r="DD106" s="1">
        <v>90.909090909090949</v>
      </c>
      <c r="DE106" s="1">
        <v>9.0909090909090864</v>
      </c>
      <c r="DF106" s="1">
        <v>0</v>
      </c>
      <c r="DG106" s="1">
        <v>0</v>
      </c>
      <c r="DH106" s="1">
        <v>0</v>
      </c>
      <c r="DI106" s="1">
        <v>33</v>
      </c>
      <c r="DJ106" s="1">
        <v>84.848484848484873</v>
      </c>
      <c r="DK106" s="1">
        <v>6.0606060606060614</v>
      </c>
      <c r="DL106" s="1">
        <v>3.0303030303030307</v>
      </c>
      <c r="DM106" s="1">
        <v>6.0606060606060614</v>
      </c>
      <c r="DN106" s="1">
        <v>0</v>
      </c>
      <c r="DO106" s="1">
        <v>33</v>
      </c>
      <c r="DP106" s="1">
        <v>90.909090909090949</v>
      </c>
      <c r="DQ106" s="1">
        <v>9.0909090909090864</v>
      </c>
      <c r="DR106" s="1">
        <v>0</v>
      </c>
      <c r="DS106" s="1">
        <v>0</v>
      </c>
      <c r="DT106" s="1">
        <v>0</v>
      </c>
      <c r="DU106" s="1">
        <v>33</v>
      </c>
      <c r="DV106" s="1">
        <v>75</v>
      </c>
      <c r="DW106" s="1">
        <v>21.875</v>
      </c>
      <c r="DX106" s="1">
        <v>0</v>
      </c>
      <c r="DY106" s="1">
        <v>3.1249999999999996</v>
      </c>
      <c r="DZ106" s="1">
        <v>0</v>
      </c>
      <c r="EA106" s="1">
        <v>32</v>
      </c>
      <c r="EB106" s="1">
        <v>0</v>
      </c>
      <c r="EC106" s="1">
        <v>0</v>
      </c>
      <c r="ED106" s="1">
        <v>0</v>
      </c>
      <c r="EE106" s="1">
        <v>0</v>
      </c>
      <c r="EF106" s="1">
        <v>0</v>
      </c>
      <c r="EG106" s="1">
        <v>0</v>
      </c>
      <c r="EH106" s="1">
        <v>0</v>
      </c>
      <c r="EI106" s="1">
        <v>0</v>
      </c>
      <c r="EJ106" s="1">
        <v>0</v>
      </c>
      <c r="EK106" s="1">
        <v>0</v>
      </c>
      <c r="EL106" s="1">
        <v>0</v>
      </c>
      <c r="EM106" s="1">
        <v>0</v>
      </c>
      <c r="EN106" s="1">
        <v>60</v>
      </c>
      <c r="EO106" s="1">
        <v>36.000000000000007</v>
      </c>
      <c r="EP106" s="1">
        <v>3.9999999999999991</v>
      </c>
      <c r="EQ106" s="1">
        <v>0</v>
      </c>
      <c r="ER106" s="1">
        <v>0</v>
      </c>
      <c r="ES106" s="1">
        <v>25</v>
      </c>
      <c r="ET106" s="1">
        <v>55.5555555555556</v>
      </c>
      <c r="EU106" s="1">
        <v>37.037037037037024</v>
      </c>
      <c r="EV106" s="1">
        <v>3.7037037037037059</v>
      </c>
      <c r="EW106" s="1">
        <v>3.7037037037037059</v>
      </c>
      <c r="EX106" s="1">
        <v>0</v>
      </c>
      <c r="EY106" s="1">
        <v>27</v>
      </c>
      <c r="EZ106" s="1">
        <v>52.941176470588275</v>
      </c>
      <c r="FA106" s="1">
        <v>29.411764705882327</v>
      </c>
      <c r="FB106" s="1">
        <v>11.764705882352933</v>
      </c>
      <c r="FC106" s="1">
        <v>5.8823529411764666</v>
      </c>
      <c r="FD106" s="1">
        <v>0</v>
      </c>
      <c r="FE106" s="1">
        <v>17</v>
      </c>
      <c r="FF106" s="1">
        <v>61.53846153846149</v>
      </c>
      <c r="FG106" s="1">
        <v>23.076923076923084</v>
      </c>
      <c r="FH106" s="1">
        <v>15.384615384615373</v>
      </c>
      <c r="FI106" s="1">
        <v>0</v>
      </c>
      <c r="FJ106" s="1">
        <v>0</v>
      </c>
      <c r="FK106" s="1">
        <v>13</v>
      </c>
      <c r="FL106" s="1">
        <v>85.714285714285737</v>
      </c>
      <c r="FM106" s="1">
        <v>10.714285714285717</v>
      </c>
      <c r="FN106" s="1">
        <v>0</v>
      </c>
      <c r="FO106" s="1">
        <v>3.5714285714285698</v>
      </c>
      <c r="FP106" s="1">
        <v>0</v>
      </c>
      <c r="FQ106" s="1">
        <v>28</v>
      </c>
      <c r="FR106" s="1">
        <v>90.476190476190411</v>
      </c>
      <c r="FS106" s="1">
        <v>9.5238095238095202</v>
      </c>
      <c r="FT106" s="1">
        <v>0</v>
      </c>
      <c r="FU106" s="1">
        <v>0</v>
      </c>
      <c r="FV106" s="1">
        <v>0</v>
      </c>
      <c r="FW106" s="1">
        <v>21</v>
      </c>
      <c r="FX106" s="1">
        <v>96.666666666666629</v>
      </c>
      <c r="FY106" s="1">
        <v>3.3333333333333321</v>
      </c>
      <c r="FZ106" s="1">
        <v>0</v>
      </c>
      <c r="GA106" s="1">
        <v>0</v>
      </c>
      <c r="GB106" s="1">
        <v>0</v>
      </c>
      <c r="GC106" s="1">
        <v>30</v>
      </c>
      <c r="GD106" s="1">
        <v>0</v>
      </c>
      <c r="GE106" s="1">
        <v>0</v>
      </c>
      <c r="GF106" s="1">
        <v>0</v>
      </c>
      <c r="GG106" s="1">
        <v>0</v>
      </c>
      <c r="GH106" s="1">
        <v>0</v>
      </c>
      <c r="GI106" s="1">
        <v>0</v>
      </c>
      <c r="GJ106" s="1">
        <v>0</v>
      </c>
      <c r="GK106" s="1">
        <v>0</v>
      </c>
      <c r="GL106" s="1">
        <v>0</v>
      </c>
      <c r="GM106" s="1">
        <v>0</v>
      </c>
      <c r="GN106" s="1">
        <v>0</v>
      </c>
      <c r="GO106" s="1">
        <v>0</v>
      </c>
      <c r="GP106" s="1">
        <v>80.952380952380892</v>
      </c>
      <c r="GQ106" s="1">
        <v>14.285714285714279</v>
      </c>
      <c r="GR106" s="1">
        <v>4.7619047619047601</v>
      </c>
      <c r="GS106" s="1">
        <v>0</v>
      </c>
      <c r="GT106" s="1">
        <v>0</v>
      </c>
      <c r="GU106" s="1">
        <v>21</v>
      </c>
      <c r="GV106" s="1">
        <v>0</v>
      </c>
      <c r="GW106" s="1">
        <v>0</v>
      </c>
      <c r="GX106" s="1">
        <v>0</v>
      </c>
      <c r="GY106" s="1">
        <v>0</v>
      </c>
      <c r="GZ106" s="1">
        <v>0</v>
      </c>
      <c r="HA106" s="1">
        <v>0</v>
      </c>
      <c r="HB106" s="1">
        <v>0</v>
      </c>
      <c r="HC106" s="1">
        <v>0</v>
      </c>
      <c r="HD106" s="1">
        <v>0</v>
      </c>
      <c r="HE106" s="1">
        <v>0</v>
      </c>
      <c r="HF106" s="1">
        <v>0</v>
      </c>
      <c r="HG106" s="1">
        <v>0</v>
      </c>
      <c r="HH106" s="1">
        <v>87.5</v>
      </c>
      <c r="HI106" s="1">
        <v>0</v>
      </c>
      <c r="HJ106" s="1">
        <v>12.499999999999998</v>
      </c>
      <c r="HK106" s="1">
        <v>0</v>
      </c>
      <c r="HL106" s="1">
        <v>0</v>
      </c>
      <c r="HM106" s="1">
        <v>8</v>
      </c>
      <c r="HN106" s="1">
        <v>0</v>
      </c>
      <c r="HO106" s="1">
        <v>0</v>
      </c>
      <c r="HP106" s="1">
        <v>0</v>
      </c>
      <c r="HQ106" s="1">
        <v>0</v>
      </c>
      <c r="HR106" s="1">
        <v>0</v>
      </c>
      <c r="HS106" s="1">
        <v>0</v>
      </c>
      <c r="HT106" s="1">
        <v>0</v>
      </c>
      <c r="HU106" s="1">
        <v>0</v>
      </c>
      <c r="HV106" s="1">
        <v>0</v>
      </c>
      <c r="HW106" s="1">
        <v>0</v>
      </c>
      <c r="HX106" s="1">
        <v>0</v>
      </c>
      <c r="HY106" s="1">
        <v>0</v>
      </c>
      <c r="HZ106" s="1">
        <v>0</v>
      </c>
      <c r="IA106" s="1">
        <v>0</v>
      </c>
      <c r="IB106" s="1">
        <v>0</v>
      </c>
      <c r="IC106" s="1">
        <v>0</v>
      </c>
      <c r="ID106" s="1">
        <v>0</v>
      </c>
      <c r="IE106" s="1">
        <v>0</v>
      </c>
      <c r="IF106" s="1">
        <v>9.4848484848484844</v>
      </c>
      <c r="IG106" s="1">
        <v>0</v>
      </c>
      <c r="IH106" s="1">
        <v>0</v>
      </c>
      <c r="II106" s="1">
        <v>0</v>
      </c>
      <c r="IJ106" s="1">
        <v>0</v>
      </c>
      <c r="IK106" s="1">
        <v>0</v>
      </c>
      <c r="IL106" s="1">
        <v>0</v>
      </c>
      <c r="IM106" s="1">
        <v>3.0303030303030307</v>
      </c>
      <c r="IN106" s="1">
        <v>9.0909090909090864</v>
      </c>
      <c r="IO106" s="1">
        <v>24.242424242424246</v>
      </c>
      <c r="IP106" s="1">
        <v>63.636363636363569</v>
      </c>
      <c r="IQ106" s="1">
        <v>9.4848484848484915</v>
      </c>
      <c r="IR106" s="1">
        <v>33</v>
      </c>
      <c r="IS106" s="1">
        <v>6.4516129032258007</v>
      </c>
      <c r="IT106" s="1">
        <v>70.967741935483886</v>
      </c>
      <c r="IU106" s="1">
        <v>12.903225806451601</v>
      </c>
      <c r="IV106" s="1">
        <v>6.4516129032258007</v>
      </c>
      <c r="IW106" s="1">
        <v>3.2258064516129004</v>
      </c>
      <c r="IX106" s="1">
        <v>31</v>
      </c>
      <c r="IY106" s="1">
        <v>1</v>
      </c>
      <c r="IZ106" s="1">
        <v>12.003</v>
      </c>
      <c r="JA106" s="1">
        <v>4.4011000000000022</v>
      </c>
      <c r="JB106" s="1">
        <v>4.0010000000000021</v>
      </c>
      <c r="JC106" s="1">
        <v>2.0005000000000011</v>
      </c>
      <c r="JD106" s="1">
        <v>4.4011000000000022</v>
      </c>
      <c r="JE106" s="1">
        <v>0.3666666666666667</v>
      </c>
      <c r="JF106" s="1">
        <v>0.33333333333333343</v>
      </c>
      <c r="JG106" s="1">
        <v>0.16666666666666671</v>
      </c>
      <c r="JH106" s="1">
        <v>0.3666666666666667</v>
      </c>
      <c r="JI106" s="1">
        <v>1</v>
      </c>
      <c r="JJ106" s="1">
        <v>30</v>
      </c>
      <c r="JK106" s="1">
        <v>2.7666666666666666</v>
      </c>
      <c r="JL106" s="1">
        <v>2.7666666666666657</v>
      </c>
      <c r="JM106" s="1">
        <v>30</v>
      </c>
      <c r="JN106" s="1">
        <v>70</v>
      </c>
      <c r="JO106" s="1">
        <v>29.999999999999996</v>
      </c>
      <c r="JP106" s="1">
        <v>10</v>
      </c>
      <c r="JQ106" s="1">
        <v>88.888888888888829</v>
      </c>
      <c r="JR106" s="1">
        <v>11.111111111111104</v>
      </c>
      <c r="JS106" s="1">
        <v>9</v>
      </c>
      <c r="JT106" s="1">
        <v>86.666666666666629</v>
      </c>
      <c r="JU106" s="1">
        <v>13.333333333333329</v>
      </c>
      <c r="JV106" s="1">
        <v>30</v>
      </c>
      <c r="JW106" s="1">
        <v>100</v>
      </c>
      <c r="JX106" s="1">
        <v>0</v>
      </c>
      <c r="JY106" s="1">
        <v>18</v>
      </c>
      <c r="JZ106" s="1">
        <v>53.333333333333314</v>
      </c>
      <c r="KA106" s="1">
        <v>46.666666666666686</v>
      </c>
      <c r="KB106" s="1">
        <v>30</v>
      </c>
      <c r="KC106" s="1">
        <v>100</v>
      </c>
      <c r="KD106" s="1">
        <v>0</v>
      </c>
      <c r="KE106" s="1">
        <v>30</v>
      </c>
      <c r="KF106" s="1">
        <v>2.5357142857142856</v>
      </c>
      <c r="KG106" s="1">
        <v>10.714285714285717</v>
      </c>
      <c r="KH106" s="1">
        <v>42.857142857142868</v>
      </c>
      <c r="KI106" s="1">
        <v>28.571428571428559</v>
      </c>
      <c r="KJ106" s="1">
        <v>17.857142857142854</v>
      </c>
      <c r="KK106" s="1">
        <v>0</v>
      </c>
      <c r="KL106" s="1">
        <v>28</v>
      </c>
      <c r="KM106" s="1">
        <v>44.428571428571402</v>
      </c>
      <c r="KN106" s="1">
        <v>51.75</v>
      </c>
      <c r="KO106" s="1">
        <v>0</v>
      </c>
      <c r="KP106" s="1">
        <v>0</v>
      </c>
      <c r="KQ106" s="1">
        <v>74.999999999999986</v>
      </c>
      <c r="KR106" s="1">
        <v>0</v>
      </c>
      <c r="KS106" s="1">
        <v>24.999999999999996</v>
      </c>
      <c r="KT106" s="1">
        <v>4</v>
      </c>
      <c r="KU106" s="1">
        <v>9.9999999999999982</v>
      </c>
      <c r="KV106" s="1">
        <v>0</v>
      </c>
      <c r="KW106" s="1">
        <v>6.6666666666666643</v>
      </c>
      <c r="KX106" s="1">
        <v>83.333333333333357</v>
      </c>
      <c r="KY106" s="1">
        <v>0</v>
      </c>
      <c r="KZ106" s="1">
        <v>30</v>
      </c>
      <c r="LA106" s="1">
        <v>13.793103448275868</v>
      </c>
      <c r="LB106" s="1">
        <v>86.206896551724171</v>
      </c>
      <c r="LC106" s="1">
        <v>29</v>
      </c>
      <c r="LD106" s="1">
        <v>0</v>
      </c>
      <c r="LE106" s="1">
        <v>0</v>
      </c>
      <c r="LF106" s="1">
        <v>99.999999999999986</v>
      </c>
      <c r="LG106" s="1">
        <v>4</v>
      </c>
    </row>
    <row r="107" spans="1:319" x14ac:dyDescent="0.25">
      <c r="A107" s="1">
        <v>3171</v>
      </c>
      <c r="B107" s="1">
        <v>24.999999999999993</v>
      </c>
      <c r="C107" s="1">
        <v>74.999999999999986</v>
      </c>
      <c r="D107" s="1">
        <v>36</v>
      </c>
      <c r="E107" s="1">
        <v>57.692307692307637</v>
      </c>
      <c r="F107" s="1">
        <v>42.307692307692285</v>
      </c>
      <c r="G107" s="1">
        <v>26</v>
      </c>
      <c r="H107" s="1">
        <v>57.142857142857132</v>
      </c>
      <c r="I107" s="1">
        <v>42.857142857142875</v>
      </c>
      <c r="J107" s="1">
        <v>14</v>
      </c>
      <c r="K107" s="1">
        <v>1</v>
      </c>
      <c r="L107" s="1">
        <v>62.608440000000009</v>
      </c>
      <c r="M107" s="1">
        <v>28.766039999999983</v>
      </c>
      <c r="N107" s="1">
        <v>5.0763599999999967</v>
      </c>
      <c r="O107" s="1">
        <v>3.3842400000000019</v>
      </c>
      <c r="P107" s="1">
        <v>0</v>
      </c>
      <c r="Q107" s="1">
        <v>10.152719999999993</v>
      </c>
      <c r="R107" s="1">
        <v>3.3842400000000019</v>
      </c>
      <c r="S107" s="1">
        <v>3.3842400000000019</v>
      </c>
      <c r="T107" s="1">
        <v>11.844839999999992</v>
      </c>
      <c r="U107" s="1">
        <v>3.3842400000000019</v>
      </c>
      <c r="V107" s="1">
        <v>16.921199999999995</v>
      </c>
      <c r="W107" s="1">
        <v>0.45945945945945926</v>
      </c>
      <c r="X107" s="1">
        <v>8.1081081081081099E-2</v>
      </c>
      <c r="Y107" s="1">
        <v>5.4054054054053988E-2</v>
      </c>
      <c r="Z107" s="1">
        <v>0</v>
      </c>
      <c r="AA107" s="1">
        <v>0.16216216216216206</v>
      </c>
      <c r="AB107" s="1">
        <v>5.4054054054053988E-2</v>
      </c>
      <c r="AC107" s="1">
        <v>5.4054054054053988E-2</v>
      </c>
      <c r="AD107" s="1">
        <v>0.1891891891891892</v>
      </c>
      <c r="AE107" s="1">
        <v>5.4054054054053988E-2</v>
      </c>
      <c r="AF107" s="1">
        <v>0.27027027027027012</v>
      </c>
      <c r="AG107" s="1">
        <v>1</v>
      </c>
      <c r="AH107" s="1">
        <v>37</v>
      </c>
      <c r="AI107" s="1">
        <v>1</v>
      </c>
      <c r="AJ107" s="1">
        <v>62.608440000000009</v>
      </c>
      <c r="AK107" s="1">
        <v>52.455719999999985</v>
      </c>
      <c r="AL107" s="1">
        <v>33.842399999999991</v>
      </c>
      <c r="AM107" s="1">
        <v>37.22664000000001</v>
      </c>
      <c r="AN107" s="1">
        <v>35.534520000000001</v>
      </c>
      <c r="AO107" s="1">
        <v>6.7684800000000038</v>
      </c>
      <c r="AP107" s="1">
        <v>3.3842400000000019</v>
      </c>
      <c r="AQ107" s="1">
        <v>0.83783783783783827</v>
      </c>
      <c r="AR107" s="1">
        <v>0.54054054054054024</v>
      </c>
      <c r="AS107" s="1">
        <v>0.59459459459459407</v>
      </c>
      <c r="AT107" s="1">
        <v>0.56756756756756721</v>
      </c>
      <c r="AU107" s="1">
        <v>0.10810810810810798</v>
      </c>
      <c r="AV107" s="1">
        <v>5.4054054054053988E-2</v>
      </c>
      <c r="AW107" s="1">
        <v>1</v>
      </c>
      <c r="AX107" s="1">
        <v>37</v>
      </c>
      <c r="AY107" s="1">
        <v>9.7837837837837842</v>
      </c>
      <c r="AZ107" s="1">
        <v>9.9459459459459456</v>
      </c>
      <c r="BA107" s="1">
        <v>9.8648648648648649</v>
      </c>
      <c r="BB107" s="1">
        <v>0</v>
      </c>
      <c r="BC107" s="1">
        <v>0</v>
      </c>
      <c r="BD107" s="1">
        <v>0</v>
      </c>
      <c r="BE107" s="1">
        <v>0</v>
      </c>
      <c r="BF107" s="1">
        <v>0</v>
      </c>
      <c r="BG107" s="1">
        <v>2.7027027027026991</v>
      </c>
      <c r="BH107" s="1">
        <v>0</v>
      </c>
      <c r="BI107" s="1">
        <v>2.7027027027026991</v>
      </c>
      <c r="BJ107" s="1">
        <v>5.4054054054053982</v>
      </c>
      <c r="BK107" s="1">
        <v>89.189189189189179</v>
      </c>
      <c r="BL107" s="1">
        <v>9.7837837837837842</v>
      </c>
      <c r="BM107" s="1">
        <v>37</v>
      </c>
      <c r="BN107" s="1">
        <v>0</v>
      </c>
      <c r="BO107" s="1">
        <v>0</v>
      </c>
      <c r="BP107" s="1">
        <v>0</v>
      </c>
      <c r="BQ107" s="1">
        <v>0</v>
      </c>
      <c r="BR107" s="1">
        <v>0</v>
      </c>
      <c r="BS107" s="1">
        <v>0</v>
      </c>
      <c r="BT107" s="1">
        <v>0</v>
      </c>
      <c r="BU107" s="1">
        <v>0</v>
      </c>
      <c r="BV107" s="1">
        <v>5.4054054054053982</v>
      </c>
      <c r="BW107" s="1">
        <v>94.594594594594582</v>
      </c>
      <c r="BX107" s="1">
        <v>9.9459459459459385</v>
      </c>
      <c r="BY107" s="1">
        <v>37</v>
      </c>
      <c r="BZ107" s="1">
        <v>0</v>
      </c>
      <c r="CA107" s="1">
        <v>0</v>
      </c>
      <c r="CB107" s="1">
        <v>0</v>
      </c>
      <c r="CC107" s="1">
        <v>0</v>
      </c>
      <c r="CD107" s="1">
        <v>0</v>
      </c>
      <c r="CE107" s="1">
        <v>0</v>
      </c>
      <c r="CF107" s="1">
        <v>2.7027027027026991</v>
      </c>
      <c r="CG107" s="1">
        <v>0</v>
      </c>
      <c r="CH107" s="1">
        <v>5.4054054054053982</v>
      </c>
      <c r="CI107" s="1">
        <v>91.891891891891959</v>
      </c>
      <c r="CJ107" s="1">
        <v>9.8648648648648578</v>
      </c>
      <c r="CK107" s="1">
        <v>37</v>
      </c>
      <c r="CL107" s="1">
        <v>39.999999999999993</v>
      </c>
      <c r="CM107" s="1">
        <v>39.999999999999993</v>
      </c>
      <c r="CN107" s="1">
        <v>0</v>
      </c>
      <c r="CO107" s="1">
        <v>17.142857142857121</v>
      </c>
      <c r="CP107" s="1">
        <v>2.8571428571428572</v>
      </c>
      <c r="CQ107" s="1">
        <v>35</v>
      </c>
      <c r="CR107" s="1">
        <v>75.675675675675691</v>
      </c>
      <c r="CS107" s="1">
        <v>18.918918918918887</v>
      </c>
      <c r="CT107" s="1">
        <v>2.7027027027026991</v>
      </c>
      <c r="CU107" s="1">
        <v>2.7027027027026991</v>
      </c>
      <c r="CV107" s="1">
        <v>0</v>
      </c>
      <c r="CW107" s="1">
        <v>37</v>
      </c>
      <c r="CX107" s="1">
        <v>81.081081081081123</v>
      </c>
      <c r="CY107" s="1">
        <v>16.216216216216207</v>
      </c>
      <c r="CZ107" s="1">
        <v>2.7027027027026991</v>
      </c>
      <c r="DA107" s="1">
        <v>0</v>
      </c>
      <c r="DB107" s="1">
        <v>0</v>
      </c>
      <c r="DC107" s="1">
        <v>37</v>
      </c>
      <c r="DD107" s="1">
        <v>80.555555555555614</v>
      </c>
      <c r="DE107" s="1">
        <v>16.666666666666639</v>
      </c>
      <c r="DF107" s="1">
        <v>2.777777777777775</v>
      </c>
      <c r="DG107" s="1">
        <v>0</v>
      </c>
      <c r="DH107" s="1">
        <v>0</v>
      </c>
      <c r="DI107" s="1">
        <v>36</v>
      </c>
      <c r="DJ107" s="1">
        <v>48.484848484848477</v>
      </c>
      <c r="DK107" s="1">
        <v>42.424242424242422</v>
      </c>
      <c r="DL107" s="1">
        <v>3.0303030303030307</v>
      </c>
      <c r="DM107" s="1">
        <v>6.0606060606060614</v>
      </c>
      <c r="DN107" s="1">
        <v>0</v>
      </c>
      <c r="DO107" s="1">
        <v>33</v>
      </c>
      <c r="DP107" s="1">
        <v>72.972972972972926</v>
      </c>
      <c r="DQ107" s="1">
        <v>24.324324324324294</v>
      </c>
      <c r="DR107" s="1">
        <v>2.7027027027026991</v>
      </c>
      <c r="DS107" s="1">
        <v>0</v>
      </c>
      <c r="DT107" s="1">
        <v>0</v>
      </c>
      <c r="DU107" s="1">
        <v>37</v>
      </c>
      <c r="DV107" s="1">
        <v>51.428571428571345</v>
      </c>
      <c r="DW107" s="1">
        <v>37.14285714285711</v>
      </c>
      <c r="DX107" s="1">
        <v>5.7142857142857144</v>
      </c>
      <c r="DY107" s="1">
        <v>5.7142857142857144</v>
      </c>
      <c r="DZ107" s="1">
        <v>0</v>
      </c>
      <c r="EA107" s="1">
        <v>35</v>
      </c>
      <c r="EB107" s="1">
        <v>80.000000000000014</v>
      </c>
      <c r="EC107" s="1">
        <v>0</v>
      </c>
      <c r="ED107" s="1">
        <v>20.000000000000004</v>
      </c>
      <c r="EE107" s="1">
        <v>0</v>
      </c>
      <c r="EF107" s="1">
        <v>0</v>
      </c>
      <c r="EG107" s="1">
        <v>5</v>
      </c>
      <c r="EH107" s="1">
        <v>66.666666666666657</v>
      </c>
      <c r="EI107" s="1">
        <v>33.333333333333329</v>
      </c>
      <c r="EJ107" s="1">
        <v>0</v>
      </c>
      <c r="EK107" s="1">
        <v>0</v>
      </c>
      <c r="EL107" s="1">
        <v>0</v>
      </c>
      <c r="EM107" s="1">
        <v>3</v>
      </c>
      <c r="EN107" s="1">
        <v>52.380952380952344</v>
      </c>
      <c r="EO107" s="1">
        <v>38.095238095238081</v>
      </c>
      <c r="EP107" s="1">
        <v>4.7619047619047619</v>
      </c>
      <c r="EQ107" s="1">
        <v>4.7619047619047619</v>
      </c>
      <c r="ER107" s="1">
        <v>0</v>
      </c>
      <c r="ES107" s="1">
        <v>21</v>
      </c>
      <c r="ET107" s="1">
        <v>54.545454545454511</v>
      </c>
      <c r="EU107" s="1">
        <v>36.363636363636346</v>
      </c>
      <c r="EV107" s="1">
        <v>9.0909090909091006</v>
      </c>
      <c r="EW107" s="1">
        <v>0</v>
      </c>
      <c r="EX107" s="1">
        <v>0</v>
      </c>
      <c r="EY107" s="1">
        <v>22</v>
      </c>
      <c r="EZ107" s="1">
        <v>50.000000000000007</v>
      </c>
      <c r="FA107" s="1">
        <v>16.666666666666671</v>
      </c>
      <c r="FB107" s="1">
        <v>33.333333333333343</v>
      </c>
      <c r="FC107" s="1">
        <v>0</v>
      </c>
      <c r="FD107" s="1">
        <v>0</v>
      </c>
      <c r="FE107" s="1">
        <v>6</v>
      </c>
      <c r="FF107" s="1">
        <v>50.000000000000007</v>
      </c>
      <c r="FG107" s="1">
        <v>16.666666666666671</v>
      </c>
      <c r="FH107" s="1">
        <v>33.333333333333343</v>
      </c>
      <c r="FI107" s="1">
        <v>0</v>
      </c>
      <c r="FJ107" s="1">
        <v>0</v>
      </c>
      <c r="FK107" s="1">
        <v>6</v>
      </c>
      <c r="FL107" s="1">
        <v>47.058823529411733</v>
      </c>
      <c r="FM107" s="1">
        <v>29.411764705882355</v>
      </c>
      <c r="FN107" s="1">
        <v>11.764705882352942</v>
      </c>
      <c r="FO107" s="1">
        <v>11.764705882352942</v>
      </c>
      <c r="FP107" s="1">
        <v>0</v>
      </c>
      <c r="FQ107" s="1">
        <v>17</v>
      </c>
      <c r="FR107" s="1">
        <v>71.428571428571416</v>
      </c>
      <c r="FS107" s="1">
        <v>23.809523809523824</v>
      </c>
      <c r="FT107" s="1">
        <v>4.7619047619047619</v>
      </c>
      <c r="FU107" s="1">
        <v>0</v>
      </c>
      <c r="FV107" s="1">
        <v>0</v>
      </c>
      <c r="FW107" s="1">
        <v>21</v>
      </c>
      <c r="FX107" s="1">
        <v>83.333333333333343</v>
      </c>
      <c r="FY107" s="1">
        <v>13.888888888888872</v>
      </c>
      <c r="FZ107" s="1">
        <v>2.777777777777775</v>
      </c>
      <c r="GA107" s="1">
        <v>0</v>
      </c>
      <c r="GB107" s="1">
        <v>0</v>
      </c>
      <c r="GC107" s="1">
        <v>36</v>
      </c>
      <c r="GD107" s="1">
        <v>53.846153846153825</v>
      </c>
      <c r="GE107" s="1">
        <v>46.153846153846182</v>
      </c>
      <c r="GF107" s="1">
        <v>0</v>
      </c>
      <c r="GG107" s="1">
        <v>0</v>
      </c>
      <c r="GH107" s="1">
        <v>0</v>
      </c>
      <c r="GI107" s="1">
        <v>13</v>
      </c>
      <c r="GJ107" s="1">
        <v>66.666666666666657</v>
      </c>
      <c r="GK107" s="1">
        <v>22.222222222222207</v>
      </c>
      <c r="GL107" s="1">
        <v>11.111111111111104</v>
      </c>
      <c r="GM107" s="1">
        <v>0</v>
      </c>
      <c r="GN107" s="1">
        <v>0</v>
      </c>
      <c r="GO107" s="1">
        <v>9</v>
      </c>
      <c r="GP107" s="1">
        <v>59.999999999999986</v>
      </c>
      <c r="GQ107" s="1">
        <v>31.999999999999993</v>
      </c>
      <c r="GR107" s="1">
        <v>8</v>
      </c>
      <c r="GS107" s="1">
        <v>0</v>
      </c>
      <c r="GT107" s="1">
        <v>0</v>
      </c>
      <c r="GU107" s="1">
        <v>25</v>
      </c>
      <c r="GV107" s="1">
        <v>86.363636363636374</v>
      </c>
      <c r="GW107" s="1">
        <v>13.63636363636363</v>
      </c>
      <c r="GX107" s="1">
        <v>0</v>
      </c>
      <c r="GY107" s="1">
        <v>0</v>
      </c>
      <c r="GZ107" s="1">
        <v>0</v>
      </c>
      <c r="HA107" s="1">
        <v>22</v>
      </c>
      <c r="HB107" s="1">
        <v>100</v>
      </c>
      <c r="HC107" s="1">
        <v>0</v>
      </c>
      <c r="HD107" s="1">
        <v>0</v>
      </c>
      <c r="HE107" s="1">
        <v>0</v>
      </c>
      <c r="HF107" s="1">
        <v>0</v>
      </c>
      <c r="HG107" s="1">
        <v>1</v>
      </c>
      <c r="HH107" s="1">
        <v>50</v>
      </c>
      <c r="HI107" s="1">
        <v>50</v>
      </c>
      <c r="HJ107" s="1">
        <v>0</v>
      </c>
      <c r="HK107" s="1">
        <v>0</v>
      </c>
      <c r="HL107" s="1">
        <v>0</v>
      </c>
      <c r="HM107" s="1">
        <v>2</v>
      </c>
      <c r="HN107" s="1">
        <v>0</v>
      </c>
      <c r="HO107" s="1">
        <v>0</v>
      </c>
      <c r="HP107" s="1">
        <v>0</v>
      </c>
      <c r="HQ107" s="1">
        <v>0</v>
      </c>
      <c r="HR107" s="1">
        <v>0</v>
      </c>
      <c r="HS107" s="1">
        <v>0</v>
      </c>
      <c r="HT107" s="1">
        <v>0</v>
      </c>
      <c r="HU107" s="1">
        <v>0</v>
      </c>
      <c r="HV107" s="1">
        <v>0</v>
      </c>
      <c r="HW107" s="1">
        <v>0</v>
      </c>
      <c r="HX107" s="1">
        <v>0</v>
      </c>
      <c r="HY107" s="1">
        <v>0</v>
      </c>
      <c r="HZ107" s="1">
        <v>0</v>
      </c>
      <c r="IA107" s="1">
        <v>0</v>
      </c>
      <c r="IB107" s="1">
        <v>0</v>
      </c>
      <c r="IC107" s="1">
        <v>0</v>
      </c>
      <c r="ID107" s="1">
        <v>0</v>
      </c>
      <c r="IE107" s="1">
        <v>0</v>
      </c>
      <c r="IF107" s="1">
        <v>9.1212121212121211</v>
      </c>
      <c r="IG107" s="1">
        <v>0</v>
      </c>
      <c r="IH107" s="1">
        <v>0</v>
      </c>
      <c r="II107" s="1">
        <v>0</v>
      </c>
      <c r="IJ107" s="1">
        <v>0</v>
      </c>
      <c r="IK107" s="1">
        <v>0</v>
      </c>
      <c r="IL107" s="1">
        <v>3.0303030303030307</v>
      </c>
      <c r="IM107" s="1">
        <v>0</v>
      </c>
      <c r="IN107" s="1">
        <v>21.212121212121211</v>
      </c>
      <c r="IO107" s="1">
        <v>33.333333333333279</v>
      </c>
      <c r="IP107" s="1">
        <v>42.424242424242422</v>
      </c>
      <c r="IQ107" s="1">
        <v>9.1212121212121229</v>
      </c>
      <c r="IR107" s="1">
        <v>33</v>
      </c>
      <c r="IS107" s="1">
        <v>24.324324324324294</v>
      </c>
      <c r="IT107" s="1">
        <v>59.459459459459396</v>
      </c>
      <c r="IU107" s="1">
        <v>5.4054054054053982</v>
      </c>
      <c r="IV107" s="1">
        <v>5.4054054054053982</v>
      </c>
      <c r="IW107" s="1">
        <v>5.4054054054053982</v>
      </c>
      <c r="IX107" s="1">
        <v>37</v>
      </c>
      <c r="IY107" s="1">
        <v>1</v>
      </c>
      <c r="IZ107" s="1">
        <v>60.916320000000013</v>
      </c>
      <c r="JA107" s="1">
        <v>40.610879999999973</v>
      </c>
      <c r="JB107" s="1">
        <v>13.536960000000008</v>
      </c>
      <c r="JC107" s="1">
        <v>6.7684800000000038</v>
      </c>
      <c r="JD107" s="1">
        <v>5.0763599999999967</v>
      </c>
      <c r="JE107" s="1">
        <v>0.66666666666666674</v>
      </c>
      <c r="JF107" s="1">
        <v>0.22222222222222215</v>
      </c>
      <c r="JG107" s="1">
        <v>0.1111111111111111</v>
      </c>
      <c r="JH107" s="1">
        <v>8.3333333333333343E-2</v>
      </c>
      <c r="JI107" s="1">
        <v>1</v>
      </c>
      <c r="JJ107" s="1">
        <v>36</v>
      </c>
      <c r="JK107" s="1">
        <v>3.7837837837837838</v>
      </c>
      <c r="JL107" s="1">
        <v>3.7837837837837784</v>
      </c>
      <c r="JM107" s="1">
        <v>37</v>
      </c>
      <c r="JN107" s="1">
        <v>93.333333333333385</v>
      </c>
      <c r="JO107" s="1">
        <v>6.6666666666666643</v>
      </c>
      <c r="JP107" s="1">
        <v>15</v>
      </c>
      <c r="JQ107" s="1">
        <v>95</v>
      </c>
      <c r="JR107" s="1">
        <v>5.0000000000000009</v>
      </c>
      <c r="JS107" s="1">
        <v>20</v>
      </c>
      <c r="JT107" s="1">
        <v>92.857142857142804</v>
      </c>
      <c r="JU107" s="1">
        <v>7.1428571428571415</v>
      </c>
      <c r="JV107" s="1">
        <v>28</v>
      </c>
      <c r="JW107" s="1">
        <v>91.666666666666629</v>
      </c>
      <c r="JX107" s="1">
        <v>8.3333333333333321</v>
      </c>
      <c r="JY107" s="1">
        <v>24</v>
      </c>
      <c r="JZ107" s="1">
        <v>71.428571428571402</v>
      </c>
      <c r="KA107" s="1">
        <v>28.571428571428545</v>
      </c>
      <c r="KB107" s="1">
        <v>35</v>
      </c>
      <c r="KC107" s="1">
        <v>100</v>
      </c>
      <c r="KD107" s="1">
        <v>0</v>
      </c>
      <c r="KE107" s="1">
        <v>35</v>
      </c>
      <c r="KF107" s="1">
        <v>2.2121212121212119</v>
      </c>
      <c r="KG107" s="1">
        <v>39.393939393939334</v>
      </c>
      <c r="KH107" s="1">
        <v>27.272727272727256</v>
      </c>
      <c r="KI107" s="1">
        <v>9.0909090909090846</v>
      </c>
      <c r="KJ107" s="1">
        <v>21.212121212121211</v>
      </c>
      <c r="KK107" s="1">
        <v>3.0303030303030307</v>
      </c>
      <c r="KL107" s="1">
        <v>33</v>
      </c>
      <c r="KM107" s="1">
        <v>39.333333333333279</v>
      </c>
      <c r="KN107" s="1">
        <v>75.5</v>
      </c>
      <c r="KO107" s="1">
        <v>0</v>
      </c>
      <c r="KP107" s="1">
        <v>50</v>
      </c>
      <c r="KQ107" s="1">
        <v>0</v>
      </c>
      <c r="KR107" s="1">
        <v>50</v>
      </c>
      <c r="KS107" s="1">
        <v>0</v>
      </c>
      <c r="KT107" s="1">
        <v>2</v>
      </c>
      <c r="KU107" s="1">
        <v>8.8235294117646976</v>
      </c>
      <c r="KV107" s="1">
        <v>8.8235294117646976</v>
      </c>
      <c r="KW107" s="1">
        <v>2.9411764705882328</v>
      </c>
      <c r="KX107" s="1">
        <v>70.588235294117581</v>
      </c>
      <c r="KY107" s="1">
        <v>8.8235294117646976</v>
      </c>
      <c r="KZ107" s="1">
        <v>34</v>
      </c>
      <c r="LA107" s="1">
        <v>11.764705882352931</v>
      </c>
      <c r="LB107" s="1">
        <v>88.235294117646987</v>
      </c>
      <c r="LC107" s="1">
        <v>34</v>
      </c>
      <c r="LD107" s="1">
        <v>0</v>
      </c>
      <c r="LE107" s="1">
        <v>25</v>
      </c>
      <c r="LF107" s="1">
        <v>75</v>
      </c>
      <c r="LG107" s="1">
        <v>4</v>
      </c>
    </row>
    <row r="108" spans="1:319" x14ac:dyDescent="0.25">
      <c r="A108" s="1">
        <v>3218</v>
      </c>
      <c r="B108" s="1">
        <v>25</v>
      </c>
      <c r="C108" s="1">
        <v>75</v>
      </c>
      <c r="D108" s="1">
        <v>4</v>
      </c>
      <c r="E108" s="1">
        <v>100</v>
      </c>
      <c r="F108" s="1">
        <v>0</v>
      </c>
      <c r="G108" s="1">
        <v>3</v>
      </c>
      <c r="H108" s="1">
        <v>66.666666666666657</v>
      </c>
      <c r="I108" s="1">
        <v>33.333333333333329</v>
      </c>
      <c r="J108" s="1">
        <v>3</v>
      </c>
      <c r="K108" s="1">
        <v>1</v>
      </c>
      <c r="L108" s="1">
        <v>6.7280800000000003</v>
      </c>
      <c r="M108" s="1">
        <v>0</v>
      </c>
      <c r="N108" s="1">
        <v>1.6820200000000001</v>
      </c>
      <c r="O108" s="1">
        <v>1.6820200000000001</v>
      </c>
      <c r="P108" s="1">
        <v>0</v>
      </c>
      <c r="Q108" s="1">
        <v>1.6820200000000001</v>
      </c>
      <c r="R108" s="1">
        <v>0</v>
      </c>
      <c r="S108" s="1">
        <v>0</v>
      </c>
      <c r="T108" s="1">
        <v>0</v>
      </c>
      <c r="U108" s="1">
        <v>5.0460600000000007</v>
      </c>
      <c r="V108" s="1">
        <v>0</v>
      </c>
      <c r="W108" s="1">
        <v>0</v>
      </c>
      <c r="X108" s="1">
        <v>0.25</v>
      </c>
      <c r="Y108" s="1">
        <v>0.25</v>
      </c>
      <c r="Z108" s="1">
        <v>0</v>
      </c>
      <c r="AA108" s="1">
        <v>0.25</v>
      </c>
      <c r="AB108" s="1">
        <v>0</v>
      </c>
      <c r="AC108" s="1">
        <v>0</v>
      </c>
      <c r="AD108" s="1">
        <v>0</v>
      </c>
      <c r="AE108" s="1">
        <v>0.75000000000000011</v>
      </c>
      <c r="AF108" s="1">
        <v>0</v>
      </c>
      <c r="AG108" s="1">
        <v>1</v>
      </c>
      <c r="AH108" s="1">
        <v>4</v>
      </c>
      <c r="AI108" s="1">
        <v>1</v>
      </c>
      <c r="AJ108" s="1">
        <v>6.7280800000000003</v>
      </c>
      <c r="AK108" s="1">
        <v>3.3640400000000001</v>
      </c>
      <c r="AL108" s="1">
        <v>3.3640400000000001</v>
      </c>
      <c r="AM108" s="1">
        <v>1.6820200000000001</v>
      </c>
      <c r="AN108" s="1">
        <v>5.0460600000000007</v>
      </c>
      <c r="AO108" s="1">
        <v>1.6820200000000001</v>
      </c>
      <c r="AP108" s="1">
        <v>3.3640400000000001</v>
      </c>
      <c r="AQ108" s="1">
        <v>0.5</v>
      </c>
      <c r="AR108" s="1">
        <v>0.5</v>
      </c>
      <c r="AS108" s="1">
        <v>0.25</v>
      </c>
      <c r="AT108" s="1">
        <v>0.75000000000000011</v>
      </c>
      <c r="AU108" s="1">
        <v>0.25</v>
      </c>
      <c r="AV108" s="1">
        <v>0.5</v>
      </c>
      <c r="AW108" s="1">
        <v>1</v>
      </c>
      <c r="AX108" s="1">
        <v>4</v>
      </c>
      <c r="AY108" s="1">
        <v>10</v>
      </c>
      <c r="AZ108" s="1">
        <v>10</v>
      </c>
      <c r="BA108" s="1">
        <v>10</v>
      </c>
      <c r="BB108" s="1">
        <v>0</v>
      </c>
      <c r="BC108" s="1">
        <v>0</v>
      </c>
      <c r="BD108" s="1">
        <v>0</v>
      </c>
      <c r="BE108" s="1">
        <v>0</v>
      </c>
      <c r="BF108" s="1">
        <v>0</v>
      </c>
      <c r="BG108" s="1">
        <v>0</v>
      </c>
      <c r="BH108" s="1">
        <v>0</v>
      </c>
      <c r="BI108" s="1">
        <v>0</v>
      </c>
      <c r="BJ108" s="1">
        <v>0</v>
      </c>
      <c r="BK108" s="1">
        <v>100</v>
      </c>
      <c r="BL108" s="1">
        <v>10</v>
      </c>
      <c r="BM108" s="1">
        <v>4</v>
      </c>
      <c r="BN108" s="1">
        <v>0</v>
      </c>
      <c r="BO108" s="1">
        <v>0</v>
      </c>
      <c r="BP108" s="1">
        <v>0</v>
      </c>
      <c r="BQ108" s="1">
        <v>0</v>
      </c>
      <c r="BR108" s="1">
        <v>0</v>
      </c>
      <c r="BS108" s="1">
        <v>0</v>
      </c>
      <c r="BT108" s="1">
        <v>0</v>
      </c>
      <c r="BU108" s="1">
        <v>0</v>
      </c>
      <c r="BV108" s="1">
        <v>0</v>
      </c>
      <c r="BW108" s="1">
        <v>100</v>
      </c>
      <c r="BX108" s="1">
        <v>10</v>
      </c>
      <c r="BY108" s="1">
        <v>4</v>
      </c>
      <c r="BZ108" s="1">
        <v>0</v>
      </c>
      <c r="CA108" s="1">
        <v>0</v>
      </c>
      <c r="CB108" s="1">
        <v>0</v>
      </c>
      <c r="CC108" s="1">
        <v>0</v>
      </c>
      <c r="CD108" s="1">
        <v>0</v>
      </c>
      <c r="CE108" s="1">
        <v>0</v>
      </c>
      <c r="CF108" s="1">
        <v>0</v>
      </c>
      <c r="CG108" s="1">
        <v>0</v>
      </c>
      <c r="CH108" s="1">
        <v>0</v>
      </c>
      <c r="CI108" s="1">
        <v>100</v>
      </c>
      <c r="CJ108" s="1">
        <v>10</v>
      </c>
      <c r="CK108" s="1">
        <v>4</v>
      </c>
      <c r="CL108" s="1">
        <v>25</v>
      </c>
      <c r="CM108" s="1">
        <v>75</v>
      </c>
      <c r="CN108" s="1">
        <v>0</v>
      </c>
      <c r="CO108" s="1">
        <v>0</v>
      </c>
      <c r="CP108" s="1">
        <v>0</v>
      </c>
      <c r="CQ108" s="1">
        <v>4</v>
      </c>
      <c r="CR108" s="1">
        <v>100</v>
      </c>
      <c r="CS108" s="1">
        <v>0</v>
      </c>
      <c r="CT108" s="1">
        <v>0</v>
      </c>
      <c r="CU108" s="1">
        <v>0</v>
      </c>
      <c r="CV108" s="1">
        <v>0</v>
      </c>
      <c r="CW108" s="1">
        <v>4</v>
      </c>
      <c r="CX108" s="1">
        <v>100</v>
      </c>
      <c r="CY108" s="1">
        <v>0</v>
      </c>
      <c r="CZ108" s="1">
        <v>0</v>
      </c>
      <c r="DA108" s="1">
        <v>0</v>
      </c>
      <c r="DB108" s="1">
        <v>0</v>
      </c>
      <c r="DC108" s="1">
        <v>4</v>
      </c>
      <c r="DD108" s="1">
        <v>100</v>
      </c>
      <c r="DE108" s="1">
        <v>0</v>
      </c>
      <c r="DF108" s="1">
        <v>0</v>
      </c>
      <c r="DG108" s="1">
        <v>0</v>
      </c>
      <c r="DH108" s="1">
        <v>0</v>
      </c>
      <c r="DI108" s="1">
        <v>4</v>
      </c>
      <c r="DJ108" s="1">
        <v>100</v>
      </c>
      <c r="DK108" s="1">
        <v>0</v>
      </c>
      <c r="DL108" s="1">
        <v>0</v>
      </c>
      <c r="DM108" s="1">
        <v>0</v>
      </c>
      <c r="DN108" s="1">
        <v>0</v>
      </c>
      <c r="DO108" s="1">
        <v>2</v>
      </c>
      <c r="DP108" s="1">
        <v>100</v>
      </c>
      <c r="DQ108" s="1">
        <v>0</v>
      </c>
      <c r="DR108" s="1">
        <v>0</v>
      </c>
      <c r="DS108" s="1">
        <v>0</v>
      </c>
      <c r="DT108" s="1">
        <v>0</v>
      </c>
      <c r="DU108" s="1">
        <v>4</v>
      </c>
      <c r="DV108" s="1">
        <v>100</v>
      </c>
      <c r="DW108" s="1">
        <v>0</v>
      </c>
      <c r="DX108" s="1">
        <v>0</v>
      </c>
      <c r="DY108" s="1">
        <v>0</v>
      </c>
      <c r="DZ108" s="1">
        <v>0</v>
      </c>
      <c r="EA108" s="1">
        <v>3</v>
      </c>
      <c r="EB108" s="1">
        <v>0</v>
      </c>
      <c r="EC108" s="1">
        <v>0</v>
      </c>
      <c r="ED108" s="1">
        <v>0</v>
      </c>
      <c r="EE108" s="1">
        <v>0</v>
      </c>
      <c r="EF108" s="1">
        <v>0</v>
      </c>
      <c r="EG108" s="1">
        <v>0</v>
      </c>
      <c r="EH108" s="1">
        <v>0</v>
      </c>
      <c r="EI108" s="1">
        <v>0</v>
      </c>
      <c r="EJ108" s="1">
        <v>0</v>
      </c>
      <c r="EK108" s="1">
        <v>0</v>
      </c>
      <c r="EL108" s="1">
        <v>0</v>
      </c>
      <c r="EM108" s="1">
        <v>0</v>
      </c>
      <c r="EN108" s="1">
        <v>66.666666666666657</v>
      </c>
      <c r="EO108" s="1">
        <v>33.333333333333329</v>
      </c>
      <c r="EP108" s="1">
        <v>0</v>
      </c>
      <c r="EQ108" s="1">
        <v>0</v>
      </c>
      <c r="ER108" s="1">
        <v>0</v>
      </c>
      <c r="ES108" s="1">
        <v>3</v>
      </c>
      <c r="ET108" s="1">
        <v>66.666666666666657</v>
      </c>
      <c r="EU108" s="1">
        <v>33.333333333333329</v>
      </c>
      <c r="EV108" s="1">
        <v>0</v>
      </c>
      <c r="EW108" s="1">
        <v>0</v>
      </c>
      <c r="EX108" s="1">
        <v>0</v>
      </c>
      <c r="EY108" s="1">
        <v>3</v>
      </c>
      <c r="EZ108" s="1">
        <v>100</v>
      </c>
      <c r="FA108" s="1">
        <v>0</v>
      </c>
      <c r="FB108" s="1">
        <v>0</v>
      </c>
      <c r="FC108" s="1">
        <v>0</v>
      </c>
      <c r="FD108" s="1">
        <v>0</v>
      </c>
      <c r="FE108" s="1">
        <v>2</v>
      </c>
      <c r="FF108" s="1">
        <v>100</v>
      </c>
      <c r="FG108" s="1">
        <v>0</v>
      </c>
      <c r="FH108" s="1">
        <v>0</v>
      </c>
      <c r="FI108" s="1">
        <v>0</v>
      </c>
      <c r="FJ108" s="1">
        <v>0</v>
      </c>
      <c r="FK108" s="1">
        <v>2</v>
      </c>
      <c r="FL108" s="1">
        <v>0</v>
      </c>
      <c r="FM108" s="1">
        <v>0</v>
      </c>
      <c r="FN108" s="1">
        <v>0</v>
      </c>
      <c r="FO108" s="1">
        <v>100</v>
      </c>
      <c r="FP108" s="1">
        <v>0</v>
      </c>
      <c r="FQ108" s="1">
        <v>1</v>
      </c>
      <c r="FR108" s="1">
        <v>0</v>
      </c>
      <c r="FS108" s="1">
        <v>0</v>
      </c>
      <c r="FT108" s="1">
        <v>0</v>
      </c>
      <c r="FU108" s="1">
        <v>0</v>
      </c>
      <c r="FV108" s="1">
        <v>0</v>
      </c>
      <c r="FW108" s="1">
        <v>0</v>
      </c>
      <c r="FX108" s="1">
        <v>75</v>
      </c>
      <c r="FY108" s="1">
        <v>25</v>
      </c>
      <c r="FZ108" s="1">
        <v>0</v>
      </c>
      <c r="GA108" s="1">
        <v>0</v>
      </c>
      <c r="GB108" s="1">
        <v>0</v>
      </c>
      <c r="GC108" s="1">
        <v>4</v>
      </c>
      <c r="GD108" s="1">
        <v>100</v>
      </c>
      <c r="GE108" s="1">
        <v>0</v>
      </c>
      <c r="GF108" s="1">
        <v>0</v>
      </c>
      <c r="GG108" s="1">
        <v>0</v>
      </c>
      <c r="GH108" s="1">
        <v>0</v>
      </c>
      <c r="GI108" s="1">
        <v>3</v>
      </c>
      <c r="GJ108" s="1">
        <v>100</v>
      </c>
      <c r="GK108" s="1">
        <v>0</v>
      </c>
      <c r="GL108" s="1">
        <v>0</v>
      </c>
      <c r="GM108" s="1">
        <v>0</v>
      </c>
      <c r="GN108" s="1">
        <v>0</v>
      </c>
      <c r="GO108" s="1">
        <v>1</v>
      </c>
      <c r="GP108" s="1">
        <v>100</v>
      </c>
      <c r="GQ108" s="1">
        <v>0</v>
      </c>
      <c r="GR108" s="1">
        <v>0</v>
      </c>
      <c r="GS108" s="1">
        <v>0</v>
      </c>
      <c r="GT108" s="1">
        <v>0</v>
      </c>
      <c r="GU108" s="1">
        <v>1</v>
      </c>
      <c r="GV108" s="1">
        <v>0</v>
      </c>
      <c r="GW108" s="1">
        <v>0</v>
      </c>
      <c r="GX108" s="1">
        <v>0</v>
      </c>
      <c r="GY108" s="1">
        <v>0</v>
      </c>
      <c r="GZ108" s="1">
        <v>0</v>
      </c>
      <c r="HA108" s="1">
        <v>0</v>
      </c>
      <c r="HB108" s="1">
        <v>0</v>
      </c>
      <c r="HC108" s="1">
        <v>0</v>
      </c>
      <c r="HD108" s="1">
        <v>0</v>
      </c>
      <c r="HE108" s="1">
        <v>0</v>
      </c>
      <c r="HF108" s="1">
        <v>0</v>
      </c>
      <c r="HG108" s="1">
        <v>0</v>
      </c>
      <c r="HH108" s="1">
        <v>0</v>
      </c>
      <c r="HI108" s="1">
        <v>0</v>
      </c>
      <c r="HJ108" s="1">
        <v>0</v>
      </c>
      <c r="HK108" s="1">
        <v>0</v>
      </c>
      <c r="HL108" s="1">
        <v>0</v>
      </c>
      <c r="HM108" s="1">
        <v>0</v>
      </c>
      <c r="HN108" s="1">
        <v>0</v>
      </c>
      <c r="HO108" s="1">
        <v>0</v>
      </c>
      <c r="HP108" s="1">
        <v>0</v>
      </c>
      <c r="HQ108" s="1">
        <v>0</v>
      </c>
      <c r="HR108" s="1">
        <v>0</v>
      </c>
      <c r="HS108" s="1">
        <v>0</v>
      </c>
      <c r="HT108" s="1">
        <v>0</v>
      </c>
      <c r="HU108" s="1">
        <v>0</v>
      </c>
      <c r="HV108" s="1">
        <v>0</v>
      </c>
      <c r="HW108" s="1">
        <v>0</v>
      </c>
      <c r="HX108" s="1">
        <v>0</v>
      </c>
      <c r="HY108" s="1">
        <v>0</v>
      </c>
      <c r="HZ108" s="1">
        <v>0</v>
      </c>
      <c r="IA108" s="1">
        <v>0</v>
      </c>
      <c r="IB108" s="1">
        <v>0</v>
      </c>
      <c r="IC108" s="1">
        <v>0</v>
      </c>
      <c r="ID108" s="1">
        <v>0</v>
      </c>
      <c r="IE108" s="1">
        <v>0</v>
      </c>
      <c r="IF108" s="1">
        <v>9.5</v>
      </c>
      <c r="IG108" s="1">
        <v>0</v>
      </c>
      <c r="IH108" s="1">
        <v>0</v>
      </c>
      <c r="II108" s="1">
        <v>0</v>
      </c>
      <c r="IJ108" s="1">
        <v>0</v>
      </c>
      <c r="IK108" s="1">
        <v>0</v>
      </c>
      <c r="IL108" s="1">
        <v>0</v>
      </c>
      <c r="IM108" s="1">
        <v>0</v>
      </c>
      <c r="IN108" s="1">
        <v>0</v>
      </c>
      <c r="IO108" s="1">
        <v>50</v>
      </c>
      <c r="IP108" s="1">
        <v>50</v>
      </c>
      <c r="IQ108" s="1">
        <v>9.4999999999999982</v>
      </c>
      <c r="IR108" s="1">
        <v>4</v>
      </c>
      <c r="IS108" s="1">
        <v>100</v>
      </c>
      <c r="IT108" s="1">
        <v>0</v>
      </c>
      <c r="IU108" s="1">
        <v>0</v>
      </c>
      <c r="IV108" s="1">
        <v>0</v>
      </c>
      <c r="IW108" s="1">
        <v>0</v>
      </c>
      <c r="IX108" s="1">
        <v>3</v>
      </c>
      <c r="IY108" s="1">
        <v>1</v>
      </c>
      <c r="IZ108" s="1">
        <v>5.0460600000000007</v>
      </c>
      <c r="JA108" s="1">
        <v>1.6820200000000001</v>
      </c>
      <c r="JB108" s="1">
        <v>1.6820200000000001</v>
      </c>
      <c r="JC108" s="1">
        <v>1.6820200000000001</v>
      </c>
      <c r="JD108" s="1">
        <v>0</v>
      </c>
      <c r="JE108" s="1">
        <v>0.33333333333333331</v>
      </c>
      <c r="JF108" s="1">
        <v>0.33333333333333331</v>
      </c>
      <c r="JG108" s="1">
        <v>0.33333333333333331</v>
      </c>
      <c r="JH108" s="1">
        <v>0</v>
      </c>
      <c r="JI108" s="1">
        <v>1</v>
      </c>
      <c r="JJ108" s="1">
        <v>3</v>
      </c>
      <c r="JK108" s="1">
        <v>3.5</v>
      </c>
      <c r="JL108" s="1">
        <v>3.4999999999999996</v>
      </c>
      <c r="JM108" s="1">
        <v>4</v>
      </c>
      <c r="JN108" s="1">
        <v>100</v>
      </c>
      <c r="JO108" s="1">
        <v>0</v>
      </c>
      <c r="JP108" s="1">
        <v>2</v>
      </c>
      <c r="JQ108" s="1">
        <v>100</v>
      </c>
      <c r="JR108" s="1">
        <v>0</v>
      </c>
      <c r="JS108" s="1">
        <v>3</v>
      </c>
      <c r="JT108" s="1">
        <v>75</v>
      </c>
      <c r="JU108" s="1">
        <v>25</v>
      </c>
      <c r="JV108" s="1">
        <v>4</v>
      </c>
      <c r="JW108" s="1">
        <v>100</v>
      </c>
      <c r="JX108" s="1">
        <v>0</v>
      </c>
      <c r="JY108" s="1">
        <v>4</v>
      </c>
      <c r="JZ108" s="1">
        <v>75</v>
      </c>
      <c r="KA108" s="1">
        <v>25</v>
      </c>
      <c r="KB108" s="1">
        <v>4</v>
      </c>
      <c r="KC108" s="1">
        <v>100</v>
      </c>
      <c r="KD108" s="1">
        <v>0</v>
      </c>
      <c r="KE108" s="1">
        <v>4</v>
      </c>
      <c r="KF108" s="1">
        <v>3.75</v>
      </c>
      <c r="KG108" s="1">
        <v>0</v>
      </c>
      <c r="KH108" s="1">
        <v>0</v>
      </c>
      <c r="KI108" s="1">
        <v>50</v>
      </c>
      <c r="KJ108" s="1">
        <v>25</v>
      </c>
      <c r="KK108" s="1">
        <v>25</v>
      </c>
      <c r="KL108" s="1">
        <v>4</v>
      </c>
      <c r="KM108" s="1">
        <v>66.25</v>
      </c>
      <c r="KN108" s="1">
        <v>0</v>
      </c>
      <c r="KO108" s="1">
        <v>0</v>
      </c>
      <c r="KP108" s="1">
        <v>0</v>
      </c>
      <c r="KQ108" s="1">
        <v>0</v>
      </c>
      <c r="KR108" s="1">
        <v>0</v>
      </c>
      <c r="KS108" s="1">
        <v>0</v>
      </c>
      <c r="KT108" s="1">
        <v>0</v>
      </c>
      <c r="KU108" s="1">
        <v>0</v>
      </c>
      <c r="KV108" s="1">
        <v>0</v>
      </c>
      <c r="KW108" s="1">
        <v>0</v>
      </c>
      <c r="KX108" s="1">
        <v>100</v>
      </c>
      <c r="KY108" s="1">
        <v>0</v>
      </c>
      <c r="KZ108" s="1">
        <v>4</v>
      </c>
      <c r="LA108" s="1">
        <v>25</v>
      </c>
      <c r="LB108" s="1">
        <v>75</v>
      </c>
      <c r="LC108" s="1">
        <v>4</v>
      </c>
      <c r="LD108" s="1">
        <v>0</v>
      </c>
      <c r="LE108" s="1">
        <v>0</v>
      </c>
      <c r="LF108" s="1">
        <v>100</v>
      </c>
      <c r="LG108" s="1">
        <v>1</v>
      </c>
    </row>
    <row r="109" spans="1:319" x14ac:dyDescent="0.25">
      <c r="A109" s="1">
        <v>3219</v>
      </c>
      <c r="B109" s="1">
        <v>33.333333333333336</v>
      </c>
      <c r="C109" s="1">
        <v>66.666666666666671</v>
      </c>
      <c r="D109" s="1">
        <v>9</v>
      </c>
      <c r="E109" s="1">
        <v>83.333333333333329</v>
      </c>
      <c r="F109" s="1">
        <v>16.666666666666668</v>
      </c>
      <c r="G109" s="1">
        <v>6</v>
      </c>
      <c r="H109" s="1">
        <v>66.666666666666671</v>
      </c>
      <c r="I109" s="1">
        <v>33.333333333333336</v>
      </c>
      <c r="J109" s="1">
        <v>6</v>
      </c>
      <c r="K109" s="1">
        <v>1</v>
      </c>
      <c r="L109" s="1">
        <v>11.21346</v>
      </c>
      <c r="M109" s="1">
        <v>3.7378200000000001</v>
      </c>
      <c r="N109" s="1">
        <v>0</v>
      </c>
      <c r="O109" s="1">
        <v>3.7378200000000001</v>
      </c>
      <c r="P109" s="1">
        <v>0</v>
      </c>
      <c r="Q109" s="1">
        <v>6.2297000000000002</v>
      </c>
      <c r="R109" s="1">
        <v>2.4918800000000001</v>
      </c>
      <c r="S109" s="1">
        <v>1.24594</v>
      </c>
      <c r="T109" s="1">
        <v>1.24594</v>
      </c>
      <c r="U109" s="1">
        <v>1.24594</v>
      </c>
      <c r="V109" s="1">
        <v>0</v>
      </c>
      <c r="W109" s="1">
        <v>0.33333333333333331</v>
      </c>
      <c r="X109" s="1">
        <v>0</v>
      </c>
      <c r="Y109" s="1">
        <v>0.33333333333333331</v>
      </c>
      <c r="Z109" s="1">
        <v>0</v>
      </c>
      <c r="AA109" s="1">
        <v>0.55555555555555547</v>
      </c>
      <c r="AB109" s="1">
        <v>0.22222222222222227</v>
      </c>
      <c r="AC109" s="1">
        <v>0.11111111111111113</v>
      </c>
      <c r="AD109" s="1">
        <v>0.11111111111111113</v>
      </c>
      <c r="AE109" s="1">
        <v>0.11111111111111113</v>
      </c>
      <c r="AF109" s="1">
        <v>0</v>
      </c>
      <c r="AG109" s="1">
        <v>1</v>
      </c>
      <c r="AH109" s="1">
        <v>9</v>
      </c>
      <c r="AI109" s="1">
        <v>1</v>
      </c>
      <c r="AJ109" s="1">
        <v>11.21346</v>
      </c>
      <c r="AK109" s="1">
        <v>4.9837600000000002</v>
      </c>
      <c r="AL109" s="1">
        <v>6.2297000000000002</v>
      </c>
      <c r="AM109" s="1">
        <v>4.9837600000000002</v>
      </c>
      <c r="AN109" s="1">
        <v>4.9837600000000002</v>
      </c>
      <c r="AO109" s="1">
        <v>0</v>
      </c>
      <c r="AP109" s="1">
        <v>1.24594</v>
      </c>
      <c r="AQ109" s="1">
        <v>0.44444444444444453</v>
      </c>
      <c r="AR109" s="1">
        <v>0.55555555555555547</v>
      </c>
      <c r="AS109" s="1">
        <v>0.44444444444444453</v>
      </c>
      <c r="AT109" s="1">
        <v>0.44444444444444453</v>
      </c>
      <c r="AU109" s="1">
        <v>0</v>
      </c>
      <c r="AV109" s="1">
        <v>0.11111111111111113</v>
      </c>
      <c r="AW109" s="1">
        <v>1</v>
      </c>
      <c r="AX109" s="1">
        <v>9</v>
      </c>
      <c r="AY109" s="1">
        <v>9.8888888888888893</v>
      </c>
      <c r="AZ109" s="1">
        <v>9.8888888888888893</v>
      </c>
      <c r="BA109" s="1">
        <v>10</v>
      </c>
      <c r="BB109" s="1">
        <v>0</v>
      </c>
      <c r="BC109" s="1">
        <v>0</v>
      </c>
      <c r="BD109" s="1">
        <v>0</v>
      </c>
      <c r="BE109" s="1">
        <v>0</v>
      </c>
      <c r="BF109" s="1">
        <v>0</v>
      </c>
      <c r="BG109" s="1">
        <v>0</v>
      </c>
      <c r="BH109" s="1">
        <v>0</v>
      </c>
      <c r="BI109" s="1">
        <v>0</v>
      </c>
      <c r="BJ109" s="1">
        <v>11.111111111111112</v>
      </c>
      <c r="BK109" s="1">
        <v>88.8888888888889</v>
      </c>
      <c r="BL109" s="1">
        <v>9.8888888888888875</v>
      </c>
      <c r="BM109" s="1">
        <v>9</v>
      </c>
      <c r="BN109" s="1">
        <v>0</v>
      </c>
      <c r="BO109" s="1">
        <v>0</v>
      </c>
      <c r="BP109" s="1">
        <v>0</v>
      </c>
      <c r="BQ109" s="1">
        <v>0</v>
      </c>
      <c r="BR109" s="1">
        <v>0</v>
      </c>
      <c r="BS109" s="1">
        <v>0</v>
      </c>
      <c r="BT109" s="1">
        <v>0</v>
      </c>
      <c r="BU109" s="1">
        <v>0</v>
      </c>
      <c r="BV109" s="1">
        <v>11.111111111111112</v>
      </c>
      <c r="BW109" s="1">
        <v>88.8888888888889</v>
      </c>
      <c r="BX109" s="1">
        <v>9.8888888888888875</v>
      </c>
      <c r="BY109" s="1">
        <v>9</v>
      </c>
      <c r="BZ109" s="1">
        <v>0</v>
      </c>
      <c r="CA109" s="1">
        <v>0</v>
      </c>
      <c r="CB109" s="1">
        <v>0</v>
      </c>
      <c r="CC109" s="1">
        <v>0</v>
      </c>
      <c r="CD109" s="1">
        <v>0</v>
      </c>
      <c r="CE109" s="1">
        <v>0</v>
      </c>
      <c r="CF109" s="1">
        <v>0</v>
      </c>
      <c r="CG109" s="1">
        <v>0</v>
      </c>
      <c r="CH109" s="1">
        <v>0</v>
      </c>
      <c r="CI109" s="1">
        <v>100.00000000000001</v>
      </c>
      <c r="CJ109" s="1">
        <v>10</v>
      </c>
      <c r="CK109" s="1">
        <v>9</v>
      </c>
      <c r="CL109" s="1">
        <v>88.8888888888889</v>
      </c>
      <c r="CM109" s="1">
        <v>11.111111111111112</v>
      </c>
      <c r="CN109" s="1">
        <v>0</v>
      </c>
      <c r="CO109" s="1">
        <v>0</v>
      </c>
      <c r="CP109" s="1">
        <v>0</v>
      </c>
      <c r="CQ109" s="1">
        <v>9</v>
      </c>
      <c r="CR109" s="1">
        <v>88.8888888888889</v>
      </c>
      <c r="CS109" s="1">
        <v>11.111111111111112</v>
      </c>
      <c r="CT109" s="1">
        <v>0</v>
      </c>
      <c r="CU109" s="1">
        <v>0</v>
      </c>
      <c r="CV109" s="1">
        <v>0</v>
      </c>
      <c r="CW109" s="1">
        <v>9</v>
      </c>
      <c r="CX109" s="1">
        <v>100</v>
      </c>
      <c r="CY109" s="1">
        <v>0</v>
      </c>
      <c r="CZ109" s="1">
        <v>0</v>
      </c>
      <c r="DA109" s="1">
        <v>0</v>
      </c>
      <c r="DB109" s="1">
        <v>0</v>
      </c>
      <c r="DC109" s="1">
        <v>7</v>
      </c>
      <c r="DD109" s="1">
        <v>100.00000000000001</v>
      </c>
      <c r="DE109" s="1">
        <v>0</v>
      </c>
      <c r="DF109" s="1">
        <v>0</v>
      </c>
      <c r="DG109" s="1">
        <v>0</v>
      </c>
      <c r="DH109" s="1">
        <v>0</v>
      </c>
      <c r="DI109" s="1">
        <v>9</v>
      </c>
      <c r="DJ109" s="1">
        <v>100</v>
      </c>
      <c r="DK109" s="1">
        <v>0</v>
      </c>
      <c r="DL109" s="1">
        <v>0</v>
      </c>
      <c r="DM109" s="1">
        <v>0</v>
      </c>
      <c r="DN109" s="1">
        <v>0</v>
      </c>
      <c r="DO109" s="1">
        <v>5</v>
      </c>
      <c r="DP109" s="1">
        <v>100.00000000000001</v>
      </c>
      <c r="DQ109" s="1">
        <v>0</v>
      </c>
      <c r="DR109" s="1">
        <v>0</v>
      </c>
      <c r="DS109" s="1">
        <v>0</v>
      </c>
      <c r="DT109" s="1">
        <v>0</v>
      </c>
      <c r="DU109" s="1">
        <v>9</v>
      </c>
      <c r="DV109" s="1">
        <v>100</v>
      </c>
      <c r="DW109" s="1">
        <v>0</v>
      </c>
      <c r="DX109" s="1">
        <v>0</v>
      </c>
      <c r="DY109" s="1">
        <v>0</v>
      </c>
      <c r="DZ109" s="1">
        <v>0</v>
      </c>
      <c r="EA109" s="1">
        <v>5</v>
      </c>
      <c r="EB109" s="1">
        <v>100</v>
      </c>
      <c r="EC109" s="1">
        <v>0</v>
      </c>
      <c r="ED109" s="1">
        <v>0</v>
      </c>
      <c r="EE109" s="1">
        <v>0</v>
      </c>
      <c r="EF109" s="1">
        <v>0</v>
      </c>
      <c r="EG109" s="1">
        <v>3</v>
      </c>
      <c r="EH109" s="1">
        <v>100</v>
      </c>
      <c r="EI109" s="1">
        <v>0</v>
      </c>
      <c r="EJ109" s="1">
        <v>0</v>
      </c>
      <c r="EK109" s="1">
        <v>0</v>
      </c>
      <c r="EL109" s="1">
        <v>0</v>
      </c>
      <c r="EM109" s="1">
        <v>2</v>
      </c>
      <c r="EN109" s="1">
        <v>100</v>
      </c>
      <c r="EO109" s="1">
        <v>0</v>
      </c>
      <c r="EP109" s="1">
        <v>0</v>
      </c>
      <c r="EQ109" s="1">
        <v>0</v>
      </c>
      <c r="ER109" s="1">
        <v>0</v>
      </c>
      <c r="ES109" s="1">
        <v>3</v>
      </c>
      <c r="ET109" s="1">
        <v>100</v>
      </c>
      <c r="EU109" s="1">
        <v>0</v>
      </c>
      <c r="EV109" s="1">
        <v>0</v>
      </c>
      <c r="EW109" s="1">
        <v>0</v>
      </c>
      <c r="EX109" s="1">
        <v>0</v>
      </c>
      <c r="EY109" s="1">
        <v>3</v>
      </c>
      <c r="EZ109" s="1">
        <v>100</v>
      </c>
      <c r="FA109" s="1">
        <v>0</v>
      </c>
      <c r="FB109" s="1">
        <v>0</v>
      </c>
      <c r="FC109" s="1">
        <v>0</v>
      </c>
      <c r="FD109" s="1">
        <v>0</v>
      </c>
      <c r="FE109" s="1">
        <v>3</v>
      </c>
      <c r="FF109" s="1">
        <v>100</v>
      </c>
      <c r="FG109" s="1">
        <v>0</v>
      </c>
      <c r="FH109" s="1">
        <v>0</v>
      </c>
      <c r="FI109" s="1">
        <v>0</v>
      </c>
      <c r="FJ109" s="1">
        <v>0</v>
      </c>
      <c r="FK109" s="1">
        <v>2</v>
      </c>
      <c r="FL109" s="1">
        <v>100</v>
      </c>
      <c r="FM109" s="1">
        <v>0</v>
      </c>
      <c r="FN109" s="1">
        <v>0</v>
      </c>
      <c r="FO109" s="1">
        <v>0</v>
      </c>
      <c r="FP109" s="1">
        <v>0</v>
      </c>
      <c r="FQ109" s="1">
        <v>2</v>
      </c>
      <c r="FR109" s="1">
        <v>100</v>
      </c>
      <c r="FS109" s="1">
        <v>0</v>
      </c>
      <c r="FT109" s="1">
        <v>0</v>
      </c>
      <c r="FU109" s="1">
        <v>0</v>
      </c>
      <c r="FV109" s="1">
        <v>0</v>
      </c>
      <c r="FW109" s="1">
        <v>3</v>
      </c>
      <c r="FX109" s="1">
        <v>100.00000000000001</v>
      </c>
      <c r="FY109" s="1">
        <v>0</v>
      </c>
      <c r="FZ109" s="1">
        <v>0</v>
      </c>
      <c r="GA109" s="1">
        <v>0</v>
      </c>
      <c r="GB109" s="1">
        <v>0</v>
      </c>
      <c r="GC109" s="1">
        <v>9</v>
      </c>
      <c r="GD109" s="1">
        <v>100</v>
      </c>
      <c r="GE109" s="1">
        <v>0</v>
      </c>
      <c r="GF109" s="1">
        <v>0</v>
      </c>
      <c r="GG109" s="1">
        <v>0</v>
      </c>
      <c r="GH109" s="1">
        <v>0</v>
      </c>
      <c r="GI109" s="1">
        <v>5</v>
      </c>
      <c r="GJ109" s="1">
        <v>60.000000000000014</v>
      </c>
      <c r="GK109" s="1">
        <v>40</v>
      </c>
      <c r="GL109" s="1">
        <v>0</v>
      </c>
      <c r="GM109" s="1">
        <v>0</v>
      </c>
      <c r="GN109" s="1">
        <v>0</v>
      </c>
      <c r="GO109" s="1">
        <v>5</v>
      </c>
      <c r="GP109" s="1">
        <v>100</v>
      </c>
      <c r="GQ109" s="1">
        <v>0</v>
      </c>
      <c r="GR109" s="1">
        <v>0</v>
      </c>
      <c r="GS109" s="1">
        <v>0</v>
      </c>
      <c r="GT109" s="1">
        <v>0</v>
      </c>
      <c r="GU109" s="1">
        <v>4</v>
      </c>
      <c r="GV109" s="1">
        <v>100</v>
      </c>
      <c r="GW109" s="1">
        <v>0</v>
      </c>
      <c r="GX109" s="1">
        <v>0</v>
      </c>
      <c r="GY109" s="1">
        <v>0</v>
      </c>
      <c r="GZ109" s="1">
        <v>0</v>
      </c>
      <c r="HA109" s="1">
        <v>4</v>
      </c>
      <c r="HB109" s="1">
        <v>100</v>
      </c>
      <c r="HC109" s="1">
        <v>0</v>
      </c>
      <c r="HD109" s="1">
        <v>0</v>
      </c>
      <c r="HE109" s="1">
        <v>0</v>
      </c>
      <c r="HF109" s="1">
        <v>0</v>
      </c>
      <c r="HG109" s="1">
        <v>2</v>
      </c>
      <c r="HH109" s="1">
        <v>100</v>
      </c>
      <c r="HI109" s="1">
        <v>0</v>
      </c>
      <c r="HJ109" s="1">
        <v>0</v>
      </c>
      <c r="HK109" s="1">
        <v>0</v>
      </c>
      <c r="HL109" s="1">
        <v>0</v>
      </c>
      <c r="HM109" s="1">
        <v>3</v>
      </c>
      <c r="HN109" s="1">
        <v>0</v>
      </c>
      <c r="HO109" s="1">
        <v>0</v>
      </c>
      <c r="HP109" s="1">
        <v>0</v>
      </c>
      <c r="HQ109" s="1">
        <v>0</v>
      </c>
      <c r="HR109" s="1">
        <v>0</v>
      </c>
      <c r="HS109" s="1">
        <v>0</v>
      </c>
      <c r="HT109" s="1">
        <v>0</v>
      </c>
      <c r="HU109" s="1">
        <v>0</v>
      </c>
      <c r="HV109" s="1">
        <v>0</v>
      </c>
      <c r="HW109" s="1">
        <v>0</v>
      </c>
      <c r="HX109" s="1">
        <v>0</v>
      </c>
      <c r="HY109" s="1">
        <v>0</v>
      </c>
      <c r="HZ109" s="1">
        <v>0</v>
      </c>
      <c r="IA109" s="1">
        <v>0</v>
      </c>
      <c r="IB109" s="1">
        <v>0</v>
      </c>
      <c r="IC109" s="1">
        <v>0</v>
      </c>
      <c r="ID109" s="1">
        <v>0</v>
      </c>
      <c r="IE109" s="1">
        <v>0</v>
      </c>
      <c r="IF109" s="1">
        <v>9.8888888888888893</v>
      </c>
      <c r="IG109" s="1">
        <v>0</v>
      </c>
      <c r="IH109" s="1">
        <v>0</v>
      </c>
      <c r="II109" s="1">
        <v>0</v>
      </c>
      <c r="IJ109" s="1">
        <v>0</v>
      </c>
      <c r="IK109" s="1">
        <v>0</v>
      </c>
      <c r="IL109" s="1">
        <v>0</v>
      </c>
      <c r="IM109" s="1">
        <v>0</v>
      </c>
      <c r="IN109" s="1">
        <v>0</v>
      </c>
      <c r="IO109" s="1">
        <v>11.111111111111112</v>
      </c>
      <c r="IP109" s="1">
        <v>88.8888888888889</v>
      </c>
      <c r="IQ109" s="1">
        <v>9.8888888888888875</v>
      </c>
      <c r="IR109" s="1">
        <v>9</v>
      </c>
      <c r="IS109" s="1">
        <v>55.55555555555555</v>
      </c>
      <c r="IT109" s="1">
        <v>11.111111111111112</v>
      </c>
      <c r="IU109" s="1">
        <v>33.333333333333336</v>
      </c>
      <c r="IV109" s="1">
        <v>0</v>
      </c>
      <c r="IW109" s="1">
        <v>0</v>
      </c>
      <c r="IX109" s="1">
        <v>9</v>
      </c>
      <c r="IY109" s="1">
        <v>1</v>
      </c>
      <c r="IZ109" s="1">
        <v>11.21346</v>
      </c>
      <c r="JA109" s="1">
        <v>4.9837600000000002</v>
      </c>
      <c r="JB109" s="1">
        <v>3.7378200000000001</v>
      </c>
      <c r="JC109" s="1">
        <v>3.7378200000000001</v>
      </c>
      <c r="JD109" s="1">
        <v>1.24594</v>
      </c>
      <c r="JE109" s="1">
        <v>0.44444444444444453</v>
      </c>
      <c r="JF109" s="1">
        <v>0.33333333333333331</v>
      </c>
      <c r="JG109" s="1">
        <v>0.33333333333333331</v>
      </c>
      <c r="JH109" s="1">
        <v>0.11111111111111113</v>
      </c>
      <c r="JI109" s="1">
        <v>1</v>
      </c>
      <c r="JJ109" s="1">
        <v>9</v>
      </c>
      <c r="JK109" s="1">
        <v>3.3333333333333335</v>
      </c>
      <c r="JL109" s="1">
        <v>3.3333333333333326</v>
      </c>
      <c r="JM109" s="1">
        <v>9</v>
      </c>
      <c r="JN109" s="1">
        <v>100</v>
      </c>
      <c r="JO109" s="1">
        <v>0</v>
      </c>
      <c r="JP109" s="1">
        <v>3</v>
      </c>
      <c r="JQ109" s="1">
        <v>100</v>
      </c>
      <c r="JR109" s="1">
        <v>0</v>
      </c>
      <c r="JS109" s="1">
        <v>8</v>
      </c>
      <c r="JT109" s="1">
        <v>88.8888888888889</v>
      </c>
      <c r="JU109" s="1">
        <v>11.111111111111112</v>
      </c>
      <c r="JV109" s="1">
        <v>9</v>
      </c>
      <c r="JW109" s="1">
        <v>100</v>
      </c>
      <c r="JX109" s="1">
        <v>0</v>
      </c>
      <c r="JY109" s="1">
        <v>6</v>
      </c>
      <c r="JZ109" s="1">
        <v>62.5</v>
      </c>
      <c r="KA109" s="1">
        <v>37.5</v>
      </c>
      <c r="KB109" s="1">
        <v>8</v>
      </c>
      <c r="KC109" s="1">
        <v>100</v>
      </c>
      <c r="KD109" s="1">
        <v>0</v>
      </c>
      <c r="KE109" s="1">
        <v>7</v>
      </c>
      <c r="KF109" s="1">
        <v>3.25</v>
      </c>
      <c r="KG109" s="1">
        <v>0</v>
      </c>
      <c r="KH109" s="1">
        <v>12.5</v>
      </c>
      <c r="KI109" s="1">
        <v>62.5</v>
      </c>
      <c r="KJ109" s="1">
        <v>12.5</v>
      </c>
      <c r="KK109" s="1">
        <v>12.5</v>
      </c>
      <c r="KL109" s="1">
        <v>8</v>
      </c>
      <c r="KM109" s="1">
        <v>57.624999999999986</v>
      </c>
      <c r="KN109" s="1">
        <v>19</v>
      </c>
      <c r="KO109" s="1">
        <v>0</v>
      </c>
      <c r="KP109" s="1">
        <v>0</v>
      </c>
      <c r="KQ109" s="1">
        <v>100</v>
      </c>
      <c r="KR109" s="1">
        <v>0</v>
      </c>
      <c r="KS109" s="1">
        <v>0</v>
      </c>
      <c r="KT109" s="1">
        <v>1</v>
      </c>
      <c r="KU109" s="1">
        <v>12.5</v>
      </c>
      <c r="KV109" s="1">
        <v>0</v>
      </c>
      <c r="KW109" s="1">
        <v>0</v>
      </c>
      <c r="KX109" s="1">
        <v>87.499999999999986</v>
      </c>
      <c r="KY109" s="1">
        <v>0</v>
      </c>
      <c r="KZ109" s="1">
        <v>8</v>
      </c>
      <c r="LA109" s="1">
        <v>0</v>
      </c>
      <c r="LB109" s="1">
        <v>100</v>
      </c>
      <c r="LC109" s="1">
        <v>8</v>
      </c>
      <c r="LD109" s="1">
        <v>0</v>
      </c>
      <c r="LE109" s="1">
        <v>0</v>
      </c>
      <c r="LF109" s="1">
        <v>0</v>
      </c>
      <c r="LG109" s="1">
        <v>0</v>
      </c>
    </row>
    <row r="110" spans="1:319" x14ac:dyDescent="0.25">
      <c r="A110" s="1">
        <v>3233</v>
      </c>
      <c r="B110" s="1">
        <v>4.9999999999999991</v>
      </c>
      <c r="C110" s="1">
        <v>95.000000000000014</v>
      </c>
      <c r="D110" s="1">
        <v>20</v>
      </c>
      <c r="E110" s="1">
        <v>73.684210526315809</v>
      </c>
      <c r="F110" s="1">
        <v>26.315789473684209</v>
      </c>
      <c r="G110" s="1">
        <v>19</v>
      </c>
      <c r="H110" s="1">
        <v>64.285714285714249</v>
      </c>
      <c r="I110" s="1">
        <v>35.714285714285715</v>
      </c>
      <c r="J110" s="1">
        <v>14</v>
      </c>
      <c r="K110" s="1">
        <v>1</v>
      </c>
      <c r="L110" s="1">
        <v>8.1202000000000023</v>
      </c>
      <c r="M110" s="1">
        <v>5.6841400000000002</v>
      </c>
      <c r="N110" s="1">
        <v>0</v>
      </c>
      <c r="O110" s="1">
        <v>0.40601000000000009</v>
      </c>
      <c r="P110" s="1">
        <v>0.40601000000000009</v>
      </c>
      <c r="Q110" s="1">
        <v>0</v>
      </c>
      <c r="R110" s="1">
        <v>0</v>
      </c>
      <c r="S110" s="1">
        <v>0</v>
      </c>
      <c r="T110" s="1">
        <v>2.8420700000000001</v>
      </c>
      <c r="U110" s="1">
        <v>0.40601000000000009</v>
      </c>
      <c r="V110" s="1">
        <v>1.2180299999999997</v>
      </c>
      <c r="W110" s="1">
        <v>0.69999999999999973</v>
      </c>
      <c r="X110" s="1">
        <v>0</v>
      </c>
      <c r="Y110" s="1">
        <v>4.9999999999999961E-2</v>
      </c>
      <c r="Z110" s="1">
        <v>4.9999999999999961E-2</v>
      </c>
      <c r="AA110" s="1">
        <v>0</v>
      </c>
      <c r="AB110" s="1">
        <v>0</v>
      </c>
      <c r="AC110" s="1">
        <v>0</v>
      </c>
      <c r="AD110" s="1">
        <v>0.34999999999999987</v>
      </c>
      <c r="AE110" s="1">
        <v>4.9999999999999961E-2</v>
      </c>
      <c r="AF110" s="1">
        <v>0.14999999999999994</v>
      </c>
      <c r="AG110" s="1">
        <v>1</v>
      </c>
      <c r="AH110" s="1">
        <v>20</v>
      </c>
      <c r="AI110" s="1">
        <v>1</v>
      </c>
      <c r="AJ110" s="1">
        <v>8.1202000000000023</v>
      </c>
      <c r="AK110" s="1">
        <v>4.0601000000000012</v>
      </c>
      <c r="AL110" s="1">
        <v>6.4961600000000015</v>
      </c>
      <c r="AM110" s="1">
        <v>2.8420700000000001</v>
      </c>
      <c r="AN110" s="1">
        <v>4.0601000000000012</v>
      </c>
      <c r="AO110" s="1">
        <v>0</v>
      </c>
      <c r="AP110" s="1">
        <v>2.4360599999999999</v>
      </c>
      <c r="AQ110" s="1">
        <v>0.5</v>
      </c>
      <c r="AR110" s="1">
        <v>0.80000000000000016</v>
      </c>
      <c r="AS110" s="1">
        <v>0.34999999999999987</v>
      </c>
      <c r="AT110" s="1">
        <v>0.5</v>
      </c>
      <c r="AU110" s="1">
        <v>0</v>
      </c>
      <c r="AV110" s="1">
        <v>0.29999999999999988</v>
      </c>
      <c r="AW110" s="1">
        <v>1</v>
      </c>
      <c r="AX110" s="1">
        <v>20</v>
      </c>
      <c r="AY110" s="1">
        <v>9.6999999999999993</v>
      </c>
      <c r="AZ110" s="1">
        <v>9.9</v>
      </c>
      <c r="BA110" s="1">
        <v>9.7894736842105257</v>
      </c>
      <c r="BB110" s="1">
        <v>0</v>
      </c>
      <c r="BC110" s="1">
        <v>0</v>
      </c>
      <c r="BD110" s="1">
        <v>0</v>
      </c>
      <c r="BE110" s="1">
        <v>4.9999999999999991</v>
      </c>
      <c r="BF110" s="1">
        <v>0</v>
      </c>
      <c r="BG110" s="1">
        <v>0</v>
      </c>
      <c r="BH110" s="1">
        <v>0</v>
      </c>
      <c r="BI110" s="1">
        <v>0</v>
      </c>
      <c r="BJ110" s="1">
        <v>0</v>
      </c>
      <c r="BK110" s="1">
        <v>95.000000000000014</v>
      </c>
      <c r="BL110" s="1">
        <v>9.6999999999999957</v>
      </c>
      <c r="BM110" s="1">
        <v>20</v>
      </c>
      <c r="BN110" s="1">
        <v>0</v>
      </c>
      <c r="BO110" s="1">
        <v>0</v>
      </c>
      <c r="BP110" s="1">
        <v>0</v>
      </c>
      <c r="BQ110" s="1">
        <v>0</v>
      </c>
      <c r="BR110" s="1">
        <v>0</v>
      </c>
      <c r="BS110" s="1">
        <v>0</v>
      </c>
      <c r="BT110" s="1">
        <v>0</v>
      </c>
      <c r="BU110" s="1">
        <v>4.9999999999999991</v>
      </c>
      <c r="BV110" s="1">
        <v>0</v>
      </c>
      <c r="BW110" s="1">
        <v>95.000000000000014</v>
      </c>
      <c r="BX110" s="1">
        <v>9.9000000000000021</v>
      </c>
      <c r="BY110" s="1">
        <v>20</v>
      </c>
      <c r="BZ110" s="1">
        <v>0</v>
      </c>
      <c r="CA110" s="1">
        <v>0</v>
      </c>
      <c r="CB110" s="1">
        <v>0</v>
      </c>
      <c r="CC110" s="1">
        <v>0</v>
      </c>
      <c r="CD110" s="1">
        <v>0</v>
      </c>
      <c r="CE110" s="1">
        <v>0</v>
      </c>
      <c r="CF110" s="1">
        <v>0</v>
      </c>
      <c r="CG110" s="1">
        <v>10.526315789473678</v>
      </c>
      <c r="CH110" s="1">
        <v>0</v>
      </c>
      <c r="CI110" s="1">
        <v>89.473684210526301</v>
      </c>
      <c r="CJ110" s="1">
        <v>9.7894736842105221</v>
      </c>
      <c r="CK110" s="1">
        <v>19</v>
      </c>
      <c r="CL110" s="1">
        <v>16.666666666666664</v>
      </c>
      <c r="CM110" s="1">
        <v>33.333333333333329</v>
      </c>
      <c r="CN110" s="1">
        <v>0</v>
      </c>
      <c r="CO110" s="1">
        <v>44.44444444444445</v>
      </c>
      <c r="CP110" s="1">
        <v>5.5555555555555554</v>
      </c>
      <c r="CQ110" s="1">
        <v>18</v>
      </c>
      <c r="CR110" s="1">
        <v>90.000000000000014</v>
      </c>
      <c r="CS110" s="1">
        <v>9.9999999999999982</v>
      </c>
      <c r="CT110" s="1">
        <v>0</v>
      </c>
      <c r="CU110" s="1">
        <v>0</v>
      </c>
      <c r="CV110" s="1">
        <v>0</v>
      </c>
      <c r="CW110" s="1">
        <v>20</v>
      </c>
      <c r="CX110" s="1">
        <v>95.000000000000014</v>
      </c>
      <c r="CY110" s="1">
        <v>4.9999999999999991</v>
      </c>
      <c r="CZ110" s="1">
        <v>0</v>
      </c>
      <c r="DA110" s="1">
        <v>0</v>
      </c>
      <c r="DB110" s="1">
        <v>0</v>
      </c>
      <c r="DC110" s="1">
        <v>20</v>
      </c>
      <c r="DD110" s="1">
        <v>85</v>
      </c>
      <c r="DE110" s="1">
        <v>14.999999999999996</v>
      </c>
      <c r="DF110" s="1">
        <v>0</v>
      </c>
      <c r="DG110" s="1">
        <v>0</v>
      </c>
      <c r="DH110" s="1">
        <v>0</v>
      </c>
      <c r="DI110" s="1">
        <v>20</v>
      </c>
      <c r="DJ110" s="1">
        <v>63.157894736842096</v>
      </c>
      <c r="DK110" s="1">
        <v>26.315789473684209</v>
      </c>
      <c r="DL110" s="1">
        <v>5.2631578947368389</v>
      </c>
      <c r="DM110" s="1">
        <v>5.2631578947368389</v>
      </c>
      <c r="DN110" s="1">
        <v>0</v>
      </c>
      <c r="DO110" s="1">
        <v>19</v>
      </c>
      <c r="DP110" s="1">
        <v>90.000000000000014</v>
      </c>
      <c r="DQ110" s="1">
        <v>9.9999999999999982</v>
      </c>
      <c r="DR110" s="1">
        <v>0</v>
      </c>
      <c r="DS110" s="1">
        <v>0</v>
      </c>
      <c r="DT110" s="1">
        <v>0</v>
      </c>
      <c r="DU110" s="1">
        <v>20</v>
      </c>
      <c r="DV110" s="1">
        <v>63.157894736842096</v>
      </c>
      <c r="DW110" s="1">
        <v>15.78947368421052</v>
      </c>
      <c r="DX110" s="1">
        <v>10.526315789473678</v>
      </c>
      <c r="DY110" s="1">
        <v>10.526315789473678</v>
      </c>
      <c r="DZ110" s="1">
        <v>0</v>
      </c>
      <c r="EA110" s="1">
        <v>19</v>
      </c>
      <c r="EB110" s="1">
        <v>100</v>
      </c>
      <c r="EC110" s="1">
        <v>0</v>
      </c>
      <c r="ED110" s="1">
        <v>0</v>
      </c>
      <c r="EE110" s="1">
        <v>0</v>
      </c>
      <c r="EF110" s="1">
        <v>0</v>
      </c>
      <c r="EG110" s="1">
        <v>4</v>
      </c>
      <c r="EH110" s="1">
        <v>100</v>
      </c>
      <c r="EI110" s="1">
        <v>0</v>
      </c>
      <c r="EJ110" s="1">
        <v>0</v>
      </c>
      <c r="EK110" s="1">
        <v>0</v>
      </c>
      <c r="EL110" s="1">
        <v>0</v>
      </c>
      <c r="EM110" s="1">
        <v>3</v>
      </c>
      <c r="EN110" s="1">
        <v>57.142857142857125</v>
      </c>
      <c r="EO110" s="1">
        <v>21.428571428571431</v>
      </c>
      <c r="EP110" s="1">
        <v>7.1428571428571406</v>
      </c>
      <c r="EQ110" s="1">
        <v>14.285714285714281</v>
      </c>
      <c r="ER110" s="1">
        <v>0</v>
      </c>
      <c r="ES110" s="1">
        <v>14</v>
      </c>
      <c r="ET110" s="1">
        <v>53.33333333333335</v>
      </c>
      <c r="EU110" s="1">
        <v>26.666666666666647</v>
      </c>
      <c r="EV110" s="1">
        <v>13.333333333333323</v>
      </c>
      <c r="EW110" s="1">
        <v>6.6666666666666616</v>
      </c>
      <c r="EX110" s="1">
        <v>0</v>
      </c>
      <c r="EY110" s="1">
        <v>15</v>
      </c>
      <c r="EZ110" s="1">
        <v>63.636363636363605</v>
      </c>
      <c r="FA110" s="1">
        <v>27.272727272727259</v>
      </c>
      <c r="FB110" s="1">
        <v>9.0909090909090899</v>
      </c>
      <c r="FC110" s="1">
        <v>0</v>
      </c>
      <c r="FD110" s="1">
        <v>0</v>
      </c>
      <c r="FE110" s="1">
        <v>11</v>
      </c>
      <c r="FF110" s="1">
        <v>54.545454545454518</v>
      </c>
      <c r="FG110" s="1">
        <v>27.272727272727259</v>
      </c>
      <c r="FH110" s="1">
        <v>18.18181818181818</v>
      </c>
      <c r="FI110" s="1">
        <v>0</v>
      </c>
      <c r="FJ110" s="1">
        <v>0</v>
      </c>
      <c r="FK110" s="1">
        <v>11</v>
      </c>
      <c r="FL110" s="1">
        <v>39.999999999999993</v>
      </c>
      <c r="FM110" s="1">
        <v>46.666666666666643</v>
      </c>
      <c r="FN110" s="1">
        <v>6.6666666666666616</v>
      </c>
      <c r="FO110" s="1">
        <v>6.6666666666666616</v>
      </c>
      <c r="FP110" s="1">
        <v>0</v>
      </c>
      <c r="FQ110" s="1">
        <v>15</v>
      </c>
      <c r="FR110" s="1">
        <v>71.428571428571416</v>
      </c>
      <c r="FS110" s="1">
        <v>28.571428571428562</v>
      </c>
      <c r="FT110" s="1">
        <v>0</v>
      </c>
      <c r="FU110" s="1">
        <v>0</v>
      </c>
      <c r="FV110" s="1">
        <v>0</v>
      </c>
      <c r="FW110" s="1">
        <v>14</v>
      </c>
      <c r="FX110" s="1">
        <v>94.736842105263136</v>
      </c>
      <c r="FY110" s="1">
        <v>5.2631578947368389</v>
      </c>
      <c r="FZ110" s="1">
        <v>0</v>
      </c>
      <c r="GA110" s="1">
        <v>0</v>
      </c>
      <c r="GB110" s="1">
        <v>0</v>
      </c>
      <c r="GC110" s="1">
        <v>19</v>
      </c>
      <c r="GD110" s="1">
        <v>66.666666666666671</v>
      </c>
      <c r="GE110" s="1">
        <v>33.333333333333336</v>
      </c>
      <c r="GF110" s="1">
        <v>0</v>
      </c>
      <c r="GG110" s="1">
        <v>0</v>
      </c>
      <c r="GH110" s="1">
        <v>0</v>
      </c>
      <c r="GI110" s="1">
        <v>3</v>
      </c>
      <c r="GJ110" s="1">
        <v>57.142857142857125</v>
      </c>
      <c r="GK110" s="1">
        <v>42.857142857142861</v>
      </c>
      <c r="GL110" s="1">
        <v>0</v>
      </c>
      <c r="GM110" s="1">
        <v>0</v>
      </c>
      <c r="GN110" s="1">
        <v>0</v>
      </c>
      <c r="GO110" s="1">
        <v>7</v>
      </c>
      <c r="GP110" s="1">
        <v>70.588235294117638</v>
      </c>
      <c r="GQ110" s="1">
        <v>29.41176470588233</v>
      </c>
      <c r="GR110" s="1">
        <v>0</v>
      </c>
      <c r="GS110" s="1">
        <v>0</v>
      </c>
      <c r="GT110" s="1">
        <v>0</v>
      </c>
      <c r="GU110" s="1">
        <v>17</v>
      </c>
      <c r="GV110" s="1">
        <v>72.2222222222222</v>
      </c>
      <c r="GW110" s="1">
        <v>27.777777777777771</v>
      </c>
      <c r="GX110" s="1">
        <v>0</v>
      </c>
      <c r="GY110" s="1">
        <v>0</v>
      </c>
      <c r="GZ110" s="1">
        <v>0</v>
      </c>
      <c r="HA110" s="1">
        <v>18</v>
      </c>
      <c r="HB110" s="1">
        <v>100</v>
      </c>
      <c r="HC110" s="1">
        <v>0</v>
      </c>
      <c r="HD110" s="1">
        <v>0</v>
      </c>
      <c r="HE110" s="1">
        <v>0</v>
      </c>
      <c r="HF110" s="1">
        <v>0</v>
      </c>
      <c r="HG110" s="1">
        <v>1</v>
      </c>
      <c r="HH110" s="1">
        <v>100</v>
      </c>
      <c r="HI110" s="1">
        <v>0</v>
      </c>
      <c r="HJ110" s="1">
        <v>0</v>
      </c>
      <c r="HK110" s="1">
        <v>0</v>
      </c>
      <c r="HL110" s="1">
        <v>0</v>
      </c>
      <c r="HM110" s="1">
        <v>2</v>
      </c>
      <c r="HN110" s="1">
        <v>0</v>
      </c>
      <c r="HO110" s="1">
        <v>0</v>
      </c>
      <c r="HP110" s="1">
        <v>0</v>
      </c>
      <c r="HQ110" s="1">
        <v>0</v>
      </c>
      <c r="HR110" s="1">
        <v>0</v>
      </c>
      <c r="HS110" s="1">
        <v>0</v>
      </c>
      <c r="HT110" s="1">
        <v>0</v>
      </c>
      <c r="HU110" s="1">
        <v>0</v>
      </c>
      <c r="HV110" s="1">
        <v>0</v>
      </c>
      <c r="HW110" s="1">
        <v>0</v>
      </c>
      <c r="HX110" s="1">
        <v>0</v>
      </c>
      <c r="HY110" s="1">
        <v>0</v>
      </c>
      <c r="HZ110" s="1">
        <v>0</v>
      </c>
      <c r="IA110" s="1">
        <v>0</v>
      </c>
      <c r="IB110" s="1">
        <v>0</v>
      </c>
      <c r="IC110" s="1">
        <v>0</v>
      </c>
      <c r="ID110" s="1">
        <v>0</v>
      </c>
      <c r="IE110" s="1">
        <v>0</v>
      </c>
      <c r="IF110" s="1">
        <v>9.1999999999999993</v>
      </c>
      <c r="IG110" s="1">
        <v>0</v>
      </c>
      <c r="IH110" s="1">
        <v>0</v>
      </c>
      <c r="II110" s="1">
        <v>0</v>
      </c>
      <c r="IJ110" s="1">
        <v>0</v>
      </c>
      <c r="IK110" s="1">
        <v>0</v>
      </c>
      <c r="IL110" s="1">
        <v>0</v>
      </c>
      <c r="IM110" s="1">
        <v>4.9999999999999991</v>
      </c>
      <c r="IN110" s="1">
        <v>24.999999999999996</v>
      </c>
      <c r="IO110" s="1">
        <v>14.999999999999996</v>
      </c>
      <c r="IP110" s="1">
        <v>55.000000000000014</v>
      </c>
      <c r="IQ110" s="1">
        <v>9.1999999999999957</v>
      </c>
      <c r="IR110" s="1">
        <v>20</v>
      </c>
      <c r="IS110" s="1">
        <v>0</v>
      </c>
      <c r="IT110" s="1">
        <v>85</v>
      </c>
      <c r="IU110" s="1">
        <v>0</v>
      </c>
      <c r="IV110" s="1">
        <v>9.9999999999999982</v>
      </c>
      <c r="IW110" s="1">
        <v>4.9999999999999991</v>
      </c>
      <c r="IX110" s="1">
        <v>20</v>
      </c>
      <c r="IY110" s="1">
        <v>1</v>
      </c>
      <c r="IZ110" s="1">
        <v>8.1202000000000023</v>
      </c>
      <c r="JA110" s="1">
        <v>4.8721199999999998</v>
      </c>
      <c r="JB110" s="1">
        <v>1.2180299999999997</v>
      </c>
      <c r="JC110" s="1">
        <v>0</v>
      </c>
      <c r="JD110" s="1">
        <v>2.0300500000000001</v>
      </c>
      <c r="JE110" s="1">
        <v>0.59999999999999987</v>
      </c>
      <c r="JF110" s="1">
        <v>0.14999999999999994</v>
      </c>
      <c r="JG110" s="1">
        <v>0</v>
      </c>
      <c r="JH110" s="1">
        <v>0.24999999999999994</v>
      </c>
      <c r="JI110" s="1">
        <v>1</v>
      </c>
      <c r="JJ110" s="1">
        <v>20</v>
      </c>
      <c r="JK110" s="1">
        <v>3</v>
      </c>
      <c r="JL110" s="1">
        <v>3</v>
      </c>
      <c r="JM110" s="1">
        <v>20</v>
      </c>
      <c r="JN110" s="1">
        <v>77.7777777777778</v>
      </c>
      <c r="JO110" s="1">
        <v>22.222222222222221</v>
      </c>
      <c r="JP110" s="1">
        <v>9</v>
      </c>
      <c r="JQ110" s="1">
        <v>88.8888888888889</v>
      </c>
      <c r="JR110" s="1">
        <v>11.111111111111111</v>
      </c>
      <c r="JS110" s="1">
        <v>9</v>
      </c>
      <c r="JT110" s="1">
        <v>94.736842105263136</v>
      </c>
      <c r="JU110" s="1">
        <v>5.2631578947368389</v>
      </c>
      <c r="JV110" s="1">
        <v>19</v>
      </c>
      <c r="JW110" s="1">
        <v>94.736842105263136</v>
      </c>
      <c r="JX110" s="1">
        <v>5.2631578947368389</v>
      </c>
      <c r="JY110" s="1">
        <v>19</v>
      </c>
      <c r="JZ110" s="1">
        <v>61.1111111111111</v>
      </c>
      <c r="KA110" s="1">
        <v>38.888888888888886</v>
      </c>
      <c r="KB110" s="1">
        <v>18</v>
      </c>
      <c r="KC110" s="1">
        <v>100</v>
      </c>
      <c r="KD110" s="1">
        <v>0</v>
      </c>
      <c r="KE110" s="1">
        <v>17</v>
      </c>
      <c r="KF110" s="1">
        <v>2.8823529411764706</v>
      </c>
      <c r="KG110" s="1">
        <v>0</v>
      </c>
      <c r="KH110" s="1">
        <v>41.176470588235276</v>
      </c>
      <c r="KI110" s="1">
        <v>41.176470588235276</v>
      </c>
      <c r="KJ110" s="1">
        <v>5.8823529411764666</v>
      </c>
      <c r="KK110" s="1">
        <v>11.764705882352933</v>
      </c>
      <c r="KL110" s="1">
        <v>17</v>
      </c>
      <c r="KM110" s="1">
        <v>50.999999999999993</v>
      </c>
      <c r="KN110" s="1">
        <v>14</v>
      </c>
      <c r="KO110" s="1">
        <v>0</v>
      </c>
      <c r="KP110" s="1">
        <v>50</v>
      </c>
      <c r="KQ110" s="1">
        <v>50</v>
      </c>
      <c r="KR110" s="1">
        <v>0</v>
      </c>
      <c r="KS110" s="1">
        <v>0</v>
      </c>
      <c r="KT110" s="1">
        <v>2</v>
      </c>
      <c r="KU110" s="1">
        <v>5.2631578947368389</v>
      </c>
      <c r="KV110" s="1">
        <v>0</v>
      </c>
      <c r="KW110" s="1">
        <v>0</v>
      </c>
      <c r="KX110" s="1">
        <v>84.210526315789437</v>
      </c>
      <c r="KY110" s="1">
        <v>10.526315789473678</v>
      </c>
      <c r="KZ110" s="1">
        <v>19</v>
      </c>
      <c r="LA110" s="1">
        <v>0</v>
      </c>
      <c r="LB110" s="1">
        <v>100</v>
      </c>
      <c r="LC110" s="1">
        <v>19</v>
      </c>
      <c r="LD110" s="1">
        <v>0</v>
      </c>
      <c r="LE110" s="1">
        <v>0</v>
      </c>
      <c r="LF110" s="1">
        <v>0</v>
      </c>
      <c r="LG110" s="1">
        <v>0</v>
      </c>
    </row>
    <row r="111" spans="1:319" x14ac:dyDescent="0.25">
      <c r="A111" s="1">
        <v>3413</v>
      </c>
      <c r="B111" s="1">
        <v>7.1428571428571397</v>
      </c>
      <c r="C111" s="1">
        <v>92.857142857142875</v>
      </c>
      <c r="D111" s="1">
        <v>14</v>
      </c>
      <c r="E111" s="1">
        <v>76.92307692307692</v>
      </c>
      <c r="F111" s="1">
        <v>23.076923076923073</v>
      </c>
      <c r="G111" s="1">
        <v>13</v>
      </c>
      <c r="H111" s="1">
        <v>49.999999999999993</v>
      </c>
      <c r="I111" s="1">
        <v>49.999999999999993</v>
      </c>
      <c r="J111" s="1">
        <v>8</v>
      </c>
      <c r="K111" s="1">
        <v>1</v>
      </c>
      <c r="L111" s="1">
        <v>4.18642</v>
      </c>
      <c r="M111" s="1">
        <v>3.5883600000000011</v>
      </c>
      <c r="N111" s="1">
        <v>0.59806000000000015</v>
      </c>
      <c r="O111" s="1">
        <v>0.59806000000000015</v>
      </c>
      <c r="P111" s="1">
        <v>0.59806000000000015</v>
      </c>
      <c r="Q111" s="1">
        <v>1.7941800000000006</v>
      </c>
      <c r="R111" s="1">
        <v>0.29903000000000007</v>
      </c>
      <c r="S111" s="1">
        <v>0</v>
      </c>
      <c r="T111" s="1">
        <v>0</v>
      </c>
      <c r="U111" s="1">
        <v>2.3922400000000006</v>
      </c>
      <c r="V111" s="1">
        <v>1.7941800000000006</v>
      </c>
      <c r="W111" s="1">
        <v>0.85714285714285754</v>
      </c>
      <c r="X111" s="1">
        <v>0.14285714285714282</v>
      </c>
      <c r="Y111" s="1">
        <v>0.14285714285714282</v>
      </c>
      <c r="Z111" s="1">
        <v>0.14285714285714282</v>
      </c>
      <c r="AA111" s="1">
        <v>0.42857142857142855</v>
      </c>
      <c r="AB111" s="1">
        <v>7.1428571428571411E-2</v>
      </c>
      <c r="AC111" s="1">
        <v>0</v>
      </c>
      <c r="AD111" s="1">
        <v>0</v>
      </c>
      <c r="AE111" s="1">
        <v>0.57142857142857129</v>
      </c>
      <c r="AF111" s="1">
        <v>0.42857142857142855</v>
      </c>
      <c r="AG111" s="1">
        <v>1</v>
      </c>
      <c r="AH111" s="1">
        <v>14</v>
      </c>
      <c r="AI111" s="1">
        <v>1</v>
      </c>
      <c r="AJ111" s="1">
        <v>4.18642</v>
      </c>
      <c r="AK111" s="1">
        <v>2.3922400000000006</v>
      </c>
      <c r="AL111" s="1">
        <v>4.18642</v>
      </c>
      <c r="AM111" s="1">
        <v>2.6912700000000003</v>
      </c>
      <c r="AN111" s="1">
        <v>0.59806000000000015</v>
      </c>
      <c r="AO111" s="1">
        <v>0.89709000000000028</v>
      </c>
      <c r="AP111" s="1">
        <v>0.29903000000000007</v>
      </c>
      <c r="AQ111" s="1">
        <v>0.57142857142857129</v>
      </c>
      <c r="AR111" s="1">
        <v>1</v>
      </c>
      <c r="AS111" s="1">
        <v>0.64285714285714302</v>
      </c>
      <c r="AT111" s="1">
        <v>0.14285714285714282</v>
      </c>
      <c r="AU111" s="1">
        <v>0.21428571428571427</v>
      </c>
      <c r="AV111" s="1">
        <v>7.1428571428571411E-2</v>
      </c>
      <c r="AW111" s="1">
        <v>1</v>
      </c>
      <c r="AX111" s="1">
        <v>14</v>
      </c>
      <c r="AY111" s="1">
        <v>9</v>
      </c>
      <c r="AZ111" s="1">
        <v>9.2142857142857135</v>
      </c>
      <c r="BA111" s="1">
        <v>9.2857142857142865</v>
      </c>
      <c r="BB111" s="1">
        <v>0</v>
      </c>
      <c r="BC111" s="1">
        <v>0</v>
      </c>
      <c r="BD111" s="1">
        <v>0</v>
      </c>
      <c r="BE111" s="1">
        <v>0</v>
      </c>
      <c r="BF111" s="1">
        <v>0</v>
      </c>
      <c r="BG111" s="1">
        <v>0</v>
      </c>
      <c r="BH111" s="1">
        <v>14.285714285714279</v>
      </c>
      <c r="BI111" s="1">
        <v>28.571428571428559</v>
      </c>
      <c r="BJ111" s="1">
        <v>0</v>
      </c>
      <c r="BK111" s="1">
        <v>57.142857142857117</v>
      </c>
      <c r="BL111" s="1">
        <v>9</v>
      </c>
      <c r="BM111" s="1">
        <v>14</v>
      </c>
      <c r="BN111" s="1">
        <v>0</v>
      </c>
      <c r="BO111" s="1">
        <v>0</v>
      </c>
      <c r="BP111" s="1">
        <v>0</v>
      </c>
      <c r="BQ111" s="1">
        <v>0</v>
      </c>
      <c r="BR111" s="1">
        <v>0</v>
      </c>
      <c r="BS111" s="1">
        <v>0</v>
      </c>
      <c r="BT111" s="1">
        <v>7.1428571428571397</v>
      </c>
      <c r="BU111" s="1">
        <v>28.571428571428559</v>
      </c>
      <c r="BV111" s="1">
        <v>0</v>
      </c>
      <c r="BW111" s="1">
        <v>64.285714285714306</v>
      </c>
      <c r="BX111" s="1">
        <v>9.2142857142857189</v>
      </c>
      <c r="BY111" s="1">
        <v>14</v>
      </c>
      <c r="BZ111" s="1">
        <v>0</v>
      </c>
      <c r="CA111" s="1">
        <v>0</v>
      </c>
      <c r="CB111" s="1">
        <v>0</v>
      </c>
      <c r="CC111" s="1">
        <v>0</v>
      </c>
      <c r="CD111" s="1">
        <v>0</v>
      </c>
      <c r="CE111" s="1">
        <v>0</v>
      </c>
      <c r="CF111" s="1">
        <v>0</v>
      </c>
      <c r="CG111" s="1">
        <v>35.714285714285715</v>
      </c>
      <c r="CH111" s="1">
        <v>0</v>
      </c>
      <c r="CI111" s="1">
        <v>64.285714285714306</v>
      </c>
      <c r="CJ111" s="1">
        <v>9.2857142857142883</v>
      </c>
      <c r="CK111" s="1">
        <v>14</v>
      </c>
      <c r="CL111" s="1">
        <v>84.615384615384627</v>
      </c>
      <c r="CM111" s="1">
        <v>15.384615384615385</v>
      </c>
      <c r="CN111" s="1">
        <v>0</v>
      </c>
      <c r="CO111" s="1">
        <v>0</v>
      </c>
      <c r="CP111" s="1">
        <v>0</v>
      </c>
      <c r="CQ111" s="1">
        <v>13</v>
      </c>
      <c r="CR111" s="1">
        <v>100</v>
      </c>
      <c r="CS111" s="1">
        <v>0</v>
      </c>
      <c r="CT111" s="1">
        <v>0</v>
      </c>
      <c r="CU111" s="1">
        <v>0</v>
      </c>
      <c r="CV111" s="1">
        <v>0</v>
      </c>
      <c r="CW111" s="1">
        <v>14</v>
      </c>
      <c r="CX111" s="1">
        <v>78.571428571428569</v>
      </c>
      <c r="CY111" s="1">
        <v>21.428571428571423</v>
      </c>
      <c r="CZ111" s="1">
        <v>0</v>
      </c>
      <c r="DA111" s="1">
        <v>0</v>
      </c>
      <c r="DB111" s="1">
        <v>0</v>
      </c>
      <c r="DC111" s="1">
        <v>14</v>
      </c>
      <c r="DD111" s="1">
        <v>78.571428571428569</v>
      </c>
      <c r="DE111" s="1">
        <v>21.428571428571423</v>
      </c>
      <c r="DF111" s="1">
        <v>0</v>
      </c>
      <c r="DG111" s="1">
        <v>0</v>
      </c>
      <c r="DH111" s="1">
        <v>0</v>
      </c>
      <c r="DI111" s="1">
        <v>14</v>
      </c>
      <c r="DJ111" s="1">
        <v>70</v>
      </c>
      <c r="DK111" s="1">
        <v>19.999999999999996</v>
      </c>
      <c r="DL111" s="1">
        <v>0</v>
      </c>
      <c r="DM111" s="1">
        <v>9.9999999999999982</v>
      </c>
      <c r="DN111" s="1">
        <v>0</v>
      </c>
      <c r="DO111" s="1">
        <v>10</v>
      </c>
      <c r="DP111" s="1">
        <v>100</v>
      </c>
      <c r="DQ111" s="1">
        <v>0</v>
      </c>
      <c r="DR111" s="1">
        <v>0</v>
      </c>
      <c r="DS111" s="1">
        <v>0</v>
      </c>
      <c r="DT111" s="1">
        <v>0</v>
      </c>
      <c r="DU111" s="1">
        <v>13</v>
      </c>
      <c r="DV111" s="1">
        <v>79.999999999999986</v>
      </c>
      <c r="DW111" s="1">
        <v>19.999999999999996</v>
      </c>
      <c r="DX111" s="1">
        <v>0</v>
      </c>
      <c r="DY111" s="1">
        <v>0</v>
      </c>
      <c r="DZ111" s="1">
        <v>0</v>
      </c>
      <c r="EA111" s="1">
        <v>10</v>
      </c>
      <c r="EB111" s="1">
        <v>0</v>
      </c>
      <c r="EC111" s="1">
        <v>0</v>
      </c>
      <c r="ED111" s="1">
        <v>0</v>
      </c>
      <c r="EE111" s="1">
        <v>0</v>
      </c>
      <c r="EF111" s="1">
        <v>0</v>
      </c>
      <c r="EG111" s="1">
        <v>0</v>
      </c>
      <c r="EH111" s="1">
        <v>0</v>
      </c>
      <c r="EI111" s="1">
        <v>0</v>
      </c>
      <c r="EJ111" s="1">
        <v>0</v>
      </c>
      <c r="EK111" s="1">
        <v>0</v>
      </c>
      <c r="EL111" s="1">
        <v>0</v>
      </c>
      <c r="EM111" s="1">
        <v>0</v>
      </c>
      <c r="EN111" s="1">
        <v>100</v>
      </c>
      <c r="EO111" s="1">
        <v>0</v>
      </c>
      <c r="EP111" s="1">
        <v>0</v>
      </c>
      <c r="EQ111" s="1">
        <v>0</v>
      </c>
      <c r="ER111" s="1">
        <v>0</v>
      </c>
      <c r="ES111" s="1">
        <v>2</v>
      </c>
      <c r="ET111" s="1">
        <v>100</v>
      </c>
      <c r="EU111" s="1">
        <v>0</v>
      </c>
      <c r="EV111" s="1">
        <v>0</v>
      </c>
      <c r="EW111" s="1">
        <v>0</v>
      </c>
      <c r="EX111" s="1">
        <v>0</v>
      </c>
      <c r="EY111" s="1">
        <v>2</v>
      </c>
      <c r="EZ111" s="1">
        <v>29.999999999999996</v>
      </c>
      <c r="FA111" s="1">
        <v>70</v>
      </c>
      <c r="FB111" s="1">
        <v>0</v>
      </c>
      <c r="FC111" s="1">
        <v>0</v>
      </c>
      <c r="FD111" s="1">
        <v>0</v>
      </c>
      <c r="FE111" s="1">
        <v>10</v>
      </c>
      <c r="FF111" s="1">
        <v>29.999999999999996</v>
      </c>
      <c r="FG111" s="1">
        <v>70</v>
      </c>
      <c r="FH111" s="1">
        <v>0</v>
      </c>
      <c r="FI111" s="1">
        <v>0</v>
      </c>
      <c r="FJ111" s="1">
        <v>0</v>
      </c>
      <c r="FK111" s="1">
        <v>10</v>
      </c>
      <c r="FL111" s="1">
        <v>14.285714285714279</v>
      </c>
      <c r="FM111" s="1">
        <v>0</v>
      </c>
      <c r="FN111" s="1">
        <v>14.285714285714279</v>
      </c>
      <c r="FO111" s="1">
        <v>71.428571428571431</v>
      </c>
      <c r="FP111" s="1">
        <v>0</v>
      </c>
      <c r="FQ111" s="1">
        <v>7</v>
      </c>
      <c r="FR111" s="1">
        <v>80</v>
      </c>
      <c r="FS111" s="1">
        <v>0</v>
      </c>
      <c r="FT111" s="1">
        <v>20</v>
      </c>
      <c r="FU111" s="1">
        <v>0</v>
      </c>
      <c r="FV111" s="1">
        <v>0</v>
      </c>
      <c r="FW111" s="1">
        <v>5</v>
      </c>
      <c r="FX111" s="1">
        <v>77.7777777777778</v>
      </c>
      <c r="FY111" s="1">
        <v>22.222222222222225</v>
      </c>
      <c r="FZ111" s="1">
        <v>0</v>
      </c>
      <c r="GA111" s="1">
        <v>0</v>
      </c>
      <c r="GB111" s="1">
        <v>0</v>
      </c>
      <c r="GC111" s="1">
        <v>9</v>
      </c>
      <c r="GD111" s="1">
        <v>40</v>
      </c>
      <c r="GE111" s="1">
        <v>0</v>
      </c>
      <c r="GF111" s="1">
        <v>59.999999999999993</v>
      </c>
      <c r="GG111" s="1">
        <v>0</v>
      </c>
      <c r="GH111" s="1">
        <v>0</v>
      </c>
      <c r="GI111" s="1">
        <v>5</v>
      </c>
      <c r="GJ111" s="1">
        <v>40</v>
      </c>
      <c r="GK111" s="1">
        <v>0</v>
      </c>
      <c r="GL111" s="1">
        <v>59.999999999999993</v>
      </c>
      <c r="GM111" s="1">
        <v>0</v>
      </c>
      <c r="GN111" s="1">
        <v>0</v>
      </c>
      <c r="GO111" s="1">
        <v>5</v>
      </c>
      <c r="GP111" s="1">
        <v>44.44444444444445</v>
      </c>
      <c r="GQ111" s="1">
        <v>22.222222222222225</v>
      </c>
      <c r="GR111" s="1">
        <v>33.333333333333321</v>
      </c>
      <c r="GS111" s="1">
        <v>0</v>
      </c>
      <c r="GT111" s="1">
        <v>0</v>
      </c>
      <c r="GU111" s="1">
        <v>9</v>
      </c>
      <c r="GV111" s="1">
        <v>44.44444444444445</v>
      </c>
      <c r="GW111" s="1">
        <v>33.333333333333321</v>
      </c>
      <c r="GX111" s="1">
        <v>22.222222222222225</v>
      </c>
      <c r="GY111" s="1">
        <v>0</v>
      </c>
      <c r="GZ111" s="1">
        <v>0</v>
      </c>
      <c r="HA111" s="1">
        <v>9</v>
      </c>
      <c r="HB111" s="1">
        <v>0</v>
      </c>
      <c r="HC111" s="1">
        <v>0</v>
      </c>
      <c r="HD111" s="1">
        <v>0</v>
      </c>
      <c r="HE111" s="1">
        <v>0</v>
      </c>
      <c r="HF111" s="1">
        <v>0</v>
      </c>
      <c r="HG111" s="1">
        <v>0</v>
      </c>
      <c r="HH111" s="1">
        <v>0</v>
      </c>
      <c r="HI111" s="1">
        <v>0</v>
      </c>
      <c r="HJ111" s="1">
        <v>0</v>
      </c>
      <c r="HK111" s="1">
        <v>0</v>
      </c>
      <c r="HL111" s="1">
        <v>0</v>
      </c>
      <c r="HM111" s="1">
        <v>0</v>
      </c>
      <c r="HN111" s="1">
        <v>0</v>
      </c>
      <c r="HO111" s="1">
        <v>0</v>
      </c>
      <c r="HP111" s="1">
        <v>0</v>
      </c>
      <c r="HQ111" s="1">
        <v>0</v>
      </c>
      <c r="HR111" s="1">
        <v>0</v>
      </c>
      <c r="HS111" s="1">
        <v>0</v>
      </c>
      <c r="HT111" s="1">
        <v>0</v>
      </c>
      <c r="HU111" s="1">
        <v>0</v>
      </c>
      <c r="HV111" s="1">
        <v>0</v>
      </c>
      <c r="HW111" s="1">
        <v>0</v>
      </c>
      <c r="HX111" s="1">
        <v>0</v>
      </c>
      <c r="HY111" s="1">
        <v>0</v>
      </c>
      <c r="HZ111" s="1">
        <v>0</v>
      </c>
      <c r="IA111" s="1">
        <v>0</v>
      </c>
      <c r="IB111" s="1">
        <v>0</v>
      </c>
      <c r="IC111" s="1">
        <v>0</v>
      </c>
      <c r="ID111" s="1">
        <v>0</v>
      </c>
      <c r="IE111" s="1">
        <v>0</v>
      </c>
      <c r="IF111" s="1">
        <v>9.1538461538461533</v>
      </c>
      <c r="IG111" s="1">
        <v>0</v>
      </c>
      <c r="IH111" s="1">
        <v>0</v>
      </c>
      <c r="II111" s="1">
        <v>0</v>
      </c>
      <c r="IJ111" s="1">
        <v>0</v>
      </c>
      <c r="IK111" s="1">
        <v>0</v>
      </c>
      <c r="IL111" s="1">
        <v>0</v>
      </c>
      <c r="IM111" s="1">
        <v>7.6923076923076925</v>
      </c>
      <c r="IN111" s="1">
        <v>30.76923076923077</v>
      </c>
      <c r="IO111" s="1">
        <v>0</v>
      </c>
      <c r="IP111" s="1">
        <v>61.53846153846154</v>
      </c>
      <c r="IQ111" s="1">
        <v>9.1538461538461569</v>
      </c>
      <c r="IR111" s="1">
        <v>13</v>
      </c>
      <c r="IS111" s="1">
        <v>53.846153846153847</v>
      </c>
      <c r="IT111" s="1">
        <v>46.153846153846146</v>
      </c>
      <c r="IU111" s="1">
        <v>0</v>
      </c>
      <c r="IV111" s="1">
        <v>0</v>
      </c>
      <c r="IW111" s="1">
        <v>0</v>
      </c>
      <c r="IX111" s="1">
        <v>13</v>
      </c>
      <c r="IY111" s="1">
        <v>1</v>
      </c>
      <c r="IZ111" s="1">
        <v>3.8873900000000021</v>
      </c>
      <c r="JA111" s="1">
        <v>1.1961200000000003</v>
      </c>
      <c r="JB111" s="1">
        <v>1.7941800000000006</v>
      </c>
      <c r="JC111" s="1">
        <v>1.1961200000000003</v>
      </c>
      <c r="JD111" s="1">
        <v>0.89709000000000028</v>
      </c>
      <c r="JE111" s="1">
        <v>0.30769230769230754</v>
      </c>
      <c r="JF111" s="1">
        <v>0.46153846153846162</v>
      </c>
      <c r="JG111" s="1">
        <v>0.30769230769230754</v>
      </c>
      <c r="JH111" s="1">
        <v>0.23076923076923075</v>
      </c>
      <c r="JI111" s="1">
        <v>1</v>
      </c>
      <c r="JJ111" s="1">
        <v>13</v>
      </c>
      <c r="JK111" s="1">
        <v>3.7142857142857144</v>
      </c>
      <c r="JL111" s="1">
        <v>3.7142857142857149</v>
      </c>
      <c r="JM111" s="1">
        <v>14</v>
      </c>
      <c r="JN111" s="1">
        <v>75</v>
      </c>
      <c r="JO111" s="1">
        <v>25</v>
      </c>
      <c r="JP111" s="1">
        <v>4</v>
      </c>
      <c r="JQ111" s="1">
        <v>100</v>
      </c>
      <c r="JR111" s="1">
        <v>0</v>
      </c>
      <c r="JS111" s="1">
        <v>13</v>
      </c>
      <c r="JT111" s="1">
        <v>100</v>
      </c>
      <c r="JU111" s="1">
        <v>0</v>
      </c>
      <c r="JV111" s="1">
        <v>13</v>
      </c>
      <c r="JW111" s="1">
        <v>81.818181818181785</v>
      </c>
      <c r="JX111" s="1">
        <v>18.18181818181818</v>
      </c>
      <c r="JY111" s="1">
        <v>11</v>
      </c>
      <c r="JZ111" s="1">
        <v>23.076923076923073</v>
      </c>
      <c r="KA111" s="1">
        <v>76.92307692307692</v>
      </c>
      <c r="KB111" s="1">
        <v>13</v>
      </c>
      <c r="KC111" s="1">
        <v>100</v>
      </c>
      <c r="KD111" s="1">
        <v>0</v>
      </c>
      <c r="KE111" s="1">
        <v>9</v>
      </c>
      <c r="KF111" s="1">
        <v>2.125</v>
      </c>
      <c r="KG111" s="1">
        <v>37.499999999999993</v>
      </c>
      <c r="KH111" s="1">
        <v>24.999999999999996</v>
      </c>
      <c r="KI111" s="1">
        <v>24.999999999999996</v>
      </c>
      <c r="KJ111" s="1">
        <v>12.499999999999998</v>
      </c>
      <c r="KK111" s="1">
        <v>0</v>
      </c>
      <c r="KL111" s="1">
        <v>8</v>
      </c>
      <c r="KM111" s="1">
        <v>38.5</v>
      </c>
      <c r="KN111" s="1">
        <v>19</v>
      </c>
      <c r="KO111" s="1">
        <v>0</v>
      </c>
      <c r="KP111" s="1">
        <v>0</v>
      </c>
      <c r="KQ111" s="1">
        <v>100</v>
      </c>
      <c r="KR111" s="1">
        <v>0</v>
      </c>
      <c r="KS111" s="1">
        <v>0</v>
      </c>
      <c r="KT111" s="1">
        <v>2</v>
      </c>
      <c r="KU111" s="1">
        <v>7.6923076923076925</v>
      </c>
      <c r="KV111" s="1">
        <v>0</v>
      </c>
      <c r="KW111" s="1">
        <v>0</v>
      </c>
      <c r="KX111" s="1">
        <v>92.307692307692292</v>
      </c>
      <c r="KY111" s="1">
        <v>0</v>
      </c>
      <c r="KZ111" s="1">
        <v>13</v>
      </c>
      <c r="LA111" s="1">
        <v>0</v>
      </c>
      <c r="LB111" s="1">
        <v>100</v>
      </c>
      <c r="LC111" s="1">
        <v>13</v>
      </c>
      <c r="LD111" s="1">
        <v>0</v>
      </c>
      <c r="LE111" s="1">
        <v>0</v>
      </c>
      <c r="LF111" s="1">
        <v>0</v>
      </c>
      <c r="LG111" s="1">
        <v>0</v>
      </c>
    </row>
    <row r="112" spans="1:319" x14ac:dyDescent="0.25">
      <c r="A112" s="1">
        <v>5000</v>
      </c>
      <c r="B112" s="1">
        <v>0</v>
      </c>
      <c r="C112" s="1">
        <v>100</v>
      </c>
      <c r="D112" s="1">
        <v>3</v>
      </c>
      <c r="E112" s="1">
        <v>0</v>
      </c>
      <c r="F112" s="1">
        <v>100</v>
      </c>
      <c r="G112" s="1">
        <v>3</v>
      </c>
      <c r="H112" s="1">
        <v>0</v>
      </c>
      <c r="I112" s="1">
        <v>0</v>
      </c>
      <c r="J112" s="1">
        <v>0</v>
      </c>
      <c r="K112" s="1">
        <v>1</v>
      </c>
      <c r="L112" s="1">
        <v>3.3401999999999998</v>
      </c>
      <c r="M112" s="1">
        <v>2.2267999999999999</v>
      </c>
      <c r="N112" s="1">
        <v>0</v>
      </c>
      <c r="O112" s="1">
        <v>0</v>
      </c>
      <c r="P112" s="1">
        <v>0</v>
      </c>
      <c r="Q112" s="1">
        <v>0</v>
      </c>
      <c r="R112" s="1">
        <v>0</v>
      </c>
      <c r="S112" s="1">
        <v>0</v>
      </c>
      <c r="T112" s="1">
        <v>1.1133999999999999</v>
      </c>
      <c r="U112" s="1">
        <v>0</v>
      </c>
      <c r="V112" s="1">
        <v>0</v>
      </c>
      <c r="W112" s="1">
        <v>0.66666666666666663</v>
      </c>
      <c r="X112" s="1">
        <v>0</v>
      </c>
      <c r="Y112" s="1">
        <v>0</v>
      </c>
      <c r="Z112" s="1">
        <v>0</v>
      </c>
      <c r="AA112" s="1">
        <v>0</v>
      </c>
      <c r="AB112" s="1">
        <v>0</v>
      </c>
      <c r="AC112" s="1">
        <v>0</v>
      </c>
      <c r="AD112" s="1">
        <v>0.33333333333333331</v>
      </c>
      <c r="AE112" s="1">
        <v>0</v>
      </c>
      <c r="AF112" s="1">
        <v>0</v>
      </c>
      <c r="AG112" s="1">
        <v>1</v>
      </c>
      <c r="AH112" s="1">
        <v>3</v>
      </c>
      <c r="AI112" s="1">
        <v>1</v>
      </c>
      <c r="AJ112" s="1">
        <v>3.3401999999999998</v>
      </c>
      <c r="AK112" s="1">
        <v>3.3401999999999998</v>
      </c>
      <c r="AL112" s="1">
        <v>3.3401999999999998</v>
      </c>
      <c r="AM112" s="1">
        <v>2.2267999999999999</v>
      </c>
      <c r="AN112" s="1">
        <v>2.2267999999999999</v>
      </c>
      <c r="AO112" s="1">
        <v>0</v>
      </c>
      <c r="AP112" s="1">
        <v>0</v>
      </c>
      <c r="AQ112" s="1">
        <v>1</v>
      </c>
      <c r="AR112" s="1">
        <v>1</v>
      </c>
      <c r="AS112" s="1">
        <v>0.66666666666666663</v>
      </c>
      <c r="AT112" s="1">
        <v>0.66666666666666663</v>
      </c>
      <c r="AU112" s="1">
        <v>0</v>
      </c>
      <c r="AV112" s="1">
        <v>0</v>
      </c>
      <c r="AW112" s="1">
        <v>1</v>
      </c>
      <c r="AX112" s="1">
        <v>3</v>
      </c>
      <c r="AY112" s="1">
        <v>10</v>
      </c>
      <c r="AZ112" s="1">
        <v>10</v>
      </c>
      <c r="BA112" s="1">
        <v>10</v>
      </c>
      <c r="BB112" s="1">
        <v>0</v>
      </c>
      <c r="BC112" s="1">
        <v>0</v>
      </c>
      <c r="BD112" s="1">
        <v>0</v>
      </c>
      <c r="BE112" s="1">
        <v>0</v>
      </c>
      <c r="BF112" s="1">
        <v>0</v>
      </c>
      <c r="BG112" s="1">
        <v>0</v>
      </c>
      <c r="BH112" s="1">
        <v>0</v>
      </c>
      <c r="BI112" s="1">
        <v>0</v>
      </c>
      <c r="BJ112" s="1">
        <v>0</v>
      </c>
      <c r="BK112" s="1">
        <v>100</v>
      </c>
      <c r="BL112" s="1">
        <v>10</v>
      </c>
      <c r="BM112" s="1">
        <v>3</v>
      </c>
      <c r="BN112" s="1">
        <v>0</v>
      </c>
      <c r="BO112" s="1">
        <v>0</v>
      </c>
      <c r="BP112" s="1">
        <v>0</v>
      </c>
      <c r="BQ112" s="1">
        <v>0</v>
      </c>
      <c r="BR112" s="1">
        <v>0</v>
      </c>
      <c r="BS112" s="1">
        <v>0</v>
      </c>
      <c r="BT112" s="1">
        <v>0</v>
      </c>
      <c r="BU112" s="1">
        <v>0</v>
      </c>
      <c r="BV112" s="1">
        <v>0</v>
      </c>
      <c r="BW112" s="1">
        <v>100</v>
      </c>
      <c r="BX112" s="1">
        <v>10</v>
      </c>
      <c r="BY112" s="1">
        <v>3</v>
      </c>
      <c r="BZ112" s="1">
        <v>0</v>
      </c>
      <c r="CA112" s="1">
        <v>0</v>
      </c>
      <c r="CB112" s="1">
        <v>0</v>
      </c>
      <c r="CC112" s="1">
        <v>0</v>
      </c>
      <c r="CD112" s="1">
        <v>0</v>
      </c>
      <c r="CE112" s="1">
        <v>0</v>
      </c>
      <c r="CF112" s="1">
        <v>0</v>
      </c>
      <c r="CG112" s="1">
        <v>0</v>
      </c>
      <c r="CH112" s="1">
        <v>0</v>
      </c>
      <c r="CI112" s="1">
        <v>100</v>
      </c>
      <c r="CJ112" s="1">
        <v>10</v>
      </c>
      <c r="CK112" s="1">
        <v>3</v>
      </c>
      <c r="CL112" s="1">
        <v>33.333333333333329</v>
      </c>
      <c r="CM112" s="1">
        <v>66.666666666666657</v>
      </c>
      <c r="CN112" s="1">
        <v>0</v>
      </c>
      <c r="CO112" s="1">
        <v>0</v>
      </c>
      <c r="CP112" s="1">
        <v>0</v>
      </c>
      <c r="CQ112" s="1">
        <v>3</v>
      </c>
      <c r="CR112" s="1">
        <v>33.333333333333329</v>
      </c>
      <c r="CS112" s="1">
        <v>66.666666666666657</v>
      </c>
      <c r="CT112" s="1">
        <v>0</v>
      </c>
      <c r="CU112" s="1">
        <v>0</v>
      </c>
      <c r="CV112" s="1">
        <v>0</v>
      </c>
      <c r="CW112" s="1">
        <v>3</v>
      </c>
      <c r="CX112" s="1">
        <v>66.666666666666657</v>
      </c>
      <c r="CY112" s="1">
        <v>0</v>
      </c>
      <c r="CZ112" s="1">
        <v>33.333333333333329</v>
      </c>
      <c r="DA112" s="1">
        <v>0</v>
      </c>
      <c r="DB112" s="1">
        <v>0</v>
      </c>
      <c r="DC112" s="1">
        <v>3</v>
      </c>
      <c r="DD112" s="1">
        <v>66.666666666666657</v>
      </c>
      <c r="DE112" s="1">
        <v>0</v>
      </c>
      <c r="DF112" s="1">
        <v>33.333333333333329</v>
      </c>
      <c r="DG112" s="1">
        <v>0</v>
      </c>
      <c r="DH112" s="1">
        <v>0</v>
      </c>
      <c r="DI112" s="1">
        <v>3</v>
      </c>
      <c r="DJ112" s="1">
        <v>66.666666666666657</v>
      </c>
      <c r="DK112" s="1">
        <v>0</v>
      </c>
      <c r="DL112" s="1">
        <v>33.333333333333329</v>
      </c>
      <c r="DM112" s="1">
        <v>0</v>
      </c>
      <c r="DN112" s="1">
        <v>0</v>
      </c>
      <c r="DO112" s="1">
        <v>3</v>
      </c>
      <c r="DP112" s="1">
        <v>100</v>
      </c>
      <c r="DQ112" s="1">
        <v>0</v>
      </c>
      <c r="DR112" s="1">
        <v>0</v>
      </c>
      <c r="DS112" s="1">
        <v>0</v>
      </c>
      <c r="DT112" s="1">
        <v>0</v>
      </c>
      <c r="DU112" s="1">
        <v>3</v>
      </c>
      <c r="DV112" s="1">
        <v>100</v>
      </c>
      <c r="DW112" s="1">
        <v>0</v>
      </c>
      <c r="DX112" s="1">
        <v>0</v>
      </c>
      <c r="DY112" s="1">
        <v>0</v>
      </c>
      <c r="DZ112" s="1">
        <v>0</v>
      </c>
      <c r="EA112" s="1">
        <v>3</v>
      </c>
      <c r="EB112" s="1">
        <v>0</v>
      </c>
      <c r="EC112" s="1">
        <v>0</v>
      </c>
      <c r="ED112" s="1">
        <v>0</v>
      </c>
      <c r="EE112" s="1">
        <v>0</v>
      </c>
      <c r="EF112" s="1">
        <v>0</v>
      </c>
      <c r="EG112" s="1">
        <v>0</v>
      </c>
      <c r="EH112" s="1">
        <v>0</v>
      </c>
      <c r="EI112" s="1">
        <v>0</v>
      </c>
      <c r="EJ112" s="1">
        <v>0</v>
      </c>
      <c r="EK112" s="1">
        <v>0</v>
      </c>
      <c r="EL112" s="1">
        <v>0</v>
      </c>
      <c r="EM112" s="1">
        <v>0</v>
      </c>
      <c r="EN112" s="1">
        <v>0</v>
      </c>
      <c r="EO112" s="1">
        <v>100</v>
      </c>
      <c r="EP112" s="1">
        <v>0</v>
      </c>
      <c r="EQ112" s="1">
        <v>0</v>
      </c>
      <c r="ER112" s="1">
        <v>0</v>
      </c>
      <c r="ES112" s="1">
        <v>1</v>
      </c>
      <c r="ET112" s="1">
        <v>0</v>
      </c>
      <c r="EU112" s="1">
        <v>100</v>
      </c>
      <c r="EV112" s="1">
        <v>0</v>
      </c>
      <c r="EW112" s="1">
        <v>0</v>
      </c>
      <c r="EX112" s="1">
        <v>0</v>
      </c>
      <c r="EY112" s="1">
        <v>1</v>
      </c>
      <c r="EZ112" s="1">
        <v>0</v>
      </c>
      <c r="FA112" s="1">
        <v>0</v>
      </c>
      <c r="FB112" s="1">
        <v>0</v>
      </c>
      <c r="FC112" s="1">
        <v>0</v>
      </c>
      <c r="FD112" s="1">
        <v>0</v>
      </c>
      <c r="FE112" s="1">
        <v>0</v>
      </c>
      <c r="FF112" s="1">
        <v>0</v>
      </c>
      <c r="FG112" s="1">
        <v>0</v>
      </c>
      <c r="FH112" s="1">
        <v>0</v>
      </c>
      <c r="FI112" s="1">
        <v>0</v>
      </c>
      <c r="FJ112" s="1">
        <v>0</v>
      </c>
      <c r="FK112" s="1">
        <v>0</v>
      </c>
      <c r="FL112" s="1">
        <v>100</v>
      </c>
      <c r="FM112" s="1">
        <v>0</v>
      </c>
      <c r="FN112" s="1">
        <v>0</v>
      </c>
      <c r="FO112" s="1">
        <v>0</v>
      </c>
      <c r="FP112" s="1">
        <v>0</v>
      </c>
      <c r="FQ112" s="1">
        <v>2</v>
      </c>
      <c r="FR112" s="1">
        <v>0</v>
      </c>
      <c r="FS112" s="1">
        <v>50</v>
      </c>
      <c r="FT112" s="1">
        <v>0</v>
      </c>
      <c r="FU112" s="1">
        <v>50</v>
      </c>
      <c r="FV112" s="1">
        <v>0</v>
      </c>
      <c r="FW112" s="1">
        <v>2</v>
      </c>
      <c r="FX112" s="1">
        <v>100</v>
      </c>
      <c r="FY112" s="1">
        <v>0</v>
      </c>
      <c r="FZ112" s="1">
        <v>0</v>
      </c>
      <c r="GA112" s="1">
        <v>0</v>
      </c>
      <c r="GB112" s="1">
        <v>0</v>
      </c>
      <c r="GC112" s="1">
        <v>3</v>
      </c>
      <c r="GD112" s="1">
        <v>0</v>
      </c>
      <c r="GE112" s="1">
        <v>0</v>
      </c>
      <c r="GF112" s="1">
        <v>0</v>
      </c>
      <c r="GG112" s="1">
        <v>0</v>
      </c>
      <c r="GH112" s="1">
        <v>0</v>
      </c>
      <c r="GI112" s="1">
        <v>0</v>
      </c>
      <c r="GJ112" s="1">
        <v>100</v>
      </c>
      <c r="GK112" s="1">
        <v>0</v>
      </c>
      <c r="GL112" s="1">
        <v>0</v>
      </c>
      <c r="GM112" s="1">
        <v>0</v>
      </c>
      <c r="GN112" s="1">
        <v>0</v>
      </c>
      <c r="GO112" s="1">
        <v>1</v>
      </c>
      <c r="GP112" s="1">
        <v>0</v>
      </c>
      <c r="GQ112" s="1">
        <v>100</v>
      </c>
      <c r="GR112" s="1">
        <v>0</v>
      </c>
      <c r="GS112" s="1">
        <v>0</v>
      </c>
      <c r="GT112" s="1">
        <v>0</v>
      </c>
      <c r="GU112" s="1">
        <v>1</v>
      </c>
      <c r="GV112" s="1">
        <v>100</v>
      </c>
      <c r="GW112" s="1">
        <v>0</v>
      </c>
      <c r="GX112" s="1">
        <v>0</v>
      </c>
      <c r="GY112" s="1">
        <v>0</v>
      </c>
      <c r="GZ112" s="1">
        <v>0</v>
      </c>
      <c r="HA112" s="1">
        <v>2</v>
      </c>
      <c r="HB112" s="1">
        <v>0</v>
      </c>
      <c r="HC112" s="1">
        <v>0</v>
      </c>
      <c r="HD112" s="1">
        <v>0</v>
      </c>
      <c r="HE112" s="1">
        <v>0</v>
      </c>
      <c r="HF112" s="1">
        <v>0</v>
      </c>
      <c r="HG112" s="1">
        <v>0</v>
      </c>
      <c r="HH112" s="1">
        <v>0</v>
      </c>
      <c r="HI112" s="1">
        <v>0</v>
      </c>
      <c r="HJ112" s="1">
        <v>0</v>
      </c>
      <c r="HK112" s="1">
        <v>0</v>
      </c>
      <c r="HL112" s="1">
        <v>0</v>
      </c>
      <c r="HM112" s="1">
        <v>0</v>
      </c>
      <c r="HN112" s="1">
        <v>0</v>
      </c>
      <c r="HO112" s="1">
        <v>0</v>
      </c>
      <c r="HP112" s="1">
        <v>0</v>
      </c>
      <c r="HQ112" s="1">
        <v>0</v>
      </c>
      <c r="HR112" s="1">
        <v>0</v>
      </c>
      <c r="HS112" s="1">
        <v>0</v>
      </c>
      <c r="HT112" s="1">
        <v>0</v>
      </c>
      <c r="HU112" s="1">
        <v>0</v>
      </c>
      <c r="HV112" s="1">
        <v>0</v>
      </c>
      <c r="HW112" s="1">
        <v>0</v>
      </c>
      <c r="HX112" s="1">
        <v>0</v>
      </c>
      <c r="HY112" s="1">
        <v>0</v>
      </c>
      <c r="HZ112" s="1">
        <v>0</v>
      </c>
      <c r="IA112" s="1">
        <v>0</v>
      </c>
      <c r="IB112" s="1">
        <v>0</v>
      </c>
      <c r="IC112" s="1">
        <v>0</v>
      </c>
      <c r="ID112" s="1">
        <v>0</v>
      </c>
      <c r="IE112" s="1">
        <v>0</v>
      </c>
      <c r="IF112" s="1">
        <v>9</v>
      </c>
      <c r="IG112" s="1">
        <v>0</v>
      </c>
      <c r="IH112" s="1">
        <v>0</v>
      </c>
      <c r="II112" s="1">
        <v>0</v>
      </c>
      <c r="IJ112" s="1">
        <v>0</v>
      </c>
      <c r="IK112" s="1">
        <v>0</v>
      </c>
      <c r="IL112" s="1">
        <v>0</v>
      </c>
      <c r="IM112" s="1">
        <v>0</v>
      </c>
      <c r="IN112" s="1">
        <v>33.333333333333329</v>
      </c>
      <c r="IO112" s="1">
        <v>33.333333333333329</v>
      </c>
      <c r="IP112" s="1">
        <v>33.333333333333329</v>
      </c>
      <c r="IQ112" s="1">
        <v>9</v>
      </c>
      <c r="IR112" s="1">
        <v>3</v>
      </c>
      <c r="IS112" s="1">
        <v>33.333333333333329</v>
      </c>
      <c r="IT112" s="1">
        <v>0</v>
      </c>
      <c r="IU112" s="1">
        <v>33.333333333333329</v>
      </c>
      <c r="IV112" s="1">
        <v>33.333333333333329</v>
      </c>
      <c r="IW112" s="1">
        <v>0</v>
      </c>
      <c r="IX112" s="1">
        <v>3</v>
      </c>
      <c r="IY112" s="1">
        <v>1</v>
      </c>
      <c r="IZ112" s="1">
        <v>3.3401999999999998</v>
      </c>
      <c r="JA112" s="1">
        <v>2.2267999999999999</v>
      </c>
      <c r="JB112" s="1">
        <v>0</v>
      </c>
      <c r="JC112" s="1">
        <v>0</v>
      </c>
      <c r="JD112" s="1">
        <v>1.1133999999999999</v>
      </c>
      <c r="JE112" s="1">
        <v>0.66666666666666663</v>
      </c>
      <c r="JF112" s="1">
        <v>0</v>
      </c>
      <c r="JG112" s="1">
        <v>0</v>
      </c>
      <c r="JH112" s="1">
        <v>0.33333333333333331</v>
      </c>
      <c r="JI112" s="1">
        <v>1</v>
      </c>
      <c r="JJ112" s="1">
        <v>3</v>
      </c>
      <c r="JK112" s="1">
        <v>3</v>
      </c>
      <c r="JL112" s="1">
        <v>2.9999999999999996</v>
      </c>
      <c r="JM112" s="1">
        <v>3</v>
      </c>
      <c r="JN112" s="1">
        <v>0</v>
      </c>
      <c r="JO112" s="1">
        <v>0</v>
      </c>
      <c r="JP112" s="1">
        <v>0</v>
      </c>
      <c r="JQ112" s="1">
        <v>0</v>
      </c>
      <c r="JR112" s="1">
        <v>0</v>
      </c>
      <c r="JS112" s="1">
        <v>0</v>
      </c>
      <c r="JT112" s="1">
        <v>100</v>
      </c>
      <c r="JU112" s="1">
        <v>0</v>
      </c>
      <c r="JV112" s="1">
        <v>3</v>
      </c>
      <c r="JW112" s="1">
        <v>100</v>
      </c>
      <c r="JX112" s="1">
        <v>0</v>
      </c>
      <c r="JY112" s="1">
        <v>2</v>
      </c>
      <c r="JZ112" s="1">
        <v>66.666666666666657</v>
      </c>
      <c r="KA112" s="1">
        <v>33.333333333333329</v>
      </c>
      <c r="KB112" s="1">
        <v>3</v>
      </c>
      <c r="KC112" s="1">
        <v>100</v>
      </c>
      <c r="KD112" s="1">
        <v>0</v>
      </c>
      <c r="KE112" s="1">
        <v>3</v>
      </c>
      <c r="KF112" s="1">
        <v>2</v>
      </c>
      <c r="KG112" s="1">
        <v>33.333333333333329</v>
      </c>
      <c r="KH112" s="1">
        <v>33.333333333333329</v>
      </c>
      <c r="KI112" s="1">
        <v>33.333333333333329</v>
      </c>
      <c r="KJ112" s="1">
        <v>0</v>
      </c>
      <c r="KK112" s="1">
        <v>0</v>
      </c>
      <c r="KL112" s="1">
        <v>3</v>
      </c>
      <c r="KM112" s="1">
        <v>32.333333333333336</v>
      </c>
      <c r="KN112" s="1">
        <v>0</v>
      </c>
      <c r="KO112" s="1">
        <v>0</v>
      </c>
      <c r="KP112" s="1">
        <v>0</v>
      </c>
      <c r="KQ112" s="1">
        <v>0</v>
      </c>
      <c r="KR112" s="1">
        <v>0</v>
      </c>
      <c r="KS112" s="1">
        <v>0</v>
      </c>
      <c r="KT112" s="1">
        <v>0</v>
      </c>
      <c r="KU112" s="1">
        <v>0</v>
      </c>
      <c r="KV112" s="1">
        <v>0</v>
      </c>
      <c r="KW112" s="1">
        <v>33.333333333333329</v>
      </c>
      <c r="KX112" s="1">
        <v>66.666666666666657</v>
      </c>
      <c r="KY112" s="1">
        <v>0</v>
      </c>
      <c r="KZ112" s="1">
        <v>3</v>
      </c>
      <c r="LA112" s="1">
        <v>0</v>
      </c>
      <c r="LB112" s="1">
        <v>100</v>
      </c>
      <c r="LC112" s="1">
        <v>3</v>
      </c>
      <c r="LD112" s="1">
        <v>0</v>
      </c>
      <c r="LE112" s="1">
        <v>0</v>
      </c>
      <c r="LF112" s="1">
        <v>0</v>
      </c>
      <c r="LG112" s="1">
        <v>0</v>
      </c>
    </row>
    <row r="113" spans="1:319" x14ac:dyDescent="0.25">
      <c r="A113" t="s">
        <v>600</v>
      </c>
      <c r="B113" s="1">
        <v>19.354164241303611</v>
      </c>
      <c r="C113" s="1">
        <v>80.645835758696549</v>
      </c>
      <c r="D113" s="1">
        <v>5136</v>
      </c>
      <c r="E113" s="1">
        <v>82.584472608582729</v>
      </c>
      <c r="F113" s="1">
        <v>17.415527391417072</v>
      </c>
      <c r="G113" s="1">
        <v>3871</v>
      </c>
      <c r="H113" s="1">
        <v>61.368962152295929</v>
      </c>
      <c r="I113" s="1">
        <v>38.631037847702913</v>
      </c>
      <c r="J113" s="1">
        <v>2901</v>
      </c>
      <c r="K113" s="1">
        <v>1</v>
      </c>
      <c r="L113" s="1">
        <v>5188.8676200000282</v>
      </c>
      <c r="M113" s="1">
        <v>1910.11555</v>
      </c>
      <c r="N113" s="1">
        <v>558.32310999999834</v>
      </c>
      <c r="O113" s="1">
        <v>1443.4173700000028</v>
      </c>
      <c r="P113" s="1">
        <v>481.02804999999881</v>
      </c>
      <c r="Q113" s="1">
        <v>1254.5173900000182</v>
      </c>
      <c r="R113" s="1">
        <v>317.14164000000068</v>
      </c>
      <c r="S113" s="1">
        <v>119.84953999999998</v>
      </c>
      <c r="T113" s="1">
        <v>530.8632899999991</v>
      </c>
      <c r="U113" s="1">
        <v>642.11202999999728</v>
      </c>
      <c r="V113" s="1">
        <v>577.01593999999852</v>
      </c>
      <c r="W113" s="1">
        <v>0.36811799604168544</v>
      </c>
      <c r="X113" s="1">
        <v>0.10760018387210181</v>
      </c>
      <c r="Y113" s="1">
        <v>0.27817579397024489</v>
      </c>
      <c r="Z113" s="1">
        <v>9.2703858573288514E-2</v>
      </c>
      <c r="AA113" s="1">
        <v>0.24177093768293348</v>
      </c>
      <c r="AB113" s="1">
        <v>6.1119624400824267E-2</v>
      </c>
      <c r="AC113" s="1">
        <v>2.3097436430648301E-2</v>
      </c>
      <c r="AD113" s="1">
        <v>0.1023081197820183</v>
      </c>
      <c r="AE113" s="1">
        <v>0.12374800766260323</v>
      </c>
      <c r="AF113" s="1">
        <v>0.11120267122944937</v>
      </c>
      <c r="AG113" s="1">
        <v>1</v>
      </c>
      <c r="AH113" s="1">
        <v>5199</v>
      </c>
      <c r="AI113" s="1">
        <v>1</v>
      </c>
      <c r="AJ113" s="1">
        <v>4883.0015100000264</v>
      </c>
      <c r="AK113" s="1">
        <v>3258.2376300000315</v>
      </c>
      <c r="AL113" s="1">
        <v>2073.0557100000024</v>
      </c>
      <c r="AM113" s="1">
        <v>2304.625020000009</v>
      </c>
      <c r="AN113" s="1">
        <v>3053.0317300000361</v>
      </c>
      <c r="AO113" s="1">
        <v>462.01689999999894</v>
      </c>
      <c r="AP113" s="1">
        <v>619.25149999999667</v>
      </c>
      <c r="AQ113" s="1">
        <v>0.66726123744328181</v>
      </c>
      <c r="AR113" s="1">
        <v>0.42454537557576777</v>
      </c>
      <c r="AS113" s="1">
        <v>0.47196893453346417</v>
      </c>
      <c r="AT113" s="1">
        <v>0.62523669586168518</v>
      </c>
      <c r="AU113" s="1">
        <v>9.4617398551653617E-2</v>
      </c>
      <c r="AV113" s="1">
        <v>0.12681779817839814</v>
      </c>
      <c r="AW113" s="1">
        <v>1</v>
      </c>
      <c r="AX113" s="1">
        <v>4859</v>
      </c>
      <c r="AY113" s="1">
        <v>10</v>
      </c>
      <c r="AZ113" s="1">
        <v>10</v>
      </c>
      <c r="BA113" s="1">
        <v>10</v>
      </c>
      <c r="BB113" s="1">
        <v>3.6172917517664577E-2</v>
      </c>
      <c r="BC113" s="1">
        <v>0</v>
      </c>
      <c r="BD113" s="1">
        <v>0.10332186569534677</v>
      </c>
      <c r="BE113" s="1">
        <v>7.3468511009166529E-2</v>
      </c>
      <c r="BF113" s="1">
        <v>0.25645307452847449</v>
      </c>
      <c r="BG113" s="1">
        <v>0.43543294459761706</v>
      </c>
      <c r="BH113" s="1">
        <v>1.1953492135601704</v>
      </c>
      <c r="BI113" s="1">
        <v>4.9069795884603051</v>
      </c>
      <c r="BJ113" s="1">
        <v>8.8726886403825613</v>
      </c>
      <c r="BK113" s="1">
        <v>84.120133244248592</v>
      </c>
      <c r="BL113" s="1">
        <v>9.732136870073921</v>
      </c>
      <c r="BM113" s="1">
        <v>5005</v>
      </c>
      <c r="BN113" s="1">
        <v>0</v>
      </c>
      <c r="BO113" s="1">
        <v>2.3251267231285989E-2</v>
      </c>
      <c r="BP113" s="1">
        <v>0</v>
      </c>
      <c r="BQ113" s="1">
        <v>0.15933767457056269</v>
      </c>
      <c r="BR113" s="1">
        <v>9.7382104101354908E-2</v>
      </c>
      <c r="BS113" s="1">
        <v>0.26447087539566388</v>
      </c>
      <c r="BT113" s="1">
        <v>0.8284531828761148</v>
      </c>
      <c r="BU113" s="1">
        <v>3.300242243418047</v>
      </c>
      <c r="BV113" s="1">
        <v>8.523539756674932</v>
      </c>
      <c r="BW113" s="1">
        <v>86.803322895731583</v>
      </c>
      <c r="BX113" s="1">
        <v>9.7970378600048509</v>
      </c>
      <c r="BY113" s="1">
        <v>5036</v>
      </c>
      <c r="BZ113" s="1">
        <v>1.225247209844383E-2</v>
      </c>
      <c r="CA113" s="1">
        <v>0</v>
      </c>
      <c r="CB113" s="1">
        <v>0</v>
      </c>
      <c r="CC113" s="1">
        <v>9.6230219129002176E-2</v>
      </c>
      <c r="CD113" s="1">
        <v>0.15512603397132277</v>
      </c>
      <c r="CE113" s="1">
        <v>0.73429413652061692</v>
      </c>
      <c r="CF113" s="1">
        <v>1.062517846304623</v>
      </c>
      <c r="CG113" s="1">
        <v>4.5950641813700175</v>
      </c>
      <c r="CH113" s="1">
        <v>7.7910264466792221</v>
      </c>
      <c r="CI113" s="1">
        <v>85.553488663927581</v>
      </c>
      <c r="CJ113" s="1">
        <v>9.7543083137206796</v>
      </c>
      <c r="CK113" s="1">
        <v>4821</v>
      </c>
      <c r="CL113" s="1">
        <v>58.444354221625119</v>
      </c>
      <c r="CM113" s="1">
        <v>31.924041314366871</v>
      </c>
      <c r="CN113" s="1">
        <v>3.0579830029118602</v>
      </c>
      <c r="CO113" s="1">
        <v>5.3542150293487323</v>
      </c>
      <c r="CP113" s="1">
        <v>1.2194064317467757</v>
      </c>
      <c r="CQ113" s="1">
        <v>4879</v>
      </c>
      <c r="CR113" s="1">
        <v>83.971985792057907</v>
      </c>
      <c r="CS113" s="1">
        <v>13.768231225339941</v>
      </c>
      <c r="CT113" s="1">
        <v>1.4167619434180323</v>
      </c>
      <c r="CU113" s="1">
        <v>0.76837914653157935</v>
      </c>
      <c r="CV113" s="1">
        <v>7.4641892651941086E-2</v>
      </c>
      <c r="CW113" s="1">
        <v>5086</v>
      </c>
      <c r="CX113" s="1">
        <v>80.512485083520161</v>
      </c>
      <c r="CY113" s="1">
        <v>16.395933843795394</v>
      </c>
      <c r="CZ113" s="1">
        <v>2.4436464294402018</v>
      </c>
      <c r="DA113" s="1">
        <v>0.46305143203788307</v>
      </c>
      <c r="DB113" s="1">
        <v>0.18488321120624873</v>
      </c>
      <c r="DC113" s="1">
        <v>5068</v>
      </c>
      <c r="DD113" s="1">
        <v>85.409465539676489</v>
      </c>
      <c r="DE113" s="1">
        <v>12.791259097094731</v>
      </c>
      <c r="DF113" s="1">
        <v>1.266437828315915</v>
      </c>
      <c r="DG113" s="1">
        <v>0.42422336154223089</v>
      </c>
      <c r="DH113" s="1">
        <v>0.10861417337088553</v>
      </c>
      <c r="DI113" s="1">
        <v>5150</v>
      </c>
      <c r="DJ113" s="1">
        <v>74.205296678053699</v>
      </c>
      <c r="DK113" s="1">
        <v>20.867930519423904</v>
      </c>
      <c r="DL113" s="1">
        <v>2.5634620832130808</v>
      </c>
      <c r="DM113" s="1">
        <v>1.7879500062576354</v>
      </c>
      <c r="DN113" s="1">
        <v>0.57536071305144854</v>
      </c>
      <c r="DO113" s="1">
        <v>4644</v>
      </c>
      <c r="DP113" s="1">
        <v>84.221630878785248</v>
      </c>
      <c r="DQ113" s="1">
        <v>13.314183263060064</v>
      </c>
      <c r="DR113" s="1">
        <v>1.7701579152715323</v>
      </c>
      <c r="DS113" s="1">
        <v>0.68535383070104028</v>
      </c>
      <c r="DT113" s="1">
        <v>8.6741121813139598E-3</v>
      </c>
      <c r="DU113" s="1">
        <v>5080</v>
      </c>
      <c r="DV113" s="1">
        <v>74.123037364780586</v>
      </c>
      <c r="DW113" s="1">
        <v>17.649144799048614</v>
      </c>
      <c r="DX113" s="1">
        <v>3.7983679571864983</v>
      </c>
      <c r="DY113" s="1">
        <v>3.247778106795967</v>
      </c>
      <c r="DZ113" s="1">
        <v>1.1816717721876888</v>
      </c>
      <c r="EA113" s="1">
        <v>3435</v>
      </c>
      <c r="EB113" s="1">
        <v>81.316519611037236</v>
      </c>
      <c r="EC113" s="1">
        <v>15.622212702496798</v>
      </c>
      <c r="ED113" s="1">
        <v>2.3896547274866506</v>
      </c>
      <c r="EE113" s="1">
        <v>0.54783392066661729</v>
      </c>
      <c r="EF113" s="1">
        <v>0.1237790383125676</v>
      </c>
      <c r="EG113" s="1">
        <v>2050</v>
      </c>
      <c r="EH113" s="1">
        <v>65.446293029755239</v>
      </c>
      <c r="EI113" s="1">
        <v>27.462277150288831</v>
      </c>
      <c r="EJ113" s="1">
        <v>4.510619590305236</v>
      </c>
      <c r="EK113" s="1">
        <v>2.1687204061546574</v>
      </c>
      <c r="EL113" s="1">
        <v>0.41208982349612711</v>
      </c>
      <c r="EM113" s="1">
        <v>1810</v>
      </c>
      <c r="EN113" s="1">
        <v>52.966284730925636</v>
      </c>
      <c r="EO113" s="1">
        <v>35.550231903786518</v>
      </c>
      <c r="EP113" s="1">
        <v>6.8956778517732271</v>
      </c>
      <c r="EQ113" s="1">
        <v>3.5703762149887517</v>
      </c>
      <c r="ER113" s="1">
        <v>1.0174292985251039</v>
      </c>
      <c r="ES113" s="1">
        <v>2788</v>
      </c>
      <c r="ET113" s="1">
        <v>54.774548494622039</v>
      </c>
      <c r="EU113" s="1">
        <v>34.058543113023909</v>
      </c>
      <c r="EV113" s="1">
        <v>7.4562445968527786</v>
      </c>
      <c r="EW113" s="1">
        <v>2.9331506476733553</v>
      </c>
      <c r="EX113" s="1">
        <v>0.77751314782685621</v>
      </c>
      <c r="EY113" s="1">
        <v>2861</v>
      </c>
      <c r="EZ113" s="1">
        <v>60.000942416057029</v>
      </c>
      <c r="FA113" s="1">
        <v>30.358345833762058</v>
      </c>
      <c r="FB113" s="1">
        <v>7.955617130782807</v>
      </c>
      <c r="FC113" s="1">
        <v>1.4525399368025826</v>
      </c>
      <c r="FD113" s="1">
        <v>0.23255468259591536</v>
      </c>
      <c r="FE113" s="1">
        <v>1780</v>
      </c>
      <c r="FF113" s="1">
        <v>59.54282013188508</v>
      </c>
      <c r="FG113" s="1">
        <v>29.684840361870535</v>
      </c>
      <c r="FH113" s="1">
        <v>8.9989681974102247</v>
      </c>
      <c r="FI113" s="1">
        <v>1.2665412706437602</v>
      </c>
      <c r="FJ113" s="1">
        <v>0.50683003819069328</v>
      </c>
      <c r="FK113" s="1">
        <v>1602</v>
      </c>
      <c r="FL113" s="1">
        <v>67.139419062317543</v>
      </c>
      <c r="FM113" s="1">
        <v>21.333434490285775</v>
      </c>
      <c r="FN113" s="1">
        <v>5.9950225508239443</v>
      </c>
      <c r="FO113" s="1">
        <v>4.2538561041098086</v>
      </c>
      <c r="FP113" s="1">
        <v>1.2782677924626165</v>
      </c>
      <c r="FQ113" s="1">
        <v>2084</v>
      </c>
      <c r="FR113" s="1">
        <v>71.305259624971384</v>
      </c>
      <c r="FS113" s="1">
        <v>18.931633575638983</v>
      </c>
      <c r="FT113" s="1">
        <v>6.0972172044728064</v>
      </c>
      <c r="FU113" s="1">
        <v>3.2089456622196688</v>
      </c>
      <c r="FV113" s="1">
        <v>0.45694393269730599</v>
      </c>
      <c r="FW113" s="1">
        <v>1644</v>
      </c>
      <c r="FX113" s="1">
        <v>89.204613423953447</v>
      </c>
      <c r="FY113" s="1">
        <v>9.5936761858263448</v>
      </c>
      <c r="FZ113" s="1">
        <v>0.75725360671416775</v>
      </c>
      <c r="GA113" s="1">
        <v>0.33177516884646291</v>
      </c>
      <c r="GB113" s="1">
        <v>0.11268161465969238</v>
      </c>
      <c r="GC113" s="1">
        <v>4964</v>
      </c>
      <c r="GD113" s="1">
        <v>73.584640366182924</v>
      </c>
      <c r="GE113" s="1">
        <v>21.78508895257238</v>
      </c>
      <c r="GF113" s="1">
        <v>3.0452560143542859</v>
      </c>
      <c r="GG113" s="1">
        <v>1.3848006668639652</v>
      </c>
      <c r="GH113" s="1">
        <v>0.20021400002681827</v>
      </c>
      <c r="GI113" s="1">
        <v>2207</v>
      </c>
      <c r="GJ113" s="1">
        <v>74.673170258944353</v>
      </c>
      <c r="GK113" s="1">
        <v>20.772598694712382</v>
      </c>
      <c r="GL113" s="1">
        <v>4.1269485672848756</v>
      </c>
      <c r="GM113" s="1">
        <v>0.39967396616081252</v>
      </c>
      <c r="GN113" s="1">
        <v>2.7608512898112531E-2</v>
      </c>
      <c r="GO113" s="1">
        <v>2121</v>
      </c>
      <c r="GP113" s="1">
        <v>74.504576169130559</v>
      </c>
      <c r="GQ113" s="1">
        <v>20.102776541393428</v>
      </c>
      <c r="GR113" s="1">
        <v>2.7409655188019673</v>
      </c>
      <c r="GS113" s="1">
        <v>1.7200366473147273</v>
      </c>
      <c r="GT113" s="1">
        <v>0.93164512335845961</v>
      </c>
      <c r="GU113" s="1">
        <v>3557</v>
      </c>
      <c r="GV113" s="1">
        <v>82.020408206261678</v>
      </c>
      <c r="GW113" s="1">
        <v>14.694583447668217</v>
      </c>
      <c r="GX113" s="1">
        <v>1.8305428075419587</v>
      </c>
      <c r="GY113" s="1">
        <v>0.83655874104927996</v>
      </c>
      <c r="GZ113" s="1">
        <v>0.61790679747836208</v>
      </c>
      <c r="HA113" s="1">
        <v>3475</v>
      </c>
      <c r="HB113" s="1">
        <v>60.20804777656506</v>
      </c>
      <c r="HC113" s="1">
        <v>25.142944842843285</v>
      </c>
      <c r="HD113" s="1">
        <v>8.728181401897702</v>
      </c>
      <c r="HE113" s="1">
        <v>4.1081115293544919</v>
      </c>
      <c r="HF113" s="1">
        <v>1.8127144493384353</v>
      </c>
      <c r="HG113" s="1">
        <v>1274</v>
      </c>
      <c r="HH113" s="1">
        <v>68.491772232775645</v>
      </c>
      <c r="HI113" s="1">
        <v>15.828335181889132</v>
      </c>
      <c r="HJ113" s="1">
        <v>7.5355353753809631</v>
      </c>
      <c r="HK113" s="1">
        <v>3.7857613526960003</v>
      </c>
      <c r="HL113" s="1">
        <v>4.3585958572584715</v>
      </c>
      <c r="HM113" s="1">
        <v>1078</v>
      </c>
      <c r="HN113" s="1">
        <v>87.960225313197625</v>
      </c>
      <c r="HO113" s="1">
        <v>7.2125354597717051</v>
      </c>
      <c r="HP113" s="1">
        <v>4.2568414431321751</v>
      </c>
      <c r="HQ113" s="1">
        <v>0.57039778389850593</v>
      </c>
      <c r="HR113" s="1">
        <v>0</v>
      </c>
      <c r="HS113" s="1">
        <v>144</v>
      </c>
      <c r="HT113" s="1">
        <v>75.074303892839467</v>
      </c>
      <c r="HU113" s="1">
        <v>19.216451981102807</v>
      </c>
      <c r="HV113" s="1">
        <v>5.7092441260577926</v>
      </c>
      <c r="HW113" s="1">
        <v>0</v>
      </c>
      <c r="HX113" s="1">
        <v>0</v>
      </c>
      <c r="HY113" s="1">
        <v>103</v>
      </c>
      <c r="HZ113" s="1">
        <v>71.926648191072175</v>
      </c>
      <c r="IA113" s="1">
        <v>21.411373956878066</v>
      </c>
      <c r="IB113" s="1">
        <v>6.0098926877580601</v>
      </c>
      <c r="IC113" s="1">
        <v>0.65208516429181163</v>
      </c>
      <c r="ID113" s="1">
        <v>0</v>
      </c>
      <c r="IE113" s="1">
        <v>101</v>
      </c>
      <c r="IF113" s="1">
        <v>10</v>
      </c>
      <c r="IG113" s="1">
        <v>0</v>
      </c>
      <c r="IH113" s="1">
        <v>0</v>
      </c>
      <c r="II113" s="1">
        <v>2.4939182205939239E-2</v>
      </c>
      <c r="IJ113" s="1">
        <v>3.5986998068752919E-2</v>
      </c>
      <c r="IK113" s="1">
        <v>0.26995841301552237</v>
      </c>
      <c r="IL113" s="1">
        <v>0.78188160418521324</v>
      </c>
      <c r="IM113" s="1">
        <v>3.0893849291444528</v>
      </c>
      <c r="IN113" s="1">
        <v>10.66611259733692</v>
      </c>
      <c r="IO113" s="1">
        <v>27.144895986878929</v>
      </c>
      <c r="IP113" s="1">
        <v>57.986840289163823</v>
      </c>
      <c r="IQ113" s="1">
        <v>9.3738690928533881</v>
      </c>
      <c r="IR113" s="1">
        <v>4713</v>
      </c>
      <c r="IS113" s="1">
        <v>42.669276189983933</v>
      </c>
      <c r="IT113" s="1">
        <v>40.654203664909403</v>
      </c>
      <c r="IU113" s="1">
        <v>12.698513151497098</v>
      </c>
      <c r="IV113" s="1">
        <v>1.5336407973428716</v>
      </c>
      <c r="IW113" s="1">
        <v>2.4443661962654435</v>
      </c>
      <c r="IX113" s="1">
        <v>5116</v>
      </c>
      <c r="IY113" s="1">
        <v>1</v>
      </c>
      <c r="IZ113" s="1">
        <v>5026.4719300000615</v>
      </c>
      <c r="JA113" s="1">
        <v>2953.4783000000066</v>
      </c>
      <c r="JB113" s="1">
        <v>1161.5941800000039</v>
      </c>
      <c r="JC113" s="1">
        <v>550.92798999999809</v>
      </c>
      <c r="JD113" s="1">
        <v>778.15317999999525</v>
      </c>
      <c r="JE113" s="1">
        <v>0.58758475947561306</v>
      </c>
      <c r="JF113" s="1">
        <v>0.23109532813008063</v>
      </c>
      <c r="JG113" s="1">
        <v>0.10960530520658679</v>
      </c>
      <c r="JH113" s="1">
        <v>0.15481100677309179</v>
      </c>
      <c r="JI113" s="1">
        <v>1</v>
      </c>
      <c r="JJ113" s="1">
        <v>5048</v>
      </c>
      <c r="JK113" s="1">
        <v>24</v>
      </c>
      <c r="JL113" s="1">
        <v>3.6552404298692172</v>
      </c>
      <c r="JM113" s="1">
        <v>5016</v>
      </c>
      <c r="JN113" s="1">
        <v>89.286895792007854</v>
      </c>
      <c r="JO113" s="1">
        <v>10.713104207991776</v>
      </c>
      <c r="JP113" s="1">
        <v>1985</v>
      </c>
      <c r="JQ113" s="1">
        <v>95.503584941186332</v>
      </c>
      <c r="JR113" s="1">
        <v>4.4964150588133336</v>
      </c>
      <c r="JS113" s="1">
        <v>2824</v>
      </c>
      <c r="JT113" s="1">
        <v>94.995481035768989</v>
      </c>
      <c r="JU113" s="1">
        <v>5.0045189642304857</v>
      </c>
      <c r="JV113" s="1">
        <v>4290</v>
      </c>
      <c r="JW113" s="1">
        <v>91.597786523021782</v>
      </c>
      <c r="JX113" s="1">
        <v>8.4022134769775096</v>
      </c>
      <c r="JY113" s="1">
        <v>3202</v>
      </c>
      <c r="JZ113" s="1">
        <v>46.635881673526228</v>
      </c>
      <c r="KA113" s="1">
        <v>53.364118326473012</v>
      </c>
      <c r="KB113" s="1">
        <v>4791</v>
      </c>
      <c r="KC113" s="1">
        <v>99.678962782212039</v>
      </c>
      <c r="KD113" s="1">
        <v>0.32103721778810518</v>
      </c>
      <c r="KE113" s="1">
        <v>4543</v>
      </c>
      <c r="KF113" s="1">
        <v>5</v>
      </c>
      <c r="KG113" s="1">
        <v>8.3665532750201752</v>
      </c>
      <c r="KH113" s="1">
        <v>17.00569460170615</v>
      </c>
      <c r="KI113" s="1">
        <v>31.152177388023524</v>
      </c>
      <c r="KJ113" s="1">
        <v>30.288215415541487</v>
      </c>
      <c r="KK113" s="1">
        <v>13.187359319707602</v>
      </c>
      <c r="KL113" s="1">
        <v>4397</v>
      </c>
      <c r="KM113" s="1">
        <v>56.56912154874933</v>
      </c>
      <c r="KN113" s="1">
        <v>150</v>
      </c>
      <c r="KO113" s="1">
        <v>3.696188221801791</v>
      </c>
      <c r="KP113" s="1">
        <v>13.241167244223817</v>
      </c>
      <c r="KQ113" s="1">
        <v>40.04629799569625</v>
      </c>
      <c r="KR113" s="1">
        <v>9.491947268847305</v>
      </c>
      <c r="KS113" s="1">
        <v>33.524399269430532</v>
      </c>
      <c r="KT113" s="1">
        <v>327</v>
      </c>
      <c r="KU113" s="1">
        <v>2.6083145120962108</v>
      </c>
      <c r="KV113" s="1">
        <v>0.87903525950844075</v>
      </c>
      <c r="KW113" s="1">
        <v>1.6528679834229552</v>
      </c>
      <c r="KX113" s="1">
        <v>93.404521676029788</v>
      </c>
      <c r="KY113" s="1">
        <v>1.4552605689434912</v>
      </c>
      <c r="KZ113" s="1">
        <v>4629</v>
      </c>
      <c r="LA113" s="1">
        <v>12.057588142551463</v>
      </c>
      <c r="LB113" s="1">
        <v>87.942411857448732</v>
      </c>
      <c r="LC113" s="1">
        <v>4374</v>
      </c>
      <c r="LD113" s="1">
        <v>0.9231797400084002</v>
      </c>
      <c r="LE113" s="1">
        <v>11.876739340794515</v>
      </c>
      <c r="LF113" s="1">
        <v>87.200080919197163</v>
      </c>
      <c r="LG113" s="1">
        <v>542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B4FD6-19DF-41FE-A39A-001ECF1C7E04}">
  <sheetPr codeName="Sheet8"/>
  <dimension ref="A1:C1827"/>
  <sheetViews>
    <sheetView workbookViewId="0">
      <pane ySplit="1" topLeftCell="A9" activePane="bottomLeft" state="frozen"/>
      <selection pane="bottomLeft" activeCell="C9" sqref="C9"/>
    </sheetView>
  </sheetViews>
  <sheetFormatPr defaultRowHeight="15" x14ac:dyDescent="0.25"/>
  <cols>
    <col min="1" max="1" width="13.28515625" style="1" bestFit="1" customWidth="1"/>
    <col min="2" max="2" width="18.42578125" style="1" bestFit="1" customWidth="1"/>
    <col min="3" max="3" width="24.7109375" style="1" bestFit="1" customWidth="1"/>
  </cols>
  <sheetData>
    <row r="1" spans="1:3" x14ac:dyDescent="0.25">
      <c r="A1" s="1" t="s">
        <v>0</v>
      </c>
      <c r="B1" s="1" t="s">
        <v>299</v>
      </c>
      <c r="C1" s="1" t="s">
        <v>589</v>
      </c>
    </row>
    <row r="2" spans="1:3" x14ac:dyDescent="0.25">
      <c r="A2" s="1">
        <v>26</v>
      </c>
      <c r="B2" s="1" t="s">
        <v>581</v>
      </c>
      <c r="C2" s="1" t="s">
        <v>582</v>
      </c>
    </row>
    <row r="3" spans="1:3" x14ac:dyDescent="0.25">
      <c r="A3" s="1">
        <v>56</v>
      </c>
      <c r="B3" s="1" t="s">
        <v>581</v>
      </c>
      <c r="C3" s="1" t="s">
        <v>582</v>
      </c>
    </row>
    <row r="4" spans="1:3" x14ac:dyDescent="0.25">
      <c r="A4" s="1">
        <v>57</v>
      </c>
      <c r="B4" s="1" t="s">
        <v>581</v>
      </c>
      <c r="C4" s="1" t="s">
        <v>582</v>
      </c>
    </row>
    <row r="5" spans="1:3" x14ac:dyDescent="0.25">
      <c r="A5" s="1">
        <v>154</v>
      </c>
      <c r="B5" s="1" t="s">
        <v>581</v>
      </c>
      <c r="C5" s="1" t="s">
        <v>582</v>
      </c>
    </row>
    <row r="6" spans="1:3" x14ac:dyDescent="0.25">
      <c r="A6" s="1">
        <v>157</v>
      </c>
      <c r="B6" s="1" t="s">
        <v>581</v>
      </c>
      <c r="C6" s="1" t="s">
        <v>582</v>
      </c>
    </row>
    <row r="7" spans="1:3" x14ac:dyDescent="0.25">
      <c r="A7" s="1">
        <v>158</v>
      </c>
      <c r="B7" s="1" t="s">
        <v>581</v>
      </c>
      <c r="C7" s="1" t="s">
        <v>582</v>
      </c>
    </row>
    <row r="8" spans="1:3" x14ac:dyDescent="0.25">
      <c r="A8" s="1">
        <v>159</v>
      </c>
      <c r="B8" s="1" t="s">
        <v>581</v>
      </c>
      <c r="C8" s="1" t="s">
        <v>582</v>
      </c>
    </row>
    <row r="9" spans="1:3" x14ac:dyDescent="0.25">
      <c r="A9" s="1">
        <v>287</v>
      </c>
      <c r="B9" s="1" t="s">
        <v>581</v>
      </c>
      <c r="C9" s="1" t="s">
        <v>582</v>
      </c>
    </row>
    <row r="10" spans="1:3" x14ac:dyDescent="0.25">
      <c r="A10" s="1">
        <v>288</v>
      </c>
      <c r="B10" s="1" t="s">
        <v>581</v>
      </c>
      <c r="C10" s="1" t="s">
        <v>582</v>
      </c>
    </row>
    <row r="11" spans="1:3" x14ac:dyDescent="0.25">
      <c r="A11" s="1">
        <v>289</v>
      </c>
      <c r="B11" s="1" t="s">
        <v>581</v>
      </c>
      <c r="C11" s="1" t="s">
        <v>582</v>
      </c>
    </row>
    <row r="12" spans="1:3" x14ac:dyDescent="0.25">
      <c r="A12" s="1">
        <v>338</v>
      </c>
      <c r="B12" s="1" t="s">
        <v>581</v>
      </c>
      <c r="C12" s="1" t="s">
        <v>582</v>
      </c>
    </row>
    <row r="13" spans="1:3" x14ac:dyDescent="0.25">
      <c r="A13" s="1">
        <v>339</v>
      </c>
      <c r="B13" s="1" t="s">
        <v>581</v>
      </c>
      <c r="C13" s="1" t="s">
        <v>582</v>
      </c>
    </row>
    <row r="14" spans="1:3" x14ac:dyDescent="0.25">
      <c r="A14" s="1">
        <v>340</v>
      </c>
      <c r="B14" s="1" t="s">
        <v>581</v>
      </c>
      <c r="C14" s="1" t="s">
        <v>582</v>
      </c>
    </row>
    <row r="15" spans="1:3" x14ac:dyDescent="0.25">
      <c r="A15" s="1">
        <v>342</v>
      </c>
      <c r="B15" s="1" t="s">
        <v>581</v>
      </c>
      <c r="C15" s="1" t="s">
        <v>582</v>
      </c>
    </row>
    <row r="16" spans="1:3" x14ac:dyDescent="0.25">
      <c r="A16" s="1">
        <v>343</v>
      </c>
      <c r="B16" s="1" t="s">
        <v>581</v>
      </c>
      <c r="C16" s="1" t="s">
        <v>582</v>
      </c>
    </row>
    <row r="17" spans="1:3" x14ac:dyDescent="0.25">
      <c r="A17" s="1">
        <v>344</v>
      </c>
      <c r="B17" s="1" t="s">
        <v>581</v>
      </c>
      <c r="C17" s="1" t="s">
        <v>582</v>
      </c>
    </row>
    <row r="18" spans="1:3" x14ac:dyDescent="0.25">
      <c r="A18" s="1">
        <v>441</v>
      </c>
      <c r="B18" s="1" t="s">
        <v>581</v>
      </c>
      <c r="C18" s="1" t="s">
        <v>582</v>
      </c>
    </row>
    <row r="19" spans="1:3" x14ac:dyDescent="0.25">
      <c r="A19" s="1">
        <v>442</v>
      </c>
      <c r="B19" s="1" t="s">
        <v>581</v>
      </c>
      <c r="C19" s="1" t="s">
        <v>582</v>
      </c>
    </row>
    <row r="20" spans="1:3" x14ac:dyDescent="0.25">
      <c r="A20" s="1">
        <v>443</v>
      </c>
      <c r="B20" s="1" t="s">
        <v>581</v>
      </c>
      <c r="C20" s="1" t="s">
        <v>582</v>
      </c>
    </row>
    <row r="21" spans="1:3" x14ac:dyDescent="0.25">
      <c r="A21" s="1">
        <v>444</v>
      </c>
      <c r="B21" s="1" t="s">
        <v>581</v>
      </c>
      <c r="C21" s="1" t="s">
        <v>582</v>
      </c>
    </row>
    <row r="22" spans="1:3" x14ac:dyDescent="0.25">
      <c r="A22" s="1">
        <v>845</v>
      </c>
      <c r="B22" s="1" t="s">
        <v>581</v>
      </c>
      <c r="C22" s="1" t="s">
        <v>582</v>
      </c>
    </row>
    <row r="23" spans="1:3" x14ac:dyDescent="0.25">
      <c r="A23" s="1">
        <v>854</v>
      </c>
      <c r="B23" s="1" t="s">
        <v>581</v>
      </c>
      <c r="C23" s="1" t="s">
        <v>582</v>
      </c>
    </row>
    <row r="24" spans="1:3" x14ac:dyDescent="0.25">
      <c r="A24" s="1">
        <v>855</v>
      </c>
      <c r="B24" s="1" t="s">
        <v>581</v>
      </c>
      <c r="C24" s="1" t="s">
        <v>582</v>
      </c>
    </row>
    <row r="25" spans="1:3" x14ac:dyDescent="0.25">
      <c r="A25" s="1">
        <v>1037</v>
      </c>
      <c r="B25" s="1" t="s">
        <v>581</v>
      </c>
      <c r="C25" s="1" t="s">
        <v>582</v>
      </c>
    </row>
    <row r="26" spans="1:3" x14ac:dyDescent="0.25">
      <c r="A26" s="1">
        <v>1123</v>
      </c>
      <c r="B26" s="1" t="s">
        <v>581</v>
      </c>
      <c r="C26" s="1" t="s">
        <v>582</v>
      </c>
    </row>
    <row r="27" spans="1:3" x14ac:dyDescent="0.25">
      <c r="A27" s="1">
        <v>1160</v>
      </c>
      <c r="B27" s="1" t="s">
        <v>581</v>
      </c>
      <c r="C27" s="1" t="s">
        <v>582</v>
      </c>
    </row>
    <row r="28" spans="1:3" x14ac:dyDescent="0.25">
      <c r="A28" s="1">
        <v>1176</v>
      </c>
      <c r="B28" s="1" t="s">
        <v>581</v>
      </c>
      <c r="C28" s="1" t="s">
        <v>582</v>
      </c>
    </row>
    <row r="29" spans="1:3" x14ac:dyDescent="0.25">
      <c r="A29" s="1">
        <v>1180</v>
      </c>
      <c r="B29" s="1" t="s">
        <v>581</v>
      </c>
      <c r="C29" s="1" t="s">
        <v>582</v>
      </c>
    </row>
    <row r="30" spans="1:3" x14ac:dyDescent="0.25">
      <c r="A30" s="1">
        <v>1296</v>
      </c>
      <c r="B30" s="1" t="s">
        <v>581</v>
      </c>
      <c r="C30" s="1" t="s">
        <v>582</v>
      </c>
    </row>
    <row r="31" spans="1:3" x14ac:dyDescent="0.25">
      <c r="A31" s="1">
        <v>1393</v>
      </c>
      <c r="B31" s="1" t="s">
        <v>581</v>
      </c>
      <c r="C31" s="1" t="s">
        <v>582</v>
      </c>
    </row>
    <row r="32" spans="1:3" x14ac:dyDescent="0.25">
      <c r="A32" s="1">
        <v>1402</v>
      </c>
      <c r="B32" s="1" t="s">
        <v>581</v>
      </c>
      <c r="C32" s="1" t="s">
        <v>582</v>
      </c>
    </row>
    <row r="33" spans="1:3" x14ac:dyDescent="0.25">
      <c r="A33" s="1">
        <v>1431</v>
      </c>
      <c r="B33" s="1" t="s">
        <v>581</v>
      </c>
      <c r="C33" s="1" t="s">
        <v>582</v>
      </c>
    </row>
    <row r="34" spans="1:3" x14ac:dyDescent="0.25">
      <c r="A34" s="1">
        <v>1488</v>
      </c>
      <c r="B34" s="1" t="s">
        <v>581</v>
      </c>
      <c r="C34" s="1" t="s">
        <v>582</v>
      </c>
    </row>
    <row r="35" spans="1:3" x14ac:dyDescent="0.25">
      <c r="A35" s="1">
        <v>1521</v>
      </c>
      <c r="B35" s="1" t="s">
        <v>581</v>
      </c>
      <c r="C35" s="1" t="s">
        <v>582</v>
      </c>
    </row>
    <row r="36" spans="1:3" x14ac:dyDescent="0.25">
      <c r="A36" s="1">
        <v>1522</v>
      </c>
      <c r="B36" s="1" t="s">
        <v>581</v>
      </c>
      <c r="C36" s="1" t="s">
        <v>582</v>
      </c>
    </row>
    <row r="37" spans="1:3" x14ac:dyDescent="0.25">
      <c r="A37" s="1">
        <v>1531</v>
      </c>
      <c r="B37" s="1" t="s">
        <v>581</v>
      </c>
      <c r="C37" s="1" t="s">
        <v>582</v>
      </c>
    </row>
    <row r="38" spans="1:3" x14ac:dyDescent="0.25">
      <c r="A38" s="1">
        <v>1544</v>
      </c>
      <c r="B38" s="1" t="s">
        <v>581</v>
      </c>
      <c r="C38" s="1" t="s">
        <v>582</v>
      </c>
    </row>
    <row r="39" spans="1:3" x14ac:dyDescent="0.25">
      <c r="A39" s="1">
        <v>1609</v>
      </c>
      <c r="B39" s="1" t="s">
        <v>581</v>
      </c>
      <c r="C39" s="1" t="s">
        <v>582</v>
      </c>
    </row>
    <row r="40" spans="1:3" x14ac:dyDescent="0.25">
      <c r="A40" s="1">
        <v>1671</v>
      </c>
      <c r="B40" s="1" t="s">
        <v>581</v>
      </c>
      <c r="C40" s="1" t="s">
        <v>582</v>
      </c>
    </row>
    <row r="41" spans="1:3" x14ac:dyDescent="0.25">
      <c r="A41" s="1">
        <v>1749</v>
      </c>
      <c r="B41" s="1" t="s">
        <v>581</v>
      </c>
      <c r="C41" s="1" t="s">
        <v>582</v>
      </c>
    </row>
    <row r="42" spans="1:3" x14ac:dyDescent="0.25">
      <c r="A42" s="1">
        <v>1762</v>
      </c>
      <c r="B42" s="1" t="s">
        <v>581</v>
      </c>
      <c r="C42" s="1" t="s">
        <v>582</v>
      </c>
    </row>
    <row r="43" spans="1:3" x14ac:dyDescent="0.25">
      <c r="A43" s="1">
        <v>1944</v>
      </c>
      <c r="B43" s="1" t="s">
        <v>581</v>
      </c>
      <c r="C43" s="1" t="s">
        <v>582</v>
      </c>
    </row>
    <row r="44" spans="1:3" x14ac:dyDescent="0.25">
      <c r="A44" s="1">
        <v>2047</v>
      </c>
      <c r="B44" s="1" t="s">
        <v>581</v>
      </c>
      <c r="C44" s="1" t="s">
        <v>582</v>
      </c>
    </row>
    <row r="45" spans="1:3" x14ac:dyDescent="0.25">
      <c r="A45" s="1">
        <v>2052</v>
      </c>
      <c r="B45" s="1" t="s">
        <v>581</v>
      </c>
      <c r="C45" s="1" t="s">
        <v>582</v>
      </c>
    </row>
    <row r="46" spans="1:3" x14ac:dyDescent="0.25">
      <c r="A46" s="1">
        <v>2234</v>
      </c>
      <c r="B46" s="1" t="s">
        <v>581</v>
      </c>
      <c r="C46" s="1" t="s">
        <v>582</v>
      </c>
    </row>
    <row r="47" spans="1:3" x14ac:dyDescent="0.25">
      <c r="A47" s="1">
        <v>2235</v>
      </c>
      <c r="B47" s="1" t="s">
        <v>581</v>
      </c>
      <c r="C47" s="1" t="s">
        <v>582</v>
      </c>
    </row>
    <row r="48" spans="1:3" x14ac:dyDescent="0.25">
      <c r="A48" s="1">
        <v>2241</v>
      </c>
      <c r="B48" s="1" t="s">
        <v>581</v>
      </c>
      <c r="C48" s="1" t="s">
        <v>582</v>
      </c>
    </row>
    <row r="49" spans="1:3" x14ac:dyDescent="0.25">
      <c r="A49" s="1">
        <v>2284</v>
      </c>
      <c r="B49" s="1" t="s">
        <v>581</v>
      </c>
      <c r="C49" s="1" t="s">
        <v>582</v>
      </c>
    </row>
    <row r="50" spans="1:3" x14ac:dyDescent="0.25">
      <c r="A50" s="1">
        <v>2285</v>
      </c>
      <c r="B50" s="1" t="s">
        <v>581</v>
      </c>
      <c r="C50" s="1" t="s">
        <v>582</v>
      </c>
    </row>
    <row r="51" spans="1:3" x14ac:dyDescent="0.25">
      <c r="A51" s="1">
        <v>2288</v>
      </c>
      <c r="B51" s="1" t="s">
        <v>581</v>
      </c>
      <c r="C51" s="1" t="s">
        <v>582</v>
      </c>
    </row>
    <row r="52" spans="1:3" x14ac:dyDescent="0.25">
      <c r="A52" s="1">
        <v>2291</v>
      </c>
      <c r="B52" s="1" t="s">
        <v>581</v>
      </c>
      <c r="C52" s="1" t="s">
        <v>582</v>
      </c>
    </row>
    <row r="53" spans="1:3" x14ac:dyDescent="0.25">
      <c r="A53" s="1">
        <v>2293</v>
      </c>
      <c r="B53" s="1" t="s">
        <v>581</v>
      </c>
      <c r="C53" s="1" t="s">
        <v>582</v>
      </c>
    </row>
    <row r="54" spans="1:3" x14ac:dyDescent="0.25">
      <c r="A54" s="1">
        <v>2313</v>
      </c>
      <c r="B54" s="1" t="s">
        <v>581</v>
      </c>
      <c r="C54" s="1" t="s">
        <v>582</v>
      </c>
    </row>
    <row r="55" spans="1:3" x14ac:dyDescent="0.25">
      <c r="A55" s="1">
        <v>2318</v>
      </c>
      <c r="B55" s="1" t="s">
        <v>581</v>
      </c>
      <c r="C55" s="1" t="s">
        <v>582</v>
      </c>
    </row>
    <row r="56" spans="1:3" x14ac:dyDescent="0.25">
      <c r="A56" s="1">
        <v>2331</v>
      </c>
      <c r="B56" s="1" t="s">
        <v>581</v>
      </c>
      <c r="C56" s="1" t="s">
        <v>582</v>
      </c>
    </row>
    <row r="57" spans="1:3" x14ac:dyDescent="0.25">
      <c r="A57" s="1">
        <v>2333</v>
      </c>
      <c r="B57" s="1" t="s">
        <v>581</v>
      </c>
      <c r="C57" s="1" t="s">
        <v>582</v>
      </c>
    </row>
    <row r="58" spans="1:3" x14ac:dyDescent="0.25">
      <c r="A58" s="1">
        <v>2335</v>
      </c>
      <c r="B58" s="1" t="s">
        <v>581</v>
      </c>
      <c r="C58" s="1" t="s">
        <v>582</v>
      </c>
    </row>
    <row r="59" spans="1:3" x14ac:dyDescent="0.25">
      <c r="A59" s="1">
        <v>2411</v>
      </c>
      <c r="B59" s="1" t="s">
        <v>581</v>
      </c>
      <c r="C59" s="1" t="s">
        <v>582</v>
      </c>
    </row>
    <row r="60" spans="1:3" x14ac:dyDescent="0.25">
      <c r="A60" s="1">
        <v>2416</v>
      </c>
      <c r="B60" s="1" t="s">
        <v>581</v>
      </c>
      <c r="C60" s="1" t="s">
        <v>582</v>
      </c>
    </row>
    <row r="61" spans="1:3" x14ac:dyDescent="0.25">
      <c r="A61" s="1">
        <v>2418</v>
      </c>
      <c r="B61" s="1" t="s">
        <v>581</v>
      </c>
      <c r="C61" s="1" t="s">
        <v>582</v>
      </c>
    </row>
    <row r="62" spans="1:3" x14ac:dyDescent="0.25">
      <c r="A62" s="1">
        <v>2423</v>
      </c>
      <c r="B62" s="1" t="s">
        <v>581</v>
      </c>
      <c r="C62" s="1" t="s">
        <v>582</v>
      </c>
    </row>
    <row r="63" spans="1:3" x14ac:dyDescent="0.25">
      <c r="A63" s="1">
        <v>2431</v>
      </c>
      <c r="B63" s="1" t="s">
        <v>581</v>
      </c>
      <c r="C63" s="1" t="s">
        <v>582</v>
      </c>
    </row>
    <row r="64" spans="1:3" x14ac:dyDescent="0.25">
      <c r="A64" s="1">
        <v>2436</v>
      </c>
      <c r="B64" s="1" t="s">
        <v>581</v>
      </c>
      <c r="C64" s="1" t="s">
        <v>582</v>
      </c>
    </row>
    <row r="65" spans="1:3" x14ac:dyDescent="0.25">
      <c r="A65" s="1">
        <v>2499</v>
      </c>
      <c r="B65" s="1" t="s">
        <v>581</v>
      </c>
      <c r="C65" s="1" t="s">
        <v>582</v>
      </c>
    </row>
    <row r="66" spans="1:3" x14ac:dyDescent="0.25">
      <c r="A66" s="1">
        <v>2501</v>
      </c>
      <c r="B66" s="1" t="s">
        <v>581</v>
      </c>
      <c r="C66" s="1" t="s">
        <v>582</v>
      </c>
    </row>
    <row r="67" spans="1:3" x14ac:dyDescent="0.25">
      <c r="A67" s="1">
        <v>2527</v>
      </c>
      <c r="B67" s="1" t="s">
        <v>581</v>
      </c>
      <c r="C67" s="1" t="s">
        <v>582</v>
      </c>
    </row>
    <row r="68" spans="1:3" x14ac:dyDescent="0.25">
      <c r="A68" s="1">
        <v>2657</v>
      </c>
      <c r="B68" s="1" t="s">
        <v>581</v>
      </c>
      <c r="C68" s="1" t="s">
        <v>582</v>
      </c>
    </row>
    <row r="69" spans="1:3" x14ac:dyDescent="0.25">
      <c r="A69" s="1">
        <v>2697</v>
      </c>
      <c r="B69" s="1" t="s">
        <v>581</v>
      </c>
      <c r="C69" s="1" t="s">
        <v>582</v>
      </c>
    </row>
    <row r="70" spans="1:3" x14ac:dyDescent="0.25">
      <c r="A70" s="1">
        <v>2841</v>
      </c>
      <c r="B70" s="1" t="s">
        <v>581</v>
      </c>
      <c r="C70" s="1" t="s">
        <v>582</v>
      </c>
    </row>
    <row r="71" spans="1:3" x14ac:dyDescent="0.25">
      <c r="A71" s="1">
        <v>2929</v>
      </c>
      <c r="B71" s="1" t="s">
        <v>581</v>
      </c>
      <c r="C71" s="1" t="s">
        <v>582</v>
      </c>
    </row>
    <row r="72" spans="1:3" x14ac:dyDescent="0.25">
      <c r="A72" s="1">
        <v>3003</v>
      </c>
      <c r="B72" s="1" t="s">
        <v>581</v>
      </c>
      <c r="C72" s="1" t="s">
        <v>582</v>
      </c>
    </row>
    <row r="73" spans="1:3" x14ac:dyDescent="0.25">
      <c r="A73" s="1">
        <v>3021</v>
      </c>
      <c r="B73" s="1" t="s">
        <v>581</v>
      </c>
      <c r="C73" s="1" t="s">
        <v>582</v>
      </c>
    </row>
    <row r="74" spans="1:3" x14ac:dyDescent="0.25">
      <c r="A74" s="1">
        <v>3022</v>
      </c>
      <c r="B74" s="1" t="s">
        <v>581</v>
      </c>
      <c r="C74" s="1" t="s">
        <v>582</v>
      </c>
    </row>
    <row r="75" spans="1:3" x14ac:dyDescent="0.25">
      <c r="A75" s="1">
        <v>3023</v>
      </c>
      <c r="B75" s="1" t="s">
        <v>581</v>
      </c>
      <c r="C75" s="1" t="s">
        <v>582</v>
      </c>
    </row>
    <row r="76" spans="1:3" x14ac:dyDescent="0.25">
      <c r="A76" s="1">
        <v>3026</v>
      </c>
      <c r="B76" s="1" t="s">
        <v>581</v>
      </c>
      <c r="C76" s="1" t="s">
        <v>582</v>
      </c>
    </row>
    <row r="77" spans="1:3" x14ac:dyDescent="0.25">
      <c r="A77" s="1">
        <v>3071</v>
      </c>
      <c r="B77" s="1" t="s">
        <v>581</v>
      </c>
      <c r="C77" s="1" t="s">
        <v>582</v>
      </c>
    </row>
    <row r="78" spans="1:3" x14ac:dyDescent="0.25">
      <c r="A78" s="1">
        <v>3079</v>
      </c>
      <c r="B78" s="1" t="s">
        <v>581</v>
      </c>
      <c r="C78" s="1" t="s">
        <v>582</v>
      </c>
    </row>
    <row r="79" spans="1:3" x14ac:dyDescent="0.25">
      <c r="A79" s="1">
        <v>3158</v>
      </c>
      <c r="B79" s="1" t="s">
        <v>581</v>
      </c>
      <c r="C79" s="1" t="s">
        <v>582</v>
      </c>
    </row>
    <row r="80" spans="1:3" x14ac:dyDescent="0.25">
      <c r="A80" s="1">
        <v>4</v>
      </c>
      <c r="B80" s="1" t="s">
        <v>573</v>
      </c>
      <c r="C80" s="1" t="s">
        <v>574</v>
      </c>
    </row>
    <row r="81" spans="1:3" x14ac:dyDescent="0.25">
      <c r="A81" s="1">
        <v>11</v>
      </c>
      <c r="B81" s="1" t="s">
        <v>573</v>
      </c>
      <c r="C81" s="1" t="s">
        <v>574</v>
      </c>
    </row>
    <row r="82" spans="1:3" x14ac:dyDescent="0.25">
      <c r="A82" s="1">
        <v>12</v>
      </c>
      <c r="B82" s="1" t="s">
        <v>573</v>
      </c>
      <c r="C82" s="1" t="s">
        <v>574</v>
      </c>
    </row>
    <row r="83" spans="1:3" x14ac:dyDescent="0.25">
      <c r="A83" s="1">
        <v>13</v>
      </c>
      <c r="B83" s="1" t="s">
        <v>573</v>
      </c>
      <c r="C83" s="1" t="s">
        <v>574</v>
      </c>
    </row>
    <row r="84" spans="1:3" x14ac:dyDescent="0.25">
      <c r="A84" s="1">
        <v>14</v>
      </c>
      <c r="B84" s="1" t="s">
        <v>573</v>
      </c>
      <c r="C84" s="1" t="s">
        <v>574</v>
      </c>
    </row>
    <row r="85" spans="1:3" x14ac:dyDescent="0.25">
      <c r="A85" s="1">
        <v>15</v>
      </c>
      <c r="B85" s="1" t="s">
        <v>573</v>
      </c>
      <c r="C85" s="1" t="s">
        <v>574</v>
      </c>
    </row>
    <row r="86" spans="1:3" x14ac:dyDescent="0.25">
      <c r="A86" s="1">
        <v>16</v>
      </c>
      <c r="B86" s="1" t="s">
        <v>573</v>
      </c>
      <c r="C86" s="1" t="s">
        <v>574</v>
      </c>
    </row>
    <row r="87" spans="1:3" x14ac:dyDescent="0.25">
      <c r="A87" s="1">
        <v>37</v>
      </c>
      <c r="B87" s="1" t="s">
        <v>573</v>
      </c>
      <c r="C87" s="1" t="s">
        <v>574</v>
      </c>
    </row>
    <row r="88" spans="1:3" x14ac:dyDescent="0.25">
      <c r="A88" s="1">
        <v>46</v>
      </c>
      <c r="B88" s="1" t="s">
        <v>573</v>
      </c>
      <c r="C88" s="1" t="s">
        <v>574</v>
      </c>
    </row>
    <row r="89" spans="1:3" x14ac:dyDescent="0.25">
      <c r="A89" s="1">
        <v>115</v>
      </c>
      <c r="B89" s="1" t="s">
        <v>573</v>
      </c>
      <c r="C89" s="1" t="s">
        <v>574</v>
      </c>
    </row>
    <row r="90" spans="1:3" x14ac:dyDescent="0.25">
      <c r="A90" s="1">
        <v>153</v>
      </c>
      <c r="B90" s="1" t="s">
        <v>573</v>
      </c>
      <c r="C90" s="1" t="s">
        <v>574</v>
      </c>
    </row>
    <row r="91" spans="1:3" x14ac:dyDescent="0.25">
      <c r="A91" s="1">
        <v>173</v>
      </c>
      <c r="B91" s="1" t="s">
        <v>573</v>
      </c>
      <c r="C91" s="1" t="s">
        <v>574</v>
      </c>
    </row>
    <row r="92" spans="1:3" x14ac:dyDescent="0.25">
      <c r="A92" s="1">
        <v>174</v>
      </c>
      <c r="B92" s="1" t="s">
        <v>573</v>
      </c>
      <c r="C92" s="1" t="s">
        <v>574</v>
      </c>
    </row>
    <row r="93" spans="1:3" x14ac:dyDescent="0.25">
      <c r="A93" s="1">
        <v>175</v>
      </c>
      <c r="B93" s="1" t="s">
        <v>573</v>
      </c>
      <c r="C93" s="1" t="s">
        <v>574</v>
      </c>
    </row>
    <row r="94" spans="1:3" x14ac:dyDescent="0.25">
      <c r="A94" s="1">
        <v>180</v>
      </c>
      <c r="B94" s="1" t="s">
        <v>573</v>
      </c>
      <c r="C94" s="1" t="s">
        <v>574</v>
      </c>
    </row>
    <row r="95" spans="1:3" x14ac:dyDescent="0.25">
      <c r="A95" s="1">
        <v>257</v>
      </c>
      <c r="B95" s="1" t="s">
        <v>573</v>
      </c>
      <c r="C95" s="1" t="s">
        <v>574</v>
      </c>
    </row>
    <row r="96" spans="1:3" x14ac:dyDescent="0.25">
      <c r="A96" s="1">
        <v>258</v>
      </c>
      <c r="B96" s="1" t="s">
        <v>573</v>
      </c>
      <c r="C96" s="1" t="s">
        <v>574</v>
      </c>
    </row>
    <row r="97" spans="1:3" x14ac:dyDescent="0.25">
      <c r="A97" s="1">
        <v>259</v>
      </c>
      <c r="B97" s="1" t="s">
        <v>573</v>
      </c>
      <c r="C97" s="1" t="s">
        <v>574</v>
      </c>
    </row>
    <row r="98" spans="1:3" x14ac:dyDescent="0.25">
      <c r="A98" s="1">
        <v>265</v>
      </c>
      <c r="B98" s="1" t="s">
        <v>573</v>
      </c>
      <c r="C98" s="1" t="s">
        <v>574</v>
      </c>
    </row>
    <row r="99" spans="1:3" x14ac:dyDescent="0.25">
      <c r="A99" s="1">
        <v>266</v>
      </c>
      <c r="B99" s="1" t="s">
        <v>573</v>
      </c>
      <c r="C99" s="1" t="s">
        <v>574</v>
      </c>
    </row>
    <row r="100" spans="1:3" x14ac:dyDescent="0.25">
      <c r="A100" s="1">
        <v>267</v>
      </c>
      <c r="B100" s="1" t="s">
        <v>573</v>
      </c>
      <c r="C100" s="1" t="s">
        <v>574</v>
      </c>
    </row>
    <row r="101" spans="1:3" x14ac:dyDescent="0.25">
      <c r="A101" s="1">
        <v>268</v>
      </c>
      <c r="B101" s="1" t="s">
        <v>573</v>
      </c>
      <c r="C101" s="1" t="s">
        <v>574</v>
      </c>
    </row>
    <row r="102" spans="1:3" x14ac:dyDescent="0.25">
      <c r="A102" s="1">
        <v>269</v>
      </c>
      <c r="B102" s="1" t="s">
        <v>573</v>
      </c>
      <c r="C102" s="1" t="s">
        <v>574</v>
      </c>
    </row>
    <row r="103" spans="1:3" x14ac:dyDescent="0.25">
      <c r="A103" s="1">
        <v>270</v>
      </c>
      <c r="B103" s="1" t="s">
        <v>573</v>
      </c>
      <c r="C103" s="1" t="s">
        <v>574</v>
      </c>
    </row>
    <row r="104" spans="1:3" x14ac:dyDescent="0.25">
      <c r="A104" s="1">
        <v>271</v>
      </c>
      <c r="B104" s="1" t="s">
        <v>573</v>
      </c>
      <c r="C104" s="1" t="s">
        <v>574</v>
      </c>
    </row>
    <row r="105" spans="1:3" x14ac:dyDescent="0.25">
      <c r="A105" s="1">
        <v>272</v>
      </c>
      <c r="B105" s="1" t="s">
        <v>573</v>
      </c>
      <c r="C105" s="1" t="s">
        <v>574</v>
      </c>
    </row>
    <row r="106" spans="1:3" x14ac:dyDescent="0.25">
      <c r="A106" s="1">
        <v>273</v>
      </c>
      <c r="B106" s="1" t="s">
        <v>573</v>
      </c>
      <c r="C106" s="1" t="s">
        <v>574</v>
      </c>
    </row>
    <row r="107" spans="1:3" x14ac:dyDescent="0.25">
      <c r="A107" s="1">
        <v>274</v>
      </c>
      <c r="B107" s="1" t="s">
        <v>573</v>
      </c>
      <c r="C107" s="1" t="s">
        <v>574</v>
      </c>
    </row>
    <row r="108" spans="1:3" x14ac:dyDescent="0.25">
      <c r="A108" s="1">
        <v>275</v>
      </c>
      <c r="B108" s="1" t="s">
        <v>573</v>
      </c>
      <c r="C108" s="1" t="s">
        <v>574</v>
      </c>
    </row>
    <row r="109" spans="1:3" x14ac:dyDescent="0.25">
      <c r="A109" s="1">
        <v>276</v>
      </c>
      <c r="B109" s="1" t="s">
        <v>573</v>
      </c>
      <c r="C109" s="1" t="s">
        <v>574</v>
      </c>
    </row>
    <row r="110" spans="1:3" x14ac:dyDescent="0.25">
      <c r="A110" s="1">
        <v>277</v>
      </c>
      <c r="B110" s="1" t="s">
        <v>573</v>
      </c>
      <c r="C110" s="1" t="s">
        <v>574</v>
      </c>
    </row>
    <row r="111" spans="1:3" x14ac:dyDescent="0.25">
      <c r="A111" s="1">
        <v>278</v>
      </c>
      <c r="B111" s="1" t="s">
        <v>573</v>
      </c>
      <c r="C111" s="1" t="s">
        <v>574</v>
      </c>
    </row>
    <row r="112" spans="1:3" x14ac:dyDescent="0.25">
      <c r="A112" s="1">
        <v>280</v>
      </c>
      <c r="B112" s="1" t="s">
        <v>573</v>
      </c>
      <c r="C112" s="1" t="s">
        <v>574</v>
      </c>
    </row>
    <row r="113" spans="1:3" x14ac:dyDescent="0.25">
      <c r="A113" s="1">
        <v>281</v>
      </c>
      <c r="B113" s="1" t="s">
        <v>573</v>
      </c>
      <c r="C113" s="1" t="s">
        <v>574</v>
      </c>
    </row>
    <row r="114" spans="1:3" x14ac:dyDescent="0.25">
      <c r="A114" s="1">
        <v>282</v>
      </c>
      <c r="B114" s="1" t="s">
        <v>573</v>
      </c>
      <c r="C114" s="1" t="s">
        <v>574</v>
      </c>
    </row>
    <row r="115" spans="1:3" x14ac:dyDescent="0.25">
      <c r="A115" s="1">
        <v>283</v>
      </c>
      <c r="B115" s="1" t="s">
        <v>573</v>
      </c>
      <c r="C115" s="1" t="s">
        <v>574</v>
      </c>
    </row>
    <row r="116" spans="1:3" x14ac:dyDescent="0.25">
      <c r="A116" s="1">
        <v>299</v>
      </c>
      <c r="B116" s="1" t="s">
        <v>573</v>
      </c>
      <c r="C116" s="1" t="s">
        <v>574</v>
      </c>
    </row>
    <row r="117" spans="1:3" x14ac:dyDescent="0.25">
      <c r="A117" s="1">
        <v>300</v>
      </c>
      <c r="B117" s="1" t="s">
        <v>573</v>
      </c>
      <c r="C117" s="1" t="s">
        <v>574</v>
      </c>
    </row>
    <row r="118" spans="1:3" x14ac:dyDescent="0.25">
      <c r="A118" s="1">
        <v>301</v>
      </c>
      <c r="B118" s="1" t="s">
        <v>573</v>
      </c>
      <c r="C118" s="1" t="s">
        <v>574</v>
      </c>
    </row>
    <row r="119" spans="1:3" x14ac:dyDescent="0.25">
      <c r="A119" s="1">
        <v>320</v>
      </c>
      <c r="B119" s="1" t="s">
        <v>573</v>
      </c>
      <c r="C119" s="1" t="s">
        <v>574</v>
      </c>
    </row>
    <row r="120" spans="1:3" x14ac:dyDescent="0.25">
      <c r="A120" s="1">
        <v>361</v>
      </c>
      <c r="B120" s="1" t="s">
        <v>573</v>
      </c>
      <c r="C120" s="1" t="s">
        <v>574</v>
      </c>
    </row>
    <row r="121" spans="1:3" x14ac:dyDescent="0.25">
      <c r="A121" s="1">
        <v>374</v>
      </c>
      <c r="B121" s="1" t="s">
        <v>573</v>
      </c>
      <c r="C121" s="1" t="s">
        <v>574</v>
      </c>
    </row>
    <row r="122" spans="1:3" x14ac:dyDescent="0.25">
      <c r="A122" s="1">
        <v>380</v>
      </c>
      <c r="B122" s="1" t="s">
        <v>573</v>
      </c>
      <c r="C122" s="1" t="s">
        <v>574</v>
      </c>
    </row>
    <row r="123" spans="1:3" x14ac:dyDescent="0.25">
      <c r="A123" s="1">
        <v>417</v>
      </c>
      <c r="B123" s="1" t="s">
        <v>573</v>
      </c>
      <c r="C123" s="1" t="s">
        <v>574</v>
      </c>
    </row>
    <row r="124" spans="1:3" x14ac:dyDescent="0.25">
      <c r="A124" s="1">
        <v>433</v>
      </c>
      <c r="B124" s="1" t="s">
        <v>573</v>
      </c>
      <c r="C124" s="1" t="s">
        <v>574</v>
      </c>
    </row>
    <row r="125" spans="1:3" x14ac:dyDescent="0.25">
      <c r="A125" s="1">
        <v>439</v>
      </c>
      <c r="B125" s="1" t="s">
        <v>573</v>
      </c>
      <c r="C125" s="1" t="s">
        <v>574</v>
      </c>
    </row>
    <row r="126" spans="1:3" x14ac:dyDescent="0.25">
      <c r="A126" s="1">
        <v>440</v>
      </c>
      <c r="B126" s="1" t="s">
        <v>573</v>
      </c>
      <c r="C126" s="1" t="s">
        <v>574</v>
      </c>
    </row>
    <row r="127" spans="1:3" x14ac:dyDescent="0.25">
      <c r="A127" s="1">
        <v>467</v>
      </c>
      <c r="B127" s="1" t="s">
        <v>573</v>
      </c>
      <c r="C127" s="1" t="s">
        <v>574</v>
      </c>
    </row>
    <row r="128" spans="1:3" x14ac:dyDescent="0.25">
      <c r="A128" s="1">
        <v>500</v>
      </c>
      <c r="B128" s="1" t="s">
        <v>573</v>
      </c>
      <c r="C128" s="1" t="s">
        <v>574</v>
      </c>
    </row>
    <row r="129" spans="1:3" x14ac:dyDescent="0.25">
      <c r="A129" s="1">
        <v>501</v>
      </c>
      <c r="B129" s="1" t="s">
        <v>573</v>
      </c>
      <c r="C129" s="1" t="s">
        <v>574</v>
      </c>
    </row>
    <row r="130" spans="1:3" x14ac:dyDescent="0.25">
      <c r="A130" s="1">
        <v>502</v>
      </c>
      <c r="B130" s="1" t="s">
        <v>573</v>
      </c>
      <c r="C130" s="1" t="s">
        <v>574</v>
      </c>
    </row>
    <row r="131" spans="1:3" x14ac:dyDescent="0.25">
      <c r="A131" s="1">
        <v>581</v>
      </c>
      <c r="B131" s="1" t="s">
        <v>573</v>
      </c>
      <c r="C131" s="1" t="s">
        <v>574</v>
      </c>
    </row>
    <row r="132" spans="1:3" x14ac:dyDescent="0.25">
      <c r="A132" s="1">
        <v>768</v>
      </c>
      <c r="B132" s="1" t="s">
        <v>573</v>
      </c>
      <c r="C132" s="1" t="s">
        <v>574</v>
      </c>
    </row>
    <row r="133" spans="1:3" x14ac:dyDescent="0.25">
      <c r="A133" s="1">
        <v>802</v>
      </c>
      <c r="B133" s="1" t="s">
        <v>573</v>
      </c>
      <c r="C133" s="1" t="s">
        <v>574</v>
      </c>
    </row>
    <row r="134" spans="1:3" x14ac:dyDescent="0.25">
      <c r="A134" s="1">
        <v>810</v>
      </c>
      <c r="B134" s="1" t="s">
        <v>573</v>
      </c>
      <c r="C134" s="1" t="s">
        <v>574</v>
      </c>
    </row>
    <row r="135" spans="1:3" x14ac:dyDescent="0.25">
      <c r="A135" s="1">
        <v>822</v>
      </c>
      <c r="B135" s="1" t="s">
        <v>573</v>
      </c>
      <c r="C135" s="1" t="s">
        <v>574</v>
      </c>
    </row>
    <row r="136" spans="1:3" x14ac:dyDescent="0.25">
      <c r="A136" s="1">
        <v>836</v>
      </c>
      <c r="B136" s="1" t="s">
        <v>573</v>
      </c>
      <c r="C136" s="1" t="s">
        <v>574</v>
      </c>
    </row>
    <row r="137" spans="1:3" x14ac:dyDescent="0.25">
      <c r="A137" s="1">
        <v>844</v>
      </c>
      <c r="B137" s="1" t="s">
        <v>573</v>
      </c>
      <c r="C137" s="1" t="s">
        <v>574</v>
      </c>
    </row>
    <row r="138" spans="1:3" x14ac:dyDescent="0.25">
      <c r="A138" s="1">
        <v>852</v>
      </c>
      <c r="B138" s="1" t="s">
        <v>573</v>
      </c>
      <c r="C138" s="1" t="s">
        <v>574</v>
      </c>
    </row>
    <row r="139" spans="1:3" x14ac:dyDescent="0.25">
      <c r="A139" s="1">
        <v>859</v>
      </c>
      <c r="B139" s="1" t="s">
        <v>573</v>
      </c>
      <c r="C139" s="1" t="s">
        <v>574</v>
      </c>
    </row>
    <row r="140" spans="1:3" x14ac:dyDescent="0.25">
      <c r="A140" s="1">
        <v>924</v>
      </c>
      <c r="B140" s="1" t="s">
        <v>573</v>
      </c>
      <c r="C140" s="1" t="s">
        <v>574</v>
      </c>
    </row>
    <row r="141" spans="1:3" x14ac:dyDescent="0.25">
      <c r="A141" s="1">
        <v>948</v>
      </c>
      <c r="B141" s="1" t="s">
        <v>573</v>
      </c>
      <c r="C141" s="1" t="s">
        <v>574</v>
      </c>
    </row>
    <row r="142" spans="1:3" x14ac:dyDescent="0.25">
      <c r="A142" s="1">
        <v>972</v>
      </c>
      <c r="B142" s="1" t="s">
        <v>573</v>
      </c>
      <c r="C142" s="1" t="s">
        <v>574</v>
      </c>
    </row>
    <row r="143" spans="1:3" x14ac:dyDescent="0.25">
      <c r="A143" s="1">
        <v>1000</v>
      </c>
      <c r="B143" s="1" t="s">
        <v>573</v>
      </c>
      <c r="C143" s="1" t="s">
        <v>574</v>
      </c>
    </row>
    <row r="144" spans="1:3" x14ac:dyDescent="0.25">
      <c r="A144" s="1">
        <v>1004</v>
      </c>
      <c r="B144" s="1" t="s">
        <v>573</v>
      </c>
      <c r="C144" s="1" t="s">
        <v>574</v>
      </c>
    </row>
    <row r="145" spans="1:3" x14ac:dyDescent="0.25">
      <c r="A145" s="1">
        <v>1012</v>
      </c>
      <c r="B145" s="1" t="s">
        <v>573</v>
      </c>
      <c r="C145" s="1" t="s">
        <v>574</v>
      </c>
    </row>
    <row r="146" spans="1:3" x14ac:dyDescent="0.25">
      <c r="A146" s="1">
        <v>1025</v>
      </c>
      <c r="B146" s="1" t="s">
        <v>573</v>
      </c>
      <c r="C146" s="1" t="s">
        <v>574</v>
      </c>
    </row>
    <row r="147" spans="1:3" x14ac:dyDescent="0.25">
      <c r="A147" s="1">
        <v>1027</v>
      </c>
      <c r="B147" s="1" t="s">
        <v>573</v>
      </c>
      <c r="C147" s="1" t="s">
        <v>574</v>
      </c>
    </row>
    <row r="148" spans="1:3" x14ac:dyDescent="0.25">
      <c r="A148" s="1">
        <v>1041</v>
      </c>
      <c r="B148" s="1" t="s">
        <v>573</v>
      </c>
      <c r="C148" s="1" t="s">
        <v>574</v>
      </c>
    </row>
    <row r="149" spans="1:3" x14ac:dyDescent="0.25">
      <c r="A149" s="1">
        <v>1043</v>
      </c>
      <c r="B149" s="1" t="s">
        <v>573</v>
      </c>
      <c r="C149" s="1" t="s">
        <v>574</v>
      </c>
    </row>
    <row r="150" spans="1:3" x14ac:dyDescent="0.25">
      <c r="A150" s="1">
        <v>1056</v>
      </c>
      <c r="B150" s="1" t="s">
        <v>573</v>
      </c>
      <c r="C150" s="1" t="s">
        <v>574</v>
      </c>
    </row>
    <row r="151" spans="1:3" x14ac:dyDescent="0.25">
      <c r="A151" s="1">
        <v>1058</v>
      </c>
      <c r="B151" s="1" t="s">
        <v>573</v>
      </c>
      <c r="C151" s="1" t="s">
        <v>574</v>
      </c>
    </row>
    <row r="152" spans="1:3" x14ac:dyDescent="0.25">
      <c r="A152" s="1">
        <v>1074</v>
      </c>
      <c r="B152" s="1" t="s">
        <v>573</v>
      </c>
      <c r="C152" s="1" t="s">
        <v>574</v>
      </c>
    </row>
    <row r="153" spans="1:3" x14ac:dyDescent="0.25">
      <c r="A153" s="1">
        <v>1090</v>
      </c>
      <c r="B153" s="1" t="s">
        <v>573</v>
      </c>
      <c r="C153" s="1" t="s">
        <v>574</v>
      </c>
    </row>
    <row r="154" spans="1:3" x14ac:dyDescent="0.25">
      <c r="A154" s="1">
        <v>1099</v>
      </c>
      <c r="B154" s="1" t="s">
        <v>573</v>
      </c>
      <c r="C154" s="1" t="s">
        <v>574</v>
      </c>
    </row>
    <row r="155" spans="1:3" x14ac:dyDescent="0.25">
      <c r="A155" s="1">
        <v>1111</v>
      </c>
      <c r="B155" s="1" t="s">
        <v>573</v>
      </c>
      <c r="C155" s="1" t="s">
        <v>574</v>
      </c>
    </row>
    <row r="156" spans="1:3" x14ac:dyDescent="0.25">
      <c r="A156" s="1">
        <v>1114</v>
      </c>
      <c r="B156" s="1" t="s">
        <v>573</v>
      </c>
      <c r="C156" s="1" t="s">
        <v>574</v>
      </c>
    </row>
    <row r="157" spans="1:3" x14ac:dyDescent="0.25">
      <c r="A157" s="1">
        <v>1146</v>
      </c>
      <c r="B157" s="1" t="s">
        <v>573</v>
      </c>
      <c r="C157" s="1" t="s">
        <v>574</v>
      </c>
    </row>
    <row r="158" spans="1:3" x14ac:dyDescent="0.25">
      <c r="A158" s="1">
        <v>1166</v>
      </c>
      <c r="B158" s="1" t="s">
        <v>573</v>
      </c>
      <c r="C158" s="1" t="s">
        <v>574</v>
      </c>
    </row>
    <row r="159" spans="1:3" x14ac:dyDescent="0.25">
      <c r="A159" s="1">
        <v>1171</v>
      </c>
      <c r="B159" s="1" t="s">
        <v>573</v>
      </c>
      <c r="C159" s="1" t="s">
        <v>574</v>
      </c>
    </row>
    <row r="160" spans="1:3" x14ac:dyDescent="0.25">
      <c r="A160" s="1">
        <v>1187</v>
      </c>
      <c r="B160" s="1" t="s">
        <v>573</v>
      </c>
      <c r="C160" s="1" t="s">
        <v>574</v>
      </c>
    </row>
    <row r="161" spans="1:3" x14ac:dyDescent="0.25">
      <c r="A161" s="1">
        <v>1189</v>
      </c>
      <c r="B161" s="1" t="s">
        <v>573</v>
      </c>
      <c r="C161" s="1" t="s">
        <v>574</v>
      </c>
    </row>
    <row r="162" spans="1:3" x14ac:dyDescent="0.25">
      <c r="A162" s="1">
        <v>1364</v>
      </c>
      <c r="B162" s="1" t="s">
        <v>573</v>
      </c>
      <c r="C162" s="1" t="s">
        <v>574</v>
      </c>
    </row>
    <row r="163" spans="1:3" x14ac:dyDescent="0.25">
      <c r="A163" s="1">
        <v>1379</v>
      </c>
      <c r="B163" s="1" t="s">
        <v>573</v>
      </c>
      <c r="C163" s="1" t="s">
        <v>574</v>
      </c>
    </row>
    <row r="164" spans="1:3" x14ac:dyDescent="0.25">
      <c r="A164" s="1">
        <v>1425</v>
      </c>
      <c r="B164" s="1" t="s">
        <v>573</v>
      </c>
      <c r="C164" s="1" t="s">
        <v>574</v>
      </c>
    </row>
    <row r="165" spans="1:3" x14ac:dyDescent="0.25">
      <c r="A165" s="1">
        <v>1442</v>
      </c>
      <c r="B165" s="1" t="s">
        <v>573</v>
      </c>
      <c r="C165" s="1" t="s">
        <v>574</v>
      </c>
    </row>
    <row r="166" spans="1:3" x14ac:dyDescent="0.25">
      <c r="A166" s="1">
        <v>1459</v>
      </c>
      <c r="B166" s="1" t="s">
        <v>573</v>
      </c>
      <c r="C166" s="1" t="s">
        <v>574</v>
      </c>
    </row>
    <row r="167" spans="1:3" x14ac:dyDescent="0.25">
      <c r="A167" s="1">
        <v>1493</v>
      </c>
      <c r="B167" s="1" t="s">
        <v>573</v>
      </c>
      <c r="C167" s="1" t="s">
        <v>574</v>
      </c>
    </row>
    <row r="168" spans="1:3" x14ac:dyDescent="0.25">
      <c r="A168" s="1">
        <v>1512</v>
      </c>
      <c r="B168" s="1" t="s">
        <v>573</v>
      </c>
      <c r="C168" s="1" t="s">
        <v>574</v>
      </c>
    </row>
    <row r="169" spans="1:3" x14ac:dyDescent="0.25">
      <c r="A169" s="1">
        <v>1555</v>
      </c>
      <c r="B169" s="1" t="s">
        <v>573</v>
      </c>
      <c r="C169" s="1" t="s">
        <v>574</v>
      </c>
    </row>
    <row r="170" spans="1:3" x14ac:dyDescent="0.25">
      <c r="A170" s="1">
        <v>1580</v>
      </c>
      <c r="B170" s="1" t="s">
        <v>573</v>
      </c>
      <c r="C170" s="1" t="s">
        <v>574</v>
      </c>
    </row>
    <row r="171" spans="1:3" x14ac:dyDescent="0.25">
      <c r="A171" s="1">
        <v>1581</v>
      </c>
      <c r="B171" s="1" t="s">
        <v>573</v>
      </c>
      <c r="C171" s="1" t="s">
        <v>574</v>
      </c>
    </row>
    <row r="172" spans="1:3" x14ac:dyDescent="0.25">
      <c r="A172" s="1">
        <v>1583</v>
      </c>
      <c r="B172" s="1" t="s">
        <v>573</v>
      </c>
      <c r="C172" s="1" t="s">
        <v>574</v>
      </c>
    </row>
    <row r="173" spans="1:3" x14ac:dyDescent="0.25">
      <c r="A173" s="1">
        <v>1638</v>
      </c>
      <c r="B173" s="1" t="s">
        <v>573</v>
      </c>
      <c r="C173" s="1" t="s">
        <v>574</v>
      </c>
    </row>
    <row r="174" spans="1:3" x14ac:dyDescent="0.25">
      <c r="A174" s="1">
        <v>1641</v>
      </c>
      <c r="B174" s="1" t="s">
        <v>573</v>
      </c>
      <c r="C174" s="1" t="s">
        <v>574</v>
      </c>
    </row>
    <row r="175" spans="1:3" x14ac:dyDescent="0.25">
      <c r="A175" s="1">
        <v>1673</v>
      </c>
      <c r="B175" s="1" t="s">
        <v>573</v>
      </c>
      <c r="C175" s="1" t="s">
        <v>574</v>
      </c>
    </row>
    <row r="176" spans="1:3" x14ac:dyDescent="0.25">
      <c r="A176" s="1">
        <v>1674</v>
      </c>
      <c r="B176" s="1" t="s">
        <v>573</v>
      </c>
      <c r="C176" s="1" t="s">
        <v>574</v>
      </c>
    </row>
    <row r="177" spans="1:3" x14ac:dyDescent="0.25">
      <c r="A177" s="1">
        <v>1675</v>
      </c>
      <c r="B177" s="1" t="s">
        <v>573</v>
      </c>
      <c r="C177" s="1" t="s">
        <v>574</v>
      </c>
    </row>
    <row r="178" spans="1:3" x14ac:dyDescent="0.25">
      <c r="A178" s="1">
        <v>1689</v>
      </c>
      <c r="B178" s="1" t="s">
        <v>573</v>
      </c>
      <c r="C178" s="1" t="s">
        <v>574</v>
      </c>
    </row>
    <row r="179" spans="1:3" x14ac:dyDescent="0.25">
      <c r="A179" s="1">
        <v>1714</v>
      </c>
      <c r="B179" s="1" t="s">
        <v>573</v>
      </c>
      <c r="C179" s="1" t="s">
        <v>574</v>
      </c>
    </row>
    <row r="180" spans="1:3" x14ac:dyDescent="0.25">
      <c r="A180" s="1">
        <v>1731</v>
      </c>
      <c r="B180" s="1" t="s">
        <v>573</v>
      </c>
      <c r="C180" s="1" t="s">
        <v>574</v>
      </c>
    </row>
    <row r="181" spans="1:3" x14ac:dyDescent="0.25">
      <c r="A181" s="1">
        <v>1743</v>
      </c>
      <c r="B181" s="1" t="s">
        <v>573</v>
      </c>
      <c r="C181" s="1" t="s">
        <v>574</v>
      </c>
    </row>
    <row r="182" spans="1:3" x14ac:dyDescent="0.25">
      <c r="A182" s="1">
        <v>1759</v>
      </c>
      <c r="B182" s="1" t="s">
        <v>573</v>
      </c>
      <c r="C182" s="1" t="s">
        <v>574</v>
      </c>
    </row>
    <row r="183" spans="1:3" x14ac:dyDescent="0.25">
      <c r="A183" s="1">
        <v>1788</v>
      </c>
      <c r="B183" s="1" t="s">
        <v>573</v>
      </c>
      <c r="C183" s="1" t="s">
        <v>574</v>
      </c>
    </row>
    <row r="184" spans="1:3" x14ac:dyDescent="0.25">
      <c r="A184" s="1">
        <v>1797</v>
      </c>
      <c r="B184" s="1" t="s">
        <v>573</v>
      </c>
      <c r="C184" s="1" t="s">
        <v>574</v>
      </c>
    </row>
    <row r="185" spans="1:3" x14ac:dyDescent="0.25">
      <c r="A185" s="1">
        <v>1833</v>
      </c>
      <c r="B185" s="1" t="s">
        <v>573</v>
      </c>
      <c r="C185" s="1" t="s">
        <v>574</v>
      </c>
    </row>
    <row r="186" spans="1:3" x14ac:dyDescent="0.25">
      <c r="A186" s="1">
        <v>1835</v>
      </c>
      <c r="B186" s="1" t="s">
        <v>573</v>
      </c>
      <c r="C186" s="1" t="s">
        <v>574</v>
      </c>
    </row>
    <row r="187" spans="1:3" x14ac:dyDescent="0.25">
      <c r="A187" s="1">
        <v>1849</v>
      </c>
      <c r="B187" s="1" t="s">
        <v>573</v>
      </c>
      <c r="C187" s="1" t="s">
        <v>574</v>
      </c>
    </row>
    <row r="188" spans="1:3" x14ac:dyDescent="0.25">
      <c r="A188" s="1">
        <v>1859</v>
      </c>
      <c r="B188" s="1" t="s">
        <v>573</v>
      </c>
      <c r="C188" s="1" t="s">
        <v>574</v>
      </c>
    </row>
    <row r="189" spans="1:3" x14ac:dyDescent="0.25">
      <c r="A189" s="1">
        <v>1863</v>
      </c>
      <c r="B189" s="1" t="s">
        <v>573</v>
      </c>
      <c r="C189" s="1" t="s">
        <v>574</v>
      </c>
    </row>
    <row r="190" spans="1:3" x14ac:dyDescent="0.25">
      <c r="A190" s="1">
        <v>1887</v>
      </c>
      <c r="B190" s="1" t="s">
        <v>573</v>
      </c>
      <c r="C190" s="1" t="s">
        <v>574</v>
      </c>
    </row>
    <row r="191" spans="1:3" x14ac:dyDescent="0.25">
      <c r="A191" s="1">
        <v>1890</v>
      </c>
      <c r="B191" s="1" t="s">
        <v>573</v>
      </c>
      <c r="C191" s="1" t="s">
        <v>574</v>
      </c>
    </row>
    <row r="192" spans="1:3" x14ac:dyDescent="0.25">
      <c r="A192" s="1">
        <v>1895</v>
      </c>
      <c r="B192" s="1" t="s">
        <v>573</v>
      </c>
      <c r="C192" s="1" t="s">
        <v>574</v>
      </c>
    </row>
    <row r="193" spans="1:3" x14ac:dyDescent="0.25">
      <c r="A193" s="1">
        <v>1896</v>
      </c>
      <c r="B193" s="1" t="s">
        <v>573</v>
      </c>
      <c r="C193" s="1" t="s">
        <v>574</v>
      </c>
    </row>
    <row r="194" spans="1:3" x14ac:dyDescent="0.25">
      <c r="A194" s="1">
        <v>1898</v>
      </c>
      <c r="B194" s="1" t="s">
        <v>573</v>
      </c>
      <c r="C194" s="1" t="s">
        <v>574</v>
      </c>
    </row>
    <row r="195" spans="1:3" x14ac:dyDescent="0.25">
      <c r="A195" s="1">
        <v>1899</v>
      </c>
      <c r="B195" s="1" t="s">
        <v>573</v>
      </c>
      <c r="C195" s="1" t="s">
        <v>574</v>
      </c>
    </row>
    <row r="196" spans="1:3" x14ac:dyDescent="0.25">
      <c r="A196" s="1">
        <v>1900</v>
      </c>
      <c r="B196" s="1" t="s">
        <v>573</v>
      </c>
      <c r="C196" s="1" t="s">
        <v>574</v>
      </c>
    </row>
    <row r="197" spans="1:3" x14ac:dyDescent="0.25">
      <c r="A197" s="1">
        <v>1914</v>
      </c>
      <c r="B197" s="1" t="s">
        <v>573</v>
      </c>
      <c r="C197" s="1" t="s">
        <v>574</v>
      </c>
    </row>
    <row r="198" spans="1:3" x14ac:dyDescent="0.25">
      <c r="A198" s="1">
        <v>1919</v>
      </c>
      <c r="B198" s="1" t="s">
        <v>573</v>
      </c>
      <c r="C198" s="1" t="s">
        <v>574</v>
      </c>
    </row>
    <row r="199" spans="1:3" x14ac:dyDescent="0.25">
      <c r="A199" s="1">
        <v>1920</v>
      </c>
      <c r="B199" s="1" t="s">
        <v>573</v>
      </c>
      <c r="C199" s="1" t="s">
        <v>574</v>
      </c>
    </row>
    <row r="200" spans="1:3" x14ac:dyDescent="0.25">
      <c r="A200" s="1">
        <v>1925</v>
      </c>
      <c r="B200" s="1" t="s">
        <v>573</v>
      </c>
      <c r="C200" s="1" t="s">
        <v>574</v>
      </c>
    </row>
    <row r="201" spans="1:3" x14ac:dyDescent="0.25">
      <c r="A201" s="1">
        <v>1928</v>
      </c>
      <c r="B201" s="1" t="s">
        <v>573</v>
      </c>
      <c r="C201" s="1" t="s">
        <v>574</v>
      </c>
    </row>
    <row r="202" spans="1:3" x14ac:dyDescent="0.25">
      <c r="A202" s="1">
        <v>1930</v>
      </c>
      <c r="B202" s="1" t="s">
        <v>573</v>
      </c>
      <c r="C202" s="1" t="s">
        <v>574</v>
      </c>
    </row>
    <row r="203" spans="1:3" x14ac:dyDescent="0.25">
      <c r="A203" s="1">
        <v>1931</v>
      </c>
      <c r="B203" s="1" t="s">
        <v>573</v>
      </c>
      <c r="C203" s="1" t="s">
        <v>574</v>
      </c>
    </row>
    <row r="204" spans="1:3" x14ac:dyDescent="0.25">
      <c r="A204" s="1">
        <v>1932</v>
      </c>
      <c r="B204" s="1" t="s">
        <v>573</v>
      </c>
      <c r="C204" s="1" t="s">
        <v>574</v>
      </c>
    </row>
    <row r="205" spans="1:3" x14ac:dyDescent="0.25">
      <c r="A205" s="1">
        <v>1933</v>
      </c>
      <c r="B205" s="1" t="s">
        <v>573</v>
      </c>
      <c r="C205" s="1" t="s">
        <v>574</v>
      </c>
    </row>
    <row r="206" spans="1:3" x14ac:dyDescent="0.25">
      <c r="A206" s="1">
        <v>1934</v>
      </c>
      <c r="B206" s="1" t="s">
        <v>573</v>
      </c>
      <c r="C206" s="1" t="s">
        <v>574</v>
      </c>
    </row>
    <row r="207" spans="1:3" x14ac:dyDescent="0.25">
      <c r="A207" s="1">
        <v>1935</v>
      </c>
      <c r="B207" s="1" t="s">
        <v>573</v>
      </c>
      <c r="C207" s="1" t="s">
        <v>574</v>
      </c>
    </row>
    <row r="208" spans="1:3" x14ac:dyDescent="0.25">
      <c r="A208" s="1">
        <v>1936</v>
      </c>
      <c r="B208" s="1" t="s">
        <v>573</v>
      </c>
      <c r="C208" s="1" t="s">
        <v>574</v>
      </c>
    </row>
    <row r="209" spans="1:3" x14ac:dyDescent="0.25">
      <c r="A209" s="1">
        <v>1956</v>
      </c>
      <c r="B209" s="1" t="s">
        <v>573</v>
      </c>
      <c r="C209" s="1" t="s">
        <v>574</v>
      </c>
    </row>
    <row r="210" spans="1:3" x14ac:dyDescent="0.25">
      <c r="A210" s="1">
        <v>1957</v>
      </c>
      <c r="B210" s="1" t="s">
        <v>573</v>
      </c>
      <c r="C210" s="1" t="s">
        <v>574</v>
      </c>
    </row>
    <row r="211" spans="1:3" x14ac:dyDescent="0.25">
      <c r="A211" s="1">
        <v>1958</v>
      </c>
      <c r="B211" s="1" t="s">
        <v>573</v>
      </c>
      <c r="C211" s="1" t="s">
        <v>574</v>
      </c>
    </row>
    <row r="212" spans="1:3" x14ac:dyDescent="0.25">
      <c r="A212" s="1">
        <v>2016</v>
      </c>
      <c r="B212" s="1" t="s">
        <v>573</v>
      </c>
      <c r="C212" s="1" t="s">
        <v>574</v>
      </c>
    </row>
    <row r="213" spans="1:3" x14ac:dyDescent="0.25">
      <c r="A213" s="1">
        <v>2065</v>
      </c>
      <c r="B213" s="1" t="s">
        <v>573</v>
      </c>
      <c r="C213" s="1" t="s">
        <v>574</v>
      </c>
    </row>
    <row r="214" spans="1:3" x14ac:dyDescent="0.25">
      <c r="A214" s="1">
        <v>2070</v>
      </c>
      <c r="B214" s="1" t="s">
        <v>573</v>
      </c>
      <c r="C214" s="1" t="s">
        <v>574</v>
      </c>
    </row>
    <row r="215" spans="1:3" x14ac:dyDescent="0.25">
      <c r="A215" s="1">
        <v>2086</v>
      </c>
      <c r="B215" s="1" t="s">
        <v>573</v>
      </c>
      <c r="C215" s="1" t="s">
        <v>574</v>
      </c>
    </row>
    <row r="216" spans="1:3" x14ac:dyDescent="0.25">
      <c r="A216" s="1">
        <v>2104</v>
      </c>
      <c r="B216" s="1" t="s">
        <v>573</v>
      </c>
      <c r="C216" s="1" t="s">
        <v>574</v>
      </c>
    </row>
    <row r="217" spans="1:3" x14ac:dyDescent="0.25">
      <c r="A217" s="1">
        <v>2126</v>
      </c>
      <c r="B217" s="1" t="s">
        <v>573</v>
      </c>
      <c r="C217" s="1" t="s">
        <v>574</v>
      </c>
    </row>
    <row r="218" spans="1:3" x14ac:dyDescent="0.25">
      <c r="A218" s="1">
        <v>2140</v>
      </c>
      <c r="B218" s="1" t="s">
        <v>573</v>
      </c>
      <c r="C218" s="1" t="s">
        <v>574</v>
      </c>
    </row>
    <row r="219" spans="1:3" x14ac:dyDescent="0.25">
      <c r="A219" s="1">
        <v>2144</v>
      </c>
      <c r="B219" s="1" t="s">
        <v>573</v>
      </c>
      <c r="C219" s="1" t="s">
        <v>574</v>
      </c>
    </row>
    <row r="220" spans="1:3" x14ac:dyDescent="0.25">
      <c r="A220" s="1">
        <v>2151</v>
      </c>
      <c r="B220" s="1" t="s">
        <v>573</v>
      </c>
      <c r="C220" s="1" t="s">
        <v>574</v>
      </c>
    </row>
    <row r="221" spans="1:3" x14ac:dyDescent="0.25">
      <c r="A221" s="1">
        <v>2172</v>
      </c>
      <c r="B221" s="1" t="s">
        <v>573</v>
      </c>
      <c r="C221" s="1" t="s">
        <v>574</v>
      </c>
    </row>
    <row r="222" spans="1:3" x14ac:dyDescent="0.25">
      <c r="A222" s="1">
        <v>2173</v>
      </c>
      <c r="B222" s="1" t="s">
        <v>573</v>
      </c>
      <c r="C222" s="1" t="s">
        <v>574</v>
      </c>
    </row>
    <row r="223" spans="1:3" x14ac:dyDescent="0.25">
      <c r="A223" s="1">
        <v>2181</v>
      </c>
      <c r="B223" s="1" t="s">
        <v>573</v>
      </c>
      <c r="C223" s="1" t="s">
        <v>574</v>
      </c>
    </row>
    <row r="224" spans="1:3" x14ac:dyDescent="0.25">
      <c r="A224" s="1">
        <v>2198</v>
      </c>
      <c r="B224" s="1" t="s">
        <v>573</v>
      </c>
      <c r="C224" s="1" t="s">
        <v>574</v>
      </c>
    </row>
    <row r="225" spans="1:3" x14ac:dyDescent="0.25">
      <c r="A225" s="1">
        <v>2250</v>
      </c>
      <c r="B225" s="1" t="s">
        <v>573</v>
      </c>
      <c r="C225" s="1" t="s">
        <v>574</v>
      </c>
    </row>
    <row r="226" spans="1:3" x14ac:dyDescent="0.25">
      <c r="A226" s="1">
        <v>2253</v>
      </c>
      <c r="B226" s="1" t="s">
        <v>573</v>
      </c>
      <c r="C226" s="1" t="s">
        <v>574</v>
      </c>
    </row>
    <row r="227" spans="1:3" x14ac:dyDescent="0.25">
      <c r="A227" s="1">
        <v>2295</v>
      </c>
      <c r="B227" s="1" t="s">
        <v>573</v>
      </c>
      <c r="C227" s="1" t="s">
        <v>574</v>
      </c>
    </row>
    <row r="228" spans="1:3" x14ac:dyDescent="0.25">
      <c r="A228" s="1">
        <v>2305</v>
      </c>
      <c r="B228" s="1" t="s">
        <v>573</v>
      </c>
      <c r="C228" s="1" t="s">
        <v>574</v>
      </c>
    </row>
    <row r="229" spans="1:3" x14ac:dyDescent="0.25">
      <c r="A229" s="1">
        <v>2322</v>
      </c>
      <c r="B229" s="1" t="s">
        <v>573</v>
      </c>
      <c r="C229" s="1" t="s">
        <v>574</v>
      </c>
    </row>
    <row r="230" spans="1:3" x14ac:dyDescent="0.25">
      <c r="A230" s="1">
        <v>2374</v>
      </c>
      <c r="B230" s="1" t="s">
        <v>573</v>
      </c>
      <c r="C230" s="1" t="s">
        <v>574</v>
      </c>
    </row>
    <row r="231" spans="1:3" x14ac:dyDescent="0.25">
      <c r="A231" s="1">
        <v>2389</v>
      </c>
      <c r="B231" s="1" t="s">
        <v>573</v>
      </c>
      <c r="C231" s="1" t="s">
        <v>574</v>
      </c>
    </row>
    <row r="232" spans="1:3" x14ac:dyDescent="0.25">
      <c r="A232" s="1">
        <v>2402</v>
      </c>
      <c r="B232" s="1" t="s">
        <v>573</v>
      </c>
      <c r="C232" s="1" t="s">
        <v>574</v>
      </c>
    </row>
    <row r="233" spans="1:3" x14ac:dyDescent="0.25">
      <c r="A233" s="1">
        <v>2437</v>
      </c>
      <c r="B233" s="1" t="s">
        <v>573</v>
      </c>
      <c r="C233" s="1" t="s">
        <v>574</v>
      </c>
    </row>
    <row r="234" spans="1:3" x14ac:dyDescent="0.25">
      <c r="A234" s="1">
        <v>2438</v>
      </c>
      <c r="B234" s="1" t="s">
        <v>573</v>
      </c>
      <c r="C234" s="1" t="s">
        <v>574</v>
      </c>
    </row>
    <row r="235" spans="1:3" x14ac:dyDescent="0.25">
      <c r="A235" s="1">
        <v>2462</v>
      </c>
      <c r="B235" s="1" t="s">
        <v>573</v>
      </c>
      <c r="C235" s="1" t="s">
        <v>574</v>
      </c>
    </row>
    <row r="236" spans="1:3" x14ac:dyDescent="0.25">
      <c r="A236" s="1">
        <v>2466</v>
      </c>
      <c r="B236" s="1" t="s">
        <v>573</v>
      </c>
      <c r="C236" s="1" t="s">
        <v>574</v>
      </c>
    </row>
    <row r="237" spans="1:3" x14ac:dyDescent="0.25">
      <c r="A237" s="1">
        <v>2468</v>
      </c>
      <c r="B237" s="1" t="s">
        <v>573</v>
      </c>
      <c r="C237" s="1" t="s">
        <v>574</v>
      </c>
    </row>
    <row r="238" spans="1:3" x14ac:dyDescent="0.25">
      <c r="A238" s="1">
        <v>2469</v>
      </c>
      <c r="B238" s="1" t="s">
        <v>573</v>
      </c>
      <c r="C238" s="1" t="s">
        <v>574</v>
      </c>
    </row>
    <row r="239" spans="1:3" x14ac:dyDescent="0.25">
      <c r="A239" s="1">
        <v>2471</v>
      </c>
      <c r="B239" s="1" t="s">
        <v>573</v>
      </c>
      <c r="C239" s="1" t="s">
        <v>574</v>
      </c>
    </row>
    <row r="240" spans="1:3" x14ac:dyDescent="0.25">
      <c r="A240" s="1">
        <v>2473</v>
      </c>
      <c r="B240" s="1" t="s">
        <v>573</v>
      </c>
      <c r="C240" s="1" t="s">
        <v>574</v>
      </c>
    </row>
    <row r="241" spans="1:3" x14ac:dyDescent="0.25">
      <c r="A241" s="1">
        <v>2474</v>
      </c>
      <c r="B241" s="1" t="s">
        <v>573</v>
      </c>
      <c r="C241" s="1" t="s">
        <v>574</v>
      </c>
    </row>
    <row r="242" spans="1:3" x14ac:dyDescent="0.25">
      <c r="A242" s="1">
        <v>2475</v>
      </c>
      <c r="B242" s="1" t="s">
        <v>573</v>
      </c>
      <c r="C242" s="1" t="s">
        <v>574</v>
      </c>
    </row>
    <row r="243" spans="1:3" x14ac:dyDescent="0.25">
      <c r="A243" s="1">
        <v>2477</v>
      </c>
      <c r="B243" s="1" t="s">
        <v>573</v>
      </c>
      <c r="C243" s="1" t="s">
        <v>574</v>
      </c>
    </row>
    <row r="244" spans="1:3" x14ac:dyDescent="0.25">
      <c r="A244" s="1">
        <v>2478</v>
      </c>
      <c r="B244" s="1" t="s">
        <v>573</v>
      </c>
      <c r="C244" s="1" t="s">
        <v>574</v>
      </c>
    </row>
    <row r="245" spans="1:3" x14ac:dyDescent="0.25">
      <c r="A245" s="1">
        <v>2480</v>
      </c>
      <c r="B245" s="1" t="s">
        <v>573</v>
      </c>
      <c r="C245" s="1" t="s">
        <v>574</v>
      </c>
    </row>
    <row r="246" spans="1:3" x14ac:dyDescent="0.25">
      <c r="A246" s="1">
        <v>2484</v>
      </c>
      <c r="B246" s="1" t="s">
        <v>573</v>
      </c>
      <c r="C246" s="1" t="s">
        <v>574</v>
      </c>
    </row>
    <row r="247" spans="1:3" x14ac:dyDescent="0.25">
      <c r="A247" s="1">
        <v>2485</v>
      </c>
      <c r="B247" s="1" t="s">
        <v>573</v>
      </c>
      <c r="C247" s="1" t="s">
        <v>574</v>
      </c>
    </row>
    <row r="248" spans="1:3" x14ac:dyDescent="0.25">
      <c r="A248" s="1">
        <v>2511</v>
      </c>
      <c r="B248" s="1" t="s">
        <v>573</v>
      </c>
      <c r="C248" s="1" t="s">
        <v>574</v>
      </c>
    </row>
    <row r="249" spans="1:3" x14ac:dyDescent="0.25">
      <c r="A249" s="1">
        <v>2530</v>
      </c>
      <c r="B249" s="1" t="s">
        <v>573</v>
      </c>
      <c r="C249" s="1" t="s">
        <v>574</v>
      </c>
    </row>
    <row r="250" spans="1:3" x14ac:dyDescent="0.25">
      <c r="A250" s="1">
        <v>2533</v>
      </c>
      <c r="B250" s="1" t="s">
        <v>573</v>
      </c>
      <c r="C250" s="1" t="s">
        <v>574</v>
      </c>
    </row>
    <row r="251" spans="1:3" x14ac:dyDescent="0.25">
      <c r="A251" s="1">
        <v>2535</v>
      </c>
      <c r="B251" s="1" t="s">
        <v>573</v>
      </c>
      <c r="C251" s="1" t="s">
        <v>574</v>
      </c>
    </row>
    <row r="252" spans="1:3" x14ac:dyDescent="0.25">
      <c r="A252" s="1">
        <v>2537</v>
      </c>
      <c r="B252" s="1" t="s">
        <v>573</v>
      </c>
      <c r="C252" s="1" t="s">
        <v>574</v>
      </c>
    </row>
    <row r="253" spans="1:3" x14ac:dyDescent="0.25">
      <c r="A253" s="1">
        <v>2666</v>
      </c>
      <c r="B253" s="1" t="s">
        <v>573</v>
      </c>
      <c r="C253" s="1" t="s">
        <v>574</v>
      </c>
    </row>
    <row r="254" spans="1:3" x14ac:dyDescent="0.25">
      <c r="A254" s="1">
        <v>2703</v>
      </c>
      <c r="B254" s="1" t="s">
        <v>573</v>
      </c>
      <c r="C254" s="1" t="s">
        <v>574</v>
      </c>
    </row>
    <row r="255" spans="1:3" x14ac:dyDescent="0.25">
      <c r="A255" s="1">
        <v>2705</v>
      </c>
      <c r="B255" s="1" t="s">
        <v>573</v>
      </c>
      <c r="C255" s="1" t="s">
        <v>574</v>
      </c>
    </row>
    <row r="256" spans="1:3" x14ac:dyDescent="0.25">
      <c r="A256" s="1">
        <v>2711</v>
      </c>
      <c r="B256" s="1" t="s">
        <v>573</v>
      </c>
      <c r="C256" s="1" t="s">
        <v>574</v>
      </c>
    </row>
    <row r="257" spans="1:3" x14ac:dyDescent="0.25">
      <c r="A257" s="1">
        <v>2731</v>
      </c>
      <c r="B257" s="1" t="s">
        <v>573</v>
      </c>
      <c r="C257" s="1" t="s">
        <v>574</v>
      </c>
    </row>
    <row r="258" spans="1:3" x14ac:dyDescent="0.25">
      <c r="A258" s="1">
        <v>2736</v>
      </c>
      <c r="B258" s="1" t="s">
        <v>573</v>
      </c>
      <c r="C258" s="1" t="s">
        <v>574</v>
      </c>
    </row>
    <row r="259" spans="1:3" x14ac:dyDescent="0.25">
      <c r="A259" s="1">
        <v>2817</v>
      </c>
      <c r="B259" s="1" t="s">
        <v>573</v>
      </c>
      <c r="C259" s="1" t="s">
        <v>574</v>
      </c>
    </row>
    <row r="260" spans="1:3" x14ac:dyDescent="0.25">
      <c r="A260" s="1">
        <v>2840</v>
      </c>
      <c r="B260" s="1" t="s">
        <v>573</v>
      </c>
      <c r="C260" s="1" t="s">
        <v>574</v>
      </c>
    </row>
    <row r="261" spans="1:3" x14ac:dyDescent="0.25">
      <c r="A261" s="1">
        <v>2846</v>
      </c>
      <c r="B261" s="1" t="s">
        <v>573</v>
      </c>
      <c r="C261" s="1" t="s">
        <v>574</v>
      </c>
    </row>
    <row r="262" spans="1:3" x14ac:dyDescent="0.25">
      <c r="A262" s="1">
        <v>2847</v>
      </c>
      <c r="B262" s="1" t="s">
        <v>573</v>
      </c>
      <c r="C262" s="1" t="s">
        <v>574</v>
      </c>
    </row>
    <row r="263" spans="1:3" x14ac:dyDescent="0.25">
      <c r="A263" s="1">
        <v>2872</v>
      </c>
      <c r="B263" s="1" t="s">
        <v>573</v>
      </c>
      <c r="C263" s="1" t="s">
        <v>574</v>
      </c>
    </row>
    <row r="264" spans="1:3" x14ac:dyDescent="0.25">
      <c r="A264" s="1">
        <v>2891</v>
      </c>
      <c r="B264" s="1" t="s">
        <v>573</v>
      </c>
      <c r="C264" s="1" t="s">
        <v>574</v>
      </c>
    </row>
    <row r="265" spans="1:3" x14ac:dyDescent="0.25">
      <c r="A265" s="1">
        <v>2911</v>
      </c>
      <c r="B265" s="1" t="s">
        <v>573</v>
      </c>
      <c r="C265" s="1" t="s">
        <v>574</v>
      </c>
    </row>
    <row r="266" spans="1:3" x14ac:dyDescent="0.25">
      <c r="A266" s="1">
        <v>2913</v>
      </c>
      <c r="B266" s="1" t="s">
        <v>573</v>
      </c>
      <c r="C266" s="1" t="s">
        <v>574</v>
      </c>
    </row>
    <row r="267" spans="1:3" x14ac:dyDescent="0.25">
      <c r="A267" s="1">
        <v>2938</v>
      </c>
      <c r="B267" s="1" t="s">
        <v>573</v>
      </c>
      <c r="C267" s="1" t="s">
        <v>574</v>
      </c>
    </row>
    <row r="268" spans="1:3" x14ac:dyDescent="0.25">
      <c r="A268" s="1">
        <v>2945</v>
      </c>
      <c r="B268" s="1" t="s">
        <v>573</v>
      </c>
      <c r="C268" s="1" t="s">
        <v>574</v>
      </c>
    </row>
    <row r="269" spans="1:3" x14ac:dyDescent="0.25">
      <c r="A269" s="1">
        <v>2981</v>
      </c>
      <c r="B269" s="1" t="s">
        <v>573</v>
      </c>
      <c r="C269" s="1" t="s">
        <v>574</v>
      </c>
    </row>
    <row r="270" spans="1:3" x14ac:dyDescent="0.25">
      <c r="A270" s="1">
        <v>3052</v>
      </c>
      <c r="B270" s="1" t="s">
        <v>573</v>
      </c>
      <c r="C270" s="1" t="s">
        <v>574</v>
      </c>
    </row>
    <row r="271" spans="1:3" x14ac:dyDescent="0.25">
      <c r="A271" s="1">
        <v>3053</v>
      </c>
      <c r="B271" s="1" t="s">
        <v>573</v>
      </c>
      <c r="C271" s="1" t="s">
        <v>574</v>
      </c>
    </row>
    <row r="272" spans="1:3" x14ac:dyDescent="0.25">
      <c r="A272" s="1">
        <v>3054</v>
      </c>
      <c r="B272" s="1" t="s">
        <v>573</v>
      </c>
      <c r="C272" s="1" t="s">
        <v>574</v>
      </c>
    </row>
    <row r="273" spans="1:3" x14ac:dyDescent="0.25">
      <c r="A273" s="1">
        <v>3055</v>
      </c>
      <c r="B273" s="1" t="s">
        <v>573</v>
      </c>
      <c r="C273" s="1" t="s">
        <v>574</v>
      </c>
    </row>
    <row r="274" spans="1:3" x14ac:dyDescent="0.25">
      <c r="A274" s="1">
        <v>3058</v>
      </c>
      <c r="B274" s="1" t="s">
        <v>573</v>
      </c>
      <c r="C274" s="1" t="s">
        <v>574</v>
      </c>
    </row>
    <row r="275" spans="1:3" x14ac:dyDescent="0.25">
      <c r="A275" s="1">
        <v>3059</v>
      </c>
      <c r="B275" s="1" t="s">
        <v>573</v>
      </c>
      <c r="C275" s="1" t="s">
        <v>574</v>
      </c>
    </row>
    <row r="276" spans="1:3" x14ac:dyDescent="0.25">
      <c r="A276" s="1">
        <v>3060</v>
      </c>
      <c r="B276" s="1" t="s">
        <v>573</v>
      </c>
      <c r="C276" s="1" t="s">
        <v>574</v>
      </c>
    </row>
    <row r="277" spans="1:3" x14ac:dyDescent="0.25">
      <c r="A277" s="1">
        <v>3062</v>
      </c>
      <c r="B277" s="1" t="s">
        <v>573</v>
      </c>
      <c r="C277" s="1" t="s">
        <v>574</v>
      </c>
    </row>
    <row r="278" spans="1:3" x14ac:dyDescent="0.25">
      <c r="A278" s="1">
        <v>3063</v>
      </c>
      <c r="B278" s="1" t="s">
        <v>573</v>
      </c>
      <c r="C278" s="1" t="s">
        <v>574</v>
      </c>
    </row>
    <row r="279" spans="1:3" x14ac:dyDescent="0.25">
      <c r="A279" s="1">
        <v>3064</v>
      </c>
      <c r="B279" s="1" t="s">
        <v>573</v>
      </c>
      <c r="C279" s="1" t="s">
        <v>574</v>
      </c>
    </row>
    <row r="280" spans="1:3" x14ac:dyDescent="0.25">
      <c r="A280" s="1">
        <v>3065</v>
      </c>
      <c r="B280" s="1" t="s">
        <v>573</v>
      </c>
      <c r="C280" s="1" t="s">
        <v>574</v>
      </c>
    </row>
    <row r="281" spans="1:3" x14ac:dyDescent="0.25">
      <c r="A281" s="1">
        <v>3066</v>
      </c>
      <c r="B281" s="1" t="s">
        <v>573</v>
      </c>
      <c r="C281" s="1" t="s">
        <v>574</v>
      </c>
    </row>
    <row r="282" spans="1:3" x14ac:dyDescent="0.25">
      <c r="A282" s="1">
        <v>3067</v>
      </c>
      <c r="B282" s="1" t="s">
        <v>573</v>
      </c>
      <c r="C282" s="1" t="s">
        <v>574</v>
      </c>
    </row>
    <row r="283" spans="1:3" x14ac:dyDescent="0.25">
      <c r="A283" s="1">
        <v>3076</v>
      </c>
      <c r="B283" s="1" t="s">
        <v>573</v>
      </c>
      <c r="C283" s="1" t="s">
        <v>574</v>
      </c>
    </row>
    <row r="284" spans="1:3" x14ac:dyDescent="0.25">
      <c r="A284" s="1">
        <v>3077</v>
      </c>
      <c r="B284" s="1" t="s">
        <v>573</v>
      </c>
      <c r="C284" s="1" t="s">
        <v>574</v>
      </c>
    </row>
    <row r="285" spans="1:3" x14ac:dyDescent="0.25">
      <c r="A285" s="1">
        <v>3078</v>
      </c>
      <c r="B285" s="1" t="s">
        <v>573</v>
      </c>
      <c r="C285" s="1" t="s">
        <v>574</v>
      </c>
    </row>
    <row r="286" spans="1:3" x14ac:dyDescent="0.25">
      <c r="A286" s="1">
        <v>3103</v>
      </c>
      <c r="B286" s="1" t="s">
        <v>573</v>
      </c>
      <c r="C286" s="1" t="s">
        <v>574</v>
      </c>
    </row>
    <row r="287" spans="1:3" x14ac:dyDescent="0.25">
      <c r="A287" s="1">
        <v>3119</v>
      </c>
      <c r="B287" s="1" t="s">
        <v>573</v>
      </c>
      <c r="C287" s="1" t="s">
        <v>574</v>
      </c>
    </row>
    <row r="288" spans="1:3" x14ac:dyDescent="0.25">
      <c r="A288" s="1">
        <v>3124</v>
      </c>
      <c r="B288" s="1" t="s">
        <v>573</v>
      </c>
      <c r="C288" s="1" t="s">
        <v>574</v>
      </c>
    </row>
    <row r="289" spans="1:3" x14ac:dyDescent="0.25">
      <c r="A289" s="1">
        <v>3148</v>
      </c>
      <c r="B289" s="1" t="s">
        <v>573</v>
      </c>
      <c r="C289" s="1" t="s">
        <v>574</v>
      </c>
    </row>
    <row r="290" spans="1:3" x14ac:dyDescent="0.25">
      <c r="A290" s="1">
        <v>3153</v>
      </c>
      <c r="B290" s="1" t="s">
        <v>573</v>
      </c>
      <c r="C290" s="1" t="s">
        <v>574</v>
      </c>
    </row>
    <row r="291" spans="1:3" x14ac:dyDescent="0.25">
      <c r="A291" s="1">
        <v>3161</v>
      </c>
      <c r="B291" s="1" t="s">
        <v>573</v>
      </c>
      <c r="C291" s="1" t="s">
        <v>574</v>
      </c>
    </row>
    <row r="292" spans="1:3" x14ac:dyDescent="0.25">
      <c r="A292" s="1">
        <v>3163</v>
      </c>
      <c r="B292" s="1" t="s">
        <v>573</v>
      </c>
      <c r="C292" s="1" t="s">
        <v>574</v>
      </c>
    </row>
    <row r="293" spans="1:3" x14ac:dyDescent="0.25">
      <c r="A293" s="1">
        <v>3182</v>
      </c>
      <c r="B293" s="1" t="s">
        <v>573</v>
      </c>
      <c r="C293" s="1" t="s">
        <v>574</v>
      </c>
    </row>
    <row r="294" spans="1:3" x14ac:dyDescent="0.25">
      <c r="A294" s="1">
        <v>3193</v>
      </c>
      <c r="B294" s="1" t="s">
        <v>573</v>
      </c>
      <c r="C294" s="1" t="s">
        <v>574</v>
      </c>
    </row>
    <row r="295" spans="1:3" x14ac:dyDescent="0.25">
      <c r="A295" s="1">
        <v>3207</v>
      </c>
      <c r="B295" s="1" t="s">
        <v>573</v>
      </c>
      <c r="C295" s="1" t="s">
        <v>574</v>
      </c>
    </row>
    <row r="296" spans="1:3" x14ac:dyDescent="0.25">
      <c r="A296" s="1">
        <v>3214</v>
      </c>
      <c r="B296" s="1" t="s">
        <v>573</v>
      </c>
      <c r="C296" s="1" t="s">
        <v>574</v>
      </c>
    </row>
    <row r="297" spans="1:3" x14ac:dyDescent="0.25">
      <c r="A297" s="1">
        <v>3314</v>
      </c>
      <c r="B297" s="1" t="s">
        <v>573</v>
      </c>
      <c r="C297" s="1" t="s">
        <v>574</v>
      </c>
    </row>
    <row r="298" spans="1:3" x14ac:dyDescent="0.25">
      <c r="A298" s="1">
        <v>3333</v>
      </c>
      <c r="B298" s="1" t="s">
        <v>573</v>
      </c>
      <c r="C298" s="1" t="s">
        <v>574</v>
      </c>
    </row>
    <row r="299" spans="1:3" x14ac:dyDescent="0.25">
      <c r="A299" s="1">
        <v>58</v>
      </c>
      <c r="B299" s="1" t="s">
        <v>587</v>
      </c>
      <c r="C299" s="1" t="s">
        <v>588</v>
      </c>
    </row>
    <row r="300" spans="1:3" x14ac:dyDescent="0.25">
      <c r="A300" s="1">
        <v>59</v>
      </c>
      <c r="B300" s="1" t="s">
        <v>587</v>
      </c>
      <c r="C300" s="1" t="s">
        <v>588</v>
      </c>
    </row>
    <row r="301" spans="1:3" x14ac:dyDescent="0.25">
      <c r="A301" s="1">
        <v>60</v>
      </c>
      <c r="B301" s="1" t="s">
        <v>587</v>
      </c>
      <c r="C301" s="1" t="s">
        <v>588</v>
      </c>
    </row>
    <row r="302" spans="1:3" x14ac:dyDescent="0.25">
      <c r="A302" s="1">
        <v>61</v>
      </c>
      <c r="B302" s="1" t="s">
        <v>587</v>
      </c>
      <c r="C302" s="1" t="s">
        <v>588</v>
      </c>
    </row>
    <row r="303" spans="1:3" x14ac:dyDescent="0.25">
      <c r="A303" s="1">
        <v>62</v>
      </c>
      <c r="B303" s="1" t="s">
        <v>587</v>
      </c>
      <c r="C303" s="1" t="s">
        <v>588</v>
      </c>
    </row>
    <row r="304" spans="1:3" x14ac:dyDescent="0.25">
      <c r="A304" s="1">
        <v>63</v>
      </c>
      <c r="B304" s="1" t="s">
        <v>587</v>
      </c>
      <c r="C304" s="1" t="s">
        <v>588</v>
      </c>
    </row>
    <row r="305" spans="1:3" x14ac:dyDescent="0.25">
      <c r="A305" s="1">
        <v>64</v>
      </c>
      <c r="B305" s="1" t="s">
        <v>587</v>
      </c>
      <c r="C305" s="1" t="s">
        <v>588</v>
      </c>
    </row>
    <row r="306" spans="1:3" x14ac:dyDescent="0.25">
      <c r="A306" s="1">
        <v>66</v>
      </c>
      <c r="B306" s="1" t="s">
        <v>587</v>
      </c>
      <c r="C306" s="1" t="s">
        <v>588</v>
      </c>
    </row>
    <row r="307" spans="1:3" x14ac:dyDescent="0.25">
      <c r="A307" s="1">
        <v>67</v>
      </c>
      <c r="B307" s="1" t="s">
        <v>587</v>
      </c>
      <c r="C307" s="1" t="s">
        <v>588</v>
      </c>
    </row>
    <row r="308" spans="1:3" x14ac:dyDescent="0.25">
      <c r="A308" s="1">
        <v>68</v>
      </c>
      <c r="B308" s="1" t="s">
        <v>587</v>
      </c>
      <c r="C308" s="1" t="s">
        <v>588</v>
      </c>
    </row>
    <row r="309" spans="1:3" x14ac:dyDescent="0.25">
      <c r="A309" s="1">
        <v>70</v>
      </c>
      <c r="B309" s="1" t="s">
        <v>587</v>
      </c>
      <c r="C309" s="1" t="s">
        <v>588</v>
      </c>
    </row>
    <row r="310" spans="1:3" x14ac:dyDescent="0.25">
      <c r="A310" s="1">
        <v>71</v>
      </c>
      <c r="B310" s="1" t="s">
        <v>587</v>
      </c>
      <c r="C310" s="1" t="s">
        <v>588</v>
      </c>
    </row>
    <row r="311" spans="1:3" x14ac:dyDescent="0.25">
      <c r="A311" s="1">
        <v>72</v>
      </c>
      <c r="B311" s="1" t="s">
        <v>587</v>
      </c>
      <c r="C311" s="1" t="s">
        <v>588</v>
      </c>
    </row>
    <row r="312" spans="1:3" x14ac:dyDescent="0.25">
      <c r="A312" s="1">
        <v>73</v>
      </c>
      <c r="B312" s="1" t="s">
        <v>587</v>
      </c>
      <c r="C312" s="1" t="s">
        <v>588</v>
      </c>
    </row>
    <row r="313" spans="1:3" x14ac:dyDescent="0.25">
      <c r="A313" s="1">
        <v>74</v>
      </c>
      <c r="B313" s="1" t="s">
        <v>587</v>
      </c>
      <c r="C313" s="1" t="s">
        <v>588</v>
      </c>
    </row>
    <row r="314" spans="1:3" x14ac:dyDescent="0.25">
      <c r="A314" s="1">
        <v>75</v>
      </c>
      <c r="B314" s="1" t="s">
        <v>587</v>
      </c>
      <c r="C314" s="1" t="s">
        <v>588</v>
      </c>
    </row>
    <row r="315" spans="1:3" x14ac:dyDescent="0.25">
      <c r="A315" s="1">
        <v>76</v>
      </c>
      <c r="B315" s="1" t="s">
        <v>587</v>
      </c>
      <c r="C315" s="1" t="s">
        <v>588</v>
      </c>
    </row>
    <row r="316" spans="1:3" x14ac:dyDescent="0.25">
      <c r="A316" s="1">
        <v>77</v>
      </c>
      <c r="B316" s="1" t="s">
        <v>587</v>
      </c>
      <c r="C316" s="1" t="s">
        <v>588</v>
      </c>
    </row>
    <row r="317" spans="1:3" x14ac:dyDescent="0.25">
      <c r="A317" s="1">
        <v>79</v>
      </c>
      <c r="B317" s="1" t="s">
        <v>587</v>
      </c>
      <c r="C317" s="1" t="s">
        <v>588</v>
      </c>
    </row>
    <row r="318" spans="1:3" x14ac:dyDescent="0.25">
      <c r="A318" s="1">
        <v>80</v>
      </c>
      <c r="B318" s="1" t="s">
        <v>587</v>
      </c>
      <c r="C318" s="1" t="s">
        <v>588</v>
      </c>
    </row>
    <row r="319" spans="1:3" x14ac:dyDescent="0.25">
      <c r="A319" s="1">
        <v>81</v>
      </c>
      <c r="B319" s="1" t="s">
        <v>587</v>
      </c>
      <c r="C319" s="1" t="s">
        <v>588</v>
      </c>
    </row>
    <row r="320" spans="1:3" x14ac:dyDescent="0.25">
      <c r="A320" s="1">
        <v>83</v>
      </c>
      <c r="B320" s="1" t="s">
        <v>587</v>
      </c>
      <c r="C320" s="1" t="s">
        <v>588</v>
      </c>
    </row>
    <row r="321" spans="1:3" x14ac:dyDescent="0.25">
      <c r="A321" s="1">
        <v>84</v>
      </c>
      <c r="B321" s="1" t="s">
        <v>587</v>
      </c>
      <c r="C321" s="1" t="s">
        <v>588</v>
      </c>
    </row>
    <row r="322" spans="1:3" x14ac:dyDescent="0.25">
      <c r="A322" s="1">
        <v>85</v>
      </c>
      <c r="B322" s="1" t="s">
        <v>587</v>
      </c>
      <c r="C322" s="1" t="s">
        <v>588</v>
      </c>
    </row>
    <row r="323" spans="1:3" x14ac:dyDescent="0.25">
      <c r="A323" s="1">
        <v>86</v>
      </c>
      <c r="B323" s="1" t="s">
        <v>587</v>
      </c>
      <c r="C323" s="1" t="s">
        <v>588</v>
      </c>
    </row>
    <row r="324" spans="1:3" x14ac:dyDescent="0.25">
      <c r="A324" s="1">
        <v>87</v>
      </c>
      <c r="B324" s="1" t="s">
        <v>587</v>
      </c>
      <c r="C324" s="1" t="s">
        <v>588</v>
      </c>
    </row>
    <row r="325" spans="1:3" x14ac:dyDescent="0.25">
      <c r="A325" s="1">
        <v>88</v>
      </c>
      <c r="B325" s="1" t="s">
        <v>587</v>
      </c>
      <c r="C325" s="1" t="s">
        <v>588</v>
      </c>
    </row>
    <row r="326" spans="1:3" x14ac:dyDescent="0.25">
      <c r="A326" s="1">
        <v>89</v>
      </c>
      <c r="B326" s="1" t="s">
        <v>587</v>
      </c>
      <c r="C326" s="1" t="s">
        <v>588</v>
      </c>
    </row>
    <row r="327" spans="1:3" x14ac:dyDescent="0.25">
      <c r="A327" s="1">
        <v>90</v>
      </c>
      <c r="B327" s="1" t="s">
        <v>587</v>
      </c>
      <c r="C327" s="1" t="s">
        <v>588</v>
      </c>
    </row>
    <row r="328" spans="1:3" x14ac:dyDescent="0.25">
      <c r="A328" s="1">
        <v>91</v>
      </c>
      <c r="B328" s="1" t="s">
        <v>587</v>
      </c>
      <c r="C328" s="1" t="s">
        <v>588</v>
      </c>
    </row>
    <row r="329" spans="1:3" x14ac:dyDescent="0.25">
      <c r="A329" s="1">
        <v>92</v>
      </c>
      <c r="B329" s="1" t="s">
        <v>587</v>
      </c>
      <c r="C329" s="1" t="s">
        <v>588</v>
      </c>
    </row>
    <row r="330" spans="1:3" x14ac:dyDescent="0.25">
      <c r="A330" s="1">
        <v>93</v>
      </c>
      <c r="B330" s="1" t="s">
        <v>587</v>
      </c>
      <c r="C330" s="1" t="s">
        <v>588</v>
      </c>
    </row>
    <row r="331" spans="1:3" x14ac:dyDescent="0.25">
      <c r="A331" s="1">
        <v>94</v>
      </c>
      <c r="B331" s="1" t="s">
        <v>587</v>
      </c>
      <c r="C331" s="1" t="s">
        <v>588</v>
      </c>
    </row>
    <row r="332" spans="1:3" x14ac:dyDescent="0.25">
      <c r="A332" s="1">
        <v>96</v>
      </c>
      <c r="B332" s="1" t="s">
        <v>587</v>
      </c>
      <c r="C332" s="1" t="s">
        <v>588</v>
      </c>
    </row>
    <row r="333" spans="1:3" x14ac:dyDescent="0.25">
      <c r="A333" s="1">
        <v>97</v>
      </c>
      <c r="B333" s="1" t="s">
        <v>587</v>
      </c>
      <c r="C333" s="1" t="s">
        <v>588</v>
      </c>
    </row>
    <row r="334" spans="1:3" x14ac:dyDescent="0.25">
      <c r="A334" s="1">
        <v>98</v>
      </c>
      <c r="B334" s="1" t="s">
        <v>587</v>
      </c>
      <c r="C334" s="1" t="s">
        <v>588</v>
      </c>
    </row>
    <row r="335" spans="1:3" x14ac:dyDescent="0.25">
      <c r="A335" s="1">
        <v>99</v>
      </c>
      <c r="B335" s="1" t="s">
        <v>587</v>
      </c>
      <c r="C335" s="1" t="s">
        <v>588</v>
      </c>
    </row>
    <row r="336" spans="1:3" x14ac:dyDescent="0.25">
      <c r="A336" s="1">
        <v>100</v>
      </c>
      <c r="B336" s="1" t="s">
        <v>587</v>
      </c>
      <c r="C336" s="1" t="s">
        <v>588</v>
      </c>
    </row>
    <row r="337" spans="1:3" x14ac:dyDescent="0.25">
      <c r="A337" s="1">
        <v>101</v>
      </c>
      <c r="B337" s="1" t="s">
        <v>587</v>
      </c>
      <c r="C337" s="1" t="s">
        <v>588</v>
      </c>
    </row>
    <row r="338" spans="1:3" x14ac:dyDescent="0.25">
      <c r="A338" s="1">
        <v>102</v>
      </c>
      <c r="B338" s="1" t="s">
        <v>587</v>
      </c>
      <c r="C338" s="1" t="s">
        <v>588</v>
      </c>
    </row>
    <row r="339" spans="1:3" x14ac:dyDescent="0.25">
      <c r="A339" s="1">
        <v>103</v>
      </c>
      <c r="B339" s="1" t="s">
        <v>587</v>
      </c>
      <c r="C339" s="1" t="s">
        <v>588</v>
      </c>
    </row>
    <row r="340" spans="1:3" x14ac:dyDescent="0.25">
      <c r="A340" s="1">
        <v>104</v>
      </c>
      <c r="B340" s="1" t="s">
        <v>587</v>
      </c>
      <c r="C340" s="1" t="s">
        <v>588</v>
      </c>
    </row>
    <row r="341" spans="1:3" x14ac:dyDescent="0.25">
      <c r="A341" s="1">
        <v>105</v>
      </c>
      <c r="B341" s="1" t="s">
        <v>587</v>
      </c>
      <c r="C341" s="1" t="s">
        <v>588</v>
      </c>
    </row>
    <row r="342" spans="1:3" x14ac:dyDescent="0.25">
      <c r="A342" s="1">
        <v>106</v>
      </c>
      <c r="B342" s="1" t="s">
        <v>587</v>
      </c>
      <c r="C342" s="1" t="s">
        <v>588</v>
      </c>
    </row>
    <row r="343" spans="1:3" x14ac:dyDescent="0.25">
      <c r="A343" s="1">
        <v>107</v>
      </c>
      <c r="B343" s="1" t="s">
        <v>587</v>
      </c>
      <c r="C343" s="1" t="s">
        <v>588</v>
      </c>
    </row>
    <row r="344" spans="1:3" x14ac:dyDescent="0.25">
      <c r="A344" s="1">
        <v>108</v>
      </c>
      <c r="B344" s="1" t="s">
        <v>587</v>
      </c>
      <c r="C344" s="1" t="s">
        <v>588</v>
      </c>
    </row>
    <row r="345" spans="1:3" x14ac:dyDescent="0.25">
      <c r="A345" s="1">
        <v>109</v>
      </c>
      <c r="B345" s="1" t="s">
        <v>587</v>
      </c>
      <c r="C345" s="1" t="s">
        <v>588</v>
      </c>
    </row>
    <row r="346" spans="1:3" x14ac:dyDescent="0.25">
      <c r="A346" s="1">
        <v>110</v>
      </c>
      <c r="B346" s="1" t="s">
        <v>587</v>
      </c>
      <c r="C346" s="1" t="s">
        <v>588</v>
      </c>
    </row>
    <row r="347" spans="1:3" x14ac:dyDescent="0.25">
      <c r="A347" s="1">
        <v>111</v>
      </c>
      <c r="B347" s="1" t="s">
        <v>587</v>
      </c>
      <c r="C347" s="1" t="s">
        <v>588</v>
      </c>
    </row>
    <row r="348" spans="1:3" x14ac:dyDescent="0.25">
      <c r="A348" s="1">
        <v>113</v>
      </c>
      <c r="B348" s="1" t="s">
        <v>587</v>
      </c>
      <c r="C348" s="1" t="s">
        <v>588</v>
      </c>
    </row>
    <row r="349" spans="1:3" x14ac:dyDescent="0.25">
      <c r="A349" s="1">
        <v>114</v>
      </c>
      <c r="B349" s="1" t="s">
        <v>587</v>
      </c>
      <c r="C349" s="1" t="s">
        <v>588</v>
      </c>
    </row>
    <row r="350" spans="1:3" x14ac:dyDescent="0.25">
      <c r="A350" s="1">
        <v>116</v>
      </c>
      <c r="B350" s="1" t="s">
        <v>587</v>
      </c>
      <c r="C350" s="1" t="s">
        <v>588</v>
      </c>
    </row>
    <row r="351" spans="1:3" x14ac:dyDescent="0.25">
      <c r="A351" s="1">
        <v>117</v>
      </c>
      <c r="B351" s="1" t="s">
        <v>587</v>
      </c>
      <c r="C351" s="1" t="s">
        <v>588</v>
      </c>
    </row>
    <row r="352" spans="1:3" x14ac:dyDescent="0.25">
      <c r="A352" s="1">
        <v>118</v>
      </c>
      <c r="B352" s="1" t="s">
        <v>587</v>
      </c>
      <c r="C352" s="1" t="s">
        <v>588</v>
      </c>
    </row>
    <row r="353" spans="1:3" x14ac:dyDescent="0.25">
      <c r="A353" s="1">
        <v>119</v>
      </c>
      <c r="B353" s="1" t="s">
        <v>587</v>
      </c>
      <c r="C353" s="1" t="s">
        <v>588</v>
      </c>
    </row>
    <row r="354" spans="1:3" x14ac:dyDescent="0.25">
      <c r="A354" s="1">
        <v>120</v>
      </c>
      <c r="B354" s="1" t="s">
        <v>587</v>
      </c>
      <c r="C354" s="1" t="s">
        <v>588</v>
      </c>
    </row>
    <row r="355" spans="1:3" x14ac:dyDescent="0.25">
      <c r="A355" s="1">
        <v>122</v>
      </c>
      <c r="B355" s="1" t="s">
        <v>587</v>
      </c>
      <c r="C355" s="1" t="s">
        <v>588</v>
      </c>
    </row>
    <row r="356" spans="1:3" x14ac:dyDescent="0.25">
      <c r="A356" s="1">
        <v>123</v>
      </c>
      <c r="B356" s="1" t="s">
        <v>587</v>
      </c>
      <c r="C356" s="1" t="s">
        <v>588</v>
      </c>
    </row>
    <row r="357" spans="1:3" x14ac:dyDescent="0.25">
      <c r="A357" s="1">
        <v>177</v>
      </c>
      <c r="B357" s="1" t="s">
        <v>587</v>
      </c>
      <c r="C357" s="1" t="s">
        <v>588</v>
      </c>
    </row>
    <row r="358" spans="1:3" x14ac:dyDescent="0.25">
      <c r="A358" s="1">
        <v>345</v>
      </c>
      <c r="B358" s="1" t="s">
        <v>587</v>
      </c>
      <c r="C358" s="1" t="s">
        <v>588</v>
      </c>
    </row>
    <row r="359" spans="1:3" x14ac:dyDescent="0.25">
      <c r="A359" s="1">
        <v>346</v>
      </c>
      <c r="B359" s="1" t="s">
        <v>587</v>
      </c>
      <c r="C359" s="1" t="s">
        <v>588</v>
      </c>
    </row>
    <row r="360" spans="1:3" x14ac:dyDescent="0.25">
      <c r="A360" s="1">
        <v>347</v>
      </c>
      <c r="B360" s="1" t="s">
        <v>587</v>
      </c>
      <c r="C360" s="1" t="s">
        <v>588</v>
      </c>
    </row>
    <row r="361" spans="1:3" x14ac:dyDescent="0.25">
      <c r="A361" s="1">
        <v>348</v>
      </c>
      <c r="B361" s="1" t="s">
        <v>587</v>
      </c>
      <c r="C361" s="1" t="s">
        <v>588</v>
      </c>
    </row>
    <row r="362" spans="1:3" x14ac:dyDescent="0.25">
      <c r="A362" s="1">
        <v>349</v>
      </c>
      <c r="B362" s="1" t="s">
        <v>587</v>
      </c>
      <c r="C362" s="1" t="s">
        <v>588</v>
      </c>
    </row>
    <row r="363" spans="1:3" x14ac:dyDescent="0.25">
      <c r="A363" s="1">
        <v>350</v>
      </c>
      <c r="B363" s="1" t="s">
        <v>587</v>
      </c>
      <c r="C363" s="1" t="s">
        <v>588</v>
      </c>
    </row>
    <row r="364" spans="1:3" x14ac:dyDescent="0.25">
      <c r="A364" s="1">
        <v>351</v>
      </c>
      <c r="B364" s="1" t="s">
        <v>587</v>
      </c>
      <c r="C364" s="1" t="s">
        <v>588</v>
      </c>
    </row>
    <row r="365" spans="1:3" x14ac:dyDescent="0.25">
      <c r="A365" s="1">
        <v>352</v>
      </c>
      <c r="B365" s="1" t="s">
        <v>587</v>
      </c>
      <c r="C365" s="1" t="s">
        <v>588</v>
      </c>
    </row>
    <row r="366" spans="1:3" x14ac:dyDescent="0.25">
      <c r="A366" s="1">
        <v>353</v>
      </c>
      <c r="B366" s="1" t="s">
        <v>587</v>
      </c>
      <c r="C366" s="1" t="s">
        <v>588</v>
      </c>
    </row>
    <row r="367" spans="1:3" x14ac:dyDescent="0.25">
      <c r="A367" s="1">
        <v>354</v>
      </c>
      <c r="B367" s="1" t="s">
        <v>587</v>
      </c>
      <c r="C367" s="1" t="s">
        <v>588</v>
      </c>
    </row>
    <row r="368" spans="1:3" x14ac:dyDescent="0.25">
      <c r="A368" s="1">
        <v>355</v>
      </c>
      <c r="B368" s="1" t="s">
        <v>587</v>
      </c>
      <c r="C368" s="1" t="s">
        <v>588</v>
      </c>
    </row>
    <row r="369" spans="1:3" x14ac:dyDescent="0.25">
      <c r="A369" s="1">
        <v>356</v>
      </c>
      <c r="B369" s="1" t="s">
        <v>587</v>
      </c>
      <c r="C369" s="1" t="s">
        <v>588</v>
      </c>
    </row>
    <row r="370" spans="1:3" x14ac:dyDescent="0.25">
      <c r="A370" s="1">
        <v>357</v>
      </c>
      <c r="B370" s="1" t="s">
        <v>587</v>
      </c>
      <c r="C370" s="1" t="s">
        <v>588</v>
      </c>
    </row>
    <row r="371" spans="1:3" x14ac:dyDescent="0.25">
      <c r="A371" s="1">
        <v>358</v>
      </c>
      <c r="B371" s="1" t="s">
        <v>587</v>
      </c>
      <c r="C371" s="1" t="s">
        <v>588</v>
      </c>
    </row>
    <row r="372" spans="1:3" x14ac:dyDescent="0.25">
      <c r="A372" s="1">
        <v>359</v>
      </c>
      <c r="B372" s="1" t="s">
        <v>587</v>
      </c>
      <c r="C372" s="1" t="s">
        <v>588</v>
      </c>
    </row>
    <row r="373" spans="1:3" x14ac:dyDescent="0.25">
      <c r="A373" s="1">
        <v>360</v>
      </c>
      <c r="B373" s="1" t="s">
        <v>587</v>
      </c>
      <c r="C373" s="1" t="s">
        <v>588</v>
      </c>
    </row>
    <row r="374" spans="1:3" x14ac:dyDescent="0.25">
      <c r="A374" s="1">
        <v>362</v>
      </c>
      <c r="B374" s="1" t="s">
        <v>587</v>
      </c>
      <c r="C374" s="1" t="s">
        <v>588</v>
      </c>
    </row>
    <row r="375" spans="1:3" x14ac:dyDescent="0.25">
      <c r="A375" s="1">
        <v>365</v>
      </c>
      <c r="B375" s="1" t="s">
        <v>587</v>
      </c>
      <c r="C375" s="1" t="s">
        <v>588</v>
      </c>
    </row>
    <row r="376" spans="1:3" x14ac:dyDescent="0.25">
      <c r="A376" s="1">
        <v>366</v>
      </c>
      <c r="B376" s="1" t="s">
        <v>587</v>
      </c>
      <c r="C376" s="1" t="s">
        <v>588</v>
      </c>
    </row>
    <row r="377" spans="1:3" x14ac:dyDescent="0.25">
      <c r="A377" s="1">
        <v>367</v>
      </c>
      <c r="B377" s="1" t="s">
        <v>587</v>
      </c>
      <c r="C377" s="1" t="s">
        <v>588</v>
      </c>
    </row>
    <row r="378" spans="1:3" x14ac:dyDescent="0.25">
      <c r="A378" s="1">
        <v>369</v>
      </c>
      <c r="B378" s="1" t="s">
        <v>587</v>
      </c>
      <c r="C378" s="1" t="s">
        <v>588</v>
      </c>
    </row>
    <row r="379" spans="1:3" x14ac:dyDescent="0.25">
      <c r="A379" s="1">
        <v>370</v>
      </c>
      <c r="B379" s="1" t="s">
        <v>587</v>
      </c>
      <c r="C379" s="1" t="s">
        <v>588</v>
      </c>
    </row>
    <row r="380" spans="1:3" x14ac:dyDescent="0.25">
      <c r="A380" s="1">
        <v>372</v>
      </c>
      <c r="B380" s="1" t="s">
        <v>587</v>
      </c>
      <c r="C380" s="1" t="s">
        <v>588</v>
      </c>
    </row>
    <row r="381" spans="1:3" x14ac:dyDescent="0.25">
      <c r="A381" s="1">
        <v>377</v>
      </c>
      <c r="B381" s="1" t="s">
        <v>587</v>
      </c>
      <c r="C381" s="1" t="s">
        <v>588</v>
      </c>
    </row>
    <row r="382" spans="1:3" x14ac:dyDescent="0.25">
      <c r="A382" s="1">
        <v>378</v>
      </c>
      <c r="B382" s="1" t="s">
        <v>587</v>
      </c>
      <c r="C382" s="1" t="s">
        <v>588</v>
      </c>
    </row>
    <row r="383" spans="1:3" x14ac:dyDescent="0.25">
      <c r="A383" s="1">
        <v>379</v>
      </c>
      <c r="B383" s="1" t="s">
        <v>587</v>
      </c>
      <c r="C383" s="1" t="s">
        <v>588</v>
      </c>
    </row>
    <row r="384" spans="1:3" x14ac:dyDescent="0.25">
      <c r="A384" s="1">
        <v>381</v>
      </c>
      <c r="B384" s="1" t="s">
        <v>587</v>
      </c>
      <c r="C384" s="1" t="s">
        <v>588</v>
      </c>
    </row>
    <row r="385" spans="1:3" x14ac:dyDescent="0.25">
      <c r="A385" s="1">
        <v>382</v>
      </c>
      <c r="B385" s="1" t="s">
        <v>587</v>
      </c>
      <c r="C385" s="1" t="s">
        <v>588</v>
      </c>
    </row>
    <row r="386" spans="1:3" x14ac:dyDescent="0.25">
      <c r="A386" s="1">
        <v>383</v>
      </c>
      <c r="B386" s="1" t="s">
        <v>587</v>
      </c>
      <c r="C386" s="1" t="s">
        <v>588</v>
      </c>
    </row>
    <row r="387" spans="1:3" x14ac:dyDescent="0.25">
      <c r="A387" s="1">
        <v>385</v>
      </c>
      <c r="B387" s="1" t="s">
        <v>587</v>
      </c>
      <c r="C387" s="1" t="s">
        <v>588</v>
      </c>
    </row>
    <row r="388" spans="1:3" x14ac:dyDescent="0.25">
      <c r="A388" s="1">
        <v>386</v>
      </c>
      <c r="B388" s="1" t="s">
        <v>587</v>
      </c>
      <c r="C388" s="1" t="s">
        <v>588</v>
      </c>
    </row>
    <row r="389" spans="1:3" x14ac:dyDescent="0.25">
      <c r="A389" s="1">
        <v>387</v>
      </c>
      <c r="B389" s="1" t="s">
        <v>587</v>
      </c>
      <c r="C389" s="1" t="s">
        <v>588</v>
      </c>
    </row>
    <row r="390" spans="1:3" x14ac:dyDescent="0.25">
      <c r="A390" s="1">
        <v>388</v>
      </c>
      <c r="B390" s="1" t="s">
        <v>587</v>
      </c>
      <c r="C390" s="1" t="s">
        <v>588</v>
      </c>
    </row>
    <row r="391" spans="1:3" x14ac:dyDescent="0.25">
      <c r="A391" s="1">
        <v>389</v>
      </c>
      <c r="B391" s="1" t="s">
        <v>587</v>
      </c>
      <c r="C391" s="1" t="s">
        <v>588</v>
      </c>
    </row>
    <row r="392" spans="1:3" x14ac:dyDescent="0.25">
      <c r="A392" s="1">
        <v>390</v>
      </c>
      <c r="B392" s="1" t="s">
        <v>587</v>
      </c>
      <c r="C392" s="1" t="s">
        <v>588</v>
      </c>
    </row>
    <row r="393" spans="1:3" x14ac:dyDescent="0.25">
      <c r="A393" s="1">
        <v>391</v>
      </c>
      <c r="B393" s="1" t="s">
        <v>587</v>
      </c>
      <c r="C393" s="1" t="s">
        <v>588</v>
      </c>
    </row>
    <row r="394" spans="1:3" x14ac:dyDescent="0.25">
      <c r="A394" s="1">
        <v>392</v>
      </c>
      <c r="B394" s="1" t="s">
        <v>587</v>
      </c>
      <c r="C394" s="1" t="s">
        <v>588</v>
      </c>
    </row>
    <row r="395" spans="1:3" x14ac:dyDescent="0.25">
      <c r="A395" s="1">
        <v>395</v>
      </c>
      <c r="B395" s="1" t="s">
        <v>587</v>
      </c>
      <c r="C395" s="1" t="s">
        <v>588</v>
      </c>
    </row>
    <row r="396" spans="1:3" x14ac:dyDescent="0.25">
      <c r="A396" s="1">
        <v>396</v>
      </c>
      <c r="B396" s="1" t="s">
        <v>587</v>
      </c>
      <c r="C396" s="1" t="s">
        <v>588</v>
      </c>
    </row>
    <row r="397" spans="1:3" x14ac:dyDescent="0.25">
      <c r="A397" s="1">
        <v>397</v>
      </c>
      <c r="B397" s="1" t="s">
        <v>587</v>
      </c>
      <c r="C397" s="1" t="s">
        <v>588</v>
      </c>
    </row>
    <row r="398" spans="1:3" x14ac:dyDescent="0.25">
      <c r="A398" s="1">
        <v>400</v>
      </c>
      <c r="B398" s="1" t="s">
        <v>587</v>
      </c>
      <c r="C398" s="1" t="s">
        <v>588</v>
      </c>
    </row>
    <row r="399" spans="1:3" x14ac:dyDescent="0.25">
      <c r="A399" s="1">
        <v>402</v>
      </c>
      <c r="B399" s="1" t="s">
        <v>587</v>
      </c>
      <c r="C399" s="1" t="s">
        <v>588</v>
      </c>
    </row>
    <row r="400" spans="1:3" x14ac:dyDescent="0.25">
      <c r="A400" s="1">
        <v>403</v>
      </c>
      <c r="B400" s="1" t="s">
        <v>587</v>
      </c>
      <c r="C400" s="1" t="s">
        <v>588</v>
      </c>
    </row>
    <row r="401" spans="1:3" x14ac:dyDescent="0.25">
      <c r="A401" s="1">
        <v>404</v>
      </c>
      <c r="B401" s="1" t="s">
        <v>587</v>
      </c>
      <c r="C401" s="1" t="s">
        <v>588</v>
      </c>
    </row>
    <row r="402" spans="1:3" x14ac:dyDescent="0.25">
      <c r="A402" s="1">
        <v>405</v>
      </c>
      <c r="B402" s="1" t="s">
        <v>587</v>
      </c>
      <c r="C402" s="1" t="s">
        <v>588</v>
      </c>
    </row>
    <row r="403" spans="1:3" x14ac:dyDescent="0.25">
      <c r="A403" s="1">
        <v>406</v>
      </c>
      <c r="B403" s="1" t="s">
        <v>587</v>
      </c>
      <c r="C403" s="1" t="s">
        <v>588</v>
      </c>
    </row>
    <row r="404" spans="1:3" x14ac:dyDescent="0.25">
      <c r="A404" s="1">
        <v>407</v>
      </c>
      <c r="B404" s="1" t="s">
        <v>587</v>
      </c>
      <c r="C404" s="1" t="s">
        <v>588</v>
      </c>
    </row>
    <row r="405" spans="1:3" x14ac:dyDescent="0.25">
      <c r="A405" s="1">
        <v>410</v>
      </c>
      <c r="B405" s="1" t="s">
        <v>587</v>
      </c>
      <c r="C405" s="1" t="s">
        <v>588</v>
      </c>
    </row>
    <row r="406" spans="1:3" x14ac:dyDescent="0.25">
      <c r="A406" s="1">
        <v>411</v>
      </c>
      <c r="B406" s="1" t="s">
        <v>587</v>
      </c>
      <c r="C406" s="1" t="s">
        <v>588</v>
      </c>
    </row>
    <row r="407" spans="1:3" x14ac:dyDescent="0.25">
      <c r="A407" s="1">
        <v>412</v>
      </c>
      <c r="B407" s="1" t="s">
        <v>587</v>
      </c>
      <c r="C407" s="1" t="s">
        <v>588</v>
      </c>
    </row>
    <row r="408" spans="1:3" x14ac:dyDescent="0.25">
      <c r="A408" s="1">
        <v>414</v>
      </c>
      <c r="B408" s="1" t="s">
        <v>587</v>
      </c>
      <c r="C408" s="1" t="s">
        <v>588</v>
      </c>
    </row>
    <row r="409" spans="1:3" x14ac:dyDescent="0.25">
      <c r="A409" s="1">
        <v>753</v>
      </c>
      <c r="B409" s="1" t="s">
        <v>587</v>
      </c>
      <c r="C409" s="1" t="s">
        <v>588</v>
      </c>
    </row>
    <row r="410" spans="1:3" x14ac:dyDescent="0.25">
      <c r="A410" s="1">
        <v>770</v>
      </c>
      <c r="B410" s="1" t="s">
        <v>587</v>
      </c>
      <c r="C410" s="1" t="s">
        <v>588</v>
      </c>
    </row>
    <row r="411" spans="1:3" x14ac:dyDescent="0.25">
      <c r="A411" s="1">
        <v>784</v>
      </c>
      <c r="B411" s="1" t="s">
        <v>587</v>
      </c>
      <c r="C411" s="1" t="s">
        <v>588</v>
      </c>
    </row>
    <row r="412" spans="1:3" x14ac:dyDescent="0.25">
      <c r="A412" s="1">
        <v>796</v>
      </c>
      <c r="B412" s="1" t="s">
        <v>587</v>
      </c>
      <c r="C412" s="1" t="s">
        <v>588</v>
      </c>
    </row>
    <row r="413" spans="1:3" x14ac:dyDescent="0.25">
      <c r="A413" s="1">
        <v>803</v>
      </c>
      <c r="B413" s="1" t="s">
        <v>587</v>
      </c>
      <c r="C413" s="1" t="s">
        <v>588</v>
      </c>
    </row>
    <row r="414" spans="1:3" x14ac:dyDescent="0.25">
      <c r="A414" s="1">
        <v>809</v>
      </c>
      <c r="B414" s="1" t="s">
        <v>587</v>
      </c>
      <c r="C414" s="1" t="s">
        <v>588</v>
      </c>
    </row>
    <row r="415" spans="1:3" x14ac:dyDescent="0.25">
      <c r="A415" s="1">
        <v>813</v>
      </c>
      <c r="B415" s="1" t="s">
        <v>587</v>
      </c>
      <c r="C415" s="1" t="s">
        <v>588</v>
      </c>
    </row>
    <row r="416" spans="1:3" x14ac:dyDescent="0.25">
      <c r="A416" s="1">
        <v>814</v>
      </c>
      <c r="B416" s="1" t="s">
        <v>587</v>
      </c>
      <c r="C416" s="1" t="s">
        <v>588</v>
      </c>
    </row>
    <row r="417" spans="1:3" x14ac:dyDescent="0.25">
      <c r="A417" s="1">
        <v>851</v>
      </c>
      <c r="B417" s="1" t="s">
        <v>587</v>
      </c>
      <c r="C417" s="1" t="s">
        <v>588</v>
      </c>
    </row>
    <row r="418" spans="1:3" x14ac:dyDescent="0.25">
      <c r="A418" s="1">
        <v>891</v>
      </c>
      <c r="B418" s="1" t="s">
        <v>587</v>
      </c>
      <c r="C418" s="1" t="s">
        <v>588</v>
      </c>
    </row>
    <row r="419" spans="1:3" x14ac:dyDescent="0.25">
      <c r="A419" s="1">
        <v>950</v>
      </c>
      <c r="B419" s="1" t="s">
        <v>587</v>
      </c>
      <c r="C419" s="1" t="s">
        <v>588</v>
      </c>
    </row>
    <row r="420" spans="1:3" x14ac:dyDescent="0.25">
      <c r="A420" s="1">
        <v>1007</v>
      </c>
      <c r="B420" s="1" t="s">
        <v>587</v>
      </c>
      <c r="C420" s="1" t="s">
        <v>588</v>
      </c>
    </row>
    <row r="421" spans="1:3" x14ac:dyDescent="0.25">
      <c r="A421" s="1">
        <v>1032</v>
      </c>
      <c r="B421" s="1" t="s">
        <v>587</v>
      </c>
      <c r="C421" s="1" t="s">
        <v>588</v>
      </c>
    </row>
    <row r="422" spans="1:3" x14ac:dyDescent="0.25">
      <c r="A422" s="1">
        <v>1054</v>
      </c>
      <c r="B422" s="1" t="s">
        <v>587</v>
      </c>
      <c r="C422" s="1" t="s">
        <v>588</v>
      </c>
    </row>
    <row r="423" spans="1:3" x14ac:dyDescent="0.25">
      <c r="A423" s="1">
        <v>1060</v>
      </c>
      <c r="B423" s="1" t="s">
        <v>587</v>
      </c>
      <c r="C423" s="1" t="s">
        <v>588</v>
      </c>
    </row>
    <row r="424" spans="1:3" x14ac:dyDescent="0.25">
      <c r="A424" s="1">
        <v>1079</v>
      </c>
      <c r="B424" s="1" t="s">
        <v>587</v>
      </c>
      <c r="C424" s="1" t="s">
        <v>588</v>
      </c>
    </row>
    <row r="425" spans="1:3" x14ac:dyDescent="0.25">
      <c r="A425" s="1">
        <v>1082</v>
      </c>
      <c r="B425" s="1" t="s">
        <v>587</v>
      </c>
      <c r="C425" s="1" t="s">
        <v>588</v>
      </c>
    </row>
    <row r="426" spans="1:3" x14ac:dyDescent="0.25">
      <c r="A426" s="1">
        <v>1086</v>
      </c>
      <c r="B426" s="1" t="s">
        <v>587</v>
      </c>
      <c r="C426" s="1" t="s">
        <v>588</v>
      </c>
    </row>
    <row r="427" spans="1:3" x14ac:dyDescent="0.25">
      <c r="A427" s="1">
        <v>1093</v>
      </c>
      <c r="B427" s="1" t="s">
        <v>587</v>
      </c>
      <c r="C427" s="1" t="s">
        <v>588</v>
      </c>
    </row>
    <row r="428" spans="1:3" x14ac:dyDescent="0.25">
      <c r="A428" s="1">
        <v>1096</v>
      </c>
      <c r="B428" s="1" t="s">
        <v>587</v>
      </c>
      <c r="C428" s="1" t="s">
        <v>588</v>
      </c>
    </row>
    <row r="429" spans="1:3" x14ac:dyDescent="0.25">
      <c r="A429" s="1">
        <v>1098</v>
      </c>
      <c r="B429" s="1" t="s">
        <v>587</v>
      </c>
      <c r="C429" s="1" t="s">
        <v>588</v>
      </c>
    </row>
    <row r="430" spans="1:3" x14ac:dyDescent="0.25">
      <c r="A430" s="1">
        <v>1102</v>
      </c>
      <c r="B430" s="1" t="s">
        <v>587</v>
      </c>
      <c r="C430" s="1" t="s">
        <v>588</v>
      </c>
    </row>
    <row r="431" spans="1:3" x14ac:dyDescent="0.25">
      <c r="A431" s="1">
        <v>1119</v>
      </c>
      <c r="B431" s="1" t="s">
        <v>587</v>
      </c>
      <c r="C431" s="1" t="s">
        <v>588</v>
      </c>
    </row>
    <row r="432" spans="1:3" x14ac:dyDescent="0.25">
      <c r="A432" s="1">
        <v>1129</v>
      </c>
      <c r="B432" s="1" t="s">
        <v>587</v>
      </c>
      <c r="C432" s="1" t="s">
        <v>588</v>
      </c>
    </row>
    <row r="433" spans="1:3" x14ac:dyDescent="0.25">
      <c r="A433" s="1">
        <v>1131</v>
      </c>
      <c r="B433" s="1" t="s">
        <v>587</v>
      </c>
      <c r="C433" s="1" t="s">
        <v>588</v>
      </c>
    </row>
    <row r="434" spans="1:3" x14ac:dyDescent="0.25">
      <c r="A434" s="1">
        <v>1134</v>
      </c>
      <c r="B434" s="1" t="s">
        <v>587</v>
      </c>
      <c r="C434" s="1" t="s">
        <v>588</v>
      </c>
    </row>
    <row r="435" spans="1:3" x14ac:dyDescent="0.25">
      <c r="A435" s="1">
        <v>1141</v>
      </c>
      <c r="B435" s="1" t="s">
        <v>587</v>
      </c>
      <c r="C435" s="1" t="s">
        <v>588</v>
      </c>
    </row>
    <row r="436" spans="1:3" x14ac:dyDescent="0.25">
      <c r="A436" s="1">
        <v>1148</v>
      </c>
      <c r="B436" s="1" t="s">
        <v>587</v>
      </c>
      <c r="C436" s="1" t="s">
        <v>588</v>
      </c>
    </row>
    <row r="437" spans="1:3" x14ac:dyDescent="0.25">
      <c r="A437" s="1">
        <v>1158</v>
      </c>
      <c r="B437" s="1" t="s">
        <v>587</v>
      </c>
      <c r="C437" s="1" t="s">
        <v>588</v>
      </c>
    </row>
    <row r="438" spans="1:3" x14ac:dyDescent="0.25">
      <c r="A438" s="1">
        <v>1159</v>
      </c>
      <c r="B438" s="1" t="s">
        <v>587</v>
      </c>
      <c r="C438" s="1" t="s">
        <v>588</v>
      </c>
    </row>
    <row r="439" spans="1:3" x14ac:dyDescent="0.25">
      <c r="A439" s="1">
        <v>1170</v>
      </c>
      <c r="B439" s="1" t="s">
        <v>587</v>
      </c>
      <c r="C439" s="1" t="s">
        <v>588</v>
      </c>
    </row>
    <row r="440" spans="1:3" x14ac:dyDescent="0.25">
      <c r="A440" s="1">
        <v>1193</v>
      </c>
      <c r="B440" s="1" t="s">
        <v>587</v>
      </c>
      <c r="C440" s="1" t="s">
        <v>588</v>
      </c>
    </row>
    <row r="441" spans="1:3" x14ac:dyDescent="0.25">
      <c r="A441" s="1">
        <v>1219</v>
      </c>
      <c r="B441" s="1" t="s">
        <v>587</v>
      </c>
      <c r="C441" s="1" t="s">
        <v>588</v>
      </c>
    </row>
    <row r="442" spans="1:3" x14ac:dyDescent="0.25">
      <c r="A442" s="1">
        <v>1222</v>
      </c>
      <c r="B442" s="1" t="s">
        <v>587</v>
      </c>
      <c r="C442" s="1" t="s">
        <v>588</v>
      </c>
    </row>
    <row r="443" spans="1:3" x14ac:dyDescent="0.25">
      <c r="A443" s="1">
        <v>1229</v>
      </c>
      <c r="B443" s="1" t="s">
        <v>587</v>
      </c>
      <c r="C443" s="1" t="s">
        <v>588</v>
      </c>
    </row>
    <row r="444" spans="1:3" x14ac:dyDescent="0.25">
      <c r="A444" s="1">
        <v>1231</v>
      </c>
      <c r="B444" s="1" t="s">
        <v>587</v>
      </c>
      <c r="C444" s="1" t="s">
        <v>588</v>
      </c>
    </row>
    <row r="445" spans="1:3" x14ac:dyDescent="0.25">
      <c r="A445" s="1">
        <v>1235</v>
      </c>
      <c r="B445" s="1" t="s">
        <v>587</v>
      </c>
      <c r="C445" s="1" t="s">
        <v>588</v>
      </c>
    </row>
    <row r="446" spans="1:3" x14ac:dyDescent="0.25">
      <c r="A446" s="1">
        <v>1249</v>
      </c>
      <c r="B446" s="1" t="s">
        <v>587</v>
      </c>
      <c r="C446" s="1" t="s">
        <v>588</v>
      </c>
    </row>
    <row r="447" spans="1:3" x14ac:dyDescent="0.25">
      <c r="A447" s="1">
        <v>1295</v>
      </c>
      <c r="B447" s="1" t="s">
        <v>587</v>
      </c>
      <c r="C447" s="1" t="s">
        <v>588</v>
      </c>
    </row>
    <row r="448" spans="1:3" x14ac:dyDescent="0.25">
      <c r="A448" s="1">
        <v>1353</v>
      </c>
      <c r="B448" s="1" t="s">
        <v>587</v>
      </c>
      <c r="C448" s="1" t="s">
        <v>588</v>
      </c>
    </row>
    <row r="449" spans="1:3" x14ac:dyDescent="0.25">
      <c r="A449" s="1">
        <v>1370</v>
      </c>
      <c r="B449" s="1" t="s">
        <v>587</v>
      </c>
      <c r="C449" s="1" t="s">
        <v>588</v>
      </c>
    </row>
    <row r="450" spans="1:3" x14ac:dyDescent="0.25">
      <c r="A450" s="1">
        <v>1380</v>
      </c>
      <c r="B450" s="1" t="s">
        <v>587</v>
      </c>
      <c r="C450" s="1" t="s">
        <v>588</v>
      </c>
    </row>
    <row r="451" spans="1:3" x14ac:dyDescent="0.25">
      <c r="A451" s="1">
        <v>1387</v>
      </c>
      <c r="B451" s="1" t="s">
        <v>587</v>
      </c>
      <c r="C451" s="1" t="s">
        <v>588</v>
      </c>
    </row>
    <row r="452" spans="1:3" x14ac:dyDescent="0.25">
      <c r="A452" s="1">
        <v>1401</v>
      </c>
      <c r="B452" s="1" t="s">
        <v>587</v>
      </c>
      <c r="C452" s="1" t="s">
        <v>588</v>
      </c>
    </row>
    <row r="453" spans="1:3" x14ac:dyDescent="0.25">
      <c r="A453" s="1">
        <v>1427</v>
      </c>
      <c r="B453" s="1" t="s">
        <v>587</v>
      </c>
      <c r="C453" s="1" t="s">
        <v>588</v>
      </c>
    </row>
    <row r="454" spans="1:3" x14ac:dyDescent="0.25">
      <c r="A454" s="1">
        <v>1432</v>
      </c>
      <c r="B454" s="1" t="s">
        <v>587</v>
      </c>
      <c r="C454" s="1" t="s">
        <v>588</v>
      </c>
    </row>
    <row r="455" spans="1:3" x14ac:dyDescent="0.25">
      <c r="A455" s="1">
        <v>1440</v>
      </c>
      <c r="B455" s="1" t="s">
        <v>587</v>
      </c>
      <c r="C455" s="1" t="s">
        <v>588</v>
      </c>
    </row>
    <row r="456" spans="1:3" x14ac:dyDescent="0.25">
      <c r="A456" s="1">
        <v>1443</v>
      </c>
      <c r="B456" s="1" t="s">
        <v>587</v>
      </c>
      <c r="C456" s="1" t="s">
        <v>588</v>
      </c>
    </row>
    <row r="457" spans="1:3" x14ac:dyDescent="0.25">
      <c r="A457" s="1">
        <v>1453</v>
      </c>
      <c r="B457" s="1" t="s">
        <v>587</v>
      </c>
      <c r="C457" s="1" t="s">
        <v>588</v>
      </c>
    </row>
    <row r="458" spans="1:3" x14ac:dyDescent="0.25">
      <c r="A458" s="1">
        <v>1456</v>
      </c>
      <c r="B458" s="1" t="s">
        <v>587</v>
      </c>
      <c r="C458" s="1" t="s">
        <v>588</v>
      </c>
    </row>
    <row r="459" spans="1:3" x14ac:dyDescent="0.25">
      <c r="A459" s="1">
        <v>1458</v>
      </c>
      <c r="B459" s="1" t="s">
        <v>587</v>
      </c>
      <c r="C459" s="1" t="s">
        <v>588</v>
      </c>
    </row>
    <row r="460" spans="1:3" x14ac:dyDescent="0.25">
      <c r="A460" s="1">
        <v>1461</v>
      </c>
      <c r="B460" s="1" t="s">
        <v>587</v>
      </c>
      <c r="C460" s="1" t="s">
        <v>588</v>
      </c>
    </row>
    <row r="461" spans="1:3" x14ac:dyDescent="0.25">
      <c r="A461" s="1">
        <v>1469</v>
      </c>
      <c r="B461" s="1" t="s">
        <v>587</v>
      </c>
      <c r="C461" s="1" t="s">
        <v>588</v>
      </c>
    </row>
    <row r="462" spans="1:3" x14ac:dyDescent="0.25">
      <c r="A462" s="1">
        <v>1477</v>
      </c>
      <c r="B462" s="1" t="s">
        <v>587</v>
      </c>
      <c r="C462" s="1" t="s">
        <v>588</v>
      </c>
    </row>
    <row r="463" spans="1:3" x14ac:dyDescent="0.25">
      <c r="A463" s="1">
        <v>1481</v>
      </c>
      <c r="B463" s="1" t="s">
        <v>587</v>
      </c>
      <c r="C463" s="1" t="s">
        <v>588</v>
      </c>
    </row>
    <row r="464" spans="1:3" x14ac:dyDescent="0.25">
      <c r="A464" s="1">
        <v>1485</v>
      </c>
      <c r="B464" s="1" t="s">
        <v>587</v>
      </c>
      <c r="C464" s="1" t="s">
        <v>588</v>
      </c>
    </row>
    <row r="465" spans="1:3" x14ac:dyDescent="0.25">
      <c r="A465" s="1">
        <v>1486</v>
      </c>
      <c r="B465" s="1" t="s">
        <v>587</v>
      </c>
      <c r="C465" s="1" t="s">
        <v>588</v>
      </c>
    </row>
    <row r="466" spans="1:3" x14ac:dyDescent="0.25">
      <c r="A466" s="1">
        <v>1500</v>
      </c>
      <c r="B466" s="1" t="s">
        <v>587</v>
      </c>
      <c r="C466" s="1" t="s">
        <v>588</v>
      </c>
    </row>
    <row r="467" spans="1:3" x14ac:dyDescent="0.25">
      <c r="A467" s="1">
        <v>1501</v>
      </c>
      <c r="B467" s="1" t="s">
        <v>587</v>
      </c>
      <c r="C467" s="1" t="s">
        <v>588</v>
      </c>
    </row>
    <row r="468" spans="1:3" x14ac:dyDescent="0.25">
      <c r="A468" s="1">
        <v>1508</v>
      </c>
      <c r="B468" s="1" t="s">
        <v>587</v>
      </c>
      <c r="C468" s="1" t="s">
        <v>588</v>
      </c>
    </row>
    <row r="469" spans="1:3" x14ac:dyDescent="0.25">
      <c r="A469" s="1">
        <v>1518</v>
      </c>
      <c r="B469" s="1" t="s">
        <v>587</v>
      </c>
      <c r="C469" s="1" t="s">
        <v>588</v>
      </c>
    </row>
    <row r="470" spans="1:3" x14ac:dyDescent="0.25">
      <c r="A470" s="1">
        <v>1530</v>
      </c>
      <c r="B470" s="1" t="s">
        <v>587</v>
      </c>
      <c r="C470" s="1" t="s">
        <v>588</v>
      </c>
    </row>
    <row r="471" spans="1:3" x14ac:dyDescent="0.25">
      <c r="A471" s="1">
        <v>1533</v>
      </c>
      <c r="B471" s="1" t="s">
        <v>587</v>
      </c>
      <c r="C471" s="1" t="s">
        <v>588</v>
      </c>
    </row>
    <row r="472" spans="1:3" x14ac:dyDescent="0.25">
      <c r="A472" s="1">
        <v>1538</v>
      </c>
      <c r="B472" s="1" t="s">
        <v>587</v>
      </c>
      <c r="C472" s="1" t="s">
        <v>588</v>
      </c>
    </row>
    <row r="473" spans="1:3" x14ac:dyDescent="0.25">
      <c r="A473" s="1">
        <v>1543</v>
      </c>
      <c r="B473" s="1" t="s">
        <v>587</v>
      </c>
      <c r="C473" s="1" t="s">
        <v>588</v>
      </c>
    </row>
    <row r="474" spans="1:3" x14ac:dyDescent="0.25">
      <c r="A474" s="1">
        <v>1551</v>
      </c>
      <c r="B474" s="1" t="s">
        <v>587</v>
      </c>
      <c r="C474" s="1" t="s">
        <v>588</v>
      </c>
    </row>
    <row r="475" spans="1:3" x14ac:dyDescent="0.25">
      <c r="A475" s="1">
        <v>1556</v>
      </c>
      <c r="B475" s="1" t="s">
        <v>587</v>
      </c>
      <c r="C475" s="1" t="s">
        <v>588</v>
      </c>
    </row>
    <row r="476" spans="1:3" x14ac:dyDescent="0.25">
      <c r="A476" s="1">
        <v>1560</v>
      </c>
      <c r="B476" s="1" t="s">
        <v>587</v>
      </c>
      <c r="C476" s="1" t="s">
        <v>588</v>
      </c>
    </row>
    <row r="477" spans="1:3" x14ac:dyDescent="0.25">
      <c r="A477" s="1">
        <v>1561</v>
      </c>
      <c r="B477" s="1" t="s">
        <v>587</v>
      </c>
      <c r="C477" s="1" t="s">
        <v>588</v>
      </c>
    </row>
    <row r="478" spans="1:3" x14ac:dyDescent="0.25">
      <c r="A478" s="1">
        <v>1574</v>
      </c>
      <c r="B478" s="1" t="s">
        <v>587</v>
      </c>
      <c r="C478" s="1" t="s">
        <v>588</v>
      </c>
    </row>
    <row r="479" spans="1:3" x14ac:dyDescent="0.25">
      <c r="A479" s="1">
        <v>1591</v>
      </c>
      <c r="B479" s="1" t="s">
        <v>587</v>
      </c>
      <c r="C479" s="1" t="s">
        <v>588</v>
      </c>
    </row>
    <row r="480" spans="1:3" x14ac:dyDescent="0.25">
      <c r="A480" s="1">
        <v>1599</v>
      </c>
      <c r="B480" s="1" t="s">
        <v>587</v>
      </c>
      <c r="C480" s="1" t="s">
        <v>588</v>
      </c>
    </row>
    <row r="481" spans="1:3" x14ac:dyDescent="0.25">
      <c r="A481" s="1">
        <v>1608</v>
      </c>
      <c r="B481" s="1" t="s">
        <v>587</v>
      </c>
      <c r="C481" s="1" t="s">
        <v>588</v>
      </c>
    </row>
    <row r="482" spans="1:3" x14ac:dyDescent="0.25">
      <c r="A482" s="1">
        <v>1637</v>
      </c>
      <c r="B482" s="1" t="s">
        <v>587</v>
      </c>
      <c r="C482" s="1" t="s">
        <v>588</v>
      </c>
    </row>
    <row r="483" spans="1:3" x14ac:dyDescent="0.25">
      <c r="A483" s="1">
        <v>1658</v>
      </c>
      <c r="B483" s="1" t="s">
        <v>587</v>
      </c>
      <c r="C483" s="1" t="s">
        <v>588</v>
      </c>
    </row>
    <row r="484" spans="1:3" x14ac:dyDescent="0.25">
      <c r="A484" s="1">
        <v>1662</v>
      </c>
      <c r="B484" s="1" t="s">
        <v>587</v>
      </c>
      <c r="C484" s="1" t="s">
        <v>588</v>
      </c>
    </row>
    <row r="485" spans="1:3" x14ac:dyDescent="0.25">
      <c r="A485" s="1">
        <v>1684</v>
      </c>
      <c r="B485" s="1" t="s">
        <v>587</v>
      </c>
      <c r="C485" s="1" t="s">
        <v>588</v>
      </c>
    </row>
    <row r="486" spans="1:3" x14ac:dyDescent="0.25">
      <c r="A486" s="1">
        <v>1693</v>
      </c>
      <c r="B486" s="1" t="s">
        <v>587</v>
      </c>
      <c r="C486" s="1" t="s">
        <v>588</v>
      </c>
    </row>
    <row r="487" spans="1:3" x14ac:dyDescent="0.25">
      <c r="A487" s="1">
        <v>1697</v>
      </c>
      <c r="B487" s="1" t="s">
        <v>587</v>
      </c>
      <c r="C487" s="1" t="s">
        <v>588</v>
      </c>
    </row>
    <row r="488" spans="1:3" x14ac:dyDescent="0.25">
      <c r="A488" s="1">
        <v>1704</v>
      </c>
      <c r="B488" s="1" t="s">
        <v>587</v>
      </c>
      <c r="C488" s="1" t="s">
        <v>588</v>
      </c>
    </row>
    <row r="489" spans="1:3" x14ac:dyDescent="0.25">
      <c r="A489" s="1">
        <v>1709</v>
      </c>
      <c r="B489" s="1" t="s">
        <v>587</v>
      </c>
      <c r="C489" s="1" t="s">
        <v>588</v>
      </c>
    </row>
    <row r="490" spans="1:3" x14ac:dyDescent="0.25">
      <c r="A490" s="1">
        <v>1723</v>
      </c>
      <c r="B490" s="1" t="s">
        <v>587</v>
      </c>
      <c r="C490" s="1" t="s">
        <v>588</v>
      </c>
    </row>
    <row r="491" spans="1:3" x14ac:dyDescent="0.25">
      <c r="A491" s="1">
        <v>1742</v>
      </c>
      <c r="B491" s="1" t="s">
        <v>587</v>
      </c>
      <c r="C491" s="1" t="s">
        <v>588</v>
      </c>
    </row>
    <row r="492" spans="1:3" x14ac:dyDescent="0.25">
      <c r="A492" s="1">
        <v>1744</v>
      </c>
      <c r="B492" s="1" t="s">
        <v>587</v>
      </c>
      <c r="C492" s="1" t="s">
        <v>588</v>
      </c>
    </row>
    <row r="493" spans="1:3" x14ac:dyDescent="0.25">
      <c r="A493" s="1">
        <v>1769</v>
      </c>
      <c r="B493" s="1" t="s">
        <v>587</v>
      </c>
      <c r="C493" s="1" t="s">
        <v>588</v>
      </c>
    </row>
    <row r="494" spans="1:3" x14ac:dyDescent="0.25">
      <c r="A494" s="1">
        <v>1781</v>
      </c>
      <c r="B494" s="1" t="s">
        <v>587</v>
      </c>
      <c r="C494" s="1" t="s">
        <v>588</v>
      </c>
    </row>
    <row r="495" spans="1:3" x14ac:dyDescent="0.25">
      <c r="A495" s="1">
        <v>1814</v>
      </c>
      <c r="B495" s="1" t="s">
        <v>587</v>
      </c>
      <c r="C495" s="1" t="s">
        <v>588</v>
      </c>
    </row>
    <row r="496" spans="1:3" x14ac:dyDescent="0.25">
      <c r="A496" s="1">
        <v>1817</v>
      </c>
      <c r="B496" s="1" t="s">
        <v>587</v>
      </c>
      <c r="C496" s="1" t="s">
        <v>588</v>
      </c>
    </row>
    <row r="497" spans="1:3" x14ac:dyDescent="0.25">
      <c r="A497" s="1">
        <v>1832</v>
      </c>
      <c r="B497" s="1" t="s">
        <v>587</v>
      </c>
      <c r="C497" s="1" t="s">
        <v>588</v>
      </c>
    </row>
    <row r="498" spans="1:3" x14ac:dyDescent="0.25">
      <c r="A498" s="1">
        <v>1841</v>
      </c>
      <c r="B498" s="1" t="s">
        <v>587</v>
      </c>
      <c r="C498" s="1" t="s">
        <v>588</v>
      </c>
    </row>
    <row r="499" spans="1:3" x14ac:dyDescent="0.25">
      <c r="A499" s="1">
        <v>1845</v>
      </c>
      <c r="B499" s="1" t="s">
        <v>587</v>
      </c>
      <c r="C499" s="1" t="s">
        <v>588</v>
      </c>
    </row>
    <row r="500" spans="1:3" x14ac:dyDescent="0.25">
      <c r="A500" s="1">
        <v>1858</v>
      </c>
      <c r="B500" s="1" t="s">
        <v>587</v>
      </c>
      <c r="C500" s="1" t="s">
        <v>588</v>
      </c>
    </row>
    <row r="501" spans="1:3" x14ac:dyDescent="0.25">
      <c r="A501" s="1">
        <v>1874</v>
      </c>
      <c r="B501" s="1" t="s">
        <v>587</v>
      </c>
      <c r="C501" s="1" t="s">
        <v>588</v>
      </c>
    </row>
    <row r="502" spans="1:3" x14ac:dyDescent="0.25">
      <c r="A502" s="1">
        <v>1884</v>
      </c>
      <c r="B502" s="1" t="s">
        <v>587</v>
      </c>
      <c r="C502" s="1" t="s">
        <v>588</v>
      </c>
    </row>
    <row r="503" spans="1:3" x14ac:dyDescent="0.25">
      <c r="A503" s="1">
        <v>1889</v>
      </c>
      <c r="B503" s="1" t="s">
        <v>587</v>
      </c>
      <c r="C503" s="1" t="s">
        <v>588</v>
      </c>
    </row>
    <row r="504" spans="1:3" x14ac:dyDescent="0.25">
      <c r="A504" s="1">
        <v>1917</v>
      </c>
      <c r="B504" s="1" t="s">
        <v>587</v>
      </c>
      <c r="C504" s="1" t="s">
        <v>588</v>
      </c>
    </row>
    <row r="505" spans="1:3" x14ac:dyDescent="0.25">
      <c r="A505" s="1">
        <v>1922</v>
      </c>
      <c r="B505" s="1" t="s">
        <v>587</v>
      </c>
      <c r="C505" s="1" t="s">
        <v>588</v>
      </c>
    </row>
    <row r="506" spans="1:3" x14ac:dyDescent="0.25">
      <c r="A506" s="1">
        <v>1924</v>
      </c>
      <c r="B506" s="1" t="s">
        <v>587</v>
      </c>
      <c r="C506" s="1" t="s">
        <v>588</v>
      </c>
    </row>
    <row r="507" spans="1:3" x14ac:dyDescent="0.25">
      <c r="A507" s="1">
        <v>1926</v>
      </c>
      <c r="B507" s="1" t="s">
        <v>587</v>
      </c>
      <c r="C507" s="1" t="s">
        <v>588</v>
      </c>
    </row>
    <row r="508" spans="1:3" x14ac:dyDescent="0.25">
      <c r="A508" s="1">
        <v>1967</v>
      </c>
      <c r="B508" s="1" t="s">
        <v>587</v>
      </c>
      <c r="C508" s="1" t="s">
        <v>588</v>
      </c>
    </row>
    <row r="509" spans="1:3" x14ac:dyDescent="0.25">
      <c r="A509" s="1">
        <v>1968</v>
      </c>
      <c r="B509" s="1" t="s">
        <v>587</v>
      </c>
      <c r="C509" s="1" t="s">
        <v>588</v>
      </c>
    </row>
    <row r="510" spans="1:3" x14ac:dyDescent="0.25">
      <c r="A510" s="1">
        <v>1969</v>
      </c>
      <c r="B510" s="1" t="s">
        <v>587</v>
      </c>
      <c r="C510" s="1" t="s">
        <v>588</v>
      </c>
    </row>
    <row r="511" spans="1:3" x14ac:dyDescent="0.25">
      <c r="A511" s="1">
        <v>1971</v>
      </c>
      <c r="B511" s="1" t="s">
        <v>587</v>
      </c>
      <c r="C511" s="1" t="s">
        <v>588</v>
      </c>
    </row>
    <row r="512" spans="1:3" x14ac:dyDescent="0.25">
      <c r="A512" s="1">
        <v>1972</v>
      </c>
      <c r="B512" s="1" t="s">
        <v>587</v>
      </c>
      <c r="C512" s="1" t="s">
        <v>588</v>
      </c>
    </row>
    <row r="513" spans="1:3" x14ac:dyDescent="0.25">
      <c r="A513" s="1">
        <v>1974</v>
      </c>
      <c r="B513" s="1" t="s">
        <v>587</v>
      </c>
      <c r="C513" s="1" t="s">
        <v>588</v>
      </c>
    </row>
    <row r="514" spans="1:3" x14ac:dyDescent="0.25">
      <c r="A514" s="1">
        <v>1975</v>
      </c>
      <c r="B514" s="1" t="s">
        <v>587</v>
      </c>
      <c r="C514" s="1" t="s">
        <v>588</v>
      </c>
    </row>
    <row r="515" spans="1:3" x14ac:dyDescent="0.25">
      <c r="A515" s="1">
        <v>1976</v>
      </c>
      <c r="B515" s="1" t="s">
        <v>587</v>
      </c>
      <c r="C515" s="1" t="s">
        <v>588</v>
      </c>
    </row>
    <row r="516" spans="1:3" x14ac:dyDescent="0.25">
      <c r="A516" s="1">
        <v>1980</v>
      </c>
      <c r="B516" s="1" t="s">
        <v>587</v>
      </c>
      <c r="C516" s="1" t="s">
        <v>588</v>
      </c>
    </row>
    <row r="517" spans="1:3" x14ac:dyDescent="0.25">
      <c r="A517" s="1">
        <v>1982</v>
      </c>
      <c r="B517" s="1" t="s">
        <v>587</v>
      </c>
      <c r="C517" s="1" t="s">
        <v>588</v>
      </c>
    </row>
    <row r="518" spans="1:3" x14ac:dyDescent="0.25">
      <c r="A518" s="1">
        <v>1983</v>
      </c>
      <c r="B518" s="1" t="s">
        <v>587</v>
      </c>
      <c r="C518" s="1" t="s">
        <v>588</v>
      </c>
    </row>
    <row r="519" spans="1:3" x14ac:dyDescent="0.25">
      <c r="A519" s="1">
        <v>1987</v>
      </c>
      <c r="B519" s="1" t="s">
        <v>587</v>
      </c>
      <c r="C519" s="1" t="s">
        <v>588</v>
      </c>
    </row>
    <row r="520" spans="1:3" x14ac:dyDescent="0.25">
      <c r="A520" s="1">
        <v>1988</v>
      </c>
      <c r="B520" s="1" t="s">
        <v>587</v>
      </c>
      <c r="C520" s="1" t="s">
        <v>588</v>
      </c>
    </row>
    <row r="521" spans="1:3" x14ac:dyDescent="0.25">
      <c r="A521" s="1">
        <v>1989</v>
      </c>
      <c r="B521" s="1" t="s">
        <v>587</v>
      </c>
      <c r="C521" s="1" t="s">
        <v>588</v>
      </c>
    </row>
    <row r="522" spans="1:3" x14ac:dyDescent="0.25">
      <c r="A522" s="1">
        <v>1990</v>
      </c>
      <c r="B522" s="1" t="s">
        <v>587</v>
      </c>
      <c r="C522" s="1" t="s">
        <v>588</v>
      </c>
    </row>
    <row r="523" spans="1:3" x14ac:dyDescent="0.25">
      <c r="A523" s="1">
        <v>1991</v>
      </c>
      <c r="B523" s="1" t="s">
        <v>587</v>
      </c>
      <c r="C523" s="1" t="s">
        <v>588</v>
      </c>
    </row>
    <row r="524" spans="1:3" x14ac:dyDescent="0.25">
      <c r="A524" s="1">
        <v>1993</v>
      </c>
      <c r="B524" s="1" t="s">
        <v>587</v>
      </c>
      <c r="C524" s="1" t="s">
        <v>588</v>
      </c>
    </row>
    <row r="525" spans="1:3" x14ac:dyDescent="0.25">
      <c r="A525" s="1">
        <v>1994</v>
      </c>
      <c r="B525" s="1" t="s">
        <v>587</v>
      </c>
      <c r="C525" s="1" t="s">
        <v>588</v>
      </c>
    </row>
    <row r="526" spans="1:3" x14ac:dyDescent="0.25">
      <c r="A526" s="1">
        <v>1996</v>
      </c>
      <c r="B526" s="1" t="s">
        <v>587</v>
      </c>
      <c r="C526" s="1" t="s">
        <v>588</v>
      </c>
    </row>
    <row r="527" spans="1:3" x14ac:dyDescent="0.25">
      <c r="A527" s="1">
        <v>1997</v>
      </c>
      <c r="B527" s="1" t="s">
        <v>587</v>
      </c>
      <c r="C527" s="1" t="s">
        <v>588</v>
      </c>
    </row>
    <row r="528" spans="1:3" x14ac:dyDescent="0.25">
      <c r="A528" s="1">
        <v>1999</v>
      </c>
      <c r="B528" s="1" t="s">
        <v>587</v>
      </c>
      <c r="C528" s="1" t="s">
        <v>588</v>
      </c>
    </row>
    <row r="529" spans="1:3" x14ac:dyDescent="0.25">
      <c r="A529" s="1">
        <v>2000</v>
      </c>
      <c r="B529" s="1" t="s">
        <v>587</v>
      </c>
      <c r="C529" s="1" t="s">
        <v>588</v>
      </c>
    </row>
    <row r="530" spans="1:3" x14ac:dyDescent="0.25">
      <c r="A530" s="1">
        <v>2001</v>
      </c>
      <c r="B530" s="1" t="s">
        <v>587</v>
      </c>
      <c r="C530" s="1" t="s">
        <v>588</v>
      </c>
    </row>
    <row r="531" spans="1:3" x14ac:dyDescent="0.25">
      <c r="A531" s="1">
        <v>2002</v>
      </c>
      <c r="B531" s="1" t="s">
        <v>587</v>
      </c>
      <c r="C531" s="1" t="s">
        <v>588</v>
      </c>
    </row>
    <row r="532" spans="1:3" x14ac:dyDescent="0.25">
      <c r="A532" s="1">
        <v>2009</v>
      </c>
      <c r="B532" s="1" t="s">
        <v>587</v>
      </c>
      <c r="C532" s="1" t="s">
        <v>588</v>
      </c>
    </row>
    <row r="533" spans="1:3" x14ac:dyDescent="0.25">
      <c r="A533" s="1">
        <v>2010</v>
      </c>
      <c r="B533" s="1" t="s">
        <v>587</v>
      </c>
      <c r="C533" s="1" t="s">
        <v>588</v>
      </c>
    </row>
    <row r="534" spans="1:3" x14ac:dyDescent="0.25">
      <c r="A534" s="1">
        <v>2020</v>
      </c>
      <c r="B534" s="1" t="s">
        <v>587</v>
      </c>
      <c r="C534" s="1" t="s">
        <v>588</v>
      </c>
    </row>
    <row r="535" spans="1:3" x14ac:dyDescent="0.25">
      <c r="A535" s="1">
        <v>2027</v>
      </c>
      <c r="B535" s="1" t="s">
        <v>587</v>
      </c>
      <c r="C535" s="1" t="s">
        <v>588</v>
      </c>
    </row>
    <row r="536" spans="1:3" x14ac:dyDescent="0.25">
      <c r="A536" s="1">
        <v>2048</v>
      </c>
      <c r="B536" s="1" t="s">
        <v>587</v>
      </c>
      <c r="C536" s="1" t="s">
        <v>588</v>
      </c>
    </row>
    <row r="537" spans="1:3" x14ac:dyDescent="0.25">
      <c r="A537" s="1">
        <v>2051</v>
      </c>
      <c r="B537" s="1" t="s">
        <v>587</v>
      </c>
      <c r="C537" s="1" t="s">
        <v>588</v>
      </c>
    </row>
    <row r="538" spans="1:3" x14ac:dyDescent="0.25">
      <c r="A538" s="1">
        <v>2054</v>
      </c>
      <c r="B538" s="1" t="s">
        <v>587</v>
      </c>
      <c r="C538" s="1" t="s">
        <v>588</v>
      </c>
    </row>
    <row r="539" spans="1:3" x14ac:dyDescent="0.25">
      <c r="A539" s="1">
        <v>2055</v>
      </c>
      <c r="B539" s="1" t="s">
        <v>587</v>
      </c>
      <c r="C539" s="1" t="s">
        <v>588</v>
      </c>
    </row>
    <row r="540" spans="1:3" x14ac:dyDescent="0.25">
      <c r="A540" s="1">
        <v>2058</v>
      </c>
      <c r="B540" s="1" t="s">
        <v>587</v>
      </c>
      <c r="C540" s="1" t="s">
        <v>588</v>
      </c>
    </row>
    <row r="541" spans="1:3" x14ac:dyDescent="0.25">
      <c r="A541" s="1">
        <v>2061</v>
      </c>
      <c r="B541" s="1" t="s">
        <v>587</v>
      </c>
      <c r="C541" s="1" t="s">
        <v>588</v>
      </c>
    </row>
    <row r="542" spans="1:3" x14ac:dyDescent="0.25">
      <c r="A542" s="1">
        <v>2062</v>
      </c>
      <c r="B542" s="1" t="s">
        <v>587</v>
      </c>
      <c r="C542" s="1" t="s">
        <v>588</v>
      </c>
    </row>
    <row r="543" spans="1:3" x14ac:dyDescent="0.25">
      <c r="A543" s="1">
        <v>2063</v>
      </c>
      <c r="B543" s="1" t="s">
        <v>587</v>
      </c>
      <c r="C543" s="1" t="s">
        <v>588</v>
      </c>
    </row>
    <row r="544" spans="1:3" x14ac:dyDescent="0.25">
      <c r="A544" s="1">
        <v>2072</v>
      </c>
      <c r="B544" s="1" t="s">
        <v>587</v>
      </c>
      <c r="C544" s="1" t="s">
        <v>588</v>
      </c>
    </row>
    <row r="545" spans="1:3" x14ac:dyDescent="0.25">
      <c r="A545" s="1">
        <v>2079</v>
      </c>
      <c r="B545" s="1" t="s">
        <v>587</v>
      </c>
      <c r="C545" s="1" t="s">
        <v>588</v>
      </c>
    </row>
    <row r="546" spans="1:3" x14ac:dyDescent="0.25">
      <c r="A546" s="1">
        <v>2080</v>
      </c>
      <c r="B546" s="1" t="s">
        <v>587</v>
      </c>
      <c r="C546" s="1" t="s">
        <v>588</v>
      </c>
    </row>
    <row r="547" spans="1:3" x14ac:dyDescent="0.25">
      <c r="A547" s="1">
        <v>2085</v>
      </c>
      <c r="B547" s="1" t="s">
        <v>587</v>
      </c>
      <c r="C547" s="1" t="s">
        <v>588</v>
      </c>
    </row>
    <row r="548" spans="1:3" x14ac:dyDescent="0.25">
      <c r="A548" s="1">
        <v>2087</v>
      </c>
      <c r="B548" s="1" t="s">
        <v>587</v>
      </c>
      <c r="C548" s="1" t="s">
        <v>588</v>
      </c>
    </row>
    <row r="549" spans="1:3" x14ac:dyDescent="0.25">
      <c r="A549" s="1">
        <v>2088</v>
      </c>
      <c r="B549" s="1" t="s">
        <v>587</v>
      </c>
      <c r="C549" s="1" t="s">
        <v>588</v>
      </c>
    </row>
    <row r="550" spans="1:3" x14ac:dyDescent="0.25">
      <c r="A550" s="1">
        <v>2101</v>
      </c>
      <c r="B550" s="1" t="s">
        <v>587</v>
      </c>
      <c r="C550" s="1" t="s">
        <v>588</v>
      </c>
    </row>
    <row r="551" spans="1:3" x14ac:dyDescent="0.25">
      <c r="A551" s="1">
        <v>2107</v>
      </c>
      <c r="B551" s="1" t="s">
        <v>587</v>
      </c>
      <c r="C551" s="1" t="s">
        <v>588</v>
      </c>
    </row>
    <row r="552" spans="1:3" x14ac:dyDescent="0.25">
      <c r="A552" s="1">
        <v>2108</v>
      </c>
      <c r="B552" s="1" t="s">
        <v>587</v>
      </c>
      <c r="C552" s="1" t="s">
        <v>588</v>
      </c>
    </row>
    <row r="553" spans="1:3" x14ac:dyDescent="0.25">
      <c r="A553" s="1">
        <v>2110</v>
      </c>
      <c r="B553" s="1" t="s">
        <v>587</v>
      </c>
      <c r="C553" s="1" t="s">
        <v>588</v>
      </c>
    </row>
    <row r="554" spans="1:3" x14ac:dyDescent="0.25">
      <c r="A554" s="1">
        <v>2121</v>
      </c>
      <c r="B554" s="1" t="s">
        <v>587</v>
      </c>
      <c r="C554" s="1" t="s">
        <v>588</v>
      </c>
    </row>
    <row r="555" spans="1:3" x14ac:dyDescent="0.25">
      <c r="A555" s="1">
        <v>2127</v>
      </c>
      <c r="B555" s="1" t="s">
        <v>587</v>
      </c>
      <c r="C555" s="1" t="s">
        <v>588</v>
      </c>
    </row>
    <row r="556" spans="1:3" x14ac:dyDescent="0.25">
      <c r="A556" s="1">
        <v>2130</v>
      </c>
      <c r="B556" s="1" t="s">
        <v>587</v>
      </c>
      <c r="C556" s="1" t="s">
        <v>588</v>
      </c>
    </row>
    <row r="557" spans="1:3" x14ac:dyDescent="0.25">
      <c r="A557" s="1">
        <v>2132</v>
      </c>
      <c r="B557" s="1" t="s">
        <v>587</v>
      </c>
      <c r="C557" s="1" t="s">
        <v>588</v>
      </c>
    </row>
    <row r="558" spans="1:3" x14ac:dyDescent="0.25">
      <c r="A558" s="1">
        <v>2133</v>
      </c>
      <c r="B558" s="1" t="s">
        <v>587</v>
      </c>
      <c r="C558" s="1" t="s">
        <v>588</v>
      </c>
    </row>
    <row r="559" spans="1:3" x14ac:dyDescent="0.25">
      <c r="A559" s="1">
        <v>2134</v>
      </c>
      <c r="B559" s="1" t="s">
        <v>587</v>
      </c>
      <c r="C559" s="1" t="s">
        <v>588</v>
      </c>
    </row>
    <row r="560" spans="1:3" x14ac:dyDescent="0.25">
      <c r="A560" s="1">
        <v>2148</v>
      </c>
      <c r="B560" s="1" t="s">
        <v>587</v>
      </c>
      <c r="C560" s="1" t="s">
        <v>588</v>
      </c>
    </row>
    <row r="561" spans="1:3" x14ac:dyDescent="0.25">
      <c r="A561" s="1">
        <v>2152</v>
      </c>
      <c r="B561" s="1" t="s">
        <v>587</v>
      </c>
      <c r="C561" s="1" t="s">
        <v>588</v>
      </c>
    </row>
    <row r="562" spans="1:3" x14ac:dyDescent="0.25">
      <c r="A562" s="1">
        <v>2154</v>
      </c>
      <c r="B562" s="1" t="s">
        <v>587</v>
      </c>
      <c r="C562" s="1" t="s">
        <v>588</v>
      </c>
    </row>
    <row r="563" spans="1:3" x14ac:dyDescent="0.25">
      <c r="A563" s="1">
        <v>2155</v>
      </c>
      <c r="B563" s="1" t="s">
        <v>587</v>
      </c>
      <c r="C563" s="1" t="s">
        <v>588</v>
      </c>
    </row>
    <row r="564" spans="1:3" x14ac:dyDescent="0.25">
      <c r="A564" s="1">
        <v>2156</v>
      </c>
      <c r="B564" s="1" t="s">
        <v>587</v>
      </c>
      <c r="C564" s="1" t="s">
        <v>588</v>
      </c>
    </row>
    <row r="565" spans="1:3" x14ac:dyDescent="0.25">
      <c r="A565" s="1">
        <v>2157</v>
      </c>
      <c r="B565" s="1" t="s">
        <v>587</v>
      </c>
      <c r="C565" s="1" t="s">
        <v>588</v>
      </c>
    </row>
    <row r="566" spans="1:3" x14ac:dyDescent="0.25">
      <c r="A566" s="1">
        <v>2160</v>
      </c>
      <c r="B566" s="1" t="s">
        <v>587</v>
      </c>
      <c r="C566" s="1" t="s">
        <v>588</v>
      </c>
    </row>
    <row r="567" spans="1:3" x14ac:dyDescent="0.25">
      <c r="A567" s="1">
        <v>2161</v>
      </c>
      <c r="B567" s="1" t="s">
        <v>587</v>
      </c>
      <c r="C567" s="1" t="s">
        <v>588</v>
      </c>
    </row>
    <row r="568" spans="1:3" x14ac:dyDescent="0.25">
      <c r="A568" s="1">
        <v>2163</v>
      </c>
      <c r="B568" s="1" t="s">
        <v>587</v>
      </c>
      <c r="C568" s="1" t="s">
        <v>588</v>
      </c>
    </row>
    <row r="569" spans="1:3" x14ac:dyDescent="0.25">
      <c r="A569" s="1">
        <v>2164</v>
      </c>
      <c r="B569" s="1" t="s">
        <v>587</v>
      </c>
      <c r="C569" s="1" t="s">
        <v>588</v>
      </c>
    </row>
    <row r="570" spans="1:3" x14ac:dyDescent="0.25">
      <c r="A570" s="1">
        <v>2176</v>
      </c>
      <c r="B570" s="1" t="s">
        <v>587</v>
      </c>
      <c r="C570" s="1" t="s">
        <v>588</v>
      </c>
    </row>
    <row r="571" spans="1:3" x14ac:dyDescent="0.25">
      <c r="A571" s="1">
        <v>2177</v>
      </c>
      <c r="B571" s="1" t="s">
        <v>587</v>
      </c>
      <c r="C571" s="1" t="s">
        <v>588</v>
      </c>
    </row>
    <row r="572" spans="1:3" x14ac:dyDescent="0.25">
      <c r="A572" s="1">
        <v>2179</v>
      </c>
      <c r="B572" s="1" t="s">
        <v>587</v>
      </c>
      <c r="C572" s="1" t="s">
        <v>588</v>
      </c>
    </row>
    <row r="573" spans="1:3" x14ac:dyDescent="0.25">
      <c r="A573" s="1">
        <v>2180</v>
      </c>
      <c r="B573" s="1" t="s">
        <v>587</v>
      </c>
      <c r="C573" s="1" t="s">
        <v>588</v>
      </c>
    </row>
    <row r="574" spans="1:3" x14ac:dyDescent="0.25">
      <c r="A574" s="1">
        <v>2182</v>
      </c>
      <c r="B574" s="1" t="s">
        <v>587</v>
      </c>
      <c r="C574" s="1" t="s">
        <v>588</v>
      </c>
    </row>
    <row r="575" spans="1:3" x14ac:dyDescent="0.25">
      <c r="A575" s="1">
        <v>2191</v>
      </c>
      <c r="B575" s="1" t="s">
        <v>587</v>
      </c>
      <c r="C575" s="1" t="s">
        <v>588</v>
      </c>
    </row>
    <row r="576" spans="1:3" x14ac:dyDescent="0.25">
      <c r="A576" s="1">
        <v>2217</v>
      </c>
      <c r="B576" s="1" t="s">
        <v>587</v>
      </c>
      <c r="C576" s="1" t="s">
        <v>588</v>
      </c>
    </row>
    <row r="577" spans="1:3" x14ac:dyDescent="0.25">
      <c r="A577" s="1">
        <v>2220</v>
      </c>
      <c r="B577" s="1" t="s">
        <v>587</v>
      </c>
      <c r="C577" s="1" t="s">
        <v>588</v>
      </c>
    </row>
    <row r="578" spans="1:3" x14ac:dyDescent="0.25">
      <c r="A578" s="1">
        <v>2226</v>
      </c>
      <c r="B578" s="1" t="s">
        <v>587</v>
      </c>
      <c r="C578" s="1" t="s">
        <v>588</v>
      </c>
    </row>
    <row r="579" spans="1:3" x14ac:dyDescent="0.25">
      <c r="A579" s="1">
        <v>2227</v>
      </c>
      <c r="B579" s="1" t="s">
        <v>587</v>
      </c>
      <c r="C579" s="1" t="s">
        <v>588</v>
      </c>
    </row>
    <row r="580" spans="1:3" x14ac:dyDescent="0.25">
      <c r="A580" s="1">
        <v>2228</v>
      </c>
      <c r="B580" s="1" t="s">
        <v>587</v>
      </c>
      <c r="C580" s="1" t="s">
        <v>588</v>
      </c>
    </row>
    <row r="581" spans="1:3" x14ac:dyDescent="0.25">
      <c r="A581" s="1">
        <v>2230</v>
      </c>
      <c r="B581" s="1" t="s">
        <v>587</v>
      </c>
      <c r="C581" s="1" t="s">
        <v>588</v>
      </c>
    </row>
    <row r="582" spans="1:3" x14ac:dyDescent="0.25">
      <c r="A582" s="1">
        <v>2233</v>
      </c>
      <c r="B582" s="1" t="s">
        <v>587</v>
      </c>
      <c r="C582" s="1" t="s">
        <v>588</v>
      </c>
    </row>
    <row r="583" spans="1:3" x14ac:dyDescent="0.25">
      <c r="A583" s="1">
        <v>2236</v>
      </c>
      <c r="B583" s="1" t="s">
        <v>587</v>
      </c>
      <c r="C583" s="1" t="s">
        <v>588</v>
      </c>
    </row>
    <row r="584" spans="1:3" x14ac:dyDescent="0.25">
      <c r="A584" s="1">
        <v>2237</v>
      </c>
      <c r="B584" s="1" t="s">
        <v>587</v>
      </c>
      <c r="C584" s="1" t="s">
        <v>588</v>
      </c>
    </row>
    <row r="585" spans="1:3" x14ac:dyDescent="0.25">
      <c r="A585" s="1">
        <v>2239</v>
      </c>
      <c r="B585" s="1" t="s">
        <v>587</v>
      </c>
      <c r="C585" s="1" t="s">
        <v>588</v>
      </c>
    </row>
    <row r="586" spans="1:3" x14ac:dyDescent="0.25">
      <c r="A586" s="1">
        <v>2242</v>
      </c>
      <c r="B586" s="1" t="s">
        <v>587</v>
      </c>
      <c r="C586" s="1" t="s">
        <v>588</v>
      </c>
    </row>
    <row r="587" spans="1:3" x14ac:dyDescent="0.25">
      <c r="A587" s="1">
        <v>2243</v>
      </c>
      <c r="B587" s="1" t="s">
        <v>587</v>
      </c>
      <c r="C587" s="1" t="s">
        <v>588</v>
      </c>
    </row>
    <row r="588" spans="1:3" x14ac:dyDescent="0.25">
      <c r="A588" s="1">
        <v>2244</v>
      </c>
      <c r="B588" s="1" t="s">
        <v>587</v>
      </c>
      <c r="C588" s="1" t="s">
        <v>588</v>
      </c>
    </row>
    <row r="589" spans="1:3" x14ac:dyDescent="0.25">
      <c r="A589" s="1">
        <v>2246</v>
      </c>
      <c r="B589" s="1" t="s">
        <v>587</v>
      </c>
      <c r="C589" s="1" t="s">
        <v>588</v>
      </c>
    </row>
    <row r="590" spans="1:3" x14ac:dyDescent="0.25">
      <c r="A590" s="1">
        <v>2247</v>
      </c>
      <c r="B590" s="1" t="s">
        <v>587</v>
      </c>
      <c r="C590" s="1" t="s">
        <v>588</v>
      </c>
    </row>
    <row r="591" spans="1:3" x14ac:dyDescent="0.25">
      <c r="A591" s="1">
        <v>2248</v>
      </c>
      <c r="B591" s="1" t="s">
        <v>587</v>
      </c>
      <c r="C591" s="1" t="s">
        <v>588</v>
      </c>
    </row>
    <row r="592" spans="1:3" x14ac:dyDescent="0.25">
      <c r="A592" s="1">
        <v>2249</v>
      </c>
      <c r="B592" s="1" t="s">
        <v>587</v>
      </c>
      <c r="C592" s="1" t="s">
        <v>588</v>
      </c>
    </row>
    <row r="593" spans="1:3" x14ac:dyDescent="0.25">
      <c r="A593" s="1">
        <v>2251</v>
      </c>
      <c r="B593" s="1" t="s">
        <v>587</v>
      </c>
      <c r="C593" s="1" t="s">
        <v>588</v>
      </c>
    </row>
    <row r="594" spans="1:3" x14ac:dyDescent="0.25">
      <c r="A594" s="1">
        <v>2252</v>
      </c>
      <c r="B594" s="1" t="s">
        <v>587</v>
      </c>
      <c r="C594" s="1" t="s">
        <v>588</v>
      </c>
    </row>
    <row r="595" spans="1:3" x14ac:dyDescent="0.25">
      <c r="A595" s="1">
        <v>2255</v>
      </c>
      <c r="B595" s="1" t="s">
        <v>587</v>
      </c>
      <c r="C595" s="1" t="s">
        <v>588</v>
      </c>
    </row>
    <row r="596" spans="1:3" x14ac:dyDescent="0.25">
      <c r="A596" s="1">
        <v>2259</v>
      </c>
      <c r="B596" s="1" t="s">
        <v>587</v>
      </c>
      <c r="C596" s="1" t="s">
        <v>588</v>
      </c>
    </row>
    <row r="597" spans="1:3" x14ac:dyDescent="0.25">
      <c r="A597" s="1">
        <v>2262</v>
      </c>
      <c r="B597" s="1" t="s">
        <v>587</v>
      </c>
      <c r="C597" s="1" t="s">
        <v>588</v>
      </c>
    </row>
    <row r="598" spans="1:3" x14ac:dyDescent="0.25">
      <c r="A598" s="1">
        <v>2263</v>
      </c>
      <c r="B598" s="1" t="s">
        <v>587</v>
      </c>
      <c r="C598" s="1" t="s">
        <v>588</v>
      </c>
    </row>
    <row r="599" spans="1:3" x14ac:dyDescent="0.25">
      <c r="A599" s="1">
        <v>2265</v>
      </c>
      <c r="B599" s="1" t="s">
        <v>587</v>
      </c>
      <c r="C599" s="1" t="s">
        <v>588</v>
      </c>
    </row>
    <row r="600" spans="1:3" x14ac:dyDescent="0.25">
      <c r="A600" s="1">
        <v>2267</v>
      </c>
      <c r="B600" s="1" t="s">
        <v>587</v>
      </c>
      <c r="C600" s="1" t="s">
        <v>588</v>
      </c>
    </row>
    <row r="601" spans="1:3" x14ac:dyDescent="0.25">
      <c r="A601" s="1">
        <v>2270</v>
      </c>
      <c r="B601" s="1" t="s">
        <v>587</v>
      </c>
      <c r="C601" s="1" t="s">
        <v>588</v>
      </c>
    </row>
    <row r="602" spans="1:3" x14ac:dyDescent="0.25">
      <c r="A602" s="1">
        <v>2272</v>
      </c>
      <c r="B602" s="1" t="s">
        <v>587</v>
      </c>
      <c r="C602" s="1" t="s">
        <v>588</v>
      </c>
    </row>
    <row r="603" spans="1:3" x14ac:dyDescent="0.25">
      <c r="A603" s="1">
        <v>2273</v>
      </c>
      <c r="B603" s="1" t="s">
        <v>587</v>
      </c>
      <c r="C603" s="1" t="s">
        <v>588</v>
      </c>
    </row>
    <row r="604" spans="1:3" x14ac:dyDescent="0.25">
      <c r="A604" s="1">
        <v>2276</v>
      </c>
      <c r="B604" s="1" t="s">
        <v>587</v>
      </c>
      <c r="C604" s="1" t="s">
        <v>588</v>
      </c>
    </row>
    <row r="605" spans="1:3" x14ac:dyDescent="0.25">
      <c r="A605" s="1">
        <v>2277</v>
      </c>
      <c r="B605" s="1" t="s">
        <v>587</v>
      </c>
      <c r="C605" s="1" t="s">
        <v>588</v>
      </c>
    </row>
    <row r="606" spans="1:3" x14ac:dyDescent="0.25">
      <c r="A606" s="1">
        <v>2279</v>
      </c>
      <c r="B606" s="1" t="s">
        <v>587</v>
      </c>
      <c r="C606" s="1" t="s">
        <v>588</v>
      </c>
    </row>
    <row r="607" spans="1:3" x14ac:dyDescent="0.25">
      <c r="A607" s="1">
        <v>2280</v>
      </c>
      <c r="B607" s="1" t="s">
        <v>587</v>
      </c>
      <c r="C607" s="1" t="s">
        <v>588</v>
      </c>
    </row>
    <row r="608" spans="1:3" x14ac:dyDescent="0.25">
      <c r="A608" s="1">
        <v>2281</v>
      </c>
      <c r="B608" s="1" t="s">
        <v>587</v>
      </c>
      <c r="C608" s="1" t="s">
        <v>588</v>
      </c>
    </row>
    <row r="609" spans="1:3" x14ac:dyDescent="0.25">
      <c r="A609" s="1">
        <v>2282</v>
      </c>
      <c r="B609" s="1" t="s">
        <v>587</v>
      </c>
      <c r="C609" s="1" t="s">
        <v>588</v>
      </c>
    </row>
    <row r="610" spans="1:3" x14ac:dyDescent="0.25">
      <c r="A610" s="1">
        <v>2283</v>
      </c>
      <c r="B610" s="1" t="s">
        <v>587</v>
      </c>
      <c r="C610" s="1" t="s">
        <v>588</v>
      </c>
    </row>
    <row r="611" spans="1:3" x14ac:dyDescent="0.25">
      <c r="A611" s="1">
        <v>2292</v>
      </c>
      <c r="B611" s="1" t="s">
        <v>587</v>
      </c>
      <c r="C611" s="1" t="s">
        <v>588</v>
      </c>
    </row>
    <row r="612" spans="1:3" x14ac:dyDescent="0.25">
      <c r="A612" s="1">
        <v>2297</v>
      </c>
      <c r="B612" s="1" t="s">
        <v>587</v>
      </c>
      <c r="C612" s="1" t="s">
        <v>588</v>
      </c>
    </row>
    <row r="613" spans="1:3" x14ac:dyDescent="0.25">
      <c r="A613" s="1">
        <v>2299</v>
      </c>
      <c r="B613" s="1" t="s">
        <v>587</v>
      </c>
      <c r="C613" s="1" t="s">
        <v>588</v>
      </c>
    </row>
    <row r="614" spans="1:3" x14ac:dyDescent="0.25">
      <c r="A614" s="1">
        <v>2300</v>
      </c>
      <c r="B614" s="1" t="s">
        <v>587</v>
      </c>
      <c r="C614" s="1" t="s">
        <v>588</v>
      </c>
    </row>
    <row r="615" spans="1:3" x14ac:dyDescent="0.25">
      <c r="A615" s="1">
        <v>2301</v>
      </c>
      <c r="B615" s="1" t="s">
        <v>587</v>
      </c>
      <c r="C615" s="1" t="s">
        <v>588</v>
      </c>
    </row>
    <row r="616" spans="1:3" x14ac:dyDescent="0.25">
      <c r="A616" s="1">
        <v>2302</v>
      </c>
      <c r="B616" s="1" t="s">
        <v>587</v>
      </c>
      <c r="C616" s="1" t="s">
        <v>588</v>
      </c>
    </row>
    <row r="617" spans="1:3" x14ac:dyDescent="0.25">
      <c r="A617" s="1">
        <v>2309</v>
      </c>
      <c r="B617" s="1" t="s">
        <v>587</v>
      </c>
      <c r="C617" s="1" t="s">
        <v>588</v>
      </c>
    </row>
    <row r="618" spans="1:3" x14ac:dyDescent="0.25">
      <c r="A618" s="1">
        <v>2310</v>
      </c>
      <c r="B618" s="1" t="s">
        <v>587</v>
      </c>
      <c r="C618" s="1" t="s">
        <v>588</v>
      </c>
    </row>
    <row r="619" spans="1:3" x14ac:dyDescent="0.25">
      <c r="A619" s="1">
        <v>2319</v>
      </c>
      <c r="B619" s="1" t="s">
        <v>587</v>
      </c>
      <c r="C619" s="1" t="s">
        <v>588</v>
      </c>
    </row>
    <row r="620" spans="1:3" x14ac:dyDescent="0.25">
      <c r="A620" s="1">
        <v>2321</v>
      </c>
      <c r="B620" s="1" t="s">
        <v>587</v>
      </c>
      <c r="C620" s="1" t="s">
        <v>588</v>
      </c>
    </row>
    <row r="621" spans="1:3" x14ac:dyDescent="0.25">
      <c r="A621" s="1">
        <v>2339</v>
      </c>
      <c r="B621" s="1" t="s">
        <v>587</v>
      </c>
      <c r="C621" s="1" t="s">
        <v>588</v>
      </c>
    </row>
    <row r="622" spans="1:3" x14ac:dyDescent="0.25">
      <c r="A622" s="1">
        <v>2341</v>
      </c>
      <c r="B622" s="1" t="s">
        <v>587</v>
      </c>
      <c r="C622" s="1" t="s">
        <v>588</v>
      </c>
    </row>
    <row r="623" spans="1:3" x14ac:dyDescent="0.25">
      <c r="A623" s="1">
        <v>2343</v>
      </c>
      <c r="B623" s="1" t="s">
        <v>587</v>
      </c>
      <c r="C623" s="1" t="s">
        <v>588</v>
      </c>
    </row>
    <row r="624" spans="1:3" x14ac:dyDescent="0.25">
      <c r="A624" s="1">
        <v>2346</v>
      </c>
      <c r="B624" s="1" t="s">
        <v>587</v>
      </c>
      <c r="C624" s="1" t="s">
        <v>588</v>
      </c>
    </row>
    <row r="625" spans="1:3" x14ac:dyDescent="0.25">
      <c r="A625" s="1">
        <v>2349</v>
      </c>
      <c r="B625" s="1" t="s">
        <v>587</v>
      </c>
      <c r="C625" s="1" t="s">
        <v>588</v>
      </c>
    </row>
    <row r="626" spans="1:3" x14ac:dyDescent="0.25">
      <c r="A626" s="1">
        <v>2354</v>
      </c>
      <c r="B626" s="1" t="s">
        <v>587</v>
      </c>
      <c r="C626" s="1" t="s">
        <v>588</v>
      </c>
    </row>
    <row r="627" spans="1:3" x14ac:dyDescent="0.25">
      <c r="A627" s="1">
        <v>2355</v>
      </c>
      <c r="B627" s="1" t="s">
        <v>587</v>
      </c>
      <c r="C627" s="1" t="s">
        <v>588</v>
      </c>
    </row>
    <row r="628" spans="1:3" x14ac:dyDescent="0.25">
      <c r="A628" s="1">
        <v>2356</v>
      </c>
      <c r="B628" s="1" t="s">
        <v>587</v>
      </c>
      <c r="C628" s="1" t="s">
        <v>588</v>
      </c>
    </row>
    <row r="629" spans="1:3" x14ac:dyDescent="0.25">
      <c r="A629" s="1">
        <v>2358</v>
      </c>
      <c r="B629" s="1" t="s">
        <v>587</v>
      </c>
      <c r="C629" s="1" t="s">
        <v>588</v>
      </c>
    </row>
    <row r="630" spans="1:3" x14ac:dyDescent="0.25">
      <c r="A630" s="1">
        <v>2359</v>
      </c>
      <c r="B630" s="1" t="s">
        <v>587</v>
      </c>
      <c r="C630" s="1" t="s">
        <v>588</v>
      </c>
    </row>
    <row r="631" spans="1:3" x14ac:dyDescent="0.25">
      <c r="A631" s="1">
        <v>2361</v>
      </c>
      <c r="B631" s="1" t="s">
        <v>587</v>
      </c>
      <c r="C631" s="1" t="s">
        <v>588</v>
      </c>
    </row>
    <row r="632" spans="1:3" x14ac:dyDescent="0.25">
      <c r="A632" s="1">
        <v>2362</v>
      </c>
      <c r="B632" s="1" t="s">
        <v>587</v>
      </c>
      <c r="C632" s="1" t="s">
        <v>588</v>
      </c>
    </row>
    <row r="633" spans="1:3" x14ac:dyDescent="0.25">
      <c r="A633" s="1">
        <v>2364</v>
      </c>
      <c r="B633" s="1" t="s">
        <v>587</v>
      </c>
      <c r="C633" s="1" t="s">
        <v>588</v>
      </c>
    </row>
    <row r="634" spans="1:3" x14ac:dyDescent="0.25">
      <c r="A634" s="1">
        <v>2365</v>
      </c>
      <c r="B634" s="1" t="s">
        <v>587</v>
      </c>
      <c r="C634" s="1" t="s">
        <v>588</v>
      </c>
    </row>
    <row r="635" spans="1:3" x14ac:dyDescent="0.25">
      <c r="A635" s="1">
        <v>2366</v>
      </c>
      <c r="B635" s="1" t="s">
        <v>587</v>
      </c>
      <c r="C635" s="1" t="s">
        <v>588</v>
      </c>
    </row>
    <row r="636" spans="1:3" x14ac:dyDescent="0.25">
      <c r="A636" s="1">
        <v>2369</v>
      </c>
      <c r="B636" s="1" t="s">
        <v>587</v>
      </c>
      <c r="C636" s="1" t="s">
        <v>588</v>
      </c>
    </row>
    <row r="637" spans="1:3" x14ac:dyDescent="0.25">
      <c r="A637" s="1">
        <v>2370</v>
      </c>
      <c r="B637" s="1" t="s">
        <v>587</v>
      </c>
      <c r="C637" s="1" t="s">
        <v>588</v>
      </c>
    </row>
    <row r="638" spans="1:3" x14ac:dyDescent="0.25">
      <c r="A638" s="1">
        <v>2371</v>
      </c>
      <c r="B638" s="1" t="s">
        <v>587</v>
      </c>
      <c r="C638" s="1" t="s">
        <v>588</v>
      </c>
    </row>
    <row r="639" spans="1:3" x14ac:dyDescent="0.25">
      <c r="A639" s="1">
        <v>2375</v>
      </c>
      <c r="B639" s="1" t="s">
        <v>587</v>
      </c>
      <c r="C639" s="1" t="s">
        <v>588</v>
      </c>
    </row>
    <row r="640" spans="1:3" x14ac:dyDescent="0.25">
      <c r="A640" s="1">
        <v>2376</v>
      </c>
      <c r="B640" s="1" t="s">
        <v>587</v>
      </c>
      <c r="C640" s="1" t="s">
        <v>588</v>
      </c>
    </row>
    <row r="641" spans="1:3" x14ac:dyDescent="0.25">
      <c r="A641" s="1">
        <v>2377</v>
      </c>
      <c r="B641" s="1" t="s">
        <v>587</v>
      </c>
      <c r="C641" s="1" t="s">
        <v>588</v>
      </c>
    </row>
    <row r="642" spans="1:3" x14ac:dyDescent="0.25">
      <c r="A642" s="1">
        <v>2378</v>
      </c>
      <c r="B642" s="1" t="s">
        <v>587</v>
      </c>
      <c r="C642" s="1" t="s">
        <v>588</v>
      </c>
    </row>
    <row r="643" spans="1:3" x14ac:dyDescent="0.25">
      <c r="A643" s="1">
        <v>2379</v>
      </c>
      <c r="B643" s="1" t="s">
        <v>587</v>
      </c>
      <c r="C643" s="1" t="s">
        <v>588</v>
      </c>
    </row>
    <row r="644" spans="1:3" x14ac:dyDescent="0.25">
      <c r="A644" s="1">
        <v>2380</v>
      </c>
      <c r="B644" s="1" t="s">
        <v>587</v>
      </c>
      <c r="C644" s="1" t="s">
        <v>588</v>
      </c>
    </row>
    <row r="645" spans="1:3" x14ac:dyDescent="0.25">
      <c r="A645" s="1">
        <v>2381</v>
      </c>
      <c r="B645" s="1" t="s">
        <v>587</v>
      </c>
      <c r="C645" s="1" t="s">
        <v>588</v>
      </c>
    </row>
    <row r="646" spans="1:3" x14ac:dyDescent="0.25">
      <c r="A646" s="1">
        <v>2383</v>
      </c>
      <c r="B646" s="1" t="s">
        <v>587</v>
      </c>
      <c r="C646" s="1" t="s">
        <v>588</v>
      </c>
    </row>
    <row r="647" spans="1:3" x14ac:dyDescent="0.25">
      <c r="A647" s="1">
        <v>2384</v>
      </c>
      <c r="B647" s="1" t="s">
        <v>587</v>
      </c>
      <c r="C647" s="1" t="s">
        <v>588</v>
      </c>
    </row>
    <row r="648" spans="1:3" x14ac:dyDescent="0.25">
      <c r="A648" s="1">
        <v>2385</v>
      </c>
      <c r="B648" s="1" t="s">
        <v>587</v>
      </c>
      <c r="C648" s="1" t="s">
        <v>588</v>
      </c>
    </row>
    <row r="649" spans="1:3" x14ac:dyDescent="0.25">
      <c r="A649" s="1">
        <v>2390</v>
      </c>
      <c r="B649" s="1" t="s">
        <v>587</v>
      </c>
      <c r="C649" s="1" t="s">
        <v>588</v>
      </c>
    </row>
    <row r="650" spans="1:3" x14ac:dyDescent="0.25">
      <c r="A650" s="1">
        <v>2391</v>
      </c>
      <c r="B650" s="1" t="s">
        <v>587</v>
      </c>
      <c r="C650" s="1" t="s">
        <v>588</v>
      </c>
    </row>
    <row r="651" spans="1:3" x14ac:dyDescent="0.25">
      <c r="A651" s="1">
        <v>2393</v>
      </c>
      <c r="B651" s="1" t="s">
        <v>587</v>
      </c>
      <c r="C651" s="1" t="s">
        <v>588</v>
      </c>
    </row>
    <row r="652" spans="1:3" x14ac:dyDescent="0.25">
      <c r="A652" s="1">
        <v>2394</v>
      </c>
      <c r="B652" s="1" t="s">
        <v>587</v>
      </c>
      <c r="C652" s="1" t="s">
        <v>588</v>
      </c>
    </row>
    <row r="653" spans="1:3" x14ac:dyDescent="0.25">
      <c r="A653" s="1">
        <v>2395</v>
      </c>
      <c r="B653" s="1" t="s">
        <v>587</v>
      </c>
      <c r="C653" s="1" t="s">
        <v>588</v>
      </c>
    </row>
    <row r="654" spans="1:3" x14ac:dyDescent="0.25">
      <c r="A654" s="1">
        <v>2396</v>
      </c>
      <c r="B654" s="1" t="s">
        <v>587</v>
      </c>
      <c r="C654" s="1" t="s">
        <v>588</v>
      </c>
    </row>
    <row r="655" spans="1:3" x14ac:dyDescent="0.25">
      <c r="A655" s="1">
        <v>2397</v>
      </c>
      <c r="B655" s="1" t="s">
        <v>587</v>
      </c>
      <c r="C655" s="1" t="s">
        <v>588</v>
      </c>
    </row>
    <row r="656" spans="1:3" x14ac:dyDescent="0.25">
      <c r="A656" s="1">
        <v>2398</v>
      </c>
      <c r="B656" s="1" t="s">
        <v>587</v>
      </c>
      <c r="C656" s="1" t="s">
        <v>588</v>
      </c>
    </row>
    <row r="657" spans="1:3" x14ac:dyDescent="0.25">
      <c r="A657" s="1">
        <v>2399</v>
      </c>
      <c r="B657" s="1" t="s">
        <v>587</v>
      </c>
      <c r="C657" s="1" t="s">
        <v>588</v>
      </c>
    </row>
    <row r="658" spans="1:3" x14ac:dyDescent="0.25">
      <c r="A658" s="1">
        <v>2400</v>
      </c>
      <c r="B658" s="1" t="s">
        <v>587</v>
      </c>
      <c r="C658" s="1" t="s">
        <v>588</v>
      </c>
    </row>
    <row r="659" spans="1:3" x14ac:dyDescent="0.25">
      <c r="A659" s="1">
        <v>2410</v>
      </c>
      <c r="B659" s="1" t="s">
        <v>587</v>
      </c>
      <c r="C659" s="1" t="s">
        <v>588</v>
      </c>
    </row>
    <row r="660" spans="1:3" x14ac:dyDescent="0.25">
      <c r="A660" s="1">
        <v>2412</v>
      </c>
      <c r="B660" s="1" t="s">
        <v>587</v>
      </c>
      <c r="C660" s="1" t="s">
        <v>588</v>
      </c>
    </row>
    <row r="661" spans="1:3" x14ac:dyDescent="0.25">
      <c r="A661" s="1">
        <v>2413</v>
      </c>
      <c r="B661" s="1" t="s">
        <v>587</v>
      </c>
      <c r="C661" s="1" t="s">
        <v>588</v>
      </c>
    </row>
    <row r="662" spans="1:3" x14ac:dyDescent="0.25">
      <c r="A662" s="1">
        <v>2415</v>
      </c>
      <c r="B662" s="1" t="s">
        <v>587</v>
      </c>
      <c r="C662" s="1" t="s">
        <v>588</v>
      </c>
    </row>
    <row r="663" spans="1:3" x14ac:dyDescent="0.25">
      <c r="A663" s="1">
        <v>2421</v>
      </c>
      <c r="B663" s="1" t="s">
        <v>587</v>
      </c>
      <c r="C663" s="1" t="s">
        <v>588</v>
      </c>
    </row>
    <row r="664" spans="1:3" x14ac:dyDescent="0.25">
      <c r="A664" s="1">
        <v>2422</v>
      </c>
      <c r="B664" s="1" t="s">
        <v>587</v>
      </c>
      <c r="C664" s="1" t="s">
        <v>588</v>
      </c>
    </row>
    <row r="665" spans="1:3" x14ac:dyDescent="0.25">
      <c r="A665" s="1">
        <v>2426</v>
      </c>
      <c r="B665" s="1" t="s">
        <v>587</v>
      </c>
      <c r="C665" s="1" t="s">
        <v>588</v>
      </c>
    </row>
    <row r="666" spans="1:3" x14ac:dyDescent="0.25">
      <c r="A666" s="1">
        <v>2427</v>
      </c>
      <c r="B666" s="1" t="s">
        <v>587</v>
      </c>
      <c r="C666" s="1" t="s">
        <v>588</v>
      </c>
    </row>
    <row r="667" spans="1:3" x14ac:dyDescent="0.25">
      <c r="A667" s="1">
        <v>2428</v>
      </c>
      <c r="B667" s="1" t="s">
        <v>587</v>
      </c>
      <c r="C667" s="1" t="s">
        <v>588</v>
      </c>
    </row>
    <row r="668" spans="1:3" x14ac:dyDescent="0.25">
      <c r="A668" s="1">
        <v>2429</v>
      </c>
      <c r="B668" s="1" t="s">
        <v>587</v>
      </c>
      <c r="C668" s="1" t="s">
        <v>588</v>
      </c>
    </row>
    <row r="669" spans="1:3" x14ac:dyDescent="0.25">
      <c r="A669" s="1">
        <v>2432</v>
      </c>
      <c r="B669" s="1" t="s">
        <v>587</v>
      </c>
      <c r="C669" s="1" t="s">
        <v>588</v>
      </c>
    </row>
    <row r="670" spans="1:3" x14ac:dyDescent="0.25">
      <c r="A670" s="1">
        <v>2440</v>
      </c>
      <c r="B670" s="1" t="s">
        <v>587</v>
      </c>
      <c r="C670" s="1" t="s">
        <v>588</v>
      </c>
    </row>
    <row r="671" spans="1:3" x14ac:dyDescent="0.25">
      <c r="A671" s="1">
        <v>2442</v>
      </c>
      <c r="B671" s="1" t="s">
        <v>587</v>
      </c>
      <c r="C671" s="1" t="s">
        <v>588</v>
      </c>
    </row>
    <row r="672" spans="1:3" x14ac:dyDescent="0.25">
      <c r="A672" s="1">
        <v>2443</v>
      </c>
      <c r="B672" s="1" t="s">
        <v>587</v>
      </c>
      <c r="C672" s="1" t="s">
        <v>588</v>
      </c>
    </row>
    <row r="673" spans="1:3" x14ac:dyDescent="0.25">
      <c r="A673" s="1">
        <v>2448</v>
      </c>
      <c r="B673" s="1" t="s">
        <v>587</v>
      </c>
      <c r="C673" s="1" t="s">
        <v>588</v>
      </c>
    </row>
    <row r="674" spans="1:3" x14ac:dyDescent="0.25">
      <c r="A674" s="1">
        <v>2449</v>
      </c>
      <c r="B674" s="1" t="s">
        <v>587</v>
      </c>
      <c r="C674" s="1" t="s">
        <v>588</v>
      </c>
    </row>
    <row r="675" spans="1:3" x14ac:dyDescent="0.25">
      <c r="A675" s="1">
        <v>2453</v>
      </c>
      <c r="B675" s="1" t="s">
        <v>587</v>
      </c>
      <c r="C675" s="1" t="s">
        <v>588</v>
      </c>
    </row>
    <row r="676" spans="1:3" x14ac:dyDescent="0.25">
      <c r="A676" s="1">
        <v>2454</v>
      </c>
      <c r="B676" s="1" t="s">
        <v>587</v>
      </c>
      <c r="C676" s="1" t="s">
        <v>588</v>
      </c>
    </row>
    <row r="677" spans="1:3" x14ac:dyDescent="0.25">
      <c r="A677" s="1">
        <v>2456</v>
      </c>
      <c r="B677" s="1" t="s">
        <v>587</v>
      </c>
      <c r="C677" s="1" t="s">
        <v>588</v>
      </c>
    </row>
    <row r="678" spans="1:3" x14ac:dyDescent="0.25">
      <c r="A678" s="1">
        <v>2457</v>
      </c>
      <c r="B678" s="1" t="s">
        <v>587</v>
      </c>
      <c r="C678" s="1" t="s">
        <v>588</v>
      </c>
    </row>
    <row r="679" spans="1:3" x14ac:dyDescent="0.25">
      <c r="A679" s="1">
        <v>2490</v>
      </c>
      <c r="B679" s="1" t="s">
        <v>587</v>
      </c>
      <c r="C679" s="1" t="s">
        <v>588</v>
      </c>
    </row>
    <row r="680" spans="1:3" x14ac:dyDescent="0.25">
      <c r="A680" s="1">
        <v>2510</v>
      </c>
      <c r="B680" s="1" t="s">
        <v>587</v>
      </c>
      <c r="C680" s="1" t="s">
        <v>588</v>
      </c>
    </row>
    <row r="681" spans="1:3" x14ac:dyDescent="0.25">
      <c r="A681" s="1">
        <v>2517</v>
      </c>
      <c r="B681" s="1" t="s">
        <v>587</v>
      </c>
      <c r="C681" s="1" t="s">
        <v>588</v>
      </c>
    </row>
    <row r="682" spans="1:3" x14ac:dyDescent="0.25">
      <c r="A682" s="1">
        <v>2518</v>
      </c>
      <c r="B682" s="1" t="s">
        <v>587</v>
      </c>
      <c r="C682" s="1" t="s">
        <v>588</v>
      </c>
    </row>
    <row r="683" spans="1:3" x14ac:dyDescent="0.25">
      <c r="A683" s="1">
        <v>2519</v>
      </c>
      <c r="B683" s="1" t="s">
        <v>587</v>
      </c>
      <c r="C683" s="1" t="s">
        <v>588</v>
      </c>
    </row>
    <row r="684" spans="1:3" x14ac:dyDescent="0.25">
      <c r="A684" s="1">
        <v>2553</v>
      </c>
      <c r="B684" s="1" t="s">
        <v>587</v>
      </c>
      <c r="C684" s="1" t="s">
        <v>588</v>
      </c>
    </row>
    <row r="685" spans="1:3" x14ac:dyDescent="0.25">
      <c r="A685" s="1">
        <v>2555</v>
      </c>
      <c r="B685" s="1" t="s">
        <v>587</v>
      </c>
      <c r="C685" s="1" t="s">
        <v>588</v>
      </c>
    </row>
    <row r="686" spans="1:3" x14ac:dyDescent="0.25">
      <c r="A686" s="1">
        <v>2557</v>
      </c>
      <c r="B686" s="1" t="s">
        <v>587</v>
      </c>
      <c r="C686" s="1" t="s">
        <v>588</v>
      </c>
    </row>
    <row r="687" spans="1:3" x14ac:dyDescent="0.25">
      <c r="A687" s="1">
        <v>2558</v>
      </c>
      <c r="B687" s="1" t="s">
        <v>587</v>
      </c>
      <c r="C687" s="1" t="s">
        <v>588</v>
      </c>
    </row>
    <row r="688" spans="1:3" x14ac:dyDescent="0.25">
      <c r="A688" s="1">
        <v>2559</v>
      </c>
      <c r="B688" s="1" t="s">
        <v>587</v>
      </c>
      <c r="C688" s="1" t="s">
        <v>588</v>
      </c>
    </row>
    <row r="689" spans="1:3" x14ac:dyDescent="0.25">
      <c r="A689" s="1">
        <v>2561</v>
      </c>
      <c r="B689" s="1" t="s">
        <v>587</v>
      </c>
      <c r="C689" s="1" t="s">
        <v>588</v>
      </c>
    </row>
    <row r="690" spans="1:3" x14ac:dyDescent="0.25">
      <c r="A690" s="1">
        <v>2563</v>
      </c>
      <c r="B690" s="1" t="s">
        <v>587</v>
      </c>
      <c r="C690" s="1" t="s">
        <v>588</v>
      </c>
    </row>
    <row r="691" spans="1:3" x14ac:dyDescent="0.25">
      <c r="A691" s="1">
        <v>2565</v>
      </c>
      <c r="B691" s="1" t="s">
        <v>587</v>
      </c>
      <c r="C691" s="1" t="s">
        <v>588</v>
      </c>
    </row>
    <row r="692" spans="1:3" x14ac:dyDescent="0.25">
      <c r="A692" s="1">
        <v>2566</v>
      </c>
      <c r="B692" s="1" t="s">
        <v>587</v>
      </c>
      <c r="C692" s="1" t="s">
        <v>588</v>
      </c>
    </row>
    <row r="693" spans="1:3" x14ac:dyDescent="0.25">
      <c r="A693" s="1">
        <v>2569</v>
      </c>
      <c r="B693" s="1" t="s">
        <v>587</v>
      </c>
      <c r="C693" s="1" t="s">
        <v>588</v>
      </c>
    </row>
    <row r="694" spans="1:3" x14ac:dyDescent="0.25">
      <c r="A694" s="1">
        <v>2570</v>
      </c>
      <c r="B694" s="1" t="s">
        <v>587</v>
      </c>
      <c r="C694" s="1" t="s">
        <v>588</v>
      </c>
    </row>
    <row r="695" spans="1:3" x14ac:dyDescent="0.25">
      <c r="A695" s="1">
        <v>2575</v>
      </c>
      <c r="B695" s="1" t="s">
        <v>587</v>
      </c>
      <c r="C695" s="1" t="s">
        <v>588</v>
      </c>
    </row>
    <row r="696" spans="1:3" x14ac:dyDescent="0.25">
      <c r="A696" s="1">
        <v>2578</v>
      </c>
      <c r="B696" s="1" t="s">
        <v>587</v>
      </c>
      <c r="C696" s="1" t="s">
        <v>588</v>
      </c>
    </row>
    <row r="697" spans="1:3" x14ac:dyDescent="0.25">
      <c r="A697" s="1">
        <v>2579</v>
      </c>
      <c r="B697" s="1" t="s">
        <v>587</v>
      </c>
      <c r="C697" s="1" t="s">
        <v>588</v>
      </c>
    </row>
    <row r="698" spans="1:3" x14ac:dyDescent="0.25">
      <c r="A698" s="1">
        <v>2586</v>
      </c>
      <c r="B698" s="1" t="s">
        <v>587</v>
      </c>
      <c r="C698" s="1" t="s">
        <v>588</v>
      </c>
    </row>
    <row r="699" spans="1:3" x14ac:dyDescent="0.25">
      <c r="A699" s="1">
        <v>2588</v>
      </c>
      <c r="B699" s="1" t="s">
        <v>587</v>
      </c>
      <c r="C699" s="1" t="s">
        <v>588</v>
      </c>
    </row>
    <row r="700" spans="1:3" x14ac:dyDescent="0.25">
      <c r="A700" s="1">
        <v>2590</v>
      </c>
      <c r="B700" s="1" t="s">
        <v>587</v>
      </c>
      <c r="C700" s="1" t="s">
        <v>588</v>
      </c>
    </row>
    <row r="701" spans="1:3" x14ac:dyDescent="0.25">
      <c r="A701" s="1">
        <v>2592</v>
      </c>
      <c r="B701" s="1" t="s">
        <v>587</v>
      </c>
      <c r="C701" s="1" t="s">
        <v>588</v>
      </c>
    </row>
    <row r="702" spans="1:3" x14ac:dyDescent="0.25">
      <c r="A702" s="1">
        <v>2593</v>
      </c>
      <c r="B702" s="1" t="s">
        <v>587</v>
      </c>
      <c r="C702" s="1" t="s">
        <v>588</v>
      </c>
    </row>
    <row r="703" spans="1:3" x14ac:dyDescent="0.25">
      <c r="A703" s="1">
        <v>2596</v>
      </c>
      <c r="B703" s="1" t="s">
        <v>587</v>
      </c>
      <c r="C703" s="1" t="s">
        <v>588</v>
      </c>
    </row>
    <row r="704" spans="1:3" x14ac:dyDescent="0.25">
      <c r="A704" s="1">
        <v>2597</v>
      </c>
      <c r="B704" s="1" t="s">
        <v>587</v>
      </c>
      <c r="C704" s="1" t="s">
        <v>588</v>
      </c>
    </row>
    <row r="705" spans="1:3" x14ac:dyDescent="0.25">
      <c r="A705" s="1">
        <v>2598</v>
      </c>
      <c r="B705" s="1" t="s">
        <v>587</v>
      </c>
      <c r="C705" s="1" t="s">
        <v>588</v>
      </c>
    </row>
    <row r="706" spans="1:3" x14ac:dyDescent="0.25">
      <c r="A706" s="1">
        <v>2599</v>
      </c>
      <c r="B706" s="1" t="s">
        <v>587</v>
      </c>
      <c r="C706" s="1" t="s">
        <v>588</v>
      </c>
    </row>
    <row r="707" spans="1:3" x14ac:dyDescent="0.25">
      <c r="A707" s="1">
        <v>2600</v>
      </c>
      <c r="B707" s="1" t="s">
        <v>587</v>
      </c>
      <c r="C707" s="1" t="s">
        <v>588</v>
      </c>
    </row>
    <row r="708" spans="1:3" x14ac:dyDescent="0.25">
      <c r="A708" s="1">
        <v>2601</v>
      </c>
      <c r="B708" s="1" t="s">
        <v>587</v>
      </c>
      <c r="C708" s="1" t="s">
        <v>588</v>
      </c>
    </row>
    <row r="709" spans="1:3" x14ac:dyDescent="0.25">
      <c r="A709" s="1">
        <v>2603</v>
      </c>
      <c r="B709" s="1" t="s">
        <v>587</v>
      </c>
      <c r="C709" s="1" t="s">
        <v>588</v>
      </c>
    </row>
    <row r="710" spans="1:3" x14ac:dyDescent="0.25">
      <c r="A710" s="1">
        <v>2604</v>
      </c>
      <c r="B710" s="1" t="s">
        <v>587</v>
      </c>
      <c r="C710" s="1" t="s">
        <v>588</v>
      </c>
    </row>
    <row r="711" spans="1:3" x14ac:dyDescent="0.25">
      <c r="A711" s="1">
        <v>2626</v>
      </c>
      <c r="B711" s="1" t="s">
        <v>587</v>
      </c>
      <c r="C711" s="1" t="s">
        <v>588</v>
      </c>
    </row>
    <row r="712" spans="1:3" x14ac:dyDescent="0.25">
      <c r="A712" s="1">
        <v>2627</v>
      </c>
      <c r="B712" s="1" t="s">
        <v>587</v>
      </c>
      <c r="C712" s="1" t="s">
        <v>588</v>
      </c>
    </row>
    <row r="713" spans="1:3" x14ac:dyDescent="0.25">
      <c r="A713" s="1">
        <v>2628</v>
      </c>
      <c r="B713" s="1" t="s">
        <v>587</v>
      </c>
      <c r="C713" s="1" t="s">
        <v>588</v>
      </c>
    </row>
    <row r="714" spans="1:3" x14ac:dyDescent="0.25">
      <c r="A714" s="1">
        <v>2630</v>
      </c>
      <c r="B714" s="1" t="s">
        <v>587</v>
      </c>
      <c r="C714" s="1" t="s">
        <v>588</v>
      </c>
    </row>
    <row r="715" spans="1:3" x14ac:dyDescent="0.25">
      <c r="A715" s="1">
        <v>2631</v>
      </c>
      <c r="B715" s="1" t="s">
        <v>587</v>
      </c>
      <c r="C715" s="1" t="s">
        <v>588</v>
      </c>
    </row>
    <row r="716" spans="1:3" x14ac:dyDescent="0.25">
      <c r="A716" s="1">
        <v>2632</v>
      </c>
      <c r="B716" s="1" t="s">
        <v>587</v>
      </c>
      <c r="C716" s="1" t="s">
        <v>588</v>
      </c>
    </row>
    <row r="717" spans="1:3" x14ac:dyDescent="0.25">
      <c r="A717" s="1">
        <v>2643</v>
      </c>
      <c r="B717" s="1" t="s">
        <v>587</v>
      </c>
      <c r="C717" s="1" t="s">
        <v>588</v>
      </c>
    </row>
    <row r="718" spans="1:3" x14ac:dyDescent="0.25">
      <c r="A718" s="1">
        <v>2644</v>
      </c>
      <c r="B718" s="1" t="s">
        <v>587</v>
      </c>
      <c r="C718" s="1" t="s">
        <v>588</v>
      </c>
    </row>
    <row r="719" spans="1:3" x14ac:dyDescent="0.25">
      <c r="A719" s="1">
        <v>2645</v>
      </c>
      <c r="B719" s="1" t="s">
        <v>587</v>
      </c>
      <c r="C719" s="1" t="s">
        <v>588</v>
      </c>
    </row>
    <row r="720" spans="1:3" x14ac:dyDescent="0.25">
      <c r="A720" s="1">
        <v>2648</v>
      </c>
      <c r="B720" s="1" t="s">
        <v>587</v>
      </c>
      <c r="C720" s="1" t="s">
        <v>588</v>
      </c>
    </row>
    <row r="721" spans="1:3" x14ac:dyDescent="0.25">
      <c r="A721" s="1">
        <v>2649</v>
      </c>
      <c r="B721" s="1" t="s">
        <v>587</v>
      </c>
      <c r="C721" s="1" t="s">
        <v>588</v>
      </c>
    </row>
    <row r="722" spans="1:3" x14ac:dyDescent="0.25">
      <c r="A722" s="1">
        <v>2656</v>
      </c>
      <c r="B722" s="1" t="s">
        <v>587</v>
      </c>
      <c r="C722" s="1" t="s">
        <v>588</v>
      </c>
    </row>
    <row r="723" spans="1:3" x14ac:dyDescent="0.25">
      <c r="A723" s="1">
        <v>2661</v>
      </c>
      <c r="B723" s="1" t="s">
        <v>587</v>
      </c>
      <c r="C723" s="1" t="s">
        <v>588</v>
      </c>
    </row>
    <row r="724" spans="1:3" x14ac:dyDescent="0.25">
      <c r="A724" s="1">
        <v>2664</v>
      </c>
      <c r="B724" s="1" t="s">
        <v>587</v>
      </c>
      <c r="C724" s="1" t="s">
        <v>588</v>
      </c>
    </row>
    <row r="725" spans="1:3" x14ac:dyDescent="0.25">
      <c r="A725" s="1">
        <v>2665</v>
      </c>
      <c r="B725" s="1" t="s">
        <v>587</v>
      </c>
      <c r="C725" s="1" t="s">
        <v>588</v>
      </c>
    </row>
    <row r="726" spans="1:3" x14ac:dyDescent="0.25">
      <c r="A726" s="1">
        <v>2669</v>
      </c>
      <c r="B726" s="1" t="s">
        <v>587</v>
      </c>
      <c r="C726" s="1" t="s">
        <v>588</v>
      </c>
    </row>
    <row r="727" spans="1:3" x14ac:dyDescent="0.25">
      <c r="A727" s="1">
        <v>2678</v>
      </c>
      <c r="B727" s="1" t="s">
        <v>587</v>
      </c>
      <c r="C727" s="1" t="s">
        <v>588</v>
      </c>
    </row>
    <row r="728" spans="1:3" x14ac:dyDescent="0.25">
      <c r="A728" s="1">
        <v>2687</v>
      </c>
      <c r="B728" s="1" t="s">
        <v>587</v>
      </c>
      <c r="C728" s="1" t="s">
        <v>588</v>
      </c>
    </row>
    <row r="729" spans="1:3" x14ac:dyDescent="0.25">
      <c r="A729" s="1">
        <v>2699</v>
      </c>
      <c r="B729" s="1" t="s">
        <v>587</v>
      </c>
      <c r="C729" s="1" t="s">
        <v>588</v>
      </c>
    </row>
    <row r="730" spans="1:3" x14ac:dyDescent="0.25">
      <c r="A730" s="1">
        <v>2718</v>
      </c>
      <c r="B730" s="1" t="s">
        <v>587</v>
      </c>
      <c r="C730" s="1" t="s">
        <v>588</v>
      </c>
    </row>
    <row r="731" spans="1:3" x14ac:dyDescent="0.25">
      <c r="A731" s="1">
        <v>2726</v>
      </c>
      <c r="B731" s="1" t="s">
        <v>587</v>
      </c>
      <c r="C731" s="1" t="s">
        <v>588</v>
      </c>
    </row>
    <row r="732" spans="1:3" x14ac:dyDescent="0.25">
      <c r="A732" s="1">
        <v>2730</v>
      </c>
      <c r="B732" s="1" t="s">
        <v>587</v>
      </c>
      <c r="C732" s="1" t="s">
        <v>588</v>
      </c>
    </row>
    <row r="733" spans="1:3" x14ac:dyDescent="0.25">
      <c r="A733" s="1">
        <v>2732</v>
      </c>
      <c r="B733" s="1" t="s">
        <v>587</v>
      </c>
      <c r="C733" s="1" t="s">
        <v>588</v>
      </c>
    </row>
    <row r="734" spans="1:3" x14ac:dyDescent="0.25">
      <c r="A734" s="1">
        <v>2738</v>
      </c>
      <c r="B734" s="1" t="s">
        <v>587</v>
      </c>
      <c r="C734" s="1" t="s">
        <v>588</v>
      </c>
    </row>
    <row r="735" spans="1:3" x14ac:dyDescent="0.25">
      <c r="A735" s="1">
        <v>2754</v>
      </c>
      <c r="B735" s="1" t="s">
        <v>587</v>
      </c>
      <c r="C735" s="1" t="s">
        <v>588</v>
      </c>
    </row>
    <row r="736" spans="1:3" x14ac:dyDescent="0.25">
      <c r="A736" s="1">
        <v>2759</v>
      </c>
      <c r="B736" s="1" t="s">
        <v>587</v>
      </c>
      <c r="C736" s="1" t="s">
        <v>588</v>
      </c>
    </row>
    <row r="737" spans="1:3" x14ac:dyDescent="0.25">
      <c r="A737" s="1">
        <v>2769</v>
      </c>
      <c r="B737" s="1" t="s">
        <v>587</v>
      </c>
      <c r="C737" s="1" t="s">
        <v>588</v>
      </c>
    </row>
    <row r="738" spans="1:3" x14ac:dyDescent="0.25">
      <c r="A738" s="1">
        <v>2795</v>
      </c>
      <c r="B738" s="1" t="s">
        <v>587</v>
      </c>
      <c r="C738" s="1" t="s">
        <v>588</v>
      </c>
    </row>
    <row r="739" spans="1:3" x14ac:dyDescent="0.25">
      <c r="A739" s="1">
        <v>2797</v>
      </c>
      <c r="B739" s="1" t="s">
        <v>587</v>
      </c>
      <c r="C739" s="1" t="s">
        <v>588</v>
      </c>
    </row>
    <row r="740" spans="1:3" x14ac:dyDescent="0.25">
      <c r="A740" s="1">
        <v>2799</v>
      </c>
      <c r="B740" s="1" t="s">
        <v>587</v>
      </c>
      <c r="C740" s="1" t="s">
        <v>588</v>
      </c>
    </row>
    <row r="741" spans="1:3" x14ac:dyDescent="0.25">
      <c r="A741" s="1">
        <v>2800</v>
      </c>
      <c r="B741" s="1" t="s">
        <v>587</v>
      </c>
      <c r="C741" s="1" t="s">
        <v>588</v>
      </c>
    </row>
    <row r="742" spans="1:3" x14ac:dyDescent="0.25">
      <c r="A742" s="1">
        <v>2801</v>
      </c>
      <c r="B742" s="1" t="s">
        <v>587</v>
      </c>
      <c r="C742" s="1" t="s">
        <v>588</v>
      </c>
    </row>
    <row r="743" spans="1:3" x14ac:dyDescent="0.25">
      <c r="A743" s="1">
        <v>2804</v>
      </c>
      <c r="B743" s="1" t="s">
        <v>587</v>
      </c>
      <c r="C743" s="1" t="s">
        <v>588</v>
      </c>
    </row>
    <row r="744" spans="1:3" x14ac:dyDescent="0.25">
      <c r="A744" s="1">
        <v>2811</v>
      </c>
      <c r="B744" s="1" t="s">
        <v>587</v>
      </c>
      <c r="C744" s="1" t="s">
        <v>588</v>
      </c>
    </row>
    <row r="745" spans="1:3" x14ac:dyDescent="0.25">
      <c r="A745" s="1">
        <v>2812</v>
      </c>
      <c r="B745" s="1" t="s">
        <v>587</v>
      </c>
      <c r="C745" s="1" t="s">
        <v>588</v>
      </c>
    </row>
    <row r="746" spans="1:3" x14ac:dyDescent="0.25">
      <c r="A746" s="1">
        <v>2813</v>
      </c>
      <c r="B746" s="1" t="s">
        <v>587</v>
      </c>
      <c r="C746" s="1" t="s">
        <v>588</v>
      </c>
    </row>
    <row r="747" spans="1:3" x14ac:dyDescent="0.25">
      <c r="A747" s="1">
        <v>2814</v>
      </c>
      <c r="B747" s="1" t="s">
        <v>587</v>
      </c>
      <c r="C747" s="1" t="s">
        <v>588</v>
      </c>
    </row>
    <row r="748" spans="1:3" x14ac:dyDescent="0.25">
      <c r="A748" s="1">
        <v>2815</v>
      </c>
      <c r="B748" s="1" t="s">
        <v>587</v>
      </c>
      <c r="C748" s="1" t="s">
        <v>588</v>
      </c>
    </row>
    <row r="749" spans="1:3" x14ac:dyDescent="0.25">
      <c r="A749" s="1">
        <v>2819</v>
      </c>
      <c r="B749" s="1" t="s">
        <v>587</v>
      </c>
      <c r="C749" s="1" t="s">
        <v>588</v>
      </c>
    </row>
    <row r="750" spans="1:3" x14ac:dyDescent="0.25">
      <c r="A750" s="1">
        <v>2820</v>
      </c>
      <c r="B750" s="1" t="s">
        <v>587</v>
      </c>
      <c r="C750" s="1" t="s">
        <v>588</v>
      </c>
    </row>
    <row r="751" spans="1:3" x14ac:dyDescent="0.25">
      <c r="A751" s="1">
        <v>2821</v>
      </c>
      <c r="B751" s="1" t="s">
        <v>587</v>
      </c>
      <c r="C751" s="1" t="s">
        <v>588</v>
      </c>
    </row>
    <row r="752" spans="1:3" x14ac:dyDescent="0.25">
      <c r="A752" s="1">
        <v>2822</v>
      </c>
      <c r="B752" s="1" t="s">
        <v>587</v>
      </c>
      <c r="C752" s="1" t="s">
        <v>588</v>
      </c>
    </row>
    <row r="753" spans="1:3" x14ac:dyDescent="0.25">
      <c r="A753" s="1">
        <v>2855</v>
      </c>
      <c r="B753" s="1" t="s">
        <v>587</v>
      </c>
      <c r="C753" s="1" t="s">
        <v>588</v>
      </c>
    </row>
    <row r="754" spans="1:3" x14ac:dyDescent="0.25">
      <c r="A754" s="1">
        <v>2856</v>
      </c>
      <c r="B754" s="1" t="s">
        <v>587</v>
      </c>
      <c r="C754" s="1" t="s">
        <v>588</v>
      </c>
    </row>
    <row r="755" spans="1:3" x14ac:dyDescent="0.25">
      <c r="A755" s="1">
        <v>2857</v>
      </c>
      <c r="B755" s="1" t="s">
        <v>587</v>
      </c>
      <c r="C755" s="1" t="s">
        <v>588</v>
      </c>
    </row>
    <row r="756" spans="1:3" x14ac:dyDescent="0.25">
      <c r="A756" s="1">
        <v>2859</v>
      </c>
      <c r="B756" s="1" t="s">
        <v>587</v>
      </c>
      <c r="C756" s="1" t="s">
        <v>588</v>
      </c>
    </row>
    <row r="757" spans="1:3" x14ac:dyDescent="0.25">
      <c r="A757" s="1">
        <v>2861</v>
      </c>
      <c r="B757" s="1" t="s">
        <v>587</v>
      </c>
      <c r="C757" s="1" t="s">
        <v>588</v>
      </c>
    </row>
    <row r="758" spans="1:3" x14ac:dyDescent="0.25">
      <c r="A758" s="1">
        <v>2863</v>
      </c>
      <c r="B758" s="1" t="s">
        <v>587</v>
      </c>
      <c r="C758" s="1" t="s">
        <v>588</v>
      </c>
    </row>
    <row r="759" spans="1:3" x14ac:dyDescent="0.25">
      <c r="A759" s="1">
        <v>2870</v>
      </c>
      <c r="B759" s="1" t="s">
        <v>587</v>
      </c>
      <c r="C759" s="1" t="s">
        <v>588</v>
      </c>
    </row>
    <row r="760" spans="1:3" x14ac:dyDescent="0.25">
      <c r="A760" s="1">
        <v>2877</v>
      </c>
      <c r="B760" s="1" t="s">
        <v>587</v>
      </c>
      <c r="C760" s="1" t="s">
        <v>588</v>
      </c>
    </row>
    <row r="761" spans="1:3" x14ac:dyDescent="0.25">
      <c r="A761" s="1">
        <v>2879</v>
      </c>
      <c r="B761" s="1" t="s">
        <v>587</v>
      </c>
      <c r="C761" s="1" t="s">
        <v>588</v>
      </c>
    </row>
    <row r="762" spans="1:3" x14ac:dyDescent="0.25">
      <c r="A762" s="1">
        <v>2880</v>
      </c>
      <c r="B762" s="1" t="s">
        <v>587</v>
      </c>
      <c r="C762" s="1" t="s">
        <v>588</v>
      </c>
    </row>
    <row r="763" spans="1:3" x14ac:dyDescent="0.25">
      <c r="A763" s="1">
        <v>2881</v>
      </c>
      <c r="B763" s="1" t="s">
        <v>587</v>
      </c>
      <c r="C763" s="1" t="s">
        <v>588</v>
      </c>
    </row>
    <row r="764" spans="1:3" x14ac:dyDescent="0.25">
      <c r="A764" s="1">
        <v>2883</v>
      </c>
      <c r="B764" s="1" t="s">
        <v>587</v>
      </c>
      <c r="C764" s="1" t="s">
        <v>588</v>
      </c>
    </row>
    <row r="765" spans="1:3" x14ac:dyDescent="0.25">
      <c r="A765" s="1">
        <v>2894</v>
      </c>
      <c r="B765" s="1" t="s">
        <v>587</v>
      </c>
      <c r="C765" s="1" t="s">
        <v>588</v>
      </c>
    </row>
    <row r="766" spans="1:3" x14ac:dyDescent="0.25">
      <c r="A766" s="1">
        <v>2896</v>
      </c>
      <c r="B766" s="1" t="s">
        <v>587</v>
      </c>
      <c r="C766" s="1" t="s">
        <v>588</v>
      </c>
    </row>
    <row r="767" spans="1:3" x14ac:dyDescent="0.25">
      <c r="A767" s="1">
        <v>2898</v>
      </c>
      <c r="B767" s="1" t="s">
        <v>587</v>
      </c>
      <c r="C767" s="1" t="s">
        <v>588</v>
      </c>
    </row>
    <row r="768" spans="1:3" x14ac:dyDescent="0.25">
      <c r="A768" s="1">
        <v>2902</v>
      </c>
      <c r="B768" s="1" t="s">
        <v>587</v>
      </c>
      <c r="C768" s="1" t="s">
        <v>588</v>
      </c>
    </row>
    <row r="769" spans="1:3" x14ac:dyDescent="0.25">
      <c r="A769" s="1">
        <v>2904</v>
      </c>
      <c r="B769" s="1" t="s">
        <v>587</v>
      </c>
      <c r="C769" s="1" t="s">
        <v>588</v>
      </c>
    </row>
    <row r="770" spans="1:3" x14ac:dyDescent="0.25">
      <c r="A770" s="1">
        <v>2912</v>
      </c>
      <c r="B770" s="1" t="s">
        <v>587</v>
      </c>
      <c r="C770" s="1" t="s">
        <v>588</v>
      </c>
    </row>
    <row r="771" spans="1:3" x14ac:dyDescent="0.25">
      <c r="A771" s="1">
        <v>2919</v>
      </c>
      <c r="B771" s="1" t="s">
        <v>587</v>
      </c>
      <c r="C771" s="1" t="s">
        <v>588</v>
      </c>
    </row>
    <row r="772" spans="1:3" x14ac:dyDescent="0.25">
      <c r="A772" s="1">
        <v>2923</v>
      </c>
      <c r="B772" s="1" t="s">
        <v>587</v>
      </c>
      <c r="C772" s="1" t="s">
        <v>588</v>
      </c>
    </row>
    <row r="773" spans="1:3" x14ac:dyDescent="0.25">
      <c r="A773" s="1">
        <v>2925</v>
      </c>
      <c r="B773" s="1" t="s">
        <v>587</v>
      </c>
      <c r="C773" s="1" t="s">
        <v>588</v>
      </c>
    </row>
    <row r="774" spans="1:3" x14ac:dyDescent="0.25">
      <c r="A774" s="1">
        <v>2931</v>
      </c>
      <c r="B774" s="1" t="s">
        <v>587</v>
      </c>
      <c r="C774" s="1" t="s">
        <v>588</v>
      </c>
    </row>
    <row r="775" spans="1:3" x14ac:dyDescent="0.25">
      <c r="A775" s="1">
        <v>2939</v>
      </c>
      <c r="B775" s="1" t="s">
        <v>587</v>
      </c>
      <c r="C775" s="1" t="s">
        <v>588</v>
      </c>
    </row>
    <row r="776" spans="1:3" x14ac:dyDescent="0.25">
      <c r="A776" s="1">
        <v>2940</v>
      </c>
      <c r="B776" s="1" t="s">
        <v>587</v>
      </c>
      <c r="C776" s="1" t="s">
        <v>588</v>
      </c>
    </row>
    <row r="777" spans="1:3" x14ac:dyDescent="0.25">
      <c r="A777" s="1">
        <v>2971</v>
      </c>
      <c r="B777" s="1" t="s">
        <v>587</v>
      </c>
      <c r="C777" s="1" t="s">
        <v>588</v>
      </c>
    </row>
    <row r="778" spans="1:3" x14ac:dyDescent="0.25">
      <c r="A778" s="1">
        <v>2973</v>
      </c>
      <c r="B778" s="1" t="s">
        <v>587</v>
      </c>
      <c r="C778" s="1" t="s">
        <v>588</v>
      </c>
    </row>
    <row r="779" spans="1:3" x14ac:dyDescent="0.25">
      <c r="A779" s="1">
        <v>2987</v>
      </c>
      <c r="B779" s="1" t="s">
        <v>587</v>
      </c>
      <c r="C779" s="1" t="s">
        <v>588</v>
      </c>
    </row>
    <row r="780" spans="1:3" x14ac:dyDescent="0.25">
      <c r="A780" s="1">
        <v>2988</v>
      </c>
      <c r="B780" s="1" t="s">
        <v>587</v>
      </c>
      <c r="C780" s="1" t="s">
        <v>588</v>
      </c>
    </row>
    <row r="781" spans="1:3" x14ac:dyDescent="0.25">
      <c r="A781" s="1">
        <v>3010</v>
      </c>
      <c r="B781" s="1" t="s">
        <v>587</v>
      </c>
      <c r="C781" s="1" t="s">
        <v>588</v>
      </c>
    </row>
    <row r="782" spans="1:3" x14ac:dyDescent="0.25">
      <c r="A782" s="1">
        <v>3037</v>
      </c>
      <c r="B782" s="1" t="s">
        <v>587</v>
      </c>
      <c r="C782" s="1" t="s">
        <v>588</v>
      </c>
    </row>
    <row r="783" spans="1:3" x14ac:dyDescent="0.25">
      <c r="A783" s="1">
        <v>3049</v>
      </c>
      <c r="B783" s="1" t="s">
        <v>587</v>
      </c>
      <c r="C783" s="1" t="s">
        <v>588</v>
      </c>
    </row>
    <row r="784" spans="1:3" x14ac:dyDescent="0.25">
      <c r="A784" s="1">
        <v>3068</v>
      </c>
      <c r="B784" s="1" t="s">
        <v>587</v>
      </c>
      <c r="C784" s="1" t="s">
        <v>588</v>
      </c>
    </row>
    <row r="785" spans="1:3" x14ac:dyDescent="0.25">
      <c r="A785" s="1">
        <v>3108</v>
      </c>
      <c r="B785" s="1" t="s">
        <v>587</v>
      </c>
      <c r="C785" s="1" t="s">
        <v>588</v>
      </c>
    </row>
    <row r="786" spans="1:3" x14ac:dyDescent="0.25">
      <c r="A786" s="1">
        <v>3110</v>
      </c>
      <c r="B786" s="1" t="s">
        <v>587</v>
      </c>
      <c r="C786" s="1" t="s">
        <v>588</v>
      </c>
    </row>
    <row r="787" spans="1:3" x14ac:dyDescent="0.25">
      <c r="A787" s="1">
        <v>3114</v>
      </c>
      <c r="B787" s="1" t="s">
        <v>587</v>
      </c>
      <c r="C787" s="1" t="s">
        <v>588</v>
      </c>
    </row>
    <row r="788" spans="1:3" x14ac:dyDescent="0.25">
      <c r="A788" s="1">
        <v>3116</v>
      </c>
      <c r="B788" s="1" t="s">
        <v>587</v>
      </c>
      <c r="C788" s="1" t="s">
        <v>588</v>
      </c>
    </row>
    <row r="789" spans="1:3" x14ac:dyDescent="0.25">
      <c r="A789" s="1">
        <v>3121</v>
      </c>
      <c r="B789" s="1" t="s">
        <v>587</v>
      </c>
      <c r="C789" s="1" t="s">
        <v>588</v>
      </c>
    </row>
    <row r="790" spans="1:3" x14ac:dyDescent="0.25">
      <c r="A790" s="1">
        <v>3125</v>
      </c>
      <c r="B790" s="1" t="s">
        <v>587</v>
      </c>
      <c r="C790" s="1" t="s">
        <v>588</v>
      </c>
    </row>
    <row r="791" spans="1:3" x14ac:dyDescent="0.25">
      <c r="A791" s="1">
        <v>3126</v>
      </c>
      <c r="B791" s="1" t="s">
        <v>587</v>
      </c>
      <c r="C791" s="1" t="s">
        <v>588</v>
      </c>
    </row>
    <row r="792" spans="1:3" x14ac:dyDescent="0.25">
      <c r="A792" s="1">
        <v>3138</v>
      </c>
      <c r="B792" s="1" t="s">
        <v>587</v>
      </c>
      <c r="C792" s="1" t="s">
        <v>588</v>
      </c>
    </row>
    <row r="793" spans="1:3" x14ac:dyDescent="0.25">
      <c r="A793" s="1">
        <v>3140</v>
      </c>
      <c r="B793" s="1" t="s">
        <v>587</v>
      </c>
      <c r="C793" s="1" t="s">
        <v>588</v>
      </c>
    </row>
    <row r="794" spans="1:3" x14ac:dyDescent="0.25">
      <c r="A794" s="1">
        <v>3144</v>
      </c>
      <c r="B794" s="1" t="s">
        <v>587</v>
      </c>
      <c r="C794" s="1" t="s">
        <v>588</v>
      </c>
    </row>
    <row r="795" spans="1:3" x14ac:dyDescent="0.25">
      <c r="A795" s="1">
        <v>3157</v>
      </c>
      <c r="B795" s="1" t="s">
        <v>587</v>
      </c>
      <c r="C795" s="1" t="s">
        <v>588</v>
      </c>
    </row>
    <row r="796" spans="1:3" x14ac:dyDescent="0.25">
      <c r="A796" s="1">
        <v>3160</v>
      </c>
      <c r="B796" s="1" t="s">
        <v>587</v>
      </c>
      <c r="C796" s="1" t="s">
        <v>588</v>
      </c>
    </row>
    <row r="797" spans="1:3" x14ac:dyDescent="0.25">
      <c r="A797" s="1">
        <v>3169</v>
      </c>
      <c r="B797" s="1" t="s">
        <v>587</v>
      </c>
      <c r="C797" s="1" t="s">
        <v>588</v>
      </c>
    </row>
    <row r="798" spans="1:3" x14ac:dyDescent="0.25">
      <c r="A798" s="1">
        <v>3172</v>
      </c>
      <c r="B798" s="1" t="s">
        <v>587</v>
      </c>
      <c r="C798" s="1" t="s">
        <v>588</v>
      </c>
    </row>
    <row r="799" spans="1:3" x14ac:dyDescent="0.25">
      <c r="A799" s="1">
        <v>3173</v>
      </c>
      <c r="B799" s="1" t="s">
        <v>587</v>
      </c>
      <c r="C799" s="1" t="s">
        <v>588</v>
      </c>
    </row>
    <row r="800" spans="1:3" x14ac:dyDescent="0.25">
      <c r="A800" s="1">
        <v>3183</v>
      </c>
      <c r="B800" s="1" t="s">
        <v>587</v>
      </c>
      <c r="C800" s="1" t="s">
        <v>588</v>
      </c>
    </row>
    <row r="801" spans="1:3" x14ac:dyDescent="0.25">
      <c r="A801" s="1">
        <v>3184</v>
      </c>
      <c r="B801" s="1" t="s">
        <v>587</v>
      </c>
      <c r="C801" s="1" t="s">
        <v>588</v>
      </c>
    </row>
    <row r="802" spans="1:3" x14ac:dyDescent="0.25">
      <c r="A802" s="1">
        <v>3259</v>
      </c>
      <c r="B802" s="1" t="s">
        <v>587</v>
      </c>
      <c r="C802" s="1" t="s">
        <v>588</v>
      </c>
    </row>
    <row r="803" spans="1:3" x14ac:dyDescent="0.25">
      <c r="A803" s="1">
        <v>3311</v>
      </c>
      <c r="B803" s="1" t="s">
        <v>587</v>
      </c>
      <c r="C803" s="1" t="s">
        <v>588</v>
      </c>
    </row>
    <row r="804" spans="1:3" x14ac:dyDescent="0.25">
      <c r="A804" s="1">
        <v>3312</v>
      </c>
      <c r="B804" s="1" t="s">
        <v>587</v>
      </c>
      <c r="C804" s="1" t="s">
        <v>588</v>
      </c>
    </row>
    <row r="805" spans="1:3" x14ac:dyDescent="0.25">
      <c r="A805" s="1">
        <v>3315</v>
      </c>
      <c r="B805" s="1" t="s">
        <v>587</v>
      </c>
      <c r="C805" s="1" t="s">
        <v>588</v>
      </c>
    </row>
    <row r="806" spans="1:3" x14ac:dyDescent="0.25">
      <c r="A806" s="1">
        <v>3316</v>
      </c>
      <c r="B806" s="1" t="s">
        <v>587</v>
      </c>
      <c r="C806" s="1" t="s">
        <v>588</v>
      </c>
    </row>
    <row r="807" spans="1:3" x14ac:dyDescent="0.25">
      <c r="A807" s="1">
        <v>3319</v>
      </c>
      <c r="B807" s="1" t="s">
        <v>587</v>
      </c>
      <c r="C807" s="1" t="s">
        <v>588</v>
      </c>
    </row>
    <row r="808" spans="1:3" x14ac:dyDescent="0.25">
      <c r="A808" s="1">
        <v>3321</v>
      </c>
      <c r="B808" s="1" t="s">
        <v>587</v>
      </c>
      <c r="C808" s="1" t="s">
        <v>588</v>
      </c>
    </row>
    <row r="809" spans="1:3" x14ac:dyDescent="0.25">
      <c r="A809" s="1">
        <v>3322</v>
      </c>
      <c r="B809" s="1" t="s">
        <v>587</v>
      </c>
      <c r="C809" s="1" t="s">
        <v>588</v>
      </c>
    </row>
    <row r="810" spans="1:3" x14ac:dyDescent="0.25">
      <c r="A810" s="1">
        <v>3335</v>
      </c>
      <c r="B810" s="1" t="s">
        <v>587</v>
      </c>
      <c r="C810" s="1" t="s">
        <v>588</v>
      </c>
    </row>
    <row r="811" spans="1:3" x14ac:dyDescent="0.25">
      <c r="A811" s="1">
        <v>3336</v>
      </c>
      <c r="B811" s="1" t="s">
        <v>587</v>
      </c>
      <c r="C811" s="1" t="s">
        <v>588</v>
      </c>
    </row>
    <row r="812" spans="1:3" x14ac:dyDescent="0.25">
      <c r="A812" s="1">
        <v>20</v>
      </c>
      <c r="B812" s="1" t="s">
        <v>579</v>
      </c>
      <c r="C812" s="1" t="s">
        <v>580</v>
      </c>
    </row>
    <row r="813" spans="1:3" x14ac:dyDescent="0.25">
      <c r="A813" s="1">
        <v>32</v>
      </c>
      <c r="B813" s="1" t="s">
        <v>579</v>
      </c>
      <c r="C813" s="1" t="s">
        <v>580</v>
      </c>
    </row>
    <row r="814" spans="1:3" x14ac:dyDescent="0.25">
      <c r="A814" s="1">
        <v>33</v>
      </c>
      <c r="B814" s="1" t="s">
        <v>579</v>
      </c>
      <c r="C814" s="1" t="s">
        <v>580</v>
      </c>
    </row>
    <row r="815" spans="1:3" x14ac:dyDescent="0.25">
      <c r="A815" s="1">
        <v>36</v>
      </c>
      <c r="B815" s="1" t="s">
        <v>579</v>
      </c>
      <c r="C815" s="1" t="s">
        <v>580</v>
      </c>
    </row>
    <row r="816" spans="1:3" x14ac:dyDescent="0.25">
      <c r="A816" s="1">
        <v>155</v>
      </c>
      <c r="B816" s="1" t="s">
        <v>579</v>
      </c>
      <c r="C816" s="1" t="s">
        <v>580</v>
      </c>
    </row>
    <row r="817" spans="1:3" x14ac:dyDescent="0.25">
      <c r="A817" s="1">
        <v>183</v>
      </c>
      <c r="B817" s="1" t="s">
        <v>579</v>
      </c>
      <c r="C817" s="1" t="s">
        <v>580</v>
      </c>
    </row>
    <row r="818" spans="1:3" x14ac:dyDescent="0.25">
      <c r="A818" s="1">
        <v>185</v>
      </c>
      <c r="B818" s="1" t="s">
        <v>579</v>
      </c>
      <c r="C818" s="1" t="s">
        <v>580</v>
      </c>
    </row>
    <row r="819" spans="1:3" x14ac:dyDescent="0.25">
      <c r="A819" s="1">
        <v>186</v>
      </c>
      <c r="B819" s="1" t="s">
        <v>579</v>
      </c>
      <c r="C819" s="1" t="s">
        <v>580</v>
      </c>
    </row>
    <row r="820" spans="1:3" x14ac:dyDescent="0.25">
      <c r="A820" s="1">
        <v>298</v>
      </c>
      <c r="B820" s="1" t="s">
        <v>579</v>
      </c>
      <c r="C820" s="1" t="s">
        <v>580</v>
      </c>
    </row>
    <row r="821" spans="1:3" x14ac:dyDescent="0.25">
      <c r="A821" s="1">
        <v>516</v>
      </c>
      <c r="B821" s="1" t="s">
        <v>579</v>
      </c>
      <c r="C821" s="1" t="s">
        <v>580</v>
      </c>
    </row>
    <row r="822" spans="1:3" x14ac:dyDescent="0.25">
      <c r="A822" s="1">
        <v>517</v>
      </c>
      <c r="B822" s="1" t="s">
        <v>579</v>
      </c>
      <c r="C822" s="1" t="s">
        <v>580</v>
      </c>
    </row>
    <row r="823" spans="1:3" x14ac:dyDescent="0.25">
      <c r="A823" s="1">
        <v>518</v>
      </c>
      <c r="B823" s="1" t="s">
        <v>579</v>
      </c>
      <c r="C823" s="1" t="s">
        <v>580</v>
      </c>
    </row>
    <row r="824" spans="1:3" x14ac:dyDescent="0.25">
      <c r="A824" s="1">
        <v>519</v>
      </c>
      <c r="B824" s="1" t="s">
        <v>579</v>
      </c>
      <c r="C824" s="1" t="s">
        <v>580</v>
      </c>
    </row>
    <row r="825" spans="1:3" x14ac:dyDescent="0.25">
      <c r="A825" s="1">
        <v>757</v>
      </c>
      <c r="B825" s="1" t="s">
        <v>579</v>
      </c>
      <c r="C825" s="1" t="s">
        <v>580</v>
      </c>
    </row>
    <row r="826" spans="1:3" x14ac:dyDescent="0.25">
      <c r="A826" s="1">
        <v>843</v>
      </c>
      <c r="B826" s="1" t="s">
        <v>579</v>
      </c>
      <c r="C826" s="1" t="s">
        <v>580</v>
      </c>
    </row>
    <row r="827" spans="1:3" x14ac:dyDescent="0.25">
      <c r="A827" s="1">
        <v>862</v>
      </c>
      <c r="B827" s="1" t="s">
        <v>579</v>
      </c>
      <c r="C827" s="1" t="s">
        <v>580</v>
      </c>
    </row>
    <row r="828" spans="1:3" x14ac:dyDescent="0.25">
      <c r="A828" s="1">
        <v>866</v>
      </c>
      <c r="B828" s="1" t="s">
        <v>579</v>
      </c>
      <c r="C828" s="1" t="s">
        <v>580</v>
      </c>
    </row>
    <row r="829" spans="1:3" x14ac:dyDescent="0.25">
      <c r="A829" s="1">
        <v>892</v>
      </c>
      <c r="B829" s="1" t="s">
        <v>579</v>
      </c>
      <c r="C829" s="1" t="s">
        <v>580</v>
      </c>
    </row>
    <row r="830" spans="1:3" x14ac:dyDescent="0.25">
      <c r="A830" s="1">
        <v>1064</v>
      </c>
      <c r="B830" s="1" t="s">
        <v>579</v>
      </c>
      <c r="C830" s="1" t="s">
        <v>580</v>
      </c>
    </row>
    <row r="831" spans="1:3" x14ac:dyDescent="0.25">
      <c r="A831" s="1">
        <v>1135</v>
      </c>
      <c r="B831" s="1" t="s">
        <v>579</v>
      </c>
      <c r="C831" s="1" t="s">
        <v>580</v>
      </c>
    </row>
    <row r="832" spans="1:3" x14ac:dyDescent="0.25">
      <c r="A832" s="1">
        <v>1185</v>
      </c>
      <c r="B832" s="1" t="s">
        <v>579</v>
      </c>
      <c r="C832" s="1" t="s">
        <v>580</v>
      </c>
    </row>
    <row r="833" spans="1:3" x14ac:dyDescent="0.25">
      <c r="A833" s="1">
        <v>1377</v>
      </c>
      <c r="B833" s="1" t="s">
        <v>579</v>
      </c>
      <c r="C833" s="1" t="s">
        <v>580</v>
      </c>
    </row>
    <row r="834" spans="1:3" x14ac:dyDescent="0.25">
      <c r="A834" s="1">
        <v>1503</v>
      </c>
      <c r="B834" s="1" t="s">
        <v>579</v>
      </c>
      <c r="C834" s="1" t="s">
        <v>580</v>
      </c>
    </row>
    <row r="835" spans="1:3" x14ac:dyDescent="0.25">
      <c r="A835" s="1">
        <v>1523</v>
      </c>
      <c r="B835" s="1" t="s">
        <v>579</v>
      </c>
      <c r="C835" s="1" t="s">
        <v>580</v>
      </c>
    </row>
    <row r="836" spans="1:3" x14ac:dyDescent="0.25">
      <c r="A836" s="1">
        <v>1542</v>
      </c>
      <c r="B836" s="1" t="s">
        <v>579</v>
      </c>
      <c r="C836" s="1" t="s">
        <v>580</v>
      </c>
    </row>
    <row r="837" spans="1:3" x14ac:dyDescent="0.25">
      <c r="A837" s="1">
        <v>1577</v>
      </c>
      <c r="B837" s="1" t="s">
        <v>579</v>
      </c>
      <c r="C837" s="1" t="s">
        <v>580</v>
      </c>
    </row>
    <row r="838" spans="1:3" x14ac:dyDescent="0.25">
      <c r="A838" s="1">
        <v>1661</v>
      </c>
      <c r="B838" s="1" t="s">
        <v>579</v>
      </c>
      <c r="C838" s="1" t="s">
        <v>580</v>
      </c>
    </row>
    <row r="839" spans="1:3" x14ac:dyDescent="0.25">
      <c r="A839" s="1">
        <v>1666</v>
      </c>
      <c r="B839" s="1" t="s">
        <v>579</v>
      </c>
      <c r="C839" s="1" t="s">
        <v>580</v>
      </c>
    </row>
    <row r="840" spans="1:3" x14ac:dyDescent="0.25">
      <c r="A840" s="1">
        <v>1772</v>
      </c>
      <c r="B840" s="1" t="s">
        <v>579</v>
      </c>
      <c r="C840" s="1" t="s">
        <v>580</v>
      </c>
    </row>
    <row r="841" spans="1:3" x14ac:dyDescent="0.25">
      <c r="A841" s="1">
        <v>1840</v>
      </c>
      <c r="B841" s="1" t="s">
        <v>579</v>
      </c>
      <c r="C841" s="1" t="s">
        <v>580</v>
      </c>
    </row>
    <row r="842" spans="1:3" x14ac:dyDescent="0.25">
      <c r="A842" s="1">
        <v>1951</v>
      </c>
      <c r="B842" s="1" t="s">
        <v>579</v>
      </c>
      <c r="C842" s="1" t="s">
        <v>580</v>
      </c>
    </row>
    <row r="843" spans="1:3" x14ac:dyDescent="0.25">
      <c r="A843" s="1">
        <v>2025</v>
      </c>
      <c r="B843" s="1" t="s">
        <v>579</v>
      </c>
      <c r="C843" s="1" t="s">
        <v>580</v>
      </c>
    </row>
    <row r="844" spans="1:3" x14ac:dyDescent="0.25">
      <c r="A844" s="1">
        <v>2166</v>
      </c>
      <c r="B844" s="1" t="s">
        <v>579</v>
      </c>
      <c r="C844" s="1" t="s">
        <v>580</v>
      </c>
    </row>
    <row r="845" spans="1:3" x14ac:dyDescent="0.25">
      <c r="A845" s="1">
        <v>2409</v>
      </c>
      <c r="B845" s="1" t="s">
        <v>579</v>
      </c>
      <c r="C845" s="1" t="s">
        <v>580</v>
      </c>
    </row>
    <row r="846" spans="1:3" x14ac:dyDescent="0.25">
      <c r="A846" s="1">
        <v>2439</v>
      </c>
      <c r="B846" s="1" t="s">
        <v>579</v>
      </c>
      <c r="C846" s="1" t="s">
        <v>580</v>
      </c>
    </row>
    <row r="847" spans="1:3" x14ac:dyDescent="0.25">
      <c r="A847" s="1">
        <v>2658</v>
      </c>
      <c r="B847" s="1" t="s">
        <v>579</v>
      </c>
      <c r="C847" s="1" t="s">
        <v>580</v>
      </c>
    </row>
    <row r="848" spans="1:3" x14ac:dyDescent="0.25">
      <c r="A848" s="1">
        <v>2660</v>
      </c>
      <c r="B848" s="1" t="s">
        <v>579</v>
      </c>
      <c r="C848" s="1" t="s">
        <v>580</v>
      </c>
    </row>
    <row r="849" spans="1:3" x14ac:dyDescent="0.25">
      <c r="A849" s="1">
        <v>2721</v>
      </c>
      <c r="B849" s="1" t="s">
        <v>579</v>
      </c>
      <c r="C849" s="1" t="s">
        <v>580</v>
      </c>
    </row>
    <row r="850" spans="1:3" x14ac:dyDescent="0.25">
      <c r="A850" s="1">
        <v>2741</v>
      </c>
      <c r="B850" s="1" t="s">
        <v>579</v>
      </c>
      <c r="C850" s="1" t="s">
        <v>580</v>
      </c>
    </row>
    <row r="851" spans="1:3" x14ac:dyDescent="0.25">
      <c r="A851" s="1">
        <v>2756</v>
      </c>
      <c r="B851" s="1" t="s">
        <v>579</v>
      </c>
      <c r="C851" s="1" t="s">
        <v>580</v>
      </c>
    </row>
    <row r="852" spans="1:3" x14ac:dyDescent="0.25">
      <c r="A852" s="1">
        <v>2897</v>
      </c>
      <c r="B852" s="1" t="s">
        <v>579</v>
      </c>
      <c r="C852" s="1" t="s">
        <v>580</v>
      </c>
    </row>
    <row r="853" spans="1:3" x14ac:dyDescent="0.25">
      <c r="A853" s="1">
        <v>2917</v>
      </c>
      <c r="B853" s="1" t="s">
        <v>579</v>
      </c>
      <c r="C853" s="1" t="s">
        <v>580</v>
      </c>
    </row>
    <row r="854" spans="1:3" x14ac:dyDescent="0.25">
      <c r="A854" s="1">
        <v>2951</v>
      </c>
      <c r="B854" s="1" t="s">
        <v>579</v>
      </c>
      <c r="C854" s="1" t="s">
        <v>580</v>
      </c>
    </row>
    <row r="855" spans="1:3" x14ac:dyDescent="0.25">
      <c r="A855" s="1">
        <v>2952</v>
      </c>
      <c r="B855" s="1" t="s">
        <v>579</v>
      </c>
      <c r="C855" s="1" t="s">
        <v>580</v>
      </c>
    </row>
    <row r="856" spans="1:3" x14ac:dyDescent="0.25">
      <c r="A856" s="1">
        <v>2954</v>
      </c>
      <c r="B856" s="1" t="s">
        <v>579</v>
      </c>
      <c r="C856" s="1" t="s">
        <v>580</v>
      </c>
    </row>
    <row r="857" spans="1:3" x14ac:dyDescent="0.25">
      <c r="A857" s="1">
        <v>2955</v>
      </c>
      <c r="B857" s="1" t="s">
        <v>579</v>
      </c>
      <c r="C857" s="1" t="s">
        <v>580</v>
      </c>
    </row>
    <row r="858" spans="1:3" x14ac:dyDescent="0.25">
      <c r="A858" s="1">
        <v>2956</v>
      </c>
      <c r="B858" s="1" t="s">
        <v>579</v>
      </c>
      <c r="C858" s="1" t="s">
        <v>580</v>
      </c>
    </row>
    <row r="859" spans="1:3" x14ac:dyDescent="0.25">
      <c r="A859" s="1">
        <v>2958</v>
      </c>
      <c r="B859" s="1" t="s">
        <v>579</v>
      </c>
      <c r="C859" s="1" t="s">
        <v>580</v>
      </c>
    </row>
    <row r="860" spans="1:3" x14ac:dyDescent="0.25">
      <c r="A860" s="1">
        <v>2959</v>
      </c>
      <c r="B860" s="1" t="s">
        <v>579</v>
      </c>
      <c r="C860" s="1" t="s">
        <v>580</v>
      </c>
    </row>
    <row r="861" spans="1:3" x14ac:dyDescent="0.25">
      <c r="A861" s="1">
        <v>2968</v>
      </c>
      <c r="B861" s="1" t="s">
        <v>579</v>
      </c>
      <c r="C861" s="1" t="s">
        <v>580</v>
      </c>
    </row>
    <row r="862" spans="1:3" x14ac:dyDescent="0.25">
      <c r="A862" s="1">
        <v>2969</v>
      </c>
      <c r="B862" s="1" t="s">
        <v>579</v>
      </c>
      <c r="C862" s="1" t="s">
        <v>580</v>
      </c>
    </row>
    <row r="863" spans="1:3" x14ac:dyDescent="0.25">
      <c r="A863" s="1">
        <v>2984</v>
      </c>
      <c r="B863" s="1" t="s">
        <v>579</v>
      </c>
      <c r="C863" s="1" t="s">
        <v>580</v>
      </c>
    </row>
    <row r="864" spans="1:3" x14ac:dyDescent="0.25">
      <c r="A864" s="1">
        <v>2998</v>
      </c>
      <c r="B864" s="1" t="s">
        <v>579</v>
      </c>
      <c r="C864" s="1" t="s">
        <v>580</v>
      </c>
    </row>
    <row r="865" spans="1:3" x14ac:dyDescent="0.25">
      <c r="A865" s="1">
        <v>2999</v>
      </c>
      <c r="B865" s="1" t="s">
        <v>579</v>
      </c>
      <c r="C865" s="1" t="s">
        <v>580</v>
      </c>
    </row>
    <row r="866" spans="1:3" x14ac:dyDescent="0.25">
      <c r="A866" s="1">
        <v>3025</v>
      </c>
      <c r="B866" s="1" t="s">
        <v>579</v>
      </c>
      <c r="C866" s="1" t="s">
        <v>580</v>
      </c>
    </row>
    <row r="867" spans="1:3" x14ac:dyDescent="0.25">
      <c r="A867" s="1">
        <v>3042</v>
      </c>
      <c r="B867" s="1" t="s">
        <v>579</v>
      </c>
      <c r="C867" s="1" t="s">
        <v>580</v>
      </c>
    </row>
    <row r="868" spans="1:3" x14ac:dyDescent="0.25">
      <c r="A868" s="1">
        <v>3069</v>
      </c>
      <c r="B868" s="1" t="s">
        <v>579</v>
      </c>
      <c r="C868" s="1" t="s">
        <v>580</v>
      </c>
    </row>
    <row r="869" spans="1:3" x14ac:dyDescent="0.25">
      <c r="A869" s="1">
        <v>3070</v>
      </c>
      <c r="B869" s="1" t="s">
        <v>579</v>
      </c>
      <c r="C869" s="1" t="s">
        <v>580</v>
      </c>
    </row>
    <row r="870" spans="1:3" x14ac:dyDescent="0.25">
      <c r="A870" s="1">
        <v>3164</v>
      </c>
      <c r="B870" s="1" t="s">
        <v>579</v>
      </c>
      <c r="C870" s="1" t="s">
        <v>580</v>
      </c>
    </row>
    <row r="871" spans="1:3" x14ac:dyDescent="0.25">
      <c r="A871" s="1">
        <v>3165</v>
      </c>
      <c r="B871" s="1" t="s">
        <v>579</v>
      </c>
      <c r="C871" s="1" t="s">
        <v>580</v>
      </c>
    </row>
    <row r="872" spans="1:3" x14ac:dyDescent="0.25">
      <c r="A872" s="1">
        <v>3166</v>
      </c>
      <c r="B872" s="1" t="s">
        <v>579</v>
      </c>
      <c r="C872" s="1" t="s">
        <v>580</v>
      </c>
    </row>
    <row r="873" spans="1:3" x14ac:dyDescent="0.25">
      <c r="A873" s="1">
        <v>17</v>
      </c>
      <c r="B873" s="1" t="s">
        <v>577</v>
      </c>
      <c r="C873" s="1" t="s">
        <v>578</v>
      </c>
    </row>
    <row r="874" spans="1:3" x14ac:dyDescent="0.25">
      <c r="A874" s="1">
        <v>19</v>
      </c>
      <c r="B874" s="1" t="s">
        <v>577</v>
      </c>
      <c r="C874" s="1" t="s">
        <v>578</v>
      </c>
    </row>
    <row r="875" spans="1:3" x14ac:dyDescent="0.25">
      <c r="A875" s="1">
        <v>23</v>
      </c>
      <c r="B875" s="1" t="s">
        <v>577</v>
      </c>
      <c r="C875" s="1" t="s">
        <v>578</v>
      </c>
    </row>
    <row r="876" spans="1:3" x14ac:dyDescent="0.25">
      <c r="A876" s="1">
        <v>24</v>
      </c>
      <c r="B876" s="1" t="s">
        <v>577</v>
      </c>
      <c r="C876" s="1" t="s">
        <v>578</v>
      </c>
    </row>
    <row r="877" spans="1:3" x14ac:dyDescent="0.25">
      <c r="A877" s="1">
        <v>25</v>
      </c>
      <c r="B877" s="1" t="s">
        <v>577</v>
      </c>
      <c r="C877" s="1" t="s">
        <v>578</v>
      </c>
    </row>
    <row r="878" spans="1:3" x14ac:dyDescent="0.25">
      <c r="A878" s="1">
        <v>55</v>
      </c>
      <c r="B878" s="1" t="s">
        <v>577</v>
      </c>
      <c r="C878" s="1" t="s">
        <v>578</v>
      </c>
    </row>
    <row r="879" spans="1:3" x14ac:dyDescent="0.25">
      <c r="A879" s="1">
        <v>124</v>
      </c>
      <c r="B879" s="1" t="s">
        <v>577</v>
      </c>
      <c r="C879" s="1" t="s">
        <v>578</v>
      </c>
    </row>
    <row r="880" spans="1:3" x14ac:dyDescent="0.25">
      <c r="A880" s="1">
        <v>125</v>
      </c>
      <c r="B880" s="1" t="s">
        <v>577</v>
      </c>
      <c r="C880" s="1" t="s">
        <v>578</v>
      </c>
    </row>
    <row r="881" spans="1:3" x14ac:dyDescent="0.25">
      <c r="A881" s="1">
        <v>126</v>
      </c>
      <c r="B881" s="1" t="s">
        <v>577</v>
      </c>
      <c r="C881" s="1" t="s">
        <v>578</v>
      </c>
    </row>
    <row r="882" spans="1:3" x14ac:dyDescent="0.25">
      <c r="A882" s="1">
        <v>127</v>
      </c>
      <c r="B882" s="1" t="s">
        <v>577</v>
      </c>
      <c r="C882" s="1" t="s">
        <v>578</v>
      </c>
    </row>
    <row r="883" spans="1:3" x14ac:dyDescent="0.25">
      <c r="A883" s="1">
        <v>128</v>
      </c>
      <c r="B883" s="1" t="s">
        <v>577</v>
      </c>
      <c r="C883" s="1" t="s">
        <v>578</v>
      </c>
    </row>
    <row r="884" spans="1:3" x14ac:dyDescent="0.25">
      <c r="A884" s="1">
        <v>129</v>
      </c>
      <c r="B884" s="1" t="s">
        <v>577</v>
      </c>
      <c r="C884" s="1" t="s">
        <v>578</v>
      </c>
    </row>
    <row r="885" spans="1:3" x14ac:dyDescent="0.25">
      <c r="A885" s="1">
        <v>130</v>
      </c>
      <c r="B885" s="1" t="s">
        <v>577</v>
      </c>
      <c r="C885" s="1" t="s">
        <v>578</v>
      </c>
    </row>
    <row r="886" spans="1:3" x14ac:dyDescent="0.25">
      <c r="A886" s="1">
        <v>131</v>
      </c>
      <c r="B886" s="1" t="s">
        <v>577</v>
      </c>
      <c r="C886" s="1" t="s">
        <v>578</v>
      </c>
    </row>
    <row r="887" spans="1:3" x14ac:dyDescent="0.25">
      <c r="A887" s="1">
        <v>132</v>
      </c>
      <c r="B887" s="1" t="s">
        <v>577</v>
      </c>
      <c r="C887" s="1" t="s">
        <v>578</v>
      </c>
    </row>
    <row r="888" spans="1:3" x14ac:dyDescent="0.25">
      <c r="A888" s="1">
        <v>133</v>
      </c>
      <c r="B888" s="1" t="s">
        <v>577</v>
      </c>
      <c r="C888" s="1" t="s">
        <v>578</v>
      </c>
    </row>
    <row r="889" spans="1:3" x14ac:dyDescent="0.25">
      <c r="A889" s="1">
        <v>134</v>
      </c>
      <c r="B889" s="1" t="s">
        <v>577</v>
      </c>
      <c r="C889" s="1" t="s">
        <v>578</v>
      </c>
    </row>
    <row r="890" spans="1:3" x14ac:dyDescent="0.25">
      <c r="A890" s="1">
        <v>135</v>
      </c>
      <c r="B890" s="1" t="s">
        <v>577</v>
      </c>
      <c r="C890" s="1" t="s">
        <v>578</v>
      </c>
    </row>
    <row r="891" spans="1:3" x14ac:dyDescent="0.25">
      <c r="A891" s="1">
        <v>136</v>
      </c>
      <c r="B891" s="1" t="s">
        <v>577</v>
      </c>
      <c r="C891" s="1" t="s">
        <v>578</v>
      </c>
    </row>
    <row r="892" spans="1:3" x14ac:dyDescent="0.25">
      <c r="A892" s="1">
        <v>138</v>
      </c>
      <c r="B892" s="1" t="s">
        <v>577</v>
      </c>
      <c r="C892" s="1" t="s">
        <v>578</v>
      </c>
    </row>
    <row r="893" spans="1:3" x14ac:dyDescent="0.25">
      <c r="A893" s="1">
        <v>139</v>
      </c>
      <c r="B893" s="1" t="s">
        <v>577</v>
      </c>
      <c r="C893" s="1" t="s">
        <v>578</v>
      </c>
    </row>
    <row r="894" spans="1:3" x14ac:dyDescent="0.25">
      <c r="A894" s="1">
        <v>140</v>
      </c>
      <c r="B894" s="1" t="s">
        <v>577</v>
      </c>
      <c r="C894" s="1" t="s">
        <v>578</v>
      </c>
    </row>
    <row r="895" spans="1:3" x14ac:dyDescent="0.25">
      <c r="A895" s="1">
        <v>141</v>
      </c>
      <c r="B895" s="1" t="s">
        <v>577</v>
      </c>
      <c r="C895" s="1" t="s">
        <v>578</v>
      </c>
    </row>
    <row r="896" spans="1:3" x14ac:dyDescent="0.25">
      <c r="A896" s="1">
        <v>255</v>
      </c>
      <c r="B896" s="1" t="s">
        <v>577</v>
      </c>
      <c r="C896" s="1" t="s">
        <v>578</v>
      </c>
    </row>
    <row r="897" spans="1:3" x14ac:dyDescent="0.25">
      <c r="A897" s="1">
        <v>284</v>
      </c>
      <c r="B897" s="1" t="s">
        <v>577</v>
      </c>
      <c r="C897" s="1" t="s">
        <v>578</v>
      </c>
    </row>
    <row r="898" spans="1:3" x14ac:dyDescent="0.25">
      <c r="A898" s="1">
        <v>285</v>
      </c>
      <c r="B898" s="1" t="s">
        <v>577</v>
      </c>
      <c r="C898" s="1" t="s">
        <v>578</v>
      </c>
    </row>
    <row r="899" spans="1:3" x14ac:dyDescent="0.25">
      <c r="A899" s="1">
        <v>286</v>
      </c>
      <c r="B899" s="1" t="s">
        <v>577</v>
      </c>
      <c r="C899" s="1" t="s">
        <v>578</v>
      </c>
    </row>
    <row r="900" spans="1:3" x14ac:dyDescent="0.25">
      <c r="A900" s="1">
        <v>332</v>
      </c>
      <c r="B900" s="1" t="s">
        <v>577</v>
      </c>
      <c r="C900" s="1" t="s">
        <v>578</v>
      </c>
    </row>
    <row r="901" spans="1:3" x14ac:dyDescent="0.25">
      <c r="A901" s="1">
        <v>334</v>
      </c>
      <c r="B901" s="1" t="s">
        <v>577</v>
      </c>
      <c r="C901" s="1" t="s">
        <v>578</v>
      </c>
    </row>
    <row r="902" spans="1:3" x14ac:dyDescent="0.25">
      <c r="A902" s="1">
        <v>335</v>
      </c>
      <c r="B902" s="1" t="s">
        <v>577</v>
      </c>
      <c r="C902" s="1" t="s">
        <v>578</v>
      </c>
    </row>
    <row r="903" spans="1:3" x14ac:dyDescent="0.25">
      <c r="A903" s="1">
        <v>336</v>
      </c>
      <c r="B903" s="1" t="s">
        <v>577</v>
      </c>
      <c r="C903" s="1" t="s">
        <v>578</v>
      </c>
    </row>
    <row r="904" spans="1:3" x14ac:dyDescent="0.25">
      <c r="A904" s="1">
        <v>394</v>
      </c>
      <c r="B904" s="1" t="s">
        <v>577</v>
      </c>
      <c r="C904" s="1" t="s">
        <v>578</v>
      </c>
    </row>
    <row r="905" spans="1:3" x14ac:dyDescent="0.25">
      <c r="A905" s="1">
        <v>416</v>
      </c>
      <c r="B905" s="1" t="s">
        <v>577</v>
      </c>
      <c r="C905" s="1" t="s">
        <v>578</v>
      </c>
    </row>
    <row r="906" spans="1:3" x14ac:dyDescent="0.25">
      <c r="A906" s="1">
        <v>418</v>
      </c>
      <c r="B906" s="1" t="s">
        <v>577</v>
      </c>
      <c r="C906" s="1" t="s">
        <v>578</v>
      </c>
    </row>
    <row r="907" spans="1:3" x14ac:dyDescent="0.25">
      <c r="A907" s="1">
        <v>422</v>
      </c>
      <c r="B907" s="1" t="s">
        <v>577</v>
      </c>
      <c r="C907" s="1" t="s">
        <v>578</v>
      </c>
    </row>
    <row r="908" spans="1:3" x14ac:dyDescent="0.25">
      <c r="A908" s="1">
        <v>424</v>
      </c>
      <c r="B908" s="1" t="s">
        <v>577</v>
      </c>
      <c r="C908" s="1" t="s">
        <v>578</v>
      </c>
    </row>
    <row r="909" spans="1:3" x14ac:dyDescent="0.25">
      <c r="A909" s="1">
        <v>425</v>
      </c>
      <c r="B909" s="1" t="s">
        <v>577</v>
      </c>
      <c r="C909" s="1" t="s">
        <v>578</v>
      </c>
    </row>
    <row r="910" spans="1:3" x14ac:dyDescent="0.25">
      <c r="A910" s="1">
        <v>427</v>
      </c>
      <c r="B910" s="1" t="s">
        <v>577</v>
      </c>
      <c r="C910" s="1" t="s">
        <v>578</v>
      </c>
    </row>
    <row r="911" spans="1:3" x14ac:dyDescent="0.25">
      <c r="A911" s="1">
        <v>429</v>
      </c>
      <c r="B911" s="1" t="s">
        <v>577</v>
      </c>
      <c r="C911" s="1" t="s">
        <v>578</v>
      </c>
    </row>
    <row r="912" spans="1:3" x14ac:dyDescent="0.25">
      <c r="A912" s="1">
        <v>430</v>
      </c>
      <c r="B912" s="1" t="s">
        <v>577</v>
      </c>
      <c r="C912" s="1" t="s">
        <v>578</v>
      </c>
    </row>
    <row r="913" spans="1:3" x14ac:dyDescent="0.25">
      <c r="A913" s="1">
        <v>742</v>
      </c>
      <c r="B913" s="1" t="s">
        <v>577</v>
      </c>
      <c r="C913" s="1" t="s">
        <v>578</v>
      </c>
    </row>
    <row r="914" spans="1:3" x14ac:dyDescent="0.25">
      <c r="A914" s="1">
        <v>751</v>
      </c>
      <c r="B914" s="1" t="s">
        <v>577</v>
      </c>
      <c r="C914" s="1" t="s">
        <v>578</v>
      </c>
    </row>
    <row r="915" spans="1:3" x14ac:dyDescent="0.25">
      <c r="A915" s="1">
        <v>752</v>
      </c>
      <c r="B915" s="1" t="s">
        <v>577</v>
      </c>
      <c r="C915" s="1" t="s">
        <v>578</v>
      </c>
    </row>
    <row r="916" spans="1:3" x14ac:dyDescent="0.25">
      <c r="A916" s="1">
        <v>758</v>
      </c>
      <c r="B916" s="1" t="s">
        <v>577</v>
      </c>
      <c r="C916" s="1" t="s">
        <v>578</v>
      </c>
    </row>
    <row r="917" spans="1:3" x14ac:dyDescent="0.25">
      <c r="A917" s="1">
        <v>764</v>
      </c>
      <c r="B917" s="1" t="s">
        <v>577</v>
      </c>
      <c r="C917" s="1" t="s">
        <v>578</v>
      </c>
    </row>
    <row r="918" spans="1:3" x14ac:dyDescent="0.25">
      <c r="A918" s="1">
        <v>765</v>
      </c>
      <c r="B918" s="1" t="s">
        <v>577</v>
      </c>
      <c r="C918" s="1" t="s">
        <v>578</v>
      </c>
    </row>
    <row r="919" spans="1:3" x14ac:dyDescent="0.25">
      <c r="A919" s="1">
        <v>769</v>
      </c>
      <c r="B919" s="1" t="s">
        <v>577</v>
      </c>
      <c r="C919" s="1" t="s">
        <v>578</v>
      </c>
    </row>
    <row r="920" spans="1:3" x14ac:dyDescent="0.25">
      <c r="A920" s="1">
        <v>799</v>
      </c>
      <c r="B920" s="1" t="s">
        <v>577</v>
      </c>
      <c r="C920" s="1" t="s">
        <v>578</v>
      </c>
    </row>
    <row r="921" spans="1:3" x14ac:dyDescent="0.25">
      <c r="A921" s="1">
        <v>818</v>
      </c>
      <c r="B921" s="1" t="s">
        <v>577</v>
      </c>
      <c r="C921" s="1" t="s">
        <v>578</v>
      </c>
    </row>
    <row r="922" spans="1:3" x14ac:dyDescent="0.25">
      <c r="A922" s="1">
        <v>826</v>
      </c>
      <c r="B922" s="1" t="s">
        <v>577</v>
      </c>
      <c r="C922" s="1" t="s">
        <v>578</v>
      </c>
    </row>
    <row r="923" spans="1:3" x14ac:dyDescent="0.25">
      <c r="A923" s="1">
        <v>827</v>
      </c>
      <c r="B923" s="1" t="s">
        <v>577</v>
      </c>
      <c r="C923" s="1" t="s">
        <v>578</v>
      </c>
    </row>
    <row r="924" spans="1:3" x14ac:dyDescent="0.25">
      <c r="A924" s="1">
        <v>830</v>
      </c>
      <c r="B924" s="1" t="s">
        <v>577</v>
      </c>
      <c r="C924" s="1" t="s">
        <v>578</v>
      </c>
    </row>
    <row r="925" spans="1:3" x14ac:dyDescent="0.25">
      <c r="A925" s="1">
        <v>831</v>
      </c>
      <c r="B925" s="1" t="s">
        <v>577</v>
      </c>
      <c r="C925" s="1" t="s">
        <v>578</v>
      </c>
    </row>
    <row r="926" spans="1:3" x14ac:dyDescent="0.25">
      <c r="A926" s="1">
        <v>832</v>
      </c>
      <c r="B926" s="1" t="s">
        <v>577</v>
      </c>
      <c r="C926" s="1" t="s">
        <v>578</v>
      </c>
    </row>
    <row r="927" spans="1:3" x14ac:dyDescent="0.25">
      <c r="A927" s="1">
        <v>837</v>
      </c>
      <c r="B927" s="1" t="s">
        <v>577</v>
      </c>
      <c r="C927" s="1" t="s">
        <v>578</v>
      </c>
    </row>
    <row r="928" spans="1:3" x14ac:dyDescent="0.25">
      <c r="A928" s="1">
        <v>839</v>
      </c>
      <c r="B928" s="1" t="s">
        <v>577</v>
      </c>
      <c r="C928" s="1" t="s">
        <v>578</v>
      </c>
    </row>
    <row r="929" spans="1:3" x14ac:dyDescent="0.25">
      <c r="A929" s="1">
        <v>842</v>
      </c>
      <c r="B929" s="1" t="s">
        <v>577</v>
      </c>
      <c r="C929" s="1" t="s">
        <v>578</v>
      </c>
    </row>
    <row r="930" spans="1:3" x14ac:dyDescent="0.25">
      <c r="A930" s="1">
        <v>886</v>
      </c>
      <c r="B930" s="1" t="s">
        <v>577</v>
      </c>
      <c r="C930" s="1" t="s">
        <v>578</v>
      </c>
    </row>
    <row r="931" spans="1:3" x14ac:dyDescent="0.25">
      <c r="A931" s="1">
        <v>889</v>
      </c>
      <c r="B931" s="1" t="s">
        <v>577</v>
      </c>
      <c r="C931" s="1" t="s">
        <v>578</v>
      </c>
    </row>
    <row r="932" spans="1:3" x14ac:dyDescent="0.25">
      <c r="A932" s="1">
        <v>897</v>
      </c>
      <c r="B932" s="1" t="s">
        <v>577</v>
      </c>
      <c r="C932" s="1" t="s">
        <v>578</v>
      </c>
    </row>
    <row r="933" spans="1:3" x14ac:dyDescent="0.25">
      <c r="A933" s="1">
        <v>986</v>
      </c>
      <c r="B933" s="1" t="s">
        <v>577</v>
      </c>
      <c r="C933" s="1" t="s">
        <v>578</v>
      </c>
    </row>
    <row r="934" spans="1:3" x14ac:dyDescent="0.25">
      <c r="A934" s="1">
        <v>990</v>
      </c>
      <c r="B934" s="1" t="s">
        <v>577</v>
      </c>
      <c r="C934" s="1" t="s">
        <v>578</v>
      </c>
    </row>
    <row r="935" spans="1:3" x14ac:dyDescent="0.25">
      <c r="A935" s="1">
        <v>1008</v>
      </c>
      <c r="B935" s="1" t="s">
        <v>577</v>
      </c>
      <c r="C935" s="1" t="s">
        <v>578</v>
      </c>
    </row>
    <row r="936" spans="1:3" x14ac:dyDescent="0.25">
      <c r="A936" s="1">
        <v>1030</v>
      </c>
      <c r="B936" s="1" t="s">
        <v>577</v>
      </c>
      <c r="C936" s="1" t="s">
        <v>578</v>
      </c>
    </row>
    <row r="937" spans="1:3" x14ac:dyDescent="0.25">
      <c r="A937" s="1">
        <v>1031</v>
      </c>
      <c r="B937" s="1" t="s">
        <v>577</v>
      </c>
      <c r="C937" s="1" t="s">
        <v>578</v>
      </c>
    </row>
    <row r="938" spans="1:3" x14ac:dyDescent="0.25">
      <c r="A938" s="1">
        <v>1040</v>
      </c>
      <c r="B938" s="1" t="s">
        <v>577</v>
      </c>
      <c r="C938" s="1" t="s">
        <v>578</v>
      </c>
    </row>
    <row r="939" spans="1:3" x14ac:dyDescent="0.25">
      <c r="A939" s="1">
        <v>1055</v>
      </c>
      <c r="B939" s="1" t="s">
        <v>577</v>
      </c>
      <c r="C939" s="1" t="s">
        <v>578</v>
      </c>
    </row>
    <row r="940" spans="1:3" x14ac:dyDescent="0.25">
      <c r="A940" s="1">
        <v>1072</v>
      </c>
      <c r="B940" s="1" t="s">
        <v>577</v>
      </c>
      <c r="C940" s="1" t="s">
        <v>578</v>
      </c>
    </row>
    <row r="941" spans="1:3" x14ac:dyDescent="0.25">
      <c r="A941" s="1">
        <v>1076</v>
      </c>
      <c r="B941" s="1" t="s">
        <v>577</v>
      </c>
      <c r="C941" s="1" t="s">
        <v>578</v>
      </c>
    </row>
    <row r="942" spans="1:3" x14ac:dyDescent="0.25">
      <c r="A942" s="1">
        <v>1087</v>
      </c>
      <c r="B942" s="1" t="s">
        <v>577</v>
      </c>
      <c r="C942" s="1" t="s">
        <v>578</v>
      </c>
    </row>
    <row r="943" spans="1:3" x14ac:dyDescent="0.25">
      <c r="A943" s="1">
        <v>1088</v>
      </c>
      <c r="B943" s="1" t="s">
        <v>577</v>
      </c>
      <c r="C943" s="1" t="s">
        <v>578</v>
      </c>
    </row>
    <row r="944" spans="1:3" x14ac:dyDescent="0.25">
      <c r="A944" s="1">
        <v>1122</v>
      </c>
      <c r="B944" s="1" t="s">
        <v>577</v>
      </c>
      <c r="C944" s="1" t="s">
        <v>578</v>
      </c>
    </row>
    <row r="945" spans="1:3" x14ac:dyDescent="0.25">
      <c r="A945" s="1">
        <v>1136</v>
      </c>
      <c r="B945" s="1" t="s">
        <v>577</v>
      </c>
      <c r="C945" s="1" t="s">
        <v>578</v>
      </c>
    </row>
    <row r="946" spans="1:3" x14ac:dyDescent="0.25">
      <c r="A946" s="1">
        <v>1140</v>
      </c>
      <c r="B946" s="1" t="s">
        <v>577</v>
      </c>
      <c r="C946" s="1" t="s">
        <v>578</v>
      </c>
    </row>
    <row r="947" spans="1:3" x14ac:dyDescent="0.25">
      <c r="A947" s="1">
        <v>1142</v>
      </c>
      <c r="B947" s="1" t="s">
        <v>577</v>
      </c>
      <c r="C947" s="1" t="s">
        <v>578</v>
      </c>
    </row>
    <row r="948" spans="1:3" x14ac:dyDescent="0.25">
      <c r="A948" s="1">
        <v>1162</v>
      </c>
      <c r="B948" s="1" t="s">
        <v>577</v>
      </c>
      <c r="C948" s="1" t="s">
        <v>578</v>
      </c>
    </row>
    <row r="949" spans="1:3" x14ac:dyDescent="0.25">
      <c r="A949" s="1">
        <v>1168</v>
      </c>
      <c r="B949" s="1" t="s">
        <v>577</v>
      </c>
      <c r="C949" s="1" t="s">
        <v>578</v>
      </c>
    </row>
    <row r="950" spans="1:3" x14ac:dyDescent="0.25">
      <c r="A950" s="1">
        <v>1174</v>
      </c>
      <c r="B950" s="1" t="s">
        <v>577</v>
      </c>
      <c r="C950" s="1" t="s">
        <v>578</v>
      </c>
    </row>
    <row r="951" spans="1:3" x14ac:dyDescent="0.25">
      <c r="A951" s="1">
        <v>1178</v>
      </c>
      <c r="B951" s="1" t="s">
        <v>577</v>
      </c>
      <c r="C951" s="1" t="s">
        <v>578</v>
      </c>
    </row>
    <row r="952" spans="1:3" x14ac:dyDescent="0.25">
      <c r="A952" s="1">
        <v>1179</v>
      </c>
      <c r="B952" s="1" t="s">
        <v>577</v>
      </c>
      <c r="C952" s="1" t="s">
        <v>578</v>
      </c>
    </row>
    <row r="953" spans="1:3" x14ac:dyDescent="0.25">
      <c r="A953" s="1">
        <v>1184</v>
      </c>
      <c r="B953" s="1" t="s">
        <v>577</v>
      </c>
      <c r="C953" s="1" t="s">
        <v>578</v>
      </c>
    </row>
    <row r="954" spans="1:3" x14ac:dyDescent="0.25">
      <c r="A954" s="1">
        <v>1195</v>
      </c>
      <c r="B954" s="1" t="s">
        <v>577</v>
      </c>
      <c r="C954" s="1" t="s">
        <v>578</v>
      </c>
    </row>
    <row r="955" spans="1:3" x14ac:dyDescent="0.25">
      <c r="A955" s="1">
        <v>1196</v>
      </c>
      <c r="B955" s="1" t="s">
        <v>577</v>
      </c>
      <c r="C955" s="1" t="s">
        <v>578</v>
      </c>
    </row>
    <row r="956" spans="1:3" x14ac:dyDescent="0.25">
      <c r="A956" s="1">
        <v>1230</v>
      </c>
      <c r="B956" s="1" t="s">
        <v>577</v>
      </c>
      <c r="C956" s="1" t="s">
        <v>578</v>
      </c>
    </row>
    <row r="957" spans="1:3" x14ac:dyDescent="0.25">
      <c r="A957" s="1">
        <v>1367</v>
      </c>
      <c r="B957" s="1" t="s">
        <v>577</v>
      </c>
      <c r="C957" s="1" t="s">
        <v>578</v>
      </c>
    </row>
    <row r="958" spans="1:3" x14ac:dyDescent="0.25">
      <c r="A958" s="1">
        <v>1368</v>
      </c>
      <c r="B958" s="1" t="s">
        <v>577</v>
      </c>
      <c r="C958" s="1" t="s">
        <v>578</v>
      </c>
    </row>
    <row r="959" spans="1:3" x14ac:dyDescent="0.25">
      <c r="A959" s="1">
        <v>1389</v>
      </c>
      <c r="B959" s="1" t="s">
        <v>577</v>
      </c>
      <c r="C959" s="1" t="s">
        <v>578</v>
      </c>
    </row>
    <row r="960" spans="1:3" x14ac:dyDescent="0.25">
      <c r="A960" s="1">
        <v>1391</v>
      </c>
      <c r="B960" s="1" t="s">
        <v>577</v>
      </c>
      <c r="C960" s="1" t="s">
        <v>578</v>
      </c>
    </row>
    <row r="961" spans="1:3" x14ac:dyDescent="0.25">
      <c r="A961" s="1">
        <v>1392</v>
      </c>
      <c r="B961" s="1" t="s">
        <v>577</v>
      </c>
      <c r="C961" s="1" t="s">
        <v>578</v>
      </c>
    </row>
    <row r="962" spans="1:3" x14ac:dyDescent="0.25">
      <c r="A962" s="1">
        <v>1394</v>
      </c>
      <c r="B962" s="1" t="s">
        <v>577</v>
      </c>
      <c r="C962" s="1" t="s">
        <v>578</v>
      </c>
    </row>
    <row r="963" spans="1:3" x14ac:dyDescent="0.25">
      <c r="A963" s="1">
        <v>1396</v>
      </c>
      <c r="B963" s="1" t="s">
        <v>577</v>
      </c>
      <c r="C963" s="1" t="s">
        <v>578</v>
      </c>
    </row>
    <row r="964" spans="1:3" x14ac:dyDescent="0.25">
      <c r="A964" s="1">
        <v>1444</v>
      </c>
      <c r="B964" s="1" t="s">
        <v>577</v>
      </c>
      <c r="C964" s="1" t="s">
        <v>578</v>
      </c>
    </row>
    <row r="965" spans="1:3" x14ac:dyDescent="0.25">
      <c r="A965" s="1">
        <v>1449</v>
      </c>
      <c r="B965" s="1" t="s">
        <v>577</v>
      </c>
      <c r="C965" s="1" t="s">
        <v>578</v>
      </c>
    </row>
    <row r="966" spans="1:3" x14ac:dyDescent="0.25">
      <c r="A966" s="1">
        <v>1490</v>
      </c>
      <c r="B966" s="1" t="s">
        <v>577</v>
      </c>
      <c r="C966" s="1" t="s">
        <v>578</v>
      </c>
    </row>
    <row r="967" spans="1:3" x14ac:dyDescent="0.25">
      <c r="A967" s="1">
        <v>1498</v>
      </c>
      <c r="B967" s="1" t="s">
        <v>577</v>
      </c>
      <c r="C967" s="1" t="s">
        <v>578</v>
      </c>
    </row>
    <row r="968" spans="1:3" x14ac:dyDescent="0.25">
      <c r="A968" s="1">
        <v>1499</v>
      </c>
      <c r="B968" s="1" t="s">
        <v>577</v>
      </c>
      <c r="C968" s="1" t="s">
        <v>578</v>
      </c>
    </row>
    <row r="969" spans="1:3" x14ac:dyDescent="0.25">
      <c r="A969" s="1">
        <v>1550</v>
      </c>
      <c r="B969" s="1" t="s">
        <v>577</v>
      </c>
      <c r="C969" s="1" t="s">
        <v>578</v>
      </c>
    </row>
    <row r="970" spans="1:3" x14ac:dyDescent="0.25">
      <c r="A970" s="1">
        <v>1600</v>
      </c>
      <c r="B970" s="1" t="s">
        <v>577</v>
      </c>
      <c r="C970" s="1" t="s">
        <v>578</v>
      </c>
    </row>
    <row r="971" spans="1:3" x14ac:dyDescent="0.25">
      <c r="A971" s="1">
        <v>1622</v>
      </c>
      <c r="B971" s="1" t="s">
        <v>577</v>
      </c>
      <c r="C971" s="1" t="s">
        <v>578</v>
      </c>
    </row>
    <row r="972" spans="1:3" x14ac:dyDescent="0.25">
      <c r="A972" s="1">
        <v>1623</v>
      </c>
      <c r="B972" s="1" t="s">
        <v>577</v>
      </c>
      <c r="C972" s="1" t="s">
        <v>578</v>
      </c>
    </row>
    <row r="973" spans="1:3" x14ac:dyDescent="0.25">
      <c r="A973" s="1">
        <v>1624</v>
      </c>
      <c r="B973" s="1" t="s">
        <v>577</v>
      </c>
      <c r="C973" s="1" t="s">
        <v>578</v>
      </c>
    </row>
    <row r="974" spans="1:3" x14ac:dyDescent="0.25">
      <c r="A974" s="1">
        <v>1625</v>
      </c>
      <c r="B974" s="1" t="s">
        <v>577</v>
      </c>
      <c r="C974" s="1" t="s">
        <v>578</v>
      </c>
    </row>
    <row r="975" spans="1:3" x14ac:dyDescent="0.25">
      <c r="A975" s="1">
        <v>1628</v>
      </c>
      <c r="B975" s="1" t="s">
        <v>577</v>
      </c>
      <c r="C975" s="1" t="s">
        <v>578</v>
      </c>
    </row>
    <row r="976" spans="1:3" x14ac:dyDescent="0.25">
      <c r="A976" s="1">
        <v>1639</v>
      </c>
      <c r="B976" s="1" t="s">
        <v>577</v>
      </c>
      <c r="C976" s="1" t="s">
        <v>578</v>
      </c>
    </row>
    <row r="977" spans="1:3" x14ac:dyDescent="0.25">
      <c r="A977" s="1">
        <v>1665</v>
      </c>
      <c r="B977" s="1" t="s">
        <v>577</v>
      </c>
      <c r="C977" s="1" t="s">
        <v>578</v>
      </c>
    </row>
    <row r="978" spans="1:3" x14ac:dyDescent="0.25">
      <c r="A978" s="1">
        <v>1692</v>
      </c>
      <c r="B978" s="1" t="s">
        <v>577</v>
      </c>
      <c r="C978" s="1" t="s">
        <v>578</v>
      </c>
    </row>
    <row r="979" spans="1:3" x14ac:dyDescent="0.25">
      <c r="A979" s="1">
        <v>1752</v>
      </c>
      <c r="B979" s="1" t="s">
        <v>577</v>
      </c>
      <c r="C979" s="1" t="s">
        <v>578</v>
      </c>
    </row>
    <row r="980" spans="1:3" x14ac:dyDescent="0.25">
      <c r="A980" s="1">
        <v>1770</v>
      </c>
      <c r="B980" s="1" t="s">
        <v>577</v>
      </c>
      <c r="C980" s="1" t="s">
        <v>578</v>
      </c>
    </row>
    <row r="981" spans="1:3" x14ac:dyDescent="0.25">
      <c r="A981" s="1">
        <v>1776</v>
      </c>
      <c r="B981" s="1" t="s">
        <v>577</v>
      </c>
      <c r="C981" s="1" t="s">
        <v>578</v>
      </c>
    </row>
    <row r="982" spans="1:3" x14ac:dyDescent="0.25">
      <c r="A982" s="1">
        <v>1785</v>
      </c>
      <c r="B982" s="1" t="s">
        <v>577</v>
      </c>
      <c r="C982" s="1" t="s">
        <v>578</v>
      </c>
    </row>
    <row r="983" spans="1:3" x14ac:dyDescent="0.25">
      <c r="A983" s="1">
        <v>1789</v>
      </c>
      <c r="B983" s="1" t="s">
        <v>577</v>
      </c>
      <c r="C983" s="1" t="s">
        <v>578</v>
      </c>
    </row>
    <row r="984" spans="1:3" x14ac:dyDescent="0.25">
      <c r="A984" s="1">
        <v>1801</v>
      </c>
      <c r="B984" s="1" t="s">
        <v>577</v>
      </c>
      <c r="C984" s="1" t="s">
        <v>578</v>
      </c>
    </row>
    <row r="985" spans="1:3" x14ac:dyDescent="0.25">
      <c r="A985" s="1">
        <v>1803</v>
      </c>
      <c r="B985" s="1" t="s">
        <v>577</v>
      </c>
      <c r="C985" s="1" t="s">
        <v>578</v>
      </c>
    </row>
    <row r="986" spans="1:3" x14ac:dyDescent="0.25">
      <c r="A986" s="1">
        <v>1821</v>
      </c>
      <c r="B986" s="1" t="s">
        <v>577</v>
      </c>
      <c r="C986" s="1" t="s">
        <v>578</v>
      </c>
    </row>
    <row r="987" spans="1:3" x14ac:dyDescent="0.25">
      <c r="A987" s="1">
        <v>1831</v>
      </c>
      <c r="B987" s="1" t="s">
        <v>577</v>
      </c>
      <c r="C987" s="1" t="s">
        <v>578</v>
      </c>
    </row>
    <row r="988" spans="1:3" x14ac:dyDescent="0.25">
      <c r="A988" s="1">
        <v>1848</v>
      </c>
      <c r="B988" s="1" t="s">
        <v>577</v>
      </c>
      <c r="C988" s="1" t="s">
        <v>578</v>
      </c>
    </row>
    <row r="989" spans="1:3" x14ac:dyDescent="0.25">
      <c r="A989" s="1">
        <v>1866</v>
      </c>
      <c r="B989" s="1" t="s">
        <v>577</v>
      </c>
      <c r="C989" s="1" t="s">
        <v>578</v>
      </c>
    </row>
    <row r="990" spans="1:3" x14ac:dyDescent="0.25">
      <c r="A990" s="1">
        <v>2023</v>
      </c>
      <c r="B990" s="1" t="s">
        <v>577</v>
      </c>
      <c r="C990" s="1" t="s">
        <v>578</v>
      </c>
    </row>
    <row r="991" spans="1:3" x14ac:dyDescent="0.25">
      <c r="A991" s="1">
        <v>2032</v>
      </c>
      <c r="B991" s="1" t="s">
        <v>577</v>
      </c>
      <c r="C991" s="1" t="s">
        <v>578</v>
      </c>
    </row>
    <row r="992" spans="1:3" x14ac:dyDescent="0.25">
      <c r="A992" s="1">
        <v>2044</v>
      </c>
      <c r="B992" s="1" t="s">
        <v>577</v>
      </c>
      <c r="C992" s="1" t="s">
        <v>578</v>
      </c>
    </row>
    <row r="993" spans="1:3" x14ac:dyDescent="0.25">
      <c r="A993" s="1">
        <v>2060</v>
      </c>
      <c r="B993" s="1" t="s">
        <v>577</v>
      </c>
      <c r="C993" s="1" t="s">
        <v>578</v>
      </c>
    </row>
    <row r="994" spans="1:3" x14ac:dyDescent="0.25">
      <c r="A994" s="1">
        <v>2069</v>
      </c>
      <c r="B994" s="1" t="s">
        <v>577</v>
      </c>
      <c r="C994" s="1" t="s">
        <v>578</v>
      </c>
    </row>
    <row r="995" spans="1:3" x14ac:dyDescent="0.25">
      <c r="A995" s="1">
        <v>2218</v>
      </c>
      <c r="B995" s="1" t="s">
        <v>577</v>
      </c>
      <c r="C995" s="1" t="s">
        <v>578</v>
      </c>
    </row>
    <row r="996" spans="1:3" x14ac:dyDescent="0.25">
      <c r="A996" s="1">
        <v>2316</v>
      </c>
      <c r="B996" s="1" t="s">
        <v>577</v>
      </c>
      <c r="C996" s="1" t="s">
        <v>578</v>
      </c>
    </row>
    <row r="997" spans="1:3" x14ac:dyDescent="0.25">
      <c r="A997" s="1">
        <v>2332</v>
      </c>
      <c r="B997" s="1" t="s">
        <v>577</v>
      </c>
      <c r="C997" s="1" t="s">
        <v>578</v>
      </c>
    </row>
    <row r="998" spans="1:3" x14ac:dyDescent="0.25">
      <c r="A998" s="1">
        <v>2476</v>
      </c>
      <c r="B998" s="1" t="s">
        <v>577</v>
      </c>
      <c r="C998" s="1" t="s">
        <v>578</v>
      </c>
    </row>
    <row r="999" spans="1:3" x14ac:dyDescent="0.25">
      <c r="A999" s="1">
        <v>2493</v>
      </c>
      <c r="B999" s="1" t="s">
        <v>577</v>
      </c>
      <c r="C999" s="1" t="s">
        <v>578</v>
      </c>
    </row>
    <row r="1000" spans="1:3" x14ac:dyDescent="0.25">
      <c r="A1000" s="1">
        <v>2508</v>
      </c>
      <c r="B1000" s="1" t="s">
        <v>577</v>
      </c>
      <c r="C1000" s="1" t="s">
        <v>578</v>
      </c>
    </row>
    <row r="1001" spans="1:3" x14ac:dyDescent="0.25">
      <c r="A1001" s="1">
        <v>2541</v>
      </c>
      <c r="B1001" s="1" t="s">
        <v>577</v>
      </c>
      <c r="C1001" s="1" t="s">
        <v>578</v>
      </c>
    </row>
    <row r="1002" spans="1:3" x14ac:dyDescent="0.25">
      <c r="A1002" s="1">
        <v>2587</v>
      </c>
      <c r="B1002" s="1" t="s">
        <v>577</v>
      </c>
      <c r="C1002" s="1" t="s">
        <v>578</v>
      </c>
    </row>
    <row r="1003" spans="1:3" x14ac:dyDescent="0.25">
      <c r="A1003" s="1">
        <v>2609</v>
      </c>
      <c r="B1003" s="1" t="s">
        <v>577</v>
      </c>
      <c r="C1003" s="1" t="s">
        <v>578</v>
      </c>
    </row>
    <row r="1004" spans="1:3" x14ac:dyDescent="0.25">
      <c r="A1004" s="1">
        <v>2651</v>
      </c>
      <c r="B1004" s="1" t="s">
        <v>577</v>
      </c>
      <c r="C1004" s="1" t="s">
        <v>578</v>
      </c>
    </row>
    <row r="1005" spans="1:3" x14ac:dyDescent="0.25">
      <c r="A1005" s="1">
        <v>2700</v>
      </c>
      <c r="B1005" s="1" t="s">
        <v>577</v>
      </c>
      <c r="C1005" s="1" t="s">
        <v>578</v>
      </c>
    </row>
    <row r="1006" spans="1:3" x14ac:dyDescent="0.25">
      <c r="A1006" s="1">
        <v>2713</v>
      </c>
      <c r="B1006" s="1" t="s">
        <v>577</v>
      </c>
      <c r="C1006" s="1" t="s">
        <v>578</v>
      </c>
    </row>
    <row r="1007" spans="1:3" x14ac:dyDescent="0.25">
      <c r="A1007" s="1">
        <v>2717</v>
      </c>
      <c r="B1007" s="1" t="s">
        <v>577</v>
      </c>
      <c r="C1007" s="1" t="s">
        <v>578</v>
      </c>
    </row>
    <row r="1008" spans="1:3" x14ac:dyDescent="0.25">
      <c r="A1008" s="1">
        <v>2722</v>
      </c>
      <c r="B1008" s="1" t="s">
        <v>577</v>
      </c>
      <c r="C1008" s="1" t="s">
        <v>578</v>
      </c>
    </row>
    <row r="1009" spans="1:3" x14ac:dyDescent="0.25">
      <c r="A1009" s="1">
        <v>2761</v>
      </c>
      <c r="B1009" s="1" t="s">
        <v>577</v>
      </c>
      <c r="C1009" s="1" t="s">
        <v>578</v>
      </c>
    </row>
    <row r="1010" spans="1:3" x14ac:dyDescent="0.25">
      <c r="A1010" s="1">
        <v>2796</v>
      </c>
      <c r="B1010" s="1" t="s">
        <v>577</v>
      </c>
      <c r="C1010" s="1" t="s">
        <v>578</v>
      </c>
    </row>
    <row r="1011" spans="1:3" x14ac:dyDescent="0.25">
      <c r="A1011" s="1">
        <v>2858</v>
      </c>
      <c r="B1011" s="1" t="s">
        <v>577</v>
      </c>
      <c r="C1011" s="1" t="s">
        <v>578</v>
      </c>
    </row>
    <row r="1012" spans="1:3" x14ac:dyDescent="0.25">
      <c r="A1012" s="1">
        <v>2875</v>
      </c>
      <c r="B1012" s="1" t="s">
        <v>577</v>
      </c>
      <c r="C1012" s="1" t="s">
        <v>578</v>
      </c>
    </row>
    <row r="1013" spans="1:3" x14ac:dyDescent="0.25">
      <c r="A1013" s="1">
        <v>2899</v>
      </c>
      <c r="B1013" s="1" t="s">
        <v>577</v>
      </c>
      <c r="C1013" s="1" t="s">
        <v>578</v>
      </c>
    </row>
    <row r="1014" spans="1:3" x14ac:dyDescent="0.25">
      <c r="A1014" s="1">
        <v>2916</v>
      </c>
      <c r="B1014" s="1" t="s">
        <v>577</v>
      </c>
      <c r="C1014" s="1" t="s">
        <v>578</v>
      </c>
    </row>
    <row r="1015" spans="1:3" x14ac:dyDescent="0.25">
      <c r="A1015" s="1">
        <v>2928</v>
      </c>
      <c r="B1015" s="1" t="s">
        <v>577</v>
      </c>
      <c r="C1015" s="1" t="s">
        <v>578</v>
      </c>
    </row>
    <row r="1016" spans="1:3" x14ac:dyDescent="0.25">
      <c r="A1016" s="1">
        <v>2932</v>
      </c>
      <c r="B1016" s="1" t="s">
        <v>577</v>
      </c>
      <c r="C1016" s="1" t="s">
        <v>578</v>
      </c>
    </row>
    <row r="1017" spans="1:3" x14ac:dyDescent="0.25">
      <c r="A1017" s="1">
        <v>2933</v>
      </c>
      <c r="B1017" s="1" t="s">
        <v>577</v>
      </c>
      <c r="C1017" s="1" t="s">
        <v>578</v>
      </c>
    </row>
    <row r="1018" spans="1:3" x14ac:dyDescent="0.25">
      <c r="A1018" s="1">
        <v>2937</v>
      </c>
      <c r="B1018" s="1" t="s">
        <v>577</v>
      </c>
      <c r="C1018" s="1" t="s">
        <v>578</v>
      </c>
    </row>
    <row r="1019" spans="1:3" x14ac:dyDescent="0.25">
      <c r="A1019" s="1">
        <v>2976</v>
      </c>
      <c r="B1019" s="1" t="s">
        <v>577</v>
      </c>
      <c r="C1019" s="1" t="s">
        <v>578</v>
      </c>
    </row>
    <row r="1020" spans="1:3" x14ac:dyDescent="0.25">
      <c r="A1020" s="1">
        <v>2982</v>
      </c>
      <c r="B1020" s="1" t="s">
        <v>577</v>
      </c>
      <c r="C1020" s="1" t="s">
        <v>578</v>
      </c>
    </row>
    <row r="1021" spans="1:3" x14ac:dyDescent="0.25">
      <c r="A1021" s="1">
        <v>2989</v>
      </c>
      <c r="B1021" s="1" t="s">
        <v>577</v>
      </c>
      <c r="C1021" s="1" t="s">
        <v>578</v>
      </c>
    </row>
    <row r="1022" spans="1:3" x14ac:dyDescent="0.25">
      <c r="A1022" s="1">
        <v>2990</v>
      </c>
      <c r="B1022" s="1" t="s">
        <v>577</v>
      </c>
      <c r="C1022" s="1" t="s">
        <v>578</v>
      </c>
    </row>
    <row r="1023" spans="1:3" x14ac:dyDescent="0.25">
      <c r="A1023" s="1">
        <v>2992</v>
      </c>
      <c r="B1023" s="1" t="s">
        <v>577</v>
      </c>
      <c r="C1023" s="1" t="s">
        <v>578</v>
      </c>
    </row>
    <row r="1024" spans="1:3" x14ac:dyDescent="0.25">
      <c r="A1024" s="1">
        <v>2993</v>
      </c>
      <c r="B1024" s="1" t="s">
        <v>577</v>
      </c>
      <c r="C1024" s="1" t="s">
        <v>578</v>
      </c>
    </row>
    <row r="1025" spans="1:3" x14ac:dyDescent="0.25">
      <c r="A1025" s="1">
        <v>2994</v>
      </c>
      <c r="B1025" s="1" t="s">
        <v>577</v>
      </c>
      <c r="C1025" s="1" t="s">
        <v>578</v>
      </c>
    </row>
    <row r="1026" spans="1:3" x14ac:dyDescent="0.25">
      <c r="A1026" s="1">
        <v>2995</v>
      </c>
      <c r="B1026" s="1" t="s">
        <v>577</v>
      </c>
      <c r="C1026" s="1" t="s">
        <v>578</v>
      </c>
    </row>
    <row r="1027" spans="1:3" x14ac:dyDescent="0.25">
      <c r="A1027" s="1">
        <v>3012</v>
      </c>
      <c r="B1027" s="1" t="s">
        <v>577</v>
      </c>
      <c r="C1027" s="1" t="s">
        <v>578</v>
      </c>
    </row>
    <row r="1028" spans="1:3" x14ac:dyDescent="0.25">
      <c r="A1028" s="1">
        <v>3013</v>
      </c>
      <c r="B1028" s="1" t="s">
        <v>577</v>
      </c>
      <c r="C1028" s="1" t="s">
        <v>578</v>
      </c>
    </row>
    <row r="1029" spans="1:3" x14ac:dyDescent="0.25">
      <c r="A1029" s="1">
        <v>3014</v>
      </c>
      <c r="B1029" s="1" t="s">
        <v>577</v>
      </c>
      <c r="C1029" s="1" t="s">
        <v>578</v>
      </c>
    </row>
    <row r="1030" spans="1:3" x14ac:dyDescent="0.25">
      <c r="A1030" s="1">
        <v>3036</v>
      </c>
      <c r="B1030" s="1" t="s">
        <v>577</v>
      </c>
      <c r="C1030" s="1" t="s">
        <v>578</v>
      </c>
    </row>
    <row r="1031" spans="1:3" x14ac:dyDescent="0.25">
      <c r="A1031" s="1">
        <v>3043</v>
      </c>
      <c r="B1031" s="1" t="s">
        <v>577</v>
      </c>
      <c r="C1031" s="1" t="s">
        <v>578</v>
      </c>
    </row>
    <row r="1032" spans="1:3" x14ac:dyDescent="0.25">
      <c r="A1032" s="1">
        <v>3045</v>
      </c>
      <c r="B1032" s="1" t="s">
        <v>577</v>
      </c>
      <c r="C1032" s="1" t="s">
        <v>578</v>
      </c>
    </row>
    <row r="1033" spans="1:3" x14ac:dyDescent="0.25">
      <c r="A1033" s="1">
        <v>3046</v>
      </c>
      <c r="B1033" s="1" t="s">
        <v>577</v>
      </c>
      <c r="C1033" s="1" t="s">
        <v>578</v>
      </c>
    </row>
    <row r="1034" spans="1:3" x14ac:dyDescent="0.25">
      <c r="A1034" s="1">
        <v>3074</v>
      </c>
      <c r="B1034" s="1" t="s">
        <v>577</v>
      </c>
      <c r="C1034" s="1" t="s">
        <v>578</v>
      </c>
    </row>
    <row r="1035" spans="1:3" x14ac:dyDescent="0.25">
      <c r="A1035" s="1">
        <v>3075</v>
      </c>
      <c r="B1035" s="1" t="s">
        <v>577</v>
      </c>
      <c r="C1035" s="1" t="s">
        <v>578</v>
      </c>
    </row>
    <row r="1036" spans="1:3" x14ac:dyDescent="0.25">
      <c r="A1036" s="1">
        <v>3104</v>
      </c>
      <c r="B1036" s="1" t="s">
        <v>577</v>
      </c>
      <c r="C1036" s="1" t="s">
        <v>578</v>
      </c>
    </row>
    <row r="1037" spans="1:3" x14ac:dyDescent="0.25">
      <c r="A1037" s="1">
        <v>3113</v>
      </c>
      <c r="B1037" s="1" t="s">
        <v>577</v>
      </c>
      <c r="C1037" s="1" t="s">
        <v>578</v>
      </c>
    </row>
    <row r="1038" spans="1:3" x14ac:dyDescent="0.25">
      <c r="A1038" s="1">
        <v>3145</v>
      </c>
      <c r="B1038" s="1" t="s">
        <v>577</v>
      </c>
      <c r="C1038" s="1" t="s">
        <v>578</v>
      </c>
    </row>
    <row r="1039" spans="1:3" x14ac:dyDescent="0.25">
      <c r="A1039" s="1">
        <v>3147</v>
      </c>
      <c r="B1039" s="1" t="s">
        <v>577</v>
      </c>
      <c r="C1039" s="1" t="s">
        <v>578</v>
      </c>
    </row>
    <row r="1040" spans="1:3" x14ac:dyDescent="0.25">
      <c r="A1040" s="1">
        <v>3154</v>
      </c>
      <c r="B1040" s="1" t="s">
        <v>577</v>
      </c>
      <c r="C1040" s="1" t="s">
        <v>578</v>
      </c>
    </row>
    <row r="1041" spans="1:3" x14ac:dyDescent="0.25">
      <c r="A1041" s="1">
        <v>3175</v>
      </c>
      <c r="B1041" s="1" t="s">
        <v>577</v>
      </c>
      <c r="C1041" s="1" t="s">
        <v>578</v>
      </c>
    </row>
    <row r="1042" spans="1:3" x14ac:dyDescent="0.25">
      <c r="A1042" s="1">
        <v>3177</v>
      </c>
      <c r="B1042" s="1" t="s">
        <v>577</v>
      </c>
      <c r="C1042" s="1" t="s">
        <v>578</v>
      </c>
    </row>
    <row r="1043" spans="1:3" x14ac:dyDescent="0.25">
      <c r="A1043" s="1">
        <v>3308</v>
      </c>
      <c r="B1043" s="1" t="s">
        <v>577</v>
      </c>
      <c r="C1043" s="1" t="s">
        <v>578</v>
      </c>
    </row>
    <row r="1044" spans="1:3" x14ac:dyDescent="0.25">
      <c r="A1044" s="1">
        <v>3332</v>
      </c>
      <c r="B1044" s="1" t="s">
        <v>577</v>
      </c>
      <c r="C1044" s="1" t="s">
        <v>578</v>
      </c>
    </row>
    <row r="1045" spans="1:3" x14ac:dyDescent="0.25">
      <c r="A1045" s="1">
        <v>5</v>
      </c>
      <c r="B1045" s="1" t="s">
        <v>575</v>
      </c>
      <c r="C1045" s="1" t="s">
        <v>576</v>
      </c>
    </row>
    <row r="1046" spans="1:3" x14ac:dyDescent="0.25">
      <c r="A1046" s="1">
        <v>6</v>
      </c>
      <c r="B1046" s="1" t="s">
        <v>575</v>
      </c>
      <c r="C1046" s="1" t="s">
        <v>576</v>
      </c>
    </row>
    <row r="1047" spans="1:3" x14ac:dyDescent="0.25">
      <c r="A1047" s="1">
        <v>7</v>
      </c>
      <c r="B1047" s="1" t="s">
        <v>575</v>
      </c>
      <c r="C1047" s="1" t="s">
        <v>576</v>
      </c>
    </row>
    <row r="1048" spans="1:3" x14ac:dyDescent="0.25">
      <c r="A1048" s="1">
        <v>8</v>
      </c>
      <c r="B1048" s="1" t="s">
        <v>575</v>
      </c>
      <c r="C1048" s="1" t="s">
        <v>576</v>
      </c>
    </row>
    <row r="1049" spans="1:3" x14ac:dyDescent="0.25">
      <c r="A1049" s="1">
        <v>9</v>
      </c>
      <c r="B1049" s="1" t="s">
        <v>575</v>
      </c>
      <c r="C1049" s="1" t="s">
        <v>576</v>
      </c>
    </row>
    <row r="1050" spans="1:3" x14ac:dyDescent="0.25">
      <c r="A1050" s="1">
        <v>41</v>
      </c>
      <c r="B1050" s="1" t="s">
        <v>575</v>
      </c>
      <c r="C1050" s="1" t="s">
        <v>576</v>
      </c>
    </row>
    <row r="1051" spans="1:3" x14ac:dyDescent="0.25">
      <c r="A1051" s="1">
        <v>42</v>
      </c>
      <c r="B1051" s="1" t="s">
        <v>575</v>
      </c>
      <c r="C1051" s="1" t="s">
        <v>576</v>
      </c>
    </row>
    <row r="1052" spans="1:3" x14ac:dyDescent="0.25">
      <c r="A1052" s="1">
        <v>43</v>
      </c>
      <c r="B1052" s="1" t="s">
        <v>575</v>
      </c>
      <c r="C1052" s="1" t="s">
        <v>576</v>
      </c>
    </row>
    <row r="1053" spans="1:3" x14ac:dyDescent="0.25">
      <c r="A1053" s="1">
        <v>51</v>
      </c>
      <c r="B1053" s="1" t="s">
        <v>575</v>
      </c>
      <c r="C1053" s="1" t="s">
        <v>576</v>
      </c>
    </row>
    <row r="1054" spans="1:3" x14ac:dyDescent="0.25">
      <c r="A1054" s="1">
        <v>54</v>
      </c>
      <c r="B1054" s="1" t="s">
        <v>575</v>
      </c>
      <c r="C1054" s="1" t="s">
        <v>576</v>
      </c>
    </row>
    <row r="1055" spans="1:3" x14ac:dyDescent="0.25">
      <c r="A1055" s="1">
        <v>160</v>
      </c>
      <c r="B1055" s="1" t="s">
        <v>575</v>
      </c>
      <c r="C1055" s="1" t="s">
        <v>576</v>
      </c>
    </row>
    <row r="1056" spans="1:3" x14ac:dyDescent="0.25">
      <c r="A1056" s="1">
        <v>161</v>
      </c>
      <c r="B1056" s="1" t="s">
        <v>575</v>
      </c>
      <c r="C1056" s="1" t="s">
        <v>576</v>
      </c>
    </row>
    <row r="1057" spans="1:3" x14ac:dyDescent="0.25">
      <c r="A1057" s="1">
        <v>162</v>
      </c>
      <c r="B1057" s="1" t="s">
        <v>575</v>
      </c>
      <c r="C1057" s="1" t="s">
        <v>576</v>
      </c>
    </row>
    <row r="1058" spans="1:3" x14ac:dyDescent="0.25">
      <c r="A1058" s="1">
        <v>163</v>
      </c>
      <c r="B1058" s="1" t="s">
        <v>575</v>
      </c>
      <c r="C1058" s="1" t="s">
        <v>576</v>
      </c>
    </row>
    <row r="1059" spans="1:3" x14ac:dyDescent="0.25">
      <c r="A1059" s="1">
        <v>164</v>
      </c>
      <c r="B1059" s="1" t="s">
        <v>575</v>
      </c>
      <c r="C1059" s="1" t="s">
        <v>576</v>
      </c>
    </row>
    <row r="1060" spans="1:3" x14ac:dyDescent="0.25">
      <c r="A1060" s="1">
        <v>165</v>
      </c>
      <c r="B1060" s="1" t="s">
        <v>575</v>
      </c>
      <c r="C1060" s="1" t="s">
        <v>576</v>
      </c>
    </row>
    <row r="1061" spans="1:3" x14ac:dyDescent="0.25">
      <c r="A1061" s="1">
        <v>176</v>
      </c>
      <c r="B1061" s="1" t="s">
        <v>575</v>
      </c>
      <c r="C1061" s="1" t="s">
        <v>576</v>
      </c>
    </row>
    <row r="1062" spans="1:3" x14ac:dyDescent="0.25">
      <c r="A1062" s="1">
        <v>179</v>
      </c>
      <c r="B1062" s="1" t="s">
        <v>575</v>
      </c>
      <c r="C1062" s="1" t="s">
        <v>576</v>
      </c>
    </row>
    <row r="1063" spans="1:3" x14ac:dyDescent="0.25">
      <c r="A1063" s="1">
        <v>181</v>
      </c>
      <c r="B1063" s="1" t="s">
        <v>575</v>
      </c>
      <c r="C1063" s="1" t="s">
        <v>576</v>
      </c>
    </row>
    <row r="1064" spans="1:3" x14ac:dyDescent="0.25">
      <c r="A1064" s="1">
        <v>182</v>
      </c>
      <c r="B1064" s="1" t="s">
        <v>575</v>
      </c>
      <c r="C1064" s="1" t="s">
        <v>576</v>
      </c>
    </row>
    <row r="1065" spans="1:3" x14ac:dyDescent="0.25">
      <c r="A1065" s="1">
        <v>189</v>
      </c>
      <c r="B1065" s="1" t="s">
        <v>575</v>
      </c>
      <c r="C1065" s="1" t="s">
        <v>576</v>
      </c>
    </row>
    <row r="1066" spans="1:3" x14ac:dyDescent="0.25">
      <c r="A1066" s="1">
        <v>260</v>
      </c>
      <c r="B1066" s="1" t="s">
        <v>575</v>
      </c>
      <c r="C1066" s="1" t="s">
        <v>576</v>
      </c>
    </row>
    <row r="1067" spans="1:3" x14ac:dyDescent="0.25">
      <c r="A1067" s="1">
        <v>262</v>
      </c>
      <c r="B1067" s="1" t="s">
        <v>575</v>
      </c>
      <c r="C1067" s="1" t="s">
        <v>576</v>
      </c>
    </row>
    <row r="1068" spans="1:3" x14ac:dyDescent="0.25">
      <c r="A1068" s="1">
        <v>263</v>
      </c>
      <c r="B1068" s="1" t="s">
        <v>575</v>
      </c>
      <c r="C1068" s="1" t="s">
        <v>576</v>
      </c>
    </row>
    <row r="1069" spans="1:3" x14ac:dyDescent="0.25">
      <c r="A1069" s="1">
        <v>264</v>
      </c>
      <c r="B1069" s="1" t="s">
        <v>575</v>
      </c>
      <c r="C1069" s="1" t="s">
        <v>576</v>
      </c>
    </row>
    <row r="1070" spans="1:3" x14ac:dyDescent="0.25">
      <c r="A1070" s="1">
        <v>307</v>
      </c>
      <c r="B1070" s="1" t="s">
        <v>575</v>
      </c>
      <c r="C1070" s="1" t="s">
        <v>576</v>
      </c>
    </row>
    <row r="1071" spans="1:3" x14ac:dyDescent="0.25">
      <c r="A1071" s="1">
        <v>308</v>
      </c>
      <c r="B1071" s="1" t="s">
        <v>575</v>
      </c>
      <c r="C1071" s="1" t="s">
        <v>576</v>
      </c>
    </row>
    <row r="1072" spans="1:3" x14ac:dyDescent="0.25">
      <c r="A1072" s="1">
        <v>309</v>
      </c>
      <c r="B1072" s="1" t="s">
        <v>575</v>
      </c>
      <c r="C1072" s="1" t="s">
        <v>576</v>
      </c>
    </row>
    <row r="1073" spans="1:3" x14ac:dyDescent="0.25">
      <c r="A1073" s="1">
        <v>310</v>
      </c>
      <c r="B1073" s="1" t="s">
        <v>575</v>
      </c>
      <c r="C1073" s="1" t="s">
        <v>576</v>
      </c>
    </row>
    <row r="1074" spans="1:3" x14ac:dyDescent="0.25">
      <c r="A1074" s="1">
        <v>328</v>
      </c>
      <c r="B1074" s="1" t="s">
        <v>575</v>
      </c>
      <c r="C1074" s="1" t="s">
        <v>576</v>
      </c>
    </row>
    <row r="1075" spans="1:3" x14ac:dyDescent="0.25">
      <c r="A1075" s="1">
        <v>330</v>
      </c>
      <c r="B1075" s="1" t="s">
        <v>575</v>
      </c>
      <c r="C1075" s="1" t="s">
        <v>576</v>
      </c>
    </row>
    <row r="1076" spans="1:3" x14ac:dyDescent="0.25">
      <c r="A1076" s="1">
        <v>331</v>
      </c>
      <c r="B1076" s="1" t="s">
        <v>575</v>
      </c>
      <c r="C1076" s="1" t="s">
        <v>576</v>
      </c>
    </row>
    <row r="1077" spans="1:3" x14ac:dyDescent="0.25">
      <c r="A1077" s="1">
        <v>371</v>
      </c>
      <c r="B1077" s="1" t="s">
        <v>575</v>
      </c>
      <c r="C1077" s="1" t="s">
        <v>576</v>
      </c>
    </row>
    <row r="1078" spans="1:3" x14ac:dyDescent="0.25">
      <c r="A1078" s="1">
        <v>376</v>
      </c>
      <c r="B1078" s="1" t="s">
        <v>575</v>
      </c>
      <c r="C1078" s="1" t="s">
        <v>576</v>
      </c>
    </row>
    <row r="1079" spans="1:3" x14ac:dyDescent="0.25">
      <c r="A1079" s="1">
        <v>446</v>
      </c>
      <c r="B1079" s="1" t="s">
        <v>575</v>
      </c>
      <c r="C1079" s="1" t="s">
        <v>576</v>
      </c>
    </row>
    <row r="1080" spans="1:3" x14ac:dyDescent="0.25">
      <c r="A1080" s="1">
        <v>447</v>
      </c>
      <c r="B1080" s="1" t="s">
        <v>575</v>
      </c>
      <c r="C1080" s="1" t="s">
        <v>576</v>
      </c>
    </row>
    <row r="1081" spans="1:3" x14ac:dyDescent="0.25">
      <c r="A1081" s="1">
        <v>449</v>
      </c>
      <c r="B1081" s="1" t="s">
        <v>575</v>
      </c>
      <c r="C1081" s="1" t="s">
        <v>576</v>
      </c>
    </row>
    <row r="1082" spans="1:3" x14ac:dyDescent="0.25">
      <c r="A1082" s="1">
        <v>450</v>
      </c>
      <c r="B1082" s="1" t="s">
        <v>575</v>
      </c>
      <c r="C1082" s="1" t="s">
        <v>576</v>
      </c>
    </row>
    <row r="1083" spans="1:3" x14ac:dyDescent="0.25">
      <c r="A1083" s="1">
        <v>451</v>
      </c>
      <c r="B1083" s="1" t="s">
        <v>575</v>
      </c>
      <c r="C1083" s="1" t="s">
        <v>576</v>
      </c>
    </row>
    <row r="1084" spans="1:3" x14ac:dyDescent="0.25">
      <c r="A1084" s="1">
        <v>452</v>
      </c>
      <c r="B1084" s="1" t="s">
        <v>575</v>
      </c>
      <c r="C1084" s="1" t="s">
        <v>576</v>
      </c>
    </row>
    <row r="1085" spans="1:3" x14ac:dyDescent="0.25">
      <c r="A1085" s="1">
        <v>453</v>
      </c>
      <c r="B1085" s="1" t="s">
        <v>575</v>
      </c>
      <c r="C1085" s="1" t="s">
        <v>576</v>
      </c>
    </row>
    <row r="1086" spans="1:3" x14ac:dyDescent="0.25">
      <c r="A1086" s="1">
        <v>454</v>
      </c>
      <c r="B1086" s="1" t="s">
        <v>575</v>
      </c>
      <c r="C1086" s="1" t="s">
        <v>576</v>
      </c>
    </row>
    <row r="1087" spans="1:3" x14ac:dyDescent="0.25">
      <c r="A1087" s="1">
        <v>455</v>
      </c>
      <c r="B1087" s="1" t="s">
        <v>575</v>
      </c>
      <c r="C1087" s="1" t="s">
        <v>576</v>
      </c>
    </row>
    <row r="1088" spans="1:3" x14ac:dyDescent="0.25">
      <c r="A1088" s="1">
        <v>456</v>
      </c>
      <c r="B1088" s="1" t="s">
        <v>575</v>
      </c>
      <c r="C1088" s="1" t="s">
        <v>576</v>
      </c>
    </row>
    <row r="1089" spans="1:3" x14ac:dyDescent="0.25">
      <c r="A1089" s="1">
        <v>457</v>
      </c>
      <c r="B1089" s="1" t="s">
        <v>575</v>
      </c>
      <c r="C1089" s="1" t="s">
        <v>576</v>
      </c>
    </row>
    <row r="1090" spans="1:3" x14ac:dyDescent="0.25">
      <c r="A1090" s="1">
        <v>458</v>
      </c>
      <c r="B1090" s="1" t="s">
        <v>575</v>
      </c>
      <c r="C1090" s="1" t="s">
        <v>576</v>
      </c>
    </row>
    <row r="1091" spans="1:3" x14ac:dyDescent="0.25">
      <c r="A1091" s="1">
        <v>459</v>
      </c>
      <c r="B1091" s="1" t="s">
        <v>575</v>
      </c>
      <c r="C1091" s="1" t="s">
        <v>576</v>
      </c>
    </row>
    <row r="1092" spans="1:3" x14ac:dyDescent="0.25">
      <c r="A1092" s="1">
        <v>460</v>
      </c>
      <c r="B1092" s="1" t="s">
        <v>575</v>
      </c>
      <c r="C1092" s="1" t="s">
        <v>576</v>
      </c>
    </row>
    <row r="1093" spans="1:3" x14ac:dyDescent="0.25">
      <c r="A1093" s="1">
        <v>461</v>
      </c>
      <c r="B1093" s="1" t="s">
        <v>575</v>
      </c>
      <c r="C1093" s="1" t="s">
        <v>576</v>
      </c>
    </row>
    <row r="1094" spans="1:3" x14ac:dyDescent="0.25">
      <c r="A1094" s="1">
        <v>462</v>
      </c>
      <c r="B1094" s="1" t="s">
        <v>575</v>
      </c>
      <c r="C1094" s="1" t="s">
        <v>576</v>
      </c>
    </row>
    <row r="1095" spans="1:3" x14ac:dyDescent="0.25">
      <c r="A1095" s="1">
        <v>463</v>
      </c>
      <c r="B1095" s="1" t="s">
        <v>575</v>
      </c>
      <c r="C1095" s="1" t="s">
        <v>576</v>
      </c>
    </row>
    <row r="1096" spans="1:3" x14ac:dyDescent="0.25">
      <c r="A1096" s="1">
        <v>464</v>
      </c>
      <c r="B1096" s="1" t="s">
        <v>575</v>
      </c>
      <c r="C1096" s="1" t="s">
        <v>576</v>
      </c>
    </row>
    <row r="1097" spans="1:3" x14ac:dyDescent="0.25">
      <c r="A1097" s="1">
        <v>465</v>
      </c>
      <c r="B1097" s="1" t="s">
        <v>575</v>
      </c>
      <c r="C1097" s="1" t="s">
        <v>576</v>
      </c>
    </row>
    <row r="1098" spans="1:3" x14ac:dyDescent="0.25">
      <c r="A1098" s="1">
        <v>466</v>
      </c>
      <c r="B1098" s="1" t="s">
        <v>575</v>
      </c>
      <c r="C1098" s="1" t="s">
        <v>576</v>
      </c>
    </row>
    <row r="1099" spans="1:3" x14ac:dyDescent="0.25">
      <c r="A1099" s="1">
        <v>468</v>
      </c>
      <c r="B1099" s="1" t="s">
        <v>575</v>
      </c>
      <c r="C1099" s="1" t="s">
        <v>576</v>
      </c>
    </row>
    <row r="1100" spans="1:3" x14ac:dyDescent="0.25">
      <c r="A1100" s="1">
        <v>469</v>
      </c>
      <c r="B1100" s="1" t="s">
        <v>575</v>
      </c>
      <c r="C1100" s="1" t="s">
        <v>576</v>
      </c>
    </row>
    <row r="1101" spans="1:3" x14ac:dyDescent="0.25">
      <c r="A1101" s="1">
        <v>470</v>
      </c>
      <c r="B1101" s="1" t="s">
        <v>575</v>
      </c>
      <c r="C1101" s="1" t="s">
        <v>576</v>
      </c>
    </row>
    <row r="1102" spans="1:3" x14ac:dyDescent="0.25">
      <c r="A1102" s="1">
        <v>471</v>
      </c>
      <c r="B1102" s="1" t="s">
        <v>575</v>
      </c>
      <c r="C1102" s="1" t="s">
        <v>576</v>
      </c>
    </row>
    <row r="1103" spans="1:3" x14ac:dyDescent="0.25">
      <c r="A1103" s="1">
        <v>472</v>
      </c>
      <c r="B1103" s="1" t="s">
        <v>575</v>
      </c>
      <c r="C1103" s="1" t="s">
        <v>576</v>
      </c>
    </row>
    <row r="1104" spans="1:3" x14ac:dyDescent="0.25">
      <c r="A1104" s="1">
        <v>473</v>
      </c>
      <c r="B1104" s="1" t="s">
        <v>575</v>
      </c>
      <c r="C1104" s="1" t="s">
        <v>576</v>
      </c>
    </row>
    <row r="1105" spans="1:3" x14ac:dyDescent="0.25">
      <c r="A1105" s="1">
        <v>474</v>
      </c>
      <c r="B1105" s="1" t="s">
        <v>575</v>
      </c>
      <c r="C1105" s="1" t="s">
        <v>576</v>
      </c>
    </row>
    <row r="1106" spans="1:3" x14ac:dyDescent="0.25">
      <c r="A1106" s="1">
        <v>475</v>
      </c>
      <c r="B1106" s="1" t="s">
        <v>575</v>
      </c>
      <c r="C1106" s="1" t="s">
        <v>576</v>
      </c>
    </row>
    <row r="1107" spans="1:3" x14ac:dyDescent="0.25">
      <c r="A1107" s="1">
        <v>476</v>
      </c>
      <c r="B1107" s="1" t="s">
        <v>575</v>
      </c>
      <c r="C1107" s="1" t="s">
        <v>576</v>
      </c>
    </row>
    <row r="1108" spans="1:3" x14ac:dyDescent="0.25">
      <c r="A1108" s="1">
        <v>477</v>
      </c>
      <c r="B1108" s="1" t="s">
        <v>575</v>
      </c>
      <c r="C1108" s="1" t="s">
        <v>576</v>
      </c>
    </row>
    <row r="1109" spans="1:3" x14ac:dyDescent="0.25">
      <c r="A1109" s="1">
        <v>479</v>
      </c>
      <c r="B1109" s="1" t="s">
        <v>575</v>
      </c>
      <c r="C1109" s="1" t="s">
        <v>576</v>
      </c>
    </row>
    <row r="1110" spans="1:3" x14ac:dyDescent="0.25">
      <c r="A1110" s="1">
        <v>481</v>
      </c>
      <c r="B1110" s="1" t="s">
        <v>575</v>
      </c>
      <c r="C1110" s="1" t="s">
        <v>576</v>
      </c>
    </row>
    <row r="1111" spans="1:3" x14ac:dyDescent="0.25">
      <c r="A1111" s="1">
        <v>482</v>
      </c>
      <c r="B1111" s="1" t="s">
        <v>575</v>
      </c>
      <c r="C1111" s="1" t="s">
        <v>576</v>
      </c>
    </row>
    <row r="1112" spans="1:3" x14ac:dyDescent="0.25">
      <c r="A1112" s="1">
        <v>483</v>
      </c>
      <c r="B1112" s="1" t="s">
        <v>575</v>
      </c>
      <c r="C1112" s="1" t="s">
        <v>576</v>
      </c>
    </row>
    <row r="1113" spans="1:3" x14ac:dyDescent="0.25">
      <c r="A1113" s="1">
        <v>485</v>
      </c>
      <c r="B1113" s="1" t="s">
        <v>575</v>
      </c>
      <c r="C1113" s="1" t="s">
        <v>576</v>
      </c>
    </row>
    <row r="1114" spans="1:3" x14ac:dyDescent="0.25">
      <c r="A1114" s="1">
        <v>486</v>
      </c>
      <c r="B1114" s="1" t="s">
        <v>575</v>
      </c>
      <c r="C1114" s="1" t="s">
        <v>576</v>
      </c>
    </row>
    <row r="1115" spans="1:3" x14ac:dyDescent="0.25">
      <c r="A1115" s="1">
        <v>488</v>
      </c>
      <c r="B1115" s="1" t="s">
        <v>575</v>
      </c>
      <c r="C1115" s="1" t="s">
        <v>576</v>
      </c>
    </row>
    <row r="1116" spans="1:3" x14ac:dyDescent="0.25">
      <c r="A1116" s="1">
        <v>489</v>
      </c>
      <c r="B1116" s="1" t="s">
        <v>575</v>
      </c>
      <c r="C1116" s="1" t="s">
        <v>576</v>
      </c>
    </row>
    <row r="1117" spans="1:3" x14ac:dyDescent="0.25">
      <c r="A1117" s="1">
        <v>490</v>
      </c>
      <c r="B1117" s="1" t="s">
        <v>575</v>
      </c>
      <c r="C1117" s="1" t="s">
        <v>576</v>
      </c>
    </row>
    <row r="1118" spans="1:3" x14ac:dyDescent="0.25">
      <c r="A1118" s="1">
        <v>503</v>
      </c>
      <c r="B1118" s="1" t="s">
        <v>575</v>
      </c>
      <c r="C1118" s="1" t="s">
        <v>576</v>
      </c>
    </row>
    <row r="1119" spans="1:3" x14ac:dyDescent="0.25">
      <c r="A1119" s="1">
        <v>504</v>
      </c>
      <c r="B1119" s="1" t="s">
        <v>575</v>
      </c>
      <c r="C1119" s="1" t="s">
        <v>576</v>
      </c>
    </row>
    <row r="1120" spans="1:3" x14ac:dyDescent="0.25">
      <c r="A1120" s="1">
        <v>505</v>
      </c>
      <c r="B1120" s="1" t="s">
        <v>575</v>
      </c>
      <c r="C1120" s="1" t="s">
        <v>576</v>
      </c>
    </row>
    <row r="1121" spans="1:3" x14ac:dyDescent="0.25">
      <c r="A1121" s="1">
        <v>506</v>
      </c>
      <c r="B1121" s="1" t="s">
        <v>575</v>
      </c>
      <c r="C1121" s="1" t="s">
        <v>576</v>
      </c>
    </row>
    <row r="1122" spans="1:3" x14ac:dyDescent="0.25">
      <c r="A1122" s="1">
        <v>507</v>
      </c>
      <c r="B1122" s="1" t="s">
        <v>575</v>
      </c>
      <c r="C1122" s="1" t="s">
        <v>576</v>
      </c>
    </row>
    <row r="1123" spans="1:3" x14ac:dyDescent="0.25">
      <c r="A1123" s="1">
        <v>508</v>
      </c>
      <c r="B1123" s="1" t="s">
        <v>575</v>
      </c>
      <c r="C1123" s="1" t="s">
        <v>576</v>
      </c>
    </row>
    <row r="1124" spans="1:3" x14ac:dyDescent="0.25">
      <c r="A1124" s="1">
        <v>509</v>
      </c>
      <c r="B1124" s="1" t="s">
        <v>575</v>
      </c>
      <c r="C1124" s="1" t="s">
        <v>576</v>
      </c>
    </row>
    <row r="1125" spans="1:3" x14ac:dyDescent="0.25">
      <c r="A1125" s="1">
        <v>510</v>
      </c>
      <c r="B1125" s="1" t="s">
        <v>575</v>
      </c>
      <c r="C1125" s="1" t="s">
        <v>576</v>
      </c>
    </row>
    <row r="1126" spans="1:3" x14ac:dyDescent="0.25">
      <c r="A1126" s="1">
        <v>512</v>
      </c>
      <c r="B1126" s="1" t="s">
        <v>575</v>
      </c>
      <c r="C1126" s="1" t="s">
        <v>576</v>
      </c>
    </row>
    <row r="1127" spans="1:3" x14ac:dyDescent="0.25">
      <c r="A1127" s="1">
        <v>513</v>
      </c>
      <c r="B1127" s="1" t="s">
        <v>575</v>
      </c>
      <c r="C1127" s="1" t="s">
        <v>576</v>
      </c>
    </row>
    <row r="1128" spans="1:3" x14ac:dyDescent="0.25">
      <c r="A1128" s="1">
        <v>514</v>
      </c>
      <c r="B1128" s="1" t="s">
        <v>575</v>
      </c>
      <c r="C1128" s="1" t="s">
        <v>576</v>
      </c>
    </row>
    <row r="1129" spans="1:3" x14ac:dyDescent="0.25">
      <c r="A1129" s="1">
        <v>515</v>
      </c>
      <c r="B1129" s="1" t="s">
        <v>575</v>
      </c>
      <c r="C1129" s="1" t="s">
        <v>576</v>
      </c>
    </row>
    <row r="1130" spans="1:3" x14ac:dyDescent="0.25">
      <c r="A1130" s="1">
        <v>738</v>
      </c>
      <c r="B1130" s="1" t="s">
        <v>575</v>
      </c>
      <c r="C1130" s="1" t="s">
        <v>576</v>
      </c>
    </row>
    <row r="1131" spans="1:3" x14ac:dyDescent="0.25">
      <c r="A1131" s="1">
        <v>744</v>
      </c>
      <c r="B1131" s="1" t="s">
        <v>575</v>
      </c>
      <c r="C1131" s="1" t="s">
        <v>576</v>
      </c>
    </row>
    <row r="1132" spans="1:3" x14ac:dyDescent="0.25">
      <c r="A1132" s="1">
        <v>785</v>
      </c>
      <c r="B1132" s="1" t="s">
        <v>575</v>
      </c>
      <c r="C1132" s="1" t="s">
        <v>576</v>
      </c>
    </row>
    <row r="1133" spans="1:3" x14ac:dyDescent="0.25">
      <c r="A1133" s="1">
        <v>786</v>
      </c>
      <c r="B1133" s="1" t="s">
        <v>575</v>
      </c>
      <c r="C1133" s="1" t="s">
        <v>576</v>
      </c>
    </row>
    <row r="1134" spans="1:3" x14ac:dyDescent="0.25">
      <c r="A1134" s="1">
        <v>795</v>
      </c>
      <c r="B1134" s="1" t="s">
        <v>575</v>
      </c>
      <c r="C1134" s="1" t="s">
        <v>576</v>
      </c>
    </row>
    <row r="1135" spans="1:3" x14ac:dyDescent="0.25">
      <c r="A1135" s="1">
        <v>800</v>
      </c>
      <c r="B1135" s="1" t="s">
        <v>575</v>
      </c>
      <c r="C1135" s="1" t="s">
        <v>576</v>
      </c>
    </row>
    <row r="1136" spans="1:3" x14ac:dyDescent="0.25">
      <c r="A1136" s="1">
        <v>850</v>
      </c>
      <c r="B1136" s="1" t="s">
        <v>575</v>
      </c>
      <c r="C1136" s="1" t="s">
        <v>576</v>
      </c>
    </row>
    <row r="1137" spans="1:3" x14ac:dyDescent="0.25">
      <c r="A1137" s="1">
        <v>865</v>
      </c>
      <c r="B1137" s="1" t="s">
        <v>575</v>
      </c>
      <c r="C1137" s="1" t="s">
        <v>576</v>
      </c>
    </row>
    <row r="1138" spans="1:3" x14ac:dyDescent="0.25">
      <c r="A1138" s="1">
        <v>874</v>
      </c>
      <c r="B1138" s="1" t="s">
        <v>575</v>
      </c>
      <c r="C1138" s="1" t="s">
        <v>576</v>
      </c>
    </row>
    <row r="1139" spans="1:3" x14ac:dyDescent="0.25">
      <c r="A1139" s="1">
        <v>894</v>
      </c>
      <c r="B1139" s="1" t="s">
        <v>575</v>
      </c>
      <c r="C1139" s="1" t="s">
        <v>576</v>
      </c>
    </row>
    <row r="1140" spans="1:3" x14ac:dyDescent="0.25">
      <c r="A1140" s="1">
        <v>898</v>
      </c>
      <c r="B1140" s="1" t="s">
        <v>575</v>
      </c>
      <c r="C1140" s="1" t="s">
        <v>576</v>
      </c>
    </row>
    <row r="1141" spans="1:3" x14ac:dyDescent="0.25">
      <c r="A1141" s="1">
        <v>906</v>
      </c>
      <c r="B1141" s="1" t="s">
        <v>575</v>
      </c>
      <c r="C1141" s="1" t="s">
        <v>576</v>
      </c>
    </row>
    <row r="1142" spans="1:3" x14ac:dyDescent="0.25">
      <c r="A1142" s="1">
        <v>985</v>
      </c>
      <c r="B1142" s="1" t="s">
        <v>575</v>
      </c>
      <c r="C1142" s="1" t="s">
        <v>576</v>
      </c>
    </row>
    <row r="1143" spans="1:3" x14ac:dyDescent="0.25">
      <c r="A1143" s="1">
        <v>1006</v>
      </c>
      <c r="B1143" s="1" t="s">
        <v>575</v>
      </c>
      <c r="C1143" s="1" t="s">
        <v>576</v>
      </c>
    </row>
    <row r="1144" spans="1:3" x14ac:dyDescent="0.25">
      <c r="A1144" s="1">
        <v>1011</v>
      </c>
      <c r="B1144" s="1" t="s">
        <v>575</v>
      </c>
      <c r="C1144" s="1" t="s">
        <v>576</v>
      </c>
    </row>
    <row r="1145" spans="1:3" x14ac:dyDescent="0.25">
      <c r="A1145" s="1">
        <v>1022</v>
      </c>
      <c r="B1145" s="1" t="s">
        <v>575</v>
      </c>
      <c r="C1145" s="1" t="s">
        <v>576</v>
      </c>
    </row>
    <row r="1146" spans="1:3" x14ac:dyDescent="0.25">
      <c r="A1146" s="1">
        <v>1023</v>
      </c>
      <c r="B1146" s="1" t="s">
        <v>575</v>
      </c>
      <c r="C1146" s="1" t="s">
        <v>576</v>
      </c>
    </row>
    <row r="1147" spans="1:3" x14ac:dyDescent="0.25">
      <c r="A1147" s="1">
        <v>1042</v>
      </c>
      <c r="B1147" s="1" t="s">
        <v>575</v>
      </c>
      <c r="C1147" s="1" t="s">
        <v>576</v>
      </c>
    </row>
    <row r="1148" spans="1:3" x14ac:dyDescent="0.25">
      <c r="A1148" s="1">
        <v>1046</v>
      </c>
      <c r="B1148" s="1" t="s">
        <v>575</v>
      </c>
      <c r="C1148" s="1" t="s">
        <v>576</v>
      </c>
    </row>
    <row r="1149" spans="1:3" x14ac:dyDescent="0.25">
      <c r="A1149" s="1">
        <v>1070</v>
      </c>
      <c r="B1149" s="1" t="s">
        <v>575</v>
      </c>
      <c r="C1149" s="1" t="s">
        <v>576</v>
      </c>
    </row>
    <row r="1150" spans="1:3" x14ac:dyDescent="0.25">
      <c r="A1150" s="1">
        <v>1089</v>
      </c>
      <c r="B1150" s="1" t="s">
        <v>575</v>
      </c>
      <c r="C1150" s="1" t="s">
        <v>576</v>
      </c>
    </row>
    <row r="1151" spans="1:3" x14ac:dyDescent="0.25">
      <c r="A1151" s="1">
        <v>1109</v>
      </c>
      <c r="B1151" s="1" t="s">
        <v>575</v>
      </c>
      <c r="C1151" s="1" t="s">
        <v>576</v>
      </c>
    </row>
    <row r="1152" spans="1:3" x14ac:dyDescent="0.25">
      <c r="A1152" s="1">
        <v>1115</v>
      </c>
      <c r="B1152" s="1" t="s">
        <v>575</v>
      </c>
      <c r="C1152" s="1" t="s">
        <v>576</v>
      </c>
    </row>
    <row r="1153" spans="1:3" x14ac:dyDescent="0.25">
      <c r="A1153" s="1">
        <v>1139</v>
      </c>
      <c r="B1153" s="1" t="s">
        <v>575</v>
      </c>
      <c r="C1153" s="1" t="s">
        <v>576</v>
      </c>
    </row>
    <row r="1154" spans="1:3" x14ac:dyDescent="0.25">
      <c r="A1154" s="1">
        <v>1143</v>
      </c>
      <c r="B1154" s="1" t="s">
        <v>575</v>
      </c>
      <c r="C1154" s="1" t="s">
        <v>576</v>
      </c>
    </row>
    <row r="1155" spans="1:3" x14ac:dyDescent="0.25">
      <c r="A1155" s="1">
        <v>1152</v>
      </c>
      <c r="B1155" s="1" t="s">
        <v>575</v>
      </c>
      <c r="C1155" s="1" t="s">
        <v>576</v>
      </c>
    </row>
    <row r="1156" spans="1:3" x14ac:dyDescent="0.25">
      <c r="A1156" s="1">
        <v>1172</v>
      </c>
      <c r="B1156" s="1" t="s">
        <v>575</v>
      </c>
      <c r="C1156" s="1" t="s">
        <v>576</v>
      </c>
    </row>
    <row r="1157" spans="1:3" x14ac:dyDescent="0.25">
      <c r="A1157" s="1">
        <v>1181</v>
      </c>
      <c r="B1157" s="1" t="s">
        <v>575</v>
      </c>
      <c r="C1157" s="1" t="s">
        <v>576</v>
      </c>
    </row>
    <row r="1158" spans="1:3" x14ac:dyDescent="0.25">
      <c r="A1158" s="1">
        <v>1188</v>
      </c>
      <c r="B1158" s="1" t="s">
        <v>575</v>
      </c>
      <c r="C1158" s="1" t="s">
        <v>576</v>
      </c>
    </row>
    <row r="1159" spans="1:3" x14ac:dyDescent="0.25">
      <c r="A1159" s="1">
        <v>1191</v>
      </c>
      <c r="B1159" s="1" t="s">
        <v>575</v>
      </c>
      <c r="C1159" s="1" t="s">
        <v>576</v>
      </c>
    </row>
    <row r="1160" spans="1:3" x14ac:dyDescent="0.25">
      <c r="A1160" s="1">
        <v>1192</v>
      </c>
      <c r="B1160" s="1" t="s">
        <v>575</v>
      </c>
      <c r="C1160" s="1" t="s">
        <v>576</v>
      </c>
    </row>
    <row r="1161" spans="1:3" x14ac:dyDescent="0.25">
      <c r="A1161" s="1">
        <v>1198</v>
      </c>
      <c r="B1161" s="1" t="s">
        <v>575</v>
      </c>
      <c r="C1161" s="1" t="s">
        <v>576</v>
      </c>
    </row>
    <row r="1162" spans="1:3" x14ac:dyDescent="0.25">
      <c r="A1162" s="1">
        <v>1200</v>
      </c>
      <c r="B1162" s="1" t="s">
        <v>575</v>
      </c>
      <c r="C1162" s="1" t="s">
        <v>576</v>
      </c>
    </row>
    <row r="1163" spans="1:3" x14ac:dyDescent="0.25">
      <c r="A1163" s="1">
        <v>1204</v>
      </c>
      <c r="B1163" s="1" t="s">
        <v>575</v>
      </c>
      <c r="C1163" s="1" t="s">
        <v>576</v>
      </c>
    </row>
    <row r="1164" spans="1:3" x14ac:dyDescent="0.25">
      <c r="A1164" s="1">
        <v>1209</v>
      </c>
      <c r="B1164" s="1" t="s">
        <v>575</v>
      </c>
      <c r="C1164" s="1" t="s">
        <v>576</v>
      </c>
    </row>
    <row r="1165" spans="1:3" x14ac:dyDescent="0.25">
      <c r="A1165" s="1">
        <v>1216</v>
      </c>
      <c r="B1165" s="1" t="s">
        <v>575</v>
      </c>
      <c r="C1165" s="1" t="s">
        <v>576</v>
      </c>
    </row>
    <row r="1166" spans="1:3" x14ac:dyDescent="0.25">
      <c r="A1166" s="1">
        <v>1357</v>
      </c>
      <c r="B1166" s="1" t="s">
        <v>575</v>
      </c>
      <c r="C1166" s="1" t="s">
        <v>576</v>
      </c>
    </row>
    <row r="1167" spans="1:3" x14ac:dyDescent="0.25">
      <c r="A1167" s="1">
        <v>1381</v>
      </c>
      <c r="B1167" s="1" t="s">
        <v>575</v>
      </c>
      <c r="C1167" s="1" t="s">
        <v>576</v>
      </c>
    </row>
    <row r="1168" spans="1:3" x14ac:dyDescent="0.25">
      <c r="A1168" s="1">
        <v>1390</v>
      </c>
      <c r="B1168" s="1" t="s">
        <v>575</v>
      </c>
      <c r="C1168" s="1" t="s">
        <v>576</v>
      </c>
    </row>
    <row r="1169" spans="1:3" x14ac:dyDescent="0.25">
      <c r="A1169" s="1">
        <v>1423</v>
      </c>
      <c r="B1169" s="1" t="s">
        <v>575</v>
      </c>
      <c r="C1169" s="1" t="s">
        <v>576</v>
      </c>
    </row>
    <row r="1170" spans="1:3" x14ac:dyDescent="0.25">
      <c r="A1170" s="1">
        <v>1424</v>
      </c>
      <c r="B1170" s="1" t="s">
        <v>575</v>
      </c>
      <c r="C1170" s="1" t="s">
        <v>576</v>
      </c>
    </row>
    <row r="1171" spans="1:3" x14ac:dyDescent="0.25">
      <c r="A1171" s="1">
        <v>1450</v>
      </c>
      <c r="B1171" s="1" t="s">
        <v>575</v>
      </c>
      <c r="C1171" s="1" t="s">
        <v>576</v>
      </c>
    </row>
    <row r="1172" spans="1:3" x14ac:dyDescent="0.25">
      <c r="A1172" s="1">
        <v>1452</v>
      </c>
      <c r="B1172" s="1" t="s">
        <v>575</v>
      </c>
      <c r="C1172" s="1" t="s">
        <v>576</v>
      </c>
    </row>
    <row r="1173" spans="1:3" x14ac:dyDescent="0.25">
      <c r="A1173" s="1">
        <v>1472</v>
      </c>
      <c r="B1173" s="1" t="s">
        <v>575</v>
      </c>
      <c r="C1173" s="1" t="s">
        <v>576</v>
      </c>
    </row>
    <row r="1174" spans="1:3" x14ac:dyDescent="0.25">
      <c r="A1174" s="1">
        <v>1494</v>
      </c>
      <c r="B1174" s="1" t="s">
        <v>575</v>
      </c>
      <c r="C1174" s="1" t="s">
        <v>576</v>
      </c>
    </row>
    <row r="1175" spans="1:3" x14ac:dyDescent="0.25">
      <c r="A1175" s="1">
        <v>1497</v>
      </c>
      <c r="B1175" s="1" t="s">
        <v>575</v>
      </c>
      <c r="C1175" s="1" t="s">
        <v>576</v>
      </c>
    </row>
    <row r="1176" spans="1:3" x14ac:dyDescent="0.25">
      <c r="A1176" s="1">
        <v>1515</v>
      </c>
      <c r="B1176" s="1" t="s">
        <v>575</v>
      </c>
      <c r="C1176" s="1" t="s">
        <v>576</v>
      </c>
    </row>
    <row r="1177" spans="1:3" x14ac:dyDescent="0.25">
      <c r="A1177" s="1">
        <v>1520</v>
      </c>
      <c r="B1177" s="1" t="s">
        <v>575</v>
      </c>
      <c r="C1177" s="1" t="s">
        <v>576</v>
      </c>
    </row>
    <row r="1178" spans="1:3" x14ac:dyDescent="0.25">
      <c r="A1178" s="1">
        <v>1536</v>
      </c>
      <c r="B1178" s="1" t="s">
        <v>575</v>
      </c>
      <c r="C1178" s="1" t="s">
        <v>576</v>
      </c>
    </row>
    <row r="1179" spans="1:3" x14ac:dyDescent="0.25">
      <c r="A1179" s="1">
        <v>1559</v>
      </c>
      <c r="B1179" s="1" t="s">
        <v>575</v>
      </c>
      <c r="C1179" s="1" t="s">
        <v>576</v>
      </c>
    </row>
    <row r="1180" spans="1:3" x14ac:dyDescent="0.25">
      <c r="A1180" s="1">
        <v>1567</v>
      </c>
      <c r="B1180" s="1" t="s">
        <v>575</v>
      </c>
      <c r="C1180" s="1" t="s">
        <v>576</v>
      </c>
    </row>
    <row r="1181" spans="1:3" x14ac:dyDescent="0.25">
      <c r="A1181" s="1">
        <v>1607</v>
      </c>
      <c r="B1181" s="1" t="s">
        <v>575</v>
      </c>
      <c r="C1181" s="1" t="s">
        <v>576</v>
      </c>
    </row>
    <row r="1182" spans="1:3" x14ac:dyDescent="0.25">
      <c r="A1182" s="1">
        <v>1642</v>
      </c>
      <c r="B1182" s="1" t="s">
        <v>575</v>
      </c>
      <c r="C1182" s="1" t="s">
        <v>576</v>
      </c>
    </row>
    <row r="1183" spans="1:3" x14ac:dyDescent="0.25">
      <c r="A1183" s="1">
        <v>1648</v>
      </c>
      <c r="B1183" s="1" t="s">
        <v>575</v>
      </c>
      <c r="C1183" s="1" t="s">
        <v>576</v>
      </c>
    </row>
    <row r="1184" spans="1:3" x14ac:dyDescent="0.25">
      <c r="A1184" s="1">
        <v>1649</v>
      </c>
      <c r="B1184" s="1" t="s">
        <v>575</v>
      </c>
      <c r="C1184" s="1" t="s">
        <v>576</v>
      </c>
    </row>
    <row r="1185" spans="1:3" x14ac:dyDescent="0.25">
      <c r="A1185" s="1">
        <v>1667</v>
      </c>
      <c r="B1185" s="1" t="s">
        <v>575</v>
      </c>
      <c r="C1185" s="1" t="s">
        <v>576</v>
      </c>
    </row>
    <row r="1186" spans="1:3" x14ac:dyDescent="0.25">
      <c r="A1186" s="1">
        <v>1668</v>
      </c>
      <c r="B1186" s="1" t="s">
        <v>575</v>
      </c>
      <c r="C1186" s="1" t="s">
        <v>576</v>
      </c>
    </row>
    <row r="1187" spans="1:3" x14ac:dyDescent="0.25">
      <c r="A1187" s="1">
        <v>1690</v>
      </c>
      <c r="B1187" s="1" t="s">
        <v>575</v>
      </c>
      <c r="C1187" s="1" t="s">
        <v>576</v>
      </c>
    </row>
    <row r="1188" spans="1:3" x14ac:dyDescent="0.25">
      <c r="A1188" s="1">
        <v>1698</v>
      </c>
      <c r="B1188" s="1" t="s">
        <v>575</v>
      </c>
      <c r="C1188" s="1" t="s">
        <v>576</v>
      </c>
    </row>
    <row r="1189" spans="1:3" x14ac:dyDescent="0.25">
      <c r="A1189" s="1">
        <v>1711</v>
      </c>
      <c r="B1189" s="1" t="s">
        <v>575</v>
      </c>
      <c r="C1189" s="1" t="s">
        <v>576</v>
      </c>
    </row>
    <row r="1190" spans="1:3" x14ac:dyDescent="0.25">
      <c r="A1190" s="1">
        <v>1720</v>
      </c>
      <c r="B1190" s="1" t="s">
        <v>575</v>
      </c>
      <c r="C1190" s="1" t="s">
        <v>576</v>
      </c>
    </row>
    <row r="1191" spans="1:3" x14ac:dyDescent="0.25">
      <c r="A1191" s="1">
        <v>1721</v>
      </c>
      <c r="B1191" s="1" t="s">
        <v>575</v>
      </c>
      <c r="C1191" s="1" t="s">
        <v>576</v>
      </c>
    </row>
    <row r="1192" spans="1:3" x14ac:dyDescent="0.25">
      <c r="A1192" s="1">
        <v>1727</v>
      </c>
      <c r="B1192" s="1" t="s">
        <v>575</v>
      </c>
      <c r="C1192" s="1" t="s">
        <v>576</v>
      </c>
    </row>
    <row r="1193" spans="1:3" x14ac:dyDescent="0.25">
      <c r="A1193" s="1">
        <v>1732</v>
      </c>
      <c r="B1193" s="1" t="s">
        <v>575</v>
      </c>
      <c r="C1193" s="1" t="s">
        <v>576</v>
      </c>
    </row>
    <row r="1194" spans="1:3" x14ac:dyDescent="0.25">
      <c r="A1194" s="1">
        <v>1750</v>
      </c>
      <c r="B1194" s="1" t="s">
        <v>575</v>
      </c>
      <c r="C1194" s="1" t="s">
        <v>576</v>
      </c>
    </row>
    <row r="1195" spans="1:3" x14ac:dyDescent="0.25">
      <c r="A1195" s="1">
        <v>1780</v>
      </c>
      <c r="B1195" s="1" t="s">
        <v>575</v>
      </c>
      <c r="C1195" s="1" t="s">
        <v>576</v>
      </c>
    </row>
    <row r="1196" spans="1:3" x14ac:dyDescent="0.25">
      <c r="A1196" s="1">
        <v>1786</v>
      </c>
      <c r="B1196" s="1" t="s">
        <v>575</v>
      </c>
      <c r="C1196" s="1" t="s">
        <v>576</v>
      </c>
    </row>
    <row r="1197" spans="1:3" x14ac:dyDescent="0.25">
      <c r="A1197" s="1">
        <v>1790</v>
      </c>
      <c r="B1197" s="1" t="s">
        <v>575</v>
      </c>
      <c r="C1197" s="1" t="s">
        <v>576</v>
      </c>
    </row>
    <row r="1198" spans="1:3" x14ac:dyDescent="0.25">
      <c r="A1198" s="1">
        <v>1791</v>
      </c>
      <c r="B1198" s="1" t="s">
        <v>575</v>
      </c>
      <c r="C1198" s="1" t="s">
        <v>576</v>
      </c>
    </row>
    <row r="1199" spans="1:3" x14ac:dyDescent="0.25">
      <c r="A1199" s="1">
        <v>1793</v>
      </c>
      <c r="B1199" s="1" t="s">
        <v>575</v>
      </c>
      <c r="C1199" s="1" t="s">
        <v>576</v>
      </c>
    </row>
    <row r="1200" spans="1:3" x14ac:dyDescent="0.25">
      <c r="A1200" s="1">
        <v>1795</v>
      </c>
      <c r="B1200" s="1" t="s">
        <v>575</v>
      </c>
      <c r="C1200" s="1" t="s">
        <v>576</v>
      </c>
    </row>
    <row r="1201" spans="1:3" x14ac:dyDescent="0.25">
      <c r="A1201" s="1">
        <v>1800</v>
      </c>
      <c r="B1201" s="1" t="s">
        <v>575</v>
      </c>
      <c r="C1201" s="1" t="s">
        <v>576</v>
      </c>
    </row>
    <row r="1202" spans="1:3" x14ac:dyDescent="0.25">
      <c r="A1202" s="1">
        <v>1802</v>
      </c>
      <c r="B1202" s="1" t="s">
        <v>575</v>
      </c>
      <c r="C1202" s="1" t="s">
        <v>576</v>
      </c>
    </row>
    <row r="1203" spans="1:3" x14ac:dyDescent="0.25">
      <c r="A1203" s="1">
        <v>1811</v>
      </c>
      <c r="B1203" s="1" t="s">
        <v>575</v>
      </c>
      <c r="C1203" s="1" t="s">
        <v>576</v>
      </c>
    </row>
    <row r="1204" spans="1:3" x14ac:dyDescent="0.25">
      <c r="A1204" s="1">
        <v>1819</v>
      </c>
      <c r="B1204" s="1" t="s">
        <v>575</v>
      </c>
      <c r="C1204" s="1" t="s">
        <v>576</v>
      </c>
    </row>
    <row r="1205" spans="1:3" x14ac:dyDescent="0.25">
      <c r="A1205" s="1">
        <v>1820</v>
      </c>
      <c r="B1205" s="1" t="s">
        <v>575</v>
      </c>
      <c r="C1205" s="1" t="s">
        <v>576</v>
      </c>
    </row>
    <row r="1206" spans="1:3" x14ac:dyDescent="0.25">
      <c r="A1206" s="1">
        <v>1837</v>
      </c>
      <c r="B1206" s="1" t="s">
        <v>575</v>
      </c>
      <c r="C1206" s="1" t="s">
        <v>576</v>
      </c>
    </row>
    <row r="1207" spans="1:3" x14ac:dyDescent="0.25">
      <c r="A1207" s="1">
        <v>1846</v>
      </c>
      <c r="B1207" s="1" t="s">
        <v>575</v>
      </c>
      <c r="C1207" s="1" t="s">
        <v>576</v>
      </c>
    </row>
    <row r="1208" spans="1:3" x14ac:dyDescent="0.25">
      <c r="A1208" s="1">
        <v>1850</v>
      </c>
      <c r="B1208" s="1" t="s">
        <v>575</v>
      </c>
      <c r="C1208" s="1" t="s">
        <v>576</v>
      </c>
    </row>
    <row r="1209" spans="1:3" x14ac:dyDescent="0.25">
      <c r="A1209" s="1">
        <v>1867</v>
      </c>
      <c r="B1209" s="1" t="s">
        <v>575</v>
      </c>
      <c r="C1209" s="1" t="s">
        <v>576</v>
      </c>
    </row>
    <row r="1210" spans="1:3" x14ac:dyDescent="0.25">
      <c r="A1210" s="1">
        <v>1868</v>
      </c>
      <c r="B1210" s="1" t="s">
        <v>575</v>
      </c>
      <c r="C1210" s="1" t="s">
        <v>576</v>
      </c>
    </row>
    <row r="1211" spans="1:3" x14ac:dyDescent="0.25">
      <c r="A1211" s="1">
        <v>1869</v>
      </c>
      <c r="B1211" s="1" t="s">
        <v>575</v>
      </c>
      <c r="C1211" s="1" t="s">
        <v>576</v>
      </c>
    </row>
    <row r="1212" spans="1:3" x14ac:dyDescent="0.25">
      <c r="A1212" s="1">
        <v>1875</v>
      </c>
      <c r="B1212" s="1" t="s">
        <v>575</v>
      </c>
      <c r="C1212" s="1" t="s">
        <v>576</v>
      </c>
    </row>
    <row r="1213" spans="1:3" x14ac:dyDescent="0.25">
      <c r="A1213" s="1">
        <v>1880</v>
      </c>
      <c r="B1213" s="1" t="s">
        <v>575</v>
      </c>
      <c r="C1213" s="1" t="s">
        <v>576</v>
      </c>
    </row>
    <row r="1214" spans="1:3" x14ac:dyDescent="0.25">
      <c r="A1214" s="1">
        <v>1901</v>
      </c>
      <c r="B1214" s="1" t="s">
        <v>575</v>
      </c>
      <c r="C1214" s="1" t="s">
        <v>576</v>
      </c>
    </row>
    <row r="1215" spans="1:3" x14ac:dyDescent="0.25">
      <c r="A1215" s="1">
        <v>1903</v>
      </c>
      <c r="B1215" s="1" t="s">
        <v>575</v>
      </c>
      <c r="C1215" s="1" t="s">
        <v>576</v>
      </c>
    </row>
    <row r="1216" spans="1:3" x14ac:dyDescent="0.25">
      <c r="A1216" s="1">
        <v>1904</v>
      </c>
      <c r="B1216" s="1" t="s">
        <v>575</v>
      </c>
      <c r="C1216" s="1" t="s">
        <v>576</v>
      </c>
    </row>
    <row r="1217" spans="1:3" x14ac:dyDescent="0.25">
      <c r="A1217" s="1">
        <v>1906</v>
      </c>
      <c r="B1217" s="1" t="s">
        <v>575</v>
      </c>
      <c r="C1217" s="1" t="s">
        <v>576</v>
      </c>
    </row>
    <row r="1218" spans="1:3" x14ac:dyDescent="0.25">
      <c r="A1218" s="1">
        <v>1908</v>
      </c>
      <c r="B1218" s="1" t="s">
        <v>575</v>
      </c>
      <c r="C1218" s="1" t="s">
        <v>576</v>
      </c>
    </row>
    <row r="1219" spans="1:3" x14ac:dyDescent="0.25">
      <c r="A1219" s="1">
        <v>1909</v>
      </c>
      <c r="B1219" s="1" t="s">
        <v>575</v>
      </c>
      <c r="C1219" s="1" t="s">
        <v>576</v>
      </c>
    </row>
    <row r="1220" spans="1:3" x14ac:dyDescent="0.25">
      <c r="A1220" s="1">
        <v>1915</v>
      </c>
      <c r="B1220" s="1" t="s">
        <v>575</v>
      </c>
      <c r="C1220" s="1" t="s">
        <v>576</v>
      </c>
    </row>
    <row r="1221" spans="1:3" x14ac:dyDescent="0.25">
      <c r="A1221" s="1">
        <v>1916</v>
      </c>
      <c r="B1221" s="1" t="s">
        <v>575</v>
      </c>
      <c r="C1221" s="1" t="s">
        <v>576</v>
      </c>
    </row>
    <row r="1222" spans="1:3" x14ac:dyDescent="0.25">
      <c r="A1222" s="1">
        <v>1954</v>
      </c>
      <c r="B1222" s="1" t="s">
        <v>575</v>
      </c>
      <c r="C1222" s="1" t="s">
        <v>576</v>
      </c>
    </row>
    <row r="1223" spans="1:3" x14ac:dyDescent="0.25">
      <c r="A1223" s="1">
        <v>1955</v>
      </c>
      <c r="B1223" s="1" t="s">
        <v>575</v>
      </c>
      <c r="C1223" s="1" t="s">
        <v>576</v>
      </c>
    </row>
    <row r="1224" spans="1:3" x14ac:dyDescent="0.25">
      <c r="A1224" s="1">
        <v>2003</v>
      </c>
      <c r="B1224" s="1" t="s">
        <v>575</v>
      </c>
      <c r="C1224" s="1" t="s">
        <v>576</v>
      </c>
    </row>
    <row r="1225" spans="1:3" x14ac:dyDescent="0.25">
      <c r="A1225" s="1">
        <v>2024</v>
      </c>
      <c r="B1225" s="1" t="s">
        <v>575</v>
      </c>
      <c r="C1225" s="1" t="s">
        <v>576</v>
      </c>
    </row>
    <row r="1226" spans="1:3" x14ac:dyDescent="0.25">
      <c r="A1226" s="1">
        <v>2030</v>
      </c>
      <c r="B1226" s="1" t="s">
        <v>575</v>
      </c>
      <c r="C1226" s="1" t="s">
        <v>576</v>
      </c>
    </row>
    <row r="1227" spans="1:3" x14ac:dyDescent="0.25">
      <c r="A1227" s="1">
        <v>2046</v>
      </c>
      <c r="B1227" s="1" t="s">
        <v>575</v>
      </c>
      <c r="C1227" s="1" t="s">
        <v>576</v>
      </c>
    </row>
    <row r="1228" spans="1:3" x14ac:dyDescent="0.25">
      <c r="A1228" s="1">
        <v>2053</v>
      </c>
      <c r="B1228" s="1" t="s">
        <v>575</v>
      </c>
      <c r="C1228" s="1" t="s">
        <v>576</v>
      </c>
    </row>
    <row r="1229" spans="1:3" x14ac:dyDescent="0.25">
      <c r="A1229" s="1">
        <v>2067</v>
      </c>
      <c r="B1229" s="1" t="s">
        <v>575</v>
      </c>
      <c r="C1229" s="1" t="s">
        <v>576</v>
      </c>
    </row>
    <row r="1230" spans="1:3" x14ac:dyDescent="0.25">
      <c r="A1230" s="1">
        <v>2073</v>
      </c>
      <c r="B1230" s="1" t="s">
        <v>575</v>
      </c>
      <c r="C1230" s="1" t="s">
        <v>576</v>
      </c>
    </row>
    <row r="1231" spans="1:3" x14ac:dyDescent="0.25">
      <c r="A1231" s="1">
        <v>2089</v>
      </c>
      <c r="B1231" s="1" t="s">
        <v>575</v>
      </c>
      <c r="C1231" s="1" t="s">
        <v>576</v>
      </c>
    </row>
    <row r="1232" spans="1:3" x14ac:dyDescent="0.25">
      <c r="A1232" s="1">
        <v>2094</v>
      </c>
      <c r="B1232" s="1" t="s">
        <v>575</v>
      </c>
      <c r="C1232" s="1" t="s">
        <v>576</v>
      </c>
    </row>
    <row r="1233" spans="1:3" x14ac:dyDescent="0.25">
      <c r="A1233" s="1">
        <v>2109</v>
      </c>
      <c r="B1233" s="1" t="s">
        <v>575</v>
      </c>
      <c r="C1233" s="1" t="s">
        <v>576</v>
      </c>
    </row>
    <row r="1234" spans="1:3" x14ac:dyDescent="0.25">
      <c r="A1234" s="1">
        <v>2145</v>
      </c>
      <c r="B1234" s="1" t="s">
        <v>575</v>
      </c>
      <c r="C1234" s="1" t="s">
        <v>576</v>
      </c>
    </row>
    <row r="1235" spans="1:3" x14ac:dyDescent="0.25">
      <c r="A1235" s="1">
        <v>2168</v>
      </c>
      <c r="B1235" s="1" t="s">
        <v>575</v>
      </c>
      <c r="C1235" s="1" t="s">
        <v>576</v>
      </c>
    </row>
    <row r="1236" spans="1:3" x14ac:dyDescent="0.25">
      <c r="A1236" s="1">
        <v>2185</v>
      </c>
      <c r="B1236" s="1" t="s">
        <v>575</v>
      </c>
      <c r="C1236" s="1" t="s">
        <v>576</v>
      </c>
    </row>
    <row r="1237" spans="1:3" x14ac:dyDescent="0.25">
      <c r="A1237" s="1">
        <v>2209</v>
      </c>
      <c r="B1237" s="1" t="s">
        <v>575</v>
      </c>
      <c r="C1237" s="1" t="s">
        <v>576</v>
      </c>
    </row>
    <row r="1238" spans="1:3" x14ac:dyDescent="0.25">
      <c r="A1238" s="1">
        <v>2210</v>
      </c>
      <c r="B1238" s="1" t="s">
        <v>575</v>
      </c>
      <c r="C1238" s="1" t="s">
        <v>576</v>
      </c>
    </row>
    <row r="1239" spans="1:3" x14ac:dyDescent="0.25">
      <c r="A1239" s="1">
        <v>2212</v>
      </c>
      <c r="B1239" s="1" t="s">
        <v>575</v>
      </c>
      <c r="C1239" s="1" t="s">
        <v>576</v>
      </c>
    </row>
    <row r="1240" spans="1:3" x14ac:dyDescent="0.25">
      <c r="A1240" s="1">
        <v>2225</v>
      </c>
      <c r="B1240" s="1" t="s">
        <v>575</v>
      </c>
      <c r="C1240" s="1" t="s">
        <v>576</v>
      </c>
    </row>
    <row r="1241" spans="1:3" x14ac:dyDescent="0.25">
      <c r="A1241" s="1">
        <v>2260</v>
      </c>
      <c r="B1241" s="1" t="s">
        <v>575</v>
      </c>
      <c r="C1241" s="1" t="s">
        <v>576</v>
      </c>
    </row>
    <row r="1242" spans="1:3" x14ac:dyDescent="0.25">
      <c r="A1242" s="1">
        <v>2278</v>
      </c>
      <c r="B1242" s="1" t="s">
        <v>575</v>
      </c>
      <c r="C1242" s="1" t="s">
        <v>576</v>
      </c>
    </row>
    <row r="1243" spans="1:3" x14ac:dyDescent="0.25">
      <c r="A1243" s="1">
        <v>2307</v>
      </c>
      <c r="B1243" s="1" t="s">
        <v>575</v>
      </c>
      <c r="C1243" s="1" t="s">
        <v>576</v>
      </c>
    </row>
    <row r="1244" spans="1:3" x14ac:dyDescent="0.25">
      <c r="A1244" s="1">
        <v>2315</v>
      </c>
      <c r="B1244" s="1" t="s">
        <v>575</v>
      </c>
      <c r="C1244" s="1" t="s">
        <v>576</v>
      </c>
    </row>
    <row r="1245" spans="1:3" x14ac:dyDescent="0.25">
      <c r="A1245" s="1">
        <v>2323</v>
      </c>
      <c r="B1245" s="1" t="s">
        <v>575</v>
      </c>
      <c r="C1245" s="1" t="s">
        <v>576</v>
      </c>
    </row>
    <row r="1246" spans="1:3" x14ac:dyDescent="0.25">
      <c r="A1246" s="1">
        <v>2326</v>
      </c>
      <c r="B1246" s="1" t="s">
        <v>575</v>
      </c>
      <c r="C1246" s="1" t="s">
        <v>576</v>
      </c>
    </row>
    <row r="1247" spans="1:3" x14ac:dyDescent="0.25">
      <c r="A1247" s="1">
        <v>2329</v>
      </c>
      <c r="B1247" s="1" t="s">
        <v>575</v>
      </c>
      <c r="C1247" s="1" t="s">
        <v>576</v>
      </c>
    </row>
    <row r="1248" spans="1:3" x14ac:dyDescent="0.25">
      <c r="A1248" s="1">
        <v>2330</v>
      </c>
      <c r="B1248" s="1" t="s">
        <v>575</v>
      </c>
      <c r="C1248" s="1" t="s">
        <v>576</v>
      </c>
    </row>
    <row r="1249" spans="1:3" x14ac:dyDescent="0.25">
      <c r="A1249" s="1">
        <v>2344</v>
      </c>
      <c r="B1249" s="1" t="s">
        <v>575</v>
      </c>
      <c r="C1249" s="1" t="s">
        <v>576</v>
      </c>
    </row>
    <row r="1250" spans="1:3" x14ac:dyDescent="0.25">
      <c r="A1250" s="1">
        <v>2392</v>
      </c>
      <c r="B1250" s="1" t="s">
        <v>575</v>
      </c>
      <c r="C1250" s="1" t="s">
        <v>576</v>
      </c>
    </row>
    <row r="1251" spans="1:3" x14ac:dyDescent="0.25">
      <c r="A1251" s="1">
        <v>2401</v>
      </c>
      <c r="B1251" s="1" t="s">
        <v>575</v>
      </c>
      <c r="C1251" s="1" t="s">
        <v>576</v>
      </c>
    </row>
    <row r="1252" spans="1:3" x14ac:dyDescent="0.25">
      <c r="A1252" s="1">
        <v>2403</v>
      </c>
      <c r="B1252" s="1" t="s">
        <v>575</v>
      </c>
      <c r="C1252" s="1" t="s">
        <v>576</v>
      </c>
    </row>
    <row r="1253" spans="1:3" x14ac:dyDescent="0.25">
      <c r="A1253" s="1">
        <v>2405</v>
      </c>
      <c r="B1253" s="1" t="s">
        <v>575</v>
      </c>
      <c r="C1253" s="1" t="s">
        <v>576</v>
      </c>
    </row>
    <row r="1254" spans="1:3" x14ac:dyDescent="0.25">
      <c r="A1254" s="1">
        <v>2407</v>
      </c>
      <c r="B1254" s="1" t="s">
        <v>575</v>
      </c>
      <c r="C1254" s="1" t="s">
        <v>576</v>
      </c>
    </row>
    <row r="1255" spans="1:3" x14ac:dyDescent="0.25">
      <c r="A1255" s="1">
        <v>2433</v>
      </c>
      <c r="B1255" s="1" t="s">
        <v>575</v>
      </c>
      <c r="C1255" s="1" t="s">
        <v>576</v>
      </c>
    </row>
    <row r="1256" spans="1:3" x14ac:dyDescent="0.25">
      <c r="A1256" s="1">
        <v>2434</v>
      </c>
      <c r="B1256" s="1" t="s">
        <v>575</v>
      </c>
      <c r="C1256" s="1" t="s">
        <v>576</v>
      </c>
    </row>
    <row r="1257" spans="1:3" x14ac:dyDescent="0.25">
      <c r="A1257" s="1">
        <v>2450</v>
      </c>
      <c r="B1257" s="1" t="s">
        <v>575</v>
      </c>
      <c r="C1257" s="1" t="s">
        <v>576</v>
      </c>
    </row>
    <row r="1258" spans="1:3" x14ac:dyDescent="0.25">
      <c r="A1258" s="1">
        <v>2451</v>
      </c>
      <c r="B1258" s="1" t="s">
        <v>575</v>
      </c>
      <c r="C1258" s="1" t="s">
        <v>576</v>
      </c>
    </row>
    <row r="1259" spans="1:3" x14ac:dyDescent="0.25">
      <c r="A1259" s="1">
        <v>2458</v>
      </c>
      <c r="B1259" s="1" t="s">
        <v>575</v>
      </c>
      <c r="C1259" s="1" t="s">
        <v>576</v>
      </c>
    </row>
    <row r="1260" spans="1:3" x14ac:dyDescent="0.25">
      <c r="A1260" s="1">
        <v>2459</v>
      </c>
      <c r="B1260" s="1" t="s">
        <v>575</v>
      </c>
      <c r="C1260" s="1" t="s">
        <v>576</v>
      </c>
    </row>
    <row r="1261" spans="1:3" x14ac:dyDescent="0.25">
      <c r="A1261" s="1">
        <v>2460</v>
      </c>
      <c r="B1261" s="1" t="s">
        <v>575</v>
      </c>
      <c r="C1261" s="1" t="s">
        <v>576</v>
      </c>
    </row>
    <row r="1262" spans="1:3" x14ac:dyDescent="0.25">
      <c r="A1262" s="1">
        <v>2463</v>
      </c>
      <c r="B1262" s="1" t="s">
        <v>575</v>
      </c>
      <c r="C1262" s="1" t="s">
        <v>576</v>
      </c>
    </row>
    <row r="1263" spans="1:3" x14ac:dyDescent="0.25">
      <c r="A1263" s="1">
        <v>2464</v>
      </c>
      <c r="B1263" s="1" t="s">
        <v>575</v>
      </c>
      <c r="C1263" s="1" t="s">
        <v>576</v>
      </c>
    </row>
    <row r="1264" spans="1:3" x14ac:dyDescent="0.25">
      <c r="A1264" s="1">
        <v>2465</v>
      </c>
      <c r="B1264" s="1" t="s">
        <v>575</v>
      </c>
      <c r="C1264" s="1" t="s">
        <v>576</v>
      </c>
    </row>
    <row r="1265" spans="1:3" x14ac:dyDescent="0.25">
      <c r="A1265" s="1">
        <v>2491</v>
      </c>
      <c r="B1265" s="1" t="s">
        <v>575</v>
      </c>
      <c r="C1265" s="1" t="s">
        <v>576</v>
      </c>
    </row>
    <row r="1266" spans="1:3" x14ac:dyDescent="0.25">
      <c r="A1266" s="1">
        <v>2492</v>
      </c>
      <c r="B1266" s="1" t="s">
        <v>575</v>
      </c>
      <c r="C1266" s="1" t="s">
        <v>576</v>
      </c>
    </row>
    <row r="1267" spans="1:3" x14ac:dyDescent="0.25">
      <c r="A1267" s="1">
        <v>2498</v>
      </c>
      <c r="B1267" s="1" t="s">
        <v>575</v>
      </c>
      <c r="C1267" s="1" t="s">
        <v>576</v>
      </c>
    </row>
    <row r="1268" spans="1:3" x14ac:dyDescent="0.25">
      <c r="A1268" s="1">
        <v>2502</v>
      </c>
      <c r="B1268" s="1" t="s">
        <v>575</v>
      </c>
      <c r="C1268" s="1" t="s">
        <v>576</v>
      </c>
    </row>
    <row r="1269" spans="1:3" x14ac:dyDescent="0.25">
      <c r="A1269" s="1">
        <v>2505</v>
      </c>
      <c r="B1269" s="1" t="s">
        <v>575</v>
      </c>
      <c r="C1269" s="1" t="s">
        <v>576</v>
      </c>
    </row>
    <row r="1270" spans="1:3" x14ac:dyDescent="0.25">
      <c r="A1270" s="1">
        <v>2506</v>
      </c>
      <c r="B1270" s="1" t="s">
        <v>575</v>
      </c>
      <c r="C1270" s="1" t="s">
        <v>576</v>
      </c>
    </row>
    <row r="1271" spans="1:3" x14ac:dyDescent="0.25">
      <c r="A1271" s="1">
        <v>2507</v>
      </c>
      <c r="B1271" s="1" t="s">
        <v>575</v>
      </c>
      <c r="C1271" s="1" t="s">
        <v>576</v>
      </c>
    </row>
    <row r="1272" spans="1:3" x14ac:dyDescent="0.25">
      <c r="A1272" s="1">
        <v>2516</v>
      </c>
      <c r="B1272" s="1" t="s">
        <v>575</v>
      </c>
      <c r="C1272" s="1" t="s">
        <v>576</v>
      </c>
    </row>
    <row r="1273" spans="1:3" x14ac:dyDescent="0.25">
      <c r="A1273" s="1">
        <v>2562</v>
      </c>
      <c r="B1273" s="1" t="s">
        <v>575</v>
      </c>
      <c r="C1273" s="1" t="s">
        <v>576</v>
      </c>
    </row>
    <row r="1274" spans="1:3" x14ac:dyDescent="0.25">
      <c r="A1274" s="1">
        <v>2564</v>
      </c>
      <c r="B1274" s="1" t="s">
        <v>575</v>
      </c>
      <c r="C1274" s="1" t="s">
        <v>576</v>
      </c>
    </row>
    <row r="1275" spans="1:3" x14ac:dyDescent="0.25">
      <c r="A1275" s="1">
        <v>2580</v>
      </c>
      <c r="B1275" s="1" t="s">
        <v>575</v>
      </c>
      <c r="C1275" s="1" t="s">
        <v>576</v>
      </c>
    </row>
    <row r="1276" spans="1:3" x14ac:dyDescent="0.25">
      <c r="A1276" s="1">
        <v>2582</v>
      </c>
      <c r="B1276" s="1" t="s">
        <v>575</v>
      </c>
      <c r="C1276" s="1" t="s">
        <v>576</v>
      </c>
    </row>
    <row r="1277" spans="1:3" x14ac:dyDescent="0.25">
      <c r="A1277" s="1">
        <v>2583</v>
      </c>
      <c r="B1277" s="1" t="s">
        <v>575</v>
      </c>
      <c r="C1277" s="1" t="s">
        <v>576</v>
      </c>
    </row>
    <row r="1278" spans="1:3" x14ac:dyDescent="0.25">
      <c r="A1278" s="1">
        <v>2585</v>
      </c>
      <c r="B1278" s="1" t="s">
        <v>575</v>
      </c>
      <c r="C1278" s="1" t="s">
        <v>576</v>
      </c>
    </row>
    <row r="1279" spans="1:3" x14ac:dyDescent="0.25">
      <c r="A1279" s="1">
        <v>2612</v>
      </c>
      <c r="B1279" s="1" t="s">
        <v>575</v>
      </c>
      <c r="C1279" s="1" t="s">
        <v>576</v>
      </c>
    </row>
    <row r="1280" spans="1:3" x14ac:dyDescent="0.25">
      <c r="A1280" s="1">
        <v>2613</v>
      </c>
      <c r="B1280" s="1" t="s">
        <v>575</v>
      </c>
      <c r="C1280" s="1" t="s">
        <v>576</v>
      </c>
    </row>
    <row r="1281" spans="1:3" x14ac:dyDescent="0.25">
      <c r="A1281" s="1">
        <v>2614</v>
      </c>
      <c r="B1281" s="1" t="s">
        <v>575</v>
      </c>
      <c r="C1281" s="1" t="s">
        <v>576</v>
      </c>
    </row>
    <row r="1282" spans="1:3" x14ac:dyDescent="0.25">
      <c r="A1282" s="1">
        <v>2615</v>
      </c>
      <c r="B1282" s="1" t="s">
        <v>575</v>
      </c>
      <c r="C1282" s="1" t="s">
        <v>576</v>
      </c>
    </row>
    <row r="1283" spans="1:3" x14ac:dyDescent="0.25">
      <c r="A1283" s="1">
        <v>2618</v>
      </c>
      <c r="B1283" s="1" t="s">
        <v>575</v>
      </c>
      <c r="C1283" s="1" t="s">
        <v>576</v>
      </c>
    </row>
    <row r="1284" spans="1:3" x14ac:dyDescent="0.25">
      <c r="A1284" s="1">
        <v>2619</v>
      </c>
      <c r="B1284" s="1" t="s">
        <v>575</v>
      </c>
      <c r="C1284" s="1" t="s">
        <v>576</v>
      </c>
    </row>
    <row r="1285" spans="1:3" x14ac:dyDescent="0.25">
      <c r="A1285" s="1">
        <v>2620</v>
      </c>
      <c r="B1285" s="1" t="s">
        <v>575</v>
      </c>
      <c r="C1285" s="1" t="s">
        <v>576</v>
      </c>
    </row>
    <row r="1286" spans="1:3" x14ac:dyDescent="0.25">
      <c r="A1286" s="1">
        <v>2653</v>
      </c>
      <c r="B1286" s="1" t="s">
        <v>575</v>
      </c>
      <c r="C1286" s="1" t="s">
        <v>576</v>
      </c>
    </row>
    <row r="1287" spans="1:3" x14ac:dyDescent="0.25">
      <c r="A1287" s="1">
        <v>2654</v>
      </c>
      <c r="B1287" s="1" t="s">
        <v>575</v>
      </c>
      <c r="C1287" s="1" t="s">
        <v>576</v>
      </c>
    </row>
    <row r="1288" spans="1:3" x14ac:dyDescent="0.25">
      <c r="A1288" s="1">
        <v>2673</v>
      </c>
      <c r="B1288" s="1" t="s">
        <v>575</v>
      </c>
      <c r="C1288" s="1" t="s">
        <v>576</v>
      </c>
    </row>
    <row r="1289" spans="1:3" x14ac:dyDescent="0.25">
      <c r="A1289" s="1">
        <v>2681</v>
      </c>
      <c r="B1289" s="1" t="s">
        <v>575</v>
      </c>
      <c r="C1289" s="1" t="s">
        <v>576</v>
      </c>
    </row>
    <row r="1290" spans="1:3" x14ac:dyDescent="0.25">
      <c r="A1290" s="1">
        <v>2685</v>
      </c>
      <c r="B1290" s="1" t="s">
        <v>575</v>
      </c>
      <c r="C1290" s="1" t="s">
        <v>576</v>
      </c>
    </row>
    <row r="1291" spans="1:3" x14ac:dyDescent="0.25">
      <c r="A1291" s="1">
        <v>2688</v>
      </c>
      <c r="B1291" s="1" t="s">
        <v>575</v>
      </c>
      <c r="C1291" s="1" t="s">
        <v>576</v>
      </c>
    </row>
    <row r="1292" spans="1:3" x14ac:dyDescent="0.25">
      <c r="A1292" s="1">
        <v>2689</v>
      </c>
      <c r="B1292" s="1" t="s">
        <v>575</v>
      </c>
      <c r="C1292" s="1" t="s">
        <v>576</v>
      </c>
    </row>
    <row r="1293" spans="1:3" x14ac:dyDescent="0.25">
      <c r="A1293" s="1">
        <v>2690</v>
      </c>
      <c r="B1293" s="1" t="s">
        <v>575</v>
      </c>
      <c r="C1293" s="1" t="s">
        <v>576</v>
      </c>
    </row>
    <row r="1294" spans="1:3" x14ac:dyDescent="0.25">
      <c r="A1294" s="1">
        <v>2691</v>
      </c>
      <c r="B1294" s="1" t="s">
        <v>575</v>
      </c>
      <c r="C1294" s="1" t="s">
        <v>576</v>
      </c>
    </row>
    <row r="1295" spans="1:3" x14ac:dyDescent="0.25">
      <c r="A1295" s="1">
        <v>2692</v>
      </c>
      <c r="B1295" s="1" t="s">
        <v>575</v>
      </c>
      <c r="C1295" s="1" t="s">
        <v>576</v>
      </c>
    </row>
    <row r="1296" spans="1:3" x14ac:dyDescent="0.25">
      <c r="A1296" s="1">
        <v>2737</v>
      </c>
      <c r="B1296" s="1" t="s">
        <v>575</v>
      </c>
      <c r="C1296" s="1" t="s">
        <v>576</v>
      </c>
    </row>
    <row r="1297" spans="1:3" x14ac:dyDescent="0.25">
      <c r="A1297" s="1">
        <v>2767</v>
      </c>
      <c r="B1297" s="1" t="s">
        <v>575</v>
      </c>
      <c r="C1297" s="1" t="s">
        <v>576</v>
      </c>
    </row>
    <row r="1298" spans="1:3" x14ac:dyDescent="0.25">
      <c r="A1298" s="1">
        <v>2781</v>
      </c>
      <c r="B1298" s="1" t="s">
        <v>575</v>
      </c>
      <c r="C1298" s="1" t="s">
        <v>576</v>
      </c>
    </row>
    <row r="1299" spans="1:3" x14ac:dyDescent="0.25">
      <c r="A1299" s="1">
        <v>2785</v>
      </c>
      <c r="B1299" s="1" t="s">
        <v>575</v>
      </c>
      <c r="C1299" s="1" t="s">
        <v>576</v>
      </c>
    </row>
    <row r="1300" spans="1:3" x14ac:dyDescent="0.25">
      <c r="A1300" s="1">
        <v>2867</v>
      </c>
      <c r="B1300" s="1" t="s">
        <v>575</v>
      </c>
      <c r="C1300" s="1" t="s">
        <v>576</v>
      </c>
    </row>
    <row r="1301" spans="1:3" x14ac:dyDescent="0.25">
      <c r="A1301" s="1">
        <v>2871</v>
      </c>
      <c r="B1301" s="1" t="s">
        <v>575</v>
      </c>
      <c r="C1301" s="1" t="s">
        <v>576</v>
      </c>
    </row>
    <row r="1302" spans="1:3" x14ac:dyDescent="0.25">
      <c r="A1302" s="1">
        <v>2901</v>
      </c>
      <c r="B1302" s="1" t="s">
        <v>575</v>
      </c>
      <c r="C1302" s="1" t="s">
        <v>576</v>
      </c>
    </row>
    <row r="1303" spans="1:3" x14ac:dyDescent="0.25">
      <c r="A1303" s="1">
        <v>2930</v>
      </c>
      <c r="B1303" s="1" t="s">
        <v>575</v>
      </c>
      <c r="C1303" s="1" t="s">
        <v>576</v>
      </c>
    </row>
    <row r="1304" spans="1:3" x14ac:dyDescent="0.25">
      <c r="A1304" s="1">
        <v>2941</v>
      </c>
      <c r="B1304" s="1" t="s">
        <v>575</v>
      </c>
      <c r="C1304" s="1" t="s">
        <v>576</v>
      </c>
    </row>
    <row r="1305" spans="1:3" x14ac:dyDescent="0.25">
      <c r="A1305" s="1">
        <v>2946</v>
      </c>
      <c r="B1305" s="1" t="s">
        <v>575</v>
      </c>
      <c r="C1305" s="1" t="s">
        <v>576</v>
      </c>
    </row>
    <row r="1306" spans="1:3" x14ac:dyDescent="0.25">
      <c r="A1306" s="1">
        <v>2970</v>
      </c>
      <c r="B1306" s="1" t="s">
        <v>575</v>
      </c>
      <c r="C1306" s="1" t="s">
        <v>576</v>
      </c>
    </row>
    <row r="1307" spans="1:3" x14ac:dyDescent="0.25">
      <c r="A1307" s="1">
        <v>2986</v>
      </c>
      <c r="B1307" s="1" t="s">
        <v>575</v>
      </c>
      <c r="C1307" s="1" t="s">
        <v>576</v>
      </c>
    </row>
    <row r="1308" spans="1:3" x14ac:dyDescent="0.25">
      <c r="A1308" s="1">
        <v>3027</v>
      </c>
      <c r="B1308" s="1" t="s">
        <v>575</v>
      </c>
      <c r="C1308" s="1" t="s">
        <v>576</v>
      </c>
    </row>
    <row r="1309" spans="1:3" x14ac:dyDescent="0.25">
      <c r="A1309" s="1">
        <v>3028</v>
      </c>
      <c r="B1309" s="1" t="s">
        <v>575</v>
      </c>
      <c r="C1309" s="1" t="s">
        <v>576</v>
      </c>
    </row>
    <row r="1310" spans="1:3" x14ac:dyDescent="0.25">
      <c r="A1310" s="1">
        <v>3033</v>
      </c>
      <c r="B1310" s="1" t="s">
        <v>575</v>
      </c>
      <c r="C1310" s="1" t="s">
        <v>576</v>
      </c>
    </row>
    <row r="1311" spans="1:3" x14ac:dyDescent="0.25">
      <c r="A1311" s="1">
        <v>3034</v>
      </c>
      <c r="B1311" s="1" t="s">
        <v>575</v>
      </c>
      <c r="C1311" s="1" t="s">
        <v>576</v>
      </c>
    </row>
    <row r="1312" spans="1:3" x14ac:dyDescent="0.25">
      <c r="A1312" s="1">
        <v>3040</v>
      </c>
      <c r="B1312" s="1" t="s">
        <v>575</v>
      </c>
      <c r="C1312" s="1" t="s">
        <v>576</v>
      </c>
    </row>
    <row r="1313" spans="1:3" x14ac:dyDescent="0.25">
      <c r="A1313" s="1">
        <v>3048</v>
      </c>
      <c r="B1313" s="1" t="s">
        <v>575</v>
      </c>
      <c r="C1313" s="1" t="s">
        <v>576</v>
      </c>
    </row>
    <row r="1314" spans="1:3" x14ac:dyDescent="0.25">
      <c r="A1314" s="1">
        <v>3051</v>
      </c>
      <c r="B1314" s="1" t="s">
        <v>575</v>
      </c>
      <c r="C1314" s="1" t="s">
        <v>576</v>
      </c>
    </row>
    <row r="1315" spans="1:3" x14ac:dyDescent="0.25">
      <c r="A1315" s="1">
        <v>3073</v>
      </c>
      <c r="B1315" s="1" t="s">
        <v>575</v>
      </c>
      <c r="C1315" s="1" t="s">
        <v>576</v>
      </c>
    </row>
    <row r="1316" spans="1:3" x14ac:dyDescent="0.25">
      <c r="A1316" s="1">
        <v>3080</v>
      </c>
      <c r="B1316" s="1" t="s">
        <v>575</v>
      </c>
      <c r="C1316" s="1" t="s">
        <v>576</v>
      </c>
    </row>
    <row r="1317" spans="1:3" x14ac:dyDescent="0.25">
      <c r="A1317" s="1">
        <v>3081</v>
      </c>
      <c r="B1317" s="1" t="s">
        <v>575</v>
      </c>
      <c r="C1317" s="1" t="s">
        <v>576</v>
      </c>
    </row>
    <row r="1318" spans="1:3" x14ac:dyDescent="0.25">
      <c r="A1318" s="1">
        <v>3091</v>
      </c>
      <c r="B1318" s="1" t="s">
        <v>575</v>
      </c>
      <c r="C1318" s="1" t="s">
        <v>576</v>
      </c>
    </row>
    <row r="1319" spans="1:3" x14ac:dyDescent="0.25">
      <c r="A1319" s="1">
        <v>3092</v>
      </c>
      <c r="B1319" s="1" t="s">
        <v>575</v>
      </c>
      <c r="C1319" s="1" t="s">
        <v>576</v>
      </c>
    </row>
    <row r="1320" spans="1:3" x14ac:dyDescent="0.25">
      <c r="A1320" s="1">
        <v>3093</v>
      </c>
      <c r="B1320" s="1" t="s">
        <v>575</v>
      </c>
      <c r="C1320" s="1" t="s">
        <v>576</v>
      </c>
    </row>
    <row r="1321" spans="1:3" x14ac:dyDescent="0.25">
      <c r="A1321" s="1">
        <v>3094</v>
      </c>
      <c r="B1321" s="1" t="s">
        <v>575</v>
      </c>
      <c r="C1321" s="1" t="s">
        <v>576</v>
      </c>
    </row>
    <row r="1322" spans="1:3" x14ac:dyDescent="0.25">
      <c r="A1322" s="1">
        <v>3101</v>
      </c>
      <c r="B1322" s="1" t="s">
        <v>575</v>
      </c>
      <c r="C1322" s="1" t="s">
        <v>576</v>
      </c>
    </row>
    <row r="1323" spans="1:3" x14ac:dyDescent="0.25">
      <c r="A1323" s="1">
        <v>3105</v>
      </c>
      <c r="B1323" s="1" t="s">
        <v>575</v>
      </c>
      <c r="C1323" s="1" t="s">
        <v>576</v>
      </c>
    </row>
    <row r="1324" spans="1:3" x14ac:dyDescent="0.25">
      <c r="A1324" s="1">
        <v>3107</v>
      </c>
      <c r="B1324" s="1" t="s">
        <v>575</v>
      </c>
      <c r="C1324" s="1" t="s">
        <v>576</v>
      </c>
    </row>
    <row r="1325" spans="1:3" x14ac:dyDescent="0.25">
      <c r="A1325" s="1">
        <v>3117</v>
      </c>
      <c r="B1325" s="1" t="s">
        <v>575</v>
      </c>
      <c r="C1325" s="1" t="s">
        <v>576</v>
      </c>
    </row>
    <row r="1326" spans="1:3" x14ac:dyDescent="0.25">
      <c r="A1326" s="1">
        <v>3118</v>
      </c>
      <c r="B1326" s="1" t="s">
        <v>575</v>
      </c>
      <c r="C1326" s="1" t="s">
        <v>576</v>
      </c>
    </row>
    <row r="1327" spans="1:3" x14ac:dyDescent="0.25">
      <c r="A1327" s="1">
        <v>3122</v>
      </c>
      <c r="B1327" s="1" t="s">
        <v>575</v>
      </c>
      <c r="C1327" s="1" t="s">
        <v>576</v>
      </c>
    </row>
    <row r="1328" spans="1:3" x14ac:dyDescent="0.25">
      <c r="A1328" s="1">
        <v>3132</v>
      </c>
      <c r="B1328" s="1" t="s">
        <v>575</v>
      </c>
      <c r="C1328" s="1" t="s">
        <v>576</v>
      </c>
    </row>
    <row r="1329" spans="1:3" x14ac:dyDescent="0.25">
      <c r="A1329" s="1">
        <v>3135</v>
      </c>
      <c r="B1329" s="1" t="s">
        <v>575</v>
      </c>
      <c r="C1329" s="1" t="s">
        <v>576</v>
      </c>
    </row>
    <row r="1330" spans="1:3" x14ac:dyDescent="0.25">
      <c r="A1330" s="1">
        <v>3152</v>
      </c>
      <c r="B1330" s="1" t="s">
        <v>575</v>
      </c>
      <c r="C1330" s="1" t="s">
        <v>576</v>
      </c>
    </row>
    <row r="1331" spans="1:3" x14ac:dyDescent="0.25">
      <c r="A1331" s="1">
        <v>3187</v>
      </c>
      <c r="B1331" s="1" t="s">
        <v>575</v>
      </c>
      <c r="C1331" s="1" t="s">
        <v>576</v>
      </c>
    </row>
    <row r="1332" spans="1:3" x14ac:dyDescent="0.25">
      <c r="A1332" s="1">
        <v>3220</v>
      </c>
      <c r="B1332" s="1" t="s">
        <v>575</v>
      </c>
      <c r="C1332" s="1" t="s">
        <v>576</v>
      </c>
    </row>
    <row r="1333" spans="1:3" x14ac:dyDescent="0.25">
      <c r="A1333" s="1">
        <v>3224</v>
      </c>
      <c r="B1333" s="1" t="s">
        <v>575</v>
      </c>
      <c r="C1333" s="1" t="s">
        <v>576</v>
      </c>
    </row>
    <row r="1334" spans="1:3" x14ac:dyDescent="0.25">
      <c r="A1334" s="1">
        <v>3237</v>
      </c>
      <c r="B1334" s="1" t="s">
        <v>575</v>
      </c>
      <c r="C1334" s="1" t="s">
        <v>576</v>
      </c>
    </row>
    <row r="1335" spans="1:3" x14ac:dyDescent="0.25">
      <c r="A1335" s="1">
        <v>3265</v>
      </c>
      <c r="B1335" s="1" t="s">
        <v>575</v>
      </c>
      <c r="C1335" s="1" t="s">
        <v>576</v>
      </c>
    </row>
    <row r="1336" spans="1:3" x14ac:dyDescent="0.25">
      <c r="A1336" s="1">
        <v>3313</v>
      </c>
      <c r="B1336" s="1" t="s">
        <v>575</v>
      </c>
      <c r="C1336" s="1" t="s">
        <v>576</v>
      </c>
    </row>
    <row r="1337" spans="1:3" x14ac:dyDescent="0.25">
      <c r="A1337" s="1">
        <v>3324</v>
      </c>
      <c r="B1337" s="1" t="s">
        <v>575</v>
      </c>
      <c r="C1337" s="1" t="s">
        <v>576</v>
      </c>
    </row>
    <row r="1338" spans="1:3" x14ac:dyDescent="0.25">
      <c r="A1338" s="1">
        <v>3334</v>
      </c>
      <c r="B1338" s="1" t="s">
        <v>575</v>
      </c>
      <c r="C1338" s="1" t="s">
        <v>576</v>
      </c>
    </row>
    <row r="1339" spans="1:3" x14ac:dyDescent="0.25">
      <c r="A1339" s="1">
        <v>1</v>
      </c>
      <c r="B1339" s="1" t="s">
        <v>571</v>
      </c>
      <c r="C1339" s="1" t="s">
        <v>572</v>
      </c>
    </row>
    <row r="1340" spans="1:3" x14ac:dyDescent="0.25">
      <c r="A1340" s="1">
        <v>2</v>
      </c>
      <c r="B1340" s="1" t="s">
        <v>571</v>
      </c>
      <c r="C1340" s="1" t="s">
        <v>572</v>
      </c>
    </row>
    <row r="1341" spans="1:3" x14ac:dyDescent="0.25">
      <c r="A1341" s="1">
        <v>3</v>
      </c>
      <c r="B1341" s="1" t="s">
        <v>571</v>
      </c>
      <c r="C1341" s="1" t="s">
        <v>572</v>
      </c>
    </row>
    <row r="1342" spans="1:3" x14ac:dyDescent="0.25">
      <c r="A1342" s="1">
        <v>21</v>
      </c>
      <c r="B1342" s="1" t="s">
        <v>571</v>
      </c>
      <c r="C1342" s="1" t="s">
        <v>572</v>
      </c>
    </row>
    <row r="1343" spans="1:3" x14ac:dyDescent="0.25">
      <c r="A1343" s="1">
        <v>22</v>
      </c>
      <c r="B1343" s="1" t="s">
        <v>571</v>
      </c>
      <c r="C1343" s="1" t="s">
        <v>572</v>
      </c>
    </row>
    <row r="1344" spans="1:3" x14ac:dyDescent="0.25">
      <c r="A1344" s="1">
        <v>27</v>
      </c>
      <c r="B1344" s="1" t="s">
        <v>571</v>
      </c>
      <c r="C1344" s="1" t="s">
        <v>572</v>
      </c>
    </row>
    <row r="1345" spans="1:3" x14ac:dyDescent="0.25">
      <c r="A1345" s="1">
        <v>28</v>
      </c>
      <c r="B1345" s="1" t="s">
        <v>571</v>
      </c>
      <c r="C1345" s="1" t="s">
        <v>572</v>
      </c>
    </row>
    <row r="1346" spans="1:3" x14ac:dyDescent="0.25">
      <c r="A1346" s="1">
        <v>29</v>
      </c>
      <c r="B1346" s="1" t="s">
        <v>571</v>
      </c>
      <c r="C1346" s="1" t="s">
        <v>572</v>
      </c>
    </row>
    <row r="1347" spans="1:3" x14ac:dyDescent="0.25">
      <c r="A1347" s="1">
        <v>30</v>
      </c>
      <c r="B1347" s="1" t="s">
        <v>571</v>
      </c>
      <c r="C1347" s="1" t="s">
        <v>572</v>
      </c>
    </row>
    <row r="1348" spans="1:3" x14ac:dyDescent="0.25">
      <c r="A1348" s="1">
        <v>31</v>
      </c>
      <c r="B1348" s="1" t="s">
        <v>571</v>
      </c>
      <c r="C1348" s="1" t="s">
        <v>572</v>
      </c>
    </row>
    <row r="1349" spans="1:3" x14ac:dyDescent="0.25">
      <c r="A1349" s="1">
        <v>40</v>
      </c>
      <c r="B1349" s="1" t="s">
        <v>571</v>
      </c>
      <c r="C1349" s="1" t="s">
        <v>572</v>
      </c>
    </row>
    <row r="1350" spans="1:3" x14ac:dyDescent="0.25">
      <c r="A1350" s="1">
        <v>168</v>
      </c>
      <c r="B1350" s="1" t="s">
        <v>571</v>
      </c>
      <c r="C1350" s="1" t="s">
        <v>572</v>
      </c>
    </row>
    <row r="1351" spans="1:3" x14ac:dyDescent="0.25">
      <c r="A1351" s="1">
        <v>190</v>
      </c>
      <c r="B1351" s="1" t="s">
        <v>571</v>
      </c>
      <c r="C1351" s="1" t="s">
        <v>572</v>
      </c>
    </row>
    <row r="1352" spans="1:3" x14ac:dyDescent="0.25">
      <c r="A1352" s="1">
        <v>256</v>
      </c>
      <c r="B1352" s="1" t="s">
        <v>571</v>
      </c>
      <c r="C1352" s="1" t="s">
        <v>572</v>
      </c>
    </row>
    <row r="1353" spans="1:3" x14ac:dyDescent="0.25">
      <c r="A1353" s="1">
        <v>261</v>
      </c>
      <c r="B1353" s="1" t="s">
        <v>571</v>
      </c>
      <c r="C1353" s="1" t="s">
        <v>572</v>
      </c>
    </row>
    <row r="1354" spans="1:3" x14ac:dyDescent="0.25">
      <c r="A1354" s="1">
        <v>291</v>
      </c>
      <c r="B1354" s="1" t="s">
        <v>571</v>
      </c>
      <c r="C1354" s="1" t="s">
        <v>572</v>
      </c>
    </row>
    <row r="1355" spans="1:3" x14ac:dyDescent="0.25">
      <c r="A1355" s="1">
        <v>292</v>
      </c>
      <c r="B1355" s="1" t="s">
        <v>571</v>
      </c>
      <c r="C1355" s="1" t="s">
        <v>572</v>
      </c>
    </row>
    <row r="1356" spans="1:3" x14ac:dyDescent="0.25">
      <c r="A1356" s="1">
        <v>293</v>
      </c>
      <c r="B1356" s="1" t="s">
        <v>571</v>
      </c>
      <c r="C1356" s="1" t="s">
        <v>572</v>
      </c>
    </row>
    <row r="1357" spans="1:3" x14ac:dyDescent="0.25">
      <c r="A1357" s="1">
        <v>294</v>
      </c>
      <c r="B1357" s="1" t="s">
        <v>571</v>
      </c>
      <c r="C1357" s="1" t="s">
        <v>572</v>
      </c>
    </row>
    <row r="1358" spans="1:3" x14ac:dyDescent="0.25">
      <c r="A1358" s="1">
        <v>295</v>
      </c>
      <c r="B1358" s="1" t="s">
        <v>571</v>
      </c>
      <c r="C1358" s="1" t="s">
        <v>572</v>
      </c>
    </row>
    <row r="1359" spans="1:3" x14ac:dyDescent="0.25">
      <c r="A1359" s="1">
        <v>296</v>
      </c>
      <c r="B1359" s="1" t="s">
        <v>571</v>
      </c>
      <c r="C1359" s="1" t="s">
        <v>572</v>
      </c>
    </row>
    <row r="1360" spans="1:3" x14ac:dyDescent="0.25">
      <c r="A1360" s="1">
        <v>297</v>
      </c>
      <c r="B1360" s="1" t="s">
        <v>571</v>
      </c>
      <c r="C1360" s="1" t="s">
        <v>572</v>
      </c>
    </row>
    <row r="1361" spans="1:3" x14ac:dyDescent="0.25">
      <c r="A1361" s="1">
        <v>302</v>
      </c>
      <c r="B1361" s="1" t="s">
        <v>571</v>
      </c>
      <c r="C1361" s="1" t="s">
        <v>572</v>
      </c>
    </row>
    <row r="1362" spans="1:3" x14ac:dyDescent="0.25">
      <c r="A1362" s="1">
        <v>303</v>
      </c>
      <c r="B1362" s="1" t="s">
        <v>571</v>
      </c>
      <c r="C1362" s="1" t="s">
        <v>572</v>
      </c>
    </row>
    <row r="1363" spans="1:3" x14ac:dyDescent="0.25">
      <c r="A1363" s="1">
        <v>304</v>
      </c>
      <c r="B1363" s="1" t="s">
        <v>571</v>
      </c>
      <c r="C1363" s="1" t="s">
        <v>572</v>
      </c>
    </row>
    <row r="1364" spans="1:3" x14ac:dyDescent="0.25">
      <c r="A1364" s="1">
        <v>493</v>
      </c>
      <c r="B1364" s="1" t="s">
        <v>571</v>
      </c>
      <c r="C1364" s="1" t="s">
        <v>572</v>
      </c>
    </row>
    <row r="1365" spans="1:3" x14ac:dyDescent="0.25">
      <c r="A1365" s="1">
        <v>522</v>
      </c>
      <c r="B1365" s="1" t="s">
        <v>571</v>
      </c>
      <c r="C1365" s="1" t="s">
        <v>572</v>
      </c>
    </row>
    <row r="1366" spans="1:3" x14ac:dyDescent="0.25">
      <c r="A1366" s="1">
        <v>523</v>
      </c>
      <c r="B1366" s="1" t="s">
        <v>571</v>
      </c>
      <c r="C1366" s="1" t="s">
        <v>572</v>
      </c>
    </row>
    <row r="1367" spans="1:3" x14ac:dyDescent="0.25">
      <c r="A1367" s="1">
        <v>524</v>
      </c>
      <c r="B1367" s="1" t="s">
        <v>571</v>
      </c>
      <c r="C1367" s="1" t="s">
        <v>572</v>
      </c>
    </row>
    <row r="1368" spans="1:3" x14ac:dyDescent="0.25">
      <c r="A1368" s="1">
        <v>525</v>
      </c>
      <c r="B1368" s="1" t="s">
        <v>571</v>
      </c>
      <c r="C1368" s="1" t="s">
        <v>572</v>
      </c>
    </row>
    <row r="1369" spans="1:3" x14ac:dyDescent="0.25">
      <c r="A1369" s="1">
        <v>739</v>
      </c>
      <c r="B1369" s="1" t="s">
        <v>571</v>
      </c>
      <c r="C1369" s="1" t="s">
        <v>572</v>
      </c>
    </row>
    <row r="1370" spans="1:3" x14ac:dyDescent="0.25">
      <c r="A1370" s="1">
        <v>748</v>
      </c>
      <c r="B1370" s="1" t="s">
        <v>571</v>
      </c>
      <c r="C1370" s="1" t="s">
        <v>572</v>
      </c>
    </row>
    <row r="1371" spans="1:3" x14ac:dyDescent="0.25">
      <c r="A1371" s="1">
        <v>750</v>
      </c>
      <c r="B1371" s="1" t="s">
        <v>571</v>
      </c>
      <c r="C1371" s="1" t="s">
        <v>572</v>
      </c>
    </row>
    <row r="1372" spans="1:3" x14ac:dyDescent="0.25">
      <c r="A1372" s="1">
        <v>762</v>
      </c>
      <c r="B1372" s="1" t="s">
        <v>571</v>
      </c>
      <c r="C1372" s="1" t="s">
        <v>572</v>
      </c>
    </row>
    <row r="1373" spans="1:3" x14ac:dyDescent="0.25">
      <c r="A1373" s="1">
        <v>790</v>
      </c>
      <c r="B1373" s="1" t="s">
        <v>571</v>
      </c>
      <c r="C1373" s="1" t="s">
        <v>572</v>
      </c>
    </row>
    <row r="1374" spans="1:3" x14ac:dyDescent="0.25">
      <c r="A1374" s="1">
        <v>811</v>
      </c>
      <c r="B1374" s="1" t="s">
        <v>571</v>
      </c>
      <c r="C1374" s="1" t="s">
        <v>572</v>
      </c>
    </row>
    <row r="1375" spans="1:3" x14ac:dyDescent="0.25">
      <c r="A1375" s="1">
        <v>821</v>
      </c>
      <c r="B1375" s="1" t="s">
        <v>571</v>
      </c>
      <c r="C1375" s="1" t="s">
        <v>572</v>
      </c>
    </row>
    <row r="1376" spans="1:3" x14ac:dyDescent="0.25">
      <c r="A1376" s="1">
        <v>833</v>
      </c>
      <c r="B1376" s="1" t="s">
        <v>571</v>
      </c>
      <c r="C1376" s="1" t="s">
        <v>572</v>
      </c>
    </row>
    <row r="1377" spans="1:3" x14ac:dyDescent="0.25">
      <c r="A1377" s="1">
        <v>863</v>
      </c>
      <c r="B1377" s="1" t="s">
        <v>571</v>
      </c>
      <c r="C1377" s="1" t="s">
        <v>572</v>
      </c>
    </row>
    <row r="1378" spans="1:3" x14ac:dyDescent="0.25">
      <c r="A1378" s="1">
        <v>867</v>
      </c>
      <c r="B1378" s="1" t="s">
        <v>571</v>
      </c>
      <c r="C1378" s="1" t="s">
        <v>572</v>
      </c>
    </row>
    <row r="1379" spans="1:3" x14ac:dyDescent="0.25">
      <c r="A1379" s="1">
        <v>868</v>
      </c>
      <c r="B1379" s="1" t="s">
        <v>571</v>
      </c>
      <c r="C1379" s="1" t="s">
        <v>572</v>
      </c>
    </row>
    <row r="1380" spans="1:3" x14ac:dyDescent="0.25">
      <c r="A1380" s="1">
        <v>873</v>
      </c>
      <c r="B1380" s="1" t="s">
        <v>571</v>
      </c>
      <c r="C1380" s="1" t="s">
        <v>572</v>
      </c>
    </row>
    <row r="1381" spans="1:3" x14ac:dyDescent="0.25">
      <c r="A1381" s="1">
        <v>877</v>
      </c>
      <c r="B1381" s="1" t="s">
        <v>571</v>
      </c>
      <c r="C1381" s="1" t="s">
        <v>572</v>
      </c>
    </row>
    <row r="1382" spans="1:3" x14ac:dyDescent="0.25">
      <c r="A1382" s="1">
        <v>888</v>
      </c>
      <c r="B1382" s="1" t="s">
        <v>571</v>
      </c>
      <c r="C1382" s="1" t="s">
        <v>572</v>
      </c>
    </row>
    <row r="1383" spans="1:3" x14ac:dyDescent="0.25">
      <c r="A1383" s="1">
        <v>932</v>
      </c>
      <c r="B1383" s="1" t="s">
        <v>571</v>
      </c>
      <c r="C1383" s="1" t="s">
        <v>572</v>
      </c>
    </row>
    <row r="1384" spans="1:3" x14ac:dyDescent="0.25">
      <c r="A1384" s="1">
        <v>963</v>
      </c>
      <c r="B1384" s="1" t="s">
        <v>571</v>
      </c>
      <c r="C1384" s="1" t="s">
        <v>572</v>
      </c>
    </row>
    <row r="1385" spans="1:3" x14ac:dyDescent="0.25">
      <c r="A1385" s="1">
        <v>1038</v>
      </c>
      <c r="B1385" s="1" t="s">
        <v>571</v>
      </c>
      <c r="C1385" s="1" t="s">
        <v>572</v>
      </c>
    </row>
    <row r="1386" spans="1:3" x14ac:dyDescent="0.25">
      <c r="A1386" s="1">
        <v>1044</v>
      </c>
      <c r="B1386" s="1" t="s">
        <v>571</v>
      </c>
      <c r="C1386" s="1" t="s">
        <v>572</v>
      </c>
    </row>
    <row r="1387" spans="1:3" x14ac:dyDescent="0.25">
      <c r="A1387" s="1">
        <v>1049</v>
      </c>
      <c r="B1387" s="1" t="s">
        <v>571</v>
      </c>
      <c r="C1387" s="1" t="s">
        <v>572</v>
      </c>
    </row>
    <row r="1388" spans="1:3" x14ac:dyDescent="0.25">
      <c r="A1388" s="1">
        <v>1052</v>
      </c>
      <c r="B1388" s="1" t="s">
        <v>571</v>
      </c>
      <c r="C1388" s="1" t="s">
        <v>572</v>
      </c>
    </row>
    <row r="1389" spans="1:3" x14ac:dyDescent="0.25">
      <c r="A1389" s="1">
        <v>1053</v>
      </c>
      <c r="B1389" s="1" t="s">
        <v>571</v>
      </c>
      <c r="C1389" s="1" t="s">
        <v>572</v>
      </c>
    </row>
    <row r="1390" spans="1:3" x14ac:dyDescent="0.25">
      <c r="A1390" s="1">
        <v>1080</v>
      </c>
      <c r="B1390" s="1" t="s">
        <v>571</v>
      </c>
      <c r="C1390" s="1" t="s">
        <v>572</v>
      </c>
    </row>
    <row r="1391" spans="1:3" x14ac:dyDescent="0.25">
      <c r="A1391" s="1">
        <v>1081</v>
      </c>
      <c r="B1391" s="1" t="s">
        <v>571</v>
      </c>
      <c r="C1391" s="1" t="s">
        <v>572</v>
      </c>
    </row>
    <row r="1392" spans="1:3" x14ac:dyDescent="0.25">
      <c r="A1392" s="1">
        <v>1095</v>
      </c>
      <c r="B1392" s="1" t="s">
        <v>571</v>
      </c>
      <c r="C1392" s="1" t="s">
        <v>572</v>
      </c>
    </row>
    <row r="1393" spans="1:3" x14ac:dyDescent="0.25">
      <c r="A1393" s="1">
        <v>1100</v>
      </c>
      <c r="B1393" s="1" t="s">
        <v>571</v>
      </c>
      <c r="C1393" s="1" t="s">
        <v>572</v>
      </c>
    </row>
    <row r="1394" spans="1:3" x14ac:dyDescent="0.25">
      <c r="A1394" s="1">
        <v>1121</v>
      </c>
      <c r="B1394" s="1" t="s">
        <v>571</v>
      </c>
      <c r="C1394" s="1" t="s">
        <v>572</v>
      </c>
    </row>
    <row r="1395" spans="1:3" x14ac:dyDescent="0.25">
      <c r="A1395" s="1">
        <v>1125</v>
      </c>
      <c r="B1395" s="1" t="s">
        <v>571</v>
      </c>
      <c r="C1395" s="1" t="s">
        <v>572</v>
      </c>
    </row>
    <row r="1396" spans="1:3" x14ac:dyDescent="0.25">
      <c r="A1396" s="1">
        <v>1126</v>
      </c>
      <c r="B1396" s="1" t="s">
        <v>571</v>
      </c>
      <c r="C1396" s="1" t="s">
        <v>572</v>
      </c>
    </row>
    <row r="1397" spans="1:3" x14ac:dyDescent="0.25">
      <c r="A1397" s="1">
        <v>1128</v>
      </c>
      <c r="B1397" s="1" t="s">
        <v>571</v>
      </c>
      <c r="C1397" s="1" t="s">
        <v>572</v>
      </c>
    </row>
    <row r="1398" spans="1:3" x14ac:dyDescent="0.25">
      <c r="A1398" s="1">
        <v>1147</v>
      </c>
      <c r="B1398" s="1" t="s">
        <v>571</v>
      </c>
      <c r="C1398" s="1" t="s">
        <v>572</v>
      </c>
    </row>
    <row r="1399" spans="1:3" x14ac:dyDescent="0.25">
      <c r="A1399" s="1">
        <v>1151</v>
      </c>
      <c r="B1399" s="1" t="s">
        <v>571</v>
      </c>
      <c r="C1399" s="1" t="s">
        <v>572</v>
      </c>
    </row>
    <row r="1400" spans="1:3" x14ac:dyDescent="0.25">
      <c r="A1400" s="1">
        <v>1155</v>
      </c>
      <c r="B1400" s="1" t="s">
        <v>571</v>
      </c>
      <c r="C1400" s="1" t="s">
        <v>572</v>
      </c>
    </row>
    <row r="1401" spans="1:3" x14ac:dyDescent="0.25">
      <c r="A1401" s="1">
        <v>1213</v>
      </c>
      <c r="B1401" s="1" t="s">
        <v>571</v>
      </c>
      <c r="C1401" s="1" t="s">
        <v>572</v>
      </c>
    </row>
    <row r="1402" spans="1:3" x14ac:dyDescent="0.25">
      <c r="A1402" s="1">
        <v>1217</v>
      </c>
      <c r="B1402" s="1" t="s">
        <v>571</v>
      </c>
      <c r="C1402" s="1" t="s">
        <v>572</v>
      </c>
    </row>
    <row r="1403" spans="1:3" x14ac:dyDescent="0.25">
      <c r="A1403" s="1">
        <v>1236</v>
      </c>
      <c r="B1403" s="1" t="s">
        <v>571</v>
      </c>
      <c r="C1403" s="1" t="s">
        <v>572</v>
      </c>
    </row>
    <row r="1404" spans="1:3" x14ac:dyDescent="0.25">
      <c r="A1404" s="1">
        <v>1237</v>
      </c>
      <c r="B1404" s="1" t="s">
        <v>571</v>
      </c>
      <c r="C1404" s="1" t="s">
        <v>572</v>
      </c>
    </row>
    <row r="1405" spans="1:3" x14ac:dyDescent="0.25">
      <c r="A1405" s="1">
        <v>1359</v>
      </c>
      <c r="B1405" s="1" t="s">
        <v>571</v>
      </c>
      <c r="C1405" s="1" t="s">
        <v>572</v>
      </c>
    </row>
    <row r="1406" spans="1:3" x14ac:dyDescent="0.25">
      <c r="A1406" s="1">
        <v>1363</v>
      </c>
      <c r="B1406" s="1" t="s">
        <v>571</v>
      </c>
      <c r="C1406" s="1" t="s">
        <v>572</v>
      </c>
    </row>
    <row r="1407" spans="1:3" x14ac:dyDescent="0.25">
      <c r="A1407" s="1">
        <v>1369</v>
      </c>
      <c r="B1407" s="1" t="s">
        <v>571</v>
      </c>
      <c r="C1407" s="1" t="s">
        <v>572</v>
      </c>
    </row>
    <row r="1408" spans="1:3" x14ac:dyDescent="0.25">
      <c r="A1408" s="1">
        <v>1376</v>
      </c>
      <c r="B1408" s="1" t="s">
        <v>571</v>
      </c>
      <c r="C1408" s="1" t="s">
        <v>572</v>
      </c>
    </row>
    <row r="1409" spans="1:3" x14ac:dyDescent="0.25">
      <c r="A1409" s="1">
        <v>1384</v>
      </c>
      <c r="B1409" s="1" t="s">
        <v>571</v>
      </c>
      <c r="C1409" s="1" t="s">
        <v>572</v>
      </c>
    </row>
    <row r="1410" spans="1:3" x14ac:dyDescent="0.25">
      <c r="A1410" s="1">
        <v>1437</v>
      </c>
      <c r="B1410" s="1" t="s">
        <v>571</v>
      </c>
      <c r="C1410" s="1" t="s">
        <v>572</v>
      </c>
    </row>
    <row r="1411" spans="1:3" x14ac:dyDescent="0.25">
      <c r="A1411" s="1">
        <v>1441</v>
      </c>
      <c r="B1411" s="1" t="s">
        <v>571</v>
      </c>
      <c r="C1411" s="1" t="s">
        <v>572</v>
      </c>
    </row>
    <row r="1412" spans="1:3" x14ac:dyDescent="0.25">
      <c r="A1412" s="1">
        <v>1451</v>
      </c>
      <c r="B1412" s="1" t="s">
        <v>571</v>
      </c>
      <c r="C1412" s="1" t="s">
        <v>572</v>
      </c>
    </row>
    <row r="1413" spans="1:3" x14ac:dyDescent="0.25">
      <c r="A1413" s="1">
        <v>1492</v>
      </c>
      <c r="B1413" s="1" t="s">
        <v>571</v>
      </c>
      <c r="C1413" s="1" t="s">
        <v>572</v>
      </c>
    </row>
    <row r="1414" spans="1:3" x14ac:dyDescent="0.25">
      <c r="A1414" s="1">
        <v>1526</v>
      </c>
      <c r="B1414" s="1" t="s">
        <v>571</v>
      </c>
      <c r="C1414" s="1" t="s">
        <v>572</v>
      </c>
    </row>
    <row r="1415" spans="1:3" x14ac:dyDescent="0.25">
      <c r="A1415" s="1">
        <v>1585</v>
      </c>
      <c r="B1415" s="1" t="s">
        <v>571</v>
      </c>
      <c r="C1415" s="1" t="s">
        <v>572</v>
      </c>
    </row>
    <row r="1416" spans="1:3" x14ac:dyDescent="0.25">
      <c r="A1416" s="1">
        <v>1588</v>
      </c>
      <c r="B1416" s="1" t="s">
        <v>571</v>
      </c>
      <c r="C1416" s="1" t="s">
        <v>572</v>
      </c>
    </row>
    <row r="1417" spans="1:3" x14ac:dyDescent="0.25">
      <c r="A1417" s="1">
        <v>1612</v>
      </c>
      <c r="B1417" s="1" t="s">
        <v>571</v>
      </c>
      <c r="C1417" s="1" t="s">
        <v>572</v>
      </c>
    </row>
    <row r="1418" spans="1:3" x14ac:dyDescent="0.25">
      <c r="A1418" s="1">
        <v>1614</v>
      </c>
      <c r="B1418" s="1" t="s">
        <v>571</v>
      </c>
      <c r="C1418" s="1" t="s">
        <v>572</v>
      </c>
    </row>
    <row r="1419" spans="1:3" x14ac:dyDescent="0.25">
      <c r="A1419" s="1">
        <v>1656</v>
      </c>
      <c r="B1419" s="1" t="s">
        <v>571</v>
      </c>
      <c r="C1419" s="1" t="s">
        <v>572</v>
      </c>
    </row>
    <row r="1420" spans="1:3" x14ac:dyDescent="0.25">
      <c r="A1420" s="1">
        <v>1659</v>
      </c>
      <c r="B1420" s="1" t="s">
        <v>571</v>
      </c>
      <c r="C1420" s="1" t="s">
        <v>572</v>
      </c>
    </row>
    <row r="1421" spans="1:3" x14ac:dyDescent="0.25">
      <c r="A1421" s="1">
        <v>1664</v>
      </c>
      <c r="B1421" s="1" t="s">
        <v>571</v>
      </c>
      <c r="C1421" s="1" t="s">
        <v>572</v>
      </c>
    </row>
    <row r="1422" spans="1:3" x14ac:dyDescent="0.25">
      <c r="A1422" s="1">
        <v>1681</v>
      </c>
      <c r="B1422" s="1" t="s">
        <v>571</v>
      </c>
      <c r="C1422" s="1" t="s">
        <v>572</v>
      </c>
    </row>
    <row r="1423" spans="1:3" x14ac:dyDescent="0.25">
      <c r="A1423" s="1">
        <v>1682</v>
      </c>
      <c r="B1423" s="1" t="s">
        <v>571</v>
      </c>
      <c r="C1423" s="1" t="s">
        <v>572</v>
      </c>
    </row>
    <row r="1424" spans="1:3" x14ac:dyDescent="0.25">
      <c r="A1424" s="1">
        <v>1699</v>
      </c>
      <c r="B1424" s="1" t="s">
        <v>571</v>
      </c>
      <c r="C1424" s="1" t="s">
        <v>572</v>
      </c>
    </row>
    <row r="1425" spans="1:3" x14ac:dyDescent="0.25">
      <c r="A1425" s="1">
        <v>1707</v>
      </c>
      <c r="B1425" s="1" t="s">
        <v>571</v>
      </c>
      <c r="C1425" s="1" t="s">
        <v>572</v>
      </c>
    </row>
    <row r="1426" spans="1:3" x14ac:dyDescent="0.25">
      <c r="A1426" s="1">
        <v>1712</v>
      </c>
      <c r="B1426" s="1" t="s">
        <v>571</v>
      </c>
      <c r="C1426" s="1" t="s">
        <v>572</v>
      </c>
    </row>
    <row r="1427" spans="1:3" x14ac:dyDescent="0.25">
      <c r="A1427" s="1">
        <v>1715</v>
      </c>
      <c r="B1427" s="1" t="s">
        <v>571</v>
      </c>
      <c r="C1427" s="1" t="s">
        <v>572</v>
      </c>
    </row>
    <row r="1428" spans="1:3" x14ac:dyDescent="0.25">
      <c r="A1428" s="1">
        <v>1717</v>
      </c>
      <c r="B1428" s="1" t="s">
        <v>571</v>
      </c>
      <c r="C1428" s="1" t="s">
        <v>572</v>
      </c>
    </row>
    <row r="1429" spans="1:3" x14ac:dyDescent="0.25">
      <c r="A1429" s="1">
        <v>1719</v>
      </c>
      <c r="B1429" s="1" t="s">
        <v>571</v>
      </c>
      <c r="C1429" s="1" t="s">
        <v>572</v>
      </c>
    </row>
    <row r="1430" spans="1:3" x14ac:dyDescent="0.25">
      <c r="A1430" s="1">
        <v>1725</v>
      </c>
      <c r="B1430" s="1" t="s">
        <v>571</v>
      </c>
      <c r="C1430" s="1" t="s">
        <v>572</v>
      </c>
    </row>
    <row r="1431" spans="1:3" x14ac:dyDescent="0.25">
      <c r="A1431" s="1">
        <v>1728</v>
      </c>
      <c r="B1431" s="1" t="s">
        <v>571</v>
      </c>
      <c r="C1431" s="1" t="s">
        <v>572</v>
      </c>
    </row>
    <row r="1432" spans="1:3" x14ac:dyDescent="0.25">
      <c r="A1432" s="1">
        <v>1729</v>
      </c>
      <c r="B1432" s="1" t="s">
        <v>571</v>
      </c>
      <c r="C1432" s="1" t="s">
        <v>572</v>
      </c>
    </row>
    <row r="1433" spans="1:3" x14ac:dyDescent="0.25">
      <c r="A1433" s="1">
        <v>1733</v>
      </c>
      <c r="B1433" s="1" t="s">
        <v>571</v>
      </c>
      <c r="C1433" s="1" t="s">
        <v>572</v>
      </c>
    </row>
    <row r="1434" spans="1:3" x14ac:dyDescent="0.25">
      <c r="A1434" s="1">
        <v>1734</v>
      </c>
      <c r="B1434" s="1" t="s">
        <v>571</v>
      </c>
      <c r="C1434" s="1" t="s">
        <v>572</v>
      </c>
    </row>
    <row r="1435" spans="1:3" x14ac:dyDescent="0.25">
      <c r="A1435" s="1">
        <v>1735</v>
      </c>
      <c r="B1435" s="1" t="s">
        <v>571</v>
      </c>
      <c r="C1435" s="1" t="s">
        <v>572</v>
      </c>
    </row>
    <row r="1436" spans="1:3" x14ac:dyDescent="0.25">
      <c r="A1436" s="1">
        <v>1736</v>
      </c>
      <c r="B1436" s="1" t="s">
        <v>571</v>
      </c>
      <c r="C1436" s="1" t="s">
        <v>572</v>
      </c>
    </row>
    <row r="1437" spans="1:3" x14ac:dyDescent="0.25">
      <c r="A1437" s="1">
        <v>1737</v>
      </c>
      <c r="B1437" s="1" t="s">
        <v>571</v>
      </c>
      <c r="C1437" s="1" t="s">
        <v>572</v>
      </c>
    </row>
    <row r="1438" spans="1:3" x14ac:dyDescent="0.25">
      <c r="A1438" s="1">
        <v>1738</v>
      </c>
      <c r="B1438" s="1" t="s">
        <v>571</v>
      </c>
      <c r="C1438" s="1" t="s">
        <v>572</v>
      </c>
    </row>
    <row r="1439" spans="1:3" x14ac:dyDescent="0.25">
      <c r="A1439" s="1">
        <v>1739</v>
      </c>
      <c r="B1439" s="1" t="s">
        <v>571</v>
      </c>
      <c r="C1439" s="1" t="s">
        <v>572</v>
      </c>
    </row>
    <row r="1440" spans="1:3" x14ac:dyDescent="0.25">
      <c r="A1440" s="1">
        <v>1740</v>
      </c>
      <c r="B1440" s="1" t="s">
        <v>571</v>
      </c>
      <c r="C1440" s="1" t="s">
        <v>572</v>
      </c>
    </row>
    <row r="1441" spans="1:3" x14ac:dyDescent="0.25">
      <c r="A1441" s="1">
        <v>1792</v>
      </c>
      <c r="B1441" s="1" t="s">
        <v>571</v>
      </c>
      <c r="C1441" s="1" t="s">
        <v>572</v>
      </c>
    </row>
    <row r="1442" spans="1:3" x14ac:dyDescent="0.25">
      <c r="A1442" s="1">
        <v>1805</v>
      </c>
      <c r="B1442" s="1" t="s">
        <v>571</v>
      </c>
      <c r="C1442" s="1" t="s">
        <v>572</v>
      </c>
    </row>
    <row r="1443" spans="1:3" x14ac:dyDescent="0.25">
      <c r="A1443" s="1">
        <v>1808</v>
      </c>
      <c r="B1443" s="1" t="s">
        <v>571</v>
      </c>
      <c r="C1443" s="1" t="s">
        <v>572</v>
      </c>
    </row>
    <row r="1444" spans="1:3" x14ac:dyDescent="0.25">
      <c r="A1444" s="1">
        <v>1870</v>
      </c>
      <c r="B1444" s="1" t="s">
        <v>571</v>
      </c>
      <c r="C1444" s="1" t="s">
        <v>572</v>
      </c>
    </row>
    <row r="1445" spans="1:3" x14ac:dyDescent="0.25">
      <c r="A1445" s="1">
        <v>1876</v>
      </c>
      <c r="B1445" s="1" t="s">
        <v>571</v>
      </c>
      <c r="C1445" s="1" t="s">
        <v>572</v>
      </c>
    </row>
    <row r="1446" spans="1:3" x14ac:dyDescent="0.25">
      <c r="A1446" s="1">
        <v>1893</v>
      </c>
      <c r="B1446" s="1" t="s">
        <v>571</v>
      </c>
      <c r="C1446" s="1" t="s">
        <v>572</v>
      </c>
    </row>
    <row r="1447" spans="1:3" x14ac:dyDescent="0.25">
      <c r="A1447" s="1">
        <v>1894</v>
      </c>
      <c r="B1447" s="1" t="s">
        <v>571</v>
      </c>
      <c r="C1447" s="1" t="s">
        <v>572</v>
      </c>
    </row>
    <row r="1448" spans="1:3" x14ac:dyDescent="0.25">
      <c r="A1448" s="1">
        <v>1911</v>
      </c>
      <c r="B1448" s="1" t="s">
        <v>571</v>
      </c>
      <c r="C1448" s="1" t="s">
        <v>572</v>
      </c>
    </row>
    <row r="1449" spans="1:3" x14ac:dyDescent="0.25">
      <c r="A1449" s="1">
        <v>1912</v>
      </c>
      <c r="B1449" s="1" t="s">
        <v>571</v>
      </c>
      <c r="C1449" s="1" t="s">
        <v>572</v>
      </c>
    </row>
    <row r="1450" spans="1:3" x14ac:dyDescent="0.25">
      <c r="A1450" s="1">
        <v>1923</v>
      </c>
      <c r="B1450" s="1" t="s">
        <v>571</v>
      </c>
      <c r="C1450" s="1" t="s">
        <v>572</v>
      </c>
    </row>
    <row r="1451" spans="1:3" x14ac:dyDescent="0.25">
      <c r="A1451" s="1">
        <v>1943</v>
      </c>
      <c r="B1451" s="1" t="s">
        <v>571</v>
      </c>
      <c r="C1451" s="1" t="s">
        <v>572</v>
      </c>
    </row>
    <row r="1452" spans="1:3" x14ac:dyDescent="0.25">
      <c r="A1452" s="1">
        <v>1945</v>
      </c>
      <c r="B1452" s="1" t="s">
        <v>571</v>
      </c>
      <c r="C1452" s="1" t="s">
        <v>572</v>
      </c>
    </row>
    <row r="1453" spans="1:3" x14ac:dyDescent="0.25">
      <c r="A1453" s="1">
        <v>1946</v>
      </c>
      <c r="B1453" s="1" t="s">
        <v>571</v>
      </c>
      <c r="C1453" s="1" t="s">
        <v>572</v>
      </c>
    </row>
    <row r="1454" spans="1:3" x14ac:dyDescent="0.25">
      <c r="A1454" s="1">
        <v>1947</v>
      </c>
      <c r="B1454" s="1" t="s">
        <v>571</v>
      </c>
      <c r="C1454" s="1" t="s">
        <v>572</v>
      </c>
    </row>
    <row r="1455" spans="1:3" x14ac:dyDescent="0.25">
      <c r="A1455" s="1">
        <v>1948</v>
      </c>
      <c r="B1455" s="1" t="s">
        <v>571</v>
      </c>
      <c r="C1455" s="1" t="s">
        <v>572</v>
      </c>
    </row>
    <row r="1456" spans="1:3" x14ac:dyDescent="0.25">
      <c r="A1456" s="1">
        <v>1949</v>
      </c>
      <c r="B1456" s="1" t="s">
        <v>571</v>
      </c>
      <c r="C1456" s="1" t="s">
        <v>572</v>
      </c>
    </row>
    <row r="1457" spans="1:3" x14ac:dyDescent="0.25">
      <c r="A1457" s="1">
        <v>1962</v>
      </c>
      <c r="B1457" s="1" t="s">
        <v>571</v>
      </c>
      <c r="C1457" s="1" t="s">
        <v>572</v>
      </c>
    </row>
    <row r="1458" spans="1:3" x14ac:dyDescent="0.25">
      <c r="A1458" s="1">
        <v>1963</v>
      </c>
      <c r="B1458" s="1" t="s">
        <v>571</v>
      </c>
      <c r="C1458" s="1" t="s">
        <v>572</v>
      </c>
    </row>
    <row r="1459" spans="1:3" x14ac:dyDescent="0.25">
      <c r="A1459" s="1">
        <v>1964</v>
      </c>
      <c r="B1459" s="1" t="s">
        <v>571</v>
      </c>
      <c r="C1459" s="1" t="s">
        <v>572</v>
      </c>
    </row>
    <row r="1460" spans="1:3" x14ac:dyDescent="0.25">
      <c r="A1460" s="1">
        <v>1965</v>
      </c>
      <c r="B1460" s="1" t="s">
        <v>571</v>
      </c>
      <c r="C1460" s="1" t="s">
        <v>572</v>
      </c>
    </row>
    <row r="1461" spans="1:3" x14ac:dyDescent="0.25">
      <c r="A1461" s="1">
        <v>2005</v>
      </c>
      <c r="B1461" s="1" t="s">
        <v>571</v>
      </c>
      <c r="C1461" s="1" t="s">
        <v>572</v>
      </c>
    </row>
    <row r="1462" spans="1:3" x14ac:dyDescent="0.25">
      <c r="A1462" s="1">
        <v>2064</v>
      </c>
      <c r="B1462" s="1" t="s">
        <v>571</v>
      </c>
      <c r="C1462" s="1" t="s">
        <v>572</v>
      </c>
    </row>
    <row r="1463" spans="1:3" x14ac:dyDescent="0.25">
      <c r="A1463" s="1">
        <v>2075</v>
      </c>
      <c r="B1463" s="1" t="s">
        <v>571</v>
      </c>
      <c r="C1463" s="1" t="s">
        <v>572</v>
      </c>
    </row>
    <row r="1464" spans="1:3" x14ac:dyDescent="0.25">
      <c r="A1464" s="1">
        <v>2084</v>
      </c>
      <c r="B1464" s="1" t="s">
        <v>571</v>
      </c>
      <c r="C1464" s="1" t="s">
        <v>572</v>
      </c>
    </row>
    <row r="1465" spans="1:3" x14ac:dyDescent="0.25">
      <c r="A1465" s="1">
        <v>2146</v>
      </c>
      <c r="B1465" s="1" t="s">
        <v>571</v>
      </c>
      <c r="C1465" s="1" t="s">
        <v>572</v>
      </c>
    </row>
    <row r="1466" spans="1:3" x14ac:dyDescent="0.25">
      <c r="A1466" s="1">
        <v>2167</v>
      </c>
      <c r="B1466" s="1" t="s">
        <v>571</v>
      </c>
      <c r="C1466" s="1" t="s">
        <v>572</v>
      </c>
    </row>
    <row r="1467" spans="1:3" x14ac:dyDescent="0.25">
      <c r="A1467" s="1">
        <v>2189</v>
      </c>
      <c r="B1467" s="1" t="s">
        <v>571</v>
      </c>
      <c r="C1467" s="1" t="s">
        <v>572</v>
      </c>
    </row>
    <row r="1468" spans="1:3" x14ac:dyDescent="0.25">
      <c r="A1468" s="1">
        <v>2211</v>
      </c>
      <c r="B1468" s="1" t="s">
        <v>571</v>
      </c>
      <c r="C1468" s="1" t="s">
        <v>572</v>
      </c>
    </row>
    <row r="1469" spans="1:3" x14ac:dyDescent="0.25">
      <c r="A1469" s="1">
        <v>2219</v>
      </c>
      <c r="B1469" s="1" t="s">
        <v>571</v>
      </c>
      <c r="C1469" s="1" t="s">
        <v>572</v>
      </c>
    </row>
    <row r="1470" spans="1:3" x14ac:dyDescent="0.25">
      <c r="A1470" s="1">
        <v>2238</v>
      </c>
      <c r="B1470" s="1" t="s">
        <v>571</v>
      </c>
      <c r="C1470" s="1" t="s">
        <v>572</v>
      </c>
    </row>
    <row r="1471" spans="1:3" x14ac:dyDescent="0.25">
      <c r="A1471" s="1">
        <v>2261</v>
      </c>
      <c r="B1471" s="1" t="s">
        <v>571</v>
      </c>
      <c r="C1471" s="1" t="s">
        <v>572</v>
      </c>
    </row>
    <row r="1472" spans="1:3" x14ac:dyDescent="0.25">
      <c r="A1472" s="1">
        <v>2271</v>
      </c>
      <c r="B1472" s="1" t="s">
        <v>571</v>
      </c>
      <c r="C1472" s="1" t="s">
        <v>572</v>
      </c>
    </row>
    <row r="1473" spans="1:3" x14ac:dyDescent="0.25">
      <c r="A1473" s="1">
        <v>2275</v>
      </c>
      <c r="B1473" s="1" t="s">
        <v>571</v>
      </c>
      <c r="C1473" s="1" t="s">
        <v>572</v>
      </c>
    </row>
    <row r="1474" spans="1:3" x14ac:dyDescent="0.25">
      <c r="A1474" s="1">
        <v>2353</v>
      </c>
      <c r="B1474" s="1" t="s">
        <v>571</v>
      </c>
      <c r="C1474" s="1" t="s">
        <v>572</v>
      </c>
    </row>
    <row r="1475" spans="1:3" x14ac:dyDescent="0.25">
      <c r="A1475" s="1">
        <v>2373</v>
      </c>
      <c r="B1475" s="1" t="s">
        <v>571</v>
      </c>
      <c r="C1475" s="1" t="s">
        <v>572</v>
      </c>
    </row>
    <row r="1476" spans="1:3" x14ac:dyDescent="0.25">
      <c r="A1476" s="1">
        <v>2404</v>
      </c>
      <c r="B1476" s="1" t="s">
        <v>571</v>
      </c>
      <c r="C1476" s="1" t="s">
        <v>572</v>
      </c>
    </row>
    <row r="1477" spans="1:3" x14ac:dyDescent="0.25">
      <c r="A1477" s="1">
        <v>2408</v>
      </c>
      <c r="B1477" s="1" t="s">
        <v>571</v>
      </c>
      <c r="C1477" s="1" t="s">
        <v>572</v>
      </c>
    </row>
    <row r="1478" spans="1:3" x14ac:dyDescent="0.25">
      <c r="A1478" s="1">
        <v>2503</v>
      </c>
      <c r="B1478" s="1" t="s">
        <v>571</v>
      </c>
      <c r="C1478" s="1" t="s">
        <v>572</v>
      </c>
    </row>
    <row r="1479" spans="1:3" x14ac:dyDescent="0.25">
      <c r="A1479" s="1">
        <v>2542</v>
      </c>
      <c r="B1479" s="1" t="s">
        <v>571</v>
      </c>
      <c r="C1479" s="1" t="s">
        <v>572</v>
      </c>
    </row>
    <row r="1480" spans="1:3" x14ac:dyDescent="0.25">
      <c r="A1480" s="1">
        <v>2543</v>
      </c>
      <c r="B1480" s="1" t="s">
        <v>571</v>
      </c>
      <c r="C1480" s="1" t="s">
        <v>572</v>
      </c>
    </row>
    <row r="1481" spans="1:3" x14ac:dyDescent="0.25">
      <c r="A1481" s="1">
        <v>2608</v>
      </c>
      <c r="B1481" s="1" t="s">
        <v>571</v>
      </c>
      <c r="C1481" s="1" t="s">
        <v>572</v>
      </c>
    </row>
    <row r="1482" spans="1:3" x14ac:dyDescent="0.25">
      <c r="A1482" s="1">
        <v>2621</v>
      </c>
      <c r="B1482" s="1" t="s">
        <v>571</v>
      </c>
      <c r="C1482" s="1" t="s">
        <v>572</v>
      </c>
    </row>
    <row r="1483" spans="1:3" x14ac:dyDescent="0.25">
      <c r="A1483" s="1">
        <v>2622</v>
      </c>
      <c r="B1483" s="1" t="s">
        <v>571</v>
      </c>
      <c r="C1483" s="1" t="s">
        <v>572</v>
      </c>
    </row>
    <row r="1484" spans="1:3" x14ac:dyDescent="0.25">
      <c r="A1484" s="1">
        <v>2623</v>
      </c>
      <c r="B1484" s="1" t="s">
        <v>571</v>
      </c>
      <c r="C1484" s="1" t="s">
        <v>572</v>
      </c>
    </row>
    <row r="1485" spans="1:3" x14ac:dyDescent="0.25">
      <c r="A1485" s="1">
        <v>2624</v>
      </c>
      <c r="B1485" s="1" t="s">
        <v>571</v>
      </c>
      <c r="C1485" s="1" t="s">
        <v>572</v>
      </c>
    </row>
    <row r="1486" spans="1:3" x14ac:dyDescent="0.25">
      <c r="A1486" s="1">
        <v>2668</v>
      </c>
      <c r="B1486" s="1" t="s">
        <v>571</v>
      </c>
      <c r="C1486" s="1" t="s">
        <v>572</v>
      </c>
    </row>
    <row r="1487" spans="1:3" x14ac:dyDescent="0.25">
      <c r="A1487" s="1">
        <v>2671</v>
      </c>
      <c r="B1487" s="1" t="s">
        <v>571</v>
      </c>
      <c r="C1487" s="1" t="s">
        <v>572</v>
      </c>
    </row>
    <row r="1488" spans="1:3" x14ac:dyDescent="0.25">
      <c r="A1488" s="1">
        <v>2672</v>
      </c>
      <c r="B1488" s="1" t="s">
        <v>571</v>
      </c>
      <c r="C1488" s="1" t="s">
        <v>572</v>
      </c>
    </row>
    <row r="1489" spans="1:3" x14ac:dyDescent="0.25">
      <c r="A1489" s="1">
        <v>2674</v>
      </c>
      <c r="B1489" s="1" t="s">
        <v>571</v>
      </c>
      <c r="C1489" s="1" t="s">
        <v>572</v>
      </c>
    </row>
    <row r="1490" spans="1:3" x14ac:dyDescent="0.25">
      <c r="A1490" s="1">
        <v>2675</v>
      </c>
      <c r="B1490" s="1" t="s">
        <v>571</v>
      </c>
      <c r="C1490" s="1" t="s">
        <v>572</v>
      </c>
    </row>
    <row r="1491" spans="1:3" x14ac:dyDescent="0.25">
      <c r="A1491" s="1">
        <v>2676</v>
      </c>
      <c r="B1491" s="1" t="s">
        <v>571</v>
      </c>
      <c r="C1491" s="1" t="s">
        <v>572</v>
      </c>
    </row>
    <row r="1492" spans="1:3" x14ac:dyDescent="0.25">
      <c r="A1492" s="1">
        <v>2680</v>
      </c>
      <c r="B1492" s="1" t="s">
        <v>571</v>
      </c>
      <c r="C1492" s="1" t="s">
        <v>572</v>
      </c>
    </row>
    <row r="1493" spans="1:3" x14ac:dyDescent="0.25">
      <c r="A1493" s="1">
        <v>2734</v>
      </c>
      <c r="B1493" s="1" t="s">
        <v>571</v>
      </c>
      <c r="C1493" s="1" t="s">
        <v>572</v>
      </c>
    </row>
    <row r="1494" spans="1:3" x14ac:dyDescent="0.25">
      <c r="A1494" s="1">
        <v>2798</v>
      </c>
      <c r="B1494" s="1" t="s">
        <v>571</v>
      </c>
      <c r="C1494" s="1" t="s">
        <v>572</v>
      </c>
    </row>
    <row r="1495" spans="1:3" x14ac:dyDescent="0.25">
      <c r="A1495" s="1">
        <v>2869</v>
      </c>
      <c r="B1495" s="1" t="s">
        <v>571</v>
      </c>
      <c r="C1495" s="1" t="s">
        <v>572</v>
      </c>
    </row>
    <row r="1496" spans="1:3" x14ac:dyDescent="0.25">
      <c r="A1496" s="1">
        <v>2882</v>
      </c>
      <c r="B1496" s="1" t="s">
        <v>571</v>
      </c>
      <c r="C1496" s="1" t="s">
        <v>572</v>
      </c>
    </row>
    <row r="1497" spans="1:3" x14ac:dyDescent="0.25">
      <c r="A1497" s="1">
        <v>2903</v>
      </c>
      <c r="B1497" s="1" t="s">
        <v>571</v>
      </c>
      <c r="C1497" s="1" t="s">
        <v>572</v>
      </c>
    </row>
    <row r="1498" spans="1:3" x14ac:dyDescent="0.25">
      <c r="A1498" s="1">
        <v>2936</v>
      </c>
      <c r="B1498" s="1" t="s">
        <v>571</v>
      </c>
      <c r="C1498" s="1" t="s">
        <v>572</v>
      </c>
    </row>
    <row r="1499" spans="1:3" x14ac:dyDescent="0.25">
      <c r="A1499" s="1">
        <v>3082</v>
      </c>
      <c r="B1499" s="1" t="s">
        <v>571</v>
      </c>
      <c r="C1499" s="1" t="s">
        <v>572</v>
      </c>
    </row>
    <row r="1500" spans="1:3" x14ac:dyDescent="0.25">
      <c r="A1500" s="1">
        <v>3086</v>
      </c>
      <c r="B1500" s="1" t="s">
        <v>571</v>
      </c>
      <c r="C1500" s="1" t="s">
        <v>572</v>
      </c>
    </row>
    <row r="1501" spans="1:3" x14ac:dyDescent="0.25">
      <c r="A1501" s="1">
        <v>3087</v>
      </c>
      <c r="B1501" s="1" t="s">
        <v>571</v>
      </c>
      <c r="C1501" s="1" t="s">
        <v>572</v>
      </c>
    </row>
    <row r="1502" spans="1:3" x14ac:dyDescent="0.25">
      <c r="A1502" s="1">
        <v>3088</v>
      </c>
      <c r="B1502" s="1" t="s">
        <v>571</v>
      </c>
      <c r="C1502" s="1" t="s">
        <v>572</v>
      </c>
    </row>
    <row r="1503" spans="1:3" x14ac:dyDescent="0.25">
      <c r="A1503" s="1">
        <v>3089</v>
      </c>
      <c r="B1503" s="1" t="s">
        <v>571</v>
      </c>
      <c r="C1503" s="1" t="s">
        <v>572</v>
      </c>
    </row>
    <row r="1504" spans="1:3" x14ac:dyDescent="0.25">
      <c r="A1504" s="1">
        <v>3090</v>
      </c>
      <c r="B1504" s="1" t="s">
        <v>571</v>
      </c>
      <c r="C1504" s="1" t="s">
        <v>572</v>
      </c>
    </row>
    <row r="1505" spans="1:3" x14ac:dyDescent="0.25">
      <c r="A1505" s="1">
        <v>3109</v>
      </c>
      <c r="B1505" s="1" t="s">
        <v>571</v>
      </c>
      <c r="C1505" s="1" t="s">
        <v>572</v>
      </c>
    </row>
    <row r="1506" spans="1:3" x14ac:dyDescent="0.25">
      <c r="A1506" s="1">
        <v>3151</v>
      </c>
      <c r="B1506" s="1" t="s">
        <v>571</v>
      </c>
      <c r="C1506" s="1" t="s">
        <v>572</v>
      </c>
    </row>
    <row r="1507" spans="1:3" x14ac:dyDescent="0.25">
      <c r="A1507" s="1">
        <v>3168</v>
      </c>
      <c r="B1507" s="1" t="s">
        <v>571</v>
      </c>
      <c r="C1507" s="1" t="s">
        <v>572</v>
      </c>
    </row>
    <row r="1508" spans="1:3" x14ac:dyDescent="0.25">
      <c r="A1508" s="1">
        <v>3180</v>
      </c>
      <c r="B1508" s="1" t="s">
        <v>571</v>
      </c>
      <c r="C1508" s="1" t="s">
        <v>572</v>
      </c>
    </row>
    <row r="1509" spans="1:3" x14ac:dyDescent="0.25">
      <c r="A1509" s="1">
        <v>3232</v>
      </c>
      <c r="B1509" s="1" t="s">
        <v>571</v>
      </c>
      <c r="C1509" s="1" t="s">
        <v>572</v>
      </c>
    </row>
    <row r="1510" spans="1:3" x14ac:dyDescent="0.25">
      <c r="A1510" s="1">
        <v>44</v>
      </c>
      <c r="B1510" s="1" t="s">
        <v>583</v>
      </c>
      <c r="C1510" s="1" t="s">
        <v>584</v>
      </c>
    </row>
    <row r="1511" spans="1:3" x14ac:dyDescent="0.25">
      <c r="A1511" s="1">
        <v>45</v>
      </c>
      <c r="B1511" s="1" t="s">
        <v>583</v>
      </c>
      <c r="C1511" s="1" t="s">
        <v>584</v>
      </c>
    </row>
    <row r="1512" spans="1:3" x14ac:dyDescent="0.25">
      <c r="A1512" s="1">
        <v>144</v>
      </c>
      <c r="B1512" s="1" t="s">
        <v>583</v>
      </c>
      <c r="C1512" s="1" t="s">
        <v>584</v>
      </c>
    </row>
    <row r="1513" spans="1:3" x14ac:dyDescent="0.25">
      <c r="A1513" s="1">
        <v>145</v>
      </c>
      <c r="B1513" s="1" t="s">
        <v>583</v>
      </c>
      <c r="C1513" s="1" t="s">
        <v>584</v>
      </c>
    </row>
    <row r="1514" spans="1:3" x14ac:dyDescent="0.25">
      <c r="A1514" s="1">
        <v>146</v>
      </c>
      <c r="B1514" s="1" t="s">
        <v>583</v>
      </c>
      <c r="C1514" s="1" t="s">
        <v>584</v>
      </c>
    </row>
    <row r="1515" spans="1:3" x14ac:dyDescent="0.25">
      <c r="A1515" s="1">
        <v>148</v>
      </c>
      <c r="B1515" s="1" t="s">
        <v>583</v>
      </c>
      <c r="C1515" s="1" t="s">
        <v>584</v>
      </c>
    </row>
    <row r="1516" spans="1:3" x14ac:dyDescent="0.25">
      <c r="A1516" s="1">
        <v>149</v>
      </c>
      <c r="B1516" s="1" t="s">
        <v>583</v>
      </c>
      <c r="C1516" s="1" t="s">
        <v>584</v>
      </c>
    </row>
    <row r="1517" spans="1:3" x14ac:dyDescent="0.25">
      <c r="A1517" s="1">
        <v>150</v>
      </c>
      <c r="B1517" s="1" t="s">
        <v>583</v>
      </c>
      <c r="C1517" s="1" t="s">
        <v>584</v>
      </c>
    </row>
    <row r="1518" spans="1:3" x14ac:dyDescent="0.25">
      <c r="A1518" s="1">
        <v>152</v>
      </c>
      <c r="B1518" s="1" t="s">
        <v>583</v>
      </c>
      <c r="C1518" s="1" t="s">
        <v>584</v>
      </c>
    </row>
    <row r="1519" spans="1:3" x14ac:dyDescent="0.25">
      <c r="A1519" s="1">
        <v>166</v>
      </c>
      <c r="B1519" s="1" t="s">
        <v>583</v>
      </c>
      <c r="C1519" s="1" t="s">
        <v>584</v>
      </c>
    </row>
    <row r="1520" spans="1:3" x14ac:dyDescent="0.25">
      <c r="A1520" s="1">
        <v>169</v>
      </c>
      <c r="B1520" s="1" t="s">
        <v>583</v>
      </c>
      <c r="C1520" s="1" t="s">
        <v>584</v>
      </c>
    </row>
    <row r="1521" spans="1:3" x14ac:dyDescent="0.25">
      <c r="A1521" s="1">
        <v>170</v>
      </c>
      <c r="B1521" s="1" t="s">
        <v>583</v>
      </c>
      <c r="C1521" s="1" t="s">
        <v>584</v>
      </c>
    </row>
    <row r="1522" spans="1:3" x14ac:dyDescent="0.25">
      <c r="A1522" s="1">
        <v>171</v>
      </c>
      <c r="B1522" s="1" t="s">
        <v>583</v>
      </c>
      <c r="C1522" s="1" t="s">
        <v>584</v>
      </c>
    </row>
    <row r="1523" spans="1:3" x14ac:dyDescent="0.25">
      <c r="A1523" s="1">
        <v>172</v>
      </c>
      <c r="B1523" s="1" t="s">
        <v>583</v>
      </c>
      <c r="C1523" s="1" t="s">
        <v>584</v>
      </c>
    </row>
    <row r="1524" spans="1:3" x14ac:dyDescent="0.25">
      <c r="A1524" s="1">
        <v>187</v>
      </c>
      <c r="B1524" s="1" t="s">
        <v>583</v>
      </c>
      <c r="C1524" s="1" t="s">
        <v>584</v>
      </c>
    </row>
    <row r="1525" spans="1:3" x14ac:dyDescent="0.25">
      <c r="A1525" s="1">
        <v>188</v>
      </c>
      <c r="B1525" s="1" t="s">
        <v>583</v>
      </c>
      <c r="C1525" s="1" t="s">
        <v>584</v>
      </c>
    </row>
    <row r="1526" spans="1:3" x14ac:dyDescent="0.25">
      <c r="A1526" s="1">
        <v>311</v>
      </c>
      <c r="B1526" s="1" t="s">
        <v>583</v>
      </c>
      <c r="C1526" s="1" t="s">
        <v>584</v>
      </c>
    </row>
    <row r="1527" spans="1:3" x14ac:dyDescent="0.25">
      <c r="A1527" s="1">
        <v>312</v>
      </c>
      <c r="B1527" s="1" t="s">
        <v>583</v>
      </c>
      <c r="C1527" s="1" t="s">
        <v>584</v>
      </c>
    </row>
    <row r="1528" spans="1:3" x14ac:dyDescent="0.25">
      <c r="A1528" s="1">
        <v>313</v>
      </c>
      <c r="B1528" s="1" t="s">
        <v>583</v>
      </c>
      <c r="C1528" s="1" t="s">
        <v>584</v>
      </c>
    </row>
    <row r="1529" spans="1:3" x14ac:dyDescent="0.25">
      <c r="A1529" s="1">
        <v>315</v>
      </c>
      <c r="B1529" s="1" t="s">
        <v>583</v>
      </c>
      <c r="C1529" s="1" t="s">
        <v>584</v>
      </c>
    </row>
    <row r="1530" spans="1:3" x14ac:dyDescent="0.25">
      <c r="A1530" s="1">
        <v>316</v>
      </c>
      <c r="B1530" s="1" t="s">
        <v>583</v>
      </c>
      <c r="C1530" s="1" t="s">
        <v>584</v>
      </c>
    </row>
    <row r="1531" spans="1:3" x14ac:dyDescent="0.25">
      <c r="A1531" s="1">
        <v>317</v>
      </c>
      <c r="B1531" s="1" t="s">
        <v>583</v>
      </c>
      <c r="C1531" s="1" t="s">
        <v>584</v>
      </c>
    </row>
    <row r="1532" spans="1:3" x14ac:dyDescent="0.25">
      <c r="A1532" s="1">
        <v>318</v>
      </c>
      <c r="B1532" s="1" t="s">
        <v>583</v>
      </c>
      <c r="C1532" s="1" t="s">
        <v>584</v>
      </c>
    </row>
    <row r="1533" spans="1:3" x14ac:dyDescent="0.25">
      <c r="A1533" s="1">
        <v>319</v>
      </c>
      <c r="B1533" s="1" t="s">
        <v>583</v>
      </c>
      <c r="C1533" s="1" t="s">
        <v>584</v>
      </c>
    </row>
    <row r="1534" spans="1:3" x14ac:dyDescent="0.25">
      <c r="A1534" s="1">
        <v>423</v>
      </c>
      <c r="B1534" s="1" t="s">
        <v>583</v>
      </c>
      <c r="C1534" s="1" t="s">
        <v>584</v>
      </c>
    </row>
    <row r="1535" spans="1:3" x14ac:dyDescent="0.25">
      <c r="A1535" s="1">
        <v>431</v>
      </c>
      <c r="B1535" s="1" t="s">
        <v>583</v>
      </c>
      <c r="C1535" s="1" t="s">
        <v>584</v>
      </c>
    </row>
    <row r="1536" spans="1:3" x14ac:dyDescent="0.25">
      <c r="A1536" s="1">
        <v>432</v>
      </c>
      <c r="B1536" s="1" t="s">
        <v>583</v>
      </c>
      <c r="C1536" s="1" t="s">
        <v>584</v>
      </c>
    </row>
    <row r="1537" spans="1:3" x14ac:dyDescent="0.25">
      <c r="A1537" s="1">
        <v>434</v>
      </c>
      <c r="B1537" s="1" t="s">
        <v>583</v>
      </c>
      <c r="C1537" s="1" t="s">
        <v>584</v>
      </c>
    </row>
    <row r="1538" spans="1:3" x14ac:dyDescent="0.25">
      <c r="A1538" s="1">
        <v>437</v>
      </c>
      <c r="B1538" s="1" t="s">
        <v>583</v>
      </c>
      <c r="C1538" s="1" t="s">
        <v>584</v>
      </c>
    </row>
    <row r="1539" spans="1:3" x14ac:dyDescent="0.25">
      <c r="A1539" s="1">
        <v>438</v>
      </c>
      <c r="B1539" s="1" t="s">
        <v>583</v>
      </c>
      <c r="C1539" s="1" t="s">
        <v>584</v>
      </c>
    </row>
    <row r="1540" spans="1:3" x14ac:dyDescent="0.25">
      <c r="A1540" s="1">
        <v>491</v>
      </c>
      <c r="B1540" s="1" t="s">
        <v>583</v>
      </c>
      <c r="C1540" s="1" t="s">
        <v>584</v>
      </c>
    </row>
    <row r="1541" spans="1:3" x14ac:dyDescent="0.25">
      <c r="A1541" s="1">
        <v>494</v>
      </c>
      <c r="B1541" s="1" t="s">
        <v>583</v>
      </c>
      <c r="C1541" s="1" t="s">
        <v>584</v>
      </c>
    </row>
    <row r="1542" spans="1:3" x14ac:dyDescent="0.25">
      <c r="A1542" s="1">
        <v>495</v>
      </c>
      <c r="B1542" s="1" t="s">
        <v>583</v>
      </c>
      <c r="C1542" s="1" t="s">
        <v>584</v>
      </c>
    </row>
    <row r="1543" spans="1:3" x14ac:dyDescent="0.25">
      <c r="A1543" s="1">
        <v>496</v>
      </c>
      <c r="B1543" s="1" t="s">
        <v>583</v>
      </c>
      <c r="C1543" s="1" t="s">
        <v>584</v>
      </c>
    </row>
    <row r="1544" spans="1:3" x14ac:dyDescent="0.25">
      <c r="A1544" s="1">
        <v>497</v>
      </c>
      <c r="B1544" s="1" t="s">
        <v>583</v>
      </c>
      <c r="C1544" s="1" t="s">
        <v>584</v>
      </c>
    </row>
    <row r="1545" spans="1:3" x14ac:dyDescent="0.25">
      <c r="A1545" s="1">
        <v>499</v>
      </c>
      <c r="B1545" s="1" t="s">
        <v>583</v>
      </c>
      <c r="C1545" s="1" t="s">
        <v>584</v>
      </c>
    </row>
    <row r="1546" spans="1:3" x14ac:dyDescent="0.25">
      <c r="A1546" s="1">
        <v>520</v>
      </c>
      <c r="B1546" s="1" t="s">
        <v>583</v>
      </c>
      <c r="C1546" s="1" t="s">
        <v>584</v>
      </c>
    </row>
    <row r="1547" spans="1:3" x14ac:dyDescent="0.25">
      <c r="A1547" s="1">
        <v>547</v>
      </c>
      <c r="B1547" s="1" t="s">
        <v>583</v>
      </c>
      <c r="C1547" s="1" t="s">
        <v>584</v>
      </c>
    </row>
    <row r="1548" spans="1:3" x14ac:dyDescent="0.25">
      <c r="A1548" s="1">
        <v>823</v>
      </c>
      <c r="B1548" s="1" t="s">
        <v>583</v>
      </c>
      <c r="C1548" s="1" t="s">
        <v>584</v>
      </c>
    </row>
    <row r="1549" spans="1:3" x14ac:dyDescent="0.25">
      <c r="A1549" s="1">
        <v>841</v>
      </c>
      <c r="B1549" s="1" t="s">
        <v>583</v>
      </c>
      <c r="C1549" s="1" t="s">
        <v>584</v>
      </c>
    </row>
    <row r="1550" spans="1:3" x14ac:dyDescent="0.25">
      <c r="A1550" s="1">
        <v>849</v>
      </c>
      <c r="B1550" s="1" t="s">
        <v>583</v>
      </c>
      <c r="C1550" s="1" t="s">
        <v>584</v>
      </c>
    </row>
    <row r="1551" spans="1:3" x14ac:dyDescent="0.25">
      <c r="A1551" s="1">
        <v>853</v>
      </c>
      <c r="B1551" s="1" t="s">
        <v>583</v>
      </c>
      <c r="C1551" s="1" t="s">
        <v>584</v>
      </c>
    </row>
    <row r="1552" spans="1:3" x14ac:dyDescent="0.25">
      <c r="A1552" s="1">
        <v>858</v>
      </c>
      <c r="B1552" s="1" t="s">
        <v>583</v>
      </c>
      <c r="C1552" s="1" t="s">
        <v>584</v>
      </c>
    </row>
    <row r="1553" spans="1:3" x14ac:dyDescent="0.25">
      <c r="A1553" s="1">
        <v>860</v>
      </c>
      <c r="B1553" s="1" t="s">
        <v>583</v>
      </c>
      <c r="C1553" s="1" t="s">
        <v>584</v>
      </c>
    </row>
    <row r="1554" spans="1:3" x14ac:dyDescent="0.25">
      <c r="A1554" s="1">
        <v>885</v>
      </c>
      <c r="B1554" s="1" t="s">
        <v>583</v>
      </c>
      <c r="C1554" s="1" t="s">
        <v>584</v>
      </c>
    </row>
    <row r="1555" spans="1:3" x14ac:dyDescent="0.25">
      <c r="A1555" s="1">
        <v>1024</v>
      </c>
      <c r="B1555" s="1" t="s">
        <v>583</v>
      </c>
      <c r="C1555" s="1" t="s">
        <v>584</v>
      </c>
    </row>
    <row r="1556" spans="1:3" x14ac:dyDescent="0.25">
      <c r="A1556" s="1">
        <v>1029</v>
      </c>
      <c r="B1556" s="1" t="s">
        <v>583</v>
      </c>
      <c r="C1556" s="1" t="s">
        <v>584</v>
      </c>
    </row>
    <row r="1557" spans="1:3" x14ac:dyDescent="0.25">
      <c r="A1557" s="1">
        <v>1036</v>
      </c>
      <c r="B1557" s="1" t="s">
        <v>583</v>
      </c>
      <c r="C1557" s="1" t="s">
        <v>584</v>
      </c>
    </row>
    <row r="1558" spans="1:3" x14ac:dyDescent="0.25">
      <c r="A1558" s="1">
        <v>1085</v>
      </c>
      <c r="B1558" s="1" t="s">
        <v>583</v>
      </c>
      <c r="C1558" s="1" t="s">
        <v>584</v>
      </c>
    </row>
    <row r="1559" spans="1:3" x14ac:dyDescent="0.25">
      <c r="A1559" s="1">
        <v>1116</v>
      </c>
      <c r="B1559" s="1" t="s">
        <v>583</v>
      </c>
      <c r="C1559" s="1" t="s">
        <v>584</v>
      </c>
    </row>
    <row r="1560" spans="1:3" x14ac:dyDescent="0.25">
      <c r="A1560" s="1">
        <v>1132</v>
      </c>
      <c r="B1560" s="1" t="s">
        <v>583</v>
      </c>
      <c r="C1560" s="1" t="s">
        <v>584</v>
      </c>
    </row>
    <row r="1561" spans="1:3" x14ac:dyDescent="0.25">
      <c r="A1561" s="1">
        <v>1221</v>
      </c>
      <c r="B1561" s="1" t="s">
        <v>583</v>
      </c>
      <c r="C1561" s="1" t="s">
        <v>584</v>
      </c>
    </row>
    <row r="1562" spans="1:3" x14ac:dyDescent="0.25">
      <c r="A1562" s="1">
        <v>1228</v>
      </c>
      <c r="B1562" s="1" t="s">
        <v>583</v>
      </c>
      <c r="C1562" s="1" t="s">
        <v>584</v>
      </c>
    </row>
    <row r="1563" spans="1:3" x14ac:dyDescent="0.25">
      <c r="A1563" s="1">
        <v>1271</v>
      </c>
      <c r="B1563" s="1" t="s">
        <v>583</v>
      </c>
      <c r="C1563" s="1" t="s">
        <v>584</v>
      </c>
    </row>
    <row r="1564" spans="1:3" x14ac:dyDescent="0.25">
      <c r="A1564" s="1">
        <v>1352</v>
      </c>
      <c r="B1564" s="1" t="s">
        <v>583</v>
      </c>
      <c r="C1564" s="1" t="s">
        <v>584</v>
      </c>
    </row>
    <row r="1565" spans="1:3" x14ac:dyDescent="0.25">
      <c r="A1565" s="1">
        <v>1354</v>
      </c>
      <c r="B1565" s="1" t="s">
        <v>583</v>
      </c>
      <c r="C1565" s="1" t="s">
        <v>584</v>
      </c>
    </row>
    <row r="1566" spans="1:3" x14ac:dyDescent="0.25">
      <c r="A1566" s="1">
        <v>1430</v>
      </c>
      <c r="B1566" s="1" t="s">
        <v>583</v>
      </c>
      <c r="C1566" s="1" t="s">
        <v>584</v>
      </c>
    </row>
    <row r="1567" spans="1:3" x14ac:dyDescent="0.25">
      <c r="A1567" s="1">
        <v>1439</v>
      </c>
      <c r="B1567" s="1" t="s">
        <v>583</v>
      </c>
      <c r="C1567" s="1" t="s">
        <v>584</v>
      </c>
    </row>
    <row r="1568" spans="1:3" x14ac:dyDescent="0.25">
      <c r="A1568" s="1">
        <v>1480</v>
      </c>
      <c r="B1568" s="1" t="s">
        <v>583</v>
      </c>
      <c r="C1568" s="1" t="s">
        <v>584</v>
      </c>
    </row>
    <row r="1569" spans="1:3" x14ac:dyDescent="0.25">
      <c r="A1569" s="1">
        <v>1524</v>
      </c>
      <c r="B1569" s="1" t="s">
        <v>583</v>
      </c>
      <c r="C1569" s="1" t="s">
        <v>584</v>
      </c>
    </row>
    <row r="1570" spans="1:3" x14ac:dyDescent="0.25">
      <c r="A1570" s="1">
        <v>1566</v>
      </c>
      <c r="B1570" s="1" t="s">
        <v>583</v>
      </c>
      <c r="C1570" s="1" t="s">
        <v>584</v>
      </c>
    </row>
    <row r="1571" spans="1:3" x14ac:dyDescent="0.25">
      <c r="A1571" s="1">
        <v>1626</v>
      </c>
      <c r="B1571" s="1" t="s">
        <v>583</v>
      </c>
      <c r="C1571" s="1" t="s">
        <v>584</v>
      </c>
    </row>
    <row r="1572" spans="1:3" x14ac:dyDescent="0.25">
      <c r="A1572" s="1">
        <v>1695</v>
      </c>
      <c r="B1572" s="1" t="s">
        <v>583</v>
      </c>
      <c r="C1572" s="1" t="s">
        <v>584</v>
      </c>
    </row>
    <row r="1573" spans="1:3" x14ac:dyDescent="0.25">
      <c r="A1573" s="1">
        <v>1718</v>
      </c>
      <c r="B1573" s="1" t="s">
        <v>583</v>
      </c>
      <c r="C1573" s="1" t="s">
        <v>584</v>
      </c>
    </row>
    <row r="1574" spans="1:3" x14ac:dyDescent="0.25">
      <c r="A1574" s="1">
        <v>1771</v>
      </c>
      <c r="B1574" s="1" t="s">
        <v>583</v>
      </c>
      <c r="C1574" s="1" t="s">
        <v>584</v>
      </c>
    </row>
    <row r="1575" spans="1:3" x14ac:dyDescent="0.25">
      <c r="A1575" s="1">
        <v>1804</v>
      </c>
      <c r="B1575" s="1" t="s">
        <v>583</v>
      </c>
      <c r="C1575" s="1" t="s">
        <v>584</v>
      </c>
    </row>
    <row r="1576" spans="1:3" x14ac:dyDescent="0.25">
      <c r="A1576" s="1">
        <v>1815</v>
      </c>
      <c r="B1576" s="1" t="s">
        <v>583</v>
      </c>
      <c r="C1576" s="1" t="s">
        <v>584</v>
      </c>
    </row>
    <row r="1577" spans="1:3" x14ac:dyDescent="0.25">
      <c r="A1577" s="1">
        <v>1857</v>
      </c>
      <c r="B1577" s="1" t="s">
        <v>583</v>
      </c>
      <c r="C1577" s="1" t="s">
        <v>584</v>
      </c>
    </row>
    <row r="1578" spans="1:3" x14ac:dyDescent="0.25">
      <c r="A1578" s="1">
        <v>2049</v>
      </c>
      <c r="B1578" s="1" t="s">
        <v>583</v>
      </c>
      <c r="C1578" s="1" t="s">
        <v>584</v>
      </c>
    </row>
    <row r="1579" spans="1:3" x14ac:dyDescent="0.25">
      <c r="A1579" s="1">
        <v>2068</v>
      </c>
      <c r="B1579" s="1" t="s">
        <v>583</v>
      </c>
      <c r="C1579" s="1" t="s">
        <v>584</v>
      </c>
    </row>
    <row r="1580" spans="1:3" x14ac:dyDescent="0.25">
      <c r="A1580" s="1">
        <v>2103</v>
      </c>
      <c r="B1580" s="1" t="s">
        <v>583</v>
      </c>
      <c r="C1580" s="1" t="s">
        <v>584</v>
      </c>
    </row>
    <row r="1581" spans="1:3" x14ac:dyDescent="0.25">
      <c r="A1581" s="1">
        <v>2106</v>
      </c>
      <c r="B1581" s="1" t="s">
        <v>583</v>
      </c>
      <c r="C1581" s="1" t="s">
        <v>584</v>
      </c>
    </row>
    <row r="1582" spans="1:3" x14ac:dyDescent="0.25">
      <c r="A1582" s="1">
        <v>2123</v>
      </c>
      <c r="B1582" s="1" t="s">
        <v>583</v>
      </c>
      <c r="C1582" s="1" t="s">
        <v>584</v>
      </c>
    </row>
    <row r="1583" spans="1:3" x14ac:dyDescent="0.25">
      <c r="A1583" s="1">
        <v>2138</v>
      </c>
      <c r="B1583" s="1" t="s">
        <v>583</v>
      </c>
      <c r="C1583" s="1" t="s">
        <v>584</v>
      </c>
    </row>
    <row r="1584" spans="1:3" x14ac:dyDescent="0.25">
      <c r="A1584" s="1">
        <v>2174</v>
      </c>
      <c r="B1584" s="1" t="s">
        <v>583</v>
      </c>
      <c r="C1584" s="1" t="s">
        <v>584</v>
      </c>
    </row>
    <row r="1585" spans="1:3" x14ac:dyDescent="0.25">
      <c r="A1585" s="1">
        <v>2175</v>
      </c>
      <c r="B1585" s="1" t="s">
        <v>583</v>
      </c>
      <c r="C1585" s="1" t="s">
        <v>584</v>
      </c>
    </row>
    <row r="1586" spans="1:3" x14ac:dyDescent="0.25">
      <c r="A1586" s="1">
        <v>2178</v>
      </c>
      <c r="B1586" s="1" t="s">
        <v>583</v>
      </c>
      <c r="C1586" s="1" t="s">
        <v>584</v>
      </c>
    </row>
    <row r="1587" spans="1:3" x14ac:dyDescent="0.25">
      <c r="A1587" s="1">
        <v>2184</v>
      </c>
      <c r="B1587" s="1" t="s">
        <v>583</v>
      </c>
      <c r="C1587" s="1" t="s">
        <v>584</v>
      </c>
    </row>
    <row r="1588" spans="1:3" x14ac:dyDescent="0.25">
      <c r="A1588" s="1">
        <v>2188</v>
      </c>
      <c r="B1588" s="1" t="s">
        <v>583</v>
      </c>
      <c r="C1588" s="1" t="s">
        <v>584</v>
      </c>
    </row>
    <row r="1589" spans="1:3" x14ac:dyDescent="0.25">
      <c r="A1589" s="1">
        <v>2195</v>
      </c>
      <c r="B1589" s="1" t="s">
        <v>583</v>
      </c>
      <c r="C1589" s="1" t="s">
        <v>584</v>
      </c>
    </row>
    <row r="1590" spans="1:3" x14ac:dyDescent="0.25">
      <c r="A1590" s="1">
        <v>2196</v>
      </c>
      <c r="B1590" s="1" t="s">
        <v>583</v>
      </c>
      <c r="C1590" s="1" t="s">
        <v>584</v>
      </c>
    </row>
    <row r="1591" spans="1:3" x14ac:dyDescent="0.25">
      <c r="A1591" s="1">
        <v>2213</v>
      </c>
      <c r="B1591" s="1" t="s">
        <v>583</v>
      </c>
      <c r="C1591" s="1" t="s">
        <v>584</v>
      </c>
    </row>
    <row r="1592" spans="1:3" x14ac:dyDescent="0.25">
      <c r="A1592" s="1">
        <v>2215</v>
      </c>
      <c r="B1592" s="1" t="s">
        <v>583</v>
      </c>
      <c r="C1592" s="1" t="s">
        <v>584</v>
      </c>
    </row>
    <row r="1593" spans="1:3" x14ac:dyDescent="0.25">
      <c r="A1593" s="1">
        <v>2216</v>
      </c>
      <c r="B1593" s="1" t="s">
        <v>583</v>
      </c>
      <c r="C1593" s="1" t="s">
        <v>584</v>
      </c>
    </row>
    <row r="1594" spans="1:3" x14ac:dyDescent="0.25">
      <c r="A1594" s="1">
        <v>2231</v>
      </c>
      <c r="B1594" s="1" t="s">
        <v>583</v>
      </c>
      <c r="C1594" s="1" t="s">
        <v>584</v>
      </c>
    </row>
    <row r="1595" spans="1:3" x14ac:dyDescent="0.25">
      <c r="A1595" s="1">
        <v>2274</v>
      </c>
      <c r="B1595" s="1" t="s">
        <v>583</v>
      </c>
      <c r="C1595" s="1" t="s">
        <v>584</v>
      </c>
    </row>
    <row r="1596" spans="1:3" x14ac:dyDescent="0.25">
      <c r="A1596" s="1">
        <v>2303</v>
      </c>
      <c r="B1596" s="1" t="s">
        <v>583</v>
      </c>
      <c r="C1596" s="1" t="s">
        <v>584</v>
      </c>
    </row>
    <row r="1597" spans="1:3" x14ac:dyDescent="0.25">
      <c r="A1597" s="1">
        <v>2312</v>
      </c>
      <c r="B1597" s="1" t="s">
        <v>583</v>
      </c>
      <c r="C1597" s="1" t="s">
        <v>584</v>
      </c>
    </row>
    <row r="1598" spans="1:3" x14ac:dyDescent="0.25">
      <c r="A1598" s="1">
        <v>2328</v>
      </c>
      <c r="B1598" s="1" t="s">
        <v>583</v>
      </c>
      <c r="C1598" s="1" t="s">
        <v>584</v>
      </c>
    </row>
    <row r="1599" spans="1:3" x14ac:dyDescent="0.25">
      <c r="A1599" s="1">
        <v>2334</v>
      </c>
      <c r="B1599" s="1" t="s">
        <v>583</v>
      </c>
      <c r="C1599" s="1" t="s">
        <v>584</v>
      </c>
    </row>
    <row r="1600" spans="1:3" x14ac:dyDescent="0.25">
      <c r="A1600" s="1">
        <v>2342</v>
      </c>
      <c r="B1600" s="1" t="s">
        <v>583</v>
      </c>
      <c r="C1600" s="1" t="s">
        <v>584</v>
      </c>
    </row>
    <row r="1601" spans="1:3" x14ac:dyDescent="0.25">
      <c r="A1601" s="1">
        <v>2406</v>
      </c>
      <c r="B1601" s="1" t="s">
        <v>583</v>
      </c>
      <c r="C1601" s="1" t="s">
        <v>584</v>
      </c>
    </row>
    <row r="1602" spans="1:3" x14ac:dyDescent="0.25">
      <c r="A1602" s="1">
        <v>2489</v>
      </c>
      <c r="B1602" s="1" t="s">
        <v>583</v>
      </c>
      <c r="C1602" s="1" t="s">
        <v>584</v>
      </c>
    </row>
    <row r="1603" spans="1:3" x14ac:dyDescent="0.25">
      <c r="A1603" s="1">
        <v>2500</v>
      </c>
      <c r="B1603" s="1" t="s">
        <v>583</v>
      </c>
      <c r="C1603" s="1" t="s">
        <v>584</v>
      </c>
    </row>
    <row r="1604" spans="1:3" x14ac:dyDescent="0.25">
      <c r="A1604" s="1">
        <v>2522</v>
      </c>
      <c r="B1604" s="1" t="s">
        <v>583</v>
      </c>
      <c r="C1604" s="1" t="s">
        <v>584</v>
      </c>
    </row>
    <row r="1605" spans="1:3" x14ac:dyDescent="0.25">
      <c r="A1605" s="1">
        <v>2523</v>
      </c>
      <c r="B1605" s="1" t="s">
        <v>583</v>
      </c>
      <c r="C1605" s="1" t="s">
        <v>584</v>
      </c>
    </row>
    <row r="1606" spans="1:3" x14ac:dyDescent="0.25">
      <c r="A1606" s="1">
        <v>2526</v>
      </c>
      <c r="B1606" s="1" t="s">
        <v>583</v>
      </c>
      <c r="C1606" s="1" t="s">
        <v>584</v>
      </c>
    </row>
    <row r="1607" spans="1:3" x14ac:dyDescent="0.25">
      <c r="A1607" s="1">
        <v>2544</v>
      </c>
      <c r="B1607" s="1" t="s">
        <v>583</v>
      </c>
      <c r="C1607" s="1" t="s">
        <v>584</v>
      </c>
    </row>
    <row r="1608" spans="1:3" x14ac:dyDescent="0.25">
      <c r="A1608" s="1">
        <v>2545</v>
      </c>
      <c r="B1608" s="1" t="s">
        <v>583</v>
      </c>
      <c r="C1608" s="1" t="s">
        <v>584</v>
      </c>
    </row>
    <row r="1609" spans="1:3" x14ac:dyDescent="0.25">
      <c r="A1609" s="1">
        <v>2546</v>
      </c>
      <c r="B1609" s="1" t="s">
        <v>583</v>
      </c>
      <c r="C1609" s="1" t="s">
        <v>584</v>
      </c>
    </row>
    <row r="1610" spans="1:3" x14ac:dyDescent="0.25">
      <c r="A1610" s="1">
        <v>2547</v>
      </c>
      <c r="B1610" s="1" t="s">
        <v>583</v>
      </c>
      <c r="C1610" s="1" t="s">
        <v>584</v>
      </c>
    </row>
    <row r="1611" spans="1:3" x14ac:dyDescent="0.25">
      <c r="A1611" s="1">
        <v>2548</v>
      </c>
      <c r="B1611" s="1" t="s">
        <v>583</v>
      </c>
      <c r="C1611" s="1" t="s">
        <v>584</v>
      </c>
    </row>
    <row r="1612" spans="1:3" x14ac:dyDescent="0.25">
      <c r="A1612" s="1">
        <v>2550</v>
      </c>
      <c r="B1612" s="1" t="s">
        <v>583</v>
      </c>
      <c r="C1612" s="1" t="s">
        <v>584</v>
      </c>
    </row>
    <row r="1613" spans="1:3" x14ac:dyDescent="0.25">
      <c r="A1613" s="1">
        <v>2551</v>
      </c>
      <c r="B1613" s="1" t="s">
        <v>583</v>
      </c>
      <c r="C1613" s="1" t="s">
        <v>584</v>
      </c>
    </row>
    <row r="1614" spans="1:3" x14ac:dyDescent="0.25">
      <c r="A1614" s="1">
        <v>2554</v>
      </c>
      <c r="B1614" s="1" t="s">
        <v>583</v>
      </c>
      <c r="C1614" s="1" t="s">
        <v>584</v>
      </c>
    </row>
    <row r="1615" spans="1:3" x14ac:dyDescent="0.25">
      <c r="A1615" s="1">
        <v>2606</v>
      </c>
      <c r="B1615" s="1" t="s">
        <v>583</v>
      </c>
      <c r="C1615" s="1" t="s">
        <v>584</v>
      </c>
    </row>
    <row r="1616" spans="1:3" x14ac:dyDescent="0.25">
      <c r="A1616" s="1">
        <v>2638</v>
      </c>
      <c r="B1616" s="1" t="s">
        <v>583</v>
      </c>
      <c r="C1616" s="1" t="s">
        <v>584</v>
      </c>
    </row>
    <row r="1617" spans="1:3" x14ac:dyDescent="0.25">
      <c r="A1617" s="1">
        <v>2639</v>
      </c>
      <c r="B1617" s="1" t="s">
        <v>583</v>
      </c>
      <c r="C1617" s="1" t="s">
        <v>584</v>
      </c>
    </row>
    <row r="1618" spans="1:3" x14ac:dyDescent="0.25">
      <c r="A1618" s="1">
        <v>2640</v>
      </c>
      <c r="B1618" s="1" t="s">
        <v>583</v>
      </c>
      <c r="C1618" s="1" t="s">
        <v>584</v>
      </c>
    </row>
    <row r="1619" spans="1:3" x14ac:dyDescent="0.25">
      <c r="A1619" s="1">
        <v>2641</v>
      </c>
      <c r="B1619" s="1" t="s">
        <v>583</v>
      </c>
      <c r="C1619" s="1" t="s">
        <v>584</v>
      </c>
    </row>
    <row r="1620" spans="1:3" x14ac:dyDescent="0.25">
      <c r="A1620" s="1">
        <v>2683</v>
      </c>
      <c r="B1620" s="1" t="s">
        <v>583</v>
      </c>
      <c r="C1620" s="1" t="s">
        <v>584</v>
      </c>
    </row>
    <row r="1621" spans="1:3" x14ac:dyDescent="0.25">
      <c r="A1621" s="1">
        <v>2701</v>
      </c>
      <c r="B1621" s="1" t="s">
        <v>583</v>
      </c>
      <c r="C1621" s="1" t="s">
        <v>584</v>
      </c>
    </row>
    <row r="1622" spans="1:3" x14ac:dyDescent="0.25">
      <c r="A1622" s="1">
        <v>2702</v>
      </c>
      <c r="B1622" s="1" t="s">
        <v>583</v>
      </c>
      <c r="C1622" s="1" t="s">
        <v>584</v>
      </c>
    </row>
    <row r="1623" spans="1:3" x14ac:dyDescent="0.25">
      <c r="A1623" s="1">
        <v>2704</v>
      </c>
      <c r="B1623" s="1" t="s">
        <v>583</v>
      </c>
      <c r="C1623" s="1" t="s">
        <v>584</v>
      </c>
    </row>
    <row r="1624" spans="1:3" x14ac:dyDescent="0.25">
      <c r="A1624" s="1">
        <v>2706</v>
      </c>
      <c r="B1624" s="1" t="s">
        <v>583</v>
      </c>
      <c r="C1624" s="1" t="s">
        <v>584</v>
      </c>
    </row>
    <row r="1625" spans="1:3" x14ac:dyDescent="0.25">
      <c r="A1625" s="1">
        <v>2707</v>
      </c>
      <c r="B1625" s="1" t="s">
        <v>583</v>
      </c>
      <c r="C1625" s="1" t="s">
        <v>584</v>
      </c>
    </row>
    <row r="1626" spans="1:3" x14ac:dyDescent="0.25">
      <c r="A1626" s="1">
        <v>2708</v>
      </c>
      <c r="B1626" s="1" t="s">
        <v>583</v>
      </c>
      <c r="C1626" s="1" t="s">
        <v>584</v>
      </c>
    </row>
    <row r="1627" spans="1:3" x14ac:dyDescent="0.25">
      <c r="A1627" s="1">
        <v>2710</v>
      </c>
      <c r="B1627" s="1" t="s">
        <v>583</v>
      </c>
      <c r="C1627" s="1" t="s">
        <v>584</v>
      </c>
    </row>
    <row r="1628" spans="1:3" x14ac:dyDescent="0.25">
      <c r="A1628" s="1">
        <v>2727</v>
      </c>
      <c r="B1628" s="1" t="s">
        <v>583</v>
      </c>
      <c r="C1628" s="1" t="s">
        <v>584</v>
      </c>
    </row>
    <row r="1629" spans="1:3" x14ac:dyDescent="0.25">
      <c r="A1629" s="1">
        <v>2745</v>
      </c>
      <c r="B1629" s="1" t="s">
        <v>583</v>
      </c>
      <c r="C1629" s="1" t="s">
        <v>584</v>
      </c>
    </row>
    <row r="1630" spans="1:3" x14ac:dyDescent="0.25">
      <c r="A1630" s="1">
        <v>2779</v>
      </c>
      <c r="B1630" s="1" t="s">
        <v>583</v>
      </c>
      <c r="C1630" s="1" t="s">
        <v>584</v>
      </c>
    </row>
    <row r="1631" spans="1:3" x14ac:dyDescent="0.25">
      <c r="A1631" s="1">
        <v>2794</v>
      </c>
      <c r="B1631" s="1" t="s">
        <v>583</v>
      </c>
      <c r="C1631" s="1" t="s">
        <v>584</v>
      </c>
    </row>
    <row r="1632" spans="1:3" x14ac:dyDescent="0.25">
      <c r="A1632" s="1">
        <v>2842</v>
      </c>
      <c r="B1632" s="1" t="s">
        <v>583</v>
      </c>
      <c r="C1632" s="1" t="s">
        <v>584</v>
      </c>
    </row>
    <row r="1633" spans="1:3" x14ac:dyDescent="0.25">
      <c r="A1633" s="1">
        <v>2895</v>
      </c>
      <c r="B1633" s="1" t="s">
        <v>583</v>
      </c>
      <c r="C1633" s="1" t="s">
        <v>584</v>
      </c>
    </row>
    <row r="1634" spans="1:3" x14ac:dyDescent="0.25">
      <c r="A1634" s="1">
        <v>3015</v>
      </c>
      <c r="B1634" s="1" t="s">
        <v>583</v>
      </c>
      <c r="C1634" s="1" t="s">
        <v>584</v>
      </c>
    </row>
    <row r="1635" spans="1:3" x14ac:dyDescent="0.25">
      <c r="A1635" s="1">
        <v>3017</v>
      </c>
      <c r="B1635" s="1" t="s">
        <v>583</v>
      </c>
      <c r="C1635" s="1" t="s">
        <v>584</v>
      </c>
    </row>
    <row r="1636" spans="1:3" x14ac:dyDescent="0.25">
      <c r="A1636" s="1">
        <v>3019</v>
      </c>
      <c r="B1636" s="1" t="s">
        <v>583</v>
      </c>
      <c r="C1636" s="1" t="s">
        <v>584</v>
      </c>
    </row>
    <row r="1637" spans="1:3" x14ac:dyDescent="0.25">
      <c r="A1637" s="1">
        <v>3020</v>
      </c>
      <c r="B1637" s="1" t="s">
        <v>583</v>
      </c>
      <c r="C1637" s="1" t="s">
        <v>584</v>
      </c>
    </row>
    <row r="1638" spans="1:3" x14ac:dyDescent="0.25">
      <c r="A1638" s="1">
        <v>3050</v>
      </c>
      <c r="B1638" s="1" t="s">
        <v>583</v>
      </c>
      <c r="C1638" s="1" t="s">
        <v>584</v>
      </c>
    </row>
    <row r="1639" spans="1:3" x14ac:dyDescent="0.25">
      <c r="A1639" s="1">
        <v>3083</v>
      </c>
      <c r="B1639" s="1" t="s">
        <v>583</v>
      </c>
      <c r="C1639" s="1" t="s">
        <v>584</v>
      </c>
    </row>
    <row r="1640" spans="1:3" x14ac:dyDescent="0.25">
      <c r="A1640" s="1">
        <v>3106</v>
      </c>
      <c r="B1640" s="1" t="s">
        <v>583</v>
      </c>
      <c r="C1640" s="1" t="s">
        <v>584</v>
      </c>
    </row>
    <row r="1641" spans="1:3" x14ac:dyDescent="0.25">
      <c r="A1641" s="1">
        <v>3129</v>
      </c>
      <c r="B1641" s="1" t="s">
        <v>583</v>
      </c>
      <c r="C1641" s="1" t="s">
        <v>584</v>
      </c>
    </row>
    <row r="1642" spans="1:3" x14ac:dyDescent="0.25">
      <c r="A1642" s="1">
        <v>3179</v>
      </c>
      <c r="B1642" s="1" t="s">
        <v>583</v>
      </c>
      <c r="C1642" s="1" t="s">
        <v>584</v>
      </c>
    </row>
    <row r="1643" spans="1:3" x14ac:dyDescent="0.25">
      <c r="A1643" s="1">
        <v>3284</v>
      </c>
      <c r="B1643" s="1" t="s">
        <v>583</v>
      </c>
      <c r="C1643" s="1" t="s">
        <v>584</v>
      </c>
    </row>
    <row r="1644" spans="1:3" x14ac:dyDescent="0.25">
      <c r="A1644" s="1">
        <v>47</v>
      </c>
      <c r="B1644" s="1" t="s">
        <v>585</v>
      </c>
      <c r="C1644" s="1" t="s">
        <v>586</v>
      </c>
    </row>
    <row r="1645" spans="1:3" x14ac:dyDescent="0.25">
      <c r="A1645" s="1">
        <v>48</v>
      </c>
      <c r="B1645" s="1" t="s">
        <v>585</v>
      </c>
      <c r="C1645" s="1" t="s">
        <v>586</v>
      </c>
    </row>
    <row r="1646" spans="1:3" x14ac:dyDescent="0.25">
      <c r="A1646" s="1">
        <v>49</v>
      </c>
      <c r="B1646" s="1" t="s">
        <v>585</v>
      </c>
      <c r="C1646" s="1" t="s">
        <v>586</v>
      </c>
    </row>
    <row r="1647" spans="1:3" x14ac:dyDescent="0.25">
      <c r="A1647" s="1">
        <v>50</v>
      </c>
      <c r="B1647" s="1" t="s">
        <v>585</v>
      </c>
      <c r="C1647" s="1" t="s">
        <v>586</v>
      </c>
    </row>
    <row r="1648" spans="1:3" x14ac:dyDescent="0.25">
      <c r="A1648" s="1">
        <v>191</v>
      </c>
      <c r="B1648" s="1" t="s">
        <v>585</v>
      </c>
      <c r="C1648" s="1" t="s">
        <v>586</v>
      </c>
    </row>
    <row r="1649" spans="1:3" x14ac:dyDescent="0.25">
      <c r="A1649" s="1">
        <v>192</v>
      </c>
      <c r="B1649" s="1" t="s">
        <v>585</v>
      </c>
      <c r="C1649" s="1" t="s">
        <v>586</v>
      </c>
    </row>
    <row r="1650" spans="1:3" x14ac:dyDescent="0.25">
      <c r="A1650" s="1">
        <v>193</v>
      </c>
      <c r="B1650" s="1" t="s">
        <v>585</v>
      </c>
      <c r="C1650" s="1" t="s">
        <v>586</v>
      </c>
    </row>
    <row r="1651" spans="1:3" x14ac:dyDescent="0.25">
      <c r="A1651" s="1">
        <v>195</v>
      </c>
      <c r="B1651" s="1" t="s">
        <v>585</v>
      </c>
      <c r="C1651" s="1" t="s">
        <v>586</v>
      </c>
    </row>
    <row r="1652" spans="1:3" x14ac:dyDescent="0.25">
      <c r="A1652" s="1">
        <v>197</v>
      </c>
      <c r="B1652" s="1" t="s">
        <v>585</v>
      </c>
      <c r="C1652" s="1" t="s">
        <v>586</v>
      </c>
    </row>
    <row r="1653" spans="1:3" x14ac:dyDescent="0.25">
      <c r="A1653" s="1">
        <v>199</v>
      </c>
      <c r="B1653" s="1" t="s">
        <v>585</v>
      </c>
      <c r="C1653" s="1" t="s">
        <v>586</v>
      </c>
    </row>
    <row r="1654" spans="1:3" x14ac:dyDescent="0.25">
      <c r="A1654" s="1">
        <v>200</v>
      </c>
      <c r="B1654" s="1" t="s">
        <v>585</v>
      </c>
      <c r="C1654" s="1" t="s">
        <v>586</v>
      </c>
    </row>
    <row r="1655" spans="1:3" x14ac:dyDescent="0.25">
      <c r="A1655" s="1">
        <v>201</v>
      </c>
      <c r="B1655" s="1" t="s">
        <v>585</v>
      </c>
      <c r="C1655" s="1" t="s">
        <v>586</v>
      </c>
    </row>
    <row r="1656" spans="1:3" x14ac:dyDescent="0.25">
      <c r="A1656" s="1">
        <v>202</v>
      </c>
      <c r="B1656" s="1" t="s">
        <v>585</v>
      </c>
      <c r="C1656" s="1" t="s">
        <v>586</v>
      </c>
    </row>
    <row r="1657" spans="1:3" x14ac:dyDescent="0.25">
      <c r="A1657" s="1">
        <v>203</v>
      </c>
      <c r="B1657" s="1" t="s">
        <v>585</v>
      </c>
      <c r="C1657" s="1" t="s">
        <v>586</v>
      </c>
    </row>
    <row r="1658" spans="1:3" x14ac:dyDescent="0.25">
      <c r="A1658" s="1">
        <v>204</v>
      </c>
      <c r="B1658" s="1" t="s">
        <v>585</v>
      </c>
      <c r="C1658" s="1" t="s">
        <v>586</v>
      </c>
    </row>
    <row r="1659" spans="1:3" x14ac:dyDescent="0.25">
      <c r="A1659" s="1">
        <v>205</v>
      </c>
      <c r="B1659" s="1" t="s">
        <v>585</v>
      </c>
      <c r="C1659" s="1" t="s">
        <v>586</v>
      </c>
    </row>
    <row r="1660" spans="1:3" x14ac:dyDescent="0.25">
      <c r="A1660" s="1">
        <v>206</v>
      </c>
      <c r="B1660" s="1" t="s">
        <v>585</v>
      </c>
      <c r="C1660" s="1" t="s">
        <v>586</v>
      </c>
    </row>
    <row r="1661" spans="1:3" x14ac:dyDescent="0.25">
      <c r="A1661" s="1">
        <v>207</v>
      </c>
      <c r="B1661" s="1" t="s">
        <v>585</v>
      </c>
      <c r="C1661" s="1" t="s">
        <v>586</v>
      </c>
    </row>
    <row r="1662" spans="1:3" x14ac:dyDescent="0.25">
      <c r="A1662" s="1">
        <v>321</v>
      </c>
      <c r="B1662" s="1" t="s">
        <v>585</v>
      </c>
      <c r="C1662" s="1" t="s">
        <v>586</v>
      </c>
    </row>
    <row r="1663" spans="1:3" x14ac:dyDescent="0.25">
      <c r="A1663" s="1">
        <v>322</v>
      </c>
      <c r="B1663" s="1" t="s">
        <v>585</v>
      </c>
      <c r="C1663" s="1" t="s">
        <v>586</v>
      </c>
    </row>
    <row r="1664" spans="1:3" x14ac:dyDescent="0.25">
      <c r="A1664" s="1">
        <v>323</v>
      </c>
      <c r="B1664" s="1" t="s">
        <v>585</v>
      </c>
      <c r="C1664" s="1" t="s">
        <v>586</v>
      </c>
    </row>
    <row r="1665" spans="1:3" x14ac:dyDescent="0.25">
      <c r="A1665" s="1">
        <v>324</v>
      </c>
      <c r="B1665" s="1" t="s">
        <v>585</v>
      </c>
      <c r="C1665" s="1" t="s">
        <v>586</v>
      </c>
    </row>
    <row r="1666" spans="1:3" x14ac:dyDescent="0.25">
      <c r="A1666" s="1">
        <v>326</v>
      </c>
      <c r="B1666" s="1" t="s">
        <v>585</v>
      </c>
      <c r="C1666" s="1" t="s">
        <v>586</v>
      </c>
    </row>
    <row r="1667" spans="1:3" x14ac:dyDescent="0.25">
      <c r="A1667" s="1">
        <v>327</v>
      </c>
      <c r="B1667" s="1" t="s">
        <v>585</v>
      </c>
      <c r="C1667" s="1" t="s">
        <v>586</v>
      </c>
    </row>
    <row r="1668" spans="1:3" x14ac:dyDescent="0.25">
      <c r="A1668" s="1">
        <v>436</v>
      </c>
      <c r="B1668" s="1" t="s">
        <v>585</v>
      </c>
      <c r="C1668" s="1" t="s">
        <v>586</v>
      </c>
    </row>
    <row r="1669" spans="1:3" x14ac:dyDescent="0.25">
      <c r="A1669" s="1">
        <v>526</v>
      </c>
      <c r="B1669" s="1" t="s">
        <v>585</v>
      </c>
      <c r="C1669" s="1" t="s">
        <v>586</v>
      </c>
    </row>
    <row r="1670" spans="1:3" x14ac:dyDescent="0.25">
      <c r="A1670" s="1">
        <v>527</v>
      </c>
      <c r="B1670" s="1" t="s">
        <v>585</v>
      </c>
      <c r="C1670" s="1" t="s">
        <v>586</v>
      </c>
    </row>
    <row r="1671" spans="1:3" x14ac:dyDescent="0.25">
      <c r="A1671" s="1">
        <v>528</v>
      </c>
      <c r="B1671" s="1" t="s">
        <v>585</v>
      </c>
      <c r="C1671" s="1" t="s">
        <v>586</v>
      </c>
    </row>
    <row r="1672" spans="1:3" x14ac:dyDescent="0.25">
      <c r="A1672" s="1">
        <v>529</v>
      </c>
      <c r="B1672" s="1" t="s">
        <v>585</v>
      </c>
      <c r="C1672" s="1" t="s">
        <v>586</v>
      </c>
    </row>
    <row r="1673" spans="1:3" x14ac:dyDescent="0.25">
      <c r="A1673" s="1">
        <v>530</v>
      </c>
      <c r="B1673" s="1" t="s">
        <v>585</v>
      </c>
      <c r="C1673" s="1" t="s">
        <v>586</v>
      </c>
    </row>
    <row r="1674" spans="1:3" x14ac:dyDescent="0.25">
      <c r="A1674" s="1">
        <v>531</v>
      </c>
      <c r="B1674" s="1" t="s">
        <v>585</v>
      </c>
      <c r="C1674" s="1" t="s">
        <v>586</v>
      </c>
    </row>
    <row r="1675" spans="1:3" x14ac:dyDescent="0.25">
      <c r="A1675" s="1">
        <v>532</v>
      </c>
      <c r="B1675" s="1" t="s">
        <v>585</v>
      </c>
      <c r="C1675" s="1" t="s">
        <v>586</v>
      </c>
    </row>
    <row r="1676" spans="1:3" x14ac:dyDescent="0.25">
      <c r="A1676" s="1">
        <v>533</v>
      </c>
      <c r="B1676" s="1" t="s">
        <v>585</v>
      </c>
      <c r="C1676" s="1" t="s">
        <v>586</v>
      </c>
    </row>
    <row r="1677" spans="1:3" x14ac:dyDescent="0.25">
      <c r="A1677" s="1">
        <v>534</v>
      </c>
      <c r="B1677" s="1" t="s">
        <v>585</v>
      </c>
      <c r="C1677" s="1" t="s">
        <v>586</v>
      </c>
    </row>
    <row r="1678" spans="1:3" x14ac:dyDescent="0.25">
      <c r="A1678" s="1">
        <v>536</v>
      </c>
      <c r="B1678" s="1" t="s">
        <v>585</v>
      </c>
      <c r="C1678" s="1" t="s">
        <v>586</v>
      </c>
    </row>
    <row r="1679" spans="1:3" x14ac:dyDescent="0.25">
      <c r="A1679" s="1">
        <v>537</v>
      </c>
      <c r="B1679" s="1" t="s">
        <v>585</v>
      </c>
      <c r="C1679" s="1" t="s">
        <v>586</v>
      </c>
    </row>
    <row r="1680" spans="1:3" x14ac:dyDescent="0.25">
      <c r="A1680" s="1">
        <v>538</v>
      </c>
      <c r="B1680" s="1" t="s">
        <v>585</v>
      </c>
      <c r="C1680" s="1" t="s">
        <v>586</v>
      </c>
    </row>
    <row r="1681" spans="1:3" x14ac:dyDescent="0.25">
      <c r="A1681" s="1">
        <v>539</v>
      </c>
      <c r="B1681" s="1" t="s">
        <v>585</v>
      </c>
      <c r="C1681" s="1" t="s">
        <v>586</v>
      </c>
    </row>
    <row r="1682" spans="1:3" x14ac:dyDescent="0.25">
      <c r="A1682" s="1">
        <v>540</v>
      </c>
      <c r="B1682" s="1" t="s">
        <v>585</v>
      </c>
      <c r="C1682" s="1" t="s">
        <v>586</v>
      </c>
    </row>
    <row r="1683" spans="1:3" x14ac:dyDescent="0.25">
      <c r="A1683" s="1">
        <v>541</v>
      </c>
      <c r="B1683" s="1" t="s">
        <v>585</v>
      </c>
      <c r="C1683" s="1" t="s">
        <v>586</v>
      </c>
    </row>
    <row r="1684" spans="1:3" x14ac:dyDescent="0.25">
      <c r="A1684" s="1">
        <v>756</v>
      </c>
      <c r="B1684" s="1" t="s">
        <v>585</v>
      </c>
      <c r="C1684" s="1" t="s">
        <v>586</v>
      </c>
    </row>
    <row r="1685" spans="1:3" x14ac:dyDescent="0.25">
      <c r="A1685" s="1">
        <v>834</v>
      </c>
      <c r="B1685" s="1" t="s">
        <v>585</v>
      </c>
      <c r="C1685" s="1" t="s">
        <v>586</v>
      </c>
    </row>
    <row r="1686" spans="1:3" x14ac:dyDescent="0.25">
      <c r="A1686" s="1">
        <v>835</v>
      </c>
      <c r="B1686" s="1" t="s">
        <v>585</v>
      </c>
      <c r="C1686" s="1" t="s">
        <v>586</v>
      </c>
    </row>
    <row r="1687" spans="1:3" x14ac:dyDescent="0.25">
      <c r="A1687" s="1">
        <v>840</v>
      </c>
      <c r="B1687" s="1" t="s">
        <v>585</v>
      </c>
      <c r="C1687" s="1" t="s">
        <v>586</v>
      </c>
    </row>
    <row r="1688" spans="1:3" x14ac:dyDescent="0.25">
      <c r="A1688" s="1">
        <v>861</v>
      </c>
      <c r="B1688" s="1" t="s">
        <v>585</v>
      </c>
      <c r="C1688" s="1" t="s">
        <v>586</v>
      </c>
    </row>
    <row r="1689" spans="1:3" x14ac:dyDescent="0.25">
      <c r="A1689" s="1">
        <v>951</v>
      </c>
      <c r="B1689" s="1" t="s">
        <v>585</v>
      </c>
      <c r="C1689" s="1" t="s">
        <v>586</v>
      </c>
    </row>
    <row r="1690" spans="1:3" x14ac:dyDescent="0.25">
      <c r="A1690" s="1">
        <v>969</v>
      </c>
      <c r="B1690" s="1" t="s">
        <v>585</v>
      </c>
      <c r="C1690" s="1" t="s">
        <v>586</v>
      </c>
    </row>
    <row r="1691" spans="1:3" x14ac:dyDescent="0.25">
      <c r="A1691" s="1">
        <v>1001</v>
      </c>
      <c r="B1691" s="1" t="s">
        <v>585</v>
      </c>
      <c r="C1691" s="1" t="s">
        <v>586</v>
      </c>
    </row>
    <row r="1692" spans="1:3" x14ac:dyDescent="0.25">
      <c r="A1692" s="1">
        <v>1002</v>
      </c>
      <c r="B1692" s="1" t="s">
        <v>585</v>
      </c>
      <c r="C1692" s="1" t="s">
        <v>586</v>
      </c>
    </row>
    <row r="1693" spans="1:3" x14ac:dyDescent="0.25">
      <c r="A1693" s="1">
        <v>1103</v>
      </c>
      <c r="B1693" s="1" t="s">
        <v>585</v>
      </c>
      <c r="C1693" s="1" t="s">
        <v>586</v>
      </c>
    </row>
    <row r="1694" spans="1:3" x14ac:dyDescent="0.25">
      <c r="A1694" s="1">
        <v>1133</v>
      </c>
      <c r="B1694" s="1" t="s">
        <v>585</v>
      </c>
      <c r="C1694" s="1" t="s">
        <v>586</v>
      </c>
    </row>
    <row r="1695" spans="1:3" x14ac:dyDescent="0.25">
      <c r="A1695" s="1">
        <v>1145</v>
      </c>
      <c r="B1695" s="1" t="s">
        <v>585</v>
      </c>
      <c r="C1695" s="1" t="s">
        <v>586</v>
      </c>
    </row>
    <row r="1696" spans="1:3" x14ac:dyDescent="0.25">
      <c r="A1696" s="1">
        <v>1163</v>
      </c>
      <c r="B1696" s="1" t="s">
        <v>585</v>
      </c>
      <c r="C1696" s="1" t="s">
        <v>586</v>
      </c>
    </row>
    <row r="1697" spans="1:3" x14ac:dyDescent="0.25">
      <c r="A1697" s="1">
        <v>1224</v>
      </c>
      <c r="B1697" s="1" t="s">
        <v>585</v>
      </c>
      <c r="C1697" s="1" t="s">
        <v>586</v>
      </c>
    </row>
    <row r="1698" spans="1:3" x14ac:dyDescent="0.25">
      <c r="A1698" s="1">
        <v>1256</v>
      </c>
      <c r="B1698" s="1" t="s">
        <v>585</v>
      </c>
      <c r="C1698" s="1" t="s">
        <v>586</v>
      </c>
    </row>
    <row r="1699" spans="1:3" x14ac:dyDescent="0.25">
      <c r="A1699" s="1">
        <v>1361</v>
      </c>
      <c r="B1699" s="1" t="s">
        <v>585</v>
      </c>
      <c r="C1699" s="1" t="s">
        <v>586</v>
      </c>
    </row>
    <row r="1700" spans="1:3" x14ac:dyDescent="0.25">
      <c r="A1700" s="1">
        <v>1362</v>
      </c>
      <c r="B1700" s="1" t="s">
        <v>585</v>
      </c>
      <c r="C1700" s="1" t="s">
        <v>586</v>
      </c>
    </row>
    <row r="1701" spans="1:3" x14ac:dyDescent="0.25">
      <c r="A1701" s="1">
        <v>1366</v>
      </c>
      <c r="B1701" s="1" t="s">
        <v>585</v>
      </c>
      <c r="C1701" s="1" t="s">
        <v>586</v>
      </c>
    </row>
    <row r="1702" spans="1:3" x14ac:dyDescent="0.25">
      <c r="A1702" s="1">
        <v>1400</v>
      </c>
      <c r="B1702" s="1" t="s">
        <v>585</v>
      </c>
      <c r="C1702" s="1" t="s">
        <v>586</v>
      </c>
    </row>
    <row r="1703" spans="1:3" x14ac:dyDescent="0.25">
      <c r="A1703" s="1">
        <v>1448</v>
      </c>
      <c r="B1703" s="1" t="s">
        <v>585</v>
      </c>
      <c r="C1703" s="1" t="s">
        <v>586</v>
      </c>
    </row>
    <row r="1704" spans="1:3" x14ac:dyDescent="0.25">
      <c r="A1704" s="1">
        <v>1455</v>
      </c>
      <c r="B1704" s="1" t="s">
        <v>585</v>
      </c>
      <c r="C1704" s="1" t="s">
        <v>586</v>
      </c>
    </row>
    <row r="1705" spans="1:3" x14ac:dyDescent="0.25">
      <c r="A1705" s="1">
        <v>1468</v>
      </c>
      <c r="B1705" s="1" t="s">
        <v>585</v>
      </c>
      <c r="C1705" s="1" t="s">
        <v>586</v>
      </c>
    </row>
    <row r="1706" spans="1:3" x14ac:dyDescent="0.25">
      <c r="A1706" s="1">
        <v>1471</v>
      </c>
      <c r="B1706" s="1" t="s">
        <v>585</v>
      </c>
      <c r="C1706" s="1" t="s">
        <v>586</v>
      </c>
    </row>
    <row r="1707" spans="1:3" x14ac:dyDescent="0.25">
      <c r="A1707" s="1">
        <v>1540</v>
      </c>
      <c r="B1707" s="1" t="s">
        <v>585</v>
      </c>
      <c r="C1707" s="1" t="s">
        <v>586</v>
      </c>
    </row>
    <row r="1708" spans="1:3" x14ac:dyDescent="0.25">
      <c r="A1708" s="1">
        <v>1564</v>
      </c>
      <c r="B1708" s="1" t="s">
        <v>585</v>
      </c>
      <c r="C1708" s="1" t="s">
        <v>586</v>
      </c>
    </row>
    <row r="1709" spans="1:3" x14ac:dyDescent="0.25">
      <c r="A1709" s="1">
        <v>1570</v>
      </c>
      <c r="B1709" s="1" t="s">
        <v>585</v>
      </c>
      <c r="C1709" s="1" t="s">
        <v>586</v>
      </c>
    </row>
    <row r="1710" spans="1:3" x14ac:dyDescent="0.25">
      <c r="A1710" s="1">
        <v>1572</v>
      </c>
      <c r="B1710" s="1" t="s">
        <v>585</v>
      </c>
      <c r="C1710" s="1" t="s">
        <v>586</v>
      </c>
    </row>
    <row r="1711" spans="1:3" x14ac:dyDescent="0.25">
      <c r="A1711" s="1">
        <v>1596</v>
      </c>
      <c r="B1711" s="1" t="s">
        <v>585</v>
      </c>
      <c r="C1711" s="1" t="s">
        <v>586</v>
      </c>
    </row>
    <row r="1712" spans="1:3" x14ac:dyDescent="0.25">
      <c r="A1712" s="1">
        <v>1605</v>
      </c>
      <c r="B1712" s="1" t="s">
        <v>585</v>
      </c>
      <c r="C1712" s="1" t="s">
        <v>586</v>
      </c>
    </row>
    <row r="1713" spans="1:3" x14ac:dyDescent="0.25">
      <c r="A1713" s="1">
        <v>1627</v>
      </c>
      <c r="B1713" s="1" t="s">
        <v>585</v>
      </c>
      <c r="C1713" s="1" t="s">
        <v>586</v>
      </c>
    </row>
    <row r="1714" spans="1:3" x14ac:dyDescent="0.25">
      <c r="A1714" s="1">
        <v>1672</v>
      </c>
      <c r="B1714" s="1" t="s">
        <v>585</v>
      </c>
      <c r="C1714" s="1" t="s">
        <v>586</v>
      </c>
    </row>
    <row r="1715" spans="1:3" x14ac:dyDescent="0.25">
      <c r="A1715" s="1">
        <v>1676</v>
      </c>
      <c r="B1715" s="1" t="s">
        <v>585</v>
      </c>
      <c r="C1715" s="1" t="s">
        <v>586</v>
      </c>
    </row>
    <row r="1716" spans="1:3" x14ac:dyDescent="0.25">
      <c r="A1716" s="1">
        <v>1703</v>
      </c>
      <c r="B1716" s="1" t="s">
        <v>585</v>
      </c>
      <c r="C1716" s="1" t="s">
        <v>586</v>
      </c>
    </row>
    <row r="1717" spans="1:3" x14ac:dyDescent="0.25">
      <c r="A1717" s="1">
        <v>1706</v>
      </c>
      <c r="B1717" s="1" t="s">
        <v>585</v>
      </c>
      <c r="C1717" s="1" t="s">
        <v>586</v>
      </c>
    </row>
    <row r="1718" spans="1:3" x14ac:dyDescent="0.25">
      <c r="A1718" s="1">
        <v>1713</v>
      </c>
      <c r="B1718" s="1" t="s">
        <v>585</v>
      </c>
      <c r="C1718" s="1" t="s">
        <v>586</v>
      </c>
    </row>
    <row r="1719" spans="1:3" x14ac:dyDescent="0.25">
      <c r="A1719" s="1">
        <v>1763</v>
      </c>
      <c r="B1719" s="1" t="s">
        <v>585</v>
      </c>
      <c r="C1719" s="1" t="s">
        <v>586</v>
      </c>
    </row>
    <row r="1720" spans="1:3" x14ac:dyDescent="0.25">
      <c r="A1720" s="1">
        <v>1783</v>
      </c>
      <c r="B1720" s="1" t="s">
        <v>585</v>
      </c>
      <c r="C1720" s="1" t="s">
        <v>586</v>
      </c>
    </row>
    <row r="1721" spans="1:3" x14ac:dyDescent="0.25">
      <c r="A1721" s="1">
        <v>1794</v>
      </c>
      <c r="B1721" s="1" t="s">
        <v>585</v>
      </c>
      <c r="C1721" s="1" t="s">
        <v>586</v>
      </c>
    </row>
    <row r="1722" spans="1:3" x14ac:dyDescent="0.25">
      <c r="A1722" s="1">
        <v>1865</v>
      </c>
      <c r="B1722" s="1" t="s">
        <v>585</v>
      </c>
      <c r="C1722" s="1" t="s">
        <v>586</v>
      </c>
    </row>
    <row r="1723" spans="1:3" x14ac:dyDescent="0.25">
      <c r="A1723" s="1">
        <v>2045</v>
      </c>
      <c r="B1723" s="1" t="s">
        <v>585</v>
      </c>
      <c r="C1723" s="1" t="s">
        <v>586</v>
      </c>
    </row>
    <row r="1724" spans="1:3" x14ac:dyDescent="0.25">
      <c r="A1724" s="1">
        <v>2076</v>
      </c>
      <c r="B1724" s="1" t="s">
        <v>585</v>
      </c>
      <c r="C1724" s="1" t="s">
        <v>586</v>
      </c>
    </row>
    <row r="1725" spans="1:3" x14ac:dyDescent="0.25">
      <c r="A1725" s="1">
        <v>2081</v>
      </c>
      <c r="B1725" s="1" t="s">
        <v>585</v>
      </c>
      <c r="C1725" s="1" t="s">
        <v>586</v>
      </c>
    </row>
    <row r="1726" spans="1:3" x14ac:dyDescent="0.25">
      <c r="A1726" s="1">
        <v>2122</v>
      </c>
      <c r="B1726" s="1" t="s">
        <v>585</v>
      </c>
      <c r="C1726" s="1" t="s">
        <v>586</v>
      </c>
    </row>
    <row r="1727" spans="1:3" x14ac:dyDescent="0.25">
      <c r="A1727" s="1">
        <v>2131</v>
      </c>
      <c r="B1727" s="1" t="s">
        <v>585</v>
      </c>
      <c r="C1727" s="1" t="s">
        <v>586</v>
      </c>
    </row>
    <row r="1728" spans="1:3" x14ac:dyDescent="0.25">
      <c r="A1728" s="1">
        <v>2170</v>
      </c>
      <c r="B1728" s="1" t="s">
        <v>585</v>
      </c>
      <c r="C1728" s="1" t="s">
        <v>586</v>
      </c>
    </row>
    <row r="1729" spans="1:3" x14ac:dyDescent="0.25">
      <c r="A1729" s="1">
        <v>2197</v>
      </c>
      <c r="B1729" s="1" t="s">
        <v>585</v>
      </c>
      <c r="C1729" s="1" t="s">
        <v>586</v>
      </c>
    </row>
    <row r="1730" spans="1:3" x14ac:dyDescent="0.25">
      <c r="A1730" s="1">
        <v>2268</v>
      </c>
      <c r="B1730" s="1" t="s">
        <v>585</v>
      </c>
      <c r="C1730" s="1" t="s">
        <v>586</v>
      </c>
    </row>
    <row r="1731" spans="1:3" x14ac:dyDescent="0.25">
      <c r="A1731" s="1">
        <v>2304</v>
      </c>
      <c r="B1731" s="1" t="s">
        <v>585</v>
      </c>
      <c r="C1731" s="1" t="s">
        <v>586</v>
      </c>
    </row>
    <row r="1732" spans="1:3" x14ac:dyDescent="0.25">
      <c r="A1732" s="1">
        <v>2306</v>
      </c>
      <c r="B1732" s="1" t="s">
        <v>585</v>
      </c>
      <c r="C1732" s="1" t="s">
        <v>586</v>
      </c>
    </row>
    <row r="1733" spans="1:3" x14ac:dyDescent="0.25">
      <c r="A1733" s="1">
        <v>2308</v>
      </c>
      <c r="B1733" s="1" t="s">
        <v>585</v>
      </c>
      <c r="C1733" s="1" t="s">
        <v>586</v>
      </c>
    </row>
    <row r="1734" spans="1:3" x14ac:dyDescent="0.25">
      <c r="A1734" s="1">
        <v>2314</v>
      </c>
      <c r="B1734" s="1" t="s">
        <v>585</v>
      </c>
      <c r="C1734" s="1" t="s">
        <v>586</v>
      </c>
    </row>
    <row r="1735" spans="1:3" x14ac:dyDescent="0.25">
      <c r="A1735" s="1">
        <v>2327</v>
      </c>
      <c r="B1735" s="1" t="s">
        <v>585</v>
      </c>
      <c r="C1735" s="1" t="s">
        <v>586</v>
      </c>
    </row>
    <row r="1736" spans="1:3" x14ac:dyDescent="0.25">
      <c r="A1736" s="1">
        <v>2340</v>
      </c>
      <c r="B1736" s="1" t="s">
        <v>585</v>
      </c>
      <c r="C1736" s="1" t="s">
        <v>586</v>
      </c>
    </row>
    <row r="1737" spans="1:3" x14ac:dyDescent="0.25">
      <c r="A1737" s="1">
        <v>2424</v>
      </c>
      <c r="B1737" s="1" t="s">
        <v>585</v>
      </c>
      <c r="C1737" s="1" t="s">
        <v>586</v>
      </c>
    </row>
    <row r="1738" spans="1:3" x14ac:dyDescent="0.25">
      <c r="A1738" s="1">
        <v>2430</v>
      </c>
      <c r="B1738" s="1" t="s">
        <v>585</v>
      </c>
      <c r="C1738" s="1" t="s">
        <v>586</v>
      </c>
    </row>
    <row r="1739" spans="1:3" x14ac:dyDescent="0.25">
      <c r="A1739" s="1">
        <v>2441</v>
      </c>
      <c r="B1739" s="1" t="s">
        <v>585</v>
      </c>
      <c r="C1739" s="1" t="s">
        <v>586</v>
      </c>
    </row>
    <row r="1740" spans="1:3" x14ac:dyDescent="0.25">
      <c r="A1740" s="1">
        <v>2472</v>
      </c>
      <c r="B1740" s="1" t="s">
        <v>585</v>
      </c>
      <c r="C1740" s="1" t="s">
        <v>586</v>
      </c>
    </row>
    <row r="1741" spans="1:3" x14ac:dyDescent="0.25">
      <c r="A1741" s="1">
        <v>2494</v>
      </c>
      <c r="B1741" s="1" t="s">
        <v>585</v>
      </c>
      <c r="C1741" s="1" t="s">
        <v>586</v>
      </c>
    </row>
    <row r="1742" spans="1:3" x14ac:dyDescent="0.25">
      <c r="A1742" s="1">
        <v>2496</v>
      </c>
      <c r="B1742" s="1" t="s">
        <v>585</v>
      </c>
      <c r="C1742" s="1" t="s">
        <v>586</v>
      </c>
    </row>
    <row r="1743" spans="1:3" x14ac:dyDescent="0.25">
      <c r="A1743" s="1">
        <v>2512</v>
      </c>
      <c r="B1743" s="1" t="s">
        <v>585</v>
      </c>
      <c r="C1743" s="1" t="s">
        <v>586</v>
      </c>
    </row>
    <row r="1744" spans="1:3" x14ac:dyDescent="0.25">
      <c r="A1744" s="1">
        <v>2513</v>
      </c>
      <c r="B1744" s="1" t="s">
        <v>585</v>
      </c>
      <c r="C1744" s="1" t="s">
        <v>586</v>
      </c>
    </row>
    <row r="1745" spans="1:3" x14ac:dyDescent="0.25">
      <c r="A1745" s="1">
        <v>2567</v>
      </c>
      <c r="B1745" s="1" t="s">
        <v>585</v>
      </c>
      <c r="C1745" s="1" t="s">
        <v>586</v>
      </c>
    </row>
    <row r="1746" spans="1:3" x14ac:dyDescent="0.25">
      <c r="A1746" s="1">
        <v>2571</v>
      </c>
      <c r="B1746" s="1" t="s">
        <v>585</v>
      </c>
      <c r="C1746" s="1" t="s">
        <v>586</v>
      </c>
    </row>
    <row r="1747" spans="1:3" x14ac:dyDescent="0.25">
      <c r="A1747" s="1">
        <v>2572</v>
      </c>
      <c r="B1747" s="1" t="s">
        <v>585</v>
      </c>
      <c r="C1747" s="1" t="s">
        <v>586</v>
      </c>
    </row>
    <row r="1748" spans="1:3" x14ac:dyDescent="0.25">
      <c r="A1748" s="1">
        <v>2573</v>
      </c>
      <c r="B1748" s="1" t="s">
        <v>585</v>
      </c>
      <c r="C1748" s="1" t="s">
        <v>586</v>
      </c>
    </row>
    <row r="1749" spans="1:3" x14ac:dyDescent="0.25">
      <c r="A1749" s="1">
        <v>2574</v>
      </c>
      <c r="B1749" s="1" t="s">
        <v>585</v>
      </c>
      <c r="C1749" s="1" t="s">
        <v>586</v>
      </c>
    </row>
    <row r="1750" spans="1:3" x14ac:dyDescent="0.25">
      <c r="A1750" s="1">
        <v>2581</v>
      </c>
      <c r="B1750" s="1" t="s">
        <v>585</v>
      </c>
      <c r="C1750" s="1" t="s">
        <v>586</v>
      </c>
    </row>
    <row r="1751" spans="1:3" x14ac:dyDescent="0.25">
      <c r="A1751" s="1">
        <v>2616</v>
      </c>
      <c r="B1751" s="1" t="s">
        <v>585</v>
      </c>
      <c r="C1751" s="1" t="s">
        <v>586</v>
      </c>
    </row>
    <row r="1752" spans="1:3" x14ac:dyDescent="0.25">
      <c r="A1752" s="1">
        <v>2655</v>
      </c>
      <c r="B1752" s="1" t="s">
        <v>585</v>
      </c>
      <c r="C1752" s="1" t="s">
        <v>586</v>
      </c>
    </row>
    <row r="1753" spans="1:3" x14ac:dyDescent="0.25">
      <c r="A1753" s="1">
        <v>2662</v>
      </c>
      <c r="B1753" s="1" t="s">
        <v>585</v>
      </c>
      <c r="C1753" s="1" t="s">
        <v>586</v>
      </c>
    </row>
    <row r="1754" spans="1:3" x14ac:dyDescent="0.25">
      <c r="A1754" s="1">
        <v>2682</v>
      </c>
      <c r="B1754" s="1" t="s">
        <v>585</v>
      </c>
      <c r="C1754" s="1" t="s">
        <v>586</v>
      </c>
    </row>
    <row r="1755" spans="1:3" x14ac:dyDescent="0.25">
      <c r="A1755" s="1">
        <v>2698</v>
      </c>
      <c r="B1755" s="1" t="s">
        <v>585</v>
      </c>
      <c r="C1755" s="1" t="s">
        <v>586</v>
      </c>
    </row>
    <row r="1756" spans="1:3" x14ac:dyDescent="0.25">
      <c r="A1756" s="1">
        <v>2716</v>
      </c>
      <c r="B1756" s="1" t="s">
        <v>585</v>
      </c>
      <c r="C1756" s="1" t="s">
        <v>586</v>
      </c>
    </row>
    <row r="1757" spans="1:3" x14ac:dyDescent="0.25">
      <c r="A1757" s="1">
        <v>2719</v>
      </c>
      <c r="B1757" s="1" t="s">
        <v>585</v>
      </c>
      <c r="C1757" s="1" t="s">
        <v>586</v>
      </c>
    </row>
    <row r="1758" spans="1:3" x14ac:dyDescent="0.25">
      <c r="A1758" s="1">
        <v>2720</v>
      </c>
      <c r="B1758" s="1" t="s">
        <v>585</v>
      </c>
      <c r="C1758" s="1" t="s">
        <v>586</v>
      </c>
    </row>
    <row r="1759" spans="1:3" x14ac:dyDescent="0.25">
      <c r="A1759" s="1">
        <v>2723</v>
      </c>
      <c r="B1759" s="1" t="s">
        <v>585</v>
      </c>
      <c r="C1759" s="1" t="s">
        <v>586</v>
      </c>
    </row>
    <row r="1760" spans="1:3" x14ac:dyDescent="0.25">
      <c r="A1760" s="1">
        <v>2725</v>
      </c>
      <c r="B1760" s="1" t="s">
        <v>585</v>
      </c>
      <c r="C1760" s="1" t="s">
        <v>586</v>
      </c>
    </row>
    <row r="1761" spans="1:3" x14ac:dyDescent="0.25">
      <c r="A1761" s="1">
        <v>2728</v>
      </c>
      <c r="B1761" s="1" t="s">
        <v>585</v>
      </c>
      <c r="C1761" s="1" t="s">
        <v>586</v>
      </c>
    </row>
    <row r="1762" spans="1:3" x14ac:dyDescent="0.25">
      <c r="A1762" s="1">
        <v>2740</v>
      </c>
      <c r="B1762" s="1" t="s">
        <v>585</v>
      </c>
      <c r="C1762" s="1" t="s">
        <v>586</v>
      </c>
    </row>
    <row r="1763" spans="1:3" x14ac:dyDescent="0.25">
      <c r="A1763" s="1">
        <v>2746</v>
      </c>
      <c r="B1763" s="1" t="s">
        <v>585</v>
      </c>
      <c r="C1763" s="1" t="s">
        <v>586</v>
      </c>
    </row>
    <row r="1764" spans="1:3" x14ac:dyDescent="0.25">
      <c r="A1764" s="1">
        <v>2747</v>
      </c>
      <c r="B1764" s="1" t="s">
        <v>585</v>
      </c>
      <c r="C1764" s="1" t="s">
        <v>586</v>
      </c>
    </row>
    <row r="1765" spans="1:3" x14ac:dyDescent="0.25">
      <c r="A1765" s="1">
        <v>2749</v>
      </c>
      <c r="B1765" s="1" t="s">
        <v>585</v>
      </c>
      <c r="C1765" s="1" t="s">
        <v>586</v>
      </c>
    </row>
    <row r="1766" spans="1:3" x14ac:dyDescent="0.25">
      <c r="A1766" s="1">
        <v>2750</v>
      </c>
      <c r="B1766" s="1" t="s">
        <v>585</v>
      </c>
      <c r="C1766" s="1" t="s">
        <v>586</v>
      </c>
    </row>
    <row r="1767" spans="1:3" x14ac:dyDescent="0.25">
      <c r="A1767" s="1">
        <v>2751</v>
      </c>
      <c r="B1767" s="1" t="s">
        <v>585</v>
      </c>
      <c r="C1767" s="1" t="s">
        <v>586</v>
      </c>
    </row>
    <row r="1768" spans="1:3" x14ac:dyDescent="0.25">
      <c r="A1768" s="1">
        <v>2752</v>
      </c>
      <c r="B1768" s="1" t="s">
        <v>585</v>
      </c>
      <c r="C1768" s="1" t="s">
        <v>586</v>
      </c>
    </row>
    <row r="1769" spans="1:3" x14ac:dyDescent="0.25">
      <c r="A1769" s="1">
        <v>2757</v>
      </c>
      <c r="B1769" s="1" t="s">
        <v>585</v>
      </c>
      <c r="C1769" s="1" t="s">
        <v>586</v>
      </c>
    </row>
    <row r="1770" spans="1:3" x14ac:dyDescent="0.25">
      <c r="A1770" s="1">
        <v>2765</v>
      </c>
      <c r="B1770" s="1" t="s">
        <v>585</v>
      </c>
      <c r="C1770" s="1" t="s">
        <v>586</v>
      </c>
    </row>
    <row r="1771" spans="1:3" x14ac:dyDescent="0.25">
      <c r="A1771" s="1">
        <v>2770</v>
      </c>
      <c r="B1771" s="1" t="s">
        <v>585</v>
      </c>
      <c r="C1771" s="1" t="s">
        <v>586</v>
      </c>
    </row>
    <row r="1772" spans="1:3" x14ac:dyDescent="0.25">
      <c r="A1772" s="1">
        <v>2773</v>
      </c>
      <c r="B1772" s="1" t="s">
        <v>585</v>
      </c>
      <c r="C1772" s="1" t="s">
        <v>586</v>
      </c>
    </row>
    <row r="1773" spans="1:3" x14ac:dyDescent="0.25">
      <c r="A1773" s="1">
        <v>2774</v>
      </c>
      <c r="B1773" s="1" t="s">
        <v>585</v>
      </c>
      <c r="C1773" s="1" t="s">
        <v>586</v>
      </c>
    </row>
    <row r="1774" spans="1:3" x14ac:dyDescent="0.25">
      <c r="A1774" s="1">
        <v>2775</v>
      </c>
      <c r="B1774" s="1" t="s">
        <v>585</v>
      </c>
      <c r="C1774" s="1" t="s">
        <v>586</v>
      </c>
    </row>
    <row r="1775" spans="1:3" x14ac:dyDescent="0.25">
      <c r="A1775" s="1">
        <v>2776</v>
      </c>
      <c r="B1775" s="1" t="s">
        <v>585</v>
      </c>
      <c r="C1775" s="1" t="s">
        <v>586</v>
      </c>
    </row>
    <row r="1776" spans="1:3" x14ac:dyDescent="0.25">
      <c r="A1776" s="1">
        <v>2777</v>
      </c>
      <c r="B1776" s="1" t="s">
        <v>585</v>
      </c>
      <c r="C1776" s="1" t="s">
        <v>586</v>
      </c>
    </row>
    <row r="1777" spans="1:3" x14ac:dyDescent="0.25">
      <c r="A1777" s="1">
        <v>2778</v>
      </c>
      <c r="B1777" s="1" t="s">
        <v>585</v>
      </c>
      <c r="C1777" s="1" t="s">
        <v>586</v>
      </c>
    </row>
    <row r="1778" spans="1:3" x14ac:dyDescent="0.25">
      <c r="A1778" s="1">
        <v>2780</v>
      </c>
      <c r="B1778" s="1" t="s">
        <v>585</v>
      </c>
      <c r="C1778" s="1" t="s">
        <v>586</v>
      </c>
    </row>
    <row r="1779" spans="1:3" x14ac:dyDescent="0.25">
      <c r="A1779" s="1">
        <v>2782</v>
      </c>
      <c r="B1779" s="1" t="s">
        <v>585</v>
      </c>
      <c r="C1779" s="1" t="s">
        <v>586</v>
      </c>
    </row>
    <row r="1780" spans="1:3" x14ac:dyDescent="0.25">
      <c r="A1780" s="1">
        <v>2783</v>
      </c>
      <c r="B1780" s="1" t="s">
        <v>585</v>
      </c>
      <c r="C1780" s="1" t="s">
        <v>586</v>
      </c>
    </row>
    <row r="1781" spans="1:3" x14ac:dyDescent="0.25">
      <c r="A1781" s="1">
        <v>2784</v>
      </c>
      <c r="B1781" s="1" t="s">
        <v>585</v>
      </c>
      <c r="C1781" s="1" t="s">
        <v>586</v>
      </c>
    </row>
    <row r="1782" spans="1:3" x14ac:dyDescent="0.25">
      <c r="A1782" s="1">
        <v>2786</v>
      </c>
      <c r="B1782" s="1" t="s">
        <v>585</v>
      </c>
      <c r="C1782" s="1" t="s">
        <v>586</v>
      </c>
    </row>
    <row r="1783" spans="1:3" x14ac:dyDescent="0.25">
      <c r="A1783" s="1">
        <v>2787</v>
      </c>
      <c r="B1783" s="1" t="s">
        <v>585</v>
      </c>
      <c r="C1783" s="1" t="s">
        <v>586</v>
      </c>
    </row>
    <row r="1784" spans="1:3" x14ac:dyDescent="0.25">
      <c r="A1784" s="1">
        <v>2788</v>
      </c>
      <c r="B1784" s="1" t="s">
        <v>585</v>
      </c>
      <c r="C1784" s="1" t="s">
        <v>586</v>
      </c>
    </row>
    <row r="1785" spans="1:3" x14ac:dyDescent="0.25">
      <c r="A1785" s="1">
        <v>2789</v>
      </c>
      <c r="B1785" s="1" t="s">
        <v>585</v>
      </c>
      <c r="C1785" s="1" t="s">
        <v>586</v>
      </c>
    </row>
    <row r="1786" spans="1:3" x14ac:dyDescent="0.25">
      <c r="A1786" s="1">
        <v>2790</v>
      </c>
      <c r="B1786" s="1" t="s">
        <v>585</v>
      </c>
      <c r="C1786" s="1" t="s">
        <v>586</v>
      </c>
    </row>
    <row r="1787" spans="1:3" x14ac:dyDescent="0.25">
      <c r="A1787" s="1">
        <v>2791</v>
      </c>
      <c r="B1787" s="1" t="s">
        <v>585</v>
      </c>
      <c r="C1787" s="1" t="s">
        <v>586</v>
      </c>
    </row>
    <row r="1788" spans="1:3" x14ac:dyDescent="0.25">
      <c r="A1788" s="1">
        <v>2792</v>
      </c>
      <c r="B1788" s="1" t="s">
        <v>585</v>
      </c>
      <c r="C1788" s="1" t="s">
        <v>586</v>
      </c>
    </row>
    <row r="1789" spans="1:3" x14ac:dyDescent="0.25">
      <c r="A1789" s="1">
        <v>2793</v>
      </c>
      <c r="B1789" s="1" t="s">
        <v>585</v>
      </c>
      <c r="C1789" s="1" t="s">
        <v>586</v>
      </c>
    </row>
    <row r="1790" spans="1:3" x14ac:dyDescent="0.25">
      <c r="A1790" s="1">
        <v>2823</v>
      </c>
      <c r="B1790" s="1" t="s">
        <v>585</v>
      </c>
      <c r="C1790" s="1" t="s">
        <v>586</v>
      </c>
    </row>
    <row r="1791" spans="1:3" x14ac:dyDescent="0.25">
      <c r="A1791" s="1">
        <v>2825</v>
      </c>
      <c r="B1791" s="1" t="s">
        <v>585</v>
      </c>
      <c r="C1791" s="1" t="s">
        <v>586</v>
      </c>
    </row>
    <row r="1792" spans="1:3" x14ac:dyDescent="0.25">
      <c r="A1792" s="1">
        <v>2826</v>
      </c>
      <c r="B1792" s="1" t="s">
        <v>585</v>
      </c>
      <c r="C1792" s="1" t="s">
        <v>586</v>
      </c>
    </row>
    <row r="1793" spans="1:3" x14ac:dyDescent="0.25">
      <c r="A1793" s="1">
        <v>2827</v>
      </c>
      <c r="B1793" s="1" t="s">
        <v>585</v>
      </c>
      <c r="C1793" s="1" t="s">
        <v>586</v>
      </c>
    </row>
    <row r="1794" spans="1:3" x14ac:dyDescent="0.25">
      <c r="A1794" s="1">
        <v>2829</v>
      </c>
      <c r="B1794" s="1" t="s">
        <v>585</v>
      </c>
      <c r="C1794" s="1" t="s">
        <v>586</v>
      </c>
    </row>
    <row r="1795" spans="1:3" x14ac:dyDescent="0.25">
      <c r="A1795" s="1">
        <v>2830</v>
      </c>
      <c r="B1795" s="1" t="s">
        <v>585</v>
      </c>
      <c r="C1795" s="1" t="s">
        <v>586</v>
      </c>
    </row>
    <row r="1796" spans="1:3" x14ac:dyDescent="0.25">
      <c r="A1796" s="1">
        <v>2831</v>
      </c>
      <c r="B1796" s="1" t="s">
        <v>585</v>
      </c>
      <c r="C1796" s="1" t="s">
        <v>586</v>
      </c>
    </row>
    <row r="1797" spans="1:3" x14ac:dyDescent="0.25">
      <c r="A1797" s="1">
        <v>2832</v>
      </c>
      <c r="B1797" s="1" t="s">
        <v>585</v>
      </c>
      <c r="C1797" s="1" t="s">
        <v>586</v>
      </c>
    </row>
    <row r="1798" spans="1:3" x14ac:dyDescent="0.25">
      <c r="A1798" s="1">
        <v>2833</v>
      </c>
      <c r="B1798" s="1" t="s">
        <v>585</v>
      </c>
      <c r="C1798" s="1" t="s">
        <v>586</v>
      </c>
    </row>
    <row r="1799" spans="1:3" x14ac:dyDescent="0.25">
      <c r="A1799" s="1">
        <v>2834</v>
      </c>
      <c r="B1799" s="1" t="s">
        <v>585</v>
      </c>
      <c r="C1799" s="1" t="s">
        <v>586</v>
      </c>
    </row>
    <row r="1800" spans="1:3" x14ac:dyDescent="0.25">
      <c r="A1800" s="1">
        <v>2835</v>
      </c>
      <c r="B1800" s="1" t="s">
        <v>585</v>
      </c>
      <c r="C1800" s="1" t="s">
        <v>586</v>
      </c>
    </row>
    <row r="1801" spans="1:3" x14ac:dyDescent="0.25">
      <c r="A1801" s="1">
        <v>2836</v>
      </c>
      <c r="B1801" s="1" t="s">
        <v>585</v>
      </c>
      <c r="C1801" s="1" t="s">
        <v>586</v>
      </c>
    </row>
    <row r="1802" spans="1:3" x14ac:dyDescent="0.25">
      <c r="A1802" s="1">
        <v>2837</v>
      </c>
      <c r="B1802" s="1" t="s">
        <v>585</v>
      </c>
      <c r="C1802" s="1" t="s">
        <v>586</v>
      </c>
    </row>
    <row r="1803" spans="1:3" x14ac:dyDescent="0.25">
      <c r="A1803" s="1">
        <v>2838</v>
      </c>
      <c r="B1803" s="1" t="s">
        <v>585</v>
      </c>
      <c r="C1803" s="1" t="s">
        <v>586</v>
      </c>
    </row>
    <row r="1804" spans="1:3" x14ac:dyDescent="0.25">
      <c r="A1804" s="1">
        <v>2839</v>
      </c>
      <c r="B1804" s="1" t="s">
        <v>585</v>
      </c>
      <c r="C1804" s="1" t="s">
        <v>586</v>
      </c>
    </row>
    <row r="1805" spans="1:3" x14ac:dyDescent="0.25">
      <c r="A1805" s="1">
        <v>2843</v>
      </c>
      <c r="B1805" s="1" t="s">
        <v>585</v>
      </c>
      <c r="C1805" s="1" t="s">
        <v>586</v>
      </c>
    </row>
    <row r="1806" spans="1:3" x14ac:dyDescent="0.25">
      <c r="A1806" s="1">
        <v>2844</v>
      </c>
      <c r="B1806" s="1" t="s">
        <v>585</v>
      </c>
      <c r="C1806" s="1" t="s">
        <v>586</v>
      </c>
    </row>
    <row r="1807" spans="1:3" x14ac:dyDescent="0.25">
      <c r="A1807" s="1">
        <v>2848</v>
      </c>
      <c r="B1807" s="1" t="s">
        <v>585</v>
      </c>
      <c r="C1807" s="1" t="s">
        <v>586</v>
      </c>
    </row>
    <row r="1808" spans="1:3" x14ac:dyDescent="0.25">
      <c r="A1808" s="1">
        <v>2849</v>
      </c>
      <c r="B1808" s="1" t="s">
        <v>585</v>
      </c>
      <c r="C1808" s="1" t="s">
        <v>586</v>
      </c>
    </row>
    <row r="1809" spans="1:3" x14ac:dyDescent="0.25">
      <c r="A1809" s="1">
        <v>2850</v>
      </c>
      <c r="B1809" s="1" t="s">
        <v>585</v>
      </c>
      <c r="C1809" s="1" t="s">
        <v>586</v>
      </c>
    </row>
    <row r="1810" spans="1:3" x14ac:dyDescent="0.25">
      <c r="A1810" s="1">
        <v>2851</v>
      </c>
      <c r="B1810" s="1" t="s">
        <v>585</v>
      </c>
      <c r="C1810" s="1" t="s">
        <v>586</v>
      </c>
    </row>
    <row r="1811" spans="1:3" x14ac:dyDescent="0.25">
      <c r="A1811" s="1">
        <v>2852</v>
      </c>
      <c r="B1811" s="1" t="s">
        <v>585</v>
      </c>
      <c r="C1811" s="1" t="s">
        <v>586</v>
      </c>
    </row>
    <row r="1812" spans="1:3" x14ac:dyDescent="0.25">
      <c r="A1812" s="1">
        <v>2860</v>
      </c>
      <c r="B1812" s="1" t="s">
        <v>585</v>
      </c>
      <c r="C1812" s="1" t="s">
        <v>586</v>
      </c>
    </row>
    <row r="1813" spans="1:3" x14ac:dyDescent="0.25">
      <c r="A1813" s="1">
        <v>2874</v>
      </c>
      <c r="B1813" s="1" t="s">
        <v>585</v>
      </c>
      <c r="C1813" s="1" t="s">
        <v>586</v>
      </c>
    </row>
    <row r="1814" spans="1:3" x14ac:dyDescent="0.25">
      <c r="A1814" s="1">
        <v>2884</v>
      </c>
      <c r="B1814" s="1" t="s">
        <v>585</v>
      </c>
      <c r="C1814" s="1" t="s">
        <v>586</v>
      </c>
    </row>
    <row r="1815" spans="1:3" x14ac:dyDescent="0.25">
      <c r="A1815" s="1">
        <v>2885</v>
      </c>
      <c r="B1815" s="1" t="s">
        <v>585</v>
      </c>
      <c r="C1815" s="1" t="s">
        <v>586</v>
      </c>
    </row>
    <row r="1816" spans="1:3" x14ac:dyDescent="0.25">
      <c r="A1816" s="1">
        <v>2942</v>
      </c>
      <c r="B1816" s="1" t="s">
        <v>585</v>
      </c>
      <c r="C1816" s="1" t="s">
        <v>586</v>
      </c>
    </row>
    <row r="1817" spans="1:3" x14ac:dyDescent="0.25">
      <c r="A1817" s="1">
        <v>2943</v>
      </c>
      <c r="B1817" s="1" t="s">
        <v>585</v>
      </c>
      <c r="C1817" s="1" t="s">
        <v>586</v>
      </c>
    </row>
    <row r="1818" spans="1:3" x14ac:dyDescent="0.25">
      <c r="A1818" s="1">
        <v>3000</v>
      </c>
      <c r="B1818" s="1" t="s">
        <v>585</v>
      </c>
      <c r="C1818" s="1" t="s">
        <v>586</v>
      </c>
    </row>
    <row r="1819" spans="1:3" x14ac:dyDescent="0.25">
      <c r="A1819" s="1">
        <v>3001</v>
      </c>
      <c r="B1819" s="1" t="s">
        <v>585</v>
      </c>
      <c r="C1819" s="1" t="s">
        <v>586</v>
      </c>
    </row>
    <row r="1820" spans="1:3" x14ac:dyDescent="0.25">
      <c r="A1820" s="1">
        <v>3004</v>
      </c>
      <c r="B1820" s="1" t="s">
        <v>585</v>
      </c>
      <c r="C1820" s="1" t="s">
        <v>586</v>
      </c>
    </row>
    <row r="1821" spans="1:3" x14ac:dyDescent="0.25">
      <c r="A1821" s="1">
        <v>3005</v>
      </c>
      <c r="B1821" s="1" t="s">
        <v>585</v>
      </c>
      <c r="C1821" s="1" t="s">
        <v>586</v>
      </c>
    </row>
    <row r="1822" spans="1:3" x14ac:dyDescent="0.25">
      <c r="A1822" s="1">
        <v>3006</v>
      </c>
      <c r="B1822" s="1" t="s">
        <v>585</v>
      </c>
      <c r="C1822" s="1" t="s">
        <v>586</v>
      </c>
    </row>
    <row r="1823" spans="1:3" x14ac:dyDescent="0.25">
      <c r="A1823" s="1">
        <v>3007</v>
      </c>
      <c r="B1823" s="1" t="s">
        <v>585</v>
      </c>
      <c r="C1823" s="1" t="s">
        <v>586</v>
      </c>
    </row>
    <row r="1824" spans="1:3" x14ac:dyDescent="0.25">
      <c r="A1824" s="1">
        <v>3024</v>
      </c>
      <c r="B1824" s="1" t="s">
        <v>585</v>
      </c>
      <c r="C1824" s="1" t="s">
        <v>586</v>
      </c>
    </row>
    <row r="1825" spans="1:3" x14ac:dyDescent="0.25">
      <c r="A1825" s="1">
        <v>3041</v>
      </c>
      <c r="B1825" s="1" t="s">
        <v>585</v>
      </c>
      <c r="C1825" s="1" t="s">
        <v>586</v>
      </c>
    </row>
    <row r="1826" spans="1:3" x14ac:dyDescent="0.25">
      <c r="A1826" s="1">
        <v>3115</v>
      </c>
      <c r="B1826" s="1" t="s">
        <v>585</v>
      </c>
      <c r="C1826" s="1" t="s">
        <v>586</v>
      </c>
    </row>
    <row r="1827" spans="1:3" x14ac:dyDescent="0.25">
      <c r="A1827" s="1">
        <v>3181</v>
      </c>
      <c r="B1827" s="1" t="s">
        <v>585</v>
      </c>
      <c r="C1827" s="1" t="s">
        <v>586</v>
      </c>
    </row>
  </sheetData>
  <autoFilter ref="A1:C1827" xr:uid="{507B4FD6-19DF-41FE-A39A-001ECF1C7E04}">
    <sortState xmlns:xlrd2="http://schemas.microsoft.com/office/spreadsheetml/2017/richdata2" ref="A2:C1827">
      <sortCondition ref="C1:C1827"/>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D1CC9-9FD7-4BC5-8323-EACBCB47A78D}">
  <dimension ref="A1:O36"/>
  <sheetViews>
    <sheetView showGridLines="0" showRowColHeaders="0" tabSelected="1" workbookViewId="0"/>
  </sheetViews>
  <sheetFormatPr defaultColWidth="0" defaultRowHeight="15" zeroHeight="1" x14ac:dyDescent="0.25"/>
  <cols>
    <col min="1" max="15" width="9.140625" customWidth="1"/>
    <col min="16" max="16384" width="9.1406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sheetData>
  <sheetProtection algorithmName="SHA-512" hashValue="VnMigmaGXG+H/ds9kMy9eHcm6M99IxC4NTWREtXuwDvzSJMF1JCp4BUObsQ3xgkyWKsj1CM+q0S+kP3Q8Xt7gA==" saltValue="mumc2LROkuNRdC+PUvvIo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61859-805E-4116-AA16-BBA1DD8996F4}">
  <dimension ref="A1:D15"/>
  <sheetViews>
    <sheetView showGridLines="0" showRowColHeaders="0" workbookViewId="0"/>
  </sheetViews>
  <sheetFormatPr defaultColWidth="0" defaultRowHeight="14.25" zeroHeight="1" x14ac:dyDescent="0.2"/>
  <cols>
    <col min="1" max="1" width="4.7109375" style="101" customWidth="1"/>
    <col min="2" max="2" width="16.7109375" style="101" customWidth="1"/>
    <col min="3" max="3" width="16.7109375" style="102" customWidth="1"/>
    <col min="4" max="4" width="128.7109375" style="104" customWidth="1"/>
    <col min="5" max="16384" width="9.140625" style="101" hidden="1"/>
  </cols>
  <sheetData>
    <row r="1" spans="2:4" x14ac:dyDescent="0.2"/>
    <row r="2" spans="2:4" x14ac:dyDescent="0.2">
      <c r="B2" s="101" t="s">
        <v>620</v>
      </c>
    </row>
    <row r="3" spans="2:4" x14ac:dyDescent="0.2"/>
    <row r="4" spans="2:4" ht="57" x14ac:dyDescent="0.2">
      <c r="C4" s="103" t="s">
        <v>621</v>
      </c>
      <c r="D4" s="105" t="s">
        <v>630</v>
      </c>
    </row>
    <row r="5" spans="2:4" x14ac:dyDescent="0.2"/>
    <row r="6" spans="2:4" ht="71.25" x14ac:dyDescent="0.2">
      <c r="C6" s="103" t="s">
        <v>622</v>
      </c>
      <c r="D6" s="104" t="s">
        <v>625</v>
      </c>
    </row>
    <row r="7" spans="2:4" x14ac:dyDescent="0.2"/>
    <row r="8" spans="2:4" ht="57" x14ac:dyDescent="0.2">
      <c r="C8" s="103" t="s">
        <v>623</v>
      </c>
      <c r="D8" s="104" t="s">
        <v>626</v>
      </c>
    </row>
    <row r="9" spans="2:4" x14ac:dyDescent="0.2"/>
    <row r="10" spans="2:4" ht="57" x14ac:dyDescent="0.2">
      <c r="C10" s="103" t="s">
        <v>624</v>
      </c>
      <c r="D10" s="104" t="s">
        <v>636</v>
      </c>
    </row>
    <row r="11" spans="2:4" x14ac:dyDescent="0.2"/>
    <row r="12" spans="2:4" s="106" customFormat="1" ht="24" customHeight="1" x14ac:dyDescent="0.25">
      <c r="B12" s="106" t="s">
        <v>632</v>
      </c>
      <c r="C12" s="107"/>
      <c r="D12" s="105"/>
    </row>
    <row r="13" spans="2:4" s="106" customFormat="1" ht="24" customHeight="1" x14ac:dyDescent="0.25">
      <c r="C13" s="107"/>
      <c r="D13" s="105" t="s">
        <v>628</v>
      </c>
    </row>
    <row r="14" spans="2:4" s="106" customFormat="1" ht="24" customHeight="1" x14ac:dyDescent="0.25">
      <c r="C14" s="107"/>
      <c r="D14" s="105" t="s">
        <v>629</v>
      </c>
    </row>
    <row r="15" spans="2:4" s="106" customFormat="1" ht="24" customHeight="1" x14ac:dyDescent="0.25">
      <c r="C15" s="107"/>
      <c r="D15" s="105" t="s">
        <v>631</v>
      </c>
    </row>
  </sheetData>
  <sheetProtection algorithmName="SHA-512" hashValue="8I4bzoU7pXZ3RSdJqkTa60yCy6hgV39ccBh7kM0Ysj6G6uQN3m326f0igPw3A5Iqlsq0g1aQQrOKemvU3WjZVg==" saltValue="Q9LJvEvFlYPb7AKxI1XORA==" spinCount="100000" sheet="1" objects="1" scenarios="1" formatCells="0" formatColumns="0" formatRows="0"/>
  <hyperlinks>
    <hyperlink ref="C4" location="ArchiveResults!A1" display="Archive Results" xr:uid="{430FC559-15B1-4578-8528-77D9E1D3EDB5}"/>
    <hyperlink ref="C6" location="IndividualReport!A1" display="Individual Report" xr:uid="{C1CD3717-D1B0-4487-94E6-D68A168C05D5}"/>
    <hyperlink ref="C8" location="ComparisonSelection!A1" display="Comparison Selection" xr:uid="{259FC433-E683-4981-8D18-51F3078E813F}"/>
    <hyperlink ref="C10" location="ComparisonReport!A1" display="Comparison Report" xr:uid="{4B565D95-E291-499C-B342-027CAD1991C7}"/>
  </hyperlinks>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08492-CF72-4E64-8BFE-563909DD0E43}">
  <sheetPr codeName="Sheet2"/>
  <dimension ref="A1:IX118"/>
  <sheetViews>
    <sheetView showGridLines="0" showRowColHeaders="0" zoomScale="75" zoomScaleNormal="75" workbookViewId="0">
      <pane xSplit="5" ySplit="4" topLeftCell="F5" activePane="bottomRight" state="frozen"/>
      <selection pane="topRight" activeCell="C1" sqref="C1"/>
      <selection pane="bottomLeft" activeCell="A5" sqref="A5"/>
      <selection pane="bottomRight" activeCell="F5" sqref="F5"/>
    </sheetView>
  </sheetViews>
  <sheetFormatPr defaultColWidth="0" defaultRowHeight="32.1" customHeight="1" zeroHeight="1" x14ac:dyDescent="0.25"/>
  <cols>
    <col min="1" max="1" width="16.7109375" style="4" customWidth="1"/>
    <col min="2" max="2" width="37.42578125" style="4" bestFit="1" customWidth="1"/>
    <col min="3" max="3" width="16.7109375" style="5" customWidth="1"/>
    <col min="4" max="4" width="16.7109375" style="3" customWidth="1"/>
    <col min="5" max="5" width="56.7109375" style="141" customWidth="1"/>
    <col min="6" max="258" width="16.7109375" style="5" customWidth="1"/>
    <col min="259" max="16384" width="9.140625" hidden="1"/>
  </cols>
  <sheetData>
    <row r="1" spans="1:258" s="98" customFormat="1" ht="32.1" customHeight="1" thickBot="1" x14ac:dyDescent="0.25">
      <c r="A1" s="205" t="s">
        <v>590</v>
      </c>
      <c r="B1" s="206"/>
      <c r="C1" s="206"/>
      <c r="D1" s="206"/>
      <c r="E1" s="207"/>
      <c r="F1" s="200" t="s">
        <v>319</v>
      </c>
      <c r="G1" s="201"/>
      <c r="H1" s="201"/>
      <c r="I1" s="201"/>
      <c r="J1" s="201"/>
      <c r="K1" s="201"/>
      <c r="L1" s="201"/>
      <c r="M1" s="201"/>
      <c r="N1" s="202"/>
      <c r="O1" s="223" t="s">
        <v>319</v>
      </c>
      <c r="P1" s="225"/>
      <c r="Q1" s="225"/>
      <c r="R1" s="225"/>
      <c r="S1" s="225"/>
      <c r="T1" s="225"/>
      <c r="U1" s="225"/>
      <c r="V1" s="225"/>
      <c r="W1" s="225"/>
      <c r="X1" s="225"/>
      <c r="Y1" s="224"/>
      <c r="Z1" s="223" t="s">
        <v>319</v>
      </c>
      <c r="AA1" s="225"/>
      <c r="AB1" s="225"/>
      <c r="AC1" s="225"/>
      <c r="AD1" s="225"/>
      <c r="AE1" s="225"/>
      <c r="AF1" s="224"/>
      <c r="AG1" s="223" t="s">
        <v>320</v>
      </c>
      <c r="AH1" s="225"/>
      <c r="AI1" s="225"/>
      <c r="AJ1" s="225"/>
      <c r="AK1" s="225"/>
      <c r="AL1" s="224"/>
      <c r="AM1" s="214" t="s">
        <v>320</v>
      </c>
      <c r="AN1" s="215"/>
      <c r="AO1" s="215"/>
      <c r="AP1" s="215"/>
      <c r="AQ1" s="215"/>
      <c r="AR1" s="215"/>
      <c r="AS1" s="215"/>
      <c r="AT1" s="215"/>
      <c r="AU1" s="215"/>
      <c r="AV1" s="215"/>
      <c r="AW1" s="215"/>
      <c r="AX1" s="215"/>
      <c r="AY1" s="215"/>
      <c r="AZ1" s="215"/>
      <c r="BA1" s="215"/>
      <c r="BB1" s="215"/>
      <c r="BC1" s="215"/>
      <c r="BD1" s="215"/>
      <c r="BE1" s="215"/>
      <c r="BF1" s="215"/>
      <c r="BG1" s="215"/>
      <c r="BH1" s="215"/>
      <c r="BI1" s="215"/>
      <c r="BJ1" s="215"/>
      <c r="BK1" s="215"/>
      <c r="BL1" s="215"/>
      <c r="BM1" s="215"/>
      <c r="BN1" s="215"/>
      <c r="BO1" s="215"/>
      <c r="BP1" s="215"/>
      <c r="BQ1" s="215"/>
      <c r="BR1" s="215"/>
      <c r="BS1" s="215"/>
      <c r="BT1" s="215"/>
      <c r="BU1" s="215"/>
      <c r="BV1" s="215"/>
      <c r="BW1" s="215"/>
      <c r="BX1" s="215"/>
      <c r="BY1" s="215"/>
      <c r="BZ1" s="215"/>
      <c r="CA1" s="215"/>
      <c r="CB1" s="216"/>
      <c r="CC1" s="214" t="s">
        <v>320</v>
      </c>
      <c r="CD1" s="215"/>
      <c r="CE1" s="215"/>
      <c r="CF1" s="215"/>
      <c r="CG1" s="215"/>
      <c r="CH1" s="215"/>
      <c r="CI1" s="215"/>
      <c r="CJ1" s="215"/>
      <c r="CK1" s="215"/>
      <c r="CL1" s="215"/>
      <c r="CM1" s="215"/>
      <c r="CN1" s="215"/>
      <c r="CO1" s="215"/>
      <c r="CP1" s="215"/>
      <c r="CQ1" s="215"/>
      <c r="CR1" s="215"/>
      <c r="CS1" s="215"/>
      <c r="CT1" s="215"/>
      <c r="CU1" s="215"/>
      <c r="CV1" s="215"/>
      <c r="CW1" s="215"/>
      <c r="CX1" s="215"/>
      <c r="CY1" s="215"/>
      <c r="CZ1" s="215"/>
      <c r="DA1" s="215"/>
      <c r="DB1" s="215"/>
      <c r="DC1" s="215"/>
      <c r="DD1" s="215"/>
      <c r="DE1" s="215"/>
      <c r="DF1" s="215"/>
      <c r="DG1" s="215"/>
      <c r="DH1" s="215"/>
      <c r="DI1" s="215"/>
      <c r="DJ1" s="215"/>
      <c r="DK1" s="215"/>
      <c r="DL1" s="215"/>
      <c r="DM1" s="215"/>
      <c r="DN1" s="215"/>
      <c r="DO1" s="215"/>
      <c r="DP1" s="215"/>
      <c r="DQ1" s="215"/>
      <c r="DR1" s="215"/>
      <c r="DS1" s="215"/>
      <c r="DT1" s="215"/>
      <c r="DU1" s="215"/>
      <c r="DV1" s="215"/>
      <c r="DW1" s="215"/>
      <c r="DX1" s="216"/>
      <c r="DY1" s="214" t="s">
        <v>320</v>
      </c>
      <c r="DZ1" s="215"/>
      <c r="EA1" s="215"/>
      <c r="EB1" s="215"/>
      <c r="EC1" s="215"/>
      <c r="ED1" s="215"/>
      <c r="EE1" s="215"/>
      <c r="EF1" s="215"/>
      <c r="EG1" s="215"/>
      <c r="EH1" s="215"/>
      <c r="EI1" s="215"/>
      <c r="EJ1" s="215"/>
      <c r="EK1" s="215"/>
      <c r="EL1" s="215"/>
      <c r="EM1" s="215"/>
      <c r="EN1" s="215"/>
      <c r="EO1" s="215"/>
      <c r="EP1" s="215"/>
      <c r="EQ1" s="215"/>
      <c r="ER1" s="215"/>
      <c r="ES1" s="215"/>
      <c r="ET1" s="215"/>
      <c r="EU1" s="215"/>
      <c r="EV1" s="215"/>
      <c r="EW1" s="215"/>
      <c r="EX1" s="215"/>
      <c r="EY1" s="215"/>
      <c r="EZ1" s="215"/>
      <c r="FA1" s="215"/>
      <c r="FB1" s="215"/>
      <c r="FC1" s="215"/>
      <c r="FD1" s="215"/>
      <c r="FE1" s="215"/>
      <c r="FF1" s="215"/>
      <c r="FG1" s="215"/>
      <c r="FH1" s="215"/>
      <c r="FI1" s="215"/>
      <c r="FJ1" s="215"/>
      <c r="FK1" s="215"/>
      <c r="FL1" s="215"/>
      <c r="FM1" s="215"/>
      <c r="FN1" s="216"/>
      <c r="FO1" s="214" t="s">
        <v>320</v>
      </c>
      <c r="FP1" s="215"/>
      <c r="FQ1" s="215"/>
      <c r="FR1" s="215"/>
      <c r="FS1" s="215"/>
      <c r="FT1" s="215"/>
      <c r="FU1" s="215"/>
      <c r="FV1" s="215"/>
      <c r="FW1" s="215"/>
      <c r="FX1" s="215"/>
      <c r="FY1" s="215"/>
      <c r="FZ1" s="215"/>
      <c r="GA1" s="215"/>
      <c r="GB1" s="215"/>
      <c r="GC1" s="215"/>
      <c r="GD1" s="215"/>
      <c r="GE1" s="215"/>
      <c r="GF1" s="216"/>
      <c r="GG1" s="223" t="s">
        <v>320</v>
      </c>
      <c r="GH1" s="224"/>
      <c r="GI1" s="214" t="s">
        <v>321</v>
      </c>
      <c r="GJ1" s="215"/>
      <c r="GK1" s="215"/>
      <c r="GL1" s="215"/>
      <c r="GM1" s="215"/>
      <c r="GN1" s="215"/>
      <c r="GO1" s="215"/>
      <c r="GP1" s="215"/>
      <c r="GQ1" s="215"/>
      <c r="GR1" s="215"/>
      <c r="GS1" s="215"/>
      <c r="GT1" s="215"/>
      <c r="GU1" s="216"/>
      <c r="GV1" s="214" t="s">
        <v>322</v>
      </c>
      <c r="GW1" s="215"/>
      <c r="GX1" s="215"/>
      <c r="GY1" s="215"/>
      <c r="GZ1" s="215"/>
      <c r="HA1" s="215"/>
      <c r="HB1" s="215"/>
      <c r="HC1" s="215"/>
      <c r="HD1" s="215"/>
      <c r="HE1" s="215"/>
      <c r="HF1" s="215"/>
      <c r="HG1" s="216"/>
      <c r="HH1" s="214" t="s">
        <v>323</v>
      </c>
      <c r="HI1" s="215"/>
      <c r="HJ1" s="215"/>
      <c r="HK1" s="215"/>
      <c r="HL1" s="215"/>
      <c r="HM1" s="215"/>
      <c r="HN1" s="215"/>
      <c r="HO1" s="215"/>
      <c r="HP1" s="215"/>
      <c r="HQ1" s="215"/>
      <c r="HR1" s="215"/>
      <c r="HS1" s="215"/>
      <c r="HT1" s="215"/>
      <c r="HU1" s="215"/>
      <c r="HV1" s="215"/>
      <c r="HW1" s="215"/>
      <c r="HX1" s="215"/>
      <c r="HY1" s="215"/>
      <c r="HZ1" s="215"/>
      <c r="IA1" s="215"/>
      <c r="IB1" s="215"/>
      <c r="IC1" s="215"/>
      <c r="ID1" s="215"/>
      <c r="IE1" s="215"/>
      <c r="IF1" s="215"/>
      <c r="IG1" s="215"/>
      <c r="IH1" s="215"/>
      <c r="II1" s="215"/>
      <c r="IJ1" s="215"/>
      <c r="IK1" s="215"/>
      <c r="IL1" s="215"/>
      <c r="IM1" s="215"/>
      <c r="IN1" s="215"/>
      <c r="IO1" s="215"/>
      <c r="IP1" s="215"/>
      <c r="IQ1" s="215"/>
      <c r="IR1" s="215"/>
      <c r="IS1" s="215"/>
      <c r="IT1" s="215"/>
      <c r="IU1" s="215"/>
      <c r="IV1" s="215"/>
      <c r="IW1" s="215"/>
      <c r="IX1" s="216"/>
    </row>
    <row r="2" spans="1:258" s="100" customFormat="1" ht="32.1" customHeight="1" x14ac:dyDescent="0.25">
      <c r="A2" s="208"/>
      <c r="B2" s="209"/>
      <c r="C2" s="209"/>
      <c r="D2" s="209"/>
      <c r="E2" s="210"/>
      <c r="F2" s="200" t="s">
        <v>324</v>
      </c>
      <c r="G2" s="201"/>
      <c r="H2" s="201"/>
      <c r="I2" s="201"/>
      <c r="J2" s="201"/>
      <c r="K2" s="201"/>
      <c r="L2" s="201"/>
      <c r="M2" s="201"/>
      <c r="N2" s="202"/>
      <c r="O2" s="217" t="s">
        <v>325</v>
      </c>
      <c r="P2" s="218"/>
      <c r="Q2" s="218"/>
      <c r="R2" s="218"/>
      <c r="S2" s="218"/>
      <c r="T2" s="218"/>
      <c r="U2" s="218"/>
      <c r="V2" s="218"/>
      <c r="W2" s="218"/>
      <c r="X2" s="218"/>
      <c r="Y2" s="219"/>
      <c r="Z2" s="217" t="s">
        <v>326</v>
      </c>
      <c r="AA2" s="218"/>
      <c r="AB2" s="218"/>
      <c r="AC2" s="218"/>
      <c r="AD2" s="218"/>
      <c r="AE2" s="218"/>
      <c r="AF2" s="219"/>
      <c r="AG2" s="217" t="s">
        <v>449</v>
      </c>
      <c r="AH2" s="218"/>
      <c r="AI2" s="218"/>
      <c r="AJ2" s="218"/>
      <c r="AK2" s="218"/>
      <c r="AL2" s="219"/>
      <c r="AM2" s="200" t="s">
        <v>327</v>
      </c>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2"/>
      <c r="CC2" s="200" t="s">
        <v>328</v>
      </c>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2"/>
      <c r="DY2" s="200" t="s">
        <v>329</v>
      </c>
      <c r="DZ2" s="201"/>
      <c r="EA2" s="201"/>
      <c r="EB2" s="201"/>
      <c r="EC2" s="201"/>
      <c r="ED2" s="201"/>
      <c r="EE2" s="201"/>
      <c r="EF2" s="201"/>
      <c r="EG2" s="201"/>
      <c r="EH2" s="201"/>
      <c r="EI2" s="201"/>
      <c r="EJ2" s="201"/>
      <c r="EK2" s="201"/>
      <c r="EL2" s="201"/>
      <c r="EM2" s="201"/>
      <c r="EN2" s="201"/>
      <c r="EO2" s="201"/>
      <c r="EP2" s="201"/>
      <c r="EQ2" s="201"/>
      <c r="ER2" s="201"/>
      <c r="ES2" s="201"/>
      <c r="ET2" s="201"/>
      <c r="EU2" s="201"/>
      <c r="EV2" s="201"/>
      <c r="EW2" s="201"/>
      <c r="EX2" s="201"/>
      <c r="EY2" s="201"/>
      <c r="EZ2" s="201"/>
      <c r="FA2" s="201"/>
      <c r="FB2" s="201"/>
      <c r="FC2" s="201"/>
      <c r="FD2" s="201"/>
      <c r="FE2" s="201"/>
      <c r="FF2" s="201"/>
      <c r="FG2" s="201"/>
      <c r="FH2" s="201"/>
      <c r="FI2" s="201"/>
      <c r="FJ2" s="201"/>
      <c r="FK2" s="201"/>
      <c r="FL2" s="201"/>
      <c r="FM2" s="201"/>
      <c r="FN2" s="202"/>
      <c r="FO2" s="200" t="s">
        <v>330</v>
      </c>
      <c r="FP2" s="201"/>
      <c r="FQ2" s="201"/>
      <c r="FR2" s="201"/>
      <c r="FS2" s="201"/>
      <c r="FT2" s="201"/>
      <c r="FU2" s="201"/>
      <c r="FV2" s="201"/>
      <c r="FW2" s="201"/>
      <c r="FX2" s="201"/>
      <c r="FY2" s="201"/>
      <c r="FZ2" s="201"/>
      <c r="GA2" s="201"/>
      <c r="GB2" s="201"/>
      <c r="GC2" s="201"/>
      <c r="GD2" s="201"/>
      <c r="GE2" s="201"/>
      <c r="GF2" s="202"/>
      <c r="GG2" s="217" t="s">
        <v>448</v>
      </c>
      <c r="GH2" s="219"/>
      <c r="GI2" s="200" t="s">
        <v>331</v>
      </c>
      <c r="GJ2" s="201"/>
      <c r="GK2" s="201"/>
      <c r="GL2" s="201"/>
      <c r="GM2" s="201"/>
      <c r="GN2" s="202"/>
      <c r="GO2" s="200" t="s">
        <v>332</v>
      </c>
      <c r="GP2" s="201"/>
      <c r="GQ2" s="201"/>
      <c r="GR2" s="201"/>
      <c r="GS2" s="202"/>
      <c r="GT2" s="203" t="s">
        <v>333</v>
      </c>
      <c r="GU2" s="204"/>
      <c r="GV2" s="200" t="s">
        <v>416</v>
      </c>
      <c r="GW2" s="201"/>
      <c r="GX2" s="201"/>
      <c r="GY2" s="201"/>
      <c r="GZ2" s="201"/>
      <c r="HA2" s="201"/>
      <c r="HB2" s="201"/>
      <c r="HC2" s="201"/>
      <c r="HD2" s="201"/>
      <c r="HE2" s="201"/>
      <c r="HF2" s="201"/>
      <c r="HG2" s="202"/>
      <c r="HH2" s="222" t="s">
        <v>334</v>
      </c>
      <c r="HI2" s="220"/>
      <c r="HJ2" s="204"/>
      <c r="HK2" s="200" t="s">
        <v>335</v>
      </c>
      <c r="HL2" s="201"/>
      <c r="HM2" s="202"/>
      <c r="HN2" s="203" t="s">
        <v>336</v>
      </c>
      <c r="HO2" s="220"/>
      <c r="HP2" s="220"/>
      <c r="HQ2" s="220"/>
      <c r="HR2" s="220"/>
      <c r="HS2" s="220"/>
      <c r="HT2" s="221"/>
      <c r="HU2" s="200" t="s">
        <v>337</v>
      </c>
      <c r="HV2" s="201"/>
      <c r="HW2" s="201"/>
      <c r="HX2" s="201"/>
      <c r="HY2" s="201"/>
      <c r="HZ2" s="201"/>
      <c r="IA2" s="201"/>
      <c r="IB2" s="201"/>
      <c r="IC2" s="201"/>
      <c r="ID2" s="201"/>
      <c r="IE2" s="202"/>
      <c r="IF2" s="200" t="s">
        <v>338</v>
      </c>
      <c r="IG2" s="201"/>
      <c r="IH2" s="201"/>
      <c r="II2" s="201"/>
      <c r="IJ2" s="201"/>
      <c r="IK2" s="202"/>
      <c r="IL2" s="200" t="s">
        <v>339</v>
      </c>
      <c r="IM2" s="201"/>
      <c r="IN2" s="201"/>
      <c r="IO2" s="201"/>
      <c r="IP2" s="201"/>
      <c r="IQ2" s="202"/>
      <c r="IR2" s="200" t="s">
        <v>340</v>
      </c>
      <c r="IS2" s="201"/>
      <c r="IT2" s="202"/>
      <c r="IU2" s="203" t="s">
        <v>627</v>
      </c>
      <c r="IV2" s="220"/>
      <c r="IW2" s="220"/>
      <c r="IX2" s="204"/>
    </row>
    <row r="3" spans="1:258" s="98" customFormat="1" ht="144" customHeight="1" x14ac:dyDescent="0.2">
      <c r="A3" s="211"/>
      <c r="B3" s="212"/>
      <c r="C3" s="212"/>
      <c r="D3" s="212"/>
      <c r="E3" s="213"/>
      <c r="F3" s="196" t="s">
        <v>618</v>
      </c>
      <c r="G3" s="197"/>
      <c r="H3" s="198"/>
      <c r="I3" s="196" t="s">
        <v>342</v>
      </c>
      <c r="J3" s="197"/>
      <c r="K3" s="198"/>
      <c r="L3" s="196" t="s">
        <v>343</v>
      </c>
      <c r="M3" s="197"/>
      <c r="N3" s="198"/>
      <c r="O3" s="127" t="s">
        <v>344</v>
      </c>
      <c r="P3" s="128" t="s">
        <v>345</v>
      </c>
      <c r="Q3" s="128" t="s">
        <v>346</v>
      </c>
      <c r="R3" s="128" t="s">
        <v>347</v>
      </c>
      <c r="S3" s="128" t="s">
        <v>348</v>
      </c>
      <c r="T3" s="128" t="s">
        <v>349</v>
      </c>
      <c r="U3" s="128" t="s">
        <v>350</v>
      </c>
      <c r="V3" s="128" t="s">
        <v>351</v>
      </c>
      <c r="W3" s="128" t="s">
        <v>352</v>
      </c>
      <c r="X3" s="128" t="s">
        <v>391</v>
      </c>
      <c r="Y3" s="129" t="s">
        <v>394</v>
      </c>
      <c r="Z3" s="127" t="s">
        <v>353</v>
      </c>
      <c r="AA3" s="128" t="s">
        <v>354</v>
      </c>
      <c r="AB3" s="128" t="s">
        <v>355</v>
      </c>
      <c r="AC3" s="128" t="s">
        <v>356</v>
      </c>
      <c r="AD3" s="128" t="s">
        <v>357</v>
      </c>
      <c r="AE3" s="128" t="s">
        <v>391</v>
      </c>
      <c r="AF3" s="129" t="s">
        <v>394</v>
      </c>
      <c r="AG3" s="196" t="s">
        <v>358</v>
      </c>
      <c r="AH3" s="197"/>
      <c r="AI3" s="197" t="s">
        <v>359</v>
      </c>
      <c r="AJ3" s="197"/>
      <c r="AK3" s="197" t="s">
        <v>360</v>
      </c>
      <c r="AL3" s="198"/>
      <c r="AM3" s="196" t="s">
        <v>361</v>
      </c>
      <c r="AN3" s="197"/>
      <c r="AO3" s="197"/>
      <c r="AP3" s="197"/>
      <c r="AQ3" s="197"/>
      <c r="AR3" s="198"/>
      <c r="AS3" s="196" t="s">
        <v>362</v>
      </c>
      <c r="AT3" s="197"/>
      <c r="AU3" s="197"/>
      <c r="AV3" s="197"/>
      <c r="AW3" s="197"/>
      <c r="AX3" s="198"/>
      <c r="AY3" s="196" t="s">
        <v>363</v>
      </c>
      <c r="AZ3" s="197"/>
      <c r="BA3" s="197"/>
      <c r="BB3" s="197"/>
      <c r="BC3" s="197"/>
      <c r="BD3" s="198"/>
      <c r="BE3" s="196" t="s">
        <v>364</v>
      </c>
      <c r="BF3" s="197"/>
      <c r="BG3" s="197"/>
      <c r="BH3" s="197"/>
      <c r="BI3" s="197"/>
      <c r="BJ3" s="198"/>
      <c r="BK3" s="196" t="s">
        <v>365</v>
      </c>
      <c r="BL3" s="197"/>
      <c r="BM3" s="197"/>
      <c r="BN3" s="197"/>
      <c r="BO3" s="197"/>
      <c r="BP3" s="198"/>
      <c r="BQ3" s="196" t="s">
        <v>366</v>
      </c>
      <c r="BR3" s="197"/>
      <c r="BS3" s="197"/>
      <c r="BT3" s="197"/>
      <c r="BU3" s="197"/>
      <c r="BV3" s="198"/>
      <c r="BW3" s="199" t="s">
        <v>367</v>
      </c>
      <c r="BX3" s="197"/>
      <c r="BY3" s="197"/>
      <c r="BZ3" s="197"/>
      <c r="CA3" s="197"/>
      <c r="CB3" s="198"/>
      <c r="CC3" s="196" t="s">
        <v>368</v>
      </c>
      <c r="CD3" s="197"/>
      <c r="CE3" s="197"/>
      <c r="CF3" s="197"/>
      <c r="CG3" s="197"/>
      <c r="CH3" s="198"/>
      <c r="CI3" s="196" t="s">
        <v>369</v>
      </c>
      <c r="CJ3" s="197"/>
      <c r="CK3" s="197"/>
      <c r="CL3" s="197"/>
      <c r="CM3" s="197"/>
      <c r="CN3" s="198"/>
      <c r="CO3" s="196" t="s">
        <v>370</v>
      </c>
      <c r="CP3" s="197"/>
      <c r="CQ3" s="197"/>
      <c r="CR3" s="197"/>
      <c r="CS3" s="197"/>
      <c r="CT3" s="198"/>
      <c r="CU3" s="196" t="s">
        <v>371</v>
      </c>
      <c r="CV3" s="197"/>
      <c r="CW3" s="197"/>
      <c r="CX3" s="197"/>
      <c r="CY3" s="197"/>
      <c r="CZ3" s="198"/>
      <c r="DA3" s="196" t="s">
        <v>372</v>
      </c>
      <c r="DB3" s="197"/>
      <c r="DC3" s="197"/>
      <c r="DD3" s="197"/>
      <c r="DE3" s="197"/>
      <c r="DF3" s="198"/>
      <c r="DG3" s="196" t="s">
        <v>373</v>
      </c>
      <c r="DH3" s="197"/>
      <c r="DI3" s="197"/>
      <c r="DJ3" s="197"/>
      <c r="DK3" s="197"/>
      <c r="DL3" s="198"/>
      <c r="DM3" s="196" t="s">
        <v>374</v>
      </c>
      <c r="DN3" s="197"/>
      <c r="DO3" s="197"/>
      <c r="DP3" s="197"/>
      <c r="DQ3" s="197"/>
      <c r="DR3" s="198"/>
      <c r="DS3" s="199" t="s">
        <v>375</v>
      </c>
      <c r="DT3" s="197"/>
      <c r="DU3" s="197"/>
      <c r="DV3" s="197"/>
      <c r="DW3" s="197"/>
      <c r="DX3" s="198"/>
      <c r="DY3" s="196" t="s">
        <v>376</v>
      </c>
      <c r="DZ3" s="197"/>
      <c r="EA3" s="197"/>
      <c r="EB3" s="197"/>
      <c r="EC3" s="197"/>
      <c r="ED3" s="198"/>
      <c r="EE3" s="196" t="s">
        <v>377</v>
      </c>
      <c r="EF3" s="197"/>
      <c r="EG3" s="197"/>
      <c r="EH3" s="197"/>
      <c r="EI3" s="197"/>
      <c r="EJ3" s="198"/>
      <c r="EK3" s="196" t="s">
        <v>378</v>
      </c>
      <c r="EL3" s="197"/>
      <c r="EM3" s="197"/>
      <c r="EN3" s="197"/>
      <c r="EO3" s="197"/>
      <c r="EP3" s="198"/>
      <c r="EQ3" s="196" t="s">
        <v>379</v>
      </c>
      <c r="ER3" s="197"/>
      <c r="ES3" s="197"/>
      <c r="ET3" s="197"/>
      <c r="EU3" s="197"/>
      <c r="EV3" s="198"/>
      <c r="EW3" s="196" t="s">
        <v>380</v>
      </c>
      <c r="EX3" s="197"/>
      <c r="EY3" s="197"/>
      <c r="EZ3" s="197"/>
      <c r="FA3" s="197"/>
      <c r="FB3" s="198"/>
      <c r="FC3" s="196" t="s">
        <v>381</v>
      </c>
      <c r="FD3" s="197"/>
      <c r="FE3" s="197"/>
      <c r="FF3" s="197"/>
      <c r="FG3" s="197"/>
      <c r="FH3" s="198"/>
      <c r="FI3" s="199" t="s">
        <v>382</v>
      </c>
      <c r="FJ3" s="197"/>
      <c r="FK3" s="197"/>
      <c r="FL3" s="197"/>
      <c r="FM3" s="197"/>
      <c r="FN3" s="198"/>
      <c r="FO3" s="196" t="s">
        <v>383</v>
      </c>
      <c r="FP3" s="197"/>
      <c r="FQ3" s="197"/>
      <c r="FR3" s="197"/>
      <c r="FS3" s="197"/>
      <c r="FT3" s="198"/>
      <c r="FU3" s="196" t="s">
        <v>384</v>
      </c>
      <c r="FV3" s="197"/>
      <c r="FW3" s="197"/>
      <c r="FX3" s="197"/>
      <c r="FY3" s="197"/>
      <c r="FZ3" s="198"/>
      <c r="GA3" s="199" t="s">
        <v>385</v>
      </c>
      <c r="GB3" s="197"/>
      <c r="GC3" s="197"/>
      <c r="GD3" s="197"/>
      <c r="GE3" s="197"/>
      <c r="GF3" s="198"/>
      <c r="GG3" s="196" t="s">
        <v>386</v>
      </c>
      <c r="GH3" s="198"/>
      <c r="GI3" s="131" t="s">
        <v>406</v>
      </c>
      <c r="GJ3" s="128" t="s">
        <v>407</v>
      </c>
      <c r="GK3" s="132" t="s">
        <v>408</v>
      </c>
      <c r="GL3" s="128" t="s">
        <v>409</v>
      </c>
      <c r="GM3" s="132" t="s">
        <v>391</v>
      </c>
      <c r="GN3" s="129" t="s">
        <v>394</v>
      </c>
      <c r="GO3" s="131" t="s">
        <v>410</v>
      </c>
      <c r="GP3" s="132" t="s">
        <v>411</v>
      </c>
      <c r="GQ3" s="132" t="s">
        <v>412</v>
      </c>
      <c r="GR3" s="132" t="s">
        <v>391</v>
      </c>
      <c r="GS3" s="129" t="s">
        <v>394</v>
      </c>
      <c r="GT3" s="133" t="s">
        <v>396</v>
      </c>
      <c r="GU3" s="134" t="s">
        <v>394</v>
      </c>
      <c r="GV3" s="196" t="s">
        <v>387</v>
      </c>
      <c r="GW3" s="197"/>
      <c r="GX3" s="198"/>
      <c r="GY3" s="196" t="s">
        <v>388</v>
      </c>
      <c r="GZ3" s="197"/>
      <c r="HA3" s="198"/>
      <c r="HB3" s="196" t="s">
        <v>389</v>
      </c>
      <c r="HC3" s="197"/>
      <c r="HD3" s="198"/>
      <c r="HE3" s="199" t="s">
        <v>390</v>
      </c>
      <c r="HF3" s="197"/>
      <c r="HG3" s="198"/>
      <c r="HH3" s="133" t="s">
        <v>419</v>
      </c>
      <c r="HI3" s="135" t="s">
        <v>420</v>
      </c>
      <c r="HJ3" s="134" t="s">
        <v>394</v>
      </c>
      <c r="HK3" s="133" t="s">
        <v>392</v>
      </c>
      <c r="HL3" s="135" t="s">
        <v>393</v>
      </c>
      <c r="HM3" s="134" t="s">
        <v>394</v>
      </c>
      <c r="HN3" s="130" t="s">
        <v>421</v>
      </c>
      <c r="HO3" s="128" t="s">
        <v>422</v>
      </c>
      <c r="HP3" s="128" t="s">
        <v>423</v>
      </c>
      <c r="HQ3" s="128" t="s">
        <v>424</v>
      </c>
      <c r="HR3" s="128" t="s">
        <v>425</v>
      </c>
      <c r="HS3" s="128" t="s">
        <v>593</v>
      </c>
      <c r="HT3" s="136" t="s">
        <v>394</v>
      </c>
      <c r="HU3" s="127" t="s">
        <v>426</v>
      </c>
      <c r="HV3" s="128" t="s">
        <v>427</v>
      </c>
      <c r="HW3" s="128" t="s">
        <v>428</v>
      </c>
      <c r="HX3" s="128" t="s">
        <v>429</v>
      </c>
      <c r="HY3" s="128" t="s">
        <v>430</v>
      </c>
      <c r="HZ3" s="128" t="s">
        <v>431</v>
      </c>
      <c r="IA3" s="128" t="s">
        <v>432</v>
      </c>
      <c r="IB3" s="128" t="s">
        <v>433</v>
      </c>
      <c r="IC3" s="128" t="s">
        <v>434</v>
      </c>
      <c r="ID3" s="128" t="s">
        <v>435</v>
      </c>
      <c r="IE3" s="134" t="s">
        <v>394</v>
      </c>
      <c r="IF3" s="133" t="s">
        <v>436</v>
      </c>
      <c r="IG3" s="135" t="s">
        <v>437</v>
      </c>
      <c r="IH3" s="135" t="s">
        <v>438</v>
      </c>
      <c r="II3" s="135" t="s">
        <v>439</v>
      </c>
      <c r="IJ3" s="135" t="s">
        <v>440</v>
      </c>
      <c r="IK3" s="134" t="s">
        <v>394</v>
      </c>
      <c r="IL3" s="133" t="s">
        <v>441</v>
      </c>
      <c r="IM3" s="135" t="s">
        <v>442</v>
      </c>
      <c r="IN3" s="135" t="s">
        <v>443</v>
      </c>
      <c r="IO3" s="135" t="s">
        <v>444</v>
      </c>
      <c r="IP3" s="135" t="s">
        <v>391</v>
      </c>
      <c r="IQ3" s="134" t="s">
        <v>394</v>
      </c>
      <c r="IR3" s="133" t="s">
        <v>392</v>
      </c>
      <c r="IS3" s="135" t="s">
        <v>393</v>
      </c>
      <c r="IT3" s="134" t="s">
        <v>394</v>
      </c>
      <c r="IU3" s="130" t="s">
        <v>445</v>
      </c>
      <c r="IV3" s="128" t="s">
        <v>446</v>
      </c>
      <c r="IW3" s="128" t="s">
        <v>447</v>
      </c>
      <c r="IX3" s="129" t="s">
        <v>394</v>
      </c>
    </row>
    <row r="4" spans="1:258" s="99" customFormat="1" ht="39.950000000000003" customHeight="1" thickBot="1" x14ac:dyDescent="0.3">
      <c r="A4" s="117" t="s">
        <v>569</v>
      </c>
      <c r="B4" s="118" t="s">
        <v>452</v>
      </c>
      <c r="C4" s="118" t="s">
        <v>570</v>
      </c>
      <c r="D4" s="119" t="s">
        <v>450</v>
      </c>
      <c r="E4" s="137" t="s">
        <v>451</v>
      </c>
      <c r="F4" s="120" t="s">
        <v>392</v>
      </c>
      <c r="G4" s="121" t="s">
        <v>393</v>
      </c>
      <c r="H4" s="122" t="s">
        <v>414</v>
      </c>
      <c r="I4" s="120" t="s">
        <v>392</v>
      </c>
      <c r="J4" s="121" t="s">
        <v>393</v>
      </c>
      <c r="K4" s="122" t="s">
        <v>414</v>
      </c>
      <c r="L4" s="120" t="s">
        <v>392</v>
      </c>
      <c r="M4" s="121" t="s">
        <v>393</v>
      </c>
      <c r="N4" s="122" t="s">
        <v>414</v>
      </c>
      <c r="O4" s="123" t="s">
        <v>395</v>
      </c>
      <c r="P4" s="124" t="s">
        <v>395</v>
      </c>
      <c r="Q4" s="124" t="s">
        <v>395</v>
      </c>
      <c r="R4" s="124" t="s">
        <v>395</v>
      </c>
      <c r="S4" s="124" t="s">
        <v>395</v>
      </c>
      <c r="T4" s="124" t="s">
        <v>395</v>
      </c>
      <c r="U4" s="124" t="s">
        <v>395</v>
      </c>
      <c r="V4" s="124" t="s">
        <v>395</v>
      </c>
      <c r="W4" s="124" t="s">
        <v>395</v>
      </c>
      <c r="X4" s="124" t="s">
        <v>395</v>
      </c>
      <c r="Y4" s="122" t="s">
        <v>413</v>
      </c>
      <c r="Z4" s="120" t="s">
        <v>395</v>
      </c>
      <c r="AA4" s="121" t="s">
        <v>395</v>
      </c>
      <c r="AB4" s="121" t="s">
        <v>395</v>
      </c>
      <c r="AC4" s="121" t="s">
        <v>395</v>
      </c>
      <c r="AD4" s="121" t="s">
        <v>395</v>
      </c>
      <c r="AE4" s="121" t="s">
        <v>395</v>
      </c>
      <c r="AF4" s="122" t="s">
        <v>413</v>
      </c>
      <c r="AG4" s="120" t="s">
        <v>396</v>
      </c>
      <c r="AH4" s="121" t="s">
        <v>394</v>
      </c>
      <c r="AI4" s="121" t="s">
        <v>396</v>
      </c>
      <c r="AJ4" s="121" t="s">
        <v>394</v>
      </c>
      <c r="AK4" s="121" t="s">
        <v>396</v>
      </c>
      <c r="AL4" s="122" t="s">
        <v>414</v>
      </c>
      <c r="AM4" s="120" t="s">
        <v>597</v>
      </c>
      <c r="AN4" s="121" t="s">
        <v>398</v>
      </c>
      <c r="AO4" s="121" t="s">
        <v>399</v>
      </c>
      <c r="AP4" s="121" t="s">
        <v>400</v>
      </c>
      <c r="AQ4" s="121" t="s">
        <v>401</v>
      </c>
      <c r="AR4" s="122" t="s">
        <v>414</v>
      </c>
      <c r="AS4" s="120" t="s">
        <v>597</v>
      </c>
      <c r="AT4" s="121" t="s">
        <v>398</v>
      </c>
      <c r="AU4" s="121" t="s">
        <v>399</v>
      </c>
      <c r="AV4" s="121" t="s">
        <v>400</v>
      </c>
      <c r="AW4" s="121" t="s">
        <v>401</v>
      </c>
      <c r="AX4" s="122" t="s">
        <v>414</v>
      </c>
      <c r="AY4" s="120" t="s">
        <v>597</v>
      </c>
      <c r="AZ4" s="121" t="s">
        <v>398</v>
      </c>
      <c r="BA4" s="121" t="s">
        <v>399</v>
      </c>
      <c r="BB4" s="121" t="s">
        <v>400</v>
      </c>
      <c r="BC4" s="121" t="s">
        <v>401</v>
      </c>
      <c r="BD4" s="122" t="s">
        <v>414</v>
      </c>
      <c r="BE4" s="120" t="s">
        <v>597</v>
      </c>
      <c r="BF4" s="121" t="s">
        <v>398</v>
      </c>
      <c r="BG4" s="121" t="s">
        <v>399</v>
      </c>
      <c r="BH4" s="121" t="s">
        <v>400</v>
      </c>
      <c r="BI4" s="121" t="s">
        <v>401</v>
      </c>
      <c r="BJ4" s="122" t="s">
        <v>414</v>
      </c>
      <c r="BK4" s="120" t="s">
        <v>597</v>
      </c>
      <c r="BL4" s="121" t="s">
        <v>398</v>
      </c>
      <c r="BM4" s="121" t="s">
        <v>399</v>
      </c>
      <c r="BN4" s="121" t="s">
        <v>400</v>
      </c>
      <c r="BO4" s="121" t="s">
        <v>401</v>
      </c>
      <c r="BP4" s="122" t="s">
        <v>414</v>
      </c>
      <c r="BQ4" s="120" t="s">
        <v>597</v>
      </c>
      <c r="BR4" s="121" t="s">
        <v>398</v>
      </c>
      <c r="BS4" s="121" t="s">
        <v>399</v>
      </c>
      <c r="BT4" s="121" t="s">
        <v>400</v>
      </c>
      <c r="BU4" s="121" t="s">
        <v>401</v>
      </c>
      <c r="BV4" s="122" t="s">
        <v>414</v>
      </c>
      <c r="BW4" s="125" t="s">
        <v>597</v>
      </c>
      <c r="BX4" s="121" t="s">
        <v>398</v>
      </c>
      <c r="BY4" s="121" t="s">
        <v>399</v>
      </c>
      <c r="BZ4" s="121" t="s">
        <v>400</v>
      </c>
      <c r="CA4" s="121" t="s">
        <v>401</v>
      </c>
      <c r="CB4" s="122" t="s">
        <v>414</v>
      </c>
      <c r="CC4" s="120" t="s">
        <v>402</v>
      </c>
      <c r="CD4" s="121" t="s">
        <v>403</v>
      </c>
      <c r="CE4" s="121" t="s">
        <v>399</v>
      </c>
      <c r="CF4" s="121" t="s">
        <v>404</v>
      </c>
      <c r="CG4" s="121" t="s">
        <v>405</v>
      </c>
      <c r="CH4" s="122" t="s">
        <v>414</v>
      </c>
      <c r="CI4" s="120" t="s">
        <v>402</v>
      </c>
      <c r="CJ4" s="121" t="s">
        <v>403</v>
      </c>
      <c r="CK4" s="121" t="s">
        <v>399</v>
      </c>
      <c r="CL4" s="121" t="s">
        <v>404</v>
      </c>
      <c r="CM4" s="121" t="s">
        <v>405</v>
      </c>
      <c r="CN4" s="122" t="s">
        <v>414</v>
      </c>
      <c r="CO4" s="120" t="s">
        <v>402</v>
      </c>
      <c r="CP4" s="121" t="s">
        <v>403</v>
      </c>
      <c r="CQ4" s="121" t="s">
        <v>399</v>
      </c>
      <c r="CR4" s="121" t="s">
        <v>404</v>
      </c>
      <c r="CS4" s="121" t="s">
        <v>405</v>
      </c>
      <c r="CT4" s="122" t="s">
        <v>414</v>
      </c>
      <c r="CU4" s="120" t="s">
        <v>402</v>
      </c>
      <c r="CV4" s="121" t="s">
        <v>403</v>
      </c>
      <c r="CW4" s="121" t="s">
        <v>399</v>
      </c>
      <c r="CX4" s="121" t="s">
        <v>404</v>
      </c>
      <c r="CY4" s="121" t="s">
        <v>405</v>
      </c>
      <c r="CZ4" s="122" t="s">
        <v>414</v>
      </c>
      <c r="DA4" s="120" t="s">
        <v>402</v>
      </c>
      <c r="DB4" s="121" t="s">
        <v>403</v>
      </c>
      <c r="DC4" s="121" t="s">
        <v>399</v>
      </c>
      <c r="DD4" s="121" t="s">
        <v>404</v>
      </c>
      <c r="DE4" s="121" t="s">
        <v>405</v>
      </c>
      <c r="DF4" s="122" t="s">
        <v>414</v>
      </c>
      <c r="DG4" s="120" t="s">
        <v>402</v>
      </c>
      <c r="DH4" s="121" t="s">
        <v>403</v>
      </c>
      <c r="DI4" s="121" t="s">
        <v>399</v>
      </c>
      <c r="DJ4" s="121" t="s">
        <v>404</v>
      </c>
      <c r="DK4" s="121" t="s">
        <v>405</v>
      </c>
      <c r="DL4" s="122" t="s">
        <v>414</v>
      </c>
      <c r="DM4" s="120" t="s">
        <v>402</v>
      </c>
      <c r="DN4" s="121" t="s">
        <v>403</v>
      </c>
      <c r="DO4" s="121" t="s">
        <v>399</v>
      </c>
      <c r="DP4" s="121" t="s">
        <v>404</v>
      </c>
      <c r="DQ4" s="121" t="s">
        <v>405</v>
      </c>
      <c r="DR4" s="122" t="s">
        <v>414</v>
      </c>
      <c r="DS4" s="125" t="s">
        <v>402</v>
      </c>
      <c r="DT4" s="121" t="s">
        <v>403</v>
      </c>
      <c r="DU4" s="121" t="s">
        <v>399</v>
      </c>
      <c r="DV4" s="121" t="s">
        <v>404</v>
      </c>
      <c r="DW4" s="121" t="s">
        <v>405</v>
      </c>
      <c r="DX4" s="122" t="s">
        <v>414</v>
      </c>
      <c r="DY4" s="120" t="s">
        <v>597</v>
      </c>
      <c r="DZ4" s="121" t="s">
        <v>398</v>
      </c>
      <c r="EA4" s="121" t="s">
        <v>399</v>
      </c>
      <c r="EB4" s="121" t="s">
        <v>400</v>
      </c>
      <c r="EC4" s="121" t="s">
        <v>401</v>
      </c>
      <c r="ED4" s="122" t="s">
        <v>414</v>
      </c>
      <c r="EE4" s="120" t="s">
        <v>597</v>
      </c>
      <c r="EF4" s="121" t="s">
        <v>398</v>
      </c>
      <c r="EG4" s="121" t="s">
        <v>399</v>
      </c>
      <c r="EH4" s="121" t="s">
        <v>400</v>
      </c>
      <c r="EI4" s="121" t="s">
        <v>401</v>
      </c>
      <c r="EJ4" s="122" t="s">
        <v>414</v>
      </c>
      <c r="EK4" s="120" t="s">
        <v>597</v>
      </c>
      <c r="EL4" s="121" t="s">
        <v>398</v>
      </c>
      <c r="EM4" s="121" t="s">
        <v>399</v>
      </c>
      <c r="EN4" s="121" t="s">
        <v>400</v>
      </c>
      <c r="EO4" s="121" t="s">
        <v>401</v>
      </c>
      <c r="EP4" s="122" t="s">
        <v>414</v>
      </c>
      <c r="EQ4" s="120" t="s">
        <v>597</v>
      </c>
      <c r="ER4" s="121" t="s">
        <v>398</v>
      </c>
      <c r="ES4" s="121" t="s">
        <v>399</v>
      </c>
      <c r="ET4" s="121" t="s">
        <v>400</v>
      </c>
      <c r="EU4" s="121" t="s">
        <v>401</v>
      </c>
      <c r="EV4" s="122" t="s">
        <v>414</v>
      </c>
      <c r="EW4" s="120" t="s">
        <v>597</v>
      </c>
      <c r="EX4" s="121" t="s">
        <v>398</v>
      </c>
      <c r="EY4" s="121" t="s">
        <v>399</v>
      </c>
      <c r="EZ4" s="121" t="s">
        <v>400</v>
      </c>
      <c r="FA4" s="121" t="s">
        <v>401</v>
      </c>
      <c r="FB4" s="122" t="s">
        <v>414</v>
      </c>
      <c r="FC4" s="120" t="s">
        <v>597</v>
      </c>
      <c r="FD4" s="121" t="s">
        <v>398</v>
      </c>
      <c r="FE4" s="121" t="s">
        <v>399</v>
      </c>
      <c r="FF4" s="121" t="s">
        <v>400</v>
      </c>
      <c r="FG4" s="121" t="s">
        <v>401</v>
      </c>
      <c r="FH4" s="122" t="s">
        <v>414</v>
      </c>
      <c r="FI4" s="125" t="s">
        <v>597</v>
      </c>
      <c r="FJ4" s="121" t="s">
        <v>398</v>
      </c>
      <c r="FK4" s="121" t="s">
        <v>399</v>
      </c>
      <c r="FL4" s="121" t="s">
        <v>400</v>
      </c>
      <c r="FM4" s="121" t="s">
        <v>401</v>
      </c>
      <c r="FN4" s="122" t="s">
        <v>414</v>
      </c>
      <c r="FO4" s="120" t="s">
        <v>597</v>
      </c>
      <c r="FP4" s="121" t="s">
        <v>398</v>
      </c>
      <c r="FQ4" s="121" t="s">
        <v>399</v>
      </c>
      <c r="FR4" s="121" t="s">
        <v>400</v>
      </c>
      <c r="FS4" s="121" t="s">
        <v>401</v>
      </c>
      <c r="FT4" s="122" t="s">
        <v>414</v>
      </c>
      <c r="FU4" s="120" t="s">
        <v>597</v>
      </c>
      <c r="FV4" s="121" t="s">
        <v>398</v>
      </c>
      <c r="FW4" s="121" t="s">
        <v>399</v>
      </c>
      <c r="FX4" s="121" t="s">
        <v>400</v>
      </c>
      <c r="FY4" s="121" t="s">
        <v>401</v>
      </c>
      <c r="FZ4" s="122" t="s">
        <v>414</v>
      </c>
      <c r="GA4" s="125" t="s">
        <v>597</v>
      </c>
      <c r="GB4" s="121" t="s">
        <v>398</v>
      </c>
      <c r="GC4" s="121" t="s">
        <v>399</v>
      </c>
      <c r="GD4" s="121" t="s">
        <v>400</v>
      </c>
      <c r="GE4" s="121" t="s">
        <v>401</v>
      </c>
      <c r="GF4" s="122" t="s">
        <v>414</v>
      </c>
      <c r="GG4" s="120" t="s">
        <v>396</v>
      </c>
      <c r="GH4" s="122" t="s">
        <v>394</v>
      </c>
      <c r="GI4" s="120" t="s">
        <v>395</v>
      </c>
      <c r="GJ4" s="121" t="s">
        <v>395</v>
      </c>
      <c r="GK4" s="121" t="s">
        <v>395</v>
      </c>
      <c r="GL4" s="121" t="s">
        <v>395</v>
      </c>
      <c r="GM4" s="121" t="s">
        <v>395</v>
      </c>
      <c r="GN4" s="122" t="s">
        <v>413</v>
      </c>
      <c r="GO4" s="120" t="s">
        <v>395</v>
      </c>
      <c r="GP4" s="121" t="s">
        <v>395</v>
      </c>
      <c r="GQ4" s="121" t="s">
        <v>395</v>
      </c>
      <c r="GR4" s="121" t="s">
        <v>395</v>
      </c>
      <c r="GS4" s="122" t="s">
        <v>413</v>
      </c>
      <c r="GT4" s="125" t="s">
        <v>415</v>
      </c>
      <c r="GU4" s="122" t="s">
        <v>413</v>
      </c>
      <c r="GV4" s="120" t="s">
        <v>417</v>
      </c>
      <c r="GW4" s="121" t="s">
        <v>418</v>
      </c>
      <c r="GX4" s="122" t="s">
        <v>414</v>
      </c>
      <c r="GY4" s="120" t="s">
        <v>417</v>
      </c>
      <c r="GZ4" s="121" t="s">
        <v>418</v>
      </c>
      <c r="HA4" s="122" t="s">
        <v>414</v>
      </c>
      <c r="HB4" s="120" t="s">
        <v>417</v>
      </c>
      <c r="HC4" s="121" t="s">
        <v>418</v>
      </c>
      <c r="HD4" s="122" t="s">
        <v>414</v>
      </c>
      <c r="HE4" s="125" t="s">
        <v>417</v>
      </c>
      <c r="HF4" s="121" t="s">
        <v>418</v>
      </c>
      <c r="HG4" s="122" t="s">
        <v>414</v>
      </c>
      <c r="HH4" s="120" t="s">
        <v>395</v>
      </c>
      <c r="HI4" s="121" t="s">
        <v>395</v>
      </c>
      <c r="HJ4" s="122" t="s">
        <v>413</v>
      </c>
      <c r="HK4" s="120" t="s">
        <v>395</v>
      </c>
      <c r="HL4" s="121" t="s">
        <v>395</v>
      </c>
      <c r="HM4" s="122" t="s">
        <v>413</v>
      </c>
      <c r="HN4" s="125" t="s">
        <v>395</v>
      </c>
      <c r="HO4" s="121" t="s">
        <v>395</v>
      </c>
      <c r="HP4" s="121" t="s">
        <v>395</v>
      </c>
      <c r="HQ4" s="121" t="s">
        <v>395</v>
      </c>
      <c r="HR4" s="121" t="s">
        <v>395</v>
      </c>
      <c r="HS4" s="121" t="s">
        <v>415</v>
      </c>
      <c r="HT4" s="126" t="s">
        <v>413</v>
      </c>
      <c r="HU4" s="120" t="s">
        <v>395</v>
      </c>
      <c r="HV4" s="121" t="s">
        <v>395</v>
      </c>
      <c r="HW4" s="121" t="s">
        <v>395</v>
      </c>
      <c r="HX4" s="121" t="s">
        <v>395</v>
      </c>
      <c r="HY4" s="121" t="s">
        <v>395</v>
      </c>
      <c r="HZ4" s="121" t="s">
        <v>395</v>
      </c>
      <c r="IA4" s="121" t="s">
        <v>395</v>
      </c>
      <c r="IB4" s="121" t="s">
        <v>395</v>
      </c>
      <c r="IC4" s="121" t="s">
        <v>395</v>
      </c>
      <c r="ID4" s="121" t="s">
        <v>395</v>
      </c>
      <c r="IE4" s="122" t="s">
        <v>413</v>
      </c>
      <c r="IF4" s="120" t="s">
        <v>395</v>
      </c>
      <c r="IG4" s="121" t="s">
        <v>395</v>
      </c>
      <c r="IH4" s="121" t="s">
        <v>395</v>
      </c>
      <c r="II4" s="121" t="s">
        <v>395</v>
      </c>
      <c r="IJ4" s="121" t="s">
        <v>395</v>
      </c>
      <c r="IK4" s="122" t="s">
        <v>413</v>
      </c>
      <c r="IL4" s="120" t="s">
        <v>395</v>
      </c>
      <c r="IM4" s="121" t="s">
        <v>395</v>
      </c>
      <c r="IN4" s="121" t="s">
        <v>395</v>
      </c>
      <c r="IO4" s="121" t="s">
        <v>395</v>
      </c>
      <c r="IP4" s="121" t="s">
        <v>395</v>
      </c>
      <c r="IQ4" s="122" t="s">
        <v>413</v>
      </c>
      <c r="IR4" s="120" t="s">
        <v>395</v>
      </c>
      <c r="IS4" s="121" t="s">
        <v>395</v>
      </c>
      <c r="IT4" s="122" t="s">
        <v>413</v>
      </c>
      <c r="IU4" s="125" t="s">
        <v>395</v>
      </c>
      <c r="IV4" s="121" t="s">
        <v>395</v>
      </c>
      <c r="IW4" s="121" t="s">
        <v>395</v>
      </c>
      <c r="IX4" s="122" t="s">
        <v>413</v>
      </c>
    </row>
    <row r="5" spans="1:258" ht="32.1" customHeight="1" x14ac:dyDescent="0.25">
      <c r="A5" s="115" t="s">
        <v>453</v>
      </c>
      <c r="B5" s="91" t="s">
        <v>572</v>
      </c>
      <c r="C5" s="91" t="s">
        <v>454</v>
      </c>
      <c r="D5" s="116">
        <v>2</v>
      </c>
      <c r="E5" s="138" t="s">
        <v>455</v>
      </c>
      <c r="F5" s="142">
        <v>0.36871508379888185</v>
      </c>
      <c r="G5" s="143">
        <v>0.63128491620111771</v>
      </c>
      <c r="H5" s="144">
        <v>179</v>
      </c>
      <c r="I5" s="142">
        <v>0.70909090909090933</v>
      </c>
      <c r="J5" s="143">
        <v>0.29090909090909006</v>
      </c>
      <c r="K5" s="144">
        <v>110</v>
      </c>
      <c r="L5" s="142">
        <v>0.4675324675324658</v>
      </c>
      <c r="M5" s="143">
        <v>0.53246753246753142</v>
      </c>
      <c r="N5" s="144">
        <v>77</v>
      </c>
      <c r="O5" s="142">
        <v>0.27624309392265195</v>
      </c>
      <c r="P5" s="143">
        <v>0.17127071823204429</v>
      </c>
      <c r="Q5" s="143">
        <v>0.3977900552486201</v>
      </c>
      <c r="R5" s="143">
        <v>3.3149171270718314E-2</v>
      </c>
      <c r="S5" s="143">
        <v>0.19889502762431002</v>
      </c>
      <c r="T5" s="143">
        <v>6.6298342541436628E-2</v>
      </c>
      <c r="U5" s="143">
        <v>1.1049723756906065E-2</v>
      </c>
      <c r="V5" s="143">
        <v>8.2872928176795826E-2</v>
      </c>
      <c r="W5" s="143">
        <v>9.9447513812155011E-2</v>
      </c>
      <c r="X5" s="143">
        <v>8.2872928176795826E-2</v>
      </c>
      <c r="Y5" s="144">
        <v>181</v>
      </c>
      <c r="Z5" s="142">
        <v>0.73988439306358778</v>
      </c>
      <c r="AA5" s="143">
        <v>0.31791907514450907</v>
      </c>
      <c r="AB5" s="143">
        <v>0.54913294797688217</v>
      </c>
      <c r="AC5" s="143">
        <v>0.63005780346820783</v>
      </c>
      <c r="AD5" s="143">
        <v>6.9364161849710837E-2</v>
      </c>
      <c r="AE5" s="143">
        <v>0.12716763005780388</v>
      </c>
      <c r="AF5" s="144">
        <v>173</v>
      </c>
      <c r="AG5" s="145">
        <v>9.8988764044943824</v>
      </c>
      <c r="AH5" s="146">
        <v>178</v>
      </c>
      <c r="AI5" s="147">
        <v>9.9217877094972611</v>
      </c>
      <c r="AJ5" s="146">
        <v>179</v>
      </c>
      <c r="AK5" s="147">
        <v>9.9230769230769198</v>
      </c>
      <c r="AL5" s="144">
        <v>169</v>
      </c>
      <c r="AM5" s="142">
        <v>0.65142857142857347</v>
      </c>
      <c r="AN5" s="143">
        <v>0.29714285714285643</v>
      </c>
      <c r="AO5" s="143">
        <v>2.857142857142848E-2</v>
      </c>
      <c r="AP5" s="143">
        <v>2.2857142857142812E-2</v>
      </c>
      <c r="AQ5" s="143">
        <v>0</v>
      </c>
      <c r="AR5" s="144">
        <v>175</v>
      </c>
      <c r="AS5" s="142">
        <v>0.6388888888888884</v>
      </c>
      <c r="AT5" s="143">
        <v>0.26666666666666672</v>
      </c>
      <c r="AU5" s="143">
        <v>5.000000000000001E-2</v>
      </c>
      <c r="AV5" s="143">
        <v>3.333333333333334E-2</v>
      </c>
      <c r="AW5" s="143">
        <v>1.1111111111111136E-2</v>
      </c>
      <c r="AX5" s="144">
        <v>180</v>
      </c>
      <c r="AY5" s="142">
        <v>0.66091954022988519</v>
      </c>
      <c r="AZ5" s="143">
        <v>0.32183908045976994</v>
      </c>
      <c r="BA5" s="143">
        <v>1.7241379310344786E-2</v>
      </c>
      <c r="BB5" s="143">
        <v>0</v>
      </c>
      <c r="BC5" s="143">
        <v>0</v>
      </c>
      <c r="BD5" s="144">
        <v>174</v>
      </c>
      <c r="BE5" s="142">
        <v>0.70949720670391025</v>
      </c>
      <c r="BF5" s="143">
        <v>0.24581005586592233</v>
      </c>
      <c r="BG5" s="143">
        <v>5.5865921787709369E-3</v>
      </c>
      <c r="BH5" s="143">
        <v>3.351955307262567E-2</v>
      </c>
      <c r="BI5" s="143">
        <v>5.5865921787709369E-3</v>
      </c>
      <c r="BJ5" s="144">
        <v>179</v>
      </c>
      <c r="BK5" s="142">
        <v>0.66863905325444151</v>
      </c>
      <c r="BL5" s="143">
        <v>0.29585798816568054</v>
      </c>
      <c r="BM5" s="143">
        <v>2.9585798816568101E-2</v>
      </c>
      <c r="BN5" s="143">
        <v>0</v>
      </c>
      <c r="BO5" s="143">
        <v>5.9171597633135885E-3</v>
      </c>
      <c r="BP5" s="144">
        <v>169</v>
      </c>
      <c r="BQ5" s="142">
        <v>0.78977272727272563</v>
      </c>
      <c r="BR5" s="143">
        <v>0.18750000000000003</v>
      </c>
      <c r="BS5" s="143">
        <v>2.2727272727272686E-2</v>
      </c>
      <c r="BT5" s="143">
        <v>0</v>
      </c>
      <c r="BU5" s="143">
        <v>0</v>
      </c>
      <c r="BV5" s="144">
        <v>176</v>
      </c>
      <c r="BW5" s="148">
        <v>0.71739130434782195</v>
      </c>
      <c r="BX5" s="143">
        <v>0.19565217391304365</v>
      </c>
      <c r="BY5" s="143">
        <v>8.6956521739130099E-2</v>
      </c>
      <c r="BZ5" s="143">
        <v>0</v>
      </c>
      <c r="CA5" s="143">
        <v>0</v>
      </c>
      <c r="CB5" s="144">
        <v>92</v>
      </c>
      <c r="CC5" s="142">
        <v>0.91397849462365788</v>
      </c>
      <c r="CD5" s="143">
        <v>5.3763440860215027E-2</v>
      </c>
      <c r="CE5" s="143">
        <v>2.1505376344085936E-2</v>
      </c>
      <c r="CF5" s="143">
        <v>1.0752688172042968E-2</v>
      </c>
      <c r="CG5" s="143">
        <v>0</v>
      </c>
      <c r="CH5" s="149">
        <v>93</v>
      </c>
      <c r="CI5" s="142">
        <v>0.66666666666666519</v>
      </c>
      <c r="CJ5" s="143">
        <v>0.22619047619047619</v>
      </c>
      <c r="CK5" s="143">
        <v>5.9523809523809569E-2</v>
      </c>
      <c r="CL5" s="143">
        <v>2.3809523809523676E-2</v>
      </c>
      <c r="CM5" s="143">
        <v>2.3809523809523676E-2</v>
      </c>
      <c r="CN5" s="149">
        <v>84</v>
      </c>
      <c r="CO5" s="142">
        <v>0.62399999999999767</v>
      </c>
      <c r="CP5" s="143">
        <v>0.31199999999999839</v>
      </c>
      <c r="CQ5" s="143">
        <v>5.5999999999999987E-2</v>
      </c>
      <c r="CR5" s="143">
        <v>7.9999999999999898E-3</v>
      </c>
      <c r="CS5" s="143">
        <v>0</v>
      </c>
      <c r="CT5" s="149">
        <v>125</v>
      </c>
      <c r="CU5" s="142">
        <v>0.58015267175572527</v>
      </c>
      <c r="CV5" s="143">
        <v>0.35877862595419857</v>
      </c>
      <c r="CW5" s="143">
        <v>5.3435114503816751E-2</v>
      </c>
      <c r="CX5" s="143">
        <v>0</v>
      </c>
      <c r="CY5" s="143">
        <v>7.6335877862595434E-3</v>
      </c>
      <c r="CZ5" s="149">
        <v>131</v>
      </c>
      <c r="DA5" s="142">
        <v>0.58904109589040843</v>
      </c>
      <c r="DB5" s="143">
        <v>0.31506849315068408</v>
      </c>
      <c r="DC5" s="143">
        <v>9.5890410958904257E-2</v>
      </c>
      <c r="DD5" s="143">
        <v>0</v>
      </c>
      <c r="DE5" s="143">
        <v>0</v>
      </c>
      <c r="DF5" s="149">
        <v>73</v>
      </c>
      <c r="DG5" s="142">
        <v>0.63768115942028702</v>
      </c>
      <c r="DH5" s="143">
        <v>0.3043478260869566</v>
      </c>
      <c r="DI5" s="143">
        <v>5.7971014492753631E-2</v>
      </c>
      <c r="DJ5" s="143">
        <v>0</v>
      </c>
      <c r="DK5" s="143">
        <v>0</v>
      </c>
      <c r="DL5" s="149">
        <v>69</v>
      </c>
      <c r="DM5" s="142">
        <v>0.7040816326530569</v>
      </c>
      <c r="DN5" s="143">
        <v>0.23469387755102036</v>
      </c>
      <c r="DO5" s="143">
        <v>4.0816326530612075E-2</v>
      </c>
      <c r="DP5" s="143">
        <v>2.0408163265306038E-2</v>
      </c>
      <c r="DQ5" s="143">
        <v>0</v>
      </c>
      <c r="DR5" s="149">
        <v>98</v>
      </c>
      <c r="DS5" s="148">
        <v>0.57142857142857018</v>
      </c>
      <c r="DT5" s="143">
        <v>0.28571428571428509</v>
      </c>
      <c r="DU5" s="143">
        <v>0.10714285714285733</v>
      </c>
      <c r="DV5" s="143">
        <v>3.5714285714285636E-2</v>
      </c>
      <c r="DW5" s="143">
        <v>0</v>
      </c>
      <c r="DX5" s="149">
        <v>56</v>
      </c>
      <c r="DY5" s="142">
        <v>0.91011235955056524</v>
      </c>
      <c r="DZ5" s="143">
        <v>8.9887640449438172E-2</v>
      </c>
      <c r="EA5" s="143">
        <v>0</v>
      </c>
      <c r="EB5" s="143">
        <v>0</v>
      </c>
      <c r="EC5" s="143">
        <v>0</v>
      </c>
      <c r="ED5" s="149">
        <v>178</v>
      </c>
      <c r="EE5" s="142">
        <v>0.80281690140844642</v>
      </c>
      <c r="EF5" s="143">
        <v>0.15492957746478916</v>
      </c>
      <c r="EG5" s="143">
        <v>4.2253521126760611E-2</v>
      </c>
      <c r="EH5" s="143">
        <v>0</v>
      </c>
      <c r="EI5" s="143">
        <v>0</v>
      </c>
      <c r="EJ5" s="149">
        <v>71</v>
      </c>
      <c r="EK5" s="142">
        <v>0.83333333333333481</v>
      </c>
      <c r="EL5" s="143">
        <v>0.12499999999999999</v>
      </c>
      <c r="EM5" s="143">
        <v>4.1666666666666581E-2</v>
      </c>
      <c r="EN5" s="143">
        <v>0</v>
      </c>
      <c r="EO5" s="143">
        <v>0</v>
      </c>
      <c r="EP5" s="149">
        <v>72</v>
      </c>
      <c r="EQ5" s="142">
        <v>0.78472222222222532</v>
      </c>
      <c r="ER5" s="143">
        <v>0.1666666666666663</v>
      </c>
      <c r="ES5" s="143">
        <v>3.472222222222214E-2</v>
      </c>
      <c r="ET5" s="143">
        <v>1.388888888888886E-2</v>
      </c>
      <c r="EU5" s="143">
        <v>0</v>
      </c>
      <c r="EV5" s="149">
        <v>144</v>
      </c>
      <c r="EW5" s="142">
        <v>0.83108108108108336</v>
      </c>
      <c r="EX5" s="143">
        <v>0.12837837837837873</v>
      </c>
      <c r="EY5" s="143">
        <v>3.378378378378373E-2</v>
      </c>
      <c r="EZ5" s="143">
        <v>6.7567567567567658E-3</v>
      </c>
      <c r="FA5" s="143">
        <v>0</v>
      </c>
      <c r="FB5" s="149">
        <v>148</v>
      </c>
      <c r="FC5" s="142">
        <v>0.60465116279069908</v>
      </c>
      <c r="FD5" s="143">
        <v>0.25581395348837221</v>
      </c>
      <c r="FE5" s="143">
        <v>0.13953488372093031</v>
      </c>
      <c r="FF5" s="143">
        <v>0</v>
      </c>
      <c r="FG5" s="143">
        <v>0</v>
      </c>
      <c r="FH5" s="149">
        <v>43</v>
      </c>
      <c r="FI5" s="148">
        <v>0.59090909090909249</v>
      </c>
      <c r="FJ5" s="143">
        <v>0.13636363636363652</v>
      </c>
      <c r="FK5" s="143">
        <v>0.2272727272727264</v>
      </c>
      <c r="FL5" s="143">
        <v>4.5454545454545324E-2</v>
      </c>
      <c r="FM5" s="143">
        <v>0</v>
      </c>
      <c r="FN5" s="149">
        <v>22</v>
      </c>
      <c r="FO5" s="142">
        <v>0</v>
      </c>
      <c r="FP5" s="143">
        <v>0</v>
      </c>
      <c r="FQ5" s="143">
        <v>0</v>
      </c>
      <c r="FR5" s="143">
        <v>0</v>
      </c>
      <c r="FS5" s="143">
        <v>0</v>
      </c>
      <c r="FT5" s="149">
        <v>0</v>
      </c>
      <c r="FU5" s="142">
        <v>0</v>
      </c>
      <c r="FV5" s="143">
        <v>0</v>
      </c>
      <c r="FW5" s="143">
        <v>0</v>
      </c>
      <c r="FX5" s="143">
        <v>0</v>
      </c>
      <c r="FY5" s="143">
        <v>0</v>
      </c>
      <c r="FZ5" s="149">
        <v>0</v>
      </c>
      <c r="GA5" s="148">
        <v>0</v>
      </c>
      <c r="GB5" s="143">
        <v>0</v>
      </c>
      <c r="GC5" s="143">
        <v>0</v>
      </c>
      <c r="GD5" s="143">
        <v>0</v>
      </c>
      <c r="GE5" s="143">
        <v>0</v>
      </c>
      <c r="GF5" s="149">
        <v>0</v>
      </c>
      <c r="GG5" s="145">
        <v>9.4748603351955101</v>
      </c>
      <c r="GH5" s="149">
        <v>179</v>
      </c>
      <c r="GI5" s="142">
        <v>0.50000000000000044</v>
      </c>
      <c r="GJ5" s="143">
        <v>0.17222222222222183</v>
      </c>
      <c r="GK5" s="143">
        <v>0.20000000000000004</v>
      </c>
      <c r="GL5" s="143">
        <v>6.666666666666668E-2</v>
      </c>
      <c r="GM5" s="143">
        <v>6.1111111111110922E-2</v>
      </c>
      <c r="GN5" s="149">
        <v>180</v>
      </c>
      <c r="GO5" s="142">
        <v>0.61142857142857476</v>
      </c>
      <c r="GP5" s="143">
        <v>0.17142857142857101</v>
      </c>
      <c r="GQ5" s="143">
        <v>0.14285714285714257</v>
      </c>
      <c r="GR5" s="143">
        <v>0.16571428571428637</v>
      </c>
      <c r="GS5" s="149">
        <v>175</v>
      </c>
      <c r="GT5" s="150">
        <v>2.7283236994219777</v>
      </c>
      <c r="GU5" s="149">
        <v>173</v>
      </c>
      <c r="GV5" s="142">
        <v>0.94642857142857095</v>
      </c>
      <c r="GW5" s="143">
        <v>5.3571428571428673E-2</v>
      </c>
      <c r="GX5" s="149">
        <v>56</v>
      </c>
      <c r="GY5" s="142">
        <v>0.98888888888888915</v>
      </c>
      <c r="GZ5" s="143">
        <v>1.111111111111112E-2</v>
      </c>
      <c r="HA5" s="149">
        <v>90</v>
      </c>
      <c r="HB5" s="142">
        <v>0.94285714285714106</v>
      </c>
      <c r="HC5" s="143">
        <v>5.7142857142856905E-2</v>
      </c>
      <c r="HD5" s="149">
        <v>140</v>
      </c>
      <c r="HE5" s="148">
        <v>0.93749999999999989</v>
      </c>
      <c r="HF5" s="143">
        <v>6.2499999999999944E-2</v>
      </c>
      <c r="HG5" s="149">
        <v>96</v>
      </c>
      <c r="HH5" s="142">
        <v>0.53896103896104097</v>
      </c>
      <c r="HI5" s="143">
        <v>0.46103896103895958</v>
      </c>
      <c r="HJ5" s="149">
        <v>154</v>
      </c>
      <c r="HK5" s="142">
        <v>1</v>
      </c>
      <c r="HL5" s="143">
        <v>0</v>
      </c>
      <c r="HM5" s="149">
        <v>150</v>
      </c>
      <c r="HN5" s="148">
        <v>0.14482758620689634</v>
      </c>
      <c r="HO5" s="143">
        <v>0.22758620689655223</v>
      </c>
      <c r="HP5" s="143">
        <v>0.28275862068965557</v>
      </c>
      <c r="HQ5" s="143">
        <v>0.24137931034482768</v>
      </c>
      <c r="HR5" s="143">
        <v>0.10344827586206919</v>
      </c>
      <c r="HS5" s="147">
        <v>51.855172413793021</v>
      </c>
      <c r="HT5" s="151">
        <v>145</v>
      </c>
      <c r="HU5" s="152">
        <v>3.2000000000000001E-2</v>
      </c>
      <c r="HV5" s="153">
        <v>0.04</v>
      </c>
      <c r="HW5" s="153">
        <v>0.04</v>
      </c>
      <c r="HX5" s="153">
        <v>5.6000000000000001E-2</v>
      </c>
      <c r="HY5" s="153">
        <v>0.08</v>
      </c>
      <c r="HZ5" s="153">
        <v>0.16800000000000001</v>
      </c>
      <c r="IA5" s="153">
        <v>0.13600000000000001</v>
      </c>
      <c r="IB5" s="153">
        <v>0.12</v>
      </c>
      <c r="IC5" s="153">
        <v>0.17599999999999999</v>
      </c>
      <c r="ID5" s="153">
        <v>0.152</v>
      </c>
      <c r="IE5" s="154">
        <v>125</v>
      </c>
      <c r="IF5" s="142">
        <v>0.14285714285714254</v>
      </c>
      <c r="IG5" s="143">
        <v>0.14285714285714254</v>
      </c>
      <c r="IH5" s="143">
        <v>0.28571428571428509</v>
      </c>
      <c r="II5" s="143">
        <v>0</v>
      </c>
      <c r="IJ5" s="143">
        <v>0.42857142857142938</v>
      </c>
      <c r="IK5" s="149">
        <v>7</v>
      </c>
      <c r="IL5" s="142">
        <v>3.9999999999999994E-2</v>
      </c>
      <c r="IM5" s="143">
        <v>0</v>
      </c>
      <c r="IN5" s="143">
        <v>3.3333333333333333E-2</v>
      </c>
      <c r="IO5" s="143">
        <v>0.91333333333333555</v>
      </c>
      <c r="IP5" s="143">
        <v>1.3333333333333358E-2</v>
      </c>
      <c r="IQ5" s="149">
        <v>150</v>
      </c>
      <c r="IR5" s="142">
        <v>0.16556291390728387</v>
      </c>
      <c r="IS5" s="143">
        <v>0.83443708609271328</v>
      </c>
      <c r="IT5" s="149">
        <v>151</v>
      </c>
      <c r="IU5" s="148">
        <v>0</v>
      </c>
      <c r="IV5" s="143">
        <v>0.23809523809523805</v>
      </c>
      <c r="IW5" s="143">
        <v>0.76190476190476164</v>
      </c>
      <c r="IX5" s="149">
        <v>21</v>
      </c>
    </row>
    <row r="6" spans="1:258" ht="32.1" customHeight="1" x14ac:dyDescent="0.25">
      <c r="A6" s="110" t="s">
        <v>453</v>
      </c>
      <c r="B6" s="108" t="s">
        <v>576</v>
      </c>
      <c r="C6" s="108" t="s">
        <v>454</v>
      </c>
      <c r="D6" s="109">
        <v>5</v>
      </c>
      <c r="E6" s="139" t="s">
        <v>456</v>
      </c>
      <c r="F6" s="155">
        <v>9.803921568627455E-2</v>
      </c>
      <c r="G6" s="156">
        <v>0.90196078431372451</v>
      </c>
      <c r="H6" s="157">
        <v>51</v>
      </c>
      <c r="I6" s="155">
        <v>0.86046511627906985</v>
      </c>
      <c r="J6" s="156">
        <v>0.13953488372093031</v>
      </c>
      <c r="K6" s="157">
        <v>43</v>
      </c>
      <c r="L6" s="155">
        <v>0.56756756756756721</v>
      </c>
      <c r="M6" s="156">
        <v>0.43243243243243268</v>
      </c>
      <c r="N6" s="157">
        <v>37</v>
      </c>
      <c r="O6" s="155">
        <v>0.23529411764705854</v>
      </c>
      <c r="P6" s="156">
        <v>0.21568627450980379</v>
      </c>
      <c r="Q6" s="156">
        <v>0.31372549019607865</v>
      </c>
      <c r="R6" s="156">
        <v>0</v>
      </c>
      <c r="S6" s="156">
        <v>0.19607843137254899</v>
      </c>
      <c r="T6" s="156">
        <v>0</v>
      </c>
      <c r="U6" s="156">
        <v>3.9215686274509831E-2</v>
      </c>
      <c r="V6" s="156">
        <v>0.11764705882352927</v>
      </c>
      <c r="W6" s="156">
        <v>5.8823529411764636E-2</v>
      </c>
      <c r="X6" s="156">
        <v>5.8823529411764636E-2</v>
      </c>
      <c r="Y6" s="157">
        <v>51</v>
      </c>
      <c r="Z6" s="155">
        <v>0.6938775510204076</v>
      </c>
      <c r="AA6" s="156">
        <v>0.79591836734693822</v>
      </c>
      <c r="AB6" s="156">
        <v>0.30612244897959162</v>
      </c>
      <c r="AC6" s="156">
        <v>0.5510204081632647</v>
      </c>
      <c r="AD6" s="156">
        <v>4.0816326530612269E-2</v>
      </c>
      <c r="AE6" s="156">
        <v>0.14285714285714299</v>
      </c>
      <c r="AF6" s="157">
        <v>49</v>
      </c>
      <c r="AG6" s="158">
        <v>9.8163265306122351</v>
      </c>
      <c r="AH6" s="159">
        <v>49</v>
      </c>
      <c r="AI6" s="160">
        <v>9.9200000000000053</v>
      </c>
      <c r="AJ6" s="159">
        <v>50</v>
      </c>
      <c r="AK6" s="160">
        <v>9.8085106382978786</v>
      </c>
      <c r="AL6" s="157">
        <v>47</v>
      </c>
      <c r="AM6" s="155">
        <v>0.6</v>
      </c>
      <c r="AN6" s="156">
        <v>0.38</v>
      </c>
      <c r="AO6" s="156">
        <v>0</v>
      </c>
      <c r="AP6" s="156">
        <v>0.02</v>
      </c>
      <c r="AQ6" s="156">
        <v>0</v>
      </c>
      <c r="AR6" s="157">
        <v>50</v>
      </c>
      <c r="AS6" s="155">
        <v>0.88235294117646956</v>
      </c>
      <c r="AT6" s="156">
        <v>0.11764705882352933</v>
      </c>
      <c r="AU6" s="156">
        <v>0</v>
      </c>
      <c r="AV6" s="156">
        <v>0</v>
      </c>
      <c r="AW6" s="156">
        <v>0</v>
      </c>
      <c r="AX6" s="157">
        <v>51</v>
      </c>
      <c r="AY6" s="155">
        <v>0.82</v>
      </c>
      <c r="AZ6" s="156">
        <v>0.16</v>
      </c>
      <c r="BA6" s="156">
        <v>0.02</v>
      </c>
      <c r="BB6" s="156">
        <v>0</v>
      </c>
      <c r="BC6" s="156">
        <v>0</v>
      </c>
      <c r="BD6" s="157">
        <v>50</v>
      </c>
      <c r="BE6" s="155">
        <v>0.98</v>
      </c>
      <c r="BF6" s="156">
        <v>0.02</v>
      </c>
      <c r="BG6" s="156">
        <v>0</v>
      </c>
      <c r="BH6" s="156">
        <v>0</v>
      </c>
      <c r="BI6" s="156">
        <v>0</v>
      </c>
      <c r="BJ6" s="157">
        <v>50</v>
      </c>
      <c r="BK6" s="155">
        <v>0.75510204081632726</v>
      </c>
      <c r="BL6" s="156">
        <v>0.24489795918367335</v>
      </c>
      <c r="BM6" s="156">
        <v>0</v>
      </c>
      <c r="BN6" s="156">
        <v>0</v>
      </c>
      <c r="BO6" s="156">
        <v>0</v>
      </c>
      <c r="BP6" s="157">
        <v>49</v>
      </c>
      <c r="BQ6" s="155">
        <v>0.98039215686274483</v>
      </c>
      <c r="BR6" s="156">
        <v>1.9607843137254877E-2</v>
      </c>
      <c r="BS6" s="156">
        <v>0</v>
      </c>
      <c r="BT6" s="156">
        <v>0</v>
      </c>
      <c r="BU6" s="156">
        <v>0</v>
      </c>
      <c r="BV6" s="157">
        <v>51</v>
      </c>
      <c r="BW6" s="161">
        <v>0.78571428571428525</v>
      </c>
      <c r="BX6" s="156">
        <v>0.19047619047619041</v>
      </c>
      <c r="BY6" s="156">
        <v>2.3809523809523801E-2</v>
      </c>
      <c r="BZ6" s="156">
        <v>0</v>
      </c>
      <c r="CA6" s="156">
        <v>0</v>
      </c>
      <c r="CB6" s="157">
        <v>42</v>
      </c>
      <c r="CC6" s="155">
        <v>1</v>
      </c>
      <c r="CD6" s="156">
        <v>0</v>
      </c>
      <c r="CE6" s="156">
        <v>0</v>
      </c>
      <c r="CF6" s="156">
        <v>0</v>
      </c>
      <c r="CG6" s="156">
        <v>0</v>
      </c>
      <c r="CH6" s="162">
        <v>12</v>
      </c>
      <c r="CI6" s="155">
        <v>0.72727272727272652</v>
      </c>
      <c r="CJ6" s="156">
        <v>0.27272727272727254</v>
      </c>
      <c r="CK6" s="156">
        <v>0</v>
      </c>
      <c r="CL6" s="156">
        <v>0</v>
      </c>
      <c r="CM6" s="156">
        <v>0</v>
      </c>
      <c r="CN6" s="162">
        <v>11</v>
      </c>
      <c r="CO6" s="155">
        <v>0.4</v>
      </c>
      <c r="CP6" s="156">
        <v>0.44</v>
      </c>
      <c r="CQ6" s="156">
        <v>0.12</v>
      </c>
      <c r="CR6" s="156">
        <v>0.04</v>
      </c>
      <c r="CS6" s="156">
        <v>0</v>
      </c>
      <c r="CT6" s="162">
        <v>25</v>
      </c>
      <c r="CU6" s="155">
        <v>0.44</v>
      </c>
      <c r="CV6" s="156">
        <v>0.48</v>
      </c>
      <c r="CW6" s="156">
        <v>0.08</v>
      </c>
      <c r="CX6" s="156">
        <v>0</v>
      </c>
      <c r="CY6" s="156">
        <v>0</v>
      </c>
      <c r="CZ6" s="162">
        <v>25</v>
      </c>
      <c r="DA6" s="155">
        <v>0.58333333333333359</v>
      </c>
      <c r="DB6" s="156">
        <v>0.33333333333333315</v>
      </c>
      <c r="DC6" s="156">
        <v>8.3333333333333287E-2</v>
      </c>
      <c r="DD6" s="156">
        <v>0</v>
      </c>
      <c r="DE6" s="156">
        <v>0</v>
      </c>
      <c r="DF6" s="162">
        <v>12</v>
      </c>
      <c r="DG6" s="155">
        <v>0.625</v>
      </c>
      <c r="DH6" s="156">
        <v>0.125</v>
      </c>
      <c r="DI6" s="156">
        <v>0.25</v>
      </c>
      <c r="DJ6" s="156">
        <v>0</v>
      </c>
      <c r="DK6" s="156">
        <v>0</v>
      </c>
      <c r="DL6" s="162">
        <v>8</v>
      </c>
      <c r="DM6" s="155">
        <v>0.46153846153846184</v>
      </c>
      <c r="DN6" s="156">
        <v>0.30769230769230732</v>
      </c>
      <c r="DO6" s="156">
        <v>0.15384615384615366</v>
      </c>
      <c r="DP6" s="156">
        <v>7.692307692307683E-2</v>
      </c>
      <c r="DQ6" s="156">
        <v>0</v>
      </c>
      <c r="DR6" s="162">
        <v>13</v>
      </c>
      <c r="DS6" s="161">
        <v>0.57142857142857184</v>
      </c>
      <c r="DT6" s="156">
        <v>0.21428571428571433</v>
      </c>
      <c r="DU6" s="156">
        <v>0.21428571428571433</v>
      </c>
      <c r="DV6" s="156">
        <v>0</v>
      </c>
      <c r="DW6" s="156">
        <v>0</v>
      </c>
      <c r="DX6" s="162">
        <v>14</v>
      </c>
      <c r="DY6" s="155">
        <v>0.89795918367346927</v>
      </c>
      <c r="DZ6" s="156">
        <v>0.10204081632653068</v>
      </c>
      <c r="EA6" s="156">
        <v>0</v>
      </c>
      <c r="EB6" s="156">
        <v>0</v>
      </c>
      <c r="EC6" s="156">
        <v>0</v>
      </c>
      <c r="ED6" s="162">
        <v>49</v>
      </c>
      <c r="EE6" s="155">
        <v>0.86363636363636431</v>
      </c>
      <c r="EF6" s="156">
        <v>9.0909090909090814E-2</v>
      </c>
      <c r="EG6" s="156">
        <v>4.5454545454545407E-2</v>
      </c>
      <c r="EH6" s="156">
        <v>0</v>
      </c>
      <c r="EI6" s="156">
        <v>0</v>
      </c>
      <c r="EJ6" s="162">
        <v>22</v>
      </c>
      <c r="EK6" s="155">
        <v>0.85714285714285732</v>
      </c>
      <c r="EL6" s="156">
        <v>7.142857142857148E-2</v>
      </c>
      <c r="EM6" s="156">
        <v>7.142857142857148E-2</v>
      </c>
      <c r="EN6" s="156">
        <v>0</v>
      </c>
      <c r="EO6" s="156">
        <v>0</v>
      </c>
      <c r="EP6" s="162">
        <v>14</v>
      </c>
      <c r="EQ6" s="155">
        <v>0.82051282051282126</v>
      </c>
      <c r="ER6" s="156">
        <v>0.12820512820512819</v>
      </c>
      <c r="ES6" s="156">
        <v>2.5641025641025664E-2</v>
      </c>
      <c r="ET6" s="156">
        <v>2.5641025641025664E-2</v>
      </c>
      <c r="EU6" s="156">
        <v>0</v>
      </c>
      <c r="EV6" s="162">
        <v>39</v>
      </c>
      <c r="EW6" s="155">
        <v>0.86486486486486569</v>
      </c>
      <c r="EX6" s="156">
        <v>0.10810810810810821</v>
      </c>
      <c r="EY6" s="156">
        <v>2.7027027027027053E-2</v>
      </c>
      <c r="EZ6" s="156">
        <v>0</v>
      </c>
      <c r="FA6" s="156">
        <v>0</v>
      </c>
      <c r="FB6" s="162">
        <v>37</v>
      </c>
      <c r="FC6" s="155">
        <v>0.61111111111111172</v>
      </c>
      <c r="FD6" s="156">
        <v>0.22222222222222199</v>
      </c>
      <c r="FE6" s="156">
        <v>5.5555555555555497E-2</v>
      </c>
      <c r="FF6" s="156">
        <v>0.11111111111111099</v>
      </c>
      <c r="FG6" s="156">
        <v>0</v>
      </c>
      <c r="FH6" s="162">
        <v>18</v>
      </c>
      <c r="FI6" s="161">
        <v>0.6666666666666663</v>
      </c>
      <c r="FJ6" s="156">
        <v>0.25</v>
      </c>
      <c r="FK6" s="156">
        <v>8.3333333333333287E-2</v>
      </c>
      <c r="FL6" s="156">
        <v>0</v>
      </c>
      <c r="FM6" s="156">
        <v>0</v>
      </c>
      <c r="FN6" s="162">
        <v>12</v>
      </c>
      <c r="FO6" s="155">
        <v>0</v>
      </c>
      <c r="FP6" s="156">
        <v>0</v>
      </c>
      <c r="FQ6" s="156">
        <v>0</v>
      </c>
      <c r="FR6" s="156">
        <v>0</v>
      </c>
      <c r="FS6" s="156">
        <v>0</v>
      </c>
      <c r="FT6" s="162">
        <v>0</v>
      </c>
      <c r="FU6" s="155">
        <v>0</v>
      </c>
      <c r="FV6" s="156">
        <v>0</v>
      </c>
      <c r="FW6" s="156">
        <v>0</v>
      </c>
      <c r="FX6" s="156">
        <v>0</v>
      </c>
      <c r="FY6" s="156">
        <v>0</v>
      </c>
      <c r="FZ6" s="162">
        <v>0</v>
      </c>
      <c r="GA6" s="161">
        <v>0</v>
      </c>
      <c r="GB6" s="156">
        <v>0</v>
      </c>
      <c r="GC6" s="156">
        <v>0</v>
      </c>
      <c r="GD6" s="156">
        <v>0</v>
      </c>
      <c r="GE6" s="156">
        <v>0</v>
      </c>
      <c r="GF6" s="162">
        <v>0</v>
      </c>
      <c r="GG6" s="158">
        <v>9.3181818181818148</v>
      </c>
      <c r="GH6" s="162">
        <v>44</v>
      </c>
      <c r="GI6" s="155">
        <v>0.67346938775510234</v>
      </c>
      <c r="GJ6" s="156">
        <v>0.22448979591836732</v>
      </c>
      <c r="GK6" s="156">
        <v>0.10204081632653068</v>
      </c>
      <c r="GL6" s="156">
        <v>0</v>
      </c>
      <c r="GM6" s="156">
        <v>0</v>
      </c>
      <c r="GN6" s="162">
        <v>49</v>
      </c>
      <c r="GO6" s="155">
        <v>0.60000000000000053</v>
      </c>
      <c r="GP6" s="156">
        <v>0.19999999999999993</v>
      </c>
      <c r="GQ6" s="156">
        <v>9.9999999999999964E-2</v>
      </c>
      <c r="GR6" s="156">
        <v>0.17999999999999988</v>
      </c>
      <c r="GS6" s="162">
        <v>50</v>
      </c>
      <c r="GT6" s="163">
        <v>3.1800000000000042</v>
      </c>
      <c r="GU6" s="162">
        <v>50</v>
      </c>
      <c r="GV6" s="155">
        <v>0.875</v>
      </c>
      <c r="GW6" s="156">
        <v>0.125</v>
      </c>
      <c r="GX6" s="162">
        <v>24</v>
      </c>
      <c r="GY6" s="155">
        <v>0.96428571428571486</v>
      </c>
      <c r="GZ6" s="156">
        <v>3.571428571428574E-2</v>
      </c>
      <c r="HA6" s="162">
        <v>28</v>
      </c>
      <c r="HB6" s="155">
        <v>1</v>
      </c>
      <c r="HC6" s="156">
        <v>0</v>
      </c>
      <c r="HD6" s="162">
        <v>44</v>
      </c>
      <c r="HE6" s="161">
        <v>0.85185185185185208</v>
      </c>
      <c r="HF6" s="156">
        <v>0.14814814814814808</v>
      </c>
      <c r="HG6" s="162">
        <v>27</v>
      </c>
      <c r="HH6" s="155">
        <v>0.4583333333333332</v>
      </c>
      <c r="HI6" s="156">
        <v>0.54166666666666652</v>
      </c>
      <c r="HJ6" s="162">
        <v>48</v>
      </c>
      <c r="HK6" s="155">
        <v>1</v>
      </c>
      <c r="HL6" s="156">
        <v>0</v>
      </c>
      <c r="HM6" s="162">
        <v>46</v>
      </c>
      <c r="HN6" s="161">
        <v>2.6315789473684233E-2</v>
      </c>
      <c r="HO6" s="156">
        <v>0.26315789473684181</v>
      </c>
      <c r="HP6" s="156">
        <v>0.34210526315789525</v>
      </c>
      <c r="HQ6" s="156">
        <v>0.18421052631578955</v>
      </c>
      <c r="HR6" s="156">
        <v>0.18421052631578955</v>
      </c>
      <c r="HS6" s="160">
        <v>58.2368421052632</v>
      </c>
      <c r="HT6" s="164">
        <v>38</v>
      </c>
      <c r="HU6" s="165">
        <v>0</v>
      </c>
      <c r="HV6" s="166">
        <v>2.2222222222222223E-2</v>
      </c>
      <c r="HW6" s="166">
        <v>2.2222222222222223E-2</v>
      </c>
      <c r="HX6" s="166">
        <v>6.6666666666666666E-2</v>
      </c>
      <c r="HY6" s="166">
        <v>0.1111111111111111</v>
      </c>
      <c r="HZ6" s="166">
        <v>0</v>
      </c>
      <c r="IA6" s="166">
        <v>0.13333333333333333</v>
      </c>
      <c r="IB6" s="166">
        <v>2.2222222222222223E-2</v>
      </c>
      <c r="IC6" s="166">
        <v>0.2</v>
      </c>
      <c r="ID6" s="166">
        <v>0.42222222222222222</v>
      </c>
      <c r="IE6" s="167">
        <v>45</v>
      </c>
      <c r="IF6" s="155">
        <v>0</v>
      </c>
      <c r="IG6" s="156">
        <v>0</v>
      </c>
      <c r="IH6" s="156">
        <v>0</v>
      </c>
      <c r="II6" s="156">
        <v>0</v>
      </c>
      <c r="IJ6" s="156">
        <v>0</v>
      </c>
      <c r="IK6" s="162">
        <v>0</v>
      </c>
      <c r="IL6" s="155">
        <v>0</v>
      </c>
      <c r="IM6" s="156">
        <v>0</v>
      </c>
      <c r="IN6" s="156">
        <v>0</v>
      </c>
      <c r="IO6" s="156">
        <v>1</v>
      </c>
      <c r="IP6" s="156">
        <v>0</v>
      </c>
      <c r="IQ6" s="162">
        <v>46</v>
      </c>
      <c r="IR6" s="155">
        <v>0.10416666666666673</v>
      </c>
      <c r="IS6" s="156">
        <v>0.89583333333333359</v>
      </c>
      <c r="IT6" s="162">
        <v>48</v>
      </c>
      <c r="IU6" s="161">
        <v>0</v>
      </c>
      <c r="IV6" s="156">
        <v>0</v>
      </c>
      <c r="IW6" s="156">
        <v>1</v>
      </c>
      <c r="IX6" s="162">
        <v>5</v>
      </c>
    </row>
    <row r="7" spans="1:258" ht="32.1" customHeight="1" x14ac:dyDescent="0.25">
      <c r="A7" s="110" t="s">
        <v>453</v>
      </c>
      <c r="B7" s="108" t="s">
        <v>576</v>
      </c>
      <c r="C7" s="108" t="s">
        <v>457</v>
      </c>
      <c r="D7" s="109">
        <v>7</v>
      </c>
      <c r="E7" s="139" t="s">
        <v>458</v>
      </c>
      <c r="F7" s="155">
        <v>0.12500000000000003</v>
      </c>
      <c r="G7" s="156">
        <v>0.875</v>
      </c>
      <c r="H7" s="157">
        <v>24</v>
      </c>
      <c r="I7" s="155">
        <v>0.76190476190476175</v>
      </c>
      <c r="J7" s="156">
        <v>0.23809523809523803</v>
      </c>
      <c r="K7" s="157">
        <v>21</v>
      </c>
      <c r="L7" s="155">
        <v>0.53333333333333344</v>
      </c>
      <c r="M7" s="156">
        <v>0.46666666666666662</v>
      </c>
      <c r="N7" s="157">
        <v>15</v>
      </c>
      <c r="O7" s="155">
        <v>0.625</v>
      </c>
      <c r="P7" s="156">
        <v>4.166666666666665E-2</v>
      </c>
      <c r="Q7" s="156">
        <v>8.3333333333333301E-2</v>
      </c>
      <c r="R7" s="156">
        <v>0</v>
      </c>
      <c r="S7" s="156">
        <v>0.1666666666666666</v>
      </c>
      <c r="T7" s="156">
        <v>4.166666666666665E-2</v>
      </c>
      <c r="U7" s="156">
        <v>0</v>
      </c>
      <c r="V7" s="156">
        <v>0</v>
      </c>
      <c r="W7" s="156">
        <v>4.166666666666665E-2</v>
      </c>
      <c r="X7" s="156">
        <v>0.2916666666666668</v>
      </c>
      <c r="Y7" s="157">
        <v>24</v>
      </c>
      <c r="Z7" s="155">
        <v>0.63636363636363658</v>
      </c>
      <c r="AA7" s="156">
        <v>0.72727272727272707</v>
      </c>
      <c r="AB7" s="156">
        <v>0.68181818181818177</v>
      </c>
      <c r="AC7" s="156">
        <v>0.72727272727272707</v>
      </c>
      <c r="AD7" s="156">
        <v>9.0909090909090884E-2</v>
      </c>
      <c r="AE7" s="156">
        <v>0.36363636363636354</v>
      </c>
      <c r="AF7" s="157">
        <v>22</v>
      </c>
      <c r="AG7" s="158">
        <v>10.000000000000002</v>
      </c>
      <c r="AH7" s="159">
        <v>23</v>
      </c>
      <c r="AI7" s="160">
        <v>9.9130434782608745</v>
      </c>
      <c r="AJ7" s="159">
        <v>23</v>
      </c>
      <c r="AK7" s="160">
        <v>9.7826086956521845</v>
      </c>
      <c r="AL7" s="157">
        <v>23</v>
      </c>
      <c r="AM7" s="155">
        <v>0.65217391304347816</v>
      </c>
      <c r="AN7" s="156">
        <v>0.34782608695652167</v>
      </c>
      <c r="AO7" s="156">
        <v>0</v>
      </c>
      <c r="AP7" s="156">
        <v>0</v>
      </c>
      <c r="AQ7" s="156">
        <v>0</v>
      </c>
      <c r="AR7" s="157">
        <v>23</v>
      </c>
      <c r="AS7" s="155">
        <v>0.78260869565217428</v>
      </c>
      <c r="AT7" s="156">
        <v>0.21739130434782619</v>
      </c>
      <c r="AU7" s="156">
        <v>0</v>
      </c>
      <c r="AV7" s="156">
        <v>0</v>
      </c>
      <c r="AW7" s="156">
        <v>0</v>
      </c>
      <c r="AX7" s="157">
        <v>23</v>
      </c>
      <c r="AY7" s="155">
        <v>0.95652173913043481</v>
      </c>
      <c r="AZ7" s="156">
        <v>4.3478260869565209E-2</v>
      </c>
      <c r="BA7" s="156">
        <v>0</v>
      </c>
      <c r="BB7" s="156">
        <v>0</v>
      </c>
      <c r="BC7" s="156">
        <v>0</v>
      </c>
      <c r="BD7" s="157">
        <v>23</v>
      </c>
      <c r="BE7" s="155">
        <v>0.95652173913043481</v>
      </c>
      <c r="BF7" s="156">
        <v>4.3478260869565209E-2</v>
      </c>
      <c r="BG7" s="156">
        <v>0</v>
      </c>
      <c r="BH7" s="156">
        <v>0</v>
      </c>
      <c r="BI7" s="156">
        <v>0</v>
      </c>
      <c r="BJ7" s="157">
        <v>23</v>
      </c>
      <c r="BK7" s="155">
        <v>0.78260869565217428</v>
      </c>
      <c r="BL7" s="156">
        <v>0.17391304347826084</v>
      </c>
      <c r="BM7" s="156">
        <v>0</v>
      </c>
      <c r="BN7" s="156">
        <v>4.3478260869565209E-2</v>
      </c>
      <c r="BO7" s="156">
        <v>0</v>
      </c>
      <c r="BP7" s="157">
        <v>23</v>
      </c>
      <c r="BQ7" s="155">
        <v>0.82608695652173936</v>
      </c>
      <c r="BR7" s="156">
        <v>0.17391304347826084</v>
      </c>
      <c r="BS7" s="156">
        <v>0</v>
      </c>
      <c r="BT7" s="156">
        <v>0</v>
      </c>
      <c r="BU7" s="156">
        <v>0</v>
      </c>
      <c r="BV7" s="157">
        <v>23</v>
      </c>
      <c r="BW7" s="161">
        <v>0.83333333333333315</v>
      </c>
      <c r="BX7" s="156">
        <v>0.16666666666666682</v>
      </c>
      <c r="BY7" s="156">
        <v>0</v>
      </c>
      <c r="BZ7" s="156">
        <v>0</v>
      </c>
      <c r="CA7" s="156">
        <v>0</v>
      </c>
      <c r="CB7" s="157">
        <v>18</v>
      </c>
      <c r="CC7" s="155">
        <v>1</v>
      </c>
      <c r="CD7" s="156">
        <v>0</v>
      </c>
      <c r="CE7" s="156">
        <v>0</v>
      </c>
      <c r="CF7" s="156">
        <v>0</v>
      </c>
      <c r="CG7" s="156">
        <v>0</v>
      </c>
      <c r="CH7" s="162">
        <v>5</v>
      </c>
      <c r="CI7" s="155">
        <v>0.5</v>
      </c>
      <c r="CJ7" s="156">
        <v>0.5</v>
      </c>
      <c r="CK7" s="156">
        <v>0</v>
      </c>
      <c r="CL7" s="156">
        <v>0</v>
      </c>
      <c r="CM7" s="156">
        <v>0</v>
      </c>
      <c r="CN7" s="162">
        <v>4</v>
      </c>
      <c r="CO7" s="155">
        <v>0.5</v>
      </c>
      <c r="CP7" s="156">
        <v>0.375</v>
      </c>
      <c r="CQ7" s="156">
        <v>0.12500000000000003</v>
      </c>
      <c r="CR7" s="156">
        <v>0</v>
      </c>
      <c r="CS7" s="156">
        <v>0</v>
      </c>
      <c r="CT7" s="162">
        <v>16</v>
      </c>
      <c r="CU7" s="155">
        <v>0.41176470588235276</v>
      </c>
      <c r="CV7" s="156">
        <v>0.41176470588235276</v>
      </c>
      <c r="CW7" s="156">
        <v>0.1764705882352941</v>
      </c>
      <c r="CX7" s="156">
        <v>0</v>
      </c>
      <c r="CY7" s="156">
        <v>0</v>
      </c>
      <c r="CZ7" s="162">
        <v>17</v>
      </c>
      <c r="DA7" s="155">
        <v>0.66666666666666685</v>
      </c>
      <c r="DB7" s="156">
        <v>0.33333333333333365</v>
      </c>
      <c r="DC7" s="156">
        <v>0</v>
      </c>
      <c r="DD7" s="156">
        <v>0</v>
      </c>
      <c r="DE7" s="156">
        <v>0</v>
      </c>
      <c r="DF7" s="162">
        <v>12</v>
      </c>
      <c r="DG7" s="155">
        <v>0.625</v>
      </c>
      <c r="DH7" s="156">
        <v>0.12500000000000003</v>
      </c>
      <c r="DI7" s="156">
        <v>0.25000000000000006</v>
      </c>
      <c r="DJ7" s="156">
        <v>0</v>
      </c>
      <c r="DK7" s="156">
        <v>0</v>
      </c>
      <c r="DL7" s="162">
        <v>8</v>
      </c>
      <c r="DM7" s="155">
        <v>0.74999999999999989</v>
      </c>
      <c r="DN7" s="156">
        <v>0.12500000000000003</v>
      </c>
      <c r="DO7" s="156">
        <v>6.2500000000000014E-2</v>
      </c>
      <c r="DP7" s="156">
        <v>6.2500000000000014E-2</v>
      </c>
      <c r="DQ7" s="156">
        <v>0</v>
      </c>
      <c r="DR7" s="162">
        <v>16</v>
      </c>
      <c r="DS7" s="161">
        <v>0.99999999999999989</v>
      </c>
      <c r="DT7" s="156">
        <v>0</v>
      </c>
      <c r="DU7" s="156">
        <v>0</v>
      </c>
      <c r="DV7" s="156">
        <v>0</v>
      </c>
      <c r="DW7" s="156">
        <v>0</v>
      </c>
      <c r="DX7" s="162">
        <v>11</v>
      </c>
      <c r="DY7" s="155">
        <v>1</v>
      </c>
      <c r="DZ7" s="156">
        <v>0</v>
      </c>
      <c r="EA7" s="156">
        <v>0</v>
      </c>
      <c r="EB7" s="156">
        <v>0</v>
      </c>
      <c r="EC7" s="156">
        <v>0</v>
      </c>
      <c r="ED7" s="162">
        <v>23</v>
      </c>
      <c r="EE7" s="155">
        <v>1</v>
      </c>
      <c r="EF7" s="156">
        <v>0</v>
      </c>
      <c r="EG7" s="156">
        <v>0</v>
      </c>
      <c r="EH7" s="156">
        <v>0</v>
      </c>
      <c r="EI7" s="156">
        <v>0</v>
      </c>
      <c r="EJ7" s="162">
        <v>7</v>
      </c>
      <c r="EK7" s="155">
        <v>0.875</v>
      </c>
      <c r="EL7" s="156">
        <v>0.12500000000000003</v>
      </c>
      <c r="EM7" s="156">
        <v>0</v>
      </c>
      <c r="EN7" s="156">
        <v>0</v>
      </c>
      <c r="EO7" s="156">
        <v>0</v>
      </c>
      <c r="EP7" s="162">
        <v>8</v>
      </c>
      <c r="EQ7" s="155">
        <v>0.76470588235294135</v>
      </c>
      <c r="ER7" s="156">
        <v>0.23529411764705896</v>
      </c>
      <c r="ES7" s="156">
        <v>0</v>
      </c>
      <c r="ET7" s="156">
        <v>0</v>
      </c>
      <c r="EU7" s="156">
        <v>0</v>
      </c>
      <c r="EV7" s="162">
        <v>17</v>
      </c>
      <c r="EW7" s="155">
        <v>0.83333333333333315</v>
      </c>
      <c r="EX7" s="156">
        <v>0.16666666666666682</v>
      </c>
      <c r="EY7" s="156">
        <v>0</v>
      </c>
      <c r="EZ7" s="156">
        <v>0</v>
      </c>
      <c r="FA7" s="156">
        <v>0</v>
      </c>
      <c r="FB7" s="162">
        <v>18</v>
      </c>
      <c r="FC7" s="155">
        <v>1</v>
      </c>
      <c r="FD7" s="156">
        <v>0</v>
      </c>
      <c r="FE7" s="156">
        <v>0</v>
      </c>
      <c r="FF7" s="156">
        <v>0</v>
      </c>
      <c r="FG7" s="156">
        <v>0</v>
      </c>
      <c r="FH7" s="162">
        <v>2</v>
      </c>
      <c r="FI7" s="161">
        <v>1</v>
      </c>
      <c r="FJ7" s="156">
        <v>0</v>
      </c>
      <c r="FK7" s="156">
        <v>0</v>
      </c>
      <c r="FL7" s="156">
        <v>0</v>
      </c>
      <c r="FM7" s="156">
        <v>0</v>
      </c>
      <c r="FN7" s="162">
        <v>1</v>
      </c>
      <c r="FO7" s="155">
        <v>0</v>
      </c>
      <c r="FP7" s="156">
        <v>0</v>
      </c>
      <c r="FQ7" s="156">
        <v>0</v>
      </c>
      <c r="FR7" s="156">
        <v>0</v>
      </c>
      <c r="FS7" s="156">
        <v>0</v>
      </c>
      <c r="FT7" s="162">
        <v>0</v>
      </c>
      <c r="FU7" s="155">
        <v>0</v>
      </c>
      <c r="FV7" s="156">
        <v>0</v>
      </c>
      <c r="FW7" s="156">
        <v>0</v>
      </c>
      <c r="FX7" s="156">
        <v>0</v>
      </c>
      <c r="FY7" s="156">
        <v>0</v>
      </c>
      <c r="FZ7" s="162">
        <v>0</v>
      </c>
      <c r="GA7" s="161">
        <v>0</v>
      </c>
      <c r="GB7" s="156">
        <v>0</v>
      </c>
      <c r="GC7" s="156">
        <v>0</v>
      </c>
      <c r="GD7" s="156">
        <v>0</v>
      </c>
      <c r="GE7" s="156">
        <v>0</v>
      </c>
      <c r="GF7" s="162">
        <v>0</v>
      </c>
      <c r="GG7" s="158">
        <v>9.6250000000000018</v>
      </c>
      <c r="GH7" s="162">
        <v>24</v>
      </c>
      <c r="GI7" s="155">
        <v>0.45833333333333343</v>
      </c>
      <c r="GJ7" s="156">
        <v>0.16666666666666682</v>
      </c>
      <c r="GK7" s="156">
        <v>0.20833333333333329</v>
      </c>
      <c r="GL7" s="156">
        <v>0</v>
      </c>
      <c r="GM7" s="156">
        <v>0.16666666666666682</v>
      </c>
      <c r="GN7" s="162">
        <v>24</v>
      </c>
      <c r="GO7" s="155">
        <v>0.5</v>
      </c>
      <c r="GP7" s="156">
        <v>0.1666666666666666</v>
      </c>
      <c r="GQ7" s="156">
        <v>8.3333333333333301E-2</v>
      </c>
      <c r="GR7" s="156">
        <v>0.3333333333333332</v>
      </c>
      <c r="GS7" s="162">
        <v>24</v>
      </c>
      <c r="GT7" s="163">
        <v>4.333333333333333</v>
      </c>
      <c r="GU7" s="162">
        <v>24</v>
      </c>
      <c r="GV7" s="155">
        <v>1</v>
      </c>
      <c r="GW7" s="156">
        <v>0</v>
      </c>
      <c r="GX7" s="162">
        <v>13</v>
      </c>
      <c r="GY7" s="155">
        <v>1</v>
      </c>
      <c r="GZ7" s="156">
        <v>0</v>
      </c>
      <c r="HA7" s="162">
        <v>14</v>
      </c>
      <c r="HB7" s="155">
        <v>1</v>
      </c>
      <c r="HC7" s="156">
        <v>0</v>
      </c>
      <c r="HD7" s="162">
        <v>19</v>
      </c>
      <c r="HE7" s="161">
        <v>1</v>
      </c>
      <c r="HF7" s="156">
        <v>0</v>
      </c>
      <c r="HG7" s="162">
        <v>19</v>
      </c>
      <c r="HH7" s="155">
        <v>0.58333333333333326</v>
      </c>
      <c r="HI7" s="156">
        <v>0.41666666666666657</v>
      </c>
      <c r="HJ7" s="162">
        <v>24</v>
      </c>
      <c r="HK7" s="155">
        <v>1</v>
      </c>
      <c r="HL7" s="156">
        <v>0</v>
      </c>
      <c r="HM7" s="162">
        <v>23</v>
      </c>
      <c r="HN7" s="161">
        <v>9.0909090909090939E-2</v>
      </c>
      <c r="HO7" s="156">
        <v>0.36363636363636365</v>
      </c>
      <c r="HP7" s="156">
        <v>0.27272727272727265</v>
      </c>
      <c r="HQ7" s="156">
        <v>0.13636363636363633</v>
      </c>
      <c r="HR7" s="156">
        <v>0.13636363636363633</v>
      </c>
      <c r="HS7" s="160">
        <v>50.545454545454533</v>
      </c>
      <c r="HT7" s="164">
        <v>22</v>
      </c>
      <c r="HU7" s="165">
        <v>0</v>
      </c>
      <c r="HV7" s="166">
        <v>0</v>
      </c>
      <c r="HW7" s="166">
        <v>5.8823529411764705E-2</v>
      </c>
      <c r="HX7" s="166">
        <v>0</v>
      </c>
      <c r="HY7" s="166">
        <v>5.8823529411764705E-2</v>
      </c>
      <c r="HZ7" s="166">
        <v>5.8823529411764705E-2</v>
      </c>
      <c r="IA7" s="166">
        <v>0.11764705882352941</v>
      </c>
      <c r="IB7" s="166">
        <v>0.11764705882352941</v>
      </c>
      <c r="IC7" s="166">
        <v>0.23529411764705882</v>
      </c>
      <c r="ID7" s="166">
        <v>0.35294117647058826</v>
      </c>
      <c r="IE7" s="167">
        <v>17</v>
      </c>
      <c r="IF7" s="155">
        <v>0</v>
      </c>
      <c r="IG7" s="156">
        <v>0</v>
      </c>
      <c r="IH7" s="156">
        <v>0.66666666666666685</v>
      </c>
      <c r="II7" s="156">
        <v>0</v>
      </c>
      <c r="IJ7" s="156">
        <v>0.33333333333333343</v>
      </c>
      <c r="IK7" s="162">
        <v>3</v>
      </c>
      <c r="IL7" s="155">
        <v>4.1666666666666706E-2</v>
      </c>
      <c r="IM7" s="156">
        <v>4.1666666666666706E-2</v>
      </c>
      <c r="IN7" s="156">
        <v>0</v>
      </c>
      <c r="IO7" s="156">
        <v>0.91666666666666685</v>
      </c>
      <c r="IP7" s="156">
        <v>0</v>
      </c>
      <c r="IQ7" s="162">
        <v>24</v>
      </c>
      <c r="IR7" s="155">
        <v>0.12500000000000003</v>
      </c>
      <c r="IS7" s="156">
        <v>0.875</v>
      </c>
      <c r="IT7" s="162">
        <v>24</v>
      </c>
      <c r="IU7" s="161">
        <v>0</v>
      </c>
      <c r="IV7" s="156">
        <v>0</v>
      </c>
      <c r="IW7" s="156">
        <v>1</v>
      </c>
      <c r="IX7" s="162">
        <v>3</v>
      </c>
    </row>
    <row r="8" spans="1:258" ht="32.1" customHeight="1" x14ac:dyDescent="0.25">
      <c r="A8" s="110" t="s">
        <v>453</v>
      </c>
      <c r="B8" s="108" t="s">
        <v>576</v>
      </c>
      <c r="C8" s="108" t="s">
        <v>454</v>
      </c>
      <c r="D8" s="109">
        <v>8</v>
      </c>
      <c r="E8" s="139" t="s">
        <v>459</v>
      </c>
      <c r="F8" s="155">
        <v>0.13207547169811298</v>
      </c>
      <c r="G8" s="156">
        <v>0.86792452830188493</v>
      </c>
      <c r="H8" s="157">
        <v>53</v>
      </c>
      <c r="I8" s="155">
        <v>0.77777777777777812</v>
      </c>
      <c r="J8" s="156">
        <v>0.22222222222222199</v>
      </c>
      <c r="K8" s="157">
        <v>45</v>
      </c>
      <c r="L8" s="155">
        <v>0.49999999999999994</v>
      </c>
      <c r="M8" s="156">
        <v>0.49999999999999994</v>
      </c>
      <c r="N8" s="157">
        <v>34</v>
      </c>
      <c r="O8" s="155">
        <v>0.15094339622641503</v>
      </c>
      <c r="P8" s="156">
        <v>0.20754716981132051</v>
      </c>
      <c r="Q8" s="156">
        <v>0.30188679245283018</v>
      </c>
      <c r="R8" s="156">
        <v>5.6603773584905516E-2</v>
      </c>
      <c r="S8" s="156">
        <v>0.35849056603773644</v>
      </c>
      <c r="T8" s="156">
        <v>5.6603773584905516E-2</v>
      </c>
      <c r="U8" s="156">
        <v>1.8867924528301879E-2</v>
      </c>
      <c r="V8" s="156">
        <v>7.5471698113207517E-2</v>
      </c>
      <c r="W8" s="156">
        <v>0.11320754716981103</v>
      </c>
      <c r="X8" s="156">
        <v>9.4339622641509482E-2</v>
      </c>
      <c r="Y8" s="157">
        <v>53</v>
      </c>
      <c r="Z8" s="155">
        <v>0.84313725490196123</v>
      </c>
      <c r="AA8" s="156">
        <v>0.80392156862745068</v>
      </c>
      <c r="AB8" s="156">
        <v>0.54901960784313708</v>
      </c>
      <c r="AC8" s="156">
        <v>0.62745098039215619</v>
      </c>
      <c r="AD8" s="156">
        <v>0.15686274509803905</v>
      </c>
      <c r="AE8" s="156">
        <v>5.8823529411764573E-2</v>
      </c>
      <c r="AF8" s="157">
        <v>51</v>
      </c>
      <c r="AG8" s="158">
        <v>9.8431372549019649</v>
      </c>
      <c r="AH8" s="159">
        <v>51</v>
      </c>
      <c r="AI8" s="160">
        <v>9.9215686274509629</v>
      </c>
      <c r="AJ8" s="159">
        <v>51</v>
      </c>
      <c r="AK8" s="160">
        <v>9.9166666666666536</v>
      </c>
      <c r="AL8" s="157">
        <v>48</v>
      </c>
      <c r="AM8" s="155">
        <v>0.37254901960784226</v>
      </c>
      <c r="AN8" s="156">
        <v>0.54901960784313786</v>
      </c>
      <c r="AO8" s="156">
        <v>3.9215686274509789E-2</v>
      </c>
      <c r="AP8" s="156">
        <v>3.9215686274509789E-2</v>
      </c>
      <c r="AQ8" s="156">
        <v>0</v>
      </c>
      <c r="AR8" s="157">
        <v>51</v>
      </c>
      <c r="AS8" s="155">
        <v>0.660377358490566</v>
      </c>
      <c r="AT8" s="156">
        <v>0.28301886792452885</v>
      </c>
      <c r="AU8" s="156">
        <v>1.8867924528301869E-2</v>
      </c>
      <c r="AV8" s="156">
        <v>3.7735849056603737E-2</v>
      </c>
      <c r="AW8" s="156">
        <v>0</v>
      </c>
      <c r="AX8" s="157">
        <v>53</v>
      </c>
      <c r="AY8" s="155">
        <v>0.60784313725490313</v>
      </c>
      <c r="AZ8" s="156">
        <v>0.2352941176470586</v>
      </c>
      <c r="BA8" s="156">
        <v>0.13725490196078435</v>
      </c>
      <c r="BB8" s="156">
        <v>1.9607843137254895E-2</v>
      </c>
      <c r="BC8" s="156">
        <v>0</v>
      </c>
      <c r="BD8" s="157">
        <v>51</v>
      </c>
      <c r="BE8" s="155">
        <v>0.75471698113207608</v>
      </c>
      <c r="BF8" s="156">
        <v>0.22641509433962259</v>
      </c>
      <c r="BG8" s="156">
        <v>1.8867924528301869E-2</v>
      </c>
      <c r="BH8" s="156">
        <v>0</v>
      </c>
      <c r="BI8" s="156">
        <v>0</v>
      </c>
      <c r="BJ8" s="157">
        <v>53</v>
      </c>
      <c r="BK8" s="155">
        <v>0.52500000000000002</v>
      </c>
      <c r="BL8" s="156">
        <v>0.34999999999999992</v>
      </c>
      <c r="BM8" s="156">
        <v>7.4999999999999997E-2</v>
      </c>
      <c r="BN8" s="156">
        <v>4.9999999999999989E-2</v>
      </c>
      <c r="BO8" s="156">
        <v>0</v>
      </c>
      <c r="BP8" s="157">
        <v>40</v>
      </c>
      <c r="BQ8" s="155">
        <v>0.90566037735849036</v>
      </c>
      <c r="BR8" s="156">
        <v>7.5471698113207475E-2</v>
      </c>
      <c r="BS8" s="156">
        <v>0</v>
      </c>
      <c r="BT8" s="156">
        <v>1.8867924528301869E-2</v>
      </c>
      <c r="BU8" s="156">
        <v>0</v>
      </c>
      <c r="BV8" s="157">
        <v>53</v>
      </c>
      <c r="BW8" s="161">
        <v>0.70454545454545336</v>
      </c>
      <c r="BX8" s="156">
        <v>0.22727272727272743</v>
      </c>
      <c r="BY8" s="156">
        <v>4.545454545454547E-2</v>
      </c>
      <c r="BZ8" s="156">
        <v>2.2727272727272735E-2</v>
      </c>
      <c r="CA8" s="156">
        <v>0</v>
      </c>
      <c r="CB8" s="157">
        <v>44</v>
      </c>
      <c r="CC8" s="155">
        <v>0.85714285714285554</v>
      </c>
      <c r="CD8" s="156">
        <v>0.14285714285714288</v>
      </c>
      <c r="CE8" s="156">
        <v>0</v>
      </c>
      <c r="CF8" s="156">
        <v>0</v>
      </c>
      <c r="CG8" s="156">
        <v>0</v>
      </c>
      <c r="CH8" s="162">
        <v>14</v>
      </c>
      <c r="CI8" s="155">
        <v>0.72727272727272763</v>
      </c>
      <c r="CJ8" s="156">
        <v>0.27272727272727293</v>
      </c>
      <c r="CK8" s="156">
        <v>0</v>
      </c>
      <c r="CL8" s="156">
        <v>0</v>
      </c>
      <c r="CM8" s="156">
        <v>0</v>
      </c>
      <c r="CN8" s="162">
        <v>11</v>
      </c>
      <c r="CO8" s="155">
        <v>0.35714285714285748</v>
      </c>
      <c r="CP8" s="156">
        <v>0.57142857142857151</v>
      </c>
      <c r="CQ8" s="156">
        <v>7.1428571428571438E-2</v>
      </c>
      <c r="CR8" s="156">
        <v>0</v>
      </c>
      <c r="CS8" s="156">
        <v>0</v>
      </c>
      <c r="CT8" s="162">
        <v>28</v>
      </c>
      <c r="CU8" s="155">
        <v>0.49999999999999994</v>
      </c>
      <c r="CV8" s="156">
        <v>0.39999999999999991</v>
      </c>
      <c r="CW8" s="156">
        <v>9.9999999999999978E-2</v>
      </c>
      <c r="CX8" s="156">
        <v>0</v>
      </c>
      <c r="CY8" s="156">
        <v>0</v>
      </c>
      <c r="CZ8" s="162">
        <v>30</v>
      </c>
      <c r="DA8" s="155">
        <v>0.43749999999999994</v>
      </c>
      <c r="DB8" s="156">
        <v>0.31249999999999994</v>
      </c>
      <c r="DC8" s="156">
        <v>0.24999999999999997</v>
      </c>
      <c r="DD8" s="156">
        <v>0</v>
      </c>
      <c r="DE8" s="156">
        <v>0</v>
      </c>
      <c r="DF8" s="162">
        <v>16</v>
      </c>
      <c r="DG8" s="155">
        <v>0.46666666666666612</v>
      </c>
      <c r="DH8" s="156">
        <v>0.33333333333333359</v>
      </c>
      <c r="DI8" s="156">
        <v>0.1333333333333333</v>
      </c>
      <c r="DJ8" s="156">
        <v>6.6666666666666652E-2</v>
      </c>
      <c r="DK8" s="156">
        <v>0</v>
      </c>
      <c r="DL8" s="162">
        <v>15</v>
      </c>
      <c r="DM8" s="155">
        <v>0.35294117647058859</v>
      </c>
      <c r="DN8" s="156">
        <v>0.41176470588235231</v>
      </c>
      <c r="DO8" s="156">
        <v>0.2352941176470586</v>
      </c>
      <c r="DP8" s="156">
        <v>0</v>
      </c>
      <c r="DQ8" s="156">
        <v>0</v>
      </c>
      <c r="DR8" s="162">
        <v>17</v>
      </c>
      <c r="DS8" s="161">
        <v>0.6</v>
      </c>
      <c r="DT8" s="156">
        <v>0.19999999999999996</v>
      </c>
      <c r="DU8" s="156">
        <v>9.9999999999999978E-2</v>
      </c>
      <c r="DV8" s="156">
        <v>9.9999999999999978E-2</v>
      </c>
      <c r="DW8" s="156">
        <v>0</v>
      </c>
      <c r="DX8" s="162">
        <v>10</v>
      </c>
      <c r="DY8" s="155">
        <v>0.92307692307692368</v>
      </c>
      <c r="DZ8" s="156">
        <v>5.7692307692307709E-2</v>
      </c>
      <c r="EA8" s="156">
        <v>0</v>
      </c>
      <c r="EB8" s="156">
        <v>1.9230769230769242E-2</v>
      </c>
      <c r="EC8" s="156">
        <v>0</v>
      </c>
      <c r="ED8" s="162">
        <v>52</v>
      </c>
      <c r="EE8" s="155">
        <v>0.85714285714285554</v>
      </c>
      <c r="EF8" s="156">
        <v>0.14285714285714288</v>
      </c>
      <c r="EG8" s="156">
        <v>0</v>
      </c>
      <c r="EH8" s="156">
        <v>0</v>
      </c>
      <c r="EI8" s="156">
        <v>0</v>
      </c>
      <c r="EJ8" s="162">
        <v>21</v>
      </c>
      <c r="EK8" s="155">
        <v>0.81818181818181923</v>
      </c>
      <c r="EL8" s="156">
        <v>0.18181818181818188</v>
      </c>
      <c r="EM8" s="156">
        <v>0</v>
      </c>
      <c r="EN8" s="156">
        <v>0</v>
      </c>
      <c r="EO8" s="156">
        <v>0</v>
      </c>
      <c r="EP8" s="162">
        <v>22</v>
      </c>
      <c r="EQ8" s="155">
        <v>0.69444444444444353</v>
      </c>
      <c r="ER8" s="156">
        <v>0.22222222222222185</v>
      </c>
      <c r="ES8" s="156">
        <v>2.7777777777777731E-2</v>
      </c>
      <c r="ET8" s="156">
        <v>2.7777777777777731E-2</v>
      </c>
      <c r="EU8" s="156">
        <v>2.7777777777777731E-2</v>
      </c>
      <c r="EV8" s="162">
        <v>36</v>
      </c>
      <c r="EW8" s="155">
        <v>0.88571428571428501</v>
      </c>
      <c r="EX8" s="156">
        <v>2.8571428571428595E-2</v>
      </c>
      <c r="EY8" s="156">
        <v>2.8571428571428595E-2</v>
      </c>
      <c r="EZ8" s="156">
        <v>2.8571428571428595E-2</v>
      </c>
      <c r="FA8" s="156">
        <v>2.8571428571428595E-2</v>
      </c>
      <c r="FB8" s="162">
        <v>35</v>
      </c>
      <c r="FC8" s="155">
        <v>0.83333333333333226</v>
      </c>
      <c r="FD8" s="156">
        <v>0.1666666666666668</v>
      </c>
      <c r="FE8" s="156">
        <v>0</v>
      </c>
      <c r="FF8" s="156">
        <v>0</v>
      </c>
      <c r="FG8" s="156">
        <v>0</v>
      </c>
      <c r="FH8" s="162">
        <v>18</v>
      </c>
      <c r="FI8" s="161">
        <v>0.69999999999999984</v>
      </c>
      <c r="FJ8" s="156">
        <v>0.3</v>
      </c>
      <c r="FK8" s="156">
        <v>0</v>
      </c>
      <c r="FL8" s="156">
        <v>0</v>
      </c>
      <c r="FM8" s="156">
        <v>0</v>
      </c>
      <c r="FN8" s="162">
        <v>10</v>
      </c>
      <c r="FO8" s="155">
        <v>0</v>
      </c>
      <c r="FP8" s="156">
        <v>0</v>
      </c>
      <c r="FQ8" s="156">
        <v>0</v>
      </c>
      <c r="FR8" s="156">
        <v>0</v>
      </c>
      <c r="FS8" s="156">
        <v>0</v>
      </c>
      <c r="FT8" s="162">
        <v>0</v>
      </c>
      <c r="FU8" s="155">
        <v>0</v>
      </c>
      <c r="FV8" s="156">
        <v>0</v>
      </c>
      <c r="FW8" s="156">
        <v>0</v>
      </c>
      <c r="FX8" s="156">
        <v>0</v>
      </c>
      <c r="FY8" s="156">
        <v>0</v>
      </c>
      <c r="FZ8" s="162">
        <v>0</v>
      </c>
      <c r="GA8" s="161">
        <v>0</v>
      </c>
      <c r="GB8" s="156">
        <v>0</v>
      </c>
      <c r="GC8" s="156">
        <v>0</v>
      </c>
      <c r="GD8" s="156">
        <v>0</v>
      </c>
      <c r="GE8" s="156">
        <v>0</v>
      </c>
      <c r="GF8" s="162">
        <v>0</v>
      </c>
      <c r="GG8" s="158">
        <v>9.2200000000000006</v>
      </c>
      <c r="GH8" s="162">
        <v>50</v>
      </c>
      <c r="GI8" s="155">
        <v>0.660377358490566</v>
      </c>
      <c r="GJ8" s="156">
        <v>0.22641509433962259</v>
      </c>
      <c r="GK8" s="156">
        <v>5.6603773584905641E-2</v>
      </c>
      <c r="GL8" s="156">
        <v>1.8867924528301869E-2</v>
      </c>
      <c r="GM8" s="156">
        <v>3.7735849056603737E-2</v>
      </c>
      <c r="GN8" s="162">
        <v>53</v>
      </c>
      <c r="GO8" s="155">
        <v>0.45283018867924552</v>
      </c>
      <c r="GP8" s="156">
        <v>0.30188679245283018</v>
      </c>
      <c r="GQ8" s="156">
        <v>9.4339622641509482E-2</v>
      </c>
      <c r="GR8" s="156">
        <v>0.20754716981132051</v>
      </c>
      <c r="GS8" s="162">
        <v>53</v>
      </c>
      <c r="GT8" s="163">
        <v>3.1372549019607781</v>
      </c>
      <c r="GU8" s="162">
        <v>51</v>
      </c>
      <c r="GV8" s="155">
        <v>1</v>
      </c>
      <c r="GW8" s="156">
        <v>0</v>
      </c>
      <c r="GX8" s="162">
        <v>22</v>
      </c>
      <c r="GY8" s="155">
        <v>1</v>
      </c>
      <c r="GZ8" s="156">
        <v>0</v>
      </c>
      <c r="HA8" s="162">
        <v>31</v>
      </c>
      <c r="HB8" s="155">
        <v>0.97727272727272751</v>
      </c>
      <c r="HC8" s="156">
        <v>2.2727272727272735E-2</v>
      </c>
      <c r="HD8" s="162">
        <v>44</v>
      </c>
      <c r="HE8" s="161">
        <v>0.89285714285714446</v>
      </c>
      <c r="HF8" s="156">
        <v>0.10714285714285694</v>
      </c>
      <c r="HG8" s="162">
        <v>28</v>
      </c>
      <c r="HH8" s="155">
        <v>0.33333333333333359</v>
      </c>
      <c r="HI8" s="156">
        <v>0.66666666666666718</v>
      </c>
      <c r="HJ8" s="162">
        <v>45</v>
      </c>
      <c r="HK8" s="155">
        <v>0.8780487804878061</v>
      </c>
      <c r="HL8" s="156">
        <v>0.12195121951219534</v>
      </c>
      <c r="HM8" s="162">
        <v>41</v>
      </c>
      <c r="HN8" s="161">
        <v>2.5641025641025675E-2</v>
      </c>
      <c r="HO8" s="156">
        <v>0.25641025641025605</v>
      </c>
      <c r="HP8" s="156">
        <v>0.35897435897435914</v>
      </c>
      <c r="HQ8" s="156">
        <v>0.30769230769230788</v>
      </c>
      <c r="HR8" s="156">
        <v>5.128205128205135E-2</v>
      </c>
      <c r="HS8" s="160">
        <v>54.820512820512732</v>
      </c>
      <c r="HT8" s="164">
        <v>39</v>
      </c>
      <c r="HU8" s="165">
        <v>2.5000000000000001E-2</v>
      </c>
      <c r="HV8" s="166">
        <v>7.4999999999999997E-2</v>
      </c>
      <c r="HW8" s="166">
        <v>7.4999999999999997E-2</v>
      </c>
      <c r="HX8" s="166">
        <v>7.4999999999999997E-2</v>
      </c>
      <c r="HY8" s="166">
        <v>2.5000000000000001E-2</v>
      </c>
      <c r="HZ8" s="166">
        <v>2.5000000000000001E-2</v>
      </c>
      <c r="IA8" s="166">
        <v>0.15</v>
      </c>
      <c r="IB8" s="166">
        <v>0.2</v>
      </c>
      <c r="IC8" s="166">
        <v>0.125</v>
      </c>
      <c r="ID8" s="166">
        <v>0.22500000000000001</v>
      </c>
      <c r="IE8" s="167">
        <v>40</v>
      </c>
      <c r="IF8" s="155">
        <v>0</v>
      </c>
      <c r="IG8" s="156">
        <v>0</v>
      </c>
      <c r="IH8" s="156">
        <v>1</v>
      </c>
      <c r="II8" s="156">
        <v>0</v>
      </c>
      <c r="IJ8" s="156">
        <v>0</v>
      </c>
      <c r="IK8" s="162">
        <v>1</v>
      </c>
      <c r="IL8" s="155">
        <v>0</v>
      </c>
      <c r="IM8" s="156">
        <v>0</v>
      </c>
      <c r="IN8" s="156">
        <v>0</v>
      </c>
      <c r="IO8" s="156">
        <v>0.97674418604650981</v>
      </c>
      <c r="IP8" s="156">
        <v>2.32558139534884E-2</v>
      </c>
      <c r="IQ8" s="162">
        <v>43</v>
      </c>
      <c r="IR8" s="155">
        <v>0.16279069767441817</v>
      </c>
      <c r="IS8" s="156">
        <v>0.83720930232558188</v>
      </c>
      <c r="IT8" s="162">
        <v>43</v>
      </c>
      <c r="IU8" s="161">
        <v>0</v>
      </c>
      <c r="IV8" s="156">
        <v>0.1428571428571429</v>
      </c>
      <c r="IW8" s="156">
        <v>0.8571428571428571</v>
      </c>
      <c r="IX8" s="162">
        <v>7</v>
      </c>
    </row>
    <row r="9" spans="1:258" ht="32.1" customHeight="1" x14ac:dyDescent="0.25">
      <c r="A9" s="110" t="s">
        <v>453</v>
      </c>
      <c r="B9" s="108" t="s">
        <v>574</v>
      </c>
      <c r="C9" s="108" t="s">
        <v>454</v>
      </c>
      <c r="D9" s="109">
        <v>10</v>
      </c>
      <c r="E9" s="139" t="s">
        <v>460</v>
      </c>
      <c r="F9" s="155">
        <v>0.12244897959183663</v>
      </c>
      <c r="G9" s="156">
        <v>0.87755102040816335</v>
      </c>
      <c r="H9" s="157">
        <v>49</v>
      </c>
      <c r="I9" s="155">
        <v>0.53488372093023218</v>
      </c>
      <c r="J9" s="156">
        <v>0.46511627906976694</v>
      </c>
      <c r="K9" s="157">
        <v>43</v>
      </c>
      <c r="L9" s="155">
        <v>0.60869565217391308</v>
      </c>
      <c r="M9" s="156">
        <v>0.39130434782608725</v>
      </c>
      <c r="N9" s="157">
        <v>23</v>
      </c>
      <c r="O9" s="155">
        <v>0.18367346938775517</v>
      </c>
      <c r="P9" s="156">
        <v>0.14285714285714299</v>
      </c>
      <c r="Q9" s="156">
        <v>0.38775510204081659</v>
      </c>
      <c r="R9" s="156">
        <v>0</v>
      </c>
      <c r="S9" s="156">
        <v>0.26530612244897961</v>
      </c>
      <c r="T9" s="156">
        <v>2.0408163265306135E-2</v>
      </c>
      <c r="U9" s="156">
        <v>2.0408163265306135E-2</v>
      </c>
      <c r="V9" s="156">
        <v>0.10204081632653052</v>
      </c>
      <c r="W9" s="156">
        <v>6.1224489795918324E-2</v>
      </c>
      <c r="X9" s="156">
        <v>0.14285714285714299</v>
      </c>
      <c r="Y9" s="157">
        <v>49</v>
      </c>
      <c r="Z9" s="155">
        <v>0.70212765957446788</v>
      </c>
      <c r="AA9" s="156">
        <v>0.78723404255319163</v>
      </c>
      <c r="AB9" s="156">
        <v>0.53191489361702093</v>
      </c>
      <c r="AC9" s="156">
        <v>0.4680851063829789</v>
      </c>
      <c r="AD9" s="156">
        <v>0.1276595744680851</v>
      </c>
      <c r="AE9" s="156">
        <v>8.510638297872343E-2</v>
      </c>
      <c r="AF9" s="157">
        <v>47</v>
      </c>
      <c r="AG9" s="158">
        <v>9.9574468085106531</v>
      </c>
      <c r="AH9" s="159">
        <v>47</v>
      </c>
      <c r="AI9" s="160">
        <v>9.9574468085106531</v>
      </c>
      <c r="AJ9" s="159">
        <v>47</v>
      </c>
      <c r="AK9" s="160">
        <v>9.9090909090909225</v>
      </c>
      <c r="AL9" s="157">
        <v>44</v>
      </c>
      <c r="AM9" s="155">
        <v>0.4468085106382978</v>
      </c>
      <c r="AN9" s="156">
        <v>0.42553191489361725</v>
      </c>
      <c r="AO9" s="156">
        <v>4.2553191489361673E-2</v>
      </c>
      <c r="AP9" s="156">
        <v>8.5106382978723347E-2</v>
      </c>
      <c r="AQ9" s="156">
        <v>0</v>
      </c>
      <c r="AR9" s="157">
        <v>47</v>
      </c>
      <c r="AS9" s="155">
        <v>0.76595744680851086</v>
      </c>
      <c r="AT9" s="156">
        <v>0.19148936170212774</v>
      </c>
      <c r="AU9" s="156">
        <v>4.2553191489361673E-2</v>
      </c>
      <c r="AV9" s="156">
        <v>0</v>
      </c>
      <c r="AW9" s="156">
        <v>0</v>
      </c>
      <c r="AX9" s="157">
        <v>47</v>
      </c>
      <c r="AY9" s="155">
        <v>0.91304347826086985</v>
      </c>
      <c r="AZ9" s="156">
        <v>6.521739130434788E-2</v>
      </c>
      <c r="BA9" s="156">
        <v>2.1739130434782622E-2</v>
      </c>
      <c r="BB9" s="156">
        <v>0</v>
      </c>
      <c r="BC9" s="156">
        <v>0</v>
      </c>
      <c r="BD9" s="157">
        <v>46</v>
      </c>
      <c r="BE9" s="155">
        <v>0.93617021276595647</v>
      </c>
      <c r="BF9" s="156">
        <v>4.2553191489361673E-2</v>
      </c>
      <c r="BG9" s="156">
        <v>2.1276595744680837E-2</v>
      </c>
      <c r="BH9" s="156">
        <v>0</v>
      </c>
      <c r="BI9" s="156">
        <v>0</v>
      </c>
      <c r="BJ9" s="157">
        <v>47</v>
      </c>
      <c r="BK9" s="155">
        <v>0.72727272727272618</v>
      </c>
      <c r="BL9" s="156">
        <v>0.2045454545454547</v>
      </c>
      <c r="BM9" s="156">
        <v>4.5454545454545407E-2</v>
      </c>
      <c r="BN9" s="156">
        <v>2.2727272727272704E-2</v>
      </c>
      <c r="BO9" s="156">
        <v>0</v>
      </c>
      <c r="BP9" s="157">
        <v>44</v>
      </c>
      <c r="BQ9" s="155">
        <v>0.87234042553191515</v>
      </c>
      <c r="BR9" s="156">
        <v>0.12765957446808512</v>
      </c>
      <c r="BS9" s="156">
        <v>0</v>
      </c>
      <c r="BT9" s="156">
        <v>0</v>
      </c>
      <c r="BU9" s="156">
        <v>0</v>
      </c>
      <c r="BV9" s="157">
        <v>47</v>
      </c>
      <c r="BW9" s="161">
        <v>0.84210526315789513</v>
      </c>
      <c r="BX9" s="156">
        <v>0.13157894736842116</v>
      </c>
      <c r="BY9" s="156">
        <v>2.631578947368424E-2</v>
      </c>
      <c r="BZ9" s="156">
        <v>0</v>
      </c>
      <c r="CA9" s="156">
        <v>0</v>
      </c>
      <c r="CB9" s="157">
        <v>38</v>
      </c>
      <c r="CC9" s="155">
        <v>0.72727272727272652</v>
      </c>
      <c r="CD9" s="156">
        <v>0.18181818181818163</v>
      </c>
      <c r="CE9" s="156">
        <v>9.0909090909090814E-2</v>
      </c>
      <c r="CF9" s="156">
        <v>0</v>
      </c>
      <c r="CG9" s="156">
        <v>0</v>
      </c>
      <c r="CH9" s="162">
        <v>11</v>
      </c>
      <c r="CI9" s="155">
        <v>0.77777777777777812</v>
      </c>
      <c r="CJ9" s="156">
        <v>0.11111111111111099</v>
      </c>
      <c r="CK9" s="156">
        <v>0.11111111111111099</v>
      </c>
      <c r="CL9" s="156">
        <v>0</v>
      </c>
      <c r="CM9" s="156">
        <v>0</v>
      </c>
      <c r="CN9" s="162">
        <v>9</v>
      </c>
      <c r="CO9" s="155">
        <v>0.42857142857142877</v>
      </c>
      <c r="CP9" s="156">
        <v>0.47619047619047672</v>
      </c>
      <c r="CQ9" s="156">
        <v>4.7619047619047603E-2</v>
      </c>
      <c r="CR9" s="156">
        <v>4.7619047619047603E-2</v>
      </c>
      <c r="CS9" s="156">
        <v>0</v>
      </c>
      <c r="CT9" s="162">
        <v>21</v>
      </c>
      <c r="CU9" s="155">
        <v>0.40909090909090939</v>
      </c>
      <c r="CV9" s="156">
        <v>0.54545454545454541</v>
      </c>
      <c r="CW9" s="156">
        <v>4.5454545454545532E-2</v>
      </c>
      <c r="CX9" s="156">
        <v>0</v>
      </c>
      <c r="CY9" s="156">
        <v>0</v>
      </c>
      <c r="CZ9" s="162">
        <v>22</v>
      </c>
      <c r="DA9" s="155">
        <v>0.44444444444444398</v>
      </c>
      <c r="DB9" s="156">
        <v>0.55555555555555602</v>
      </c>
      <c r="DC9" s="156">
        <v>0</v>
      </c>
      <c r="DD9" s="156">
        <v>0</v>
      </c>
      <c r="DE9" s="156">
        <v>0</v>
      </c>
      <c r="DF9" s="162">
        <v>9</v>
      </c>
      <c r="DG9" s="155">
        <v>0.49999999999999994</v>
      </c>
      <c r="DH9" s="156">
        <v>0.49999999999999994</v>
      </c>
      <c r="DI9" s="156">
        <v>0</v>
      </c>
      <c r="DJ9" s="156">
        <v>0</v>
      </c>
      <c r="DK9" s="156">
        <v>0</v>
      </c>
      <c r="DL9" s="162">
        <v>8</v>
      </c>
      <c r="DM9" s="155">
        <v>0.77777777777777812</v>
      </c>
      <c r="DN9" s="156">
        <v>0.16666666666666657</v>
      </c>
      <c r="DO9" s="156">
        <v>5.5555555555555497E-2</v>
      </c>
      <c r="DP9" s="156">
        <v>0</v>
      </c>
      <c r="DQ9" s="156">
        <v>0</v>
      </c>
      <c r="DR9" s="162">
        <v>18</v>
      </c>
      <c r="DS9" s="161">
        <v>0.6666666666666663</v>
      </c>
      <c r="DT9" s="156">
        <v>0.16666666666666657</v>
      </c>
      <c r="DU9" s="156">
        <v>0.16666666666666657</v>
      </c>
      <c r="DV9" s="156">
        <v>0</v>
      </c>
      <c r="DW9" s="156">
        <v>0</v>
      </c>
      <c r="DX9" s="162">
        <v>12</v>
      </c>
      <c r="DY9" s="155">
        <v>0.97872340425531901</v>
      </c>
      <c r="DZ9" s="156">
        <v>2.1276595744680837E-2</v>
      </c>
      <c r="EA9" s="156">
        <v>0</v>
      </c>
      <c r="EB9" s="156">
        <v>0</v>
      </c>
      <c r="EC9" s="156">
        <v>0</v>
      </c>
      <c r="ED9" s="162">
        <v>47</v>
      </c>
      <c r="EE9" s="155">
        <v>0.83333333333333404</v>
      </c>
      <c r="EF9" s="156">
        <v>5.5555555555555497E-2</v>
      </c>
      <c r="EG9" s="156">
        <v>0.11111111111111099</v>
      </c>
      <c r="EH9" s="156">
        <v>0</v>
      </c>
      <c r="EI9" s="156">
        <v>0</v>
      </c>
      <c r="EJ9" s="162">
        <v>18</v>
      </c>
      <c r="EK9" s="155">
        <v>0.86666666666666614</v>
      </c>
      <c r="EL9" s="156">
        <v>0.13333333333333336</v>
      </c>
      <c r="EM9" s="156">
        <v>0</v>
      </c>
      <c r="EN9" s="156">
        <v>0</v>
      </c>
      <c r="EO9" s="156">
        <v>0</v>
      </c>
      <c r="EP9" s="162">
        <v>15</v>
      </c>
      <c r="EQ9" s="155">
        <v>0.68000000000000016</v>
      </c>
      <c r="ER9" s="156">
        <v>0.28000000000000003</v>
      </c>
      <c r="ES9" s="156">
        <v>4.0000000000000008E-2</v>
      </c>
      <c r="ET9" s="156">
        <v>0</v>
      </c>
      <c r="EU9" s="156">
        <v>0</v>
      </c>
      <c r="EV9" s="162">
        <v>25</v>
      </c>
      <c r="EW9" s="155">
        <v>0.96153846153846123</v>
      </c>
      <c r="EX9" s="156">
        <v>3.8461538461538471E-2</v>
      </c>
      <c r="EY9" s="156">
        <v>0</v>
      </c>
      <c r="EZ9" s="156">
        <v>0</v>
      </c>
      <c r="FA9" s="156">
        <v>0</v>
      </c>
      <c r="FB9" s="162">
        <v>26</v>
      </c>
      <c r="FC9" s="155">
        <v>0.8</v>
      </c>
      <c r="FD9" s="156">
        <v>0.2</v>
      </c>
      <c r="FE9" s="156">
        <v>0</v>
      </c>
      <c r="FF9" s="156">
        <v>0</v>
      </c>
      <c r="FG9" s="156">
        <v>0</v>
      </c>
      <c r="FH9" s="162">
        <v>5</v>
      </c>
      <c r="FI9" s="161">
        <v>0.6</v>
      </c>
      <c r="FJ9" s="156">
        <v>0.2</v>
      </c>
      <c r="FK9" s="156">
        <v>0.2</v>
      </c>
      <c r="FL9" s="156">
        <v>0</v>
      </c>
      <c r="FM9" s="156">
        <v>0</v>
      </c>
      <c r="FN9" s="162">
        <v>5</v>
      </c>
      <c r="FO9" s="155">
        <v>0</v>
      </c>
      <c r="FP9" s="156">
        <v>0</v>
      </c>
      <c r="FQ9" s="156">
        <v>0</v>
      </c>
      <c r="FR9" s="156">
        <v>0</v>
      </c>
      <c r="FS9" s="156">
        <v>0</v>
      </c>
      <c r="FT9" s="162">
        <v>0</v>
      </c>
      <c r="FU9" s="155">
        <v>0</v>
      </c>
      <c r="FV9" s="156">
        <v>0</v>
      </c>
      <c r="FW9" s="156">
        <v>0</v>
      </c>
      <c r="FX9" s="156">
        <v>0</v>
      </c>
      <c r="FY9" s="156">
        <v>0</v>
      </c>
      <c r="FZ9" s="162">
        <v>0</v>
      </c>
      <c r="GA9" s="161">
        <v>0</v>
      </c>
      <c r="GB9" s="156">
        <v>0</v>
      </c>
      <c r="GC9" s="156">
        <v>0</v>
      </c>
      <c r="GD9" s="156">
        <v>0</v>
      </c>
      <c r="GE9" s="156">
        <v>0</v>
      </c>
      <c r="GF9" s="162">
        <v>0</v>
      </c>
      <c r="GG9" s="158">
        <v>9.5116279069767451</v>
      </c>
      <c r="GH9" s="162">
        <v>43</v>
      </c>
      <c r="GI9" s="155">
        <v>0.79166666666666541</v>
      </c>
      <c r="GJ9" s="156">
        <v>0.16666666666666657</v>
      </c>
      <c r="GK9" s="156">
        <v>4.1666666666666644E-2</v>
      </c>
      <c r="GL9" s="156">
        <v>0</v>
      </c>
      <c r="GM9" s="156">
        <v>0</v>
      </c>
      <c r="GN9" s="162">
        <v>48</v>
      </c>
      <c r="GO9" s="155">
        <v>0.47916666666666669</v>
      </c>
      <c r="GP9" s="156">
        <v>0.3125</v>
      </c>
      <c r="GQ9" s="156">
        <v>0.16666666666666677</v>
      </c>
      <c r="GR9" s="156">
        <v>0.14583333333333323</v>
      </c>
      <c r="GS9" s="162">
        <v>48</v>
      </c>
      <c r="GT9" s="163">
        <v>3.4583333333333348</v>
      </c>
      <c r="GU9" s="162">
        <v>48</v>
      </c>
      <c r="GV9" s="155">
        <v>1</v>
      </c>
      <c r="GW9" s="156">
        <v>0</v>
      </c>
      <c r="GX9" s="162">
        <v>17</v>
      </c>
      <c r="GY9" s="155">
        <v>1</v>
      </c>
      <c r="GZ9" s="156">
        <v>0</v>
      </c>
      <c r="HA9" s="162">
        <v>27</v>
      </c>
      <c r="HB9" s="155">
        <v>0.97499999999999998</v>
      </c>
      <c r="HC9" s="156">
        <v>2.5000000000000005E-2</v>
      </c>
      <c r="HD9" s="162">
        <v>40</v>
      </c>
      <c r="HE9" s="161">
        <v>1</v>
      </c>
      <c r="HF9" s="156">
        <v>0</v>
      </c>
      <c r="HG9" s="162">
        <v>25</v>
      </c>
      <c r="HH9" s="155">
        <v>0.52083333333333304</v>
      </c>
      <c r="HI9" s="156">
        <v>0.47916666666666663</v>
      </c>
      <c r="HJ9" s="162">
        <v>48</v>
      </c>
      <c r="HK9" s="155">
        <v>1</v>
      </c>
      <c r="HL9" s="156">
        <v>0</v>
      </c>
      <c r="HM9" s="162">
        <v>48</v>
      </c>
      <c r="HN9" s="161">
        <v>2.1739130434782622E-2</v>
      </c>
      <c r="HO9" s="156">
        <v>0.23913043478260884</v>
      </c>
      <c r="HP9" s="156">
        <v>0.28260869565217411</v>
      </c>
      <c r="HQ9" s="156">
        <v>0.30434782608695665</v>
      </c>
      <c r="HR9" s="156">
        <v>0.15217391304347833</v>
      </c>
      <c r="HS9" s="160">
        <v>58.173913043478322</v>
      </c>
      <c r="HT9" s="164">
        <v>46</v>
      </c>
      <c r="HU9" s="165">
        <v>2.3255813953488372E-2</v>
      </c>
      <c r="HV9" s="166">
        <v>0</v>
      </c>
      <c r="HW9" s="166">
        <v>2.3255813953488372E-2</v>
      </c>
      <c r="HX9" s="166">
        <v>2.3255813953488372E-2</v>
      </c>
      <c r="HY9" s="166">
        <v>0.23255813953488372</v>
      </c>
      <c r="HZ9" s="166">
        <v>0.13953488372093023</v>
      </c>
      <c r="IA9" s="166">
        <v>0.13953488372093023</v>
      </c>
      <c r="IB9" s="166">
        <v>6.9767441860465115E-2</v>
      </c>
      <c r="IC9" s="166">
        <v>6.9767441860465115E-2</v>
      </c>
      <c r="ID9" s="166">
        <v>0.27906976744186046</v>
      </c>
      <c r="IE9" s="167">
        <v>43</v>
      </c>
      <c r="IF9" s="155">
        <v>0</v>
      </c>
      <c r="IG9" s="156">
        <v>0</v>
      </c>
      <c r="IH9" s="156">
        <v>0.6666666666666663</v>
      </c>
      <c r="II9" s="156">
        <v>0</v>
      </c>
      <c r="IJ9" s="156">
        <v>0.33333333333333315</v>
      </c>
      <c r="IK9" s="162">
        <v>3</v>
      </c>
      <c r="IL9" s="155">
        <v>0</v>
      </c>
      <c r="IM9" s="156">
        <v>0</v>
      </c>
      <c r="IN9" s="156">
        <v>0</v>
      </c>
      <c r="IO9" s="156">
        <v>1</v>
      </c>
      <c r="IP9" s="156">
        <v>0</v>
      </c>
      <c r="IQ9" s="162">
        <v>48</v>
      </c>
      <c r="IR9" s="155">
        <v>8.3333333333333287E-2</v>
      </c>
      <c r="IS9" s="156">
        <v>0.9166666666666663</v>
      </c>
      <c r="IT9" s="162">
        <v>48</v>
      </c>
      <c r="IU9" s="161">
        <v>0</v>
      </c>
      <c r="IV9" s="156">
        <v>0.25</v>
      </c>
      <c r="IW9" s="156">
        <v>0.75</v>
      </c>
      <c r="IX9" s="162">
        <v>4</v>
      </c>
    </row>
    <row r="10" spans="1:258" ht="32.1" customHeight="1" x14ac:dyDescent="0.25">
      <c r="A10" s="110" t="s">
        <v>453</v>
      </c>
      <c r="B10" s="108" t="s">
        <v>574</v>
      </c>
      <c r="C10" s="108" t="s">
        <v>454</v>
      </c>
      <c r="D10" s="109">
        <v>11</v>
      </c>
      <c r="E10" s="139" t="s">
        <v>461</v>
      </c>
      <c r="F10" s="155">
        <v>0.24999999999999997</v>
      </c>
      <c r="G10" s="156">
        <v>0.75</v>
      </c>
      <c r="H10" s="157">
        <v>20</v>
      </c>
      <c r="I10" s="155">
        <v>1</v>
      </c>
      <c r="J10" s="156">
        <v>0</v>
      </c>
      <c r="K10" s="157">
        <v>14</v>
      </c>
      <c r="L10" s="155">
        <v>0.63636363636363624</v>
      </c>
      <c r="M10" s="156">
        <v>0.36363636363636359</v>
      </c>
      <c r="N10" s="157">
        <v>11</v>
      </c>
      <c r="O10" s="155">
        <v>8.3333333333333273E-2</v>
      </c>
      <c r="P10" s="156">
        <v>0.20833333333333315</v>
      </c>
      <c r="Q10" s="156">
        <v>0.33333333333333309</v>
      </c>
      <c r="R10" s="156">
        <v>0</v>
      </c>
      <c r="S10" s="156">
        <v>0.29166666666666635</v>
      </c>
      <c r="T10" s="156">
        <v>4.1666666666666637E-2</v>
      </c>
      <c r="U10" s="156">
        <v>8.3333333333333273E-2</v>
      </c>
      <c r="V10" s="156">
        <v>0.12499999999999999</v>
      </c>
      <c r="W10" s="156">
        <v>0.12499999999999999</v>
      </c>
      <c r="X10" s="156">
        <v>0.20833333333333315</v>
      </c>
      <c r="Y10" s="157">
        <v>24</v>
      </c>
      <c r="Z10" s="155">
        <v>0.56521739130434778</v>
      </c>
      <c r="AA10" s="156">
        <v>0.86956521739130455</v>
      </c>
      <c r="AB10" s="156">
        <v>0.21739130434782608</v>
      </c>
      <c r="AC10" s="156">
        <v>0.30434782608695626</v>
      </c>
      <c r="AD10" s="156">
        <v>0</v>
      </c>
      <c r="AE10" s="156">
        <v>8.6956521739130391E-2</v>
      </c>
      <c r="AF10" s="157">
        <v>23</v>
      </c>
      <c r="AG10" s="158">
        <v>9.9565217391304301</v>
      </c>
      <c r="AH10" s="159">
        <v>23</v>
      </c>
      <c r="AI10" s="160">
        <v>9.9565217391304301</v>
      </c>
      <c r="AJ10" s="159">
        <v>23</v>
      </c>
      <c r="AK10" s="160">
        <v>9.9999999999999929</v>
      </c>
      <c r="AL10" s="157">
        <v>22</v>
      </c>
      <c r="AM10" s="155">
        <v>0.49999999999999994</v>
      </c>
      <c r="AN10" s="156">
        <v>0.31818181818181795</v>
      </c>
      <c r="AO10" s="156">
        <v>0.13636363636363627</v>
      </c>
      <c r="AP10" s="156">
        <v>4.5454545454545456E-2</v>
      </c>
      <c r="AQ10" s="156">
        <v>0</v>
      </c>
      <c r="AR10" s="157">
        <v>22</v>
      </c>
      <c r="AS10" s="155">
        <v>0.875</v>
      </c>
      <c r="AT10" s="156">
        <v>8.3333333333333343E-2</v>
      </c>
      <c r="AU10" s="156">
        <v>4.1666666666666671E-2</v>
      </c>
      <c r="AV10" s="156">
        <v>0</v>
      </c>
      <c r="AW10" s="156">
        <v>0</v>
      </c>
      <c r="AX10" s="157">
        <v>24</v>
      </c>
      <c r="AY10" s="155">
        <v>0.91666666666666685</v>
      </c>
      <c r="AZ10" s="156">
        <v>8.3333333333333343E-2</v>
      </c>
      <c r="BA10" s="156">
        <v>0</v>
      </c>
      <c r="BB10" s="156">
        <v>0</v>
      </c>
      <c r="BC10" s="156">
        <v>0</v>
      </c>
      <c r="BD10" s="157">
        <v>24</v>
      </c>
      <c r="BE10" s="155">
        <v>0.95833333333333315</v>
      </c>
      <c r="BF10" s="156">
        <v>4.1666666666666671E-2</v>
      </c>
      <c r="BG10" s="156">
        <v>0</v>
      </c>
      <c r="BH10" s="156">
        <v>0</v>
      </c>
      <c r="BI10" s="156">
        <v>0</v>
      </c>
      <c r="BJ10" s="157">
        <v>24</v>
      </c>
      <c r="BK10" s="155">
        <v>0.80952380952380953</v>
      </c>
      <c r="BL10" s="156">
        <v>0.14285714285714279</v>
      </c>
      <c r="BM10" s="156">
        <v>4.7619047619047603E-2</v>
      </c>
      <c r="BN10" s="156">
        <v>0</v>
      </c>
      <c r="BO10" s="156">
        <v>0</v>
      </c>
      <c r="BP10" s="157">
        <v>21</v>
      </c>
      <c r="BQ10" s="155">
        <v>0.95833333333333315</v>
      </c>
      <c r="BR10" s="156">
        <v>4.1666666666666671E-2</v>
      </c>
      <c r="BS10" s="156">
        <v>0</v>
      </c>
      <c r="BT10" s="156">
        <v>0</v>
      </c>
      <c r="BU10" s="156">
        <v>0</v>
      </c>
      <c r="BV10" s="157">
        <v>24</v>
      </c>
      <c r="BW10" s="161">
        <v>0.9</v>
      </c>
      <c r="BX10" s="156">
        <v>9.9999999999999978E-2</v>
      </c>
      <c r="BY10" s="156">
        <v>0</v>
      </c>
      <c r="BZ10" s="156">
        <v>0</v>
      </c>
      <c r="CA10" s="156">
        <v>0</v>
      </c>
      <c r="CB10" s="157">
        <v>20</v>
      </c>
      <c r="CC10" s="155">
        <v>1</v>
      </c>
      <c r="CD10" s="156">
        <v>0</v>
      </c>
      <c r="CE10" s="156">
        <v>0</v>
      </c>
      <c r="CF10" s="156">
        <v>0</v>
      </c>
      <c r="CG10" s="156">
        <v>0</v>
      </c>
      <c r="CH10" s="162">
        <v>6</v>
      </c>
      <c r="CI10" s="155">
        <v>1</v>
      </c>
      <c r="CJ10" s="156">
        <v>0</v>
      </c>
      <c r="CK10" s="156">
        <v>0</v>
      </c>
      <c r="CL10" s="156">
        <v>0</v>
      </c>
      <c r="CM10" s="156">
        <v>0</v>
      </c>
      <c r="CN10" s="162">
        <v>5</v>
      </c>
      <c r="CO10" s="155">
        <v>0.71428571428571397</v>
      </c>
      <c r="CP10" s="156">
        <v>0.28571428571428564</v>
      </c>
      <c r="CQ10" s="156">
        <v>0</v>
      </c>
      <c r="CR10" s="156">
        <v>0</v>
      </c>
      <c r="CS10" s="156">
        <v>0</v>
      </c>
      <c r="CT10" s="162">
        <v>7</v>
      </c>
      <c r="CU10" s="155">
        <v>0.62499999999999989</v>
      </c>
      <c r="CV10" s="156">
        <v>0.25</v>
      </c>
      <c r="CW10" s="156">
        <v>0.125</v>
      </c>
      <c r="CX10" s="156">
        <v>0</v>
      </c>
      <c r="CY10" s="156">
        <v>0</v>
      </c>
      <c r="CZ10" s="162">
        <v>8</v>
      </c>
      <c r="DA10" s="155">
        <v>1</v>
      </c>
      <c r="DB10" s="156">
        <v>0</v>
      </c>
      <c r="DC10" s="156">
        <v>0</v>
      </c>
      <c r="DD10" s="156">
        <v>0</v>
      </c>
      <c r="DE10" s="156">
        <v>0</v>
      </c>
      <c r="DF10" s="162">
        <v>6</v>
      </c>
      <c r="DG10" s="155">
        <v>1</v>
      </c>
      <c r="DH10" s="156">
        <v>0</v>
      </c>
      <c r="DI10" s="156">
        <v>0</v>
      </c>
      <c r="DJ10" s="156">
        <v>0</v>
      </c>
      <c r="DK10" s="156">
        <v>0</v>
      </c>
      <c r="DL10" s="162">
        <v>5</v>
      </c>
      <c r="DM10" s="155">
        <v>0.87499999999999989</v>
      </c>
      <c r="DN10" s="156">
        <v>0.125</v>
      </c>
      <c r="DO10" s="156">
        <v>0</v>
      </c>
      <c r="DP10" s="156">
        <v>0</v>
      </c>
      <c r="DQ10" s="156">
        <v>0</v>
      </c>
      <c r="DR10" s="162">
        <v>8</v>
      </c>
      <c r="DS10" s="161">
        <v>1</v>
      </c>
      <c r="DT10" s="156">
        <v>0</v>
      </c>
      <c r="DU10" s="156">
        <v>0</v>
      </c>
      <c r="DV10" s="156">
        <v>0</v>
      </c>
      <c r="DW10" s="156">
        <v>0</v>
      </c>
      <c r="DX10" s="162">
        <v>5</v>
      </c>
      <c r="DY10" s="155">
        <v>0.86956521739130477</v>
      </c>
      <c r="DZ10" s="156">
        <v>0.13043478260869562</v>
      </c>
      <c r="EA10" s="156">
        <v>0</v>
      </c>
      <c r="EB10" s="156">
        <v>0</v>
      </c>
      <c r="EC10" s="156">
        <v>0</v>
      </c>
      <c r="ED10" s="162">
        <v>23</v>
      </c>
      <c r="EE10" s="155">
        <v>0.89999999999999991</v>
      </c>
      <c r="EF10" s="156">
        <v>9.9999999999999978E-2</v>
      </c>
      <c r="EG10" s="156">
        <v>0</v>
      </c>
      <c r="EH10" s="156">
        <v>0</v>
      </c>
      <c r="EI10" s="156">
        <v>0</v>
      </c>
      <c r="EJ10" s="162">
        <v>10</v>
      </c>
      <c r="EK10" s="155">
        <v>0.93333333333333313</v>
      </c>
      <c r="EL10" s="156">
        <v>6.666666666666661E-2</v>
      </c>
      <c r="EM10" s="156">
        <v>0</v>
      </c>
      <c r="EN10" s="156">
        <v>0</v>
      </c>
      <c r="EO10" s="156">
        <v>0</v>
      </c>
      <c r="EP10" s="162">
        <v>15</v>
      </c>
      <c r="EQ10" s="155">
        <v>0.88888888888888895</v>
      </c>
      <c r="ER10" s="156">
        <v>0.11111111111111112</v>
      </c>
      <c r="ES10" s="156">
        <v>0</v>
      </c>
      <c r="ET10" s="156">
        <v>0</v>
      </c>
      <c r="EU10" s="156">
        <v>0</v>
      </c>
      <c r="EV10" s="162">
        <v>18</v>
      </c>
      <c r="EW10" s="155">
        <v>0.94444444444444398</v>
      </c>
      <c r="EX10" s="156">
        <v>0</v>
      </c>
      <c r="EY10" s="156">
        <v>5.5555555555555559E-2</v>
      </c>
      <c r="EZ10" s="156">
        <v>0</v>
      </c>
      <c r="FA10" s="156">
        <v>0</v>
      </c>
      <c r="FB10" s="162">
        <v>18</v>
      </c>
      <c r="FC10" s="155">
        <v>0.8</v>
      </c>
      <c r="FD10" s="156">
        <v>0</v>
      </c>
      <c r="FE10" s="156">
        <v>0.2</v>
      </c>
      <c r="FF10" s="156">
        <v>0</v>
      </c>
      <c r="FG10" s="156">
        <v>0</v>
      </c>
      <c r="FH10" s="162">
        <v>5</v>
      </c>
      <c r="FI10" s="161">
        <v>1</v>
      </c>
      <c r="FJ10" s="156">
        <v>0</v>
      </c>
      <c r="FK10" s="156">
        <v>0</v>
      </c>
      <c r="FL10" s="156">
        <v>0</v>
      </c>
      <c r="FM10" s="156">
        <v>0</v>
      </c>
      <c r="FN10" s="162">
        <v>5</v>
      </c>
      <c r="FO10" s="155">
        <v>0</v>
      </c>
      <c r="FP10" s="156">
        <v>0</v>
      </c>
      <c r="FQ10" s="156">
        <v>0</v>
      </c>
      <c r="FR10" s="156">
        <v>0</v>
      </c>
      <c r="FS10" s="156">
        <v>0</v>
      </c>
      <c r="FT10" s="162">
        <v>0</v>
      </c>
      <c r="FU10" s="155">
        <v>0</v>
      </c>
      <c r="FV10" s="156">
        <v>0</v>
      </c>
      <c r="FW10" s="156">
        <v>0</v>
      </c>
      <c r="FX10" s="156">
        <v>0</v>
      </c>
      <c r="FY10" s="156">
        <v>0</v>
      </c>
      <c r="FZ10" s="162">
        <v>0</v>
      </c>
      <c r="GA10" s="161">
        <v>0</v>
      </c>
      <c r="GB10" s="156">
        <v>0</v>
      </c>
      <c r="GC10" s="156">
        <v>0</v>
      </c>
      <c r="GD10" s="156">
        <v>0</v>
      </c>
      <c r="GE10" s="156">
        <v>0</v>
      </c>
      <c r="GF10" s="162">
        <v>0</v>
      </c>
      <c r="GG10" s="158">
        <v>9.7499999999999982</v>
      </c>
      <c r="GH10" s="162">
        <v>20</v>
      </c>
      <c r="GI10" s="155">
        <v>0.82608695652173936</v>
      </c>
      <c r="GJ10" s="156">
        <v>4.3478260869565168E-2</v>
      </c>
      <c r="GK10" s="156">
        <v>8.6956521739130335E-2</v>
      </c>
      <c r="GL10" s="156">
        <v>4.3478260869565168E-2</v>
      </c>
      <c r="GM10" s="156">
        <v>0</v>
      </c>
      <c r="GN10" s="162">
        <v>23</v>
      </c>
      <c r="GO10" s="155">
        <v>0.52173913043478271</v>
      </c>
      <c r="GP10" s="156">
        <v>0.30434782608695626</v>
      </c>
      <c r="GQ10" s="156">
        <v>8.6956521739130391E-2</v>
      </c>
      <c r="GR10" s="156">
        <v>0.17391304347826078</v>
      </c>
      <c r="GS10" s="162">
        <v>23</v>
      </c>
      <c r="GT10" s="163">
        <v>3.15</v>
      </c>
      <c r="GU10" s="162">
        <v>20</v>
      </c>
      <c r="GV10" s="155">
        <v>0.88888888888888895</v>
      </c>
      <c r="GW10" s="156">
        <v>0.11111111111111112</v>
      </c>
      <c r="GX10" s="162">
        <v>9</v>
      </c>
      <c r="GY10" s="155">
        <v>1</v>
      </c>
      <c r="GZ10" s="156">
        <v>0</v>
      </c>
      <c r="HA10" s="162">
        <v>18</v>
      </c>
      <c r="HB10" s="155">
        <v>0.95454545454545481</v>
      </c>
      <c r="HC10" s="156">
        <v>4.5454545454545456E-2</v>
      </c>
      <c r="HD10" s="162">
        <v>22</v>
      </c>
      <c r="HE10" s="161">
        <v>0.9</v>
      </c>
      <c r="HF10" s="156">
        <v>9.9999999999999978E-2</v>
      </c>
      <c r="HG10" s="162">
        <v>20</v>
      </c>
      <c r="HH10" s="155">
        <v>0.54166666666666652</v>
      </c>
      <c r="HI10" s="156">
        <v>0.45833333333333343</v>
      </c>
      <c r="HJ10" s="162">
        <v>24</v>
      </c>
      <c r="HK10" s="155">
        <v>0.99999999999999989</v>
      </c>
      <c r="HL10" s="156">
        <v>0</v>
      </c>
      <c r="HM10" s="162">
        <v>23</v>
      </c>
      <c r="HN10" s="161">
        <v>4.3478260869565168E-2</v>
      </c>
      <c r="HO10" s="156">
        <v>0.13043478260869562</v>
      </c>
      <c r="HP10" s="156">
        <v>0.26086956521739124</v>
      </c>
      <c r="HQ10" s="156">
        <v>0.26086956521739124</v>
      </c>
      <c r="HR10" s="156">
        <v>0.30434782608695632</v>
      </c>
      <c r="HS10" s="160">
        <v>62.695652173913011</v>
      </c>
      <c r="HT10" s="164">
        <v>23</v>
      </c>
      <c r="HU10" s="165">
        <v>0</v>
      </c>
      <c r="HV10" s="166">
        <v>0.1</v>
      </c>
      <c r="HW10" s="166">
        <v>0</v>
      </c>
      <c r="HX10" s="166">
        <v>0</v>
      </c>
      <c r="HY10" s="166">
        <v>0.15</v>
      </c>
      <c r="HZ10" s="166">
        <v>0.05</v>
      </c>
      <c r="IA10" s="166">
        <v>0.15</v>
      </c>
      <c r="IB10" s="166">
        <v>0.25</v>
      </c>
      <c r="IC10" s="166">
        <v>0.25</v>
      </c>
      <c r="ID10" s="166">
        <v>0.05</v>
      </c>
      <c r="IE10" s="167">
        <v>20</v>
      </c>
      <c r="IF10" s="155">
        <v>0</v>
      </c>
      <c r="IG10" s="156">
        <v>0</v>
      </c>
      <c r="IH10" s="156">
        <v>0</v>
      </c>
      <c r="II10" s="156">
        <v>0</v>
      </c>
      <c r="IJ10" s="156">
        <v>0</v>
      </c>
      <c r="IK10" s="162">
        <v>0</v>
      </c>
      <c r="IL10" s="155">
        <v>0</v>
      </c>
      <c r="IM10" s="156">
        <v>0</v>
      </c>
      <c r="IN10" s="156">
        <v>0</v>
      </c>
      <c r="IO10" s="156">
        <v>1</v>
      </c>
      <c r="IP10" s="156">
        <v>0</v>
      </c>
      <c r="IQ10" s="162">
        <v>24</v>
      </c>
      <c r="IR10" s="155">
        <v>8.3333333333333343E-2</v>
      </c>
      <c r="IS10" s="156">
        <v>0.91666666666666685</v>
      </c>
      <c r="IT10" s="162">
        <v>24</v>
      </c>
      <c r="IU10" s="161">
        <v>0</v>
      </c>
      <c r="IV10" s="156">
        <v>0</v>
      </c>
      <c r="IW10" s="156">
        <v>1</v>
      </c>
      <c r="IX10" s="162">
        <v>2</v>
      </c>
    </row>
    <row r="11" spans="1:258" ht="32.1" customHeight="1" x14ac:dyDescent="0.25">
      <c r="A11" s="110" t="s">
        <v>453</v>
      </c>
      <c r="B11" s="108" t="s">
        <v>578</v>
      </c>
      <c r="C11" s="108" t="s">
        <v>454</v>
      </c>
      <c r="D11" s="109">
        <v>17</v>
      </c>
      <c r="E11" s="139" t="s">
        <v>462</v>
      </c>
      <c r="F11" s="155">
        <v>0.24705882352941164</v>
      </c>
      <c r="G11" s="156">
        <v>0.75294117647058778</v>
      </c>
      <c r="H11" s="157">
        <v>85</v>
      </c>
      <c r="I11" s="155">
        <v>0.69354838709677435</v>
      </c>
      <c r="J11" s="156">
        <v>0.30645161290322503</v>
      </c>
      <c r="K11" s="157">
        <v>62</v>
      </c>
      <c r="L11" s="155">
        <v>0.25641025641025633</v>
      </c>
      <c r="M11" s="156">
        <v>0.74358974358974261</v>
      </c>
      <c r="N11" s="157">
        <v>39</v>
      </c>
      <c r="O11" s="155">
        <v>0.18604651162790695</v>
      </c>
      <c r="P11" s="156">
        <v>9.3023255813953473E-2</v>
      </c>
      <c r="Q11" s="156">
        <v>0.39534883720930164</v>
      </c>
      <c r="R11" s="156">
        <v>1.1627906976744184E-2</v>
      </c>
      <c r="S11" s="156">
        <v>0.34883720930232515</v>
      </c>
      <c r="T11" s="156">
        <v>5.813953488372095E-2</v>
      </c>
      <c r="U11" s="156">
        <v>0</v>
      </c>
      <c r="V11" s="156">
        <v>9.3023255813953473E-2</v>
      </c>
      <c r="W11" s="156">
        <v>0.10465116279069757</v>
      </c>
      <c r="X11" s="156">
        <v>5.813953488372095E-2</v>
      </c>
      <c r="Y11" s="157">
        <v>86</v>
      </c>
      <c r="Z11" s="155">
        <v>0.80722891566264954</v>
      </c>
      <c r="AA11" s="156">
        <v>0.69879518072289104</v>
      </c>
      <c r="AB11" s="156">
        <v>0.39759036144578297</v>
      </c>
      <c r="AC11" s="156">
        <v>0.50602409638554247</v>
      </c>
      <c r="AD11" s="156">
        <v>6.0240963855421555E-2</v>
      </c>
      <c r="AE11" s="156">
        <v>0.10843373493975875</v>
      </c>
      <c r="AF11" s="157">
        <v>83</v>
      </c>
      <c r="AG11" s="158">
        <v>9.8749999999999929</v>
      </c>
      <c r="AH11" s="159">
        <v>80</v>
      </c>
      <c r="AI11" s="160">
        <v>9.9374999999999929</v>
      </c>
      <c r="AJ11" s="159">
        <v>80</v>
      </c>
      <c r="AK11" s="160">
        <v>9.9230769230769038</v>
      </c>
      <c r="AL11" s="157">
        <v>78</v>
      </c>
      <c r="AM11" s="155">
        <v>0.56962025316455744</v>
      </c>
      <c r="AN11" s="156">
        <v>0.31645569620253183</v>
      </c>
      <c r="AO11" s="156">
        <v>5.0632911392405042E-2</v>
      </c>
      <c r="AP11" s="156">
        <v>6.3291139240506167E-2</v>
      </c>
      <c r="AQ11" s="156">
        <v>0</v>
      </c>
      <c r="AR11" s="157">
        <v>79</v>
      </c>
      <c r="AS11" s="155">
        <v>0.83333333333333248</v>
      </c>
      <c r="AT11" s="156">
        <v>0.16666666666666663</v>
      </c>
      <c r="AU11" s="156">
        <v>0</v>
      </c>
      <c r="AV11" s="156">
        <v>0</v>
      </c>
      <c r="AW11" s="156">
        <v>0</v>
      </c>
      <c r="AX11" s="157">
        <v>84</v>
      </c>
      <c r="AY11" s="155">
        <v>0.6904761904761918</v>
      </c>
      <c r="AZ11" s="156">
        <v>0.22619047619047641</v>
      </c>
      <c r="BA11" s="156">
        <v>4.7619047619047582E-2</v>
      </c>
      <c r="BB11" s="156">
        <v>1.1904761904761895E-2</v>
      </c>
      <c r="BC11" s="156">
        <v>2.3809523809523791E-2</v>
      </c>
      <c r="BD11" s="157">
        <v>84</v>
      </c>
      <c r="BE11" s="155">
        <v>0.77906976744186052</v>
      </c>
      <c r="BF11" s="156">
        <v>0.20930232558139536</v>
      </c>
      <c r="BG11" s="156">
        <v>1.1627906976744146E-2</v>
      </c>
      <c r="BH11" s="156">
        <v>0</v>
      </c>
      <c r="BI11" s="156">
        <v>0</v>
      </c>
      <c r="BJ11" s="157">
        <v>86</v>
      </c>
      <c r="BK11" s="155">
        <v>0.67948717948717841</v>
      </c>
      <c r="BL11" s="156">
        <v>0.23076923076923081</v>
      </c>
      <c r="BM11" s="156">
        <v>6.4102564102564041E-2</v>
      </c>
      <c r="BN11" s="156">
        <v>1.2820512820512815E-2</v>
      </c>
      <c r="BO11" s="156">
        <v>1.2820512820512815E-2</v>
      </c>
      <c r="BP11" s="157">
        <v>78</v>
      </c>
      <c r="BQ11" s="155">
        <v>0.89534883720930325</v>
      </c>
      <c r="BR11" s="156">
        <v>8.1395348837209086E-2</v>
      </c>
      <c r="BS11" s="156">
        <v>2.3255813953488292E-2</v>
      </c>
      <c r="BT11" s="156">
        <v>0</v>
      </c>
      <c r="BU11" s="156">
        <v>0</v>
      </c>
      <c r="BV11" s="157">
        <v>86</v>
      </c>
      <c r="BW11" s="161">
        <v>0.83606557377049273</v>
      </c>
      <c r="BX11" s="156">
        <v>0.14754098360655696</v>
      </c>
      <c r="BY11" s="156">
        <v>1.6393442622950821E-2</v>
      </c>
      <c r="BZ11" s="156">
        <v>0</v>
      </c>
      <c r="CA11" s="156">
        <v>0</v>
      </c>
      <c r="CB11" s="157">
        <v>61</v>
      </c>
      <c r="CC11" s="155">
        <v>0.93023255813953309</v>
      </c>
      <c r="CD11" s="156">
        <v>6.9767441860465129E-2</v>
      </c>
      <c r="CE11" s="156">
        <v>0</v>
      </c>
      <c r="CF11" s="156">
        <v>0</v>
      </c>
      <c r="CG11" s="156">
        <v>0</v>
      </c>
      <c r="CH11" s="162">
        <v>43</v>
      </c>
      <c r="CI11" s="155">
        <v>0.66666666666666696</v>
      </c>
      <c r="CJ11" s="156">
        <v>0.25641025641025617</v>
      </c>
      <c r="CK11" s="156">
        <v>2.564102564102563E-2</v>
      </c>
      <c r="CL11" s="156">
        <v>5.1282051282051259E-2</v>
      </c>
      <c r="CM11" s="156">
        <v>0</v>
      </c>
      <c r="CN11" s="162">
        <v>39</v>
      </c>
      <c r="CO11" s="155">
        <v>0.65957446808510545</v>
      </c>
      <c r="CP11" s="156">
        <v>0.29787234042553168</v>
      </c>
      <c r="CQ11" s="156">
        <v>0</v>
      </c>
      <c r="CR11" s="156">
        <v>4.2553191489361659E-2</v>
      </c>
      <c r="CS11" s="156">
        <v>0</v>
      </c>
      <c r="CT11" s="162">
        <v>47</v>
      </c>
      <c r="CU11" s="155">
        <v>0.69999999999999984</v>
      </c>
      <c r="CV11" s="156">
        <v>0.21999999999999997</v>
      </c>
      <c r="CW11" s="156">
        <v>3.9999999999999987E-2</v>
      </c>
      <c r="CX11" s="156">
        <v>3.9999999999999987E-2</v>
      </c>
      <c r="CY11" s="156">
        <v>0</v>
      </c>
      <c r="CZ11" s="162">
        <v>50</v>
      </c>
      <c r="DA11" s="155">
        <v>0.68749999999999989</v>
      </c>
      <c r="DB11" s="156">
        <v>0.31249999999999994</v>
      </c>
      <c r="DC11" s="156">
        <v>0</v>
      </c>
      <c r="DD11" s="156">
        <v>0</v>
      </c>
      <c r="DE11" s="156">
        <v>0</v>
      </c>
      <c r="DF11" s="162">
        <v>32</v>
      </c>
      <c r="DG11" s="155">
        <v>0.71999999999999986</v>
      </c>
      <c r="DH11" s="156">
        <v>0.23999999999999996</v>
      </c>
      <c r="DI11" s="156">
        <v>3.9999999999999994E-2</v>
      </c>
      <c r="DJ11" s="156">
        <v>0</v>
      </c>
      <c r="DK11" s="156">
        <v>0</v>
      </c>
      <c r="DL11" s="162">
        <v>25</v>
      </c>
      <c r="DM11" s="155">
        <v>0.78571428571428459</v>
      </c>
      <c r="DN11" s="156">
        <v>0.1071428571428569</v>
      </c>
      <c r="DO11" s="156">
        <v>3.5714285714285608E-2</v>
      </c>
      <c r="DP11" s="156">
        <v>0</v>
      </c>
      <c r="DQ11" s="156">
        <v>7.1428571428571216E-2</v>
      </c>
      <c r="DR11" s="162">
        <v>28</v>
      </c>
      <c r="DS11" s="161">
        <v>0.71428571428571497</v>
      </c>
      <c r="DT11" s="156">
        <v>0.23809523809523839</v>
      </c>
      <c r="DU11" s="156">
        <v>4.7619047619047603E-2</v>
      </c>
      <c r="DV11" s="156">
        <v>0</v>
      </c>
      <c r="DW11" s="156">
        <v>0</v>
      </c>
      <c r="DX11" s="162">
        <v>21</v>
      </c>
      <c r="DY11" s="155">
        <v>0.91463414634146145</v>
      </c>
      <c r="DZ11" s="156">
        <v>8.5365853658536342E-2</v>
      </c>
      <c r="EA11" s="156">
        <v>0</v>
      </c>
      <c r="EB11" s="156">
        <v>0</v>
      </c>
      <c r="EC11" s="156">
        <v>0</v>
      </c>
      <c r="ED11" s="162">
        <v>82</v>
      </c>
      <c r="EE11" s="155">
        <v>0.73170731707316972</v>
      </c>
      <c r="EF11" s="156">
        <v>0.24390243902438954</v>
      </c>
      <c r="EG11" s="156">
        <v>2.4390243902439004E-2</v>
      </c>
      <c r="EH11" s="156">
        <v>0</v>
      </c>
      <c r="EI11" s="156">
        <v>0</v>
      </c>
      <c r="EJ11" s="162">
        <v>41</v>
      </c>
      <c r="EK11" s="155">
        <v>0.74285714285714388</v>
      </c>
      <c r="EL11" s="156">
        <v>0.22857142857142876</v>
      </c>
      <c r="EM11" s="156">
        <v>2.8571428571428595E-2</v>
      </c>
      <c r="EN11" s="156">
        <v>0</v>
      </c>
      <c r="EO11" s="156">
        <v>0</v>
      </c>
      <c r="EP11" s="162">
        <v>35</v>
      </c>
      <c r="EQ11" s="155">
        <v>0.83928571428571497</v>
      </c>
      <c r="ER11" s="156">
        <v>0.16071428571428523</v>
      </c>
      <c r="ES11" s="156">
        <v>0</v>
      </c>
      <c r="ET11" s="156">
        <v>0</v>
      </c>
      <c r="EU11" s="156">
        <v>0</v>
      </c>
      <c r="EV11" s="162">
        <v>56</v>
      </c>
      <c r="EW11" s="155">
        <v>0.86206896551723977</v>
      </c>
      <c r="EX11" s="156">
        <v>0.13793103448275834</v>
      </c>
      <c r="EY11" s="156">
        <v>0</v>
      </c>
      <c r="EZ11" s="156">
        <v>0</v>
      </c>
      <c r="FA11" s="156">
        <v>0</v>
      </c>
      <c r="FB11" s="162">
        <v>58</v>
      </c>
      <c r="FC11" s="155">
        <v>0.82758620689655094</v>
      </c>
      <c r="FD11" s="156">
        <v>0.17241379310344823</v>
      </c>
      <c r="FE11" s="156">
        <v>0</v>
      </c>
      <c r="FF11" s="156">
        <v>0</v>
      </c>
      <c r="FG11" s="156">
        <v>0</v>
      </c>
      <c r="FH11" s="162">
        <v>29</v>
      </c>
      <c r="FI11" s="161">
        <v>0.72222222222222332</v>
      </c>
      <c r="FJ11" s="156">
        <v>0.22222222222222185</v>
      </c>
      <c r="FK11" s="156">
        <v>5.5555555555555462E-2</v>
      </c>
      <c r="FL11" s="156">
        <v>0</v>
      </c>
      <c r="FM11" s="156">
        <v>0</v>
      </c>
      <c r="FN11" s="162">
        <v>18</v>
      </c>
      <c r="FO11" s="155">
        <v>0</v>
      </c>
      <c r="FP11" s="156">
        <v>0</v>
      </c>
      <c r="FQ11" s="156">
        <v>0</v>
      </c>
      <c r="FR11" s="156">
        <v>0</v>
      </c>
      <c r="FS11" s="156">
        <v>0</v>
      </c>
      <c r="FT11" s="162">
        <v>0</v>
      </c>
      <c r="FU11" s="155">
        <v>0</v>
      </c>
      <c r="FV11" s="156">
        <v>0</v>
      </c>
      <c r="FW11" s="156">
        <v>0</v>
      </c>
      <c r="FX11" s="156">
        <v>0</v>
      </c>
      <c r="FY11" s="156">
        <v>0</v>
      </c>
      <c r="FZ11" s="162">
        <v>0</v>
      </c>
      <c r="GA11" s="161">
        <v>0</v>
      </c>
      <c r="GB11" s="156">
        <v>0</v>
      </c>
      <c r="GC11" s="156">
        <v>0</v>
      </c>
      <c r="GD11" s="156">
        <v>0</v>
      </c>
      <c r="GE11" s="156">
        <v>0</v>
      </c>
      <c r="GF11" s="162">
        <v>0</v>
      </c>
      <c r="GG11" s="158">
        <v>9.4487179487179276</v>
      </c>
      <c r="GH11" s="162">
        <v>78</v>
      </c>
      <c r="GI11" s="155">
        <v>0.50588235294117612</v>
      </c>
      <c r="GJ11" s="156">
        <v>0.31764705882352873</v>
      </c>
      <c r="GK11" s="156">
        <v>0.1058823529411765</v>
      </c>
      <c r="GL11" s="156">
        <v>3.5294117647058781E-2</v>
      </c>
      <c r="GM11" s="156">
        <v>3.5294117647058781E-2</v>
      </c>
      <c r="GN11" s="162">
        <v>85</v>
      </c>
      <c r="GO11" s="155">
        <v>0.37647058823529345</v>
      </c>
      <c r="GP11" s="156">
        <v>0.37647058823529345</v>
      </c>
      <c r="GQ11" s="156">
        <v>0.1647058823529407</v>
      </c>
      <c r="GR11" s="156">
        <v>0.1999999999999994</v>
      </c>
      <c r="GS11" s="162">
        <v>85</v>
      </c>
      <c r="GT11" s="163">
        <v>2.8974358974358894</v>
      </c>
      <c r="GU11" s="162">
        <v>78</v>
      </c>
      <c r="GV11" s="155">
        <v>0.88571428571428457</v>
      </c>
      <c r="GW11" s="156">
        <v>0.11428571428571438</v>
      </c>
      <c r="GX11" s="162">
        <v>35</v>
      </c>
      <c r="GY11" s="155">
        <v>1</v>
      </c>
      <c r="GZ11" s="156">
        <v>0</v>
      </c>
      <c r="HA11" s="162">
        <v>55</v>
      </c>
      <c r="HB11" s="155">
        <v>0.94594594594594805</v>
      </c>
      <c r="HC11" s="156">
        <v>5.405405405405405E-2</v>
      </c>
      <c r="HD11" s="162">
        <v>74</v>
      </c>
      <c r="HE11" s="161">
        <v>0.97916666666666752</v>
      </c>
      <c r="HF11" s="156">
        <v>2.0833333333333329E-2</v>
      </c>
      <c r="HG11" s="162">
        <v>48</v>
      </c>
      <c r="HH11" s="155">
        <v>0.53012048192771044</v>
      </c>
      <c r="HI11" s="156">
        <v>0.469879518072289</v>
      </c>
      <c r="HJ11" s="162">
        <v>83</v>
      </c>
      <c r="HK11" s="155">
        <v>0.97499999999999998</v>
      </c>
      <c r="HL11" s="156">
        <v>2.4999999999999994E-2</v>
      </c>
      <c r="HM11" s="162">
        <v>80</v>
      </c>
      <c r="HN11" s="161">
        <v>1.2820512820512815E-2</v>
      </c>
      <c r="HO11" s="156">
        <v>0.14102564102564069</v>
      </c>
      <c r="HP11" s="156">
        <v>0.42307692307692352</v>
      </c>
      <c r="HQ11" s="156">
        <v>0.2435897435897435</v>
      </c>
      <c r="HR11" s="156">
        <v>0.1794871794871794</v>
      </c>
      <c r="HS11" s="160">
        <v>60.294871794871767</v>
      </c>
      <c r="HT11" s="164">
        <v>78</v>
      </c>
      <c r="HU11" s="165">
        <v>5.9701492537313432E-2</v>
      </c>
      <c r="HV11" s="166">
        <v>2.9850746268656716E-2</v>
      </c>
      <c r="HW11" s="166">
        <v>0</v>
      </c>
      <c r="HX11" s="166">
        <v>2.9850746268656716E-2</v>
      </c>
      <c r="HY11" s="166">
        <v>0.11940298507462686</v>
      </c>
      <c r="HZ11" s="166">
        <v>5.9701492537313432E-2</v>
      </c>
      <c r="IA11" s="166">
        <v>0.1044776119402985</v>
      </c>
      <c r="IB11" s="166">
        <v>0.11940298507462686</v>
      </c>
      <c r="IC11" s="166">
        <v>0.22388059701492538</v>
      </c>
      <c r="ID11" s="166">
        <v>0.2537313432835821</v>
      </c>
      <c r="IE11" s="167">
        <v>67</v>
      </c>
      <c r="IF11" s="155">
        <v>0</v>
      </c>
      <c r="IG11" s="156">
        <v>0.125</v>
      </c>
      <c r="IH11" s="156">
        <v>0.5</v>
      </c>
      <c r="II11" s="156">
        <v>0.25</v>
      </c>
      <c r="IJ11" s="156">
        <v>0.125</v>
      </c>
      <c r="IK11" s="162">
        <v>8</v>
      </c>
      <c r="IL11" s="155">
        <v>2.4691358024691374E-2</v>
      </c>
      <c r="IM11" s="156">
        <v>2.4691358024691374E-2</v>
      </c>
      <c r="IN11" s="156">
        <v>1.2345679012345687E-2</v>
      </c>
      <c r="IO11" s="156">
        <v>0.90123456790123602</v>
      </c>
      <c r="IP11" s="156">
        <v>3.7037037037036959E-2</v>
      </c>
      <c r="IQ11" s="162">
        <v>81</v>
      </c>
      <c r="IR11" s="155">
        <v>0.13253012048192755</v>
      </c>
      <c r="IS11" s="156">
        <v>0.86746987951807342</v>
      </c>
      <c r="IT11" s="162">
        <v>83</v>
      </c>
      <c r="IU11" s="161">
        <v>0</v>
      </c>
      <c r="IV11" s="156">
        <v>9.0909090909090912E-2</v>
      </c>
      <c r="IW11" s="156">
        <v>0.90909090909090895</v>
      </c>
      <c r="IX11" s="162">
        <v>11</v>
      </c>
    </row>
    <row r="12" spans="1:258" ht="32.1" customHeight="1" x14ac:dyDescent="0.25">
      <c r="A12" s="110" t="s">
        <v>453</v>
      </c>
      <c r="B12" s="108" t="s">
        <v>578</v>
      </c>
      <c r="C12" s="108" t="s">
        <v>454</v>
      </c>
      <c r="D12" s="109">
        <v>19</v>
      </c>
      <c r="E12" s="139" t="s">
        <v>463</v>
      </c>
      <c r="F12" s="155">
        <v>7.9999999999999988E-2</v>
      </c>
      <c r="G12" s="156">
        <v>0.91999999999999982</v>
      </c>
      <c r="H12" s="157">
        <v>25</v>
      </c>
      <c r="I12" s="155">
        <v>0.91304347826086985</v>
      </c>
      <c r="J12" s="156">
        <v>8.6956521739130391E-2</v>
      </c>
      <c r="K12" s="157">
        <v>23</v>
      </c>
      <c r="L12" s="155">
        <v>0.76190476190476164</v>
      </c>
      <c r="M12" s="156">
        <v>0.23809523809523803</v>
      </c>
      <c r="N12" s="157">
        <v>21</v>
      </c>
      <c r="O12" s="155">
        <v>0.26086956521739135</v>
      </c>
      <c r="P12" s="156">
        <v>8.6956521739130391E-2</v>
      </c>
      <c r="Q12" s="156">
        <v>0.39130434782608675</v>
      </c>
      <c r="R12" s="156">
        <v>4.3478260869565195E-2</v>
      </c>
      <c r="S12" s="156">
        <v>0.52173913043478271</v>
      </c>
      <c r="T12" s="156">
        <v>8.6956521739130391E-2</v>
      </c>
      <c r="U12" s="156">
        <v>0</v>
      </c>
      <c r="V12" s="156">
        <v>0.17391304347826078</v>
      </c>
      <c r="W12" s="156">
        <v>0.17391304347826078</v>
      </c>
      <c r="X12" s="156">
        <v>4.3478260869565195E-2</v>
      </c>
      <c r="Y12" s="157">
        <v>23</v>
      </c>
      <c r="Z12" s="155">
        <v>9.5238095238095288E-2</v>
      </c>
      <c r="AA12" s="156">
        <v>0.19047619047619058</v>
      </c>
      <c r="AB12" s="156">
        <v>0.33333333333333315</v>
      </c>
      <c r="AC12" s="156">
        <v>0.38095238095238082</v>
      </c>
      <c r="AD12" s="156">
        <v>0</v>
      </c>
      <c r="AE12" s="156">
        <v>0.38095238095238082</v>
      </c>
      <c r="AF12" s="157">
        <v>21</v>
      </c>
      <c r="AG12" s="158">
        <v>9.9200000000000088</v>
      </c>
      <c r="AH12" s="159">
        <v>25</v>
      </c>
      <c r="AI12" s="160">
        <v>10.000000000000002</v>
      </c>
      <c r="AJ12" s="159">
        <v>25</v>
      </c>
      <c r="AK12" s="160">
        <v>10.000000000000002</v>
      </c>
      <c r="AL12" s="157">
        <v>25</v>
      </c>
      <c r="AM12" s="155">
        <v>0.26086956521739124</v>
      </c>
      <c r="AN12" s="156">
        <v>0.34782608695652156</v>
      </c>
      <c r="AO12" s="156">
        <v>0</v>
      </c>
      <c r="AP12" s="156">
        <v>0.34782608695652156</v>
      </c>
      <c r="AQ12" s="156">
        <v>4.3478260869565195E-2</v>
      </c>
      <c r="AR12" s="157">
        <v>23</v>
      </c>
      <c r="AS12" s="155">
        <v>0.72727272727272729</v>
      </c>
      <c r="AT12" s="156">
        <v>0.22727272727272735</v>
      </c>
      <c r="AU12" s="156">
        <v>0</v>
      </c>
      <c r="AV12" s="156">
        <v>4.5454545454545456E-2</v>
      </c>
      <c r="AW12" s="156">
        <v>0</v>
      </c>
      <c r="AX12" s="157">
        <v>22</v>
      </c>
      <c r="AY12" s="155">
        <v>0.54166666666666652</v>
      </c>
      <c r="AZ12" s="156">
        <v>0.37499999999999994</v>
      </c>
      <c r="BA12" s="156">
        <v>8.3333333333333356E-2</v>
      </c>
      <c r="BB12" s="156">
        <v>0</v>
      </c>
      <c r="BC12" s="156">
        <v>0</v>
      </c>
      <c r="BD12" s="157">
        <v>24</v>
      </c>
      <c r="BE12" s="155">
        <v>0.78260869565217317</v>
      </c>
      <c r="BF12" s="156">
        <v>0.21739130434782608</v>
      </c>
      <c r="BG12" s="156">
        <v>0</v>
      </c>
      <c r="BH12" s="156">
        <v>0</v>
      </c>
      <c r="BI12" s="156">
        <v>0</v>
      </c>
      <c r="BJ12" s="157">
        <v>23</v>
      </c>
      <c r="BK12" s="155">
        <v>0.13333333333333336</v>
      </c>
      <c r="BL12" s="156">
        <v>0.26666666666666672</v>
      </c>
      <c r="BM12" s="156">
        <v>0.13333333333333336</v>
      </c>
      <c r="BN12" s="156">
        <v>0.26666666666666672</v>
      </c>
      <c r="BO12" s="156">
        <v>0.20000000000000004</v>
      </c>
      <c r="BP12" s="157">
        <v>15</v>
      </c>
      <c r="BQ12" s="155">
        <v>0.87499999999999989</v>
      </c>
      <c r="BR12" s="156">
        <v>0.12499999999999999</v>
      </c>
      <c r="BS12" s="156">
        <v>0</v>
      </c>
      <c r="BT12" s="156">
        <v>0</v>
      </c>
      <c r="BU12" s="156">
        <v>0</v>
      </c>
      <c r="BV12" s="157">
        <v>24</v>
      </c>
      <c r="BW12" s="161">
        <v>0.57142857142857129</v>
      </c>
      <c r="BX12" s="156">
        <v>0.14285714285714282</v>
      </c>
      <c r="BY12" s="156">
        <v>0.14285714285714282</v>
      </c>
      <c r="BZ12" s="156">
        <v>0</v>
      </c>
      <c r="CA12" s="156">
        <v>0.14285714285714282</v>
      </c>
      <c r="CB12" s="157">
        <v>7</v>
      </c>
      <c r="CC12" s="155">
        <v>0.62500000000000011</v>
      </c>
      <c r="CD12" s="156">
        <v>0.375</v>
      </c>
      <c r="CE12" s="156">
        <v>0</v>
      </c>
      <c r="CF12" s="156">
        <v>0</v>
      </c>
      <c r="CG12" s="156">
        <v>0</v>
      </c>
      <c r="CH12" s="162">
        <v>8</v>
      </c>
      <c r="CI12" s="155">
        <v>0.28571428571428564</v>
      </c>
      <c r="CJ12" s="156">
        <v>0.57142857142857129</v>
      </c>
      <c r="CK12" s="156">
        <v>0</v>
      </c>
      <c r="CL12" s="156">
        <v>0.14285714285714282</v>
      </c>
      <c r="CM12" s="156">
        <v>0</v>
      </c>
      <c r="CN12" s="162">
        <v>7</v>
      </c>
      <c r="CO12" s="155">
        <v>0.62500000000000011</v>
      </c>
      <c r="CP12" s="156">
        <v>0.375</v>
      </c>
      <c r="CQ12" s="156">
        <v>0</v>
      </c>
      <c r="CR12" s="156">
        <v>0</v>
      </c>
      <c r="CS12" s="156">
        <v>0</v>
      </c>
      <c r="CT12" s="162">
        <v>8</v>
      </c>
      <c r="CU12" s="155">
        <v>0.87500000000000011</v>
      </c>
      <c r="CV12" s="156">
        <v>0.12500000000000003</v>
      </c>
      <c r="CW12" s="156">
        <v>0</v>
      </c>
      <c r="CX12" s="156">
        <v>0</v>
      </c>
      <c r="CY12" s="156">
        <v>0</v>
      </c>
      <c r="CZ12" s="162">
        <v>8</v>
      </c>
      <c r="DA12" s="155">
        <v>0.16666666666666671</v>
      </c>
      <c r="DB12" s="156">
        <v>0.66666666666666685</v>
      </c>
      <c r="DC12" s="156">
        <v>0.16666666666666671</v>
      </c>
      <c r="DD12" s="156">
        <v>0</v>
      </c>
      <c r="DE12" s="156">
        <v>0</v>
      </c>
      <c r="DF12" s="162">
        <v>6</v>
      </c>
      <c r="DG12" s="155">
        <v>0.50000000000000011</v>
      </c>
      <c r="DH12" s="156">
        <v>0.50000000000000011</v>
      </c>
      <c r="DI12" s="156">
        <v>0</v>
      </c>
      <c r="DJ12" s="156">
        <v>0</v>
      </c>
      <c r="DK12" s="156">
        <v>0</v>
      </c>
      <c r="DL12" s="162">
        <v>8</v>
      </c>
      <c r="DM12" s="155">
        <v>0.2</v>
      </c>
      <c r="DN12" s="156">
        <v>0.4</v>
      </c>
      <c r="DO12" s="156">
        <v>0</v>
      </c>
      <c r="DP12" s="156">
        <v>0.4</v>
      </c>
      <c r="DQ12" s="156">
        <v>0</v>
      </c>
      <c r="DR12" s="162">
        <v>5</v>
      </c>
      <c r="DS12" s="161">
        <v>0.33333333333333343</v>
      </c>
      <c r="DT12" s="156">
        <v>0.66666666666666685</v>
      </c>
      <c r="DU12" s="156">
        <v>0</v>
      </c>
      <c r="DV12" s="156">
        <v>0</v>
      </c>
      <c r="DW12" s="156">
        <v>0</v>
      </c>
      <c r="DX12" s="162">
        <v>3</v>
      </c>
      <c r="DY12" s="155">
        <v>0.74999999999999989</v>
      </c>
      <c r="DZ12" s="156">
        <v>0.24999999999999997</v>
      </c>
      <c r="EA12" s="156">
        <v>0</v>
      </c>
      <c r="EB12" s="156">
        <v>0</v>
      </c>
      <c r="EC12" s="156">
        <v>0</v>
      </c>
      <c r="ED12" s="162">
        <v>24</v>
      </c>
      <c r="EE12" s="155">
        <v>0.85714285714285721</v>
      </c>
      <c r="EF12" s="156">
        <v>0.14285714285714282</v>
      </c>
      <c r="EG12" s="156">
        <v>0</v>
      </c>
      <c r="EH12" s="156">
        <v>0</v>
      </c>
      <c r="EI12" s="156">
        <v>0</v>
      </c>
      <c r="EJ12" s="162">
        <v>14</v>
      </c>
      <c r="EK12" s="155">
        <v>0.8</v>
      </c>
      <c r="EL12" s="156">
        <v>0.20000000000000004</v>
      </c>
      <c r="EM12" s="156">
        <v>0</v>
      </c>
      <c r="EN12" s="156">
        <v>0</v>
      </c>
      <c r="EO12" s="156">
        <v>0</v>
      </c>
      <c r="EP12" s="162">
        <v>10</v>
      </c>
      <c r="EQ12" s="155">
        <v>0.83333333333333304</v>
      </c>
      <c r="ER12" s="156">
        <v>0.16666666666666682</v>
      </c>
      <c r="ES12" s="156">
        <v>0</v>
      </c>
      <c r="ET12" s="156">
        <v>0</v>
      </c>
      <c r="EU12" s="156">
        <v>0</v>
      </c>
      <c r="EV12" s="162">
        <v>12</v>
      </c>
      <c r="EW12" s="155">
        <v>0.90909090909090939</v>
      </c>
      <c r="EX12" s="156">
        <v>9.0909090909090939E-2</v>
      </c>
      <c r="EY12" s="156">
        <v>0</v>
      </c>
      <c r="EZ12" s="156">
        <v>0</v>
      </c>
      <c r="FA12" s="156">
        <v>0</v>
      </c>
      <c r="FB12" s="162">
        <v>11</v>
      </c>
      <c r="FC12" s="155">
        <v>0.56250000000000011</v>
      </c>
      <c r="FD12" s="156">
        <v>0.43750000000000006</v>
      </c>
      <c r="FE12" s="156">
        <v>0</v>
      </c>
      <c r="FF12" s="156">
        <v>0</v>
      </c>
      <c r="FG12" s="156">
        <v>0</v>
      </c>
      <c r="FH12" s="162">
        <v>16</v>
      </c>
      <c r="FI12" s="161">
        <v>0.75</v>
      </c>
      <c r="FJ12" s="156">
        <v>0.25000000000000006</v>
      </c>
      <c r="FK12" s="156">
        <v>0</v>
      </c>
      <c r="FL12" s="156">
        <v>0</v>
      </c>
      <c r="FM12" s="156">
        <v>0</v>
      </c>
      <c r="FN12" s="162">
        <v>16</v>
      </c>
      <c r="FO12" s="155">
        <v>0</v>
      </c>
      <c r="FP12" s="156">
        <v>0</v>
      </c>
      <c r="FQ12" s="156">
        <v>0</v>
      </c>
      <c r="FR12" s="156">
        <v>0</v>
      </c>
      <c r="FS12" s="156">
        <v>0</v>
      </c>
      <c r="FT12" s="162">
        <v>0</v>
      </c>
      <c r="FU12" s="155">
        <v>0</v>
      </c>
      <c r="FV12" s="156">
        <v>0</v>
      </c>
      <c r="FW12" s="156">
        <v>0</v>
      </c>
      <c r="FX12" s="156">
        <v>0</v>
      </c>
      <c r="FY12" s="156">
        <v>0</v>
      </c>
      <c r="FZ12" s="162">
        <v>0</v>
      </c>
      <c r="GA12" s="161">
        <v>0</v>
      </c>
      <c r="GB12" s="156">
        <v>0</v>
      </c>
      <c r="GC12" s="156">
        <v>0</v>
      </c>
      <c r="GD12" s="156">
        <v>0</v>
      </c>
      <c r="GE12" s="156">
        <v>0</v>
      </c>
      <c r="GF12" s="162">
        <v>0</v>
      </c>
      <c r="GG12" s="158">
        <v>9.882352941176471</v>
      </c>
      <c r="GH12" s="162">
        <v>17</v>
      </c>
      <c r="GI12" s="155">
        <v>0.43999999999999995</v>
      </c>
      <c r="GJ12" s="156">
        <v>0.43999999999999995</v>
      </c>
      <c r="GK12" s="156">
        <v>3.9999999999999994E-2</v>
      </c>
      <c r="GL12" s="156">
        <v>7.9999999999999988E-2</v>
      </c>
      <c r="GM12" s="156">
        <v>0</v>
      </c>
      <c r="GN12" s="162">
        <v>25</v>
      </c>
      <c r="GO12" s="155">
        <v>0.3999999999999998</v>
      </c>
      <c r="GP12" s="156">
        <v>0.51999999999999968</v>
      </c>
      <c r="GQ12" s="156">
        <v>8.0000000000000016E-2</v>
      </c>
      <c r="GR12" s="156">
        <v>4.0000000000000008E-2</v>
      </c>
      <c r="GS12" s="162">
        <v>25</v>
      </c>
      <c r="GT12" s="163">
        <v>2.5416666666666647</v>
      </c>
      <c r="GU12" s="162">
        <v>24</v>
      </c>
      <c r="GV12" s="155">
        <v>1</v>
      </c>
      <c r="GW12" s="156">
        <v>0</v>
      </c>
      <c r="GX12" s="162">
        <v>12</v>
      </c>
      <c r="GY12" s="155">
        <v>1</v>
      </c>
      <c r="GZ12" s="156">
        <v>0</v>
      </c>
      <c r="HA12" s="162">
        <v>17</v>
      </c>
      <c r="HB12" s="155">
        <v>0.95833333333333304</v>
      </c>
      <c r="HC12" s="156">
        <v>4.1666666666666678E-2</v>
      </c>
      <c r="HD12" s="162">
        <v>24</v>
      </c>
      <c r="HE12" s="161">
        <v>0.94444444444444398</v>
      </c>
      <c r="HF12" s="156">
        <v>5.5555555555555552E-2</v>
      </c>
      <c r="HG12" s="162">
        <v>18</v>
      </c>
      <c r="HH12" s="155">
        <v>0.49999999999999994</v>
      </c>
      <c r="HI12" s="156">
        <v>0.49999999999999994</v>
      </c>
      <c r="HJ12" s="162">
        <v>24</v>
      </c>
      <c r="HK12" s="155">
        <v>0.99999999999999989</v>
      </c>
      <c r="HL12" s="156">
        <v>0</v>
      </c>
      <c r="HM12" s="162">
        <v>23</v>
      </c>
      <c r="HN12" s="161">
        <v>0</v>
      </c>
      <c r="HO12" s="156">
        <v>0.22222222222222221</v>
      </c>
      <c r="HP12" s="156">
        <v>0.33333333333333343</v>
      </c>
      <c r="HQ12" s="156">
        <v>0.38888888888888906</v>
      </c>
      <c r="HR12" s="156">
        <v>5.5555555555555552E-2</v>
      </c>
      <c r="HS12" s="160">
        <v>56.833333333333321</v>
      </c>
      <c r="HT12" s="164">
        <v>18</v>
      </c>
      <c r="HU12" s="165">
        <v>0</v>
      </c>
      <c r="HV12" s="166">
        <v>0.1111111111111111</v>
      </c>
      <c r="HW12" s="166">
        <v>0.1111111111111111</v>
      </c>
      <c r="HX12" s="166">
        <v>0.1111111111111111</v>
      </c>
      <c r="HY12" s="166">
        <v>0</v>
      </c>
      <c r="HZ12" s="166">
        <v>0</v>
      </c>
      <c r="IA12" s="166">
        <v>0.1111111111111111</v>
      </c>
      <c r="IB12" s="166">
        <v>0.3888888888888889</v>
      </c>
      <c r="IC12" s="166">
        <v>0</v>
      </c>
      <c r="ID12" s="166">
        <v>0.16666666666666666</v>
      </c>
      <c r="IE12" s="167">
        <v>18</v>
      </c>
      <c r="IF12" s="155">
        <v>0</v>
      </c>
      <c r="IG12" s="156">
        <v>0</v>
      </c>
      <c r="IH12" s="156">
        <v>0</v>
      </c>
      <c r="II12" s="156">
        <v>0</v>
      </c>
      <c r="IJ12" s="156">
        <v>0</v>
      </c>
      <c r="IK12" s="162">
        <v>0</v>
      </c>
      <c r="IL12" s="155">
        <v>0</v>
      </c>
      <c r="IM12" s="156">
        <v>0</v>
      </c>
      <c r="IN12" s="156">
        <v>4.5454545454545456E-2</v>
      </c>
      <c r="IO12" s="156">
        <v>0.95454545454545481</v>
      </c>
      <c r="IP12" s="156">
        <v>0</v>
      </c>
      <c r="IQ12" s="162">
        <v>22</v>
      </c>
      <c r="IR12" s="155">
        <v>0.33333333333333343</v>
      </c>
      <c r="IS12" s="156">
        <v>0.66666666666666585</v>
      </c>
      <c r="IT12" s="162">
        <v>24</v>
      </c>
      <c r="IU12" s="161">
        <v>0</v>
      </c>
      <c r="IV12" s="156">
        <v>0</v>
      </c>
      <c r="IW12" s="156">
        <v>1</v>
      </c>
      <c r="IX12" s="162">
        <v>8</v>
      </c>
    </row>
    <row r="13" spans="1:258" ht="32.1" customHeight="1" x14ac:dyDescent="0.25">
      <c r="A13" s="110" t="s">
        <v>453</v>
      </c>
      <c r="B13" s="108" t="s">
        <v>572</v>
      </c>
      <c r="C13" s="108" t="s">
        <v>454</v>
      </c>
      <c r="D13" s="109">
        <v>21</v>
      </c>
      <c r="E13" s="139" t="s">
        <v>464</v>
      </c>
      <c r="F13" s="155">
        <v>0.26666666666666683</v>
      </c>
      <c r="G13" s="156">
        <v>0.73333333333333373</v>
      </c>
      <c r="H13" s="157">
        <v>45</v>
      </c>
      <c r="I13" s="155">
        <v>0.81818181818181812</v>
      </c>
      <c r="J13" s="156">
        <v>0.18181818181818193</v>
      </c>
      <c r="K13" s="157">
        <v>33</v>
      </c>
      <c r="L13" s="155">
        <v>0.6666666666666673</v>
      </c>
      <c r="M13" s="156">
        <v>0.33333333333333365</v>
      </c>
      <c r="N13" s="157">
        <v>27</v>
      </c>
      <c r="O13" s="155">
        <v>0.23913043478260881</v>
      </c>
      <c r="P13" s="156">
        <v>0.17391304347826092</v>
      </c>
      <c r="Q13" s="156">
        <v>0.34782608695652184</v>
      </c>
      <c r="R13" s="156">
        <v>0</v>
      </c>
      <c r="S13" s="156">
        <v>0.47826086956521763</v>
      </c>
      <c r="T13" s="156">
        <v>2.1739130434782615E-2</v>
      </c>
      <c r="U13" s="156">
        <v>4.347826086956523E-2</v>
      </c>
      <c r="V13" s="156">
        <v>0.21739130434782614</v>
      </c>
      <c r="W13" s="156">
        <v>0.17391304347826092</v>
      </c>
      <c r="X13" s="156">
        <v>0</v>
      </c>
      <c r="Y13" s="157">
        <v>46</v>
      </c>
      <c r="Z13" s="155">
        <v>0.73170731707317072</v>
      </c>
      <c r="AA13" s="156">
        <v>0.75609756097560932</v>
      </c>
      <c r="AB13" s="156">
        <v>0.51219512195121919</v>
      </c>
      <c r="AC13" s="156">
        <v>0.60975609756097515</v>
      </c>
      <c r="AD13" s="156">
        <v>2.4390243902439039E-2</v>
      </c>
      <c r="AE13" s="156">
        <v>0</v>
      </c>
      <c r="AF13" s="157">
        <v>41</v>
      </c>
      <c r="AG13" s="158">
        <v>9.8666666666666636</v>
      </c>
      <c r="AH13" s="159">
        <v>45</v>
      </c>
      <c r="AI13" s="160">
        <v>9.913043478260871</v>
      </c>
      <c r="AJ13" s="159">
        <v>46</v>
      </c>
      <c r="AK13" s="160">
        <v>9.9555555555555326</v>
      </c>
      <c r="AL13" s="157">
        <v>45</v>
      </c>
      <c r="AM13" s="155">
        <v>0.48888888888888821</v>
      </c>
      <c r="AN13" s="156">
        <v>0.37777777777777777</v>
      </c>
      <c r="AO13" s="156">
        <v>0</v>
      </c>
      <c r="AP13" s="156">
        <v>0.13333333333333341</v>
      </c>
      <c r="AQ13" s="156">
        <v>0</v>
      </c>
      <c r="AR13" s="157">
        <v>45</v>
      </c>
      <c r="AS13" s="155">
        <v>0.82978723404255206</v>
      </c>
      <c r="AT13" s="156">
        <v>0.12765957446808518</v>
      </c>
      <c r="AU13" s="156">
        <v>2.1276595744680837E-2</v>
      </c>
      <c r="AV13" s="156">
        <v>2.1276595744680837E-2</v>
      </c>
      <c r="AW13" s="156">
        <v>0</v>
      </c>
      <c r="AX13" s="157">
        <v>47</v>
      </c>
      <c r="AY13" s="155">
        <v>0.97872340425531845</v>
      </c>
      <c r="AZ13" s="156">
        <v>0</v>
      </c>
      <c r="BA13" s="156">
        <v>2.1276595744680837E-2</v>
      </c>
      <c r="BB13" s="156">
        <v>0</v>
      </c>
      <c r="BC13" s="156">
        <v>0</v>
      </c>
      <c r="BD13" s="157">
        <v>47</v>
      </c>
      <c r="BE13" s="155">
        <v>0.91666666666666685</v>
      </c>
      <c r="BF13" s="156">
        <v>2.0833333333333318E-2</v>
      </c>
      <c r="BG13" s="156">
        <v>6.2499999999999993E-2</v>
      </c>
      <c r="BH13" s="156">
        <v>0</v>
      </c>
      <c r="BI13" s="156">
        <v>0</v>
      </c>
      <c r="BJ13" s="157">
        <v>48</v>
      </c>
      <c r="BK13" s="155">
        <v>0.82926829268292723</v>
      </c>
      <c r="BL13" s="156">
        <v>0.14634146341463408</v>
      </c>
      <c r="BM13" s="156">
        <v>2.4390243902439015E-2</v>
      </c>
      <c r="BN13" s="156">
        <v>0</v>
      </c>
      <c r="BO13" s="156">
        <v>0</v>
      </c>
      <c r="BP13" s="157">
        <v>41</v>
      </c>
      <c r="BQ13" s="155">
        <v>0.95833333333333304</v>
      </c>
      <c r="BR13" s="156">
        <v>2.0833333333333318E-2</v>
      </c>
      <c r="BS13" s="156">
        <v>2.0833333333333318E-2</v>
      </c>
      <c r="BT13" s="156">
        <v>0</v>
      </c>
      <c r="BU13" s="156">
        <v>0</v>
      </c>
      <c r="BV13" s="157">
        <v>48</v>
      </c>
      <c r="BW13" s="161">
        <v>0.82352941176470562</v>
      </c>
      <c r="BX13" s="156">
        <v>0.17647058823529399</v>
      </c>
      <c r="BY13" s="156">
        <v>0</v>
      </c>
      <c r="BZ13" s="156">
        <v>0</v>
      </c>
      <c r="CA13" s="156">
        <v>0</v>
      </c>
      <c r="CB13" s="157">
        <v>34</v>
      </c>
      <c r="CC13" s="155">
        <v>0.8461538461538467</v>
      </c>
      <c r="CD13" s="156">
        <v>7.692307692307683E-2</v>
      </c>
      <c r="CE13" s="156">
        <v>0</v>
      </c>
      <c r="CF13" s="156">
        <v>7.692307692307683E-2</v>
      </c>
      <c r="CG13" s="156">
        <v>0</v>
      </c>
      <c r="CH13" s="162">
        <v>13</v>
      </c>
      <c r="CI13" s="155">
        <v>0.63636363636363602</v>
      </c>
      <c r="CJ13" s="156">
        <v>0.18181818181818157</v>
      </c>
      <c r="CK13" s="156">
        <v>9.0909090909090787E-2</v>
      </c>
      <c r="CL13" s="156">
        <v>9.0909090909090787E-2</v>
      </c>
      <c r="CM13" s="156">
        <v>0</v>
      </c>
      <c r="CN13" s="162">
        <v>11</v>
      </c>
      <c r="CO13" s="155">
        <v>0.46428571428571508</v>
      </c>
      <c r="CP13" s="156">
        <v>0.35714285714285765</v>
      </c>
      <c r="CQ13" s="156">
        <v>0.10714285714285732</v>
      </c>
      <c r="CR13" s="156">
        <v>7.1428571428571536E-2</v>
      </c>
      <c r="CS13" s="156">
        <v>0</v>
      </c>
      <c r="CT13" s="162">
        <v>28</v>
      </c>
      <c r="CU13" s="155">
        <v>0.42857142857142927</v>
      </c>
      <c r="CV13" s="156">
        <v>0.46428571428571508</v>
      </c>
      <c r="CW13" s="156">
        <v>7.1428571428571536E-2</v>
      </c>
      <c r="CX13" s="156">
        <v>3.5714285714285768E-2</v>
      </c>
      <c r="CY13" s="156">
        <v>0</v>
      </c>
      <c r="CZ13" s="162">
        <v>28</v>
      </c>
      <c r="DA13" s="155">
        <v>0.6</v>
      </c>
      <c r="DB13" s="156">
        <v>0.3</v>
      </c>
      <c r="DC13" s="156">
        <v>0.1</v>
      </c>
      <c r="DD13" s="156">
        <v>0</v>
      </c>
      <c r="DE13" s="156">
        <v>0</v>
      </c>
      <c r="DF13" s="162">
        <v>10</v>
      </c>
      <c r="DG13" s="155">
        <v>0.75</v>
      </c>
      <c r="DH13" s="156">
        <v>0.25</v>
      </c>
      <c r="DI13" s="156">
        <v>0</v>
      </c>
      <c r="DJ13" s="156">
        <v>0</v>
      </c>
      <c r="DK13" s="156">
        <v>0</v>
      </c>
      <c r="DL13" s="162">
        <v>12</v>
      </c>
      <c r="DM13" s="155">
        <v>0.63636363636363602</v>
      </c>
      <c r="DN13" s="156">
        <v>0.18181818181818157</v>
      </c>
      <c r="DO13" s="156">
        <v>0</v>
      </c>
      <c r="DP13" s="156">
        <v>0.18181818181818157</v>
      </c>
      <c r="DQ13" s="156">
        <v>0</v>
      </c>
      <c r="DR13" s="162">
        <v>11</v>
      </c>
      <c r="DS13" s="161">
        <v>0.88888888888888784</v>
      </c>
      <c r="DT13" s="156">
        <v>0.11111111111111098</v>
      </c>
      <c r="DU13" s="156">
        <v>0</v>
      </c>
      <c r="DV13" s="156">
        <v>0</v>
      </c>
      <c r="DW13" s="156">
        <v>0</v>
      </c>
      <c r="DX13" s="162">
        <v>9</v>
      </c>
      <c r="DY13" s="155">
        <v>0.95744680851063924</v>
      </c>
      <c r="DZ13" s="156">
        <v>4.2553191489361673E-2</v>
      </c>
      <c r="EA13" s="156">
        <v>0</v>
      </c>
      <c r="EB13" s="156">
        <v>0</v>
      </c>
      <c r="EC13" s="156">
        <v>0</v>
      </c>
      <c r="ED13" s="162">
        <v>47</v>
      </c>
      <c r="EE13" s="155">
        <v>0.80000000000000016</v>
      </c>
      <c r="EF13" s="156">
        <v>0.13333333333333341</v>
      </c>
      <c r="EG13" s="156">
        <v>6.6666666666666707E-2</v>
      </c>
      <c r="EH13" s="156">
        <v>0</v>
      </c>
      <c r="EI13" s="156">
        <v>0</v>
      </c>
      <c r="EJ13" s="162">
        <v>15</v>
      </c>
      <c r="EK13" s="155">
        <v>0.78947368421052588</v>
      </c>
      <c r="EL13" s="156">
        <v>0.21052631578947378</v>
      </c>
      <c r="EM13" s="156">
        <v>0</v>
      </c>
      <c r="EN13" s="156">
        <v>0</v>
      </c>
      <c r="EO13" s="156">
        <v>0</v>
      </c>
      <c r="EP13" s="162">
        <v>19</v>
      </c>
      <c r="EQ13" s="155">
        <v>0.82499999999999984</v>
      </c>
      <c r="ER13" s="156">
        <v>0.1</v>
      </c>
      <c r="ES13" s="156">
        <v>0.05</v>
      </c>
      <c r="ET13" s="156">
        <v>0</v>
      </c>
      <c r="EU13" s="156">
        <v>2.5000000000000001E-2</v>
      </c>
      <c r="EV13" s="162">
        <v>40</v>
      </c>
      <c r="EW13" s="155">
        <v>0.87499999999999989</v>
      </c>
      <c r="EX13" s="156">
        <v>0.1</v>
      </c>
      <c r="EY13" s="156">
        <v>2.5000000000000001E-2</v>
      </c>
      <c r="EZ13" s="156">
        <v>0</v>
      </c>
      <c r="FA13" s="156">
        <v>0</v>
      </c>
      <c r="FB13" s="162">
        <v>40</v>
      </c>
      <c r="FC13" s="155">
        <v>0.50000000000000011</v>
      </c>
      <c r="FD13" s="156">
        <v>0.31250000000000006</v>
      </c>
      <c r="FE13" s="156">
        <v>0</v>
      </c>
      <c r="FF13" s="156">
        <v>0.18750000000000003</v>
      </c>
      <c r="FG13" s="156">
        <v>0</v>
      </c>
      <c r="FH13" s="162">
        <v>16</v>
      </c>
      <c r="FI13" s="161">
        <v>0.64285714285714246</v>
      </c>
      <c r="FJ13" s="156">
        <v>0.21428571428571425</v>
      </c>
      <c r="FK13" s="156">
        <v>7.1428571428571508E-2</v>
      </c>
      <c r="FL13" s="156">
        <v>7.1428571428571508E-2</v>
      </c>
      <c r="FM13" s="156">
        <v>0</v>
      </c>
      <c r="FN13" s="162">
        <v>14</v>
      </c>
      <c r="FO13" s="155">
        <v>0</v>
      </c>
      <c r="FP13" s="156">
        <v>0</v>
      </c>
      <c r="FQ13" s="156">
        <v>0</v>
      </c>
      <c r="FR13" s="156">
        <v>0</v>
      </c>
      <c r="FS13" s="156">
        <v>0</v>
      </c>
      <c r="FT13" s="162">
        <v>0</v>
      </c>
      <c r="FU13" s="155">
        <v>0</v>
      </c>
      <c r="FV13" s="156">
        <v>0</v>
      </c>
      <c r="FW13" s="156">
        <v>0</v>
      </c>
      <c r="FX13" s="156">
        <v>0</v>
      </c>
      <c r="FY13" s="156">
        <v>0</v>
      </c>
      <c r="FZ13" s="162">
        <v>0</v>
      </c>
      <c r="GA13" s="161">
        <v>0</v>
      </c>
      <c r="GB13" s="156">
        <v>0</v>
      </c>
      <c r="GC13" s="156">
        <v>0</v>
      </c>
      <c r="GD13" s="156">
        <v>0</v>
      </c>
      <c r="GE13" s="156">
        <v>0</v>
      </c>
      <c r="GF13" s="162">
        <v>0</v>
      </c>
      <c r="GG13" s="158">
        <v>9.5365853658536395</v>
      </c>
      <c r="GH13" s="162">
        <v>41</v>
      </c>
      <c r="GI13" s="155">
        <v>0.83333333333333326</v>
      </c>
      <c r="GJ13" s="156">
        <v>0.12499999999999999</v>
      </c>
      <c r="GK13" s="156">
        <v>4.1666666666666637E-2</v>
      </c>
      <c r="GL13" s="156">
        <v>0</v>
      </c>
      <c r="GM13" s="156">
        <v>0</v>
      </c>
      <c r="GN13" s="162">
        <v>48</v>
      </c>
      <c r="GO13" s="155">
        <v>0.55555555555555447</v>
      </c>
      <c r="GP13" s="156">
        <v>0.26666666666666622</v>
      </c>
      <c r="GQ13" s="156">
        <v>0.22222222222222196</v>
      </c>
      <c r="GR13" s="156">
        <v>0</v>
      </c>
      <c r="GS13" s="162">
        <v>45</v>
      </c>
      <c r="GT13" s="163">
        <v>3.1276595744680837</v>
      </c>
      <c r="GU13" s="162">
        <v>47</v>
      </c>
      <c r="GV13" s="155">
        <v>0.76470588235294135</v>
      </c>
      <c r="GW13" s="156">
        <v>0.23529411764705871</v>
      </c>
      <c r="GX13" s="162">
        <v>17</v>
      </c>
      <c r="GY13" s="155">
        <v>0.90322580645161266</v>
      </c>
      <c r="GZ13" s="156">
        <v>9.6774193548387136E-2</v>
      </c>
      <c r="HA13" s="162">
        <v>31</v>
      </c>
      <c r="HB13" s="155">
        <v>0.97619047619047672</v>
      </c>
      <c r="HC13" s="156">
        <v>2.3809523809523801E-2</v>
      </c>
      <c r="HD13" s="162">
        <v>42</v>
      </c>
      <c r="HE13" s="161">
        <v>0.93939393939393978</v>
      </c>
      <c r="HF13" s="156">
        <v>6.0606060606060622E-2</v>
      </c>
      <c r="HG13" s="162">
        <v>33</v>
      </c>
      <c r="HH13" s="155">
        <v>0.45454545454545453</v>
      </c>
      <c r="HI13" s="156">
        <v>0.54545454545454497</v>
      </c>
      <c r="HJ13" s="162">
        <v>44</v>
      </c>
      <c r="HK13" s="155">
        <v>1</v>
      </c>
      <c r="HL13" s="156">
        <v>0</v>
      </c>
      <c r="HM13" s="162">
        <v>40</v>
      </c>
      <c r="HN13" s="161">
        <v>2.5641025641025664E-2</v>
      </c>
      <c r="HO13" s="156">
        <v>0.15384615384615366</v>
      </c>
      <c r="HP13" s="156">
        <v>0.30769230769230732</v>
      </c>
      <c r="HQ13" s="156">
        <v>0.38461538461538508</v>
      </c>
      <c r="HR13" s="156">
        <v>0.12820512820512819</v>
      </c>
      <c r="HS13" s="160">
        <v>59.794871794871725</v>
      </c>
      <c r="HT13" s="164">
        <v>39</v>
      </c>
      <c r="HU13" s="165">
        <v>2.3809523809523808E-2</v>
      </c>
      <c r="HV13" s="166">
        <v>4.7619047619047616E-2</v>
      </c>
      <c r="HW13" s="166">
        <v>0.14285714285714285</v>
      </c>
      <c r="HX13" s="166">
        <v>0.33333333333333331</v>
      </c>
      <c r="HY13" s="166">
        <v>7.1428571428571425E-2</v>
      </c>
      <c r="HZ13" s="166">
        <v>0.16666666666666666</v>
      </c>
      <c r="IA13" s="166">
        <v>4.7619047619047616E-2</v>
      </c>
      <c r="IB13" s="166">
        <v>9.5238095238095233E-2</v>
      </c>
      <c r="IC13" s="166">
        <v>2.3809523809523808E-2</v>
      </c>
      <c r="ID13" s="166">
        <v>4.7619047619047616E-2</v>
      </c>
      <c r="IE13" s="167">
        <v>42</v>
      </c>
      <c r="IF13" s="155">
        <v>0</v>
      </c>
      <c r="IG13" s="156">
        <v>1</v>
      </c>
      <c r="IH13" s="156">
        <v>0</v>
      </c>
      <c r="II13" s="156">
        <v>0</v>
      </c>
      <c r="IJ13" s="156">
        <v>0</v>
      </c>
      <c r="IK13" s="162">
        <v>1</v>
      </c>
      <c r="IL13" s="155">
        <v>0</v>
      </c>
      <c r="IM13" s="156">
        <v>0</v>
      </c>
      <c r="IN13" s="156">
        <v>4.7619047619047603E-2</v>
      </c>
      <c r="IO13" s="156">
        <v>0.95238095238095322</v>
      </c>
      <c r="IP13" s="156">
        <v>0</v>
      </c>
      <c r="IQ13" s="162">
        <v>42</v>
      </c>
      <c r="IR13" s="155">
        <v>4.7619047619047603E-2</v>
      </c>
      <c r="IS13" s="156">
        <v>0.95238095238095322</v>
      </c>
      <c r="IT13" s="162">
        <v>42</v>
      </c>
      <c r="IU13" s="161">
        <v>0</v>
      </c>
      <c r="IV13" s="156">
        <v>0</v>
      </c>
      <c r="IW13" s="156">
        <v>1</v>
      </c>
      <c r="IX13" s="162">
        <v>2</v>
      </c>
    </row>
    <row r="14" spans="1:258" ht="32.1" customHeight="1" x14ac:dyDescent="0.25">
      <c r="A14" s="110" t="s">
        <v>453</v>
      </c>
      <c r="B14" s="108" t="s">
        <v>578</v>
      </c>
      <c r="C14" s="108" t="s">
        <v>454</v>
      </c>
      <c r="D14" s="109">
        <v>23</v>
      </c>
      <c r="E14" s="139" t="s">
        <v>465</v>
      </c>
      <c r="F14" s="155">
        <v>4.8780487804878009E-2</v>
      </c>
      <c r="G14" s="156">
        <v>0.95121951219512113</v>
      </c>
      <c r="H14" s="157">
        <v>41</v>
      </c>
      <c r="I14" s="155">
        <v>0.80555555555555625</v>
      </c>
      <c r="J14" s="156">
        <v>0.1944444444444445</v>
      </c>
      <c r="K14" s="157">
        <v>36</v>
      </c>
      <c r="L14" s="155">
        <v>0.74074074074074081</v>
      </c>
      <c r="M14" s="156">
        <v>0.25925925925925902</v>
      </c>
      <c r="N14" s="157">
        <v>27</v>
      </c>
      <c r="O14" s="155">
        <v>0.17073170731707313</v>
      </c>
      <c r="P14" s="156">
        <v>7.3170731707317013E-2</v>
      </c>
      <c r="Q14" s="156">
        <v>0.58536585365853688</v>
      </c>
      <c r="R14" s="156">
        <v>2.4390243902439018E-2</v>
      </c>
      <c r="S14" s="156">
        <v>0.51219512195121919</v>
      </c>
      <c r="T14" s="156">
        <v>0</v>
      </c>
      <c r="U14" s="156">
        <v>7.3170731707317013E-2</v>
      </c>
      <c r="V14" s="156">
        <v>2.4390243902439018E-2</v>
      </c>
      <c r="W14" s="156">
        <v>9.7560975609756087E-2</v>
      </c>
      <c r="X14" s="156">
        <v>0.14634146341463403</v>
      </c>
      <c r="Y14" s="157">
        <v>41</v>
      </c>
      <c r="Z14" s="155">
        <v>0.60526315789473639</v>
      </c>
      <c r="AA14" s="156">
        <v>0.57894736842105232</v>
      </c>
      <c r="AB14" s="156">
        <v>0.31578947368421051</v>
      </c>
      <c r="AC14" s="156">
        <v>0.52631578947368396</v>
      </c>
      <c r="AD14" s="156">
        <v>5.2631578947368376E-2</v>
      </c>
      <c r="AE14" s="156">
        <v>0.15789473684210525</v>
      </c>
      <c r="AF14" s="157">
        <v>38</v>
      </c>
      <c r="AG14" s="158">
        <v>9.6499999999999932</v>
      </c>
      <c r="AH14" s="159">
        <v>40</v>
      </c>
      <c r="AI14" s="160">
        <v>9.7749999999999915</v>
      </c>
      <c r="AJ14" s="159">
        <v>40</v>
      </c>
      <c r="AK14" s="160">
        <v>9.7948717948717832</v>
      </c>
      <c r="AL14" s="157">
        <v>39</v>
      </c>
      <c r="AM14" s="155">
        <v>0.24999999999999989</v>
      </c>
      <c r="AN14" s="156">
        <v>0.47499999999999992</v>
      </c>
      <c r="AO14" s="156">
        <v>4.9999999999999989E-2</v>
      </c>
      <c r="AP14" s="156">
        <v>0.17499999999999996</v>
      </c>
      <c r="AQ14" s="156">
        <v>4.9999999999999989E-2</v>
      </c>
      <c r="AR14" s="157">
        <v>40</v>
      </c>
      <c r="AS14" s="155">
        <v>0.9</v>
      </c>
      <c r="AT14" s="156">
        <v>7.4999999999999983E-2</v>
      </c>
      <c r="AU14" s="156">
        <v>2.4999999999999994E-2</v>
      </c>
      <c r="AV14" s="156">
        <v>0</v>
      </c>
      <c r="AW14" s="156">
        <v>0</v>
      </c>
      <c r="AX14" s="157">
        <v>40</v>
      </c>
      <c r="AY14" s="155">
        <v>0.47499999999999992</v>
      </c>
      <c r="AZ14" s="156">
        <v>0.37499999999999994</v>
      </c>
      <c r="BA14" s="156">
        <v>0.12499999999999994</v>
      </c>
      <c r="BB14" s="156">
        <v>2.4999999999999994E-2</v>
      </c>
      <c r="BC14" s="156">
        <v>0</v>
      </c>
      <c r="BD14" s="157">
        <v>40</v>
      </c>
      <c r="BE14" s="155">
        <v>0.7560975609756091</v>
      </c>
      <c r="BF14" s="156">
        <v>0.19512195121951204</v>
      </c>
      <c r="BG14" s="156">
        <v>4.8780487804878009E-2</v>
      </c>
      <c r="BH14" s="156">
        <v>0</v>
      </c>
      <c r="BI14" s="156">
        <v>0</v>
      </c>
      <c r="BJ14" s="157">
        <v>41</v>
      </c>
      <c r="BK14" s="155">
        <v>0.65789473684210453</v>
      </c>
      <c r="BL14" s="156">
        <v>0.28947368421052622</v>
      </c>
      <c r="BM14" s="156">
        <v>5.2631578947368418E-2</v>
      </c>
      <c r="BN14" s="156">
        <v>0</v>
      </c>
      <c r="BO14" s="156">
        <v>0</v>
      </c>
      <c r="BP14" s="157">
        <v>38</v>
      </c>
      <c r="BQ14" s="155">
        <v>0.94999999999999984</v>
      </c>
      <c r="BR14" s="156">
        <v>4.9999999999999989E-2</v>
      </c>
      <c r="BS14" s="156">
        <v>0</v>
      </c>
      <c r="BT14" s="156">
        <v>0</v>
      </c>
      <c r="BU14" s="156">
        <v>0</v>
      </c>
      <c r="BV14" s="157">
        <v>40</v>
      </c>
      <c r="BW14" s="161">
        <v>0.60869565217391308</v>
      </c>
      <c r="BX14" s="156">
        <v>0.17391304347826084</v>
      </c>
      <c r="BY14" s="156">
        <v>0.17391304347826084</v>
      </c>
      <c r="BZ14" s="156">
        <v>4.3478260869565209E-2</v>
      </c>
      <c r="CA14" s="156">
        <v>0</v>
      </c>
      <c r="CB14" s="157">
        <v>23</v>
      </c>
      <c r="CC14" s="155">
        <v>0.64705882352941158</v>
      </c>
      <c r="CD14" s="156">
        <v>0.29411764705882343</v>
      </c>
      <c r="CE14" s="156">
        <v>5.8823529411764656E-2</v>
      </c>
      <c r="CF14" s="156">
        <v>0</v>
      </c>
      <c r="CG14" s="156">
        <v>0</v>
      </c>
      <c r="CH14" s="162">
        <v>17</v>
      </c>
      <c r="CI14" s="155">
        <v>0.39999999999999991</v>
      </c>
      <c r="CJ14" s="156">
        <v>0.46666666666666695</v>
      </c>
      <c r="CK14" s="156">
        <v>6.6666666666666652E-2</v>
      </c>
      <c r="CL14" s="156">
        <v>6.6666666666666652E-2</v>
      </c>
      <c r="CM14" s="156">
        <v>0</v>
      </c>
      <c r="CN14" s="162">
        <v>15</v>
      </c>
      <c r="CO14" s="155">
        <v>0.40909090909090928</v>
      </c>
      <c r="CP14" s="156">
        <v>0.31818181818181779</v>
      </c>
      <c r="CQ14" s="156">
        <v>0.1363636363636363</v>
      </c>
      <c r="CR14" s="156">
        <v>0.1363636363636363</v>
      </c>
      <c r="CS14" s="156">
        <v>0</v>
      </c>
      <c r="CT14" s="162">
        <v>22</v>
      </c>
      <c r="CU14" s="155">
        <v>0.37499999999999994</v>
      </c>
      <c r="CV14" s="156">
        <v>0.4583333333333327</v>
      </c>
      <c r="CW14" s="156">
        <v>0.12499999999999996</v>
      </c>
      <c r="CX14" s="156">
        <v>0</v>
      </c>
      <c r="CY14" s="156">
        <v>4.166666666666665E-2</v>
      </c>
      <c r="CZ14" s="162">
        <v>24</v>
      </c>
      <c r="DA14" s="155">
        <v>0.23076923076923092</v>
      </c>
      <c r="DB14" s="156">
        <v>0.61538461538461475</v>
      </c>
      <c r="DC14" s="156">
        <v>7.6923076923076844E-2</v>
      </c>
      <c r="DD14" s="156">
        <v>0</v>
      </c>
      <c r="DE14" s="156">
        <v>7.6923076923076844E-2</v>
      </c>
      <c r="DF14" s="162">
        <v>13</v>
      </c>
      <c r="DG14" s="155">
        <v>0.28571428571428575</v>
      </c>
      <c r="DH14" s="156">
        <v>0.5</v>
      </c>
      <c r="DI14" s="156">
        <v>0.14285714285714288</v>
      </c>
      <c r="DJ14" s="156">
        <v>0</v>
      </c>
      <c r="DK14" s="156">
        <v>7.1428571428571438E-2</v>
      </c>
      <c r="DL14" s="162">
        <v>14</v>
      </c>
      <c r="DM14" s="155">
        <v>0.3333333333333332</v>
      </c>
      <c r="DN14" s="156">
        <v>0.52380952380952339</v>
      </c>
      <c r="DO14" s="156">
        <v>9.5238095238095205E-2</v>
      </c>
      <c r="DP14" s="156">
        <v>0</v>
      </c>
      <c r="DQ14" s="156">
        <v>4.7619047619047603E-2</v>
      </c>
      <c r="DR14" s="162">
        <v>21</v>
      </c>
      <c r="DS14" s="161">
        <v>0.57894736842105243</v>
      </c>
      <c r="DT14" s="156">
        <v>0.31578947368421034</v>
      </c>
      <c r="DU14" s="156">
        <v>0.10526315789473686</v>
      </c>
      <c r="DV14" s="156">
        <v>0</v>
      </c>
      <c r="DW14" s="156">
        <v>0</v>
      </c>
      <c r="DX14" s="162">
        <v>19</v>
      </c>
      <c r="DY14" s="155">
        <v>0.97435897435897445</v>
      </c>
      <c r="DZ14" s="156">
        <v>2.5641025641025651E-2</v>
      </c>
      <c r="EA14" s="156">
        <v>0</v>
      </c>
      <c r="EB14" s="156">
        <v>0</v>
      </c>
      <c r="EC14" s="156">
        <v>0</v>
      </c>
      <c r="ED14" s="162">
        <v>39</v>
      </c>
      <c r="EE14" s="155">
        <v>0.71999999999999986</v>
      </c>
      <c r="EF14" s="156">
        <v>0.19999999999999996</v>
      </c>
      <c r="EG14" s="156">
        <v>7.9999999999999988E-2</v>
      </c>
      <c r="EH14" s="156">
        <v>0</v>
      </c>
      <c r="EI14" s="156">
        <v>0</v>
      </c>
      <c r="EJ14" s="162">
        <v>25</v>
      </c>
      <c r="EK14" s="155">
        <v>0.6399999999999999</v>
      </c>
      <c r="EL14" s="156">
        <v>0.23999999999999996</v>
      </c>
      <c r="EM14" s="156">
        <v>0.11999999999999998</v>
      </c>
      <c r="EN14" s="156">
        <v>0</v>
      </c>
      <c r="EO14" s="156">
        <v>0</v>
      </c>
      <c r="EP14" s="162">
        <v>25</v>
      </c>
      <c r="EQ14" s="155">
        <v>0.74193548387096731</v>
      </c>
      <c r="ER14" s="156">
        <v>0.1935483870967741</v>
      </c>
      <c r="ES14" s="156">
        <v>6.4516129032257993E-2</v>
      </c>
      <c r="ET14" s="156">
        <v>0</v>
      </c>
      <c r="EU14" s="156">
        <v>0</v>
      </c>
      <c r="EV14" s="162">
        <v>31</v>
      </c>
      <c r="EW14" s="155">
        <v>0.68965517241379226</v>
      </c>
      <c r="EX14" s="156">
        <v>0.24137931034482762</v>
      </c>
      <c r="EY14" s="156">
        <v>6.8965517241379282E-2</v>
      </c>
      <c r="EZ14" s="156">
        <v>0</v>
      </c>
      <c r="FA14" s="156">
        <v>0</v>
      </c>
      <c r="FB14" s="162">
        <v>29</v>
      </c>
      <c r="FC14" s="155">
        <v>0.70833333333333348</v>
      </c>
      <c r="FD14" s="156">
        <v>0.24999999999999992</v>
      </c>
      <c r="FE14" s="156">
        <v>0</v>
      </c>
      <c r="FF14" s="156">
        <v>0</v>
      </c>
      <c r="FG14" s="156">
        <v>4.166666666666665E-2</v>
      </c>
      <c r="FH14" s="162">
        <v>24</v>
      </c>
      <c r="FI14" s="161">
        <v>0.54545454545454519</v>
      </c>
      <c r="FJ14" s="156">
        <v>0.18181818181818168</v>
      </c>
      <c r="FK14" s="156">
        <v>9.0909090909090842E-2</v>
      </c>
      <c r="FL14" s="156">
        <v>0.18181818181818168</v>
      </c>
      <c r="FM14" s="156">
        <v>0</v>
      </c>
      <c r="FN14" s="162">
        <v>11</v>
      </c>
      <c r="FO14" s="155">
        <v>0</v>
      </c>
      <c r="FP14" s="156">
        <v>0</v>
      </c>
      <c r="FQ14" s="156">
        <v>0</v>
      </c>
      <c r="FR14" s="156">
        <v>0</v>
      </c>
      <c r="FS14" s="156">
        <v>0</v>
      </c>
      <c r="FT14" s="162">
        <v>0</v>
      </c>
      <c r="FU14" s="155">
        <v>0</v>
      </c>
      <c r="FV14" s="156">
        <v>0</v>
      </c>
      <c r="FW14" s="156">
        <v>0</v>
      </c>
      <c r="FX14" s="156">
        <v>0</v>
      </c>
      <c r="FY14" s="156">
        <v>0</v>
      </c>
      <c r="FZ14" s="162">
        <v>0</v>
      </c>
      <c r="GA14" s="161">
        <v>0</v>
      </c>
      <c r="GB14" s="156">
        <v>0</v>
      </c>
      <c r="GC14" s="156">
        <v>0</v>
      </c>
      <c r="GD14" s="156">
        <v>0</v>
      </c>
      <c r="GE14" s="156">
        <v>0</v>
      </c>
      <c r="GF14" s="162">
        <v>0</v>
      </c>
      <c r="GG14" s="158">
        <v>8.9142857142857093</v>
      </c>
      <c r="GH14" s="162">
        <v>35</v>
      </c>
      <c r="GI14" s="155">
        <v>0.90243902439024293</v>
      </c>
      <c r="GJ14" s="156">
        <v>7.3170731707317013E-2</v>
      </c>
      <c r="GK14" s="156">
        <v>2.4390243902439004E-2</v>
      </c>
      <c r="GL14" s="156">
        <v>0</v>
      </c>
      <c r="GM14" s="156">
        <v>0</v>
      </c>
      <c r="GN14" s="162">
        <v>41</v>
      </c>
      <c r="GO14" s="155">
        <v>0.56097560975609773</v>
      </c>
      <c r="GP14" s="156">
        <v>0.19512195121951217</v>
      </c>
      <c r="GQ14" s="156">
        <v>0.12195121951219515</v>
      </c>
      <c r="GR14" s="156">
        <v>0.17073170731707313</v>
      </c>
      <c r="GS14" s="162">
        <v>41</v>
      </c>
      <c r="GT14" s="163">
        <v>3.1951219512195088</v>
      </c>
      <c r="GU14" s="162">
        <v>41</v>
      </c>
      <c r="GV14" s="155">
        <v>0.95</v>
      </c>
      <c r="GW14" s="156">
        <v>4.9999999999999989E-2</v>
      </c>
      <c r="GX14" s="162">
        <v>20</v>
      </c>
      <c r="GY14" s="155">
        <v>1</v>
      </c>
      <c r="GZ14" s="156">
        <v>0</v>
      </c>
      <c r="HA14" s="162">
        <v>26</v>
      </c>
      <c r="HB14" s="155">
        <v>0.9473684210526323</v>
      </c>
      <c r="HC14" s="156">
        <v>5.2631578947368418E-2</v>
      </c>
      <c r="HD14" s="162">
        <v>38</v>
      </c>
      <c r="HE14" s="161">
        <v>0.93103448275861977</v>
      </c>
      <c r="HF14" s="156">
        <v>6.8965517241379282E-2</v>
      </c>
      <c r="HG14" s="162">
        <v>29</v>
      </c>
      <c r="HH14" s="155">
        <v>0.56410256410256365</v>
      </c>
      <c r="HI14" s="156">
        <v>0.43589743589743596</v>
      </c>
      <c r="HJ14" s="162">
        <v>39</v>
      </c>
      <c r="HK14" s="155">
        <v>1</v>
      </c>
      <c r="HL14" s="156">
        <v>0</v>
      </c>
      <c r="HM14" s="162">
        <v>35</v>
      </c>
      <c r="HN14" s="161">
        <v>2.9411764705882325E-2</v>
      </c>
      <c r="HO14" s="156">
        <v>5.882352941176465E-2</v>
      </c>
      <c r="HP14" s="156">
        <v>0.32352941176470557</v>
      </c>
      <c r="HQ14" s="156">
        <v>0.52941176470588247</v>
      </c>
      <c r="HR14" s="156">
        <v>5.882352941176465E-2</v>
      </c>
      <c r="HS14" s="160">
        <v>62.882352941176435</v>
      </c>
      <c r="HT14" s="164">
        <v>34</v>
      </c>
      <c r="HU14" s="165">
        <v>0</v>
      </c>
      <c r="HV14" s="166">
        <v>2.564102564102564E-2</v>
      </c>
      <c r="HW14" s="166">
        <v>7.6923076923076927E-2</v>
      </c>
      <c r="HX14" s="166">
        <v>0.17948717948717949</v>
      </c>
      <c r="HY14" s="166">
        <v>7.6923076923076927E-2</v>
      </c>
      <c r="HZ14" s="166">
        <v>0.20512820512820512</v>
      </c>
      <c r="IA14" s="166">
        <v>0.10256410256410256</v>
      </c>
      <c r="IB14" s="166">
        <v>0.12820512820512819</v>
      </c>
      <c r="IC14" s="166">
        <v>5.128205128205128E-2</v>
      </c>
      <c r="ID14" s="166">
        <v>0.15384615384615385</v>
      </c>
      <c r="IE14" s="167">
        <v>39</v>
      </c>
      <c r="IF14" s="155">
        <v>0</v>
      </c>
      <c r="IG14" s="156">
        <v>0</v>
      </c>
      <c r="IH14" s="156">
        <v>0</v>
      </c>
      <c r="II14" s="156">
        <v>0</v>
      </c>
      <c r="IJ14" s="156">
        <v>0</v>
      </c>
      <c r="IK14" s="162">
        <v>0</v>
      </c>
      <c r="IL14" s="155">
        <v>0</v>
      </c>
      <c r="IM14" s="156">
        <v>0</v>
      </c>
      <c r="IN14" s="156">
        <v>0</v>
      </c>
      <c r="IO14" s="156">
        <v>0.97297297297297392</v>
      </c>
      <c r="IP14" s="156">
        <v>2.7027027027026987E-2</v>
      </c>
      <c r="IQ14" s="162">
        <v>37</v>
      </c>
      <c r="IR14" s="155">
        <v>8.1081081081081058E-2</v>
      </c>
      <c r="IS14" s="156">
        <v>0.91891891891891975</v>
      </c>
      <c r="IT14" s="162">
        <v>37</v>
      </c>
      <c r="IU14" s="161">
        <v>0</v>
      </c>
      <c r="IV14" s="156">
        <v>0.33333333333333337</v>
      </c>
      <c r="IW14" s="156">
        <v>0.66666666666666674</v>
      </c>
      <c r="IX14" s="162">
        <v>3</v>
      </c>
    </row>
    <row r="15" spans="1:258" ht="32.1" customHeight="1" x14ac:dyDescent="0.25">
      <c r="A15" s="110" t="s">
        <v>453</v>
      </c>
      <c r="B15" s="108" t="s">
        <v>578</v>
      </c>
      <c r="C15" s="108" t="s">
        <v>454</v>
      </c>
      <c r="D15" s="109">
        <v>24</v>
      </c>
      <c r="E15" s="139" t="s">
        <v>466</v>
      </c>
      <c r="F15" s="155">
        <v>0.15384615384615372</v>
      </c>
      <c r="G15" s="156">
        <v>0.84615384615384603</v>
      </c>
      <c r="H15" s="157">
        <v>26</v>
      </c>
      <c r="I15" s="155">
        <v>0.89999999999999991</v>
      </c>
      <c r="J15" s="156">
        <v>9.9999999999999978E-2</v>
      </c>
      <c r="K15" s="157">
        <v>20</v>
      </c>
      <c r="L15" s="155">
        <v>0.43749999999999994</v>
      </c>
      <c r="M15" s="156">
        <v>0.56249999999999989</v>
      </c>
      <c r="N15" s="157">
        <v>16</v>
      </c>
      <c r="O15" s="155">
        <v>0.19230769230769226</v>
      </c>
      <c r="P15" s="156">
        <v>7.6923076923076886E-2</v>
      </c>
      <c r="Q15" s="156">
        <v>0.42307692307692291</v>
      </c>
      <c r="R15" s="156">
        <v>3.8461538461538443E-2</v>
      </c>
      <c r="S15" s="156">
        <v>0.34615384615384598</v>
      </c>
      <c r="T15" s="156">
        <v>7.6923076923076886E-2</v>
      </c>
      <c r="U15" s="156">
        <v>3.8461538461538443E-2</v>
      </c>
      <c r="V15" s="156">
        <v>0.11538461538461539</v>
      </c>
      <c r="W15" s="156">
        <v>7.6923076923076886E-2</v>
      </c>
      <c r="X15" s="156">
        <v>0.19230769230769226</v>
      </c>
      <c r="Y15" s="157">
        <v>26</v>
      </c>
      <c r="Z15" s="155">
        <v>0.64000000000000012</v>
      </c>
      <c r="AA15" s="156">
        <v>0.80000000000000027</v>
      </c>
      <c r="AB15" s="156">
        <v>0.56000000000000005</v>
      </c>
      <c r="AC15" s="156">
        <v>0.56000000000000005</v>
      </c>
      <c r="AD15" s="156">
        <v>4.0000000000000008E-2</v>
      </c>
      <c r="AE15" s="156">
        <v>0.12000000000000001</v>
      </c>
      <c r="AF15" s="157">
        <v>25</v>
      </c>
      <c r="AG15" s="158">
        <v>9.8399999999999963</v>
      </c>
      <c r="AH15" s="159">
        <v>25</v>
      </c>
      <c r="AI15" s="160">
        <v>9.8399999999999963</v>
      </c>
      <c r="AJ15" s="159">
        <v>25</v>
      </c>
      <c r="AK15" s="160">
        <v>9.7826086956521614</v>
      </c>
      <c r="AL15" s="157">
        <v>23</v>
      </c>
      <c r="AM15" s="155">
        <v>0.45833333333333287</v>
      </c>
      <c r="AN15" s="156">
        <v>0.45833333333333287</v>
      </c>
      <c r="AO15" s="156">
        <v>8.3333333333333356E-2</v>
      </c>
      <c r="AP15" s="156">
        <v>0</v>
      </c>
      <c r="AQ15" s="156">
        <v>0</v>
      </c>
      <c r="AR15" s="157">
        <v>24</v>
      </c>
      <c r="AS15" s="155">
        <v>0.85185185185185208</v>
      </c>
      <c r="AT15" s="156">
        <v>7.4074074074073987E-2</v>
      </c>
      <c r="AU15" s="156">
        <v>7.4074074074073987E-2</v>
      </c>
      <c r="AV15" s="156">
        <v>0</v>
      </c>
      <c r="AW15" s="156">
        <v>0</v>
      </c>
      <c r="AX15" s="157">
        <v>27</v>
      </c>
      <c r="AY15" s="155">
        <v>0.48148148148148123</v>
      </c>
      <c r="AZ15" s="156">
        <v>0.40740740740740733</v>
      </c>
      <c r="BA15" s="156">
        <v>0.11111111111111109</v>
      </c>
      <c r="BB15" s="156">
        <v>0</v>
      </c>
      <c r="BC15" s="156">
        <v>0</v>
      </c>
      <c r="BD15" s="157">
        <v>27</v>
      </c>
      <c r="BE15" s="155">
        <v>0.57692307692307632</v>
      </c>
      <c r="BF15" s="156">
        <v>0.34615384615384615</v>
      </c>
      <c r="BG15" s="156">
        <v>0</v>
      </c>
      <c r="BH15" s="156">
        <v>7.6923076923076858E-2</v>
      </c>
      <c r="BI15" s="156">
        <v>0</v>
      </c>
      <c r="BJ15" s="157">
        <v>26</v>
      </c>
      <c r="BK15" s="155">
        <v>0.66666666666666685</v>
      </c>
      <c r="BL15" s="156">
        <v>0.23809523809523811</v>
      </c>
      <c r="BM15" s="156">
        <v>0</v>
      </c>
      <c r="BN15" s="156">
        <v>9.5238095238095205E-2</v>
      </c>
      <c r="BO15" s="156">
        <v>0</v>
      </c>
      <c r="BP15" s="157">
        <v>21</v>
      </c>
      <c r="BQ15" s="155">
        <v>0.81481481481481499</v>
      </c>
      <c r="BR15" s="156">
        <v>0.14814814814814797</v>
      </c>
      <c r="BS15" s="156">
        <v>3.7037037037036993E-2</v>
      </c>
      <c r="BT15" s="156">
        <v>0</v>
      </c>
      <c r="BU15" s="156">
        <v>0</v>
      </c>
      <c r="BV15" s="157">
        <v>27</v>
      </c>
      <c r="BW15" s="161">
        <v>0.82608695652173936</v>
      </c>
      <c r="BX15" s="156">
        <v>0.13043478260869562</v>
      </c>
      <c r="BY15" s="156">
        <v>4.3478260869565168E-2</v>
      </c>
      <c r="BZ15" s="156">
        <v>0</v>
      </c>
      <c r="CA15" s="156">
        <v>0</v>
      </c>
      <c r="CB15" s="157">
        <v>23</v>
      </c>
      <c r="CC15" s="155">
        <v>0</v>
      </c>
      <c r="CD15" s="156">
        <v>0</v>
      </c>
      <c r="CE15" s="156">
        <v>0</v>
      </c>
      <c r="CF15" s="156">
        <v>1</v>
      </c>
      <c r="CG15" s="156">
        <v>0</v>
      </c>
      <c r="CH15" s="162">
        <v>1</v>
      </c>
      <c r="CI15" s="155">
        <v>0</v>
      </c>
      <c r="CJ15" s="156">
        <v>0</v>
      </c>
      <c r="CK15" s="156">
        <v>0</v>
      </c>
      <c r="CL15" s="156">
        <v>0</v>
      </c>
      <c r="CM15" s="156">
        <v>0</v>
      </c>
      <c r="CN15" s="162">
        <v>0</v>
      </c>
      <c r="CO15" s="155">
        <v>0.40000000000000008</v>
      </c>
      <c r="CP15" s="156">
        <v>0.30000000000000004</v>
      </c>
      <c r="CQ15" s="156">
        <v>0.10000000000000002</v>
      </c>
      <c r="CR15" s="156">
        <v>0.10000000000000002</v>
      </c>
      <c r="CS15" s="156">
        <v>0.10000000000000002</v>
      </c>
      <c r="CT15" s="162">
        <v>10</v>
      </c>
      <c r="CU15" s="155">
        <v>0.54545454545454519</v>
      </c>
      <c r="CV15" s="156">
        <v>0.36363636363636365</v>
      </c>
      <c r="CW15" s="156">
        <v>9.0909090909090912E-2</v>
      </c>
      <c r="CX15" s="156">
        <v>0</v>
      </c>
      <c r="CY15" s="156">
        <v>0</v>
      </c>
      <c r="CZ15" s="162">
        <v>11</v>
      </c>
      <c r="DA15" s="155">
        <v>0.75000000000000011</v>
      </c>
      <c r="DB15" s="156">
        <v>0.25</v>
      </c>
      <c r="DC15" s="156">
        <v>0</v>
      </c>
      <c r="DD15" s="156">
        <v>0</v>
      </c>
      <c r="DE15" s="156">
        <v>0</v>
      </c>
      <c r="DF15" s="162">
        <v>4</v>
      </c>
      <c r="DG15" s="155">
        <v>1</v>
      </c>
      <c r="DH15" s="156">
        <v>0</v>
      </c>
      <c r="DI15" s="156">
        <v>0</v>
      </c>
      <c r="DJ15" s="156">
        <v>0</v>
      </c>
      <c r="DK15" s="156">
        <v>0</v>
      </c>
      <c r="DL15" s="162">
        <v>1</v>
      </c>
      <c r="DM15" s="155">
        <v>0.66666666666666685</v>
      </c>
      <c r="DN15" s="156">
        <v>0.33333333333333343</v>
      </c>
      <c r="DO15" s="156">
        <v>0</v>
      </c>
      <c r="DP15" s="156">
        <v>0</v>
      </c>
      <c r="DQ15" s="156">
        <v>0</v>
      </c>
      <c r="DR15" s="162">
        <v>3</v>
      </c>
      <c r="DS15" s="161">
        <v>1</v>
      </c>
      <c r="DT15" s="156">
        <v>0</v>
      </c>
      <c r="DU15" s="156">
        <v>0</v>
      </c>
      <c r="DV15" s="156">
        <v>0</v>
      </c>
      <c r="DW15" s="156">
        <v>0</v>
      </c>
      <c r="DX15" s="162">
        <v>4</v>
      </c>
      <c r="DY15" s="155">
        <v>0.88888888888888873</v>
      </c>
      <c r="DZ15" s="156">
        <v>0.11111111111111109</v>
      </c>
      <c r="EA15" s="156">
        <v>0</v>
      </c>
      <c r="EB15" s="156">
        <v>0</v>
      </c>
      <c r="EC15" s="156">
        <v>0</v>
      </c>
      <c r="ED15" s="162">
        <v>27</v>
      </c>
      <c r="EE15" s="155">
        <v>0.76923076923076894</v>
      </c>
      <c r="EF15" s="156">
        <v>0.23076923076923092</v>
      </c>
      <c r="EG15" s="156">
        <v>0</v>
      </c>
      <c r="EH15" s="156">
        <v>0</v>
      </c>
      <c r="EI15" s="156">
        <v>0</v>
      </c>
      <c r="EJ15" s="162">
        <v>13</v>
      </c>
      <c r="EK15" s="155">
        <v>0.9</v>
      </c>
      <c r="EL15" s="156">
        <v>0.10000000000000002</v>
      </c>
      <c r="EM15" s="156">
        <v>0</v>
      </c>
      <c r="EN15" s="156">
        <v>0</v>
      </c>
      <c r="EO15" s="156">
        <v>0</v>
      </c>
      <c r="EP15" s="162">
        <v>10</v>
      </c>
      <c r="EQ15" s="155">
        <v>0.85714285714285721</v>
      </c>
      <c r="ER15" s="156">
        <v>9.5238095238095205E-2</v>
      </c>
      <c r="ES15" s="156">
        <v>4.7619047619047603E-2</v>
      </c>
      <c r="ET15" s="156">
        <v>0</v>
      </c>
      <c r="EU15" s="156">
        <v>0</v>
      </c>
      <c r="EV15" s="162">
        <v>21</v>
      </c>
      <c r="EW15" s="155">
        <v>0.86363636363636331</v>
      </c>
      <c r="EX15" s="156">
        <v>9.0909090909090912E-2</v>
      </c>
      <c r="EY15" s="156">
        <v>4.5454545454545456E-2</v>
      </c>
      <c r="EZ15" s="156">
        <v>0</v>
      </c>
      <c r="FA15" s="156">
        <v>0</v>
      </c>
      <c r="FB15" s="162">
        <v>22</v>
      </c>
      <c r="FC15" s="155">
        <v>0.75000000000000011</v>
      </c>
      <c r="FD15" s="156">
        <v>0</v>
      </c>
      <c r="FE15" s="156">
        <v>0.25</v>
      </c>
      <c r="FF15" s="156">
        <v>0</v>
      </c>
      <c r="FG15" s="156">
        <v>0</v>
      </c>
      <c r="FH15" s="162">
        <v>4</v>
      </c>
      <c r="FI15" s="161">
        <v>0.5</v>
      </c>
      <c r="FJ15" s="156">
        <v>0</v>
      </c>
      <c r="FK15" s="156">
        <v>0.5</v>
      </c>
      <c r="FL15" s="156">
        <v>0</v>
      </c>
      <c r="FM15" s="156">
        <v>0</v>
      </c>
      <c r="FN15" s="162">
        <v>2</v>
      </c>
      <c r="FO15" s="155">
        <v>0</v>
      </c>
      <c r="FP15" s="156">
        <v>0</v>
      </c>
      <c r="FQ15" s="156">
        <v>0</v>
      </c>
      <c r="FR15" s="156">
        <v>0</v>
      </c>
      <c r="FS15" s="156">
        <v>0</v>
      </c>
      <c r="FT15" s="162">
        <v>0</v>
      </c>
      <c r="FU15" s="155">
        <v>0</v>
      </c>
      <c r="FV15" s="156">
        <v>0</v>
      </c>
      <c r="FW15" s="156">
        <v>0</v>
      </c>
      <c r="FX15" s="156">
        <v>0</v>
      </c>
      <c r="FY15" s="156">
        <v>0</v>
      </c>
      <c r="FZ15" s="162">
        <v>0</v>
      </c>
      <c r="GA15" s="161">
        <v>0</v>
      </c>
      <c r="GB15" s="156">
        <v>0</v>
      </c>
      <c r="GC15" s="156">
        <v>0</v>
      </c>
      <c r="GD15" s="156">
        <v>0</v>
      </c>
      <c r="GE15" s="156">
        <v>0</v>
      </c>
      <c r="GF15" s="162">
        <v>0</v>
      </c>
      <c r="GG15" s="158">
        <v>9.6818181818181799</v>
      </c>
      <c r="GH15" s="162">
        <v>22</v>
      </c>
      <c r="GI15" s="155">
        <v>0.6399999999999999</v>
      </c>
      <c r="GJ15" s="156">
        <v>0.11999999999999998</v>
      </c>
      <c r="GK15" s="156">
        <v>0.23999999999999996</v>
      </c>
      <c r="GL15" s="156">
        <v>0</v>
      </c>
      <c r="GM15" s="156">
        <v>0</v>
      </c>
      <c r="GN15" s="162">
        <v>25</v>
      </c>
      <c r="GO15" s="155">
        <v>0.26923076923076911</v>
      </c>
      <c r="GP15" s="156">
        <v>0.46153846153846156</v>
      </c>
      <c r="GQ15" s="156">
        <v>0.26923076923076911</v>
      </c>
      <c r="GR15" s="156">
        <v>0.23076923076923078</v>
      </c>
      <c r="GS15" s="162">
        <v>26</v>
      </c>
      <c r="GT15" s="163">
        <v>2.9599999999999991</v>
      </c>
      <c r="GU15" s="162">
        <v>25</v>
      </c>
      <c r="GV15" s="155">
        <v>1.0000000000000002</v>
      </c>
      <c r="GW15" s="156">
        <v>0</v>
      </c>
      <c r="GX15" s="162">
        <v>8</v>
      </c>
      <c r="GY15" s="155">
        <v>1</v>
      </c>
      <c r="GZ15" s="156">
        <v>0</v>
      </c>
      <c r="HA15" s="162">
        <v>15</v>
      </c>
      <c r="HB15" s="155">
        <v>0.99999999999999989</v>
      </c>
      <c r="HC15" s="156">
        <v>0</v>
      </c>
      <c r="HD15" s="162">
        <v>19</v>
      </c>
      <c r="HE15" s="161">
        <v>0.90909090909090939</v>
      </c>
      <c r="HF15" s="156">
        <v>9.0909090909090912E-2</v>
      </c>
      <c r="HG15" s="162">
        <v>11</v>
      </c>
      <c r="HH15" s="155">
        <v>0.49999999999999994</v>
      </c>
      <c r="HI15" s="156">
        <v>0.49999999999999994</v>
      </c>
      <c r="HJ15" s="162">
        <v>26</v>
      </c>
      <c r="HK15" s="155">
        <v>1</v>
      </c>
      <c r="HL15" s="156">
        <v>0</v>
      </c>
      <c r="HM15" s="162">
        <v>24</v>
      </c>
      <c r="HN15" s="161">
        <v>4.1666666666666678E-2</v>
      </c>
      <c r="HO15" s="156">
        <v>0</v>
      </c>
      <c r="HP15" s="156">
        <v>0.41666666666666641</v>
      </c>
      <c r="HQ15" s="156">
        <v>0.29166666666666635</v>
      </c>
      <c r="HR15" s="156">
        <v>0.24999999999999997</v>
      </c>
      <c r="HS15" s="160">
        <v>64.666666666666686</v>
      </c>
      <c r="HT15" s="164">
        <v>24</v>
      </c>
      <c r="HU15" s="165">
        <v>0</v>
      </c>
      <c r="HV15" s="166">
        <v>4.5454545454545456E-2</v>
      </c>
      <c r="HW15" s="166">
        <v>4.5454545454545456E-2</v>
      </c>
      <c r="HX15" s="166">
        <v>0</v>
      </c>
      <c r="HY15" s="166">
        <v>0.13636363636363635</v>
      </c>
      <c r="HZ15" s="166">
        <v>0.13636363636363635</v>
      </c>
      <c r="IA15" s="166">
        <v>0.27272727272727271</v>
      </c>
      <c r="IB15" s="166">
        <v>0.18181818181818182</v>
      </c>
      <c r="IC15" s="166">
        <v>9.0909090909090912E-2</v>
      </c>
      <c r="ID15" s="166">
        <v>9.0909090909090912E-2</v>
      </c>
      <c r="IE15" s="167">
        <v>22</v>
      </c>
      <c r="IF15" s="155">
        <v>0</v>
      </c>
      <c r="IG15" s="156">
        <v>0</v>
      </c>
      <c r="IH15" s="156">
        <v>0</v>
      </c>
      <c r="II15" s="156">
        <v>0</v>
      </c>
      <c r="IJ15" s="156">
        <v>0</v>
      </c>
      <c r="IK15" s="162">
        <v>0</v>
      </c>
      <c r="IL15" s="155">
        <v>0</v>
      </c>
      <c r="IM15" s="156">
        <v>0</v>
      </c>
      <c r="IN15" s="156">
        <v>0</v>
      </c>
      <c r="IO15" s="156">
        <v>1</v>
      </c>
      <c r="IP15" s="156">
        <v>0</v>
      </c>
      <c r="IQ15" s="162">
        <v>24</v>
      </c>
      <c r="IR15" s="155">
        <v>8.3333333333333356E-2</v>
      </c>
      <c r="IS15" s="156">
        <v>0.91666666666666674</v>
      </c>
      <c r="IT15" s="162">
        <v>24</v>
      </c>
      <c r="IU15" s="161">
        <v>0</v>
      </c>
      <c r="IV15" s="156">
        <v>0.5</v>
      </c>
      <c r="IW15" s="156">
        <v>0.5</v>
      </c>
      <c r="IX15" s="162">
        <v>2</v>
      </c>
    </row>
    <row r="16" spans="1:258" ht="32.1" customHeight="1" x14ac:dyDescent="0.25">
      <c r="A16" s="110" t="s">
        <v>453</v>
      </c>
      <c r="B16" s="108" t="s">
        <v>578</v>
      </c>
      <c r="C16" s="108" t="s">
        <v>454</v>
      </c>
      <c r="D16" s="109">
        <v>25</v>
      </c>
      <c r="E16" s="139" t="s">
        <v>467</v>
      </c>
      <c r="F16" s="155">
        <v>0.16666666666666671</v>
      </c>
      <c r="G16" s="156">
        <v>0.83333333333333304</v>
      </c>
      <c r="H16" s="157">
        <v>24</v>
      </c>
      <c r="I16" s="155">
        <v>0.9</v>
      </c>
      <c r="J16" s="156">
        <v>9.9999999999999978E-2</v>
      </c>
      <c r="K16" s="157">
        <v>20</v>
      </c>
      <c r="L16" s="155">
        <v>0.43750000000000006</v>
      </c>
      <c r="M16" s="156">
        <v>0.5625</v>
      </c>
      <c r="N16" s="157">
        <v>16</v>
      </c>
      <c r="O16" s="155">
        <v>0.12499999999999999</v>
      </c>
      <c r="P16" s="156">
        <v>0.2916666666666668</v>
      </c>
      <c r="Q16" s="156">
        <v>0.1666666666666666</v>
      </c>
      <c r="R16" s="156">
        <v>0</v>
      </c>
      <c r="S16" s="156">
        <v>0.5</v>
      </c>
      <c r="T16" s="156">
        <v>0.12499999999999999</v>
      </c>
      <c r="U16" s="156">
        <v>8.3333333333333301E-2</v>
      </c>
      <c r="V16" s="156">
        <v>8.3333333333333301E-2</v>
      </c>
      <c r="W16" s="156">
        <v>0.1666666666666666</v>
      </c>
      <c r="X16" s="156">
        <v>8.3333333333333301E-2</v>
      </c>
      <c r="Y16" s="157">
        <v>24</v>
      </c>
      <c r="Z16" s="155">
        <v>0.66666666666666641</v>
      </c>
      <c r="AA16" s="156">
        <v>0.66666666666666641</v>
      </c>
      <c r="AB16" s="156">
        <v>0.625</v>
      </c>
      <c r="AC16" s="156">
        <v>0.625</v>
      </c>
      <c r="AD16" s="156">
        <v>0</v>
      </c>
      <c r="AE16" s="156">
        <v>0.1666666666666666</v>
      </c>
      <c r="AF16" s="157">
        <v>24</v>
      </c>
      <c r="AG16" s="158">
        <v>9.9166666666666643</v>
      </c>
      <c r="AH16" s="159">
        <v>24</v>
      </c>
      <c r="AI16" s="160">
        <v>9.8750000000000018</v>
      </c>
      <c r="AJ16" s="159">
        <v>24</v>
      </c>
      <c r="AK16" s="160">
        <v>9.7916666666666643</v>
      </c>
      <c r="AL16" s="157">
        <v>24</v>
      </c>
      <c r="AM16" s="155">
        <v>0.43478260869565238</v>
      </c>
      <c r="AN16" s="156">
        <v>0.30434782608695637</v>
      </c>
      <c r="AO16" s="156">
        <v>0.17391304347826078</v>
      </c>
      <c r="AP16" s="156">
        <v>8.6956521739130391E-2</v>
      </c>
      <c r="AQ16" s="156">
        <v>0</v>
      </c>
      <c r="AR16" s="157">
        <v>23</v>
      </c>
      <c r="AS16" s="155">
        <v>0.92</v>
      </c>
      <c r="AT16" s="156">
        <v>3.9999999999999994E-2</v>
      </c>
      <c r="AU16" s="156">
        <v>3.9999999999999994E-2</v>
      </c>
      <c r="AV16" s="156">
        <v>0</v>
      </c>
      <c r="AW16" s="156">
        <v>0</v>
      </c>
      <c r="AX16" s="157">
        <v>25</v>
      </c>
      <c r="AY16" s="155">
        <v>0.84</v>
      </c>
      <c r="AZ16" s="156">
        <v>0.11999999999999998</v>
      </c>
      <c r="BA16" s="156">
        <v>3.9999999999999994E-2</v>
      </c>
      <c r="BB16" s="156">
        <v>0</v>
      </c>
      <c r="BC16" s="156">
        <v>0</v>
      </c>
      <c r="BD16" s="157">
        <v>25</v>
      </c>
      <c r="BE16" s="155">
        <v>0.84</v>
      </c>
      <c r="BF16" s="156">
        <v>0.15999999999999998</v>
      </c>
      <c r="BG16" s="156">
        <v>0</v>
      </c>
      <c r="BH16" s="156">
        <v>0</v>
      </c>
      <c r="BI16" s="156">
        <v>0</v>
      </c>
      <c r="BJ16" s="157">
        <v>25</v>
      </c>
      <c r="BK16" s="155">
        <v>0.80952380952380953</v>
      </c>
      <c r="BL16" s="156">
        <v>0.19047619047619041</v>
      </c>
      <c r="BM16" s="156">
        <v>0</v>
      </c>
      <c r="BN16" s="156">
        <v>0</v>
      </c>
      <c r="BO16" s="156">
        <v>0</v>
      </c>
      <c r="BP16" s="157">
        <v>21</v>
      </c>
      <c r="BQ16" s="155">
        <v>0.83333333333333304</v>
      </c>
      <c r="BR16" s="156">
        <v>0.12499999999999999</v>
      </c>
      <c r="BS16" s="156">
        <v>4.1666666666666678E-2</v>
      </c>
      <c r="BT16" s="156">
        <v>0</v>
      </c>
      <c r="BU16" s="156">
        <v>0</v>
      </c>
      <c r="BV16" s="157">
        <v>24</v>
      </c>
      <c r="BW16" s="161">
        <v>0.94736842105263164</v>
      </c>
      <c r="BX16" s="156">
        <v>5.263157894736839E-2</v>
      </c>
      <c r="BY16" s="156">
        <v>0</v>
      </c>
      <c r="BZ16" s="156">
        <v>0</v>
      </c>
      <c r="CA16" s="156">
        <v>0</v>
      </c>
      <c r="CB16" s="157">
        <v>19</v>
      </c>
      <c r="CC16" s="155">
        <v>0.83333333333333304</v>
      </c>
      <c r="CD16" s="156">
        <v>0.16666666666666671</v>
      </c>
      <c r="CE16" s="156">
        <v>0</v>
      </c>
      <c r="CF16" s="156">
        <v>0</v>
      </c>
      <c r="CG16" s="156">
        <v>0</v>
      </c>
      <c r="CH16" s="162">
        <v>6</v>
      </c>
      <c r="CI16" s="155">
        <v>0.4285714285714286</v>
      </c>
      <c r="CJ16" s="156">
        <v>0.4285714285714286</v>
      </c>
      <c r="CK16" s="156">
        <v>0</v>
      </c>
      <c r="CL16" s="156">
        <v>0.14285714285714279</v>
      </c>
      <c r="CM16" s="156">
        <v>0</v>
      </c>
      <c r="CN16" s="162">
        <v>7</v>
      </c>
      <c r="CO16" s="155">
        <v>0.28571428571428559</v>
      </c>
      <c r="CP16" s="156">
        <v>0.35714285714285693</v>
      </c>
      <c r="CQ16" s="156">
        <v>0.14285714285714279</v>
      </c>
      <c r="CR16" s="156">
        <v>0.2142857142857143</v>
      </c>
      <c r="CS16" s="156">
        <v>0</v>
      </c>
      <c r="CT16" s="162">
        <v>14</v>
      </c>
      <c r="CU16" s="155">
        <v>0.53846153846153832</v>
      </c>
      <c r="CV16" s="156">
        <v>0.30769230769230754</v>
      </c>
      <c r="CW16" s="156">
        <v>0.15384615384615377</v>
      </c>
      <c r="CX16" s="156">
        <v>0</v>
      </c>
      <c r="CY16" s="156">
        <v>0</v>
      </c>
      <c r="CZ16" s="162">
        <v>13</v>
      </c>
      <c r="DA16" s="155">
        <v>0.25</v>
      </c>
      <c r="DB16" s="156">
        <v>0.75</v>
      </c>
      <c r="DC16" s="156">
        <v>0</v>
      </c>
      <c r="DD16" s="156">
        <v>0</v>
      </c>
      <c r="DE16" s="156">
        <v>0</v>
      </c>
      <c r="DF16" s="162">
        <v>4</v>
      </c>
      <c r="DG16" s="155">
        <v>0.25</v>
      </c>
      <c r="DH16" s="156">
        <v>0.75</v>
      </c>
      <c r="DI16" s="156">
        <v>0</v>
      </c>
      <c r="DJ16" s="156">
        <v>0</v>
      </c>
      <c r="DK16" s="156">
        <v>0</v>
      </c>
      <c r="DL16" s="162">
        <v>4</v>
      </c>
      <c r="DM16" s="155">
        <v>0.71428571428571386</v>
      </c>
      <c r="DN16" s="156">
        <v>0.28571428571428559</v>
      </c>
      <c r="DO16" s="156">
        <v>0</v>
      </c>
      <c r="DP16" s="156">
        <v>0</v>
      </c>
      <c r="DQ16" s="156">
        <v>0</v>
      </c>
      <c r="DR16" s="162">
        <v>7</v>
      </c>
      <c r="DS16" s="161">
        <v>0.66666666666666685</v>
      </c>
      <c r="DT16" s="156">
        <v>0.33333333333333343</v>
      </c>
      <c r="DU16" s="156">
        <v>0</v>
      </c>
      <c r="DV16" s="156">
        <v>0</v>
      </c>
      <c r="DW16" s="156">
        <v>0</v>
      </c>
      <c r="DX16" s="162">
        <v>3</v>
      </c>
      <c r="DY16" s="155">
        <v>0.91666666666666685</v>
      </c>
      <c r="DZ16" s="156">
        <v>8.3333333333333356E-2</v>
      </c>
      <c r="EA16" s="156">
        <v>0</v>
      </c>
      <c r="EB16" s="156">
        <v>0</v>
      </c>
      <c r="EC16" s="156">
        <v>0</v>
      </c>
      <c r="ED16" s="162">
        <v>24</v>
      </c>
      <c r="EE16" s="155">
        <v>0.79999999999999982</v>
      </c>
      <c r="EF16" s="156">
        <v>0.19999999999999996</v>
      </c>
      <c r="EG16" s="156">
        <v>0</v>
      </c>
      <c r="EH16" s="156">
        <v>0</v>
      </c>
      <c r="EI16" s="156">
        <v>0</v>
      </c>
      <c r="EJ16" s="162">
        <v>10</v>
      </c>
      <c r="EK16" s="155">
        <v>0.76923076923076916</v>
      </c>
      <c r="EL16" s="156">
        <v>0.23076923076923081</v>
      </c>
      <c r="EM16" s="156">
        <v>0</v>
      </c>
      <c r="EN16" s="156">
        <v>0</v>
      </c>
      <c r="EO16" s="156">
        <v>0</v>
      </c>
      <c r="EP16" s="162">
        <v>13</v>
      </c>
      <c r="EQ16" s="155">
        <v>0.95</v>
      </c>
      <c r="ER16" s="156">
        <v>4.9999999999999989E-2</v>
      </c>
      <c r="ES16" s="156">
        <v>0</v>
      </c>
      <c r="ET16" s="156">
        <v>0</v>
      </c>
      <c r="EU16" s="156">
        <v>0</v>
      </c>
      <c r="EV16" s="162">
        <v>20</v>
      </c>
      <c r="EW16" s="155">
        <v>0.94117647058823484</v>
      </c>
      <c r="EX16" s="156">
        <v>5.8823529411764677E-2</v>
      </c>
      <c r="EY16" s="156">
        <v>0</v>
      </c>
      <c r="EZ16" s="156">
        <v>0</v>
      </c>
      <c r="FA16" s="156">
        <v>0</v>
      </c>
      <c r="FB16" s="162">
        <v>17</v>
      </c>
      <c r="FC16" s="155">
        <v>0.5</v>
      </c>
      <c r="FD16" s="156">
        <v>0.375</v>
      </c>
      <c r="FE16" s="156">
        <v>0</v>
      </c>
      <c r="FF16" s="156">
        <v>0</v>
      </c>
      <c r="FG16" s="156">
        <v>0.125</v>
      </c>
      <c r="FH16" s="162">
        <v>8</v>
      </c>
      <c r="FI16" s="161">
        <v>0.75</v>
      </c>
      <c r="FJ16" s="156">
        <v>0.25</v>
      </c>
      <c r="FK16" s="156">
        <v>0</v>
      </c>
      <c r="FL16" s="156">
        <v>0</v>
      </c>
      <c r="FM16" s="156">
        <v>0</v>
      </c>
      <c r="FN16" s="162">
        <v>8</v>
      </c>
      <c r="FO16" s="155">
        <v>0</v>
      </c>
      <c r="FP16" s="156">
        <v>0</v>
      </c>
      <c r="FQ16" s="156">
        <v>0</v>
      </c>
      <c r="FR16" s="156">
        <v>0</v>
      </c>
      <c r="FS16" s="156">
        <v>0</v>
      </c>
      <c r="FT16" s="162">
        <v>0</v>
      </c>
      <c r="FU16" s="155">
        <v>0</v>
      </c>
      <c r="FV16" s="156">
        <v>0</v>
      </c>
      <c r="FW16" s="156">
        <v>0</v>
      </c>
      <c r="FX16" s="156">
        <v>0</v>
      </c>
      <c r="FY16" s="156">
        <v>0</v>
      </c>
      <c r="FZ16" s="162">
        <v>0</v>
      </c>
      <c r="GA16" s="161">
        <v>0</v>
      </c>
      <c r="GB16" s="156">
        <v>0</v>
      </c>
      <c r="GC16" s="156">
        <v>0</v>
      </c>
      <c r="GD16" s="156">
        <v>0</v>
      </c>
      <c r="GE16" s="156">
        <v>0</v>
      </c>
      <c r="GF16" s="162">
        <v>0</v>
      </c>
      <c r="GG16" s="158">
        <v>9.7500000000000018</v>
      </c>
      <c r="GH16" s="162">
        <v>24</v>
      </c>
      <c r="GI16" s="155">
        <v>0.75</v>
      </c>
      <c r="GJ16" s="156">
        <v>8.3333333333333356E-2</v>
      </c>
      <c r="GK16" s="156">
        <v>0.16666666666666671</v>
      </c>
      <c r="GL16" s="156">
        <v>0</v>
      </c>
      <c r="GM16" s="156">
        <v>0</v>
      </c>
      <c r="GN16" s="162">
        <v>24</v>
      </c>
      <c r="GO16" s="155">
        <v>0.56000000000000039</v>
      </c>
      <c r="GP16" s="156">
        <v>0.28000000000000019</v>
      </c>
      <c r="GQ16" s="156">
        <v>8.0000000000000016E-2</v>
      </c>
      <c r="GR16" s="156">
        <v>0.16000000000000003</v>
      </c>
      <c r="GS16" s="162">
        <v>25</v>
      </c>
      <c r="GT16" s="163">
        <v>2.7499999999999996</v>
      </c>
      <c r="GU16" s="162">
        <v>24</v>
      </c>
      <c r="GV16" s="155">
        <v>0.83333333333333304</v>
      </c>
      <c r="GW16" s="156">
        <v>0.16666666666666671</v>
      </c>
      <c r="GX16" s="162">
        <v>6</v>
      </c>
      <c r="GY16" s="155">
        <v>1</v>
      </c>
      <c r="GZ16" s="156">
        <v>0</v>
      </c>
      <c r="HA16" s="162">
        <v>10</v>
      </c>
      <c r="HB16" s="155">
        <v>0.95652173913043481</v>
      </c>
      <c r="HC16" s="156">
        <v>4.3478260869565195E-2</v>
      </c>
      <c r="HD16" s="162">
        <v>23</v>
      </c>
      <c r="HE16" s="161">
        <v>0.86666666666666681</v>
      </c>
      <c r="HF16" s="156">
        <v>0.13333333333333333</v>
      </c>
      <c r="HG16" s="162">
        <v>15</v>
      </c>
      <c r="HH16" s="155">
        <v>0.47619047619047611</v>
      </c>
      <c r="HI16" s="156">
        <v>0.52380952380952384</v>
      </c>
      <c r="HJ16" s="162">
        <v>21</v>
      </c>
      <c r="HK16" s="155">
        <v>1</v>
      </c>
      <c r="HL16" s="156">
        <v>0</v>
      </c>
      <c r="HM16" s="162">
        <v>18</v>
      </c>
      <c r="HN16" s="161">
        <v>0</v>
      </c>
      <c r="HO16" s="156">
        <v>0</v>
      </c>
      <c r="HP16" s="156">
        <v>0.36842105263157909</v>
      </c>
      <c r="HQ16" s="156">
        <v>0.42105263157894712</v>
      </c>
      <c r="HR16" s="156">
        <v>0.21052631578947356</v>
      </c>
      <c r="HS16" s="160">
        <v>65.526315789473699</v>
      </c>
      <c r="HT16" s="164">
        <v>19</v>
      </c>
      <c r="HU16" s="165">
        <v>0.11764705882352941</v>
      </c>
      <c r="HV16" s="166">
        <v>0</v>
      </c>
      <c r="HW16" s="166">
        <v>0</v>
      </c>
      <c r="HX16" s="166">
        <v>0.11764705882352941</v>
      </c>
      <c r="HY16" s="166">
        <v>0.23529411764705882</v>
      </c>
      <c r="HZ16" s="166">
        <v>0.11764705882352941</v>
      </c>
      <c r="IA16" s="166">
        <v>0.11764705882352941</v>
      </c>
      <c r="IB16" s="166">
        <v>0.17647058823529413</v>
      </c>
      <c r="IC16" s="166">
        <v>5.8823529411764705E-2</v>
      </c>
      <c r="ID16" s="166">
        <v>5.8823529411764705E-2</v>
      </c>
      <c r="IE16" s="167">
        <v>17</v>
      </c>
      <c r="IF16" s="155">
        <v>0</v>
      </c>
      <c r="IG16" s="156">
        <v>1</v>
      </c>
      <c r="IH16" s="156">
        <v>0</v>
      </c>
      <c r="II16" s="156">
        <v>0</v>
      </c>
      <c r="IJ16" s="156">
        <v>0</v>
      </c>
      <c r="IK16" s="162">
        <v>1</v>
      </c>
      <c r="IL16" s="155">
        <v>0</v>
      </c>
      <c r="IM16" s="156">
        <v>0</v>
      </c>
      <c r="IN16" s="156">
        <v>0</v>
      </c>
      <c r="IO16" s="156">
        <v>1</v>
      </c>
      <c r="IP16" s="156">
        <v>0</v>
      </c>
      <c r="IQ16" s="162">
        <v>20</v>
      </c>
      <c r="IR16" s="155">
        <v>0</v>
      </c>
      <c r="IS16" s="156">
        <v>1</v>
      </c>
      <c r="IT16" s="162">
        <v>20</v>
      </c>
      <c r="IU16" s="161">
        <v>0</v>
      </c>
      <c r="IV16" s="156">
        <v>0</v>
      </c>
      <c r="IW16" s="156">
        <v>0</v>
      </c>
      <c r="IX16" s="162">
        <v>0</v>
      </c>
    </row>
    <row r="17" spans="1:258" ht="32.1" customHeight="1" x14ac:dyDescent="0.25">
      <c r="A17" s="110" t="s">
        <v>453</v>
      </c>
      <c r="B17" s="108" t="s">
        <v>582</v>
      </c>
      <c r="C17" s="108" t="s">
        <v>454</v>
      </c>
      <c r="D17" s="109">
        <v>26</v>
      </c>
      <c r="E17" s="139" t="s">
        <v>468</v>
      </c>
      <c r="F17" s="155">
        <v>0.18750000000000003</v>
      </c>
      <c r="G17" s="156">
        <v>0.8125</v>
      </c>
      <c r="H17" s="157">
        <v>48</v>
      </c>
      <c r="I17" s="155">
        <v>0.81081081081081119</v>
      </c>
      <c r="J17" s="156">
        <v>0.18918918918918931</v>
      </c>
      <c r="K17" s="157">
        <v>37</v>
      </c>
      <c r="L17" s="155">
        <v>0.65517241379310287</v>
      </c>
      <c r="M17" s="156">
        <v>0.34482758620689663</v>
      </c>
      <c r="N17" s="157">
        <v>29</v>
      </c>
      <c r="O17" s="155">
        <v>0.27450980392156898</v>
      </c>
      <c r="P17" s="156">
        <v>0.21568627450980374</v>
      </c>
      <c r="Q17" s="156">
        <v>0.23529411764705924</v>
      </c>
      <c r="R17" s="156">
        <v>5.8823529411764809E-2</v>
      </c>
      <c r="S17" s="156">
        <v>0.33333333333333343</v>
      </c>
      <c r="T17" s="156">
        <v>1.9607843137254916E-2</v>
      </c>
      <c r="U17" s="156">
        <v>7.8431372549019662E-2</v>
      </c>
      <c r="V17" s="156">
        <v>0.13725490196078452</v>
      </c>
      <c r="W17" s="156">
        <v>9.8039215686274495E-2</v>
      </c>
      <c r="X17" s="156">
        <v>0.50980392156862819</v>
      </c>
      <c r="Y17" s="157">
        <v>51</v>
      </c>
      <c r="Z17" s="155">
        <v>0.60377358490566035</v>
      </c>
      <c r="AA17" s="156">
        <v>0.84905660377358383</v>
      </c>
      <c r="AB17" s="156">
        <v>0.3962264150943397</v>
      </c>
      <c r="AC17" s="156">
        <v>0.66037735849056645</v>
      </c>
      <c r="AD17" s="156">
        <v>5.6603773584905731E-2</v>
      </c>
      <c r="AE17" s="156">
        <v>9.4339622641509552E-2</v>
      </c>
      <c r="AF17" s="157">
        <v>53</v>
      </c>
      <c r="AG17" s="158">
        <v>9.8235294117646994</v>
      </c>
      <c r="AH17" s="159">
        <v>51</v>
      </c>
      <c r="AI17" s="160">
        <v>9.8113207547169754</v>
      </c>
      <c r="AJ17" s="159">
        <v>53</v>
      </c>
      <c r="AK17" s="160">
        <v>9.9183673469387816</v>
      </c>
      <c r="AL17" s="157">
        <v>49</v>
      </c>
      <c r="AM17" s="155">
        <v>0.63043478260869534</v>
      </c>
      <c r="AN17" s="156">
        <v>0.34782608695652228</v>
      </c>
      <c r="AO17" s="156">
        <v>2.1739130434782643E-2</v>
      </c>
      <c r="AP17" s="156">
        <v>0</v>
      </c>
      <c r="AQ17" s="156">
        <v>0</v>
      </c>
      <c r="AR17" s="157">
        <v>46</v>
      </c>
      <c r="AS17" s="155">
        <v>0.9038461538461533</v>
      </c>
      <c r="AT17" s="156">
        <v>9.6153846153846298E-2</v>
      </c>
      <c r="AU17" s="156">
        <v>0</v>
      </c>
      <c r="AV17" s="156">
        <v>0</v>
      </c>
      <c r="AW17" s="156">
        <v>0</v>
      </c>
      <c r="AX17" s="157">
        <v>52</v>
      </c>
      <c r="AY17" s="155">
        <v>0.83018867924528394</v>
      </c>
      <c r="AZ17" s="156">
        <v>0.16981132075471694</v>
      </c>
      <c r="BA17" s="156">
        <v>0</v>
      </c>
      <c r="BB17" s="156">
        <v>0</v>
      </c>
      <c r="BC17" s="156">
        <v>0</v>
      </c>
      <c r="BD17" s="157">
        <v>53</v>
      </c>
      <c r="BE17" s="155">
        <v>0.92156862745097978</v>
      </c>
      <c r="BF17" s="156">
        <v>7.8431372549019732E-2</v>
      </c>
      <c r="BG17" s="156">
        <v>0</v>
      </c>
      <c r="BH17" s="156">
        <v>0</v>
      </c>
      <c r="BI17" s="156">
        <v>0</v>
      </c>
      <c r="BJ17" s="157">
        <v>51</v>
      </c>
      <c r="BK17" s="155">
        <v>0.82352941176470607</v>
      </c>
      <c r="BL17" s="156">
        <v>0.17647058823529399</v>
      </c>
      <c r="BM17" s="156">
        <v>0</v>
      </c>
      <c r="BN17" s="156">
        <v>0</v>
      </c>
      <c r="BO17" s="156">
        <v>0</v>
      </c>
      <c r="BP17" s="157">
        <v>51</v>
      </c>
      <c r="BQ17" s="155">
        <v>0.95918367346938782</v>
      </c>
      <c r="BR17" s="156">
        <v>4.0816326530612283E-2</v>
      </c>
      <c r="BS17" s="156">
        <v>0</v>
      </c>
      <c r="BT17" s="156">
        <v>0</v>
      </c>
      <c r="BU17" s="156">
        <v>0</v>
      </c>
      <c r="BV17" s="157">
        <v>49</v>
      </c>
      <c r="BW17" s="161">
        <v>0.92307692307692346</v>
      </c>
      <c r="BX17" s="156">
        <v>7.6923076923076927E-2</v>
      </c>
      <c r="BY17" s="156">
        <v>0</v>
      </c>
      <c r="BZ17" s="156">
        <v>0</v>
      </c>
      <c r="CA17" s="156">
        <v>0</v>
      </c>
      <c r="CB17" s="157">
        <v>39</v>
      </c>
      <c r="CC17" s="155">
        <v>0.86666666666666647</v>
      </c>
      <c r="CD17" s="156">
        <v>0.13333333333333339</v>
      </c>
      <c r="CE17" s="156">
        <v>0</v>
      </c>
      <c r="CF17" s="156">
        <v>0</v>
      </c>
      <c r="CG17" s="156">
        <v>0</v>
      </c>
      <c r="CH17" s="162">
        <v>30</v>
      </c>
      <c r="CI17" s="155">
        <v>0.67857142857142794</v>
      </c>
      <c r="CJ17" s="156">
        <v>0.28571428571428598</v>
      </c>
      <c r="CK17" s="156">
        <v>0</v>
      </c>
      <c r="CL17" s="156">
        <v>3.5714285714285747E-2</v>
      </c>
      <c r="CM17" s="156">
        <v>0</v>
      </c>
      <c r="CN17" s="162">
        <v>28</v>
      </c>
      <c r="CO17" s="155">
        <v>0.45945945945945965</v>
      </c>
      <c r="CP17" s="156">
        <v>0.45945945945945965</v>
      </c>
      <c r="CQ17" s="156">
        <v>8.1081081081081224E-2</v>
      </c>
      <c r="CR17" s="156">
        <v>0</v>
      </c>
      <c r="CS17" s="156">
        <v>0</v>
      </c>
      <c r="CT17" s="162">
        <v>37</v>
      </c>
      <c r="CU17" s="155">
        <v>0.43589743589743635</v>
      </c>
      <c r="CV17" s="156">
        <v>0.46153846153846184</v>
      </c>
      <c r="CW17" s="156">
        <v>0.10256410256410266</v>
      </c>
      <c r="CX17" s="156">
        <v>0</v>
      </c>
      <c r="CY17" s="156">
        <v>0</v>
      </c>
      <c r="CZ17" s="162">
        <v>39</v>
      </c>
      <c r="DA17" s="155">
        <v>0.63157894736842091</v>
      </c>
      <c r="DB17" s="156">
        <v>0.31578947368421045</v>
      </c>
      <c r="DC17" s="156">
        <v>5.2631578947368453E-2</v>
      </c>
      <c r="DD17" s="156">
        <v>0</v>
      </c>
      <c r="DE17" s="156">
        <v>0</v>
      </c>
      <c r="DF17" s="162">
        <v>19</v>
      </c>
      <c r="DG17" s="155">
        <v>0.61111111111111183</v>
      </c>
      <c r="DH17" s="156">
        <v>0.33333333333333315</v>
      </c>
      <c r="DI17" s="156">
        <v>5.555555555555549E-2</v>
      </c>
      <c r="DJ17" s="156">
        <v>0</v>
      </c>
      <c r="DK17" s="156">
        <v>0</v>
      </c>
      <c r="DL17" s="162">
        <v>18</v>
      </c>
      <c r="DM17" s="155">
        <v>0.79166666666666619</v>
      </c>
      <c r="DN17" s="156">
        <v>0.20833333333333343</v>
      </c>
      <c r="DO17" s="156">
        <v>0</v>
      </c>
      <c r="DP17" s="156">
        <v>0</v>
      </c>
      <c r="DQ17" s="156">
        <v>0</v>
      </c>
      <c r="DR17" s="162">
        <v>24</v>
      </c>
      <c r="DS17" s="161">
        <v>0.68</v>
      </c>
      <c r="DT17" s="156">
        <v>0.28000000000000003</v>
      </c>
      <c r="DU17" s="156">
        <v>4.0000000000000008E-2</v>
      </c>
      <c r="DV17" s="156">
        <v>0</v>
      </c>
      <c r="DW17" s="156">
        <v>0</v>
      </c>
      <c r="DX17" s="162">
        <v>25</v>
      </c>
      <c r="DY17" s="155">
        <v>0.92</v>
      </c>
      <c r="DZ17" s="156">
        <v>6.0000000000000012E-2</v>
      </c>
      <c r="EA17" s="156">
        <v>2.0000000000000004E-2</v>
      </c>
      <c r="EB17" s="156">
        <v>0</v>
      </c>
      <c r="EC17" s="156">
        <v>0</v>
      </c>
      <c r="ED17" s="162">
        <v>50</v>
      </c>
      <c r="EE17" s="155">
        <v>0.75</v>
      </c>
      <c r="EF17" s="156">
        <v>0.18750000000000003</v>
      </c>
      <c r="EG17" s="156">
        <v>6.2500000000000014E-2</v>
      </c>
      <c r="EH17" s="156">
        <v>0</v>
      </c>
      <c r="EI17" s="156">
        <v>0</v>
      </c>
      <c r="EJ17" s="162">
        <v>16</v>
      </c>
      <c r="EK17" s="155">
        <v>0.82352941176470607</v>
      </c>
      <c r="EL17" s="156">
        <v>0.17647058823529399</v>
      </c>
      <c r="EM17" s="156">
        <v>0</v>
      </c>
      <c r="EN17" s="156">
        <v>0</v>
      </c>
      <c r="EO17" s="156">
        <v>0</v>
      </c>
      <c r="EP17" s="162">
        <v>17</v>
      </c>
      <c r="EQ17" s="155">
        <v>0.70588235294117596</v>
      </c>
      <c r="ER17" s="156">
        <v>0.27450980392156887</v>
      </c>
      <c r="ES17" s="156">
        <v>1.9607843137254933E-2</v>
      </c>
      <c r="ET17" s="156">
        <v>0</v>
      </c>
      <c r="EU17" s="156">
        <v>0</v>
      </c>
      <c r="EV17" s="162">
        <v>51</v>
      </c>
      <c r="EW17" s="155">
        <v>0.77083333333333381</v>
      </c>
      <c r="EX17" s="156">
        <v>0.20833333333333354</v>
      </c>
      <c r="EY17" s="156">
        <v>2.0833333333333322E-2</v>
      </c>
      <c r="EZ17" s="156">
        <v>0</v>
      </c>
      <c r="FA17" s="156">
        <v>0</v>
      </c>
      <c r="FB17" s="162">
        <v>48</v>
      </c>
      <c r="FC17" s="155">
        <v>0.50000000000000011</v>
      </c>
      <c r="FD17" s="156">
        <v>0.20000000000000004</v>
      </c>
      <c r="FE17" s="156">
        <v>0.20000000000000004</v>
      </c>
      <c r="FF17" s="156">
        <v>0.10000000000000002</v>
      </c>
      <c r="FG17" s="156">
        <v>0</v>
      </c>
      <c r="FH17" s="162">
        <v>10</v>
      </c>
      <c r="FI17" s="161">
        <v>0.8461538461538467</v>
      </c>
      <c r="FJ17" s="156">
        <v>0</v>
      </c>
      <c r="FK17" s="156">
        <v>0.15384615384615385</v>
      </c>
      <c r="FL17" s="156">
        <v>0</v>
      </c>
      <c r="FM17" s="156">
        <v>0</v>
      </c>
      <c r="FN17" s="162">
        <v>13</v>
      </c>
      <c r="FO17" s="155">
        <v>0</v>
      </c>
      <c r="FP17" s="156">
        <v>0</v>
      </c>
      <c r="FQ17" s="156">
        <v>0</v>
      </c>
      <c r="FR17" s="156">
        <v>0</v>
      </c>
      <c r="FS17" s="156">
        <v>0</v>
      </c>
      <c r="FT17" s="162">
        <v>0</v>
      </c>
      <c r="FU17" s="155">
        <v>0</v>
      </c>
      <c r="FV17" s="156">
        <v>0</v>
      </c>
      <c r="FW17" s="156">
        <v>0</v>
      </c>
      <c r="FX17" s="156">
        <v>0</v>
      </c>
      <c r="FY17" s="156">
        <v>0</v>
      </c>
      <c r="FZ17" s="162">
        <v>0</v>
      </c>
      <c r="GA17" s="161">
        <v>0</v>
      </c>
      <c r="GB17" s="156">
        <v>0</v>
      </c>
      <c r="GC17" s="156">
        <v>0</v>
      </c>
      <c r="GD17" s="156">
        <v>0</v>
      </c>
      <c r="GE17" s="156">
        <v>0</v>
      </c>
      <c r="GF17" s="162">
        <v>0</v>
      </c>
      <c r="GG17" s="158">
        <v>9.529411764705868</v>
      </c>
      <c r="GH17" s="162">
        <v>51</v>
      </c>
      <c r="GI17" s="155">
        <v>0.69811320754717043</v>
      </c>
      <c r="GJ17" s="156">
        <v>0.20754716981132099</v>
      </c>
      <c r="GK17" s="156">
        <v>7.5471698113207669E-2</v>
      </c>
      <c r="GL17" s="156">
        <v>0</v>
      </c>
      <c r="GM17" s="156">
        <v>1.8867924528301917E-2</v>
      </c>
      <c r="GN17" s="162">
        <v>53</v>
      </c>
      <c r="GO17" s="155">
        <v>0.73999999999999977</v>
      </c>
      <c r="GP17" s="156">
        <v>0.12000000000000009</v>
      </c>
      <c r="GQ17" s="156">
        <v>6.0000000000000046E-2</v>
      </c>
      <c r="GR17" s="156">
        <v>8.0000000000000057E-2</v>
      </c>
      <c r="GS17" s="162">
        <v>50</v>
      </c>
      <c r="GT17" s="163">
        <v>3.9811320754716983</v>
      </c>
      <c r="GU17" s="162">
        <v>53</v>
      </c>
      <c r="GV17" s="155">
        <v>0.86363636363636365</v>
      </c>
      <c r="GW17" s="156">
        <v>0.1363636363636363</v>
      </c>
      <c r="GX17" s="162">
        <v>22</v>
      </c>
      <c r="GY17" s="155">
        <v>0.96875</v>
      </c>
      <c r="GZ17" s="156">
        <v>3.1250000000000007E-2</v>
      </c>
      <c r="HA17" s="162">
        <v>32</v>
      </c>
      <c r="HB17" s="155">
        <v>0.97872340425531879</v>
      </c>
      <c r="HC17" s="156">
        <v>2.127659574468084E-2</v>
      </c>
      <c r="HD17" s="162">
        <v>47</v>
      </c>
      <c r="HE17" s="161">
        <v>0.9142857142857147</v>
      </c>
      <c r="HF17" s="156">
        <v>8.5714285714285673E-2</v>
      </c>
      <c r="HG17" s="162">
        <v>35</v>
      </c>
      <c r="HH17" s="155">
        <v>0.52173913043478315</v>
      </c>
      <c r="HI17" s="156">
        <v>0.47826086956521791</v>
      </c>
      <c r="HJ17" s="162">
        <v>46</v>
      </c>
      <c r="HK17" s="155">
        <v>1</v>
      </c>
      <c r="HL17" s="156">
        <v>0</v>
      </c>
      <c r="HM17" s="162">
        <v>41</v>
      </c>
      <c r="HN17" s="161">
        <v>4.5454545454545539E-2</v>
      </c>
      <c r="HO17" s="156">
        <v>0.13636363636363635</v>
      </c>
      <c r="HP17" s="156">
        <v>0.47727272727272696</v>
      </c>
      <c r="HQ17" s="156">
        <v>0.22727272727272743</v>
      </c>
      <c r="HR17" s="156">
        <v>0.11363636363636372</v>
      </c>
      <c r="HS17" s="160">
        <v>57.659090909090985</v>
      </c>
      <c r="HT17" s="164">
        <v>44</v>
      </c>
      <c r="HU17" s="165">
        <v>0</v>
      </c>
      <c r="HV17" s="166">
        <v>2.7027027027027029E-2</v>
      </c>
      <c r="HW17" s="166">
        <v>5.4054054054054057E-2</v>
      </c>
      <c r="HX17" s="166">
        <v>5.4054054054054057E-2</v>
      </c>
      <c r="HY17" s="166">
        <v>8.1081081081081086E-2</v>
      </c>
      <c r="HZ17" s="166">
        <v>5.4054054054054057E-2</v>
      </c>
      <c r="IA17" s="166">
        <v>0.16216216216216217</v>
      </c>
      <c r="IB17" s="166">
        <v>0.10810810810810811</v>
      </c>
      <c r="IC17" s="166">
        <v>0.1891891891891892</v>
      </c>
      <c r="ID17" s="166">
        <v>0.27027027027027029</v>
      </c>
      <c r="IE17" s="167">
        <v>37</v>
      </c>
      <c r="IF17" s="155">
        <v>0</v>
      </c>
      <c r="IG17" s="156">
        <v>0</v>
      </c>
      <c r="IH17" s="156">
        <v>0</v>
      </c>
      <c r="II17" s="156">
        <v>0</v>
      </c>
      <c r="IJ17" s="156">
        <v>0</v>
      </c>
      <c r="IK17" s="162">
        <v>0</v>
      </c>
      <c r="IL17" s="155">
        <v>0</v>
      </c>
      <c r="IM17" s="156">
        <v>0</v>
      </c>
      <c r="IN17" s="156">
        <v>0</v>
      </c>
      <c r="IO17" s="156">
        <v>0.97560975609756151</v>
      </c>
      <c r="IP17" s="156">
        <v>2.4390243902439018E-2</v>
      </c>
      <c r="IQ17" s="162">
        <v>41</v>
      </c>
      <c r="IR17" s="155">
        <v>0.10256410256410266</v>
      </c>
      <c r="IS17" s="156">
        <v>0.89743589743589813</v>
      </c>
      <c r="IT17" s="162">
        <v>39</v>
      </c>
      <c r="IU17" s="161">
        <v>0</v>
      </c>
      <c r="IV17" s="156">
        <v>0.25</v>
      </c>
      <c r="IW17" s="156">
        <v>0.75</v>
      </c>
      <c r="IX17" s="162">
        <v>4</v>
      </c>
    </row>
    <row r="18" spans="1:258" ht="32.1" customHeight="1" x14ac:dyDescent="0.25">
      <c r="A18" s="110" t="s">
        <v>453</v>
      </c>
      <c r="B18" s="108" t="s">
        <v>572</v>
      </c>
      <c r="C18" s="108" t="s">
        <v>454</v>
      </c>
      <c r="D18" s="109">
        <v>27</v>
      </c>
      <c r="E18" s="139" t="s">
        <v>469</v>
      </c>
      <c r="F18" s="155">
        <v>0.21348314606741542</v>
      </c>
      <c r="G18" s="156">
        <v>0.78651685393258308</v>
      </c>
      <c r="H18" s="157">
        <v>89</v>
      </c>
      <c r="I18" s="155">
        <v>0.89855072463768038</v>
      </c>
      <c r="J18" s="156">
        <v>0.10144927536231878</v>
      </c>
      <c r="K18" s="157">
        <v>69</v>
      </c>
      <c r="L18" s="155">
        <v>0.71428571428571475</v>
      </c>
      <c r="M18" s="156">
        <v>0.28571428571428603</v>
      </c>
      <c r="N18" s="157">
        <v>56</v>
      </c>
      <c r="O18" s="155">
        <v>0.25555555555555609</v>
      </c>
      <c r="P18" s="156">
        <v>0.14444444444444435</v>
      </c>
      <c r="Q18" s="156">
        <v>0.24444444444444388</v>
      </c>
      <c r="R18" s="156">
        <v>1.1111111111111079E-2</v>
      </c>
      <c r="S18" s="156">
        <v>0.51111111111111218</v>
      </c>
      <c r="T18" s="156">
        <v>4.444444444444437E-2</v>
      </c>
      <c r="U18" s="156">
        <v>2.2222222222222185E-2</v>
      </c>
      <c r="V18" s="156">
        <v>0.15555555555555539</v>
      </c>
      <c r="W18" s="156">
        <v>0.13333333333333303</v>
      </c>
      <c r="X18" s="156">
        <v>0.22222222222222179</v>
      </c>
      <c r="Y18" s="157">
        <v>90</v>
      </c>
      <c r="Z18" s="155">
        <v>0.8275862068965536</v>
      </c>
      <c r="AA18" s="156">
        <v>0.34482758620689674</v>
      </c>
      <c r="AB18" s="156">
        <v>0.51724137931034397</v>
      </c>
      <c r="AC18" s="156">
        <v>0.67816091954023072</v>
      </c>
      <c r="AD18" s="156">
        <v>9.1954022988505676E-2</v>
      </c>
      <c r="AE18" s="156">
        <v>0.17241379310344837</v>
      </c>
      <c r="AF18" s="157">
        <v>87</v>
      </c>
      <c r="AG18" s="158">
        <v>9.569767441860451</v>
      </c>
      <c r="AH18" s="159">
        <v>86</v>
      </c>
      <c r="AI18" s="160">
        <v>9.823529411764671</v>
      </c>
      <c r="AJ18" s="159">
        <v>85</v>
      </c>
      <c r="AK18" s="160">
        <v>9.8051948051947893</v>
      </c>
      <c r="AL18" s="157">
        <v>77</v>
      </c>
      <c r="AM18" s="155">
        <v>0.4</v>
      </c>
      <c r="AN18" s="156">
        <v>0.4705882352941172</v>
      </c>
      <c r="AO18" s="156">
        <v>2.352941176470582E-2</v>
      </c>
      <c r="AP18" s="156">
        <v>8.2352941176470629E-2</v>
      </c>
      <c r="AQ18" s="156">
        <v>2.352941176470582E-2</v>
      </c>
      <c r="AR18" s="157">
        <v>85</v>
      </c>
      <c r="AS18" s="155">
        <v>0.63953488372092904</v>
      </c>
      <c r="AT18" s="156">
        <v>0.20930232558139547</v>
      </c>
      <c r="AU18" s="156">
        <v>4.6511627906976799E-2</v>
      </c>
      <c r="AV18" s="156">
        <v>6.9767441860465143E-2</v>
      </c>
      <c r="AW18" s="156">
        <v>3.4883720930232572E-2</v>
      </c>
      <c r="AX18" s="157">
        <v>86</v>
      </c>
      <c r="AY18" s="155">
        <v>0.73255813953488469</v>
      </c>
      <c r="AZ18" s="156">
        <v>0.22093023255813937</v>
      </c>
      <c r="BA18" s="156">
        <v>4.6511627906976799E-2</v>
      </c>
      <c r="BB18" s="156">
        <v>0</v>
      </c>
      <c r="BC18" s="156">
        <v>0</v>
      </c>
      <c r="BD18" s="157">
        <v>86</v>
      </c>
      <c r="BE18" s="155">
        <v>0.79545454545454708</v>
      </c>
      <c r="BF18" s="156">
        <v>0.15909090909090914</v>
      </c>
      <c r="BG18" s="156">
        <v>2.2727272727272735E-2</v>
      </c>
      <c r="BH18" s="156">
        <v>2.2727272727272735E-2</v>
      </c>
      <c r="BI18" s="156">
        <v>0</v>
      </c>
      <c r="BJ18" s="157">
        <v>88</v>
      </c>
      <c r="BK18" s="155">
        <v>0.65853658536585447</v>
      </c>
      <c r="BL18" s="156">
        <v>0.19512195121951212</v>
      </c>
      <c r="BM18" s="156">
        <v>8.5365853658536342E-2</v>
      </c>
      <c r="BN18" s="156">
        <v>6.0975609756097671E-2</v>
      </c>
      <c r="BO18" s="156">
        <v>0</v>
      </c>
      <c r="BP18" s="157">
        <v>82</v>
      </c>
      <c r="BQ18" s="155">
        <v>0.85227272727272796</v>
      </c>
      <c r="BR18" s="156">
        <v>0.13636363636363646</v>
      </c>
      <c r="BS18" s="156">
        <v>1.1363636363636367E-2</v>
      </c>
      <c r="BT18" s="156">
        <v>0</v>
      </c>
      <c r="BU18" s="156">
        <v>0</v>
      </c>
      <c r="BV18" s="157">
        <v>88</v>
      </c>
      <c r="BW18" s="161">
        <v>0.61728395061728403</v>
      </c>
      <c r="BX18" s="156">
        <v>0.2716049382716047</v>
      </c>
      <c r="BY18" s="156">
        <v>3.7037037037036966E-2</v>
      </c>
      <c r="BZ18" s="156">
        <v>3.7037037037036966E-2</v>
      </c>
      <c r="CA18" s="156">
        <v>3.7037037037036966E-2</v>
      </c>
      <c r="CB18" s="157">
        <v>81</v>
      </c>
      <c r="CC18" s="155">
        <v>0.85714285714285554</v>
      </c>
      <c r="CD18" s="156">
        <v>9.5238095238095205E-2</v>
      </c>
      <c r="CE18" s="156">
        <v>4.7619047619047603E-2</v>
      </c>
      <c r="CF18" s="156">
        <v>0</v>
      </c>
      <c r="CG18" s="156">
        <v>0</v>
      </c>
      <c r="CH18" s="162">
        <v>21</v>
      </c>
      <c r="CI18" s="155">
        <v>0.71428571428571497</v>
      </c>
      <c r="CJ18" s="156">
        <v>0.14285714285714243</v>
      </c>
      <c r="CK18" s="156">
        <v>4.7619047619047603E-2</v>
      </c>
      <c r="CL18" s="156">
        <v>9.5238095238095205E-2</v>
      </c>
      <c r="CM18" s="156">
        <v>0</v>
      </c>
      <c r="CN18" s="162">
        <v>21</v>
      </c>
      <c r="CO18" s="155">
        <v>0.43902439024390305</v>
      </c>
      <c r="CP18" s="156">
        <v>0.41463414634146367</v>
      </c>
      <c r="CQ18" s="156">
        <v>9.7560975609756045E-2</v>
      </c>
      <c r="CR18" s="156">
        <v>4.8780487804878023E-2</v>
      </c>
      <c r="CS18" s="156">
        <v>0</v>
      </c>
      <c r="CT18" s="162">
        <v>41</v>
      </c>
      <c r="CU18" s="155">
        <v>0.34883720930232498</v>
      </c>
      <c r="CV18" s="156">
        <v>0.48837209302325491</v>
      </c>
      <c r="CW18" s="156">
        <v>0.13953488372093029</v>
      </c>
      <c r="CX18" s="156">
        <v>2.32558139534884E-2</v>
      </c>
      <c r="CY18" s="156">
        <v>0</v>
      </c>
      <c r="CZ18" s="162">
        <v>43</v>
      </c>
      <c r="DA18" s="155">
        <v>0.40909090909090962</v>
      </c>
      <c r="DB18" s="156">
        <v>0.49999999999999994</v>
      </c>
      <c r="DC18" s="156">
        <v>9.0909090909090939E-2</v>
      </c>
      <c r="DD18" s="156">
        <v>0</v>
      </c>
      <c r="DE18" s="156">
        <v>0</v>
      </c>
      <c r="DF18" s="162">
        <v>22</v>
      </c>
      <c r="DG18" s="155">
        <v>0.4705882352941172</v>
      </c>
      <c r="DH18" s="156">
        <v>0.4705882352941172</v>
      </c>
      <c r="DI18" s="156">
        <v>5.882352941176465E-2</v>
      </c>
      <c r="DJ18" s="156">
        <v>0</v>
      </c>
      <c r="DK18" s="156">
        <v>0</v>
      </c>
      <c r="DL18" s="162">
        <v>17</v>
      </c>
      <c r="DM18" s="155">
        <v>0.81818181818181923</v>
      </c>
      <c r="DN18" s="156">
        <v>0.13636363636363646</v>
      </c>
      <c r="DO18" s="156">
        <v>4.545454545454547E-2</v>
      </c>
      <c r="DP18" s="156">
        <v>0</v>
      </c>
      <c r="DQ18" s="156">
        <v>0</v>
      </c>
      <c r="DR18" s="162">
        <v>22</v>
      </c>
      <c r="DS18" s="161">
        <v>0.70833333333333259</v>
      </c>
      <c r="DT18" s="156">
        <v>0.20833333333333307</v>
      </c>
      <c r="DU18" s="156">
        <v>4.1666666666666671E-2</v>
      </c>
      <c r="DV18" s="156">
        <v>4.1666666666666671E-2</v>
      </c>
      <c r="DW18" s="156">
        <v>0</v>
      </c>
      <c r="DX18" s="162">
        <v>24</v>
      </c>
      <c r="DY18" s="155">
        <v>0.88372093023255749</v>
      </c>
      <c r="DZ18" s="156">
        <v>0.10465116279069774</v>
      </c>
      <c r="EA18" s="156">
        <v>0</v>
      </c>
      <c r="EB18" s="156">
        <v>0</v>
      </c>
      <c r="EC18" s="156">
        <v>1.16279069767442E-2</v>
      </c>
      <c r="ED18" s="162">
        <v>86</v>
      </c>
      <c r="EE18" s="155">
        <v>0.63888888888888762</v>
      </c>
      <c r="EF18" s="156">
        <v>0.22222222222222185</v>
      </c>
      <c r="EG18" s="156">
        <v>8.3333333333333343E-2</v>
      </c>
      <c r="EH18" s="156">
        <v>5.5555555555555462E-2</v>
      </c>
      <c r="EI18" s="156">
        <v>0</v>
      </c>
      <c r="EJ18" s="162">
        <v>36</v>
      </c>
      <c r="EK18" s="155">
        <v>0.6</v>
      </c>
      <c r="EL18" s="156">
        <v>0.33333333333333337</v>
      </c>
      <c r="EM18" s="156">
        <v>6.6666666666666652E-2</v>
      </c>
      <c r="EN18" s="156">
        <v>0</v>
      </c>
      <c r="EO18" s="156">
        <v>0</v>
      </c>
      <c r="EP18" s="162">
        <v>30</v>
      </c>
      <c r="EQ18" s="155">
        <v>0.73529411764706043</v>
      </c>
      <c r="ER18" s="156">
        <v>0.20588235294117616</v>
      </c>
      <c r="ES18" s="156">
        <v>4.4117647058823574E-2</v>
      </c>
      <c r="ET18" s="156">
        <v>1.4705882352941162E-2</v>
      </c>
      <c r="EU18" s="156">
        <v>0</v>
      </c>
      <c r="EV18" s="162">
        <v>68</v>
      </c>
      <c r="EW18" s="155">
        <v>0.85074626865671477</v>
      </c>
      <c r="EX18" s="156">
        <v>0.10447761194029823</v>
      </c>
      <c r="EY18" s="156">
        <v>2.9850746268656695E-2</v>
      </c>
      <c r="EZ18" s="156">
        <v>1.4925373134328348E-2</v>
      </c>
      <c r="FA18" s="156">
        <v>0</v>
      </c>
      <c r="FB18" s="162">
        <v>67</v>
      </c>
      <c r="FC18" s="155">
        <v>0.52631578947368352</v>
      </c>
      <c r="FD18" s="156">
        <v>0.31578947368420979</v>
      </c>
      <c r="FE18" s="156">
        <v>0.10526315789473667</v>
      </c>
      <c r="FF18" s="156">
        <v>0</v>
      </c>
      <c r="FG18" s="156">
        <v>5.2631578947368335E-2</v>
      </c>
      <c r="FH18" s="162">
        <v>19</v>
      </c>
      <c r="FI18" s="161">
        <v>0.71428571428571497</v>
      </c>
      <c r="FJ18" s="156">
        <v>0.21428571428571389</v>
      </c>
      <c r="FK18" s="156">
        <v>7.1428571428571438E-2</v>
      </c>
      <c r="FL18" s="156">
        <v>0</v>
      </c>
      <c r="FM18" s="156">
        <v>0</v>
      </c>
      <c r="FN18" s="162">
        <v>14</v>
      </c>
      <c r="FO18" s="155">
        <v>0</v>
      </c>
      <c r="FP18" s="156">
        <v>0</v>
      </c>
      <c r="FQ18" s="156">
        <v>0</v>
      </c>
      <c r="FR18" s="156">
        <v>0</v>
      </c>
      <c r="FS18" s="156">
        <v>0</v>
      </c>
      <c r="FT18" s="162">
        <v>0</v>
      </c>
      <c r="FU18" s="155">
        <v>0</v>
      </c>
      <c r="FV18" s="156">
        <v>0</v>
      </c>
      <c r="FW18" s="156">
        <v>0</v>
      </c>
      <c r="FX18" s="156">
        <v>0</v>
      </c>
      <c r="FY18" s="156">
        <v>0</v>
      </c>
      <c r="FZ18" s="162">
        <v>0</v>
      </c>
      <c r="GA18" s="161">
        <v>0</v>
      </c>
      <c r="GB18" s="156">
        <v>0</v>
      </c>
      <c r="GC18" s="156">
        <v>0</v>
      </c>
      <c r="GD18" s="156">
        <v>0</v>
      </c>
      <c r="GE18" s="156">
        <v>0</v>
      </c>
      <c r="GF18" s="162">
        <v>0</v>
      </c>
      <c r="GG18" s="158">
        <v>9.0657894736841911</v>
      </c>
      <c r="GH18" s="162">
        <v>76</v>
      </c>
      <c r="GI18" s="155">
        <v>0.82222222222222385</v>
      </c>
      <c r="GJ18" s="156">
        <v>0.11111111111111092</v>
      </c>
      <c r="GK18" s="156">
        <v>2.2222222222222213E-2</v>
      </c>
      <c r="GL18" s="156">
        <v>2.2222222222222213E-2</v>
      </c>
      <c r="GM18" s="156">
        <v>2.2222222222222213E-2</v>
      </c>
      <c r="GN18" s="162">
        <v>90</v>
      </c>
      <c r="GO18" s="155">
        <v>0.66292134831460614</v>
      </c>
      <c r="GP18" s="156">
        <v>0.21348314606741564</v>
      </c>
      <c r="GQ18" s="156">
        <v>7.8651685393258383E-2</v>
      </c>
      <c r="GR18" s="156">
        <v>0.10112359550561775</v>
      </c>
      <c r="GS18" s="162">
        <v>89</v>
      </c>
      <c r="GT18" s="163">
        <v>3.5308641975308661</v>
      </c>
      <c r="GU18" s="162">
        <v>81</v>
      </c>
      <c r="GV18" s="155">
        <v>0.8888888888888874</v>
      </c>
      <c r="GW18" s="156">
        <v>0.11111111111111092</v>
      </c>
      <c r="GX18" s="162">
        <v>36</v>
      </c>
      <c r="GY18" s="155">
        <v>0.92857142857142927</v>
      </c>
      <c r="GZ18" s="156">
        <v>7.1428571428571438E-2</v>
      </c>
      <c r="HA18" s="162">
        <v>56</v>
      </c>
      <c r="HB18" s="155">
        <v>0.91463414634146145</v>
      </c>
      <c r="HC18" s="156">
        <v>8.5365853658536342E-2</v>
      </c>
      <c r="HD18" s="162">
        <v>82</v>
      </c>
      <c r="HE18" s="161">
        <v>0.91935483870967782</v>
      </c>
      <c r="HF18" s="156">
        <v>8.0645161290322384E-2</v>
      </c>
      <c r="HG18" s="162">
        <v>62</v>
      </c>
      <c r="HH18" s="155">
        <v>0.48863636363636376</v>
      </c>
      <c r="HI18" s="156">
        <v>0.51136363636363635</v>
      </c>
      <c r="HJ18" s="162">
        <v>88</v>
      </c>
      <c r="HK18" s="155">
        <v>0.98809523809523769</v>
      </c>
      <c r="HL18" s="156">
        <v>1.1904761904761897E-2</v>
      </c>
      <c r="HM18" s="162">
        <v>84</v>
      </c>
      <c r="HN18" s="161">
        <v>4.9382716049382755E-2</v>
      </c>
      <c r="HO18" s="156">
        <v>6.172839506172851E-2</v>
      </c>
      <c r="HP18" s="156">
        <v>0.32098765432098808</v>
      </c>
      <c r="HQ18" s="156">
        <v>0.40740740740740777</v>
      </c>
      <c r="HR18" s="156">
        <v>0.16049382716049401</v>
      </c>
      <c r="HS18" s="160">
        <v>62.802469135802376</v>
      </c>
      <c r="HT18" s="164">
        <v>81</v>
      </c>
      <c r="HU18" s="165">
        <v>0</v>
      </c>
      <c r="HV18" s="166">
        <v>0.04</v>
      </c>
      <c r="HW18" s="166">
        <v>5.3333333333333337E-2</v>
      </c>
      <c r="HX18" s="166">
        <v>0.08</v>
      </c>
      <c r="HY18" s="166">
        <v>0.21333333333333335</v>
      </c>
      <c r="HZ18" s="166">
        <v>0.21333333333333335</v>
      </c>
      <c r="IA18" s="166">
        <v>0.08</v>
      </c>
      <c r="IB18" s="166">
        <v>9.3333333333333338E-2</v>
      </c>
      <c r="IC18" s="166">
        <v>0.12</v>
      </c>
      <c r="ID18" s="166">
        <v>0.10666666666666667</v>
      </c>
      <c r="IE18" s="167">
        <v>75</v>
      </c>
      <c r="IF18" s="155">
        <v>0</v>
      </c>
      <c r="IG18" s="156">
        <v>0.5</v>
      </c>
      <c r="IH18" s="156">
        <v>0</v>
      </c>
      <c r="II18" s="156">
        <v>0</v>
      </c>
      <c r="IJ18" s="156">
        <v>0.5</v>
      </c>
      <c r="IK18" s="162">
        <v>2</v>
      </c>
      <c r="IL18" s="155">
        <v>0</v>
      </c>
      <c r="IM18" s="156">
        <v>0</v>
      </c>
      <c r="IN18" s="156">
        <v>1.176470588235291E-2</v>
      </c>
      <c r="IO18" s="156">
        <v>0.97647058823529553</v>
      </c>
      <c r="IP18" s="156">
        <v>1.176470588235291E-2</v>
      </c>
      <c r="IQ18" s="162">
        <v>85</v>
      </c>
      <c r="IR18" s="155">
        <v>0.16470588235294131</v>
      </c>
      <c r="IS18" s="156">
        <v>0.83529411764706074</v>
      </c>
      <c r="IT18" s="162">
        <v>85</v>
      </c>
      <c r="IU18" s="161">
        <v>0</v>
      </c>
      <c r="IV18" s="156">
        <v>0.1666666666666666</v>
      </c>
      <c r="IW18" s="156">
        <v>0.83333333333333282</v>
      </c>
      <c r="IX18" s="162">
        <v>12</v>
      </c>
    </row>
    <row r="19" spans="1:258" ht="32.1" customHeight="1" x14ac:dyDescent="0.25">
      <c r="A19" s="110" t="s">
        <v>453</v>
      </c>
      <c r="B19" s="108" t="s">
        <v>572</v>
      </c>
      <c r="C19" s="108" t="s">
        <v>454</v>
      </c>
      <c r="D19" s="109">
        <v>28</v>
      </c>
      <c r="E19" s="139" t="s">
        <v>599</v>
      </c>
      <c r="F19" s="155">
        <v>0.2352941176470586</v>
      </c>
      <c r="G19" s="156">
        <v>0.76470588235294135</v>
      </c>
      <c r="H19" s="157">
        <v>34</v>
      </c>
      <c r="I19" s="155">
        <v>0.53846153846153821</v>
      </c>
      <c r="J19" s="156">
        <v>0.46153846153846162</v>
      </c>
      <c r="K19" s="157">
        <v>26</v>
      </c>
      <c r="L19" s="155">
        <v>0.46153846153846145</v>
      </c>
      <c r="M19" s="156">
        <v>0.53846153846153821</v>
      </c>
      <c r="N19" s="157">
        <v>13</v>
      </c>
      <c r="O19" s="155">
        <v>0.1764705882352941</v>
      </c>
      <c r="P19" s="156">
        <v>0.29411764705882321</v>
      </c>
      <c r="Q19" s="156">
        <v>0.23529411764705879</v>
      </c>
      <c r="R19" s="156">
        <v>0.1470588235294116</v>
      </c>
      <c r="S19" s="156">
        <v>0.41176470588235309</v>
      </c>
      <c r="T19" s="156">
        <v>5.8823529411764698E-2</v>
      </c>
      <c r="U19" s="156">
        <v>0</v>
      </c>
      <c r="V19" s="156">
        <v>0.1176470588235294</v>
      </c>
      <c r="W19" s="156">
        <v>0.1176470588235294</v>
      </c>
      <c r="X19" s="156">
        <v>0.1176470588235294</v>
      </c>
      <c r="Y19" s="157">
        <v>34</v>
      </c>
      <c r="Z19" s="155">
        <v>0.71874999999999989</v>
      </c>
      <c r="AA19" s="156">
        <v>0.40624999999999994</v>
      </c>
      <c r="AB19" s="156">
        <v>0.56249999999999989</v>
      </c>
      <c r="AC19" s="156">
        <v>0.68749999999999989</v>
      </c>
      <c r="AD19" s="156">
        <v>0.12499999999999997</v>
      </c>
      <c r="AE19" s="156">
        <v>0.15624999999999997</v>
      </c>
      <c r="AF19" s="157">
        <v>32</v>
      </c>
      <c r="AG19" s="158">
        <v>9.7941176470588243</v>
      </c>
      <c r="AH19" s="159">
        <v>34</v>
      </c>
      <c r="AI19" s="160">
        <v>9.8823529411764657</v>
      </c>
      <c r="AJ19" s="159">
        <v>34</v>
      </c>
      <c r="AK19" s="160">
        <v>9.9393939393939394</v>
      </c>
      <c r="AL19" s="157">
        <v>33</v>
      </c>
      <c r="AM19" s="155">
        <v>0.38235294117647067</v>
      </c>
      <c r="AN19" s="156">
        <v>0.35294117647058793</v>
      </c>
      <c r="AO19" s="156">
        <v>0.14705882352941166</v>
      </c>
      <c r="AP19" s="156">
        <v>5.882352941176465E-2</v>
      </c>
      <c r="AQ19" s="156">
        <v>5.882352941176465E-2</v>
      </c>
      <c r="AR19" s="157">
        <v>34</v>
      </c>
      <c r="AS19" s="155">
        <v>0.81818181818181823</v>
      </c>
      <c r="AT19" s="156">
        <v>9.090909090909087E-2</v>
      </c>
      <c r="AU19" s="156">
        <v>3.0303030303030297E-2</v>
      </c>
      <c r="AV19" s="156">
        <v>0</v>
      </c>
      <c r="AW19" s="156">
        <v>6.0606060606060594E-2</v>
      </c>
      <c r="AX19" s="157">
        <v>33</v>
      </c>
      <c r="AY19" s="155">
        <v>0.9375</v>
      </c>
      <c r="AZ19" s="156">
        <v>3.1249999999999997E-2</v>
      </c>
      <c r="BA19" s="156">
        <v>0</v>
      </c>
      <c r="BB19" s="156">
        <v>0</v>
      </c>
      <c r="BC19" s="156">
        <v>3.1249999999999997E-2</v>
      </c>
      <c r="BD19" s="157">
        <v>32</v>
      </c>
      <c r="BE19" s="155">
        <v>0.9090909090909095</v>
      </c>
      <c r="BF19" s="156">
        <v>3.0303030303030297E-2</v>
      </c>
      <c r="BG19" s="156">
        <v>0</v>
      </c>
      <c r="BH19" s="156">
        <v>0</v>
      </c>
      <c r="BI19" s="156">
        <v>6.0606060606060594E-2</v>
      </c>
      <c r="BJ19" s="157">
        <v>33</v>
      </c>
      <c r="BK19" s="155">
        <v>0.78124999999999989</v>
      </c>
      <c r="BL19" s="156">
        <v>0.12499999999999999</v>
      </c>
      <c r="BM19" s="156">
        <v>3.1249999999999997E-2</v>
      </c>
      <c r="BN19" s="156">
        <v>0</v>
      </c>
      <c r="BO19" s="156">
        <v>6.2499999999999993E-2</v>
      </c>
      <c r="BP19" s="157">
        <v>32</v>
      </c>
      <c r="BQ19" s="155">
        <v>0.87878787878787945</v>
      </c>
      <c r="BR19" s="156">
        <v>9.090909090909087E-2</v>
      </c>
      <c r="BS19" s="156">
        <v>0</v>
      </c>
      <c r="BT19" s="156">
        <v>0</v>
      </c>
      <c r="BU19" s="156">
        <v>3.0303030303030297E-2</v>
      </c>
      <c r="BV19" s="157">
        <v>33</v>
      </c>
      <c r="BW19" s="161">
        <v>0.39285714285714241</v>
      </c>
      <c r="BX19" s="156">
        <v>0.32142857142857117</v>
      </c>
      <c r="BY19" s="156">
        <v>0.10714285714285716</v>
      </c>
      <c r="BZ19" s="156">
        <v>0.14285714285714277</v>
      </c>
      <c r="CA19" s="156">
        <v>3.5714285714285691E-2</v>
      </c>
      <c r="CB19" s="157">
        <v>28</v>
      </c>
      <c r="CC19" s="155">
        <v>0.85</v>
      </c>
      <c r="CD19" s="156">
        <v>0.14999999999999997</v>
      </c>
      <c r="CE19" s="156">
        <v>0</v>
      </c>
      <c r="CF19" s="156">
        <v>0</v>
      </c>
      <c r="CG19" s="156">
        <v>0</v>
      </c>
      <c r="CH19" s="162">
        <v>20</v>
      </c>
      <c r="CI19" s="155">
        <v>0.76470588235294135</v>
      </c>
      <c r="CJ19" s="156">
        <v>0.17647058823529402</v>
      </c>
      <c r="CK19" s="156">
        <v>5.8823529411764656E-2</v>
      </c>
      <c r="CL19" s="156">
        <v>0</v>
      </c>
      <c r="CM19" s="156">
        <v>0</v>
      </c>
      <c r="CN19" s="162">
        <v>17</v>
      </c>
      <c r="CO19" s="155">
        <v>0.6399999999999999</v>
      </c>
      <c r="CP19" s="156">
        <v>0.15999999999999998</v>
      </c>
      <c r="CQ19" s="156">
        <v>7.9999999999999988E-2</v>
      </c>
      <c r="CR19" s="156">
        <v>0.11999999999999998</v>
      </c>
      <c r="CS19" s="156">
        <v>0</v>
      </c>
      <c r="CT19" s="162">
        <v>25</v>
      </c>
      <c r="CU19" s="155">
        <v>0.59999999999999987</v>
      </c>
      <c r="CV19" s="156">
        <v>0.23999999999999996</v>
      </c>
      <c r="CW19" s="156">
        <v>7.9999999999999988E-2</v>
      </c>
      <c r="CX19" s="156">
        <v>7.9999999999999988E-2</v>
      </c>
      <c r="CY19" s="156">
        <v>0</v>
      </c>
      <c r="CZ19" s="162">
        <v>25</v>
      </c>
      <c r="DA19" s="155">
        <v>0.62499999999999989</v>
      </c>
      <c r="DB19" s="156">
        <v>0.18749999999999997</v>
      </c>
      <c r="DC19" s="156">
        <v>0.12499999999999999</v>
      </c>
      <c r="DD19" s="156">
        <v>6.2499999999999993E-2</v>
      </c>
      <c r="DE19" s="156">
        <v>0</v>
      </c>
      <c r="DF19" s="162">
        <v>16</v>
      </c>
      <c r="DG19" s="155">
        <v>0.5333333333333331</v>
      </c>
      <c r="DH19" s="156">
        <v>0.19999999999999996</v>
      </c>
      <c r="DI19" s="156">
        <v>6.6666666666666638E-2</v>
      </c>
      <c r="DJ19" s="156">
        <v>0.19999999999999996</v>
      </c>
      <c r="DK19" s="156">
        <v>0</v>
      </c>
      <c r="DL19" s="162">
        <v>15</v>
      </c>
      <c r="DM19" s="155">
        <v>0.76190476190476164</v>
      </c>
      <c r="DN19" s="156">
        <v>0.23809523809523822</v>
      </c>
      <c r="DO19" s="156">
        <v>0</v>
      </c>
      <c r="DP19" s="156">
        <v>0</v>
      </c>
      <c r="DQ19" s="156">
        <v>0</v>
      </c>
      <c r="DR19" s="162">
        <v>21</v>
      </c>
      <c r="DS19" s="161">
        <v>0.875</v>
      </c>
      <c r="DT19" s="156">
        <v>0.12499999999999999</v>
      </c>
      <c r="DU19" s="156">
        <v>0</v>
      </c>
      <c r="DV19" s="156">
        <v>0</v>
      </c>
      <c r="DW19" s="156">
        <v>0</v>
      </c>
      <c r="DX19" s="162">
        <v>16</v>
      </c>
      <c r="DY19" s="155">
        <v>0.9090909090909095</v>
      </c>
      <c r="DZ19" s="156">
        <v>9.090909090909087E-2</v>
      </c>
      <c r="EA19" s="156">
        <v>0</v>
      </c>
      <c r="EB19" s="156">
        <v>0</v>
      </c>
      <c r="EC19" s="156">
        <v>0</v>
      </c>
      <c r="ED19" s="162">
        <v>33</v>
      </c>
      <c r="EE19" s="155">
        <v>1</v>
      </c>
      <c r="EF19" s="156">
        <v>0</v>
      </c>
      <c r="EG19" s="156">
        <v>0</v>
      </c>
      <c r="EH19" s="156">
        <v>0</v>
      </c>
      <c r="EI19" s="156">
        <v>0</v>
      </c>
      <c r="EJ19" s="162">
        <v>9</v>
      </c>
      <c r="EK19" s="155">
        <v>0.88888888888888828</v>
      </c>
      <c r="EL19" s="156">
        <v>0</v>
      </c>
      <c r="EM19" s="156">
        <v>0</v>
      </c>
      <c r="EN19" s="156">
        <v>0.11111111111111104</v>
      </c>
      <c r="EO19" s="156">
        <v>0</v>
      </c>
      <c r="EP19" s="162">
        <v>9</v>
      </c>
      <c r="EQ19" s="155">
        <v>0.65384615384615397</v>
      </c>
      <c r="ER19" s="156">
        <v>0.30769230769230732</v>
      </c>
      <c r="ES19" s="156">
        <v>3.8461538461538415E-2</v>
      </c>
      <c r="ET19" s="156">
        <v>0</v>
      </c>
      <c r="EU19" s="156">
        <v>0</v>
      </c>
      <c r="EV19" s="162">
        <v>26</v>
      </c>
      <c r="EW19" s="155">
        <v>0.66666666666666674</v>
      </c>
      <c r="EX19" s="156">
        <v>0.29166666666666635</v>
      </c>
      <c r="EY19" s="156">
        <v>4.1666666666666609E-2</v>
      </c>
      <c r="EZ19" s="156">
        <v>0</v>
      </c>
      <c r="FA19" s="156">
        <v>0</v>
      </c>
      <c r="FB19" s="162">
        <v>24</v>
      </c>
      <c r="FC19" s="155">
        <v>0.66666666666666674</v>
      </c>
      <c r="FD19" s="156">
        <v>0</v>
      </c>
      <c r="FE19" s="156">
        <v>0.16666666666666669</v>
      </c>
      <c r="FF19" s="156">
        <v>0.16666666666666669</v>
      </c>
      <c r="FG19" s="156">
        <v>0</v>
      </c>
      <c r="FH19" s="162">
        <v>6</v>
      </c>
      <c r="FI19" s="161">
        <v>0</v>
      </c>
      <c r="FJ19" s="156">
        <v>0</v>
      </c>
      <c r="FK19" s="156">
        <v>0.5</v>
      </c>
      <c r="FL19" s="156">
        <v>0</v>
      </c>
      <c r="FM19" s="156">
        <v>0.5</v>
      </c>
      <c r="FN19" s="162">
        <v>2</v>
      </c>
      <c r="FO19" s="155">
        <v>0</v>
      </c>
      <c r="FP19" s="156">
        <v>0</v>
      </c>
      <c r="FQ19" s="156">
        <v>0</v>
      </c>
      <c r="FR19" s="156">
        <v>0</v>
      </c>
      <c r="FS19" s="156">
        <v>0</v>
      </c>
      <c r="FT19" s="162">
        <v>0</v>
      </c>
      <c r="FU19" s="155">
        <v>0</v>
      </c>
      <c r="FV19" s="156">
        <v>0</v>
      </c>
      <c r="FW19" s="156">
        <v>0</v>
      </c>
      <c r="FX19" s="156">
        <v>0</v>
      </c>
      <c r="FY19" s="156">
        <v>0</v>
      </c>
      <c r="FZ19" s="162">
        <v>0</v>
      </c>
      <c r="GA19" s="161">
        <v>0</v>
      </c>
      <c r="GB19" s="156">
        <v>0</v>
      </c>
      <c r="GC19" s="156">
        <v>0</v>
      </c>
      <c r="GD19" s="156">
        <v>0</v>
      </c>
      <c r="GE19" s="156">
        <v>0</v>
      </c>
      <c r="GF19" s="162">
        <v>0</v>
      </c>
      <c r="GG19" s="158">
        <v>9.5588235294117663</v>
      </c>
      <c r="GH19" s="162">
        <v>34</v>
      </c>
      <c r="GI19" s="155">
        <v>0.49999999999999994</v>
      </c>
      <c r="GJ19" s="156">
        <v>0.24999999999999997</v>
      </c>
      <c r="GK19" s="156">
        <v>0.24999999999999997</v>
      </c>
      <c r="GL19" s="156">
        <v>0</v>
      </c>
      <c r="GM19" s="156">
        <v>0</v>
      </c>
      <c r="GN19" s="162">
        <v>32</v>
      </c>
      <c r="GO19" s="155">
        <v>0.63636363636363658</v>
      </c>
      <c r="GP19" s="156">
        <v>0.15151515151515141</v>
      </c>
      <c r="GQ19" s="156">
        <v>0.18181818181818168</v>
      </c>
      <c r="GR19" s="156">
        <v>0.18181818181818168</v>
      </c>
      <c r="GS19" s="162">
        <v>33</v>
      </c>
      <c r="GT19" s="163">
        <v>2.9090909090909065</v>
      </c>
      <c r="GU19" s="162">
        <v>33</v>
      </c>
      <c r="GV19" s="155">
        <v>0.84615384615384637</v>
      </c>
      <c r="GW19" s="156">
        <v>0.15384615384615372</v>
      </c>
      <c r="GX19" s="162">
        <v>13</v>
      </c>
      <c r="GY19" s="155">
        <v>1</v>
      </c>
      <c r="GZ19" s="156">
        <v>0</v>
      </c>
      <c r="HA19" s="162">
        <v>19</v>
      </c>
      <c r="HB19" s="155">
        <v>0.96666666666666634</v>
      </c>
      <c r="HC19" s="156">
        <v>3.3333333333333298E-2</v>
      </c>
      <c r="HD19" s="162">
        <v>30</v>
      </c>
      <c r="HE19" s="161">
        <v>0.94999999999999984</v>
      </c>
      <c r="HF19" s="156">
        <v>4.9999999999999989E-2</v>
      </c>
      <c r="HG19" s="162">
        <v>20</v>
      </c>
      <c r="HH19" s="155">
        <v>0.45161290322580655</v>
      </c>
      <c r="HI19" s="156">
        <v>0.54838709677419317</v>
      </c>
      <c r="HJ19" s="162">
        <v>31</v>
      </c>
      <c r="HK19" s="155">
        <v>1</v>
      </c>
      <c r="HL19" s="156">
        <v>0</v>
      </c>
      <c r="HM19" s="162">
        <v>31</v>
      </c>
      <c r="HN19" s="161">
        <v>0</v>
      </c>
      <c r="HO19" s="156">
        <v>0.25806451612903197</v>
      </c>
      <c r="HP19" s="156">
        <v>0.41935483870967738</v>
      </c>
      <c r="HQ19" s="156">
        <v>0.1612903225806451</v>
      </c>
      <c r="HR19" s="156">
        <v>0.1612903225806451</v>
      </c>
      <c r="HS19" s="160">
        <v>56.838709677419288</v>
      </c>
      <c r="HT19" s="164">
        <v>31</v>
      </c>
      <c r="HU19" s="168" t="s">
        <v>608</v>
      </c>
      <c r="HV19" s="169" t="s">
        <v>608</v>
      </c>
      <c r="HW19" s="169" t="s">
        <v>608</v>
      </c>
      <c r="HX19" s="169" t="s">
        <v>608</v>
      </c>
      <c r="HY19" s="169" t="s">
        <v>608</v>
      </c>
      <c r="HZ19" s="169" t="s">
        <v>608</v>
      </c>
      <c r="IA19" s="169" t="s">
        <v>608</v>
      </c>
      <c r="IB19" s="169" t="s">
        <v>608</v>
      </c>
      <c r="IC19" s="169" t="s">
        <v>608</v>
      </c>
      <c r="ID19" s="169" t="s">
        <v>608</v>
      </c>
      <c r="IE19" s="170" t="s">
        <v>608</v>
      </c>
      <c r="IF19" s="155">
        <v>0</v>
      </c>
      <c r="IG19" s="156">
        <v>0</v>
      </c>
      <c r="IH19" s="156">
        <v>0</v>
      </c>
      <c r="II19" s="156">
        <v>0</v>
      </c>
      <c r="IJ19" s="156">
        <v>0</v>
      </c>
      <c r="IK19" s="162">
        <v>0</v>
      </c>
      <c r="IL19" s="155">
        <v>0</v>
      </c>
      <c r="IM19" s="156">
        <v>0</v>
      </c>
      <c r="IN19" s="156">
        <v>0</v>
      </c>
      <c r="IO19" s="156">
        <v>0.96666666666666634</v>
      </c>
      <c r="IP19" s="156">
        <v>3.3333333333333298E-2</v>
      </c>
      <c r="IQ19" s="162">
        <v>30</v>
      </c>
      <c r="IR19" s="155">
        <v>9.6774193548387122E-2</v>
      </c>
      <c r="IS19" s="156">
        <v>0.90322580645161321</v>
      </c>
      <c r="IT19" s="162">
        <v>31</v>
      </c>
      <c r="IU19" s="161">
        <v>0</v>
      </c>
      <c r="IV19" s="156">
        <v>0</v>
      </c>
      <c r="IW19" s="156">
        <v>1</v>
      </c>
      <c r="IX19" s="162">
        <v>3</v>
      </c>
    </row>
    <row r="20" spans="1:258" ht="32.1" customHeight="1" x14ac:dyDescent="0.25">
      <c r="A20" s="110" t="s">
        <v>453</v>
      </c>
      <c r="B20" s="108" t="s">
        <v>572</v>
      </c>
      <c r="C20" s="108" t="s">
        <v>454</v>
      </c>
      <c r="D20" s="109">
        <v>31</v>
      </c>
      <c r="E20" s="139" t="s">
        <v>470</v>
      </c>
      <c r="F20" s="155">
        <v>0.2352941176470586</v>
      </c>
      <c r="G20" s="156">
        <v>0.76470588235294112</v>
      </c>
      <c r="H20" s="157">
        <v>51</v>
      </c>
      <c r="I20" s="155">
        <v>0.76923076923076839</v>
      </c>
      <c r="J20" s="156">
        <v>0.23076923076923087</v>
      </c>
      <c r="K20" s="157">
        <v>39</v>
      </c>
      <c r="L20" s="155">
        <v>0.5517241379310347</v>
      </c>
      <c r="M20" s="156">
        <v>0.44827586206896536</v>
      </c>
      <c r="N20" s="157">
        <v>29</v>
      </c>
      <c r="O20" s="155">
        <v>0.29999999999999938</v>
      </c>
      <c r="P20" s="156">
        <v>0.17999999999999977</v>
      </c>
      <c r="Q20" s="156">
        <v>0.25999999999999973</v>
      </c>
      <c r="R20" s="156">
        <v>1.9999999999999997E-2</v>
      </c>
      <c r="S20" s="156">
        <v>0.35999999999999949</v>
      </c>
      <c r="T20" s="156">
        <v>6.0000000000000019E-2</v>
      </c>
      <c r="U20" s="156">
        <v>3.9999999999999994E-2</v>
      </c>
      <c r="V20" s="156">
        <v>0.12000000000000004</v>
      </c>
      <c r="W20" s="156">
        <v>6.0000000000000019E-2</v>
      </c>
      <c r="X20" s="156">
        <v>9.9999999999999922E-2</v>
      </c>
      <c r="Y20" s="157">
        <v>50</v>
      </c>
      <c r="Z20" s="155">
        <v>0.72549019607843157</v>
      </c>
      <c r="AA20" s="156">
        <v>0.76470588235294135</v>
      </c>
      <c r="AB20" s="156">
        <v>0.60784313725490058</v>
      </c>
      <c r="AC20" s="156">
        <v>0.74509803921568585</v>
      </c>
      <c r="AD20" s="156">
        <v>7.8431372549019426E-2</v>
      </c>
      <c r="AE20" s="156">
        <v>7.8431372549019426E-2</v>
      </c>
      <c r="AF20" s="157">
        <v>51</v>
      </c>
      <c r="AG20" s="158">
        <v>9.9019607843137134</v>
      </c>
      <c r="AH20" s="159">
        <v>51</v>
      </c>
      <c r="AI20" s="160">
        <v>9.8627450980392233</v>
      </c>
      <c r="AJ20" s="159">
        <v>51</v>
      </c>
      <c r="AK20" s="160">
        <v>9.8571428571428452</v>
      </c>
      <c r="AL20" s="157">
        <v>49</v>
      </c>
      <c r="AM20" s="155">
        <v>0.40816326530612224</v>
      </c>
      <c r="AN20" s="156">
        <v>0.44897959183673419</v>
      </c>
      <c r="AO20" s="156">
        <v>2.0408163265306131E-2</v>
      </c>
      <c r="AP20" s="156">
        <v>0.12244897959183662</v>
      </c>
      <c r="AQ20" s="156">
        <v>0</v>
      </c>
      <c r="AR20" s="157">
        <v>49</v>
      </c>
      <c r="AS20" s="155">
        <v>0.76923076923076794</v>
      </c>
      <c r="AT20" s="156">
        <v>0.1346153846153845</v>
      </c>
      <c r="AU20" s="156">
        <v>1.9230769230769201E-2</v>
      </c>
      <c r="AV20" s="156">
        <v>7.6923076923076802E-2</v>
      </c>
      <c r="AW20" s="156">
        <v>0</v>
      </c>
      <c r="AX20" s="157">
        <v>52</v>
      </c>
      <c r="AY20" s="155">
        <v>0.84615384615384659</v>
      </c>
      <c r="AZ20" s="156">
        <v>0.1346153846153845</v>
      </c>
      <c r="BA20" s="156">
        <v>0</v>
      </c>
      <c r="BB20" s="156">
        <v>1.9230769230769201E-2</v>
      </c>
      <c r="BC20" s="156">
        <v>0</v>
      </c>
      <c r="BD20" s="157">
        <v>52</v>
      </c>
      <c r="BE20" s="155">
        <v>0.82692307692307632</v>
      </c>
      <c r="BF20" s="156">
        <v>9.6153846153845979E-2</v>
      </c>
      <c r="BG20" s="156">
        <v>0</v>
      </c>
      <c r="BH20" s="156">
        <v>5.7692307692307682E-2</v>
      </c>
      <c r="BI20" s="156">
        <v>1.9230769230769201E-2</v>
      </c>
      <c r="BJ20" s="157">
        <v>52</v>
      </c>
      <c r="BK20" s="155">
        <v>0.82222222222222174</v>
      </c>
      <c r="BL20" s="156">
        <v>0.15555555555555545</v>
      </c>
      <c r="BM20" s="156">
        <v>0</v>
      </c>
      <c r="BN20" s="156">
        <v>2.2222222222222185E-2</v>
      </c>
      <c r="BO20" s="156">
        <v>0</v>
      </c>
      <c r="BP20" s="157">
        <v>45</v>
      </c>
      <c r="BQ20" s="155">
        <v>0.84615384615384659</v>
      </c>
      <c r="BR20" s="156">
        <v>0.1346153846153845</v>
      </c>
      <c r="BS20" s="156">
        <v>0</v>
      </c>
      <c r="BT20" s="156">
        <v>1.9230769230769201E-2</v>
      </c>
      <c r="BU20" s="156">
        <v>0</v>
      </c>
      <c r="BV20" s="157">
        <v>52</v>
      </c>
      <c r="BW20" s="161">
        <v>0.86363636363636342</v>
      </c>
      <c r="BX20" s="156">
        <v>6.8181818181818135E-2</v>
      </c>
      <c r="BY20" s="156">
        <v>2.2727272727272697E-2</v>
      </c>
      <c r="BZ20" s="156">
        <v>4.5454545454545393E-2</v>
      </c>
      <c r="CA20" s="156">
        <v>0</v>
      </c>
      <c r="CB20" s="157">
        <v>44</v>
      </c>
      <c r="CC20" s="155">
        <v>0.8461538461538467</v>
      </c>
      <c r="CD20" s="156">
        <v>7.692307692307683E-2</v>
      </c>
      <c r="CE20" s="156">
        <v>0</v>
      </c>
      <c r="CF20" s="156">
        <v>7.692307692307683E-2</v>
      </c>
      <c r="CG20" s="156">
        <v>0</v>
      </c>
      <c r="CH20" s="162">
        <v>13</v>
      </c>
      <c r="CI20" s="155">
        <v>0.69230769230769185</v>
      </c>
      <c r="CJ20" s="156">
        <v>7.692307692307683E-2</v>
      </c>
      <c r="CK20" s="156">
        <v>7.692307692307683E-2</v>
      </c>
      <c r="CL20" s="156">
        <v>0.15384615384615366</v>
      </c>
      <c r="CM20" s="156">
        <v>0</v>
      </c>
      <c r="CN20" s="162">
        <v>13</v>
      </c>
      <c r="CO20" s="155">
        <v>0.58620689655172442</v>
      </c>
      <c r="CP20" s="156">
        <v>0.31034482758620702</v>
      </c>
      <c r="CQ20" s="156">
        <v>6.8965517241379268E-2</v>
      </c>
      <c r="CR20" s="156">
        <v>3.4482758620689634E-2</v>
      </c>
      <c r="CS20" s="156">
        <v>0</v>
      </c>
      <c r="CT20" s="162">
        <v>29</v>
      </c>
      <c r="CU20" s="155">
        <v>0.5357142857142857</v>
      </c>
      <c r="CV20" s="156">
        <v>0.35714285714285765</v>
      </c>
      <c r="CW20" s="156">
        <v>3.571428571428574E-2</v>
      </c>
      <c r="CX20" s="156">
        <v>7.142857142857148E-2</v>
      </c>
      <c r="CY20" s="156">
        <v>0</v>
      </c>
      <c r="CZ20" s="162">
        <v>28</v>
      </c>
      <c r="DA20" s="155">
        <v>0.66666666666666619</v>
      </c>
      <c r="DB20" s="156">
        <v>0.1666666666666666</v>
      </c>
      <c r="DC20" s="156">
        <v>5.555555555555549E-2</v>
      </c>
      <c r="DD20" s="156">
        <v>0.11111111111111098</v>
      </c>
      <c r="DE20" s="156">
        <v>0</v>
      </c>
      <c r="DF20" s="162">
        <v>18</v>
      </c>
      <c r="DG20" s="155">
        <v>0.80000000000000016</v>
      </c>
      <c r="DH20" s="156">
        <v>0.1</v>
      </c>
      <c r="DI20" s="156">
        <v>0</v>
      </c>
      <c r="DJ20" s="156">
        <v>0.1</v>
      </c>
      <c r="DK20" s="156">
        <v>0</v>
      </c>
      <c r="DL20" s="162">
        <v>10</v>
      </c>
      <c r="DM20" s="155">
        <v>0.75000000000000011</v>
      </c>
      <c r="DN20" s="156">
        <v>0.12500000000000003</v>
      </c>
      <c r="DO20" s="156">
        <v>0</v>
      </c>
      <c r="DP20" s="156">
        <v>0.12500000000000003</v>
      </c>
      <c r="DQ20" s="156">
        <v>0</v>
      </c>
      <c r="DR20" s="162">
        <v>16</v>
      </c>
      <c r="DS20" s="161">
        <v>0.91666666666666674</v>
      </c>
      <c r="DT20" s="156">
        <v>0</v>
      </c>
      <c r="DU20" s="156">
        <v>0</v>
      </c>
      <c r="DV20" s="156">
        <v>8.3333333333333273E-2</v>
      </c>
      <c r="DW20" s="156">
        <v>0</v>
      </c>
      <c r="DX20" s="162">
        <v>12</v>
      </c>
      <c r="DY20" s="155">
        <v>0.9411764705882345</v>
      </c>
      <c r="DZ20" s="156">
        <v>3.9215686274509748E-2</v>
      </c>
      <c r="EA20" s="156">
        <v>0</v>
      </c>
      <c r="EB20" s="156">
        <v>1.9607843137254874E-2</v>
      </c>
      <c r="EC20" s="156">
        <v>0</v>
      </c>
      <c r="ED20" s="162">
        <v>51</v>
      </c>
      <c r="EE20" s="155">
        <v>0.80952380952380831</v>
      </c>
      <c r="EF20" s="156">
        <v>9.5238095238095205E-2</v>
      </c>
      <c r="EG20" s="156">
        <v>0</v>
      </c>
      <c r="EH20" s="156">
        <v>9.5238095238095205E-2</v>
      </c>
      <c r="EI20" s="156">
        <v>0</v>
      </c>
      <c r="EJ20" s="162">
        <v>21</v>
      </c>
      <c r="EK20" s="155">
        <v>0.81250000000000011</v>
      </c>
      <c r="EL20" s="156">
        <v>0.12500000000000003</v>
      </c>
      <c r="EM20" s="156">
        <v>0</v>
      </c>
      <c r="EN20" s="156">
        <v>6.2500000000000014E-2</v>
      </c>
      <c r="EO20" s="156">
        <v>0</v>
      </c>
      <c r="EP20" s="162">
        <v>16</v>
      </c>
      <c r="EQ20" s="155">
        <v>0.81081081081081141</v>
      </c>
      <c r="ER20" s="156">
        <v>0.10810810810810823</v>
      </c>
      <c r="ES20" s="156">
        <v>0</v>
      </c>
      <c r="ET20" s="156">
        <v>8.1081081081081141E-2</v>
      </c>
      <c r="EU20" s="156">
        <v>0</v>
      </c>
      <c r="EV20" s="162">
        <v>37</v>
      </c>
      <c r="EW20" s="155">
        <v>0.86842105263157865</v>
      </c>
      <c r="EX20" s="156">
        <v>7.8947368421052613E-2</v>
      </c>
      <c r="EY20" s="156">
        <v>0</v>
      </c>
      <c r="EZ20" s="156">
        <v>5.263157894736846E-2</v>
      </c>
      <c r="FA20" s="156">
        <v>0</v>
      </c>
      <c r="FB20" s="162">
        <v>38</v>
      </c>
      <c r="FC20" s="155">
        <v>0.42857142857142855</v>
      </c>
      <c r="FD20" s="156">
        <v>0.28571428571428592</v>
      </c>
      <c r="FE20" s="156">
        <v>0</v>
      </c>
      <c r="FF20" s="156">
        <v>0.28571428571428592</v>
      </c>
      <c r="FG20" s="156">
        <v>0</v>
      </c>
      <c r="FH20" s="162">
        <v>7</v>
      </c>
      <c r="FI20" s="161">
        <v>0.60000000000000009</v>
      </c>
      <c r="FJ20" s="156">
        <v>0</v>
      </c>
      <c r="FK20" s="156">
        <v>0</v>
      </c>
      <c r="FL20" s="156">
        <v>0.2</v>
      </c>
      <c r="FM20" s="156">
        <v>0.2</v>
      </c>
      <c r="FN20" s="162">
        <v>5</v>
      </c>
      <c r="FO20" s="155">
        <v>0</v>
      </c>
      <c r="FP20" s="156">
        <v>0</v>
      </c>
      <c r="FQ20" s="156">
        <v>0</v>
      </c>
      <c r="FR20" s="156">
        <v>0</v>
      </c>
      <c r="FS20" s="156">
        <v>0</v>
      </c>
      <c r="FT20" s="162">
        <v>0</v>
      </c>
      <c r="FU20" s="155">
        <v>0</v>
      </c>
      <c r="FV20" s="156">
        <v>0</v>
      </c>
      <c r="FW20" s="156">
        <v>0</v>
      </c>
      <c r="FX20" s="156">
        <v>0</v>
      </c>
      <c r="FY20" s="156">
        <v>0</v>
      </c>
      <c r="FZ20" s="162">
        <v>0</v>
      </c>
      <c r="GA20" s="161">
        <v>0</v>
      </c>
      <c r="GB20" s="156">
        <v>0</v>
      </c>
      <c r="GC20" s="156">
        <v>0</v>
      </c>
      <c r="GD20" s="156">
        <v>0</v>
      </c>
      <c r="GE20" s="156">
        <v>0</v>
      </c>
      <c r="GF20" s="162">
        <v>0</v>
      </c>
      <c r="GG20" s="158">
        <v>9.3829787234042641</v>
      </c>
      <c r="GH20" s="162">
        <v>47</v>
      </c>
      <c r="GI20" s="155">
        <v>0.78846153846153799</v>
      </c>
      <c r="GJ20" s="156">
        <v>0.15384615384615366</v>
      </c>
      <c r="GK20" s="156">
        <v>5.7692307692307682E-2</v>
      </c>
      <c r="GL20" s="156">
        <v>0</v>
      </c>
      <c r="GM20" s="156">
        <v>0</v>
      </c>
      <c r="GN20" s="162">
        <v>52</v>
      </c>
      <c r="GO20" s="155">
        <v>0.52941176470588147</v>
      </c>
      <c r="GP20" s="156">
        <v>0.27450980392156815</v>
      </c>
      <c r="GQ20" s="156">
        <v>9.8039215686274411E-2</v>
      </c>
      <c r="GR20" s="156">
        <v>0.13725490196078408</v>
      </c>
      <c r="GS20" s="162">
        <v>51</v>
      </c>
      <c r="GT20" s="163">
        <v>3.5192307692307661</v>
      </c>
      <c r="GU20" s="162">
        <v>52</v>
      </c>
      <c r="GV20" s="155">
        <v>0.70588235294117596</v>
      </c>
      <c r="GW20" s="156">
        <v>0.29411764705882371</v>
      </c>
      <c r="GX20" s="162">
        <v>17</v>
      </c>
      <c r="GY20" s="155">
        <v>0.92307692307692346</v>
      </c>
      <c r="GZ20" s="156">
        <v>7.6923076923076927E-2</v>
      </c>
      <c r="HA20" s="162">
        <v>26</v>
      </c>
      <c r="HB20" s="155">
        <v>0.88888888888888784</v>
      </c>
      <c r="HC20" s="156">
        <v>0.11111111111111097</v>
      </c>
      <c r="HD20" s="162">
        <v>45</v>
      </c>
      <c r="HE20" s="161">
        <v>0.88888888888888784</v>
      </c>
      <c r="HF20" s="156">
        <v>0.11111111111111124</v>
      </c>
      <c r="HG20" s="162">
        <v>27</v>
      </c>
      <c r="HH20" s="155">
        <v>0.44999999999999996</v>
      </c>
      <c r="HI20" s="156">
        <v>0.54999999999999993</v>
      </c>
      <c r="HJ20" s="162">
        <v>40</v>
      </c>
      <c r="HK20" s="155">
        <v>1</v>
      </c>
      <c r="HL20" s="156">
        <v>0</v>
      </c>
      <c r="HM20" s="162">
        <v>39</v>
      </c>
      <c r="HN20" s="161">
        <v>5.4054054054054113E-2</v>
      </c>
      <c r="HO20" s="156">
        <v>0.16216216216216228</v>
      </c>
      <c r="HP20" s="156">
        <v>0.35135135135135165</v>
      </c>
      <c r="HQ20" s="156">
        <v>0.35135135135135165</v>
      </c>
      <c r="HR20" s="156">
        <v>8.1081081081081141E-2</v>
      </c>
      <c r="HS20" s="160">
        <v>58.324324324324301</v>
      </c>
      <c r="HT20" s="164">
        <v>37</v>
      </c>
      <c r="HU20" s="165">
        <v>0</v>
      </c>
      <c r="HV20" s="166">
        <v>0</v>
      </c>
      <c r="HW20" s="166">
        <v>2.4390243902439025E-2</v>
      </c>
      <c r="HX20" s="166">
        <v>0.12195121951219512</v>
      </c>
      <c r="HY20" s="166">
        <v>0.1951219512195122</v>
      </c>
      <c r="HZ20" s="166">
        <v>0.14634146341463414</v>
      </c>
      <c r="IA20" s="166">
        <v>0.12195121951219512</v>
      </c>
      <c r="IB20" s="166">
        <v>0.17073170731707318</v>
      </c>
      <c r="IC20" s="166">
        <v>0.14634146341463414</v>
      </c>
      <c r="ID20" s="166">
        <v>7.3170731707317069E-2</v>
      </c>
      <c r="IE20" s="167">
        <v>41</v>
      </c>
      <c r="IF20" s="155">
        <v>0</v>
      </c>
      <c r="IG20" s="156">
        <v>1</v>
      </c>
      <c r="IH20" s="156">
        <v>0</v>
      </c>
      <c r="II20" s="156">
        <v>0</v>
      </c>
      <c r="IJ20" s="156">
        <v>0</v>
      </c>
      <c r="IK20" s="162">
        <v>1</v>
      </c>
      <c r="IL20" s="155">
        <v>4.9999999999999989E-2</v>
      </c>
      <c r="IM20" s="156">
        <v>0</v>
      </c>
      <c r="IN20" s="156">
        <v>7.4999999999999997E-2</v>
      </c>
      <c r="IO20" s="156">
        <v>0.84999999999999987</v>
      </c>
      <c r="IP20" s="156">
        <v>2.4999999999999994E-2</v>
      </c>
      <c r="IQ20" s="162">
        <v>40</v>
      </c>
      <c r="IR20" s="155">
        <v>4.9999999999999989E-2</v>
      </c>
      <c r="IS20" s="156">
        <v>0.94999999999999984</v>
      </c>
      <c r="IT20" s="162">
        <v>40</v>
      </c>
      <c r="IU20" s="161">
        <v>0</v>
      </c>
      <c r="IV20" s="156">
        <v>0</v>
      </c>
      <c r="IW20" s="156">
        <v>1</v>
      </c>
      <c r="IX20" s="162">
        <v>1</v>
      </c>
    </row>
    <row r="21" spans="1:258" ht="32.1" customHeight="1" x14ac:dyDescent="0.25">
      <c r="A21" s="110" t="s">
        <v>453</v>
      </c>
      <c r="B21" s="108" t="s">
        <v>572</v>
      </c>
      <c r="C21" s="108" t="s">
        <v>454</v>
      </c>
      <c r="D21" s="109">
        <v>40</v>
      </c>
      <c r="E21" s="139" t="s">
        <v>471</v>
      </c>
      <c r="F21" s="155">
        <v>0.17241379310344823</v>
      </c>
      <c r="G21" s="156">
        <v>0.82758620689655094</v>
      </c>
      <c r="H21" s="157">
        <v>87</v>
      </c>
      <c r="I21" s="155">
        <v>0.90140845070422371</v>
      </c>
      <c r="J21" s="156">
        <v>9.8591549295774641E-2</v>
      </c>
      <c r="K21" s="157">
        <v>71</v>
      </c>
      <c r="L21" s="155">
        <v>0.74242424242424121</v>
      </c>
      <c r="M21" s="156">
        <v>0.25757575757575746</v>
      </c>
      <c r="N21" s="157">
        <v>66</v>
      </c>
      <c r="O21" s="155">
        <v>0.22988505747126445</v>
      </c>
      <c r="P21" s="156">
        <v>9.1954022988505649E-2</v>
      </c>
      <c r="Q21" s="156">
        <v>0.13793103448275845</v>
      </c>
      <c r="R21" s="156">
        <v>2.2988505747126412E-2</v>
      </c>
      <c r="S21" s="156">
        <v>0.45977011494252901</v>
      </c>
      <c r="T21" s="156">
        <v>4.5977011494252824E-2</v>
      </c>
      <c r="U21" s="156">
        <v>2.2988505747126412E-2</v>
      </c>
      <c r="V21" s="156">
        <v>0.2758620689655169</v>
      </c>
      <c r="W21" s="156">
        <v>0.24137931034482782</v>
      </c>
      <c r="X21" s="156">
        <v>0.40229885057471254</v>
      </c>
      <c r="Y21" s="157">
        <v>87</v>
      </c>
      <c r="Z21" s="155">
        <v>0.60869565217391353</v>
      </c>
      <c r="AA21" s="156">
        <v>0.5797101449275367</v>
      </c>
      <c r="AB21" s="156">
        <v>0.53623188405797084</v>
      </c>
      <c r="AC21" s="156">
        <v>0.7826086956521725</v>
      </c>
      <c r="AD21" s="156">
        <v>1.4492753623188401E-2</v>
      </c>
      <c r="AE21" s="156">
        <v>0.10144927536231861</v>
      </c>
      <c r="AF21" s="157">
        <v>69</v>
      </c>
      <c r="AG21" s="158">
        <v>9.6896551724138043</v>
      </c>
      <c r="AH21" s="159">
        <v>87</v>
      </c>
      <c r="AI21" s="160">
        <v>9.839080459770118</v>
      </c>
      <c r="AJ21" s="159">
        <v>87</v>
      </c>
      <c r="AK21" s="160">
        <v>9.8604651162790944</v>
      </c>
      <c r="AL21" s="157">
        <v>86</v>
      </c>
      <c r="AM21" s="155">
        <v>0.670886075949366</v>
      </c>
      <c r="AN21" s="156">
        <v>0.27848101265822761</v>
      </c>
      <c r="AO21" s="156">
        <v>3.7974683544303722E-2</v>
      </c>
      <c r="AP21" s="156">
        <v>1.265822784810126E-2</v>
      </c>
      <c r="AQ21" s="156">
        <v>0</v>
      </c>
      <c r="AR21" s="157">
        <v>79</v>
      </c>
      <c r="AS21" s="155">
        <v>0.87951807228915657</v>
      </c>
      <c r="AT21" s="156">
        <v>0.12048192771084337</v>
      </c>
      <c r="AU21" s="156">
        <v>0</v>
      </c>
      <c r="AV21" s="156">
        <v>0</v>
      </c>
      <c r="AW21" s="156">
        <v>0</v>
      </c>
      <c r="AX21" s="157">
        <v>83</v>
      </c>
      <c r="AY21" s="155">
        <v>0.88372093023255749</v>
      </c>
      <c r="AZ21" s="156">
        <v>0.11627906976744164</v>
      </c>
      <c r="BA21" s="156">
        <v>0</v>
      </c>
      <c r="BB21" s="156">
        <v>0</v>
      </c>
      <c r="BC21" s="156">
        <v>0</v>
      </c>
      <c r="BD21" s="157">
        <v>86</v>
      </c>
      <c r="BE21" s="155">
        <v>0.89534883720930325</v>
      </c>
      <c r="BF21" s="156">
        <v>9.3023255813953584E-2</v>
      </c>
      <c r="BG21" s="156">
        <v>1.1627906976744198E-2</v>
      </c>
      <c r="BH21" s="156">
        <v>0</v>
      </c>
      <c r="BI21" s="156">
        <v>0</v>
      </c>
      <c r="BJ21" s="157">
        <v>86</v>
      </c>
      <c r="BK21" s="155">
        <v>0.89411764705882191</v>
      </c>
      <c r="BL21" s="156">
        <v>0.1058823529411765</v>
      </c>
      <c r="BM21" s="156">
        <v>0</v>
      </c>
      <c r="BN21" s="156">
        <v>0</v>
      </c>
      <c r="BO21" s="156">
        <v>0</v>
      </c>
      <c r="BP21" s="157">
        <v>85</v>
      </c>
      <c r="BQ21" s="155">
        <v>0.93023255813953309</v>
      </c>
      <c r="BR21" s="156">
        <v>5.8139534883720818E-2</v>
      </c>
      <c r="BS21" s="156">
        <v>1.1627906976744198E-2</v>
      </c>
      <c r="BT21" s="156">
        <v>0</v>
      </c>
      <c r="BU21" s="156">
        <v>0</v>
      </c>
      <c r="BV21" s="157">
        <v>86</v>
      </c>
      <c r="BW21" s="161">
        <v>0.77272727272727237</v>
      </c>
      <c r="BX21" s="156">
        <v>0.18181818181818182</v>
      </c>
      <c r="BY21" s="156">
        <v>3.0303030303030293E-2</v>
      </c>
      <c r="BZ21" s="156">
        <v>0</v>
      </c>
      <c r="CA21" s="156">
        <v>1.5151515151515147E-2</v>
      </c>
      <c r="CB21" s="157">
        <v>66</v>
      </c>
      <c r="CC21" s="155">
        <v>0.72222222222222332</v>
      </c>
      <c r="CD21" s="156">
        <v>0.1666666666666668</v>
      </c>
      <c r="CE21" s="156">
        <v>5.5555555555555462E-2</v>
      </c>
      <c r="CF21" s="156">
        <v>5.5555555555555462E-2</v>
      </c>
      <c r="CG21" s="156">
        <v>0</v>
      </c>
      <c r="CH21" s="162">
        <v>18</v>
      </c>
      <c r="CI21" s="155">
        <v>0.6</v>
      </c>
      <c r="CJ21" s="156">
        <v>9.9999999999999978E-2</v>
      </c>
      <c r="CK21" s="156">
        <v>0.19999999999999996</v>
      </c>
      <c r="CL21" s="156">
        <v>9.9999999999999978E-2</v>
      </c>
      <c r="CM21" s="156">
        <v>0</v>
      </c>
      <c r="CN21" s="162">
        <v>20</v>
      </c>
      <c r="CO21" s="155">
        <v>0.59574468085106391</v>
      </c>
      <c r="CP21" s="156">
        <v>0.34042553191489339</v>
      </c>
      <c r="CQ21" s="156">
        <v>4.2553191489361673E-2</v>
      </c>
      <c r="CR21" s="156">
        <v>2.1276595744680837E-2</v>
      </c>
      <c r="CS21" s="156">
        <v>0</v>
      </c>
      <c r="CT21" s="162">
        <v>47</v>
      </c>
      <c r="CU21" s="155">
        <v>0.60416666666666685</v>
      </c>
      <c r="CV21" s="156">
        <v>0.33333333333333337</v>
      </c>
      <c r="CW21" s="156">
        <v>4.1666666666666671E-2</v>
      </c>
      <c r="CX21" s="156">
        <v>2.0833333333333336E-2</v>
      </c>
      <c r="CY21" s="156">
        <v>0</v>
      </c>
      <c r="CZ21" s="162">
        <v>48</v>
      </c>
      <c r="DA21" s="155">
        <v>0.55999999999999994</v>
      </c>
      <c r="DB21" s="156">
        <v>0.39999999999999991</v>
      </c>
      <c r="DC21" s="156">
        <v>3.9999999999999994E-2</v>
      </c>
      <c r="DD21" s="156">
        <v>0</v>
      </c>
      <c r="DE21" s="156">
        <v>0</v>
      </c>
      <c r="DF21" s="162">
        <v>25</v>
      </c>
      <c r="DG21" s="155">
        <v>0.6399999999999999</v>
      </c>
      <c r="DH21" s="156">
        <v>0.23999999999999996</v>
      </c>
      <c r="DI21" s="156">
        <v>0.11999999999999998</v>
      </c>
      <c r="DJ21" s="156">
        <v>0</v>
      </c>
      <c r="DK21" s="156">
        <v>0</v>
      </c>
      <c r="DL21" s="162">
        <v>25</v>
      </c>
      <c r="DM21" s="155">
        <v>0.69230769230769251</v>
      </c>
      <c r="DN21" s="156">
        <v>0.2051282051282054</v>
      </c>
      <c r="DO21" s="156">
        <v>5.128205128205135E-2</v>
      </c>
      <c r="DP21" s="156">
        <v>0</v>
      </c>
      <c r="DQ21" s="156">
        <v>5.128205128205135E-2</v>
      </c>
      <c r="DR21" s="162">
        <v>39</v>
      </c>
      <c r="DS21" s="161">
        <v>0.82758620689655094</v>
      </c>
      <c r="DT21" s="156">
        <v>0.13793103448275837</v>
      </c>
      <c r="DU21" s="156">
        <v>0</v>
      </c>
      <c r="DV21" s="156">
        <v>3.4482758620689592E-2</v>
      </c>
      <c r="DW21" s="156">
        <v>0</v>
      </c>
      <c r="DX21" s="162">
        <v>29</v>
      </c>
      <c r="DY21" s="155">
        <v>0.88749999999999996</v>
      </c>
      <c r="DZ21" s="156">
        <v>9.9999999999999978E-2</v>
      </c>
      <c r="EA21" s="156">
        <v>1.2499999999999997E-2</v>
      </c>
      <c r="EB21" s="156">
        <v>0</v>
      </c>
      <c r="EC21" s="156">
        <v>0</v>
      </c>
      <c r="ED21" s="162">
        <v>80</v>
      </c>
      <c r="EE21" s="155">
        <v>0.77272727272727237</v>
      </c>
      <c r="EF21" s="156">
        <v>0.18181818181818188</v>
      </c>
      <c r="EG21" s="156">
        <v>4.545454545454547E-2</v>
      </c>
      <c r="EH21" s="156">
        <v>0</v>
      </c>
      <c r="EI21" s="156">
        <v>0</v>
      </c>
      <c r="EJ21" s="162">
        <v>22</v>
      </c>
      <c r="EK21" s="155">
        <v>0.79166666666666752</v>
      </c>
      <c r="EL21" s="156">
        <v>0.20833333333333307</v>
      </c>
      <c r="EM21" s="156">
        <v>0</v>
      </c>
      <c r="EN21" s="156">
        <v>0</v>
      </c>
      <c r="EO21" s="156">
        <v>0</v>
      </c>
      <c r="EP21" s="162">
        <v>24</v>
      </c>
      <c r="EQ21" s="155">
        <v>0.71186440677966001</v>
      </c>
      <c r="ER21" s="156">
        <v>0.2542372881355931</v>
      </c>
      <c r="ES21" s="156">
        <v>0</v>
      </c>
      <c r="ET21" s="156">
        <v>3.3898305084745742E-2</v>
      </c>
      <c r="EU21" s="156">
        <v>0</v>
      </c>
      <c r="EV21" s="162">
        <v>59</v>
      </c>
      <c r="EW21" s="155">
        <v>0.81818181818181923</v>
      </c>
      <c r="EX21" s="156">
        <v>0.18181818181818182</v>
      </c>
      <c r="EY21" s="156">
        <v>0</v>
      </c>
      <c r="EZ21" s="156">
        <v>0</v>
      </c>
      <c r="FA21" s="156">
        <v>0</v>
      </c>
      <c r="FB21" s="162">
        <v>55</v>
      </c>
      <c r="FC21" s="155">
        <v>0.63636363636363702</v>
      </c>
      <c r="FD21" s="156">
        <v>0.18181818181818227</v>
      </c>
      <c r="FE21" s="156">
        <v>9.0909090909091134E-2</v>
      </c>
      <c r="FF21" s="156">
        <v>9.0909090909091134E-2</v>
      </c>
      <c r="FG21" s="156">
        <v>0</v>
      </c>
      <c r="FH21" s="162">
        <v>11</v>
      </c>
      <c r="FI21" s="161">
        <v>0.57142857142857162</v>
      </c>
      <c r="FJ21" s="156">
        <v>0.1428571428571429</v>
      </c>
      <c r="FK21" s="156">
        <v>0.1428571428571429</v>
      </c>
      <c r="FL21" s="156">
        <v>0.1428571428571429</v>
      </c>
      <c r="FM21" s="156">
        <v>0</v>
      </c>
      <c r="FN21" s="162">
        <v>7</v>
      </c>
      <c r="FO21" s="155">
        <v>0</v>
      </c>
      <c r="FP21" s="156">
        <v>0</v>
      </c>
      <c r="FQ21" s="156">
        <v>0</v>
      </c>
      <c r="FR21" s="156">
        <v>0</v>
      </c>
      <c r="FS21" s="156">
        <v>0</v>
      </c>
      <c r="FT21" s="162">
        <v>0</v>
      </c>
      <c r="FU21" s="155">
        <v>0</v>
      </c>
      <c r="FV21" s="156">
        <v>0</v>
      </c>
      <c r="FW21" s="156">
        <v>0</v>
      </c>
      <c r="FX21" s="156">
        <v>0</v>
      </c>
      <c r="FY21" s="156">
        <v>0</v>
      </c>
      <c r="FZ21" s="162">
        <v>0</v>
      </c>
      <c r="GA21" s="161">
        <v>0</v>
      </c>
      <c r="GB21" s="156">
        <v>0</v>
      </c>
      <c r="GC21" s="156">
        <v>0</v>
      </c>
      <c r="GD21" s="156">
        <v>0</v>
      </c>
      <c r="GE21" s="156">
        <v>0</v>
      </c>
      <c r="GF21" s="162">
        <v>0</v>
      </c>
      <c r="GG21" s="158">
        <v>9.5632183908046162</v>
      </c>
      <c r="GH21" s="162">
        <v>87</v>
      </c>
      <c r="GI21" s="155">
        <v>0.77011494252873502</v>
      </c>
      <c r="GJ21" s="156">
        <v>0.12643678160919533</v>
      </c>
      <c r="GK21" s="156">
        <v>9.1954022988505746E-2</v>
      </c>
      <c r="GL21" s="156">
        <v>1.1494252873563225E-2</v>
      </c>
      <c r="GM21" s="156">
        <v>0</v>
      </c>
      <c r="GN21" s="162">
        <v>87</v>
      </c>
      <c r="GO21" s="155">
        <v>0.72413793103448354</v>
      </c>
      <c r="GP21" s="156">
        <v>0.14942528735632141</v>
      </c>
      <c r="GQ21" s="156">
        <v>0.10344827586206878</v>
      </c>
      <c r="GR21" s="156">
        <v>0.11494252873563222</v>
      </c>
      <c r="GS21" s="162">
        <v>87</v>
      </c>
      <c r="GT21" s="163">
        <v>3.7674418604651128</v>
      </c>
      <c r="GU21" s="162">
        <v>86</v>
      </c>
      <c r="GV21" s="155">
        <v>0.8888888888888874</v>
      </c>
      <c r="GW21" s="156">
        <v>0.11111111111111092</v>
      </c>
      <c r="GX21" s="162">
        <v>45</v>
      </c>
      <c r="GY21" s="155">
        <v>0.98275862068965569</v>
      </c>
      <c r="GZ21" s="156">
        <v>1.7241379310344796E-2</v>
      </c>
      <c r="HA21" s="162">
        <v>58</v>
      </c>
      <c r="HB21" s="155">
        <v>0.96491228070175528</v>
      </c>
      <c r="HC21" s="156">
        <v>3.5087719298245529E-2</v>
      </c>
      <c r="HD21" s="162">
        <v>57</v>
      </c>
      <c r="HE21" s="161">
        <v>0.95081967213114704</v>
      </c>
      <c r="HF21" s="156">
        <v>4.9180327868852479E-2</v>
      </c>
      <c r="HG21" s="162">
        <v>61</v>
      </c>
      <c r="HH21" s="155">
        <v>0.45977011494252928</v>
      </c>
      <c r="HI21" s="156">
        <v>0.54022988505747049</v>
      </c>
      <c r="HJ21" s="162">
        <v>87</v>
      </c>
      <c r="HK21" s="155">
        <v>1</v>
      </c>
      <c r="HL21" s="156">
        <v>0</v>
      </c>
      <c r="HM21" s="162">
        <v>87</v>
      </c>
      <c r="HN21" s="161">
        <v>7.2289156626505938E-2</v>
      </c>
      <c r="HO21" s="156">
        <v>0.15662650602409631</v>
      </c>
      <c r="HP21" s="156">
        <v>0.16867469879518029</v>
      </c>
      <c r="HQ21" s="156">
        <v>0.38554216867469804</v>
      </c>
      <c r="HR21" s="156">
        <v>0.21686746987951833</v>
      </c>
      <c r="HS21" s="160">
        <v>60.855421686746922</v>
      </c>
      <c r="HT21" s="164">
        <v>83</v>
      </c>
      <c r="HU21" s="165">
        <v>2.6666666666666668E-2</v>
      </c>
      <c r="HV21" s="166">
        <v>2.6666666666666668E-2</v>
      </c>
      <c r="HW21" s="166">
        <v>5.3333333333333337E-2</v>
      </c>
      <c r="HX21" s="166">
        <v>2.6666666666666668E-2</v>
      </c>
      <c r="HY21" s="166">
        <v>9.3333333333333338E-2</v>
      </c>
      <c r="HZ21" s="166">
        <v>0.04</v>
      </c>
      <c r="IA21" s="166">
        <v>0.18666666666666668</v>
      </c>
      <c r="IB21" s="166">
        <v>0.14666666666666667</v>
      </c>
      <c r="IC21" s="166">
        <v>0.22666666666666666</v>
      </c>
      <c r="ID21" s="166">
        <v>0.17333333333333334</v>
      </c>
      <c r="IE21" s="167">
        <v>75</v>
      </c>
      <c r="IF21" s="155">
        <v>0</v>
      </c>
      <c r="IG21" s="156">
        <v>0</v>
      </c>
      <c r="IH21" s="156">
        <v>0.5</v>
      </c>
      <c r="II21" s="156">
        <v>0</v>
      </c>
      <c r="IJ21" s="156">
        <v>0.5</v>
      </c>
      <c r="IK21" s="162">
        <v>2</v>
      </c>
      <c r="IL21" s="155">
        <v>1.1494252873563225E-2</v>
      </c>
      <c r="IM21" s="156">
        <v>1.1494252873563225E-2</v>
      </c>
      <c r="IN21" s="156">
        <v>1.1494252873563225E-2</v>
      </c>
      <c r="IO21" s="156">
        <v>0.96551724137931116</v>
      </c>
      <c r="IP21" s="156">
        <v>0</v>
      </c>
      <c r="IQ21" s="162">
        <v>87</v>
      </c>
      <c r="IR21" s="155">
        <v>5.747126436781614E-2</v>
      </c>
      <c r="IS21" s="156">
        <v>0.94252873563218542</v>
      </c>
      <c r="IT21" s="162">
        <v>87</v>
      </c>
      <c r="IU21" s="161">
        <v>0</v>
      </c>
      <c r="IV21" s="156">
        <v>0.40000000000000008</v>
      </c>
      <c r="IW21" s="156">
        <v>0.60000000000000009</v>
      </c>
      <c r="IX21" s="162">
        <v>5</v>
      </c>
    </row>
    <row r="22" spans="1:258" ht="32.1" customHeight="1" x14ac:dyDescent="0.25">
      <c r="A22" s="110" t="s">
        <v>453</v>
      </c>
      <c r="B22" s="108" t="s">
        <v>576</v>
      </c>
      <c r="C22" s="108" t="s">
        <v>454</v>
      </c>
      <c r="D22" s="109">
        <v>41</v>
      </c>
      <c r="E22" s="139" t="s">
        <v>472</v>
      </c>
      <c r="F22" s="155">
        <v>0.24074074074074125</v>
      </c>
      <c r="G22" s="156">
        <v>0.75925925925926019</v>
      </c>
      <c r="H22" s="157">
        <v>54</v>
      </c>
      <c r="I22" s="155">
        <v>0.92500000000000016</v>
      </c>
      <c r="J22" s="156">
        <v>7.5000000000000053E-2</v>
      </c>
      <c r="K22" s="157">
        <v>40</v>
      </c>
      <c r="L22" s="155">
        <v>0.50000000000000022</v>
      </c>
      <c r="M22" s="156">
        <v>0.50000000000000022</v>
      </c>
      <c r="N22" s="157">
        <v>34</v>
      </c>
      <c r="O22" s="155">
        <v>0.1111111111111114</v>
      </c>
      <c r="P22" s="156">
        <v>0.12962962962962979</v>
      </c>
      <c r="Q22" s="156">
        <v>0.38888888888888934</v>
      </c>
      <c r="R22" s="156">
        <v>0.1111111111111114</v>
      </c>
      <c r="S22" s="156">
        <v>0.38888888888888934</v>
      </c>
      <c r="T22" s="156">
        <v>0.1111111111111114</v>
      </c>
      <c r="U22" s="156">
        <v>3.703703703703716E-2</v>
      </c>
      <c r="V22" s="156">
        <v>0.14814814814814864</v>
      </c>
      <c r="W22" s="156">
        <v>5.5555555555555712E-2</v>
      </c>
      <c r="X22" s="156">
        <v>5.5555555555555712E-2</v>
      </c>
      <c r="Y22" s="157">
        <v>54</v>
      </c>
      <c r="Z22" s="155">
        <v>0.71698113207547254</v>
      </c>
      <c r="AA22" s="156">
        <v>0.45283018867924618</v>
      </c>
      <c r="AB22" s="156">
        <v>0.37735849056603848</v>
      </c>
      <c r="AC22" s="156">
        <v>0.60377358490566035</v>
      </c>
      <c r="AD22" s="156">
        <v>0.13207547169811365</v>
      </c>
      <c r="AE22" s="156">
        <v>0.11320754716981155</v>
      </c>
      <c r="AF22" s="157">
        <v>53</v>
      </c>
      <c r="AG22" s="158">
        <v>9.8269230769230926</v>
      </c>
      <c r="AH22" s="159">
        <v>52</v>
      </c>
      <c r="AI22" s="160">
        <v>9.8490566037736063</v>
      </c>
      <c r="AJ22" s="159">
        <v>53</v>
      </c>
      <c r="AK22" s="160">
        <v>9.7647058823529367</v>
      </c>
      <c r="AL22" s="157">
        <v>51</v>
      </c>
      <c r="AM22" s="155">
        <v>0.36734693877551022</v>
      </c>
      <c r="AN22" s="156">
        <v>0.28571428571428625</v>
      </c>
      <c r="AO22" s="156">
        <v>0.10204081632653088</v>
      </c>
      <c r="AP22" s="156">
        <v>0.22448979591836793</v>
      </c>
      <c r="AQ22" s="156">
        <v>2.0408163265306149E-2</v>
      </c>
      <c r="AR22" s="157">
        <v>49</v>
      </c>
      <c r="AS22" s="155">
        <v>0.81250000000000011</v>
      </c>
      <c r="AT22" s="156">
        <v>0.16666666666666718</v>
      </c>
      <c r="AU22" s="156">
        <v>2.0833333333333398E-2</v>
      </c>
      <c r="AV22" s="156">
        <v>0</v>
      </c>
      <c r="AW22" s="156">
        <v>0</v>
      </c>
      <c r="AX22" s="157">
        <v>48</v>
      </c>
      <c r="AY22" s="155">
        <v>0.84313725490196034</v>
      </c>
      <c r="AZ22" s="156">
        <v>0.15686274509803957</v>
      </c>
      <c r="BA22" s="156">
        <v>0</v>
      </c>
      <c r="BB22" s="156">
        <v>0</v>
      </c>
      <c r="BC22" s="156">
        <v>0</v>
      </c>
      <c r="BD22" s="157">
        <v>51</v>
      </c>
      <c r="BE22" s="155">
        <v>0.80392156862745057</v>
      </c>
      <c r="BF22" s="156">
        <v>0.19607843137254949</v>
      </c>
      <c r="BG22" s="156">
        <v>0</v>
      </c>
      <c r="BH22" s="156">
        <v>0</v>
      </c>
      <c r="BI22" s="156">
        <v>0</v>
      </c>
      <c r="BJ22" s="157">
        <v>51</v>
      </c>
      <c r="BK22" s="155">
        <v>0.71739130434782661</v>
      </c>
      <c r="BL22" s="156">
        <v>0.23913043478260923</v>
      </c>
      <c r="BM22" s="156">
        <v>2.1739130434782625E-2</v>
      </c>
      <c r="BN22" s="156">
        <v>2.1739130434782625E-2</v>
      </c>
      <c r="BO22" s="156">
        <v>0</v>
      </c>
      <c r="BP22" s="157">
        <v>46</v>
      </c>
      <c r="BQ22" s="155">
        <v>0.86274509803921551</v>
      </c>
      <c r="BR22" s="156">
        <v>0.13725490196078452</v>
      </c>
      <c r="BS22" s="156">
        <v>0</v>
      </c>
      <c r="BT22" s="156">
        <v>0</v>
      </c>
      <c r="BU22" s="156">
        <v>0</v>
      </c>
      <c r="BV22" s="157">
        <v>51</v>
      </c>
      <c r="BW22" s="161">
        <v>0.73684210526315819</v>
      </c>
      <c r="BX22" s="156">
        <v>0.26315789473684181</v>
      </c>
      <c r="BY22" s="156">
        <v>0</v>
      </c>
      <c r="BZ22" s="156">
        <v>0</v>
      </c>
      <c r="CA22" s="156">
        <v>0</v>
      </c>
      <c r="CB22" s="157">
        <v>19</v>
      </c>
      <c r="CC22" s="155">
        <v>0.91666666666666752</v>
      </c>
      <c r="CD22" s="156">
        <v>8.3333333333333315E-2</v>
      </c>
      <c r="CE22" s="156">
        <v>0</v>
      </c>
      <c r="CF22" s="156">
        <v>0</v>
      </c>
      <c r="CG22" s="156">
        <v>0</v>
      </c>
      <c r="CH22" s="162">
        <v>24</v>
      </c>
      <c r="CI22" s="155">
        <v>0.66666666666666641</v>
      </c>
      <c r="CJ22" s="156">
        <v>0.3333333333333332</v>
      </c>
      <c r="CK22" s="156">
        <v>0</v>
      </c>
      <c r="CL22" s="156">
        <v>0</v>
      </c>
      <c r="CM22" s="156">
        <v>0</v>
      </c>
      <c r="CN22" s="162">
        <v>21</v>
      </c>
      <c r="CO22" s="155">
        <v>0.61764705882353066</v>
      </c>
      <c r="CP22" s="156">
        <v>0.29411764705882421</v>
      </c>
      <c r="CQ22" s="156">
        <v>0</v>
      </c>
      <c r="CR22" s="156">
        <v>8.8235294117647134E-2</v>
      </c>
      <c r="CS22" s="156">
        <v>0</v>
      </c>
      <c r="CT22" s="162">
        <v>34</v>
      </c>
      <c r="CU22" s="155">
        <v>0.68750000000000011</v>
      </c>
      <c r="CV22" s="156">
        <v>0.28125000000000006</v>
      </c>
      <c r="CW22" s="156">
        <v>0</v>
      </c>
      <c r="CX22" s="156">
        <v>3.1250000000000007E-2</v>
      </c>
      <c r="CY22" s="156">
        <v>0</v>
      </c>
      <c r="CZ22" s="162">
        <v>32</v>
      </c>
      <c r="DA22" s="155">
        <v>0.63157894736842124</v>
      </c>
      <c r="DB22" s="156">
        <v>0.36842105263157909</v>
      </c>
      <c r="DC22" s="156">
        <v>0</v>
      </c>
      <c r="DD22" s="156">
        <v>0</v>
      </c>
      <c r="DE22" s="156">
        <v>0</v>
      </c>
      <c r="DF22" s="162">
        <v>19</v>
      </c>
      <c r="DG22" s="155">
        <v>0.57142857142857229</v>
      </c>
      <c r="DH22" s="156">
        <v>0.35714285714285743</v>
      </c>
      <c r="DI22" s="156">
        <v>0</v>
      </c>
      <c r="DJ22" s="156">
        <v>7.1428571428571536E-2</v>
      </c>
      <c r="DK22" s="156">
        <v>0</v>
      </c>
      <c r="DL22" s="162">
        <v>14</v>
      </c>
      <c r="DM22" s="155">
        <v>0.83333333333333282</v>
      </c>
      <c r="DN22" s="156">
        <v>8.3333333333333301E-2</v>
      </c>
      <c r="DO22" s="156">
        <v>0</v>
      </c>
      <c r="DP22" s="156">
        <v>8.3333333333333301E-2</v>
      </c>
      <c r="DQ22" s="156">
        <v>0</v>
      </c>
      <c r="DR22" s="162">
        <v>12</v>
      </c>
      <c r="DS22" s="161">
        <v>0.99999999999999989</v>
      </c>
      <c r="DT22" s="156">
        <v>0</v>
      </c>
      <c r="DU22" s="156">
        <v>0</v>
      </c>
      <c r="DV22" s="156">
        <v>0</v>
      </c>
      <c r="DW22" s="156">
        <v>0</v>
      </c>
      <c r="DX22" s="162">
        <v>8</v>
      </c>
      <c r="DY22" s="155">
        <v>0.88000000000000012</v>
      </c>
      <c r="DZ22" s="156">
        <v>0.12000000000000006</v>
      </c>
      <c r="EA22" s="156">
        <v>0</v>
      </c>
      <c r="EB22" s="156">
        <v>0</v>
      </c>
      <c r="EC22" s="156">
        <v>0</v>
      </c>
      <c r="ED22" s="162">
        <v>50</v>
      </c>
      <c r="EE22" s="155">
        <v>0.57894736842105321</v>
      </c>
      <c r="EF22" s="156">
        <v>0.42105263157894696</v>
      </c>
      <c r="EG22" s="156">
        <v>0</v>
      </c>
      <c r="EH22" s="156">
        <v>0</v>
      </c>
      <c r="EI22" s="156">
        <v>0</v>
      </c>
      <c r="EJ22" s="162">
        <v>19</v>
      </c>
      <c r="EK22" s="155">
        <v>0.625</v>
      </c>
      <c r="EL22" s="156">
        <v>0.375</v>
      </c>
      <c r="EM22" s="156">
        <v>0</v>
      </c>
      <c r="EN22" s="156">
        <v>0</v>
      </c>
      <c r="EO22" s="156">
        <v>0</v>
      </c>
      <c r="EP22" s="162">
        <v>16</v>
      </c>
      <c r="EQ22" s="155">
        <v>0.59259259259259212</v>
      </c>
      <c r="ER22" s="156">
        <v>0.25925925925925919</v>
      </c>
      <c r="ES22" s="156">
        <v>7.4074074074074014E-2</v>
      </c>
      <c r="ET22" s="156">
        <v>7.4074074074074014E-2</v>
      </c>
      <c r="EU22" s="156">
        <v>0</v>
      </c>
      <c r="EV22" s="162">
        <v>27</v>
      </c>
      <c r="EW22" s="155">
        <v>0.59259259259259212</v>
      </c>
      <c r="EX22" s="156">
        <v>0.29629629629629606</v>
      </c>
      <c r="EY22" s="156">
        <v>3.7037037037037007E-2</v>
      </c>
      <c r="EZ22" s="156">
        <v>0</v>
      </c>
      <c r="FA22" s="156">
        <v>7.4074074074074014E-2</v>
      </c>
      <c r="FB22" s="162">
        <v>27</v>
      </c>
      <c r="FC22" s="155">
        <v>0.56000000000000005</v>
      </c>
      <c r="FD22" s="156">
        <v>0.3600000000000001</v>
      </c>
      <c r="FE22" s="156">
        <v>4.0000000000000008E-2</v>
      </c>
      <c r="FF22" s="156">
        <v>0</v>
      </c>
      <c r="FG22" s="156">
        <v>4.0000000000000008E-2</v>
      </c>
      <c r="FH22" s="162">
        <v>25</v>
      </c>
      <c r="FI22" s="161">
        <v>0.57142857142857229</v>
      </c>
      <c r="FJ22" s="156">
        <v>0.28571428571428614</v>
      </c>
      <c r="FK22" s="156">
        <v>0.14285714285714307</v>
      </c>
      <c r="FL22" s="156">
        <v>0</v>
      </c>
      <c r="FM22" s="156">
        <v>0</v>
      </c>
      <c r="FN22" s="162">
        <v>7</v>
      </c>
      <c r="FO22" s="155">
        <v>0</v>
      </c>
      <c r="FP22" s="156">
        <v>0</v>
      </c>
      <c r="FQ22" s="156">
        <v>0</v>
      </c>
      <c r="FR22" s="156">
        <v>0</v>
      </c>
      <c r="FS22" s="156">
        <v>0</v>
      </c>
      <c r="FT22" s="162">
        <v>0</v>
      </c>
      <c r="FU22" s="155">
        <v>0</v>
      </c>
      <c r="FV22" s="156">
        <v>0</v>
      </c>
      <c r="FW22" s="156">
        <v>0</v>
      </c>
      <c r="FX22" s="156">
        <v>0</v>
      </c>
      <c r="FY22" s="156">
        <v>0</v>
      </c>
      <c r="FZ22" s="162">
        <v>0</v>
      </c>
      <c r="GA22" s="161">
        <v>0</v>
      </c>
      <c r="GB22" s="156">
        <v>0</v>
      </c>
      <c r="GC22" s="156">
        <v>0</v>
      </c>
      <c r="GD22" s="156">
        <v>0</v>
      </c>
      <c r="GE22" s="156">
        <v>0</v>
      </c>
      <c r="GF22" s="162">
        <v>0</v>
      </c>
      <c r="GG22" s="158">
        <v>9.4186046511628057</v>
      </c>
      <c r="GH22" s="162">
        <v>43</v>
      </c>
      <c r="GI22" s="155">
        <v>0.45098039215686292</v>
      </c>
      <c r="GJ22" s="156">
        <v>0.31372549019607915</v>
      </c>
      <c r="GK22" s="156">
        <v>0.15686274509803957</v>
      </c>
      <c r="GL22" s="156">
        <v>0</v>
      </c>
      <c r="GM22" s="156">
        <v>7.8431372549019787E-2</v>
      </c>
      <c r="GN22" s="162">
        <v>51</v>
      </c>
      <c r="GO22" s="155">
        <v>0.64000000000000046</v>
      </c>
      <c r="GP22" s="156">
        <v>0.20000000000000059</v>
      </c>
      <c r="GQ22" s="156">
        <v>0.12000000000000018</v>
      </c>
      <c r="GR22" s="156">
        <v>0.16000000000000017</v>
      </c>
      <c r="GS22" s="162">
        <v>50</v>
      </c>
      <c r="GT22" s="163">
        <v>2.6938775510204134</v>
      </c>
      <c r="GU22" s="162">
        <v>49</v>
      </c>
      <c r="GV22" s="155">
        <v>0.78571428571428514</v>
      </c>
      <c r="GW22" s="156">
        <v>0.21428571428571405</v>
      </c>
      <c r="GX22" s="162">
        <v>14</v>
      </c>
      <c r="GY22" s="155">
        <v>1</v>
      </c>
      <c r="GZ22" s="156">
        <v>0</v>
      </c>
      <c r="HA22" s="162">
        <v>17</v>
      </c>
      <c r="HB22" s="155">
        <v>0.92857142857142905</v>
      </c>
      <c r="HC22" s="156">
        <v>7.1428571428571563E-2</v>
      </c>
      <c r="HD22" s="162">
        <v>42</v>
      </c>
      <c r="HE22" s="161">
        <v>1</v>
      </c>
      <c r="HF22" s="156">
        <v>0</v>
      </c>
      <c r="HG22" s="162">
        <v>19</v>
      </c>
      <c r="HH22" s="155">
        <v>0.4651162790697676</v>
      </c>
      <c r="HI22" s="156">
        <v>0.5348837209302334</v>
      </c>
      <c r="HJ22" s="162">
        <v>43</v>
      </c>
      <c r="HK22" s="155">
        <v>0.99999999999999989</v>
      </c>
      <c r="HL22" s="156">
        <v>0</v>
      </c>
      <c r="HM22" s="162">
        <v>41</v>
      </c>
      <c r="HN22" s="161">
        <v>5.0000000000000017E-2</v>
      </c>
      <c r="HO22" s="156">
        <v>0.12500000000000003</v>
      </c>
      <c r="HP22" s="156">
        <v>0.27500000000000008</v>
      </c>
      <c r="HQ22" s="156">
        <v>0.32500000000000012</v>
      </c>
      <c r="HR22" s="156">
        <v>0.22500000000000006</v>
      </c>
      <c r="HS22" s="160">
        <v>61.150000000000055</v>
      </c>
      <c r="HT22" s="164">
        <v>40</v>
      </c>
      <c r="HU22" s="165">
        <v>3.3333333333333333E-2</v>
      </c>
      <c r="HV22" s="166">
        <v>0</v>
      </c>
      <c r="HW22" s="166">
        <v>0</v>
      </c>
      <c r="HX22" s="166">
        <v>6.6666666666666666E-2</v>
      </c>
      <c r="HY22" s="166">
        <v>3.3333333333333333E-2</v>
      </c>
      <c r="HZ22" s="166">
        <v>3.3333333333333333E-2</v>
      </c>
      <c r="IA22" s="166">
        <v>0.16666666666666666</v>
      </c>
      <c r="IB22" s="166">
        <v>6.6666666666666666E-2</v>
      </c>
      <c r="IC22" s="166">
        <v>0.16666666666666666</v>
      </c>
      <c r="ID22" s="166">
        <v>0.43333333333333335</v>
      </c>
      <c r="IE22" s="167">
        <v>30</v>
      </c>
      <c r="IF22" s="155">
        <v>0</v>
      </c>
      <c r="IG22" s="156">
        <v>0</v>
      </c>
      <c r="IH22" s="156">
        <v>0</v>
      </c>
      <c r="II22" s="156">
        <v>0</v>
      </c>
      <c r="IJ22" s="156">
        <v>0</v>
      </c>
      <c r="IK22" s="162">
        <v>0</v>
      </c>
      <c r="IL22" s="155">
        <v>0</v>
      </c>
      <c r="IM22" s="156">
        <v>0</v>
      </c>
      <c r="IN22" s="156">
        <v>0</v>
      </c>
      <c r="IO22" s="156">
        <v>1</v>
      </c>
      <c r="IP22" s="156">
        <v>0</v>
      </c>
      <c r="IQ22" s="162">
        <v>42</v>
      </c>
      <c r="IR22" s="155">
        <v>7.3170731707317083E-2</v>
      </c>
      <c r="IS22" s="156">
        <v>0.92682926829268364</v>
      </c>
      <c r="IT22" s="162">
        <v>41</v>
      </c>
      <c r="IU22" s="161">
        <v>0</v>
      </c>
      <c r="IV22" s="156">
        <v>0.49999999999999994</v>
      </c>
      <c r="IW22" s="156">
        <v>0.49999999999999994</v>
      </c>
      <c r="IX22" s="162">
        <v>2</v>
      </c>
    </row>
    <row r="23" spans="1:258" ht="32.1" customHeight="1" x14ac:dyDescent="0.25">
      <c r="A23" s="110" t="s">
        <v>453</v>
      </c>
      <c r="B23" s="108" t="s">
        <v>584</v>
      </c>
      <c r="C23" s="108" t="s">
        <v>454</v>
      </c>
      <c r="D23" s="109">
        <v>44</v>
      </c>
      <c r="E23" s="139" t="s">
        <v>473</v>
      </c>
      <c r="F23" s="155">
        <v>0.29545454545454525</v>
      </c>
      <c r="G23" s="156">
        <v>0.70454545454545481</v>
      </c>
      <c r="H23" s="157">
        <v>44</v>
      </c>
      <c r="I23" s="155">
        <v>0.7241379310344831</v>
      </c>
      <c r="J23" s="156">
        <v>0.2758620689655174</v>
      </c>
      <c r="K23" s="157">
        <v>29</v>
      </c>
      <c r="L23" s="155">
        <v>0.75</v>
      </c>
      <c r="M23" s="156">
        <v>0.25000000000000006</v>
      </c>
      <c r="N23" s="157">
        <v>20</v>
      </c>
      <c r="O23" s="155">
        <v>0.15909090909090917</v>
      </c>
      <c r="P23" s="156">
        <v>0.29545454545454541</v>
      </c>
      <c r="Q23" s="156">
        <v>0.31818181818181829</v>
      </c>
      <c r="R23" s="156">
        <v>2.2727272727272714E-2</v>
      </c>
      <c r="S23" s="156">
        <v>0.38636363636363663</v>
      </c>
      <c r="T23" s="156">
        <v>4.5454545454545428E-2</v>
      </c>
      <c r="U23" s="156">
        <v>4.5454545454545428E-2</v>
      </c>
      <c r="V23" s="156">
        <v>9.0909090909090856E-2</v>
      </c>
      <c r="W23" s="156">
        <v>6.8181818181818232E-2</v>
      </c>
      <c r="X23" s="156">
        <v>0.36363636363636342</v>
      </c>
      <c r="Y23" s="157">
        <v>44</v>
      </c>
      <c r="Z23" s="155">
        <v>0.59523809523809501</v>
      </c>
      <c r="AA23" s="156">
        <v>0.78571428571428537</v>
      </c>
      <c r="AB23" s="156">
        <v>0.52380952380952428</v>
      </c>
      <c r="AC23" s="156">
        <v>0.45238095238095249</v>
      </c>
      <c r="AD23" s="156">
        <v>4.7619047619047651E-2</v>
      </c>
      <c r="AE23" s="156">
        <v>0.1904761904761906</v>
      </c>
      <c r="AF23" s="157">
        <v>42</v>
      </c>
      <c r="AG23" s="158">
        <v>9.9047619047619104</v>
      </c>
      <c r="AH23" s="159">
        <v>42</v>
      </c>
      <c r="AI23" s="160">
        <v>9.9285714285714324</v>
      </c>
      <c r="AJ23" s="159">
        <v>42</v>
      </c>
      <c r="AK23" s="160">
        <v>9.8809523809523672</v>
      </c>
      <c r="AL23" s="157">
        <v>42</v>
      </c>
      <c r="AM23" s="155">
        <v>0.7</v>
      </c>
      <c r="AN23" s="156">
        <v>0.30000000000000004</v>
      </c>
      <c r="AO23" s="156">
        <v>0</v>
      </c>
      <c r="AP23" s="156">
        <v>0</v>
      </c>
      <c r="AQ23" s="156">
        <v>0</v>
      </c>
      <c r="AR23" s="157">
        <v>40</v>
      </c>
      <c r="AS23" s="155">
        <v>0.95454545454545481</v>
      </c>
      <c r="AT23" s="156">
        <v>4.5454545454545518E-2</v>
      </c>
      <c r="AU23" s="156">
        <v>0</v>
      </c>
      <c r="AV23" s="156">
        <v>0</v>
      </c>
      <c r="AW23" s="156">
        <v>0</v>
      </c>
      <c r="AX23" s="157">
        <v>44</v>
      </c>
      <c r="AY23" s="155">
        <v>0.95348837209302373</v>
      </c>
      <c r="AZ23" s="156">
        <v>4.6511627906976709E-2</v>
      </c>
      <c r="BA23" s="156">
        <v>0</v>
      </c>
      <c r="BB23" s="156">
        <v>0</v>
      </c>
      <c r="BC23" s="156">
        <v>0</v>
      </c>
      <c r="BD23" s="157">
        <v>43</v>
      </c>
      <c r="BE23" s="155">
        <v>0.97727272727272652</v>
      </c>
      <c r="BF23" s="156">
        <v>2.2727272727272759E-2</v>
      </c>
      <c r="BG23" s="156">
        <v>0</v>
      </c>
      <c r="BH23" s="156">
        <v>0</v>
      </c>
      <c r="BI23" s="156">
        <v>0</v>
      </c>
      <c r="BJ23" s="157">
        <v>44</v>
      </c>
      <c r="BK23" s="155">
        <v>0.95121951219512124</v>
      </c>
      <c r="BL23" s="156">
        <v>4.8780487804878037E-2</v>
      </c>
      <c r="BM23" s="156">
        <v>0</v>
      </c>
      <c r="BN23" s="156">
        <v>0</v>
      </c>
      <c r="BO23" s="156">
        <v>0</v>
      </c>
      <c r="BP23" s="157">
        <v>41</v>
      </c>
      <c r="BQ23" s="155">
        <v>0.88636363636363613</v>
      </c>
      <c r="BR23" s="156">
        <v>0.11363636363636372</v>
      </c>
      <c r="BS23" s="156">
        <v>0</v>
      </c>
      <c r="BT23" s="156">
        <v>0</v>
      </c>
      <c r="BU23" s="156">
        <v>0</v>
      </c>
      <c r="BV23" s="157">
        <v>44</v>
      </c>
      <c r="BW23" s="161">
        <v>0.88235294117646956</v>
      </c>
      <c r="BX23" s="156">
        <v>8.8235294117647009E-2</v>
      </c>
      <c r="BY23" s="156">
        <v>2.9411764705882346E-2</v>
      </c>
      <c r="BZ23" s="156">
        <v>0</v>
      </c>
      <c r="CA23" s="156">
        <v>0</v>
      </c>
      <c r="CB23" s="157">
        <v>34</v>
      </c>
      <c r="CC23" s="155">
        <v>1</v>
      </c>
      <c r="CD23" s="156">
        <v>0</v>
      </c>
      <c r="CE23" s="156">
        <v>0</v>
      </c>
      <c r="CF23" s="156">
        <v>0</v>
      </c>
      <c r="CG23" s="156">
        <v>0</v>
      </c>
      <c r="CH23" s="162">
        <v>23</v>
      </c>
      <c r="CI23" s="155">
        <v>0.75</v>
      </c>
      <c r="CJ23" s="156">
        <v>0.25000000000000006</v>
      </c>
      <c r="CK23" s="156">
        <v>0</v>
      </c>
      <c r="CL23" s="156">
        <v>0</v>
      </c>
      <c r="CM23" s="156">
        <v>0</v>
      </c>
      <c r="CN23" s="162">
        <v>16</v>
      </c>
      <c r="CO23" s="155">
        <v>0.71428571428571441</v>
      </c>
      <c r="CP23" s="156">
        <v>0.23809523809523828</v>
      </c>
      <c r="CQ23" s="156">
        <v>4.7619047619047603E-2</v>
      </c>
      <c r="CR23" s="156">
        <v>0</v>
      </c>
      <c r="CS23" s="156">
        <v>0</v>
      </c>
      <c r="CT23" s="162">
        <v>21</v>
      </c>
      <c r="CU23" s="155">
        <v>0.65000000000000013</v>
      </c>
      <c r="CV23" s="156">
        <v>0.35000000000000009</v>
      </c>
      <c r="CW23" s="156">
        <v>0</v>
      </c>
      <c r="CX23" s="156">
        <v>0</v>
      </c>
      <c r="CY23" s="156">
        <v>0</v>
      </c>
      <c r="CZ23" s="162">
        <v>20</v>
      </c>
      <c r="DA23" s="155">
        <v>0.76470588235294135</v>
      </c>
      <c r="DB23" s="156">
        <v>0.23529411764705865</v>
      </c>
      <c r="DC23" s="156">
        <v>0</v>
      </c>
      <c r="DD23" s="156">
        <v>0</v>
      </c>
      <c r="DE23" s="156">
        <v>0</v>
      </c>
      <c r="DF23" s="162">
        <v>17</v>
      </c>
      <c r="DG23" s="155">
        <v>0.6875</v>
      </c>
      <c r="DH23" s="156">
        <v>0.31250000000000006</v>
      </c>
      <c r="DI23" s="156">
        <v>0</v>
      </c>
      <c r="DJ23" s="156">
        <v>0</v>
      </c>
      <c r="DK23" s="156">
        <v>0</v>
      </c>
      <c r="DL23" s="162">
        <v>16</v>
      </c>
      <c r="DM23" s="155">
        <v>0.8125</v>
      </c>
      <c r="DN23" s="156">
        <v>0.18750000000000003</v>
      </c>
      <c r="DO23" s="156">
        <v>0</v>
      </c>
      <c r="DP23" s="156">
        <v>0</v>
      </c>
      <c r="DQ23" s="156">
        <v>0</v>
      </c>
      <c r="DR23" s="162">
        <v>16</v>
      </c>
      <c r="DS23" s="161">
        <v>0.91666666666666619</v>
      </c>
      <c r="DT23" s="156">
        <v>8.3333333333333301E-2</v>
      </c>
      <c r="DU23" s="156">
        <v>0</v>
      </c>
      <c r="DV23" s="156">
        <v>0</v>
      </c>
      <c r="DW23" s="156">
        <v>0</v>
      </c>
      <c r="DX23" s="162">
        <v>12</v>
      </c>
      <c r="DY23" s="155">
        <v>0.95121951219512124</v>
      </c>
      <c r="DZ23" s="156">
        <v>4.8780487804878037E-2</v>
      </c>
      <c r="EA23" s="156">
        <v>0</v>
      </c>
      <c r="EB23" s="156">
        <v>0</v>
      </c>
      <c r="EC23" s="156">
        <v>0</v>
      </c>
      <c r="ED23" s="162">
        <v>41</v>
      </c>
      <c r="EE23" s="155">
        <v>0.79166666666666619</v>
      </c>
      <c r="EF23" s="156">
        <v>0.20833333333333345</v>
      </c>
      <c r="EG23" s="156">
        <v>0</v>
      </c>
      <c r="EH23" s="156">
        <v>0</v>
      </c>
      <c r="EI23" s="156">
        <v>0</v>
      </c>
      <c r="EJ23" s="162">
        <v>24</v>
      </c>
      <c r="EK23" s="155">
        <v>0.77272727272727348</v>
      </c>
      <c r="EL23" s="156">
        <v>0.18181818181818166</v>
      </c>
      <c r="EM23" s="156">
        <v>4.5454545454545414E-2</v>
      </c>
      <c r="EN23" s="156">
        <v>0</v>
      </c>
      <c r="EO23" s="156">
        <v>0</v>
      </c>
      <c r="EP23" s="162">
        <v>22</v>
      </c>
      <c r="EQ23" s="155">
        <v>0.87096774193548332</v>
      </c>
      <c r="ER23" s="156">
        <v>6.4516129032257993E-2</v>
      </c>
      <c r="ES23" s="156">
        <v>3.2258064516128997E-2</v>
      </c>
      <c r="ET23" s="156">
        <v>3.2258064516128997E-2</v>
      </c>
      <c r="EU23" s="156">
        <v>0</v>
      </c>
      <c r="EV23" s="162">
        <v>31</v>
      </c>
      <c r="EW23" s="155">
        <v>0.875</v>
      </c>
      <c r="EX23" s="156">
        <v>9.3750000000000014E-2</v>
      </c>
      <c r="EY23" s="156">
        <v>3.1250000000000007E-2</v>
      </c>
      <c r="EZ23" s="156">
        <v>0</v>
      </c>
      <c r="FA23" s="156">
        <v>0</v>
      </c>
      <c r="FB23" s="162">
        <v>32</v>
      </c>
      <c r="FC23" s="155">
        <v>0.84</v>
      </c>
      <c r="FD23" s="156">
        <v>0.16000000000000003</v>
      </c>
      <c r="FE23" s="156">
        <v>0</v>
      </c>
      <c r="FF23" s="156">
        <v>0</v>
      </c>
      <c r="FG23" s="156">
        <v>0</v>
      </c>
      <c r="FH23" s="162">
        <v>25</v>
      </c>
      <c r="FI23" s="161">
        <v>0.9</v>
      </c>
      <c r="FJ23" s="156">
        <v>0.10000000000000002</v>
      </c>
      <c r="FK23" s="156">
        <v>0</v>
      </c>
      <c r="FL23" s="156">
        <v>0</v>
      </c>
      <c r="FM23" s="156">
        <v>0</v>
      </c>
      <c r="FN23" s="162">
        <v>20</v>
      </c>
      <c r="FO23" s="155">
        <v>0</v>
      </c>
      <c r="FP23" s="156">
        <v>0</v>
      </c>
      <c r="FQ23" s="156">
        <v>0</v>
      </c>
      <c r="FR23" s="156">
        <v>0</v>
      </c>
      <c r="FS23" s="156">
        <v>0</v>
      </c>
      <c r="FT23" s="162">
        <v>0</v>
      </c>
      <c r="FU23" s="155">
        <v>0</v>
      </c>
      <c r="FV23" s="156">
        <v>0</v>
      </c>
      <c r="FW23" s="156">
        <v>0</v>
      </c>
      <c r="FX23" s="156">
        <v>0</v>
      </c>
      <c r="FY23" s="156">
        <v>0</v>
      </c>
      <c r="FZ23" s="162">
        <v>0</v>
      </c>
      <c r="GA23" s="161">
        <v>0</v>
      </c>
      <c r="GB23" s="156">
        <v>0</v>
      </c>
      <c r="GC23" s="156">
        <v>0</v>
      </c>
      <c r="GD23" s="156">
        <v>0</v>
      </c>
      <c r="GE23" s="156">
        <v>0</v>
      </c>
      <c r="GF23" s="162">
        <v>0</v>
      </c>
      <c r="GG23" s="158">
        <v>9.7857142857142794</v>
      </c>
      <c r="GH23" s="162">
        <v>42</v>
      </c>
      <c r="GI23" s="155">
        <v>0.9069767441860459</v>
      </c>
      <c r="GJ23" s="156">
        <v>6.9767441860465157E-2</v>
      </c>
      <c r="GK23" s="156">
        <v>2.3255813953488354E-2</v>
      </c>
      <c r="GL23" s="156">
        <v>0</v>
      </c>
      <c r="GM23" s="156">
        <v>0</v>
      </c>
      <c r="GN23" s="162">
        <v>43</v>
      </c>
      <c r="GO23" s="155">
        <v>0.6190476190476194</v>
      </c>
      <c r="GP23" s="156">
        <v>0.1904761904761906</v>
      </c>
      <c r="GQ23" s="156">
        <v>4.7619047619047651E-2</v>
      </c>
      <c r="GR23" s="156">
        <v>0.21428571428571425</v>
      </c>
      <c r="GS23" s="162">
        <v>42</v>
      </c>
      <c r="GT23" s="163">
        <v>3.7906976744186056</v>
      </c>
      <c r="GU23" s="162">
        <v>43</v>
      </c>
      <c r="GV23" s="155">
        <v>0.83333333333333381</v>
      </c>
      <c r="GW23" s="156">
        <v>0.16666666666666663</v>
      </c>
      <c r="GX23" s="162">
        <v>18</v>
      </c>
      <c r="GY23" s="155">
        <v>0.96296296296296402</v>
      </c>
      <c r="GZ23" s="156">
        <v>3.7037037037037042E-2</v>
      </c>
      <c r="HA23" s="162">
        <v>27</v>
      </c>
      <c r="HB23" s="155">
        <v>0.88235294117646956</v>
      </c>
      <c r="HC23" s="156">
        <v>0.11764705882352938</v>
      </c>
      <c r="HD23" s="162">
        <v>34</v>
      </c>
      <c r="HE23" s="161">
        <v>0.89285714285714235</v>
      </c>
      <c r="HF23" s="156">
        <v>0.10714285714285721</v>
      </c>
      <c r="HG23" s="162">
        <v>28</v>
      </c>
      <c r="HH23" s="155">
        <v>0.73170731707317027</v>
      </c>
      <c r="HI23" s="156">
        <v>0.26829268292682934</v>
      </c>
      <c r="HJ23" s="162">
        <v>41</v>
      </c>
      <c r="HK23" s="155">
        <v>1</v>
      </c>
      <c r="HL23" s="156">
        <v>0</v>
      </c>
      <c r="HM23" s="162">
        <v>38</v>
      </c>
      <c r="HN23" s="161">
        <v>5.8823529411764691E-2</v>
      </c>
      <c r="HO23" s="156">
        <v>0.14705882352941183</v>
      </c>
      <c r="HP23" s="156">
        <v>0.47058823529411753</v>
      </c>
      <c r="HQ23" s="156">
        <v>0.20588235294117674</v>
      </c>
      <c r="HR23" s="156">
        <v>0.11764705882352938</v>
      </c>
      <c r="HS23" s="160">
        <v>56.76470588235297</v>
      </c>
      <c r="HT23" s="164">
        <v>34</v>
      </c>
      <c r="HU23" s="165">
        <v>0</v>
      </c>
      <c r="HV23" s="166">
        <v>2.8571428571428571E-2</v>
      </c>
      <c r="HW23" s="166">
        <v>8.5714285714285715E-2</v>
      </c>
      <c r="HX23" s="166">
        <v>8.5714285714285715E-2</v>
      </c>
      <c r="HY23" s="166">
        <v>0.2857142857142857</v>
      </c>
      <c r="HZ23" s="166">
        <v>0.14285714285714285</v>
      </c>
      <c r="IA23" s="166">
        <v>8.5714285714285715E-2</v>
      </c>
      <c r="IB23" s="166">
        <v>0.17142857142857143</v>
      </c>
      <c r="IC23" s="166">
        <v>5.7142857142857141E-2</v>
      </c>
      <c r="ID23" s="166">
        <v>5.7142857142857141E-2</v>
      </c>
      <c r="IE23" s="167">
        <v>35</v>
      </c>
      <c r="IF23" s="155">
        <v>0</v>
      </c>
      <c r="IG23" s="156">
        <v>0</v>
      </c>
      <c r="IH23" s="156">
        <v>0</v>
      </c>
      <c r="II23" s="156">
        <v>0</v>
      </c>
      <c r="IJ23" s="156">
        <v>0</v>
      </c>
      <c r="IK23" s="162">
        <v>0</v>
      </c>
      <c r="IL23" s="155">
        <v>0</v>
      </c>
      <c r="IM23" s="156">
        <v>0</v>
      </c>
      <c r="IN23" s="156">
        <v>0</v>
      </c>
      <c r="IO23" s="156">
        <v>1</v>
      </c>
      <c r="IP23" s="156">
        <v>0</v>
      </c>
      <c r="IQ23" s="162">
        <v>40</v>
      </c>
      <c r="IR23" s="155">
        <v>0.10256410256410264</v>
      </c>
      <c r="IS23" s="156">
        <v>0.89743589743589813</v>
      </c>
      <c r="IT23" s="162">
        <v>39</v>
      </c>
      <c r="IU23" s="161">
        <v>0</v>
      </c>
      <c r="IV23" s="156">
        <v>0</v>
      </c>
      <c r="IW23" s="156">
        <v>0.99999999999999989</v>
      </c>
      <c r="IX23" s="162">
        <v>4</v>
      </c>
    </row>
    <row r="24" spans="1:258" ht="32.1" customHeight="1" x14ac:dyDescent="0.25">
      <c r="A24" s="110" t="s">
        <v>453</v>
      </c>
      <c r="B24" s="108" t="s">
        <v>584</v>
      </c>
      <c r="C24" s="108" t="s">
        <v>454</v>
      </c>
      <c r="D24" s="109">
        <v>45</v>
      </c>
      <c r="E24" s="139" t="s">
        <v>474</v>
      </c>
      <c r="F24" s="155">
        <v>0.1486486486486488</v>
      </c>
      <c r="G24" s="156">
        <v>0.85135135135135054</v>
      </c>
      <c r="H24" s="157">
        <v>74</v>
      </c>
      <c r="I24" s="155">
        <v>0.85245901639344168</v>
      </c>
      <c r="J24" s="156">
        <v>0.14754098360655718</v>
      </c>
      <c r="K24" s="157">
        <v>61</v>
      </c>
      <c r="L24" s="155">
        <v>0.56249999999999967</v>
      </c>
      <c r="M24" s="156">
        <v>0.43749999999999983</v>
      </c>
      <c r="N24" s="157">
        <v>48</v>
      </c>
      <c r="O24" s="155">
        <v>0.13333333333333339</v>
      </c>
      <c r="P24" s="156">
        <v>0.19999999999999973</v>
      </c>
      <c r="Q24" s="156">
        <v>0.18666666666666695</v>
      </c>
      <c r="R24" s="156">
        <v>0</v>
      </c>
      <c r="S24" s="156">
        <v>0.48</v>
      </c>
      <c r="T24" s="156">
        <v>2.6666666666666658E-2</v>
      </c>
      <c r="U24" s="156">
        <v>5.3333333333333316E-2</v>
      </c>
      <c r="V24" s="156">
        <v>0.25333333333333374</v>
      </c>
      <c r="W24" s="156">
        <v>0.14666666666666664</v>
      </c>
      <c r="X24" s="156">
        <v>5.3333333333333316E-2</v>
      </c>
      <c r="Y24" s="157">
        <v>75</v>
      </c>
      <c r="Z24" s="155">
        <v>0.73913043478260931</v>
      </c>
      <c r="AA24" s="156">
        <v>0.26086956521739096</v>
      </c>
      <c r="AB24" s="156">
        <v>0.4927536231884061</v>
      </c>
      <c r="AC24" s="156">
        <v>0.47826086956521796</v>
      </c>
      <c r="AD24" s="156">
        <v>7.2463768115942087E-2</v>
      </c>
      <c r="AE24" s="156">
        <v>0.21739130434782608</v>
      </c>
      <c r="AF24" s="157">
        <v>69</v>
      </c>
      <c r="AG24" s="158">
        <v>9.8194444444444553</v>
      </c>
      <c r="AH24" s="159">
        <v>72</v>
      </c>
      <c r="AI24" s="160">
        <v>9.9027777777777963</v>
      </c>
      <c r="AJ24" s="159">
        <v>72</v>
      </c>
      <c r="AK24" s="160">
        <v>9.7681159420289969</v>
      </c>
      <c r="AL24" s="157">
        <v>69</v>
      </c>
      <c r="AM24" s="155">
        <v>0.45588235294117596</v>
      </c>
      <c r="AN24" s="156">
        <v>0.42647058823529382</v>
      </c>
      <c r="AO24" s="156">
        <v>0</v>
      </c>
      <c r="AP24" s="156">
        <v>0.11764705882352931</v>
      </c>
      <c r="AQ24" s="156">
        <v>0</v>
      </c>
      <c r="AR24" s="157">
        <v>68</v>
      </c>
      <c r="AS24" s="155">
        <v>0.8767123287671249</v>
      </c>
      <c r="AT24" s="156">
        <v>0.12328767123287665</v>
      </c>
      <c r="AU24" s="156">
        <v>0</v>
      </c>
      <c r="AV24" s="156">
        <v>0</v>
      </c>
      <c r="AW24" s="156">
        <v>0</v>
      </c>
      <c r="AX24" s="157">
        <v>73</v>
      </c>
      <c r="AY24" s="155">
        <v>0.95833333333333226</v>
      </c>
      <c r="AZ24" s="156">
        <v>2.7777777777777738E-2</v>
      </c>
      <c r="BA24" s="156">
        <v>1.3888888888888869E-2</v>
      </c>
      <c r="BB24" s="156">
        <v>0</v>
      </c>
      <c r="BC24" s="156">
        <v>0</v>
      </c>
      <c r="BD24" s="157">
        <v>72</v>
      </c>
      <c r="BE24" s="155">
        <v>0.93150684931506733</v>
      </c>
      <c r="BF24" s="156">
        <v>6.849315068493142E-2</v>
      </c>
      <c r="BG24" s="156">
        <v>0</v>
      </c>
      <c r="BH24" s="156">
        <v>0</v>
      </c>
      <c r="BI24" s="156">
        <v>0</v>
      </c>
      <c r="BJ24" s="157">
        <v>73</v>
      </c>
      <c r="BK24" s="155">
        <v>0.8260869565217398</v>
      </c>
      <c r="BL24" s="156">
        <v>0.15942028985507251</v>
      </c>
      <c r="BM24" s="156">
        <v>0</v>
      </c>
      <c r="BN24" s="156">
        <v>1.4492753623188425E-2</v>
      </c>
      <c r="BO24" s="156">
        <v>0</v>
      </c>
      <c r="BP24" s="157">
        <v>69</v>
      </c>
      <c r="BQ24" s="155">
        <v>0.89393939393939303</v>
      </c>
      <c r="BR24" s="156">
        <v>9.0909090909090898E-2</v>
      </c>
      <c r="BS24" s="156">
        <v>1.5151515151515154E-2</v>
      </c>
      <c r="BT24" s="156">
        <v>0</v>
      </c>
      <c r="BU24" s="156">
        <v>0</v>
      </c>
      <c r="BV24" s="157">
        <v>66</v>
      </c>
      <c r="BW24" s="161">
        <v>0.66666666666666674</v>
      </c>
      <c r="BX24" s="156">
        <v>0.24999999999999997</v>
      </c>
      <c r="BY24" s="156">
        <v>8.3333333333333343E-2</v>
      </c>
      <c r="BZ24" s="156">
        <v>0</v>
      </c>
      <c r="CA24" s="156">
        <v>0</v>
      </c>
      <c r="CB24" s="157">
        <v>12</v>
      </c>
      <c r="CC24" s="155">
        <v>0.86363636363636298</v>
      </c>
      <c r="CD24" s="156">
        <v>9.0909090909091106E-2</v>
      </c>
      <c r="CE24" s="156">
        <v>0</v>
      </c>
      <c r="CF24" s="156">
        <v>4.5454545454545553E-2</v>
      </c>
      <c r="CG24" s="156">
        <v>0</v>
      </c>
      <c r="CH24" s="162">
        <v>22</v>
      </c>
      <c r="CI24" s="155">
        <v>0.50000000000000011</v>
      </c>
      <c r="CJ24" s="156">
        <v>0.38888888888888845</v>
      </c>
      <c r="CK24" s="156">
        <v>5.5555555555555476E-2</v>
      </c>
      <c r="CL24" s="156">
        <v>5.5555555555555476E-2</v>
      </c>
      <c r="CM24" s="156">
        <v>0</v>
      </c>
      <c r="CN24" s="162">
        <v>18</v>
      </c>
      <c r="CO24" s="155">
        <v>0.35483870967741943</v>
      </c>
      <c r="CP24" s="156">
        <v>0.41935483870967788</v>
      </c>
      <c r="CQ24" s="156">
        <v>0.12903225806451593</v>
      </c>
      <c r="CR24" s="156">
        <v>6.4516129032257966E-2</v>
      </c>
      <c r="CS24" s="156">
        <v>3.2258064516128983E-2</v>
      </c>
      <c r="CT24" s="162">
        <v>31</v>
      </c>
      <c r="CU24" s="155">
        <v>0.38709677419354804</v>
      </c>
      <c r="CV24" s="156">
        <v>0.35483870967741943</v>
      </c>
      <c r="CW24" s="156">
        <v>0.19354838709677399</v>
      </c>
      <c r="CX24" s="156">
        <v>3.2258064516128983E-2</v>
      </c>
      <c r="CY24" s="156">
        <v>3.2258064516128983E-2</v>
      </c>
      <c r="CZ24" s="162">
        <v>31</v>
      </c>
      <c r="DA24" s="155">
        <v>0.45454545454545486</v>
      </c>
      <c r="DB24" s="156">
        <v>0.36363636363636442</v>
      </c>
      <c r="DC24" s="156">
        <v>0.18181818181818221</v>
      </c>
      <c r="DD24" s="156">
        <v>0</v>
      </c>
      <c r="DE24" s="156">
        <v>0</v>
      </c>
      <c r="DF24" s="162">
        <v>22</v>
      </c>
      <c r="DG24" s="155">
        <v>0.63157894736842157</v>
      </c>
      <c r="DH24" s="156">
        <v>0.36842105263157909</v>
      </c>
      <c r="DI24" s="156">
        <v>0</v>
      </c>
      <c r="DJ24" s="156">
        <v>0</v>
      </c>
      <c r="DK24" s="156">
        <v>0</v>
      </c>
      <c r="DL24" s="162">
        <v>19</v>
      </c>
      <c r="DM24" s="155">
        <v>0.57142857142857206</v>
      </c>
      <c r="DN24" s="156">
        <v>0.14285714285714302</v>
      </c>
      <c r="DO24" s="156">
        <v>0</v>
      </c>
      <c r="DP24" s="156">
        <v>0.19047619047619041</v>
      </c>
      <c r="DQ24" s="156">
        <v>9.5238095238095205E-2</v>
      </c>
      <c r="DR24" s="162">
        <v>21</v>
      </c>
      <c r="DS24" s="161">
        <v>0.88235294117646912</v>
      </c>
      <c r="DT24" s="156">
        <v>5.8823529411764656E-2</v>
      </c>
      <c r="DU24" s="156">
        <v>0</v>
      </c>
      <c r="DV24" s="156">
        <v>5.8823529411764656E-2</v>
      </c>
      <c r="DW24" s="156">
        <v>0</v>
      </c>
      <c r="DX24" s="162">
        <v>17</v>
      </c>
      <c r="DY24" s="155">
        <v>0.88235294117647056</v>
      </c>
      <c r="DZ24" s="156">
        <v>0.11764705882352931</v>
      </c>
      <c r="EA24" s="156">
        <v>0</v>
      </c>
      <c r="EB24" s="156">
        <v>0</v>
      </c>
      <c r="EC24" s="156">
        <v>0</v>
      </c>
      <c r="ED24" s="162">
        <v>68</v>
      </c>
      <c r="EE24" s="155">
        <v>0.6481481481481477</v>
      </c>
      <c r="EF24" s="156">
        <v>0.31481481481481455</v>
      </c>
      <c r="EG24" s="156">
        <v>1.8518518518518483E-2</v>
      </c>
      <c r="EH24" s="156">
        <v>1.8518518518518483E-2</v>
      </c>
      <c r="EI24" s="156">
        <v>0</v>
      </c>
      <c r="EJ24" s="162">
        <v>54</v>
      </c>
      <c r="EK24" s="155">
        <v>0.75555555555555587</v>
      </c>
      <c r="EL24" s="156">
        <v>0.2222222222222219</v>
      </c>
      <c r="EM24" s="156">
        <v>0</v>
      </c>
      <c r="EN24" s="156">
        <v>2.2222222222222202E-2</v>
      </c>
      <c r="EO24" s="156">
        <v>0</v>
      </c>
      <c r="EP24" s="162">
        <v>45</v>
      </c>
      <c r="EQ24" s="155">
        <v>0.80701754385964775</v>
      </c>
      <c r="ER24" s="156">
        <v>0.1929824561403507</v>
      </c>
      <c r="ES24" s="156">
        <v>0</v>
      </c>
      <c r="ET24" s="156">
        <v>0</v>
      </c>
      <c r="EU24" s="156">
        <v>0</v>
      </c>
      <c r="EV24" s="162">
        <v>57</v>
      </c>
      <c r="EW24" s="155">
        <v>0.85185185185185208</v>
      </c>
      <c r="EX24" s="156">
        <v>0.14814814814814786</v>
      </c>
      <c r="EY24" s="156">
        <v>0</v>
      </c>
      <c r="EZ24" s="156">
        <v>0</v>
      </c>
      <c r="FA24" s="156">
        <v>0</v>
      </c>
      <c r="FB24" s="162">
        <v>54</v>
      </c>
      <c r="FC24" s="155">
        <v>0.6538461538461533</v>
      </c>
      <c r="FD24" s="156">
        <v>0.30769230769230782</v>
      </c>
      <c r="FE24" s="156">
        <v>3.8461538461538478E-2</v>
      </c>
      <c r="FF24" s="156">
        <v>0</v>
      </c>
      <c r="FG24" s="156">
        <v>0</v>
      </c>
      <c r="FH24" s="162">
        <v>26</v>
      </c>
      <c r="FI24" s="161">
        <v>0.8</v>
      </c>
      <c r="FJ24" s="156">
        <v>0.2</v>
      </c>
      <c r="FK24" s="156">
        <v>0</v>
      </c>
      <c r="FL24" s="156">
        <v>0</v>
      </c>
      <c r="FM24" s="156">
        <v>0</v>
      </c>
      <c r="FN24" s="162">
        <v>5</v>
      </c>
      <c r="FO24" s="155">
        <v>0</v>
      </c>
      <c r="FP24" s="156">
        <v>0</v>
      </c>
      <c r="FQ24" s="156">
        <v>0</v>
      </c>
      <c r="FR24" s="156">
        <v>0</v>
      </c>
      <c r="FS24" s="156">
        <v>0</v>
      </c>
      <c r="FT24" s="162">
        <v>0</v>
      </c>
      <c r="FU24" s="155">
        <v>0</v>
      </c>
      <c r="FV24" s="156">
        <v>0</v>
      </c>
      <c r="FW24" s="156">
        <v>0</v>
      </c>
      <c r="FX24" s="156">
        <v>0</v>
      </c>
      <c r="FY24" s="156">
        <v>0</v>
      </c>
      <c r="FZ24" s="162">
        <v>0</v>
      </c>
      <c r="GA24" s="161">
        <v>0</v>
      </c>
      <c r="GB24" s="156">
        <v>0</v>
      </c>
      <c r="GC24" s="156">
        <v>0</v>
      </c>
      <c r="GD24" s="156">
        <v>0</v>
      </c>
      <c r="GE24" s="156">
        <v>0</v>
      </c>
      <c r="GF24" s="162">
        <v>0</v>
      </c>
      <c r="GG24" s="158">
        <v>9.462686567164166</v>
      </c>
      <c r="GH24" s="162">
        <v>67</v>
      </c>
      <c r="GI24" s="155">
        <v>0.65753424657534221</v>
      </c>
      <c r="GJ24" s="156">
        <v>0.23287671232876683</v>
      </c>
      <c r="GK24" s="156">
        <v>0.10958904109589061</v>
      </c>
      <c r="GL24" s="156">
        <v>0</v>
      </c>
      <c r="GM24" s="156">
        <v>0</v>
      </c>
      <c r="GN24" s="162">
        <v>73</v>
      </c>
      <c r="GO24" s="155">
        <v>0.52777777777777846</v>
      </c>
      <c r="GP24" s="156">
        <v>0.30555555555555591</v>
      </c>
      <c r="GQ24" s="156">
        <v>9.7222222222222293E-2</v>
      </c>
      <c r="GR24" s="156">
        <v>0.20833333333333356</v>
      </c>
      <c r="GS24" s="162">
        <v>72</v>
      </c>
      <c r="GT24" s="163">
        <v>3.3913043478260909</v>
      </c>
      <c r="GU24" s="162">
        <v>69</v>
      </c>
      <c r="GV24" s="155">
        <v>0.90909090909090962</v>
      </c>
      <c r="GW24" s="156">
        <v>9.0909090909090898E-2</v>
      </c>
      <c r="GX24" s="162">
        <v>33</v>
      </c>
      <c r="GY24" s="155">
        <v>0.95652173913043304</v>
      </c>
      <c r="GZ24" s="156">
        <v>4.3478260869565188E-2</v>
      </c>
      <c r="HA24" s="162">
        <v>46</v>
      </c>
      <c r="HB24" s="155">
        <v>0.87692307692307681</v>
      </c>
      <c r="HC24" s="156">
        <v>0.12307692307692292</v>
      </c>
      <c r="HD24" s="162">
        <v>65</v>
      </c>
      <c r="HE24" s="161">
        <v>0.92</v>
      </c>
      <c r="HF24" s="156">
        <v>7.9999999999999988E-2</v>
      </c>
      <c r="HG24" s="162">
        <v>50</v>
      </c>
      <c r="HH24" s="155">
        <v>0.54411764705882415</v>
      </c>
      <c r="HI24" s="156">
        <v>0.45588235294117596</v>
      </c>
      <c r="HJ24" s="162">
        <v>68</v>
      </c>
      <c r="HK24" s="155">
        <v>1</v>
      </c>
      <c r="HL24" s="156">
        <v>0</v>
      </c>
      <c r="HM24" s="162">
        <v>67</v>
      </c>
      <c r="HN24" s="161">
        <v>1.6393442622950827E-2</v>
      </c>
      <c r="HO24" s="156">
        <v>0.22950819672131112</v>
      </c>
      <c r="HP24" s="156">
        <v>0.22950819672131112</v>
      </c>
      <c r="HQ24" s="156">
        <v>0.34426229508196693</v>
      </c>
      <c r="HR24" s="156">
        <v>0.18032786885245902</v>
      </c>
      <c r="HS24" s="160">
        <v>59.475409836065495</v>
      </c>
      <c r="HT24" s="164">
        <v>61</v>
      </c>
      <c r="HU24" s="165">
        <v>3.0303030303030304E-2</v>
      </c>
      <c r="HV24" s="166">
        <v>0</v>
      </c>
      <c r="HW24" s="166">
        <v>3.0303030303030304E-2</v>
      </c>
      <c r="HX24" s="166">
        <v>7.575757575757576E-2</v>
      </c>
      <c r="HY24" s="166">
        <v>0.15151515151515152</v>
      </c>
      <c r="HZ24" s="166">
        <v>0.12121212121212122</v>
      </c>
      <c r="IA24" s="166">
        <v>0.13636363636363635</v>
      </c>
      <c r="IB24" s="166">
        <v>0.31818181818181818</v>
      </c>
      <c r="IC24" s="166">
        <v>4.5454545454545456E-2</v>
      </c>
      <c r="ID24" s="166">
        <v>9.0909090909090912E-2</v>
      </c>
      <c r="IE24" s="167">
        <v>66</v>
      </c>
      <c r="IF24" s="155">
        <v>0</v>
      </c>
      <c r="IG24" s="156">
        <v>0</v>
      </c>
      <c r="IH24" s="156">
        <v>0</v>
      </c>
      <c r="II24" s="156">
        <v>0</v>
      </c>
      <c r="IJ24" s="156">
        <v>0</v>
      </c>
      <c r="IK24" s="162">
        <v>0</v>
      </c>
      <c r="IL24" s="155">
        <v>0</v>
      </c>
      <c r="IM24" s="156">
        <v>0</v>
      </c>
      <c r="IN24" s="156">
        <v>2.9850746268656692E-2</v>
      </c>
      <c r="IO24" s="156">
        <v>0.97014925373134275</v>
      </c>
      <c r="IP24" s="156">
        <v>0</v>
      </c>
      <c r="IQ24" s="162">
        <v>67</v>
      </c>
      <c r="IR24" s="155">
        <v>8.8235294117647106E-2</v>
      </c>
      <c r="IS24" s="156">
        <v>0.91176470588235203</v>
      </c>
      <c r="IT24" s="162">
        <v>68</v>
      </c>
      <c r="IU24" s="161">
        <v>0</v>
      </c>
      <c r="IV24" s="156">
        <v>0</v>
      </c>
      <c r="IW24" s="156">
        <v>1</v>
      </c>
      <c r="IX24" s="162">
        <v>5</v>
      </c>
    </row>
    <row r="25" spans="1:258" ht="32.1" customHeight="1" x14ac:dyDescent="0.25">
      <c r="A25" s="110" t="s">
        <v>453</v>
      </c>
      <c r="B25" s="108" t="s">
        <v>574</v>
      </c>
      <c r="C25" s="108" t="s">
        <v>454</v>
      </c>
      <c r="D25" s="109">
        <v>46</v>
      </c>
      <c r="E25" s="139" t="s">
        <v>475</v>
      </c>
      <c r="F25" s="155">
        <v>0.11650485436893197</v>
      </c>
      <c r="G25" s="156">
        <v>0.88349514563106724</v>
      </c>
      <c r="H25" s="157">
        <v>103</v>
      </c>
      <c r="I25" s="155">
        <v>0.92045454545454708</v>
      </c>
      <c r="J25" s="156">
        <v>7.9545454545454641E-2</v>
      </c>
      <c r="K25" s="157">
        <v>88</v>
      </c>
      <c r="L25" s="155">
        <v>0.66666666666666885</v>
      </c>
      <c r="M25" s="156">
        <v>0.33333333333333343</v>
      </c>
      <c r="N25" s="157">
        <v>75</v>
      </c>
      <c r="O25" s="155">
        <v>0.14563106796116532</v>
      </c>
      <c r="P25" s="156">
        <v>0.14563106796116532</v>
      </c>
      <c r="Q25" s="156">
        <v>0.14563106796116532</v>
      </c>
      <c r="R25" s="156">
        <v>1.9417475728155335E-2</v>
      </c>
      <c r="S25" s="156">
        <v>0.3980582524271844</v>
      </c>
      <c r="T25" s="156">
        <v>5.8252427184466007E-2</v>
      </c>
      <c r="U25" s="156">
        <v>3.8834951456310669E-2</v>
      </c>
      <c r="V25" s="156">
        <v>0.17475728155339837</v>
      </c>
      <c r="W25" s="156">
        <v>0.10679611650485463</v>
      </c>
      <c r="X25" s="156">
        <v>0.23300970873786403</v>
      </c>
      <c r="Y25" s="157">
        <v>103</v>
      </c>
      <c r="Z25" s="155">
        <v>0.662790697674419</v>
      </c>
      <c r="AA25" s="156">
        <v>0.44186046511627869</v>
      </c>
      <c r="AB25" s="156">
        <v>0.40697674418604646</v>
      </c>
      <c r="AC25" s="156">
        <v>0.46511627906976821</v>
      </c>
      <c r="AD25" s="156">
        <v>6.9767441860465226E-2</v>
      </c>
      <c r="AE25" s="156">
        <v>0.23255813953488408</v>
      </c>
      <c r="AF25" s="157">
        <v>86</v>
      </c>
      <c r="AG25" s="158">
        <v>9.8947368421052957</v>
      </c>
      <c r="AH25" s="159">
        <v>95</v>
      </c>
      <c r="AI25" s="160">
        <v>9.8947368421052957</v>
      </c>
      <c r="AJ25" s="159">
        <v>95</v>
      </c>
      <c r="AK25" s="160">
        <v>9.8902439024390176</v>
      </c>
      <c r="AL25" s="157">
        <v>82</v>
      </c>
      <c r="AM25" s="155">
        <v>0.51485148514851642</v>
      </c>
      <c r="AN25" s="156">
        <v>0.42574257425742768</v>
      </c>
      <c r="AO25" s="156">
        <v>3.9603960396039632E-2</v>
      </c>
      <c r="AP25" s="156">
        <v>1.9801980198019816E-2</v>
      </c>
      <c r="AQ25" s="156">
        <v>0</v>
      </c>
      <c r="AR25" s="157">
        <v>101</v>
      </c>
      <c r="AS25" s="155">
        <v>0.84375000000000011</v>
      </c>
      <c r="AT25" s="156">
        <v>0.12500000000000003</v>
      </c>
      <c r="AU25" s="156">
        <v>3.1250000000000007E-2</v>
      </c>
      <c r="AV25" s="156">
        <v>0</v>
      </c>
      <c r="AW25" s="156">
        <v>0</v>
      </c>
      <c r="AX25" s="157">
        <v>96</v>
      </c>
      <c r="AY25" s="155">
        <v>0.61616161616161669</v>
      </c>
      <c r="AZ25" s="156">
        <v>0.34343434343434309</v>
      </c>
      <c r="BA25" s="156">
        <v>4.0404040404040421E-2</v>
      </c>
      <c r="BB25" s="156">
        <v>0</v>
      </c>
      <c r="BC25" s="156">
        <v>0</v>
      </c>
      <c r="BD25" s="157">
        <v>99</v>
      </c>
      <c r="BE25" s="155">
        <v>0.77450980392157132</v>
      </c>
      <c r="BF25" s="156">
        <v>0.20588235294117621</v>
      </c>
      <c r="BG25" s="156">
        <v>9.8039215686274769E-3</v>
      </c>
      <c r="BH25" s="156">
        <v>0</v>
      </c>
      <c r="BI25" s="156">
        <v>9.8039215686274769E-3</v>
      </c>
      <c r="BJ25" s="157">
        <v>102</v>
      </c>
      <c r="BK25" s="155">
        <v>0.62244897959183687</v>
      </c>
      <c r="BL25" s="156">
        <v>0.35714285714285771</v>
      </c>
      <c r="BM25" s="156">
        <v>2.040816326530611E-2</v>
      </c>
      <c r="BN25" s="156">
        <v>0</v>
      </c>
      <c r="BO25" s="156">
        <v>0</v>
      </c>
      <c r="BP25" s="157">
        <v>98</v>
      </c>
      <c r="BQ25" s="155">
        <v>0.75757575757575923</v>
      </c>
      <c r="BR25" s="156">
        <v>0.20202020202020265</v>
      </c>
      <c r="BS25" s="156">
        <v>3.0303030303030366E-2</v>
      </c>
      <c r="BT25" s="156">
        <v>1.0101010101010105E-2</v>
      </c>
      <c r="BU25" s="156">
        <v>0</v>
      </c>
      <c r="BV25" s="157">
        <v>99</v>
      </c>
      <c r="BW25" s="161">
        <v>0.70833333333333226</v>
      </c>
      <c r="BX25" s="156">
        <v>0.16666666666666688</v>
      </c>
      <c r="BY25" s="156">
        <v>0.12500000000000003</v>
      </c>
      <c r="BZ25" s="156">
        <v>0</v>
      </c>
      <c r="CA25" s="156">
        <v>0</v>
      </c>
      <c r="CB25" s="157">
        <v>24</v>
      </c>
      <c r="CC25" s="155">
        <v>0.84782608695652073</v>
      </c>
      <c r="CD25" s="156">
        <v>0.10869565217391276</v>
      </c>
      <c r="CE25" s="156">
        <v>4.3478260869565147E-2</v>
      </c>
      <c r="CF25" s="156">
        <v>0</v>
      </c>
      <c r="CG25" s="156">
        <v>0</v>
      </c>
      <c r="CH25" s="162">
        <v>46</v>
      </c>
      <c r="CI25" s="155">
        <v>0.51162790697674343</v>
      </c>
      <c r="CJ25" s="156">
        <v>0.4186046511627905</v>
      </c>
      <c r="CK25" s="156">
        <v>4.651162790697682E-2</v>
      </c>
      <c r="CL25" s="156">
        <v>2.325581395348841E-2</v>
      </c>
      <c r="CM25" s="156">
        <v>0</v>
      </c>
      <c r="CN25" s="162">
        <v>43</v>
      </c>
      <c r="CO25" s="155">
        <v>0.49999999999999994</v>
      </c>
      <c r="CP25" s="156">
        <v>0.33333333333333359</v>
      </c>
      <c r="CQ25" s="156">
        <v>0.13888888888888906</v>
      </c>
      <c r="CR25" s="156">
        <v>2.7777777777777731E-2</v>
      </c>
      <c r="CS25" s="156">
        <v>0</v>
      </c>
      <c r="CT25" s="162">
        <v>36</v>
      </c>
      <c r="CU25" s="155">
        <v>0.3947368421052625</v>
      </c>
      <c r="CV25" s="156">
        <v>0.42105263157894685</v>
      </c>
      <c r="CW25" s="156">
        <v>0.15789473684210564</v>
      </c>
      <c r="CX25" s="156">
        <v>2.6315789473684178E-2</v>
      </c>
      <c r="CY25" s="156">
        <v>0</v>
      </c>
      <c r="CZ25" s="162">
        <v>38</v>
      </c>
      <c r="DA25" s="155">
        <v>0.53846153846153932</v>
      </c>
      <c r="DB25" s="156">
        <v>0.34615384615384653</v>
      </c>
      <c r="DC25" s="156">
        <v>0.11538461538461529</v>
      </c>
      <c r="DD25" s="156">
        <v>0</v>
      </c>
      <c r="DE25" s="156">
        <v>0</v>
      </c>
      <c r="DF25" s="162">
        <v>26</v>
      </c>
      <c r="DG25" s="155">
        <v>0.62500000000000011</v>
      </c>
      <c r="DH25" s="156">
        <v>0.29166666666666635</v>
      </c>
      <c r="DI25" s="156">
        <v>8.333333333333344E-2</v>
      </c>
      <c r="DJ25" s="156">
        <v>0</v>
      </c>
      <c r="DK25" s="156">
        <v>0</v>
      </c>
      <c r="DL25" s="162">
        <v>24</v>
      </c>
      <c r="DM25" s="155">
        <v>0.69444444444444353</v>
      </c>
      <c r="DN25" s="156">
        <v>0.19444444444444398</v>
      </c>
      <c r="DO25" s="156">
        <v>0.11111111111111092</v>
      </c>
      <c r="DP25" s="156">
        <v>0</v>
      </c>
      <c r="DQ25" s="156">
        <v>0</v>
      </c>
      <c r="DR25" s="162">
        <v>36</v>
      </c>
      <c r="DS25" s="161">
        <v>0.57142857142857117</v>
      </c>
      <c r="DT25" s="156">
        <v>0.28571428571428559</v>
      </c>
      <c r="DU25" s="156">
        <v>7.1428571428571397E-2</v>
      </c>
      <c r="DV25" s="156">
        <v>0</v>
      </c>
      <c r="DW25" s="156">
        <v>7.1428571428571397E-2</v>
      </c>
      <c r="DX25" s="162">
        <v>14</v>
      </c>
      <c r="DY25" s="155">
        <v>0.85148514851485091</v>
      </c>
      <c r="DZ25" s="156">
        <v>0.1386138613861386</v>
      </c>
      <c r="EA25" s="156">
        <v>9.900990099009908E-3</v>
      </c>
      <c r="EB25" s="156">
        <v>0</v>
      </c>
      <c r="EC25" s="156">
        <v>0</v>
      </c>
      <c r="ED25" s="162">
        <v>101</v>
      </c>
      <c r="EE25" s="155">
        <v>0.75862068965517226</v>
      </c>
      <c r="EF25" s="156">
        <v>0.24137931034482787</v>
      </c>
      <c r="EG25" s="156">
        <v>0</v>
      </c>
      <c r="EH25" s="156">
        <v>0</v>
      </c>
      <c r="EI25" s="156">
        <v>0</v>
      </c>
      <c r="EJ25" s="162">
        <v>29</v>
      </c>
      <c r="EK25" s="155">
        <v>0.63888888888888751</v>
      </c>
      <c r="EL25" s="156">
        <v>0.36111111111111194</v>
      </c>
      <c r="EM25" s="156">
        <v>0</v>
      </c>
      <c r="EN25" s="156">
        <v>0</v>
      </c>
      <c r="EO25" s="156">
        <v>0</v>
      </c>
      <c r="EP25" s="162">
        <v>36</v>
      </c>
      <c r="EQ25" s="155">
        <v>0.80000000000000016</v>
      </c>
      <c r="ER25" s="156">
        <v>0.13846153846153827</v>
      </c>
      <c r="ES25" s="156">
        <v>4.6153846153846267E-2</v>
      </c>
      <c r="ET25" s="156">
        <v>1.538461538461538E-2</v>
      </c>
      <c r="EU25" s="156">
        <v>0</v>
      </c>
      <c r="EV25" s="162">
        <v>65</v>
      </c>
      <c r="EW25" s="155">
        <v>0.82812500000000011</v>
      </c>
      <c r="EX25" s="156">
        <v>0.15624999999999997</v>
      </c>
      <c r="EY25" s="156">
        <v>1.5624999999999998E-2</v>
      </c>
      <c r="EZ25" s="156">
        <v>0</v>
      </c>
      <c r="FA25" s="156">
        <v>0</v>
      </c>
      <c r="FB25" s="162">
        <v>64</v>
      </c>
      <c r="FC25" s="155">
        <v>0.66666666666666752</v>
      </c>
      <c r="FD25" s="156">
        <v>0.29629629629629595</v>
      </c>
      <c r="FE25" s="156">
        <v>0</v>
      </c>
      <c r="FF25" s="156">
        <v>3.7037037037036993E-2</v>
      </c>
      <c r="FG25" s="156">
        <v>0</v>
      </c>
      <c r="FH25" s="162">
        <v>27</v>
      </c>
      <c r="FI25" s="161">
        <v>0.73913043478260976</v>
      </c>
      <c r="FJ25" s="156">
        <v>0.1304347826086957</v>
      </c>
      <c r="FK25" s="156">
        <v>8.6956521739130335E-2</v>
      </c>
      <c r="FL25" s="156">
        <v>4.3478260869565168E-2</v>
      </c>
      <c r="FM25" s="156">
        <v>0</v>
      </c>
      <c r="FN25" s="162">
        <v>23</v>
      </c>
      <c r="FO25" s="155">
        <v>0</v>
      </c>
      <c r="FP25" s="156">
        <v>0</v>
      </c>
      <c r="FQ25" s="156">
        <v>0</v>
      </c>
      <c r="FR25" s="156">
        <v>0</v>
      </c>
      <c r="FS25" s="156">
        <v>0</v>
      </c>
      <c r="FT25" s="162">
        <v>0</v>
      </c>
      <c r="FU25" s="155">
        <v>0</v>
      </c>
      <c r="FV25" s="156">
        <v>0</v>
      </c>
      <c r="FW25" s="156">
        <v>0</v>
      </c>
      <c r="FX25" s="156">
        <v>0</v>
      </c>
      <c r="FY25" s="156">
        <v>0</v>
      </c>
      <c r="FZ25" s="162">
        <v>0</v>
      </c>
      <c r="GA25" s="161">
        <v>0</v>
      </c>
      <c r="GB25" s="156">
        <v>0</v>
      </c>
      <c r="GC25" s="156">
        <v>0</v>
      </c>
      <c r="GD25" s="156">
        <v>0</v>
      </c>
      <c r="GE25" s="156">
        <v>0</v>
      </c>
      <c r="GF25" s="162">
        <v>0</v>
      </c>
      <c r="GG25" s="158">
        <v>9.3195876288659765</v>
      </c>
      <c r="GH25" s="162">
        <v>97</v>
      </c>
      <c r="GI25" s="155">
        <v>0.77669902912621236</v>
      </c>
      <c r="GJ25" s="156">
        <v>7.7669902912621269E-2</v>
      </c>
      <c r="GK25" s="156">
        <v>0.13592233009708726</v>
      </c>
      <c r="GL25" s="156">
        <v>9.7087378640776587E-3</v>
      </c>
      <c r="GM25" s="156">
        <v>0</v>
      </c>
      <c r="GN25" s="162">
        <v>103</v>
      </c>
      <c r="GO25" s="155">
        <v>0.69607843137254954</v>
      </c>
      <c r="GP25" s="156">
        <v>0.16666666666666657</v>
      </c>
      <c r="GQ25" s="156">
        <v>6.8627450980392149E-2</v>
      </c>
      <c r="GR25" s="156">
        <v>0.13725490196078424</v>
      </c>
      <c r="GS25" s="162">
        <v>102</v>
      </c>
      <c r="GT25" s="163">
        <v>2.8640776699029171</v>
      </c>
      <c r="GU25" s="162">
        <v>103</v>
      </c>
      <c r="GV25" s="155">
        <v>0.95652173913043403</v>
      </c>
      <c r="GW25" s="156">
        <v>4.3478260869565147E-2</v>
      </c>
      <c r="GX25" s="162">
        <v>46</v>
      </c>
      <c r="GY25" s="155">
        <v>1</v>
      </c>
      <c r="GZ25" s="156">
        <v>0</v>
      </c>
      <c r="HA25" s="162">
        <v>73</v>
      </c>
      <c r="HB25" s="155">
        <v>1</v>
      </c>
      <c r="HC25" s="156">
        <v>0</v>
      </c>
      <c r="HD25" s="162">
        <v>70</v>
      </c>
      <c r="HE25" s="161">
        <v>0.95081967213114704</v>
      </c>
      <c r="HF25" s="156">
        <v>4.9180327868852479E-2</v>
      </c>
      <c r="HG25" s="162">
        <v>61</v>
      </c>
      <c r="HH25" s="155">
        <v>0.45348837209302445</v>
      </c>
      <c r="HI25" s="156">
        <v>0.54651162790697605</v>
      </c>
      <c r="HJ25" s="162">
        <v>86</v>
      </c>
      <c r="HK25" s="155">
        <v>0.99999999999999989</v>
      </c>
      <c r="HL25" s="156">
        <v>0</v>
      </c>
      <c r="HM25" s="162">
        <v>81</v>
      </c>
      <c r="HN25" s="161">
        <v>5.6338028169014169E-2</v>
      </c>
      <c r="HO25" s="156">
        <v>0.11267605633802834</v>
      </c>
      <c r="HP25" s="156">
        <v>0.26760563380281704</v>
      </c>
      <c r="HQ25" s="156">
        <v>0.35211267605633895</v>
      </c>
      <c r="HR25" s="156">
        <v>0.21126760563380245</v>
      </c>
      <c r="HS25" s="160">
        <v>61.873239436619755</v>
      </c>
      <c r="HT25" s="164">
        <v>71</v>
      </c>
      <c r="HU25" s="165">
        <v>0</v>
      </c>
      <c r="HV25" s="166">
        <v>0</v>
      </c>
      <c r="HW25" s="166">
        <v>4.0540540540540543E-2</v>
      </c>
      <c r="HX25" s="166">
        <v>5.4054054054054057E-2</v>
      </c>
      <c r="HY25" s="166">
        <v>2.7027027027027029E-2</v>
      </c>
      <c r="HZ25" s="166">
        <v>0.10810810810810811</v>
      </c>
      <c r="IA25" s="166">
        <v>8.1081081081081086E-2</v>
      </c>
      <c r="IB25" s="166">
        <v>0.13513513513513514</v>
      </c>
      <c r="IC25" s="166">
        <v>0.16216216216216217</v>
      </c>
      <c r="ID25" s="166">
        <v>0.39189189189189189</v>
      </c>
      <c r="IE25" s="167">
        <v>74</v>
      </c>
      <c r="IF25" s="155">
        <v>0</v>
      </c>
      <c r="IG25" s="156">
        <v>1</v>
      </c>
      <c r="IH25" s="156">
        <v>0</v>
      </c>
      <c r="II25" s="156">
        <v>0</v>
      </c>
      <c r="IJ25" s="156">
        <v>0</v>
      </c>
      <c r="IK25" s="162">
        <v>1</v>
      </c>
      <c r="IL25" s="155">
        <v>1.2195121951219507E-2</v>
      </c>
      <c r="IM25" s="156">
        <v>1.2195121951219507E-2</v>
      </c>
      <c r="IN25" s="156">
        <v>0</v>
      </c>
      <c r="IO25" s="156">
        <v>0.97560975609756329</v>
      </c>
      <c r="IP25" s="156">
        <v>0</v>
      </c>
      <c r="IQ25" s="162">
        <v>82</v>
      </c>
      <c r="IR25" s="155">
        <v>8.3333333333333467E-2</v>
      </c>
      <c r="IS25" s="156">
        <v>0.91666666666666685</v>
      </c>
      <c r="IT25" s="162">
        <v>84</v>
      </c>
      <c r="IU25" s="161">
        <v>0</v>
      </c>
      <c r="IV25" s="156">
        <v>0</v>
      </c>
      <c r="IW25" s="156">
        <v>1</v>
      </c>
      <c r="IX25" s="162">
        <v>7</v>
      </c>
    </row>
    <row r="26" spans="1:258" ht="32.1" customHeight="1" x14ac:dyDescent="0.25">
      <c r="A26" s="110" t="s">
        <v>453</v>
      </c>
      <c r="B26" s="108" t="s">
        <v>586</v>
      </c>
      <c r="C26" s="108" t="s">
        <v>454</v>
      </c>
      <c r="D26" s="109">
        <v>47</v>
      </c>
      <c r="E26" s="139" t="s">
        <v>476</v>
      </c>
      <c r="F26" s="155">
        <v>4.9180327868852493E-2</v>
      </c>
      <c r="G26" s="156">
        <v>0.95081967213114704</v>
      </c>
      <c r="H26" s="157">
        <v>61</v>
      </c>
      <c r="I26" s="155">
        <v>0.89285714285714346</v>
      </c>
      <c r="J26" s="156">
        <v>0.10714285714285733</v>
      </c>
      <c r="K26" s="157">
        <v>56</v>
      </c>
      <c r="L26" s="155">
        <v>0.65306122448979631</v>
      </c>
      <c r="M26" s="156">
        <v>0.34693877551020463</v>
      </c>
      <c r="N26" s="157">
        <v>49</v>
      </c>
      <c r="O26" s="155">
        <v>0.29032258064516164</v>
      </c>
      <c r="P26" s="156">
        <v>0.11290322580645176</v>
      </c>
      <c r="Q26" s="156">
        <v>0.45161290322580705</v>
      </c>
      <c r="R26" s="156">
        <v>4.838709677419354E-2</v>
      </c>
      <c r="S26" s="156">
        <v>0.43548387096774277</v>
      </c>
      <c r="T26" s="156">
        <v>6.4516129032258035E-2</v>
      </c>
      <c r="U26" s="156">
        <v>6.4516129032258035E-2</v>
      </c>
      <c r="V26" s="156">
        <v>0.11290322580645176</v>
      </c>
      <c r="W26" s="156">
        <v>8.0645161290322662E-2</v>
      </c>
      <c r="X26" s="156">
        <v>9.677419354838708E-2</v>
      </c>
      <c r="Y26" s="157">
        <v>62</v>
      </c>
      <c r="Z26" s="155">
        <v>0.58620689655172487</v>
      </c>
      <c r="AA26" s="156">
        <v>0.50000000000000011</v>
      </c>
      <c r="AB26" s="156">
        <v>0.39655172413793155</v>
      </c>
      <c r="AC26" s="156">
        <v>0.60344827586206884</v>
      </c>
      <c r="AD26" s="156">
        <v>6.8965517241379393E-2</v>
      </c>
      <c r="AE26" s="156">
        <v>0.20689655172413826</v>
      </c>
      <c r="AF26" s="157">
        <v>58</v>
      </c>
      <c r="AG26" s="158">
        <v>9.9482758620689573</v>
      </c>
      <c r="AH26" s="159">
        <v>58</v>
      </c>
      <c r="AI26" s="160">
        <v>9.8474576271186258</v>
      </c>
      <c r="AJ26" s="159">
        <v>59</v>
      </c>
      <c r="AK26" s="160">
        <v>9.8679245283018862</v>
      </c>
      <c r="AL26" s="157">
        <v>53</v>
      </c>
      <c r="AM26" s="155">
        <v>0.85454545454545383</v>
      </c>
      <c r="AN26" s="156">
        <v>0.14545454545454536</v>
      </c>
      <c r="AO26" s="156">
        <v>0</v>
      </c>
      <c r="AP26" s="156">
        <v>0</v>
      </c>
      <c r="AQ26" s="156">
        <v>0</v>
      </c>
      <c r="AR26" s="157">
        <v>55</v>
      </c>
      <c r="AS26" s="155">
        <v>0.91666666666666696</v>
      </c>
      <c r="AT26" s="156">
        <v>6.6666666666666818E-2</v>
      </c>
      <c r="AU26" s="156">
        <v>1.6666666666666705E-2</v>
      </c>
      <c r="AV26" s="156">
        <v>0</v>
      </c>
      <c r="AW26" s="156">
        <v>0</v>
      </c>
      <c r="AX26" s="157">
        <v>60</v>
      </c>
      <c r="AY26" s="155">
        <v>0.83333333333333326</v>
      </c>
      <c r="AZ26" s="156">
        <v>0.16666666666666657</v>
      </c>
      <c r="BA26" s="156">
        <v>0</v>
      </c>
      <c r="BB26" s="156">
        <v>0</v>
      </c>
      <c r="BC26" s="156">
        <v>0</v>
      </c>
      <c r="BD26" s="157">
        <v>60</v>
      </c>
      <c r="BE26" s="155">
        <v>0.95000000000000018</v>
      </c>
      <c r="BF26" s="156">
        <v>5.0000000000000017E-2</v>
      </c>
      <c r="BG26" s="156">
        <v>0</v>
      </c>
      <c r="BH26" s="156">
        <v>0</v>
      </c>
      <c r="BI26" s="156">
        <v>0</v>
      </c>
      <c r="BJ26" s="157">
        <v>60</v>
      </c>
      <c r="BK26" s="155">
        <v>0.78260869565217406</v>
      </c>
      <c r="BL26" s="156">
        <v>0.17391304347826109</v>
      </c>
      <c r="BM26" s="156">
        <v>2.1739130434782636E-2</v>
      </c>
      <c r="BN26" s="156">
        <v>2.1739130434782636E-2</v>
      </c>
      <c r="BO26" s="156">
        <v>0</v>
      </c>
      <c r="BP26" s="157">
        <v>46</v>
      </c>
      <c r="BQ26" s="155">
        <v>0.91525423728813604</v>
      </c>
      <c r="BR26" s="156">
        <v>8.4745762711864417E-2</v>
      </c>
      <c r="BS26" s="156">
        <v>0</v>
      </c>
      <c r="BT26" s="156">
        <v>0</v>
      </c>
      <c r="BU26" s="156">
        <v>0</v>
      </c>
      <c r="BV26" s="157">
        <v>59</v>
      </c>
      <c r="BW26" s="161">
        <v>0.7608695652173908</v>
      </c>
      <c r="BX26" s="156">
        <v>0.19565217391304354</v>
      </c>
      <c r="BY26" s="156">
        <v>2.1739130434782636E-2</v>
      </c>
      <c r="BZ26" s="156">
        <v>2.1739130434782636E-2</v>
      </c>
      <c r="CA26" s="156">
        <v>0</v>
      </c>
      <c r="CB26" s="157">
        <v>46</v>
      </c>
      <c r="CC26" s="155">
        <v>0.96</v>
      </c>
      <c r="CD26" s="156">
        <v>4.0000000000000008E-2</v>
      </c>
      <c r="CE26" s="156">
        <v>0</v>
      </c>
      <c r="CF26" s="156">
        <v>0</v>
      </c>
      <c r="CG26" s="156">
        <v>0</v>
      </c>
      <c r="CH26" s="162">
        <v>25</v>
      </c>
      <c r="CI26" s="155">
        <v>0.77272727272727326</v>
      </c>
      <c r="CJ26" s="156">
        <v>0.13636363636363627</v>
      </c>
      <c r="CK26" s="156">
        <v>4.5454545454545414E-2</v>
      </c>
      <c r="CL26" s="156">
        <v>4.5454545454545414E-2</v>
      </c>
      <c r="CM26" s="156">
        <v>0</v>
      </c>
      <c r="CN26" s="162">
        <v>22</v>
      </c>
      <c r="CO26" s="155">
        <v>0.58536585365853655</v>
      </c>
      <c r="CP26" s="156">
        <v>0.36585365853658508</v>
      </c>
      <c r="CQ26" s="156">
        <v>2.4390243902439018E-2</v>
      </c>
      <c r="CR26" s="156">
        <v>2.4390243902439018E-2</v>
      </c>
      <c r="CS26" s="156">
        <v>0</v>
      </c>
      <c r="CT26" s="162">
        <v>41</v>
      </c>
      <c r="CU26" s="155">
        <v>0.52380952380952406</v>
      </c>
      <c r="CV26" s="156">
        <v>0.45238095238095283</v>
      </c>
      <c r="CW26" s="156">
        <v>0</v>
      </c>
      <c r="CX26" s="156">
        <v>2.3809523809523805E-2</v>
      </c>
      <c r="CY26" s="156">
        <v>0</v>
      </c>
      <c r="CZ26" s="162">
        <v>42</v>
      </c>
      <c r="DA26" s="155">
        <v>0.7083333333333337</v>
      </c>
      <c r="DB26" s="156">
        <v>0.20833333333333331</v>
      </c>
      <c r="DC26" s="156">
        <v>8.3333333333333245E-2</v>
      </c>
      <c r="DD26" s="156">
        <v>0</v>
      </c>
      <c r="DE26" s="156">
        <v>0</v>
      </c>
      <c r="DF26" s="162">
        <v>24</v>
      </c>
      <c r="DG26" s="155">
        <v>0.82608695652173969</v>
      </c>
      <c r="DH26" s="156">
        <v>0.17391304347826098</v>
      </c>
      <c r="DI26" s="156">
        <v>0</v>
      </c>
      <c r="DJ26" s="156">
        <v>0</v>
      </c>
      <c r="DK26" s="156">
        <v>0</v>
      </c>
      <c r="DL26" s="162">
        <v>23</v>
      </c>
      <c r="DM26" s="155">
        <v>0.84615384615384726</v>
      </c>
      <c r="DN26" s="156">
        <v>0.11538461538461543</v>
      </c>
      <c r="DO26" s="156">
        <v>3.8461538461538457E-2</v>
      </c>
      <c r="DP26" s="156">
        <v>0</v>
      </c>
      <c r="DQ26" s="156">
        <v>0</v>
      </c>
      <c r="DR26" s="162">
        <v>26</v>
      </c>
      <c r="DS26" s="161">
        <v>0.7857142857142847</v>
      </c>
      <c r="DT26" s="156">
        <v>0.14285714285714302</v>
      </c>
      <c r="DU26" s="156">
        <v>0</v>
      </c>
      <c r="DV26" s="156">
        <v>7.1428571428571508E-2</v>
      </c>
      <c r="DW26" s="156">
        <v>0</v>
      </c>
      <c r="DX26" s="162">
        <v>14</v>
      </c>
      <c r="DY26" s="155">
        <v>0.93103448275862066</v>
      </c>
      <c r="DZ26" s="156">
        <v>6.8965517241379476E-2</v>
      </c>
      <c r="EA26" s="156">
        <v>0</v>
      </c>
      <c r="EB26" s="156">
        <v>0</v>
      </c>
      <c r="EC26" s="156">
        <v>0</v>
      </c>
      <c r="ED26" s="162">
        <v>58</v>
      </c>
      <c r="EE26" s="155">
        <v>0.77777777777777757</v>
      </c>
      <c r="EF26" s="156">
        <v>0.22222222222222193</v>
      </c>
      <c r="EG26" s="156">
        <v>0</v>
      </c>
      <c r="EH26" s="156">
        <v>0</v>
      </c>
      <c r="EI26" s="156">
        <v>0</v>
      </c>
      <c r="EJ26" s="162">
        <v>27</v>
      </c>
      <c r="EK26" s="155">
        <v>0.65714285714285769</v>
      </c>
      <c r="EL26" s="156">
        <v>0.31428571428571389</v>
      </c>
      <c r="EM26" s="156">
        <v>2.8571428571428602E-2</v>
      </c>
      <c r="EN26" s="156">
        <v>0</v>
      </c>
      <c r="EO26" s="156">
        <v>0</v>
      </c>
      <c r="EP26" s="162">
        <v>35</v>
      </c>
      <c r="EQ26" s="155">
        <v>0.83333333333333326</v>
      </c>
      <c r="ER26" s="156">
        <v>0.1428571428571431</v>
      </c>
      <c r="ES26" s="156">
        <v>2.3809523809523805E-2</v>
      </c>
      <c r="ET26" s="156">
        <v>0</v>
      </c>
      <c r="EU26" s="156">
        <v>0</v>
      </c>
      <c r="EV26" s="162">
        <v>42</v>
      </c>
      <c r="EW26" s="155">
        <v>0.92682926829268331</v>
      </c>
      <c r="EX26" s="156">
        <v>7.3170731707317069E-2</v>
      </c>
      <c r="EY26" s="156">
        <v>0</v>
      </c>
      <c r="EZ26" s="156">
        <v>0</v>
      </c>
      <c r="FA26" s="156">
        <v>0</v>
      </c>
      <c r="FB26" s="162">
        <v>41</v>
      </c>
      <c r="FC26" s="155">
        <v>0.78947368421052555</v>
      </c>
      <c r="FD26" s="156">
        <v>0.21052631578947359</v>
      </c>
      <c r="FE26" s="156">
        <v>0</v>
      </c>
      <c r="FF26" s="156">
        <v>0</v>
      </c>
      <c r="FG26" s="156">
        <v>0</v>
      </c>
      <c r="FH26" s="162">
        <v>19</v>
      </c>
      <c r="FI26" s="161">
        <v>0.79999999999999982</v>
      </c>
      <c r="FJ26" s="156">
        <v>0.15</v>
      </c>
      <c r="FK26" s="156">
        <v>4.9999999999999989E-2</v>
      </c>
      <c r="FL26" s="156">
        <v>0</v>
      </c>
      <c r="FM26" s="156">
        <v>0</v>
      </c>
      <c r="FN26" s="162">
        <v>20</v>
      </c>
      <c r="FO26" s="155">
        <v>0</v>
      </c>
      <c r="FP26" s="156">
        <v>0</v>
      </c>
      <c r="FQ26" s="156">
        <v>0</v>
      </c>
      <c r="FR26" s="156">
        <v>0</v>
      </c>
      <c r="FS26" s="156">
        <v>0</v>
      </c>
      <c r="FT26" s="162">
        <v>0</v>
      </c>
      <c r="FU26" s="155">
        <v>0</v>
      </c>
      <c r="FV26" s="156">
        <v>0</v>
      </c>
      <c r="FW26" s="156">
        <v>0</v>
      </c>
      <c r="FX26" s="156">
        <v>0</v>
      </c>
      <c r="FY26" s="156">
        <v>0</v>
      </c>
      <c r="FZ26" s="162">
        <v>0</v>
      </c>
      <c r="GA26" s="161">
        <v>0</v>
      </c>
      <c r="GB26" s="156">
        <v>0</v>
      </c>
      <c r="GC26" s="156">
        <v>0</v>
      </c>
      <c r="GD26" s="156">
        <v>0</v>
      </c>
      <c r="GE26" s="156">
        <v>0</v>
      </c>
      <c r="GF26" s="162">
        <v>0</v>
      </c>
      <c r="GG26" s="158">
        <v>9.454545454545455</v>
      </c>
      <c r="GH26" s="162">
        <v>55</v>
      </c>
      <c r="GI26" s="155">
        <v>0.63333333333333397</v>
      </c>
      <c r="GJ26" s="156">
        <v>0.15000000000000002</v>
      </c>
      <c r="GK26" s="156">
        <v>0.20000000000000007</v>
      </c>
      <c r="GL26" s="156">
        <v>0</v>
      </c>
      <c r="GM26" s="156">
        <v>1.6666666666666705E-2</v>
      </c>
      <c r="GN26" s="162">
        <v>60</v>
      </c>
      <c r="GO26" s="155">
        <v>0.45000000000000007</v>
      </c>
      <c r="GP26" s="156">
        <v>0.39999999999999974</v>
      </c>
      <c r="GQ26" s="156">
        <v>0.15000000000000022</v>
      </c>
      <c r="GR26" s="156">
        <v>0.15000000000000022</v>
      </c>
      <c r="GS26" s="162">
        <v>60</v>
      </c>
      <c r="GT26" s="163">
        <v>2.7666666666666693</v>
      </c>
      <c r="GU26" s="162">
        <v>60</v>
      </c>
      <c r="GV26" s="155">
        <v>0.95454545454545359</v>
      </c>
      <c r="GW26" s="156">
        <v>4.5454545454545414E-2</v>
      </c>
      <c r="GX26" s="162">
        <v>22</v>
      </c>
      <c r="GY26" s="155">
        <v>1</v>
      </c>
      <c r="GZ26" s="156">
        <v>0</v>
      </c>
      <c r="HA26" s="162">
        <v>38</v>
      </c>
      <c r="HB26" s="155">
        <v>1</v>
      </c>
      <c r="HC26" s="156">
        <v>0</v>
      </c>
      <c r="HD26" s="162">
        <v>49</v>
      </c>
      <c r="HE26" s="161">
        <v>0.96969696969696983</v>
      </c>
      <c r="HF26" s="156">
        <v>3.0303030303030318E-2</v>
      </c>
      <c r="HG26" s="162">
        <v>33</v>
      </c>
      <c r="HH26" s="155">
        <v>0.43636363636363656</v>
      </c>
      <c r="HI26" s="156">
        <v>0.56363636363636449</v>
      </c>
      <c r="HJ26" s="162">
        <v>55</v>
      </c>
      <c r="HK26" s="155">
        <v>0.99999999999999989</v>
      </c>
      <c r="HL26" s="156">
        <v>0</v>
      </c>
      <c r="HM26" s="162">
        <v>54</v>
      </c>
      <c r="HN26" s="161">
        <v>2.0408163265306162E-2</v>
      </c>
      <c r="HO26" s="156">
        <v>8.163265306122465E-2</v>
      </c>
      <c r="HP26" s="156">
        <v>0.30612244897959223</v>
      </c>
      <c r="HQ26" s="156">
        <v>0.40816326530612251</v>
      </c>
      <c r="HR26" s="156">
        <v>0.18367346938775522</v>
      </c>
      <c r="HS26" s="160">
        <v>63.795918367346985</v>
      </c>
      <c r="HT26" s="164">
        <v>49</v>
      </c>
      <c r="HU26" s="165">
        <v>6.1224489795918366E-2</v>
      </c>
      <c r="HV26" s="166">
        <v>2.0408163265306121E-2</v>
      </c>
      <c r="HW26" s="166">
        <v>4.0816326530612242E-2</v>
      </c>
      <c r="HX26" s="166">
        <v>8.1632653061224483E-2</v>
      </c>
      <c r="HY26" s="166">
        <v>8.1632653061224483E-2</v>
      </c>
      <c r="HZ26" s="166">
        <v>0.14285714285714285</v>
      </c>
      <c r="IA26" s="166">
        <v>8.1632653061224483E-2</v>
      </c>
      <c r="IB26" s="166">
        <v>0.14285714285714285</v>
      </c>
      <c r="IC26" s="166">
        <v>0.12244897959183673</v>
      </c>
      <c r="ID26" s="166">
        <v>0.22448979591836735</v>
      </c>
      <c r="IE26" s="167">
        <v>49</v>
      </c>
      <c r="IF26" s="155">
        <v>0</v>
      </c>
      <c r="IG26" s="156">
        <v>0</v>
      </c>
      <c r="IH26" s="156">
        <v>0</v>
      </c>
      <c r="II26" s="156">
        <v>0</v>
      </c>
      <c r="IJ26" s="156">
        <v>0</v>
      </c>
      <c r="IK26" s="162">
        <v>0</v>
      </c>
      <c r="IL26" s="155">
        <v>0</v>
      </c>
      <c r="IM26" s="156">
        <v>0</v>
      </c>
      <c r="IN26" s="156">
        <v>0</v>
      </c>
      <c r="IO26" s="156">
        <v>0.98039215686274483</v>
      </c>
      <c r="IP26" s="156">
        <v>1.960784313725494E-2</v>
      </c>
      <c r="IQ26" s="162">
        <v>51</v>
      </c>
      <c r="IR26" s="155">
        <v>0.17647058823529416</v>
      </c>
      <c r="IS26" s="156">
        <v>0.82352941176470607</v>
      </c>
      <c r="IT26" s="162">
        <v>51</v>
      </c>
      <c r="IU26" s="161">
        <v>0</v>
      </c>
      <c r="IV26" s="156">
        <v>0.11111111111111115</v>
      </c>
      <c r="IW26" s="156">
        <v>0.88888888888888895</v>
      </c>
      <c r="IX26" s="162">
        <v>9</v>
      </c>
    </row>
    <row r="27" spans="1:258" ht="32.1" customHeight="1" x14ac:dyDescent="0.25">
      <c r="A27" s="110" t="s">
        <v>453</v>
      </c>
      <c r="B27" s="108" t="s">
        <v>576</v>
      </c>
      <c r="C27" s="108" t="s">
        <v>454</v>
      </c>
      <c r="D27" s="109">
        <v>51</v>
      </c>
      <c r="E27" s="139" t="s">
        <v>477</v>
      </c>
      <c r="F27" s="155">
        <v>0.22222222222222182</v>
      </c>
      <c r="G27" s="156">
        <v>0.77777777777777568</v>
      </c>
      <c r="H27" s="157">
        <v>117</v>
      </c>
      <c r="I27" s="155">
        <v>0.79775280898876244</v>
      </c>
      <c r="J27" s="156">
        <v>0.20224719101123587</v>
      </c>
      <c r="K27" s="157">
        <v>89</v>
      </c>
      <c r="L27" s="155">
        <v>0.46268656716417844</v>
      </c>
      <c r="M27" s="156">
        <v>0.53731343283582156</v>
      </c>
      <c r="N27" s="157">
        <v>67</v>
      </c>
      <c r="O27" s="155">
        <v>0.23076923076923023</v>
      </c>
      <c r="P27" s="156">
        <v>0.17948717948717913</v>
      </c>
      <c r="Q27" s="156">
        <v>0.35897435897435825</v>
      </c>
      <c r="R27" s="156">
        <v>5.1282051282051162E-2</v>
      </c>
      <c r="S27" s="156">
        <v>0.35042735042735051</v>
      </c>
      <c r="T27" s="156">
        <v>2.5641025641025581E-2</v>
      </c>
      <c r="U27" s="156">
        <v>4.2735042735042653E-2</v>
      </c>
      <c r="V27" s="156">
        <v>0.10256410256410232</v>
      </c>
      <c r="W27" s="156">
        <v>0.10256410256410232</v>
      </c>
      <c r="X27" s="156">
        <v>6.8376068376068189E-2</v>
      </c>
      <c r="Y27" s="157">
        <v>117</v>
      </c>
      <c r="Z27" s="155">
        <v>0.73043478260869654</v>
      </c>
      <c r="AA27" s="156">
        <v>0.78260869565217239</v>
      </c>
      <c r="AB27" s="156">
        <v>0.45217391304347904</v>
      </c>
      <c r="AC27" s="156">
        <v>0.58260869565217444</v>
      </c>
      <c r="AD27" s="156">
        <v>5.2173913043478175E-2</v>
      </c>
      <c r="AE27" s="156">
        <v>9.5652173913043384E-2</v>
      </c>
      <c r="AF27" s="157">
        <v>115</v>
      </c>
      <c r="AG27" s="158">
        <v>9.8956521739130476</v>
      </c>
      <c r="AH27" s="159">
        <v>115</v>
      </c>
      <c r="AI27" s="160">
        <v>9.9217391304347693</v>
      </c>
      <c r="AJ27" s="159">
        <v>115</v>
      </c>
      <c r="AK27" s="160">
        <v>9.8495575221238791</v>
      </c>
      <c r="AL27" s="157">
        <v>113</v>
      </c>
      <c r="AM27" s="155">
        <v>0.7924528301886794</v>
      </c>
      <c r="AN27" s="156">
        <v>0.1698113207547175</v>
      </c>
      <c r="AO27" s="156">
        <v>2.8301886792452813E-2</v>
      </c>
      <c r="AP27" s="156">
        <v>9.433962264150924E-3</v>
      </c>
      <c r="AQ27" s="156">
        <v>0</v>
      </c>
      <c r="AR27" s="157">
        <v>106</v>
      </c>
      <c r="AS27" s="155">
        <v>0.82051282051282026</v>
      </c>
      <c r="AT27" s="156">
        <v>0.15384615384615413</v>
      </c>
      <c r="AU27" s="156">
        <v>8.5470085470085271E-3</v>
      </c>
      <c r="AV27" s="156">
        <v>1.7094017094017054E-2</v>
      </c>
      <c r="AW27" s="156">
        <v>0</v>
      </c>
      <c r="AX27" s="157">
        <v>117</v>
      </c>
      <c r="AY27" s="155">
        <v>0.86440677966101975</v>
      </c>
      <c r="AZ27" s="156">
        <v>0.11864406779661046</v>
      </c>
      <c r="BA27" s="156">
        <v>1.6949152542372871E-2</v>
      </c>
      <c r="BB27" s="156">
        <v>0</v>
      </c>
      <c r="BC27" s="156">
        <v>0</v>
      </c>
      <c r="BD27" s="157">
        <v>118</v>
      </c>
      <c r="BE27" s="155">
        <v>0.86440677966101975</v>
      </c>
      <c r="BF27" s="156">
        <v>0.10169491525423741</v>
      </c>
      <c r="BG27" s="156">
        <v>2.5423728813559351E-2</v>
      </c>
      <c r="BH27" s="156">
        <v>8.4745762711864354E-3</v>
      </c>
      <c r="BI27" s="156">
        <v>0</v>
      </c>
      <c r="BJ27" s="157">
        <v>118</v>
      </c>
      <c r="BK27" s="155">
        <v>0.6699029126213577</v>
      </c>
      <c r="BL27" s="156">
        <v>0.25242718446601897</v>
      </c>
      <c r="BM27" s="156">
        <v>3.88349514563106E-2</v>
      </c>
      <c r="BN27" s="156">
        <v>3.88349514563106E-2</v>
      </c>
      <c r="BO27" s="156">
        <v>0</v>
      </c>
      <c r="BP27" s="157">
        <v>103</v>
      </c>
      <c r="BQ27" s="155">
        <v>0.89473684210526527</v>
      </c>
      <c r="BR27" s="156">
        <v>0.10526315789473681</v>
      </c>
      <c r="BS27" s="156">
        <v>0</v>
      </c>
      <c r="BT27" s="156">
        <v>0</v>
      </c>
      <c r="BU27" s="156">
        <v>0</v>
      </c>
      <c r="BV27" s="157">
        <v>114</v>
      </c>
      <c r="BW27" s="161">
        <v>0.92307692307692124</v>
      </c>
      <c r="BX27" s="156">
        <v>6.5934065934065963E-2</v>
      </c>
      <c r="BY27" s="156">
        <v>1.098901098901096E-2</v>
      </c>
      <c r="BZ27" s="156">
        <v>0</v>
      </c>
      <c r="CA27" s="156">
        <v>0</v>
      </c>
      <c r="CB27" s="157">
        <v>91</v>
      </c>
      <c r="CC27" s="155">
        <v>0.91489361702127836</v>
      </c>
      <c r="CD27" s="156">
        <v>8.5106382978723347E-2</v>
      </c>
      <c r="CE27" s="156">
        <v>0</v>
      </c>
      <c r="CF27" s="156">
        <v>0</v>
      </c>
      <c r="CG27" s="156">
        <v>0</v>
      </c>
      <c r="CH27" s="162">
        <v>47</v>
      </c>
      <c r="CI27" s="155">
        <v>0.70731707317073234</v>
      </c>
      <c r="CJ27" s="156">
        <v>0.26829268292682967</v>
      </c>
      <c r="CK27" s="156">
        <v>2.4390243902439011E-2</v>
      </c>
      <c r="CL27" s="156">
        <v>0</v>
      </c>
      <c r="CM27" s="156">
        <v>0</v>
      </c>
      <c r="CN27" s="162">
        <v>41</v>
      </c>
      <c r="CO27" s="155">
        <v>0.45588235294117702</v>
      </c>
      <c r="CP27" s="156">
        <v>0.41176470588235214</v>
      </c>
      <c r="CQ27" s="156">
        <v>7.352941176470601E-2</v>
      </c>
      <c r="CR27" s="156">
        <v>4.4117647058823616E-2</v>
      </c>
      <c r="CS27" s="156">
        <v>1.4705882352941162E-2</v>
      </c>
      <c r="CT27" s="162">
        <v>68</v>
      </c>
      <c r="CU27" s="155">
        <v>0.5</v>
      </c>
      <c r="CV27" s="156">
        <v>0.43055555555555636</v>
      </c>
      <c r="CW27" s="156">
        <v>5.5555555555555455E-2</v>
      </c>
      <c r="CX27" s="156">
        <v>1.3888888888888864E-2</v>
      </c>
      <c r="CY27" s="156">
        <v>0</v>
      </c>
      <c r="CZ27" s="162">
        <v>72</v>
      </c>
      <c r="DA27" s="155">
        <v>0.44680851063829669</v>
      </c>
      <c r="DB27" s="156">
        <v>0.40425531914893625</v>
      </c>
      <c r="DC27" s="156">
        <v>0.14893617021276614</v>
      </c>
      <c r="DD27" s="156">
        <v>0</v>
      </c>
      <c r="DE27" s="156">
        <v>0</v>
      </c>
      <c r="DF27" s="162">
        <v>47</v>
      </c>
      <c r="DG27" s="155">
        <v>0.4705882352941172</v>
      </c>
      <c r="DH27" s="156">
        <v>0.32352941176470629</v>
      </c>
      <c r="DI27" s="156">
        <v>0.20588235294117607</v>
      </c>
      <c r="DJ27" s="156">
        <v>0</v>
      </c>
      <c r="DK27" s="156">
        <v>0</v>
      </c>
      <c r="DL27" s="162">
        <v>34</v>
      </c>
      <c r="DM27" s="155">
        <v>0.71428571428571475</v>
      </c>
      <c r="DN27" s="156">
        <v>0.21428571428571416</v>
      </c>
      <c r="DO27" s="156">
        <v>4.7619047619047644E-2</v>
      </c>
      <c r="DP27" s="156">
        <v>0</v>
      </c>
      <c r="DQ27" s="156">
        <v>2.3809523809523822E-2</v>
      </c>
      <c r="DR27" s="162">
        <v>42</v>
      </c>
      <c r="DS27" s="161">
        <v>0.79999999999999982</v>
      </c>
      <c r="DT27" s="156">
        <v>0.17499999999999996</v>
      </c>
      <c r="DU27" s="156">
        <v>0</v>
      </c>
      <c r="DV27" s="156">
        <v>2.4999999999999994E-2</v>
      </c>
      <c r="DW27" s="156">
        <v>0</v>
      </c>
      <c r="DX27" s="162">
        <v>40</v>
      </c>
      <c r="DY27" s="155">
        <v>0.9736842105263166</v>
      </c>
      <c r="DZ27" s="156">
        <v>1.7543859649122761E-2</v>
      </c>
      <c r="EA27" s="156">
        <v>8.7719298245613805E-3</v>
      </c>
      <c r="EB27" s="156">
        <v>0</v>
      </c>
      <c r="EC27" s="156">
        <v>0</v>
      </c>
      <c r="ED27" s="162">
        <v>114</v>
      </c>
      <c r="EE27" s="155">
        <v>0.80701754385964874</v>
      </c>
      <c r="EF27" s="156">
        <v>0.17543859649122834</v>
      </c>
      <c r="EG27" s="156">
        <v>1.7543859649122761E-2</v>
      </c>
      <c r="EH27" s="156">
        <v>0</v>
      </c>
      <c r="EI27" s="156">
        <v>0</v>
      </c>
      <c r="EJ27" s="162">
        <v>57</v>
      </c>
      <c r="EK27" s="155">
        <v>0.80392156862744923</v>
      </c>
      <c r="EL27" s="156">
        <v>0.13725490196078438</v>
      </c>
      <c r="EM27" s="156">
        <v>5.882352941176465E-2</v>
      </c>
      <c r="EN27" s="156">
        <v>0</v>
      </c>
      <c r="EO27" s="156">
        <v>0</v>
      </c>
      <c r="EP27" s="162">
        <v>51</v>
      </c>
      <c r="EQ27" s="155">
        <v>0.86</v>
      </c>
      <c r="ER27" s="156">
        <v>0.12999999999999998</v>
      </c>
      <c r="ES27" s="156">
        <v>0</v>
      </c>
      <c r="ET27" s="156">
        <v>9.9999999999999985E-3</v>
      </c>
      <c r="EU27" s="156">
        <v>0</v>
      </c>
      <c r="EV27" s="162">
        <v>100</v>
      </c>
      <c r="EW27" s="155">
        <v>0.86597938144330144</v>
      </c>
      <c r="EX27" s="156">
        <v>0.13402061855670122</v>
      </c>
      <c r="EY27" s="156">
        <v>0</v>
      </c>
      <c r="EZ27" s="156">
        <v>0</v>
      </c>
      <c r="FA27" s="156">
        <v>0</v>
      </c>
      <c r="FB27" s="162">
        <v>97</v>
      </c>
      <c r="FC27" s="155">
        <v>0.74999999999999989</v>
      </c>
      <c r="FD27" s="156">
        <v>0.12499999999999999</v>
      </c>
      <c r="FE27" s="156">
        <v>4.9999999999999989E-2</v>
      </c>
      <c r="FF27" s="156">
        <v>4.9999999999999989E-2</v>
      </c>
      <c r="FG27" s="156">
        <v>2.4999999999999994E-2</v>
      </c>
      <c r="FH27" s="162">
        <v>40</v>
      </c>
      <c r="FI27" s="161">
        <v>0.78048780487804847</v>
      </c>
      <c r="FJ27" s="156">
        <v>0.19512195121951209</v>
      </c>
      <c r="FK27" s="156">
        <v>2.4390243902439011E-2</v>
      </c>
      <c r="FL27" s="156">
        <v>0</v>
      </c>
      <c r="FM27" s="156">
        <v>0</v>
      </c>
      <c r="FN27" s="162">
        <v>41</v>
      </c>
      <c r="FO27" s="155">
        <v>0</v>
      </c>
      <c r="FP27" s="156">
        <v>0</v>
      </c>
      <c r="FQ27" s="156">
        <v>0</v>
      </c>
      <c r="FR27" s="156">
        <v>0</v>
      </c>
      <c r="FS27" s="156">
        <v>0</v>
      </c>
      <c r="FT27" s="162">
        <v>0</v>
      </c>
      <c r="FU27" s="155">
        <v>0</v>
      </c>
      <c r="FV27" s="156">
        <v>0</v>
      </c>
      <c r="FW27" s="156">
        <v>0</v>
      </c>
      <c r="FX27" s="156">
        <v>0</v>
      </c>
      <c r="FY27" s="156">
        <v>0</v>
      </c>
      <c r="FZ27" s="162">
        <v>0</v>
      </c>
      <c r="GA27" s="161">
        <v>0</v>
      </c>
      <c r="GB27" s="156">
        <v>0</v>
      </c>
      <c r="GC27" s="156">
        <v>0</v>
      </c>
      <c r="GD27" s="156">
        <v>0</v>
      </c>
      <c r="GE27" s="156">
        <v>0</v>
      </c>
      <c r="GF27" s="162">
        <v>0</v>
      </c>
      <c r="GG27" s="158">
        <v>9.5370370370370487</v>
      </c>
      <c r="GH27" s="162">
        <v>108</v>
      </c>
      <c r="GI27" s="155">
        <v>0.7179487179487184</v>
      </c>
      <c r="GJ27" s="156">
        <v>0.22222222222222182</v>
      </c>
      <c r="GK27" s="156">
        <v>5.9829059829059936E-2</v>
      </c>
      <c r="GL27" s="156">
        <v>0</v>
      </c>
      <c r="GM27" s="156">
        <v>0</v>
      </c>
      <c r="GN27" s="162">
        <v>117</v>
      </c>
      <c r="GO27" s="155">
        <v>0.74782608695652175</v>
      </c>
      <c r="GP27" s="156">
        <v>0.18260869565217411</v>
      </c>
      <c r="GQ27" s="156">
        <v>4.347826086956532E-2</v>
      </c>
      <c r="GR27" s="156">
        <v>5.2173913043478175E-2</v>
      </c>
      <c r="GS27" s="162">
        <v>115</v>
      </c>
      <c r="GT27" s="163">
        <v>3.5043478260869461</v>
      </c>
      <c r="GU27" s="162">
        <v>115</v>
      </c>
      <c r="GV27" s="155">
        <v>0.93749999999999989</v>
      </c>
      <c r="GW27" s="156">
        <v>6.2499999999999993E-2</v>
      </c>
      <c r="GX27" s="162">
        <v>32</v>
      </c>
      <c r="GY27" s="155">
        <v>0.94117647058823439</v>
      </c>
      <c r="GZ27" s="156">
        <v>5.882352941176465E-2</v>
      </c>
      <c r="HA27" s="162">
        <v>68</v>
      </c>
      <c r="HB27" s="155">
        <v>0.93</v>
      </c>
      <c r="HC27" s="156">
        <v>6.9999999999999993E-2</v>
      </c>
      <c r="HD27" s="162">
        <v>100</v>
      </c>
      <c r="HE27" s="161">
        <v>0.87301587301587213</v>
      </c>
      <c r="HF27" s="156">
        <v>0.12698412698412706</v>
      </c>
      <c r="HG27" s="162">
        <v>63</v>
      </c>
      <c r="HH27" s="155">
        <v>0.51886792452830299</v>
      </c>
      <c r="HI27" s="156">
        <v>0.48113207547169701</v>
      </c>
      <c r="HJ27" s="162">
        <v>106</v>
      </c>
      <c r="HK27" s="155">
        <v>1</v>
      </c>
      <c r="HL27" s="156">
        <v>0</v>
      </c>
      <c r="HM27" s="162">
        <v>101</v>
      </c>
      <c r="HN27" s="161">
        <v>0.10891089108910888</v>
      </c>
      <c r="HO27" s="156">
        <v>0.13861386138613854</v>
      </c>
      <c r="HP27" s="156">
        <v>0.3267326732673258</v>
      </c>
      <c r="HQ27" s="156">
        <v>0.29702970297029757</v>
      </c>
      <c r="HR27" s="156">
        <v>0.12871287128712841</v>
      </c>
      <c r="HS27" s="160">
        <v>55.811881188118662</v>
      </c>
      <c r="HT27" s="164">
        <v>101</v>
      </c>
      <c r="HU27" s="165">
        <v>1.2345679012345678E-2</v>
      </c>
      <c r="HV27" s="166">
        <v>3.7037037037037035E-2</v>
      </c>
      <c r="HW27" s="166">
        <v>2.4691358024691357E-2</v>
      </c>
      <c r="HX27" s="166">
        <v>0.13580246913580246</v>
      </c>
      <c r="HY27" s="166">
        <v>0.14814814814814814</v>
      </c>
      <c r="HZ27" s="166">
        <v>0.1111111111111111</v>
      </c>
      <c r="IA27" s="166">
        <v>0.18518518518518517</v>
      </c>
      <c r="IB27" s="166">
        <v>4.9382716049382713E-2</v>
      </c>
      <c r="IC27" s="166">
        <v>0.18518518518518517</v>
      </c>
      <c r="ID27" s="166">
        <v>0.1111111111111111</v>
      </c>
      <c r="IE27" s="167">
        <v>81</v>
      </c>
      <c r="IF27" s="155">
        <v>0</v>
      </c>
      <c r="IG27" s="156">
        <v>0</v>
      </c>
      <c r="IH27" s="156">
        <v>0</v>
      </c>
      <c r="II27" s="156">
        <v>0</v>
      </c>
      <c r="IJ27" s="156">
        <v>1</v>
      </c>
      <c r="IK27" s="162">
        <v>2</v>
      </c>
      <c r="IL27" s="155">
        <v>0</v>
      </c>
      <c r="IM27" s="156">
        <v>9.70873786407765E-3</v>
      </c>
      <c r="IN27" s="156">
        <v>1.94174757281553E-2</v>
      </c>
      <c r="IO27" s="156">
        <v>0.97087378640776778</v>
      </c>
      <c r="IP27" s="156">
        <v>0</v>
      </c>
      <c r="IQ27" s="162">
        <v>103</v>
      </c>
      <c r="IR27" s="155">
        <v>0.12380952380952356</v>
      </c>
      <c r="IS27" s="156">
        <v>0.87619047619047696</v>
      </c>
      <c r="IT27" s="162">
        <v>105</v>
      </c>
      <c r="IU27" s="161">
        <v>0</v>
      </c>
      <c r="IV27" s="156">
        <v>0.18181818181818182</v>
      </c>
      <c r="IW27" s="156">
        <v>0.8181818181818179</v>
      </c>
      <c r="IX27" s="162">
        <v>11</v>
      </c>
    </row>
    <row r="28" spans="1:258" ht="32.1" customHeight="1" x14ac:dyDescent="0.25">
      <c r="A28" s="110" t="s">
        <v>453</v>
      </c>
      <c r="B28" s="108" t="s">
        <v>578</v>
      </c>
      <c r="C28" s="108" t="s">
        <v>454</v>
      </c>
      <c r="D28" s="109">
        <v>55</v>
      </c>
      <c r="E28" s="139" t="s">
        <v>478</v>
      </c>
      <c r="F28" s="155">
        <v>0.11428571428571437</v>
      </c>
      <c r="G28" s="156">
        <v>0.88571428571428501</v>
      </c>
      <c r="H28" s="157">
        <v>70</v>
      </c>
      <c r="I28" s="155">
        <v>0.82258064516128881</v>
      </c>
      <c r="J28" s="156">
        <v>0.17741935483870969</v>
      </c>
      <c r="K28" s="157">
        <v>62</v>
      </c>
      <c r="L28" s="155">
        <v>0.62745098039215608</v>
      </c>
      <c r="M28" s="156">
        <v>0.37254901960784303</v>
      </c>
      <c r="N28" s="157">
        <v>51</v>
      </c>
      <c r="O28" s="155">
        <v>0.35714285714285737</v>
      </c>
      <c r="P28" s="156">
        <v>0.14285714285714252</v>
      </c>
      <c r="Q28" s="156">
        <v>0.3857142857142859</v>
      </c>
      <c r="R28" s="156">
        <v>1.4285714285714259E-2</v>
      </c>
      <c r="S28" s="156">
        <v>0.28571428571428503</v>
      </c>
      <c r="T28" s="156">
        <v>0</v>
      </c>
      <c r="U28" s="156">
        <v>1.4285714285714259E-2</v>
      </c>
      <c r="V28" s="156">
        <v>0.14285714285714252</v>
      </c>
      <c r="W28" s="156">
        <v>8.5714285714285632E-2</v>
      </c>
      <c r="X28" s="156">
        <v>5.7142857142857037E-2</v>
      </c>
      <c r="Y28" s="157">
        <v>70</v>
      </c>
      <c r="Z28" s="155">
        <v>0.76190476190476086</v>
      </c>
      <c r="AA28" s="156">
        <v>0.60317460317460303</v>
      </c>
      <c r="AB28" s="156">
        <v>0.61904761904761985</v>
      </c>
      <c r="AC28" s="156">
        <v>0.73015873015872934</v>
      </c>
      <c r="AD28" s="156">
        <v>0.14285714285714252</v>
      </c>
      <c r="AE28" s="156">
        <v>0.15873015873015833</v>
      </c>
      <c r="AF28" s="157">
        <v>63</v>
      </c>
      <c r="AG28" s="158">
        <v>9.6805555555555465</v>
      </c>
      <c r="AH28" s="159">
        <v>72</v>
      </c>
      <c r="AI28" s="160">
        <v>9.8055555555555465</v>
      </c>
      <c r="AJ28" s="159">
        <v>72</v>
      </c>
      <c r="AK28" s="160">
        <v>9.7142857142857046</v>
      </c>
      <c r="AL28" s="157">
        <v>70</v>
      </c>
      <c r="AM28" s="155">
        <v>0.59999999999999987</v>
      </c>
      <c r="AN28" s="156">
        <v>0.38571428571428484</v>
      </c>
      <c r="AO28" s="156">
        <v>1.4285714285714296E-2</v>
      </c>
      <c r="AP28" s="156">
        <v>0</v>
      </c>
      <c r="AQ28" s="156">
        <v>0</v>
      </c>
      <c r="AR28" s="157">
        <v>70</v>
      </c>
      <c r="AS28" s="155">
        <v>0.84507042253520992</v>
      </c>
      <c r="AT28" s="156">
        <v>0.15492957746478855</v>
      </c>
      <c r="AU28" s="156">
        <v>0</v>
      </c>
      <c r="AV28" s="156">
        <v>0</v>
      </c>
      <c r="AW28" s="156">
        <v>0</v>
      </c>
      <c r="AX28" s="157">
        <v>71</v>
      </c>
      <c r="AY28" s="155">
        <v>0.72222222222222276</v>
      </c>
      <c r="AZ28" s="156">
        <v>0.24999999999999992</v>
      </c>
      <c r="BA28" s="156">
        <v>2.7777777777777731E-2</v>
      </c>
      <c r="BB28" s="156">
        <v>0</v>
      </c>
      <c r="BC28" s="156">
        <v>0</v>
      </c>
      <c r="BD28" s="157">
        <v>72</v>
      </c>
      <c r="BE28" s="155">
        <v>0.80555555555555625</v>
      </c>
      <c r="BF28" s="156">
        <v>0.18055555555555519</v>
      </c>
      <c r="BG28" s="156">
        <v>1.3888888888888866E-2</v>
      </c>
      <c r="BH28" s="156">
        <v>0</v>
      </c>
      <c r="BI28" s="156">
        <v>0</v>
      </c>
      <c r="BJ28" s="157">
        <v>72</v>
      </c>
      <c r="BK28" s="155">
        <v>0.74285714285714333</v>
      </c>
      <c r="BL28" s="156">
        <v>0.22857142857142873</v>
      </c>
      <c r="BM28" s="156">
        <v>1.4285714285714296E-2</v>
      </c>
      <c r="BN28" s="156">
        <v>1.4285714285714296E-2</v>
      </c>
      <c r="BO28" s="156">
        <v>0</v>
      </c>
      <c r="BP28" s="157">
        <v>70</v>
      </c>
      <c r="BQ28" s="155">
        <v>0.86111111111111238</v>
      </c>
      <c r="BR28" s="156">
        <v>0.11111111111111092</v>
      </c>
      <c r="BS28" s="156">
        <v>1.3888888888888866E-2</v>
      </c>
      <c r="BT28" s="156">
        <v>1.3888888888888866E-2</v>
      </c>
      <c r="BU28" s="156">
        <v>0</v>
      </c>
      <c r="BV28" s="157">
        <v>72</v>
      </c>
      <c r="BW28" s="161">
        <v>0.72881355932203395</v>
      </c>
      <c r="BX28" s="156">
        <v>0.23728813559321973</v>
      </c>
      <c r="BY28" s="156">
        <v>0</v>
      </c>
      <c r="BZ28" s="156">
        <v>3.3898305084745742E-2</v>
      </c>
      <c r="CA28" s="156">
        <v>0</v>
      </c>
      <c r="CB28" s="157">
        <v>59</v>
      </c>
      <c r="CC28" s="155">
        <v>0.90909090909090962</v>
      </c>
      <c r="CD28" s="156">
        <v>9.0909090909090884E-2</v>
      </c>
      <c r="CE28" s="156">
        <v>0</v>
      </c>
      <c r="CF28" s="156">
        <v>0</v>
      </c>
      <c r="CG28" s="156">
        <v>0</v>
      </c>
      <c r="CH28" s="162">
        <v>11</v>
      </c>
      <c r="CI28" s="155">
        <v>0.6</v>
      </c>
      <c r="CJ28" s="156">
        <v>0.4</v>
      </c>
      <c r="CK28" s="156">
        <v>0</v>
      </c>
      <c r="CL28" s="156">
        <v>0</v>
      </c>
      <c r="CM28" s="156">
        <v>0</v>
      </c>
      <c r="CN28" s="162">
        <v>10</v>
      </c>
      <c r="CO28" s="155">
        <v>0.39024390243902407</v>
      </c>
      <c r="CP28" s="156">
        <v>0.48780487804878109</v>
      </c>
      <c r="CQ28" s="156">
        <v>4.878048780487803E-2</v>
      </c>
      <c r="CR28" s="156">
        <v>4.878048780487803E-2</v>
      </c>
      <c r="CS28" s="156">
        <v>2.4390243902439015E-2</v>
      </c>
      <c r="CT28" s="162">
        <v>41</v>
      </c>
      <c r="CU28" s="155">
        <v>0.44186046511627874</v>
      </c>
      <c r="CV28" s="156">
        <v>0.51162790697674476</v>
      </c>
      <c r="CW28" s="156">
        <v>4.6511627906976764E-2</v>
      </c>
      <c r="CX28" s="156">
        <v>0</v>
      </c>
      <c r="CY28" s="156">
        <v>0</v>
      </c>
      <c r="CZ28" s="162">
        <v>43</v>
      </c>
      <c r="DA28" s="155">
        <v>0.56250000000000011</v>
      </c>
      <c r="DB28" s="156">
        <v>0.43750000000000006</v>
      </c>
      <c r="DC28" s="156">
        <v>0</v>
      </c>
      <c r="DD28" s="156">
        <v>0</v>
      </c>
      <c r="DE28" s="156">
        <v>0</v>
      </c>
      <c r="DF28" s="162">
        <v>16</v>
      </c>
      <c r="DG28" s="155">
        <v>0.54545454545454508</v>
      </c>
      <c r="DH28" s="156">
        <v>0.36363636363636354</v>
      </c>
      <c r="DI28" s="156">
        <v>0</v>
      </c>
      <c r="DJ28" s="156">
        <v>9.0909090909090884E-2</v>
      </c>
      <c r="DK28" s="156">
        <v>0</v>
      </c>
      <c r="DL28" s="162">
        <v>11</v>
      </c>
      <c r="DM28" s="155">
        <v>0.60869565217391353</v>
      </c>
      <c r="DN28" s="156">
        <v>0.30434782608695676</v>
      </c>
      <c r="DO28" s="156">
        <v>0</v>
      </c>
      <c r="DP28" s="156">
        <v>4.3478260869565209E-2</v>
      </c>
      <c r="DQ28" s="156">
        <v>4.3478260869565209E-2</v>
      </c>
      <c r="DR28" s="162">
        <v>23</v>
      </c>
      <c r="DS28" s="161">
        <v>0.78947368421052544</v>
      </c>
      <c r="DT28" s="156">
        <v>0.21052631578947356</v>
      </c>
      <c r="DU28" s="156">
        <v>0</v>
      </c>
      <c r="DV28" s="156">
        <v>0</v>
      </c>
      <c r="DW28" s="156">
        <v>0</v>
      </c>
      <c r="DX28" s="162">
        <v>19</v>
      </c>
      <c r="DY28" s="155">
        <v>0.82857142857142874</v>
      </c>
      <c r="DZ28" s="156">
        <v>0.15714285714285695</v>
      </c>
      <c r="EA28" s="156">
        <v>1.4285714285714296E-2</v>
      </c>
      <c r="EB28" s="156">
        <v>0</v>
      </c>
      <c r="EC28" s="156">
        <v>0</v>
      </c>
      <c r="ED28" s="162">
        <v>70</v>
      </c>
      <c r="EE28" s="155">
        <v>0.51999999999999991</v>
      </c>
      <c r="EF28" s="156">
        <v>0.47999999999999993</v>
      </c>
      <c r="EG28" s="156">
        <v>0</v>
      </c>
      <c r="EH28" s="156">
        <v>0</v>
      </c>
      <c r="EI28" s="156">
        <v>0</v>
      </c>
      <c r="EJ28" s="162">
        <v>25</v>
      </c>
      <c r="EK28" s="155">
        <v>0.77777777777777701</v>
      </c>
      <c r="EL28" s="156">
        <v>0.22222222222222229</v>
      </c>
      <c r="EM28" s="156">
        <v>0</v>
      </c>
      <c r="EN28" s="156">
        <v>0</v>
      </c>
      <c r="EO28" s="156">
        <v>0</v>
      </c>
      <c r="EP28" s="162">
        <v>18</v>
      </c>
      <c r="EQ28" s="155">
        <v>0.79661016949152397</v>
      </c>
      <c r="ER28" s="156">
        <v>0.16949152542372853</v>
      </c>
      <c r="ES28" s="156">
        <v>1.6949152542372871E-2</v>
      </c>
      <c r="ET28" s="156">
        <v>1.6949152542372871E-2</v>
      </c>
      <c r="EU28" s="156">
        <v>0</v>
      </c>
      <c r="EV28" s="162">
        <v>59</v>
      </c>
      <c r="EW28" s="155">
        <v>0.88709677419354871</v>
      </c>
      <c r="EX28" s="156">
        <v>9.6774193548386955E-2</v>
      </c>
      <c r="EY28" s="156">
        <v>1.6129032258064491E-2</v>
      </c>
      <c r="EZ28" s="156">
        <v>0</v>
      </c>
      <c r="FA28" s="156">
        <v>0</v>
      </c>
      <c r="FB28" s="162">
        <v>62</v>
      </c>
      <c r="FC28" s="155">
        <v>0.57894736842105332</v>
      </c>
      <c r="FD28" s="156">
        <v>0.42105263157894712</v>
      </c>
      <c r="FE28" s="156">
        <v>0</v>
      </c>
      <c r="FF28" s="156">
        <v>0</v>
      </c>
      <c r="FG28" s="156">
        <v>0</v>
      </c>
      <c r="FH28" s="162">
        <v>19</v>
      </c>
      <c r="FI28" s="161">
        <v>0.66666666666666652</v>
      </c>
      <c r="FJ28" s="156">
        <v>0.33333333333333326</v>
      </c>
      <c r="FK28" s="156">
        <v>0</v>
      </c>
      <c r="FL28" s="156">
        <v>0</v>
      </c>
      <c r="FM28" s="156">
        <v>0</v>
      </c>
      <c r="FN28" s="162">
        <v>6</v>
      </c>
      <c r="FO28" s="155">
        <v>0</v>
      </c>
      <c r="FP28" s="156">
        <v>0</v>
      </c>
      <c r="FQ28" s="156">
        <v>0</v>
      </c>
      <c r="FR28" s="156">
        <v>0</v>
      </c>
      <c r="FS28" s="156">
        <v>0</v>
      </c>
      <c r="FT28" s="162">
        <v>0</v>
      </c>
      <c r="FU28" s="155">
        <v>0</v>
      </c>
      <c r="FV28" s="156">
        <v>0</v>
      </c>
      <c r="FW28" s="156">
        <v>0</v>
      </c>
      <c r="FX28" s="156">
        <v>0</v>
      </c>
      <c r="FY28" s="156">
        <v>0</v>
      </c>
      <c r="FZ28" s="162">
        <v>0</v>
      </c>
      <c r="GA28" s="161">
        <v>0</v>
      </c>
      <c r="GB28" s="156">
        <v>0</v>
      </c>
      <c r="GC28" s="156">
        <v>0</v>
      </c>
      <c r="GD28" s="156">
        <v>0</v>
      </c>
      <c r="GE28" s="156">
        <v>0</v>
      </c>
      <c r="GF28" s="162">
        <v>0</v>
      </c>
      <c r="GG28" s="158">
        <v>9.4843750000000018</v>
      </c>
      <c r="GH28" s="162">
        <v>64</v>
      </c>
      <c r="GI28" s="155">
        <v>0.52777777777777801</v>
      </c>
      <c r="GJ28" s="156">
        <v>0.36111111111111138</v>
      </c>
      <c r="GK28" s="156">
        <v>9.7222222222222085E-2</v>
      </c>
      <c r="GL28" s="156">
        <v>0</v>
      </c>
      <c r="GM28" s="156">
        <v>1.3888888888888866E-2</v>
      </c>
      <c r="GN28" s="162">
        <v>72</v>
      </c>
      <c r="GO28" s="155">
        <v>0.66197183098591461</v>
      </c>
      <c r="GP28" s="156">
        <v>0.29577464788732388</v>
      </c>
      <c r="GQ28" s="156">
        <v>7.0422535211267609E-2</v>
      </c>
      <c r="GR28" s="156">
        <v>2.8169014084507012E-2</v>
      </c>
      <c r="GS28" s="162">
        <v>71</v>
      </c>
      <c r="GT28" s="163">
        <v>4.2777777777777732</v>
      </c>
      <c r="GU28" s="162">
        <v>72</v>
      </c>
      <c r="GV28" s="155">
        <v>0.87999999999999989</v>
      </c>
      <c r="GW28" s="156">
        <v>0.12</v>
      </c>
      <c r="GX28" s="162">
        <v>25</v>
      </c>
      <c r="GY28" s="155">
        <v>0.94999999999999984</v>
      </c>
      <c r="GZ28" s="156">
        <v>4.9999999999999989E-2</v>
      </c>
      <c r="HA28" s="162">
        <v>40</v>
      </c>
      <c r="HB28" s="155">
        <v>0.96491228070175505</v>
      </c>
      <c r="HC28" s="156">
        <v>3.5087719298245543E-2</v>
      </c>
      <c r="HD28" s="162">
        <v>57</v>
      </c>
      <c r="HE28" s="161">
        <v>0.91304347826086985</v>
      </c>
      <c r="HF28" s="156">
        <v>8.6956521739130391E-2</v>
      </c>
      <c r="HG28" s="162">
        <v>46</v>
      </c>
      <c r="HH28" s="155">
        <v>0.537313432835821</v>
      </c>
      <c r="HI28" s="156">
        <v>0.46268656716417839</v>
      </c>
      <c r="HJ28" s="162">
        <v>67</v>
      </c>
      <c r="HK28" s="155">
        <v>0.96923076923077078</v>
      </c>
      <c r="HL28" s="156">
        <v>3.0769230769230722E-2</v>
      </c>
      <c r="HM28" s="162">
        <v>65</v>
      </c>
      <c r="HN28" s="161">
        <v>6.2499999999999993E-2</v>
      </c>
      <c r="HO28" s="156">
        <v>0.14062499999999997</v>
      </c>
      <c r="HP28" s="156">
        <v>0.32812499999999994</v>
      </c>
      <c r="HQ28" s="156">
        <v>0.37499999999999994</v>
      </c>
      <c r="HR28" s="156">
        <v>9.3749999999999986E-2</v>
      </c>
      <c r="HS28" s="160">
        <v>58.515624999999986</v>
      </c>
      <c r="HT28" s="164">
        <v>64</v>
      </c>
      <c r="HU28" s="165">
        <v>6.8965517241379309E-2</v>
      </c>
      <c r="HV28" s="166">
        <v>5.1724137931034482E-2</v>
      </c>
      <c r="HW28" s="166">
        <v>3.4482758620689655E-2</v>
      </c>
      <c r="HX28" s="166">
        <v>8.6206896551724144E-2</v>
      </c>
      <c r="HY28" s="166">
        <v>3.4482758620689655E-2</v>
      </c>
      <c r="HZ28" s="166">
        <v>0.10344827586206896</v>
      </c>
      <c r="IA28" s="166">
        <v>0.22413793103448276</v>
      </c>
      <c r="IB28" s="166">
        <v>0.15517241379310345</v>
      </c>
      <c r="IC28" s="166">
        <v>0.13793103448275862</v>
      </c>
      <c r="ID28" s="166">
        <v>0.10344827586206896</v>
      </c>
      <c r="IE28" s="167">
        <v>58</v>
      </c>
      <c r="IF28" s="155">
        <v>0</v>
      </c>
      <c r="IG28" s="156">
        <v>0</v>
      </c>
      <c r="IH28" s="156">
        <v>0.25</v>
      </c>
      <c r="II28" s="156">
        <v>0.25</v>
      </c>
      <c r="IJ28" s="156">
        <v>0.5</v>
      </c>
      <c r="IK28" s="162">
        <v>4</v>
      </c>
      <c r="IL28" s="155">
        <v>1.5151515151515152E-2</v>
      </c>
      <c r="IM28" s="156">
        <v>0</v>
      </c>
      <c r="IN28" s="156">
        <v>1.5151515151515152E-2</v>
      </c>
      <c r="IO28" s="156">
        <v>0.96969696969696983</v>
      </c>
      <c r="IP28" s="156">
        <v>0</v>
      </c>
      <c r="IQ28" s="162">
        <v>66</v>
      </c>
      <c r="IR28" s="155">
        <v>0.13235294117647065</v>
      </c>
      <c r="IS28" s="156">
        <v>0.86764705882353088</v>
      </c>
      <c r="IT28" s="162">
        <v>68</v>
      </c>
      <c r="IU28" s="161">
        <v>0</v>
      </c>
      <c r="IV28" s="156">
        <v>0</v>
      </c>
      <c r="IW28" s="156">
        <v>1</v>
      </c>
      <c r="IX28" s="162">
        <v>9</v>
      </c>
    </row>
    <row r="29" spans="1:258" ht="32.1" customHeight="1" x14ac:dyDescent="0.25">
      <c r="A29" s="110" t="s">
        <v>453</v>
      </c>
      <c r="B29" s="108" t="s">
        <v>582</v>
      </c>
      <c r="C29" s="108" t="s">
        <v>454</v>
      </c>
      <c r="D29" s="109">
        <v>56</v>
      </c>
      <c r="E29" s="139" t="s">
        <v>479</v>
      </c>
      <c r="F29" s="155">
        <v>0.1515151515151516</v>
      </c>
      <c r="G29" s="156">
        <v>0.84848484848484884</v>
      </c>
      <c r="H29" s="157">
        <v>33</v>
      </c>
      <c r="I29" s="155">
        <v>0.92592592592592593</v>
      </c>
      <c r="J29" s="156">
        <v>7.4074074074074167E-2</v>
      </c>
      <c r="K29" s="157">
        <v>27</v>
      </c>
      <c r="L29" s="155">
        <v>0.7826086956521745</v>
      </c>
      <c r="M29" s="156">
        <v>0.21739130434782619</v>
      </c>
      <c r="N29" s="157">
        <v>23</v>
      </c>
      <c r="O29" s="155">
        <v>0.12195121951219523</v>
      </c>
      <c r="P29" s="156">
        <v>0.19512195121951237</v>
      </c>
      <c r="Q29" s="156">
        <v>0.41463414634146328</v>
      </c>
      <c r="R29" s="156">
        <v>7.3170731707317124E-2</v>
      </c>
      <c r="S29" s="156">
        <v>0.41463414634146328</v>
      </c>
      <c r="T29" s="156">
        <v>0.14634146341463428</v>
      </c>
      <c r="U29" s="156">
        <v>4.8780487804878092E-2</v>
      </c>
      <c r="V29" s="156">
        <v>0.14634146341463428</v>
      </c>
      <c r="W29" s="156">
        <v>9.7560975609756184E-2</v>
      </c>
      <c r="X29" s="156">
        <v>0.17073170731707332</v>
      </c>
      <c r="Y29" s="157">
        <v>41</v>
      </c>
      <c r="Z29" s="155">
        <v>0.71428571428571508</v>
      </c>
      <c r="AA29" s="156">
        <v>0.28571428571428603</v>
      </c>
      <c r="AB29" s="156">
        <v>0.3428571428571433</v>
      </c>
      <c r="AC29" s="156">
        <v>0.48571428571428632</v>
      </c>
      <c r="AD29" s="156">
        <v>2.8571428571428605E-2</v>
      </c>
      <c r="AE29" s="156">
        <v>0.2571428571428574</v>
      </c>
      <c r="AF29" s="157">
        <v>35</v>
      </c>
      <c r="AG29" s="158">
        <v>9.5806451612903221</v>
      </c>
      <c r="AH29" s="159">
        <v>31</v>
      </c>
      <c r="AI29" s="160">
        <v>9.7179487179487278</v>
      </c>
      <c r="AJ29" s="159">
        <v>39</v>
      </c>
      <c r="AK29" s="160">
        <v>9.8421052631579062</v>
      </c>
      <c r="AL29" s="157">
        <v>19</v>
      </c>
      <c r="AM29" s="155">
        <v>0.65217391304347938</v>
      </c>
      <c r="AN29" s="156">
        <v>0.34782608695652223</v>
      </c>
      <c r="AO29" s="156">
        <v>0</v>
      </c>
      <c r="AP29" s="156">
        <v>0</v>
      </c>
      <c r="AQ29" s="156">
        <v>0</v>
      </c>
      <c r="AR29" s="157">
        <v>23</v>
      </c>
      <c r="AS29" s="155">
        <v>0.85000000000000009</v>
      </c>
      <c r="AT29" s="156">
        <v>0.10000000000000003</v>
      </c>
      <c r="AU29" s="156">
        <v>0</v>
      </c>
      <c r="AV29" s="156">
        <v>5.0000000000000017E-2</v>
      </c>
      <c r="AW29" s="156">
        <v>0</v>
      </c>
      <c r="AX29" s="157">
        <v>40</v>
      </c>
      <c r="AY29" s="155">
        <v>0.72222222222222188</v>
      </c>
      <c r="AZ29" s="156">
        <v>0.19444444444444461</v>
      </c>
      <c r="BA29" s="156">
        <v>5.5555555555555643E-2</v>
      </c>
      <c r="BB29" s="156">
        <v>2.7777777777777821E-2</v>
      </c>
      <c r="BC29" s="156">
        <v>0</v>
      </c>
      <c r="BD29" s="157">
        <v>36</v>
      </c>
      <c r="BE29" s="155">
        <v>0.78571428571428537</v>
      </c>
      <c r="BF29" s="156">
        <v>0.14285714285714296</v>
      </c>
      <c r="BG29" s="156">
        <v>4.7619047619047616E-2</v>
      </c>
      <c r="BH29" s="156">
        <v>0</v>
      </c>
      <c r="BI29" s="156">
        <v>2.3809523809523808E-2</v>
      </c>
      <c r="BJ29" s="157">
        <v>42</v>
      </c>
      <c r="BK29" s="155">
        <v>0.77142857142857213</v>
      </c>
      <c r="BL29" s="156">
        <v>0.20000000000000007</v>
      </c>
      <c r="BM29" s="156">
        <v>2.8571428571428609E-2</v>
      </c>
      <c r="BN29" s="156">
        <v>0</v>
      </c>
      <c r="BO29" s="156">
        <v>0</v>
      </c>
      <c r="BP29" s="157">
        <v>35</v>
      </c>
      <c r="BQ29" s="155">
        <v>0.92857142857142771</v>
      </c>
      <c r="BR29" s="156">
        <v>7.142857142857148E-2</v>
      </c>
      <c r="BS29" s="156">
        <v>0</v>
      </c>
      <c r="BT29" s="156">
        <v>0</v>
      </c>
      <c r="BU29" s="156">
        <v>0</v>
      </c>
      <c r="BV29" s="157">
        <v>42</v>
      </c>
      <c r="BW29" s="161">
        <v>1</v>
      </c>
      <c r="BX29" s="156">
        <v>0</v>
      </c>
      <c r="BY29" s="156">
        <v>0</v>
      </c>
      <c r="BZ29" s="156">
        <v>0</v>
      </c>
      <c r="CA29" s="156">
        <v>0</v>
      </c>
      <c r="CB29" s="157">
        <v>2</v>
      </c>
      <c r="CC29" s="155">
        <v>0.90909090909090962</v>
      </c>
      <c r="CD29" s="156">
        <v>9.0909090909091037E-2</v>
      </c>
      <c r="CE29" s="156">
        <v>0</v>
      </c>
      <c r="CF29" s="156">
        <v>0</v>
      </c>
      <c r="CG29" s="156">
        <v>0</v>
      </c>
      <c r="CH29" s="162">
        <v>22</v>
      </c>
      <c r="CI29" s="155">
        <v>0.77272727272727348</v>
      </c>
      <c r="CJ29" s="156">
        <v>0.18181818181818207</v>
      </c>
      <c r="CK29" s="156">
        <v>4.5454545454545518E-2</v>
      </c>
      <c r="CL29" s="156">
        <v>0</v>
      </c>
      <c r="CM29" s="156">
        <v>0</v>
      </c>
      <c r="CN29" s="162">
        <v>22</v>
      </c>
      <c r="CO29" s="155">
        <v>0.61904761904761929</v>
      </c>
      <c r="CP29" s="156">
        <v>0.38095238095238088</v>
      </c>
      <c r="CQ29" s="156">
        <v>0</v>
      </c>
      <c r="CR29" s="156">
        <v>0</v>
      </c>
      <c r="CS29" s="156">
        <v>0</v>
      </c>
      <c r="CT29" s="162">
        <v>21</v>
      </c>
      <c r="CU29" s="155">
        <v>0.52</v>
      </c>
      <c r="CV29" s="156">
        <v>0.40000000000000008</v>
      </c>
      <c r="CW29" s="156">
        <v>4.0000000000000008E-2</v>
      </c>
      <c r="CX29" s="156">
        <v>4.0000000000000008E-2</v>
      </c>
      <c r="CY29" s="156">
        <v>0</v>
      </c>
      <c r="CZ29" s="162">
        <v>25</v>
      </c>
      <c r="DA29" s="155">
        <v>0.63636363636363635</v>
      </c>
      <c r="DB29" s="156">
        <v>0.18181818181818166</v>
      </c>
      <c r="DC29" s="156">
        <v>0.18181818181818166</v>
      </c>
      <c r="DD29" s="156">
        <v>0</v>
      </c>
      <c r="DE29" s="156">
        <v>0</v>
      </c>
      <c r="DF29" s="162">
        <v>11</v>
      </c>
      <c r="DG29" s="155">
        <v>0.73333333333333373</v>
      </c>
      <c r="DH29" s="156">
        <v>0.13333333333333333</v>
      </c>
      <c r="DI29" s="156">
        <v>0.13333333333333333</v>
      </c>
      <c r="DJ29" s="156">
        <v>0</v>
      </c>
      <c r="DK29" s="156">
        <v>0</v>
      </c>
      <c r="DL29" s="162">
        <v>15</v>
      </c>
      <c r="DM29" s="155">
        <v>0.72727272727272663</v>
      </c>
      <c r="DN29" s="156">
        <v>0.18181818181818166</v>
      </c>
      <c r="DO29" s="156">
        <v>0</v>
      </c>
      <c r="DP29" s="156">
        <v>9.0909090909090828E-2</v>
      </c>
      <c r="DQ29" s="156">
        <v>0</v>
      </c>
      <c r="DR29" s="162">
        <v>11</v>
      </c>
      <c r="DS29" s="161">
        <v>0.85714285714285765</v>
      </c>
      <c r="DT29" s="156">
        <v>0.1428571428571429</v>
      </c>
      <c r="DU29" s="156">
        <v>0</v>
      </c>
      <c r="DV29" s="156">
        <v>0</v>
      </c>
      <c r="DW29" s="156">
        <v>0</v>
      </c>
      <c r="DX29" s="162">
        <v>14</v>
      </c>
      <c r="DY29" s="155">
        <v>0.90909090909090962</v>
      </c>
      <c r="DZ29" s="156">
        <v>9.0909090909091037E-2</v>
      </c>
      <c r="EA29" s="156">
        <v>0</v>
      </c>
      <c r="EB29" s="156">
        <v>0</v>
      </c>
      <c r="EC29" s="156">
        <v>0</v>
      </c>
      <c r="ED29" s="162">
        <v>33</v>
      </c>
      <c r="EE29" s="155">
        <v>0.58620689655172509</v>
      </c>
      <c r="EF29" s="156">
        <v>0.34482758620689696</v>
      </c>
      <c r="EG29" s="156">
        <v>0</v>
      </c>
      <c r="EH29" s="156">
        <v>6.8965517241379337E-2</v>
      </c>
      <c r="EI29" s="156">
        <v>0</v>
      </c>
      <c r="EJ29" s="162">
        <v>29</v>
      </c>
      <c r="EK29" s="155">
        <v>0.61904761904761929</v>
      </c>
      <c r="EL29" s="156">
        <v>0.33333333333333326</v>
      </c>
      <c r="EM29" s="156">
        <v>4.7619047619047609E-2</v>
      </c>
      <c r="EN29" s="156">
        <v>0</v>
      </c>
      <c r="EO29" s="156">
        <v>0</v>
      </c>
      <c r="EP29" s="162">
        <v>21</v>
      </c>
      <c r="EQ29" s="155">
        <v>0.83333333333333381</v>
      </c>
      <c r="ER29" s="156">
        <v>0.16666666666666669</v>
      </c>
      <c r="ES29" s="156">
        <v>0</v>
      </c>
      <c r="ET29" s="156">
        <v>0</v>
      </c>
      <c r="EU29" s="156">
        <v>0</v>
      </c>
      <c r="EV29" s="162">
        <v>36</v>
      </c>
      <c r="EW29" s="155">
        <v>0.93548387096774166</v>
      </c>
      <c r="EX29" s="156">
        <v>6.4516129032258132E-2</v>
      </c>
      <c r="EY29" s="156">
        <v>0</v>
      </c>
      <c r="EZ29" s="156">
        <v>0</v>
      </c>
      <c r="FA29" s="156">
        <v>0</v>
      </c>
      <c r="FB29" s="162">
        <v>31</v>
      </c>
      <c r="FC29" s="155">
        <v>0.77272727272727348</v>
      </c>
      <c r="FD29" s="156">
        <v>0.13636363636363635</v>
      </c>
      <c r="FE29" s="156">
        <v>9.0909090909091037E-2</v>
      </c>
      <c r="FF29" s="156">
        <v>0</v>
      </c>
      <c r="FG29" s="156">
        <v>0</v>
      </c>
      <c r="FH29" s="162">
        <v>22</v>
      </c>
      <c r="FI29" s="161">
        <v>1</v>
      </c>
      <c r="FJ29" s="156">
        <v>0</v>
      </c>
      <c r="FK29" s="156">
        <v>0</v>
      </c>
      <c r="FL29" s="156">
        <v>0</v>
      </c>
      <c r="FM29" s="156">
        <v>0</v>
      </c>
      <c r="FN29" s="162">
        <v>9</v>
      </c>
      <c r="FO29" s="155">
        <v>0</v>
      </c>
      <c r="FP29" s="156">
        <v>0</v>
      </c>
      <c r="FQ29" s="156">
        <v>0</v>
      </c>
      <c r="FR29" s="156">
        <v>0</v>
      </c>
      <c r="FS29" s="156">
        <v>0</v>
      </c>
      <c r="FT29" s="162">
        <v>0</v>
      </c>
      <c r="FU29" s="155">
        <v>0</v>
      </c>
      <c r="FV29" s="156">
        <v>0</v>
      </c>
      <c r="FW29" s="156">
        <v>0</v>
      </c>
      <c r="FX29" s="156">
        <v>0</v>
      </c>
      <c r="FY29" s="156">
        <v>0</v>
      </c>
      <c r="FZ29" s="162">
        <v>0</v>
      </c>
      <c r="GA29" s="161">
        <v>0</v>
      </c>
      <c r="GB29" s="156">
        <v>0</v>
      </c>
      <c r="GC29" s="156">
        <v>0</v>
      </c>
      <c r="GD29" s="156">
        <v>0</v>
      </c>
      <c r="GE29" s="156">
        <v>0</v>
      </c>
      <c r="GF29" s="162">
        <v>0</v>
      </c>
      <c r="GG29" s="158">
        <v>9.4166666666666803</v>
      </c>
      <c r="GH29" s="162">
        <v>36</v>
      </c>
      <c r="GI29" s="155">
        <v>0.75609756097560921</v>
      </c>
      <c r="GJ29" s="156">
        <v>0.12195121951219517</v>
      </c>
      <c r="GK29" s="156">
        <v>9.7560975609756101E-2</v>
      </c>
      <c r="GL29" s="156">
        <v>0</v>
      </c>
      <c r="GM29" s="156">
        <v>2.4390243902439025E-2</v>
      </c>
      <c r="GN29" s="162">
        <v>41</v>
      </c>
      <c r="GO29" s="155">
        <v>0.45000000000000046</v>
      </c>
      <c r="GP29" s="156">
        <v>0.35000000000000003</v>
      </c>
      <c r="GQ29" s="156">
        <v>7.500000000000008E-2</v>
      </c>
      <c r="GR29" s="156">
        <v>0.2750000000000003</v>
      </c>
      <c r="GS29" s="162">
        <v>40</v>
      </c>
      <c r="GT29" s="163">
        <v>2.921052631578946</v>
      </c>
      <c r="GU29" s="162">
        <v>38</v>
      </c>
      <c r="GV29" s="155">
        <v>0.9333333333333339</v>
      </c>
      <c r="GW29" s="156">
        <v>6.6666666666666666E-2</v>
      </c>
      <c r="GX29" s="162">
        <v>15</v>
      </c>
      <c r="GY29" s="155">
        <v>0.96</v>
      </c>
      <c r="GZ29" s="156">
        <v>4.0000000000000008E-2</v>
      </c>
      <c r="HA29" s="162">
        <v>25</v>
      </c>
      <c r="HB29" s="155">
        <v>0.93548387096774166</v>
      </c>
      <c r="HC29" s="156">
        <v>6.4516129032258132E-2</v>
      </c>
      <c r="HD29" s="162">
        <v>31</v>
      </c>
      <c r="HE29" s="161">
        <v>0.92307692307692346</v>
      </c>
      <c r="HF29" s="156">
        <v>7.6923076923076955E-2</v>
      </c>
      <c r="HG29" s="162">
        <v>26</v>
      </c>
      <c r="HH29" s="155">
        <v>0.42500000000000016</v>
      </c>
      <c r="HI29" s="156">
        <v>0.57500000000000007</v>
      </c>
      <c r="HJ29" s="162">
        <v>40</v>
      </c>
      <c r="HK29" s="155">
        <v>1</v>
      </c>
      <c r="HL29" s="156">
        <v>0</v>
      </c>
      <c r="HM29" s="162">
        <v>37</v>
      </c>
      <c r="HN29" s="161">
        <v>2.7777777777777821E-2</v>
      </c>
      <c r="HO29" s="156">
        <v>0.11111111111111129</v>
      </c>
      <c r="HP29" s="156">
        <v>0.22222222222222257</v>
      </c>
      <c r="HQ29" s="156">
        <v>0.33333333333333337</v>
      </c>
      <c r="HR29" s="156">
        <v>0.30555555555555591</v>
      </c>
      <c r="HS29" s="160">
        <v>63.861111111111178</v>
      </c>
      <c r="HT29" s="164">
        <v>36</v>
      </c>
      <c r="HU29" s="165">
        <v>0</v>
      </c>
      <c r="HV29" s="166">
        <v>0</v>
      </c>
      <c r="HW29" s="166">
        <v>5.7142857142857141E-2</v>
      </c>
      <c r="HX29" s="166">
        <v>8.5714285714285715E-2</v>
      </c>
      <c r="HY29" s="166">
        <v>0</v>
      </c>
      <c r="HZ29" s="166">
        <v>5.7142857142857141E-2</v>
      </c>
      <c r="IA29" s="166">
        <v>0.11428571428571428</v>
      </c>
      <c r="IB29" s="166">
        <v>0.22857142857142856</v>
      </c>
      <c r="IC29" s="166">
        <v>0.17142857142857143</v>
      </c>
      <c r="ID29" s="166">
        <v>0.2857142857142857</v>
      </c>
      <c r="IE29" s="167">
        <v>35</v>
      </c>
      <c r="IF29" s="155">
        <v>0</v>
      </c>
      <c r="IG29" s="156">
        <v>0</v>
      </c>
      <c r="IH29" s="156">
        <v>0</v>
      </c>
      <c r="II29" s="156">
        <v>0</v>
      </c>
      <c r="IJ29" s="156">
        <v>0</v>
      </c>
      <c r="IK29" s="162">
        <v>0</v>
      </c>
      <c r="IL29" s="155">
        <v>0</v>
      </c>
      <c r="IM29" s="156">
        <v>0</v>
      </c>
      <c r="IN29" s="156">
        <v>0</v>
      </c>
      <c r="IO29" s="156">
        <v>1</v>
      </c>
      <c r="IP29" s="156">
        <v>0</v>
      </c>
      <c r="IQ29" s="162">
        <v>37</v>
      </c>
      <c r="IR29" s="155">
        <v>0.11428571428571443</v>
      </c>
      <c r="IS29" s="156">
        <v>0.88571428571428545</v>
      </c>
      <c r="IT29" s="162">
        <v>35</v>
      </c>
      <c r="IU29" s="161">
        <v>0</v>
      </c>
      <c r="IV29" s="156">
        <v>0</v>
      </c>
      <c r="IW29" s="156">
        <v>1</v>
      </c>
      <c r="IX29" s="162">
        <v>4</v>
      </c>
    </row>
    <row r="30" spans="1:258" ht="32.1" customHeight="1" x14ac:dyDescent="0.25">
      <c r="A30" s="110" t="s">
        <v>453</v>
      </c>
      <c r="B30" s="108" t="s">
        <v>588</v>
      </c>
      <c r="C30" s="108" t="s">
        <v>480</v>
      </c>
      <c r="D30" s="109">
        <v>61</v>
      </c>
      <c r="E30" s="139" t="s">
        <v>481</v>
      </c>
      <c r="F30" s="155">
        <v>0.11627906976744169</v>
      </c>
      <c r="G30" s="156">
        <v>0.88372093023255749</v>
      </c>
      <c r="H30" s="157">
        <v>43</v>
      </c>
      <c r="I30" s="155">
        <v>0.57142857142857129</v>
      </c>
      <c r="J30" s="156">
        <v>0.42857142857142883</v>
      </c>
      <c r="K30" s="157">
        <v>35</v>
      </c>
      <c r="L30" s="155">
        <v>0.42105263157894762</v>
      </c>
      <c r="M30" s="156">
        <v>0.57894736842105277</v>
      </c>
      <c r="N30" s="157">
        <v>19</v>
      </c>
      <c r="O30" s="155">
        <v>0.56818181818181746</v>
      </c>
      <c r="P30" s="156">
        <v>9.0909090909090842E-2</v>
      </c>
      <c r="Q30" s="156">
        <v>2.2727272727272711E-2</v>
      </c>
      <c r="R30" s="156">
        <v>0</v>
      </c>
      <c r="S30" s="156">
        <v>6.8181818181818205E-2</v>
      </c>
      <c r="T30" s="156">
        <v>2.2727272727272711E-2</v>
      </c>
      <c r="U30" s="156">
        <v>0</v>
      </c>
      <c r="V30" s="156">
        <v>0.15909090909090912</v>
      </c>
      <c r="W30" s="156">
        <v>0.13636363636363641</v>
      </c>
      <c r="X30" s="156">
        <v>9.0909090909090842E-2</v>
      </c>
      <c r="Y30" s="157">
        <v>44</v>
      </c>
      <c r="Z30" s="155">
        <v>0.86046511627906985</v>
      </c>
      <c r="AA30" s="156">
        <v>0.83720930232558211</v>
      </c>
      <c r="AB30" s="156">
        <v>0.58139534883720867</v>
      </c>
      <c r="AC30" s="156">
        <v>0.76744186046511587</v>
      </c>
      <c r="AD30" s="156">
        <v>0.23255813953488361</v>
      </c>
      <c r="AE30" s="156">
        <v>0.18604651162790706</v>
      </c>
      <c r="AF30" s="157">
        <v>43</v>
      </c>
      <c r="AG30" s="158">
        <v>9.7045454545454515</v>
      </c>
      <c r="AH30" s="159">
        <v>44</v>
      </c>
      <c r="AI30" s="160">
        <v>9.8636363636363704</v>
      </c>
      <c r="AJ30" s="159">
        <v>44</v>
      </c>
      <c r="AK30" s="160">
        <v>9.8139534883720909</v>
      </c>
      <c r="AL30" s="157">
        <v>43</v>
      </c>
      <c r="AM30" s="155">
        <v>0.38636363636363574</v>
      </c>
      <c r="AN30" s="156">
        <v>0.54545454545454497</v>
      </c>
      <c r="AO30" s="156">
        <v>4.5454545454545407E-2</v>
      </c>
      <c r="AP30" s="156">
        <v>2.2727272727272704E-2</v>
      </c>
      <c r="AQ30" s="156">
        <v>0</v>
      </c>
      <c r="AR30" s="157">
        <v>44</v>
      </c>
      <c r="AS30" s="155">
        <v>0.60465116279069664</v>
      </c>
      <c r="AT30" s="156">
        <v>0.3488372093023257</v>
      </c>
      <c r="AU30" s="156">
        <v>2.3255813953488347E-2</v>
      </c>
      <c r="AV30" s="156">
        <v>2.3255813953488347E-2</v>
      </c>
      <c r="AW30" s="156">
        <v>0</v>
      </c>
      <c r="AX30" s="157">
        <v>43</v>
      </c>
      <c r="AY30" s="155">
        <v>0.63636363636363535</v>
      </c>
      <c r="AZ30" s="156">
        <v>0.31818181818181779</v>
      </c>
      <c r="BA30" s="156">
        <v>4.5454545454545407E-2</v>
      </c>
      <c r="BB30" s="156">
        <v>0</v>
      </c>
      <c r="BC30" s="156">
        <v>0</v>
      </c>
      <c r="BD30" s="157">
        <v>44</v>
      </c>
      <c r="BE30" s="155">
        <v>0.36363636363636326</v>
      </c>
      <c r="BF30" s="156">
        <v>0.45454545454545447</v>
      </c>
      <c r="BG30" s="156">
        <v>0.11363636363636362</v>
      </c>
      <c r="BH30" s="156">
        <v>4.5454545454545407E-2</v>
      </c>
      <c r="BI30" s="156">
        <v>2.2727272727272704E-2</v>
      </c>
      <c r="BJ30" s="157">
        <v>44</v>
      </c>
      <c r="BK30" s="155">
        <v>0.64999999999999991</v>
      </c>
      <c r="BL30" s="156">
        <v>0.3</v>
      </c>
      <c r="BM30" s="156">
        <v>4.9999999999999989E-2</v>
      </c>
      <c r="BN30" s="156">
        <v>0</v>
      </c>
      <c r="BO30" s="156">
        <v>0</v>
      </c>
      <c r="BP30" s="157">
        <v>40</v>
      </c>
      <c r="BQ30" s="155">
        <v>0.86046511627906952</v>
      </c>
      <c r="BR30" s="156">
        <v>0.13953488372093023</v>
      </c>
      <c r="BS30" s="156">
        <v>0</v>
      </c>
      <c r="BT30" s="156">
        <v>0</v>
      </c>
      <c r="BU30" s="156">
        <v>0</v>
      </c>
      <c r="BV30" s="157">
        <v>43</v>
      </c>
      <c r="BW30" s="161">
        <v>0.75675675675675724</v>
      </c>
      <c r="BX30" s="156">
        <v>0.16216216216216214</v>
      </c>
      <c r="BY30" s="156">
        <v>2.7027027027027053E-2</v>
      </c>
      <c r="BZ30" s="156">
        <v>2.7027027027027053E-2</v>
      </c>
      <c r="CA30" s="156">
        <v>2.7027027027027053E-2</v>
      </c>
      <c r="CB30" s="157">
        <v>37</v>
      </c>
      <c r="CC30" s="155">
        <v>1</v>
      </c>
      <c r="CD30" s="156">
        <v>0</v>
      </c>
      <c r="CE30" s="156">
        <v>0</v>
      </c>
      <c r="CF30" s="156">
        <v>0</v>
      </c>
      <c r="CG30" s="156">
        <v>0</v>
      </c>
      <c r="CH30" s="162">
        <v>8</v>
      </c>
      <c r="CI30" s="155">
        <v>0.75</v>
      </c>
      <c r="CJ30" s="156">
        <v>0.25</v>
      </c>
      <c r="CK30" s="156">
        <v>0</v>
      </c>
      <c r="CL30" s="156">
        <v>0</v>
      </c>
      <c r="CM30" s="156">
        <v>0</v>
      </c>
      <c r="CN30" s="162">
        <v>4</v>
      </c>
      <c r="CO30" s="155">
        <v>0.43750000000000006</v>
      </c>
      <c r="CP30" s="156">
        <v>0.53125000000000011</v>
      </c>
      <c r="CQ30" s="156">
        <v>3.125E-2</v>
      </c>
      <c r="CR30" s="156">
        <v>0</v>
      </c>
      <c r="CS30" s="156">
        <v>0</v>
      </c>
      <c r="CT30" s="162">
        <v>32</v>
      </c>
      <c r="CU30" s="155">
        <v>0.45161290322580677</v>
      </c>
      <c r="CV30" s="156">
        <v>0.483870967741936</v>
      </c>
      <c r="CW30" s="156">
        <v>6.4516129032257993E-2</v>
      </c>
      <c r="CX30" s="156">
        <v>0</v>
      </c>
      <c r="CY30" s="156">
        <v>0</v>
      </c>
      <c r="CZ30" s="162">
        <v>31</v>
      </c>
      <c r="DA30" s="155">
        <v>0.57142857142857162</v>
      </c>
      <c r="DB30" s="156">
        <v>0.35714285714285721</v>
      </c>
      <c r="DC30" s="156">
        <v>7.1428571428571452E-2</v>
      </c>
      <c r="DD30" s="156">
        <v>0</v>
      </c>
      <c r="DE30" s="156">
        <v>0</v>
      </c>
      <c r="DF30" s="162">
        <v>14</v>
      </c>
      <c r="DG30" s="155">
        <v>0.49999999999999994</v>
      </c>
      <c r="DH30" s="156">
        <v>0.49999999999999994</v>
      </c>
      <c r="DI30" s="156">
        <v>0</v>
      </c>
      <c r="DJ30" s="156">
        <v>0</v>
      </c>
      <c r="DK30" s="156">
        <v>0</v>
      </c>
      <c r="DL30" s="162">
        <v>16</v>
      </c>
      <c r="DM30" s="155">
        <v>0.82142857142857229</v>
      </c>
      <c r="DN30" s="156">
        <v>0.10714285714285721</v>
      </c>
      <c r="DO30" s="156">
        <v>7.1428571428571452E-2</v>
      </c>
      <c r="DP30" s="156">
        <v>0</v>
      </c>
      <c r="DQ30" s="156">
        <v>0</v>
      </c>
      <c r="DR30" s="162">
        <v>28</v>
      </c>
      <c r="DS30" s="161">
        <v>0.87500000000000011</v>
      </c>
      <c r="DT30" s="156">
        <v>0</v>
      </c>
      <c r="DU30" s="156">
        <v>8.3333333333333315E-2</v>
      </c>
      <c r="DV30" s="156">
        <v>4.1666666666666657E-2</v>
      </c>
      <c r="DW30" s="156">
        <v>0</v>
      </c>
      <c r="DX30" s="162">
        <v>24</v>
      </c>
      <c r="DY30" s="155">
        <v>0.88636363636363535</v>
      </c>
      <c r="DZ30" s="156">
        <v>9.0909090909090814E-2</v>
      </c>
      <c r="EA30" s="156">
        <v>0</v>
      </c>
      <c r="EB30" s="156">
        <v>0</v>
      </c>
      <c r="EC30" s="156">
        <v>2.2727272727272704E-2</v>
      </c>
      <c r="ED30" s="162">
        <v>44</v>
      </c>
      <c r="EE30" s="155">
        <v>0.72727272727272663</v>
      </c>
      <c r="EF30" s="156">
        <v>0.27272727272727254</v>
      </c>
      <c r="EG30" s="156">
        <v>0</v>
      </c>
      <c r="EH30" s="156">
        <v>0</v>
      </c>
      <c r="EI30" s="156">
        <v>0</v>
      </c>
      <c r="EJ30" s="162">
        <v>11</v>
      </c>
      <c r="EK30" s="155">
        <v>0.71428571428571441</v>
      </c>
      <c r="EL30" s="156">
        <v>0.28571428571428581</v>
      </c>
      <c r="EM30" s="156">
        <v>0</v>
      </c>
      <c r="EN30" s="156">
        <v>0</v>
      </c>
      <c r="EO30" s="156">
        <v>0</v>
      </c>
      <c r="EP30" s="162">
        <v>14</v>
      </c>
      <c r="EQ30" s="155">
        <v>0.6388888888888884</v>
      </c>
      <c r="ER30" s="156">
        <v>0.30555555555555575</v>
      </c>
      <c r="ES30" s="156">
        <v>0</v>
      </c>
      <c r="ET30" s="156">
        <v>2.7777777777777748E-2</v>
      </c>
      <c r="EU30" s="156">
        <v>2.7777777777777748E-2</v>
      </c>
      <c r="EV30" s="162">
        <v>36</v>
      </c>
      <c r="EW30" s="155">
        <v>0.78124999999999989</v>
      </c>
      <c r="EX30" s="156">
        <v>0.15624999999999997</v>
      </c>
      <c r="EY30" s="156">
        <v>3.125E-2</v>
      </c>
      <c r="EZ30" s="156">
        <v>0</v>
      </c>
      <c r="FA30" s="156">
        <v>3.125E-2</v>
      </c>
      <c r="FB30" s="162">
        <v>32</v>
      </c>
      <c r="FC30" s="155">
        <v>0.66666666666666641</v>
      </c>
      <c r="FD30" s="156">
        <v>0</v>
      </c>
      <c r="FE30" s="156">
        <v>0.3333333333333332</v>
      </c>
      <c r="FF30" s="156">
        <v>0</v>
      </c>
      <c r="FG30" s="156">
        <v>0</v>
      </c>
      <c r="FH30" s="162">
        <v>3</v>
      </c>
      <c r="FI30" s="161">
        <v>0.28571428571428581</v>
      </c>
      <c r="FJ30" s="156">
        <v>0.28571428571428581</v>
      </c>
      <c r="FK30" s="156">
        <v>0.42857142857142883</v>
      </c>
      <c r="FL30" s="156">
        <v>0</v>
      </c>
      <c r="FM30" s="156">
        <v>0</v>
      </c>
      <c r="FN30" s="162">
        <v>7</v>
      </c>
      <c r="FO30" s="155">
        <v>0</v>
      </c>
      <c r="FP30" s="156">
        <v>0</v>
      </c>
      <c r="FQ30" s="156">
        <v>0</v>
      </c>
      <c r="FR30" s="156">
        <v>0</v>
      </c>
      <c r="FS30" s="156">
        <v>0</v>
      </c>
      <c r="FT30" s="162">
        <v>0</v>
      </c>
      <c r="FU30" s="155">
        <v>0</v>
      </c>
      <c r="FV30" s="156">
        <v>0</v>
      </c>
      <c r="FW30" s="156">
        <v>0</v>
      </c>
      <c r="FX30" s="156">
        <v>0</v>
      </c>
      <c r="FY30" s="156">
        <v>0</v>
      </c>
      <c r="FZ30" s="162">
        <v>0</v>
      </c>
      <c r="GA30" s="161">
        <v>0</v>
      </c>
      <c r="GB30" s="156">
        <v>0</v>
      </c>
      <c r="GC30" s="156">
        <v>0</v>
      </c>
      <c r="GD30" s="156">
        <v>0</v>
      </c>
      <c r="GE30" s="156">
        <v>0</v>
      </c>
      <c r="GF30" s="162">
        <v>0</v>
      </c>
      <c r="GG30" s="158">
        <v>9.1463414634146289</v>
      </c>
      <c r="GH30" s="162">
        <v>41</v>
      </c>
      <c r="GI30" s="155">
        <v>0</v>
      </c>
      <c r="GJ30" s="156">
        <v>0.9069767441860459</v>
      </c>
      <c r="GK30" s="156">
        <v>6.9767441860465115E-2</v>
      </c>
      <c r="GL30" s="156">
        <v>2.3255813953488347E-2</v>
      </c>
      <c r="GM30" s="156">
        <v>0</v>
      </c>
      <c r="GN30" s="162">
        <v>43</v>
      </c>
      <c r="GO30" s="155">
        <v>0.45454545454545436</v>
      </c>
      <c r="GP30" s="156">
        <v>0.20454545454545439</v>
      </c>
      <c r="GQ30" s="156">
        <v>0.15909090909090912</v>
      </c>
      <c r="GR30" s="156">
        <v>0.24999999999999997</v>
      </c>
      <c r="GS30" s="162">
        <v>44</v>
      </c>
      <c r="GT30" s="163">
        <v>3.0697674418604621</v>
      </c>
      <c r="GU30" s="162">
        <v>43</v>
      </c>
      <c r="GV30" s="155">
        <v>1</v>
      </c>
      <c r="GW30" s="156">
        <v>0</v>
      </c>
      <c r="GX30" s="162">
        <v>10</v>
      </c>
      <c r="GY30" s="155">
        <v>1</v>
      </c>
      <c r="GZ30" s="156">
        <v>0</v>
      </c>
      <c r="HA30" s="162">
        <v>13</v>
      </c>
      <c r="HB30" s="155">
        <v>1</v>
      </c>
      <c r="HC30" s="156">
        <v>0</v>
      </c>
      <c r="HD30" s="162">
        <v>38</v>
      </c>
      <c r="HE30" s="161">
        <v>0.88888888888888795</v>
      </c>
      <c r="HF30" s="156">
        <v>0.11111111111111102</v>
      </c>
      <c r="HG30" s="162">
        <v>27</v>
      </c>
      <c r="HH30" s="155">
        <v>0.39024390243902424</v>
      </c>
      <c r="HI30" s="156">
        <v>0.6097560975609756</v>
      </c>
      <c r="HJ30" s="162">
        <v>41</v>
      </c>
      <c r="HK30" s="155">
        <v>0.99999999999999989</v>
      </c>
      <c r="HL30" s="156">
        <v>0</v>
      </c>
      <c r="HM30" s="162">
        <v>39</v>
      </c>
      <c r="HN30" s="161">
        <v>8.1081081081081099E-2</v>
      </c>
      <c r="HO30" s="156">
        <v>0.43243243243243285</v>
      </c>
      <c r="HP30" s="156">
        <v>0.27027027027027017</v>
      </c>
      <c r="HQ30" s="156">
        <v>0.10810810810810821</v>
      </c>
      <c r="HR30" s="156">
        <v>0.10810810810810821</v>
      </c>
      <c r="HS30" s="160">
        <v>46.162162162162126</v>
      </c>
      <c r="HT30" s="164">
        <v>37</v>
      </c>
      <c r="HU30" s="165">
        <v>3.3333333333333333E-2</v>
      </c>
      <c r="HV30" s="166">
        <v>6.6666666666666666E-2</v>
      </c>
      <c r="HW30" s="166">
        <v>0</v>
      </c>
      <c r="HX30" s="166">
        <v>3.3333333333333333E-2</v>
      </c>
      <c r="HY30" s="166">
        <v>0.13333333333333333</v>
      </c>
      <c r="HZ30" s="166">
        <v>0.13333333333333333</v>
      </c>
      <c r="IA30" s="166">
        <v>0.1</v>
      </c>
      <c r="IB30" s="166">
        <v>0.13333333333333333</v>
      </c>
      <c r="IC30" s="166">
        <v>0.23333333333333334</v>
      </c>
      <c r="ID30" s="166">
        <v>0.13333333333333333</v>
      </c>
      <c r="IE30" s="167">
        <v>30</v>
      </c>
      <c r="IF30" s="155">
        <v>0</v>
      </c>
      <c r="IG30" s="156">
        <v>0</v>
      </c>
      <c r="IH30" s="156">
        <v>0.5</v>
      </c>
      <c r="II30" s="156">
        <v>0</v>
      </c>
      <c r="IJ30" s="156">
        <v>0.5</v>
      </c>
      <c r="IK30" s="162">
        <v>4</v>
      </c>
      <c r="IL30" s="155">
        <v>0</v>
      </c>
      <c r="IM30" s="156">
        <v>0</v>
      </c>
      <c r="IN30" s="156">
        <v>0</v>
      </c>
      <c r="IO30" s="156">
        <v>0.94999999999999984</v>
      </c>
      <c r="IP30" s="156">
        <v>4.9999999999999989E-2</v>
      </c>
      <c r="IQ30" s="162">
        <v>40</v>
      </c>
      <c r="IR30" s="155">
        <v>0.12195121951219505</v>
      </c>
      <c r="IS30" s="156">
        <v>0.87804878048780555</v>
      </c>
      <c r="IT30" s="162">
        <v>41</v>
      </c>
      <c r="IU30" s="161">
        <v>0</v>
      </c>
      <c r="IV30" s="156">
        <v>0.2</v>
      </c>
      <c r="IW30" s="156">
        <v>0.8</v>
      </c>
      <c r="IX30" s="162">
        <v>5</v>
      </c>
    </row>
    <row r="31" spans="1:258" ht="32.1" customHeight="1" x14ac:dyDescent="0.25">
      <c r="A31" s="110" t="s">
        <v>453</v>
      </c>
      <c r="B31" s="108" t="s">
        <v>588</v>
      </c>
      <c r="C31" s="108" t="s">
        <v>480</v>
      </c>
      <c r="D31" s="109">
        <v>64</v>
      </c>
      <c r="E31" s="139" t="s">
        <v>482</v>
      </c>
      <c r="F31" s="155">
        <v>0.27450980392156904</v>
      </c>
      <c r="G31" s="156">
        <v>0.72549019607843102</v>
      </c>
      <c r="H31" s="157">
        <v>51</v>
      </c>
      <c r="I31" s="155">
        <v>0.61111111111111116</v>
      </c>
      <c r="J31" s="156">
        <v>0.38888888888888923</v>
      </c>
      <c r="K31" s="157">
        <v>36</v>
      </c>
      <c r="L31" s="155">
        <v>0.47619047619047622</v>
      </c>
      <c r="M31" s="156">
        <v>0.52380952380952406</v>
      </c>
      <c r="N31" s="157">
        <v>21</v>
      </c>
      <c r="O31" s="155">
        <v>0.54901960784313786</v>
      </c>
      <c r="P31" s="156">
        <v>1.9607843137254936E-2</v>
      </c>
      <c r="Q31" s="156">
        <v>0.17647058823529427</v>
      </c>
      <c r="R31" s="156">
        <v>0.19607843137254902</v>
      </c>
      <c r="S31" s="156">
        <v>9.8039215686274508E-2</v>
      </c>
      <c r="T31" s="156">
        <v>0.13725490196078452</v>
      </c>
      <c r="U31" s="156">
        <v>0</v>
      </c>
      <c r="V31" s="156">
        <v>0.1176470588235296</v>
      </c>
      <c r="W31" s="156">
        <v>0.15686274509803949</v>
      </c>
      <c r="X31" s="156">
        <v>0.15686274509803949</v>
      </c>
      <c r="Y31" s="157">
        <v>51</v>
      </c>
      <c r="Z31" s="155">
        <v>0.70833333333333315</v>
      </c>
      <c r="AA31" s="156">
        <v>0.31250000000000011</v>
      </c>
      <c r="AB31" s="156">
        <v>0.50000000000000011</v>
      </c>
      <c r="AC31" s="156">
        <v>0.60416666666666718</v>
      </c>
      <c r="AD31" s="156">
        <v>0.16666666666666685</v>
      </c>
      <c r="AE31" s="156">
        <v>0.27083333333333376</v>
      </c>
      <c r="AF31" s="157">
        <v>48</v>
      </c>
      <c r="AG31" s="158">
        <v>9.7400000000000055</v>
      </c>
      <c r="AH31" s="159">
        <v>50</v>
      </c>
      <c r="AI31" s="160">
        <v>9.8367346938775437</v>
      </c>
      <c r="AJ31" s="159">
        <v>49</v>
      </c>
      <c r="AK31" s="160">
        <v>9.7346938775510221</v>
      </c>
      <c r="AL31" s="157">
        <v>49</v>
      </c>
      <c r="AM31" s="155">
        <v>0.46808510638297923</v>
      </c>
      <c r="AN31" s="156">
        <v>0.40425531914893609</v>
      </c>
      <c r="AO31" s="156">
        <v>4.2553191489361694E-2</v>
      </c>
      <c r="AP31" s="156">
        <v>8.5106382978723388E-2</v>
      </c>
      <c r="AQ31" s="156">
        <v>0</v>
      </c>
      <c r="AR31" s="157">
        <v>47</v>
      </c>
      <c r="AS31" s="155">
        <v>0.68000000000000016</v>
      </c>
      <c r="AT31" s="156">
        <v>0.30000000000000016</v>
      </c>
      <c r="AU31" s="156">
        <v>2.0000000000000004E-2</v>
      </c>
      <c r="AV31" s="156">
        <v>0</v>
      </c>
      <c r="AW31" s="156">
        <v>0</v>
      </c>
      <c r="AX31" s="157">
        <v>50</v>
      </c>
      <c r="AY31" s="155">
        <v>0.85714285714285732</v>
      </c>
      <c r="AZ31" s="156">
        <v>0.1020408163265307</v>
      </c>
      <c r="BA31" s="156">
        <v>4.0816326530612318E-2</v>
      </c>
      <c r="BB31" s="156">
        <v>0</v>
      </c>
      <c r="BC31" s="156">
        <v>0</v>
      </c>
      <c r="BD31" s="157">
        <v>49</v>
      </c>
      <c r="BE31" s="155">
        <v>0.82352941176470684</v>
      </c>
      <c r="BF31" s="156">
        <v>0.13725490196078452</v>
      </c>
      <c r="BG31" s="156">
        <v>3.9215686274509866E-2</v>
      </c>
      <c r="BH31" s="156">
        <v>0</v>
      </c>
      <c r="BI31" s="156">
        <v>0</v>
      </c>
      <c r="BJ31" s="157">
        <v>51</v>
      </c>
      <c r="BK31" s="155">
        <v>0.75000000000000011</v>
      </c>
      <c r="BL31" s="156">
        <v>0.25000000000000011</v>
      </c>
      <c r="BM31" s="156">
        <v>0</v>
      </c>
      <c r="BN31" s="156">
        <v>0</v>
      </c>
      <c r="BO31" s="156">
        <v>0</v>
      </c>
      <c r="BP31" s="157">
        <v>44</v>
      </c>
      <c r="BQ31" s="155">
        <v>0.84313725490196134</v>
      </c>
      <c r="BR31" s="156">
        <v>0.15686274509803946</v>
      </c>
      <c r="BS31" s="156">
        <v>0</v>
      </c>
      <c r="BT31" s="156">
        <v>0</v>
      </c>
      <c r="BU31" s="156">
        <v>0</v>
      </c>
      <c r="BV31" s="157">
        <v>51</v>
      </c>
      <c r="BW31" s="161">
        <v>0.53846153846153832</v>
      </c>
      <c r="BX31" s="156">
        <v>0.3589743589743597</v>
      </c>
      <c r="BY31" s="156">
        <v>5.1282051282051357E-2</v>
      </c>
      <c r="BZ31" s="156">
        <v>2.5641025641025678E-2</v>
      </c>
      <c r="CA31" s="156">
        <v>2.5641025641025678E-2</v>
      </c>
      <c r="CB31" s="157">
        <v>39</v>
      </c>
      <c r="CC31" s="155">
        <v>0.86363636363636431</v>
      </c>
      <c r="CD31" s="156">
        <v>0.13636363636363633</v>
      </c>
      <c r="CE31" s="156">
        <v>0</v>
      </c>
      <c r="CF31" s="156">
        <v>0</v>
      </c>
      <c r="CG31" s="156">
        <v>0</v>
      </c>
      <c r="CH31" s="162">
        <v>22</v>
      </c>
      <c r="CI31" s="155">
        <v>0.72222222222222199</v>
      </c>
      <c r="CJ31" s="156">
        <v>0.22222222222222199</v>
      </c>
      <c r="CK31" s="156">
        <v>5.5555555555555497E-2</v>
      </c>
      <c r="CL31" s="156">
        <v>0</v>
      </c>
      <c r="CM31" s="156">
        <v>0</v>
      </c>
      <c r="CN31" s="162">
        <v>18</v>
      </c>
      <c r="CO31" s="155">
        <v>0.36111111111111105</v>
      </c>
      <c r="CP31" s="156">
        <v>0.27777777777777818</v>
      </c>
      <c r="CQ31" s="156">
        <v>0.27777777777777818</v>
      </c>
      <c r="CR31" s="156">
        <v>2.7777777777777818E-2</v>
      </c>
      <c r="CS31" s="156">
        <v>5.5555555555555636E-2</v>
      </c>
      <c r="CT31" s="162">
        <v>36</v>
      </c>
      <c r="CU31" s="155">
        <v>0.50000000000000011</v>
      </c>
      <c r="CV31" s="156">
        <v>0.28571428571428603</v>
      </c>
      <c r="CW31" s="156">
        <v>0.14285714285714302</v>
      </c>
      <c r="CX31" s="156">
        <v>2.3809523809523805E-2</v>
      </c>
      <c r="CY31" s="156">
        <v>4.7619047619047609E-2</v>
      </c>
      <c r="CZ31" s="162">
        <v>42</v>
      </c>
      <c r="DA31" s="155">
        <v>0.52380952380952339</v>
      </c>
      <c r="DB31" s="156">
        <v>0.28571428571428592</v>
      </c>
      <c r="DC31" s="156">
        <v>0.19047619047619041</v>
      </c>
      <c r="DD31" s="156">
        <v>0</v>
      </c>
      <c r="DE31" s="156">
        <v>0</v>
      </c>
      <c r="DF31" s="162">
        <v>21</v>
      </c>
      <c r="DG31" s="155">
        <v>0.48000000000000009</v>
      </c>
      <c r="DH31" s="156">
        <v>0.32000000000000006</v>
      </c>
      <c r="DI31" s="156">
        <v>0.16000000000000003</v>
      </c>
      <c r="DJ31" s="156">
        <v>4.0000000000000008E-2</v>
      </c>
      <c r="DK31" s="156">
        <v>0</v>
      </c>
      <c r="DL31" s="162">
        <v>25</v>
      </c>
      <c r="DM31" s="155">
        <v>0.41666666666666718</v>
      </c>
      <c r="DN31" s="156">
        <v>0.3333333333333332</v>
      </c>
      <c r="DO31" s="156">
        <v>0.1666666666666666</v>
      </c>
      <c r="DP31" s="156">
        <v>8.3333333333333301E-2</v>
      </c>
      <c r="DQ31" s="156">
        <v>0</v>
      </c>
      <c r="DR31" s="162">
        <v>24</v>
      </c>
      <c r="DS31" s="161">
        <v>0.61904761904761929</v>
      </c>
      <c r="DT31" s="156">
        <v>0.2380952380952383</v>
      </c>
      <c r="DU31" s="156">
        <v>0.14285714285714296</v>
      </c>
      <c r="DV31" s="156">
        <v>0</v>
      </c>
      <c r="DW31" s="156">
        <v>0</v>
      </c>
      <c r="DX31" s="162">
        <v>21</v>
      </c>
      <c r="DY31" s="155">
        <v>0.82000000000000017</v>
      </c>
      <c r="DZ31" s="156">
        <v>0.18000000000000008</v>
      </c>
      <c r="EA31" s="156">
        <v>0</v>
      </c>
      <c r="EB31" s="156">
        <v>0</v>
      </c>
      <c r="EC31" s="156">
        <v>0</v>
      </c>
      <c r="ED31" s="162">
        <v>50</v>
      </c>
      <c r="EE31" s="155">
        <v>0.61111111111111172</v>
      </c>
      <c r="EF31" s="156">
        <v>0.27777777777777807</v>
      </c>
      <c r="EG31" s="156">
        <v>5.5555555555555497E-2</v>
      </c>
      <c r="EH31" s="156">
        <v>0</v>
      </c>
      <c r="EI31" s="156">
        <v>5.5555555555555497E-2</v>
      </c>
      <c r="EJ31" s="162">
        <v>18</v>
      </c>
      <c r="EK31" s="155">
        <v>0.62500000000000011</v>
      </c>
      <c r="EL31" s="156">
        <v>0.31249999999999994</v>
      </c>
      <c r="EM31" s="156">
        <v>6.2499999999999993E-2</v>
      </c>
      <c r="EN31" s="156">
        <v>0</v>
      </c>
      <c r="EO31" s="156">
        <v>0</v>
      </c>
      <c r="EP31" s="162">
        <v>16</v>
      </c>
      <c r="EQ31" s="155">
        <v>0.48648648648648718</v>
      </c>
      <c r="ER31" s="156">
        <v>0.37837837837837912</v>
      </c>
      <c r="ES31" s="156">
        <v>2.7027027027027063E-2</v>
      </c>
      <c r="ET31" s="156">
        <v>8.108108108108121E-2</v>
      </c>
      <c r="EU31" s="156">
        <v>2.7027027027027063E-2</v>
      </c>
      <c r="EV31" s="162">
        <v>37</v>
      </c>
      <c r="EW31" s="155">
        <v>0.78378378378378344</v>
      </c>
      <c r="EX31" s="156">
        <v>0.16216216216216242</v>
      </c>
      <c r="EY31" s="156">
        <v>2.7027027027027063E-2</v>
      </c>
      <c r="EZ31" s="156">
        <v>2.7027027027027063E-2</v>
      </c>
      <c r="FA31" s="156">
        <v>0</v>
      </c>
      <c r="FB31" s="162">
        <v>37</v>
      </c>
      <c r="FC31" s="155">
        <v>0.57142857142857184</v>
      </c>
      <c r="FD31" s="156">
        <v>0.14285714285714296</v>
      </c>
      <c r="FE31" s="156">
        <v>0.28571428571428592</v>
      </c>
      <c r="FF31" s="156">
        <v>0</v>
      </c>
      <c r="FG31" s="156">
        <v>0</v>
      </c>
      <c r="FH31" s="162">
        <v>7</v>
      </c>
      <c r="FI31" s="161">
        <v>0.33333333333333315</v>
      </c>
      <c r="FJ31" s="156">
        <v>0.33333333333333315</v>
      </c>
      <c r="FK31" s="156">
        <v>0.33333333333333315</v>
      </c>
      <c r="FL31" s="156">
        <v>0</v>
      </c>
      <c r="FM31" s="156">
        <v>0</v>
      </c>
      <c r="FN31" s="162">
        <v>6</v>
      </c>
      <c r="FO31" s="155">
        <v>0</v>
      </c>
      <c r="FP31" s="156">
        <v>0</v>
      </c>
      <c r="FQ31" s="156">
        <v>0</v>
      </c>
      <c r="FR31" s="156">
        <v>0</v>
      </c>
      <c r="FS31" s="156">
        <v>0</v>
      </c>
      <c r="FT31" s="162">
        <v>0</v>
      </c>
      <c r="FU31" s="155">
        <v>0</v>
      </c>
      <c r="FV31" s="156">
        <v>0</v>
      </c>
      <c r="FW31" s="156">
        <v>0</v>
      </c>
      <c r="FX31" s="156">
        <v>0</v>
      </c>
      <c r="FY31" s="156">
        <v>0</v>
      </c>
      <c r="FZ31" s="162">
        <v>0</v>
      </c>
      <c r="GA31" s="161">
        <v>0</v>
      </c>
      <c r="GB31" s="156">
        <v>0</v>
      </c>
      <c r="GC31" s="156">
        <v>0</v>
      </c>
      <c r="GD31" s="156">
        <v>0</v>
      </c>
      <c r="GE31" s="156">
        <v>0</v>
      </c>
      <c r="GF31" s="162">
        <v>0</v>
      </c>
      <c r="GG31" s="158">
        <v>9.3023255813953494</v>
      </c>
      <c r="GH31" s="162">
        <v>43</v>
      </c>
      <c r="GI31" s="155">
        <v>0.10638297872340439</v>
      </c>
      <c r="GJ31" s="156">
        <v>0.76595744680851097</v>
      </c>
      <c r="GK31" s="156">
        <v>0.12765957446808521</v>
      </c>
      <c r="GL31" s="156">
        <v>0</v>
      </c>
      <c r="GM31" s="156">
        <v>0</v>
      </c>
      <c r="GN31" s="162">
        <v>47</v>
      </c>
      <c r="GO31" s="155">
        <v>0.26000000000000023</v>
      </c>
      <c r="GP31" s="156">
        <v>0.28000000000000064</v>
      </c>
      <c r="GQ31" s="156">
        <v>0.3000000000000006</v>
      </c>
      <c r="GR31" s="156">
        <v>0.32000000000000028</v>
      </c>
      <c r="GS31" s="162">
        <v>50</v>
      </c>
      <c r="GT31" s="163">
        <v>2.6666666666666696</v>
      </c>
      <c r="GU31" s="162">
        <v>51</v>
      </c>
      <c r="GV31" s="155">
        <v>0.94444444444444386</v>
      </c>
      <c r="GW31" s="156">
        <v>5.5555555555555497E-2</v>
      </c>
      <c r="GX31" s="162">
        <v>18</v>
      </c>
      <c r="GY31" s="155">
        <v>1</v>
      </c>
      <c r="GZ31" s="156">
        <v>0</v>
      </c>
      <c r="HA31" s="162">
        <v>19</v>
      </c>
      <c r="HB31" s="155">
        <v>0.97368421052631637</v>
      </c>
      <c r="HC31" s="156">
        <v>2.6315789473684233E-2</v>
      </c>
      <c r="HD31" s="162">
        <v>38</v>
      </c>
      <c r="HE31" s="161">
        <v>0.93548387096774233</v>
      </c>
      <c r="HF31" s="156">
        <v>6.4516129032258104E-2</v>
      </c>
      <c r="HG31" s="162">
        <v>31</v>
      </c>
      <c r="HH31" s="155">
        <v>0.47058823529411753</v>
      </c>
      <c r="HI31" s="156">
        <v>0.5294117647058828</v>
      </c>
      <c r="HJ31" s="162">
        <v>51</v>
      </c>
      <c r="HK31" s="155">
        <v>0.99999999999999989</v>
      </c>
      <c r="HL31" s="156">
        <v>0</v>
      </c>
      <c r="HM31" s="162">
        <v>47</v>
      </c>
      <c r="HN31" s="161">
        <v>0.16279069767441881</v>
      </c>
      <c r="HO31" s="156">
        <v>0.32558139534883762</v>
      </c>
      <c r="HP31" s="156">
        <v>0.27906976744186074</v>
      </c>
      <c r="HQ31" s="156">
        <v>0.13953488372093034</v>
      </c>
      <c r="HR31" s="156">
        <v>9.3023255813953487E-2</v>
      </c>
      <c r="HS31" s="160">
        <v>46.976744186046567</v>
      </c>
      <c r="HT31" s="164">
        <v>43</v>
      </c>
      <c r="HU31" s="165">
        <v>0</v>
      </c>
      <c r="HV31" s="166">
        <v>0</v>
      </c>
      <c r="HW31" s="166">
        <v>0.27586206896551724</v>
      </c>
      <c r="HX31" s="166">
        <v>0.13793103448275862</v>
      </c>
      <c r="HY31" s="166">
        <v>0.13793103448275862</v>
      </c>
      <c r="HZ31" s="166">
        <v>0.13793103448275862</v>
      </c>
      <c r="IA31" s="166">
        <v>0.17241379310344829</v>
      </c>
      <c r="IB31" s="166">
        <v>0.10344827586206896</v>
      </c>
      <c r="IC31" s="166">
        <v>3.4482758620689655E-2</v>
      </c>
      <c r="ID31" s="166">
        <v>0</v>
      </c>
      <c r="IE31" s="167">
        <v>29</v>
      </c>
      <c r="IF31" s="155">
        <v>0</v>
      </c>
      <c r="IG31" s="156">
        <v>0</v>
      </c>
      <c r="IH31" s="156">
        <v>0.76923076923077016</v>
      </c>
      <c r="II31" s="156">
        <v>0</v>
      </c>
      <c r="IJ31" s="156">
        <v>0.23076923076923084</v>
      </c>
      <c r="IK31" s="162">
        <v>13</v>
      </c>
      <c r="IL31" s="155">
        <v>0.11111111111111127</v>
      </c>
      <c r="IM31" s="156">
        <v>2.2222222222222254E-2</v>
      </c>
      <c r="IN31" s="156">
        <v>4.4444444444444509E-2</v>
      </c>
      <c r="IO31" s="156">
        <v>0.82222222222222197</v>
      </c>
      <c r="IP31" s="156">
        <v>0</v>
      </c>
      <c r="IQ31" s="162">
        <v>45</v>
      </c>
      <c r="IR31" s="155">
        <v>0.18000000000000008</v>
      </c>
      <c r="IS31" s="156">
        <v>0.82000000000000017</v>
      </c>
      <c r="IT31" s="162">
        <v>50</v>
      </c>
      <c r="IU31" s="161">
        <v>0</v>
      </c>
      <c r="IV31" s="156">
        <v>0.11111111111111108</v>
      </c>
      <c r="IW31" s="156">
        <v>0.88888888888888895</v>
      </c>
      <c r="IX31" s="162">
        <v>9</v>
      </c>
    </row>
    <row r="32" spans="1:258" ht="32.1" customHeight="1" x14ac:dyDescent="0.25">
      <c r="A32" s="110" t="s">
        <v>453</v>
      </c>
      <c r="B32" s="108" t="s">
        <v>588</v>
      </c>
      <c r="C32" s="108" t="s">
        <v>480</v>
      </c>
      <c r="D32" s="109">
        <v>66</v>
      </c>
      <c r="E32" s="139" t="s">
        <v>483</v>
      </c>
      <c r="F32" s="155">
        <v>0.10989010989011033</v>
      </c>
      <c r="G32" s="156">
        <v>0.89010989010988839</v>
      </c>
      <c r="H32" s="157">
        <v>364</v>
      </c>
      <c r="I32" s="155">
        <v>0.88785046728971784</v>
      </c>
      <c r="J32" s="156">
        <v>0.11214953271028082</v>
      </c>
      <c r="K32" s="157">
        <v>321</v>
      </c>
      <c r="L32" s="155">
        <v>0.64999999999999969</v>
      </c>
      <c r="M32" s="156">
        <v>0.34999999999999992</v>
      </c>
      <c r="N32" s="157">
        <v>280</v>
      </c>
      <c r="O32" s="155">
        <v>0.49719101123594922</v>
      </c>
      <c r="P32" s="156">
        <v>1.9662921348314422E-2</v>
      </c>
      <c r="Q32" s="156">
        <v>0.25842696629213407</v>
      </c>
      <c r="R32" s="156">
        <v>0.25280898876404445</v>
      </c>
      <c r="S32" s="156">
        <v>0.10393258426966338</v>
      </c>
      <c r="T32" s="156">
        <v>2.5280898876404254E-2</v>
      </c>
      <c r="U32" s="156">
        <v>8.4269662921347948E-3</v>
      </c>
      <c r="V32" s="156">
        <v>7.5842696629212794E-2</v>
      </c>
      <c r="W32" s="156">
        <v>0.16573033707864976</v>
      </c>
      <c r="X32" s="156">
        <v>7.5842696629212794E-2</v>
      </c>
      <c r="Y32" s="157">
        <v>356</v>
      </c>
      <c r="Z32" s="155">
        <v>0.65706051873198179</v>
      </c>
      <c r="AA32" s="156">
        <v>0.13544668587896116</v>
      </c>
      <c r="AB32" s="156">
        <v>0.55043227665706018</v>
      </c>
      <c r="AC32" s="156">
        <v>0.87319884726224484</v>
      </c>
      <c r="AD32" s="156">
        <v>0.1239193083573487</v>
      </c>
      <c r="AE32" s="156">
        <v>7.4927953890489951E-2</v>
      </c>
      <c r="AF32" s="157">
        <v>347</v>
      </c>
      <c r="AG32" s="158">
        <v>9.5238095238095308</v>
      </c>
      <c r="AH32" s="159">
        <v>315</v>
      </c>
      <c r="AI32" s="160">
        <v>9.5835962145110649</v>
      </c>
      <c r="AJ32" s="159">
        <v>317</v>
      </c>
      <c r="AK32" s="160">
        <v>9.4864864864865552</v>
      </c>
      <c r="AL32" s="157">
        <v>296</v>
      </c>
      <c r="AM32" s="155">
        <v>0.69794721407623928</v>
      </c>
      <c r="AN32" s="156">
        <v>0.25806451612903242</v>
      </c>
      <c r="AO32" s="156">
        <v>2.0527859237536493E-2</v>
      </c>
      <c r="AP32" s="156">
        <v>1.4662756598240338E-2</v>
      </c>
      <c r="AQ32" s="156">
        <v>8.797653958944239E-3</v>
      </c>
      <c r="AR32" s="157">
        <v>341</v>
      </c>
      <c r="AS32" s="155">
        <v>0.89736070381230948</v>
      </c>
      <c r="AT32" s="156">
        <v>8.7976539589443195E-2</v>
      </c>
      <c r="AU32" s="156">
        <v>1.1730205278592372E-2</v>
      </c>
      <c r="AV32" s="156">
        <v>2.932551319648093E-3</v>
      </c>
      <c r="AW32" s="156">
        <v>0</v>
      </c>
      <c r="AX32" s="157">
        <v>341</v>
      </c>
      <c r="AY32" s="155">
        <v>0.78034682080924522</v>
      </c>
      <c r="AZ32" s="156">
        <v>0.17919075144508512</v>
      </c>
      <c r="BA32" s="156">
        <v>2.8901734104046048E-2</v>
      </c>
      <c r="BB32" s="156">
        <v>5.7803468208092509E-3</v>
      </c>
      <c r="BC32" s="156">
        <v>5.7803468208092509E-3</v>
      </c>
      <c r="BD32" s="157">
        <v>346</v>
      </c>
      <c r="BE32" s="155">
        <v>0.9090909090909115</v>
      </c>
      <c r="BF32" s="156">
        <v>7.917888563049888E-2</v>
      </c>
      <c r="BG32" s="156">
        <v>1.1730205278592372E-2</v>
      </c>
      <c r="BH32" s="156">
        <v>0</v>
      </c>
      <c r="BI32" s="156">
        <v>0</v>
      </c>
      <c r="BJ32" s="157">
        <v>341</v>
      </c>
      <c r="BK32" s="155">
        <v>0.77456647398844181</v>
      </c>
      <c r="BL32" s="156">
        <v>0.18497109826589569</v>
      </c>
      <c r="BM32" s="156">
        <v>2.023121387283244E-2</v>
      </c>
      <c r="BN32" s="156">
        <v>1.1560693641618502E-2</v>
      </c>
      <c r="BO32" s="156">
        <v>8.6705202312138425E-3</v>
      </c>
      <c r="BP32" s="157">
        <v>346</v>
      </c>
      <c r="BQ32" s="155">
        <v>0.7582089552238801</v>
      </c>
      <c r="BR32" s="156">
        <v>0.19104477611940371</v>
      </c>
      <c r="BS32" s="156">
        <v>3.2835820895522588E-2</v>
      </c>
      <c r="BT32" s="156">
        <v>1.7910447761194038E-2</v>
      </c>
      <c r="BU32" s="156">
        <v>0</v>
      </c>
      <c r="BV32" s="157">
        <v>335</v>
      </c>
      <c r="BW32" s="161">
        <v>0.7211538461538386</v>
      </c>
      <c r="BX32" s="156">
        <v>0.17948717948717804</v>
      </c>
      <c r="BY32" s="156">
        <v>3.5256410256410214E-2</v>
      </c>
      <c r="BZ32" s="156">
        <v>4.4871794871794594E-2</v>
      </c>
      <c r="CA32" s="156">
        <v>1.9230769230769086E-2</v>
      </c>
      <c r="CB32" s="157">
        <v>312</v>
      </c>
      <c r="CC32" s="155">
        <v>0.78099173553718304</v>
      </c>
      <c r="CD32" s="156">
        <v>0.19421487603305715</v>
      </c>
      <c r="CE32" s="156">
        <v>2.4793388429752348E-2</v>
      </c>
      <c r="CF32" s="156">
        <v>0</v>
      </c>
      <c r="CG32" s="156">
        <v>0</v>
      </c>
      <c r="CH32" s="162">
        <v>242</v>
      </c>
      <c r="CI32" s="155">
        <v>0.69957081545064304</v>
      </c>
      <c r="CJ32" s="156">
        <v>0.25321888412017218</v>
      </c>
      <c r="CK32" s="156">
        <v>3.0042918454935511E-2</v>
      </c>
      <c r="CL32" s="156">
        <v>1.7167381974248906E-2</v>
      </c>
      <c r="CM32" s="156">
        <v>0</v>
      </c>
      <c r="CN32" s="162">
        <v>233</v>
      </c>
      <c r="CO32" s="155">
        <v>0.60071942446043636</v>
      </c>
      <c r="CP32" s="156">
        <v>0.31654676258992792</v>
      </c>
      <c r="CQ32" s="156">
        <v>5.3956834532373807E-2</v>
      </c>
      <c r="CR32" s="156">
        <v>2.1582733812949739E-2</v>
      </c>
      <c r="CS32" s="156">
        <v>7.1942446043166044E-3</v>
      </c>
      <c r="CT32" s="162">
        <v>278</v>
      </c>
      <c r="CU32" s="155">
        <v>0.61565836298931975</v>
      </c>
      <c r="CV32" s="156">
        <v>0.26334519572953746</v>
      </c>
      <c r="CW32" s="156">
        <v>7.473309608540929E-2</v>
      </c>
      <c r="CX32" s="156">
        <v>3.9145907473309746E-2</v>
      </c>
      <c r="CY32" s="156">
        <v>7.1174377224198955E-3</v>
      </c>
      <c r="CZ32" s="162">
        <v>281</v>
      </c>
      <c r="DA32" s="155">
        <v>0.63576158940397898</v>
      </c>
      <c r="DB32" s="156">
        <v>0.26490066225165704</v>
      </c>
      <c r="DC32" s="156">
        <v>7.2847682119204796E-2</v>
      </c>
      <c r="DD32" s="156">
        <v>2.6490066225165716E-2</v>
      </c>
      <c r="DE32" s="156">
        <v>0</v>
      </c>
      <c r="DF32" s="162">
        <v>151</v>
      </c>
      <c r="DG32" s="155">
        <v>0.61832061068701893</v>
      </c>
      <c r="DH32" s="156">
        <v>0.23664122137404728</v>
      </c>
      <c r="DI32" s="156">
        <v>0.12213740458015307</v>
      </c>
      <c r="DJ32" s="156">
        <v>1.5267175572519134E-2</v>
      </c>
      <c r="DK32" s="156">
        <v>7.6335877862595668E-3</v>
      </c>
      <c r="DL32" s="162">
        <v>131</v>
      </c>
      <c r="DM32" s="155">
        <v>0.74757281553397648</v>
      </c>
      <c r="DN32" s="156">
        <v>0.18446601941747706</v>
      </c>
      <c r="DO32" s="156">
        <v>4.3689320388349856E-2</v>
      </c>
      <c r="DP32" s="156">
        <v>1.9417475728155317E-2</v>
      </c>
      <c r="DQ32" s="156">
        <v>4.8543689320388293E-3</v>
      </c>
      <c r="DR32" s="162">
        <v>206</v>
      </c>
      <c r="DS32" s="161">
        <v>0.7189189189189239</v>
      </c>
      <c r="DT32" s="156">
        <v>0.18378378378378346</v>
      </c>
      <c r="DU32" s="156">
        <v>5.4054054054054175E-2</v>
      </c>
      <c r="DV32" s="156">
        <v>4.324324324324362E-2</v>
      </c>
      <c r="DW32" s="156">
        <v>0</v>
      </c>
      <c r="DX32" s="162">
        <v>185</v>
      </c>
      <c r="DY32" s="155">
        <v>0.8742690058479563</v>
      </c>
      <c r="DZ32" s="156">
        <v>0.10233918128654867</v>
      </c>
      <c r="EA32" s="156">
        <v>1.4619883040935549E-2</v>
      </c>
      <c r="EB32" s="156">
        <v>5.8479532163742184E-3</v>
      </c>
      <c r="EC32" s="156">
        <v>2.9239766081871092E-3</v>
      </c>
      <c r="ED32" s="162">
        <v>342</v>
      </c>
      <c r="EE32" s="155">
        <v>0.65476190476190754</v>
      </c>
      <c r="EF32" s="156">
        <v>0.25000000000000006</v>
      </c>
      <c r="EG32" s="156">
        <v>5.9523809523809507E-2</v>
      </c>
      <c r="EH32" s="156">
        <v>3.5714285714285844E-2</v>
      </c>
      <c r="EI32" s="156">
        <v>0</v>
      </c>
      <c r="EJ32" s="162">
        <v>84</v>
      </c>
      <c r="EK32" s="155">
        <v>0.70886075949366611</v>
      </c>
      <c r="EL32" s="156">
        <v>0.20253164556962225</v>
      </c>
      <c r="EM32" s="156">
        <v>7.5949367088607458E-2</v>
      </c>
      <c r="EN32" s="156">
        <v>1.2658227848101391E-2</v>
      </c>
      <c r="EO32" s="156">
        <v>0</v>
      </c>
      <c r="EP32" s="162">
        <v>79</v>
      </c>
      <c r="EQ32" s="155">
        <v>0.72380952380951558</v>
      </c>
      <c r="ER32" s="156">
        <v>0.21269841269841042</v>
      </c>
      <c r="ES32" s="156">
        <v>2.539682539682531E-2</v>
      </c>
      <c r="ET32" s="156">
        <v>2.2222222222222053E-2</v>
      </c>
      <c r="EU32" s="156">
        <v>1.5873015873015772E-2</v>
      </c>
      <c r="EV32" s="162">
        <v>315</v>
      </c>
      <c r="EW32" s="155">
        <v>0.79874213836476982</v>
      </c>
      <c r="EX32" s="156">
        <v>0.16037735849056589</v>
      </c>
      <c r="EY32" s="156">
        <v>1.8867924528301824E-2</v>
      </c>
      <c r="EZ32" s="156">
        <v>1.257861635220126E-2</v>
      </c>
      <c r="FA32" s="156">
        <v>9.4339622641509118E-3</v>
      </c>
      <c r="FB32" s="162">
        <v>318</v>
      </c>
      <c r="FC32" s="155">
        <v>0.27272727272727321</v>
      </c>
      <c r="FD32" s="156">
        <v>0.18181818181818074</v>
      </c>
      <c r="FE32" s="156">
        <v>0.31818181818181945</v>
      </c>
      <c r="FF32" s="156">
        <v>0.18181818181818074</v>
      </c>
      <c r="FG32" s="156">
        <v>4.5454545454545185E-2</v>
      </c>
      <c r="FH32" s="162">
        <v>22</v>
      </c>
      <c r="FI32" s="161">
        <v>0.31578947368421112</v>
      </c>
      <c r="FJ32" s="156">
        <v>0.10526315789473731</v>
      </c>
      <c r="FK32" s="156">
        <v>0.10526315789473731</v>
      </c>
      <c r="FL32" s="156">
        <v>0.10526315789473731</v>
      </c>
      <c r="FM32" s="156">
        <v>0.36842105263157954</v>
      </c>
      <c r="FN32" s="162">
        <v>19</v>
      </c>
      <c r="FO32" s="155">
        <v>0</v>
      </c>
      <c r="FP32" s="156">
        <v>0</v>
      </c>
      <c r="FQ32" s="156">
        <v>0</v>
      </c>
      <c r="FR32" s="156">
        <v>0</v>
      </c>
      <c r="FS32" s="156">
        <v>0</v>
      </c>
      <c r="FT32" s="162">
        <v>0</v>
      </c>
      <c r="FU32" s="155">
        <v>0</v>
      </c>
      <c r="FV32" s="156">
        <v>0</v>
      </c>
      <c r="FW32" s="156">
        <v>0</v>
      </c>
      <c r="FX32" s="156">
        <v>0</v>
      </c>
      <c r="FY32" s="156">
        <v>0</v>
      </c>
      <c r="FZ32" s="162">
        <v>0</v>
      </c>
      <c r="GA32" s="161">
        <v>0</v>
      </c>
      <c r="GB32" s="156">
        <v>0</v>
      </c>
      <c r="GC32" s="156">
        <v>0</v>
      </c>
      <c r="GD32" s="156">
        <v>0</v>
      </c>
      <c r="GE32" s="156">
        <v>0</v>
      </c>
      <c r="GF32" s="162">
        <v>0</v>
      </c>
      <c r="GG32" s="158">
        <v>9.2229102167183097</v>
      </c>
      <c r="GH32" s="162">
        <v>323</v>
      </c>
      <c r="GI32" s="155">
        <v>0.22028985507246091</v>
      </c>
      <c r="GJ32" s="156">
        <v>0.66666666666666674</v>
      </c>
      <c r="GK32" s="156">
        <v>6.9565217391304501E-2</v>
      </c>
      <c r="GL32" s="156">
        <v>5.7971014492753216E-3</v>
      </c>
      <c r="GM32" s="156">
        <v>3.7681159420289823E-2</v>
      </c>
      <c r="GN32" s="162">
        <v>345</v>
      </c>
      <c r="GO32" s="155">
        <v>0.73099415204677642</v>
      </c>
      <c r="GP32" s="156">
        <v>0.18421052631578802</v>
      </c>
      <c r="GQ32" s="156">
        <v>6.7251461988303535E-2</v>
      </c>
      <c r="GR32" s="156">
        <v>6.1403508771929266E-2</v>
      </c>
      <c r="GS32" s="162">
        <v>342</v>
      </c>
      <c r="GT32" s="163">
        <v>5.3826086956521522</v>
      </c>
      <c r="GU32" s="162">
        <v>345</v>
      </c>
      <c r="GV32" s="155">
        <v>0.8456790123456811</v>
      </c>
      <c r="GW32" s="156">
        <v>0.15432098765432126</v>
      </c>
      <c r="GX32" s="162">
        <v>162</v>
      </c>
      <c r="GY32" s="155">
        <v>0.89333333333332843</v>
      </c>
      <c r="GZ32" s="156">
        <v>0.10666666666666627</v>
      </c>
      <c r="HA32" s="162">
        <v>150</v>
      </c>
      <c r="HB32" s="155">
        <v>0.96904024767801855</v>
      </c>
      <c r="HC32" s="156">
        <v>3.09597523219814E-2</v>
      </c>
      <c r="HD32" s="162">
        <v>323</v>
      </c>
      <c r="HE32" s="161">
        <v>0.90000000000000013</v>
      </c>
      <c r="HF32" s="156">
        <v>0.10000000000000002</v>
      </c>
      <c r="HG32" s="162">
        <v>250</v>
      </c>
      <c r="HH32" s="155">
        <v>0.39999999999999902</v>
      </c>
      <c r="HI32" s="156">
        <v>0.5999999999999992</v>
      </c>
      <c r="HJ32" s="162">
        <v>335</v>
      </c>
      <c r="HK32" s="155">
        <v>1</v>
      </c>
      <c r="HL32" s="156">
        <v>0</v>
      </c>
      <c r="HM32" s="162">
        <v>318</v>
      </c>
      <c r="HN32" s="161">
        <v>2.580645161290334E-2</v>
      </c>
      <c r="HO32" s="156">
        <v>0.13548387096774228</v>
      </c>
      <c r="HP32" s="156">
        <v>0.37741935483871075</v>
      </c>
      <c r="HQ32" s="156">
        <v>0.33870967741935487</v>
      </c>
      <c r="HR32" s="156">
        <v>0.12258064516128903</v>
      </c>
      <c r="HS32" s="160">
        <v>59.71612903225823</v>
      </c>
      <c r="HT32" s="164">
        <v>310</v>
      </c>
      <c r="HU32" s="165">
        <v>4.7619047619047623E-3</v>
      </c>
      <c r="HV32" s="166">
        <v>4.2857142857142858E-2</v>
      </c>
      <c r="HW32" s="166">
        <v>5.7142857142857141E-2</v>
      </c>
      <c r="HX32" s="166">
        <v>4.7619047619047616E-2</v>
      </c>
      <c r="HY32" s="166">
        <v>0.10476190476190476</v>
      </c>
      <c r="HZ32" s="166">
        <v>0.12380952380952381</v>
      </c>
      <c r="IA32" s="166">
        <v>0.1380952380952381</v>
      </c>
      <c r="IB32" s="166">
        <v>0.12857142857142856</v>
      </c>
      <c r="IC32" s="166">
        <v>0.16666666666666666</v>
      </c>
      <c r="ID32" s="166">
        <v>0.18571428571428572</v>
      </c>
      <c r="IE32" s="167">
        <v>210</v>
      </c>
      <c r="IF32" s="155">
        <v>5.357142857142886E-2</v>
      </c>
      <c r="IG32" s="156">
        <v>0.16071428571428506</v>
      </c>
      <c r="IH32" s="156">
        <v>0.39285714285714163</v>
      </c>
      <c r="II32" s="156">
        <v>0.10714285714285772</v>
      </c>
      <c r="IJ32" s="156">
        <v>0.2857142857142867</v>
      </c>
      <c r="IK32" s="162">
        <v>56</v>
      </c>
      <c r="IL32" s="155">
        <v>2.5889967637540399E-2</v>
      </c>
      <c r="IM32" s="156">
        <v>6.4724919093850997E-3</v>
      </c>
      <c r="IN32" s="156">
        <v>1.9417475728155296E-2</v>
      </c>
      <c r="IO32" s="156">
        <v>0.93527508090614209</v>
      </c>
      <c r="IP32" s="156">
        <v>1.2944983818770199E-2</v>
      </c>
      <c r="IQ32" s="162">
        <v>309</v>
      </c>
      <c r="IR32" s="155">
        <v>0.10344827586206952</v>
      </c>
      <c r="IS32" s="156">
        <v>0.89655172413793427</v>
      </c>
      <c r="IT32" s="162">
        <v>58</v>
      </c>
      <c r="IU32" s="161">
        <v>0.16666666666666669</v>
      </c>
      <c r="IV32" s="156">
        <v>0</v>
      </c>
      <c r="IW32" s="156">
        <v>0.83333333333333359</v>
      </c>
      <c r="IX32" s="162">
        <v>6</v>
      </c>
    </row>
    <row r="33" spans="1:258" ht="32.1" customHeight="1" x14ac:dyDescent="0.25">
      <c r="A33" s="110" t="s">
        <v>453</v>
      </c>
      <c r="B33" s="108" t="s">
        <v>572</v>
      </c>
      <c r="C33" s="108" t="s">
        <v>480</v>
      </c>
      <c r="D33" s="109">
        <v>69</v>
      </c>
      <c r="E33" s="139" t="s">
        <v>633</v>
      </c>
      <c r="F33" s="155">
        <v>0</v>
      </c>
      <c r="G33" s="156">
        <v>1</v>
      </c>
      <c r="H33" s="157">
        <v>2</v>
      </c>
      <c r="I33" s="155">
        <v>1</v>
      </c>
      <c r="J33" s="156">
        <v>0</v>
      </c>
      <c r="K33" s="157">
        <v>2</v>
      </c>
      <c r="L33" s="155">
        <v>1</v>
      </c>
      <c r="M33" s="156">
        <v>0</v>
      </c>
      <c r="N33" s="157">
        <v>1</v>
      </c>
      <c r="O33" s="155">
        <v>1</v>
      </c>
      <c r="P33" s="156">
        <v>0</v>
      </c>
      <c r="Q33" s="156">
        <v>0</v>
      </c>
      <c r="R33" s="156">
        <v>0</v>
      </c>
      <c r="S33" s="156">
        <v>0</v>
      </c>
      <c r="T33" s="156">
        <v>0</v>
      </c>
      <c r="U33" s="156">
        <v>0</v>
      </c>
      <c r="V33" s="156">
        <v>0</v>
      </c>
      <c r="W33" s="156">
        <v>0</v>
      </c>
      <c r="X33" s="156">
        <v>0</v>
      </c>
      <c r="Y33" s="157">
        <v>2</v>
      </c>
      <c r="Z33" s="155">
        <v>1</v>
      </c>
      <c r="AA33" s="156">
        <v>1</v>
      </c>
      <c r="AB33" s="156">
        <v>1</v>
      </c>
      <c r="AC33" s="156">
        <v>1</v>
      </c>
      <c r="AD33" s="156">
        <v>0</v>
      </c>
      <c r="AE33" s="156">
        <v>0</v>
      </c>
      <c r="AF33" s="157">
        <v>2</v>
      </c>
      <c r="AG33" s="158">
        <v>9.5</v>
      </c>
      <c r="AH33" s="159">
        <v>2</v>
      </c>
      <c r="AI33" s="160">
        <v>10</v>
      </c>
      <c r="AJ33" s="159">
        <v>2</v>
      </c>
      <c r="AK33" s="160">
        <v>10</v>
      </c>
      <c r="AL33" s="157">
        <v>2</v>
      </c>
      <c r="AM33" s="155">
        <v>1</v>
      </c>
      <c r="AN33" s="156">
        <v>0</v>
      </c>
      <c r="AO33" s="156">
        <v>0</v>
      </c>
      <c r="AP33" s="156">
        <v>0</v>
      </c>
      <c r="AQ33" s="156">
        <v>0</v>
      </c>
      <c r="AR33" s="157">
        <v>2</v>
      </c>
      <c r="AS33" s="155">
        <v>0.5</v>
      </c>
      <c r="AT33" s="156">
        <v>0.5</v>
      </c>
      <c r="AU33" s="156">
        <v>0</v>
      </c>
      <c r="AV33" s="156">
        <v>0</v>
      </c>
      <c r="AW33" s="156">
        <v>0</v>
      </c>
      <c r="AX33" s="157">
        <v>2</v>
      </c>
      <c r="AY33" s="155">
        <v>1</v>
      </c>
      <c r="AZ33" s="156">
        <v>0</v>
      </c>
      <c r="BA33" s="156">
        <v>0</v>
      </c>
      <c r="BB33" s="156">
        <v>0</v>
      </c>
      <c r="BC33" s="156">
        <v>0</v>
      </c>
      <c r="BD33" s="157">
        <v>2</v>
      </c>
      <c r="BE33" s="155">
        <v>1</v>
      </c>
      <c r="BF33" s="156">
        <v>0</v>
      </c>
      <c r="BG33" s="156">
        <v>0</v>
      </c>
      <c r="BH33" s="156">
        <v>0</v>
      </c>
      <c r="BI33" s="156">
        <v>0</v>
      </c>
      <c r="BJ33" s="157">
        <v>2</v>
      </c>
      <c r="BK33" s="155">
        <v>1</v>
      </c>
      <c r="BL33" s="156">
        <v>0</v>
      </c>
      <c r="BM33" s="156">
        <v>0</v>
      </c>
      <c r="BN33" s="156">
        <v>0</v>
      </c>
      <c r="BO33" s="156">
        <v>0</v>
      </c>
      <c r="BP33" s="157">
        <v>2</v>
      </c>
      <c r="BQ33" s="155">
        <v>1</v>
      </c>
      <c r="BR33" s="156">
        <v>0</v>
      </c>
      <c r="BS33" s="156">
        <v>0</v>
      </c>
      <c r="BT33" s="156">
        <v>0</v>
      </c>
      <c r="BU33" s="156">
        <v>0</v>
      </c>
      <c r="BV33" s="157">
        <v>2</v>
      </c>
      <c r="BW33" s="161">
        <v>1</v>
      </c>
      <c r="BX33" s="156">
        <v>0</v>
      </c>
      <c r="BY33" s="156">
        <v>0</v>
      </c>
      <c r="BZ33" s="156">
        <v>0</v>
      </c>
      <c r="CA33" s="156">
        <v>0</v>
      </c>
      <c r="CB33" s="157">
        <v>1</v>
      </c>
      <c r="CC33" s="155">
        <v>0</v>
      </c>
      <c r="CD33" s="156">
        <v>0</v>
      </c>
      <c r="CE33" s="156">
        <v>0</v>
      </c>
      <c r="CF33" s="156">
        <v>0</v>
      </c>
      <c r="CG33" s="156">
        <v>0</v>
      </c>
      <c r="CH33" s="162">
        <v>0</v>
      </c>
      <c r="CI33" s="155">
        <v>0</v>
      </c>
      <c r="CJ33" s="156">
        <v>0</v>
      </c>
      <c r="CK33" s="156">
        <v>0</v>
      </c>
      <c r="CL33" s="156">
        <v>0</v>
      </c>
      <c r="CM33" s="156">
        <v>0</v>
      </c>
      <c r="CN33" s="162">
        <v>0</v>
      </c>
      <c r="CO33" s="155">
        <v>1</v>
      </c>
      <c r="CP33" s="156">
        <v>0</v>
      </c>
      <c r="CQ33" s="156">
        <v>0</v>
      </c>
      <c r="CR33" s="156">
        <v>0</v>
      </c>
      <c r="CS33" s="156">
        <v>0</v>
      </c>
      <c r="CT33" s="162">
        <v>2</v>
      </c>
      <c r="CU33" s="155">
        <v>0.5</v>
      </c>
      <c r="CV33" s="156">
        <v>0.5</v>
      </c>
      <c r="CW33" s="156">
        <v>0</v>
      </c>
      <c r="CX33" s="156">
        <v>0</v>
      </c>
      <c r="CY33" s="156">
        <v>0</v>
      </c>
      <c r="CZ33" s="162">
        <v>2</v>
      </c>
      <c r="DA33" s="155">
        <v>1</v>
      </c>
      <c r="DB33" s="156">
        <v>0</v>
      </c>
      <c r="DC33" s="156">
        <v>0</v>
      </c>
      <c r="DD33" s="156">
        <v>0</v>
      </c>
      <c r="DE33" s="156">
        <v>0</v>
      </c>
      <c r="DF33" s="162">
        <v>1</v>
      </c>
      <c r="DG33" s="155">
        <v>1</v>
      </c>
      <c r="DH33" s="156">
        <v>0</v>
      </c>
      <c r="DI33" s="156">
        <v>0</v>
      </c>
      <c r="DJ33" s="156">
        <v>0</v>
      </c>
      <c r="DK33" s="156">
        <v>0</v>
      </c>
      <c r="DL33" s="162">
        <v>1</v>
      </c>
      <c r="DM33" s="155">
        <v>1</v>
      </c>
      <c r="DN33" s="156">
        <v>0</v>
      </c>
      <c r="DO33" s="156">
        <v>0</v>
      </c>
      <c r="DP33" s="156">
        <v>0</v>
      </c>
      <c r="DQ33" s="156">
        <v>0</v>
      </c>
      <c r="DR33" s="162">
        <v>1</v>
      </c>
      <c r="DS33" s="161">
        <v>1</v>
      </c>
      <c r="DT33" s="156">
        <v>0</v>
      </c>
      <c r="DU33" s="156">
        <v>0</v>
      </c>
      <c r="DV33" s="156">
        <v>0</v>
      </c>
      <c r="DW33" s="156">
        <v>0</v>
      </c>
      <c r="DX33" s="162">
        <v>2</v>
      </c>
      <c r="DY33" s="155">
        <v>1</v>
      </c>
      <c r="DZ33" s="156">
        <v>0</v>
      </c>
      <c r="EA33" s="156">
        <v>0</v>
      </c>
      <c r="EB33" s="156">
        <v>0</v>
      </c>
      <c r="EC33" s="156">
        <v>0</v>
      </c>
      <c r="ED33" s="162">
        <v>2</v>
      </c>
      <c r="EE33" s="155">
        <v>0</v>
      </c>
      <c r="EF33" s="156">
        <v>0</v>
      </c>
      <c r="EG33" s="156">
        <v>0</v>
      </c>
      <c r="EH33" s="156">
        <v>0</v>
      </c>
      <c r="EI33" s="156">
        <v>0</v>
      </c>
      <c r="EJ33" s="162">
        <v>0</v>
      </c>
      <c r="EK33" s="155">
        <v>0</v>
      </c>
      <c r="EL33" s="156">
        <v>0</v>
      </c>
      <c r="EM33" s="156">
        <v>0</v>
      </c>
      <c r="EN33" s="156">
        <v>0</v>
      </c>
      <c r="EO33" s="156">
        <v>0</v>
      </c>
      <c r="EP33" s="162">
        <v>0</v>
      </c>
      <c r="EQ33" s="155">
        <v>1</v>
      </c>
      <c r="ER33" s="156">
        <v>0</v>
      </c>
      <c r="ES33" s="156">
        <v>0</v>
      </c>
      <c r="ET33" s="156">
        <v>0</v>
      </c>
      <c r="EU33" s="156">
        <v>0</v>
      </c>
      <c r="EV33" s="162">
        <v>1</v>
      </c>
      <c r="EW33" s="155">
        <v>1</v>
      </c>
      <c r="EX33" s="156">
        <v>0</v>
      </c>
      <c r="EY33" s="156">
        <v>0</v>
      </c>
      <c r="EZ33" s="156">
        <v>0</v>
      </c>
      <c r="FA33" s="156">
        <v>0</v>
      </c>
      <c r="FB33" s="162">
        <v>1</v>
      </c>
      <c r="FC33" s="155">
        <v>0</v>
      </c>
      <c r="FD33" s="156">
        <v>0</v>
      </c>
      <c r="FE33" s="156">
        <v>0</v>
      </c>
      <c r="FF33" s="156">
        <v>0</v>
      </c>
      <c r="FG33" s="156">
        <v>0</v>
      </c>
      <c r="FH33" s="162">
        <v>0</v>
      </c>
      <c r="FI33" s="161">
        <v>0</v>
      </c>
      <c r="FJ33" s="156">
        <v>0</v>
      </c>
      <c r="FK33" s="156">
        <v>0</v>
      </c>
      <c r="FL33" s="156">
        <v>0</v>
      </c>
      <c r="FM33" s="156">
        <v>0</v>
      </c>
      <c r="FN33" s="162">
        <v>0</v>
      </c>
      <c r="FO33" s="155">
        <v>0</v>
      </c>
      <c r="FP33" s="156">
        <v>0</v>
      </c>
      <c r="FQ33" s="156">
        <v>0</v>
      </c>
      <c r="FR33" s="156">
        <v>0</v>
      </c>
      <c r="FS33" s="156">
        <v>0</v>
      </c>
      <c r="FT33" s="162">
        <v>0</v>
      </c>
      <c r="FU33" s="155">
        <v>0</v>
      </c>
      <c r="FV33" s="156">
        <v>0</v>
      </c>
      <c r="FW33" s="156">
        <v>0</v>
      </c>
      <c r="FX33" s="156">
        <v>0</v>
      </c>
      <c r="FY33" s="156">
        <v>0</v>
      </c>
      <c r="FZ33" s="162">
        <v>0</v>
      </c>
      <c r="GA33" s="161">
        <v>0</v>
      </c>
      <c r="GB33" s="156">
        <v>0</v>
      </c>
      <c r="GC33" s="156">
        <v>0</v>
      </c>
      <c r="GD33" s="156">
        <v>0</v>
      </c>
      <c r="GE33" s="156">
        <v>0</v>
      </c>
      <c r="GF33" s="162">
        <v>0</v>
      </c>
      <c r="GG33" s="158">
        <v>10</v>
      </c>
      <c r="GH33" s="162">
        <v>1</v>
      </c>
      <c r="GI33" s="155">
        <v>0.5</v>
      </c>
      <c r="GJ33" s="156">
        <v>0.5</v>
      </c>
      <c r="GK33" s="156">
        <v>0</v>
      </c>
      <c r="GL33" s="156">
        <v>0</v>
      </c>
      <c r="GM33" s="156">
        <v>0</v>
      </c>
      <c r="GN33" s="162">
        <v>2</v>
      </c>
      <c r="GO33" s="155">
        <v>1</v>
      </c>
      <c r="GP33" s="156">
        <v>0</v>
      </c>
      <c r="GQ33" s="156">
        <v>0</v>
      </c>
      <c r="GR33" s="156">
        <v>0</v>
      </c>
      <c r="GS33" s="162">
        <v>2</v>
      </c>
      <c r="GT33" s="163">
        <v>6</v>
      </c>
      <c r="GU33" s="162">
        <v>2</v>
      </c>
      <c r="GV33" s="155">
        <v>0</v>
      </c>
      <c r="GW33" s="156">
        <v>1</v>
      </c>
      <c r="GX33" s="162">
        <v>1</v>
      </c>
      <c r="GY33" s="155">
        <v>0</v>
      </c>
      <c r="GZ33" s="156">
        <v>1</v>
      </c>
      <c r="HA33" s="162">
        <v>1</v>
      </c>
      <c r="HB33" s="155">
        <v>1</v>
      </c>
      <c r="HC33" s="156">
        <v>0</v>
      </c>
      <c r="HD33" s="162">
        <v>2</v>
      </c>
      <c r="HE33" s="161">
        <v>1</v>
      </c>
      <c r="HF33" s="156">
        <v>0</v>
      </c>
      <c r="HG33" s="162">
        <v>2</v>
      </c>
      <c r="HH33" s="155">
        <v>1</v>
      </c>
      <c r="HI33" s="156">
        <v>0</v>
      </c>
      <c r="HJ33" s="162">
        <v>2</v>
      </c>
      <c r="HK33" s="155">
        <v>1</v>
      </c>
      <c r="HL33" s="156">
        <v>0</v>
      </c>
      <c r="HM33" s="162">
        <v>2</v>
      </c>
      <c r="HN33" s="161">
        <v>0</v>
      </c>
      <c r="HO33" s="156">
        <v>0</v>
      </c>
      <c r="HP33" s="156">
        <v>0.5</v>
      </c>
      <c r="HQ33" s="156">
        <v>0.5</v>
      </c>
      <c r="HR33" s="156">
        <v>0</v>
      </c>
      <c r="HS33" s="160">
        <v>58.5</v>
      </c>
      <c r="HT33" s="164">
        <v>2</v>
      </c>
      <c r="HU33" s="165">
        <v>0</v>
      </c>
      <c r="HV33" s="166">
        <v>0</v>
      </c>
      <c r="HW33" s="166">
        <v>0</v>
      </c>
      <c r="HX33" s="166">
        <v>0</v>
      </c>
      <c r="HY33" s="166">
        <v>0</v>
      </c>
      <c r="HZ33" s="166">
        <v>0</v>
      </c>
      <c r="IA33" s="166">
        <v>1</v>
      </c>
      <c r="IB33" s="166">
        <v>0</v>
      </c>
      <c r="IC33" s="166">
        <v>0</v>
      </c>
      <c r="ID33" s="166">
        <v>0</v>
      </c>
      <c r="IE33" s="167">
        <v>1</v>
      </c>
      <c r="IF33" s="155">
        <v>0</v>
      </c>
      <c r="IG33" s="156">
        <v>0</v>
      </c>
      <c r="IH33" s="156">
        <v>1</v>
      </c>
      <c r="II33" s="156">
        <v>0</v>
      </c>
      <c r="IJ33" s="156">
        <v>0</v>
      </c>
      <c r="IK33" s="162">
        <v>1</v>
      </c>
      <c r="IL33" s="155">
        <v>0</v>
      </c>
      <c r="IM33" s="156">
        <v>0</v>
      </c>
      <c r="IN33" s="156">
        <v>0</v>
      </c>
      <c r="IO33" s="156">
        <v>1</v>
      </c>
      <c r="IP33" s="156">
        <v>0</v>
      </c>
      <c r="IQ33" s="162">
        <v>2</v>
      </c>
      <c r="IR33" s="155">
        <v>0</v>
      </c>
      <c r="IS33" s="156">
        <v>1</v>
      </c>
      <c r="IT33" s="162">
        <v>2</v>
      </c>
      <c r="IU33" s="161">
        <v>0</v>
      </c>
      <c r="IV33" s="156">
        <v>0</v>
      </c>
      <c r="IW33" s="156">
        <v>0</v>
      </c>
      <c r="IX33" s="162">
        <v>0</v>
      </c>
    </row>
    <row r="34" spans="1:258" ht="32.1" customHeight="1" x14ac:dyDescent="0.25">
      <c r="A34" s="110" t="s">
        <v>453</v>
      </c>
      <c r="B34" s="108" t="s">
        <v>588</v>
      </c>
      <c r="C34" s="108" t="s">
        <v>454</v>
      </c>
      <c r="D34" s="109">
        <v>74</v>
      </c>
      <c r="E34" s="139" t="s">
        <v>598</v>
      </c>
      <c r="F34" s="155">
        <v>0.28571428571428487</v>
      </c>
      <c r="G34" s="156">
        <v>0.71428571428571486</v>
      </c>
      <c r="H34" s="157">
        <v>70</v>
      </c>
      <c r="I34" s="155">
        <v>0.83673469387755128</v>
      </c>
      <c r="J34" s="156">
        <v>0.16326530612244861</v>
      </c>
      <c r="K34" s="157">
        <v>49</v>
      </c>
      <c r="L34" s="155">
        <v>0.54761904761904734</v>
      </c>
      <c r="M34" s="156">
        <v>0.45238095238095183</v>
      </c>
      <c r="N34" s="157">
        <v>42</v>
      </c>
      <c r="O34" s="155">
        <v>0.40277777777777779</v>
      </c>
      <c r="P34" s="156">
        <v>0.12499999999999994</v>
      </c>
      <c r="Q34" s="156">
        <v>0.37499999999999989</v>
      </c>
      <c r="R34" s="156">
        <v>0</v>
      </c>
      <c r="S34" s="156">
        <v>0.23611111111111077</v>
      </c>
      <c r="T34" s="156">
        <v>0.16666666666666621</v>
      </c>
      <c r="U34" s="156">
        <v>0</v>
      </c>
      <c r="V34" s="156">
        <v>6.9444444444444364E-2</v>
      </c>
      <c r="W34" s="156">
        <v>8.3333333333333107E-2</v>
      </c>
      <c r="X34" s="156">
        <v>9.7222222222222127E-2</v>
      </c>
      <c r="Y34" s="157">
        <v>72</v>
      </c>
      <c r="Z34" s="155">
        <v>0.83333333333333426</v>
      </c>
      <c r="AA34" s="156">
        <v>0.13636363636363613</v>
      </c>
      <c r="AB34" s="156">
        <v>0.59090909090909094</v>
      </c>
      <c r="AC34" s="156">
        <v>0.57575757575757569</v>
      </c>
      <c r="AD34" s="156">
        <v>0.12121212121212108</v>
      </c>
      <c r="AE34" s="156">
        <v>0.13636363636363613</v>
      </c>
      <c r="AF34" s="157">
        <v>66</v>
      </c>
      <c r="AG34" s="158">
        <v>9.8088235294117432</v>
      </c>
      <c r="AH34" s="159">
        <v>68</v>
      </c>
      <c r="AI34" s="160">
        <v>9.7941176470587923</v>
      </c>
      <c r="AJ34" s="159">
        <v>68</v>
      </c>
      <c r="AK34" s="160">
        <v>9.8307692307691994</v>
      </c>
      <c r="AL34" s="157">
        <v>65</v>
      </c>
      <c r="AM34" s="155">
        <v>0.44776119402984965</v>
      </c>
      <c r="AN34" s="156">
        <v>0.43283582089552175</v>
      </c>
      <c r="AO34" s="156">
        <v>2.9850746268656678E-2</v>
      </c>
      <c r="AP34" s="156">
        <v>7.4626865671641604E-2</v>
      </c>
      <c r="AQ34" s="156">
        <v>1.4925373134328339E-2</v>
      </c>
      <c r="AR34" s="157">
        <v>67</v>
      </c>
      <c r="AS34" s="155">
        <v>0.7464788732394364</v>
      </c>
      <c r="AT34" s="156">
        <v>0.21126760563380237</v>
      </c>
      <c r="AU34" s="156">
        <v>4.2253521126760528E-2</v>
      </c>
      <c r="AV34" s="156">
        <v>0</v>
      </c>
      <c r="AW34" s="156">
        <v>0</v>
      </c>
      <c r="AX34" s="157">
        <v>71</v>
      </c>
      <c r="AY34" s="155">
        <v>0.75714285714285656</v>
      </c>
      <c r="AZ34" s="156">
        <v>0.21428571428571389</v>
      </c>
      <c r="BA34" s="156">
        <v>2.8571428571428546E-2</v>
      </c>
      <c r="BB34" s="156">
        <v>0</v>
      </c>
      <c r="BC34" s="156">
        <v>0</v>
      </c>
      <c r="BD34" s="157">
        <v>70</v>
      </c>
      <c r="BE34" s="155">
        <v>0.81690140845070358</v>
      </c>
      <c r="BF34" s="156">
        <v>0.16901408450704211</v>
      </c>
      <c r="BG34" s="156">
        <v>1.4084507042253492E-2</v>
      </c>
      <c r="BH34" s="156">
        <v>0</v>
      </c>
      <c r="BI34" s="156">
        <v>0</v>
      </c>
      <c r="BJ34" s="157">
        <v>71</v>
      </c>
      <c r="BK34" s="155">
        <v>0.66176470588235203</v>
      </c>
      <c r="BL34" s="156">
        <v>0.32352941176470529</v>
      </c>
      <c r="BM34" s="156">
        <v>1.4705882352941157E-2</v>
      </c>
      <c r="BN34" s="156">
        <v>0</v>
      </c>
      <c r="BO34" s="156">
        <v>0</v>
      </c>
      <c r="BP34" s="157">
        <v>68</v>
      </c>
      <c r="BQ34" s="155">
        <v>0.7464788732394364</v>
      </c>
      <c r="BR34" s="156">
        <v>0.21126760563380237</v>
      </c>
      <c r="BS34" s="156">
        <v>2.8169014084506984E-2</v>
      </c>
      <c r="BT34" s="156">
        <v>1.4084507042253492E-2</v>
      </c>
      <c r="BU34" s="156">
        <v>0</v>
      </c>
      <c r="BV34" s="157">
        <v>71</v>
      </c>
      <c r="BW34" s="161">
        <v>0.68181818181818088</v>
      </c>
      <c r="BX34" s="156">
        <v>9.0909090909091106E-2</v>
      </c>
      <c r="BY34" s="156">
        <v>9.0909090909091106E-2</v>
      </c>
      <c r="BZ34" s="156">
        <v>9.0909090909091106E-2</v>
      </c>
      <c r="CA34" s="156">
        <v>4.5454545454545553E-2</v>
      </c>
      <c r="CB34" s="157">
        <v>22</v>
      </c>
      <c r="CC34" s="155">
        <v>0.85454545454545328</v>
      </c>
      <c r="CD34" s="156">
        <v>0.12727272727272723</v>
      </c>
      <c r="CE34" s="156">
        <v>1.8181818181818139E-2</v>
      </c>
      <c r="CF34" s="156">
        <v>0</v>
      </c>
      <c r="CG34" s="156">
        <v>0</v>
      </c>
      <c r="CH34" s="162">
        <v>55</v>
      </c>
      <c r="CI34" s="155">
        <v>0.66666666666666652</v>
      </c>
      <c r="CJ34" s="156">
        <v>0.31481481481481455</v>
      </c>
      <c r="CK34" s="156">
        <v>1.8518518518518486E-2</v>
      </c>
      <c r="CL34" s="156">
        <v>0</v>
      </c>
      <c r="CM34" s="156">
        <v>0</v>
      </c>
      <c r="CN34" s="162">
        <v>54</v>
      </c>
      <c r="CO34" s="155">
        <v>0.54545454545454508</v>
      </c>
      <c r="CP34" s="156">
        <v>0.36363636363636326</v>
      </c>
      <c r="CQ34" s="156">
        <v>3.6363636363636279E-2</v>
      </c>
      <c r="CR34" s="156">
        <v>3.6363636363636279E-2</v>
      </c>
      <c r="CS34" s="156">
        <v>1.8181818181818139E-2</v>
      </c>
      <c r="CT34" s="162">
        <v>55</v>
      </c>
      <c r="CU34" s="155">
        <v>0.58181818181818101</v>
      </c>
      <c r="CV34" s="156">
        <v>0.36363636363636326</v>
      </c>
      <c r="CW34" s="156">
        <v>1.8181818181818139E-2</v>
      </c>
      <c r="CX34" s="156">
        <v>1.8181818181818139E-2</v>
      </c>
      <c r="CY34" s="156">
        <v>1.8181818181818139E-2</v>
      </c>
      <c r="CZ34" s="162">
        <v>55</v>
      </c>
      <c r="DA34" s="155">
        <v>0.70731707317073134</v>
      </c>
      <c r="DB34" s="156">
        <v>0.26829268292682867</v>
      </c>
      <c r="DC34" s="156">
        <v>0</v>
      </c>
      <c r="DD34" s="156">
        <v>2.4390243902439004E-2</v>
      </c>
      <c r="DE34" s="156">
        <v>0</v>
      </c>
      <c r="DF34" s="162">
        <v>41</v>
      </c>
      <c r="DG34" s="155">
        <v>0.63157894736842035</v>
      </c>
      <c r="DH34" s="156">
        <v>0.36842105263157882</v>
      </c>
      <c r="DI34" s="156">
        <v>0</v>
      </c>
      <c r="DJ34" s="156">
        <v>0</v>
      </c>
      <c r="DK34" s="156">
        <v>0</v>
      </c>
      <c r="DL34" s="162">
        <v>38</v>
      </c>
      <c r="DM34" s="155">
        <v>0.66666666666666596</v>
      </c>
      <c r="DN34" s="156">
        <v>0.27272727272727254</v>
      </c>
      <c r="DO34" s="156">
        <v>0</v>
      </c>
      <c r="DP34" s="156">
        <v>6.0606060606060615E-2</v>
      </c>
      <c r="DQ34" s="156">
        <v>0</v>
      </c>
      <c r="DR34" s="162">
        <v>33</v>
      </c>
      <c r="DS34" s="161">
        <v>0.62499999999999989</v>
      </c>
      <c r="DT34" s="156">
        <v>0.28124999999999994</v>
      </c>
      <c r="DU34" s="156">
        <v>6.2499999999999993E-2</v>
      </c>
      <c r="DV34" s="156">
        <v>3.1249999999999997E-2</v>
      </c>
      <c r="DW34" s="156">
        <v>0</v>
      </c>
      <c r="DX34" s="162">
        <v>32</v>
      </c>
      <c r="DY34" s="155">
        <v>0.88571428571428468</v>
      </c>
      <c r="DZ34" s="156">
        <v>9.9999999999999964E-2</v>
      </c>
      <c r="EA34" s="156">
        <v>1.4285714285714273E-2</v>
      </c>
      <c r="EB34" s="156">
        <v>0</v>
      </c>
      <c r="EC34" s="156">
        <v>0</v>
      </c>
      <c r="ED34" s="162">
        <v>70</v>
      </c>
      <c r="EE34" s="155">
        <v>0.75757575757575712</v>
      </c>
      <c r="EF34" s="156">
        <v>0.21212121212121229</v>
      </c>
      <c r="EG34" s="156">
        <v>3.0303030303030307E-2</v>
      </c>
      <c r="EH34" s="156">
        <v>0</v>
      </c>
      <c r="EI34" s="156">
        <v>0</v>
      </c>
      <c r="EJ34" s="162">
        <v>33</v>
      </c>
      <c r="EK34" s="155">
        <v>0.74193548387096664</v>
      </c>
      <c r="EL34" s="156">
        <v>0.19354838709677399</v>
      </c>
      <c r="EM34" s="156">
        <v>6.4516129032257966E-2</v>
      </c>
      <c r="EN34" s="156">
        <v>0</v>
      </c>
      <c r="EO34" s="156">
        <v>0</v>
      </c>
      <c r="EP34" s="162">
        <v>31</v>
      </c>
      <c r="EQ34" s="155">
        <v>0.75510204081632692</v>
      </c>
      <c r="ER34" s="156">
        <v>0.18367346938775495</v>
      </c>
      <c r="ES34" s="156">
        <v>2.0408163265306124E-2</v>
      </c>
      <c r="ET34" s="156">
        <v>2.0408163265306124E-2</v>
      </c>
      <c r="EU34" s="156">
        <v>2.0408163265306124E-2</v>
      </c>
      <c r="EV34" s="162">
        <v>49</v>
      </c>
      <c r="EW34" s="155">
        <v>0.72093023255813915</v>
      </c>
      <c r="EX34" s="156">
        <v>0.20930232558139536</v>
      </c>
      <c r="EY34" s="156">
        <v>2.3255813953488379E-2</v>
      </c>
      <c r="EZ34" s="156">
        <v>4.6511627906976757E-2</v>
      </c>
      <c r="FA34" s="156">
        <v>0</v>
      </c>
      <c r="FB34" s="162">
        <v>43</v>
      </c>
      <c r="FC34" s="155">
        <v>0.5</v>
      </c>
      <c r="FD34" s="156">
        <v>0.2272727272727274</v>
      </c>
      <c r="FE34" s="156">
        <v>0.18181818181818221</v>
      </c>
      <c r="FF34" s="156">
        <v>4.5454545454545553E-2</v>
      </c>
      <c r="FG34" s="156">
        <v>4.5454545454545553E-2</v>
      </c>
      <c r="FH34" s="162">
        <v>22</v>
      </c>
      <c r="FI34" s="161">
        <v>0.45454545454545481</v>
      </c>
      <c r="FJ34" s="156">
        <v>0.18181818181818221</v>
      </c>
      <c r="FK34" s="156">
        <v>0.18181818181818221</v>
      </c>
      <c r="FL34" s="156">
        <v>0.18181818181818221</v>
      </c>
      <c r="FM34" s="156">
        <v>0</v>
      </c>
      <c r="FN34" s="162">
        <v>11</v>
      </c>
      <c r="FO34" s="155">
        <v>0</v>
      </c>
      <c r="FP34" s="156">
        <v>0</v>
      </c>
      <c r="FQ34" s="156">
        <v>0</v>
      </c>
      <c r="FR34" s="156">
        <v>0</v>
      </c>
      <c r="FS34" s="156">
        <v>0</v>
      </c>
      <c r="FT34" s="162">
        <v>0</v>
      </c>
      <c r="FU34" s="155">
        <v>0</v>
      </c>
      <c r="FV34" s="156">
        <v>0</v>
      </c>
      <c r="FW34" s="156">
        <v>0</v>
      </c>
      <c r="FX34" s="156">
        <v>0</v>
      </c>
      <c r="FY34" s="156">
        <v>0</v>
      </c>
      <c r="FZ34" s="162">
        <v>0</v>
      </c>
      <c r="GA34" s="161">
        <v>0</v>
      </c>
      <c r="GB34" s="156">
        <v>0</v>
      </c>
      <c r="GC34" s="156">
        <v>0</v>
      </c>
      <c r="GD34" s="156">
        <v>0</v>
      </c>
      <c r="GE34" s="156">
        <v>0</v>
      </c>
      <c r="GF34" s="162">
        <v>0</v>
      </c>
      <c r="GG34" s="158">
        <v>9.3692307692307484</v>
      </c>
      <c r="GH34" s="162">
        <v>65</v>
      </c>
      <c r="GI34" s="155">
        <v>0</v>
      </c>
      <c r="GJ34" s="156">
        <v>0.89855072463768038</v>
      </c>
      <c r="GK34" s="156">
        <v>5.7971014492753596E-2</v>
      </c>
      <c r="GL34" s="156">
        <v>4.3478260869565084E-2</v>
      </c>
      <c r="GM34" s="156">
        <v>0</v>
      </c>
      <c r="GN34" s="162">
        <v>69</v>
      </c>
      <c r="GO34" s="155">
        <v>0.47826086956521785</v>
      </c>
      <c r="GP34" s="156">
        <v>0.28985507246376724</v>
      </c>
      <c r="GQ34" s="156">
        <v>0.17391304347826042</v>
      </c>
      <c r="GR34" s="156">
        <v>0.11594202898550694</v>
      </c>
      <c r="GS34" s="162">
        <v>69</v>
      </c>
      <c r="GT34" s="163">
        <v>3.4117647058823484</v>
      </c>
      <c r="GU34" s="162">
        <v>68</v>
      </c>
      <c r="GV34" s="155">
        <v>0.88235294117646912</v>
      </c>
      <c r="GW34" s="156">
        <v>0.1176470588235293</v>
      </c>
      <c r="GX34" s="162">
        <v>34</v>
      </c>
      <c r="GY34" s="155">
        <v>0.89189189189189177</v>
      </c>
      <c r="GZ34" s="156">
        <v>0.10810810810810807</v>
      </c>
      <c r="HA34" s="162">
        <v>37</v>
      </c>
      <c r="HB34" s="155">
        <v>0.87931034482758774</v>
      </c>
      <c r="HC34" s="156">
        <v>0.1206896551724137</v>
      </c>
      <c r="HD34" s="162">
        <v>58</v>
      </c>
      <c r="HE34" s="161">
        <v>0.8571428571428561</v>
      </c>
      <c r="HF34" s="156">
        <v>0.14285714285714249</v>
      </c>
      <c r="HG34" s="162">
        <v>42</v>
      </c>
      <c r="HH34" s="155">
        <v>0.35714285714285737</v>
      </c>
      <c r="HI34" s="156">
        <v>0.64285714285714279</v>
      </c>
      <c r="HJ34" s="162">
        <v>70</v>
      </c>
      <c r="HK34" s="155">
        <v>1</v>
      </c>
      <c r="HL34" s="156">
        <v>0</v>
      </c>
      <c r="HM34" s="162">
        <v>66</v>
      </c>
      <c r="HN34" s="161">
        <v>4.6153846153846059E-2</v>
      </c>
      <c r="HO34" s="156">
        <v>0.16923076923076902</v>
      </c>
      <c r="HP34" s="156">
        <v>0.43076923076923007</v>
      </c>
      <c r="HQ34" s="156">
        <v>0.26153846153846139</v>
      </c>
      <c r="HR34" s="156">
        <v>9.2307692307692119E-2</v>
      </c>
      <c r="HS34" s="160">
        <v>57.092307692307685</v>
      </c>
      <c r="HT34" s="164">
        <v>65</v>
      </c>
      <c r="HU34" s="165">
        <v>1.7241379310344827E-2</v>
      </c>
      <c r="HV34" s="166">
        <v>8.6206896551724144E-2</v>
      </c>
      <c r="HW34" s="166">
        <v>5.1724137931034482E-2</v>
      </c>
      <c r="HX34" s="166">
        <v>6.8965517241379309E-2</v>
      </c>
      <c r="HY34" s="166">
        <v>0.10344827586206896</v>
      </c>
      <c r="HZ34" s="166">
        <v>0.15517241379310345</v>
      </c>
      <c r="IA34" s="166">
        <v>0.1206896551724138</v>
      </c>
      <c r="IB34" s="166">
        <v>0.13793103448275862</v>
      </c>
      <c r="IC34" s="166">
        <v>0.10344827586206896</v>
      </c>
      <c r="ID34" s="166">
        <v>0.15517241379310345</v>
      </c>
      <c r="IE34" s="167">
        <v>58</v>
      </c>
      <c r="IF34" s="155">
        <v>0</v>
      </c>
      <c r="IG34" s="156">
        <v>0.4</v>
      </c>
      <c r="IH34" s="156">
        <v>0.2</v>
      </c>
      <c r="II34" s="156">
        <v>0.2</v>
      </c>
      <c r="IJ34" s="156">
        <v>0.2</v>
      </c>
      <c r="IK34" s="162">
        <v>5</v>
      </c>
      <c r="IL34" s="155">
        <v>1.4285714285714273E-2</v>
      </c>
      <c r="IM34" s="156">
        <v>1.4285714285714273E-2</v>
      </c>
      <c r="IN34" s="156">
        <v>5.7142857142857093E-2</v>
      </c>
      <c r="IO34" s="156">
        <v>0.87142857142857111</v>
      </c>
      <c r="IP34" s="156">
        <v>4.2857142857142788E-2</v>
      </c>
      <c r="IQ34" s="162">
        <v>70</v>
      </c>
      <c r="IR34" s="155">
        <v>0.10447761194029827</v>
      </c>
      <c r="IS34" s="156">
        <v>0.89552238805970075</v>
      </c>
      <c r="IT34" s="162">
        <v>67</v>
      </c>
      <c r="IU34" s="161">
        <v>0</v>
      </c>
      <c r="IV34" s="156">
        <v>0.42857142857142849</v>
      </c>
      <c r="IW34" s="156">
        <v>0.57142857142857162</v>
      </c>
      <c r="IX34" s="162">
        <v>7</v>
      </c>
    </row>
    <row r="35" spans="1:258" ht="32.1" customHeight="1" x14ac:dyDescent="0.25">
      <c r="A35" s="110" t="s">
        <v>453</v>
      </c>
      <c r="B35" s="108" t="s">
        <v>588</v>
      </c>
      <c r="C35" s="108" t="s">
        <v>454</v>
      </c>
      <c r="D35" s="109">
        <v>79</v>
      </c>
      <c r="E35" s="139" t="s">
        <v>485</v>
      </c>
      <c r="F35" s="155">
        <v>0.30588235294117694</v>
      </c>
      <c r="G35" s="156">
        <v>0.69411764705882617</v>
      </c>
      <c r="H35" s="157">
        <v>85</v>
      </c>
      <c r="I35" s="155">
        <v>0.87500000000000011</v>
      </c>
      <c r="J35" s="156">
        <v>0.125</v>
      </c>
      <c r="K35" s="157">
        <v>56</v>
      </c>
      <c r="L35" s="155">
        <v>0.38636363636363574</v>
      </c>
      <c r="M35" s="156">
        <v>0.61363636363636365</v>
      </c>
      <c r="N35" s="157">
        <v>44</v>
      </c>
      <c r="O35" s="155">
        <v>0.2619047619047627</v>
      </c>
      <c r="P35" s="156">
        <v>3.5714285714285705E-2</v>
      </c>
      <c r="Q35" s="156">
        <v>0.2619047619047627</v>
      </c>
      <c r="R35" s="156">
        <v>2.3809523809523874E-2</v>
      </c>
      <c r="S35" s="156">
        <v>0.36904761904762023</v>
      </c>
      <c r="T35" s="156">
        <v>0.14285714285714285</v>
      </c>
      <c r="U35" s="156">
        <v>3.5714285714285705E-2</v>
      </c>
      <c r="V35" s="156">
        <v>4.7619047619047748E-2</v>
      </c>
      <c r="W35" s="156">
        <v>3.5714285714285705E-2</v>
      </c>
      <c r="X35" s="156">
        <v>0.17857142857142896</v>
      </c>
      <c r="Y35" s="157">
        <v>84</v>
      </c>
      <c r="Z35" s="155">
        <v>0.33333333333333298</v>
      </c>
      <c r="AA35" s="156">
        <v>0.27536231884058077</v>
      </c>
      <c r="AB35" s="156">
        <v>0.18840579710144931</v>
      </c>
      <c r="AC35" s="156">
        <v>8.6956521739130654E-2</v>
      </c>
      <c r="AD35" s="156">
        <v>4.3478260869565327E-2</v>
      </c>
      <c r="AE35" s="156">
        <v>0.36231884057971081</v>
      </c>
      <c r="AF35" s="157">
        <v>69</v>
      </c>
      <c r="AG35" s="158">
        <v>9.6266666666666669</v>
      </c>
      <c r="AH35" s="159">
        <v>75</v>
      </c>
      <c r="AI35" s="160">
        <v>9.7368421052631522</v>
      </c>
      <c r="AJ35" s="159">
        <v>76</v>
      </c>
      <c r="AK35" s="160">
        <v>9.7014925373134471</v>
      </c>
      <c r="AL35" s="157">
        <v>67</v>
      </c>
      <c r="AM35" s="155">
        <v>0.57333333333333369</v>
      </c>
      <c r="AN35" s="156">
        <v>0.3066666666666667</v>
      </c>
      <c r="AO35" s="156">
        <v>6.6666666666666707E-2</v>
      </c>
      <c r="AP35" s="156">
        <v>4.0000000000000008E-2</v>
      </c>
      <c r="AQ35" s="156">
        <v>1.3333333333333319E-2</v>
      </c>
      <c r="AR35" s="157">
        <v>75</v>
      </c>
      <c r="AS35" s="155">
        <v>0.80246913580246859</v>
      </c>
      <c r="AT35" s="156">
        <v>0.19753086419753121</v>
      </c>
      <c r="AU35" s="156">
        <v>0</v>
      </c>
      <c r="AV35" s="156">
        <v>0</v>
      </c>
      <c r="AW35" s="156">
        <v>0</v>
      </c>
      <c r="AX35" s="157">
        <v>81</v>
      </c>
      <c r="AY35" s="155">
        <v>0.74358974358974539</v>
      </c>
      <c r="AZ35" s="156">
        <v>0.19230769230769279</v>
      </c>
      <c r="BA35" s="156">
        <v>3.8461538461538533E-2</v>
      </c>
      <c r="BB35" s="156">
        <v>2.5641025641025689E-2</v>
      </c>
      <c r="BC35" s="156">
        <v>0</v>
      </c>
      <c r="BD35" s="157">
        <v>78</v>
      </c>
      <c r="BE35" s="155">
        <v>0.76250000000000018</v>
      </c>
      <c r="BF35" s="156">
        <v>0.22500000000000014</v>
      </c>
      <c r="BG35" s="156">
        <v>1.2500000000000006E-2</v>
      </c>
      <c r="BH35" s="156">
        <v>0</v>
      </c>
      <c r="BI35" s="156">
        <v>0</v>
      </c>
      <c r="BJ35" s="157">
        <v>80</v>
      </c>
      <c r="BK35" s="155">
        <v>0.51785714285714324</v>
      </c>
      <c r="BL35" s="156">
        <v>0.26785714285714257</v>
      </c>
      <c r="BM35" s="156">
        <v>0.14285714285714285</v>
      </c>
      <c r="BN35" s="156">
        <v>7.1428571428571425E-2</v>
      </c>
      <c r="BO35" s="156">
        <v>0</v>
      </c>
      <c r="BP35" s="157">
        <v>56</v>
      </c>
      <c r="BQ35" s="155">
        <v>0.76056338028169179</v>
      </c>
      <c r="BR35" s="156">
        <v>0.16901408450704211</v>
      </c>
      <c r="BS35" s="156">
        <v>7.0422535211267775E-2</v>
      </c>
      <c r="BT35" s="156">
        <v>0</v>
      </c>
      <c r="BU35" s="156">
        <v>0</v>
      </c>
      <c r="BV35" s="157">
        <v>71</v>
      </c>
      <c r="BW35" s="161">
        <v>0.73076923076922939</v>
      </c>
      <c r="BX35" s="156">
        <v>0.15384615384615399</v>
      </c>
      <c r="BY35" s="156">
        <v>3.8461538461538498E-2</v>
      </c>
      <c r="BZ35" s="156">
        <v>7.6923076923076997E-2</v>
      </c>
      <c r="CA35" s="156">
        <v>0</v>
      </c>
      <c r="CB35" s="157">
        <v>26</v>
      </c>
      <c r="CC35" s="155">
        <v>0.73913043478260931</v>
      </c>
      <c r="CD35" s="156">
        <v>0.17391304347826061</v>
      </c>
      <c r="CE35" s="156">
        <v>6.5217391304347644E-2</v>
      </c>
      <c r="CF35" s="156">
        <v>0</v>
      </c>
      <c r="CG35" s="156">
        <v>2.1739130434782577E-2</v>
      </c>
      <c r="CH35" s="162">
        <v>46</v>
      </c>
      <c r="CI35" s="155">
        <v>0.69230769230769296</v>
      </c>
      <c r="CJ35" s="156">
        <v>0.2051282051282054</v>
      </c>
      <c r="CK35" s="156">
        <v>7.6923076923076983E-2</v>
      </c>
      <c r="CL35" s="156">
        <v>2.5641025641025675E-2</v>
      </c>
      <c r="CM35" s="156">
        <v>0</v>
      </c>
      <c r="CN35" s="162">
        <v>39</v>
      </c>
      <c r="CO35" s="155">
        <v>0.55555555555555625</v>
      </c>
      <c r="CP35" s="156">
        <v>0.29629629629629572</v>
      </c>
      <c r="CQ35" s="156">
        <v>0.11111111111111092</v>
      </c>
      <c r="CR35" s="156">
        <v>0</v>
      </c>
      <c r="CS35" s="156">
        <v>3.7037037037036966E-2</v>
      </c>
      <c r="CT35" s="162">
        <v>27</v>
      </c>
      <c r="CU35" s="155">
        <v>0.47999999999999993</v>
      </c>
      <c r="CV35" s="156">
        <v>0.35999999999999993</v>
      </c>
      <c r="CW35" s="156">
        <v>0.15999999999999998</v>
      </c>
      <c r="CX35" s="156">
        <v>0</v>
      </c>
      <c r="CY35" s="156">
        <v>0</v>
      </c>
      <c r="CZ35" s="162">
        <v>25</v>
      </c>
      <c r="DA35" s="155">
        <v>0.62962962962962887</v>
      </c>
      <c r="DB35" s="156">
        <v>0.1851851851851849</v>
      </c>
      <c r="DC35" s="156">
        <v>0.1851851851851849</v>
      </c>
      <c r="DD35" s="156">
        <v>0</v>
      </c>
      <c r="DE35" s="156">
        <v>0</v>
      </c>
      <c r="DF35" s="162">
        <v>27</v>
      </c>
      <c r="DG35" s="155">
        <v>0.6666666666666673</v>
      </c>
      <c r="DH35" s="156">
        <v>0.20833333333333304</v>
      </c>
      <c r="DI35" s="156">
        <v>8.3333333333333412E-2</v>
      </c>
      <c r="DJ35" s="156">
        <v>4.1666666666666706E-2</v>
      </c>
      <c r="DK35" s="156">
        <v>0</v>
      </c>
      <c r="DL35" s="162">
        <v>24</v>
      </c>
      <c r="DM35" s="155">
        <v>0.5714285714285714</v>
      </c>
      <c r="DN35" s="156">
        <v>0.24999999999999997</v>
      </c>
      <c r="DO35" s="156">
        <v>0.10714285714285693</v>
      </c>
      <c r="DP35" s="156">
        <v>3.5714285714285712E-2</v>
      </c>
      <c r="DQ35" s="156">
        <v>3.5714285714285712E-2</v>
      </c>
      <c r="DR35" s="162">
        <v>28</v>
      </c>
      <c r="DS35" s="161">
        <v>0.49999999999999994</v>
      </c>
      <c r="DT35" s="156">
        <v>0.19999999999999996</v>
      </c>
      <c r="DU35" s="156">
        <v>0.19999999999999996</v>
      </c>
      <c r="DV35" s="156">
        <v>9.9999999999999978E-2</v>
      </c>
      <c r="DW35" s="156">
        <v>0</v>
      </c>
      <c r="DX35" s="162">
        <v>30</v>
      </c>
      <c r="DY35" s="155">
        <v>0.82894736842105188</v>
      </c>
      <c r="DZ35" s="156">
        <v>7.8947368421052821E-2</v>
      </c>
      <c r="EA35" s="156">
        <v>2.631578947368432E-2</v>
      </c>
      <c r="EB35" s="156">
        <v>6.5789473684210509E-2</v>
      </c>
      <c r="EC35" s="156">
        <v>0</v>
      </c>
      <c r="ED35" s="162">
        <v>76</v>
      </c>
      <c r="EE35" s="155">
        <v>0.73333333333333239</v>
      </c>
      <c r="EF35" s="156">
        <v>0.19999999999999996</v>
      </c>
      <c r="EG35" s="156">
        <v>6.6666666666666638E-2</v>
      </c>
      <c r="EH35" s="156">
        <v>0</v>
      </c>
      <c r="EI35" s="156">
        <v>0</v>
      </c>
      <c r="EJ35" s="162">
        <v>30</v>
      </c>
      <c r="EK35" s="155">
        <v>0.65714285714285614</v>
      </c>
      <c r="EL35" s="156">
        <v>0.19999999999999996</v>
      </c>
      <c r="EM35" s="156">
        <v>0.14285714285714243</v>
      </c>
      <c r="EN35" s="156">
        <v>0</v>
      </c>
      <c r="EO35" s="156">
        <v>0</v>
      </c>
      <c r="EP35" s="162">
        <v>35</v>
      </c>
      <c r="EQ35" s="155">
        <v>0.76</v>
      </c>
      <c r="ER35" s="156">
        <v>0.15999999999999998</v>
      </c>
      <c r="ES35" s="156">
        <v>7.9999999999999988E-2</v>
      </c>
      <c r="ET35" s="156">
        <v>0</v>
      </c>
      <c r="EU35" s="156">
        <v>0</v>
      </c>
      <c r="EV35" s="162">
        <v>25</v>
      </c>
      <c r="EW35" s="155">
        <v>0.69565217391304246</v>
      </c>
      <c r="EX35" s="156">
        <v>0.30434782608695637</v>
      </c>
      <c r="EY35" s="156">
        <v>0</v>
      </c>
      <c r="EZ35" s="156">
        <v>0</v>
      </c>
      <c r="FA35" s="156">
        <v>0</v>
      </c>
      <c r="FB35" s="162">
        <v>23</v>
      </c>
      <c r="FC35" s="155">
        <v>0.72</v>
      </c>
      <c r="FD35" s="156">
        <v>0.19999999999999996</v>
      </c>
      <c r="FE35" s="156">
        <v>3.9999999999999994E-2</v>
      </c>
      <c r="FF35" s="156">
        <v>3.9999999999999994E-2</v>
      </c>
      <c r="FG35" s="156">
        <v>0</v>
      </c>
      <c r="FH35" s="162">
        <v>25</v>
      </c>
      <c r="FI35" s="161">
        <v>0.77777777777777612</v>
      </c>
      <c r="FJ35" s="156">
        <v>0.1851851851851849</v>
      </c>
      <c r="FK35" s="156">
        <v>0</v>
      </c>
      <c r="FL35" s="156">
        <v>3.7037037037036966E-2</v>
      </c>
      <c r="FM35" s="156">
        <v>0</v>
      </c>
      <c r="FN35" s="162">
        <v>27</v>
      </c>
      <c r="FO35" s="155">
        <v>0</v>
      </c>
      <c r="FP35" s="156">
        <v>0</v>
      </c>
      <c r="FQ35" s="156">
        <v>0</v>
      </c>
      <c r="FR35" s="156">
        <v>0</v>
      </c>
      <c r="FS35" s="156">
        <v>0</v>
      </c>
      <c r="FT35" s="162">
        <v>0</v>
      </c>
      <c r="FU35" s="155">
        <v>0</v>
      </c>
      <c r="FV35" s="156">
        <v>0</v>
      </c>
      <c r="FW35" s="156">
        <v>0</v>
      </c>
      <c r="FX35" s="156">
        <v>0</v>
      </c>
      <c r="FY35" s="156">
        <v>0</v>
      </c>
      <c r="FZ35" s="162">
        <v>0</v>
      </c>
      <c r="GA35" s="161">
        <v>0</v>
      </c>
      <c r="GB35" s="156">
        <v>0</v>
      </c>
      <c r="GC35" s="156">
        <v>0</v>
      </c>
      <c r="GD35" s="156">
        <v>0</v>
      </c>
      <c r="GE35" s="156">
        <v>0</v>
      </c>
      <c r="GF35" s="162">
        <v>0</v>
      </c>
      <c r="GG35" s="158">
        <v>9.2968750000000018</v>
      </c>
      <c r="GH35" s="162">
        <v>64</v>
      </c>
      <c r="GI35" s="155">
        <v>0.36144578313253084</v>
      </c>
      <c r="GJ35" s="156">
        <v>0.49397590361445881</v>
      </c>
      <c r="GK35" s="156">
        <v>0.132530120481928</v>
      </c>
      <c r="GL35" s="156">
        <v>1.2048192771084378E-2</v>
      </c>
      <c r="GM35" s="156">
        <v>0</v>
      </c>
      <c r="GN35" s="162">
        <v>83</v>
      </c>
      <c r="GO35" s="155">
        <v>0.46341463414634171</v>
      </c>
      <c r="GP35" s="156">
        <v>0.34146341463414759</v>
      </c>
      <c r="GQ35" s="156">
        <v>8.5365853658536883E-2</v>
      </c>
      <c r="GR35" s="156">
        <v>0.15853658536585372</v>
      </c>
      <c r="GS35" s="162">
        <v>82</v>
      </c>
      <c r="GT35" s="163">
        <v>1.9375000000000002</v>
      </c>
      <c r="GU35" s="162">
        <v>80</v>
      </c>
      <c r="GV35" s="155">
        <v>0.94444444444444453</v>
      </c>
      <c r="GW35" s="156">
        <v>5.5555555555555462E-2</v>
      </c>
      <c r="GX35" s="162">
        <v>18</v>
      </c>
      <c r="GY35" s="155">
        <v>0.94285714285714395</v>
      </c>
      <c r="GZ35" s="156">
        <v>5.7142857142857155E-2</v>
      </c>
      <c r="HA35" s="162">
        <v>35</v>
      </c>
      <c r="HB35" s="155">
        <v>0.9423076923076934</v>
      </c>
      <c r="HC35" s="156">
        <v>5.7692307692307675E-2</v>
      </c>
      <c r="HD35" s="162">
        <v>52</v>
      </c>
      <c r="HE35" s="161">
        <v>0.88571428571428512</v>
      </c>
      <c r="HF35" s="156">
        <v>0.11428571428571431</v>
      </c>
      <c r="HG35" s="162">
        <v>35</v>
      </c>
      <c r="HH35" s="155">
        <v>0.36708860759493744</v>
      </c>
      <c r="HI35" s="156">
        <v>0.63291139240506478</v>
      </c>
      <c r="HJ35" s="162">
        <v>79</v>
      </c>
      <c r="HK35" s="155">
        <v>0.98591549295774583</v>
      </c>
      <c r="HL35" s="156">
        <v>1.4084507042253553E-2</v>
      </c>
      <c r="HM35" s="162">
        <v>71</v>
      </c>
      <c r="HN35" s="161">
        <v>0.20312500000000003</v>
      </c>
      <c r="HO35" s="156">
        <v>0.12500000000000003</v>
      </c>
      <c r="HP35" s="156">
        <v>0.23437500000000003</v>
      </c>
      <c r="HQ35" s="156">
        <v>0.28125000000000006</v>
      </c>
      <c r="HR35" s="156">
        <v>0.15625000000000003</v>
      </c>
      <c r="HS35" s="160">
        <v>52.984375000000007</v>
      </c>
      <c r="HT35" s="164">
        <v>64</v>
      </c>
      <c r="HU35" s="165">
        <v>0</v>
      </c>
      <c r="HV35" s="166">
        <v>1.5873015873015872E-2</v>
      </c>
      <c r="HW35" s="166">
        <v>0.15873015873015872</v>
      </c>
      <c r="HX35" s="166">
        <v>0.14285714285714285</v>
      </c>
      <c r="HY35" s="166">
        <v>0.12698412698412698</v>
      </c>
      <c r="HZ35" s="166">
        <v>0.15873015873015872</v>
      </c>
      <c r="IA35" s="166">
        <v>6.3492063492063489E-2</v>
      </c>
      <c r="IB35" s="166">
        <v>9.5238095238095233E-2</v>
      </c>
      <c r="IC35" s="166">
        <v>0.14285714285714285</v>
      </c>
      <c r="ID35" s="166">
        <v>9.5238095238095233E-2</v>
      </c>
      <c r="IE35" s="167">
        <v>63</v>
      </c>
      <c r="IF35" s="155">
        <v>0</v>
      </c>
      <c r="IG35" s="156">
        <v>0</v>
      </c>
      <c r="IH35" s="156">
        <v>0</v>
      </c>
      <c r="II35" s="156">
        <v>0</v>
      </c>
      <c r="IJ35" s="156">
        <v>0</v>
      </c>
      <c r="IK35" s="162">
        <v>0</v>
      </c>
      <c r="IL35" s="155">
        <v>7.6923076923077066E-2</v>
      </c>
      <c r="IM35" s="156">
        <v>0.15384615384615413</v>
      </c>
      <c r="IN35" s="156">
        <v>3.8461538461538533E-2</v>
      </c>
      <c r="IO35" s="156">
        <v>0.73076923076923084</v>
      </c>
      <c r="IP35" s="156">
        <v>0</v>
      </c>
      <c r="IQ35" s="162">
        <v>78</v>
      </c>
      <c r="IR35" s="155">
        <v>0.14285714285714302</v>
      </c>
      <c r="IS35" s="156">
        <v>0.85714285714285554</v>
      </c>
      <c r="IT35" s="162">
        <v>77</v>
      </c>
      <c r="IU35" s="161">
        <v>0</v>
      </c>
      <c r="IV35" s="156">
        <v>9.0909090909090912E-2</v>
      </c>
      <c r="IW35" s="156">
        <v>0.90909090909090895</v>
      </c>
      <c r="IX35" s="162">
        <v>11</v>
      </c>
    </row>
    <row r="36" spans="1:258" ht="32.1" customHeight="1" x14ac:dyDescent="0.25">
      <c r="A36" s="110" t="s">
        <v>453</v>
      </c>
      <c r="B36" s="108" t="s">
        <v>588</v>
      </c>
      <c r="C36" s="108" t="s">
        <v>454</v>
      </c>
      <c r="D36" s="109">
        <v>84</v>
      </c>
      <c r="E36" s="139" t="s">
        <v>486</v>
      </c>
      <c r="F36" s="155">
        <v>0.37500000000000006</v>
      </c>
      <c r="G36" s="156">
        <v>0.62500000000000011</v>
      </c>
      <c r="H36" s="157">
        <v>40</v>
      </c>
      <c r="I36" s="155">
        <v>0.66666666666666685</v>
      </c>
      <c r="J36" s="156">
        <v>0.33333333333333365</v>
      </c>
      <c r="K36" s="157">
        <v>24</v>
      </c>
      <c r="L36" s="155">
        <v>0.46666666666666662</v>
      </c>
      <c r="M36" s="156">
        <v>0.53333333333333366</v>
      </c>
      <c r="N36" s="157">
        <v>15</v>
      </c>
      <c r="O36" s="155">
        <v>0.5121951219512193</v>
      </c>
      <c r="P36" s="156">
        <v>0.26829268292682923</v>
      </c>
      <c r="Q36" s="156">
        <v>0.14634146341463425</v>
      </c>
      <c r="R36" s="156">
        <v>2.4390243902439039E-2</v>
      </c>
      <c r="S36" s="156">
        <v>0.4634146341463416</v>
      </c>
      <c r="T36" s="156">
        <v>0.14634146341463425</v>
      </c>
      <c r="U36" s="156">
        <v>4.8780487804878078E-2</v>
      </c>
      <c r="V36" s="156">
        <v>7.3170731707317124E-2</v>
      </c>
      <c r="W36" s="156">
        <v>0.1219512195121952</v>
      </c>
      <c r="X36" s="156">
        <v>2.4390243902439039E-2</v>
      </c>
      <c r="Y36" s="157">
        <v>41</v>
      </c>
      <c r="Z36" s="155">
        <v>0.76923076923076972</v>
      </c>
      <c r="AA36" s="156">
        <v>0.35897435897435936</v>
      </c>
      <c r="AB36" s="156">
        <v>0.41025641025641041</v>
      </c>
      <c r="AC36" s="156">
        <v>0.56410256410256454</v>
      </c>
      <c r="AD36" s="156">
        <v>0.12820512820512833</v>
      </c>
      <c r="AE36" s="156">
        <v>0.230769230769231</v>
      </c>
      <c r="AF36" s="157">
        <v>39</v>
      </c>
      <c r="AG36" s="158">
        <v>9.8780487804878039</v>
      </c>
      <c r="AH36" s="159">
        <v>41</v>
      </c>
      <c r="AI36" s="160">
        <v>9.9756097560975672</v>
      </c>
      <c r="AJ36" s="159">
        <v>41</v>
      </c>
      <c r="AK36" s="160">
        <v>9.9024390243902349</v>
      </c>
      <c r="AL36" s="157">
        <v>41</v>
      </c>
      <c r="AM36" s="155">
        <v>0.45000000000000007</v>
      </c>
      <c r="AN36" s="156">
        <v>0.47500000000000009</v>
      </c>
      <c r="AO36" s="156">
        <v>2.5000000000000005E-2</v>
      </c>
      <c r="AP36" s="156">
        <v>5.000000000000001E-2</v>
      </c>
      <c r="AQ36" s="156">
        <v>0</v>
      </c>
      <c r="AR36" s="157">
        <v>40</v>
      </c>
      <c r="AS36" s="155">
        <v>0.875</v>
      </c>
      <c r="AT36" s="156">
        <v>0.12500000000000003</v>
      </c>
      <c r="AU36" s="156">
        <v>0</v>
      </c>
      <c r="AV36" s="156">
        <v>0</v>
      </c>
      <c r="AW36" s="156">
        <v>0</v>
      </c>
      <c r="AX36" s="157">
        <v>40</v>
      </c>
      <c r="AY36" s="155">
        <v>0.72499999999999998</v>
      </c>
      <c r="AZ36" s="156">
        <v>0.27500000000000008</v>
      </c>
      <c r="BA36" s="156">
        <v>0</v>
      </c>
      <c r="BB36" s="156">
        <v>0</v>
      </c>
      <c r="BC36" s="156">
        <v>0</v>
      </c>
      <c r="BD36" s="157">
        <v>40</v>
      </c>
      <c r="BE36" s="155">
        <v>0.85</v>
      </c>
      <c r="BF36" s="156">
        <v>0.15000000000000002</v>
      </c>
      <c r="BG36" s="156">
        <v>0</v>
      </c>
      <c r="BH36" s="156">
        <v>0</v>
      </c>
      <c r="BI36" s="156">
        <v>0</v>
      </c>
      <c r="BJ36" s="157">
        <v>40</v>
      </c>
      <c r="BK36" s="155">
        <v>0.54054054054054124</v>
      </c>
      <c r="BL36" s="156">
        <v>0.2972972972972977</v>
      </c>
      <c r="BM36" s="156">
        <v>5.4054054054054113E-2</v>
      </c>
      <c r="BN36" s="156">
        <v>5.4054054054054113E-2</v>
      </c>
      <c r="BO36" s="156">
        <v>5.4054054054054113E-2</v>
      </c>
      <c r="BP36" s="157">
        <v>37</v>
      </c>
      <c r="BQ36" s="155">
        <v>0.79487179487179549</v>
      </c>
      <c r="BR36" s="156">
        <v>0.17948717948717974</v>
      </c>
      <c r="BS36" s="156">
        <v>2.5641025641025661E-2</v>
      </c>
      <c r="BT36" s="156">
        <v>0</v>
      </c>
      <c r="BU36" s="156">
        <v>0</v>
      </c>
      <c r="BV36" s="157">
        <v>39</v>
      </c>
      <c r="BW36" s="161">
        <v>0.55000000000000016</v>
      </c>
      <c r="BX36" s="156">
        <v>0.35000000000000009</v>
      </c>
      <c r="BY36" s="156">
        <v>0</v>
      </c>
      <c r="BZ36" s="156">
        <v>5.000000000000001E-2</v>
      </c>
      <c r="CA36" s="156">
        <v>5.000000000000001E-2</v>
      </c>
      <c r="CB36" s="157">
        <v>20</v>
      </c>
      <c r="CC36" s="155">
        <v>0.72222222222222188</v>
      </c>
      <c r="CD36" s="156">
        <v>0.27777777777777801</v>
      </c>
      <c r="CE36" s="156">
        <v>0</v>
      </c>
      <c r="CF36" s="156">
        <v>0</v>
      </c>
      <c r="CG36" s="156">
        <v>0</v>
      </c>
      <c r="CH36" s="162">
        <v>18</v>
      </c>
      <c r="CI36" s="155">
        <v>0.29411764705882359</v>
      </c>
      <c r="CJ36" s="156">
        <v>0.64705882352941146</v>
      </c>
      <c r="CK36" s="156">
        <v>5.8823529411764691E-2</v>
      </c>
      <c r="CL36" s="156">
        <v>0</v>
      </c>
      <c r="CM36" s="156">
        <v>0</v>
      </c>
      <c r="CN36" s="162">
        <v>17</v>
      </c>
      <c r="CO36" s="155">
        <v>0.35483870967741943</v>
      </c>
      <c r="CP36" s="156">
        <v>0.5806451612903224</v>
      </c>
      <c r="CQ36" s="156">
        <v>3.2258064516129073E-2</v>
      </c>
      <c r="CR36" s="156">
        <v>3.2258064516129073E-2</v>
      </c>
      <c r="CS36" s="156">
        <v>0</v>
      </c>
      <c r="CT36" s="162">
        <v>31</v>
      </c>
      <c r="CU36" s="155">
        <v>0.43333333333333313</v>
      </c>
      <c r="CV36" s="156">
        <v>0.56666666666666676</v>
      </c>
      <c r="CW36" s="156">
        <v>0</v>
      </c>
      <c r="CX36" s="156">
        <v>0</v>
      </c>
      <c r="CY36" s="156">
        <v>0</v>
      </c>
      <c r="CZ36" s="162">
        <v>30</v>
      </c>
      <c r="DA36" s="155">
        <v>0.55555555555555602</v>
      </c>
      <c r="DB36" s="156">
        <v>0.38888888888888906</v>
      </c>
      <c r="DC36" s="156">
        <v>5.5555555555555511E-2</v>
      </c>
      <c r="DD36" s="156">
        <v>0</v>
      </c>
      <c r="DE36" s="156">
        <v>0</v>
      </c>
      <c r="DF36" s="162">
        <v>18</v>
      </c>
      <c r="DG36" s="155">
        <v>0.52941176470588269</v>
      </c>
      <c r="DH36" s="156">
        <v>0.41176470588235348</v>
      </c>
      <c r="DI36" s="156">
        <v>5.8823529411764691E-2</v>
      </c>
      <c r="DJ36" s="156">
        <v>0</v>
      </c>
      <c r="DK36" s="156">
        <v>0</v>
      </c>
      <c r="DL36" s="162">
        <v>17</v>
      </c>
      <c r="DM36" s="155">
        <v>0.57142857142857151</v>
      </c>
      <c r="DN36" s="156">
        <v>0.38095238095238088</v>
      </c>
      <c r="DO36" s="156">
        <v>4.7619047619047609E-2</v>
      </c>
      <c r="DP36" s="156">
        <v>0</v>
      </c>
      <c r="DQ36" s="156">
        <v>0</v>
      </c>
      <c r="DR36" s="162">
        <v>21</v>
      </c>
      <c r="DS36" s="161">
        <v>0.56250000000000011</v>
      </c>
      <c r="DT36" s="156">
        <v>0.31250000000000006</v>
      </c>
      <c r="DU36" s="156">
        <v>0.12500000000000003</v>
      </c>
      <c r="DV36" s="156">
        <v>0</v>
      </c>
      <c r="DW36" s="156">
        <v>0</v>
      </c>
      <c r="DX36" s="162">
        <v>16</v>
      </c>
      <c r="DY36" s="155">
        <v>0.80487804878048796</v>
      </c>
      <c r="DZ36" s="156">
        <v>0.19512195121951215</v>
      </c>
      <c r="EA36" s="156">
        <v>0</v>
      </c>
      <c r="EB36" s="156">
        <v>0</v>
      </c>
      <c r="EC36" s="156">
        <v>0</v>
      </c>
      <c r="ED36" s="162">
        <v>41</v>
      </c>
      <c r="EE36" s="155">
        <v>0.76190476190476164</v>
      </c>
      <c r="EF36" s="156">
        <v>0.2380952380952383</v>
      </c>
      <c r="EG36" s="156">
        <v>0</v>
      </c>
      <c r="EH36" s="156">
        <v>0</v>
      </c>
      <c r="EI36" s="156">
        <v>0</v>
      </c>
      <c r="EJ36" s="162">
        <v>21</v>
      </c>
      <c r="EK36" s="155">
        <v>0.73684210526315819</v>
      </c>
      <c r="EL36" s="156">
        <v>0.21052631578947392</v>
      </c>
      <c r="EM36" s="156">
        <v>5.2631578947368481E-2</v>
      </c>
      <c r="EN36" s="156">
        <v>0</v>
      </c>
      <c r="EO36" s="156">
        <v>0</v>
      </c>
      <c r="EP36" s="162">
        <v>19</v>
      </c>
      <c r="EQ36" s="155">
        <v>0.68000000000000016</v>
      </c>
      <c r="ER36" s="156">
        <v>0.32000000000000006</v>
      </c>
      <c r="ES36" s="156">
        <v>0</v>
      </c>
      <c r="ET36" s="156">
        <v>0</v>
      </c>
      <c r="EU36" s="156">
        <v>0</v>
      </c>
      <c r="EV36" s="162">
        <v>25</v>
      </c>
      <c r="EW36" s="155">
        <v>0.73076923076923028</v>
      </c>
      <c r="EX36" s="156">
        <v>0.26923076923076927</v>
      </c>
      <c r="EY36" s="156">
        <v>0</v>
      </c>
      <c r="EZ36" s="156">
        <v>0</v>
      </c>
      <c r="FA36" s="156">
        <v>0</v>
      </c>
      <c r="FB36" s="162">
        <v>26</v>
      </c>
      <c r="FC36" s="155">
        <v>0.6</v>
      </c>
      <c r="FD36" s="156">
        <v>0.35000000000000009</v>
      </c>
      <c r="FE36" s="156">
        <v>5.000000000000001E-2</v>
      </c>
      <c r="FF36" s="156">
        <v>0</v>
      </c>
      <c r="FG36" s="156">
        <v>0</v>
      </c>
      <c r="FH36" s="162">
        <v>20</v>
      </c>
      <c r="FI36" s="161">
        <v>0.5454545454545453</v>
      </c>
      <c r="FJ36" s="156">
        <v>0.2727272727272726</v>
      </c>
      <c r="FK36" s="156">
        <v>9.0909090909091023E-2</v>
      </c>
      <c r="FL36" s="156">
        <v>9.0909090909091023E-2</v>
      </c>
      <c r="FM36" s="156">
        <v>0</v>
      </c>
      <c r="FN36" s="162">
        <v>11</v>
      </c>
      <c r="FO36" s="155">
        <v>0</v>
      </c>
      <c r="FP36" s="156">
        <v>0</v>
      </c>
      <c r="FQ36" s="156">
        <v>0</v>
      </c>
      <c r="FR36" s="156">
        <v>0</v>
      </c>
      <c r="FS36" s="156">
        <v>0</v>
      </c>
      <c r="FT36" s="162">
        <v>0</v>
      </c>
      <c r="FU36" s="155">
        <v>0</v>
      </c>
      <c r="FV36" s="156">
        <v>0</v>
      </c>
      <c r="FW36" s="156">
        <v>0</v>
      </c>
      <c r="FX36" s="156">
        <v>0</v>
      </c>
      <c r="FY36" s="156">
        <v>0</v>
      </c>
      <c r="FZ36" s="162">
        <v>0</v>
      </c>
      <c r="GA36" s="161">
        <v>0</v>
      </c>
      <c r="GB36" s="156">
        <v>0</v>
      </c>
      <c r="GC36" s="156">
        <v>0</v>
      </c>
      <c r="GD36" s="156">
        <v>0</v>
      </c>
      <c r="GE36" s="156">
        <v>0</v>
      </c>
      <c r="GF36" s="162">
        <v>0</v>
      </c>
      <c r="GG36" s="158">
        <v>9.3846153846153779</v>
      </c>
      <c r="GH36" s="162">
        <v>39</v>
      </c>
      <c r="GI36" s="155">
        <v>4.8780487804878037E-2</v>
      </c>
      <c r="GJ36" s="156">
        <v>0.53658536585365868</v>
      </c>
      <c r="GK36" s="156">
        <v>0.26829268292682934</v>
      </c>
      <c r="GL36" s="156">
        <v>0.14634146341463417</v>
      </c>
      <c r="GM36" s="156">
        <v>0</v>
      </c>
      <c r="GN36" s="162">
        <v>41</v>
      </c>
      <c r="GO36" s="155">
        <v>0.6190476190476194</v>
      </c>
      <c r="GP36" s="156">
        <v>0.19047619047619063</v>
      </c>
      <c r="GQ36" s="156">
        <v>0.16666666666666691</v>
      </c>
      <c r="GR36" s="156">
        <v>0.14285714285714302</v>
      </c>
      <c r="GS36" s="162">
        <v>42</v>
      </c>
      <c r="GT36" s="163">
        <v>2.5238095238095224</v>
      </c>
      <c r="GU36" s="162">
        <v>42</v>
      </c>
      <c r="GV36" s="155">
        <v>1</v>
      </c>
      <c r="GW36" s="156">
        <v>0</v>
      </c>
      <c r="GX36" s="162">
        <v>17</v>
      </c>
      <c r="GY36" s="155">
        <v>1</v>
      </c>
      <c r="GZ36" s="156">
        <v>0</v>
      </c>
      <c r="HA36" s="162">
        <v>31</v>
      </c>
      <c r="HB36" s="155">
        <v>1</v>
      </c>
      <c r="HC36" s="156">
        <v>0</v>
      </c>
      <c r="HD36" s="162">
        <v>39</v>
      </c>
      <c r="HE36" s="161">
        <v>0.94444444444444375</v>
      </c>
      <c r="HF36" s="156">
        <v>5.5555555555555643E-2</v>
      </c>
      <c r="HG36" s="162">
        <v>36</v>
      </c>
      <c r="HH36" s="155">
        <v>0.43902439024390283</v>
      </c>
      <c r="HI36" s="156">
        <v>0.56097560975609728</v>
      </c>
      <c r="HJ36" s="162">
        <v>41</v>
      </c>
      <c r="HK36" s="155">
        <v>1</v>
      </c>
      <c r="HL36" s="156">
        <v>0</v>
      </c>
      <c r="HM36" s="162">
        <v>40</v>
      </c>
      <c r="HN36" s="161">
        <v>0.17500000000000004</v>
      </c>
      <c r="HO36" s="156">
        <v>0.27500000000000008</v>
      </c>
      <c r="HP36" s="156">
        <v>0.15000000000000002</v>
      </c>
      <c r="HQ36" s="156">
        <v>0.27500000000000008</v>
      </c>
      <c r="HR36" s="156">
        <v>0.12500000000000003</v>
      </c>
      <c r="HS36" s="160">
        <v>50.625000000000014</v>
      </c>
      <c r="HT36" s="164">
        <v>40</v>
      </c>
      <c r="HU36" s="165">
        <v>3.3333333333333333E-2</v>
      </c>
      <c r="HV36" s="166">
        <v>0.13333333333333333</v>
      </c>
      <c r="HW36" s="166">
        <v>0.23333333333333334</v>
      </c>
      <c r="HX36" s="166">
        <v>0.2</v>
      </c>
      <c r="HY36" s="166">
        <v>0.13333333333333333</v>
      </c>
      <c r="HZ36" s="166">
        <v>0.1</v>
      </c>
      <c r="IA36" s="166">
        <v>0</v>
      </c>
      <c r="IB36" s="166">
        <v>3.3333333333333333E-2</v>
      </c>
      <c r="IC36" s="166">
        <v>6.6666666666666666E-2</v>
      </c>
      <c r="ID36" s="166">
        <v>6.6666666666666666E-2</v>
      </c>
      <c r="IE36" s="167">
        <v>30</v>
      </c>
      <c r="IF36" s="155">
        <v>0.5</v>
      </c>
      <c r="IG36" s="156">
        <v>0</v>
      </c>
      <c r="IH36" s="156">
        <v>0</v>
      </c>
      <c r="II36" s="156">
        <v>0</v>
      </c>
      <c r="IJ36" s="156">
        <v>0.5</v>
      </c>
      <c r="IK36" s="162">
        <v>2</v>
      </c>
      <c r="IL36" s="155">
        <v>0</v>
      </c>
      <c r="IM36" s="156">
        <v>0.10000000000000002</v>
      </c>
      <c r="IN36" s="156">
        <v>5.000000000000001E-2</v>
      </c>
      <c r="IO36" s="156">
        <v>0.80000000000000016</v>
      </c>
      <c r="IP36" s="156">
        <v>5.000000000000001E-2</v>
      </c>
      <c r="IQ36" s="162">
        <v>40</v>
      </c>
      <c r="IR36" s="155">
        <v>7.6923076923076969E-2</v>
      </c>
      <c r="IS36" s="156">
        <v>0.92307692307692368</v>
      </c>
      <c r="IT36" s="162">
        <v>39</v>
      </c>
      <c r="IU36" s="161">
        <v>0</v>
      </c>
      <c r="IV36" s="156">
        <v>0</v>
      </c>
      <c r="IW36" s="156">
        <v>1</v>
      </c>
      <c r="IX36" s="162">
        <v>3</v>
      </c>
    </row>
    <row r="37" spans="1:258" ht="32.1" customHeight="1" x14ac:dyDescent="0.25">
      <c r="A37" s="110" t="s">
        <v>453</v>
      </c>
      <c r="B37" s="108" t="s">
        <v>588</v>
      </c>
      <c r="C37" s="108" t="s">
        <v>454</v>
      </c>
      <c r="D37" s="109">
        <v>91</v>
      </c>
      <c r="E37" s="139" t="s">
        <v>487</v>
      </c>
      <c r="F37" s="155">
        <v>0.24137931034482782</v>
      </c>
      <c r="G37" s="156">
        <v>0.75862068965517226</v>
      </c>
      <c r="H37" s="157">
        <v>29</v>
      </c>
      <c r="I37" s="155">
        <v>0.45454545454545486</v>
      </c>
      <c r="J37" s="156">
        <v>0.5454545454545453</v>
      </c>
      <c r="K37" s="157">
        <v>22</v>
      </c>
      <c r="L37" s="155">
        <v>0.66666666666666641</v>
      </c>
      <c r="M37" s="156">
        <v>0.3333333333333332</v>
      </c>
      <c r="N37" s="157">
        <v>6</v>
      </c>
      <c r="O37" s="155">
        <v>0.37931034482758663</v>
      </c>
      <c r="P37" s="156">
        <v>0.31034482758620707</v>
      </c>
      <c r="Q37" s="156">
        <v>0.17241379310344837</v>
      </c>
      <c r="R37" s="156">
        <v>0</v>
      </c>
      <c r="S37" s="156">
        <v>0.27586206896551757</v>
      </c>
      <c r="T37" s="156">
        <v>3.4482758620689696E-2</v>
      </c>
      <c r="U37" s="156">
        <v>0</v>
      </c>
      <c r="V37" s="156">
        <v>3.4482758620689696E-2</v>
      </c>
      <c r="W37" s="156">
        <v>0.10344827586206896</v>
      </c>
      <c r="X37" s="156">
        <v>3.4482758620689696E-2</v>
      </c>
      <c r="Y37" s="157">
        <v>29</v>
      </c>
      <c r="Z37" s="155">
        <v>0.82142857142857195</v>
      </c>
      <c r="AA37" s="156">
        <v>0.75000000000000011</v>
      </c>
      <c r="AB37" s="156">
        <v>0.35714285714285748</v>
      </c>
      <c r="AC37" s="156">
        <v>0.17857142857142874</v>
      </c>
      <c r="AD37" s="156">
        <v>7.1428571428571466E-2</v>
      </c>
      <c r="AE37" s="156">
        <v>7.1428571428571466E-2</v>
      </c>
      <c r="AF37" s="157">
        <v>28</v>
      </c>
      <c r="AG37" s="158">
        <v>9.8275862068965676</v>
      </c>
      <c r="AH37" s="159">
        <v>29</v>
      </c>
      <c r="AI37" s="160">
        <v>9.8620689655172615</v>
      </c>
      <c r="AJ37" s="159">
        <v>29</v>
      </c>
      <c r="AK37" s="160">
        <v>9.7931034482758719</v>
      </c>
      <c r="AL37" s="157">
        <v>29</v>
      </c>
      <c r="AM37" s="155">
        <v>0.85714285714285765</v>
      </c>
      <c r="AN37" s="156">
        <v>0.10714285714285721</v>
      </c>
      <c r="AO37" s="156">
        <v>3.5714285714285726E-2</v>
      </c>
      <c r="AP37" s="156">
        <v>0</v>
      </c>
      <c r="AQ37" s="156">
        <v>0</v>
      </c>
      <c r="AR37" s="157">
        <v>28</v>
      </c>
      <c r="AS37" s="155">
        <v>0.93333333333333357</v>
      </c>
      <c r="AT37" s="156">
        <v>6.6666666666666652E-2</v>
      </c>
      <c r="AU37" s="156">
        <v>0</v>
      </c>
      <c r="AV37" s="156">
        <v>0</v>
      </c>
      <c r="AW37" s="156">
        <v>0</v>
      </c>
      <c r="AX37" s="157">
        <v>30</v>
      </c>
      <c r="AY37" s="155">
        <v>0.86666666666666647</v>
      </c>
      <c r="AZ37" s="156">
        <v>6.6666666666666652E-2</v>
      </c>
      <c r="BA37" s="156">
        <v>6.6666666666666652E-2</v>
      </c>
      <c r="BB37" s="156">
        <v>0</v>
      </c>
      <c r="BC37" s="156">
        <v>0</v>
      </c>
      <c r="BD37" s="157">
        <v>30</v>
      </c>
      <c r="BE37" s="155">
        <v>0.90000000000000013</v>
      </c>
      <c r="BF37" s="156">
        <v>0.10000000000000002</v>
      </c>
      <c r="BG37" s="156">
        <v>0</v>
      </c>
      <c r="BH37" s="156">
        <v>0</v>
      </c>
      <c r="BI37" s="156">
        <v>0</v>
      </c>
      <c r="BJ37" s="157">
        <v>30</v>
      </c>
      <c r="BK37" s="155">
        <v>0.6363636363636368</v>
      </c>
      <c r="BL37" s="156">
        <v>0.27272727272727276</v>
      </c>
      <c r="BM37" s="156">
        <v>4.5454545454545484E-2</v>
      </c>
      <c r="BN37" s="156">
        <v>4.5454545454545484E-2</v>
      </c>
      <c r="BO37" s="156">
        <v>0</v>
      </c>
      <c r="BP37" s="157">
        <v>22</v>
      </c>
      <c r="BQ37" s="155">
        <v>0.86666666666666647</v>
      </c>
      <c r="BR37" s="156">
        <v>0.10000000000000002</v>
      </c>
      <c r="BS37" s="156">
        <v>3.3333333333333326E-2</v>
      </c>
      <c r="BT37" s="156">
        <v>0</v>
      </c>
      <c r="BU37" s="156">
        <v>0</v>
      </c>
      <c r="BV37" s="157">
        <v>30</v>
      </c>
      <c r="BW37" s="161">
        <v>0.9</v>
      </c>
      <c r="BX37" s="156">
        <v>0.10000000000000002</v>
      </c>
      <c r="BY37" s="156">
        <v>0</v>
      </c>
      <c r="BZ37" s="156">
        <v>0</v>
      </c>
      <c r="CA37" s="156">
        <v>0</v>
      </c>
      <c r="CB37" s="157">
        <v>20</v>
      </c>
      <c r="CC37" s="155">
        <v>1</v>
      </c>
      <c r="CD37" s="156">
        <v>0</v>
      </c>
      <c r="CE37" s="156">
        <v>0</v>
      </c>
      <c r="CF37" s="156">
        <v>0</v>
      </c>
      <c r="CG37" s="156">
        <v>0</v>
      </c>
      <c r="CH37" s="162">
        <v>11</v>
      </c>
      <c r="CI37" s="155">
        <v>0.66666666666666685</v>
      </c>
      <c r="CJ37" s="156">
        <v>0.33333333333333343</v>
      </c>
      <c r="CK37" s="156">
        <v>0</v>
      </c>
      <c r="CL37" s="156">
        <v>0</v>
      </c>
      <c r="CM37" s="156">
        <v>0</v>
      </c>
      <c r="CN37" s="162">
        <v>9</v>
      </c>
      <c r="CO37" s="155">
        <v>0.6363636363636368</v>
      </c>
      <c r="CP37" s="156">
        <v>0.2727272727272726</v>
      </c>
      <c r="CQ37" s="156">
        <v>9.0909090909090898E-2</v>
      </c>
      <c r="CR37" s="156">
        <v>0</v>
      </c>
      <c r="CS37" s="156">
        <v>0</v>
      </c>
      <c r="CT37" s="162">
        <v>11</v>
      </c>
      <c r="CU37" s="155">
        <v>0.6363636363636368</v>
      </c>
      <c r="CV37" s="156">
        <v>0.2727272727272726</v>
      </c>
      <c r="CW37" s="156">
        <v>9.0909090909090898E-2</v>
      </c>
      <c r="CX37" s="156">
        <v>0</v>
      </c>
      <c r="CY37" s="156">
        <v>0</v>
      </c>
      <c r="CZ37" s="162">
        <v>11</v>
      </c>
      <c r="DA37" s="155">
        <v>0.6363636363636368</v>
      </c>
      <c r="DB37" s="156">
        <v>0.2727272727272726</v>
      </c>
      <c r="DC37" s="156">
        <v>9.0909090909090898E-2</v>
      </c>
      <c r="DD37" s="156">
        <v>0</v>
      </c>
      <c r="DE37" s="156">
        <v>0</v>
      </c>
      <c r="DF37" s="162">
        <v>11</v>
      </c>
      <c r="DG37" s="155">
        <v>0.6363636363636368</v>
      </c>
      <c r="DH37" s="156">
        <v>0.1818181818181818</v>
      </c>
      <c r="DI37" s="156">
        <v>0.1818181818181818</v>
      </c>
      <c r="DJ37" s="156">
        <v>0</v>
      </c>
      <c r="DK37" s="156">
        <v>0</v>
      </c>
      <c r="DL37" s="162">
        <v>11</v>
      </c>
      <c r="DM37" s="155">
        <v>0.9</v>
      </c>
      <c r="DN37" s="156">
        <v>0.1</v>
      </c>
      <c r="DO37" s="156">
        <v>0</v>
      </c>
      <c r="DP37" s="156">
        <v>0</v>
      </c>
      <c r="DQ37" s="156">
        <v>0</v>
      </c>
      <c r="DR37" s="162">
        <v>10</v>
      </c>
      <c r="DS37" s="161">
        <v>0.92307692307692335</v>
      </c>
      <c r="DT37" s="156">
        <v>7.6923076923077011E-2</v>
      </c>
      <c r="DU37" s="156">
        <v>0</v>
      </c>
      <c r="DV37" s="156">
        <v>0</v>
      </c>
      <c r="DW37" s="156">
        <v>0</v>
      </c>
      <c r="DX37" s="162">
        <v>13</v>
      </c>
      <c r="DY37" s="155">
        <v>0.92857142857142816</v>
      </c>
      <c r="DZ37" s="156">
        <v>7.1428571428571452E-2</v>
      </c>
      <c r="EA37" s="156">
        <v>0</v>
      </c>
      <c r="EB37" s="156">
        <v>0</v>
      </c>
      <c r="EC37" s="156">
        <v>0</v>
      </c>
      <c r="ED37" s="162">
        <v>28</v>
      </c>
      <c r="EE37" s="155">
        <v>0.87500000000000011</v>
      </c>
      <c r="EF37" s="156">
        <v>6.2500000000000014E-2</v>
      </c>
      <c r="EG37" s="156">
        <v>6.2500000000000014E-2</v>
      </c>
      <c r="EH37" s="156">
        <v>0</v>
      </c>
      <c r="EI37" s="156">
        <v>0</v>
      </c>
      <c r="EJ37" s="162">
        <v>16</v>
      </c>
      <c r="EK37" s="155">
        <v>0.95</v>
      </c>
      <c r="EL37" s="156">
        <v>5.000000000000001E-2</v>
      </c>
      <c r="EM37" s="156">
        <v>0</v>
      </c>
      <c r="EN37" s="156">
        <v>0</v>
      </c>
      <c r="EO37" s="156">
        <v>0</v>
      </c>
      <c r="EP37" s="162">
        <v>20</v>
      </c>
      <c r="EQ37" s="155">
        <v>0.94117647058823461</v>
      </c>
      <c r="ER37" s="156">
        <v>0</v>
      </c>
      <c r="ES37" s="156">
        <v>5.8823529411764712E-2</v>
      </c>
      <c r="ET37" s="156">
        <v>0</v>
      </c>
      <c r="EU37" s="156">
        <v>0</v>
      </c>
      <c r="EV37" s="162">
        <v>17</v>
      </c>
      <c r="EW37" s="155">
        <v>0.99999999999999989</v>
      </c>
      <c r="EX37" s="156">
        <v>0</v>
      </c>
      <c r="EY37" s="156">
        <v>0</v>
      </c>
      <c r="EZ37" s="156">
        <v>0</v>
      </c>
      <c r="FA37" s="156">
        <v>0</v>
      </c>
      <c r="FB37" s="162">
        <v>19</v>
      </c>
      <c r="FC37" s="155">
        <v>1</v>
      </c>
      <c r="FD37" s="156">
        <v>0</v>
      </c>
      <c r="FE37" s="156">
        <v>0</v>
      </c>
      <c r="FF37" s="156">
        <v>0</v>
      </c>
      <c r="FG37" s="156">
        <v>0</v>
      </c>
      <c r="FH37" s="162">
        <v>10</v>
      </c>
      <c r="FI37" s="161">
        <v>0.81250000000000011</v>
      </c>
      <c r="FJ37" s="156">
        <v>0.18750000000000003</v>
      </c>
      <c r="FK37" s="156">
        <v>0</v>
      </c>
      <c r="FL37" s="156">
        <v>0</v>
      </c>
      <c r="FM37" s="156">
        <v>0</v>
      </c>
      <c r="FN37" s="162">
        <v>16</v>
      </c>
      <c r="FO37" s="155">
        <v>0</v>
      </c>
      <c r="FP37" s="156">
        <v>0</v>
      </c>
      <c r="FQ37" s="156">
        <v>0</v>
      </c>
      <c r="FR37" s="156">
        <v>0</v>
      </c>
      <c r="FS37" s="156">
        <v>0</v>
      </c>
      <c r="FT37" s="162">
        <v>0</v>
      </c>
      <c r="FU37" s="155">
        <v>0</v>
      </c>
      <c r="FV37" s="156">
        <v>0</v>
      </c>
      <c r="FW37" s="156">
        <v>0</v>
      </c>
      <c r="FX37" s="156">
        <v>0</v>
      </c>
      <c r="FY37" s="156">
        <v>0</v>
      </c>
      <c r="FZ37" s="162">
        <v>0</v>
      </c>
      <c r="GA37" s="161">
        <v>0</v>
      </c>
      <c r="GB37" s="156">
        <v>0</v>
      </c>
      <c r="GC37" s="156">
        <v>0</v>
      </c>
      <c r="GD37" s="156">
        <v>0</v>
      </c>
      <c r="GE37" s="156">
        <v>0</v>
      </c>
      <c r="GF37" s="162">
        <v>0</v>
      </c>
      <c r="GG37" s="158">
        <v>9.5333333333333421</v>
      </c>
      <c r="GH37" s="162">
        <v>30</v>
      </c>
      <c r="GI37" s="155">
        <v>0</v>
      </c>
      <c r="GJ37" s="156">
        <v>0.87096774193548343</v>
      </c>
      <c r="GK37" s="156">
        <v>9.6774193548387177E-2</v>
      </c>
      <c r="GL37" s="156">
        <v>3.2258064516129073E-2</v>
      </c>
      <c r="GM37" s="156">
        <v>0</v>
      </c>
      <c r="GN37" s="162">
        <v>31</v>
      </c>
      <c r="GO37" s="155">
        <v>0.4000000000000003</v>
      </c>
      <c r="GP37" s="156">
        <v>0.33333333333333376</v>
      </c>
      <c r="GQ37" s="156">
        <v>0.26666666666666672</v>
      </c>
      <c r="GR37" s="156">
        <v>0.13333333333333336</v>
      </c>
      <c r="GS37" s="162">
        <v>30</v>
      </c>
      <c r="GT37" s="163">
        <v>2.8709677419354862</v>
      </c>
      <c r="GU37" s="162">
        <v>31</v>
      </c>
      <c r="GV37" s="155">
        <v>0.8888888888888884</v>
      </c>
      <c r="GW37" s="156">
        <v>0.11111111111111105</v>
      </c>
      <c r="GX37" s="162">
        <v>9</v>
      </c>
      <c r="GY37" s="155">
        <v>1</v>
      </c>
      <c r="GZ37" s="156">
        <v>0</v>
      </c>
      <c r="HA37" s="162">
        <v>24</v>
      </c>
      <c r="HB37" s="155">
        <v>0.95833333333333359</v>
      </c>
      <c r="HC37" s="156">
        <v>4.1666666666666699E-2</v>
      </c>
      <c r="HD37" s="162">
        <v>24</v>
      </c>
      <c r="HE37" s="161">
        <v>0.9090909090909095</v>
      </c>
      <c r="HF37" s="156">
        <v>9.0909090909090967E-2</v>
      </c>
      <c r="HG37" s="162">
        <v>22</v>
      </c>
      <c r="HH37" s="155">
        <v>0.33333333333333365</v>
      </c>
      <c r="HI37" s="156">
        <v>0.66666666666666718</v>
      </c>
      <c r="HJ37" s="162">
        <v>30</v>
      </c>
      <c r="HK37" s="155">
        <v>0.99999999999999989</v>
      </c>
      <c r="HL37" s="156">
        <v>0</v>
      </c>
      <c r="HM37" s="162">
        <v>30</v>
      </c>
      <c r="HN37" s="161">
        <v>0.1428571428571429</v>
      </c>
      <c r="HO37" s="156">
        <v>0.25000000000000006</v>
      </c>
      <c r="HP37" s="156">
        <v>0.35714285714285748</v>
      </c>
      <c r="HQ37" s="156">
        <v>0.10714285714285721</v>
      </c>
      <c r="HR37" s="156">
        <v>0.1428571428571429</v>
      </c>
      <c r="HS37" s="160">
        <v>51.964285714285765</v>
      </c>
      <c r="HT37" s="164">
        <v>28</v>
      </c>
      <c r="HU37" s="165">
        <v>0</v>
      </c>
      <c r="HV37" s="166">
        <v>0.1</v>
      </c>
      <c r="HW37" s="166">
        <v>0.2</v>
      </c>
      <c r="HX37" s="166">
        <v>0.15</v>
      </c>
      <c r="HY37" s="166">
        <v>0.1</v>
      </c>
      <c r="HZ37" s="166">
        <v>0.05</v>
      </c>
      <c r="IA37" s="166">
        <v>0.1</v>
      </c>
      <c r="IB37" s="166">
        <v>0.1</v>
      </c>
      <c r="IC37" s="166">
        <v>0.15</v>
      </c>
      <c r="ID37" s="166">
        <v>0.05</v>
      </c>
      <c r="IE37" s="167">
        <v>20</v>
      </c>
      <c r="IF37" s="155">
        <v>0</v>
      </c>
      <c r="IG37" s="156">
        <v>0</v>
      </c>
      <c r="IH37" s="156">
        <v>0.66666666666666685</v>
      </c>
      <c r="II37" s="156">
        <v>0</v>
      </c>
      <c r="IJ37" s="156">
        <v>0.33333333333333343</v>
      </c>
      <c r="IK37" s="162">
        <v>3</v>
      </c>
      <c r="IL37" s="155">
        <v>3.3333333333333326E-2</v>
      </c>
      <c r="IM37" s="156">
        <v>3.3333333333333326E-2</v>
      </c>
      <c r="IN37" s="156">
        <v>0</v>
      </c>
      <c r="IO37" s="156">
        <v>0.93333333333333357</v>
      </c>
      <c r="IP37" s="156">
        <v>0</v>
      </c>
      <c r="IQ37" s="162">
        <v>30</v>
      </c>
      <c r="IR37" s="155">
        <v>0</v>
      </c>
      <c r="IS37" s="156">
        <v>0.99999999999999989</v>
      </c>
      <c r="IT37" s="162">
        <v>30</v>
      </c>
      <c r="IU37" s="161">
        <v>0</v>
      </c>
      <c r="IV37" s="156">
        <v>0</v>
      </c>
      <c r="IW37" s="156">
        <v>0</v>
      </c>
      <c r="IX37" s="162">
        <v>0</v>
      </c>
    </row>
    <row r="38" spans="1:258" ht="32.1" customHeight="1" x14ac:dyDescent="0.25">
      <c r="A38" s="110" t="s">
        <v>453</v>
      </c>
      <c r="B38" s="108" t="s">
        <v>588</v>
      </c>
      <c r="C38" s="108" t="s">
        <v>454</v>
      </c>
      <c r="D38" s="109">
        <v>92</v>
      </c>
      <c r="E38" s="139" t="s">
        <v>488</v>
      </c>
      <c r="F38" s="155">
        <v>0.40000000000000013</v>
      </c>
      <c r="G38" s="156">
        <v>0.60000000000000031</v>
      </c>
      <c r="H38" s="157">
        <v>55</v>
      </c>
      <c r="I38" s="155">
        <v>0.59375</v>
      </c>
      <c r="J38" s="156">
        <v>0.40625</v>
      </c>
      <c r="K38" s="157">
        <v>32</v>
      </c>
      <c r="L38" s="155">
        <v>0.31578947368421045</v>
      </c>
      <c r="M38" s="156">
        <v>0.68421052631578949</v>
      </c>
      <c r="N38" s="157">
        <v>19</v>
      </c>
      <c r="O38" s="155">
        <v>0.28813559322033921</v>
      </c>
      <c r="P38" s="156">
        <v>0.169491525423729</v>
      </c>
      <c r="Q38" s="156">
        <v>0.32203389830508516</v>
      </c>
      <c r="R38" s="156">
        <v>0.10169491525423729</v>
      </c>
      <c r="S38" s="156">
        <v>0.35593220338983073</v>
      </c>
      <c r="T38" s="156">
        <v>0.10169491525423729</v>
      </c>
      <c r="U38" s="156">
        <v>3.3898305084745832E-2</v>
      </c>
      <c r="V38" s="156">
        <v>0.18644067796610203</v>
      </c>
      <c r="W38" s="156">
        <v>0.10169491525423729</v>
      </c>
      <c r="X38" s="156">
        <v>6.7796610169491664E-2</v>
      </c>
      <c r="Y38" s="157">
        <v>59</v>
      </c>
      <c r="Z38" s="155">
        <v>0.74576271186440812</v>
      </c>
      <c r="AA38" s="156">
        <v>0.44067796610169552</v>
      </c>
      <c r="AB38" s="156">
        <v>0.42372881355932207</v>
      </c>
      <c r="AC38" s="156">
        <v>0.37288135593220406</v>
      </c>
      <c r="AD38" s="156">
        <v>0.13559322033898333</v>
      </c>
      <c r="AE38" s="156">
        <v>8.47457627118645E-2</v>
      </c>
      <c r="AF38" s="157">
        <v>59</v>
      </c>
      <c r="AG38" s="158">
        <v>9.8983050847457825</v>
      </c>
      <c r="AH38" s="159">
        <v>59</v>
      </c>
      <c r="AI38" s="160">
        <v>9.8983050847457896</v>
      </c>
      <c r="AJ38" s="159">
        <v>59</v>
      </c>
      <c r="AK38" s="160">
        <v>9.9310344827586423</v>
      </c>
      <c r="AL38" s="157">
        <v>58</v>
      </c>
      <c r="AM38" s="155">
        <v>0.6181818181818195</v>
      </c>
      <c r="AN38" s="156">
        <v>0.32727272727272755</v>
      </c>
      <c r="AO38" s="156">
        <v>1.8181818181818174E-2</v>
      </c>
      <c r="AP38" s="156">
        <v>3.6363636363636348E-2</v>
      </c>
      <c r="AQ38" s="156">
        <v>0</v>
      </c>
      <c r="AR38" s="157">
        <v>55</v>
      </c>
      <c r="AS38" s="155">
        <v>0.83050847457627208</v>
      </c>
      <c r="AT38" s="156">
        <v>0.15254237288135633</v>
      </c>
      <c r="AU38" s="156">
        <v>1.6949152542372881E-2</v>
      </c>
      <c r="AV38" s="156">
        <v>0</v>
      </c>
      <c r="AW38" s="156">
        <v>0</v>
      </c>
      <c r="AX38" s="157">
        <v>59</v>
      </c>
      <c r="AY38" s="155">
        <v>0.7796610169491538</v>
      </c>
      <c r="AZ38" s="156">
        <v>0.20338983050847464</v>
      </c>
      <c r="BA38" s="156">
        <v>1.6949152542372881E-2</v>
      </c>
      <c r="BB38" s="156">
        <v>0</v>
      </c>
      <c r="BC38" s="156">
        <v>0</v>
      </c>
      <c r="BD38" s="157">
        <v>59</v>
      </c>
      <c r="BE38" s="155">
        <v>0.74576271186440835</v>
      </c>
      <c r="BF38" s="156">
        <v>0.22033898305084765</v>
      </c>
      <c r="BG38" s="156">
        <v>3.3898305084745763E-2</v>
      </c>
      <c r="BH38" s="156">
        <v>0</v>
      </c>
      <c r="BI38" s="156">
        <v>0</v>
      </c>
      <c r="BJ38" s="157">
        <v>59</v>
      </c>
      <c r="BK38" s="155">
        <v>0.73076923076923195</v>
      </c>
      <c r="BL38" s="156">
        <v>0.25000000000000006</v>
      </c>
      <c r="BM38" s="156">
        <v>1.9230769230769232E-2</v>
      </c>
      <c r="BN38" s="156">
        <v>0</v>
      </c>
      <c r="BO38" s="156">
        <v>0</v>
      </c>
      <c r="BP38" s="157">
        <v>52</v>
      </c>
      <c r="BQ38" s="155">
        <v>0.86666666666666703</v>
      </c>
      <c r="BR38" s="156">
        <v>0.11666666666666668</v>
      </c>
      <c r="BS38" s="156">
        <v>1.6666666666666705E-2</v>
      </c>
      <c r="BT38" s="156">
        <v>0</v>
      </c>
      <c r="BU38" s="156">
        <v>0</v>
      </c>
      <c r="BV38" s="157">
        <v>60</v>
      </c>
      <c r="BW38" s="161">
        <v>0.90909090909090962</v>
      </c>
      <c r="BX38" s="156">
        <v>9.0909090909090828E-2</v>
      </c>
      <c r="BY38" s="156">
        <v>0</v>
      </c>
      <c r="BZ38" s="156">
        <v>0</v>
      </c>
      <c r="CA38" s="156">
        <v>0</v>
      </c>
      <c r="CB38" s="157">
        <v>22</v>
      </c>
      <c r="CC38" s="155">
        <v>0.77419354838709675</v>
      </c>
      <c r="CD38" s="156">
        <v>0.22580645161290316</v>
      </c>
      <c r="CE38" s="156">
        <v>0</v>
      </c>
      <c r="CF38" s="156">
        <v>0</v>
      </c>
      <c r="CG38" s="156">
        <v>0</v>
      </c>
      <c r="CH38" s="162">
        <v>31</v>
      </c>
      <c r="CI38" s="155">
        <v>0.6</v>
      </c>
      <c r="CJ38" s="156">
        <v>0.3</v>
      </c>
      <c r="CK38" s="156">
        <v>0.1</v>
      </c>
      <c r="CL38" s="156">
        <v>0</v>
      </c>
      <c r="CM38" s="156">
        <v>0</v>
      </c>
      <c r="CN38" s="162">
        <v>30</v>
      </c>
      <c r="CO38" s="155">
        <v>0.63333333333333386</v>
      </c>
      <c r="CP38" s="156">
        <v>0.33333333333333298</v>
      </c>
      <c r="CQ38" s="156">
        <v>3.3333333333333354E-2</v>
      </c>
      <c r="CR38" s="156">
        <v>0</v>
      </c>
      <c r="CS38" s="156">
        <v>0</v>
      </c>
      <c r="CT38" s="162">
        <v>30</v>
      </c>
      <c r="CU38" s="155">
        <v>0.65624999999999989</v>
      </c>
      <c r="CV38" s="156">
        <v>0.25</v>
      </c>
      <c r="CW38" s="156">
        <v>6.25E-2</v>
      </c>
      <c r="CX38" s="156">
        <v>3.125E-2</v>
      </c>
      <c r="CY38" s="156">
        <v>0</v>
      </c>
      <c r="CZ38" s="162">
        <v>32</v>
      </c>
      <c r="DA38" s="155">
        <v>0.66666666666666596</v>
      </c>
      <c r="DB38" s="156">
        <v>0.29166666666666691</v>
      </c>
      <c r="DC38" s="156">
        <v>4.1666666666666623E-2</v>
      </c>
      <c r="DD38" s="156">
        <v>0</v>
      </c>
      <c r="DE38" s="156">
        <v>0</v>
      </c>
      <c r="DF38" s="162">
        <v>24</v>
      </c>
      <c r="DG38" s="155">
        <v>0.73913043478260965</v>
      </c>
      <c r="DH38" s="156">
        <v>0.173913043478261</v>
      </c>
      <c r="DI38" s="156">
        <v>8.6956521739130502E-2</v>
      </c>
      <c r="DJ38" s="156">
        <v>0</v>
      </c>
      <c r="DK38" s="156">
        <v>0</v>
      </c>
      <c r="DL38" s="162">
        <v>23</v>
      </c>
      <c r="DM38" s="155">
        <v>0.8</v>
      </c>
      <c r="DN38" s="156">
        <v>0.15</v>
      </c>
      <c r="DO38" s="156">
        <v>0.05</v>
      </c>
      <c r="DP38" s="156">
        <v>0</v>
      </c>
      <c r="DQ38" s="156">
        <v>0</v>
      </c>
      <c r="DR38" s="162">
        <v>20</v>
      </c>
      <c r="DS38" s="161">
        <v>0.66666666666666596</v>
      </c>
      <c r="DT38" s="156">
        <v>0.16666666666666649</v>
      </c>
      <c r="DU38" s="156">
        <v>0.16666666666666649</v>
      </c>
      <c r="DV38" s="156">
        <v>0</v>
      </c>
      <c r="DW38" s="156">
        <v>0</v>
      </c>
      <c r="DX38" s="162">
        <v>12</v>
      </c>
      <c r="DY38" s="155">
        <v>0.91228070175438647</v>
      </c>
      <c r="DZ38" s="156">
        <v>8.7719298245614225E-2</v>
      </c>
      <c r="EA38" s="156">
        <v>0</v>
      </c>
      <c r="EB38" s="156">
        <v>0</v>
      </c>
      <c r="EC38" s="156">
        <v>0</v>
      </c>
      <c r="ED38" s="162">
        <v>57</v>
      </c>
      <c r="EE38" s="155">
        <v>0.82857142857142829</v>
      </c>
      <c r="EF38" s="156">
        <v>0.14285714285714302</v>
      </c>
      <c r="EG38" s="156">
        <v>2.8571428571428591E-2</v>
      </c>
      <c r="EH38" s="156">
        <v>0</v>
      </c>
      <c r="EI38" s="156">
        <v>0</v>
      </c>
      <c r="EJ38" s="162">
        <v>35</v>
      </c>
      <c r="EK38" s="155">
        <v>0.89743589743589813</v>
      </c>
      <c r="EL38" s="156">
        <v>0.10256410256410266</v>
      </c>
      <c r="EM38" s="156">
        <v>0</v>
      </c>
      <c r="EN38" s="156">
        <v>0</v>
      </c>
      <c r="EO38" s="156">
        <v>0</v>
      </c>
      <c r="EP38" s="162">
        <v>39</v>
      </c>
      <c r="EQ38" s="155">
        <v>0.81081081081081097</v>
      </c>
      <c r="ER38" s="156">
        <v>0.16216216216216228</v>
      </c>
      <c r="ES38" s="156">
        <v>2.7027027027027063E-2</v>
      </c>
      <c r="ET38" s="156">
        <v>0</v>
      </c>
      <c r="EU38" s="156">
        <v>0</v>
      </c>
      <c r="EV38" s="162">
        <v>37</v>
      </c>
      <c r="EW38" s="155">
        <v>0.88235294117646934</v>
      </c>
      <c r="EX38" s="156">
        <v>0.11764705882352931</v>
      </c>
      <c r="EY38" s="156">
        <v>0</v>
      </c>
      <c r="EZ38" s="156">
        <v>0</v>
      </c>
      <c r="FA38" s="156">
        <v>0</v>
      </c>
      <c r="FB38" s="162">
        <v>34</v>
      </c>
      <c r="FC38" s="155">
        <v>0.78571428571428514</v>
      </c>
      <c r="FD38" s="156">
        <v>7.1428571428571508E-2</v>
      </c>
      <c r="FE38" s="156">
        <v>7.1428571428571508E-2</v>
      </c>
      <c r="FF38" s="156">
        <v>7.1428571428571508E-2</v>
      </c>
      <c r="FG38" s="156">
        <v>0</v>
      </c>
      <c r="FH38" s="162">
        <v>14</v>
      </c>
      <c r="FI38" s="161">
        <v>0.89473684210526383</v>
      </c>
      <c r="FJ38" s="156">
        <v>0.10526315789473679</v>
      </c>
      <c r="FK38" s="156">
        <v>0</v>
      </c>
      <c r="FL38" s="156">
        <v>0</v>
      </c>
      <c r="FM38" s="156">
        <v>0</v>
      </c>
      <c r="FN38" s="162">
        <v>19</v>
      </c>
      <c r="FO38" s="155">
        <v>0</v>
      </c>
      <c r="FP38" s="156">
        <v>0</v>
      </c>
      <c r="FQ38" s="156">
        <v>0</v>
      </c>
      <c r="FR38" s="156">
        <v>0</v>
      </c>
      <c r="FS38" s="156">
        <v>0</v>
      </c>
      <c r="FT38" s="162">
        <v>0</v>
      </c>
      <c r="FU38" s="155">
        <v>0</v>
      </c>
      <c r="FV38" s="156">
        <v>0</v>
      </c>
      <c r="FW38" s="156">
        <v>0</v>
      </c>
      <c r="FX38" s="156">
        <v>0</v>
      </c>
      <c r="FY38" s="156">
        <v>0</v>
      </c>
      <c r="FZ38" s="162">
        <v>0</v>
      </c>
      <c r="GA38" s="161">
        <v>0</v>
      </c>
      <c r="GB38" s="156">
        <v>0</v>
      </c>
      <c r="GC38" s="156">
        <v>0</v>
      </c>
      <c r="GD38" s="156">
        <v>0</v>
      </c>
      <c r="GE38" s="156">
        <v>0</v>
      </c>
      <c r="GF38" s="162">
        <v>0</v>
      </c>
      <c r="GG38" s="158">
        <v>9.6296296296296386</v>
      </c>
      <c r="GH38" s="162">
        <v>54</v>
      </c>
      <c r="GI38" s="155">
        <v>1.9230769230769232E-2</v>
      </c>
      <c r="GJ38" s="156">
        <v>0.67307692307692379</v>
      </c>
      <c r="GK38" s="156">
        <v>0.26923076923076922</v>
      </c>
      <c r="GL38" s="156">
        <v>3.8461538461538464E-2</v>
      </c>
      <c r="GM38" s="156">
        <v>0</v>
      </c>
      <c r="GN38" s="162">
        <v>52</v>
      </c>
      <c r="GO38" s="155">
        <v>0.52542372881356036</v>
      </c>
      <c r="GP38" s="156">
        <v>0.15254237288135628</v>
      </c>
      <c r="GQ38" s="156">
        <v>0.11864406779661051</v>
      </c>
      <c r="GR38" s="156">
        <v>0.27118644067796666</v>
      </c>
      <c r="GS38" s="162">
        <v>59</v>
      </c>
      <c r="GT38" s="163">
        <v>2.7241379310344853</v>
      </c>
      <c r="GU38" s="162">
        <v>58</v>
      </c>
      <c r="GV38" s="155">
        <v>0.78260869565217417</v>
      </c>
      <c r="GW38" s="156">
        <v>0.217391304347826</v>
      </c>
      <c r="GX38" s="162">
        <v>23</v>
      </c>
      <c r="GY38" s="155">
        <v>0.9411764705882345</v>
      </c>
      <c r="GZ38" s="156">
        <v>5.8823529411764656E-2</v>
      </c>
      <c r="HA38" s="162">
        <v>34</v>
      </c>
      <c r="HB38" s="155">
        <v>0.95744680851063935</v>
      </c>
      <c r="HC38" s="156">
        <v>4.255319148936168E-2</v>
      </c>
      <c r="HD38" s="162">
        <v>47</v>
      </c>
      <c r="HE38" s="161">
        <v>0.91111111111111243</v>
      </c>
      <c r="HF38" s="156">
        <v>8.8888888888889017E-2</v>
      </c>
      <c r="HG38" s="162">
        <v>45</v>
      </c>
      <c r="HH38" s="155">
        <v>0.60377358490566146</v>
      </c>
      <c r="HI38" s="156">
        <v>0.39622641509433992</v>
      </c>
      <c r="HJ38" s="162">
        <v>53</v>
      </c>
      <c r="HK38" s="155">
        <v>1</v>
      </c>
      <c r="HL38" s="156">
        <v>0</v>
      </c>
      <c r="HM38" s="162">
        <v>53</v>
      </c>
      <c r="HN38" s="161">
        <v>0.12500000000000003</v>
      </c>
      <c r="HO38" s="156">
        <v>0.20833333333333345</v>
      </c>
      <c r="HP38" s="156">
        <v>0.29166666666666691</v>
      </c>
      <c r="HQ38" s="156">
        <v>0.25000000000000006</v>
      </c>
      <c r="HR38" s="156">
        <v>0.12500000000000003</v>
      </c>
      <c r="HS38" s="160">
        <v>53.60416666666665</v>
      </c>
      <c r="HT38" s="164">
        <v>48</v>
      </c>
      <c r="HU38" s="165">
        <v>2.1739130434782608E-2</v>
      </c>
      <c r="HV38" s="166">
        <v>0.19565217391304349</v>
      </c>
      <c r="HW38" s="166">
        <v>0.2391304347826087</v>
      </c>
      <c r="HX38" s="166">
        <v>6.5217391304347824E-2</v>
      </c>
      <c r="HY38" s="166">
        <v>0.10869565217391304</v>
      </c>
      <c r="HZ38" s="166">
        <v>0.13043478260869565</v>
      </c>
      <c r="IA38" s="166">
        <v>0.13043478260869565</v>
      </c>
      <c r="IB38" s="166">
        <v>0</v>
      </c>
      <c r="IC38" s="166">
        <v>0.10869565217391304</v>
      </c>
      <c r="ID38" s="166">
        <v>0</v>
      </c>
      <c r="IE38" s="167">
        <v>46</v>
      </c>
      <c r="IF38" s="155">
        <v>0</v>
      </c>
      <c r="IG38" s="156">
        <v>0</v>
      </c>
      <c r="IH38" s="156">
        <v>0.25</v>
      </c>
      <c r="II38" s="156">
        <v>0.25</v>
      </c>
      <c r="IJ38" s="156">
        <v>0.5</v>
      </c>
      <c r="IK38" s="162">
        <v>4</v>
      </c>
      <c r="IL38" s="155">
        <v>7.8431372549019759E-2</v>
      </c>
      <c r="IM38" s="156">
        <v>1.960784313725494E-2</v>
      </c>
      <c r="IN38" s="156">
        <v>0</v>
      </c>
      <c r="IO38" s="156">
        <v>0.82352941176470618</v>
      </c>
      <c r="IP38" s="156">
        <v>7.8431372549019759E-2</v>
      </c>
      <c r="IQ38" s="162">
        <v>51</v>
      </c>
      <c r="IR38" s="155">
        <v>0.25925925925925936</v>
      </c>
      <c r="IS38" s="156">
        <v>0.74074074074074214</v>
      </c>
      <c r="IT38" s="162">
        <v>54</v>
      </c>
      <c r="IU38" s="161">
        <v>0</v>
      </c>
      <c r="IV38" s="156">
        <v>0.21428571428571425</v>
      </c>
      <c r="IW38" s="156">
        <v>0.7857142857142857</v>
      </c>
      <c r="IX38" s="162">
        <v>14</v>
      </c>
    </row>
    <row r="39" spans="1:258" ht="32.1" customHeight="1" x14ac:dyDescent="0.25">
      <c r="A39" s="110" t="s">
        <v>453</v>
      </c>
      <c r="B39" s="108" t="s">
        <v>588</v>
      </c>
      <c r="C39" s="108" t="s">
        <v>457</v>
      </c>
      <c r="D39" s="109">
        <v>96</v>
      </c>
      <c r="E39" s="139" t="s">
        <v>489</v>
      </c>
      <c r="F39" s="155">
        <v>0.14285714285714282</v>
      </c>
      <c r="G39" s="156">
        <v>0.85714285714285698</v>
      </c>
      <c r="H39" s="157">
        <v>7</v>
      </c>
      <c r="I39" s="155">
        <v>0.1666666666666666</v>
      </c>
      <c r="J39" s="156">
        <v>0.83333333333333326</v>
      </c>
      <c r="K39" s="157">
        <v>6</v>
      </c>
      <c r="L39" s="155">
        <v>1</v>
      </c>
      <c r="M39" s="156">
        <v>0</v>
      </c>
      <c r="N39" s="157">
        <v>1</v>
      </c>
      <c r="O39" s="155">
        <v>0.85714285714285698</v>
      </c>
      <c r="P39" s="156">
        <v>0</v>
      </c>
      <c r="Q39" s="156">
        <v>0.14285714285714282</v>
      </c>
      <c r="R39" s="156">
        <v>0</v>
      </c>
      <c r="S39" s="156">
        <v>0.14285714285714282</v>
      </c>
      <c r="T39" s="156">
        <v>0</v>
      </c>
      <c r="U39" s="156">
        <v>0</v>
      </c>
      <c r="V39" s="156">
        <v>0.14285714285714282</v>
      </c>
      <c r="W39" s="156">
        <v>0.14285714285714282</v>
      </c>
      <c r="X39" s="156">
        <v>0</v>
      </c>
      <c r="Y39" s="157">
        <v>7</v>
      </c>
      <c r="Z39" s="155">
        <v>0.85714285714285698</v>
      </c>
      <c r="AA39" s="156">
        <v>0.85714285714285698</v>
      </c>
      <c r="AB39" s="156">
        <v>0.7142857142857143</v>
      </c>
      <c r="AC39" s="156">
        <v>0.7142857142857143</v>
      </c>
      <c r="AD39" s="156">
        <v>0</v>
      </c>
      <c r="AE39" s="156">
        <v>0.14285714285714282</v>
      </c>
      <c r="AF39" s="157">
        <v>7</v>
      </c>
      <c r="AG39" s="158">
        <v>9.9999999999999982</v>
      </c>
      <c r="AH39" s="159">
        <v>7</v>
      </c>
      <c r="AI39" s="160">
        <v>9.4285714285714288</v>
      </c>
      <c r="AJ39" s="159">
        <v>7</v>
      </c>
      <c r="AK39" s="160">
        <v>9.5</v>
      </c>
      <c r="AL39" s="157">
        <v>6</v>
      </c>
      <c r="AM39" s="155">
        <v>0.57142857142857129</v>
      </c>
      <c r="AN39" s="156">
        <v>0.42857142857142849</v>
      </c>
      <c r="AO39" s="156">
        <v>0</v>
      </c>
      <c r="AP39" s="156">
        <v>0</v>
      </c>
      <c r="AQ39" s="156">
        <v>0</v>
      </c>
      <c r="AR39" s="157">
        <v>7</v>
      </c>
      <c r="AS39" s="155">
        <v>0.7142857142857143</v>
      </c>
      <c r="AT39" s="156">
        <v>0.28571428571428564</v>
      </c>
      <c r="AU39" s="156">
        <v>0</v>
      </c>
      <c r="AV39" s="156">
        <v>0</v>
      </c>
      <c r="AW39" s="156">
        <v>0</v>
      </c>
      <c r="AX39" s="157">
        <v>7</v>
      </c>
      <c r="AY39" s="155">
        <v>0.7142857142857143</v>
      </c>
      <c r="AZ39" s="156">
        <v>0.28571428571428564</v>
      </c>
      <c r="BA39" s="156">
        <v>0</v>
      </c>
      <c r="BB39" s="156">
        <v>0</v>
      </c>
      <c r="BC39" s="156">
        <v>0</v>
      </c>
      <c r="BD39" s="157">
        <v>7</v>
      </c>
      <c r="BE39" s="155">
        <v>0.57142857142857129</v>
      </c>
      <c r="BF39" s="156">
        <v>0.42857142857142849</v>
      </c>
      <c r="BG39" s="156">
        <v>0</v>
      </c>
      <c r="BH39" s="156">
        <v>0</v>
      </c>
      <c r="BI39" s="156">
        <v>0</v>
      </c>
      <c r="BJ39" s="157">
        <v>7</v>
      </c>
      <c r="BK39" s="155">
        <v>0.57142857142857129</v>
      </c>
      <c r="BL39" s="156">
        <v>0.28571428571428564</v>
      </c>
      <c r="BM39" s="156">
        <v>0.14285714285714282</v>
      </c>
      <c r="BN39" s="156">
        <v>0</v>
      </c>
      <c r="BO39" s="156">
        <v>0</v>
      </c>
      <c r="BP39" s="157">
        <v>7</v>
      </c>
      <c r="BQ39" s="155">
        <v>0.42857142857142849</v>
      </c>
      <c r="BR39" s="156">
        <v>0.42857142857142849</v>
      </c>
      <c r="BS39" s="156">
        <v>0.14285714285714282</v>
      </c>
      <c r="BT39" s="156">
        <v>0</v>
      </c>
      <c r="BU39" s="156">
        <v>0</v>
      </c>
      <c r="BV39" s="157">
        <v>7</v>
      </c>
      <c r="BW39" s="161">
        <v>0.6</v>
      </c>
      <c r="BX39" s="156">
        <v>0.2</v>
      </c>
      <c r="BY39" s="156">
        <v>0.2</v>
      </c>
      <c r="BZ39" s="156">
        <v>0</v>
      </c>
      <c r="CA39" s="156">
        <v>0</v>
      </c>
      <c r="CB39" s="157">
        <v>5</v>
      </c>
      <c r="CC39" s="155">
        <v>0</v>
      </c>
      <c r="CD39" s="156">
        <v>0</v>
      </c>
      <c r="CE39" s="156">
        <v>0</v>
      </c>
      <c r="CF39" s="156">
        <v>0</v>
      </c>
      <c r="CG39" s="156">
        <v>0</v>
      </c>
      <c r="CH39" s="162">
        <v>0</v>
      </c>
      <c r="CI39" s="155">
        <v>0</v>
      </c>
      <c r="CJ39" s="156">
        <v>0</v>
      </c>
      <c r="CK39" s="156">
        <v>0</v>
      </c>
      <c r="CL39" s="156">
        <v>0</v>
      </c>
      <c r="CM39" s="156">
        <v>0</v>
      </c>
      <c r="CN39" s="162">
        <v>0</v>
      </c>
      <c r="CO39" s="155">
        <v>0</v>
      </c>
      <c r="CP39" s="156">
        <v>0.75</v>
      </c>
      <c r="CQ39" s="156">
        <v>0.25</v>
      </c>
      <c r="CR39" s="156">
        <v>0</v>
      </c>
      <c r="CS39" s="156">
        <v>0</v>
      </c>
      <c r="CT39" s="162">
        <v>4</v>
      </c>
      <c r="CU39" s="155">
        <v>0</v>
      </c>
      <c r="CV39" s="156">
        <v>0.75</v>
      </c>
      <c r="CW39" s="156">
        <v>0.25</v>
      </c>
      <c r="CX39" s="156">
        <v>0</v>
      </c>
      <c r="CY39" s="156">
        <v>0</v>
      </c>
      <c r="CZ39" s="162">
        <v>4</v>
      </c>
      <c r="DA39" s="155">
        <v>0</v>
      </c>
      <c r="DB39" s="156">
        <v>0.5</v>
      </c>
      <c r="DC39" s="156">
        <v>0.5</v>
      </c>
      <c r="DD39" s="156">
        <v>0</v>
      </c>
      <c r="DE39" s="156">
        <v>0</v>
      </c>
      <c r="DF39" s="162">
        <v>2</v>
      </c>
      <c r="DG39" s="155">
        <v>0</v>
      </c>
      <c r="DH39" s="156">
        <v>0</v>
      </c>
      <c r="DI39" s="156">
        <v>1</v>
      </c>
      <c r="DJ39" s="156">
        <v>0</v>
      </c>
      <c r="DK39" s="156">
        <v>0</v>
      </c>
      <c r="DL39" s="162">
        <v>1</v>
      </c>
      <c r="DM39" s="155">
        <v>0.5</v>
      </c>
      <c r="DN39" s="156">
        <v>0</v>
      </c>
      <c r="DO39" s="156">
        <v>0</v>
      </c>
      <c r="DP39" s="156">
        <v>0.5</v>
      </c>
      <c r="DQ39" s="156">
        <v>0</v>
      </c>
      <c r="DR39" s="162">
        <v>2</v>
      </c>
      <c r="DS39" s="161">
        <v>0</v>
      </c>
      <c r="DT39" s="156">
        <v>0</v>
      </c>
      <c r="DU39" s="156">
        <v>1</v>
      </c>
      <c r="DV39" s="156">
        <v>0</v>
      </c>
      <c r="DW39" s="156">
        <v>0</v>
      </c>
      <c r="DX39" s="162">
        <v>1</v>
      </c>
      <c r="DY39" s="155">
        <v>0.83333333333333326</v>
      </c>
      <c r="DZ39" s="156">
        <v>0.1666666666666666</v>
      </c>
      <c r="EA39" s="156">
        <v>0</v>
      </c>
      <c r="EB39" s="156">
        <v>0</v>
      </c>
      <c r="EC39" s="156">
        <v>0</v>
      </c>
      <c r="ED39" s="162">
        <v>6</v>
      </c>
      <c r="EE39" s="155">
        <v>1</v>
      </c>
      <c r="EF39" s="156">
        <v>0</v>
      </c>
      <c r="EG39" s="156">
        <v>0</v>
      </c>
      <c r="EH39" s="156">
        <v>0</v>
      </c>
      <c r="EI39" s="156">
        <v>0</v>
      </c>
      <c r="EJ39" s="162">
        <v>2</v>
      </c>
      <c r="EK39" s="155">
        <v>1</v>
      </c>
      <c r="EL39" s="156">
        <v>0</v>
      </c>
      <c r="EM39" s="156">
        <v>0</v>
      </c>
      <c r="EN39" s="156">
        <v>0</v>
      </c>
      <c r="EO39" s="156">
        <v>0</v>
      </c>
      <c r="EP39" s="162">
        <v>1</v>
      </c>
      <c r="EQ39" s="155">
        <v>0.6</v>
      </c>
      <c r="ER39" s="156">
        <v>0.2</v>
      </c>
      <c r="ES39" s="156">
        <v>0.2</v>
      </c>
      <c r="ET39" s="156">
        <v>0</v>
      </c>
      <c r="EU39" s="156">
        <v>0</v>
      </c>
      <c r="EV39" s="162">
        <v>5</v>
      </c>
      <c r="EW39" s="155">
        <v>0.8</v>
      </c>
      <c r="EX39" s="156">
        <v>0.2</v>
      </c>
      <c r="EY39" s="156">
        <v>0</v>
      </c>
      <c r="EZ39" s="156">
        <v>0</v>
      </c>
      <c r="FA39" s="156">
        <v>0</v>
      </c>
      <c r="FB39" s="162">
        <v>5</v>
      </c>
      <c r="FC39" s="155">
        <v>0</v>
      </c>
      <c r="FD39" s="156">
        <v>0</v>
      </c>
      <c r="FE39" s="156">
        <v>0</v>
      </c>
      <c r="FF39" s="156">
        <v>0</v>
      </c>
      <c r="FG39" s="156">
        <v>0</v>
      </c>
      <c r="FH39" s="162">
        <v>0</v>
      </c>
      <c r="FI39" s="161">
        <v>0</v>
      </c>
      <c r="FJ39" s="156">
        <v>0</v>
      </c>
      <c r="FK39" s="156">
        <v>0</v>
      </c>
      <c r="FL39" s="156">
        <v>0</v>
      </c>
      <c r="FM39" s="156">
        <v>0</v>
      </c>
      <c r="FN39" s="162">
        <v>0</v>
      </c>
      <c r="FO39" s="155">
        <v>0</v>
      </c>
      <c r="FP39" s="156">
        <v>0</v>
      </c>
      <c r="FQ39" s="156">
        <v>0</v>
      </c>
      <c r="FR39" s="156">
        <v>0</v>
      </c>
      <c r="FS39" s="156">
        <v>0</v>
      </c>
      <c r="FT39" s="162">
        <v>0</v>
      </c>
      <c r="FU39" s="155">
        <v>0</v>
      </c>
      <c r="FV39" s="156">
        <v>0</v>
      </c>
      <c r="FW39" s="156">
        <v>0</v>
      </c>
      <c r="FX39" s="156">
        <v>0</v>
      </c>
      <c r="FY39" s="156">
        <v>0</v>
      </c>
      <c r="FZ39" s="162">
        <v>0</v>
      </c>
      <c r="GA39" s="161">
        <v>0</v>
      </c>
      <c r="GB39" s="156">
        <v>0</v>
      </c>
      <c r="GC39" s="156">
        <v>0</v>
      </c>
      <c r="GD39" s="156">
        <v>0</v>
      </c>
      <c r="GE39" s="156">
        <v>0</v>
      </c>
      <c r="GF39" s="162">
        <v>0</v>
      </c>
      <c r="GG39" s="158">
        <v>9.2000000000000011</v>
      </c>
      <c r="GH39" s="162">
        <v>5</v>
      </c>
      <c r="GI39" s="155">
        <v>0</v>
      </c>
      <c r="GJ39" s="156">
        <v>0.85714285714285698</v>
      </c>
      <c r="GK39" s="156">
        <v>0.14285714285714282</v>
      </c>
      <c r="GL39" s="156">
        <v>0</v>
      </c>
      <c r="GM39" s="156">
        <v>0</v>
      </c>
      <c r="GN39" s="162">
        <v>7</v>
      </c>
      <c r="GO39" s="155">
        <v>0.16666666666666666</v>
      </c>
      <c r="GP39" s="156">
        <v>0.5</v>
      </c>
      <c r="GQ39" s="156">
        <v>0.16666666666666666</v>
      </c>
      <c r="GR39" s="156">
        <v>0.33333333333333331</v>
      </c>
      <c r="GS39" s="162">
        <v>6</v>
      </c>
      <c r="GT39" s="163">
        <v>2.9999999999999996</v>
      </c>
      <c r="GU39" s="162">
        <v>6</v>
      </c>
      <c r="GV39" s="155">
        <v>1</v>
      </c>
      <c r="GW39" s="156">
        <v>0</v>
      </c>
      <c r="GX39" s="162">
        <v>2</v>
      </c>
      <c r="GY39" s="155">
        <v>1</v>
      </c>
      <c r="GZ39" s="156">
        <v>0</v>
      </c>
      <c r="HA39" s="162">
        <v>5</v>
      </c>
      <c r="HB39" s="155">
        <v>1</v>
      </c>
      <c r="HC39" s="156">
        <v>0</v>
      </c>
      <c r="HD39" s="162">
        <v>7</v>
      </c>
      <c r="HE39" s="161">
        <v>0.8</v>
      </c>
      <c r="HF39" s="156">
        <v>0.2</v>
      </c>
      <c r="HG39" s="162">
        <v>5</v>
      </c>
      <c r="HH39" s="155">
        <v>0.42857142857142849</v>
      </c>
      <c r="HI39" s="156">
        <v>0.57142857142857129</v>
      </c>
      <c r="HJ39" s="162">
        <v>7</v>
      </c>
      <c r="HK39" s="155">
        <v>1</v>
      </c>
      <c r="HL39" s="156">
        <v>0</v>
      </c>
      <c r="HM39" s="162">
        <v>7</v>
      </c>
      <c r="HN39" s="161">
        <v>0.28571428571428564</v>
      </c>
      <c r="HO39" s="156">
        <v>0.28571428571428564</v>
      </c>
      <c r="HP39" s="156">
        <v>0.28571428571428564</v>
      </c>
      <c r="HQ39" s="156">
        <v>0.14285714285714282</v>
      </c>
      <c r="HR39" s="156">
        <v>0</v>
      </c>
      <c r="HS39" s="160">
        <v>42</v>
      </c>
      <c r="HT39" s="164">
        <v>7</v>
      </c>
      <c r="HU39" s="165">
        <v>0</v>
      </c>
      <c r="HV39" s="166">
        <v>0</v>
      </c>
      <c r="HW39" s="166">
        <v>0.2</v>
      </c>
      <c r="HX39" s="166">
        <v>0</v>
      </c>
      <c r="HY39" s="166">
        <v>0</v>
      </c>
      <c r="HZ39" s="166">
        <v>0.2</v>
      </c>
      <c r="IA39" s="166">
        <v>0.2</v>
      </c>
      <c r="IB39" s="166">
        <v>0.2</v>
      </c>
      <c r="IC39" s="166">
        <v>0.2</v>
      </c>
      <c r="ID39" s="166">
        <v>0</v>
      </c>
      <c r="IE39" s="167">
        <v>5</v>
      </c>
      <c r="IF39" s="155">
        <v>0</v>
      </c>
      <c r="IG39" s="156">
        <v>0</v>
      </c>
      <c r="IH39" s="156">
        <v>1</v>
      </c>
      <c r="II39" s="156">
        <v>0</v>
      </c>
      <c r="IJ39" s="156">
        <v>0</v>
      </c>
      <c r="IK39" s="162">
        <v>1</v>
      </c>
      <c r="IL39" s="155">
        <v>0.14285714285714282</v>
      </c>
      <c r="IM39" s="156">
        <v>0</v>
      </c>
      <c r="IN39" s="156">
        <v>0.14285714285714282</v>
      </c>
      <c r="IO39" s="156">
        <v>0.7142857142857143</v>
      </c>
      <c r="IP39" s="156">
        <v>0</v>
      </c>
      <c r="IQ39" s="162">
        <v>7</v>
      </c>
      <c r="IR39" s="155">
        <v>0</v>
      </c>
      <c r="IS39" s="156">
        <v>1</v>
      </c>
      <c r="IT39" s="162">
        <v>7</v>
      </c>
      <c r="IU39" s="161">
        <v>0</v>
      </c>
      <c r="IV39" s="156">
        <v>0</v>
      </c>
      <c r="IW39" s="156">
        <v>0</v>
      </c>
      <c r="IX39" s="162">
        <v>0</v>
      </c>
    </row>
    <row r="40" spans="1:258" ht="32.1" customHeight="1" x14ac:dyDescent="0.25">
      <c r="A40" s="110" t="s">
        <v>453</v>
      </c>
      <c r="B40" s="108" t="s">
        <v>588</v>
      </c>
      <c r="C40" s="108" t="s">
        <v>457</v>
      </c>
      <c r="D40" s="109">
        <v>100</v>
      </c>
      <c r="E40" s="139" t="s">
        <v>490</v>
      </c>
      <c r="F40" s="155">
        <v>0.27999999999999997</v>
      </c>
      <c r="G40" s="156">
        <v>0.71999999999999986</v>
      </c>
      <c r="H40" s="157">
        <v>50</v>
      </c>
      <c r="I40" s="155">
        <v>0.58823529411764708</v>
      </c>
      <c r="J40" s="156">
        <v>0.41176470588235342</v>
      </c>
      <c r="K40" s="157">
        <v>34</v>
      </c>
      <c r="L40" s="155">
        <v>0.36842105263157893</v>
      </c>
      <c r="M40" s="156">
        <v>0.63157894736842091</v>
      </c>
      <c r="N40" s="157">
        <v>19</v>
      </c>
      <c r="O40" s="155">
        <v>0.57999999999999907</v>
      </c>
      <c r="P40" s="156">
        <v>0</v>
      </c>
      <c r="Q40" s="156">
        <v>7.9999999999999988E-2</v>
      </c>
      <c r="R40" s="156">
        <v>0.35999999999999976</v>
      </c>
      <c r="S40" s="156">
        <v>3.9999999999999994E-2</v>
      </c>
      <c r="T40" s="156">
        <v>6.0000000000000019E-2</v>
      </c>
      <c r="U40" s="156">
        <v>0</v>
      </c>
      <c r="V40" s="156">
        <v>0.12000000000000004</v>
      </c>
      <c r="W40" s="156">
        <v>0.27999999999999975</v>
      </c>
      <c r="X40" s="156">
        <v>9.9999999999999922E-2</v>
      </c>
      <c r="Y40" s="157">
        <v>50</v>
      </c>
      <c r="Z40" s="155">
        <v>0.7959183673469381</v>
      </c>
      <c r="AA40" s="156">
        <v>0.95918367346938804</v>
      </c>
      <c r="AB40" s="156">
        <v>0.63265306122448872</v>
      </c>
      <c r="AC40" s="156">
        <v>0.69387755102040705</v>
      </c>
      <c r="AD40" s="156">
        <v>0.18367346938775495</v>
      </c>
      <c r="AE40" s="156">
        <v>6.1224489795918317E-2</v>
      </c>
      <c r="AF40" s="157">
        <v>49</v>
      </c>
      <c r="AG40" s="158">
        <v>9.5799999999999859</v>
      </c>
      <c r="AH40" s="159">
        <v>50</v>
      </c>
      <c r="AI40" s="160">
        <v>9.7399999999999984</v>
      </c>
      <c r="AJ40" s="159">
        <v>50</v>
      </c>
      <c r="AK40" s="160">
        <v>9.7083333333333179</v>
      </c>
      <c r="AL40" s="157">
        <v>48</v>
      </c>
      <c r="AM40" s="155">
        <v>0.47916666666666657</v>
      </c>
      <c r="AN40" s="156">
        <v>0.37499999999999994</v>
      </c>
      <c r="AO40" s="156">
        <v>6.2499999999999993E-2</v>
      </c>
      <c r="AP40" s="156">
        <v>8.3333333333333204E-2</v>
      </c>
      <c r="AQ40" s="156">
        <v>0</v>
      </c>
      <c r="AR40" s="157">
        <v>48</v>
      </c>
      <c r="AS40" s="155">
        <v>0.72916666666666563</v>
      </c>
      <c r="AT40" s="156">
        <v>0.22916666666666646</v>
      </c>
      <c r="AU40" s="156">
        <v>4.1666666666666602E-2</v>
      </c>
      <c r="AV40" s="156">
        <v>0</v>
      </c>
      <c r="AW40" s="156">
        <v>0</v>
      </c>
      <c r="AX40" s="157">
        <v>48</v>
      </c>
      <c r="AY40" s="155">
        <v>0.8333333333333337</v>
      </c>
      <c r="AZ40" s="156">
        <v>0.16666666666666641</v>
      </c>
      <c r="BA40" s="156">
        <v>0</v>
      </c>
      <c r="BB40" s="156">
        <v>0</v>
      </c>
      <c r="BC40" s="156">
        <v>0</v>
      </c>
      <c r="BD40" s="157">
        <v>48</v>
      </c>
      <c r="BE40" s="155">
        <v>0.79591836734693888</v>
      </c>
      <c r="BF40" s="156">
        <v>0.14285714285714263</v>
      </c>
      <c r="BG40" s="156">
        <v>6.1224489795918317E-2</v>
      </c>
      <c r="BH40" s="156">
        <v>0</v>
      </c>
      <c r="BI40" s="156">
        <v>0</v>
      </c>
      <c r="BJ40" s="157">
        <v>49</v>
      </c>
      <c r="BK40" s="155">
        <v>0.70454545454545459</v>
      </c>
      <c r="BL40" s="156">
        <v>0.22727272727272738</v>
      </c>
      <c r="BM40" s="156">
        <v>4.5454545454545393E-2</v>
      </c>
      <c r="BN40" s="156">
        <v>2.2727272727272697E-2</v>
      </c>
      <c r="BO40" s="156">
        <v>0</v>
      </c>
      <c r="BP40" s="157">
        <v>44</v>
      </c>
      <c r="BQ40" s="155">
        <v>0.83673469387755128</v>
      </c>
      <c r="BR40" s="156">
        <v>0.12244897959183663</v>
      </c>
      <c r="BS40" s="156">
        <v>2.0408163265306128E-2</v>
      </c>
      <c r="BT40" s="156">
        <v>2.0408163265306128E-2</v>
      </c>
      <c r="BU40" s="156">
        <v>0</v>
      </c>
      <c r="BV40" s="157">
        <v>49</v>
      </c>
      <c r="BW40" s="161">
        <v>0.72727272727272618</v>
      </c>
      <c r="BX40" s="156">
        <v>0.13636363636363627</v>
      </c>
      <c r="BY40" s="156">
        <v>0.11363636363636369</v>
      </c>
      <c r="BZ40" s="156">
        <v>2.2727272727272697E-2</v>
      </c>
      <c r="CA40" s="156">
        <v>0</v>
      </c>
      <c r="CB40" s="157">
        <v>44</v>
      </c>
      <c r="CC40" s="155">
        <v>0.74999999999999989</v>
      </c>
      <c r="CD40" s="156">
        <v>0.16666666666666657</v>
      </c>
      <c r="CE40" s="156">
        <v>8.3333333333333287E-2</v>
      </c>
      <c r="CF40" s="156">
        <v>0</v>
      </c>
      <c r="CG40" s="156">
        <v>0</v>
      </c>
      <c r="CH40" s="162">
        <v>12</v>
      </c>
      <c r="CI40" s="155">
        <v>0.74999999999999989</v>
      </c>
      <c r="CJ40" s="156">
        <v>0.16666666666666657</v>
      </c>
      <c r="CK40" s="156">
        <v>8.3333333333333287E-2</v>
      </c>
      <c r="CL40" s="156">
        <v>0</v>
      </c>
      <c r="CM40" s="156">
        <v>0</v>
      </c>
      <c r="CN40" s="162">
        <v>12</v>
      </c>
      <c r="CO40" s="155">
        <v>0.54545454545454541</v>
      </c>
      <c r="CP40" s="156">
        <v>0.27272727272727265</v>
      </c>
      <c r="CQ40" s="156">
        <v>0.12121212121212124</v>
      </c>
      <c r="CR40" s="156">
        <v>3.0303030303030311E-2</v>
      </c>
      <c r="CS40" s="156">
        <v>3.0303030303030311E-2</v>
      </c>
      <c r="CT40" s="162">
        <v>33</v>
      </c>
      <c r="CU40" s="155">
        <v>0.5294117647058828</v>
      </c>
      <c r="CV40" s="156">
        <v>0.32352941176470568</v>
      </c>
      <c r="CW40" s="156">
        <v>0.11764705882352937</v>
      </c>
      <c r="CX40" s="156">
        <v>0</v>
      </c>
      <c r="CY40" s="156">
        <v>2.9411764705882342E-2</v>
      </c>
      <c r="CZ40" s="162">
        <v>34</v>
      </c>
      <c r="DA40" s="155">
        <v>0.61111111111111172</v>
      </c>
      <c r="DB40" s="156">
        <v>0.16666666666666657</v>
      </c>
      <c r="DC40" s="156">
        <v>0.16666666666666657</v>
      </c>
      <c r="DD40" s="156">
        <v>5.5555555555555497E-2</v>
      </c>
      <c r="DE40" s="156">
        <v>0</v>
      </c>
      <c r="DF40" s="162">
        <v>18</v>
      </c>
      <c r="DG40" s="155">
        <v>0.58823529411764719</v>
      </c>
      <c r="DH40" s="156">
        <v>0.17647058823529396</v>
      </c>
      <c r="DI40" s="156">
        <v>0.17647058823529396</v>
      </c>
      <c r="DJ40" s="156">
        <v>5.882352941176465E-2</v>
      </c>
      <c r="DK40" s="156">
        <v>0</v>
      </c>
      <c r="DL40" s="162">
        <v>17</v>
      </c>
      <c r="DM40" s="155">
        <v>0.71428571428571463</v>
      </c>
      <c r="DN40" s="156">
        <v>0.14285714285714296</v>
      </c>
      <c r="DO40" s="156">
        <v>4.7619047619047603E-2</v>
      </c>
      <c r="DP40" s="156">
        <v>9.5238095238095205E-2</v>
      </c>
      <c r="DQ40" s="156">
        <v>0</v>
      </c>
      <c r="DR40" s="162">
        <v>21</v>
      </c>
      <c r="DS40" s="161">
        <v>0.59090909090909038</v>
      </c>
      <c r="DT40" s="156">
        <v>0.22727272727272738</v>
      </c>
      <c r="DU40" s="156">
        <v>0.13636363636363627</v>
      </c>
      <c r="DV40" s="156">
        <v>4.5454545454545407E-2</v>
      </c>
      <c r="DW40" s="156">
        <v>0</v>
      </c>
      <c r="DX40" s="162">
        <v>22</v>
      </c>
      <c r="DY40" s="155">
        <v>0.97916666666666652</v>
      </c>
      <c r="DZ40" s="156">
        <v>2.0833333333333301E-2</v>
      </c>
      <c r="EA40" s="156">
        <v>0</v>
      </c>
      <c r="EB40" s="156">
        <v>0</v>
      </c>
      <c r="EC40" s="156">
        <v>0</v>
      </c>
      <c r="ED40" s="162">
        <v>48</v>
      </c>
      <c r="EE40" s="155">
        <v>0.94444444444444386</v>
      </c>
      <c r="EF40" s="156">
        <v>5.5555555555555497E-2</v>
      </c>
      <c r="EG40" s="156">
        <v>0</v>
      </c>
      <c r="EH40" s="156">
        <v>0</v>
      </c>
      <c r="EI40" s="156">
        <v>0</v>
      </c>
      <c r="EJ40" s="162">
        <v>18</v>
      </c>
      <c r="EK40" s="155">
        <v>0.94117647058823461</v>
      </c>
      <c r="EL40" s="156">
        <v>5.882352941176465E-2</v>
      </c>
      <c r="EM40" s="156">
        <v>0</v>
      </c>
      <c r="EN40" s="156">
        <v>0</v>
      </c>
      <c r="EO40" s="156">
        <v>0</v>
      </c>
      <c r="EP40" s="162">
        <v>17</v>
      </c>
      <c r="EQ40" s="155">
        <v>0.69444444444444386</v>
      </c>
      <c r="ER40" s="156">
        <v>0.22222222222222199</v>
      </c>
      <c r="ES40" s="156">
        <v>8.3333333333333301E-2</v>
      </c>
      <c r="ET40" s="156">
        <v>0</v>
      </c>
      <c r="EU40" s="156">
        <v>0</v>
      </c>
      <c r="EV40" s="162">
        <v>36</v>
      </c>
      <c r="EW40" s="155">
        <v>0.78947368421052577</v>
      </c>
      <c r="EX40" s="156">
        <v>0.18421052631578955</v>
      </c>
      <c r="EY40" s="156">
        <v>2.6315789473684233E-2</v>
      </c>
      <c r="EZ40" s="156">
        <v>0</v>
      </c>
      <c r="FA40" s="156">
        <v>0</v>
      </c>
      <c r="FB40" s="162">
        <v>38</v>
      </c>
      <c r="FC40" s="155">
        <v>0.42857142857142866</v>
      </c>
      <c r="FD40" s="156">
        <v>0.28571428571428592</v>
      </c>
      <c r="FE40" s="156">
        <v>0.28571428571428592</v>
      </c>
      <c r="FF40" s="156">
        <v>0</v>
      </c>
      <c r="FG40" s="156">
        <v>0</v>
      </c>
      <c r="FH40" s="162">
        <v>7</v>
      </c>
      <c r="FI40" s="161">
        <v>0.5</v>
      </c>
      <c r="FJ40" s="156">
        <v>0.16666666666666657</v>
      </c>
      <c r="FK40" s="156">
        <v>0.16666666666666657</v>
      </c>
      <c r="FL40" s="156">
        <v>0.16666666666666657</v>
      </c>
      <c r="FM40" s="156">
        <v>0</v>
      </c>
      <c r="FN40" s="162">
        <v>6</v>
      </c>
      <c r="FO40" s="155">
        <v>0</v>
      </c>
      <c r="FP40" s="156">
        <v>0</v>
      </c>
      <c r="FQ40" s="156">
        <v>0</v>
      </c>
      <c r="FR40" s="156">
        <v>0</v>
      </c>
      <c r="FS40" s="156">
        <v>0</v>
      </c>
      <c r="FT40" s="162">
        <v>0</v>
      </c>
      <c r="FU40" s="155">
        <v>0</v>
      </c>
      <c r="FV40" s="156">
        <v>0</v>
      </c>
      <c r="FW40" s="156">
        <v>0</v>
      </c>
      <c r="FX40" s="156">
        <v>0</v>
      </c>
      <c r="FY40" s="156">
        <v>0</v>
      </c>
      <c r="FZ40" s="162">
        <v>0</v>
      </c>
      <c r="GA40" s="161">
        <v>0</v>
      </c>
      <c r="GB40" s="156">
        <v>0</v>
      </c>
      <c r="GC40" s="156">
        <v>0</v>
      </c>
      <c r="GD40" s="156">
        <v>0</v>
      </c>
      <c r="GE40" s="156">
        <v>0</v>
      </c>
      <c r="GF40" s="162">
        <v>0</v>
      </c>
      <c r="GG40" s="158">
        <v>9.3636363636363686</v>
      </c>
      <c r="GH40" s="162">
        <v>44</v>
      </c>
      <c r="GI40" s="155">
        <v>0</v>
      </c>
      <c r="GJ40" s="156">
        <v>0.87999999999999989</v>
      </c>
      <c r="GK40" s="156">
        <v>9.9999999999999978E-2</v>
      </c>
      <c r="GL40" s="156">
        <v>1.9999999999999997E-2</v>
      </c>
      <c r="GM40" s="156">
        <v>0</v>
      </c>
      <c r="GN40" s="162">
        <v>50</v>
      </c>
      <c r="GO40" s="155">
        <v>0.45833333333333309</v>
      </c>
      <c r="GP40" s="156">
        <v>0.16666666666666671</v>
      </c>
      <c r="GQ40" s="156">
        <v>0.18749999999999997</v>
      </c>
      <c r="GR40" s="156">
        <v>0.29166666666666646</v>
      </c>
      <c r="GS40" s="162">
        <v>48</v>
      </c>
      <c r="GT40" s="163">
        <v>3.387755102040813</v>
      </c>
      <c r="GU40" s="162">
        <v>49</v>
      </c>
      <c r="GV40" s="155">
        <v>0.95000000000000018</v>
      </c>
      <c r="GW40" s="156">
        <v>4.9999999999999989E-2</v>
      </c>
      <c r="GX40" s="162">
        <v>20</v>
      </c>
      <c r="GY40" s="155">
        <v>0.92857142857142805</v>
      </c>
      <c r="GZ40" s="156">
        <v>7.142857142857148E-2</v>
      </c>
      <c r="HA40" s="162">
        <v>28</v>
      </c>
      <c r="HB40" s="155">
        <v>1</v>
      </c>
      <c r="HC40" s="156">
        <v>0</v>
      </c>
      <c r="HD40" s="162">
        <v>45</v>
      </c>
      <c r="HE40" s="161">
        <v>0.97619047619047661</v>
      </c>
      <c r="HF40" s="156">
        <v>2.3809523809523801E-2</v>
      </c>
      <c r="HG40" s="162">
        <v>42</v>
      </c>
      <c r="HH40" s="155">
        <v>0.23404255319148909</v>
      </c>
      <c r="HI40" s="156">
        <v>0.76595744680851086</v>
      </c>
      <c r="HJ40" s="162">
        <v>47</v>
      </c>
      <c r="HK40" s="155">
        <v>0.97916666666666652</v>
      </c>
      <c r="HL40" s="156">
        <v>2.0833333333333301E-2</v>
      </c>
      <c r="HM40" s="162">
        <v>48</v>
      </c>
      <c r="HN40" s="161">
        <v>0.14893617021276584</v>
      </c>
      <c r="HO40" s="156">
        <v>0.31914893617021284</v>
      </c>
      <c r="HP40" s="156">
        <v>0.29787234042553173</v>
      </c>
      <c r="HQ40" s="156">
        <v>0.19148936170212771</v>
      </c>
      <c r="HR40" s="156">
        <v>4.2553191489361673E-2</v>
      </c>
      <c r="HS40" s="160">
        <v>46.553191489361737</v>
      </c>
      <c r="HT40" s="164">
        <v>47</v>
      </c>
      <c r="HU40" s="165">
        <v>0</v>
      </c>
      <c r="HV40" s="166">
        <v>0.20689655172413793</v>
      </c>
      <c r="HW40" s="166">
        <v>0.10344827586206896</v>
      </c>
      <c r="HX40" s="166">
        <v>6.8965517241379309E-2</v>
      </c>
      <c r="HY40" s="166">
        <v>0.13793103448275862</v>
      </c>
      <c r="HZ40" s="166">
        <v>6.8965517241379309E-2</v>
      </c>
      <c r="IA40" s="166">
        <v>0.13793103448275862</v>
      </c>
      <c r="IB40" s="166">
        <v>0.10344827586206896</v>
      </c>
      <c r="IC40" s="166">
        <v>0.10344827586206896</v>
      </c>
      <c r="ID40" s="166">
        <v>6.8965517241379309E-2</v>
      </c>
      <c r="IE40" s="167">
        <v>29</v>
      </c>
      <c r="IF40" s="155">
        <v>0.16666666666666657</v>
      </c>
      <c r="IG40" s="156">
        <v>0.16666666666666657</v>
      </c>
      <c r="IH40" s="156">
        <v>0.16666666666666657</v>
      </c>
      <c r="II40" s="156">
        <v>0</v>
      </c>
      <c r="IJ40" s="156">
        <v>0.5</v>
      </c>
      <c r="IK40" s="162">
        <v>6</v>
      </c>
      <c r="IL40" s="155">
        <v>0.10869565217391304</v>
      </c>
      <c r="IM40" s="156">
        <v>2.1739130434782612E-2</v>
      </c>
      <c r="IN40" s="156">
        <v>2.1739130434782612E-2</v>
      </c>
      <c r="IO40" s="156">
        <v>0.82608695652173902</v>
      </c>
      <c r="IP40" s="156">
        <v>2.1739130434782612E-2</v>
      </c>
      <c r="IQ40" s="162">
        <v>46</v>
      </c>
      <c r="IR40" s="155">
        <v>0.1276595744680851</v>
      </c>
      <c r="IS40" s="156">
        <v>0.87234042553191504</v>
      </c>
      <c r="IT40" s="162">
        <v>47</v>
      </c>
      <c r="IU40" s="161">
        <v>0</v>
      </c>
      <c r="IV40" s="156">
        <v>0</v>
      </c>
      <c r="IW40" s="156">
        <v>1</v>
      </c>
      <c r="IX40" s="162">
        <v>6</v>
      </c>
    </row>
    <row r="41" spans="1:258" ht="32.1" customHeight="1" x14ac:dyDescent="0.25">
      <c r="A41" s="110" t="s">
        <v>453</v>
      </c>
      <c r="B41" s="108" t="s">
        <v>588</v>
      </c>
      <c r="C41" s="108" t="s">
        <v>457</v>
      </c>
      <c r="D41" s="109">
        <v>103</v>
      </c>
      <c r="E41" s="139" t="s">
        <v>491</v>
      </c>
      <c r="F41" s="155">
        <v>0.18000000000000005</v>
      </c>
      <c r="G41" s="156">
        <v>0.82000000000000017</v>
      </c>
      <c r="H41" s="157">
        <v>50</v>
      </c>
      <c r="I41" s="155">
        <v>0.67500000000000004</v>
      </c>
      <c r="J41" s="156">
        <v>0.32499999999999996</v>
      </c>
      <c r="K41" s="157">
        <v>40</v>
      </c>
      <c r="L41" s="155">
        <v>0.27999999999999997</v>
      </c>
      <c r="M41" s="156">
        <v>0.71999999999999986</v>
      </c>
      <c r="N41" s="157">
        <v>25</v>
      </c>
      <c r="O41" s="155">
        <v>0.84000000000000086</v>
      </c>
      <c r="P41" s="156">
        <v>0</v>
      </c>
      <c r="Q41" s="156">
        <v>9.9999999999999978E-2</v>
      </c>
      <c r="R41" s="156">
        <v>0</v>
      </c>
      <c r="S41" s="156">
        <v>2.0000000000000007E-2</v>
      </c>
      <c r="T41" s="156">
        <v>8.0000000000000057E-2</v>
      </c>
      <c r="U41" s="156">
        <v>0</v>
      </c>
      <c r="V41" s="156">
        <v>0</v>
      </c>
      <c r="W41" s="156">
        <v>0.12000000000000009</v>
      </c>
      <c r="X41" s="156">
        <v>4.0000000000000029E-2</v>
      </c>
      <c r="Y41" s="157">
        <v>50</v>
      </c>
      <c r="Z41" s="155">
        <v>0.66000000000000025</v>
      </c>
      <c r="AA41" s="156">
        <v>0.8200000000000004</v>
      </c>
      <c r="AB41" s="156">
        <v>0.55999999999999972</v>
      </c>
      <c r="AC41" s="156">
        <v>0.60000000000000075</v>
      </c>
      <c r="AD41" s="156">
        <v>0.12000000000000009</v>
      </c>
      <c r="AE41" s="156">
        <v>9.9999999999999978E-2</v>
      </c>
      <c r="AF41" s="157">
        <v>50</v>
      </c>
      <c r="AG41" s="158">
        <v>9.7708333333333286</v>
      </c>
      <c r="AH41" s="159">
        <v>48</v>
      </c>
      <c r="AI41" s="160">
        <v>9.9166666666666821</v>
      </c>
      <c r="AJ41" s="159">
        <v>48</v>
      </c>
      <c r="AK41" s="160">
        <v>9.8666666666666725</v>
      </c>
      <c r="AL41" s="157">
        <v>45</v>
      </c>
      <c r="AM41" s="155">
        <v>0.38297872340425548</v>
      </c>
      <c r="AN41" s="156">
        <v>0.44680851063829785</v>
      </c>
      <c r="AO41" s="156">
        <v>4.2553191489361673E-2</v>
      </c>
      <c r="AP41" s="156">
        <v>8.5106382978723347E-2</v>
      </c>
      <c r="AQ41" s="156">
        <v>4.2553191489361673E-2</v>
      </c>
      <c r="AR41" s="157">
        <v>47</v>
      </c>
      <c r="AS41" s="155">
        <v>0.64583333333333437</v>
      </c>
      <c r="AT41" s="156">
        <v>0.27083333333333326</v>
      </c>
      <c r="AU41" s="156">
        <v>4.1666666666666644E-2</v>
      </c>
      <c r="AV41" s="156">
        <v>4.1666666666666644E-2</v>
      </c>
      <c r="AW41" s="156">
        <v>0</v>
      </c>
      <c r="AX41" s="157">
        <v>48</v>
      </c>
      <c r="AY41" s="155">
        <v>0.72916666666666641</v>
      </c>
      <c r="AZ41" s="156">
        <v>0.22916666666666663</v>
      </c>
      <c r="BA41" s="156">
        <v>4.1666666666666644E-2</v>
      </c>
      <c r="BB41" s="156">
        <v>0</v>
      </c>
      <c r="BC41" s="156">
        <v>0</v>
      </c>
      <c r="BD41" s="157">
        <v>48</v>
      </c>
      <c r="BE41" s="155">
        <v>0.73469387755102145</v>
      </c>
      <c r="BF41" s="156">
        <v>0.14285714285714296</v>
      </c>
      <c r="BG41" s="156">
        <v>6.1224489795918428E-2</v>
      </c>
      <c r="BH41" s="156">
        <v>6.1224489795918428E-2</v>
      </c>
      <c r="BI41" s="156">
        <v>0</v>
      </c>
      <c r="BJ41" s="157">
        <v>49</v>
      </c>
      <c r="BK41" s="155">
        <v>0.62790697674418572</v>
      </c>
      <c r="BL41" s="156">
        <v>0.30232558139534849</v>
      </c>
      <c r="BM41" s="156">
        <v>6.9767441860465157E-2</v>
      </c>
      <c r="BN41" s="156">
        <v>0</v>
      </c>
      <c r="BO41" s="156">
        <v>0</v>
      </c>
      <c r="BP41" s="157">
        <v>43</v>
      </c>
      <c r="BQ41" s="155">
        <v>0.89583333333333359</v>
      </c>
      <c r="BR41" s="156">
        <v>8.3333333333333287E-2</v>
      </c>
      <c r="BS41" s="156">
        <v>2.0833333333333322E-2</v>
      </c>
      <c r="BT41" s="156">
        <v>0</v>
      </c>
      <c r="BU41" s="156">
        <v>0</v>
      </c>
      <c r="BV41" s="157">
        <v>48</v>
      </c>
      <c r="BW41" s="161">
        <v>0.62790697674418572</v>
      </c>
      <c r="BX41" s="156">
        <v>0.23255813953488341</v>
      </c>
      <c r="BY41" s="156">
        <v>0.11627906976744171</v>
      </c>
      <c r="BZ41" s="156">
        <v>2.3255813953488351E-2</v>
      </c>
      <c r="CA41" s="156">
        <v>0</v>
      </c>
      <c r="CB41" s="157">
        <v>43</v>
      </c>
      <c r="CC41" s="155">
        <v>0</v>
      </c>
      <c r="CD41" s="156">
        <v>0.25</v>
      </c>
      <c r="CE41" s="156">
        <v>0.75</v>
      </c>
      <c r="CF41" s="156">
        <v>0</v>
      </c>
      <c r="CG41" s="156">
        <v>0</v>
      </c>
      <c r="CH41" s="162">
        <v>4</v>
      </c>
      <c r="CI41" s="155">
        <v>0</v>
      </c>
      <c r="CJ41" s="156">
        <v>0.33333333333333315</v>
      </c>
      <c r="CK41" s="156">
        <v>0.6666666666666663</v>
      </c>
      <c r="CL41" s="156">
        <v>0</v>
      </c>
      <c r="CM41" s="156">
        <v>0</v>
      </c>
      <c r="CN41" s="162">
        <v>3</v>
      </c>
      <c r="CO41" s="155">
        <v>0.34782608695652195</v>
      </c>
      <c r="CP41" s="156">
        <v>0.56521739130434812</v>
      </c>
      <c r="CQ41" s="156">
        <v>4.347826086956523E-2</v>
      </c>
      <c r="CR41" s="156">
        <v>4.347826086956523E-2</v>
      </c>
      <c r="CS41" s="156">
        <v>0</v>
      </c>
      <c r="CT41" s="162">
        <v>23</v>
      </c>
      <c r="CU41" s="155">
        <v>0.40740740740740705</v>
      </c>
      <c r="CV41" s="156">
        <v>0.51851851851851771</v>
      </c>
      <c r="CW41" s="156">
        <v>0</v>
      </c>
      <c r="CX41" s="156">
        <v>7.4074074074073959E-2</v>
      </c>
      <c r="CY41" s="156">
        <v>0</v>
      </c>
      <c r="CZ41" s="162">
        <v>27</v>
      </c>
      <c r="DA41" s="155">
        <v>0.27777777777777807</v>
      </c>
      <c r="DB41" s="156">
        <v>0.72222222222222188</v>
      </c>
      <c r="DC41" s="156">
        <v>0</v>
      </c>
      <c r="DD41" s="156">
        <v>0</v>
      </c>
      <c r="DE41" s="156">
        <v>0</v>
      </c>
      <c r="DF41" s="162">
        <v>18</v>
      </c>
      <c r="DG41" s="155">
        <v>0.16666666666666657</v>
      </c>
      <c r="DH41" s="156">
        <v>0.6666666666666663</v>
      </c>
      <c r="DI41" s="156">
        <v>0.16666666666666657</v>
      </c>
      <c r="DJ41" s="156">
        <v>0</v>
      </c>
      <c r="DK41" s="156">
        <v>0</v>
      </c>
      <c r="DL41" s="162">
        <v>12</v>
      </c>
      <c r="DM41" s="155">
        <v>0.6</v>
      </c>
      <c r="DN41" s="156">
        <v>0.26666666666666661</v>
      </c>
      <c r="DO41" s="156">
        <v>6.6666666666666652E-2</v>
      </c>
      <c r="DP41" s="156">
        <v>6.6666666666666652E-2</v>
      </c>
      <c r="DQ41" s="156">
        <v>0</v>
      </c>
      <c r="DR41" s="162">
        <v>30</v>
      </c>
      <c r="DS41" s="161">
        <v>0.74999999999999989</v>
      </c>
      <c r="DT41" s="156">
        <v>8.3333333333333287E-2</v>
      </c>
      <c r="DU41" s="156">
        <v>0.12499999999999999</v>
      </c>
      <c r="DV41" s="156">
        <v>4.1666666666666644E-2</v>
      </c>
      <c r="DW41" s="156">
        <v>0</v>
      </c>
      <c r="DX41" s="162">
        <v>24</v>
      </c>
      <c r="DY41" s="155">
        <v>0.83673469387755162</v>
      </c>
      <c r="DZ41" s="156">
        <v>0.14285714285714296</v>
      </c>
      <c r="EA41" s="156">
        <v>2.0408163265306135E-2</v>
      </c>
      <c r="EB41" s="156">
        <v>0</v>
      </c>
      <c r="EC41" s="156">
        <v>0</v>
      </c>
      <c r="ED41" s="162">
        <v>49</v>
      </c>
      <c r="EE41" s="155">
        <v>0.84999999999999987</v>
      </c>
      <c r="EF41" s="156">
        <v>0.15000000000000002</v>
      </c>
      <c r="EG41" s="156">
        <v>0</v>
      </c>
      <c r="EH41" s="156">
        <v>0</v>
      </c>
      <c r="EI41" s="156">
        <v>0</v>
      </c>
      <c r="EJ41" s="162">
        <v>20</v>
      </c>
      <c r="EK41" s="155">
        <v>0.87500000000000011</v>
      </c>
      <c r="EL41" s="156">
        <v>0.125</v>
      </c>
      <c r="EM41" s="156">
        <v>0</v>
      </c>
      <c r="EN41" s="156">
        <v>0</v>
      </c>
      <c r="EO41" s="156">
        <v>0</v>
      </c>
      <c r="EP41" s="162">
        <v>16</v>
      </c>
      <c r="EQ41" s="155">
        <v>0.71874999999999989</v>
      </c>
      <c r="ER41" s="156">
        <v>0.21874999999999997</v>
      </c>
      <c r="ES41" s="156">
        <v>3.1249999999999997E-2</v>
      </c>
      <c r="ET41" s="156">
        <v>3.1249999999999997E-2</v>
      </c>
      <c r="EU41" s="156">
        <v>0</v>
      </c>
      <c r="EV41" s="162">
        <v>32</v>
      </c>
      <c r="EW41" s="155">
        <v>0.81081081081081152</v>
      </c>
      <c r="EX41" s="156">
        <v>0.18918918918918934</v>
      </c>
      <c r="EY41" s="156">
        <v>0</v>
      </c>
      <c r="EZ41" s="156">
        <v>0</v>
      </c>
      <c r="FA41" s="156">
        <v>0</v>
      </c>
      <c r="FB41" s="162">
        <v>37</v>
      </c>
      <c r="FC41" s="155">
        <v>0.25</v>
      </c>
      <c r="FD41" s="156">
        <v>0.5</v>
      </c>
      <c r="FE41" s="156">
        <v>0.25</v>
      </c>
      <c r="FF41" s="156">
        <v>0</v>
      </c>
      <c r="FG41" s="156">
        <v>0</v>
      </c>
      <c r="FH41" s="162">
        <v>4</v>
      </c>
      <c r="FI41" s="161">
        <v>0.25</v>
      </c>
      <c r="FJ41" s="156">
        <v>0.25</v>
      </c>
      <c r="FK41" s="156">
        <v>0.5</v>
      </c>
      <c r="FL41" s="156">
        <v>0</v>
      </c>
      <c r="FM41" s="156">
        <v>0</v>
      </c>
      <c r="FN41" s="162">
        <v>4</v>
      </c>
      <c r="FO41" s="155">
        <v>0</v>
      </c>
      <c r="FP41" s="156">
        <v>0</v>
      </c>
      <c r="FQ41" s="156">
        <v>0</v>
      </c>
      <c r="FR41" s="156">
        <v>0</v>
      </c>
      <c r="FS41" s="156">
        <v>0</v>
      </c>
      <c r="FT41" s="162">
        <v>0</v>
      </c>
      <c r="FU41" s="155">
        <v>0</v>
      </c>
      <c r="FV41" s="156">
        <v>0</v>
      </c>
      <c r="FW41" s="156">
        <v>0</v>
      </c>
      <c r="FX41" s="156">
        <v>0</v>
      </c>
      <c r="FY41" s="156">
        <v>0</v>
      </c>
      <c r="FZ41" s="162">
        <v>0</v>
      </c>
      <c r="GA41" s="161">
        <v>0</v>
      </c>
      <c r="GB41" s="156">
        <v>0</v>
      </c>
      <c r="GC41" s="156">
        <v>0</v>
      </c>
      <c r="GD41" s="156">
        <v>0</v>
      </c>
      <c r="GE41" s="156">
        <v>0</v>
      </c>
      <c r="GF41" s="162">
        <v>0</v>
      </c>
      <c r="GG41" s="158">
        <v>9.2291666666666803</v>
      </c>
      <c r="GH41" s="162">
        <v>48</v>
      </c>
      <c r="GI41" s="155">
        <v>0</v>
      </c>
      <c r="GJ41" s="156">
        <v>0.75510204081632748</v>
      </c>
      <c r="GK41" s="156">
        <v>0.14285714285714296</v>
      </c>
      <c r="GL41" s="156">
        <v>8.1632653061224539E-2</v>
      </c>
      <c r="GM41" s="156">
        <v>2.0408163265306135E-2</v>
      </c>
      <c r="GN41" s="162">
        <v>49</v>
      </c>
      <c r="GO41" s="155">
        <v>0.26666666666666694</v>
      </c>
      <c r="GP41" s="156">
        <v>0.11111111111111102</v>
      </c>
      <c r="GQ41" s="156">
        <v>0.28888888888888919</v>
      </c>
      <c r="GR41" s="156">
        <v>0.46666666666666623</v>
      </c>
      <c r="GS41" s="162">
        <v>45</v>
      </c>
      <c r="GT41" s="163">
        <v>3.0625</v>
      </c>
      <c r="GU41" s="162">
        <v>48</v>
      </c>
      <c r="GV41" s="155">
        <v>0.8125</v>
      </c>
      <c r="GW41" s="156">
        <v>0.18750000000000003</v>
      </c>
      <c r="GX41" s="162">
        <v>16</v>
      </c>
      <c r="GY41" s="155">
        <v>0.86363636363636376</v>
      </c>
      <c r="GZ41" s="156">
        <v>0.13636363636363627</v>
      </c>
      <c r="HA41" s="162">
        <v>22</v>
      </c>
      <c r="HB41" s="155">
        <v>0.92682926829268264</v>
      </c>
      <c r="HC41" s="156">
        <v>7.3170731707317041E-2</v>
      </c>
      <c r="HD41" s="162">
        <v>41</v>
      </c>
      <c r="HE41" s="161">
        <v>0.93548387096774221</v>
      </c>
      <c r="HF41" s="156">
        <v>6.4516129032257979E-2</v>
      </c>
      <c r="HG41" s="162">
        <v>31</v>
      </c>
      <c r="HH41" s="155">
        <v>0.62499999999999989</v>
      </c>
      <c r="HI41" s="156">
        <v>0.37499999999999994</v>
      </c>
      <c r="HJ41" s="162">
        <v>40</v>
      </c>
      <c r="HK41" s="155">
        <v>1</v>
      </c>
      <c r="HL41" s="156">
        <v>0</v>
      </c>
      <c r="HM41" s="162">
        <v>39</v>
      </c>
      <c r="HN41" s="161">
        <v>0.27027027027027023</v>
      </c>
      <c r="HO41" s="156">
        <v>0.29729729729729726</v>
      </c>
      <c r="HP41" s="156">
        <v>0.2162162162162159</v>
      </c>
      <c r="HQ41" s="156">
        <v>0.16216216216216217</v>
      </c>
      <c r="HR41" s="156">
        <v>5.4054054054053974E-2</v>
      </c>
      <c r="HS41" s="160">
        <v>42.567567567567515</v>
      </c>
      <c r="HT41" s="164">
        <v>37</v>
      </c>
      <c r="HU41" s="165">
        <v>0</v>
      </c>
      <c r="HV41" s="166">
        <v>3.4482758620689655E-2</v>
      </c>
      <c r="HW41" s="166">
        <v>0.10344827586206896</v>
      </c>
      <c r="HX41" s="166">
        <v>3.4482758620689655E-2</v>
      </c>
      <c r="HY41" s="166">
        <v>0.17241379310344829</v>
      </c>
      <c r="HZ41" s="166">
        <v>0.13793103448275862</v>
      </c>
      <c r="IA41" s="166">
        <v>0.10344827586206896</v>
      </c>
      <c r="IB41" s="166">
        <v>6.8965517241379309E-2</v>
      </c>
      <c r="IC41" s="166">
        <v>3.4482758620689655E-2</v>
      </c>
      <c r="ID41" s="166">
        <v>0.31034482758620691</v>
      </c>
      <c r="IE41" s="167">
        <v>29</v>
      </c>
      <c r="IF41" s="155">
        <v>0.12499999999999999</v>
      </c>
      <c r="IG41" s="156">
        <v>0.12499999999999999</v>
      </c>
      <c r="IH41" s="156">
        <v>0.24999999999999997</v>
      </c>
      <c r="II41" s="156">
        <v>0.12499999999999999</v>
      </c>
      <c r="IJ41" s="156">
        <v>0.375</v>
      </c>
      <c r="IK41" s="162">
        <v>8</v>
      </c>
      <c r="IL41" s="155">
        <v>0.12195121951219516</v>
      </c>
      <c r="IM41" s="156">
        <v>4.878048780487803E-2</v>
      </c>
      <c r="IN41" s="156">
        <v>0</v>
      </c>
      <c r="IO41" s="156">
        <v>0.78048780487804859</v>
      </c>
      <c r="IP41" s="156">
        <v>4.878048780487803E-2</v>
      </c>
      <c r="IQ41" s="162">
        <v>41</v>
      </c>
      <c r="IR41" s="155">
        <v>0.22499999999999998</v>
      </c>
      <c r="IS41" s="156">
        <v>0.77500000000000013</v>
      </c>
      <c r="IT41" s="162">
        <v>40</v>
      </c>
      <c r="IU41" s="161">
        <v>0</v>
      </c>
      <c r="IV41" s="156">
        <v>0.1111111111111111</v>
      </c>
      <c r="IW41" s="156">
        <v>0.88888888888888895</v>
      </c>
      <c r="IX41" s="162">
        <v>9</v>
      </c>
    </row>
    <row r="42" spans="1:258" ht="32.1" customHeight="1" x14ac:dyDescent="0.25">
      <c r="A42" s="110" t="s">
        <v>453</v>
      </c>
      <c r="B42" s="108" t="s">
        <v>578</v>
      </c>
      <c r="C42" s="108" t="s">
        <v>454</v>
      </c>
      <c r="D42" s="109">
        <v>124</v>
      </c>
      <c r="E42" s="139" t="s">
        <v>492</v>
      </c>
      <c r="F42" s="155">
        <v>0.18867924528301872</v>
      </c>
      <c r="G42" s="156">
        <v>0.81132075471698073</v>
      </c>
      <c r="H42" s="157">
        <v>53</v>
      </c>
      <c r="I42" s="155">
        <v>0.79487179487179571</v>
      </c>
      <c r="J42" s="156">
        <v>0.20512820512820526</v>
      </c>
      <c r="K42" s="157">
        <v>39</v>
      </c>
      <c r="L42" s="155">
        <v>0.65624999999999989</v>
      </c>
      <c r="M42" s="156">
        <v>0.34374999999999994</v>
      </c>
      <c r="N42" s="157">
        <v>32</v>
      </c>
      <c r="O42" s="155">
        <v>0.47368421052631593</v>
      </c>
      <c r="P42" s="156">
        <v>0.1228070175438596</v>
      </c>
      <c r="Q42" s="156">
        <v>0.14035087719298267</v>
      </c>
      <c r="R42" s="156">
        <v>1.7543859649122834E-2</v>
      </c>
      <c r="S42" s="156">
        <v>0.2456140350877192</v>
      </c>
      <c r="T42" s="156">
        <v>0</v>
      </c>
      <c r="U42" s="156">
        <v>1.7543859649122834E-2</v>
      </c>
      <c r="V42" s="156">
        <v>8.7719298245613961E-2</v>
      </c>
      <c r="W42" s="156">
        <v>0.1228070175438596</v>
      </c>
      <c r="X42" s="156">
        <v>0.1228070175438596</v>
      </c>
      <c r="Y42" s="157">
        <v>57</v>
      </c>
      <c r="Z42" s="155">
        <v>0.54385964912280804</v>
      </c>
      <c r="AA42" s="156">
        <v>0.70175438596491169</v>
      </c>
      <c r="AB42" s="156">
        <v>0.52631578947368485</v>
      </c>
      <c r="AC42" s="156">
        <v>0.73684210526315774</v>
      </c>
      <c r="AD42" s="156">
        <v>0.10526315789473693</v>
      </c>
      <c r="AE42" s="156">
        <v>8.7719298245613961E-2</v>
      </c>
      <c r="AF42" s="157">
        <v>57</v>
      </c>
      <c r="AG42" s="158">
        <v>9.7547169811320664</v>
      </c>
      <c r="AH42" s="159">
        <v>53</v>
      </c>
      <c r="AI42" s="160">
        <v>9.8545454545454625</v>
      </c>
      <c r="AJ42" s="159">
        <v>55</v>
      </c>
      <c r="AK42" s="160">
        <v>9.860000000000003</v>
      </c>
      <c r="AL42" s="157">
        <v>50</v>
      </c>
      <c r="AM42" s="155">
        <v>0.8260869565217398</v>
      </c>
      <c r="AN42" s="156">
        <v>0.13043478260869582</v>
      </c>
      <c r="AO42" s="156">
        <v>4.3478260869565251E-2</v>
      </c>
      <c r="AP42" s="156">
        <v>0</v>
      </c>
      <c r="AQ42" s="156">
        <v>0</v>
      </c>
      <c r="AR42" s="157">
        <v>46</v>
      </c>
      <c r="AS42" s="155">
        <v>0.92727272727272703</v>
      </c>
      <c r="AT42" s="156">
        <v>7.2727272727272696E-2</v>
      </c>
      <c r="AU42" s="156">
        <v>0</v>
      </c>
      <c r="AV42" s="156">
        <v>0</v>
      </c>
      <c r="AW42" s="156">
        <v>0</v>
      </c>
      <c r="AX42" s="157">
        <v>55</v>
      </c>
      <c r="AY42" s="155">
        <v>0.92592592592592704</v>
      </c>
      <c r="AZ42" s="156">
        <v>7.4074074074074042E-2</v>
      </c>
      <c r="BA42" s="156">
        <v>0</v>
      </c>
      <c r="BB42" s="156">
        <v>0</v>
      </c>
      <c r="BC42" s="156">
        <v>0</v>
      </c>
      <c r="BD42" s="157">
        <v>54</v>
      </c>
      <c r="BE42" s="155">
        <v>0.96491228070175539</v>
      </c>
      <c r="BF42" s="156">
        <v>3.5087719298245668E-2</v>
      </c>
      <c r="BG42" s="156">
        <v>0</v>
      </c>
      <c r="BH42" s="156">
        <v>0</v>
      </c>
      <c r="BI42" s="156">
        <v>0</v>
      </c>
      <c r="BJ42" s="157">
        <v>57</v>
      </c>
      <c r="BK42" s="155">
        <v>0.74074074074074014</v>
      </c>
      <c r="BL42" s="156">
        <v>0.20370370370370364</v>
      </c>
      <c r="BM42" s="156">
        <v>0</v>
      </c>
      <c r="BN42" s="156">
        <v>5.5555555555555608E-2</v>
      </c>
      <c r="BO42" s="156">
        <v>0</v>
      </c>
      <c r="BP42" s="157">
        <v>54</v>
      </c>
      <c r="BQ42" s="155">
        <v>0.87037037037037057</v>
      </c>
      <c r="BR42" s="156">
        <v>9.2592592592592518E-2</v>
      </c>
      <c r="BS42" s="156">
        <v>1.8518518518518511E-2</v>
      </c>
      <c r="BT42" s="156">
        <v>1.8518518518518511E-2</v>
      </c>
      <c r="BU42" s="156">
        <v>0</v>
      </c>
      <c r="BV42" s="157">
        <v>54</v>
      </c>
      <c r="BW42" s="161">
        <v>0.82692307692307654</v>
      </c>
      <c r="BX42" s="156">
        <v>0.11538461538461546</v>
      </c>
      <c r="BY42" s="156">
        <v>5.769230769230773E-2</v>
      </c>
      <c r="BZ42" s="156">
        <v>0</v>
      </c>
      <c r="CA42" s="156">
        <v>0</v>
      </c>
      <c r="CB42" s="157">
        <v>52</v>
      </c>
      <c r="CC42" s="155">
        <v>0.76923076923077016</v>
      </c>
      <c r="CD42" s="156">
        <v>7.692307692307683E-2</v>
      </c>
      <c r="CE42" s="156">
        <v>0.15384615384615366</v>
      </c>
      <c r="CF42" s="156">
        <v>0</v>
      </c>
      <c r="CG42" s="156">
        <v>0</v>
      </c>
      <c r="CH42" s="162">
        <v>13</v>
      </c>
      <c r="CI42" s="155">
        <v>0.46153846153846173</v>
      </c>
      <c r="CJ42" s="156">
        <v>0.15384615384615366</v>
      </c>
      <c r="CK42" s="156">
        <v>0.15384615384615366</v>
      </c>
      <c r="CL42" s="156">
        <v>0.23076923076923092</v>
      </c>
      <c r="CM42" s="156">
        <v>0</v>
      </c>
      <c r="CN42" s="162">
        <v>13</v>
      </c>
      <c r="CO42" s="155">
        <v>0.30303030303030259</v>
      </c>
      <c r="CP42" s="156">
        <v>0.39393939393939337</v>
      </c>
      <c r="CQ42" s="156">
        <v>0.24242424242424243</v>
      </c>
      <c r="CR42" s="156">
        <v>6.0606060606060608E-2</v>
      </c>
      <c r="CS42" s="156">
        <v>0</v>
      </c>
      <c r="CT42" s="162">
        <v>33</v>
      </c>
      <c r="CU42" s="155">
        <v>0.27777777777777773</v>
      </c>
      <c r="CV42" s="156">
        <v>0.44444444444444392</v>
      </c>
      <c r="CW42" s="156">
        <v>0.22222222222222196</v>
      </c>
      <c r="CX42" s="156">
        <v>5.555555555555549E-2</v>
      </c>
      <c r="CY42" s="156">
        <v>0</v>
      </c>
      <c r="CZ42" s="162">
        <v>36</v>
      </c>
      <c r="DA42" s="155">
        <v>0.34999999999999992</v>
      </c>
      <c r="DB42" s="156">
        <v>0.44999999999999996</v>
      </c>
      <c r="DC42" s="156">
        <v>0.19999999999999996</v>
      </c>
      <c r="DD42" s="156">
        <v>0</v>
      </c>
      <c r="DE42" s="156">
        <v>0</v>
      </c>
      <c r="DF42" s="162">
        <v>20</v>
      </c>
      <c r="DG42" s="155">
        <v>0.44999999999999996</v>
      </c>
      <c r="DH42" s="156">
        <v>0.39999999999999991</v>
      </c>
      <c r="DI42" s="156">
        <v>0.15</v>
      </c>
      <c r="DJ42" s="156">
        <v>0</v>
      </c>
      <c r="DK42" s="156">
        <v>0</v>
      </c>
      <c r="DL42" s="162">
        <v>20</v>
      </c>
      <c r="DM42" s="155">
        <v>0.57142857142857018</v>
      </c>
      <c r="DN42" s="156">
        <v>0.32142857142857117</v>
      </c>
      <c r="DO42" s="156">
        <v>7.1428571428571272E-2</v>
      </c>
      <c r="DP42" s="156">
        <v>0</v>
      </c>
      <c r="DQ42" s="156">
        <v>3.5714285714285636E-2</v>
      </c>
      <c r="DR42" s="162">
        <v>28</v>
      </c>
      <c r="DS42" s="161">
        <v>0.7916666666666663</v>
      </c>
      <c r="DT42" s="156">
        <v>0.12499999999999999</v>
      </c>
      <c r="DU42" s="156">
        <v>8.3333333333333176E-2</v>
      </c>
      <c r="DV42" s="156">
        <v>0</v>
      </c>
      <c r="DW42" s="156">
        <v>0</v>
      </c>
      <c r="DX42" s="162">
        <v>24</v>
      </c>
      <c r="DY42" s="155">
        <v>0.89090909090909032</v>
      </c>
      <c r="DZ42" s="156">
        <v>0.10909090909090914</v>
      </c>
      <c r="EA42" s="156">
        <v>0</v>
      </c>
      <c r="EB42" s="156">
        <v>0</v>
      </c>
      <c r="EC42" s="156">
        <v>0</v>
      </c>
      <c r="ED42" s="162">
        <v>55</v>
      </c>
      <c r="EE42" s="155">
        <v>0.72222222222222188</v>
      </c>
      <c r="EF42" s="156">
        <v>0.22222222222222196</v>
      </c>
      <c r="EG42" s="156">
        <v>5.555555555555549E-2</v>
      </c>
      <c r="EH42" s="156">
        <v>0</v>
      </c>
      <c r="EI42" s="156">
        <v>0</v>
      </c>
      <c r="EJ42" s="162">
        <v>18</v>
      </c>
      <c r="EK42" s="155">
        <v>0.79999999999999982</v>
      </c>
      <c r="EL42" s="156">
        <v>0.15</v>
      </c>
      <c r="EM42" s="156">
        <v>4.9999999999999989E-2</v>
      </c>
      <c r="EN42" s="156">
        <v>0</v>
      </c>
      <c r="EO42" s="156">
        <v>0</v>
      </c>
      <c r="EP42" s="162">
        <v>20</v>
      </c>
      <c r="EQ42" s="155">
        <v>0.64285714285714246</v>
      </c>
      <c r="ER42" s="156">
        <v>0.30952380952380959</v>
      </c>
      <c r="ES42" s="156">
        <v>4.7619047619047603E-2</v>
      </c>
      <c r="ET42" s="156">
        <v>0</v>
      </c>
      <c r="EU42" s="156">
        <v>0</v>
      </c>
      <c r="EV42" s="162">
        <v>42</v>
      </c>
      <c r="EW42" s="155">
        <v>0.76190476190476175</v>
      </c>
      <c r="EX42" s="156">
        <v>0.21428571428571419</v>
      </c>
      <c r="EY42" s="156">
        <v>2.3809523809523801E-2</v>
      </c>
      <c r="EZ42" s="156">
        <v>0</v>
      </c>
      <c r="FA42" s="156">
        <v>0</v>
      </c>
      <c r="FB42" s="162">
        <v>42</v>
      </c>
      <c r="FC42" s="155">
        <v>0.5</v>
      </c>
      <c r="FD42" s="156">
        <v>0.42857142857142838</v>
      </c>
      <c r="FE42" s="156">
        <v>7.1428571428571508E-2</v>
      </c>
      <c r="FF42" s="156">
        <v>0</v>
      </c>
      <c r="FG42" s="156">
        <v>0</v>
      </c>
      <c r="FH42" s="162">
        <v>14</v>
      </c>
      <c r="FI42" s="161">
        <v>0.64285714285714246</v>
      </c>
      <c r="FJ42" s="156">
        <v>0.28571428571428603</v>
      </c>
      <c r="FK42" s="156">
        <v>7.1428571428571508E-2</v>
      </c>
      <c r="FL42" s="156">
        <v>0</v>
      </c>
      <c r="FM42" s="156">
        <v>0</v>
      </c>
      <c r="FN42" s="162">
        <v>14</v>
      </c>
      <c r="FO42" s="155">
        <v>0</v>
      </c>
      <c r="FP42" s="156">
        <v>0</v>
      </c>
      <c r="FQ42" s="156">
        <v>0</v>
      </c>
      <c r="FR42" s="156">
        <v>0</v>
      </c>
      <c r="FS42" s="156">
        <v>0</v>
      </c>
      <c r="FT42" s="162">
        <v>0</v>
      </c>
      <c r="FU42" s="155">
        <v>0</v>
      </c>
      <c r="FV42" s="156">
        <v>0</v>
      </c>
      <c r="FW42" s="156">
        <v>0</v>
      </c>
      <c r="FX42" s="156">
        <v>0</v>
      </c>
      <c r="FY42" s="156">
        <v>0</v>
      </c>
      <c r="FZ42" s="162">
        <v>0</v>
      </c>
      <c r="GA42" s="161">
        <v>0</v>
      </c>
      <c r="GB42" s="156">
        <v>0</v>
      </c>
      <c r="GC42" s="156">
        <v>0</v>
      </c>
      <c r="GD42" s="156">
        <v>0</v>
      </c>
      <c r="GE42" s="156">
        <v>0</v>
      </c>
      <c r="GF42" s="162">
        <v>0</v>
      </c>
      <c r="GG42" s="158">
        <v>9.5192307692307683</v>
      </c>
      <c r="GH42" s="162">
        <v>52</v>
      </c>
      <c r="GI42" s="155">
        <v>7.0175438596491335E-2</v>
      </c>
      <c r="GJ42" s="156">
        <v>0.70175438596491313</v>
      </c>
      <c r="GK42" s="156">
        <v>0.14035087719298267</v>
      </c>
      <c r="GL42" s="156">
        <v>7.0175438596491335E-2</v>
      </c>
      <c r="GM42" s="156">
        <v>1.7543859649122834E-2</v>
      </c>
      <c r="GN42" s="162">
        <v>57</v>
      </c>
      <c r="GO42" s="155">
        <v>0.52631578947368485</v>
      </c>
      <c r="GP42" s="156">
        <v>0.17543859649122792</v>
      </c>
      <c r="GQ42" s="156">
        <v>0.10526315789473693</v>
      </c>
      <c r="GR42" s="156">
        <v>0.2456140350877192</v>
      </c>
      <c r="GS42" s="162">
        <v>57</v>
      </c>
      <c r="GT42" s="163">
        <v>3.3571428571428585</v>
      </c>
      <c r="GU42" s="162">
        <v>56</v>
      </c>
      <c r="GV42" s="155">
        <v>0.94999999999999984</v>
      </c>
      <c r="GW42" s="156">
        <v>4.9999999999999989E-2</v>
      </c>
      <c r="GX42" s="162">
        <v>20</v>
      </c>
      <c r="GY42" s="155">
        <v>1</v>
      </c>
      <c r="GZ42" s="156">
        <v>0</v>
      </c>
      <c r="HA42" s="162">
        <v>33</v>
      </c>
      <c r="HB42" s="155">
        <v>0.96078431372548967</v>
      </c>
      <c r="HC42" s="156">
        <v>3.9215686274509866E-2</v>
      </c>
      <c r="HD42" s="162">
        <v>51</v>
      </c>
      <c r="HE42" s="161">
        <v>0.94594594594594694</v>
      </c>
      <c r="HF42" s="156">
        <v>5.4054054054054113E-2</v>
      </c>
      <c r="HG42" s="162">
        <v>37</v>
      </c>
      <c r="HH42" s="155">
        <v>0.5454545454545453</v>
      </c>
      <c r="HI42" s="156">
        <v>0.45454545454545486</v>
      </c>
      <c r="HJ42" s="162">
        <v>44</v>
      </c>
      <c r="HK42" s="155">
        <v>1.0000000000000002</v>
      </c>
      <c r="HL42" s="156">
        <v>0</v>
      </c>
      <c r="HM42" s="162">
        <v>42</v>
      </c>
      <c r="HN42" s="161">
        <v>0.24390243902439046</v>
      </c>
      <c r="HO42" s="156">
        <v>0.26829268292682917</v>
      </c>
      <c r="HP42" s="156">
        <v>0.21951219512195141</v>
      </c>
      <c r="HQ42" s="156">
        <v>0.19512195121951212</v>
      </c>
      <c r="HR42" s="156">
        <v>7.3170731707317041E-2</v>
      </c>
      <c r="HS42" s="160">
        <v>45.609756097560926</v>
      </c>
      <c r="HT42" s="164">
        <v>41</v>
      </c>
      <c r="HU42" s="165">
        <v>0.15151515151515152</v>
      </c>
      <c r="HV42" s="166">
        <v>6.0606060606060608E-2</v>
      </c>
      <c r="HW42" s="166">
        <v>0.15151515151515152</v>
      </c>
      <c r="HX42" s="166">
        <v>9.0909090909090912E-2</v>
      </c>
      <c r="HY42" s="166">
        <v>0.12121212121212122</v>
      </c>
      <c r="HZ42" s="166">
        <v>6.0606060606060608E-2</v>
      </c>
      <c r="IA42" s="166">
        <v>0.15151515151515152</v>
      </c>
      <c r="IB42" s="166">
        <v>0.12121212121212122</v>
      </c>
      <c r="IC42" s="166">
        <v>9.0909090909090912E-2</v>
      </c>
      <c r="ID42" s="166">
        <v>0</v>
      </c>
      <c r="IE42" s="167">
        <v>33</v>
      </c>
      <c r="IF42" s="155">
        <v>0</v>
      </c>
      <c r="IG42" s="156">
        <v>0.5</v>
      </c>
      <c r="IH42" s="156">
        <v>0</v>
      </c>
      <c r="II42" s="156">
        <v>0</v>
      </c>
      <c r="IJ42" s="156">
        <v>0.5</v>
      </c>
      <c r="IK42" s="162">
        <v>2</v>
      </c>
      <c r="IL42" s="155">
        <v>2.2222222222222251E-2</v>
      </c>
      <c r="IM42" s="156">
        <v>0</v>
      </c>
      <c r="IN42" s="156">
        <v>4.4444444444444502E-2</v>
      </c>
      <c r="IO42" s="156">
        <v>0.86666666666666681</v>
      </c>
      <c r="IP42" s="156">
        <v>6.6666666666666707E-2</v>
      </c>
      <c r="IQ42" s="162">
        <v>45</v>
      </c>
      <c r="IR42" s="155">
        <v>0.2272727272727274</v>
      </c>
      <c r="IS42" s="156">
        <v>0.77272727272727371</v>
      </c>
      <c r="IT42" s="162">
        <v>44</v>
      </c>
      <c r="IU42" s="161">
        <v>0</v>
      </c>
      <c r="IV42" s="156">
        <v>0.30000000000000004</v>
      </c>
      <c r="IW42" s="156">
        <v>0.7</v>
      </c>
      <c r="IX42" s="162">
        <v>10</v>
      </c>
    </row>
    <row r="43" spans="1:258" ht="32.1" customHeight="1" x14ac:dyDescent="0.25">
      <c r="A43" s="110" t="s">
        <v>453</v>
      </c>
      <c r="B43" s="108" t="s">
        <v>578</v>
      </c>
      <c r="C43" s="108" t="s">
        <v>454</v>
      </c>
      <c r="D43" s="109">
        <v>126</v>
      </c>
      <c r="E43" s="139" t="s">
        <v>493</v>
      </c>
      <c r="F43" s="155">
        <v>0.23333333333333339</v>
      </c>
      <c r="G43" s="156">
        <v>0.76666666666666661</v>
      </c>
      <c r="H43" s="157">
        <v>30</v>
      </c>
      <c r="I43" s="155">
        <v>0.86956521739130455</v>
      </c>
      <c r="J43" s="156">
        <v>0.13043478260869565</v>
      </c>
      <c r="K43" s="157">
        <v>23</v>
      </c>
      <c r="L43" s="155">
        <v>0.62500000000000011</v>
      </c>
      <c r="M43" s="156">
        <v>0.37500000000000006</v>
      </c>
      <c r="N43" s="157">
        <v>16</v>
      </c>
      <c r="O43" s="155">
        <v>3.3333333333333333E-2</v>
      </c>
      <c r="P43" s="156">
        <v>3.3333333333333333E-2</v>
      </c>
      <c r="Q43" s="156">
        <v>0.46666666666666673</v>
      </c>
      <c r="R43" s="156">
        <v>6.6666666666666666E-2</v>
      </c>
      <c r="S43" s="156">
        <v>0.3666666666666667</v>
      </c>
      <c r="T43" s="156">
        <v>6.6666666666666666E-2</v>
      </c>
      <c r="U43" s="156">
        <v>3.3333333333333333E-2</v>
      </c>
      <c r="V43" s="156">
        <v>0</v>
      </c>
      <c r="W43" s="156">
        <v>0.10000000000000005</v>
      </c>
      <c r="X43" s="156">
        <v>3.3333333333333333E-2</v>
      </c>
      <c r="Y43" s="157">
        <v>30</v>
      </c>
      <c r="Z43" s="155">
        <v>0.22727272727272746</v>
      </c>
      <c r="AA43" s="156">
        <v>0.72727272727272696</v>
      </c>
      <c r="AB43" s="156">
        <v>9.090909090909087E-2</v>
      </c>
      <c r="AC43" s="156">
        <v>9.090909090909087E-2</v>
      </c>
      <c r="AD43" s="156">
        <v>4.5454545454545435E-2</v>
      </c>
      <c r="AE43" s="156">
        <v>0.13636363636363638</v>
      </c>
      <c r="AF43" s="157">
        <v>22</v>
      </c>
      <c r="AG43" s="158">
        <v>9.8333333333333215</v>
      </c>
      <c r="AH43" s="159">
        <v>30</v>
      </c>
      <c r="AI43" s="160">
        <v>9.9999999999999982</v>
      </c>
      <c r="AJ43" s="159">
        <v>30</v>
      </c>
      <c r="AK43" s="160">
        <v>9.9333333333333318</v>
      </c>
      <c r="AL43" s="157">
        <v>30</v>
      </c>
      <c r="AM43" s="155">
        <v>0.89285714285714235</v>
      </c>
      <c r="AN43" s="156">
        <v>0.10714285714285716</v>
      </c>
      <c r="AO43" s="156">
        <v>0</v>
      </c>
      <c r="AP43" s="156">
        <v>0</v>
      </c>
      <c r="AQ43" s="156">
        <v>0</v>
      </c>
      <c r="AR43" s="157">
        <v>28</v>
      </c>
      <c r="AS43" s="155">
        <v>0.93103448275862011</v>
      </c>
      <c r="AT43" s="156">
        <v>6.8965517241379337E-2</v>
      </c>
      <c r="AU43" s="156">
        <v>0</v>
      </c>
      <c r="AV43" s="156">
        <v>0</v>
      </c>
      <c r="AW43" s="156">
        <v>0</v>
      </c>
      <c r="AX43" s="157">
        <v>29</v>
      </c>
      <c r="AY43" s="155">
        <v>0.93333333333333357</v>
      </c>
      <c r="AZ43" s="156">
        <v>6.6666666666666638E-2</v>
      </c>
      <c r="BA43" s="156">
        <v>0</v>
      </c>
      <c r="BB43" s="156">
        <v>0</v>
      </c>
      <c r="BC43" s="156">
        <v>0</v>
      </c>
      <c r="BD43" s="157">
        <v>30</v>
      </c>
      <c r="BE43" s="155">
        <v>1</v>
      </c>
      <c r="BF43" s="156">
        <v>0</v>
      </c>
      <c r="BG43" s="156">
        <v>0</v>
      </c>
      <c r="BH43" s="156">
        <v>0</v>
      </c>
      <c r="BI43" s="156">
        <v>0</v>
      </c>
      <c r="BJ43" s="157">
        <v>30</v>
      </c>
      <c r="BK43" s="155">
        <v>1</v>
      </c>
      <c r="BL43" s="156">
        <v>0</v>
      </c>
      <c r="BM43" s="156">
        <v>0</v>
      </c>
      <c r="BN43" s="156">
        <v>0</v>
      </c>
      <c r="BO43" s="156">
        <v>0</v>
      </c>
      <c r="BP43" s="157">
        <v>16</v>
      </c>
      <c r="BQ43" s="155">
        <v>1.0000000000000002</v>
      </c>
      <c r="BR43" s="156">
        <v>0</v>
      </c>
      <c r="BS43" s="156">
        <v>0</v>
      </c>
      <c r="BT43" s="156">
        <v>0</v>
      </c>
      <c r="BU43" s="156">
        <v>0</v>
      </c>
      <c r="BV43" s="157">
        <v>28</v>
      </c>
      <c r="BW43" s="161">
        <v>1</v>
      </c>
      <c r="BX43" s="156">
        <v>0</v>
      </c>
      <c r="BY43" s="156">
        <v>0</v>
      </c>
      <c r="BZ43" s="156">
        <v>0</v>
      </c>
      <c r="CA43" s="156">
        <v>0</v>
      </c>
      <c r="CB43" s="157">
        <v>21</v>
      </c>
      <c r="CC43" s="155">
        <v>0.83333333333333348</v>
      </c>
      <c r="CD43" s="156">
        <v>0.16666666666666671</v>
      </c>
      <c r="CE43" s="156">
        <v>0</v>
      </c>
      <c r="CF43" s="156">
        <v>0</v>
      </c>
      <c r="CG43" s="156">
        <v>0</v>
      </c>
      <c r="CH43" s="162">
        <v>6</v>
      </c>
      <c r="CI43" s="155">
        <v>0.5</v>
      </c>
      <c r="CJ43" s="156">
        <v>0.33333333333333343</v>
      </c>
      <c r="CK43" s="156">
        <v>0.16666666666666671</v>
      </c>
      <c r="CL43" s="156">
        <v>0</v>
      </c>
      <c r="CM43" s="156">
        <v>0</v>
      </c>
      <c r="CN43" s="162">
        <v>6</v>
      </c>
      <c r="CO43" s="155">
        <v>0.60000000000000009</v>
      </c>
      <c r="CP43" s="156">
        <v>0.2</v>
      </c>
      <c r="CQ43" s="156">
        <v>0</v>
      </c>
      <c r="CR43" s="156">
        <v>0.2</v>
      </c>
      <c r="CS43" s="156">
        <v>0</v>
      </c>
      <c r="CT43" s="162">
        <v>5</v>
      </c>
      <c r="CU43" s="155">
        <v>0.8</v>
      </c>
      <c r="CV43" s="156">
        <v>0</v>
      </c>
      <c r="CW43" s="156">
        <v>0</v>
      </c>
      <c r="CX43" s="156">
        <v>0.2</v>
      </c>
      <c r="CY43" s="156">
        <v>0</v>
      </c>
      <c r="CZ43" s="162">
        <v>5</v>
      </c>
      <c r="DA43" s="155">
        <v>0.60000000000000009</v>
      </c>
      <c r="DB43" s="156">
        <v>0.2</v>
      </c>
      <c r="DC43" s="156">
        <v>0</v>
      </c>
      <c r="DD43" s="156">
        <v>0.2</v>
      </c>
      <c r="DE43" s="156">
        <v>0</v>
      </c>
      <c r="DF43" s="162">
        <v>5</v>
      </c>
      <c r="DG43" s="155">
        <v>0.5</v>
      </c>
      <c r="DH43" s="156">
        <v>0.33333333333333343</v>
      </c>
      <c r="DI43" s="156">
        <v>0</v>
      </c>
      <c r="DJ43" s="156">
        <v>0.16666666666666671</v>
      </c>
      <c r="DK43" s="156">
        <v>0</v>
      </c>
      <c r="DL43" s="162">
        <v>6</v>
      </c>
      <c r="DM43" s="155">
        <v>0.60000000000000009</v>
      </c>
      <c r="DN43" s="156">
        <v>0.4</v>
      </c>
      <c r="DO43" s="156">
        <v>0</v>
      </c>
      <c r="DP43" s="156">
        <v>0</v>
      </c>
      <c r="DQ43" s="156">
        <v>0</v>
      </c>
      <c r="DR43" s="162">
        <v>5</v>
      </c>
      <c r="DS43" s="161">
        <v>1</v>
      </c>
      <c r="DT43" s="156">
        <v>0</v>
      </c>
      <c r="DU43" s="156">
        <v>0</v>
      </c>
      <c r="DV43" s="156">
        <v>0</v>
      </c>
      <c r="DW43" s="156">
        <v>0</v>
      </c>
      <c r="DX43" s="162">
        <v>3</v>
      </c>
      <c r="DY43" s="155">
        <v>0.9655172413793105</v>
      </c>
      <c r="DZ43" s="156">
        <v>3.4482758620689669E-2</v>
      </c>
      <c r="EA43" s="156">
        <v>0</v>
      </c>
      <c r="EB43" s="156">
        <v>0</v>
      </c>
      <c r="EC43" s="156">
        <v>0</v>
      </c>
      <c r="ED43" s="162">
        <v>29</v>
      </c>
      <c r="EE43" s="155">
        <v>1</v>
      </c>
      <c r="EF43" s="156">
        <v>0</v>
      </c>
      <c r="EG43" s="156">
        <v>0</v>
      </c>
      <c r="EH43" s="156">
        <v>0</v>
      </c>
      <c r="EI43" s="156">
        <v>0</v>
      </c>
      <c r="EJ43" s="162">
        <v>8</v>
      </c>
      <c r="EK43" s="155">
        <v>0.875</v>
      </c>
      <c r="EL43" s="156">
        <v>0.12499999999999999</v>
      </c>
      <c r="EM43" s="156">
        <v>0</v>
      </c>
      <c r="EN43" s="156">
        <v>0</v>
      </c>
      <c r="EO43" s="156">
        <v>0</v>
      </c>
      <c r="EP43" s="162">
        <v>8</v>
      </c>
      <c r="EQ43" s="155">
        <v>1</v>
      </c>
      <c r="ER43" s="156">
        <v>0</v>
      </c>
      <c r="ES43" s="156">
        <v>0</v>
      </c>
      <c r="ET43" s="156">
        <v>0</v>
      </c>
      <c r="EU43" s="156">
        <v>0</v>
      </c>
      <c r="EV43" s="162">
        <v>8</v>
      </c>
      <c r="EW43" s="155">
        <v>1</v>
      </c>
      <c r="EX43" s="156">
        <v>0</v>
      </c>
      <c r="EY43" s="156">
        <v>0</v>
      </c>
      <c r="EZ43" s="156">
        <v>0</v>
      </c>
      <c r="FA43" s="156">
        <v>0</v>
      </c>
      <c r="FB43" s="162">
        <v>8</v>
      </c>
      <c r="FC43" s="155">
        <v>1</v>
      </c>
      <c r="FD43" s="156">
        <v>0</v>
      </c>
      <c r="FE43" s="156">
        <v>0</v>
      </c>
      <c r="FF43" s="156">
        <v>0</v>
      </c>
      <c r="FG43" s="156">
        <v>0</v>
      </c>
      <c r="FH43" s="162">
        <v>9</v>
      </c>
      <c r="FI43" s="161">
        <v>1</v>
      </c>
      <c r="FJ43" s="156">
        <v>0</v>
      </c>
      <c r="FK43" s="156">
        <v>0</v>
      </c>
      <c r="FL43" s="156">
        <v>0</v>
      </c>
      <c r="FM43" s="156">
        <v>0</v>
      </c>
      <c r="FN43" s="162">
        <v>12</v>
      </c>
      <c r="FO43" s="155">
        <v>0</v>
      </c>
      <c r="FP43" s="156">
        <v>0</v>
      </c>
      <c r="FQ43" s="156">
        <v>0</v>
      </c>
      <c r="FR43" s="156">
        <v>0</v>
      </c>
      <c r="FS43" s="156">
        <v>0</v>
      </c>
      <c r="FT43" s="162">
        <v>0</v>
      </c>
      <c r="FU43" s="155">
        <v>0</v>
      </c>
      <c r="FV43" s="156">
        <v>0</v>
      </c>
      <c r="FW43" s="156">
        <v>0</v>
      </c>
      <c r="FX43" s="156">
        <v>0</v>
      </c>
      <c r="FY43" s="156">
        <v>0</v>
      </c>
      <c r="FZ43" s="162">
        <v>0</v>
      </c>
      <c r="GA43" s="161">
        <v>0</v>
      </c>
      <c r="GB43" s="156">
        <v>0</v>
      </c>
      <c r="GC43" s="156">
        <v>0</v>
      </c>
      <c r="GD43" s="156">
        <v>0</v>
      </c>
      <c r="GE43" s="156">
        <v>0</v>
      </c>
      <c r="GF43" s="162">
        <v>0</v>
      </c>
      <c r="GG43" s="158">
        <v>9.7931034482758648</v>
      </c>
      <c r="GH43" s="162">
        <v>29</v>
      </c>
      <c r="GI43" s="155">
        <v>0.43333333333333324</v>
      </c>
      <c r="GJ43" s="156">
        <v>0.39999999999999991</v>
      </c>
      <c r="GK43" s="156">
        <v>0.16666666666666671</v>
      </c>
      <c r="GL43" s="156">
        <v>0</v>
      </c>
      <c r="GM43" s="156">
        <v>0</v>
      </c>
      <c r="GN43" s="162">
        <v>30</v>
      </c>
      <c r="GO43" s="155">
        <v>0.43333333333333346</v>
      </c>
      <c r="GP43" s="156">
        <v>0.30000000000000004</v>
      </c>
      <c r="GQ43" s="156">
        <v>0.13333333333333333</v>
      </c>
      <c r="GR43" s="156">
        <v>0.13333333333333333</v>
      </c>
      <c r="GS43" s="162">
        <v>30</v>
      </c>
      <c r="GT43" s="163">
        <v>1.9999999999999998</v>
      </c>
      <c r="GU43" s="162">
        <v>30</v>
      </c>
      <c r="GV43" s="155">
        <v>0.92857142857142816</v>
      </c>
      <c r="GW43" s="156">
        <v>7.1428571428571397E-2</v>
      </c>
      <c r="GX43" s="162">
        <v>14</v>
      </c>
      <c r="GY43" s="155">
        <v>0.93750000000000011</v>
      </c>
      <c r="GZ43" s="156">
        <v>6.25E-2</v>
      </c>
      <c r="HA43" s="162">
        <v>16</v>
      </c>
      <c r="HB43" s="155">
        <v>0.85185185185185208</v>
      </c>
      <c r="HC43" s="156">
        <v>0.14814814814814825</v>
      </c>
      <c r="HD43" s="162">
        <v>27</v>
      </c>
      <c r="HE43" s="161">
        <v>0.95652173913043481</v>
      </c>
      <c r="HF43" s="156">
        <v>4.3478260869565209E-2</v>
      </c>
      <c r="HG43" s="162">
        <v>23</v>
      </c>
      <c r="HH43" s="155">
        <v>0.3</v>
      </c>
      <c r="HI43" s="156">
        <v>0.69999999999999984</v>
      </c>
      <c r="HJ43" s="162">
        <v>30</v>
      </c>
      <c r="HK43" s="155">
        <v>1</v>
      </c>
      <c r="HL43" s="156">
        <v>0</v>
      </c>
      <c r="HM43" s="162">
        <v>30</v>
      </c>
      <c r="HN43" s="161">
        <v>0</v>
      </c>
      <c r="HO43" s="156">
        <v>9.9999999999999978E-2</v>
      </c>
      <c r="HP43" s="156">
        <v>0.19999999999999996</v>
      </c>
      <c r="HQ43" s="156">
        <v>0.56666666666666676</v>
      </c>
      <c r="HR43" s="156">
        <v>0.13333333333333328</v>
      </c>
      <c r="HS43" s="160">
        <v>63.599999999999952</v>
      </c>
      <c r="HT43" s="164">
        <v>30</v>
      </c>
      <c r="HU43" s="165">
        <v>0.30434782608695654</v>
      </c>
      <c r="HV43" s="166">
        <v>8.6956521739130432E-2</v>
      </c>
      <c r="HW43" s="166">
        <v>8.6956521739130432E-2</v>
      </c>
      <c r="HX43" s="166">
        <v>4.3478260869565216E-2</v>
      </c>
      <c r="HY43" s="166">
        <v>0.13043478260869565</v>
      </c>
      <c r="HZ43" s="166">
        <v>8.6956521739130432E-2</v>
      </c>
      <c r="IA43" s="166">
        <v>8.6956521739130432E-2</v>
      </c>
      <c r="IB43" s="166">
        <v>0</v>
      </c>
      <c r="IC43" s="166">
        <v>4.3478260869565216E-2</v>
      </c>
      <c r="ID43" s="166">
        <v>0.13043478260869565</v>
      </c>
      <c r="IE43" s="167">
        <v>23</v>
      </c>
      <c r="IF43" s="155">
        <v>0</v>
      </c>
      <c r="IG43" s="156">
        <v>0</v>
      </c>
      <c r="IH43" s="156">
        <v>0.99999999999999989</v>
      </c>
      <c r="II43" s="156">
        <v>0</v>
      </c>
      <c r="IJ43" s="156">
        <v>0</v>
      </c>
      <c r="IK43" s="162">
        <v>1</v>
      </c>
      <c r="IL43" s="155">
        <v>3.3333333333333319E-2</v>
      </c>
      <c r="IM43" s="156">
        <v>0</v>
      </c>
      <c r="IN43" s="156">
        <v>3.3333333333333319E-2</v>
      </c>
      <c r="IO43" s="156">
        <v>0.93333333333333357</v>
      </c>
      <c r="IP43" s="156">
        <v>0</v>
      </c>
      <c r="IQ43" s="162">
        <v>30</v>
      </c>
      <c r="IR43" s="155">
        <v>0.13793103448275867</v>
      </c>
      <c r="IS43" s="156">
        <v>0.86206896551724144</v>
      </c>
      <c r="IT43" s="162">
        <v>29</v>
      </c>
      <c r="IU43" s="161">
        <v>0</v>
      </c>
      <c r="IV43" s="156">
        <v>0.24999999999999997</v>
      </c>
      <c r="IW43" s="156">
        <v>0.75</v>
      </c>
      <c r="IX43" s="162">
        <v>4</v>
      </c>
    </row>
    <row r="44" spans="1:258" ht="32.1" customHeight="1" x14ac:dyDescent="0.25">
      <c r="A44" s="110" t="s">
        <v>453</v>
      </c>
      <c r="B44" s="108" t="s">
        <v>578</v>
      </c>
      <c r="C44" s="108" t="s">
        <v>454</v>
      </c>
      <c r="D44" s="109">
        <v>127</v>
      </c>
      <c r="E44" s="139" t="s">
        <v>494</v>
      </c>
      <c r="F44" s="155">
        <v>0.16326530612244927</v>
      </c>
      <c r="G44" s="156">
        <v>0.83673469387755151</v>
      </c>
      <c r="H44" s="157">
        <v>49</v>
      </c>
      <c r="I44" s="155">
        <v>0.86842105263157909</v>
      </c>
      <c r="J44" s="156">
        <v>0.13157894736842121</v>
      </c>
      <c r="K44" s="157">
        <v>38</v>
      </c>
      <c r="L44" s="155">
        <v>0.50000000000000011</v>
      </c>
      <c r="M44" s="156">
        <v>0.50000000000000011</v>
      </c>
      <c r="N44" s="157">
        <v>32</v>
      </c>
      <c r="O44" s="155">
        <v>1.58730158730159E-2</v>
      </c>
      <c r="P44" s="156">
        <v>1.58730158730159E-2</v>
      </c>
      <c r="Q44" s="156">
        <v>0.92063492063491914</v>
      </c>
      <c r="R44" s="156">
        <v>0.11111111111111095</v>
      </c>
      <c r="S44" s="156">
        <v>9.5238095238095163E-2</v>
      </c>
      <c r="T44" s="156">
        <v>7.9365079365079361E-2</v>
      </c>
      <c r="U44" s="156">
        <v>0</v>
      </c>
      <c r="V44" s="156">
        <v>3.17460317460318E-2</v>
      </c>
      <c r="W44" s="156">
        <v>1.58730158730159E-2</v>
      </c>
      <c r="X44" s="156">
        <v>3.17460317460318E-2</v>
      </c>
      <c r="Y44" s="157">
        <v>63</v>
      </c>
      <c r="Z44" s="155">
        <v>0.36538461538461581</v>
      </c>
      <c r="AA44" s="156">
        <v>0.17307692307692329</v>
      </c>
      <c r="AB44" s="156">
        <v>0.26923076923076972</v>
      </c>
      <c r="AC44" s="156">
        <v>0.19230769230769218</v>
      </c>
      <c r="AD44" s="156">
        <v>5.7692307692307813E-2</v>
      </c>
      <c r="AE44" s="156">
        <v>0.34615384615384659</v>
      </c>
      <c r="AF44" s="157">
        <v>52</v>
      </c>
      <c r="AG44" s="158">
        <v>9.8235294117647065</v>
      </c>
      <c r="AH44" s="159">
        <v>51</v>
      </c>
      <c r="AI44" s="160">
        <v>9.9642857142857082</v>
      </c>
      <c r="AJ44" s="159">
        <v>56</v>
      </c>
      <c r="AK44" s="160">
        <v>9.8163265306122423</v>
      </c>
      <c r="AL44" s="157">
        <v>49</v>
      </c>
      <c r="AM44" s="155">
        <v>0.82857142857142851</v>
      </c>
      <c r="AN44" s="156">
        <v>0.17142857142857132</v>
      </c>
      <c r="AO44" s="156">
        <v>0</v>
      </c>
      <c r="AP44" s="156">
        <v>0</v>
      </c>
      <c r="AQ44" s="156">
        <v>0</v>
      </c>
      <c r="AR44" s="157">
        <v>35</v>
      </c>
      <c r="AS44" s="155">
        <v>0.87096774193548332</v>
      </c>
      <c r="AT44" s="156">
        <v>0.12903225806451613</v>
      </c>
      <c r="AU44" s="156">
        <v>0</v>
      </c>
      <c r="AV44" s="156">
        <v>0</v>
      </c>
      <c r="AW44" s="156">
        <v>0</v>
      </c>
      <c r="AX44" s="157">
        <v>62</v>
      </c>
      <c r="AY44" s="155">
        <v>0.87755102040816368</v>
      </c>
      <c r="AZ44" s="156">
        <v>0.12244897959183695</v>
      </c>
      <c r="BA44" s="156">
        <v>0</v>
      </c>
      <c r="BB44" s="156">
        <v>0</v>
      </c>
      <c r="BC44" s="156">
        <v>0</v>
      </c>
      <c r="BD44" s="157">
        <v>49</v>
      </c>
      <c r="BE44" s="155">
        <v>0.88709677419354838</v>
      </c>
      <c r="BF44" s="156">
        <v>9.677419354838708E-2</v>
      </c>
      <c r="BG44" s="156">
        <v>1.6129032258064516E-2</v>
      </c>
      <c r="BH44" s="156">
        <v>0</v>
      </c>
      <c r="BI44" s="156">
        <v>0</v>
      </c>
      <c r="BJ44" s="157">
        <v>62</v>
      </c>
      <c r="BK44" s="155">
        <v>0.76744186046511542</v>
      </c>
      <c r="BL44" s="156">
        <v>0.18604651162790709</v>
      </c>
      <c r="BM44" s="156">
        <v>2.3255813953488386E-2</v>
      </c>
      <c r="BN44" s="156">
        <v>2.3255813953488386E-2</v>
      </c>
      <c r="BO44" s="156">
        <v>0</v>
      </c>
      <c r="BP44" s="157">
        <v>43</v>
      </c>
      <c r="BQ44" s="155">
        <v>0.85714285714285654</v>
      </c>
      <c r="BR44" s="156">
        <v>0.12500000000000003</v>
      </c>
      <c r="BS44" s="156">
        <v>1.7857142857142887E-2</v>
      </c>
      <c r="BT44" s="156">
        <v>0</v>
      </c>
      <c r="BU44" s="156">
        <v>0</v>
      </c>
      <c r="BV44" s="157">
        <v>56</v>
      </c>
      <c r="BW44" s="161">
        <v>0.87499999999999989</v>
      </c>
      <c r="BX44" s="156">
        <v>0</v>
      </c>
      <c r="BY44" s="156">
        <v>0.125</v>
      </c>
      <c r="BZ44" s="156">
        <v>0</v>
      </c>
      <c r="CA44" s="156">
        <v>0</v>
      </c>
      <c r="CB44" s="157">
        <v>8</v>
      </c>
      <c r="CC44" s="155">
        <v>0.92307692307692346</v>
      </c>
      <c r="CD44" s="156">
        <v>5.7692307692307737E-2</v>
      </c>
      <c r="CE44" s="156">
        <v>0</v>
      </c>
      <c r="CF44" s="156">
        <v>1.9230769230769228E-2</v>
      </c>
      <c r="CG44" s="156">
        <v>0</v>
      </c>
      <c r="CH44" s="162">
        <v>52</v>
      </c>
      <c r="CI44" s="155">
        <v>0.53225806451612834</v>
      </c>
      <c r="CJ44" s="156">
        <v>0.33870967741935543</v>
      </c>
      <c r="CK44" s="156">
        <v>8.0645161290322578E-2</v>
      </c>
      <c r="CL44" s="156">
        <v>3.2258064516129031E-2</v>
      </c>
      <c r="CM44" s="156">
        <v>1.6129032258064516E-2</v>
      </c>
      <c r="CN44" s="162">
        <v>62</v>
      </c>
      <c r="CO44" s="155">
        <v>0.68571428571428528</v>
      </c>
      <c r="CP44" s="156">
        <v>0.22857142857142881</v>
      </c>
      <c r="CQ44" s="156">
        <v>5.7142857142857204E-2</v>
      </c>
      <c r="CR44" s="156">
        <v>2.8571428571428602E-2</v>
      </c>
      <c r="CS44" s="156">
        <v>0</v>
      </c>
      <c r="CT44" s="162">
        <v>35</v>
      </c>
      <c r="CU44" s="155">
        <v>0.72500000000000009</v>
      </c>
      <c r="CV44" s="156">
        <v>0.22500000000000003</v>
      </c>
      <c r="CW44" s="156">
        <v>5.000000000000001E-2</v>
      </c>
      <c r="CX44" s="156">
        <v>0</v>
      </c>
      <c r="CY44" s="156">
        <v>0</v>
      </c>
      <c r="CZ44" s="162">
        <v>40</v>
      </c>
      <c r="DA44" s="155">
        <v>0.6666666666666663</v>
      </c>
      <c r="DB44" s="156">
        <v>0.27272727272727265</v>
      </c>
      <c r="DC44" s="156">
        <v>6.0606060606060635E-2</v>
      </c>
      <c r="DD44" s="156">
        <v>0</v>
      </c>
      <c r="DE44" s="156">
        <v>0</v>
      </c>
      <c r="DF44" s="162">
        <v>33</v>
      </c>
      <c r="DG44" s="155">
        <v>0.76744186046511542</v>
      </c>
      <c r="DH44" s="156">
        <v>0.2093023255813955</v>
      </c>
      <c r="DI44" s="156">
        <v>2.3255813953488386E-2</v>
      </c>
      <c r="DJ44" s="156">
        <v>0</v>
      </c>
      <c r="DK44" s="156">
        <v>0</v>
      </c>
      <c r="DL44" s="162">
        <v>43</v>
      </c>
      <c r="DM44" s="155">
        <v>0.7200000000000002</v>
      </c>
      <c r="DN44" s="156">
        <v>0.20000000000000004</v>
      </c>
      <c r="DO44" s="156">
        <v>4.0000000000000008E-2</v>
      </c>
      <c r="DP44" s="156">
        <v>4.0000000000000008E-2</v>
      </c>
      <c r="DQ44" s="156">
        <v>0</v>
      </c>
      <c r="DR44" s="162">
        <v>25</v>
      </c>
      <c r="DS44" s="161">
        <v>0.59090909090909038</v>
      </c>
      <c r="DT44" s="156">
        <v>0.2272727272727274</v>
      </c>
      <c r="DU44" s="156">
        <v>0.18181818181818168</v>
      </c>
      <c r="DV44" s="156">
        <v>0</v>
      </c>
      <c r="DW44" s="156">
        <v>0</v>
      </c>
      <c r="DX44" s="162">
        <v>22</v>
      </c>
      <c r="DY44" s="155">
        <v>0.86538461538461575</v>
      </c>
      <c r="DZ44" s="156">
        <v>0.13461538461538461</v>
      </c>
      <c r="EA44" s="156">
        <v>0</v>
      </c>
      <c r="EB44" s="156">
        <v>0</v>
      </c>
      <c r="EC44" s="156">
        <v>0</v>
      </c>
      <c r="ED44" s="162">
        <v>52</v>
      </c>
      <c r="EE44" s="155">
        <v>0.86666666666666703</v>
      </c>
      <c r="EF44" s="156">
        <v>0.13333333333333344</v>
      </c>
      <c r="EG44" s="156">
        <v>0</v>
      </c>
      <c r="EH44" s="156">
        <v>0</v>
      </c>
      <c r="EI44" s="156">
        <v>0</v>
      </c>
      <c r="EJ44" s="162">
        <v>15</v>
      </c>
      <c r="EK44" s="155">
        <v>0.70588235294117641</v>
      </c>
      <c r="EL44" s="156">
        <v>0.29411764705882376</v>
      </c>
      <c r="EM44" s="156">
        <v>0</v>
      </c>
      <c r="EN44" s="156">
        <v>0</v>
      </c>
      <c r="EO44" s="156">
        <v>0</v>
      </c>
      <c r="EP44" s="162">
        <v>17</v>
      </c>
      <c r="EQ44" s="155">
        <v>0.53846153846153821</v>
      </c>
      <c r="ER44" s="156">
        <v>0.38461538461538519</v>
      </c>
      <c r="ES44" s="156">
        <v>7.692307692307683E-2</v>
      </c>
      <c r="ET44" s="156">
        <v>0</v>
      </c>
      <c r="EU44" s="156">
        <v>0</v>
      </c>
      <c r="EV44" s="162">
        <v>13</v>
      </c>
      <c r="EW44" s="155">
        <v>0.54545454545454508</v>
      </c>
      <c r="EX44" s="156">
        <v>0.36363636363636337</v>
      </c>
      <c r="EY44" s="156">
        <v>9.0909090909090842E-2</v>
      </c>
      <c r="EZ44" s="156">
        <v>0</v>
      </c>
      <c r="FA44" s="156">
        <v>0</v>
      </c>
      <c r="FB44" s="162">
        <v>11</v>
      </c>
      <c r="FC44" s="155">
        <v>0.6</v>
      </c>
      <c r="FD44" s="156">
        <v>0.33333333333333309</v>
      </c>
      <c r="FE44" s="156">
        <v>0</v>
      </c>
      <c r="FF44" s="156">
        <v>0</v>
      </c>
      <c r="FG44" s="156">
        <v>6.6666666666666721E-2</v>
      </c>
      <c r="FH44" s="162">
        <v>15</v>
      </c>
      <c r="FI44" s="161">
        <v>0.82352941176470551</v>
      </c>
      <c r="FJ44" s="156">
        <v>0.1764705882352941</v>
      </c>
      <c r="FK44" s="156">
        <v>0</v>
      </c>
      <c r="FL44" s="156">
        <v>0</v>
      </c>
      <c r="FM44" s="156">
        <v>0</v>
      </c>
      <c r="FN44" s="162">
        <v>17</v>
      </c>
      <c r="FO44" s="155">
        <v>0</v>
      </c>
      <c r="FP44" s="156">
        <v>0</v>
      </c>
      <c r="FQ44" s="156">
        <v>0</v>
      </c>
      <c r="FR44" s="156">
        <v>0</v>
      </c>
      <c r="FS44" s="156">
        <v>0</v>
      </c>
      <c r="FT44" s="162">
        <v>0</v>
      </c>
      <c r="FU44" s="155">
        <v>0</v>
      </c>
      <c r="FV44" s="156">
        <v>0</v>
      </c>
      <c r="FW44" s="156">
        <v>0</v>
      </c>
      <c r="FX44" s="156">
        <v>0</v>
      </c>
      <c r="FY44" s="156">
        <v>0</v>
      </c>
      <c r="FZ44" s="162">
        <v>0</v>
      </c>
      <c r="GA44" s="161">
        <v>0</v>
      </c>
      <c r="GB44" s="156">
        <v>0</v>
      </c>
      <c r="GC44" s="156">
        <v>0</v>
      </c>
      <c r="GD44" s="156">
        <v>0</v>
      </c>
      <c r="GE44" s="156">
        <v>0</v>
      </c>
      <c r="GF44" s="162">
        <v>0</v>
      </c>
      <c r="GG44" s="158">
        <v>9.5111111111111075</v>
      </c>
      <c r="GH44" s="162">
        <v>45</v>
      </c>
      <c r="GI44" s="155">
        <v>3.3333333333333361E-2</v>
      </c>
      <c r="GJ44" s="156">
        <v>0.86666666666666703</v>
      </c>
      <c r="GK44" s="156">
        <v>0.10000000000000002</v>
      </c>
      <c r="GL44" s="156">
        <v>0</v>
      </c>
      <c r="GM44" s="156">
        <v>0</v>
      </c>
      <c r="GN44" s="162">
        <v>60</v>
      </c>
      <c r="GO44" s="155">
        <v>0.44999999999999951</v>
      </c>
      <c r="GP44" s="156">
        <v>0.39999999999999963</v>
      </c>
      <c r="GQ44" s="156">
        <v>9.9999999999999908E-2</v>
      </c>
      <c r="GR44" s="156">
        <v>0.16666666666666669</v>
      </c>
      <c r="GS44" s="162">
        <v>60</v>
      </c>
      <c r="GT44" s="163">
        <v>3.0833333333333406</v>
      </c>
      <c r="GU44" s="162">
        <v>60</v>
      </c>
      <c r="GV44" s="155">
        <v>0.86206896551724055</v>
      </c>
      <c r="GW44" s="156">
        <v>0.13793103448275848</v>
      </c>
      <c r="GX44" s="162">
        <v>29</v>
      </c>
      <c r="GY44" s="155">
        <v>0.96666666666666723</v>
      </c>
      <c r="GZ44" s="156">
        <v>3.3333333333333361E-2</v>
      </c>
      <c r="HA44" s="162">
        <v>30</v>
      </c>
      <c r="HB44" s="155">
        <v>0.96296296296296302</v>
      </c>
      <c r="HC44" s="156">
        <v>3.7037037037037021E-2</v>
      </c>
      <c r="HD44" s="162">
        <v>54</v>
      </c>
      <c r="HE44" s="161">
        <v>0.92105263157894779</v>
      </c>
      <c r="HF44" s="156">
        <v>7.8947368421052627E-2</v>
      </c>
      <c r="HG44" s="162">
        <v>38</v>
      </c>
      <c r="HH44" s="155">
        <v>0.49090909090909046</v>
      </c>
      <c r="HI44" s="156">
        <v>0.50909090909090959</v>
      </c>
      <c r="HJ44" s="162">
        <v>55</v>
      </c>
      <c r="HK44" s="155">
        <v>0.99999999999999989</v>
      </c>
      <c r="HL44" s="156">
        <v>0</v>
      </c>
      <c r="HM44" s="162">
        <v>49</v>
      </c>
      <c r="HN44" s="161">
        <v>0</v>
      </c>
      <c r="HO44" s="156">
        <v>4.0816326530612318E-2</v>
      </c>
      <c r="HP44" s="156">
        <v>0.2857142857142862</v>
      </c>
      <c r="HQ44" s="156">
        <v>0.53061224489795999</v>
      </c>
      <c r="HR44" s="156">
        <v>0.1428571428571431</v>
      </c>
      <c r="HS44" s="160">
        <v>66.734693877550967</v>
      </c>
      <c r="HT44" s="164">
        <v>49</v>
      </c>
      <c r="HU44" s="165">
        <v>0.18604651162790697</v>
      </c>
      <c r="HV44" s="166">
        <v>9.3023255813953487E-2</v>
      </c>
      <c r="HW44" s="166">
        <v>0.11627906976744186</v>
      </c>
      <c r="HX44" s="166">
        <v>9.3023255813953487E-2</v>
      </c>
      <c r="HY44" s="166">
        <v>6.9767441860465115E-2</v>
      </c>
      <c r="HZ44" s="166">
        <v>6.9767441860465115E-2</v>
      </c>
      <c r="IA44" s="166">
        <v>2.3255813953488372E-2</v>
      </c>
      <c r="IB44" s="166">
        <v>6.9767441860465115E-2</v>
      </c>
      <c r="IC44" s="166">
        <v>0.11627906976744186</v>
      </c>
      <c r="ID44" s="166">
        <v>0.16279069767441862</v>
      </c>
      <c r="IE44" s="167">
        <v>43</v>
      </c>
      <c r="IF44" s="155">
        <v>0</v>
      </c>
      <c r="IG44" s="156">
        <v>0</v>
      </c>
      <c r="IH44" s="156">
        <v>0</v>
      </c>
      <c r="II44" s="156">
        <v>0</v>
      </c>
      <c r="IJ44" s="156">
        <v>1</v>
      </c>
      <c r="IK44" s="162">
        <v>1</v>
      </c>
      <c r="IL44" s="155">
        <v>0</v>
      </c>
      <c r="IM44" s="156">
        <v>0</v>
      </c>
      <c r="IN44" s="156">
        <v>1.9230769230769228E-2</v>
      </c>
      <c r="IO44" s="156">
        <v>0.98076923076922939</v>
      </c>
      <c r="IP44" s="156">
        <v>0</v>
      </c>
      <c r="IQ44" s="162">
        <v>52</v>
      </c>
      <c r="IR44" s="155">
        <v>0.14000000000000001</v>
      </c>
      <c r="IS44" s="156">
        <v>0.8600000000000001</v>
      </c>
      <c r="IT44" s="162">
        <v>50</v>
      </c>
      <c r="IU44" s="161">
        <v>0</v>
      </c>
      <c r="IV44" s="156">
        <v>0</v>
      </c>
      <c r="IW44" s="156">
        <v>1</v>
      </c>
      <c r="IX44" s="162">
        <v>7</v>
      </c>
    </row>
    <row r="45" spans="1:258" ht="32.1" customHeight="1" x14ac:dyDescent="0.25">
      <c r="A45" s="110" t="s">
        <v>453</v>
      </c>
      <c r="B45" s="108" t="s">
        <v>584</v>
      </c>
      <c r="C45" s="108" t="s">
        <v>457</v>
      </c>
      <c r="D45" s="109">
        <v>150</v>
      </c>
      <c r="E45" s="139" t="s">
        <v>495</v>
      </c>
      <c r="F45" s="155">
        <v>0.35999999999999976</v>
      </c>
      <c r="G45" s="156">
        <v>0.63999999999999968</v>
      </c>
      <c r="H45" s="157">
        <v>50</v>
      </c>
      <c r="I45" s="155">
        <v>0.46874999999999994</v>
      </c>
      <c r="J45" s="156">
        <v>0.53124999999999989</v>
      </c>
      <c r="K45" s="157">
        <v>32</v>
      </c>
      <c r="L45" s="155">
        <v>0.1875</v>
      </c>
      <c r="M45" s="156">
        <v>0.8125</v>
      </c>
      <c r="N45" s="157">
        <v>16</v>
      </c>
      <c r="O45" s="155">
        <v>0.78000000000000047</v>
      </c>
      <c r="P45" s="156">
        <v>3.999999999999998E-2</v>
      </c>
      <c r="Q45" s="156">
        <v>0.11999999999999987</v>
      </c>
      <c r="R45" s="156">
        <v>3.999999999999998E-2</v>
      </c>
      <c r="S45" s="156">
        <v>3.999999999999998E-2</v>
      </c>
      <c r="T45" s="156">
        <v>5.9999999999999935E-2</v>
      </c>
      <c r="U45" s="156">
        <v>0</v>
      </c>
      <c r="V45" s="156">
        <v>1.999999999999999E-2</v>
      </c>
      <c r="W45" s="156">
        <v>0.13999999999999971</v>
      </c>
      <c r="X45" s="156">
        <v>7.999999999999996E-2</v>
      </c>
      <c r="Y45" s="157">
        <v>50</v>
      </c>
      <c r="Z45" s="155">
        <v>0.88000000000000012</v>
      </c>
      <c r="AA45" s="156">
        <v>0.57999999999999907</v>
      </c>
      <c r="AB45" s="156">
        <v>0.59999999999999876</v>
      </c>
      <c r="AC45" s="156">
        <v>0.69999999999999973</v>
      </c>
      <c r="AD45" s="156">
        <v>0.11999999999999987</v>
      </c>
      <c r="AE45" s="156">
        <v>9.9999999999999728E-2</v>
      </c>
      <c r="AF45" s="157">
        <v>50</v>
      </c>
      <c r="AG45" s="158">
        <v>9.9199999999999697</v>
      </c>
      <c r="AH45" s="159">
        <v>50</v>
      </c>
      <c r="AI45" s="160">
        <v>9.9399999999999871</v>
      </c>
      <c r="AJ45" s="159">
        <v>50</v>
      </c>
      <c r="AK45" s="160">
        <v>9.9166666666666394</v>
      </c>
      <c r="AL45" s="157">
        <v>48</v>
      </c>
      <c r="AM45" s="155">
        <v>0.31999999999999984</v>
      </c>
      <c r="AN45" s="156">
        <v>0.49999999999999967</v>
      </c>
      <c r="AO45" s="156">
        <v>3.999999999999998E-2</v>
      </c>
      <c r="AP45" s="156">
        <v>0.1399999999999999</v>
      </c>
      <c r="AQ45" s="156">
        <v>0</v>
      </c>
      <c r="AR45" s="157">
        <v>50</v>
      </c>
      <c r="AS45" s="155">
        <v>0.67999999999999983</v>
      </c>
      <c r="AT45" s="156">
        <v>0.29999999999999982</v>
      </c>
      <c r="AU45" s="156">
        <v>1.999999999999999E-2</v>
      </c>
      <c r="AV45" s="156">
        <v>0</v>
      </c>
      <c r="AW45" s="156">
        <v>0</v>
      </c>
      <c r="AX45" s="157">
        <v>50</v>
      </c>
      <c r="AY45" s="155">
        <v>0.89999999999999991</v>
      </c>
      <c r="AZ45" s="156">
        <v>9.9999999999999964E-2</v>
      </c>
      <c r="BA45" s="156">
        <v>0</v>
      </c>
      <c r="BB45" s="156">
        <v>0</v>
      </c>
      <c r="BC45" s="156">
        <v>0</v>
      </c>
      <c r="BD45" s="157">
        <v>50</v>
      </c>
      <c r="BE45" s="155">
        <v>0.73999999999999988</v>
      </c>
      <c r="BF45" s="156">
        <v>0.23999999999999982</v>
      </c>
      <c r="BG45" s="156">
        <v>1.999999999999999E-2</v>
      </c>
      <c r="BH45" s="156">
        <v>0</v>
      </c>
      <c r="BI45" s="156">
        <v>0</v>
      </c>
      <c r="BJ45" s="157">
        <v>50</v>
      </c>
      <c r="BK45" s="155">
        <v>0.79591836734693888</v>
      </c>
      <c r="BL45" s="156">
        <v>0.1428571428571426</v>
      </c>
      <c r="BM45" s="156">
        <v>2.0408163265306076E-2</v>
      </c>
      <c r="BN45" s="156">
        <v>4.0816326530612151E-2</v>
      </c>
      <c r="BO45" s="156">
        <v>0</v>
      </c>
      <c r="BP45" s="157">
        <v>49</v>
      </c>
      <c r="BQ45" s="155">
        <v>0.95999999999999985</v>
      </c>
      <c r="BR45" s="156">
        <v>3.999999999999998E-2</v>
      </c>
      <c r="BS45" s="156">
        <v>0</v>
      </c>
      <c r="BT45" s="156">
        <v>0</v>
      </c>
      <c r="BU45" s="156">
        <v>0</v>
      </c>
      <c r="BV45" s="157">
        <v>50</v>
      </c>
      <c r="BW45" s="161">
        <v>0.88235294117646956</v>
      </c>
      <c r="BX45" s="156">
        <v>8.8235294117646981E-2</v>
      </c>
      <c r="BY45" s="156">
        <v>2.9411764705882325E-2</v>
      </c>
      <c r="BZ45" s="156">
        <v>0</v>
      </c>
      <c r="CA45" s="156">
        <v>0</v>
      </c>
      <c r="CB45" s="157">
        <v>34</v>
      </c>
      <c r="CC45" s="155">
        <v>0.86666666666666625</v>
      </c>
      <c r="CD45" s="156">
        <v>0.13333333333333339</v>
      </c>
      <c r="CE45" s="156">
        <v>0</v>
      </c>
      <c r="CF45" s="156">
        <v>0</v>
      </c>
      <c r="CG45" s="156">
        <v>0</v>
      </c>
      <c r="CH45" s="162">
        <v>15</v>
      </c>
      <c r="CI45" s="155">
        <v>0.54545454545454508</v>
      </c>
      <c r="CJ45" s="156">
        <v>0.36363636363636326</v>
      </c>
      <c r="CK45" s="156">
        <v>9.0909090909090814E-2</v>
      </c>
      <c r="CL45" s="156">
        <v>0</v>
      </c>
      <c r="CM45" s="156">
        <v>0</v>
      </c>
      <c r="CN45" s="162">
        <v>11</v>
      </c>
      <c r="CO45" s="155">
        <v>0.54761904761904634</v>
      </c>
      <c r="CP45" s="156">
        <v>0.33333333333333282</v>
      </c>
      <c r="CQ45" s="156">
        <v>7.14285714285713E-2</v>
      </c>
      <c r="CR45" s="156">
        <v>4.7619047619047582E-2</v>
      </c>
      <c r="CS45" s="156">
        <v>0</v>
      </c>
      <c r="CT45" s="162">
        <v>42</v>
      </c>
      <c r="CU45" s="155">
        <v>0.54999999999999982</v>
      </c>
      <c r="CV45" s="156">
        <v>0.37499999999999983</v>
      </c>
      <c r="CW45" s="156">
        <v>4.9999999999999982E-2</v>
      </c>
      <c r="CX45" s="156">
        <v>2.4999999999999991E-2</v>
      </c>
      <c r="CY45" s="156">
        <v>0</v>
      </c>
      <c r="CZ45" s="162">
        <v>40</v>
      </c>
      <c r="DA45" s="155">
        <v>0.56521739130434812</v>
      </c>
      <c r="DB45" s="156">
        <v>0.39130434782608731</v>
      </c>
      <c r="DC45" s="156">
        <v>4.3478260869565244E-2</v>
      </c>
      <c r="DD45" s="156">
        <v>0</v>
      </c>
      <c r="DE45" s="156">
        <v>0</v>
      </c>
      <c r="DF45" s="162">
        <v>23</v>
      </c>
      <c r="DG45" s="155">
        <v>0.76190476190476164</v>
      </c>
      <c r="DH45" s="156">
        <v>0.2380952380952383</v>
      </c>
      <c r="DI45" s="156">
        <v>0</v>
      </c>
      <c r="DJ45" s="156">
        <v>0</v>
      </c>
      <c r="DK45" s="156">
        <v>0</v>
      </c>
      <c r="DL45" s="162">
        <v>21</v>
      </c>
      <c r="DM45" s="155">
        <v>0.81081081081080941</v>
      </c>
      <c r="DN45" s="156">
        <v>0.13513513513513506</v>
      </c>
      <c r="DO45" s="156">
        <v>0</v>
      </c>
      <c r="DP45" s="156">
        <v>5.4054054054053974E-2</v>
      </c>
      <c r="DQ45" s="156">
        <v>0</v>
      </c>
      <c r="DR45" s="162">
        <v>37</v>
      </c>
      <c r="DS45" s="161">
        <v>0.82142857142857229</v>
      </c>
      <c r="DT45" s="156">
        <v>0.10714285714285715</v>
      </c>
      <c r="DU45" s="156">
        <v>7.142857142857148E-2</v>
      </c>
      <c r="DV45" s="156">
        <v>0</v>
      </c>
      <c r="DW45" s="156">
        <v>0</v>
      </c>
      <c r="DX45" s="162">
        <v>28</v>
      </c>
      <c r="DY45" s="155">
        <v>0.95999999999999985</v>
      </c>
      <c r="DZ45" s="156">
        <v>3.999999999999998E-2</v>
      </c>
      <c r="EA45" s="156">
        <v>0</v>
      </c>
      <c r="EB45" s="156">
        <v>0</v>
      </c>
      <c r="EC45" s="156">
        <v>0</v>
      </c>
      <c r="ED45" s="162">
        <v>50</v>
      </c>
      <c r="EE45" s="155">
        <v>0.82758620689655227</v>
      </c>
      <c r="EF45" s="156">
        <v>0.17241379310344848</v>
      </c>
      <c r="EG45" s="156">
        <v>0</v>
      </c>
      <c r="EH45" s="156">
        <v>0</v>
      </c>
      <c r="EI45" s="156">
        <v>0</v>
      </c>
      <c r="EJ45" s="162">
        <v>29</v>
      </c>
      <c r="EK45" s="155">
        <v>0.89473684210526316</v>
      </c>
      <c r="EL45" s="156">
        <v>0.10526315789473693</v>
      </c>
      <c r="EM45" s="156">
        <v>0</v>
      </c>
      <c r="EN45" s="156">
        <v>0</v>
      </c>
      <c r="EO45" s="156">
        <v>0</v>
      </c>
      <c r="EP45" s="162">
        <v>19</v>
      </c>
      <c r="EQ45" s="155">
        <v>0.88095238095238093</v>
      </c>
      <c r="ER45" s="156">
        <v>0.11904761904761887</v>
      </c>
      <c r="ES45" s="156">
        <v>0</v>
      </c>
      <c r="ET45" s="156">
        <v>0</v>
      </c>
      <c r="EU45" s="156">
        <v>0</v>
      </c>
      <c r="EV45" s="162">
        <v>42</v>
      </c>
      <c r="EW45" s="155">
        <v>0.95555555555555616</v>
      </c>
      <c r="EX45" s="156">
        <v>4.4444444444444356E-2</v>
      </c>
      <c r="EY45" s="156">
        <v>0</v>
      </c>
      <c r="EZ45" s="156">
        <v>0</v>
      </c>
      <c r="FA45" s="156">
        <v>0</v>
      </c>
      <c r="FB45" s="162">
        <v>45</v>
      </c>
      <c r="FC45" s="155">
        <v>0.77777777777777812</v>
      </c>
      <c r="FD45" s="156">
        <v>0.11111111111111099</v>
      </c>
      <c r="FE45" s="156">
        <v>0.11111111111111099</v>
      </c>
      <c r="FF45" s="156">
        <v>0</v>
      </c>
      <c r="FG45" s="156">
        <v>0</v>
      </c>
      <c r="FH45" s="162">
        <v>9</v>
      </c>
      <c r="FI45" s="161">
        <v>0.77777777777777812</v>
      </c>
      <c r="FJ45" s="156">
        <v>0.11111111111111099</v>
      </c>
      <c r="FK45" s="156">
        <v>0</v>
      </c>
      <c r="FL45" s="156">
        <v>0.11111111111111099</v>
      </c>
      <c r="FM45" s="156">
        <v>0</v>
      </c>
      <c r="FN45" s="162">
        <v>9</v>
      </c>
      <c r="FO45" s="155">
        <v>0</v>
      </c>
      <c r="FP45" s="156">
        <v>0</v>
      </c>
      <c r="FQ45" s="156">
        <v>0</v>
      </c>
      <c r="FR45" s="156">
        <v>0</v>
      </c>
      <c r="FS45" s="156">
        <v>0</v>
      </c>
      <c r="FT45" s="162">
        <v>0</v>
      </c>
      <c r="FU45" s="155">
        <v>0</v>
      </c>
      <c r="FV45" s="156">
        <v>0</v>
      </c>
      <c r="FW45" s="156">
        <v>0</v>
      </c>
      <c r="FX45" s="156">
        <v>0</v>
      </c>
      <c r="FY45" s="156">
        <v>0</v>
      </c>
      <c r="FZ45" s="162">
        <v>0</v>
      </c>
      <c r="GA45" s="161">
        <v>0</v>
      </c>
      <c r="GB45" s="156">
        <v>0</v>
      </c>
      <c r="GC45" s="156">
        <v>0</v>
      </c>
      <c r="GD45" s="156">
        <v>0</v>
      </c>
      <c r="GE45" s="156">
        <v>0</v>
      </c>
      <c r="GF45" s="162">
        <v>0</v>
      </c>
      <c r="GG45" s="158">
        <v>9.5909090909090757</v>
      </c>
      <c r="GH45" s="162">
        <v>44</v>
      </c>
      <c r="GI45" s="155">
        <v>8.1632653061224303E-2</v>
      </c>
      <c r="GJ45" s="156">
        <v>0.53061224489795844</v>
      </c>
      <c r="GK45" s="156">
        <v>0.36734693877551022</v>
      </c>
      <c r="GL45" s="156">
        <v>0</v>
      </c>
      <c r="GM45" s="156">
        <v>2.0408163265306076E-2</v>
      </c>
      <c r="GN45" s="162">
        <v>49</v>
      </c>
      <c r="GO45" s="155">
        <v>0.48979591836734593</v>
      </c>
      <c r="GP45" s="156">
        <v>0.18367346938775492</v>
      </c>
      <c r="GQ45" s="156">
        <v>0.12244897959183648</v>
      </c>
      <c r="GR45" s="156">
        <v>0.32653061224489788</v>
      </c>
      <c r="GS45" s="162">
        <v>49</v>
      </c>
      <c r="GT45" s="163">
        <v>3.1249999999999996</v>
      </c>
      <c r="GU45" s="162">
        <v>48</v>
      </c>
      <c r="GV45" s="155">
        <v>1</v>
      </c>
      <c r="GW45" s="156">
        <v>0</v>
      </c>
      <c r="GX45" s="162">
        <v>22</v>
      </c>
      <c r="GY45" s="155">
        <v>0.94999999999999984</v>
      </c>
      <c r="GZ45" s="156">
        <v>0.05</v>
      </c>
      <c r="HA45" s="162">
        <v>20</v>
      </c>
      <c r="HB45" s="155">
        <v>0.97826086956521696</v>
      </c>
      <c r="HC45" s="156">
        <v>2.1739130434782553E-2</v>
      </c>
      <c r="HD45" s="162">
        <v>46</v>
      </c>
      <c r="HE45" s="161">
        <v>0.97297297297297403</v>
      </c>
      <c r="HF45" s="156">
        <v>2.7027027027026987E-2</v>
      </c>
      <c r="HG45" s="162">
        <v>37</v>
      </c>
      <c r="HH45" s="155">
        <v>0.4782608695652168</v>
      </c>
      <c r="HI45" s="156">
        <v>0.52173913043478182</v>
      </c>
      <c r="HJ45" s="162">
        <v>46</v>
      </c>
      <c r="HK45" s="155">
        <v>1</v>
      </c>
      <c r="HL45" s="156">
        <v>0</v>
      </c>
      <c r="HM45" s="162">
        <v>43</v>
      </c>
      <c r="HN45" s="161">
        <v>0.43902439024390172</v>
      </c>
      <c r="HO45" s="156">
        <v>0.21951219512195086</v>
      </c>
      <c r="HP45" s="156">
        <v>0.17073170731707282</v>
      </c>
      <c r="HQ45" s="156">
        <v>0.12195121951219495</v>
      </c>
      <c r="HR45" s="156">
        <v>4.8780487804878009E-2</v>
      </c>
      <c r="HS45" s="160">
        <v>37.512195121951201</v>
      </c>
      <c r="HT45" s="164">
        <v>41</v>
      </c>
      <c r="HU45" s="165">
        <v>5.7142857142857141E-2</v>
      </c>
      <c r="HV45" s="166">
        <v>0.11428571428571428</v>
      </c>
      <c r="HW45" s="166">
        <v>2.8571428571428571E-2</v>
      </c>
      <c r="HX45" s="166">
        <v>5.7142857142857141E-2</v>
      </c>
      <c r="HY45" s="166">
        <v>0.2</v>
      </c>
      <c r="HZ45" s="166">
        <v>0.17142857142857143</v>
      </c>
      <c r="IA45" s="166">
        <v>5.7142857142857141E-2</v>
      </c>
      <c r="IB45" s="166">
        <v>5.7142857142857141E-2</v>
      </c>
      <c r="IC45" s="166">
        <v>0.14285714285714285</v>
      </c>
      <c r="ID45" s="166">
        <v>0.11428571428571428</v>
      </c>
      <c r="IE45" s="167">
        <v>35</v>
      </c>
      <c r="IF45" s="155">
        <v>0.28571428571428592</v>
      </c>
      <c r="IG45" s="156">
        <v>0.14285714285714296</v>
      </c>
      <c r="IH45" s="156">
        <v>0.28571428571428592</v>
      </c>
      <c r="II45" s="156">
        <v>0</v>
      </c>
      <c r="IJ45" s="156">
        <v>0.28571428571428592</v>
      </c>
      <c r="IK45" s="162">
        <v>7</v>
      </c>
      <c r="IL45" s="155">
        <v>6.8181818181818121E-2</v>
      </c>
      <c r="IM45" s="156">
        <v>0.11363636363636359</v>
      </c>
      <c r="IN45" s="156">
        <v>0</v>
      </c>
      <c r="IO45" s="156">
        <v>0.81818181818181868</v>
      </c>
      <c r="IP45" s="156">
        <v>0</v>
      </c>
      <c r="IQ45" s="162">
        <v>44</v>
      </c>
      <c r="IR45" s="155">
        <v>0.19999999999999993</v>
      </c>
      <c r="IS45" s="156">
        <v>0.79999999999999982</v>
      </c>
      <c r="IT45" s="162">
        <v>45</v>
      </c>
      <c r="IU45" s="161">
        <v>0</v>
      </c>
      <c r="IV45" s="156">
        <v>0</v>
      </c>
      <c r="IW45" s="156">
        <v>1</v>
      </c>
      <c r="IX45" s="162">
        <v>9</v>
      </c>
    </row>
    <row r="46" spans="1:258" ht="32.1" customHeight="1" x14ac:dyDescent="0.25">
      <c r="A46" s="110" t="s">
        <v>453</v>
      </c>
      <c r="B46" s="108" t="s">
        <v>584</v>
      </c>
      <c r="C46" s="108" t="s">
        <v>457</v>
      </c>
      <c r="D46" s="109">
        <v>152</v>
      </c>
      <c r="E46" s="139" t="s">
        <v>496</v>
      </c>
      <c r="F46" s="155">
        <v>0.47826086956521741</v>
      </c>
      <c r="G46" s="156">
        <v>0.52173913043478259</v>
      </c>
      <c r="H46" s="157">
        <v>23</v>
      </c>
      <c r="I46" s="155">
        <v>0.36363636363636365</v>
      </c>
      <c r="J46" s="156">
        <v>0.63636363636363635</v>
      </c>
      <c r="K46" s="157">
        <v>11</v>
      </c>
      <c r="L46" s="155">
        <v>0.59999999999999987</v>
      </c>
      <c r="M46" s="156">
        <v>0.39999999999999991</v>
      </c>
      <c r="N46" s="157">
        <v>5</v>
      </c>
      <c r="O46" s="155">
        <v>0.82608695652173869</v>
      </c>
      <c r="P46" s="156">
        <v>4.3478260869565209E-2</v>
      </c>
      <c r="Q46" s="156">
        <v>0</v>
      </c>
      <c r="R46" s="156">
        <v>0</v>
      </c>
      <c r="S46" s="156">
        <v>8.6956521739130391E-2</v>
      </c>
      <c r="T46" s="156">
        <v>0.17391304347826078</v>
      </c>
      <c r="U46" s="156">
        <v>0</v>
      </c>
      <c r="V46" s="156">
        <v>4.3478260869565209E-2</v>
      </c>
      <c r="W46" s="156">
        <v>0.21739130434782614</v>
      </c>
      <c r="X46" s="156">
        <v>0</v>
      </c>
      <c r="Y46" s="157">
        <v>23</v>
      </c>
      <c r="Z46" s="155">
        <v>0.73913043478260887</v>
      </c>
      <c r="AA46" s="156">
        <v>0.69565217391304313</v>
      </c>
      <c r="AB46" s="156">
        <v>0.73913043478260887</v>
      </c>
      <c r="AC46" s="156">
        <v>0.65217391304347838</v>
      </c>
      <c r="AD46" s="156">
        <v>8.6956521739130391E-2</v>
      </c>
      <c r="AE46" s="156">
        <v>0</v>
      </c>
      <c r="AF46" s="157">
        <v>23</v>
      </c>
      <c r="AG46" s="158">
        <v>9.9565217391304319</v>
      </c>
      <c r="AH46" s="159">
        <v>23</v>
      </c>
      <c r="AI46" s="160">
        <v>9.9565217391304319</v>
      </c>
      <c r="AJ46" s="159">
        <v>23</v>
      </c>
      <c r="AK46" s="160">
        <v>9.8260869565217277</v>
      </c>
      <c r="AL46" s="157">
        <v>23</v>
      </c>
      <c r="AM46" s="155">
        <v>0.71428571428571397</v>
      </c>
      <c r="AN46" s="156">
        <v>0.19047619047619041</v>
      </c>
      <c r="AO46" s="156">
        <v>9.5238095238095205E-2</v>
      </c>
      <c r="AP46" s="156">
        <v>0</v>
      </c>
      <c r="AQ46" s="156">
        <v>0</v>
      </c>
      <c r="AR46" s="157">
        <v>21</v>
      </c>
      <c r="AS46" s="155">
        <v>0.73913043478260898</v>
      </c>
      <c r="AT46" s="156">
        <v>0.2608695652173913</v>
      </c>
      <c r="AU46" s="156">
        <v>0</v>
      </c>
      <c r="AV46" s="156">
        <v>0</v>
      </c>
      <c r="AW46" s="156">
        <v>0</v>
      </c>
      <c r="AX46" s="157">
        <v>23</v>
      </c>
      <c r="AY46" s="155">
        <v>0.81818181818181768</v>
      </c>
      <c r="AZ46" s="156">
        <v>0.18181818181818182</v>
      </c>
      <c r="BA46" s="156">
        <v>0</v>
      </c>
      <c r="BB46" s="156">
        <v>0</v>
      </c>
      <c r="BC46" s="156">
        <v>0</v>
      </c>
      <c r="BD46" s="157">
        <v>22</v>
      </c>
      <c r="BE46" s="155">
        <v>0.82608695652173936</v>
      </c>
      <c r="BF46" s="156">
        <v>0.17391304347826084</v>
      </c>
      <c r="BG46" s="156">
        <v>0</v>
      </c>
      <c r="BH46" s="156">
        <v>0</v>
      </c>
      <c r="BI46" s="156">
        <v>0</v>
      </c>
      <c r="BJ46" s="157">
        <v>23</v>
      </c>
      <c r="BK46" s="155">
        <v>0.83333333333333304</v>
      </c>
      <c r="BL46" s="156">
        <v>0.11111111111111112</v>
      </c>
      <c r="BM46" s="156">
        <v>5.5555555555555559E-2</v>
      </c>
      <c r="BN46" s="156">
        <v>0</v>
      </c>
      <c r="BO46" s="156">
        <v>0</v>
      </c>
      <c r="BP46" s="157">
        <v>18</v>
      </c>
      <c r="BQ46" s="155">
        <v>0.91304347826086985</v>
      </c>
      <c r="BR46" s="156">
        <v>8.6956521739130418E-2</v>
      </c>
      <c r="BS46" s="156">
        <v>0</v>
      </c>
      <c r="BT46" s="156">
        <v>0</v>
      </c>
      <c r="BU46" s="156">
        <v>0</v>
      </c>
      <c r="BV46" s="157">
        <v>23</v>
      </c>
      <c r="BW46" s="161">
        <v>0.65</v>
      </c>
      <c r="BX46" s="156">
        <v>0.30000000000000004</v>
      </c>
      <c r="BY46" s="156">
        <v>4.9999999999999989E-2</v>
      </c>
      <c r="BZ46" s="156">
        <v>0</v>
      </c>
      <c r="CA46" s="156">
        <v>0</v>
      </c>
      <c r="CB46" s="157">
        <v>20</v>
      </c>
      <c r="CC46" s="155">
        <v>0.75</v>
      </c>
      <c r="CD46" s="156">
        <v>0</v>
      </c>
      <c r="CE46" s="156">
        <v>0.25</v>
      </c>
      <c r="CF46" s="156">
        <v>0</v>
      </c>
      <c r="CG46" s="156">
        <v>0</v>
      </c>
      <c r="CH46" s="162">
        <v>4</v>
      </c>
      <c r="CI46" s="155">
        <v>1</v>
      </c>
      <c r="CJ46" s="156">
        <v>0</v>
      </c>
      <c r="CK46" s="156">
        <v>0</v>
      </c>
      <c r="CL46" s="156">
        <v>0</v>
      </c>
      <c r="CM46" s="156">
        <v>0</v>
      </c>
      <c r="CN46" s="162">
        <v>1</v>
      </c>
      <c r="CO46" s="155">
        <v>0.52941176470588269</v>
      </c>
      <c r="CP46" s="156">
        <v>0.41176470588235276</v>
      </c>
      <c r="CQ46" s="156">
        <v>5.8823529411764677E-2</v>
      </c>
      <c r="CR46" s="156">
        <v>0</v>
      </c>
      <c r="CS46" s="156">
        <v>0</v>
      </c>
      <c r="CT46" s="162">
        <v>17</v>
      </c>
      <c r="CU46" s="155">
        <v>0.5</v>
      </c>
      <c r="CV46" s="156">
        <v>0.44444444444444448</v>
      </c>
      <c r="CW46" s="156">
        <v>5.5555555555555559E-2</v>
      </c>
      <c r="CX46" s="156">
        <v>0</v>
      </c>
      <c r="CY46" s="156">
        <v>0</v>
      </c>
      <c r="CZ46" s="162">
        <v>18</v>
      </c>
      <c r="DA46" s="155">
        <v>0.44444444444444448</v>
      </c>
      <c r="DB46" s="156">
        <v>0.33333333333333337</v>
      </c>
      <c r="DC46" s="156">
        <v>0.22222222222222224</v>
      </c>
      <c r="DD46" s="156">
        <v>0</v>
      </c>
      <c r="DE46" s="156">
        <v>0</v>
      </c>
      <c r="DF46" s="162">
        <v>9</v>
      </c>
      <c r="DG46" s="155">
        <v>0.28571428571428559</v>
      </c>
      <c r="DH46" s="156">
        <v>0.42857142857142866</v>
      </c>
      <c r="DI46" s="156">
        <v>0.28571428571428559</v>
      </c>
      <c r="DJ46" s="156">
        <v>0</v>
      </c>
      <c r="DK46" s="156">
        <v>0</v>
      </c>
      <c r="DL46" s="162">
        <v>7</v>
      </c>
      <c r="DM46" s="155">
        <v>0.63157894736842091</v>
      </c>
      <c r="DN46" s="156">
        <v>0.31578947368421045</v>
      </c>
      <c r="DO46" s="156">
        <v>5.263157894736839E-2</v>
      </c>
      <c r="DP46" s="156">
        <v>0</v>
      </c>
      <c r="DQ46" s="156">
        <v>0</v>
      </c>
      <c r="DR46" s="162">
        <v>19</v>
      </c>
      <c r="DS46" s="161">
        <v>0.94117647058823484</v>
      </c>
      <c r="DT46" s="156">
        <v>5.8823529411764677E-2</v>
      </c>
      <c r="DU46" s="156">
        <v>0</v>
      </c>
      <c r="DV46" s="156">
        <v>0</v>
      </c>
      <c r="DW46" s="156">
        <v>0</v>
      </c>
      <c r="DX46" s="162">
        <v>17</v>
      </c>
      <c r="DY46" s="155">
        <v>0.82608695652173936</v>
      </c>
      <c r="DZ46" s="156">
        <v>0.17391304347826084</v>
      </c>
      <c r="EA46" s="156">
        <v>0</v>
      </c>
      <c r="EB46" s="156">
        <v>0</v>
      </c>
      <c r="EC46" s="156">
        <v>0</v>
      </c>
      <c r="ED46" s="162">
        <v>23</v>
      </c>
      <c r="EE46" s="155">
        <v>0.9</v>
      </c>
      <c r="EF46" s="156">
        <v>9.9999999999999978E-2</v>
      </c>
      <c r="EG46" s="156">
        <v>0</v>
      </c>
      <c r="EH46" s="156">
        <v>0</v>
      </c>
      <c r="EI46" s="156">
        <v>0</v>
      </c>
      <c r="EJ46" s="162">
        <v>10</v>
      </c>
      <c r="EK46" s="155">
        <v>0.71428571428571397</v>
      </c>
      <c r="EL46" s="156">
        <v>0.28571428571428559</v>
      </c>
      <c r="EM46" s="156">
        <v>0</v>
      </c>
      <c r="EN46" s="156">
        <v>0</v>
      </c>
      <c r="EO46" s="156">
        <v>0</v>
      </c>
      <c r="EP46" s="162">
        <v>7</v>
      </c>
      <c r="EQ46" s="155">
        <v>0.66666666666666685</v>
      </c>
      <c r="ER46" s="156">
        <v>0.33333333333333343</v>
      </c>
      <c r="ES46" s="156">
        <v>0</v>
      </c>
      <c r="ET46" s="156">
        <v>0</v>
      </c>
      <c r="EU46" s="156">
        <v>0</v>
      </c>
      <c r="EV46" s="162">
        <v>18</v>
      </c>
      <c r="EW46" s="155">
        <v>0.77777777777777812</v>
      </c>
      <c r="EX46" s="156">
        <v>0.22222222222222224</v>
      </c>
      <c r="EY46" s="156">
        <v>0</v>
      </c>
      <c r="EZ46" s="156">
        <v>0</v>
      </c>
      <c r="FA46" s="156">
        <v>0</v>
      </c>
      <c r="FB46" s="162">
        <v>18</v>
      </c>
      <c r="FC46" s="155">
        <v>0.25</v>
      </c>
      <c r="FD46" s="156">
        <v>0.75</v>
      </c>
      <c r="FE46" s="156">
        <v>0</v>
      </c>
      <c r="FF46" s="156">
        <v>0</v>
      </c>
      <c r="FG46" s="156">
        <v>0</v>
      </c>
      <c r="FH46" s="162">
        <v>4</v>
      </c>
      <c r="FI46" s="161">
        <v>0.33333333333333343</v>
      </c>
      <c r="FJ46" s="156">
        <v>0.33333333333333343</v>
      </c>
      <c r="FK46" s="156">
        <v>0.33333333333333343</v>
      </c>
      <c r="FL46" s="156">
        <v>0</v>
      </c>
      <c r="FM46" s="156">
        <v>0</v>
      </c>
      <c r="FN46" s="162">
        <v>3</v>
      </c>
      <c r="FO46" s="155">
        <v>0</v>
      </c>
      <c r="FP46" s="156">
        <v>0</v>
      </c>
      <c r="FQ46" s="156">
        <v>0</v>
      </c>
      <c r="FR46" s="156">
        <v>0</v>
      </c>
      <c r="FS46" s="156">
        <v>0</v>
      </c>
      <c r="FT46" s="162">
        <v>0</v>
      </c>
      <c r="FU46" s="155">
        <v>0</v>
      </c>
      <c r="FV46" s="156">
        <v>0</v>
      </c>
      <c r="FW46" s="156">
        <v>0</v>
      </c>
      <c r="FX46" s="156">
        <v>0</v>
      </c>
      <c r="FY46" s="156">
        <v>0</v>
      </c>
      <c r="FZ46" s="162">
        <v>0</v>
      </c>
      <c r="GA46" s="161">
        <v>0</v>
      </c>
      <c r="GB46" s="156">
        <v>0</v>
      </c>
      <c r="GC46" s="156">
        <v>0</v>
      </c>
      <c r="GD46" s="156">
        <v>0</v>
      </c>
      <c r="GE46" s="156">
        <v>0</v>
      </c>
      <c r="GF46" s="162">
        <v>0</v>
      </c>
      <c r="GG46" s="158">
        <v>9.4999999999999982</v>
      </c>
      <c r="GH46" s="162">
        <v>20</v>
      </c>
      <c r="GI46" s="155">
        <v>0.17391304347826084</v>
      </c>
      <c r="GJ46" s="156">
        <v>0.60869565217391275</v>
      </c>
      <c r="GK46" s="156">
        <v>0.21739130434782614</v>
      </c>
      <c r="GL46" s="156">
        <v>0</v>
      </c>
      <c r="GM46" s="156">
        <v>0</v>
      </c>
      <c r="GN46" s="162">
        <v>23</v>
      </c>
      <c r="GO46" s="155">
        <v>0.43478260869565227</v>
      </c>
      <c r="GP46" s="156">
        <v>0.17391304347826078</v>
      </c>
      <c r="GQ46" s="156">
        <v>0</v>
      </c>
      <c r="GR46" s="156">
        <v>0.39130434782608681</v>
      </c>
      <c r="GS46" s="162">
        <v>23</v>
      </c>
      <c r="GT46" s="163">
        <v>3.4347826086956514</v>
      </c>
      <c r="GU46" s="162">
        <v>23</v>
      </c>
      <c r="GV46" s="155">
        <v>1</v>
      </c>
      <c r="GW46" s="156">
        <v>0</v>
      </c>
      <c r="GX46" s="162">
        <v>9</v>
      </c>
      <c r="GY46" s="155">
        <v>1</v>
      </c>
      <c r="GZ46" s="156">
        <v>0</v>
      </c>
      <c r="HA46" s="162">
        <v>13</v>
      </c>
      <c r="HB46" s="155">
        <v>0.95238095238095211</v>
      </c>
      <c r="HC46" s="156">
        <v>4.7619047619047603E-2</v>
      </c>
      <c r="HD46" s="162">
        <v>21</v>
      </c>
      <c r="HE46" s="161">
        <v>0.94444444444444398</v>
      </c>
      <c r="HF46" s="156">
        <v>5.5555555555555559E-2</v>
      </c>
      <c r="HG46" s="162">
        <v>18</v>
      </c>
      <c r="HH46" s="155">
        <v>0.64705882352941202</v>
      </c>
      <c r="HI46" s="156">
        <v>0.3529411764705882</v>
      </c>
      <c r="HJ46" s="162">
        <v>17</v>
      </c>
      <c r="HK46" s="155">
        <v>1</v>
      </c>
      <c r="HL46" s="156">
        <v>0</v>
      </c>
      <c r="HM46" s="162">
        <v>17</v>
      </c>
      <c r="HN46" s="161">
        <v>0.41176470588235276</v>
      </c>
      <c r="HO46" s="156">
        <v>0.41176470588235276</v>
      </c>
      <c r="HP46" s="156">
        <v>5.8823529411764677E-2</v>
      </c>
      <c r="HQ46" s="156">
        <v>0.11764705882352935</v>
      </c>
      <c r="HR46" s="156">
        <v>0</v>
      </c>
      <c r="HS46" s="160">
        <v>32.647058823529399</v>
      </c>
      <c r="HT46" s="164">
        <v>17</v>
      </c>
      <c r="HU46" s="165">
        <v>0</v>
      </c>
      <c r="HV46" s="166">
        <v>0</v>
      </c>
      <c r="HW46" s="166">
        <v>0.125</v>
      </c>
      <c r="HX46" s="166">
        <v>0</v>
      </c>
      <c r="HY46" s="166">
        <v>0.125</v>
      </c>
      <c r="HZ46" s="166">
        <v>0.125</v>
      </c>
      <c r="IA46" s="166">
        <v>0.125</v>
      </c>
      <c r="IB46" s="166">
        <v>0.25</v>
      </c>
      <c r="IC46" s="166">
        <v>0.125</v>
      </c>
      <c r="ID46" s="166">
        <v>0.125</v>
      </c>
      <c r="IE46" s="167">
        <v>8</v>
      </c>
      <c r="IF46" s="155">
        <v>0</v>
      </c>
      <c r="IG46" s="156">
        <v>0</v>
      </c>
      <c r="IH46" s="156">
        <v>0.39999999999999991</v>
      </c>
      <c r="II46" s="156">
        <v>0.19999999999999996</v>
      </c>
      <c r="IJ46" s="156">
        <v>0.39999999999999991</v>
      </c>
      <c r="IK46" s="162">
        <v>5</v>
      </c>
      <c r="IL46" s="155">
        <v>0.23529411764705871</v>
      </c>
      <c r="IM46" s="156">
        <v>0</v>
      </c>
      <c r="IN46" s="156">
        <v>5.8823529411764677E-2</v>
      </c>
      <c r="IO46" s="156">
        <v>0.70588235294117641</v>
      </c>
      <c r="IP46" s="156">
        <v>0</v>
      </c>
      <c r="IQ46" s="162">
        <v>17</v>
      </c>
      <c r="IR46" s="155">
        <v>0.125</v>
      </c>
      <c r="IS46" s="156">
        <v>0.87500000000000011</v>
      </c>
      <c r="IT46" s="162">
        <v>16</v>
      </c>
      <c r="IU46" s="161">
        <v>0</v>
      </c>
      <c r="IV46" s="156">
        <v>0</v>
      </c>
      <c r="IW46" s="156">
        <v>1</v>
      </c>
      <c r="IX46" s="162">
        <v>2</v>
      </c>
    </row>
    <row r="47" spans="1:258" ht="32.1" customHeight="1" x14ac:dyDescent="0.25">
      <c r="A47" s="110" t="s">
        <v>453</v>
      </c>
      <c r="B47" s="108" t="s">
        <v>574</v>
      </c>
      <c r="C47" s="108" t="s">
        <v>454</v>
      </c>
      <c r="D47" s="109">
        <v>153</v>
      </c>
      <c r="E47" s="139" t="s">
        <v>497</v>
      </c>
      <c r="F47" s="155">
        <v>0.12500000000000003</v>
      </c>
      <c r="G47" s="156">
        <v>0.87500000000000033</v>
      </c>
      <c r="H47" s="157">
        <v>64</v>
      </c>
      <c r="I47" s="155">
        <v>0.85185185185185208</v>
      </c>
      <c r="J47" s="156">
        <v>0.14814814814814789</v>
      </c>
      <c r="K47" s="157">
        <v>54</v>
      </c>
      <c r="L47" s="155">
        <v>0.565217391304348</v>
      </c>
      <c r="M47" s="156">
        <v>0.43478260869565233</v>
      </c>
      <c r="N47" s="157">
        <v>46</v>
      </c>
      <c r="O47" s="155">
        <v>0.35937500000000011</v>
      </c>
      <c r="P47" s="156">
        <v>7.8125000000000014E-2</v>
      </c>
      <c r="Q47" s="156">
        <v>0.26562500000000006</v>
      </c>
      <c r="R47" s="156">
        <v>3.1250000000000007E-2</v>
      </c>
      <c r="S47" s="156">
        <v>0.23437500000000003</v>
      </c>
      <c r="T47" s="156">
        <v>7.8125000000000014E-2</v>
      </c>
      <c r="U47" s="156">
        <v>6.2500000000000014E-2</v>
      </c>
      <c r="V47" s="156">
        <v>0.17187500000000003</v>
      </c>
      <c r="W47" s="156">
        <v>0.14062500000000003</v>
      </c>
      <c r="X47" s="156">
        <v>0.23437500000000003</v>
      </c>
      <c r="Y47" s="157">
        <v>64</v>
      </c>
      <c r="Z47" s="155">
        <v>0.71929824561403477</v>
      </c>
      <c r="AA47" s="156">
        <v>0.52631578947368474</v>
      </c>
      <c r="AB47" s="156">
        <v>0.47368421052631526</v>
      </c>
      <c r="AC47" s="156">
        <v>0.6140350877192986</v>
      </c>
      <c r="AD47" s="156">
        <v>0.14035087719298228</v>
      </c>
      <c r="AE47" s="156">
        <v>0.22807017543859626</v>
      </c>
      <c r="AF47" s="157">
        <v>57</v>
      </c>
      <c r="AG47" s="158">
        <v>9.6093750000000018</v>
      </c>
      <c r="AH47" s="159">
        <v>64</v>
      </c>
      <c r="AI47" s="160">
        <v>9.7187500000000018</v>
      </c>
      <c r="AJ47" s="159">
        <v>64</v>
      </c>
      <c r="AK47" s="160">
        <v>9.8064516129032206</v>
      </c>
      <c r="AL47" s="157">
        <v>62</v>
      </c>
      <c r="AM47" s="155">
        <v>0.55000000000000004</v>
      </c>
      <c r="AN47" s="156">
        <v>0.3666666666666667</v>
      </c>
      <c r="AO47" s="156">
        <v>0.05</v>
      </c>
      <c r="AP47" s="156">
        <v>3.3333333333333361E-2</v>
      </c>
      <c r="AQ47" s="156">
        <v>0</v>
      </c>
      <c r="AR47" s="157">
        <v>60</v>
      </c>
      <c r="AS47" s="155">
        <v>0.75409836065573832</v>
      </c>
      <c r="AT47" s="156">
        <v>0.21311475409836042</v>
      </c>
      <c r="AU47" s="156">
        <v>3.2786885245901655E-2</v>
      </c>
      <c r="AV47" s="156">
        <v>0</v>
      </c>
      <c r="AW47" s="156">
        <v>0</v>
      </c>
      <c r="AX47" s="157">
        <v>61</v>
      </c>
      <c r="AY47" s="155">
        <v>0.78125000000000033</v>
      </c>
      <c r="AZ47" s="156">
        <v>0.18750000000000003</v>
      </c>
      <c r="BA47" s="156">
        <v>3.1250000000000007E-2</v>
      </c>
      <c r="BB47" s="156">
        <v>0</v>
      </c>
      <c r="BC47" s="156">
        <v>0</v>
      </c>
      <c r="BD47" s="157">
        <v>64</v>
      </c>
      <c r="BE47" s="155">
        <v>0.81250000000000033</v>
      </c>
      <c r="BF47" s="156">
        <v>0.18750000000000003</v>
      </c>
      <c r="BG47" s="156">
        <v>0</v>
      </c>
      <c r="BH47" s="156">
        <v>0</v>
      </c>
      <c r="BI47" s="156">
        <v>0</v>
      </c>
      <c r="BJ47" s="157">
        <v>64</v>
      </c>
      <c r="BK47" s="155">
        <v>0.58730158730158688</v>
      </c>
      <c r="BL47" s="156">
        <v>0.28571428571428609</v>
      </c>
      <c r="BM47" s="156">
        <v>4.7619047619047609E-2</v>
      </c>
      <c r="BN47" s="156">
        <v>7.9365079365079472E-2</v>
      </c>
      <c r="BO47" s="156">
        <v>0</v>
      </c>
      <c r="BP47" s="157">
        <v>63</v>
      </c>
      <c r="BQ47" s="155">
        <v>0.80645161290322631</v>
      </c>
      <c r="BR47" s="156">
        <v>0.16129032258064516</v>
      </c>
      <c r="BS47" s="156">
        <v>3.225806451612899E-2</v>
      </c>
      <c r="BT47" s="156">
        <v>0</v>
      </c>
      <c r="BU47" s="156">
        <v>0</v>
      </c>
      <c r="BV47" s="157">
        <v>62</v>
      </c>
      <c r="BW47" s="161">
        <v>0.81578947368420918</v>
      </c>
      <c r="BX47" s="156">
        <v>0.13157894736842088</v>
      </c>
      <c r="BY47" s="156">
        <v>5.2631578947368383E-2</v>
      </c>
      <c r="BZ47" s="156">
        <v>0</v>
      </c>
      <c r="CA47" s="156">
        <v>0</v>
      </c>
      <c r="CB47" s="157">
        <v>38</v>
      </c>
      <c r="CC47" s="155">
        <v>0.74999999999999989</v>
      </c>
      <c r="CD47" s="156">
        <v>0.24999999999999997</v>
      </c>
      <c r="CE47" s="156">
        <v>0</v>
      </c>
      <c r="CF47" s="156">
        <v>0</v>
      </c>
      <c r="CG47" s="156">
        <v>0</v>
      </c>
      <c r="CH47" s="162">
        <v>20</v>
      </c>
      <c r="CI47" s="155">
        <v>0.52941176470588269</v>
      </c>
      <c r="CJ47" s="156">
        <v>0.47058823529411725</v>
      </c>
      <c r="CK47" s="156">
        <v>0</v>
      </c>
      <c r="CL47" s="156">
        <v>0</v>
      </c>
      <c r="CM47" s="156">
        <v>0</v>
      </c>
      <c r="CN47" s="162">
        <v>17</v>
      </c>
      <c r="CO47" s="155">
        <v>0.28571428571428609</v>
      </c>
      <c r="CP47" s="156">
        <v>0.54285714285714237</v>
      </c>
      <c r="CQ47" s="156">
        <v>0</v>
      </c>
      <c r="CR47" s="156">
        <v>8.571428571428559E-2</v>
      </c>
      <c r="CS47" s="156">
        <v>8.571428571428559E-2</v>
      </c>
      <c r="CT47" s="162">
        <v>35</v>
      </c>
      <c r="CU47" s="155">
        <v>0.44117647058823467</v>
      </c>
      <c r="CV47" s="156">
        <v>0.49999999999999994</v>
      </c>
      <c r="CW47" s="156">
        <v>5.882352941176465E-2</v>
      </c>
      <c r="CX47" s="156">
        <v>0</v>
      </c>
      <c r="CY47" s="156">
        <v>0</v>
      </c>
      <c r="CZ47" s="162">
        <v>34</v>
      </c>
      <c r="DA47" s="155">
        <v>0.41176470588235276</v>
      </c>
      <c r="DB47" s="156">
        <v>0.41176470588235276</v>
      </c>
      <c r="DC47" s="156">
        <v>0.11764705882352931</v>
      </c>
      <c r="DD47" s="156">
        <v>5.8823529411764656E-2</v>
      </c>
      <c r="DE47" s="156">
        <v>0</v>
      </c>
      <c r="DF47" s="162">
        <v>17</v>
      </c>
      <c r="DG47" s="155">
        <v>0.44999999999999996</v>
      </c>
      <c r="DH47" s="156">
        <v>0.39999999999999991</v>
      </c>
      <c r="DI47" s="156">
        <v>9.9999999999999978E-2</v>
      </c>
      <c r="DJ47" s="156">
        <v>4.9999999999999989E-2</v>
      </c>
      <c r="DK47" s="156">
        <v>0</v>
      </c>
      <c r="DL47" s="162">
        <v>20</v>
      </c>
      <c r="DM47" s="155">
        <v>0.44444444444444386</v>
      </c>
      <c r="DN47" s="156">
        <v>0.48148148148148151</v>
      </c>
      <c r="DO47" s="156">
        <v>7.4074074074073945E-2</v>
      </c>
      <c r="DP47" s="156">
        <v>0</v>
      </c>
      <c r="DQ47" s="156">
        <v>0</v>
      </c>
      <c r="DR47" s="162">
        <v>27</v>
      </c>
      <c r="DS47" s="161">
        <v>0.74999999999999989</v>
      </c>
      <c r="DT47" s="156">
        <v>0.24999999999999997</v>
      </c>
      <c r="DU47" s="156">
        <v>0</v>
      </c>
      <c r="DV47" s="156">
        <v>0</v>
      </c>
      <c r="DW47" s="156">
        <v>0</v>
      </c>
      <c r="DX47" s="162">
        <v>20</v>
      </c>
      <c r="DY47" s="155">
        <v>0.90625000000000011</v>
      </c>
      <c r="DZ47" s="156">
        <v>7.8125000000000014E-2</v>
      </c>
      <c r="EA47" s="156">
        <v>0</v>
      </c>
      <c r="EB47" s="156">
        <v>1.5625000000000003E-2</v>
      </c>
      <c r="EC47" s="156">
        <v>0</v>
      </c>
      <c r="ED47" s="162">
        <v>64</v>
      </c>
      <c r="EE47" s="155">
        <v>0.61111111111111205</v>
      </c>
      <c r="EF47" s="156">
        <v>0.36111111111111116</v>
      </c>
      <c r="EG47" s="156">
        <v>0</v>
      </c>
      <c r="EH47" s="156">
        <v>0</v>
      </c>
      <c r="EI47" s="156">
        <v>2.7777777777777738E-2</v>
      </c>
      <c r="EJ47" s="162">
        <v>36</v>
      </c>
      <c r="EK47" s="155">
        <v>0.62499999999999989</v>
      </c>
      <c r="EL47" s="156">
        <v>0.33333333333333309</v>
      </c>
      <c r="EM47" s="156">
        <v>0</v>
      </c>
      <c r="EN47" s="156">
        <v>4.1666666666666637E-2</v>
      </c>
      <c r="EO47" s="156">
        <v>0</v>
      </c>
      <c r="EP47" s="162">
        <v>24</v>
      </c>
      <c r="EQ47" s="155">
        <v>0.78181818181818097</v>
      </c>
      <c r="ER47" s="156">
        <v>0.16363636363636369</v>
      </c>
      <c r="ES47" s="156">
        <v>3.636363636363632E-2</v>
      </c>
      <c r="ET47" s="156">
        <v>1.818181818181816E-2</v>
      </c>
      <c r="EU47" s="156">
        <v>0</v>
      </c>
      <c r="EV47" s="162">
        <v>55</v>
      </c>
      <c r="EW47" s="155">
        <v>0.78571428571428514</v>
      </c>
      <c r="EX47" s="156">
        <v>0.19642857142857117</v>
      </c>
      <c r="EY47" s="156">
        <v>1.785714285714288E-2</v>
      </c>
      <c r="EZ47" s="156">
        <v>0</v>
      </c>
      <c r="FA47" s="156">
        <v>0</v>
      </c>
      <c r="FB47" s="162">
        <v>56</v>
      </c>
      <c r="FC47" s="155">
        <v>0.66666666666666619</v>
      </c>
      <c r="FD47" s="156">
        <v>0.33333333333333309</v>
      </c>
      <c r="FE47" s="156">
        <v>0</v>
      </c>
      <c r="FF47" s="156">
        <v>0</v>
      </c>
      <c r="FG47" s="156">
        <v>0</v>
      </c>
      <c r="FH47" s="162">
        <v>21</v>
      </c>
      <c r="FI47" s="161">
        <v>0.6</v>
      </c>
      <c r="FJ47" s="156">
        <v>0.2</v>
      </c>
      <c r="FK47" s="156">
        <v>0</v>
      </c>
      <c r="FL47" s="156">
        <v>0</v>
      </c>
      <c r="FM47" s="156">
        <v>0.2</v>
      </c>
      <c r="FN47" s="162">
        <v>5</v>
      </c>
      <c r="FO47" s="155">
        <v>0</v>
      </c>
      <c r="FP47" s="156">
        <v>0</v>
      </c>
      <c r="FQ47" s="156">
        <v>0</v>
      </c>
      <c r="FR47" s="156">
        <v>0</v>
      </c>
      <c r="FS47" s="156">
        <v>0</v>
      </c>
      <c r="FT47" s="162">
        <v>0</v>
      </c>
      <c r="FU47" s="155">
        <v>0</v>
      </c>
      <c r="FV47" s="156">
        <v>0</v>
      </c>
      <c r="FW47" s="156">
        <v>0</v>
      </c>
      <c r="FX47" s="156">
        <v>0</v>
      </c>
      <c r="FY47" s="156">
        <v>0</v>
      </c>
      <c r="FZ47" s="162">
        <v>0</v>
      </c>
      <c r="GA47" s="161">
        <v>0</v>
      </c>
      <c r="GB47" s="156">
        <v>0</v>
      </c>
      <c r="GC47" s="156">
        <v>0</v>
      </c>
      <c r="GD47" s="156">
        <v>0</v>
      </c>
      <c r="GE47" s="156">
        <v>0</v>
      </c>
      <c r="GF47" s="162">
        <v>0</v>
      </c>
      <c r="GG47" s="158">
        <v>9.4464285714285658</v>
      </c>
      <c r="GH47" s="162">
        <v>56</v>
      </c>
      <c r="GI47" s="155">
        <v>0.64062500000000011</v>
      </c>
      <c r="GJ47" s="156">
        <v>0.17187500000000003</v>
      </c>
      <c r="GK47" s="156">
        <v>0.12500000000000003</v>
      </c>
      <c r="GL47" s="156">
        <v>3.1250000000000007E-2</v>
      </c>
      <c r="GM47" s="156">
        <v>3.1250000000000007E-2</v>
      </c>
      <c r="GN47" s="162">
        <v>64</v>
      </c>
      <c r="GO47" s="155">
        <v>0.56140350877193079</v>
      </c>
      <c r="GP47" s="156">
        <v>0.2456140350877192</v>
      </c>
      <c r="GQ47" s="156">
        <v>0.15789473684210512</v>
      </c>
      <c r="GR47" s="156">
        <v>0.17543859649122787</v>
      </c>
      <c r="GS47" s="162">
        <v>57</v>
      </c>
      <c r="GT47" s="163">
        <v>3.4666666666666668</v>
      </c>
      <c r="GU47" s="162">
        <v>60</v>
      </c>
      <c r="GV47" s="155">
        <v>0.92592592592592471</v>
      </c>
      <c r="GW47" s="156">
        <v>7.4074074074073945E-2</v>
      </c>
      <c r="GX47" s="162">
        <v>27</v>
      </c>
      <c r="GY47" s="155">
        <v>0.95121951219512113</v>
      </c>
      <c r="GZ47" s="156">
        <v>4.878048780487803E-2</v>
      </c>
      <c r="HA47" s="162">
        <v>41</v>
      </c>
      <c r="HB47" s="155">
        <v>0.92307692307692346</v>
      </c>
      <c r="HC47" s="156">
        <v>7.6923076923076816E-2</v>
      </c>
      <c r="HD47" s="162">
        <v>52</v>
      </c>
      <c r="HE47" s="161">
        <v>0.97297297297297436</v>
      </c>
      <c r="HF47" s="156">
        <v>2.7027027027027008E-2</v>
      </c>
      <c r="HG47" s="162">
        <v>37</v>
      </c>
      <c r="HH47" s="155">
        <v>0.47368421052631637</v>
      </c>
      <c r="HI47" s="156">
        <v>0.52631578947368363</v>
      </c>
      <c r="HJ47" s="162">
        <v>57</v>
      </c>
      <c r="HK47" s="155">
        <v>0.96226415094339535</v>
      </c>
      <c r="HL47" s="156">
        <v>3.7735849056603793E-2</v>
      </c>
      <c r="HM47" s="162">
        <v>53</v>
      </c>
      <c r="HN47" s="161">
        <v>5.4545454545454446E-2</v>
      </c>
      <c r="HO47" s="156">
        <v>0.19999999999999996</v>
      </c>
      <c r="HP47" s="156">
        <v>0.18181818181818166</v>
      </c>
      <c r="HQ47" s="156">
        <v>0.38181818181818172</v>
      </c>
      <c r="HR47" s="156">
        <v>0.18181818181818166</v>
      </c>
      <c r="HS47" s="160">
        <v>58.327272727272785</v>
      </c>
      <c r="HT47" s="164">
        <v>55</v>
      </c>
      <c r="HU47" s="165">
        <v>8.3333333333333329E-2</v>
      </c>
      <c r="HV47" s="166">
        <v>2.0833333333333332E-2</v>
      </c>
      <c r="HW47" s="166">
        <v>0.10416666666666667</v>
      </c>
      <c r="HX47" s="166">
        <v>0.16666666666666666</v>
      </c>
      <c r="HY47" s="166">
        <v>6.25E-2</v>
      </c>
      <c r="HZ47" s="166">
        <v>0.125</v>
      </c>
      <c r="IA47" s="166">
        <v>8.3333333333333329E-2</v>
      </c>
      <c r="IB47" s="166">
        <v>0.125</v>
      </c>
      <c r="IC47" s="166">
        <v>0.125</v>
      </c>
      <c r="ID47" s="166">
        <v>0.10416666666666667</v>
      </c>
      <c r="IE47" s="167">
        <v>48</v>
      </c>
      <c r="IF47" s="155">
        <v>0</v>
      </c>
      <c r="IG47" s="156">
        <v>0</v>
      </c>
      <c r="IH47" s="156">
        <v>0.33333333333333309</v>
      </c>
      <c r="II47" s="156">
        <v>0.33333333333333309</v>
      </c>
      <c r="IJ47" s="156">
        <v>0.33333333333333309</v>
      </c>
      <c r="IK47" s="162">
        <v>3</v>
      </c>
      <c r="IL47" s="155">
        <v>3.5087719298245557E-2</v>
      </c>
      <c r="IM47" s="156">
        <v>0</v>
      </c>
      <c r="IN47" s="156">
        <v>0</v>
      </c>
      <c r="IO47" s="156">
        <v>0.96491228070175539</v>
      </c>
      <c r="IP47" s="156">
        <v>0</v>
      </c>
      <c r="IQ47" s="162">
        <v>57</v>
      </c>
      <c r="IR47" s="155">
        <v>0.10714285714285704</v>
      </c>
      <c r="IS47" s="156">
        <v>0.89285714285714379</v>
      </c>
      <c r="IT47" s="162">
        <v>56</v>
      </c>
      <c r="IU47" s="161">
        <v>0</v>
      </c>
      <c r="IV47" s="156">
        <v>0</v>
      </c>
      <c r="IW47" s="156">
        <v>1</v>
      </c>
      <c r="IX47" s="162">
        <v>6</v>
      </c>
    </row>
    <row r="48" spans="1:258" ht="32.1" customHeight="1" x14ac:dyDescent="0.25">
      <c r="A48" s="110" t="s">
        <v>453</v>
      </c>
      <c r="B48" s="108" t="s">
        <v>580</v>
      </c>
      <c r="C48" s="108" t="s">
        <v>454</v>
      </c>
      <c r="D48" s="109">
        <v>155</v>
      </c>
      <c r="E48" s="139" t="s">
        <v>498</v>
      </c>
      <c r="F48" s="155">
        <v>0.24999999999999983</v>
      </c>
      <c r="G48" s="156">
        <v>0.74999999999999989</v>
      </c>
      <c r="H48" s="157">
        <v>68</v>
      </c>
      <c r="I48" s="155">
        <v>0.87499999999999989</v>
      </c>
      <c r="J48" s="156">
        <v>0.12499999999999994</v>
      </c>
      <c r="K48" s="157">
        <v>48</v>
      </c>
      <c r="L48" s="155">
        <v>0.58536585365853644</v>
      </c>
      <c r="M48" s="156">
        <v>0.41463414634146362</v>
      </c>
      <c r="N48" s="157">
        <v>41</v>
      </c>
      <c r="O48" s="155">
        <v>0.15942028985507226</v>
      </c>
      <c r="P48" s="156">
        <v>8.695652173913021E-2</v>
      </c>
      <c r="Q48" s="156">
        <v>0.47826086956521607</v>
      </c>
      <c r="R48" s="156">
        <v>2.8985507246376732E-2</v>
      </c>
      <c r="S48" s="156">
        <v>0.39130434782608609</v>
      </c>
      <c r="T48" s="156">
        <v>5.7971014492753464E-2</v>
      </c>
      <c r="U48" s="156">
        <v>5.7971014492753464E-2</v>
      </c>
      <c r="V48" s="156">
        <v>5.7971014492753464E-2</v>
      </c>
      <c r="W48" s="156">
        <v>5.7971014492753464E-2</v>
      </c>
      <c r="X48" s="156">
        <v>0.1014492753623186</v>
      </c>
      <c r="Y48" s="157">
        <v>69</v>
      </c>
      <c r="Z48" s="155">
        <v>0.81666666666666488</v>
      </c>
      <c r="AA48" s="156">
        <v>0.19999999999999943</v>
      </c>
      <c r="AB48" s="156">
        <v>0.3833333333333328</v>
      </c>
      <c r="AC48" s="156">
        <v>0.4166666666666653</v>
      </c>
      <c r="AD48" s="156">
        <v>3.3333333333333257E-2</v>
      </c>
      <c r="AE48" s="156">
        <v>6.6666666666666513E-2</v>
      </c>
      <c r="AF48" s="157">
        <v>60</v>
      </c>
      <c r="AG48" s="158">
        <v>9.8676470588235254</v>
      </c>
      <c r="AH48" s="159">
        <v>68</v>
      </c>
      <c r="AI48" s="160">
        <v>9.882352941176455</v>
      </c>
      <c r="AJ48" s="159">
        <v>68</v>
      </c>
      <c r="AK48" s="160">
        <v>9.9242424242423901</v>
      </c>
      <c r="AL48" s="157">
        <v>66</v>
      </c>
      <c r="AM48" s="155">
        <v>0.61194029850746146</v>
      </c>
      <c r="AN48" s="156">
        <v>0.26865671641791034</v>
      </c>
      <c r="AO48" s="156">
        <v>5.9701492537313348E-2</v>
      </c>
      <c r="AP48" s="156">
        <v>5.9701492537313348E-2</v>
      </c>
      <c r="AQ48" s="156">
        <v>0</v>
      </c>
      <c r="AR48" s="157">
        <v>67</v>
      </c>
      <c r="AS48" s="155">
        <v>0.83076923076922948</v>
      </c>
      <c r="AT48" s="156">
        <v>0.15384615384615363</v>
      </c>
      <c r="AU48" s="156">
        <v>1.538461538461534E-2</v>
      </c>
      <c r="AV48" s="156">
        <v>0</v>
      </c>
      <c r="AW48" s="156">
        <v>0</v>
      </c>
      <c r="AX48" s="157">
        <v>65</v>
      </c>
      <c r="AY48" s="155">
        <v>0.79411764705882293</v>
      </c>
      <c r="AZ48" s="156">
        <v>0.19117647058823489</v>
      </c>
      <c r="BA48" s="156">
        <v>1.4705882352941157E-2</v>
      </c>
      <c r="BB48" s="156">
        <v>0</v>
      </c>
      <c r="BC48" s="156">
        <v>0</v>
      </c>
      <c r="BD48" s="157">
        <v>68</v>
      </c>
      <c r="BE48" s="155">
        <v>0.78260869565217306</v>
      </c>
      <c r="BF48" s="156">
        <v>0.20289855072463744</v>
      </c>
      <c r="BG48" s="156">
        <v>0</v>
      </c>
      <c r="BH48" s="156">
        <v>1.4492753623188392E-2</v>
      </c>
      <c r="BI48" s="156">
        <v>0</v>
      </c>
      <c r="BJ48" s="157">
        <v>69</v>
      </c>
      <c r="BK48" s="155">
        <v>0.76562499999999989</v>
      </c>
      <c r="BL48" s="156">
        <v>0.17187499999999992</v>
      </c>
      <c r="BM48" s="156">
        <v>6.2499999999999965E-2</v>
      </c>
      <c r="BN48" s="156">
        <v>0</v>
      </c>
      <c r="BO48" s="156">
        <v>0</v>
      </c>
      <c r="BP48" s="157">
        <v>64</v>
      </c>
      <c r="BQ48" s="155">
        <v>0.92753623188405898</v>
      </c>
      <c r="BR48" s="156">
        <v>7.2463768115941893E-2</v>
      </c>
      <c r="BS48" s="156">
        <v>0</v>
      </c>
      <c r="BT48" s="156">
        <v>0</v>
      </c>
      <c r="BU48" s="156">
        <v>0</v>
      </c>
      <c r="BV48" s="157">
        <v>69</v>
      </c>
      <c r="BW48" s="161">
        <v>0.80000000000000016</v>
      </c>
      <c r="BX48" s="156">
        <v>0.20000000000000004</v>
      </c>
      <c r="BY48" s="156">
        <v>0</v>
      </c>
      <c r="BZ48" s="156">
        <v>0</v>
      </c>
      <c r="CA48" s="156">
        <v>0</v>
      </c>
      <c r="CB48" s="157">
        <v>10</v>
      </c>
      <c r="CC48" s="155">
        <v>0.81999999999999984</v>
      </c>
      <c r="CD48" s="156">
        <v>0.15999999999999998</v>
      </c>
      <c r="CE48" s="156">
        <v>1.9999999999999997E-2</v>
      </c>
      <c r="CF48" s="156">
        <v>0</v>
      </c>
      <c r="CG48" s="156">
        <v>0</v>
      </c>
      <c r="CH48" s="162">
        <v>50</v>
      </c>
      <c r="CI48" s="155">
        <v>0.65116279069767291</v>
      </c>
      <c r="CJ48" s="156">
        <v>0.27906976744186052</v>
      </c>
      <c r="CK48" s="156">
        <v>6.9767441860465129E-2</v>
      </c>
      <c r="CL48" s="156">
        <v>0</v>
      </c>
      <c r="CM48" s="156">
        <v>0</v>
      </c>
      <c r="CN48" s="162">
        <v>43</v>
      </c>
      <c r="CO48" s="155">
        <v>0.49999999999999994</v>
      </c>
      <c r="CP48" s="156">
        <v>0.36363636363636337</v>
      </c>
      <c r="CQ48" s="156">
        <v>4.5454545454545435E-2</v>
      </c>
      <c r="CR48" s="156">
        <v>9.090909090909087E-2</v>
      </c>
      <c r="CS48" s="156">
        <v>0</v>
      </c>
      <c r="CT48" s="162">
        <v>44</v>
      </c>
      <c r="CU48" s="155">
        <v>0.51111111111110996</v>
      </c>
      <c r="CV48" s="156">
        <v>0.42222222222222178</v>
      </c>
      <c r="CW48" s="156">
        <v>2.2222222222222195E-2</v>
      </c>
      <c r="CX48" s="156">
        <v>4.4444444444444391E-2</v>
      </c>
      <c r="CY48" s="156">
        <v>0</v>
      </c>
      <c r="CZ48" s="162">
        <v>45</v>
      </c>
      <c r="DA48" s="155">
        <v>0.58823529411764774</v>
      </c>
      <c r="DB48" s="156">
        <v>0.29411764705882387</v>
      </c>
      <c r="DC48" s="156">
        <v>0.11764705882352935</v>
      </c>
      <c r="DD48" s="156">
        <v>0</v>
      </c>
      <c r="DE48" s="156">
        <v>0</v>
      </c>
      <c r="DF48" s="162">
        <v>34</v>
      </c>
      <c r="DG48" s="155">
        <v>0.58064516129032229</v>
      </c>
      <c r="DH48" s="156">
        <v>0.32258064516129048</v>
      </c>
      <c r="DI48" s="156">
        <v>9.6774193548387052E-2</v>
      </c>
      <c r="DJ48" s="156">
        <v>0</v>
      </c>
      <c r="DK48" s="156">
        <v>0</v>
      </c>
      <c r="DL48" s="162">
        <v>31</v>
      </c>
      <c r="DM48" s="155">
        <v>0.53125</v>
      </c>
      <c r="DN48" s="156">
        <v>0.34375</v>
      </c>
      <c r="DO48" s="156">
        <v>0.12500000000000003</v>
      </c>
      <c r="DP48" s="156">
        <v>0</v>
      </c>
      <c r="DQ48" s="156">
        <v>0</v>
      </c>
      <c r="DR48" s="162">
        <v>32</v>
      </c>
      <c r="DS48" s="161">
        <v>0.73684210526315819</v>
      </c>
      <c r="DT48" s="156">
        <v>0.15789473684210528</v>
      </c>
      <c r="DU48" s="156">
        <v>0.10526315789473679</v>
      </c>
      <c r="DV48" s="156">
        <v>0</v>
      </c>
      <c r="DW48" s="156">
        <v>0</v>
      </c>
      <c r="DX48" s="162">
        <v>19</v>
      </c>
      <c r="DY48" s="155">
        <v>0.89552238805970097</v>
      </c>
      <c r="DZ48" s="156">
        <v>0.10447761194029828</v>
      </c>
      <c r="EA48" s="156">
        <v>0</v>
      </c>
      <c r="EB48" s="156">
        <v>0</v>
      </c>
      <c r="EC48" s="156">
        <v>0</v>
      </c>
      <c r="ED48" s="162">
        <v>67</v>
      </c>
      <c r="EE48" s="155">
        <v>0.71052631578947423</v>
      </c>
      <c r="EF48" s="156">
        <v>0.28947368421052661</v>
      </c>
      <c r="EG48" s="156">
        <v>0</v>
      </c>
      <c r="EH48" s="156">
        <v>0</v>
      </c>
      <c r="EI48" s="156">
        <v>0</v>
      </c>
      <c r="EJ48" s="162">
        <v>38</v>
      </c>
      <c r="EK48" s="155">
        <v>0.80000000000000016</v>
      </c>
      <c r="EL48" s="156">
        <v>0.20000000000000004</v>
      </c>
      <c r="EM48" s="156">
        <v>0</v>
      </c>
      <c r="EN48" s="156">
        <v>0</v>
      </c>
      <c r="EO48" s="156">
        <v>0</v>
      </c>
      <c r="EP48" s="162">
        <v>30</v>
      </c>
      <c r="EQ48" s="155">
        <v>0.72340425531914743</v>
      </c>
      <c r="ER48" s="156">
        <v>0.23404255319148895</v>
      </c>
      <c r="ES48" s="156">
        <v>2.1276595744680833E-2</v>
      </c>
      <c r="ET48" s="156">
        <v>2.1276595744680833E-2</v>
      </c>
      <c r="EU48" s="156">
        <v>0</v>
      </c>
      <c r="EV48" s="162">
        <v>47</v>
      </c>
      <c r="EW48" s="155">
        <v>0.81249999999999989</v>
      </c>
      <c r="EX48" s="156">
        <v>0.16666666666666646</v>
      </c>
      <c r="EY48" s="156">
        <v>2.0833333333333308E-2</v>
      </c>
      <c r="EZ48" s="156">
        <v>0</v>
      </c>
      <c r="FA48" s="156">
        <v>0</v>
      </c>
      <c r="FB48" s="162">
        <v>48</v>
      </c>
      <c r="FC48" s="155">
        <v>0.63636363636363624</v>
      </c>
      <c r="FD48" s="156">
        <v>0.27272727272727254</v>
      </c>
      <c r="FE48" s="156">
        <v>9.0909090909090884E-2</v>
      </c>
      <c r="FF48" s="156">
        <v>0</v>
      </c>
      <c r="FG48" s="156">
        <v>0</v>
      </c>
      <c r="FH48" s="162">
        <v>22</v>
      </c>
      <c r="FI48" s="161">
        <v>0.68181818181818099</v>
      </c>
      <c r="FJ48" s="156">
        <v>0.18181818181818177</v>
      </c>
      <c r="FK48" s="156">
        <v>9.0909090909090884E-2</v>
      </c>
      <c r="FL48" s="156">
        <v>0</v>
      </c>
      <c r="FM48" s="156">
        <v>4.5454545454545442E-2</v>
      </c>
      <c r="FN48" s="162">
        <v>22</v>
      </c>
      <c r="FO48" s="155">
        <v>0</v>
      </c>
      <c r="FP48" s="156">
        <v>0</v>
      </c>
      <c r="FQ48" s="156">
        <v>0</v>
      </c>
      <c r="FR48" s="156">
        <v>0</v>
      </c>
      <c r="FS48" s="156">
        <v>0</v>
      </c>
      <c r="FT48" s="162">
        <v>0</v>
      </c>
      <c r="FU48" s="155">
        <v>0</v>
      </c>
      <c r="FV48" s="156">
        <v>0</v>
      </c>
      <c r="FW48" s="156">
        <v>0</v>
      </c>
      <c r="FX48" s="156">
        <v>0</v>
      </c>
      <c r="FY48" s="156">
        <v>0</v>
      </c>
      <c r="FZ48" s="162">
        <v>0</v>
      </c>
      <c r="GA48" s="161">
        <v>0</v>
      </c>
      <c r="GB48" s="156">
        <v>0</v>
      </c>
      <c r="GC48" s="156">
        <v>0</v>
      </c>
      <c r="GD48" s="156">
        <v>0</v>
      </c>
      <c r="GE48" s="156">
        <v>0</v>
      </c>
      <c r="GF48" s="162">
        <v>0</v>
      </c>
      <c r="GG48" s="158">
        <v>9.5535714285714111</v>
      </c>
      <c r="GH48" s="162">
        <v>56</v>
      </c>
      <c r="GI48" s="155">
        <v>0.97014925373134275</v>
      </c>
      <c r="GJ48" s="156">
        <v>2.9850746268656674E-2</v>
      </c>
      <c r="GK48" s="156">
        <v>0</v>
      </c>
      <c r="GL48" s="156">
        <v>0</v>
      </c>
      <c r="GM48" s="156">
        <v>0</v>
      </c>
      <c r="GN48" s="162">
        <v>67</v>
      </c>
      <c r="GO48" s="155">
        <v>0.71212121212121127</v>
      </c>
      <c r="GP48" s="156">
        <v>0.15151515151515116</v>
      </c>
      <c r="GQ48" s="156">
        <v>7.5757575757575579E-2</v>
      </c>
      <c r="GR48" s="156">
        <v>0.12121212121212108</v>
      </c>
      <c r="GS48" s="162">
        <v>66</v>
      </c>
      <c r="GT48" s="163">
        <v>3.3030303030303041</v>
      </c>
      <c r="GU48" s="162">
        <v>66</v>
      </c>
      <c r="GV48" s="155">
        <v>0.88235294117646934</v>
      </c>
      <c r="GW48" s="156">
        <v>0.11764705882352935</v>
      </c>
      <c r="GX48" s="162">
        <v>34</v>
      </c>
      <c r="GY48" s="155">
        <v>0.92499999999999982</v>
      </c>
      <c r="GZ48" s="156">
        <v>7.4999999999999983E-2</v>
      </c>
      <c r="HA48" s="162">
        <v>40</v>
      </c>
      <c r="HB48" s="155">
        <v>0.94736842105263275</v>
      </c>
      <c r="HC48" s="156">
        <v>5.2631578947368265E-2</v>
      </c>
      <c r="HD48" s="162">
        <v>57</v>
      </c>
      <c r="HE48" s="161">
        <v>0.89999999999999991</v>
      </c>
      <c r="HF48" s="156">
        <v>9.9999999999999978E-2</v>
      </c>
      <c r="HG48" s="162">
        <v>40</v>
      </c>
      <c r="HH48" s="155">
        <v>0.56716417910447603</v>
      </c>
      <c r="HI48" s="156">
        <v>0.43283582089552097</v>
      </c>
      <c r="HJ48" s="162">
        <v>67</v>
      </c>
      <c r="HK48" s="155">
        <v>0.98333333333333262</v>
      </c>
      <c r="HL48" s="156">
        <v>1.6666666666666673E-2</v>
      </c>
      <c r="HM48" s="162">
        <v>60</v>
      </c>
      <c r="HN48" s="161">
        <v>1.7241379310344796E-2</v>
      </c>
      <c r="HO48" s="156">
        <v>8.6206896551724019E-2</v>
      </c>
      <c r="HP48" s="156">
        <v>0.36206896551724144</v>
      </c>
      <c r="HQ48" s="156">
        <v>0.41379310344827486</v>
      </c>
      <c r="HR48" s="156">
        <v>0.12068965517241369</v>
      </c>
      <c r="HS48" s="160">
        <v>62.310344827586079</v>
      </c>
      <c r="HT48" s="164">
        <v>58</v>
      </c>
      <c r="HU48" s="165">
        <v>7.1428571428571425E-2</v>
      </c>
      <c r="HV48" s="166">
        <v>7.1428571428571425E-2</v>
      </c>
      <c r="HW48" s="166">
        <v>0</v>
      </c>
      <c r="HX48" s="166">
        <v>0.10714285714285714</v>
      </c>
      <c r="HY48" s="166">
        <v>8.9285714285714288E-2</v>
      </c>
      <c r="HZ48" s="166">
        <v>7.1428571428571425E-2</v>
      </c>
      <c r="IA48" s="166">
        <v>7.1428571428571425E-2</v>
      </c>
      <c r="IB48" s="166">
        <v>0.10714285714285714</v>
      </c>
      <c r="IC48" s="166">
        <v>0.19642857142857142</v>
      </c>
      <c r="ID48" s="166">
        <v>0.21428571428571427</v>
      </c>
      <c r="IE48" s="167">
        <v>56</v>
      </c>
      <c r="IF48" s="155">
        <v>0</v>
      </c>
      <c r="IG48" s="156">
        <v>0</v>
      </c>
      <c r="IH48" s="156">
        <v>0</v>
      </c>
      <c r="II48" s="156">
        <v>0</v>
      </c>
      <c r="IJ48" s="156">
        <v>0</v>
      </c>
      <c r="IK48" s="162">
        <v>0</v>
      </c>
      <c r="IL48" s="155">
        <v>0</v>
      </c>
      <c r="IM48" s="156">
        <v>0</v>
      </c>
      <c r="IN48" s="156">
        <v>0</v>
      </c>
      <c r="IO48" s="156">
        <v>1</v>
      </c>
      <c r="IP48" s="156">
        <v>0</v>
      </c>
      <c r="IQ48" s="162">
        <v>64</v>
      </c>
      <c r="IR48" s="155">
        <v>0.12499999999999993</v>
      </c>
      <c r="IS48" s="156">
        <v>0.87499999999999989</v>
      </c>
      <c r="IT48" s="162">
        <v>64</v>
      </c>
      <c r="IU48" s="161">
        <v>0</v>
      </c>
      <c r="IV48" s="156">
        <v>0</v>
      </c>
      <c r="IW48" s="156">
        <v>1</v>
      </c>
      <c r="IX48" s="162">
        <v>8</v>
      </c>
    </row>
    <row r="49" spans="1:258" ht="32.1" customHeight="1" x14ac:dyDescent="0.25">
      <c r="A49" s="110" t="s">
        <v>453</v>
      </c>
      <c r="B49" s="108" t="s">
        <v>582</v>
      </c>
      <c r="C49" s="108" t="s">
        <v>457</v>
      </c>
      <c r="D49" s="109">
        <v>159</v>
      </c>
      <c r="E49" s="139" t="s">
        <v>499</v>
      </c>
      <c r="F49" s="155">
        <v>0.28888888888888892</v>
      </c>
      <c r="G49" s="156">
        <v>0.71111111111111003</v>
      </c>
      <c r="H49" s="157">
        <v>45</v>
      </c>
      <c r="I49" s="155">
        <v>0.84374999999999989</v>
      </c>
      <c r="J49" s="156">
        <v>0.15624999999999997</v>
      </c>
      <c r="K49" s="157">
        <v>32</v>
      </c>
      <c r="L49" s="155">
        <v>0.48</v>
      </c>
      <c r="M49" s="156">
        <v>0.52</v>
      </c>
      <c r="N49" s="157">
        <v>25</v>
      </c>
      <c r="O49" s="155">
        <v>0.44444444444444398</v>
      </c>
      <c r="P49" s="156">
        <v>8.8888888888888906E-2</v>
      </c>
      <c r="Q49" s="156">
        <v>2.2222222222222227E-2</v>
      </c>
      <c r="R49" s="156">
        <v>2.2222222222222227E-2</v>
      </c>
      <c r="S49" s="156">
        <v>0.17777777777777781</v>
      </c>
      <c r="T49" s="156">
        <v>2.2222222222222227E-2</v>
      </c>
      <c r="U49" s="156">
        <v>4.4444444444444453E-2</v>
      </c>
      <c r="V49" s="156">
        <v>0.17777777777777781</v>
      </c>
      <c r="W49" s="156">
        <v>0.13333333333333316</v>
      </c>
      <c r="X49" s="156">
        <v>0.15555555555555528</v>
      </c>
      <c r="Y49" s="157">
        <v>45</v>
      </c>
      <c r="Z49" s="155">
        <v>0.69047619047618991</v>
      </c>
      <c r="AA49" s="156">
        <v>0.66666666666666685</v>
      </c>
      <c r="AB49" s="156">
        <v>0.49999999999999978</v>
      </c>
      <c r="AC49" s="156">
        <v>0.45238095238095222</v>
      </c>
      <c r="AD49" s="156">
        <v>9.5238095238095219E-2</v>
      </c>
      <c r="AE49" s="156">
        <v>0.16666666666666671</v>
      </c>
      <c r="AF49" s="157">
        <v>42</v>
      </c>
      <c r="AG49" s="158">
        <v>9.9302325581395348</v>
      </c>
      <c r="AH49" s="159">
        <v>43</v>
      </c>
      <c r="AI49" s="160">
        <v>9.9545454545454426</v>
      </c>
      <c r="AJ49" s="159">
        <v>44</v>
      </c>
      <c r="AK49" s="160">
        <v>9.9523809523809508</v>
      </c>
      <c r="AL49" s="157">
        <v>42</v>
      </c>
      <c r="AM49" s="155">
        <v>0.80487804878048774</v>
      </c>
      <c r="AN49" s="156">
        <v>0.17073170731707291</v>
      </c>
      <c r="AO49" s="156">
        <v>2.4390243902439011E-2</v>
      </c>
      <c r="AP49" s="156">
        <v>0</v>
      </c>
      <c r="AQ49" s="156">
        <v>0</v>
      </c>
      <c r="AR49" s="157">
        <v>41</v>
      </c>
      <c r="AS49" s="155">
        <v>0.74999999999999989</v>
      </c>
      <c r="AT49" s="156">
        <v>0.18181818181818157</v>
      </c>
      <c r="AU49" s="156">
        <v>4.5454545454545393E-2</v>
      </c>
      <c r="AV49" s="156">
        <v>2.2727272727272697E-2</v>
      </c>
      <c r="AW49" s="156">
        <v>0</v>
      </c>
      <c r="AX49" s="157">
        <v>44</v>
      </c>
      <c r="AY49" s="155">
        <v>0.78048780487804836</v>
      </c>
      <c r="AZ49" s="156">
        <v>0.17073170731707291</v>
      </c>
      <c r="BA49" s="156">
        <v>4.8780487804878023E-2</v>
      </c>
      <c r="BB49" s="156">
        <v>0</v>
      </c>
      <c r="BC49" s="156">
        <v>0</v>
      </c>
      <c r="BD49" s="157">
        <v>41</v>
      </c>
      <c r="BE49" s="155">
        <v>0.86363636363636398</v>
      </c>
      <c r="BF49" s="156">
        <v>0.13636363636363627</v>
      </c>
      <c r="BG49" s="156">
        <v>0</v>
      </c>
      <c r="BH49" s="156">
        <v>0</v>
      </c>
      <c r="BI49" s="156">
        <v>0</v>
      </c>
      <c r="BJ49" s="157">
        <v>44</v>
      </c>
      <c r="BK49" s="155">
        <v>0.84999999999999987</v>
      </c>
      <c r="BL49" s="156">
        <v>7.4999999999999997E-2</v>
      </c>
      <c r="BM49" s="156">
        <v>4.9999999999999989E-2</v>
      </c>
      <c r="BN49" s="156">
        <v>2.4999999999999994E-2</v>
      </c>
      <c r="BO49" s="156">
        <v>0</v>
      </c>
      <c r="BP49" s="157">
        <v>40</v>
      </c>
      <c r="BQ49" s="155">
        <v>0.88095238095238093</v>
      </c>
      <c r="BR49" s="156">
        <v>0.11904761904761911</v>
      </c>
      <c r="BS49" s="156">
        <v>0</v>
      </c>
      <c r="BT49" s="156">
        <v>0</v>
      </c>
      <c r="BU49" s="156">
        <v>0</v>
      </c>
      <c r="BV49" s="157">
        <v>42</v>
      </c>
      <c r="BW49" s="161">
        <v>0.81481481481481399</v>
      </c>
      <c r="BX49" s="156">
        <v>0.14814814814814817</v>
      </c>
      <c r="BY49" s="156">
        <v>3.7037037037037042E-2</v>
      </c>
      <c r="BZ49" s="156">
        <v>0</v>
      </c>
      <c r="CA49" s="156">
        <v>0</v>
      </c>
      <c r="CB49" s="157">
        <v>27</v>
      </c>
      <c r="CC49" s="155">
        <v>0.9375</v>
      </c>
      <c r="CD49" s="156">
        <v>6.2500000000000014E-2</v>
      </c>
      <c r="CE49" s="156">
        <v>0</v>
      </c>
      <c r="CF49" s="156">
        <v>0</v>
      </c>
      <c r="CG49" s="156">
        <v>0</v>
      </c>
      <c r="CH49" s="162">
        <v>16</v>
      </c>
      <c r="CI49" s="155">
        <v>0.92307692307692335</v>
      </c>
      <c r="CJ49" s="156">
        <v>7.6923076923076955E-2</v>
      </c>
      <c r="CK49" s="156">
        <v>0</v>
      </c>
      <c r="CL49" s="156">
        <v>0</v>
      </c>
      <c r="CM49" s="156">
        <v>0</v>
      </c>
      <c r="CN49" s="162">
        <v>13</v>
      </c>
      <c r="CO49" s="155">
        <v>0.76</v>
      </c>
      <c r="CP49" s="156">
        <v>0.20000000000000004</v>
      </c>
      <c r="CQ49" s="156">
        <v>0</v>
      </c>
      <c r="CR49" s="156">
        <v>4.0000000000000008E-2</v>
      </c>
      <c r="CS49" s="156">
        <v>0</v>
      </c>
      <c r="CT49" s="162">
        <v>25</v>
      </c>
      <c r="CU49" s="155">
        <v>0.70370370370370394</v>
      </c>
      <c r="CV49" s="156">
        <v>0.25925925925925941</v>
      </c>
      <c r="CW49" s="156">
        <v>3.7037037037037042E-2</v>
      </c>
      <c r="CX49" s="156">
        <v>0</v>
      </c>
      <c r="CY49" s="156">
        <v>0</v>
      </c>
      <c r="CZ49" s="162">
        <v>27</v>
      </c>
      <c r="DA49" s="155">
        <v>0.75</v>
      </c>
      <c r="DB49" s="156">
        <v>0.25000000000000006</v>
      </c>
      <c r="DC49" s="156">
        <v>0</v>
      </c>
      <c r="DD49" s="156">
        <v>0</v>
      </c>
      <c r="DE49" s="156">
        <v>0</v>
      </c>
      <c r="DF49" s="162">
        <v>16</v>
      </c>
      <c r="DG49" s="155">
        <v>0.75</v>
      </c>
      <c r="DH49" s="156">
        <v>0.25000000000000006</v>
      </c>
      <c r="DI49" s="156">
        <v>0</v>
      </c>
      <c r="DJ49" s="156">
        <v>0</v>
      </c>
      <c r="DK49" s="156">
        <v>0</v>
      </c>
      <c r="DL49" s="162">
        <v>16</v>
      </c>
      <c r="DM49" s="155">
        <v>0.53846153846153821</v>
      </c>
      <c r="DN49" s="156">
        <v>0.30769230769230782</v>
      </c>
      <c r="DO49" s="156">
        <v>7.6923076923076955E-2</v>
      </c>
      <c r="DP49" s="156">
        <v>7.6923076923076955E-2</v>
      </c>
      <c r="DQ49" s="156">
        <v>0</v>
      </c>
      <c r="DR49" s="162">
        <v>26</v>
      </c>
      <c r="DS49" s="161">
        <v>0.81818181818181879</v>
      </c>
      <c r="DT49" s="156">
        <v>0.13636363636363635</v>
      </c>
      <c r="DU49" s="156">
        <v>4.5454545454545518E-2</v>
      </c>
      <c r="DV49" s="156">
        <v>0</v>
      </c>
      <c r="DW49" s="156">
        <v>0</v>
      </c>
      <c r="DX49" s="162">
        <v>22</v>
      </c>
      <c r="DY49" s="155">
        <v>0.95121951219512124</v>
      </c>
      <c r="DZ49" s="156">
        <v>4.8780487804878023E-2</v>
      </c>
      <c r="EA49" s="156">
        <v>0</v>
      </c>
      <c r="EB49" s="156">
        <v>0</v>
      </c>
      <c r="EC49" s="156">
        <v>0</v>
      </c>
      <c r="ED49" s="162">
        <v>41</v>
      </c>
      <c r="EE49" s="155">
        <v>0.93333333333333401</v>
      </c>
      <c r="EF49" s="156">
        <v>6.6666666666666666E-2</v>
      </c>
      <c r="EG49" s="156">
        <v>0</v>
      </c>
      <c r="EH49" s="156">
        <v>0</v>
      </c>
      <c r="EI49" s="156">
        <v>0</v>
      </c>
      <c r="EJ49" s="162">
        <v>15</v>
      </c>
      <c r="EK49" s="155">
        <v>0.94117647058823461</v>
      </c>
      <c r="EL49" s="156">
        <v>5.8823529411764691E-2</v>
      </c>
      <c r="EM49" s="156">
        <v>0</v>
      </c>
      <c r="EN49" s="156">
        <v>0</v>
      </c>
      <c r="EO49" s="156">
        <v>0</v>
      </c>
      <c r="EP49" s="162">
        <v>17</v>
      </c>
      <c r="EQ49" s="155">
        <v>0.90322580645161343</v>
      </c>
      <c r="ER49" s="156">
        <v>6.4516129032257993E-2</v>
      </c>
      <c r="ES49" s="156">
        <v>3.2258064516128997E-2</v>
      </c>
      <c r="ET49" s="156">
        <v>0</v>
      </c>
      <c r="EU49" s="156">
        <v>0</v>
      </c>
      <c r="EV49" s="162">
        <v>31</v>
      </c>
      <c r="EW49" s="155">
        <v>0.94117647058823461</v>
      </c>
      <c r="EX49" s="156">
        <v>2.9411764705882332E-2</v>
      </c>
      <c r="EY49" s="156">
        <v>2.9411764705882332E-2</v>
      </c>
      <c r="EZ49" s="156">
        <v>0</v>
      </c>
      <c r="FA49" s="156">
        <v>0</v>
      </c>
      <c r="FB49" s="162">
        <v>34</v>
      </c>
      <c r="FC49" s="155">
        <v>0.75</v>
      </c>
      <c r="FD49" s="156">
        <v>0.25000000000000006</v>
      </c>
      <c r="FE49" s="156">
        <v>0</v>
      </c>
      <c r="FF49" s="156">
        <v>0</v>
      </c>
      <c r="FG49" s="156">
        <v>0</v>
      </c>
      <c r="FH49" s="162">
        <v>8</v>
      </c>
      <c r="FI49" s="161">
        <v>0.92307692307692335</v>
      </c>
      <c r="FJ49" s="156">
        <v>7.6923076923076955E-2</v>
      </c>
      <c r="FK49" s="156">
        <v>0</v>
      </c>
      <c r="FL49" s="156">
        <v>0</v>
      </c>
      <c r="FM49" s="156">
        <v>0</v>
      </c>
      <c r="FN49" s="162">
        <v>13</v>
      </c>
      <c r="FO49" s="155">
        <v>0</v>
      </c>
      <c r="FP49" s="156">
        <v>0</v>
      </c>
      <c r="FQ49" s="156">
        <v>0</v>
      </c>
      <c r="FR49" s="156">
        <v>0</v>
      </c>
      <c r="FS49" s="156">
        <v>0</v>
      </c>
      <c r="FT49" s="162">
        <v>0</v>
      </c>
      <c r="FU49" s="155">
        <v>0</v>
      </c>
      <c r="FV49" s="156">
        <v>0</v>
      </c>
      <c r="FW49" s="156">
        <v>0</v>
      </c>
      <c r="FX49" s="156">
        <v>0</v>
      </c>
      <c r="FY49" s="156">
        <v>0</v>
      </c>
      <c r="FZ49" s="162">
        <v>0</v>
      </c>
      <c r="GA49" s="161">
        <v>0</v>
      </c>
      <c r="GB49" s="156">
        <v>0</v>
      </c>
      <c r="GC49" s="156">
        <v>0</v>
      </c>
      <c r="GD49" s="156">
        <v>0</v>
      </c>
      <c r="GE49" s="156">
        <v>0</v>
      </c>
      <c r="GF49" s="162">
        <v>0</v>
      </c>
      <c r="GG49" s="158">
        <v>9.6590909090908941</v>
      </c>
      <c r="GH49" s="162">
        <v>44</v>
      </c>
      <c r="GI49" s="155">
        <v>0.48888888888888848</v>
      </c>
      <c r="GJ49" s="156">
        <v>0.26666666666666644</v>
      </c>
      <c r="GK49" s="156">
        <v>0.15555555555555545</v>
      </c>
      <c r="GL49" s="156">
        <v>2.2222222222222188E-2</v>
      </c>
      <c r="GM49" s="156">
        <v>6.6666666666666624E-2</v>
      </c>
      <c r="GN49" s="162">
        <v>45</v>
      </c>
      <c r="GO49" s="155">
        <v>0.68181818181818077</v>
      </c>
      <c r="GP49" s="156">
        <v>6.8181818181818205E-2</v>
      </c>
      <c r="GQ49" s="156">
        <v>0.13636363636363641</v>
      </c>
      <c r="GR49" s="156">
        <v>0.18181818181818168</v>
      </c>
      <c r="GS49" s="162">
        <v>44</v>
      </c>
      <c r="GT49" s="163">
        <v>3.4999999999999996</v>
      </c>
      <c r="GU49" s="162">
        <v>44</v>
      </c>
      <c r="GV49" s="155">
        <v>0.95</v>
      </c>
      <c r="GW49" s="156">
        <v>5.000000000000001E-2</v>
      </c>
      <c r="GX49" s="162">
        <v>20</v>
      </c>
      <c r="GY49" s="155">
        <v>1</v>
      </c>
      <c r="GZ49" s="156">
        <v>0</v>
      </c>
      <c r="HA49" s="162">
        <v>28</v>
      </c>
      <c r="HB49" s="155">
        <v>0.99999999999999989</v>
      </c>
      <c r="HC49" s="156">
        <v>0</v>
      </c>
      <c r="HD49" s="162">
        <v>33</v>
      </c>
      <c r="HE49" s="161">
        <v>0.96666666666666634</v>
      </c>
      <c r="HF49" s="156">
        <v>3.3333333333333333E-2</v>
      </c>
      <c r="HG49" s="162">
        <v>30</v>
      </c>
      <c r="HH49" s="155">
        <v>0.64999999999999991</v>
      </c>
      <c r="HI49" s="156">
        <v>0.34999999999999992</v>
      </c>
      <c r="HJ49" s="162">
        <v>40</v>
      </c>
      <c r="HK49" s="155">
        <v>1</v>
      </c>
      <c r="HL49" s="156">
        <v>0</v>
      </c>
      <c r="HM49" s="162">
        <v>37</v>
      </c>
      <c r="HN49" s="161">
        <v>0.29411764705882354</v>
      </c>
      <c r="HO49" s="156">
        <v>0.26470588235294124</v>
      </c>
      <c r="HP49" s="156">
        <v>0.23529411764705865</v>
      </c>
      <c r="HQ49" s="156">
        <v>0.2058823529411766</v>
      </c>
      <c r="HR49" s="156">
        <v>0</v>
      </c>
      <c r="HS49" s="160">
        <v>41.382352941176514</v>
      </c>
      <c r="HT49" s="164">
        <v>34</v>
      </c>
      <c r="HU49" s="165">
        <v>3.2258064516129031E-2</v>
      </c>
      <c r="HV49" s="166">
        <v>3.2258064516129031E-2</v>
      </c>
      <c r="HW49" s="166">
        <v>6.4516129032258063E-2</v>
      </c>
      <c r="HX49" s="166">
        <v>9.6774193548387094E-2</v>
      </c>
      <c r="HY49" s="166">
        <v>0.12903225806451613</v>
      </c>
      <c r="HZ49" s="166">
        <v>9.6774193548387094E-2</v>
      </c>
      <c r="IA49" s="166">
        <v>0.19354838709677419</v>
      </c>
      <c r="IB49" s="166">
        <v>9.6774193548387094E-2</v>
      </c>
      <c r="IC49" s="166">
        <v>3.2258064516129031E-2</v>
      </c>
      <c r="ID49" s="166">
        <v>0.22580645161290322</v>
      </c>
      <c r="IE49" s="167">
        <v>31</v>
      </c>
      <c r="IF49" s="155">
        <v>0</v>
      </c>
      <c r="IG49" s="156">
        <v>0</v>
      </c>
      <c r="IH49" s="156">
        <v>0.50000000000000011</v>
      </c>
      <c r="II49" s="156">
        <v>0.25000000000000006</v>
      </c>
      <c r="IJ49" s="156">
        <v>0.25000000000000006</v>
      </c>
      <c r="IK49" s="162">
        <v>4</v>
      </c>
      <c r="IL49" s="155">
        <v>7.692307692307683E-2</v>
      </c>
      <c r="IM49" s="156">
        <v>2.5641025641025651E-2</v>
      </c>
      <c r="IN49" s="156">
        <v>2.5641025641025651E-2</v>
      </c>
      <c r="IO49" s="156">
        <v>0.82051282051282082</v>
      </c>
      <c r="IP49" s="156">
        <v>5.1282051282051301E-2</v>
      </c>
      <c r="IQ49" s="162">
        <v>39</v>
      </c>
      <c r="IR49" s="155">
        <v>0.12499999999999999</v>
      </c>
      <c r="IS49" s="156">
        <v>0.87499999999999989</v>
      </c>
      <c r="IT49" s="162">
        <v>40</v>
      </c>
      <c r="IU49" s="161">
        <v>0</v>
      </c>
      <c r="IV49" s="156">
        <v>0</v>
      </c>
      <c r="IW49" s="156">
        <v>1</v>
      </c>
      <c r="IX49" s="162">
        <v>5</v>
      </c>
    </row>
    <row r="50" spans="1:258" ht="32.1" customHeight="1" x14ac:dyDescent="0.25">
      <c r="A50" s="110" t="s">
        <v>453</v>
      </c>
      <c r="B50" s="108" t="s">
        <v>576</v>
      </c>
      <c r="C50" s="108" t="s">
        <v>454</v>
      </c>
      <c r="D50" s="109">
        <v>160</v>
      </c>
      <c r="E50" s="139" t="s">
        <v>500</v>
      </c>
      <c r="F50" s="155">
        <v>0.24087591240876005</v>
      </c>
      <c r="G50" s="156">
        <v>0.75912408759124317</v>
      </c>
      <c r="H50" s="157">
        <v>137</v>
      </c>
      <c r="I50" s="155">
        <v>0.77777777777778068</v>
      </c>
      <c r="J50" s="156">
        <v>0.2222222222222221</v>
      </c>
      <c r="K50" s="157">
        <v>99</v>
      </c>
      <c r="L50" s="155">
        <v>0.55844155844155863</v>
      </c>
      <c r="M50" s="156">
        <v>0.44155844155844109</v>
      </c>
      <c r="N50" s="157">
        <v>77</v>
      </c>
      <c r="O50" s="155">
        <v>0.29787234042553273</v>
      </c>
      <c r="P50" s="156">
        <v>0.1418439716312061</v>
      </c>
      <c r="Q50" s="156">
        <v>0.24822695035461054</v>
      </c>
      <c r="R50" s="156">
        <v>2.836879432624119E-2</v>
      </c>
      <c r="S50" s="156">
        <v>0.43262411347517837</v>
      </c>
      <c r="T50" s="156">
        <v>8.5106382978723832E-2</v>
      </c>
      <c r="U50" s="156">
        <v>4.2553191489361916E-2</v>
      </c>
      <c r="V50" s="156">
        <v>8.5106382978723832E-2</v>
      </c>
      <c r="W50" s="156">
        <v>7.8014184397163303E-2</v>
      </c>
      <c r="X50" s="156">
        <v>0.13475177304964567</v>
      </c>
      <c r="Y50" s="157">
        <v>141</v>
      </c>
      <c r="Z50" s="155">
        <v>0.77099236641221558</v>
      </c>
      <c r="AA50" s="156">
        <v>0.37404580152671923</v>
      </c>
      <c r="AB50" s="156">
        <v>0.45801526717557495</v>
      </c>
      <c r="AC50" s="156">
        <v>0.53435114503817116</v>
      </c>
      <c r="AD50" s="156">
        <v>6.8702290076336173E-2</v>
      </c>
      <c r="AE50" s="156">
        <v>0.13740458015267235</v>
      </c>
      <c r="AF50" s="157">
        <v>131</v>
      </c>
      <c r="AG50" s="158">
        <v>9.7812499999999982</v>
      </c>
      <c r="AH50" s="159">
        <v>128</v>
      </c>
      <c r="AI50" s="160">
        <v>9.7692307692307381</v>
      </c>
      <c r="AJ50" s="159">
        <v>130</v>
      </c>
      <c r="AK50" s="160">
        <v>9.7967479674796483</v>
      </c>
      <c r="AL50" s="157">
        <v>123</v>
      </c>
      <c r="AM50" s="155">
        <v>0.43750000000000056</v>
      </c>
      <c r="AN50" s="156">
        <v>0.48437500000000056</v>
      </c>
      <c r="AO50" s="156">
        <v>3.9062500000000021E-2</v>
      </c>
      <c r="AP50" s="156">
        <v>3.9062500000000021E-2</v>
      </c>
      <c r="AQ50" s="156">
        <v>0</v>
      </c>
      <c r="AR50" s="157">
        <v>128</v>
      </c>
      <c r="AS50" s="155">
        <v>0.78676470588235503</v>
      </c>
      <c r="AT50" s="156">
        <v>0.19852941176470687</v>
      </c>
      <c r="AU50" s="156">
        <v>7.3529411764705899E-3</v>
      </c>
      <c r="AV50" s="156">
        <v>7.3529411764705899E-3</v>
      </c>
      <c r="AW50" s="156">
        <v>0</v>
      </c>
      <c r="AX50" s="157">
        <v>136</v>
      </c>
      <c r="AY50" s="155">
        <v>0.84671532846715625</v>
      </c>
      <c r="AZ50" s="156">
        <v>0.14598540145985445</v>
      </c>
      <c r="BA50" s="156">
        <v>7.299270072992704E-3</v>
      </c>
      <c r="BB50" s="156">
        <v>0</v>
      </c>
      <c r="BC50" s="156">
        <v>0</v>
      </c>
      <c r="BD50" s="157">
        <v>137</v>
      </c>
      <c r="BE50" s="155">
        <v>0.811594202898553</v>
      </c>
      <c r="BF50" s="156">
        <v>0.17391304347826148</v>
      </c>
      <c r="BG50" s="156">
        <v>7.2463768115942186E-3</v>
      </c>
      <c r="BH50" s="156">
        <v>7.2463768115942186E-3</v>
      </c>
      <c r="BI50" s="156">
        <v>0</v>
      </c>
      <c r="BJ50" s="157">
        <v>138</v>
      </c>
      <c r="BK50" s="155">
        <v>0.79838709677419251</v>
      </c>
      <c r="BL50" s="156">
        <v>0.19354838709677508</v>
      </c>
      <c r="BM50" s="156">
        <v>8.0645161290322839E-3</v>
      </c>
      <c r="BN50" s="156">
        <v>0</v>
      </c>
      <c r="BO50" s="156">
        <v>0</v>
      </c>
      <c r="BP50" s="157">
        <v>124</v>
      </c>
      <c r="BQ50" s="155">
        <v>0.87857142857143078</v>
      </c>
      <c r="BR50" s="156">
        <v>0.12142857142857162</v>
      </c>
      <c r="BS50" s="156">
        <v>0</v>
      </c>
      <c r="BT50" s="156">
        <v>0</v>
      </c>
      <c r="BU50" s="156">
        <v>0</v>
      </c>
      <c r="BV50" s="157">
        <v>140</v>
      </c>
      <c r="BW50" s="161">
        <v>0.61682242990654335</v>
      </c>
      <c r="BX50" s="156">
        <v>0.26168224299065501</v>
      </c>
      <c r="BY50" s="156">
        <v>4.6728971962617036E-2</v>
      </c>
      <c r="BZ50" s="156">
        <v>5.6074766355140193E-2</v>
      </c>
      <c r="CA50" s="156">
        <v>1.8691588785046696E-2</v>
      </c>
      <c r="CB50" s="157">
        <v>107</v>
      </c>
      <c r="CC50" s="155">
        <v>0.88059701492537112</v>
      </c>
      <c r="CD50" s="156">
        <v>8.9552238805970241E-2</v>
      </c>
      <c r="CE50" s="156">
        <v>2.9850746268656792E-2</v>
      </c>
      <c r="CF50" s="156">
        <v>0</v>
      </c>
      <c r="CG50" s="156">
        <v>0</v>
      </c>
      <c r="CH50" s="162">
        <v>67</v>
      </c>
      <c r="CI50" s="155">
        <v>0.63333333333333275</v>
      </c>
      <c r="CJ50" s="156">
        <v>0.29999999999999993</v>
      </c>
      <c r="CK50" s="156">
        <v>6.6666666666666513E-2</v>
      </c>
      <c r="CL50" s="156">
        <v>0</v>
      </c>
      <c r="CM50" s="156">
        <v>0</v>
      </c>
      <c r="CN50" s="162">
        <v>60</v>
      </c>
      <c r="CO50" s="155">
        <v>0.48648648648648518</v>
      </c>
      <c r="CP50" s="156">
        <v>0.39189189189189166</v>
      </c>
      <c r="CQ50" s="156">
        <v>6.7567567567567655E-2</v>
      </c>
      <c r="CR50" s="156">
        <v>5.4054054054054106E-2</v>
      </c>
      <c r="CS50" s="156">
        <v>0</v>
      </c>
      <c r="CT50" s="162">
        <v>74</v>
      </c>
      <c r="CU50" s="155">
        <v>0.51948051948052065</v>
      </c>
      <c r="CV50" s="156">
        <v>0.36363636363636315</v>
      </c>
      <c r="CW50" s="156">
        <v>6.4935064935065082E-2</v>
      </c>
      <c r="CX50" s="156">
        <v>5.1948051948052028E-2</v>
      </c>
      <c r="CY50" s="156">
        <v>0</v>
      </c>
      <c r="CZ50" s="162">
        <v>77</v>
      </c>
      <c r="DA50" s="155">
        <v>0.62745098039215685</v>
      </c>
      <c r="DB50" s="156">
        <v>0.29411764705882393</v>
      </c>
      <c r="DC50" s="156">
        <v>7.8431372549019607E-2</v>
      </c>
      <c r="DD50" s="156">
        <v>0</v>
      </c>
      <c r="DE50" s="156">
        <v>0</v>
      </c>
      <c r="DF50" s="162">
        <v>51</v>
      </c>
      <c r="DG50" s="155">
        <v>0.61904761904761685</v>
      </c>
      <c r="DH50" s="156">
        <v>0.2857142857142847</v>
      </c>
      <c r="DI50" s="156">
        <v>9.5238095238095469E-2</v>
      </c>
      <c r="DJ50" s="156">
        <v>0</v>
      </c>
      <c r="DK50" s="156">
        <v>0</v>
      </c>
      <c r="DL50" s="162">
        <v>42</v>
      </c>
      <c r="DM50" s="155">
        <v>0.78723404255319129</v>
      </c>
      <c r="DN50" s="156">
        <v>0.10638297872340439</v>
      </c>
      <c r="DO50" s="156">
        <v>8.5106382978723513E-2</v>
      </c>
      <c r="DP50" s="156">
        <v>2.1276595744680878E-2</v>
      </c>
      <c r="DQ50" s="156">
        <v>0</v>
      </c>
      <c r="DR50" s="162">
        <v>47</v>
      </c>
      <c r="DS50" s="161">
        <v>0.51282051282051067</v>
      </c>
      <c r="DT50" s="156">
        <v>0.3076923076923081</v>
      </c>
      <c r="DU50" s="156">
        <v>0.12820512820512767</v>
      </c>
      <c r="DV50" s="156">
        <v>5.128205128205119E-2</v>
      </c>
      <c r="DW50" s="156">
        <v>0</v>
      </c>
      <c r="DX50" s="162">
        <v>39</v>
      </c>
      <c r="DY50" s="155">
        <v>0.88721804511278468</v>
      </c>
      <c r="DZ50" s="156">
        <v>9.7744360902255953E-2</v>
      </c>
      <c r="EA50" s="156">
        <v>7.5187969924812147E-3</v>
      </c>
      <c r="EB50" s="156">
        <v>7.5187969924812147E-3</v>
      </c>
      <c r="EC50" s="156">
        <v>0</v>
      </c>
      <c r="ED50" s="162">
        <v>133</v>
      </c>
      <c r="EE50" s="155">
        <v>0.68656716417910491</v>
      </c>
      <c r="EF50" s="156">
        <v>0.26865671641790961</v>
      </c>
      <c r="EG50" s="156">
        <v>4.4776119402985121E-2</v>
      </c>
      <c r="EH50" s="156">
        <v>0</v>
      </c>
      <c r="EI50" s="156">
        <v>0</v>
      </c>
      <c r="EJ50" s="162">
        <v>67</v>
      </c>
      <c r="EK50" s="155">
        <v>0.7377049180327887</v>
      </c>
      <c r="EL50" s="156">
        <v>0.19672131147540928</v>
      </c>
      <c r="EM50" s="156">
        <v>6.5573770491803296E-2</v>
      </c>
      <c r="EN50" s="156">
        <v>0</v>
      </c>
      <c r="EO50" s="156">
        <v>0</v>
      </c>
      <c r="EP50" s="162">
        <v>61</v>
      </c>
      <c r="EQ50" s="155">
        <v>0.70238095238095399</v>
      </c>
      <c r="ER50" s="156">
        <v>0.19047619047619097</v>
      </c>
      <c r="ES50" s="156">
        <v>5.9523809523809604E-2</v>
      </c>
      <c r="ET50" s="156">
        <v>3.5714285714285657E-2</v>
      </c>
      <c r="EU50" s="156">
        <v>1.1904761904761935E-2</v>
      </c>
      <c r="EV50" s="162">
        <v>84</v>
      </c>
      <c r="EW50" s="155">
        <v>0.77777777777777546</v>
      </c>
      <c r="EX50" s="156">
        <v>0.16049382716049407</v>
      </c>
      <c r="EY50" s="156">
        <v>4.9382716049382616E-2</v>
      </c>
      <c r="EZ50" s="156">
        <v>1.2345679012345654E-2</v>
      </c>
      <c r="FA50" s="156">
        <v>0</v>
      </c>
      <c r="FB50" s="162">
        <v>81</v>
      </c>
      <c r="FC50" s="155">
        <v>0.51515151515151292</v>
      </c>
      <c r="FD50" s="156">
        <v>0.2727272727272736</v>
      </c>
      <c r="FE50" s="156">
        <v>0.12121212121212079</v>
      </c>
      <c r="FF50" s="156">
        <v>9.0909090909090787E-2</v>
      </c>
      <c r="FG50" s="156">
        <v>0</v>
      </c>
      <c r="FH50" s="162">
        <v>33</v>
      </c>
      <c r="FI50" s="161">
        <v>0.49999999999999994</v>
      </c>
      <c r="FJ50" s="156">
        <v>0.18181818181818163</v>
      </c>
      <c r="FK50" s="156">
        <v>0.2272727272727266</v>
      </c>
      <c r="FL50" s="156">
        <v>9.0909090909090814E-2</v>
      </c>
      <c r="FM50" s="156">
        <v>0</v>
      </c>
      <c r="FN50" s="162">
        <v>22</v>
      </c>
      <c r="FO50" s="155">
        <v>0</v>
      </c>
      <c r="FP50" s="156">
        <v>0</v>
      </c>
      <c r="FQ50" s="156">
        <v>0</v>
      </c>
      <c r="FR50" s="156">
        <v>0</v>
      </c>
      <c r="FS50" s="156">
        <v>0</v>
      </c>
      <c r="FT50" s="162">
        <v>0</v>
      </c>
      <c r="FU50" s="155">
        <v>0</v>
      </c>
      <c r="FV50" s="156">
        <v>0</v>
      </c>
      <c r="FW50" s="156">
        <v>0</v>
      </c>
      <c r="FX50" s="156">
        <v>0</v>
      </c>
      <c r="FY50" s="156">
        <v>0</v>
      </c>
      <c r="FZ50" s="162">
        <v>0</v>
      </c>
      <c r="GA50" s="161">
        <v>0</v>
      </c>
      <c r="GB50" s="156">
        <v>0</v>
      </c>
      <c r="GC50" s="156">
        <v>0</v>
      </c>
      <c r="GD50" s="156">
        <v>0</v>
      </c>
      <c r="GE50" s="156">
        <v>0</v>
      </c>
      <c r="GF50" s="162">
        <v>0</v>
      </c>
      <c r="GG50" s="158">
        <v>9.3524590163934374</v>
      </c>
      <c r="GH50" s="162">
        <v>122</v>
      </c>
      <c r="GI50" s="155">
        <v>0.56428571428571561</v>
      </c>
      <c r="GJ50" s="156">
        <v>0.26428571428571546</v>
      </c>
      <c r="GK50" s="156">
        <v>6.4285714285714446E-2</v>
      </c>
      <c r="GL50" s="156">
        <v>7.1428571428571369E-2</v>
      </c>
      <c r="GM50" s="156">
        <v>3.5714285714285691E-2</v>
      </c>
      <c r="GN50" s="162">
        <v>140</v>
      </c>
      <c r="GO50" s="155">
        <v>0.69343065693430961</v>
      </c>
      <c r="GP50" s="156">
        <v>0.16788321167883308</v>
      </c>
      <c r="GQ50" s="156">
        <v>7.299270072992721E-2</v>
      </c>
      <c r="GR50" s="156">
        <v>0.11678832116788325</v>
      </c>
      <c r="GS50" s="162">
        <v>137</v>
      </c>
      <c r="GT50" s="163">
        <v>2.9629629629629735</v>
      </c>
      <c r="GU50" s="162">
        <v>135</v>
      </c>
      <c r="GV50" s="155">
        <v>0.95454545454545536</v>
      </c>
      <c r="GW50" s="156">
        <v>4.5454545454545393E-2</v>
      </c>
      <c r="GX50" s="162">
        <v>44</v>
      </c>
      <c r="GY50" s="155">
        <v>0.9736842105263166</v>
      </c>
      <c r="GZ50" s="156">
        <v>2.6315789473684233E-2</v>
      </c>
      <c r="HA50" s="162">
        <v>76</v>
      </c>
      <c r="HB50" s="155">
        <v>0.93043478260869816</v>
      </c>
      <c r="HC50" s="156">
        <v>6.9565217391304668E-2</v>
      </c>
      <c r="HD50" s="162">
        <v>115</v>
      </c>
      <c r="HE50" s="161">
        <v>0.92207792207792039</v>
      </c>
      <c r="HF50" s="156">
        <v>7.792207792207799E-2</v>
      </c>
      <c r="HG50" s="162">
        <v>77</v>
      </c>
      <c r="HH50" s="155">
        <v>0.57142857142857106</v>
      </c>
      <c r="HI50" s="156">
        <v>0.4285714285714306</v>
      </c>
      <c r="HJ50" s="162">
        <v>126</v>
      </c>
      <c r="HK50" s="155">
        <v>1</v>
      </c>
      <c r="HL50" s="156">
        <v>0</v>
      </c>
      <c r="HM50" s="162">
        <v>125</v>
      </c>
      <c r="HN50" s="161">
        <v>1.7241379310344827E-2</v>
      </c>
      <c r="HO50" s="156">
        <v>0.18103448275862141</v>
      </c>
      <c r="HP50" s="156">
        <v>0.25000000000000011</v>
      </c>
      <c r="HQ50" s="156">
        <v>0.32758620689655266</v>
      </c>
      <c r="HR50" s="156">
        <v>0.2241379310344836</v>
      </c>
      <c r="HS50" s="160">
        <v>60.689655172413879</v>
      </c>
      <c r="HT50" s="164">
        <v>116</v>
      </c>
      <c r="HU50" s="165">
        <v>0</v>
      </c>
      <c r="HV50" s="166">
        <v>1.9230769230769232E-2</v>
      </c>
      <c r="HW50" s="166">
        <v>3.8461538461538464E-2</v>
      </c>
      <c r="HX50" s="166">
        <v>1.9230769230769232E-2</v>
      </c>
      <c r="HY50" s="166">
        <v>8.6538461538461536E-2</v>
      </c>
      <c r="HZ50" s="166">
        <v>9.6153846153846159E-2</v>
      </c>
      <c r="IA50" s="166">
        <v>5.7692307692307696E-2</v>
      </c>
      <c r="IB50" s="166">
        <v>0.22115384615384615</v>
      </c>
      <c r="IC50" s="166">
        <v>0.19230769230769232</v>
      </c>
      <c r="ID50" s="166">
        <v>0.26923076923076922</v>
      </c>
      <c r="IE50" s="167">
        <v>104</v>
      </c>
      <c r="IF50" s="155">
        <v>0</v>
      </c>
      <c r="IG50" s="156">
        <v>0.14285714285714263</v>
      </c>
      <c r="IH50" s="156">
        <v>0.28571428571428525</v>
      </c>
      <c r="II50" s="156">
        <v>0.14285714285714263</v>
      </c>
      <c r="IJ50" s="156">
        <v>0.42857142857142888</v>
      </c>
      <c r="IK50" s="162">
        <v>7</v>
      </c>
      <c r="IL50" s="155">
        <v>3.2786885245901669E-2</v>
      </c>
      <c r="IM50" s="156">
        <v>0</v>
      </c>
      <c r="IN50" s="156">
        <v>2.4590163934426323E-2</v>
      </c>
      <c r="IO50" s="156">
        <v>0.94262295081967329</v>
      </c>
      <c r="IP50" s="156">
        <v>0</v>
      </c>
      <c r="IQ50" s="162">
        <v>122</v>
      </c>
      <c r="IR50" s="155">
        <v>0.10483870967741953</v>
      </c>
      <c r="IS50" s="156">
        <v>0.89516129032258041</v>
      </c>
      <c r="IT50" s="162">
        <v>124</v>
      </c>
      <c r="IU50" s="161">
        <v>0</v>
      </c>
      <c r="IV50" s="156">
        <v>7.6923076923076941E-2</v>
      </c>
      <c r="IW50" s="156">
        <v>0.92307692307692291</v>
      </c>
      <c r="IX50" s="162">
        <v>13</v>
      </c>
    </row>
    <row r="51" spans="1:258" ht="32.1" customHeight="1" x14ac:dyDescent="0.25">
      <c r="A51" s="110" t="s">
        <v>453</v>
      </c>
      <c r="B51" s="108" t="s">
        <v>584</v>
      </c>
      <c r="C51" s="108" t="s">
        <v>454</v>
      </c>
      <c r="D51" s="109">
        <v>166</v>
      </c>
      <c r="E51" s="139" t="s">
        <v>501</v>
      </c>
      <c r="F51" s="155">
        <v>0.11594202898550739</v>
      </c>
      <c r="G51" s="156">
        <v>0.88405797101449268</v>
      </c>
      <c r="H51" s="157">
        <v>69</v>
      </c>
      <c r="I51" s="155">
        <v>0.89655172413793172</v>
      </c>
      <c r="J51" s="156">
        <v>0.10344827586206896</v>
      </c>
      <c r="K51" s="157">
        <v>58</v>
      </c>
      <c r="L51" s="155">
        <v>0.61999999999999988</v>
      </c>
      <c r="M51" s="156">
        <v>0.37999999999999995</v>
      </c>
      <c r="N51" s="157">
        <v>50</v>
      </c>
      <c r="O51" s="155">
        <v>0.12857142857142873</v>
      </c>
      <c r="P51" s="156">
        <v>0.12857142857142873</v>
      </c>
      <c r="Q51" s="156">
        <v>0.45714285714285641</v>
      </c>
      <c r="R51" s="156">
        <v>5.7142857142857266E-2</v>
      </c>
      <c r="S51" s="156">
        <v>0.4714285714285717</v>
      </c>
      <c r="T51" s="156">
        <v>2.8571428571428633E-2</v>
      </c>
      <c r="U51" s="156">
        <v>0</v>
      </c>
      <c r="V51" s="156">
        <v>0.11428571428571453</v>
      </c>
      <c r="W51" s="156">
        <v>8.5714285714285687E-2</v>
      </c>
      <c r="X51" s="156">
        <v>9.9999999999999881E-2</v>
      </c>
      <c r="Y51" s="157">
        <v>70</v>
      </c>
      <c r="Z51" s="155">
        <v>0.62295081967213162</v>
      </c>
      <c r="AA51" s="156">
        <v>0.27868852459016363</v>
      </c>
      <c r="AB51" s="156">
        <v>0.50819672131147509</v>
      </c>
      <c r="AC51" s="156">
        <v>0.32786885245901598</v>
      </c>
      <c r="AD51" s="156">
        <v>1.6393442622950831E-2</v>
      </c>
      <c r="AE51" s="156">
        <v>0.21311475409836028</v>
      </c>
      <c r="AF51" s="157">
        <v>61</v>
      </c>
      <c r="AG51" s="158">
        <v>9.7999999999999883</v>
      </c>
      <c r="AH51" s="159">
        <v>65</v>
      </c>
      <c r="AI51" s="160">
        <v>9.8484848484848406</v>
      </c>
      <c r="AJ51" s="159">
        <v>66</v>
      </c>
      <c r="AK51" s="160">
        <v>9.7187499999999982</v>
      </c>
      <c r="AL51" s="157">
        <v>64</v>
      </c>
      <c r="AM51" s="155">
        <v>0.36363636363636348</v>
      </c>
      <c r="AN51" s="156">
        <v>0.39393939393939453</v>
      </c>
      <c r="AO51" s="156">
        <v>0.1363636363636363</v>
      </c>
      <c r="AP51" s="156">
        <v>9.0909090909091106E-2</v>
      </c>
      <c r="AQ51" s="156">
        <v>1.5151515151515155E-2</v>
      </c>
      <c r="AR51" s="157">
        <v>66</v>
      </c>
      <c r="AS51" s="155">
        <v>0.76119402985074802</v>
      </c>
      <c r="AT51" s="156">
        <v>0.23880597014925356</v>
      </c>
      <c r="AU51" s="156">
        <v>0</v>
      </c>
      <c r="AV51" s="156">
        <v>0</v>
      </c>
      <c r="AW51" s="156">
        <v>0</v>
      </c>
      <c r="AX51" s="157">
        <v>67</v>
      </c>
      <c r="AY51" s="155">
        <v>0.80000000000000027</v>
      </c>
      <c r="AZ51" s="156">
        <v>0.20000000000000004</v>
      </c>
      <c r="BA51" s="156">
        <v>0</v>
      </c>
      <c r="BB51" s="156">
        <v>0</v>
      </c>
      <c r="BC51" s="156">
        <v>0</v>
      </c>
      <c r="BD51" s="157">
        <v>70</v>
      </c>
      <c r="BE51" s="155">
        <v>0.89855072463768082</v>
      </c>
      <c r="BF51" s="156">
        <v>0.10144927536231879</v>
      </c>
      <c r="BG51" s="156">
        <v>0</v>
      </c>
      <c r="BH51" s="156">
        <v>0</v>
      </c>
      <c r="BI51" s="156">
        <v>0</v>
      </c>
      <c r="BJ51" s="157">
        <v>69</v>
      </c>
      <c r="BK51" s="155">
        <v>0.74603174603174649</v>
      </c>
      <c r="BL51" s="156">
        <v>0.2222222222222219</v>
      </c>
      <c r="BM51" s="156">
        <v>3.174603174603171E-2</v>
      </c>
      <c r="BN51" s="156">
        <v>0</v>
      </c>
      <c r="BO51" s="156">
        <v>0</v>
      </c>
      <c r="BP51" s="157">
        <v>63</v>
      </c>
      <c r="BQ51" s="155">
        <v>0.90000000000000013</v>
      </c>
      <c r="BR51" s="156">
        <v>8.571428571428566E-2</v>
      </c>
      <c r="BS51" s="156">
        <v>1.4285714285714301E-2</v>
      </c>
      <c r="BT51" s="156">
        <v>0</v>
      </c>
      <c r="BU51" s="156">
        <v>0</v>
      </c>
      <c r="BV51" s="157">
        <v>70</v>
      </c>
      <c r="BW51" s="161">
        <v>0.65789473684210487</v>
      </c>
      <c r="BX51" s="156">
        <v>0.21052631578947359</v>
      </c>
      <c r="BY51" s="156">
        <v>2.6315789473684199E-2</v>
      </c>
      <c r="BZ51" s="156">
        <v>7.8947368421052655E-2</v>
      </c>
      <c r="CA51" s="156">
        <v>2.6315789473684199E-2</v>
      </c>
      <c r="CB51" s="157">
        <v>38</v>
      </c>
      <c r="CC51" s="155">
        <v>0.66666666666666641</v>
      </c>
      <c r="CD51" s="156">
        <v>0.30303030303030276</v>
      </c>
      <c r="CE51" s="156">
        <v>3.0303030303030311E-2</v>
      </c>
      <c r="CF51" s="156">
        <v>0</v>
      </c>
      <c r="CG51" s="156">
        <v>0</v>
      </c>
      <c r="CH51" s="162">
        <v>33</v>
      </c>
      <c r="CI51" s="155">
        <v>0.41935483870967788</v>
      </c>
      <c r="CJ51" s="156">
        <v>0.35483870967741948</v>
      </c>
      <c r="CK51" s="156">
        <v>6.4516129032258063E-2</v>
      </c>
      <c r="CL51" s="156">
        <v>0.16129032258064527</v>
      </c>
      <c r="CM51" s="156">
        <v>0</v>
      </c>
      <c r="CN51" s="162">
        <v>31</v>
      </c>
      <c r="CO51" s="155">
        <v>0.2727272727272726</v>
      </c>
      <c r="CP51" s="156">
        <v>0.57575757575757536</v>
      </c>
      <c r="CQ51" s="156">
        <v>0.12121212121212124</v>
      </c>
      <c r="CR51" s="156">
        <v>3.0303030303030311E-2</v>
      </c>
      <c r="CS51" s="156">
        <v>0</v>
      </c>
      <c r="CT51" s="162">
        <v>33</v>
      </c>
      <c r="CU51" s="155">
        <v>0.32352941176470568</v>
      </c>
      <c r="CV51" s="156">
        <v>0.58823529411764763</v>
      </c>
      <c r="CW51" s="156">
        <v>8.8235294117647106E-2</v>
      </c>
      <c r="CX51" s="156">
        <v>0</v>
      </c>
      <c r="CY51" s="156">
        <v>0</v>
      </c>
      <c r="CZ51" s="162">
        <v>34</v>
      </c>
      <c r="DA51" s="155">
        <v>0.4285714285714281</v>
      </c>
      <c r="DB51" s="156">
        <v>0.33333333333333326</v>
      </c>
      <c r="DC51" s="156">
        <v>0.23809523809523839</v>
      </c>
      <c r="DD51" s="156">
        <v>0</v>
      </c>
      <c r="DE51" s="156">
        <v>0</v>
      </c>
      <c r="DF51" s="162">
        <v>21</v>
      </c>
      <c r="DG51" s="155">
        <v>0.45454545454545486</v>
      </c>
      <c r="DH51" s="156">
        <v>0.40909090909090956</v>
      </c>
      <c r="DI51" s="156">
        <v>0.13636363636363633</v>
      </c>
      <c r="DJ51" s="156">
        <v>0</v>
      </c>
      <c r="DK51" s="156">
        <v>0</v>
      </c>
      <c r="DL51" s="162">
        <v>22</v>
      </c>
      <c r="DM51" s="155">
        <v>0.40740740740740838</v>
      </c>
      <c r="DN51" s="156">
        <v>0.29629629629629611</v>
      </c>
      <c r="DO51" s="156">
        <v>0.11111111111111115</v>
      </c>
      <c r="DP51" s="156">
        <v>0.11111111111111115</v>
      </c>
      <c r="DQ51" s="156">
        <v>7.4074074074074028E-2</v>
      </c>
      <c r="DR51" s="162">
        <v>27</v>
      </c>
      <c r="DS51" s="161">
        <v>0.47619047619047677</v>
      </c>
      <c r="DT51" s="156">
        <v>0.28571428571428614</v>
      </c>
      <c r="DU51" s="156">
        <v>0.23809523809523839</v>
      </c>
      <c r="DV51" s="156">
        <v>0</v>
      </c>
      <c r="DW51" s="156">
        <v>0</v>
      </c>
      <c r="DX51" s="162">
        <v>21</v>
      </c>
      <c r="DY51" s="155">
        <v>0.78571428571428525</v>
      </c>
      <c r="DZ51" s="156">
        <v>0.21428571428571405</v>
      </c>
      <c r="EA51" s="156">
        <v>0</v>
      </c>
      <c r="EB51" s="156">
        <v>0</v>
      </c>
      <c r="EC51" s="156">
        <v>0</v>
      </c>
      <c r="ED51" s="162">
        <v>70</v>
      </c>
      <c r="EE51" s="155">
        <v>0.58823529411764763</v>
      </c>
      <c r="EF51" s="156">
        <v>0.35294117647058842</v>
      </c>
      <c r="EG51" s="156">
        <v>5.8823529411764677E-2</v>
      </c>
      <c r="EH51" s="156">
        <v>0</v>
      </c>
      <c r="EI51" s="156">
        <v>0</v>
      </c>
      <c r="EJ51" s="162">
        <v>34</v>
      </c>
      <c r="EK51" s="155">
        <v>0.67647058823529382</v>
      </c>
      <c r="EL51" s="156">
        <v>0.2647058823529414</v>
      </c>
      <c r="EM51" s="156">
        <v>5.8823529411764677E-2</v>
      </c>
      <c r="EN51" s="156">
        <v>0</v>
      </c>
      <c r="EO51" s="156">
        <v>0</v>
      </c>
      <c r="EP51" s="162">
        <v>34</v>
      </c>
      <c r="EQ51" s="155">
        <v>0.63636363636363569</v>
      </c>
      <c r="ER51" s="156">
        <v>0.27272727272727254</v>
      </c>
      <c r="ES51" s="156">
        <v>6.8181818181818135E-2</v>
      </c>
      <c r="ET51" s="156">
        <v>2.2727272727272721E-2</v>
      </c>
      <c r="EU51" s="156">
        <v>0</v>
      </c>
      <c r="EV51" s="162">
        <v>44</v>
      </c>
      <c r="EW51" s="155">
        <v>0.73170731707316949</v>
      </c>
      <c r="EX51" s="156">
        <v>0.2439024390243906</v>
      </c>
      <c r="EY51" s="156">
        <v>2.4390243902439015E-2</v>
      </c>
      <c r="EZ51" s="156">
        <v>0</v>
      </c>
      <c r="FA51" s="156">
        <v>0</v>
      </c>
      <c r="FB51" s="162">
        <v>41</v>
      </c>
      <c r="FC51" s="155">
        <v>0.57575757575757536</v>
      </c>
      <c r="FD51" s="156">
        <v>0.24242424242424249</v>
      </c>
      <c r="FE51" s="156">
        <v>0.18181818181818221</v>
      </c>
      <c r="FF51" s="156">
        <v>0</v>
      </c>
      <c r="FG51" s="156">
        <v>0</v>
      </c>
      <c r="FH51" s="162">
        <v>33</v>
      </c>
      <c r="FI51" s="161">
        <v>0.57894736842105332</v>
      </c>
      <c r="FJ51" s="156">
        <v>0.26315789473684181</v>
      </c>
      <c r="FK51" s="156">
        <v>5.2631578947368397E-2</v>
      </c>
      <c r="FL51" s="156">
        <v>0.10526315789473679</v>
      </c>
      <c r="FM51" s="156">
        <v>0</v>
      </c>
      <c r="FN51" s="162">
        <v>19</v>
      </c>
      <c r="FO51" s="155">
        <v>0</v>
      </c>
      <c r="FP51" s="156">
        <v>0</v>
      </c>
      <c r="FQ51" s="156">
        <v>0</v>
      </c>
      <c r="FR51" s="156">
        <v>0</v>
      </c>
      <c r="FS51" s="156">
        <v>0</v>
      </c>
      <c r="FT51" s="162">
        <v>0</v>
      </c>
      <c r="FU51" s="155">
        <v>0</v>
      </c>
      <c r="FV51" s="156">
        <v>0</v>
      </c>
      <c r="FW51" s="156">
        <v>0</v>
      </c>
      <c r="FX51" s="156">
        <v>0</v>
      </c>
      <c r="FY51" s="156">
        <v>0</v>
      </c>
      <c r="FZ51" s="162">
        <v>0</v>
      </c>
      <c r="GA51" s="161">
        <v>0</v>
      </c>
      <c r="GB51" s="156">
        <v>0</v>
      </c>
      <c r="GC51" s="156">
        <v>0</v>
      </c>
      <c r="GD51" s="156">
        <v>0</v>
      </c>
      <c r="GE51" s="156">
        <v>0</v>
      </c>
      <c r="GF51" s="162">
        <v>0</v>
      </c>
      <c r="GG51" s="158">
        <v>9.4375</v>
      </c>
      <c r="GH51" s="162">
        <v>64</v>
      </c>
      <c r="GI51" s="155">
        <v>0.48529411764705865</v>
      </c>
      <c r="GJ51" s="156">
        <v>0.32352941176470568</v>
      </c>
      <c r="GK51" s="156">
        <v>0.16176470588235284</v>
      </c>
      <c r="GL51" s="156">
        <v>1.4705882352941171E-2</v>
      </c>
      <c r="GM51" s="156">
        <v>1.4705882352941171E-2</v>
      </c>
      <c r="GN51" s="162">
        <v>68</v>
      </c>
      <c r="GO51" s="155">
        <v>0.52238805970149182</v>
      </c>
      <c r="GP51" s="156">
        <v>0.29850746268656675</v>
      </c>
      <c r="GQ51" s="156">
        <v>7.4626865671641909E-2</v>
      </c>
      <c r="GR51" s="156">
        <v>0.11940298507462703</v>
      </c>
      <c r="GS51" s="162">
        <v>67</v>
      </c>
      <c r="GT51" s="163">
        <v>2.9393939393939381</v>
      </c>
      <c r="GU51" s="162">
        <v>66</v>
      </c>
      <c r="GV51" s="155">
        <v>0.95833333333333248</v>
      </c>
      <c r="GW51" s="156">
        <v>4.1666666666666657E-2</v>
      </c>
      <c r="GX51" s="162">
        <v>24</v>
      </c>
      <c r="GY51" s="155">
        <v>1</v>
      </c>
      <c r="GZ51" s="156">
        <v>0</v>
      </c>
      <c r="HA51" s="162">
        <v>40</v>
      </c>
      <c r="HB51" s="155">
        <v>0.98245614035087769</v>
      </c>
      <c r="HC51" s="156">
        <v>1.7543859649122771E-2</v>
      </c>
      <c r="HD51" s="162">
        <v>57</v>
      </c>
      <c r="HE51" s="161">
        <v>0.90697674418604723</v>
      </c>
      <c r="HF51" s="156">
        <v>9.3023255813953529E-2</v>
      </c>
      <c r="HG51" s="162">
        <v>43</v>
      </c>
      <c r="HH51" s="155">
        <v>0.39062499999999994</v>
      </c>
      <c r="HI51" s="156">
        <v>0.60937500000000011</v>
      </c>
      <c r="HJ51" s="162">
        <v>64</v>
      </c>
      <c r="HK51" s="155">
        <v>1</v>
      </c>
      <c r="HL51" s="156">
        <v>0</v>
      </c>
      <c r="HM51" s="162">
        <v>61</v>
      </c>
      <c r="HN51" s="161">
        <v>1.6666666666666684E-2</v>
      </c>
      <c r="HO51" s="156">
        <v>8.3333333333333301E-2</v>
      </c>
      <c r="HP51" s="156">
        <v>0.29999999999999993</v>
      </c>
      <c r="HQ51" s="156">
        <v>0.28333333333333305</v>
      </c>
      <c r="HR51" s="156">
        <v>0.31666666666666676</v>
      </c>
      <c r="HS51" s="160">
        <v>64.683333333333366</v>
      </c>
      <c r="HT51" s="164">
        <v>60</v>
      </c>
      <c r="HU51" s="165">
        <v>0</v>
      </c>
      <c r="HV51" s="166">
        <v>3.9215686274509803E-2</v>
      </c>
      <c r="HW51" s="166">
        <v>1.9607843137254902E-2</v>
      </c>
      <c r="HX51" s="166">
        <v>0.15686274509803921</v>
      </c>
      <c r="HY51" s="166">
        <v>0.15686274509803921</v>
      </c>
      <c r="HZ51" s="166">
        <v>0.17647058823529413</v>
      </c>
      <c r="IA51" s="166">
        <v>0.17647058823529413</v>
      </c>
      <c r="IB51" s="166">
        <v>7.8431372549019607E-2</v>
      </c>
      <c r="IC51" s="166">
        <v>0.11764705882352941</v>
      </c>
      <c r="ID51" s="166">
        <v>7.8431372549019607E-2</v>
      </c>
      <c r="IE51" s="167">
        <v>51</v>
      </c>
      <c r="IF51" s="155">
        <v>0</v>
      </c>
      <c r="IG51" s="156">
        <v>0</v>
      </c>
      <c r="IH51" s="156">
        <v>1</v>
      </c>
      <c r="II51" s="156">
        <v>0</v>
      </c>
      <c r="IJ51" s="156">
        <v>0</v>
      </c>
      <c r="IK51" s="162">
        <v>2</v>
      </c>
      <c r="IL51" s="155">
        <v>8.0645161290322634E-2</v>
      </c>
      <c r="IM51" s="156">
        <v>0</v>
      </c>
      <c r="IN51" s="156">
        <v>0</v>
      </c>
      <c r="IO51" s="156">
        <v>0.90322580645161266</v>
      </c>
      <c r="IP51" s="156">
        <v>1.6129032258064495E-2</v>
      </c>
      <c r="IQ51" s="162">
        <v>62</v>
      </c>
      <c r="IR51" s="155">
        <v>0.12903225806451596</v>
      </c>
      <c r="IS51" s="156">
        <v>0.87096774193548365</v>
      </c>
      <c r="IT51" s="162">
        <v>62</v>
      </c>
      <c r="IU51" s="161">
        <v>0</v>
      </c>
      <c r="IV51" s="156">
        <v>0</v>
      </c>
      <c r="IW51" s="156">
        <v>1</v>
      </c>
      <c r="IX51" s="162">
        <v>8</v>
      </c>
    </row>
    <row r="52" spans="1:258" ht="32.1" customHeight="1" x14ac:dyDescent="0.25">
      <c r="A52" s="110" t="s">
        <v>453</v>
      </c>
      <c r="B52" s="108" t="s">
        <v>572</v>
      </c>
      <c r="C52" s="108" t="s">
        <v>454</v>
      </c>
      <c r="D52" s="109">
        <v>168</v>
      </c>
      <c r="E52" s="139" t="s">
        <v>502</v>
      </c>
      <c r="F52" s="155">
        <v>0.2340425531914897</v>
      </c>
      <c r="G52" s="156">
        <v>0.76595744680851097</v>
      </c>
      <c r="H52" s="157">
        <v>47</v>
      </c>
      <c r="I52" s="155">
        <v>0.78787878787878851</v>
      </c>
      <c r="J52" s="156">
        <v>0.21212121212121235</v>
      </c>
      <c r="K52" s="157">
        <v>33</v>
      </c>
      <c r="L52" s="155">
        <v>0.73076923076923106</v>
      </c>
      <c r="M52" s="156">
        <v>0.26923076923076911</v>
      </c>
      <c r="N52" s="157">
        <v>26</v>
      </c>
      <c r="O52" s="155">
        <v>0.19148936170212777</v>
      </c>
      <c r="P52" s="156">
        <v>0.17021276595744703</v>
      </c>
      <c r="Q52" s="156">
        <v>0.42553191489361769</v>
      </c>
      <c r="R52" s="156">
        <v>4.255319148936175E-2</v>
      </c>
      <c r="S52" s="156">
        <v>0.38297872340425571</v>
      </c>
      <c r="T52" s="156">
        <v>4.255319148936175E-2</v>
      </c>
      <c r="U52" s="156">
        <v>0</v>
      </c>
      <c r="V52" s="156">
        <v>8.5106382978723499E-2</v>
      </c>
      <c r="W52" s="156">
        <v>6.3829787234042562E-2</v>
      </c>
      <c r="X52" s="156">
        <v>0.12765957446808512</v>
      </c>
      <c r="Y52" s="157">
        <v>47</v>
      </c>
      <c r="Z52" s="155">
        <v>0.68888888888888966</v>
      </c>
      <c r="AA52" s="156">
        <v>0.5333333333333341</v>
      </c>
      <c r="AB52" s="156">
        <v>0.46666666666666734</v>
      </c>
      <c r="AC52" s="156">
        <v>0.64444444444444504</v>
      </c>
      <c r="AD52" s="156">
        <v>8.8888888888888989E-2</v>
      </c>
      <c r="AE52" s="156">
        <v>0.20000000000000034</v>
      </c>
      <c r="AF52" s="157">
        <v>45</v>
      </c>
      <c r="AG52" s="158">
        <v>9.9574468085106531</v>
      </c>
      <c r="AH52" s="159">
        <v>47</v>
      </c>
      <c r="AI52" s="160">
        <v>9.9361702127659566</v>
      </c>
      <c r="AJ52" s="159">
        <v>47</v>
      </c>
      <c r="AK52" s="160">
        <v>9.9130434782608763</v>
      </c>
      <c r="AL52" s="157">
        <v>46</v>
      </c>
      <c r="AM52" s="155">
        <v>0.50000000000000022</v>
      </c>
      <c r="AN52" s="156">
        <v>0.43181818181818238</v>
      </c>
      <c r="AO52" s="156">
        <v>2.2727272727272766E-2</v>
      </c>
      <c r="AP52" s="156">
        <v>2.2727272727272766E-2</v>
      </c>
      <c r="AQ52" s="156">
        <v>2.2727272727272766E-2</v>
      </c>
      <c r="AR52" s="157">
        <v>44</v>
      </c>
      <c r="AS52" s="155">
        <v>0.8510638297872346</v>
      </c>
      <c r="AT52" s="156">
        <v>0.12765957446808518</v>
      </c>
      <c r="AU52" s="156">
        <v>2.1276595744680847E-2</v>
      </c>
      <c r="AV52" s="156">
        <v>0</v>
      </c>
      <c r="AW52" s="156">
        <v>0</v>
      </c>
      <c r="AX52" s="157">
        <v>47</v>
      </c>
      <c r="AY52" s="155">
        <v>0.93333333333333357</v>
      </c>
      <c r="AZ52" s="156">
        <v>6.6666666666666791E-2</v>
      </c>
      <c r="BA52" s="156">
        <v>0</v>
      </c>
      <c r="BB52" s="156">
        <v>0</v>
      </c>
      <c r="BC52" s="156">
        <v>0</v>
      </c>
      <c r="BD52" s="157">
        <v>45</v>
      </c>
      <c r="BE52" s="155">
        <v>0.93617021276595647</v>
      </c>
      <c r="BF52" s="156">
        <v>6.382978723404259E-2</v>
      </c>
      <c r="BG52" s="156">
        <v>0</v>
      </c>
      <c r="BH52" s="156">
        <v>0</v>
      </c>
      <c r="BI52" s="156">
        <v>0</v>
      </c>
      <c r="BJ52" s="157">
        <v>47</v>
      </c>
      <c r="BK52" s="155">
        <v>0.86363636363636465</v>
      </c>
      <c r="BL52" s="156">
        <v>0.13636363636363638</v>
      </c>
      <c r="BM52" s="156">
        <v>0</v>
      </c>
      <c r="BN52" s="156">
        <v>0</v>
      </c>
      <c r="BO52" s="156">
        <v>0</v>
      </c>
      <c r="BP52" s="157">
        <v>44</v>
      </c>
      <c r="BQ52" s="155">
        <v>1</v>
      </c>
      <c r="BR52" s="156">
        <v>0</v>
      </c>
      <c r="BS52" s="156">
        <v>0</v>
      </c>
      <c r="BT52" s="156">
        <v>0</v>
      </c>
      <c r="BU52" s="156">
        <v>0</v>
      </c>
      <c r="BV52" s="157">
        <v>47</v>
      </c>
      <c r="BW52" s="161">
        <v>0.64864864864864968</v>
      </c>
      <c r="BX52" s="156">
        <v>0.18918918918918951</v>
      </c>
      <c r="BY52" s="156">
        <v>2.7027027027027063E-2</v>
      </c>
      <c r="BZ52" s="156">
        <v>0.13513513513513531</v>
      </c>
      <c r="CA52" s="156">
        <v>0</v>
      </c>
      <c r="CB52" s="157">
        <v>37</v>
      </c>
      <c r="CC52" s="155">
        <v>0.71428571428571463</v>
      </c>
      <c r="CD52" s="156">
        <v>0.28571428571428586</v>
      </c>
      <c r="CE52" s="156">
        <v>0</v>
      </c>
      <c r="CF52" s="156">
        <v>0</v>
      </c>
      <c r="CG52" s="156">
        <v>0</v>
      </c>
      <c r="CH52" s="162">
        <v>21</v>
      </c>
      <c r="CI52" s="155">
        <v>0.42105263157894757</v>
      </c>
      <c r="CJ52" s="156">
        <v>0.52631578947368374</v>
      </c>
      <c r="CK52" s="156">
        <v>5.2631578947368432E-2</v>
      </c>
      <c r="CL52" s="156">
        <v>0</v>
      </c>
      <c r="CM52" s="156">
        <v>0</v>
      </c>
      <c r="CN52" s="162">
        <v>19</v>
      </c>
      <c r="CO52" s="155">
        <v>0.65625000000000011</v>
      </c>
      <c r="CP52" s="156">
        <v>0.28125000000000006</v>
      </c>
      <c r="CQ52" s="156">
        <v>6.2500000000000014E-2</v>
      </c>
      <c r="CR52" s="156">
        <v>0</v>
      </c>
      <c r="CS52" s="156">
        <v>0</v>
      </c>
      <c r="CT52" s="162">
        <v>32</v>
      </c>
      <c r="CU52" s="155">
        <v>0.64705882352941302</v>
      </c>
      <c r="CV52" s="156">
        <v>0.32352941176470651</v>
      </c>
      <c r="CW52" s="156">
        <v>2.9411764705882349E-2</v>
      </c>
      <c r="CX52" s="156">
        <v>0</v>
      </c>
      <c r="CY52" s="156">
        <v>0</v>
      </c>
      <c r="CZ52" s="162">
        <v>34</v>
      </c>
      <c r="DA52" s="155">
        <v>0.5</v>
      </c>
      <c r="DB52" s="156">
        <v>0.5</v>
      </c>
      <c r="DC52" s="156">
        <v>0</v>
      </c>
      <c r="DD52" s="156">
        <v>0</v>
      </c>
      <c r="DE52" s="156">
        <v>0</v>
      </c>
      <c r="DF52" s="162">
        <v>22</v>
      </c>
      <c r="DG52" s="155">
        <v>0.68421052631578871</v>
      </c>
      <c r="DH52" s="156">
        <v>0.31578947368421045</v>
      </c>
      <c r="DI52" s="156">
        <v>0</v>
      </c>
      <c r="DJ52" s="156">
        <v>0</v>
      </c>
      <c r="DK52" s="156">
        <v>0</v>
      </c>
      <c r="DL52" s="162">
        <v>19</v>
      </c>
      <c r="DM52" s="155">
        <v>0.75</v>
      </c>
      <c r="DN52" s="156">
        <v>0.19999999999999996</v>
      </c>
      <c r="DO52" s="156">
        <v>4.9999999999999989E-2</v>
      </c>
      <c r="DP52" s="156">
        <v>0</v>
      </c>
      <c r="DQ52" s="156">
        <v>0</v>
      </c>
      <c r="DR52" s="162">
        <v>20</v>
      </c>
      <c r="DS52" s="161">
        <v>0.86956521739130477</v>
      </c>
      <c r="DT52" s="156">
        <v>8.695652173913046E-2</v>
      </c>
      <c r="DU52" s="156">
        <v>4.347826086956523E-2</v>
      </c>
      <c r="DV52" s="156">
        <v>0</v>
      </c>
      <c r="DW52" s="156">
        <v>0</v>
      </c>
      <c r="DX52" s="162">
        <v>23</v>
      </c>
      <c r="DY52" s="155">
        <v>0.89361702127659559</v>
      </c>
      <c r="DZ52" s="156">
        <v>8.5106382978723388E-2</v>
      </c>
      <c r="EA52" s="156">
        <v>2.1276595744680847E-2</v>
      </c>
      <c r="EB52" s="156">
        <v>0</v>
      </c>
      <c r="EC52" s="156">
        <v>0</v>
      </c>
      <c r="ED52" s="162">
        <v>47</v>
      </c>
      <c r="EE52" s="155">
        <v>0.64285714285714235</v>
      </c>
      <c r="EF52" s="156">
        <v>0.35714285714285732</v>
      </c>
      <c r="EG52" s="156">
        <v>0</v>
      </c>
      <c r="EH52" s="156">
        <v>0</v>
      </c>
      <c r="EI52" s="156">
        <v>0</v>
      </c>
      <c r="EJ52" s="162">
        <v>14</v>
      </c>
      <c r="EK52" s="155">
        <v>0.71428571428571463</v>
      </c>
      <c r="EL52" s="156">
        <v>0.28571428571428586</v>
      </c>
      <c r="EM52" s="156">
        <v>0</v>
      </c>
      <c r="EN52" s="156">
        <v>0</v>
      </c>
      <c r="EO52" s="156">
        <v>0</v>
      </c>
      <c r="EP52" s="162">
        <v>14</v>
      </c>
      <c r="EQ52" s="155">
        <v>0.80000000000000016</v>
      </c>
      <c r="ER52" s="156">
        <v>0.17142857142857146</v>
      </c>
      <c r="ES52" s="156">
        <v>0</v>
      </c>
      <c r="ET52" s="156">
        <v>0</v>
      </c>
      <c r="EU52" s="156">
        <v>2.8571428571428598E-2</v>
      </c>
      <c r="EV52" s="162">
        <v>35</v>
      </c>
      <c r="EW52" s="155">
        <v>0.9090909090909095</v>
      </c>
      <c r="EX52" s="156">
        <v>9.0909090909091037E-2</v>
      </c>
      <c r="EY52" s="156">
        <v>0</v>
      </c>
      <c r="EZ52" s="156">
        <v>0</v>
      </c>
      <c r="FA52" s="156">
        <v>0</v>
      </c>
      <c r="FB52" s="162">
        <v>33</v>
      </c>
      <c r="FC52" s="155">
        <v>0.62499999999999989</v>
      </c>
      <c r="FD52" s="156">
        <v>0.37499999999999994</v>
      </c>
      <c r="FE52" s="156">
        <v>0</v>
      </c>
      <c r="FF52" s="156">
        <v>0</v>
      </c>
      <c r="FG52" s="156">
        <v>0</v>
      </c>
      <c r="FH52" s="162">
        <v>16</v>
      </c>
      <c r="FI52" s="161">
        <v>0.76923076923077005</v>
      </c>
      <c r="FJ52" s="156">
        <v>0.23076923076923084</v>
      </c>
      <c r="FK52" s="156">
        <v>0</v>
      </c>
      <c r="FL52" s="156">
        <v>0</v>
      </c>
      <c r="FM52" s="156">
        <v>0</v>
      </c>
      <c r="FN52" s="162">
        <v>13</v>
      </c>
      <c r="FO52" s="155">
        <v>0</v>
      </c>
      <c r="FP52" s="156">
        <v>0</v>
      </c>
      <c r="FQ52" s="156">
        <v>0</v>
      </c>
      <c r="FR52" s="156">
        <v>0</v>
      </c>
      <c r="FS52" s="156">
        <v>0</v>
      </c>
      <c r="FT52" s="162">
        <v>0</v>
      </c>
      <c r="FU52" s="155">
        <v>0</v>
      </c>
      <c r="FV52" s="156">
        <v>0</v>
      </c>
      <c r="FW52" s="156">
        <v>0</v>
      </c>
      <c r="FX52" s="156">
        <v>0</v>
      </c>
      <c r="FY52" s="156">
        <v>0</v>
      </c>
      <c r="FZ52" s="162">
        <v>0</v>
      </c>
      <c r="GA52" s="161">
        <v>0</v>
      </c>
      <c r="GB52" s="156">
        <v>0</v>
      </c>
      <c r="GC52" s="156">
        <v>0</v>
      </c>
      <c r="GD52" s="156">
        <v>0</v>
      </c>
      <c r="GE52" s="156">
        <v>0</v>
      </c>
      <c r="GF52" s="162">
        <v>0</v>
      </c>
      <c r="GG52" s="158">
        <v>9.6590909090909225</v>
      </c>
      <c r="GH52" s="162">
        <v>44</v>
      </c>
      <c r="GI52" s="155">
        <v>0.82608695652173969</v>
      </c>
      <c r="GJ52" s="156">
        <v>0.10869565217391312</v>
      </c>
      <c r="GK52" s="156">
        <v>2.1739130434782639E-2</v>
      </c>
      <c r="GL52" s="156">
        <v>2.1739130434782639E-2</v>
      </c>
      <c r="GM52" s="156">
        <v>2.1739130434782639E-2</v>
      </c>
      <c r="GN52" s="162">
        <v>46</v>
      </c>
      <c r="GO52" s="155">
        <v>0.56521739130434778</v>
      </c>
      <c r="GP52" s="156">
        <v>0.282608695652174</v>
      </c>
      <c r="GQ52" s="156">
        <v>0.1086956521739131</v>
      </c>
      <c r="GR52" s="156">
        <v>0.1086956521739131</v>
      </c>
      <c r="GS52" s="162">
        <v>46</v>
      </c>
      <c r="GT52" s="163">
        <v>3.3777777777777831</v>
      </c>
      <c r="GU52" s="162">
        <v>45</v>
      </c>
      <c r="GV52" s="155">
        <v>0.8</v>
      </c>
      <c r="GW52" s="156">
        <v>0.19999999999999996</v>
      </c>
      <c r="GX52" s="162">
        <v>15</v>
      </c>
      <c r="GY52" s="155">
        <v>0.9090909090909095</v>
      </c>
      <c r="GZ52" s="156">
        <v>9.0909090909090814E-2</v>
      </c>
      <c r="HA52" s="162">
        <v>22</v>
      </c>
      <c r="HB52" s="155">
        <v>0.97619047619047661</v>
      </c>
      <c r="HC52" s="156">
        <v>2.3809523809523805E-2</v>
      </c>
      <c r="HD52" s="162">
        <v>42</v>
      </c>
      <c r="HE52" s="161">
        <v>0.87878787878787945</v>
      </c>
      <c r="HF52" s="156">
        <v>0.12121212121212127</v>
      </c>
      <c r="HG52" s="162">
        <v>33</v>
      </c>
      <c r="HH52" s="155">
        <v>0.50000000000000022</v>
      </c>
      <c r="HI52" s="156">
        <v>0.50000000000000022</v>
      </c>
      <c r="HJ52" s="162">
        <v>44</v>
      </c>
      <c r="HK52" s="155">
        <v>0.9767441860465117</v>
      </c>
      <c r="HL52" s="156">
        <v>2.3255813953488372E-2</v>
      </c>
      <c r="HM52" s="162">
        <v>43</v>
      </c>
      <c r="HN52" s="161">
        <v>4.7619047619047609E-2</v>
      </c>
      <c r="HO52" s="156">
        <v>0.19047619047619047</v>
      </c>
      <c r="HP52" s="156">
        <v>0.2142857142857145</v>
      </c>
      <c r="HQ52" s="156">
        <v>0.40476190476190543</v>
      </c>
      <c r="HR52" s="156">
        <v>0.14285714285714302</v>
      </c>
      <c r="HS52" s="160">
        <v>59.904761904761934</v>
      </c>
      <c r="HT52" s="164">
        <v>42</v>
      </c>
      <c r="HU52" s="165">
        <v>2.7027027027027029E-2</v>
      </c>
      <c r="HV52" s="166">
        <v>2.7027027027027029E-2</v>
      </c>
      <c r="HW52" s="166">
        <v>8.1081081081081086E-2</v>
      </c>
      <c r="HX52" s="166">
        <v>8.1081081081081086E-2</v>
      </c>
      <c r="HY52" s="166">
        <v>8.1081081081081086E-2</v>
      </c>
      <c r="HZ52" s="166">
        <v>0.1891891891891892</v>
      </c>
      <c r="IA52" s="166">
        <v>0.16216216216216217</v>
      </c>
      <c r="IB52" s="166">
        <v>8.1081081081081086E-2</v>
      </c>
      <c r="IC52" s="166">
        <v>8.1081081081081086E-2</v>
      </c>
      <c r="ID52" s="166">
        <v>0.1891891891891892</v>
      </c>
      <c r="IE52" s="167">
        <v>37</v>
      </c>
      <c r="IF52" s="155">
        <v>0</v>
      </c>
      <c r="IG52" s="156">
        <v>0</v>
      </c>
      <c r="IH52" s="156">
        <v>1</v>
      </c>
      <c r="II52" s="156">
        <v>0</v>
      </c>
      <c r="IJ52" s="156">
        <v>0</v>
      </c>
      <c r="IK52" s="162">
        <v>1</v>
      </c>
      <c r="IL52" s="155">
        <v>0</v>
      </c>
      <c r="IM52" s="156">
        <v>0</v>
      </c>
      <c r="IN52" s="156">
        <v>0</v>
      </c>
      <c r="IO52" s="156">
        <v>0.9767441860465117</v>
      </c>
      <c r="IP52" s="156">
        <v>2.3255813953488372E-2</v>
      </c>
      <c r="IQ52" s="162">
        <v>43</v>
      </c>
      <c r="IR52" s="155">
        <v>7.6923076923076955E-2</v>
      </c>
      <c r="IS52" s="156">
        <v>0.92307692307692368</v>
      </c>
      <c r="IT52" s="162">
        <v>39</v>
      </c>
      <c r="IU52" s="161">
        <v>0</v>
      </c>
      <c r="IV52" s="156">
        <v>0</v>
      </c>
      <c r="IW52" s="156">
        <v>1</v>
      </c>
      <c r="IX52" s="162">
        <v>3</v>
      </c>
    </row>
    <row r="53" spans="1:258" ht="32.1" customHeight="1" x14ac:dyDescent="0.25">
      <c r="A53" s="110" t="s">
        <v>453</v>
      </c>
      <c r="B53" s="108" t="s">
        <v>576</v>
      </c>
      <c r="C53" s="108" t="s">
        <v>454</v>
      </c>
      <c r="D53" s="109">
        <v>176</v>
      </c>
      <c r="E53" s="139" t="s">
        <v>503</v>
      </c>
      <c r="F53" s="155">
        <v>0.10204081632653057</v>
      </c>
      <c r="G53" s="156">
        <v>0.89795918367346916</v>
      </c>
      <c r="H53" s="157">
        <v>49</v>
      </c>
      <c r="I53" s="155">
        <v>0.81395348837209314</v>
      </c>
      <c r="J53" s="156">
        <v>0.18604651162790678</v>
      </c>
      <c r="K53" s="157">
        <v>43</v>
      </c>
      <c r="L53" s="155">
        <v>0.48484848484848492</v>
      </c>
      <c r="M53" s="156">
        <v>0.51515151515151503</v>
      </c>
      <c r="N53" s="157">
        <v>33</v>
      </c>
      <c r="O53" s="155">
        <v>0.20408163265306098</v>
      </c>
      <c r="P53" s="156">
        <v>6.1224489795918248E-2</v>
      </c>
      <c r="Q53" s="156">
        <v>0.32653061224489788</v>
      </c>
      <c r="R53" s="156">
        <v>4.0816326530612235E-2</v>
      </c>
      <c r="S53" s="156">
        <v>0.42857142857142805</v>
      </c>
      <c r="T53" s="156">
        <v>4.0816326530612235E-2</v>
      </c>
      <c r="U53" s="156">
        <v>0</v>
      </c>
      <c r="V53" s="156">
        <v>0.18367346938775492</v>
      </c>
      <c r="W53" s="156">
        <v>4.0816326530612235E-2</v>
      </c>
      <c r="X53" s="156">
        <v>0.14285714285714257</v>
      </c>
      <c r="Y53" s="157">
        <v>49</v>
      </c>
      <c r="Z53" s="155">
        <v>0.79999999999999949</v>
      </c>
      <c r="AA53" s="156">
        <v>0.7333333333333335</v>
      </c>
      <c r="AB53" s="156">
        <v>0.66666666666666519</v>
      </c>
      <c r="AC53" s="156">
        <v>0.71111111111111103</v>
      </c>
      <c r="AD53" s="156">
        <v>0.13333333333333311</v>
      </c>
      <c r="AE53" s="156">
        <v>0.11111111111111097</v>
      </c>
      <c r="AF53" s="157">
        <v>45</v>
      </c>
      <c r="AG53" s="158">
        <v>9.8163265306122334</v>
      </c>
      <c r="AH53" s="159">
        <v>49</v>
      </c>
      <c r="AI53" s="160">
        <v>9.8979591836734766</v>
      </c>
      <c r="AJ53" s="159">
        <v>49</v>
      </c>
      <c r="AK53" s="160">
        <v>9.7872340425531803</v>
      </c>
      <c r="AL53" s="157">
        <v>47</v>
      </c>
      <c r="AM53" s="155">
        <v>0.39130434782608686</v>
      </c>
      <c r="AN53" s="156">
        <v>0.54347826086956497</v>
      </c>
      <c r="AO53" s="156">
        <v>2.1739130434782612E-2</v>
      </c>
      <c r="AP53" s="156">
        <v>4.3478260869565223E-2</v>
      </c>
      <c r="AQ53" s="156">
        <v>0</v>
      </c>
      <c r="AR53" s="157">
        <v>46</v>
      </c>
      <c r="AS53" s="155">
        <v>0.79166666666666541</v>
      </c>
      <c r="AT53" s="156">
        <v>0.18749999999999992</v>
      </c>
      <c r="AU53" s="156">
        <v>2.0833333333333294E-2</v>
      </c>
      <c r="AV53" s="156">
        <v>0</v>
      </c>
      <c r="AW53" s="156">
        <v>0</v>
      </c>
      <c r="AX53" s="157">
        <v>48</v>
      </c>
      <c r="AY53" s="155">
        <v>0.81632653061224469</v>
      </c>
      <c r="AZ53" s="156">
        <v>0.16326530612244861</v>
      </c>
      <c r="BA53" s="156">
        <v>2.0408163265306076E-2</v>
      </c>
      <c r="BB53" s="156">
        <v>0</v>
      </c>
      <c r="BC53" s="156">
        <v>0</v>
      </c>
      <c r="BD53" s="157">
        <v>49</v>
      </c>
      <c r="BE53" s="155">
        <v>0.89795918367346916</v>
      </c>
      <c r="BF53" s="156">
        <v>0.10204081632653057</v>
      </c>
      <c r="BG53" s="156">
        <v>0</v>
      </c>
      <c r="BH53" s="156">
        <v>0</v>
      </c>
      <c r="BI53" s="156">
        <v>0</v>
      </c>
      <c r="BJ53" s="157">
        <v>49</v>
      </c>
      <c r="BK53" s="155">
        <v>0.84782608695652117</v>
      </c>
      <c r="BL53" s="156">
        <v>0.13043478260869551</v>
      </c>
      <c r="BM53" s="156">
        <v>0</v>
      </c>
      <c r="BN53" s="156">
        <v>2.1739130434782612E-2</v>
      </c>
      <c r="BO53" s="156">
        <v>0</v>
      </c>
      <c r="BP53" s="157">
        <v>46</v>
      </c>
      <c r="BQ53" s="155">
        <v>0.85416666666666619</v>
      </c>
      <c r="BR53" s="156">
        <v>0.10416666666666644</v>
      </c>
      <c r="BS53" s="156">
        <v>2.0833333333333294E-2</v>
      </c>
      <c r="BT53" s="156">
        <v>2.0833333333333294E-2</v>
      </c>
      <c r="BU53" s="156">
        <v>0</v>
      </c>
      <c r="BV53" s="157">
        <v>48</v>
      </c>
      <c r="BW53" s="161">
        <v>0.8333333333333337</v>
      </c>
      <c r="BX53" s="156">
        <v>0.13888888888888881</v>
      </c>
      <c r="BY53" s="156">
        <v>0</v>
      </c>
      <c r="BZ53" s="156">
        <v>2.7777777777777745E-2</v>
      </c>
      <c r="CA53" s="156">
        <v>0</v>
      </c>
      <c r="CB53" s="157">
        <v>36</v>
      </c>
      <c r="CC53" s="155">
        <v>0.86666666666666614</v>
      </c>
      <c r="CD53" s="156">
        <v>3.333333333333334E-2</v>
      </c>
      <c r="CE53" s="156">
        <v>6.666666666666668E-2</v>
      </c>
      <c r="CF53" s="156">
        <v>3.333333333333334E-2</v>
      </c>
      <c r="CG53" s="156">
        <v>0</v>
      </c>
      <c r="CH53" s="162">
        <v>30</v>
      </c>
      <c r="CI53" s="155">
        <v>0.56000000000000005</v>
      </c>
      <c r="CJ53" s="156">
        <v>0.28000000000000003</v>
      </c>
      <c r="CK53" s="156">
        <v>0.12000000000000002</v>
      </c>
      <c r="CL53" s="156">
        <v>0</v>
      </c>
      <c r="CM53" s="156">
        <v>4.0000000000000008E-2</v>
      </c>
      <c r="CN53" s="162">
        <v>25</v>
      </c>
      <c r="CO53" s="155">
        <v>0.52</v>
      </c>
      <c r="CP53" s="156">
        <v>0.4</v>
      </c>
      <c r="CQ53" s="156">
        <v>8.0000000000000016E-2</v>
      </c>
      <c r="CR53" s="156">
        <v>0</v>
      </c>
      <c r="CS53" s="156">
        <v>0</v>
      </c>
      <c r="CT53" s="162">
        <v>25</v>
      </c>
      <c r="CU53" s="155">
        <v>0.56000000000000005</v>
      </c>
      <c r="CV53" s="156">
        <v>0.32000000000000006</v>
      </c>
      <c r="CW53" s="156">
        <v>0.12000000000000002</v>
      </c>
      <c r="CX53" s="156">
        <v>0</v>
      </c>
      <c r="CY53" s="156">
        <v>0</v>
      </c>
      <c r="CZ53" s="162">
        <v>25</v>
      </c>
      <c r="DA53" s="155">
        <v>0.6111111111111116</v>
      </c>
      <c r="DB53" s="156">
        <v>0.27777777777777801</v>
      </c>
      <c r="DC53" s="156">
        <v>0.11111111111111099</v>
      </c>
      <c r="DD53" s="156">
        <v>0</v>
      </c>
      <c r="DE53" s="156">
        <v>0</v>
      </c>
      <c r="DF53" s="162">
        <v>18</v>
      </c>
      <c r="DG53" s="155">
        <v>0.6875</v>
      </c>
      <c r="DH53" s="156">
        <v>0.1875</v>
      </c>
      <c r="DI53" s="156">
        <v>0.125</v>
      </c>
      <c r="DJ53" s="156">
        <v>0</v>
      </c>
      <c r="DK53" s="156">
        <v>0</v>
      </c>
      <c r="DL53" s="162">
        <v>16</v>
      </c>
      <c r="DM53" s="155">
        <v>0.67857142857142805</v>
      </c>
      <c r="DN53" s="156">
        <v>0.28571428571428592</v>
      </c>
      <c r="DO53" s="156">
        <v>0</v>
      </c>
      <c r="DP53" s="156">
        <v>3.571428571428574E-2</v>
      </c>
      <c r="DQ53" s="156">
        <v>0</v>
      </c>
      <c r="DR53" s="162">
        <v>28</v>
      </c>
      <c r="DS53" s="161">
        <v>0.6</v>
      </c>
      <c r="DT53" s="156">
        <v>0.26666666666666672</v>
      </c>
      <c r="DU53" s="156">
        <v>6.666666666666668E-2</v>
      </c>
      <c r="DV53" s="156">
        <v>6.666666666666668E-2</v>
      </c>
      <c r="DW53" s="156">
        <v>0</v>
      </c>
      <c r="DX53" s="162">
        <v>15</v>
      </c>
      <c r="DY53" s="155">
        <v>0.8958333333333337</v>
      </c>
      <c r="DZ53" s="156">
        <v>8.3333333333333176E-2</v>
      </c>
      <c r="EA53" s="156">
        <v>2.0833333333333294E-2</v>
      </c>
      <c r="EB53" s="156">
        <v>0</v>
      </c>
      <c r="EC53" s="156">
        <v>0</v>
      </c>
      <c r="ED53" s="162">
        <v>48</v>
      </c>
      <c r="EE53" s="155">
        <v>0.75</v>
      </c>
      <c r="EF53" s="156">
        <v>0.125</v>
      </c>
      <c r="EG53" s="156">
        <v>0.125</v>
      </c>
      <c r="EH53" s="156">
        <v>0</v>
      </c>
      <c r="EI53" s="156">
        <v>0</v>
      </c>
      <c r="EJ53" s="162">
        <v>16</v>
      </c>
      <c r="EK53" s="155">
        <v>0.76923076923077016</v>
      </c>
      <c r="EL53" s="156">
        <v>0.23076923076923092</v>
      </c>
      <c r="EM53" s="156">
        <v>0</v>
      </c>
      <c r="EN53" s="156">
        <v>0</v>
      </c>
      <c r="EO53" s="156">
        <v>0</v>
      </c>
      <c r="EP53" s="162">
        <v>13</v>
      </c>
      <c r="EQ53" s="155">
        <v>0.86842105263157887</v>
      </c>
      <c r="ER53" s="156">
        <v>0.10526315789473686</v>
      </c>
      <c r="ES53" s="156">
        <v>0</v>
      </c>
      <c r="ET53" s="156">
        <v>0</v>
      </c>
      <c r="EU53" s="156">
        <v>2.6315789473684216E-2</v>
      </c>
      <c r="EV53" s="162">
        <v>38</v>
      </c>
      <c r="EW53" s="155">
        <v>0.91891891891891764</v>
      </c>
      <c r="EX53" s="156">
        <v>5.4054054054053967E-2</v>
      </c>
      <c r="EY53" s="156">
        <v>2.7027027027026983E-2</v>
      </c>
      <c r="EZ53" s="156">
        <v>0</v>
      </c>
      <c r="FA53" s="156">
        <v>0</v>
      </c>
      <c r="FB53" s="162">
        <v>37</v>
      </c>
      <c r="FC53" s="155">
        <v>0.6</v>
      </c>
      <c r="FD53" s="156">
        <v>0.10000000000000002</v>
      </c>
      <c r="FE53" s="156">
        <v>0.20000000000000004</v>
      </c>
      <c r="FF53" s="156">
        <v>0.10000000000000002</v>
      </c>
      <c r="FG53" s="156">
        <v>0</v>
      </c>
      <c r="FH53" s="162">
        <v>10</v>
      </c>
      <c r="FI53" s="161">
        <v>0.75</v>
      </c>
      <c r="FJ53" s="156">
        <v>0</v>
      </c>
      <c r="FK53" s="156">
        <v>0.25</v>
      </c>
      <c r="FL53" s="156">
        <v>0</v>
      </c>
      <c r="FM53" s="156">
        <v>0</v>
      </c>
      <c r="FN53" s="162">
        <v>4</v>
      </c>
      <c r="FO53" s="155">
        <v>0</v>
      </c>
      <c r="FP53" s="156">
        <v>0</v>
      </c>
      <c r="FQ53" s="156">
        <v>0</v>
      </c>
      <c r="FR53" s="156">
        <v>0</v>
      </c>
      <c r="FS53" s="156">
        <v>0</v>
      </c>
      <c r="FT53" s="162">
        <v>0</v>
      </c>
      <c r="FU53" s="155">
        <v>0</v>
      </c>
      <c r="FV53" s="156">
        <v>0</v>
      </c>
      <c r="FW53" s="156">
        <v>0</v>
      </c>
      <c r="FX53" s="156">
        <v>0</v>
      </c>
      <c r="FY53" s="156">
        <v>0</v>
      </c>
      <c r="FZ53" s="162">
        <v>0</v>
      </c>
      <c r="GA53" s="161">
        <v>0</v>
      </c>
      <c r="GB53" s="156">
        <v>0</v>
      </c>
      <c r="GC53" s="156">
        <v>0</v>
      </c>
      <c r="GD53" s="156">
        <v>0</v>
      </c>
      <c r="GE53" s="156">
        <v>0</v>
      </c>
      <c r="GF53" s="162">
        <v>0</v>
      </c>
      <c r="GG53" s="158">
        <v>9.4666666666666544</v>
      </c>
      <c r="GH53" s="162">
        <v>45</v>
      </c>
      <c r="GI53" s="155">
        <v>0.68085106382978666</v>
      </c>
      <c r="GJ53" s="156">
        <v>0.21276595744680804</v>
      </c>
      <c r="GK53" s="156">
        <v>6.3829787234042451E-2</v>
      </c>
      <c r="GL53" s="156">
        <v>0</v>
      </c>
      <c r="GM53" s="156">
        <v>4.2553191489361659E-2</v>
      </c>
      <c r="GN53" s="162">
        <v>47</v>
      </c>
      <c r="GO53" s="155">
        <v>0.72340425531914876</v>
      </c>
      <c r="GP53" s="156">
        <v>0.10638297872340419</v>
      </c>
      <c r="GQ53" s="156">
        <v>2.1276595744680854E-2</v>
      </c>
      <c r="GR53" s="156">
        <v>0.17021276595744639</v>
      </c>
      <c r="GS53" s="162">
        <v>47</v>
      </c>
      <c r="GT53" s="163">
        <v>3.7608695652173858</v>
      </c>
      <c r="GU53" s="162">
        <v>46</v>
      </c>
      <c r="GV53" s="155">
        <v>0.80952380952380854</v>
      </c>
      <c r="GW53" s="156">
        <v>0.19047619047619041</v>
      </c>
      <c r="GX53" s="162">
        <v>21</v>
      </c>
      <c r="GY53" s="155">
        <v>1</v>
      </c>
      <c r="GZ53" s="156">
        <v>0</v>
      </c>
      <c r="HA53" s="162">
        <v>29</v>
      </c>
      <c r="HB53" s="155">
        <v>0.95</v>
      </c>
      <c r="HC53" s="156">
        <v>4.9999999999999989E-2</v>
      </c>
      <c r="HD53" s="162">
        <v>40</v>
      </c>
      <c r="HE53" s="161">
        <v>0.92592592592592571</v>
      </c>
      <c r="HF53" s="156">
        <v>7.4074074074074056E-2</v>
      </c>
      <c r="HG53" s="162">
        <v>27</v>
      </c>
      <c r="HH53" s="155">
        <v>0.59999999999999964</v>
      </c>
      <c r="HI53" s="156">
        <v>0.39999999999999986</v>
      </c>
      <c r="HJ53" s="162">
        <v>45</v>
      </c>
      <c r="HK53" s="155">
        <v>0.99999999999999989</v>
      </c>
      <c r="HL53" s="156">
        <v>0</v>
      </c>
      <c r="HM53" s="162">
        <v>44</v>
      </c>
      <c r="HN53" s="161">
        <v>4.6511627906976695E-2</v>
      </c>
      <c r="HO53" s="156">
        <v>9.302325581395339E-2</v>
      </c>
      <c r="HP53" s="156">
        <v>0.37209302325581356</v>
      </c>
      <c r="HQ53" s="156">
        <v>0.27906976744186041</v>
      </c>
      <c r="HR53" s="156">
        <v>0.20930232558139525</v>
      </c>
      <c r="HS53" s="160">
        <v>61.093023255813925</v>
      </c>
      <c r="HT53" s="164">
        <v>43</v>
      </c>
      <c r="HU53" s="165">
        <v>0</v>
      </c>
      <c r="HV53" s="166">
        <v>0</v>
      </c>
      <c r="HW53" s="166">
        <v>2.6315789473684209E-2</v>
      </c>
      <c r="HX53" s="166">
        <v>7.8947368421052627E-2</v>
      </c>
      <c r="HY53" s="166">
        <v>2.6315789473684209E-2</v>
      </c>
      <c r="HZ53" s="166">
        <v>7.8947368421052627E-2</v>
      </c>
      <c r="IA53" s="166">
        <v>0.10526315789473684</v>
      </c>
      <c r="IB53" s="166">
        <v>0.10526315789473684</v>
      </c>
      <c r="IC53" s="166">
        <v>0.10526315789473684</v>
      </c>
      <c r="ID53" s="166">
        <v>0.47368421052631576</v>
      </c>
      <c r="IE53" s="167">
        <v>38</v>
      </c>
      <c r="IF53" s="155">
        <v>0</v>
      </c>
      <c r="IG53" s="156">
        <v>0</v>
      </c>
      <c r="IH53" s="156">
        <v>1</v>
      </c>
      <c r="II53" s="156">
        <v>0</v>
      </c>
      <c r="IJ53" s="156">
        <v>0</v>
      </c>
      <c r="IK53" s="162">
        <v>1</v>
      </c>
      <c r="IL53" s="155">
        <v>0</v>
      </c>
      <c r="IM53" s="156">
        <v>0</v>
      </c>
      <c r="IN53" s="156">
        <v>0</v>
      </c>
      <c r="IO53" s="156">
        <v>0.97674418604651148</v>
      </c>
      <c r="IP53" s="156">
        <v>2.3255813953488347E-2</v>
      </c>
      <c r="IQ53" s="162">
        <v>43</v>
      </c>
      <c r="IR53" s="155">
        <v>0.11111111111111091</v>
      </c>
      <c r="IS53" s="156">
        <v>0.88888888888888795</v>
      </c>
      <c r="IT53" s="162">
        <v>45</v>
      </c>
      <c r="IU53" s="161">
        <v>0</v>
      </c>
      <c r="IV53" s="156">
        <v>0.20000000000000004</v>
      </c>
      <c r="IW53" s="156">
        <v>0.80000000000000016</v>
      </c>
      <c r="IX53" s="162">
        <v>5</v>
      </c>
    </row>
    <row r="54" spans="1:258" ht="32.1" customHeight="1" x14ac:dyDescent="0.25">
      <c r="A54" s="110" t="s">
        <v>453</v>
      </c>
      <c r="B54" s="108" t="s">
        <v>576</v>
      </c>
      <c r="C54" s="108" t="s">
        <v>454</v>
      </c>
      <c r="D54" s="109">
        <v>182</v>
      </c>
      <c r="E54" s="139" t="s">
        <v>504</v>
      </c>
      <c r="F54" s="155">
        <v>0.23913043478260884</v>
      </c>
      <c r="G54" s="156">
        <v>0.76086956521739113</v>
      </c>
      <c r="H54" s="157">
        <v>46</v>
      </c>
      <c r="I54" s="155">
        <v>0.70588235294117618</v>
      </c>
      <c r="J54" s="156">
        <v>0.29411764705882348</v>
      </c>
      <c r="K54" s="157">
        <v>34</v>
      </c>
      <c r="L54" s="155">
        <v>0.50000000000000011</v>
      </c>
      <c r="M54" s="156">
        <v>0.50000000000000011</v>
      </c>
      <c r="N54" s="157">
        <v>22</v>
      </c>
      <c r="O54" s="155">
        <v>0.29787234042553173</v>
      </c>
      <c r="P54" s="156">
        <v>0.19148936170212777</v>
      </c>
      <c r="Q54" s="156">
        <v>0.36170212765957455</v>
      </c>
      <c r="R54" s="156">
        <v>0</v>
      </c>
      <c r="S54" s="156">
        <v>0.40425531914893631</v>
      </c>
      <c r="T54" s="156">
        <v>8.5106382978723499E-2</v>
      </c>
      <c r="U54" s="156">
        <v>6.3829787234042548E-2</v>
      </c>
      <c r="V54" s="156">
        <v>4.255319148936175E-2</v>
      </c>
      <c r="W54" s="156">
        <v>0.170212765957447</v>
      </c>
      <c r="X54" s="156">
        <v>2.1276595744680875E-2</v>
      </c>
      <c r="Y54" s="157">
        <v>47</v>
      </c>
      <c r="Z54" s="155">
        <v>0.79069767441860472</v>
      </c>
      <c r="AA54" s="156">
        <v>0.41860465116279105</v>
      </c>
      <c r="AB54" s="156">
        <v>0.46511627906976799</v>
      </c>
      <c r="AC54" s="156">
        <v>0.51162790697674476</v>
      </c>
      <c r="AD54" s="156">
        <v>2.3255813953488403E-2</v>
      </c>
      <c r="AE54" s="156">
        <v>4.6511627906976806E-2</v>
      </c>
      <c r="AF54" s="157">
        <v>43</v>
      </c>
      <c r="AG54" s="158">
        <v>9.8913043478260789</v>
      </c>
      <c r="AH54" s="159">
        <v>46</v>
      </c>
      <c r="AI54" s="160">
        <v>9.9361702127659566</v>
      </c>
      <c r="AJ54" s="159">
        <v>47</v>
      </c>
      <c r="AK54" s="160">
        <v>9.9565217391304373</v>
      </c>
      <c r="AL54" s="157">
        <v>46</v>
      </c>
      <c r="AM54" s="155">
        <v>0.63829787234042634</v>
      </c>
      <c r="AN54" s="156">
        <v>0.34042553191489355</v>
      </c>
      <c r="AO54" s="156">
        <v>0</v>
      </c>
      <c r="AP54" s="156">
        <v>2.1276595744680847E-2</v>
      </c>
      <c r="AQ54" s="156">
        <v>0</v>
      </c>
      <c r="AR54" s="157">
        <v>47</v>
      </c>
      <c r="AS54" s="155">
        <v>0.88636363636363535</v>
      </c>
      <c r="AT54" s="156">
        <v>9.0909090909091037E-2</v>
      </c>
      <c r="AU54" s="156">
        <v>2.2727272727272759E-2</v>
      </c>
      <c r="AV54" s="156">
        <v>0</v>
      </c>
      <c r="AW54" s="156">
        <v>0</v>
      </c>
      <c r="AX54" s="157">
        <v>44</v>
      </c>
      <c r="AY54" s="155">
        <v>0.89130434782608614</v>
      </c>
      <c r="AZ54" s="156">
        <v>0.10869565217391312</v>
      </c>
      <c r="BA54" s="156">
        <v>0</v>
      </c>
      <c r="BB54" s="156">
        <v>0</v>
      </c>
      <c r="BC54" s="156">
        <v>0</v>
      </c>
      <c r="BD54" s="157">
        <v>46</v>
      </c>
      <c r="BE54" s="155">
        <v>0.91489361702127592</v>
      </c>
      <c r="BF54" s="156">
        <v>8.5106382978723388E-2</v>
      </c>
      <c r="BG54" s="156">
        <v>0</v>
      </c>
      <c r="BH54" s="156">
        <v>0</v>
      </c>
      <c r="BI54" s="156">
        <v>0</v>
      </c>
      <c r="BJ54" s="157">
        <v>47</v>
      </c>
      <c r="BK54" s="155">
        <v>0.88888888888888795</v>
      </c>
      <c r="BL54" s="156">
        <v>0.1111111111111113</v>
      </c>
      <c r="BM54" s="156">
        <v>0</v>
      </c>
      <c r="BN54" s="156">
        <v>0</v>
      </c>
      <c r="BO54" s="156">
        <v>0</v>
      </c>
      <c r="BP54" s="157">
        <v>45</v>
      </c>
      <c r="BQ54" s="155">
        <v>0.95652173913043459</v>
      </c>
      <c r="BR54" s="156">
        <v>4.3478260869565279E-2</v>
      </c>
      <c r="BS54" s="156">
        <v>0</v>
      </c>
      <c r="BT54" s="156">
        <v>0</v>
      </c>
      <c r="BU54" s="156">
        <v>0</v>
      </c>
      <c r="BV54" s="157">
        <v>46</v>
      </c>
      <c r="BW54" s="161">
        <v>0.87499999999999989</v>
      </c>
      <c r="BX54" s="156">
        <v>0</v>
      </c>
      <c r="BY54" s="156">
        <v>0.12499999999999999</v>
      </c>
      <c r="BZ54" s="156">
        <v>0</v>
      </c>
      <c r="CA54" s="156">
        <v>0</v>
      </c>
      <c r="CB54" s="157">
        <v>8</v>
      </c>
      <c r="CC54" s="155">
        <v>0.9090909090909095</v>
      </c>
      <c r="CD54" s="156">
        <v>4.5454545454545518E-2</v>
      </c>
      <c r="CE54" s="156">
        <v>4.5454545454545518E-2</v>
      </c>
      <c r="CF54" s="156">
        <v>0</v>
      </c>
      <c r="CG54" s="156">
        <v>0</v>
      </c>
      <c r="CH54" s="162">
        <v>22</v>
      </c>
      <c r="CI54" s="155">
        <v>0.44444444444444398</v>
      </c>
      <c r="CJ54" s="156">
        <v>0.27777777777777812</v>
      </c>
      <c r="CK54" s="156">
        <v>0</v>
      </c>
      <c r="CL54" s="156">
        <v>0.16666666666666663</v>
      </c>
      <c r="CM54" s="156">
        <v>0.11111111111111099</v>
      </c>
      <c r="CN54" s="162">
        <v>18</v>
      </c>
      <c r="CO54" s="155">
        <v>0.47826086956521768</v>
      </c>
      <c r="CP54" s="156">
        <v>0.30434782608695676</v>
      </c>
      <c r="CQ54" s="156">
        <v>0.17391304347826111</v>
      </c>
      <c r="CR54" s="156">
        <v>4.3478260869565279E-2</v>
      </c>
      <c r="CS54" s="156">
        <v>0</v>
      </c>
      <c r="CT54" s="162">
        <v>23</v>
      </c>
      <c r="CU54" s="155">
        <v>0.47619047619047672</v>
      </c>
      <c r="CV54" s="156">
        <v>0.47619047619047672</v>
      </c>
      <c r="CW54" s="156">
        <v>4.7619047619047603E-2</v>
      </c>
      <c r="CX54" s="156">
        <v>0</v>
      </c>
      <c r="CY54" s="156">
        <v>0</v>
      </c>
      <c r="CZ54" s="162">
        <v>21</v>
      </c>
      <c r="DA54" s="155">
        <v>0.79999999999999982</v>
      </c>
      <c r="DB54" s="156">
        <v>0.19999999999999996</v>
      </c>
      <c r="DC54" s="156">
        <v>0</v>
      </c>
      <c r="DD54" s="156">
        <v>0</v>
      </c>
      <c r="DE54" s="156">
        <v>0</v>
      </c>
      <c r="DF54" s="162">
        <v>10</v>
      </c>
      <c r="DG54" s="155">
        <v>0.6</v>
      </c>
      <c r="DH54" s="156">
        <v>0.19999999999999996</v>
      </c>
      <c r="DI54" s="156">
        <v>0.19999999999999996</v>
      </c>
      <c r="DJ54" s="156">
        <v>0</v>
      </c>
      <c r="DK54" s="156">
        <v>0</v>
      </c>
      <c r="DL54" s="162">
        <v>10</v>
      </c>
      <c r="DM54" s="155">
        <v>0.44444444444444398</v>
      </c>
      <c r="DN54" s="156">
        <v>0.22222222222222199</v>
      </c>
      <c r="DO54" s="156">
        <v>0.11111111111111099</v>
      </c>
      <c r="DP54" s="156">
        <v>0.11111111111111099</v>
      </c>
      <c r="DQ54" s="156">
        <v>0.11111111111111099</v>
      </c>
      <c r="DR54" s="162">
        <v>18</v>
      </c>
      <c r="DS54" s="161">
        <v>0.88888888888888795</v>
      </c>
      <c r="DT54" s="156">
        <v>0.11111111111111099</v>
      </c>
      <c r="DU54" s="156">
        <v>0</v>
      </c>
      <c r="DV54" s="156">
        <v>0</v>
      </c>
      <c r="DW54" s="156">
        <v>0</v>
      </c>
      <c r="DX54" s="162">
        <v>9</v>
      </c>
      <c r="DY54" s="155">
        <v>0.89130434782608614</v>
      </c>
      <c r="DZ54" s="156">
        <v>0.10869565217391312</v>
      </c>
      <c r="EA54" s="156">
        <v>0</v>
      </c>
      <c r="EB54" s="156">
        <v>0</v>
      </c>
      <c r="EC54" s="156">
        <v>0</v>
      </c>
      <c r="ED54" s="162">
        <v>46</v>
      </c>
      <c r="EE54" s="155">
        <v>0.9047619047619041</v>
      </c>
      <c r="EF54" s="156">
        <v>9.5238095238095205E-2</v>
      </c>
      <c r="EG54" s="156">
        <v>0</v>
      </c>
      <c r="EH54" s="156">
        <v>0</v>
      </c>
      <c r="EI54" s="156">
        <v>0</v>
      </c>
      <c r="EJ54" s="162">
        <v>21</v>
      </c>
      <c r="EK54" s="155">
        <v>0.76470588235294135</v>
      </c>
      <c r="EL54" s="156">
        <v>0.23529411764705874</v>
      </c>
      <c r="EM54" s="156">
        <v>0</v>
      </c>
      <c r="EN54" s="156">
        <v>0</v>
      </c>
      <c r="EO54" s="156">
        <v>0</v>
      </c>
      <c r="EP54" s="162">
        <v>17</v>
      </c>
      <c r="EQ54" s="155">
        <v>0.85294117647058909</v>
      </c>
      <c r="ER54" s="156">
        <v>0.1176470588235294</v>
      </c>
      <c r="ES54" s="156">
        <v>2.9411764705882349E-2</v>
      </c>
      <c r="ET54" s="156">
        <v>0</v>
      </c>
      <c r="EU54" s="156">
        <v>0</v>
      </c>
      <c r="EV54" s="162">
        <v>34</v>
      </c>
      <c r="EW54" s="155">
        <v>0.88571428571428545</v>
      </c>
      <c r="EX54" s="156">
        <v>0.11428571428571439</v>
      </c>
      <c r="EY54" s="156">
        <v>0</v>
      </c>
      <c r="EZ54" s="156">
        <v>0</v>
      </c>
      <c r="FA54" s="156">
        <v>0</v>
      </c>
      <c r="FB54" s="162">
        <v>35</v>
      </c>
      <c r="FC54" s="155">
        <v>0.73333333333333384</v>
      </c>
      <c r="FD54" s="156">
        <v>0.26666666666666672</v>
      </c>
      <c r="FE54" s="156">
        <v>0</v>
      </c>
      <c r="FF54" s="156">
        <v>0</v>
      </c>
      <c r="FG54" s="156">
        <v>0</v>
      </c>
      <c r="FH54" s="162">
        <v>15</v>
      </c>
      <c r="FI54" s="161">
        <v>0.88888888888888795</v>
      </c>
      <c r="FJ54" s="156">
        <v>0.11111111111111099</v>
      </c>
      <c r="FK54" s="156">
        <v>0</v>
      </c>
      <c r="FL54" s="156">
        <v>0</v>
      </c>
      <c r="FM54" s="156">
        <v>0</v>
      </c>
      <c r="FN54" s="162">
        <v>18</v>
      </c>
      <c r="FO54" s="155">
        <v>0</v>
      </c>
      <c r="FP54" s="156">
        <v>0</v>
      </c>
      <c r="FQ54" s="156">
        <v>0</v>
      </c>
      <c r="FR54" s="156">
        <v>0</v>
      </c>
      <c r="FS54" s="156">
        <v>0</v>
      </c>
      <c r="FT54" s="162">
        <v>0</v>
      </c>
      <c r="FU54" s="155">
        <v>0</v>
      </c>
      <c r="FV54" s="156">
        <v>0</v>
      </c>
      <c r="FW54" s="156">
        <v>0</v>
      </c>
      <c r="FX54" s="156">
        <v>0</v>
      </c>
      <c r="FY54" s="156">
        <v>0</v>
      </c>
      <c r="FZ54" s="162">
        <v>0</v>
      </c>
      <c r="GA54" s="161">
        <v>0</v>
      </c>
      <c r="GB54" s="156">
        <v>0</v>
      </c>
      <c r="GC54" s="156">
        <v>0</v>
      </c>
      <c r="GD54" s="156">
        <v>0</v>
      </c>
      <c r="GE54" s="156">
        <v>0</v>
      </c>
      <c r="GF54" s="162">
        <v>0</v>
      </c>
      <c r="GG54" s="158">
        <v>9.6222222222222182</v>
      </c>
      <c r="GH54" s="162">
        <v>45</v>
      </c>
      <c r="GI54" s="155">
        <v>0.55319148936170215</v>
      </c>
      <c r="GJ54" s="156">
        <v>0.2978723404255319</v>
      </c>
      <c r="GK54" s="156">
        <v>0.12765957446808518</v>
      </c>
      <c r="GL54" s="156">
        <v>0</v>
      </c>
      <c r="GM54" s="156">
        <v>2.1276595744680847E-2</v>
      </c>
      <c r="GN54" s="162">
        <v>47</v>
      </c>
      <c r="GO54" s="155">
        <v>0.48888888888888948</v>
      </c>
      <c r="GP54" s="156">
        <v>0.26666666666666694</v>
      </c>
      <c r="GQ54" s="156">
        <v>0.1555555555555557</v>
      </c>
      <c r="GR54" s="156">
        <v>0.22222222222222257</v>
      </c>
      <c r="GS54" s="162">
        <v>45</v>
      </c>
      <c r="GT54" s="163">
        <v>3.6304347826086967</v>
      </c>
      <c r="GU54" s="162">
        <v>46</v>
      </c>
      <c r="GV54" s="155">
        <v>1</v>
      </c>
      <c r="GW54" s="156">
        <v>0</v>
      </c>
      <c r="GX54" s="162">
        <v>16</v>
      </c>
      <c r="GY54" s="155">
        <v>0.99999999999999989</v>
      </c>
      <c r="GZ54" s="156">
        <v>0</v>
      </c>
      <c r="HA54" s="162">
        <v>26</v>
      </c>
      <c r="HB54" s="155">
        <v>0.92857142857142794</v>
      </c>
      <c r="HC54" s="156">
        <v>7.1428571428571508E-2</v>
      </c>
      <c r="HD54" s="162">
        <v>42</v>
      </c>
      <c r="HE54" s="161">
        <v>0.92592592592592582</v>
      </c>
      <c r="HF54" s="156">
        <v>7.407407407407407E-2</v>
      </c>
      <c r="HG54" s="162">
        <v>27</v>
      </c>
      <c r="HH54" s="155">
        <v>0.36956521739130482</v>
      </c>
      <c r="HI54" s="156">
        <v>0.63043478260869534</v>
      </c>
      <c r="HJ54" s="162">
        <v>46</v>
      </c>
      <c r="HK54" s="155">
        <v>0.95238095238095311</v>
      </c>
      <c r="HL54" s="156">
        <v>4.7619047619047609E-2</v>
      </c>
      <c r="HM54" s="162">
        <v>42</v>
      </c>
      <c r="HN54" s="161">
        <v>2.4390243902439018E-2</v>
      </c>
      <c r="HO54" s="156">
        <v>0.12195121951219516</v>
      </c>
      <c r="HP54" s="156">
        <v>0.26829268292682945</v>
      </c>
      <c r="HQ54" s="156">
        <v>0.29268292682926833</v>
      </c>
      <c r="HR54" s="156">
        <v>0.29268292682926833</v>
      </c>
      <c r="HS54" s="160">
        <v>63.365853658536672</v>
      </c>
      <c r="HT54" s="164">
        <v>41</v>
      </c>
      <c r="HU54" s="165">
        <v>0</v>
      </c>
      <c r="HV54" s="166">
        <v>4.878048780487805E-2</v>
      </c>
      <c r="HW54" s="166">
        <v>2.4390243902439025E-2</v>
      </c>
      <c r="HX54" s="166">
        <v>4.878048780487805E-2</v>
      </c>
      <c r="HY54" s="166">
        <v>0.24390243902439024</v>
      </c>
      <c r="HZ54" s="166">
        <v>0.21951219512195122</v>
      </c>
      <c r="IA54" s="166">
        <v>9.7560975609756101E-2</v>
      </c>
      <c r="IB54" s="166">
        <v>4.878048780487805E-2</v>
      </c>
      <c r="IC54" s="166">
        <v>0.14634146341463414</v>
      </c>
      <c r="ID54" s="166">
        <v>0.12195121951219512</v>
      </c>
      <c r="IE54" s="167">
        <v>41</v>
      </c>
      <c r="IF54" s="155">
        <v>0</v>
      </c>
      <c r="IG54" s="156">
        <v>0.33333333333333315</v>
      </c>
      <c r="IH54" s="156">
        <v>0.33333333333333315</v>
      </c>
      <c r="II54" s="156">
        <v>0</v>
      </c>
      <c r="IJ54" s="156">
        <v>0.33333333333333315</v>
      </c>
      <c r="IK54" s="162">
        <v>3</v>
      </c>
      <c r="IL54" s="155">
        <v>0</v>
      </c>
      <c r="IM54" s="156">
        <v>0</v>
      </c>
      <c r="IN54" s="156">
        <v>0</v>
      </c>
      <c r="IO54" s="156">
        <v>1</v>
      </c>
      <c r="IP54" s="156">
        <v>0</v>
      </c>
      <c r="IQ54" s="162">
        <v>44</v>
      </c>
      <c r="IR54" s="155">
        <v>8.6956521739130557E-2</v>
      </c>
      <c r="IS54" s="156">
        <v>0.91304347826086985</v>
      </c>
      <c r="IT54" s="162">
        <v>46</v>
      </c>
      <c r="IU54" s="161">
        <v>0</v>
      </c>
      <c r="IV54" s="156">
        <v>0</v>
      </c>
      <c r="IW54" s="156">
        <v>0.99999999999999989</v>
      </c>
      <c r="IX54" s="162">
        <v>4</v>
      </c>
    </row>
    <row r="55" spans="1:258" ht="32.1" customHeight="1" x14ac:dyDescent="0.25">
      <c r="A55" s="110" t="s">
        <v>453</v>
      </c>
      <c r="B55" s="108" t="s">
        <v>580</v>
      </c>
      <c r="C55" s="108" t="s">
        <v>454</v>
      </c>
      <c r="D55" s="109">
        <v>183</v>
      </c>
      <c r="E55" s="139" t="s">
        <v>505</v>
      </c>
      <c r="F55" s="155">
        <v>0.36231884057970992</v>
      </c>
      <c r="G55" s="156">
        <v>0.6376811594202898</v>
      </c>
      <c r="H55" s="157">
        <v>69</v>
      </c>
      <c r="I55" s="155">
        <v>0.69767441860465129</v>
      </c>
      <c r="J55" s="156">
        <v>0.30232558139534854</v>
      </c>
      <c r="K55" s="157">
        <v>43</v>
      </c>
      <c r="L55" s="155">
        <v>0.48275862068965575</v>
      </c>
      <c r="M55" s="156">
        <v>0.51724137931034486</v>
      </c>
      <c r="N55" s="157">
        <v>29</v>
      </c>
      <c r="O55" s="155">
        <v>0.28985507246376813</v>
      </c>
      <c r="P55" s="156">
        <v>0.18840579710144925</v>
      </c>
      <c r="Q55" s="156">
        <v>0.42028985507246397</v>
      </c>
      <c r="R55" s="156">
        <v>1.4492753623188389E-2</v>
      </c>
      <c r="S55" s="156">
        <v>0.18840579710144925</v>
      </c>
      <c r="T55" s="156">
        <v>0</v>
      </c>
      <c r="U55" s="156">
        <v>0</v>
      </c>
      <c r="V55" s="156">
        <v>4.3478260869565265E-2</v>
      </c>
      <c r="W55" s="156">
        <v>7.2463768115942073E-2</v>
      </c>
      <c r="X55" s="156">
        <v>5.7971014492753541E-2</v>
      </c>
      <c r="Y55" s="157">
        <v>69</v>
      </c>
      <c r="Z55" s="155">
        <v>0.89855072463768126</v>
      </c>
      <c r="AA55" s="156">
        <v>0.82608695652174036</v>
      </c>
      <c r="AB55" s="156">
        <v>0.44927536231883997</v>
      </c>
      <c r="AC55" s="156">
        <v>0.30434782608695671</v>
      </c>
      <c r="AD55" s="156">
        <v>0.11594202898550708</v>
      </c>
      <c r="AE55" s="156">
        <v>0.14492753623188415</v>
      </c>
      <c r="AF55" s="157">
        <v>69</v>
      </c>
      <c r="AG55" s="158">
        <v>9.5757575757575513</v>
      </c>
      <c r="AH55" s="159">
        <v>66</v>
      </c>
      <c r="AI55" s="160">
        <v>9.6865671641791007</v>
      </c>
      <c r="AJ55" s="159">
        <v>67</v>
      </c>
      <c r="AK55" s="160">
        <v>9.677419354838694</v>
      </c>
      <c r="AL55" s="157">
        <v>62</v>
      </c>
      <c r="AM55" s="155">
        <v>0.42647058823529316</v>
      </c>
      <c r="AN55" s="156">
        <v>0.39705882352941124</v>
      </c>
      <c r="AO55" s="156">
        <v>4.4117647058823539E-2</v>
      </c>
      <c r="AP55" s="156">
        <v>0.11764705882352931</v>
      </c>
      <c r="AQ55" s="156">
        <v>1.4705882352941164E-2</v>
      </c>
      <c r="AR55" s="157">
        <v>68</v>
      </c>
      <c r="AS55" s="155">
        <v>0.71014492753623104</v>
      </c>
      <c r="AT55" s="156">
        <v>0.24637681159420269</v>
      </c>
      <c r="AU55" s="156">
        <v>4.3478260869565216E-2</v>
      </c>
      <c r="AV55" s="156">
        <v>0</v>
      </c>
      <c r="AW55" s="156">
        <v>0</v>
      </c>
      <c r="AX55" s="157">
        <v>69</v>
      </c>
      <c r="AY55" s="155">
        <v>0.63076923076922964</v>
      </c>
      <c r="AZ55" s="156">
        <v>0.30769230769230738</v>
      </c>
      <c r="BA55" s="156">
        <v>6.1538461538461452E-2</v>
      </c>
      <c r="BB55" s="156">
        <v>0</v>
      </c>
      <c r="BC55" s="156">
        <v>0</v>
      </c>
      <c r="BD55" s="157">
        <v>65</v>
      </c>
      <c r="BE55" s="155">
        <v>0.6428571428571429</v>
      </c>
      <c r="BF55" s="156">
        <v>0.28571428571428614</v>
      </c>
      <c r="BG55" s="156">
        <v>4.2857142857142823E-2</v>
      </c>
      <c r="BH55" s="156">
        <v>1.4285714285714296E-2</v>
      </c>
      <c r="BI55" s="156">
        <v>1.4285714285714296E-2</v>
      </c>
      <c r="BJ55" s="157">
        <v>70</v>
      </c>
      <c r="BK55" s="155">
        <v>0.61290322580644996</v>
      </c>
      <c r="BL55" s="156">
        <v>0.29032258064516109</v>
      </c>
      <c r="BM55" s="156">
        <v>8.0645161290322495E-2</v>
      </c>
      <c r="BN55" s="156">
        <v>1.6129032258064491E-2</v>
      </c>
      <c r="BO55" s="156">
        <v>0</v>
      </c>
      <c r="BP55" s="157">
        <v>62</v>
      </c>
      <c r="BQ55" s="155">
        <v>0.75362318840579701</v>
      </c>
      <c r="BR55" s="156">
        <v>0.21739130434782583</v>
      </c>
      <c r="BS55" s="156">
        <v>0</v>
      </c>
      <c r="BT55" s="156">
        <v>2.8985507246376847E-2</v>
      </c>
      <c r="BU55" s="156">
        <v>0</v>
      </c>
      <c r="BV55" s="157">
        <v>69</v>
      </c>
      <c r="BW55" s="161">
        <v>0.47826086956521652</v>
      </c>
      <c r="BX55" s="156">
        <v>0.27536231884057982</v>
      </c>
      <c r="BY55" s="156">
        <v>5.7971014492753693E-2</v>
      </c>
      <c r="BZ55" s="156">
        <v>0.11594202898550739</v>
      </c>
      <c r="CA55" s="156">
        <v>7.2463768115941934E-2</v>
      </c>
      <c r="CB55" s="157">
        <v>69</v>
      </c>
      <c r="CC55" s="155">
        <v>0.42857142857142805</v>
      </c>
      <c r="CD55" s="156">
        <v>0.28571428571428614</v>
      </c>
      <c r="CE55" s="156">
        <v>0.28571428571428614</v>
      </c>
      <c r="CF55" s="156">
        <v>0</v>
      </c>
      <c r="CG55" s="156">
        <v>0</v>
      </c>
      <c r="CH55" s="162">
        <v>14</v>
      </c>
      <c r="CI55" s="155">
        <v>0.1666666666666666</v>
      </c>
      <c r="CJ55" s="156">
        <v>0.41666666666666641</v>
      </c>
      <c r="CK55" s="156">
        <v>0.41666666666666641</v>
      </c>
      <c r="CL55" s="156">
        <v>0</v>
      </c>
      <c r="CM55" s="156">
        <v>0</v>
      </c>
      <c r="CN55" s="162">
        <v>12</v>
      </c>
      <c r="CO55" s="155">
        <v>0.18750000000000003</v>
      </c>
      <c r="CP55" s="156">
        <v>0.12500000000000003</v>
      </c>
      <c r="CQ55" s="156">
        <v>9.3750000000000014E-2</v>
      </c>
      <c r="CR55" s="156">
        <v>0.12500000000000003</v>
      </c>
      <c r="CS55" s="156">
        <v>0.46875000000000006</v>
      </c>
      <c r="CT55" s="162">
        <v>32</v>
      </c>
      <c r="CU55" s="155">
        <v>0.22222222222222229</v>
      </c>
      <c r="CV55" s="156">
        <v>0.18518518518518498</v>
      </c>
      <c r="CW55" s="156">
        <v>7.4074074074074028E-2</v>
      </c>
      <c r="CX55" s="156">
        <v>0.14814814814814806</v>
      </c>
      <c r="CY55" s="156">
        <v>0.37037037037036996</v>
      </c>
      <c r="CZ55" s="162">
        <v>27</v>
      </c>
      <c r="DA55" s="155">
        <v>0.36363636363636442</v>
      </c>
      <c r="DB55" s="156">
        <v>0.22727272727272743</v>
      </c>
      <c r="DC55" s="156">
        <v>0.18181818181818221</v>
      </c>
      <c r="DD55" s="156">
        <v>9.0909090909091106E-2</v>
      </c>
      <c r="DE55" s="156">
        <v>0.13636363636363633</v>
      </c>
      <c r="DF55" s="162">
        <v>22</v>
      </c>
      <c r="DG55" s="155">
        <v>0.36842105263157909</v>
      </c>
      <c r="DH55" s="156">
        <v>0.21052631578947359</v>
      </c>
      <c r="DI55" s="156">
        <v>0.15789473684210531</v>
      </c>
      <c r="DJ55" s="156">
        <v>0.10526315789473679</v>
      </c>
      <c r="DK55" s="156">
        <v>0.15789473684210531</v>
      </c>
      <c r="DL55" s="162">
        <v>19</v>
      </c>
      <c r="DM55" s="155">
        <v>0.68000000000000016</v>
      </c>
      <c r="DN55" s="156">
        <v>8.0000000000000016E-2</v>
      </c>
      <c r="DO55" s="156">
        <v>0.16000000000000003</v>
      </c>
      <c r="DP55" s="156">
        <v>4.0000000000000008E-2</v>
      </c>
      <c r="DQ55" s="156">
        <v>4.0000000000000008E-2</v>
      </c>
      <c r="DR55" s="162">
        <v>25</v>
      </c>
      <c r="DS55" s="161">
        <v>0.59090909090909038</v>
      </c>
      <c r="DT55" s="156">
        <v>0.13636363636363633</v>
      </c>
      <c r="DU55" s="156">
        <v>0.18181818181818221</v>
      </c>
      <c r="DV55" s="156">
        <v>4.5454545454545553E-2</v>
      </c>
      <c r="DW55" s="156">
        <v>4.5454545454545553E-2</v>
      </c>
      <c r="DX55" s="162">
        <v>22</v>
      </c>
      <c r="DY55" s="155">
        <v>0.79032258064516103</v>
      </c>
      <c r="DZ55" s="156">
        <v>0.14516129032258054</v>
      </c>
      <c r="EA55" s="156">
        <v>4.8387096774193505E-2</v>
      </c>
      <c r="EB55" s="156">
        <v>0</v>
      </c>
      <c r="EC55" s="156">
        <v>1.6129032258064491E-2</v>
      </c>
      <c r="ED55" s="162">
        <v>62</v>
      </c>
      <c r="EE55" s="155">
        <v>0.50000000000000011</v>
      </c>
      <c r="EF55" s="156">
        <v>0.47058823529411747</v>
      </c>
      <c r="EG55" s="156">
        <v>2.9411764705882342E-2</v>
      </c>
      <c r="EH55" s="156">
        <v>0</v>
      </c>
      <c r="EI55" s="156">
        <v>0</v>
      </c>
      <c r="EJ55" s="162">
        <v>34</v>
      </c>
      <c r="EK55" s="155">
        <v>0.65517241379310365</v>
      </c>
      <c r="EL55" s="156">
        <v>0.31034482758620718</v>
      </c>
      <c r="EM55" s="156">
        <v>3.448275862068962E-2</v>
      </c>
      <c r="EN55" s="156">
        <v>0</v>
      </c>
      <c r="EO55" s="156">
        <v>0</v>
      </c>
      <c r="EP55" s="162">
        <v>29</v>
      </c>
      <c r="EQ55" s="155">
        <v>0.530612244897958</v>
      </c>
      <c r="ER55" s="156">
        <v>0.22448979591836701</v>
      </c>
      <c r="ES55" s="156">
        <v>6.1224489795918248E-2</v>
      </c>
      <c r="ET55" s="156">
        <v>0.10204081632653055</v>
      </c>
      <c r="EU55" s="156">
        <v>8.1632653061224511E-2</v>
      </c>
      <c r="EV55" s="162">
        <v>49</v>
      </c>
      <c r="EW55" s="155">
        <v>0.6739130434782602</v>
      </c>
      <c r="EX55" s="156">
        <v>0.19565217391304338</v>
      </c>
      <c r="EY55" s="156">
        <v>4.3478260869565216E-2</v>
      </c>
      <c r="EZ55" s="156">
        <v>4.3478260869565216E-2</v>
      </c>
      <c r="FA55" s="156">
        <v>4.3478260869565216E-2</v>
      </c>
      <c r="FB55" s="162">
        <v>46</v>
      </c>
      <c r="FC55" s="155">
        <v>0.40909090909090956</v>
      </c>
      <c r="FD55" s="156">
        <v>0.36363636363636442</v>
      </c>
      <c r="FE55" s="156">
        <v>9.0909090909091106E-2</v>
      </c>
      <c r="FF55" s="156">
        <v>4.5454545454545553E-2</v>
      </c>
      <c r="FG55" s="156">
        <v>9.0909090909091106E-2</v>
      </c>
      <c r="FH55" s="162">
        <v>22</v>
      </c>
      <c r="FI55" s="161">
        <v>0.47368421052631637</v>
      </c>
      <c r="FJ55" s="156">
        <v>0.26315789473684181</v>
      </c>
      <c r="FK55" s="156">
        <v>0.10526315789473679</v>
      </c>
      <c r="FL55" s="156">
        <v>0</v>
      </c>
      <c r="FM55" s="156">
        <v>0.15789473684210531</v>
      </c>
      <c r="FN55" s="162">
        <v>19</v>
      </c>
      <c r="FO55" s="155">
        <v>0</v>
      </c>
      <c r="FP55" s="156">
        <v>0</v>
      </c>
      <c r="FQ55" s="156">
        <v>0</v>
      </c>
      <c r="FR55" s="156">
        <v>0</v>
      </c>
      <c r="FS55" s="156">
        <v>0</v>
      </c>
      <c r="FT55" s="162">
        <v>0</v>
      </c>
      <c r="FU55" s="155">
        <v>0</v>
      </c>
      <c r="FV55" s="156">
        <v>0</v>
      </c>
      <c r="FW55" s="156">
        <v>0</v>
      </c>
      <c r="FX55" s="156">
        <v>0</v>
      </c>
      <c r="FY55" s="156">
        <v>0</v>
      </c>
      <c r="FZ55" s="162">
        <v>0</v>
      </c>
      <c r="GA55" s="161">
        <v>0</v>
      </c>
      <c r="GB55" s="156">
        <v>0</v>
      </c>
      <c r="GC55" s="156">
        <v>0</v>
      </c>
      <c r="GD55" s="156">
        <v>0</v>
      </c>
      <c r="GE55" s="156">
        <v>0</v>
      </c>
      <c r="GF55" s="162">
        <v>0</v>
      </c>
      <c r="GG55" s="158">
        <v>8.6721311475409859</v>
      </c>
      <c r="GH55" s="162">
        <v>61</v>
      </c>
      <c r="GI55" s="155">
        <v>0.35820895522388085</v>
      </c>
      <c r="GJ55" s="156">
        <v>0.56716417910447836</v>
      </c>
      <c r="GK55" s="156">
        <v>5.9701492537313376E-2</v>
      </c>
      <c r="GL55" s="156">
        <v>0</v>
      </c>
      <c r="GM55" s="156">
        <v>1.4925373134328344E-2</v>
      </c>
      <c r="GN55" s="162">
        <v>67</v>
      </c>
      <c r="GO55" s="155">
        <v>0.46153846153846062</v>
      </c>
      <c r="GP55" s="156">
        <v>0.32307692307692287</v>
      </c>
      <c r="GQ55" s="156">
        <v>0.24615384615384567</v>
      </c>
      <c r="GR55" s="156">
        <v>0.19999999999999973</v>
      </c>
      <c r="GS55" s="162">
        <v>65</v>
      </c>
      <c r="GT55" s="163">
        <v>2.7538461538461538</v>
      </c>
      <c r="GU55" s="162">
        <v>65</v>
      </c>
      <c r="GV55" s="155">
        <v>0.90909090909090962</v>
      </c>
      <c r="GW55" s="156">
        <v>9.0909090909091106E-2</v>
      </c>
      <c r="GX55" s="162">
        <v>22</v>
      </c>
      <c r="GY55" s="155">
        <v>0.97368421052631648</v>
      </c>
      <c r="GZ55" s="156">
        <v>2.6315789473684199E-2</v>
      </c>
      <c r="HA55" s="162">
        <v>38</v>
      </c>
      <c r="HB55" s="155">
        <v>0.84482758620689569</v>
      </c>
      <c r="HC55" s="156">
        <v>0.15517241379310337</v>
      </c>
      <c r="HD55" s="162">
        <v>58</v>
      </c>
      <c r="HE55" s="161">
        <v>0.69444444444444375</v>
      </c>
      <c r="HF55" s="156">
        <v>0.30555555555555608</v>
      </c>
      <c r="HG55" s="162">
        <v>36</v>
      </c>
      <c r="HH55" s="155">
        <v>0.49999999999999983</v>
      </c>
      <c r="HI55" s="156">
        <v>0.49999999999999983</v>
      </c>
      <c r="HJ55" s="162">
        <v>66</v>
      </c>
      <c r="HK55" s="155">
        <v>1</v>
      </c>
      <c r="HL55" s="156">
        <v>0</v>
      </c>
      <c r="HM55" s="162">
        <v>62</v>
      </c>
      <c r="HN55" s="161">
        <v>0.14754098360655712</v>
      </c>
      <c r="HO55" s="156">
        <v>0.26229508196721318</v>
      </c>
      <c r="HP55" s="156">
        <v>0.19672131147540989</v>
      </c>
      <c r="HQ55" s="156">
        <v>0.29508196721311425</v>
      </c>
      <c r="HR55" s="156">
        <v>9.8360655737704944E-2</v>
      </c>
      <c r="HS55" s="160">
        <v>51.180327868852501</v>
      </c>
      <c r="HT55" s="164">
        <v>61</v>
      </c>
      <c r="HU55" s="165">
        <v>9.6153846153846159E-2</v>
      </c>
      <c r="HV55" s="166">
        <v>5.7692307692307696E-2</v>
      </c>
      <c r="HW55" s="166">
        <v>5.7692307692307696E-2</v>
      </c>
      <c r="HX55" s="166">
        <v>0</v>
      </c>
      <c r="HY55" s="166">
        <v>7.6923076923076927E-2</v>
      </c>
      <c r="HZ55" s="166">
        <v>0.15384615384615385</v>
      </c>
      <c r="IA55" s="166">
        <v>0.13461538461538461</v>
      </c>
      <c r="IB55" s="166">
        <v>0.17307692307692307</v>
      </c>
      <c r="IC55" s="166">
        <v>0.13461538461538461</v>
      </c>
      <c r="ID55" s="166">
        <v>0.11538461538461539</v>
      </c>
      <c r="IE55" s="167">
        <v>52</v>
      </c>
      <c r="IF55" s="155">
        <v>0</v>
      </c>
      <c r="IG55" s="156">
        <v>0.25</v>
      </c>
      <c r="IH55" s="156">
        <v>0.25</v>
      </c>
      <c r="II55" s="156">
        <v>0</v>
      </c>
      <c r="IJ55" s="156">
        <v>0.5</v>
      </c>
      <c r="IK55" s="162">
        <v>4</v>
      </c>
      <c r="IL55" s="155">
        <v>1.6129032258064491E-2</v>
      </c>
      <c r="IM55" s="156">
        <v>1.6129032258064491E-2</v>
      </c>
      <c r="IN55" s="156">
        <v>1.6129032258064491E-2</v>
      </c>
      <c r="IO55" s="156">
        <v>0.95161290322580561</v>
      </c>
      <c r="IP55" s="156">
        <v>0</v>
      </c>
      <c r="IQ55" s="162">
        <v>62</v>
      </c>
      <c r="IR55" s="155">
        <v>0.12068965517241387</v>
      </c>
      <c r="IS55" s="156">
        <v>0.87931034482758752</v>
      </c>
      <c r="IT55" s="162">
        <v>58</v>
      </c>
      <c r="IU55" s="161">
        <v>0</v>
      </c>
      <c r="IV55" s="156">
        <v>0.42857142857142849</v>
      </c>
      <c r="IW55" s="156">
        <v>0.57142857142857129</v>
      </c>
      <c r="IX55" s="162">
        <v>7</v>
      </c>
    </row>
    <row r="56" spans="1:258" ht="32.1" customHeight="1" x14ac:dyDescent="0.25">
      <c r="A56" s="110" t="s">
        <v>453</v>
      </c>
      <c r="B56" s="108" t="s">
        <v>584</v>
      </c>
      <c r="C56" s="108" t="s">
        <v>454</v>
      </c>
      <c r="D56" s="109">
        <v>187</v>
      </c>
      <c r="E56" s="139" t="s">
        <v>506</v>
      </c>
      <c r="F56" s="155">
        <v>0.16000000000000003</v>
      </c>
      <c r="G56" s="156">
        <v>0.84</v>
      </c>
      <c r="H56" s="157">
        <v>75</v>
      </c>
      <c r="I56" s="155">
        <v>0.78688524590163966</v>
      </c>
      <c r="J56" s="156">
        <v>0.21311475409836042</v>
      </c>
      <c r="K56" s="157">
        <v>61</v>
      </c>
      <c r="L56" s="155">
        <v>0.56521739130434823</v>
      </c>
      <c r="M56" s="156">
        <v>0.43478260869565233</v>
      </c>
      <c r="N56" s="157">
        <v>46</v>
      </c>
      <c r="O56" s="155">
        <v>0.11842105263157889</v>
      </c>
      <c r="P56" s="156">
        <v>0.10526315789473681</v>
      </c>
      <c r="Q56" s="156">
        <v>0.38157894736842057</v>
      </c>
      <c r="R56" s="156">
        <v>2.6315789473684202E-2</v>
      </c>
      <c r="S56" s="156">
        <v>0.32894736842105227</v>
      </c>
      <c r="T56" s="156">
        <v>5.2631578947368404E-2</v>
      </c>
      <c r="U56" s="156">
        <v>2.6315789473684202E-2</v>
      </c>
      <c r="V56" s="156">
        <v>0.18421052631578963</v>
      </c>
      <c r="W56" s="156">
        <v>5.2631578947368404E-2</v>
      </c>
      <c r="X56" s="156">
        <v>0.14473684210526336</v>
      </c>
      <c r="Y56" s="157">
        <v>76</v>
      </c>
      <c r="Z56" s="155">
        <v>0.79710144927536108</v>
      </c>
      <c r="AA56" s="156">
        <v>0.36231884057971064</v>
      </c>
      <c r="AB56" s="156">
        <v>0.4637681159420291</v>
      </c>
      <c r="AC56" s="156">
        <v>0.4637681159420291</v>
      </c>
      <c r="AD56" s="156">
        <v>5.7971014492753652E-2</v>
      </c>
      <c r="AE56" s="156">
        <v>0.21739130434782566</v>
      </c>
      <c r="AF56" s="157">
        <v>69</v>
      </c>
      <c r="AG56" s="158">
        <v>9.8219178082191778</v>
      </c>
      <c r="AH56" s="159">
        <v>73</v>
      </c>
      <c r="AI56" s="160">
        <v>9.8243243243243565</v>
      </c>
      <c r="AJ56" s="159">
        <v>74</v>
      </c>
      <c r="AK56" s="160">
        <v>9.8028169014084821</v>
      </c>
      <c r="AL56" s="157">
        <v>71</v>
      </c>
      <c r="AM56" s="155">
        <v>0.5135135135135136</v>
      </c>
      <c r="AN56" s="156">
        <v>0.40540540540540493</v>
      </c>
      <c r="AO56" s="156">
        <v>5.405405405405414E-2</v>
      </c>
      <c r="AP56" s="156">
        <v>1.3513513513513535E-2</v>
      </c>
      <c r="AQ56" s="156">
        <v>1.3513513513513535E-2</v>
      </c>
      <c r="AR56" s="157">
        <v>74</v>
      </c>
      <c r="AS56" s="155">
        <v>0.75342465753424459</v>
      </c>
      <c r="AT56" s="156">
        <v>0.2054794520547944</v>
      </c>
      <c r="AU56" s="156">
        <v>4.1095890410958881E-2</v>
      </c>
      <c r="AV56" s="156">
        <v>0</v>
      </c>
      <c r="AW56" s="156">
        <v>0</v>
      </c>
      <c r="AX56" s="157">
        <v>73</v>
      </c>
      <c r="AY56" s="155">
        <v>0.82666666666666788</v>
      </c>
      <c r="AZ56" s="156">
        <v>0.16000000000000003</v>
      </c>
      <c r="BA56" s="156">
        <v>1.3333333333333324E-2</v>
      </c>
      <c r="BB56" s="156">
        <v>0</v>
      </c>
      <c r="BC56" s="156">
        <v>0</v>
      </c>
      <c r="BD56" s="157">
        <v>75</v>
      </c>
      <c r="BE56" s="155">
        <v>0.88157894736842268</v>
      </c>
      <c r="BF56" s="156">
        <v>0.11842105263157912</v>
      </c>
      <c r="BG56" s="156">
        <v>0</v>
      </c>
      <c r="BH56" s="156">
        <v>0</v>
      </c>
      <c r="BI56" s="156">
        <v>0</v>
      </c>
      <c r="BJ56" s="157">
        <v>76</v>
      </c>
      <c r="BK56" s="155">
        <v>0.87837837837837729</v>
      </c>
      <c r="BL56" s="156">
        <v>0.12162162162162167</v>
      </c>
      <c r="BM56" s="156">
        <v>0</v>
      </c>
      <c r="BN56" s="156">
        <v>0</v>
      </c>
      <c r="BO56" s="156">
        <v>0</v>
      </c>
      <c r="BP56" s="157">
        <v>74</v>
      </c>
      <c r="BQ56" s="155">
        <v>0.94736842105263297</v>
      </c>
      <c r="BR56" s="156">
        <v>5.2631578947368363E-2</v>
      </c>
      <c r="BS56" s="156">
        <v>0</v>
      </c>
      <c r="BT56" s="156">
        <v>0</v>
      </c>
      <c r="BU56" s="156">
        <v>0</v>
      </c>
      <c r="BV56" s="157">
        <v>76</v>
      </c>
      <c r="BW56" s="161">
        <v>0.79166666666666785</v>
      </c>
      <c r="BX56" s="156">
        <v>0.12500000000000003</v>
      </c>
      <c r="BY56" s="156">
        <v>4.166666666666672E-2</v>
      </c>
      <c r="BZ56" s="156">
        <v>2.083333333333336E-2</v>
      </c>
      <c r="CA56" s="156">
        <v>2.083333333333336E-2</v>
      </c>
      <c r="CB56" s="157">
        <v>48</v>
      </c>
      <c r="CC56" s="155">
        <v>0.81818181818181923</v>
      </c>
      <c r="CD56" s="156">
        <v>0.1515151515151518</v>
      </c>
      <c r="CE56" s="156">
        <v>0</v>
      </c>
      <c r="CF56" s="156">
        <v>0</v>
      </c>
      <c r="CG56" s="156">
        <v>3.0303030303030356E-2</v>
      </c>
      <c r="CH56" s="162">
        <v>33</v>
      </c>
      <c r="CI56" s="155">
        <v>0.5454545454545463</v>
      </c>
      <c r="CJ56" s="156">
        <v>0.40909090909090973</v>
      </c>
      <c r="CK56" s="156">
        <v>0</v>
      </c>
      <c r="CL56" s="156">
        <v>4.5454545454545574E-2</v>
      </c>
      <c r="CM56" s="156">
        <v>0</v>
      </c>
      <c r="CN56" s="162">
        <v>22</v>
      </c>
      <c r="CO56" s="155">
        <v>0.58823529411764808</v>
      </c>
      <c r="CP56" s="156">
        <v>0.32352941176470618</v>
      </c>
      <c r="CQ56" s="156">
        <v>8.8235294117647231E-2</v>
      </c>
      <c r="CR56" s="156">
        <v>0</v>
      </c>
      <c r="CS56" s="156">
        <v>0</v>
      </c>
      <c r="CT56" s="162">
        <v>34</v>
      </c>
      <c r="CU56" s="155">
        <v>0.64705882352941235</v>
      </c>
      <c r="CV56" s="156">
        <v>0.23529411764705871</v>
      </c>
      <c r="CW56" s="156">
        <v>0.11764705882352935</v>
      </c>
      <c r="CX56" s="156">
        <v>0</v>
      </c>
      <c r="CY56" s="156">
        <v>0</v>
      </c>
      <c r="CZ56" s="162">
        <v>34</v>
      </c>
      <c r="DA56" s="155">
        <v>0.61538461538461608</v>
      </c>
      <c r="DB56" s="156">
        <v>0.23076923076923067</v>
      </c>
      <c r="DC56" s="156">
        <v>0.11538461538461534</v>
      </c>
      <c r="DD56" s="156">
        <v>0</v>
      </c>
      <c r="DE56" s="156">
        <v>3.8461538461538526E-2</v>
      </c>
      <c r="DF56" s="162">
        <v>26</v>
      </c>
      <c r="DG56" s="155">
        <v>0.60000000000000009</v>
      </c>
      <c r="DH56" s="156">
        <v>0.32000000000000006</v>
      </c>
      <c r="DI56" s="156">
        <v>8.0000000000000016E-2</v>
      </c>
      <c r="DJ56" s="156">
        <v>0</v>
      </c>
      <c r="DK56" s="156">
        <v>0</v>
      </c>
      <c r="DL56" s="162">
        <v>25</v>
      </c>
      <c r="DM56" s="155">
        <v>0.50000000000000011</v>
      </c>
      <c r="DN56" s="156">
        <v>0.26923076923076972</v>
      </c>
      <c r="DO56" s="156">
        <v>0.11538461538461534</v>
      </c>
      <c r="DP56" s="156">
        <v>7.6923076923077052E-2</v>
      </c>
      <c r="DQ56" s="156">
        <v>3.8461538461538526E-2</v>
      </c>
      <c r="DR56" s="162">
        <v>26</v>
      </c>
      <c r="DS56" s="161">
        <v>0.66666666666666741</v>
      </c>
      <c r="DT56" s="156">
        <v>0.2</v>
      </c>
      <c r="DU56" s="156">
        <v>0.13333333333333328</v>
      </c>
      <c r="DV56" s="156">
        <v>0</v>
      </c>
      <c r="DW56" s="156">
        <v>0</v>
      </c>
      <c r="DX56" s="162">
        <v>15</v>
      </c>
      <c r="DY56" s="155">
        <v>0.98648648648648485</v>
      </c>
      <c r="DZ56" s="156">
        <v>1.3513513513513535E-2</v>
      </c>
      <c r="EA56" s="156">
        <v>0</v>
      </c>
      <c r="EB56" s="156">
        <v>0</v>
      </c>
      <c r="EC56" s="156">
        <v>0</v>
      </c>
      <c r="ED56" s="162">
        <v>74</v>
      </c>
      <c r="EE56" s="155">
        <v>0.72916666666666752</v>
      </c>
      <c r="EF56" s="156">
        <v>0.25000000000000006</v>
      </c>
      <c r="EG56" s="156">
        <v>2.083333333333336E-2</v>
      </c>
      <c r="EH56" s="156">
        <v>0</v>
      </c>
      <c r="EI56" s="156">
        <v>0</v>
      </c>
      <c r="EJ56" s="162">
        <v>48</v>
      </c>
      <c r="EK56" s="155">
        <v>0.80555555555555647</v>
      </c>
      <c r="EL56" s="156">
        <v>0.16666666666666688</v>
      </c>
      <c r="EM56" s="156">
        <v>0</v>
      </c>
      <c r="EN56" s="156">
        <v>2.7777777777777769E-2</v>
      </c>
      <c r="EO56" s="156">
        <v>0</v>
      </c>
      <c r="EP56" s="162">
        <v>36</v>
      </c>
      <c r="EQ56" s="155">
        <v>0.74603174603174727</v>
      </c>
      <c r="ER56" s="156">
        <v>0.23809523809523842</v>
      </c>
      <c r="ES56" s="156">
        <v>1.5873015873015876E-2</v>
      </c>
      <c r="ET56" s="156">
        <v>0</v>
      </c>
      <c r="EU56" s="156">
        <v>0</v>
      </c>
      <c r="EV56" s="162">
        <v>63</v>
      </c>
      <c r="EW56" s="155">
        <v>0.8360655737704924</v>
      </c>
      <c r="EX56" s="156">
        <v>0.16393442622950785</v>
      </c>
      <c r="EY56" s="156">
        <v>0</v>
      </c>
      <c r="EZ56" s="156">
        <v>0</v>
      </c>
      <c r="FA56" s="156">
        <v>0</v>
      </c>
      <c r="FB56" s="162">
        <v>61</v>
      </c>
      <c r="FC56" s="155">
        <v>0.78260869565217261</v>
      </c>
      <c r="FD56" s="156">
        <v>0.17391304347826067</v>
      </c>
      <c r="FE56" s="156">
        <v>4.3478260869565168E-2</v>
      </c>
      <c r="FF56" s="156">
        <v>0</v>
      </c>
      <c r="FG56" s="156">
        <v>0</v>
      </c>
      <c r="FH56" s="162">
        <v>23</v>
      </c>
      <c r="FI56" s="161">
        <v>0.71428571428571497</v>
      </c>
      <c r="FJ56" s="156">
        <v>0.21428571428571394</v>
      </c>
      <c r="FK56" s="156">
        <v>0</v>
      </c>
      <c r="FL56" s="156">
        <v>7.1428571428571411E-2</v>
      </c>
      <c r="FM56" s="156">
        <v>0</v>
      </c>
      <c r="FN56" s="162">
        <v>14</v>
      </c>
      <c r="FO56" s="155">
        <v>0</v>
      </c>
      <c r="FP56" s="156">
        <v>0</v>
      </c>
      <c r="FQ56" s="156">
        <v>0</v>
      </c>
      <c r="FR56" s="156">
        <v>0</v>
      </c>
      <c r="FS56" s="156">
        <v>0</v>
      </c>
      <c r="FT56" s="162">
        <v>0</v>
      </c>
      <c r="FU56" s="155">
        <v>0</v>
      </c>
      <c r="FV56" s="156">
        <v>0</v>
      </c>
      <c r="FW56" s="156">
        <v>0</v>
      </c>
      <c r="FX56" s="156">
        <v>0</v>
      </c>
      <c r="FY56" s="156">
        <v>0</v>
      </c>
      <c r="FZ56" s="162">
        <v>0</v>
      </c>
      <c r="GA56" s="161">
        <v>0</v>
      </c>
      <c r="GB56" s="156">
        <v>0</v>
      </c>
      <c r="GC56" s="156">
        <v>0</v>
      </c>
      <c r="GD56" s="156">
        <v>0</v>
      </c>
      <c r="GE56" s="156">
        <v>0</v>
      </c>
      <c r="GF56" s="162">
        <v>0</v>
      </c>
      <c r="GG56" s="158">
        <v>9.4444444444444553</v>
      </c>
      <c r="GH56" s="162">
        <v>63</v>
      </c>
      <c r="GI56" s="155">
        <v>0.75675675675675791</v>
      </c>
      <c r="GJ56" s="156">
        <v>9.4594594594594739E-2</v>
      </c>
      <c r="GK56" s="156">
        <v>6.7567567567567682E-2</v>
      </c>
      <c r="GL56" s="156">
        <v>4.0540540540540598E-2</v>
      </c>
      <c r="GM56" s="156">
        <v>4.0540540540540598E-2</v>
      </c>
      <c r="GN56" s="162">
        <v>74</v>
      </c>
      <c r="GO56" s="155">
        <v>0.64000000000000046</v>
      </c>
      <c r="GP56" s="156">
        <v>0.13333333333333328</v>
      </c>
      <c r="GQ56" s="156">
        <v>9.3333333333333532E-2</v>
      </c>
      <c r="GR56" s="156">
        <v>0.18666666666666706</v>
      </c>
      <c r="GS56" s="162">
        <v>75</v>
      </c>
      <c r="GT56" s="163">
        <v>2.8108108108108096</v>
      </c>
      <c r="GU56" s="162">
        <v>74</v>
      </c>
      <c r="GV56" s="155">
        <v>0.96000000000000019</v>
      </c>
      <c r="GW56" s="156">
        <v>4.0000000000000008E-2</v>
      </c>
      <c r="GX56" s="162">
        <v>25</v>
      </c>
      <c r="GY56" s="155">
        <v>1</v>
      </c>
      <c r="GZ56" s="156">
        <v>0</v>
      </c>
      <c r="HA56" s="162">
        <v>38</v>
      </c>
      <c r="HB56" s="155">
        <v>0.95161290322580672</v>
      </c>
      <c r="HC56" s="156">
        <v>4.8387096774193464E-2</v>
      </c>
      <c r="HD56" s="162">
        <v>62</v>
      </c>
      <c r="HE56" s="161">
        <v>0.9714285714285702</v>
      </c>
      <c r="HF56" s="156">
        <v>2.8571428571428577E-2</v>
      </c>
      <c r="HG56" s="162">
        <v>35</v>
      </c>
      <c r="HH56" s="155">
        <v>0.42857142857142788</v>
      </c>
      <c r="HI56" s="156">
        <v>0.57142857142857129</v>
      </c>
      <c r="HJ56" s="162">
        <v>70</v>
      </c>
      <c r="HK56" s="155">
        <v>1</v>
      </c>
      <c r="HL56" s="156">
        <v>0</v>
      </c>
      <c r="HM56" s="162">
        <v>67</v>
      </c>
      <c r="HN56" s="161">
        <v>1.6393442622950827E-2</v>
      </c>
      <c r="HO56" s="156">
        <v>0.16393442622950785</v>
      </c>
      <c r="HP56" s="156">
        <v>0.26229508196721324</v>
      </c>
      <c r="HQ56" s="156">
        <v>0.39344262295081983</v>
      </c>
      <c r="HR56" s="156">
        <v>0.16393442622950785</v>
      </c>
      <c r="HS56" s="160">
        <v>60.918032786885298</v>
      </c>
      <c r="HT56" s="164">
        <v>61</v>
      </c>
      <c r="HU56" s="165">
        <v>1.4492753623188406E-2</v>
      </c>
      <c r="HV56" s="166">
        <v>0</v>
      </c>
      <c r="HW56" s="166">
        <v>0.11594202898550725</v>
      </c>
      <c r="HX56" s="166">
        <v>1.4492753623188406E-2</v>
      </c>
      <c r="HY56" s="166">
        <v>0.10144927536231885</v>
      </c>
      <c r="HZ56" s="166">
        <v>0.11594202898550725</v>
      </c>
      <c r="IA56" s="166">
        <v>0.11594202898550725</v>
      </c>
      <c r="IB56" s="166">
        <v>0.13043478260869565</v>
      </c>
      <c r="IC56" s="166">
        <v>0.2318840579710145</v>
      </c>
      <c r="ID56" s="166">
        <v>0.15942028985507245</v>
      </c>
      <c r="IE56" s="167">
        <v>69</v>
      </c>
      <c r="IF56" s="155">
        <v>0</v>
      </c>
      <c r="IG56" s="156">
        <v>0</v>
      </c>
      <c r="IH56" s="156">
        <v>0</v>
      </c>
      <c r="II56" s="156">
        <v>0</v>
      </c>
      <c r="IJ56" s="156">
        <v>0</v>
      </c>
      <c r="IK56" s="162">
        <v>0</v>
      </c>
      <c r="IL56" s="155">
        <v>1.4285714285714289E-2</v>
      </c>
      <c r="IM56" s="156">
        <v>0</v>
      </c>
      <c r="IN56" s="156">
        <v>1.4285714285714289E-2</v>
      </c>
      <c r="IO56" s="156">
        <v>0.95714285714285641</v>
      </c>
      <c r="IP56" s="156">
        <v>1.4285714285714289E-2</v>
      </c>
      <c r="IQ56" s="162">
        <v>70</v>
      </c>
      <c r="IR56" s="155">
        <v>0.15942028985507251</v>
      </c>
      <c r="IS56" s="156">
        <v>0.84057971014492905</v>
      </c>
      <c r="IT56" s="162">
        <v>69</v>
      </c>
      <c r="IU56" s="161">
        <v>0</v>
      </c>
      <c r="IV56" s="156">
        <v>0</v>
      </c>
      <c r="IW56" s="156">
        <v>1</v>
      </c>
      <c r="IX56" s="162">
        <v>11</v>
      </c>
    </row>
    <row r="57" spans="1:258" ht="32.1" customHeight="1" x14ac:dyDescent="0.25">
      <c r="A57" s="110" t="s">
        <v>453</v>
      </c>
      <c r="B57" s="108" t="s">
        <v>586</v>
      </c>
      <c r="C57" s="108" t="s">
        <v>454</v>
      </c>
      <c r="D57" s="109">
        <v>191</v>
      </c>
      <c r="E57" s="139" t="s">
        <v>507</v>
      </c>
      <c r="F57" s="155">
        <v>0.34482758620689624</v>
      </c>
      <c r="G57" s="156">
        <v>0.6551724137931042</v>
      </c>
      <c r="H57" s="157">
        <v>116</v>
      </c>
      <c r="I57" s="155">
        <v>0.76712328767123228</v>
      </c>
      <c r="J57" s="156">
        <v>0.23287671232876669</v>
      </c>
      <c r="K57" s="157">
        <v>73</v>
      </c>
      <c r="L57" s="155">
        <v>0.49019607843137231</v>
      </c>
      <c r="M57" s="156">
        <v>0.50980392156862731</v>
      </c>
      <c r="N57" s="157">
        <v>51</v>
      </c>
      <c r="O57" s="155">
        <v>0.12931034482758591</v>
      </c>
      <c r="P57" s="156">
        <v>0.25862068965517176</v>
      </c>
      <c r="Q57" s="156">
        <v>0.24999999999999983</v>
      </c>
      <c r="R57" s="156">
        <v>0</v>
      </c>
      <c r="S57" s="156">
        <v>0.28448275862068978</v>
      </c>
      <c r="T57" s="156">
        <v>6.896551724137906E-2</v>
      </c>
      <c r="U57" s="156">
        <v>0.1551724137931032</v>
      </c>
      <c r="V57" s="156">
        <v>0.13793103448275812</v>
      </c>
      <c r="W57" s="156">
        <v>4.3103448275862079E-2</v>
      </c>
      <c r="X57" s="156">
        <v>0.12931034482758591</v>
      </c>
      <c r="Y57" s="157">
        <v>116</v>
      </c>
      <c r="Z57" s="155">
        <v>0.62499999999999989</v>
      </c>
      <c r="AA57" s="156">
        <v>0.67857142857142971</v>
      </c>
      <c r="AB57" s="156">
        <v>0.39285714285714379</v>
      </c>
      <c r="AC57" s="156">
        <v>0.3839285714285699</v>
      </c>
      <c r="AD57" s="156">
        <v>8.0357142857142502E-2</v>
      </c>
      <c r="AE57" s="156">
        <v>0.18749999999999992</v>
      </c>
      <c r="AF57" s="157">
        <v>112</v>
      </c>
      <c r="AG57" s="158">
        <v>9.9009009009009095</v>
      </c>
      <c r="AH57" s="159">
        <v>111</v>
      </c>
      <c r="AI57" s="160">
        <v>9.9464285714285872</v>
      </c>
      <c r="AJ57" s="159">
        <v>112</v>
      </c>
      <c r="AK57" s="160">
        <v>9.9459459459459669</v>
      </c>
      <c r="AL57" s="157">
        <v>111</v>
      </c>
      <c r="AM57" s="155">
        <v>0.74774774774774588</v>
      </c>
      <c r="AN57" s="156">
        <v>0.18918918918918876</v>
      </c>
      <c r="AO57" s="156">
        <v>4.5045045045045057E-2</v>
      </c>
      <c r="AP57" s="156">
        <v>1.8018018018017942E-2</v>
      </c>
      <c r="AQ57" s="156">
        <v>0</v>
      </c>
      <c r="AR57" s="157">
        <v>111</v>
      </c>
      <c r="AS57" s="155">
        <v>0.85840707964602037</v>
      </c>
      <c r="AT57" s="156">
        <v>0.1327433628318585</v>
      </c>
      <c r="AU57" s="156">
        <v>8.8495575221238885E-3</v>
      </c>
      <c r="AV57" s="156">
        <v>0</v>
      </c>
      <c r="AW57" s="156">
        <v>0</v>
      </c>
      <c r="AX57" s="157">
        <v>113</v>
      </c>
      <c r="AY57" s="155">
        <v>0.65486725663716949</v>
      </c>
      <c r="AZ57" s="156">
        <v>0.25663716814159221</v>
      </c>
      <c r="BA57" s="156">
        <v>7.9646017699114946E-2</v>
      </c>
      <c r="BB57" s="156">
        <v>8.8495575221238885E-3</v>
      </c>
      <c r="BC57" s="156">
        <v>0</v>
      </c>
      <c r="BD57" s="157">
        <v>113</v>
      </c>
      <c r="BE57" s="155">
        <v>0.88888888888888729</v>
      </c>
      <c r="BF57" s="156">
        <v>0.11111111111111088</v>
      </c>
      <c r="BG57" s="156">
        <v>0</v>
      </c>
      <c r="BH57" s="156">
        <v>0</v>
      </c>
      <c r="BI57" s="156">
        <v>0</v>
      </c>
      <c r="BJ57" s="157">
        <v>117</v>
      </c>
      <c r="BK57" s="155">
        <v>0.839622641509432</v>
      </c>
      <c r="BL57" s="156">
        <v>0.1509433962264147</v>
      </c>
      <c r="BM57" s="156">
        <v>9.4339622641509188E-3</v>
      </c>
      <c r="BN57" s="156">
        <v>0</v>
      </c>
      <c r="BO57" s="156">
        <v>0</v>
      </c>
      <c r="BP57" s="157">
        <v>106</v>
      </c>
      <c r="BQ57" s="155">
        <v>0.94017094017093883</v>
      </c>
      <c r="BR57" s="156">
        <v>5.9829059829059776E-2</v>
      </c>
      <c r="BS57" s="156">
        <v>0</v>
      </c>
      <c r="BT57" s="156">
        <v>0</v>
      </c>
      <c r="BU57" s="156">
        <v>0</v>
      </c>
      <c r="BV57" s="157">
        <v>117</v>
      </c>
      <c r="BW57" s="161">
        <v>0.86842105263157887</v>
      </c>
      <c r="BX57" s="156">
        <v>0.11842105263157904</v>
      </c>
      <c r="BY57" s="156">
        <v>1.3157894736842099E-2</v>
      </c>
      <c r="BZ57" s="156">
        <v>0</v>
      </c>
      <c r="CA57" s="156">
        <v>0</v>
      </c>
      <c r="CB57" s="157">
        <v>76</v>
      </c>
      <c r="CC57" s="155">
        <v>0.88059701492537112</v>
      </c>
      <c r="CD57" s="156">
        <v>0.11940298507462714</v>
      </c>
      <c r="CE57" s="156">
        <v>0</v>
      </c>
      <c r="CF57" s="156">
        <v>0</v>
      </c>
      <c r="CG57" s="156">
        <v>0</v>
      </c>
      <c r="CH57" s="162">
        <v>67</v>
      </c>
      <c r="CI57" s="155">
        <v>0.84210526315789525</v>
      </c>
      <c r="CJ57" s="156">
        <v>0.14035087719298203</v>
      </c>
      <c r="CK57" s="156">
        <v>0</v>
      </c>
      <c r="CL57" s="156">
        <v>1.7543859649122754E-2</v>
      </c>
      <c r="CM57" s="156">
        <v>0</v>
      </c>
      <c r="CN57" s="162">
        <v>57</v>
      </c>
      <c r="CO57" s="155">
        <v>0.74137931034482618</v>
      </c>
      <c r="CP57" s="156">
        <v>0.22413793103448335</v>
      </c>
      <c r="CQ57" s="156">
        <v>3.4482758620689571E-2</v>
      </c>
      <c r="CR57" s="156">
        <v>0</v>
      </c>
      <c r="CS57" s="156">
        <v>0</v>
      </c>
      <c r="CT57" s="162">
        <v>58</v>
      </c>
      <c r="CU57" s="155">
        <v>0.62295081967213206</v>
      </c>
      <c r="CV57" s="156">
        <v>0.32786885245901531</v>
      </c>
      <c r="CW57" s="156">
        <v>4.9180327868852347E-2</v>
      </c>
      <c r="CX57" s="156">
        <v>0</v>
      </c>
      <c r="CY57" s="156">
        <v>0</v>
      </c>
      <c r="CZ57" s="162">
        <v>61</v>
      </c>
      <c r="DA57" s="155">
        <v>0.72093023255813771</v>
      </c>
      <c r="DB57" s="156">
        <v>0.25581395348837271</v>
      </c>
      <c r="DC57" s="156">
        <v>2.3255813953488379E-2</v>
      </c>
      <c r="DD57" s="156">
        <v>0</v>
      </c>
      <c r="DE57" s="156">
        <v>0</v>
      </c>
      <c r="DF57" s="162">
        <v>43</v>
      </c>
      <c r="DG57" s="155">
        <v>0.81578947368421095</v>
      </c>
      <c r="DH57" s="156">
        <v>0.1578947368421057</v>
      </c>
      <c r="DI57" s="156">
        <v>2.6315789473684226E-2</v>
      </c>
      <c r="DJ57" s="156">
        <v>0</v>
      </c>
      <c r="DK57" s="156">
        <v>0</v>
      </c>
      <c r="DL57" s="162">
        <v>38</v>
      </c>
      <c r="DM57" s="155">
        <v>0.77499999999999991</v>
      </c>
      <c r="DN57" s="156">
        <v>0.17499999999999996</v>
      </c>
      <c r="DO57" s="156">
        <v>4.9999999999999989E-2</v>
      </c>
      <c r="DP57" s="156">
        <v>0</v>
      </c>
      <c r="DQ57" s="156">
        <v>0</v>
      </c>
      <c r="DR57" s="162">
        <v>40</v>
      </c>
      <c r="DS57" s="161">
        <v>0.80000000000000016</v>
      </c>
      <c r="DT57" s="156">
        <v>0.13333333333333308</v>
      </c>
      <c r="DU57" s="156">
        <v>6.6666666666666541E-2</v>
      </c>
      <c r="DV57" s="156">
        <v>0</v>
      </c>
      <c r="DW57" s="156">
        <v>0</v>
      </c>
      <c r="DX57" s="162">
        <v>30</v>
      </c>
      <c r="DY57" s="155">
        <v>0.91304347826086674</v>
      </c>
      <c r="DZ57" s="156">
        <v>8.6956521739130113E-2</v>
      </c>
      <c r="EA57" s="156">
        <v>0</v>
      </c>
      <c r="EB57" s="156">
        <v>0</v>
      </c>
      <c r="EC57" s="156">
        <v>0</v>
      </c>
      <c r="ED57" s="162">
        <v>115</v>
      </c>
      <c r="EE57" s="155">
        <v>0.85714285714285732</v>
      </c>
      <c r="EF57" s="156">
        <v>0.14285714285714235</v>
      </c>
      <c r="EG57" s="156">
        <v>0</v>
      </c>
      <c r="EH57" s="156">
        <v>0</v>
      </c>
      <c r="EI57" s="156">
        <v>0</v>
      </c>
      <c r="EJ57" s="162">
        <v>84</v>
      </c>
      <c r="EK57" s="155">
        <v>0.87301587301587136</v>
      </c>
      <c r="EL57" s="156">
        <v>0.12698412698412712</v>
      </c>
      <c r="EM57" s="156">
        <v>0</v>
      </c>
      <c r="EN57" s="156">
        <v>0</v>
      </c>
      <c r="EO57" s="156">
        <v>0</v>
      </c>
      <c r="EP57" s="162">
        <v>63</v>
      </c>
      <c r="EQ57" s="155">
        <v>0.88524590163934247</v>
      </c>
      <c r="ER57" s="156">
        <v>0.11475409836065577</v>
      </c>
      <c r="ES57" s="156">
        <v>0</v>
      </c>
      <c r="ET57" s="156">
        <v>0</v>
      </c>
      <c r="EU57" s="156">
        <v>0</v>
      </c>
      <c r="EV57" s="162">
        <v>61</v>
      </c>
      <c r="EW57" s="155">
        <v>0.86885245901639641</v>
      </c>
      <c r="EX57" s="156">
        <v>0.13114754098360659</v>
      </c>
      <c r="EY57" s="156">
        <v>0</v>
      </c>
      <c r="EZ57" s="156">
        <v>0</v>
      </c>
      <c r="FA57" s="156">
        <v>0</v>
      </c>
      <c r="FB57" s="162">
        <v>61</v>
      </c>
      <c r="FC57" s="155">
        <v>0.81012658227848089</v>
      </c>
      <c r="FD57" s="156">
        <v>0.16455696202531678</v>
      </c>
      <c r="FE57" s="156">
        <v>2.5316455696202521E-2</v>
      </c>
      <c r="FF57" s="156">
        <v>0</v>
      </c>
      <c r="FG57" s="156">
        <v>0</v>
      </c>
      <c r="FH57" s="162">
        <v>79</v>
      </c>
      <c r="FI57" s="161">
        <v>0.75609756097561143</v>
      </c>
      <c r="FJ57" s="156">
        <v>0.21951219512195155</v>
      </c>
      <c r="FK57" s="156">
        <v>2.4390243902439015E-2</v>
      </c>
      <c r="FL57" s="156">
        <v>0</v>
      </c>
      <c r="FM57" s="156">
        <v>0</v>
      </c>
      <c r="FN57" s="162">
        <v>41</v>
      </c>
      <c r="FO57" s="155">
        <v>0</v>
      </c>
      <c r="FP57" s="156">
        <v>0</v>
      </c>
      <c r="FQ57" s="156">
        <v>0</v>
      </c>
      <c r="FR57" s="156">
        <v>0</v>
      </c>
      <c r="FS57" s="156">
        <v>0</v>
      </c>
      <c r="FT57" s="162">
        <v>0</v>
      </c>
      <c r="FU57" s="155">
        <v>0</v>
      </c>
      <c r="FV57" s="156">
        <v>0</v>
      </c>
      <c r="FW57" s="156">
        <v>0</v>
      </c>
      <c r="FX57" s="156">
        <v>0</v>
      </c>
      <c r="FY57" s="156">
        <v>0</v>
      </c>
      <c r="FZ57" s="162">
        <v>0</v>
      </c>
      <c r="GA57" s="161">
        <v>0</v>
      </c>
      <c r="GB57" s="156">
        <v>0</v>
      </c>
      <c r="GC57" s="156">
        <v>0</v>
      </c>
      <c r="GD57" s="156">
        <v>0</v>
      </c>
      <c r="GE57" s="156">
        <v>0</v>
      </c>
      <c r="GF57" s="162">
        <v>0</v>
      </c>
      <c r="GG57" s="158">
        <v>9.6727272727272755</v>
      </c>
      <c r="GH57" s="162">
        <v>110</v>
      </c>
      <c r="GI57" s="155">
        <v>0.84210526315789525</v>
      </c>
      <c r="GJ57" s="156">
        <v>7.0175438596491016E-2</v>
      </c>
      <c r="GK57" s="156">
        <v>7.0175438596491016E-2</v>
      </c>
      <c r="GL57" s="156">
        <v>0</v>
      </c>
      <c r="GM57" s="156">
        <v>1.7543859649122754E-2</v>
      </c>
      <c r="GN57" s="162">
        <v>114</v>
      </c>
      <c r="GO57" s="155">
        <v>0.51818181818181708</v>
      </c>
      <c r="GP57" s="156">
        <v>0.29090909090908978</v>
      </c>
      <c r="GQ57" s="156">
        <v>6.3636363636363574E-2</v>
      </c>
      <c r="GR57" s="156">
        <v>0.20909090909090816</v>
      </c>
      <c r="GS57" s="162">
        <v>110</v>
      </c>
      <c r="GT57" s="163">
        <v>3.2612612612612644</v>
      </c>
      <c r="GU57" s="162">
        <v>111</v>
      </c>
      <c r="GV57" s="155">
        <v>0.93846153846154123</v>
      </c>
      <c r="GW57" s="156">
        <v>6.1538461538461604E-2</v>
      </c>
      <c r="GX57" s="162">
        <v>65</v>
      </c>
      <c r="GY57" s="155">
        <v>0.98412698412698285</v>
      </c>
      <c r="GZ57" s="156">
        <v>1.5873015873015889E-2</v>
      </c>
      <c r="HA57" s="162">
        <v>63</v>
      </c>
      <c r="HB57" s="155">
        <v>0.95959595959595834</v>
      </c>
      <c r="HC57" s="156">
        <v>4.0404040404040407E-2</v>
      </c>
      <c r="HD57" s="162">
        <v>99</v>
      </c>
      <c r="HE57" s="161">
        <v>0.93421052631578749</v>
      </c>
      <c r="HF57" s="156">
        <v>6.5789473684210412E-2</v>
      </c>
      <c r="HG57" s="162">
        <v>76</v>
      </c>
      <c r="HH57" s="155">
        <v>0.44859813084111994</v>
      </c>
      <c r="HI57" s="156">
        <v>0.5514018691588789</v>
      </c>
      <c r="HJ57" s="162">
        <v>107</v>
      </c>
      <c r="HK57" s="155">
        <v>1</v>
      </c>
      <c r="HL57" s="156">
        <v>0</v>
      </c>
      <c r="HM57" s="162">
        <v>93</v>
      </c>
      <c r="HN57" s="161">
        <v>3.0612244897959079E-2</v>
      </c>
      <c r="HO57" s="156">
        <v>0.14285714285714235</v>
      </c>
      <c r="HP57" s="156">
        <v>0.3469387755102033</v>
      </c>
      <c r="HQ57" s="156">
        <v>0.26530612244897867</v>
      </c>
      <c r="HR57" s="156">
        <v>0.21428571428571427</v>
      </c>
      <c r="HS57" s="160">
        <v>60.969387755101877</v>
      </c>
      <c r="HT57" s="164">
        <v>98</v>
      </c>
      <c r="HU57" s="165">
        <v>2.3529411764705882E-2</v>
      </c>
      <c r="HV57" s="166">
        <v>4.7058823529411764E-2</v>
      </c>
      <c r="HW57" s="166">
        <v>3.5294117647058823E-2</v>
      </c>
      <c r="HX57" s="166">
        <v>7.0588235294117646E-2</v>
      </c>
      <c r="HY57" s="166">
        <v>0.10588235294117647</v>
      </c>
      <c r="HZ57" s="166">
        <v>0.11764705882352941</v>
      </c>
      <c r="IA57" s="166">
        <v>0.17647058823529413</v>
      </c>
      <c r="IB57" s="166">
        <v>0.12941176470588237</v>
      </c>
      <c r="IC57" s="166">
        <v>5.8823529411764705E-2</v>
      </c>
      <c r="ID57" s="166">
        <v>0.23529411764705882</v>
      </c>
      <c r="IE57" s="167">
        <v>85</v>
      </c>
      <c r="IF57" s="155">
        <v>0</v>
      </c>
      <c r="IG57" s="156">
        <v>0</v>
      </c>
      <c r="IH57" s="156">
        <v>0</v>
      </c>
      <c r="II57" s="156">
        <v>0</v>
      </c>
      <c r="IJ57" s="156">
        <v>0</v>
      </c>
      <c r="IK57" s="162">
        <v>0</v>
      </c>
      <c r="IL57" s="155">
        <v>0</v>
      </c>
      <c r="IM57" s="156">
        <v>9.5238095238094986E-3</v>
      </c>
      <c r="IN57" s="156">
        <v>9.5238095238094986E-3</v>
      </c>
      <c r="IO57" s="156">
        <v>0.98095238095238402</v>
      </c>
      <c r="IP57" s="156">
        <v>0</v>
      </c>
      <c r="IQ57" s="162">
        <v>105</v>
      </c>
      <c r="IR57" s="155">
        <v>0.1826923076923076</v>
      </c>
      <c r="IS57" s="156">
        <v>0.81730769230769384</v>
      </c>
      <c r="IT57" s="162">
        <v>104</v>
      </c>
      <c r="IU57" s="161">
        <v>0</v>
      </c>
      <c r="IV57" s="156">
        <v>6.2499999999999993E-2</v>
      </c>
      <c r="IW57" s="156">
        <v>0.93750000000000011</v>
      </c>
      <c r="IX57" s="162">
        <v>16</v>
      </c>
    </row>
    <row r="58" spans="1:258" ht="32.1" customHeight="1" x14ac:dyDescent="0.25">
      <c r="A58" s="110" t="s">
        <v>453</v>
      </c>
      <c r="B58" s="108" t="s">
        <v>586</v>
      </c>
      <c r="C58" s="108" t="s">
        <v>454</v>
      </c>
      <c r="D58" s="109">
        <v>192</v>
      </c>
      <c r="E58" s="139" t="s">
        <v>508</v>
      </c>
      <c r="F58" s="155">
        <v>0.3877551020408167</v>
      </c>
      <c r="G58" s="156">
        <v>0.61224489795918402</v>
      </c>
      <c r="H58" s="157">
        <v>49</v>
      </c>
      <c r="I58" s="155">
        <v>0.7241379310344831</v>
      </c>
      <c r="J58" s="156">
        <v>0.27586206896551735</v>
      </c>
      <c r="K58" s="157">
        <v>29</v>
      </c>
      <c r="L58" s="155">
        <v>0.45000000000000007</v>
      </c>
      <c r="M58" s="156">
        <v>0.55000000000000004</v>
      </c>
      <c r="N58" s="157">
        <v>20</v>
      </c>
      <c r="O58" s="155">
        <v>0.5</v>
      </c>
      <c r="P58" s="156">
        <v>0.2799999999999998</v>
      </c>
      <c r="Q58" s="156">
        <v>6.0000000000000026E-2</v>
      </c>
      <c r="R58" s="156">
        <v>0</v>
      </c>
      <c r="S58" s="156">
        <v>0.33999999999999991</v>
      </c>
      <c r="T58" s="156">
        <v>4.0000000000000015E-2</v>
      </c>
      <c r="U58" s="156">
        <v>8.0000000000000029E-2</v>
      </c>
      <c r="V58" s="156">
        <v>0.16000000000000006</v>
      </c>
      <c r="W58" s="156">
        <v>0.1399999999999999</v>
      </c>
      <c r="X58" s="156">
        <v>6.0000000000000026E-2</v>
      </c>
      <c r="Y58" s="157">
        <v>50</v>
      </c>
      <c r="Z58" s="155">
        <v>0.73999999999999966</v>
      </c>
      <c r="AA58" s="156">
        <v>0.51999999999999968</v>
      </c>
      <c r="AB58" s="156">
        <v>0.5</v>
      </c>
      <c r="AC58" s="156">
        <v>0.60000000000000053</v>
      </c>
      <c r="AD58" s="156">
        <v>6.0000000000000026E-2</v>
      </c>
      <c r="AE58" s="156">
        <v>9.9999999999999964E-2</v>
      </c>
      <c r="AF58" s="157">
        <v>50</v>
      </c>
      <c r="AG58" s="158">
        <v>9.9387755102040813</v>
      </c>
      <c r="AH58" s="159">
        <v>49</v>
      </c>
      <c r="AI58" s="160">
        <v>9.9795918367346879</v>
      </c>
      <c r="AJ58" s="159">
        <v>49</v>
      </c>
      <c r="AK58" s="160">
        <v>9.9555555555555362</v>
      </c>
      <c r="AL58" s="157">
        <v>45</v>
      </c>
      <c r="AM58" s="155">
        <v>0.46666666666666662</v>
      </c>
      <c r="AN58" s="156">
        <v>0.37777777777777816</v>
      </c>
      <c r="AO58" s="156">
        <v>8.8888888888888976E-2</v>
      </c>
      <c r="AP58" s="156">
        <v>6.6666666666666693E-2</v>
      </c>
      <c r="AQ58" s="156">
        <v>0</v>
      </c>
      <c r="AR58" s="157">
        <v>45</v>
      </c>
      <c r="AS58" s="155">
        <v>0.91666666666666641</v>
      </c>
      <c r="AT58" s="156">
        <v>8.3333333333333287E-2</v>
      </c>
      <c r="AU58" s="156">
        <v>0</v>
      </c>
      <c r="AV58" s="156">
        <v>0</v>
      </c>
      <c r="AW58" s="156">
        <v>0</v>
      </c>
      <c r="AX58" s="157">
        <v>48</v>
      </c>
      <c r="AY58" s="155">
        <v>0.9787234042553189</v>
      </c>
      <c r="AZ58" s="156">
        <v>2.1276595744680837E-2</v>
      </c>
      <c r="BA58" s="156">
        <v>0</v>
      </c>
      <c r="BB58" s="156">
        <v>0</v>
      </c>
      <c r="BC58" s="156">
        <v>0</v>
      </c>
      <c r="BD58" s="157">
        <v>47</v>
      </c>
      <c r="BE58" s="155">
        <v>1</v>
      </c>
      <c r="BF58" s="156">
        <v>0</v>
      </c>
      <c r="BG58" s="156">
        <v>0</v>
      </c>
      <c r="BH58" s="156">
        <v>0</v>
      </c>
      <c r="BI58" s="156">
        <v>0</v>
      </c>
      <c r="BJ58" s="157">
        <v>46</v>
      </c>
      <c r="BK58" s="155">
        <v>0.83720930232558188</v>
      </c>
      <c r="BL58" s="156">
        <v>0.13953488372093031</v>
      </c>
      <c r="BM58" s="156">
        <v>0</v>
      </c>
      <c r="BN58" s="156">
        <v>2.3255813953488351E-2</v>
      </c>
      <c r="BO58" s="156">
        <v>0</v>
      </c>
      <c r="BP58" s="157">
        <v>43</v>
      </c>
      <c r="BQ58" s="155">
        <v>0.91111111111111198</v>
      </c>
      <c r="BR58" s="156">
        <v>8.8888888888888976E-2</v>
      </c>
      <c r="BS58" s="156">
        <v>0</v>
      </c>
      <c r="BT58" s="156">
        <v>0</v>
      </c>
      <c r="BU58" s="156">
        <v>0</v>
      </c>
      <c r="BV58" s="157">
        <v>45</v>
      </c>
      <c r="BW58" s="161">
        <v>0.71428571428571463</v>
      </c>
      <c r="BX58" s="156">
        <v>0.14285714285714296</v>
      </c>
      <c r="BY58" s="156">
        <v>7.142857142857148E-2</v>
      </c>
      <c r="BZ58" s="156">
        <v>7.142857142857148E-2</v>
      </c>
      <c r="CA58" s="156">
        <v>0</v>
      </c>
      <c r="CB58" s="157">
        <v>42</v>
      </c>
      <c r="CC58" s="155">
        <v>0.39999999999999991</v>
      </c>
      <c r="CD58" s="156">
        <v>0.19999999999999996</v>
      </c>
      <c r="CE58" s="156">
        <v>0.39999999999999991</v>
      </c>
      <c r="CF58" s="156">
        <v>0</v>
      </c>
      <c r="CG58" s="156">
        <v>0</v>
      </c>
      <c r="CH58" s="162">
        <v>5</v>
      </c>
      <c r="CI58" s="155">
        <v>0.19999999999999996</v>
      </c>
      <c r="CJ58" s="156">
        <v>0.39999999999999991</v>
      </c>
      <c r="CK58" s="156">
        <v>0.39999999999999991</v>
      </c>
      <c r="CL58" s="156">
        <v>0</v>
      </c>
      <c r="CM58" s="156">
        <v>0</v>
      </c>
      <c r="CN58" s="162">
        <v>5</v>
      </c>
      <c r="CO58" s="155">
        <v>0.4</v>
      </c>
      <c r="CP58" s="156">
        <v>0.36666666666666692</v>
      </c>
      <c r="CQ58" s="156">
        <v>0.2</v>
      </c>
      <c r="CR58" s="156">
        <v>0</v>
      </c>
      <c r="CS58" s="156">
        <v>3.3333333333333347E-2</v>
      </c>
      <c r="CT58" s="162">
        <v>30</v>
      </c>
      <c r="CU58" s="155">
        <v>0.37931034482758613</v>
      </c>
      <c r="CV58" s="156">
        <v>0.44827586206896552</v>
      </c>
      <c r="CW58" s="156">
        <v>0.17241379310344848</v>
      </c>
      <c r="CX58" s="156">
        <v>0</v>
      </c>
      <c r="CY58" s="156">
        <v>0</v>
      </c>
      <c r="CZ58" s="162">
        <v>29</v>
      </c>
      <c r="DA58" s="155">
        <v>0.5294117647058828</v>
      </c>
      <c r="DB58" s="156">
        <v>0.35294117647058798</v>
      </c>
      <c r="DC58" s="156">
        <v>0.11764705882352933</v>
      </c>
      <c r="DD58" s="156">
        <v>0</v>
      </c>
      <c r="DE58" s="156">
        <v>0</v>
      </c>
      <c r="DF58" s="162">
        <v>17</v>
      </c>
      <c r="DG58" s="155">
        <v>0.41176470588235309</v>
      </c>
      <c r="DH58" s="156">
        <v>0.5294117647058828</v>
      </c>
      <c r="DI58" s="156">
        <v>5.8823529411764663E-2</v>
      </c>
      <c r="DJ58" s="156">
        <v>0</v>
      </c>
      <c r="DK58" s="156">
        <v>0</v>
      </c>
      <c r="DL58" s="162">
        <v>17</v>
      </c>
      <c r="DM58" s="155">
        <v>0.6875</v>
      </c>
      <c r="DN58" s="156">
        <v>0.18749999999999997</v>
      </c>
      <c r="DO58" s="156">
        <v>6.2499999999999993E-2</v>
      </c>
      <c r="DP58" s="156">
        <v>0</v>
      </c>
      <c r="DQ58" s="156">
        <v>6.2499999999999993E-2</v>
      </c>
      <c r="DR58" s="162">
        <v>16</v>
      </c>
      <c r="DS58" s="161">
        <v>0.45454545454545475</v>
      </c>
      <c r="DT58" s="156">
        <v>0.27272727272727254</v>
      </c>
      <c r="DU58" s="156">
        <v>0.18181818181818163</v>
      </c>
      <c r="DV58" s="156">
        <v>9.0909090909090814E-2</v>
      </c>
      <c r="DW58" s="156">
        <v>0</v>
      </c>
      <c r="DX58" s="162">
        <v>11</v>
      </c>
      <c r="DY58" s="155">
        <v>0.88095238095238115</v>
      </c>
      <c r="DZ58" s="156">
        <v>9.5238095238095205E-2</v>
      </c>
      <c r="EA58" s="156">
        <v>0</v>
      </c>
      <c r="EB58" s="156">
        <v>2.3809523809523801E-2</v>
      </c>
      <c r="EC58" s="156">
        <v>0</v>
      </c>
      <c r="ED58" s="162">
        <v>42</v>
      </c>
      <c r="EE58" s="155">
        <v>0.57142857142857184</v>
      </c>
      <c r="EF58" s="156">
        <v>0.2142857142857143</v>
      </c>
      <c r="EG58" s="156">
        <v>0.2142857142857143</v>
      </c>
      <c r="EH58" s="156">
        <v>0</v>
      </c>
      <c r="EI58" s="156">
        <v>0</v>
      </c>
      <c r="EJ58" s="162">
        <v>14</v>
      </c>
      <c r="EK58" s="155">
        <v>0.69230769230769185</v>
      </c>
      <c r="EL58" s="156">
        <v>0.15384615384615366</v>
      </c>
      <c r="EM58" s="156">
        <v>0.15384615384615366</v>
      </c>
      <c r="EN58" s="156">
        <v>0</v>
      </c>
      <c r="EO58" s="156">
        <v>0</v>
      </c>
      <c r="EP58" s="162">
        <v>13</v>
      </c>
      <c r="EQ58" s="155">
        <v>0.67741935483870874</v>
      </c>
      <c r="ER58" s="156">
        <v>0.25806451612903197</v>
      </c>
      <c r="ES58" s="156">
        <v>3.2258064516128997E-2</v>
      </c>
      <c r="ET58" s="156">
        <v>3.2258064516128997E-2</v>
      </c>
      <c r="EU58" s="156">
        <v>0</v>
      </c>
      <c r="EV58" s="162">
        <v>31</v>
      </c>
      <c r="EW58" s="155">
        <v>0.8</v>
      </c>
      <c r="EX58" s="156">
        <v>9.9999999999999978E-2</v>
      </c>
      <c r="EY58" s="156">
        <v>6.6666666666666693E-2</v>
      </c>
      <c r="EZ58" s="156">
        <v>3.3333333333333347E-2</v>
      </c>
      <c r="FA58" s="156">
        <v>0</v>
      </c>
      <c r="FB58" s="162">
        <v>30</v>
      </c>
      <c r="FC58" s="155">
        <v>0.44444444444444398</v>
      </c>
      <c r="FD58" s="156">
        <v>0.22222222222222199</v>
      </c>
      <c r="FE58" s="156">
        <v>0.11111111111111099</v>
      </c>
      <c r="FF58" s="156">
        <v>0.11111111111111099</v>
      </c>
      <c r="FG58" s="156">
        <v>0.11111111111111099</v>
      </c>
      <c r="FH58" s="162">
        <v>9</v>
      </c>
      <c r="FI58" s="161">
        <v>0.45454545454545475</v>
      </c>
      <c r="FJ58" s="156">
        <v>0.18181818181818163</v>
      </c>
      <c r="FK58" s="156">
        <v>0.18181818181818163</v>
      </c>
      <c r="FL58" s="156">
        <v>0</v>
      </c>
      <c r="FM58" s="156">
        <v>0.18181818181818163</v>
      </c>
      <c r="FN58" s="162">
        <v>11</v>
      </c>
      <c r="FO58" s="155">
        <v>0</v>
      </c>
      <c r="FP58" s="156">
        <v>0</v>
      </c>
      <c r="FQ58" s="156">
        <v>0</v>
      </c>
      <c r="FR58" s="156">
        <v>0</v>
      </c>
      <c r="FS58" s="156">
        <v>0</v>
      </c>
      <c r="FT58" s="162">
        <v>0</v>
      </c>
      <c r="FU58" s="155">
        <v>0</v>
      </c>
      <c r="FV58" s="156">
        <v>0</v>
      </c>
      <c r="FW58" s="156">
        <v>0</v>
      </c>
      <c r="FX58" s="156">
        <v>0</v>
      </c>
      <c r="FY58" s="156">
        <v>0</v>
      </c>
      <c r="FZ58" s="162">
        <v>0</v>
      </c>
      <c r="GA58" s="161">
        <v>0</v>
      </c>
      <c r="GB58" s="156">
        <v>0</v>
      </c>
      <c r="GC58" s="156">
        <v>0</v>
      </c>
      <c r="GD58" s="156">
        <v>0</v>
      </c>
      <c r="GE58" s="156">
        <v>0</v>
      </c>
      <c r="GF58" s="162">
        <v>0</v>
      </c>
      <c r="GG58" s="158">
        <v>9.2666666666666551</v>
      </c>
      <c r="GH58" s="162">
        <v>45</v>
      </c>
      <c r="GI58" s="155">
        <v>0.17777777777777795</v>
      </c>
      <c r="GJ58" s="156">
        <v>0.37777777777777816</v>
      </c>
      <c r="GK58" s="156">
        <v>0.33333333333333315</v>
      </c>
      <c r="GL58" s="156">
        <v>0.11111111111111099</v>
      </c>
      <c r="GM58" s="156">
        <v>0</v>
      </c>
      <c r="GN58" s="162">
        <v>45</v>
      </c>
      <c r="GO58" s="155">
        <v>0.53333333333333399</v>
      </c>
      <c r="GP58" s="156">
        <v>0.22222222222222202</v>
      </c>
      <c r="GQ58" s="156">
        <v>8.8888888888888892E-2</v>
      </c>
      <c r="GR58" s="156">
        <v>0.22222222222222202</v>
      </c>
      <c r="GS58" s="162">
        <v>45</v>
      </c>
      <c r="GT58" s="163">
        <v>2.4523809523809503</v>
      </c>
      <c r="GU58" s="162">
        <v>42</v>
      </c>
      <c r="GV58" s="155">
        <v>1</v>
      </c>
      <c r="GW58" s="156">
        <v>0</v>
      </c>
      <c r="GX58" s="162">
        <v>16</v>
      </c>
      <c r="GY58" s="155">
        <v>1</v>
      </c>
      <c r="GZ58" s="156">
        <v>0</v>
      </c>
      <c r="HA58" s="162">
        <v>29</v>
      </c>
      <c r="HB58" s="155">
        <v>0.85714285714285732</v>
      </c>
      <c r="HC58" s="156">
        <v>0.14285714285714296</v>
      </c>
      <c r="HD58" s="162">
        <v>42</v>
      </c>
      <c r="HE58" s="161">
        <v>0.92857142857142816</v>
      </c>
      <c r="HF58" s="156">
        <v>7.142857142857148E-2</v>
      </c>
      <c r="HG58" s="162">
        <v>28</v>
      </c>
      <c r="HH58" s="155">
        <v>0.6842105263157886</v>
      </c>
      <c r="HI58" s="156">
        <v>0.31578947368421045</v>
      </c>
      <c r="HJ58" s="162">
        <v>38</v>
      </c>
      <c r="HK58" s="155">
        <v>1</v>
      </c>
      <c r="HL58" s="156">
        <v>0</v>
      </c>
      <c r="HM58" s="162">
        <v>38</v>
      </c>
      <c r="HN58" s="161">
        <v>0.28947368421052638</v>
      </c>
      <c r="HO58" s="156">
        <v>0.21052631578947373</v>
      </c>
      <c r="HP58" s="156">
        <v>0.23684210526315816</v>
      </c>
      <c r="HQ58" s="156">
        <v>0.18421052631578955</v>
      </c>
      <c r="HR58" s="156">
        <v>7.8947368421052613E-2</v>
      </c>
      <c r="HS58" s="160">
        <v>45.789473684210463</v>
      </c>
      <c r="HT58" s="164">
        <v>38</v>
      </c>
      <c r="HU58" s="165">
        <v>0</v>
      </c>
      <c r="HV58" s="166">
        <v>3.3333333333333333E-2</v>
      </c>
      <c r="HW58" s="166">
        <v>0.1</v>
      </c>
      <c r="HX58" s="166">
        <v>6.6666666666666666E-2</v>
      </c>
      <c r="HY58" s="166">
        <v>3.3333333333333333E-2</v>
      </c>
      <c r="HZ58" s="166">
        <v>0.1</v>
      </c>
      <c r="IA58" s="166">
        <v>0.1</v>
      </c>
      <c r="IB58" s="166">
        <v>6.6666666666666666E-2</v>
      </c>
      <c r="IC58" s="166">
        <v>6.6666666666666666E-2</v>
      </c>
      <c r="ID58" s="166">
        <v>0.43333333333333335</v>
      </c>
      <c r="IE58" s="167">
        <v>30</v>
      </c>
      <c r="IF58" s="155">
        <v>0</v>
      </c>
      <c r="IG58" s="156">
        <v>0</v>
      </c>
      <c r="IH58" s="156">
        <v>0</v>
      </c>
      <c r="II58" s="156">
        <v>0</v>
      </c>
      <c r="IJ58" s="156">
        <v>0</v>
      </c>
      <c r="IK58" s="162">
        <v>0</v>
      </c>
      <c r="IL58" s="155">
        <v>7.8947368421052613E-2</v>
      </c>
      <c r="IM58" s="156">
        <v>0</v>
      </c>
      <c r="IN58" s="156">
        <v>0</v>
      </c>
      <c r="IO58" s="156">
        <v>0.89473684210526327</v>
      </c>
      <c r="IP58" s="156">
        <v>2.6315789473684216E-2</v>
      </c>
      <c r="IQ58" s="162">
        <v>38</v>
      </c>
      <c r="IR58" s="155">
        <v>0.15789473684210523</v>
      </c>
      <c r="IS58" s="156">
        <v>0.84210526315789491</v>
      </c>
      <c r="IT58" s="162">
        <v>38</v>
      </c>
      <c r="IU58" s="161">
        <v>0</v>
      </c>
      <c r="IV58" s="156">
        <v>0</v>
      </c>
      <c r="IW58" s="156">
        <v>1</v>
      </c>
      <c r="IX58" s="162">
        <v>6</v>
      </c>
    </row>
    <row r="59" spans="1:258" ht="32.1" customHeight="1" x14ac:dyDescent="0.25">
      <c r="A59" s="110" t="s">
        <v>453</v>
      </c>
      <c r="B59" s="108" t="s">
        <v>586</v>
      </c>
      <c r="C59" s="108" t="s">
        <v>457</v>
      </c>
      <c r="D59" s="109">
        <v>193</v>
      </c>
      <c r="E59" s="139" t="s">
        <v>509</v>
      </c>
      <c r="F59" s="155">
        <v>0.23999999999999996</v>
      </c>
      <c r="G59" s="156">
        <v>0.7599999999999999</v>
      </c>
      <c r="H59" s="157">
        <v>25</v>
      </c>
      <c r="I59" s="155">
        <v>0.73684210526315808</v>
      </c>
      <c r="J59" s="156">
        <v>0.26315789473684215</v>
      </c>
      <c r="K59" s="157">
        <v>19</v>
      </c>
      <c r="L59" s="155">
        <v>0.46666666666666662</v>
      </c>
      <c r="M59" s="156">
        <v>0.53333333333333344</v>
      </c>
      <c r="N59" s="157">
        <v>15</v>
      </c>
      <c r="O59" s="155">
        <v>0.53846153846153821</v>
      </c>
      <c r="P59" s="156">
        <v>0.11538461538461539</v>
      </c>
      <c r="Q59" s="156">
        <v>0.30769230769230754</v>
      </c>
      <c r="R59" s="156">
        <v>0</v>
      </c>
      <c r="S59" s="156">
        <v>0.19230769230769224</v>
      </c>
      <c r="T59" s="156">
        <v>0</v>
      </c>
      <c r="U59" s="156">
        <v>7.6923076923076886E-2</v>
      </c>
      <c r="V59" s="156">
        <v>0.15384615384615377</v>
      </c>
      <c r="W59" s="156">
        <v>3.8461538461538443E-2</v>
      </c>
      <c r="X59" s="156">
        <v>0.11538461538461539</v>
      </c>
      <c r="Y59" s="157">
        <v>26</v>
      </c>
      <c r="Z59" s="155">
        <v>0.69230769230769185</v>
      </c>
      <c r="AA59" s="156">
        <v>0.96153846153846101</v>
      </c>
      <c r="AB59" s="156">
        <v>0.57692307692307665</v>
      </c>
      <c r="AC59" s="156">
        <v>0.76923076923076894</v>
      </c>
      <c r="AD59" s="156">
        <v>0.15384615384615377</v>
      </c>
      <c r="AE59" s="156">
        <v>3.8461538461538443E-2</v>
      </c>
      <c r="AF59" s="157">
        <v>26</v>
      </c>
      <c r="AG59" s="158">
        <v>9.9999999999999929</v>
      </c>
      <c r="AH59" s="159">
        <v>26</v>
      </c>
      <c r="AI59" s="160">
        <v>9.9615384615384528</v>
      </c>
      <c r="AJ59" s="159">
        <v>26</v>
      </c>
      <c r="AK59" s="160">
        <v>9.9599999999999866</v>
      </c>
      <c r="AL59" s="157">
        <v>25</v>
      </c>
      <c r="AM59" s="155">
        <v>0.45833333333333337</v>
      </c>
      <c r="AN59" s="156">
        <v>0.33333333333333343</v>
      </c>
      <c r="AO59" s="156">
        <v>0</v>
      </c>
      <c r="AP59" s="156">
        <v>0.2083333333333332</v>
      </c>
      <c r="AQ59" s="156">
        <v>0</v>
      </c>
      <c r="AR59" s="157">
        <v>24</v>
      </c>
      <c r="AS59" s="155">
        <v>0.61538461538461497</v>
      </c>
      <c r="AT59" s="156">
        <v>0.34615384615384615</v>
      </c>
      <c r="AU59" s="156">
        <v>0</v>
      </c>
      <c r="AV59" s="156">
        <v>3.8461538461538436E-2</v>
      </c>
      <c r="AW59" s="156">
        <v>0</v>
      </c>
      <c r="AX59" s="157">
        <v>26</v>
      </c>
      <c r="AY59" s="155">
        <v>0.88461538461538414</v>
      </c>
      <c r="AZ59" s="156">
        <v>0.1153846153846154</v>
      </c>
      <c r="BA59" s="156">
        <v>0</v>
      </c>
      <c r="BB59" s="156">
        <v>0</v>
      </c>
      <c r="BC59" s="156">
        <v>0</v>
      </c>
      <c r="BD59" s="157">
        <v>26</v>
      </c>
      <c r="BE59" s="155">
        <v>0.73076923076923084</v>
      </c>
      <c r="BF59" s="156">
        <v>0.23076923076923081</v>
      </c>
      <c r="BG59" s="156">
        <v>0</v>
      </c>
      <c r="BH59" s="156">
        <v>3.8461538461538436E-2</v>
      </c>
      <c r="BI59" s="156">
        <v>0</v>
      </c>
      <c r="BJ59" s="157">
        <v>26</v>
      </c>
      <c r="BK59" s="155">
        <v>0.63636363636363669</v>
      </c>
      <c r="BL59" s="156">
        <v>0.22727272727272735</v>
      </c>
      <c r="BM59" s="156">
        <v>0.1363636363636363</v>
      </c>
      <c r="BN59" s="156">
        <v>0</v>
      </c>
      <c r="BO59" s="156">
        <v>0</v>
      </c>
      <c r="BP59" s="157">
        <v>22</v>
      </c>
      <c r="BQ59" s="155">
        <v>0.92307692307692324</v>
      </c>
      <c r="BR59" s="156">
        <v>7.6923076923076872E-2</v>
      </c>
      <c r="BS59" s="156">
        <v>0</v>
      </c>
      <c r="BT59" s="156">
        <v>0</v>
      </c>
      <c r="BU59" s="156">
        <v>0</v>
      </c>
      <c r="BV59" s="157">
        <v>26</v>
      </c>
      <c r="BW59" s="161">
        <v>0.78260869565217417</v>
      </c>
      <c r="BX59" s="156">
        <v>0.13043478260869565</v>
      </c>
      <c r="BY59" s="156">
        <v>4.3478260869565195E-2</v>
      </c>
      <c r="BZ59" s="156">
        <v>4.3478260869565195E-2</v>
      </c>
      <c r="CA59" s="156">
        <v>0</v>
      </c>
      <c r="CB59" s="157">
        <v>23</v>
      </c>
      <c r="CC59" s="155">
        <v>0.8</v>
      </c>
      <c r="CD59" s="156">
        <v>0.2</v>
      </c>
      <c r="CE59" s="156">
        <v>0</v>
      </c>
      <c r="CF59" s="156">
        <v>0</v>
      </c>
      <c r="CG59" s="156">
        <v>0</v>
      </c>
      <c r="CH59" s="162">
        <v>5</v>
      </c>
      <c r="CI59" s="155">
        <v>0.60000000000000009</v>
      </c>
      <c r="CJ59" s="156">
        <v>0.4</v>
      </c>
      <c r="CK59" s="156">
        <v>0</v>
      </c>
      <c r="CL59" s="156">
        <v>0</v>
      </c>
      <c r="CM59" s="156">
        <v>0</v>
      </c>
      <c r="CN59" s="162">
        <v>5</v>
      </c>
      <c r="CO59" s="155">
        <v>0.26666666666666666</v>
      </c>
      <c r="CP59" s="156">
        <v>0.46666666666666673</v>
      </c>
      <c r="CQ59" s="156">
        <v>0.26666666666666666</v>
      </c>
      <c r="CR59" s="156">
        <v>0</v>
      </c>
      <c r="CS59" s="156">
        <v>0</v>
      </c>
      <c r="CT59" s="162">
        <v>15</v>
      </c>
      <c r="CU59" s="155">
        <v>0.4</v>
      </c>
      <c r="CV59" s="156">
        <v>0.4</v>
      </c>
      <c r="CW59" s="156">
        <v>0.2</v>
      </c>
      <c r="CX59" s="156">
        <v>0</v>
      </c>
      <c r="CY59" s="156">
        <v>0</v>
      </c>
      <c r="CZ59" s="162">
        <v>15</v>
      </c>
      <c r="DA59" s="155">
        <v>0.5555555555555558</v>
      </c>
      <c r="DB59" s="156">
        <v>0.22222222222222221</v>
      </c>
      <c r="DC59" s="156">
        <v>0.22222222222222221</v>
      </c>
      <c r="DD59" s="156">
        <v>0</v>
      </c>
      <c r="DE59" s="156">
        <v>0</v>
      </c>
      <c r="DF59" s="162">
        <v>9</v>
      </c>
      <c r="DG59" s="155">
        <v>0.33333333333333343</v>
      </c>
      <c r="DH59" s="156">
        <v>0.5</v>
      </c>
      <c r="DI59" s="156">
        <v>0.16666666666666671</v>
      </c>
      <c r="DJ59" s="156">
        <v>0</v>
      </c>
      <c r="DK59" s="156">
        <v>0</v>
      </c>
      <c r="DL59" s="162">
        <v>6</v>
      </c>
      <c r="DM59" s="155">
        <v>0.2727272727272726</v>
      </c>
      <c r="DN59" s="156">
        <v>0.36363636363636365</v>
      </c>
      <c r="DO59" s="156">
        <v>9.0909090909090912E-2</v>
      </c>
      <c r="DP59" s="156">
        <v>0.18181818181818182</v>
      </c>
      <c r="DQ59" s="156">
        <v>9.0909090909090912E-2</v>
      </c>
      <c r="DR59" s="162">
        <v>11</v>
      </c>
      <c r="DS59" s="161">
        <v>0.375</v>
      </c>
      <c r="DT59" s="156">
        <v>0.25</v>
      </c>
      <c r="DU59" s="156">
        <v>0.25</v>
      </c>
      <c r="DV59" s="156">
        <v>0</v>
      </c>
      <c r="DW59" s="156">
        <v>0.125</v>
      </c>
      <c r="DX59" s="162">
        <v>8</v>
      </c>
      <c r="DY59" s="155">
        <v>1</v>
      </c>
      <c r="DZ59" s="156">
        <v>0</v>
      </c>
      <c r="EA59" s="156">
        <v>0</v>
      </c>
      <c r="EB59" s="156">
        <v>0</v>
      </c>
      <c r="EC59" s="156">
        <v>0</v>
      </c>
      <c r="ED59" s="162">
        <v>26</v>
      </c>
      <c r="EE59" s="155">
        <v>0.61538461538461509</v>
      </c>
      <c r="EF59" s="156">
        <v>0.23076923076923081</v>
      </c>
      <c r="EG59" s="156">
        <v>7.6923076923076886E-2</v>
      </c>
      <c r="EH59" s="156">
        <v>7.6923076923076886E-2</v>
      </c>
      <c r="EI59" s="156">
        <v>0</v>
      </c>
      <c r="EJ59" s="162">
        <v>13</v>
      </c>
      <c r="EK59" s="155">
        <v>0.75</v>
      </c>
      <c r="EL59" s="156">
        <v>0.16666666666666671</v>
      </c>
      <c r="EM59" s="156">
        <v>8.3333333333333356E-2</v>
      </c>
      <c r="EN59" s="156">
        <v>0</v>
      </c>
      <c r="EO59" s="156">
        <v>0</v>
      </c>
      <c r="EP59" s="162">
        <v>12</v>
      </c>
      <c r="EQ59" s="155">
        <v>0.72727272727272729</v>
      </c>
      <c r="ER59" s="156">
        <v>0.18181818181818182</v>
      </c>
      <c r="ES59" s="156">
        <v>9.0909090909090912E-2</v>
      </c>
      <c r="ET59" s="156">
        <v>0</v>
      </c>
      <c r="EU59" s="156">
        <v>0</v>
      </c>
      <c r="EV59" s="162">
        <v>22</v>
      </c>
      <c r="EW59" s="155">
        <v>0.8</v>
      </c>
      <c r="EX59" s="156">
        <v>0.1</v>
      </c>
      <c r="EY59" s="156">
        <v>0.1</v>
      </c>
      <c r="EZ59" s="156">
        <v>0</v>
      </c>
      <c r="FA59" s="156">
        <v>0</v>
      </c>
      <c r="FB59" s="162">
        <v>20</v>
      </c>
      <c r="FC59" s="155">
        <v>0.28571428571428559</v>
      </c>
      <c r="FD59" s="156">
        <v>0.42857142857142883</v>
      </c>
      <c r="FE59" s="156">
        <v>0.28571428571428559</v>
      </c>
      <c r="FF59" s="156">
        <v>0</v>
      </c>
      <c r="FG59" s="156">
        <v>0</v>
      </c>
      <c r="FH59" s="162">
        <v>7</v>
      </c>
      <c r="FI59" s="161">
        <v>0.5</v>
      </c>
      <c r="FJ59" s="156">
        <v>0</v>
      </c>
      <c r="FK59" s="156">
        <v>0.5</v>
      </c>
      <c r="FL59" s="156">
        <v>0</v>
      </c>
      <c r="FM59" s="156">
        <v>0</v>
      </c>
      <c r="FN59" s="162">
        <v>2</v>
      </c>
      <c r="FO59" s="155">
        <v>0</v>
      </c>
      <c r="FP59" s="156">
        <v>0</v>
      </c>
      <c r="FQ59" s="156">
        <v>0</v>
      </c>
      <c r="FR59" s="156">
        <v>0</v>
      </c>
      <c r="FS59" s="156">
        <v>0</v>
      </c>
      <c r="FT59" s="162">
        <v>0</v>
      </c>
      <c r="FU59" s="155">
        <v>0</v>
      </c>
      <c r="FV59" s="156">
        <v>0</v>
      </c>
      <c r="FW59" s="156">
        <v>0</v>
      </c>
      <c r="FX59" s="156">
        <v>0</v>
      </c>
      <c r="FY59" s="156">
        <v>0</v>
      </c>
      <c r="FZ59" s="162">
        <v>0</v>
      </c>
      <c r="GA59" s="161">
        <v>0</v>
      </c>
      <c r="GB59" s="156">
        <v>0</v>
      </c>
      <c r="GC59" s="156">
        <v>0</v>
      </c>
      <c r="GD59" s="156">
        <v>0</v>
      </c>
      <c r="GE59" s="156">
        <v>0</v>
      </c>
      <c r="GF59" s="162">
        <v>0</v>
      </c>
      <c r="GG59" s="158">
        <v>9.416666666666659</v>
      </c>
      <c r="GH59" s="162">
        <v>24</v>
      </c>
      <c r="GI59" s="155">
        <v>0.26923076923076911</v>
      </c>
      <c r="GJ59" s="156">
        <v>0.4230769230769228</v>
      </c>
      <c r="GK59" s="156">
        <v>0.23076923076923081</v>
      </c>
      <c r="GL59" s="156">
        <v>7.6923076923076872E-2</v>
      </c>
      <c r="GM59" s="156">
        <v>0</v>
      </c>
      <c r="GN59" s="162">
        <v>26</v>
      </c>
      <c r="GO59" s="155">
        <v>0.49999999999999994</v>
      </c>
      <c r="GP59" s="156">
        <v>0.19230769230769224</v>
      </c>
      <c r="GQ59" s="156">
        <v>0.19230769230769224</v>
      </c>
      <c r="GR59" s="156">
        <v>0.23076923076923078</v>
      </c>
      <c r="GS59" s="162">
        <v>26</v>
      </c>
      <c r="GT59" s="163">
        <v>3</v>
      </c>
      <c r="GU59" s="162">
        <v>25</v>
      </c>
      <c r="GV59" s="155">
        <v>0.85714285714285765</v>
      </c>
      <c r="GW59" s="156">
        <v>0.14285714285714279</v>
      </c>
      <c r="GX59" s="162">
        <v>7</v>
      </c>
      <c r="GY59" s="155">
        <v>1</v>
      </c>
      <c r="GZ59" s="156">
        <v>0</v>
      </c>
      <c r="HA59" s="162">
        <v>13</v>
      </c>
      <c r="HB59" s="155">
        <v>0.91304347826086985</v>
      </c>
      <c r="HC59" s="156">
        <v>8.6956521739130391E-2</v>
      </c>
      <c r="HD59" s="162">
        <v>23</v>
      </c>
      <c r="HE59" s="161">
        <v>1</v>
      </c>
      <c r="HF59" s="156">
        <v>0</v>
      </c>
      <c r="HG59" s="162">
        <v>17</v>
      </c>
      <c r="HH59" s="155">
        <v>0.5</v>
      </c>
      <c r="HI59" s="156">
        <v>0.5</v>
      </c>
      <c r="HJ59" s="162">
        <v>22</v>
      </c>
      <c r="HK59" s="155">
        <v>1</v>
      </c>
      <c r="HL59" s="156">
        <v>0</v>
      </c>
      <c r="HM59" s="162">
        <v>20</v>
      </c>
      <c r="HN59" s="161">
        <v>0.18181818181818182</v>
      </c>
      <c r="HO59" s="156">
        <v>0.1363636363636363</v>
      </c>
      <c r="HP59" s="156">
        <v>0.31818181818181834</v>
      </c>
      <c r="HQ59" s="156">
        <v>0.31818181818181834</v>
      </c>
      <c r="HR59" s="156">
        <v>4.5454545454545456E-2</v>
      </c>
      <c r="HS59" s="160">
        <v>50.227272727272741</v>
      </c>
      <c r="HT59" s="164">
        <v>22</v>
      </c>
      <c r="HU59" s="165">
        <v>0</v>
      </c>
      <c r="HV59" s="166">
        <v>0.1</v>
      </c>
      <c r="HW59" s="166">
        <v>0.1</v>
      </c>
      <c r="HX59" s="166">
        <v>0</v>
      </c>
      <c r="HY59" s="166">
        <v>0.05</v>
      </c>
      <c r="HZ59" s="166">
        <v>0.05</v>
      </c>
      <c r="IA59" s="166">
        <v>0.1</v>
      </c>
      <c r="IB59" s="166">
        <v>0.1</v>
      </c>
      <c r="IC59" s="166">
        <v>0.2</v>
      </c>
      <c r="ID59" s="166">
        <v>0.3</v>
      </c>
      <c r="IE59" s="167">
        <v>20</v>
      </c>
      <c r="IF59" s="155">
        <v>0</v>
      </c>
      <c r="IG59" s="156">
        <v>0</v>
      </c>
      <c r="IH59" s="156">
        <v>0</v>
      </c>
      <c r="II59" s="156">
        <v>0</v>
      </c>
      <c r="IJ59" s="156">
        <v>1</v>
      </c>
      <c r="IK59" s="162">
        <v>2</v>
      </c>
      <c r="IL59" s="155">
        <v>4.7619047619047603E-2</v>
      </c>
      <c r="IM59" s="156">
        <v>0</v>
      </c>
      <c r="IN59" s="156">
        <v>0</v>
      </c>
      <c r="IO59" s="156">
        <v>0.90476190476190421</v>
      </c>
      <c r="IP59" s="156">
        <v>4.7619047619047603E-2</v>
      </c>
      <c r="IQ59" s="162">
        <v>21</v>
      </c>
      <c r="IR59" s="155">
        <v>0.18181818181818182</v>
      </c>
      <c r="IS59" s="156">
        <v>0.81818181818181768</v>
      </c>
      <c r="IT59" s="162">
        <v>22</v>
      </c>
      <c r="IU59" s="161">
        <v>0</v>
      </c>
      <c r="IV59" s="156">
        <v>0.25</v>
      </c>
      <c r="IW59" s="156">
        <v>0.75</v>
      </c>
      <c r="IX59" s="162">
        <v>4</v>
      </c>
    </row>
    <row r="60" spans="1:258" ht="32.1" customHeight="1" x14ac:dyDescent="0.25">
      <c r="A60" s="110" t="s">
        <v>453</v>
      </c>
      <c r="B60" s="108" t="s">
        <v>586</v>
      </c>
      <c r="C60" s="108" t="s">
        <v>454</v>
      </c>
      <c r="D60" s="109">
        <v>198</v>
      </c>
      <c r="E60" s="139" t="s">
        <v>510</v>
      </c>
      <c r="F60" s="155">
        <v>0.16129032258064516</v>
      </c>
      <c r="G60" s="156">
        <v>0.83870967741935554</v>
      </c>
      <c r="H60" s="157">
        <v>31</v>
      </c>
      <c r="I60" s="155">
        <v>0.84000000000000019</v>
      </c>
      <c r="J60" s="156">
        <v>0.16000000000000003</v>
      </c>
      <c r="K60" s="157">
        <v>25</v>
      </c>
      <c r="L60" s="155">
        <v>0.68421052631578949</v>
      </c>
      <c r="M60" s="156">
        <v>0.3157894736842104</v>
      </c>
      <c r="N60" s="157">
        <v>19</v>
      </c>
      <c r="O60" s="155">
        <v>6.2500000000000014E-2</v>
      </c>
      <c r="P60" s="156">
        <v>6.2500000000000014E-2</v>
      </c>
      <c r="Q60" s="156">
        <v>0.62500000000000011</v>
      </c>
      <c r="R60" s="156">
        <v>0.15625000000000003</v>
      </c>
      <c r="S60" s="156">
        <v>0.28125000000000006</v>
      </c>
      <c r="T60" s="156">
        <v>0</v>
      </c>
      <c r="U60" s="156">
        <v>0</v>
      </c>
      <c r="V60" s="156">
        <v>9.3750000000000014E-2</v>
      </c>
      <c r="W60" s="156">
        <v>9.3750000000000014E-2</v>
      </c>
      <c r="X60" s="156">
        <v>0</v>
      </c>
      <c r="Y60" s="157">
        <v>32</v>
      </c>
      <c r="Z60" s="155">
        <v>0.51851851851851893</v>
      </c>
      <c r="AA60" s="156">
        <v>0.4814814814814814</v>
      </c>
      <c r="AB60" s="156">
        <v>0.22222222222222229</v>
      </c>
      <c r="AC60" s="156">
        <v>0.25925925925925947</v>
      </c>
      <c r="AD60" s="156">
        <v>3.7037037037037049E-2</v>
      </c>
      <c r="AE60" s="156">
        <v>0.33333333333333337</v>
      </c>
      <c r="AF60" s="157">
        <v>27</v>
      </c>
      <c r="AG60" s="158">
        <v>9.7096774193548399</v>
      </c>
      <c r="AH60" s="159">
        <v>31</v>
      </c>
      <c r="AI60" s="160">
        <v>9.935483870967742</v>
      </c>
      <c r="AJ60" s="159">
        <v>31</v>
      </c>
      <c r="AK60" s="160">
        <v>9.8999999999999986</v>
      </c>
      <c r="AL60" s="157">
        <v>30</v>
      </c>
      <c r="AM60" s="155">
        <v>0.50000000000000011</v>
      </c>
      <c r="AN60" s="156">
        <v>0.46666666666666723</v>
      </c>
      <c r="AO60" s="156">
        <v>0</v>
      </c>
      <c r="AP60" s="156">
        <v>3.3333333333333326E-2</v>
      </c>
      <c r="AQ60" s="156">
        <v>0</v>
      </c>
      <c r="AR60" s="157">
        <v>30</v>
      </c>
      <c r="AS60" s="155">
        <v>0.93939393939393978</v>
      </c>
      <c r="AT60" s="156">
        <v>6.0606060606060635E-2</v>
      </c>
      <c r="AU60" s="156">
        <v>0</v>
      </c>
      <c r="AV60" s="156">
        <v>0</v>
      </c>
      <c r="AW60" s="156">
        <v>0</v>
      </c>
      <c r="AX60" s="157">
        <v>33</v>
      </c>
      <c r="AY60" s="155">
        <v>0.9375</v>
      </c>
      <c r="AZ60" s="156">
        <v>3.1250000000000007E-2</v>
      </c>
      <c r="BA60" s="156">
        <v>0</v>
      </c>
      <c r="BB60" s="156">
        <v>3.1250000000000007E-2</v>
      </c>
      <c r="BC60" s="156">
        <v>0</v>
      </c>
      <c r="BD60" s="157">
        <v>32</v>
      </c>
      <c r="BE60" s="155">
        <v>0.9090909090909095</v>
      </c>
      <c r="BF60" s="156">
        <v>6.0606060606060635E-2</v>
      </c>
      <c r="BG60" s="156">
        <v>0</v>
      </c>
      <c r="BH60" s="156">
        <v>3.0303030303030318E-2</v>
      </c>
      <c r="BI60" s="156">
        <v>0</v>
      </c>
      <c r="BJ60" s="157">
        <v>33</v>
      </c>
      <c r="BK60" s="155">
        <v>0.79310344827586221</v>
      </c>
      <c r="BL60" s="156">
        <v>0.17241379310344832</v>
      </c>
      <c r="BM60" s="156">
        <v>3.4482758620689676E-2</v>
      </c>
      <c r="BN60" s="156">
        <v>0</v>
      </c>
      <c r="BO60" s="156">
        <v>0</v>
      </c>
      <c r="BP60" s="157">
        <v>29</v>
      </c>
      <c r="BQ60" s="155">
        <v>0.87500000000000011</v>
      </c>
      <c r="BR60" s="156">
        <v>9.3750000000000014E-2</v>
      </c>
      <c r="BS60" s="156">
        <v>3.1250000000000007E-2</v>
      </c>
      <c r="BT60" s="156">
        <v>0</v>
      </c>
      <c r="BU60" s="156">
        <v>0</v>
      </c>
      <c r="BV60" s="157">
        <v>32</v>
      </c>
      <c r="BW60" s="161">
        <v>0.7</v>
      </c>
      <c r="BX60" s="156">
        <v>0.19999999999999996</v>
      </c>
      <c r="BY60" s="156">
        <v>0</v>
      </c>
      <c r="BZ60" s="156">
        <v>9.9999999999999978E-2</v>
      </c>
      <c r="CA60" s="156">
        <v>0</v>
      </c>
      <c r="CB60" s="157">
        <v>20</v>
      </c>
      <c r="CC60" s="155">
        <v>0.72222222222222188</v>
      </c>
      <c r="CD60" s="156">
        <v>0.2222222222222221</v>
      </c>
      <c r="CE60" s="156">
        <v>5.5555555555555525E-2</v>
      </c>
      <c r="CF60" s="156">
        <v>0</v>
      </c>
      <c r="CG60" s="156">
        <v>0</v>
      </c>
      <c r="CH60" s="162">
        <v>18</v>
      </c>
      <c r="CI60" s="155">
        <v>0.49999999999999994</v>
      </c>
      <c r="CJ60" s="156">
        <v>0.31249999999999994</v>
      </c>
      <c r="CK60" s="156">
        <v>0.12499999999999999</v>
      </c>
      <c r="CL60" s="156">
        <v>6.2499999999999993E-2</v>
      </c>
      <c r="CM60" s="156">
        <v>0</v>
      </c>
      <c r="CN60" s="162">
        <v>16</v>
      </c>
      <c r="CO60" s="155">
        <v>0.49999999999999994</v>
      </c>
      <c r="CP60" s="156">
        <v>0.28571428571428559</v>
      </c>
      <c r="CQ60" s="156">
        <v>0.14285714285714279</v>
      </c>
      <c r="CR60" s="156">
        <v>7.1428571428571397E-2</v>
      </c>
      <c r="CS60" s="156">
        <v>0</v>
      </c>
      <c r="CT60" s="162">
        <v>14</v>
      </c>
      <c r="CU60" s="155">
        <v>0.56249999999999989</v>
      </c>
      <c r="CV60" s="156">
        <v>0.31249999999999994</v>
      </c>
      <c r="CW60" s="156">
        <v>0.12499999999999999</v>
      </c>
      <c r="CX60" s="156">
        <v>0</v>
      </c>
      <c r="CY60" s="156">
        <v>0</v>
      </c>
      <c r="CZ60" s="162">
        <v>16</v>
      </c>
      <c r="DA60" s="155">
        <v>0.64285714285714235</v>
      </c>
      <c r="DB60" s="156">
        <v>0.21428571428571433</v>
      </c>
      <c r="DC60" s="156">
        <v>7.1428571428571397E-2</v>
      </c>
      <c r="DD60" s="156">
        <v>7.1428571428571397E-2</v>
      </c>
      <c r="DE60" s="156">
        <v>0</v>
      </c>
      <c r="DF60" s="162">
        <v>14</v>
      </c>
      <c r="DG60" s="155">
        <v>0.69230769230769229</v>
      </c>
      <c r="DH60" s="156">
        <v>0.15384615384615372</v>
      </c>
      <c r="DI60" s="156">
        <v>7.6923076923076858E-2</v>
      </c>
      <c r="DJ60" s="156">
        <v>7.6923076923076858E-2</v>
      </c>
      <c r="DK60" s="156">
        <v>0</v>
      </c>
      <c r="DL60" s="162">
        <v>13</v>
      </c>
      <c r="DM60" s="155">
        <v>0.7</v>
      </c>
      <c r="DN60" s="156">
        <v>0.2</v>
      </c>
      <c r="DO60" s="156">
        <v>0.1</v>
      </c>
      <c r="DP60" s="156">
        <v>0</v>
      </c>
      <c r="DQ60" s="156">
        <v>0</v>
      </c>
      <c r="DR60" s="162">
        <v>10</v>
      </c>
      <c r="DS60" s="161">
        <v>0.8</v>
      </c>
      <c r="DT60" s="156">
        <v>0</v>
      </c>
      <c r="DU60" s="156">
        <v>0.2</v>
      </c>
      <c r="DV60" s="156">
        <v>0</v>
      </c>
      <c r="DW60" s="156">
        <v>0</v>
      </c>
      <c r="DX60" s="162">
        <v>5</v>
      </c>
      <c r="DY60" s="155">
        <v>0.72413793103448332</v>
      </c>
      <c r="DZ60" s="156">
        <v>0.2758620689655174</v>
      </c>
      <c r="EA60" s="156">
        <v>0</v>
      </c>
      <c r="EB60" s="156">
        <v>0</v>
      </c>
      <c r="EC60" s="156">
        <v>0</v>
      </c>
      <c r="ED60" s="162">
        <v>29</v>
      </c>
      <c r="EE60" s="155">
        <v>0.81818181818181845</v>
      </c>
      <c r="EF60" s="156">
        <v>0.1363636363636363</v>
      </c>
      <c r="EG60" s="156">
        <v>4.5454545454545449E-2</v>
      </c>
      <c r="EH60" s="156">
        <v>0</v>
      </c>
      <c r="EI60" s="156">
        <v>0</v>
      </c>
      <c r="EJ60" s="162">
        <v>22</v>
      </c>
      <c r="EK60" s="155">
        <v>0.80769230769230804</v>
      </c>
      <c r="EL60" s="156">
        <v>0.15384615384615372</v>
      </c>
      <c r="EM60" s="156">
        <v>3.8461538461538429E-2</v>
      </c>
      <c r="EN60" s="156">
        <v>0</v>
      </c>
      <c r="EO60" s="156">
        <v>0</v>
      </c>
      <c r="EP60" s="162">
        <v>26</v>
      </c>
      <c r="EQ60" s="155">
        <v>0.73913043478260942</v>
      </c>
      <c r="ER60" s="156">
        <v>0.13043478260869565</v>
      </c>
      <c r="ES60" s="156">
        <v>0.13043478260869565</v>
      </c>
      <c r="ET60" s="156">
        <v>0</v>
      </c>
      <c r="EU60" s="156">
        <v>0</v>
      </c>
      <c r="EV60" s="162">
        <v>23</v>
      </c>
      <c r="EW60" s="155">
        <v>0.6818181818181821</v>
      </c>
      <c r="EX60" s="156">
        <v>0.27272727272727254</v>
      </c>
      <c r="EY60" s="156">
        <v>4.5454545454545449E-2</v>
      </c>
      <c r="EZ60" s="156">
        <v>0</v>
      </c>
      <c r="FA60" s="156">
        <v>0</v>
      </c>
      <c r="FB60" s="162">
        <v>22</v>
      </c>
      <c r="FC60" s="155">
        <v>0.68421052631578927</v>
      </c>
      <c r="FD60" s="156">
        <v>0.15789473684210523</v>
      </c>
      <c r="FE60" s="156">
        <v>0.15789473684210523</v>
      </c>
      <c r="FF60" s="156">
        <v>0</v>
      </c>
      <c r="FG60" s="156">
        <v>0</v>
      </c>
      <c r="FH60" s="162">
        <v>19</v>
      </c>
      <c r="FI60" s="161">
        <v>0.66666666666666685</v>
      </c>
      <c r="FJ60" s="156">
        <v>0.16666666666666671</v>
      </c>
      <c r="FK60" s="156">
        <v>5.5555555555555525E-2</v>
      </c>
      <c r="FL60" s="156">
        <v>5.5555555555555525E-2</v>
      </c>
      <c r="FM60" s="156">
        <v>5.5555555555555525E-2</v>
      </c>
      <c r="FN60" s="162">
        <v>18</v>
      </c>
      <c r="FO60" s="155">
        <v>0</v>
      </c>
      <c r="FP60" s="156">
        <v>0</v>
      </c>
      <c r="FQ60" s="156">
        <v>0</v>
      </c>
      <c r="FR60" s="156">
        <v>0</v>
      </c>
      <c r="FS60" s="156">
        <v>0</v>
      </c>
      <c r="FT60" s="162">
        <v>0</v>
      </c>
      <c r="FU60" s="155">
        <v>0</v>
      </c>
      <c r="FV60" s="156">
        <v>0</v>
      </c>
      <c r="FW60" s="156">
        <v>0</v>
      </c>
      <c r="FX60" s="156">
        <v>0</v>
      </c>
      <c r="FY60" s="156">
        <v>0</v>
      </c>
      <c r="FZ60" s="162">
        <v>0</v>
      </c>
      <c r="GA60" s="161">
        <v>0</v>
      </c>
      <c r="GB60" s="156">
        <v>0</v>
      </c>
      <c r="GC60" s="156">
        <v>0</v>
      </c>
      <c r="GD60" s="156">
        <v>0</v>
      </c>
      <c r="GE60" s="156">
        <v>0</v>
      </c>
      <c r="GF60" s="162">
        <v>0</v>
      </c>
      <c r="GG60" s="158">
        <v>9.3103448275862153</v>
      </c>
      <c r="GH60" s="162">
        <v>29</v>
      </c>
      <c r="GI60" s="155">
        <v>0.60606060606060685</v>
      </c>
      <c r="GJ60" s="156">
        <v>0.18181818181818193</v>
      </c>
      <c r="GK60" s="156">
        <v>0.15151515151515141</v>
      </c>
      <c r="GL60" s="156">
        <v>0</v>
      </c>
      <c r="GM60" s="156">
        <v>6.0606060606060635E-2</v>
      </c>
      <c r="GN60" s="162">
        <v>33</v>
      </c>
      <c r="GO60" s="155">
        <v>0.45161290322580644</v>
      </c>
      <c r="GP60" s="156">
        <v>0.29032258064516131</v>
      </c>
      <c r="GQ60" s="156">
        <v>0.1612903225806451</v>
      </c>
      <c r="GR60" s="156">
        <v>0.3225806451612902</v>
      </c>
      <c r="GS60" s="162">
        <v>31</v>
      </c>
      <c r="GT60" s="163">
        <v>2.21875</v>
      </c>
      <c r="GU60" s="162">
        <v>32</v>
      </c>
      <c r="GV60" s="155">
        <v>0.93333333333333357</v>
      </c>
      <c r="GW60" s="156">
        <v>6.6666666666666638E-2</v>
      </c>
      <c r="GX60" s="162">
        <v>15</v>
      </c>
      <c r="GY60" s="155">
        <v>0.95652173913043481</v>
      </c>
      <c r="GZ60" s="156">
        <v>4.3478260869565209E-2</v>
      </c>
      <c r="HA60" s="162">
        <v>23</v>
      </c>
      <c r="HB60" s="155">
        <v>0.85185185185185208</v>
      </c>
      <c r="HC60" s="156">
        <v>0.14814814814814825</v>
      </c>
      <c r="HD60" s="162">
        <v>27</v>
      </c>
      <c r="HE60" s="161">
        <v>0.96</v>
      </c>
      <c r="HF60" s="156">
        <v>4.0000000000000008E-2</v>
      </c>
      <c r="HG60" s="162">
        <v>25</v>
      </c>
      <c r="HH60" s="155">
        <v>0.43750000000000006</v>
      </c>
      <c r="HI60" s="156">
        <v>0.56250000000000011</v>
      </c>
      <c r="HJ60" s="162">
        <v>32</v>
      </c>
      <c r="HK60" s="155">
        <v>1</v>
      </c>
      <c r="HL60" s="156">
        <v>0</v>
      </c>
      <c r="HM60" s="162">
        <v>30</v>
      </c>
      <c r="HN60" s="161">
        <v>7.1428571428571411E-2</v>
      </c>
      <c r="HO60" s="156">
        <v>0.21428571428571441</v>
      </c>
      <c r="HP60" s="156">
        <v>0.35714285714285748</v>
      </c>
      <c r="HQ60" s="156">
        <v>0.14285714285714282</v>
      </c>
      <c r="HR60" s="156">
        <v>0.21428571428571441</v>
      </c>
      <c r="HS60" s="160">
        <v>55.571428571428605</v>
      </c>
      <c r="HT60" s="164">
        <v>28</v>
      </c>
      <c r="HU60" s="165">
        <v>0.18518518518518517</v>
      </c>
      <c r="HV60" s="166">
        <v>7.407407407407407E-2</v>
      </c>
      <c r="HW60" s="166">
        <v>0.1111111111111111</v>
      </c>
      <c r="HX60" s="166">
        <v>0.14814814814814814</v>
      </c>
      <c r="HY60" s="166">
        <v>3.7037037037037035E-2</v>
      </c>
      <c r="HZ60" s="166">
        <v>0.18518518518518517</v>
      </c>
      <c r="IA60" s="166">
        <v>7.407407407407407E-2</v>
      </c>
      <c r="IB60" s="166">
        <v>3.7037037037037035E-2</v>
      </c>
      <c r="IC60" s="166">
        <v>0.1111111111111111</v>
      </c>
      <c r="ID60" s="166">
        <v>3.7037037037037035E-2</v>
      </c>
      <c r="IE60" s="167">
        <v>27</v>
      </c>
      <c r="IF60" s="155">
        <v>0</v>
      </c>
      <c r="IG60" s="156">
        <v>0</v>
      </c>
      <c r="IH60" s="156">
        <v>0</v>
      </c>
      <c r="II60" s="156">
        <v>0</v>
      </c>
      <c r="IJ60" s="156">
        <v>0</v>
      </c>
      <c r="IK60" s="162">
        <v>0</v>
      </c>
      <c r="IL60" s="155">
        <v>0</v>
      </c>
      <c r="IM60" s="156">
        <v>0</v>
      </c>
      <c r="IN60" s="156">
        <v>6.4516129032258146E-2</v>
      </c>
      <c r="IO60" s="156">
        <v>0.90322580645161321</v>
      </c>
      <c r="IP60" s="156">
        <v>3.2258064516129073E-2</v>
      </c>
      <c r="IQ60" s="162">
        <v>31</v>
      </c>
      <c r="IR60" s="155">
        <v>0.2258064516129033</v>
      </c>
      <c r="IS60" s="156">
        <v>0.77419354838709742</v>
      </c>
      <c r="IT60" s="162">
        <v>31</v>
      </c>
      <c r="IU60" s="161">
        <v>0</v>
      </c>
      <c r="IV60" s="156">
        <v>0</v>
      </c>
      <c r="IW60" s="156">
        <v>1</v>
      </c>
      <c r="IX60" s="162">
        <v>7</v>
      </c>
    </row>
    <row r="61" spans="1:258" ht="32.1" customHeight="1" x14ac:dyDescent="0.25">
      <c r="A61" s="110" t="s">
        <v>453</v>
      </c>
      <c r="B61" s="108" t="s">
        <v>586</v>
      </c>
      <c r="C61" s="108" t="s">
        <v>454</v>
      </c>
      <c r="D61" s="109">
        <v>201</v>
      </c>
      <c r="E61" s="139" t="s">
        <v>511</v>
      </c>
      <c r="F61" s="155">
        <v>0.26530612244897983</v>
      </c>
      <c r="G61" s="156">
        <v>0.73469387755102145</v>
      </c>
      <c r="H61" s="157">
        <v>49</v>
      </c>
      <c r="I61" s="155">
        <v>0.71428571428571419</v>
      </c>
      <c r="J61" s="156">
        <v>0.28571428571428564</v>
      </c>
      <c r="K61" s="157">
        <v>35</v>
      </c>
      <c r="L61" s="155">
        <v>0.51999999999999991</v>
      </c>
      <c r="M61" s="156">
        <v>0.47999999999999993</v>
      </c>
      <c r="N61" s="157">
        <v>25</v>
      </c>
      <c r="O61" s="155">
        <v>0.25999999999999995</v>
      </c>
      <c r="P61" s="156">
        <v>0.17999999999999994</v>
      </c>
      <c r="Q61" s="156">
        <v>0.13999999999999993</v>
      </c>
      <c r="R61" s="156">
        <v>2.0000000000000014E-2</v>
      </c>
      <c r="S61" s="156">
        <v>0.4000000000000008</v>
      </c>
      <c r="T61" s="156">
        <v>6.0000000000000046E-2</v>
      </c>
      <c r="U61" s="156">
        <v>0.17999999999999994</v>
      </c>
      <c r="V61" s="156">
        <v>8.0000000000000057E-2</v>
      </c>
      <c r="W61" s="156">
        <v>4.0000000000000029E-2</v>
      </c>
      <c r="X61" s="156">
        <v>0.19999999999999996</v>
      </c>
      <c r="Y61" s="157">
        <v>50</v>
      </c>
      <c r="Z61" s="155">
        <v>0.63829787234042645</v>
      </c>
      <c r="AA61" s="156">
        <v>0.72340425531914976</v>
      </c>
      <c r="AB61" s="156">
        <v>0.34042553191489394</v>
      </c>
      <c r="AC61" s="156">
        <v>0.34042553191489394</v>
      </c>
      <c r="AD61" s="156">
        <v>4.2553191489361736E-2</v>
      </c>
      <c r="AE61" s="156">
        <v>0.17021276595744694</v>
      </c>
      <c r="AF61" s="157">
        <v>47</v>
      </c>
      <c r="AG61" s="158">
        <v>9.9591836734693988</v>
      </c>
      <c r="AH61" s="159">
        <v>49</v>
      </c>
      <c r="AI61" s="160">
        <v>9.9591836734693988</v>
      </c>
      <c r="AJ61" s="159">
        <v>49</v>
      </c>
      <c r="AK61" s="160">
        <v>9.9565217391304408</v>
      </c>
      <c r="AL61" s="157">
        <v>46</v>
      </c>
      <c r="AM61" s="155">
        <v>0.52083333333333437</v>
      </c>
      <c r="AN61" s="156">
        <v>0.31250000000000006</v>
      </c>
      <c r="AO61" s="156">
        <v>0.1041666666666668</v>
      </c>
      <c r="AP61" s="156">
        <v>4.166666666666665E-2</v>
      </c>
      <c r="AQ61" s="156">
        <v>2.0833333333333325E-2</v>
      </c>
      <c r="AR61" s="157">
        <v>48</v>
      </c>
      <c r="AS61" s="155">
        <v>0.90000000000000013</v>
      </c>
      <c r="AT61" s="156">
        <v>0.10000000000000002</v>
      </c>
      <c r="AU61" s="156">
        <v>0</v>
      </c>
      <c r="AV61" s="156">
        <v>0</v>
      </c>
      <c r="AW61" s="156">
        <v>0</v>
      </c>
      <c r="AX61" s="157">
        <v>50</v>
      </c>
      <c r="AY61" s="155">
        <v>0.95918367346938782</v>
      </c>
      <c r="AZ61" s="156">
        <v>4.0816326530612269E-2</v>
      </c>
      <c r="BA61" s="156">
        <v>0</v>
      </c>
      <c r="BB61" s="156">
        <v>0</v>
      </c>
      <c r="BC61" s="156">
        <v>0</v>
      </c>
      <c r="BD61" s="157">
        <v>49</v>
      </c>
      <c r="BE61" s="155">
        <v>0.94</v>
      </c>
      <c r="BF61" s="156">
        <v>6.0000000000000012E-2</v>
      </c>
      <c r="BG61" s="156">
        <v>0</v>
      </c>
      <c r="BH61" s="156">
        <v>0</v>
      </c>
      <c r="BI61" s="156">
        <v>0</v>
      </c>
      <c r="BJ61" s="157">
        <v>50</v>
      </c>
      <c r="BK61" s="155">
        <v>0.85106382978723516</v>
      </c>
      <c r="BL61" s="156">
        <v>0.14893617021276589</v>
      </c>
      <c r="BM61" s="156">
        <v>0</v>
      </c>
      <c r="BN61" s="156">
        <v>0</v>
      </c>
      <c r="BO61" s="156">
        <v>0</v>
      </c>
      <c r="BP61" s="157">
        <v>47</v>
      </c>
      <c r="BQ61" s="155">
        <v>0.98000000000000009</v>
      </c>
      <c r="BR61" s="156">
        <v>2.0000000000000004E-2</v>
      </c>
      <c r="BS61" s="156">
        <v>0</v>
      </c>
      <c r="BT61" s="156">
        <v>0</v>
      </c>
      <c r="BU61" s="156">
        <v>0</v>
      </c>
      <c r="BV61" s="157">
        <v>50</v>
      </c>
      <c r="BW61" s="161">
        <v>0.74285714285714233</v>
      </c>
      <c r="BX61" s="156">
        <v>0.17142857142857121</v>
      </c>
      <c r="BY61" s="156">
        <v>5.7142857142857169E-2</v>
      </c>
      <c r="BZ61" s="156">
        <v>2.8571428571428584E-2</v>
      </c>
      <c r="CA61" s="156">
        <v>0</v>
      </c>
      <c r="CB61" s="157">
        <v>35</v>
      </c>
      <c r="CC61" s="155">
        <v>1</v>
      </c>
      <c r="CD61" s="156">
        <v>0</v>
      </c>
      <c r="CE61" s="156">
        <v>0</v>
      </c>
      <c r="CF61" s="156">
        <v>0</v>
      </c>
      <c r="CG61" s="156">
        <v>0</v>
      </c>
      <c r="CH61" s="162">
        <v>8</v>
      </c>
      <c r="CI61" s="155">
        <v>0.85714285714285721</v>
      </c>
      <c r="CJ61" s="156">
        <v>0.14285714285714296</v>
      </c>
      <c r="CK61" s="156">
        <v>0</v>
      </c>
      <c r="CL61" s="156">
        <v>0</v>
      </c>
      <c r="CM61" s="156">
        <v>0</v>
      </c>
      <c r="CN61" s="162">
        <v>7</v>
      </c>
      <c r="CO61" s="155">
        <v>0.35294117647058793</v>
      </c>
      <c r="CP61" s="156">
        <v>0.4705882352941172</v>
      </c>
      <c r="CQ61" s="156">
        <v>0.1176470588235293</v>
      </c>
      <c r="CR61" s="156">
        <v>5.882352941176465E-2</v>
      </c>
      <c r="CS61" s="156">
        <v>0</v>
      </c>
      <c r="CT61" s="162">
        <v>17</v>
      </c>
      <c r="CU61" s="155">
        <v>0.36842105263157904</v>
      </c>
      <c r="CV61" s="156">
        <v>0.63157894736842091</v>
      </c>
      <c r="CW61" s="156">
        <v>0</v>
      </c>
      <c r="CX61" s="156">
        <v>0</v>
      </c>
      <c r="CY61" s="156">
        <v>0</v>
      </c>
      <c r="CZ61" s="162">
        <v>19</v>
      </c>
      <c r="DA61" s="155">
        <v>0.77777777777777812</v>
      </c>
      <c r="DB61" s="156">
        <v>0.22222222222222199</v>
      </c>
      <c r="DC61" s="156">
        <v>0</v>
      </c>
      <c r="DD61" s="156">
        <v>0</v>
      </c>
      <c r="DE61" s="156">
        <v>0</v>
      </c>
      <c r="DF61" s="162">
        <v>9</v>
      </c>
      <c r="DG61" s="155">
        <v>0.77777777777777812</v>
      </c>
      <c r="DH61" s="156">
        <v>0.22222222222222199</v>
      </c>
      <c r="DI61" s="156">
        <v>0</v>
      </c>
      <c r="DJ61" s="156">
        <v>0</v>
      </c>
      <c r="DK61" s="156">
        <v>0</v>
      </c>
      <c r="DL61" s="162">
        <v>9</v>
      </c>
      <c r="DM61" s="155">
        <v>0.74999999999999989</v>
      </c>
      <c r="DN61" s="156">
        <v>0.16666666666666657</v>
      </c>
      <c r="DO61" s="156">
        <v>0</v>
      </c>
      <c r="DP61" s="156">
        <v>8.3333333333333287E-2</v>
      </c>
      <c r="DQ61" s="156">
        <v>0</v>
      </c>
      <c r="DR61" s="162">
        <v>12</v>
      </c>
      <c r="DS61" s="161">
        <v>0.75</v>
      </c>
      <c r="DT61" s="156">
        <v>0.125</v>
      </c>
      <c r="DU61" s="156">
        <v>0</v>
      </c>
      <c r="DV61" s="156">
        <v>0.125</v>
      </c>
      <c r="DW61" s="156">
        <v>0</v>
      </c>
      <c r="DX61" s="162">
        <v>8</v>
      </c>
      <c r="DY61" s="155">
        <v>0.91304347826086985</v>
      </c>
      <c r="DZ61" s="156">
        <v>8.6956521739130557E-2</v>
      </c>
      <c r="EA61" s="156">
        <v>0</v>
      </c>
      <c r="EB61" s="156">
        <v>0</v>
      </c>
      <c r="EC61" s="156">
        <v>0</v>
      </c>
      <c r="ED61" s="162">
        <v>46</v>
      </c>
      <c r="EE61" s="155">
        <v>0.85714285714285721</v>
      </c>
      <c r="EF61" s="156">
        <v>9.5238095238095205E-2</v>
      </c>
      <c r="EG61" s="156">
        <v>4.7619047619047603E-2</v>
      </c>
      <c r="EH61" s="156">
        <v>0</v>
      </c>
      <c r="EI61" s="156">
        <v>0</v>
      </c>
      <c r="EJ61" s="162">
        <v>21</v>
      </c>
      <c r="EK61" s="155">
        <v>0.9090909090909095</v>
      </c>
      <c r="EL61" s="156">
        <v>9.0909090909090787E-2</v>
      </c>
      <c r="EM61" s="156">
        <v>0</v>
      </c>
      <c r="EN61" s="156">
        <v>0</v>
      </c>
      <c r="EO61" s="156">
        <v>0</v>
      </c>
      <c r="EP61" s="162">
        <v>22</v>
      </c>
      <c r="EQ61" s="155">
        <v>0.86111111111111205</v>
      </c>
      <c r="ER61" s="156">
        <v>8.3333333333333287E-2</v>
      </c>
      <c r="ES61" s="156">
        <v>2.7777777777777748E-2</v>
      </c>
      <c r="ET61" s="156">
        <v>2.7777777777777748E-2</v>
      </c>
      <c r="EU61" s="156">
        <v>0</v>
      </c>
      <c r="EV61" s="162">
        <v>36</v>
      </c>
      <c r="EW61" s="155">
        <v>0.96774193548387222</v>
      </c>
      <c r="EX61" s="156">
        <v>3.225806451612899E-2</v>
      </c>
      <c r="EY61" s="156">
        <v>0</v>
      </c>
      <c r="EZ61" s="156">
        <v>0</v>
      </c>
      <c r="FA61" s="156">
        <v>0</v>
      </c>
      <c r="FB61" s="162">
        <v>31</v>
      </c>
      <c r="FC61" s="155">
        <v>0.4</v>
      </c>
      <c r="FD61" s="156">
        <v>0.6</v>
      </c>
      <c r="FE61" s="156">
        <v>0</v>
      </c>
      <c r="FF61" s="156">
        <v>0</v>
      </c>
      <c r="FG61" s="156">
        <v>0</v>
      </c>
      <c r="FH61" s="162">
        <v>5</v>
      </c>
      <c r="FI61" s="161">
        <v>0.83333333333333404</v>
      </c>
      <c r="FJ61" s="156">
        <v>0.16666666666666657</v>
      </c>
      <c r="FK61" s="156">
        <v>0</v>
      </c>
      <c r="FL61" s="156">
        <v>0</v>
      </c>
      <c r="FM61" s="156">
        <v>0</v>
      </c>
      <c r="FN61" s="162">
        <v>6</v>
      </c>
      <c r="FO61" s="155">
        <v>0</v>
      </c>
      <c r="FP61" s="156">
        <v>0</v>
      </c>
      <c r="FQ61" s="156">
        <v>0</v>
      </c>
      <c r="FR61" s="156">
        <v>0</v>
      </c>
      <c r="FS61" s="156">
        <v>0</v>
      </c>
      <c r="FT61" s="162">
        <v>0</v>
      </c>
      <c r="FU61" s="155">
        <v>0</v>
      </c>
      <c r="FV61" s="156">
        <v>0</v>
      </c>
      <c r="FW61" s="156">
        <v>0</v>
      </c>
      <c r="FX61" s="156">
        <v>0</v>
      </c>
      <c r="FY61" s="156">
        <v>0</v>
      </c>
      <c r="FZ61" s="162">
        <v>0</v>
      </c>
      <c r="GA61" s="161">
        <v>0</v>
      </c>
      <c r="GB61" s="156">
        <v>0</v>
      </c>
      <c r="GC61" s="156">
        <v>0</v>
      </c>
      <c r="GD61" s="156">
        <v>0</v>
      </c>
      <c r="GE61" s="156">
        <v>0</v>
      </c>
      <c r="GF61" s="162">
        <v>0</v>
      </c>
      <c r="GG61" s="158">
        <v>9.6250000000000036</v>
      </c>
      <c r="GH61" s="162">
        <v>48</v>
      </c>
      <c r="GI61" s="155">
        <v>0.67346938775510312</v>
      </c>
      <c r="GJ61" s="156">
        <v>0.30612244897959212</v>
      </c>
      <c r="GK61" s="156">
        <v>2.0408163265306135E-2</v>
      </c>
      <c r="GL61" s="156">
        <v>0</v>
      </c>
      <c r="GM61" s="156">
        <v>0</v>
      </c>
      <c r="GN61" s="162">
        <v>49</v>
      </c>
      <c r="GO61" s="155">
        <v>0.67346938775510257</v>
      </c>
      <c r="GP61" s="156">
        <v>0.20408163265306117</v>
      </c>
      <c r="GQ61" s="156">
        <v>8.1632653061224567E-2</v>
      </c>
      <c r="GR61" s="156">
        <v>0.10204081632653059</v>
      </c>
      <c r="GS61" s="162">
        <v>49</v>
      </c>
      <c r="GT61" s="163">
        <v>2.8333333333333326</v>
      </c>
      <c r="GU61" s="162">
        <v>48</v>
      </c>
      <c r="GV61" s="155">
        <v>1</v>
      </c>
      <c r="GW61" s="156">
        <v>0</v>
      </c>
      <c r="GX61" s="162">
        <v>22</v>
      </c>
      <c r="GY61" s="155">
        <v>1</v>
      </c>
      <c r="GZ61" s="156">
        <v>0</v>
      </c>
      <c r="HA61" s="162">
        <v>27</v>
      </c>
      <c r="HB61" s="155">
        <v>0.92500000000000016</v>
      </c>
      <c r="HC61" s="156">
        <v>7.4999999999999997E-2</v>
      </c>
      <c r="HD61" s="162">
        <v>40</v>
      </c>
      <c r="HE61" s="161">
        <v>0.95454545454545425</v>
      </c>
      <c r="HF61" s="156">
        <v>4.5454545454545393E-2</v>
      </c>
      <c r="HG61" s="162">
        <v>22</v>
      </c>
      <c r="HH61" s="155">
        <v>0.44897959183673519</v>
      </c>
      <c r="HI61" s="156">
        <v>0.55102040816326603</v>
      </c>
      <c r="HJ61" s="162">
        <v>49</v>
      </c>
      <c r="HK61" s="155">
        <v>1</v>
      </c>
      <c r="HL61" s="156">
        <v>0</v>
      </c>
      <c r="HM61" s="162">
        <v>44</v>
      </c>
      <c r="HN61" s="161">
        <v>2.3255813953488354E-2</v>
      </c>
      <c r="HO61" s="156">
        <v>0.11627906976744196</v>
      </c>
      <c r="HP61" s="156">
        <v>0.46511627906976782</v>
      </c>
      <c r="HQ61" s="156">
        <v>0.32558139534883751</v>
      </c>
      <c r="HR61" s="156">
        <v>6.9767441860465157E-2</v>
      </c>
      <c r="HS61" s="160">
        <v>59.232558139534838</v>
      </c>
      <c r="HT61" s="164">
        <v>43</v>
      </c>
      <c r="HU61" s="165">
        <v>0</v>
      </c>
      <c r="HV61" s="166">
        <v>6.9767441860465115E-2</v>
      </c>
      <c r="HW61" s="166">
        <v>2.3255813953488372E-2</v>
      </c>
      <c r="HX61" s="166">
        <v>0.16279069767441862</v>
      </c>
      <c r="HY61" s="166">
        <v>9.3023255813953487E-2</v>
      </c>
      <c r="HZ61" s="166">
        <v>0.13953488372093023</v>
      </c>
      <c r="IA61" s="166">
        <v>0.16279069767441862</v>
      </c>
      <c r="IB61" s="166">
        <v>6.9767441860465115E-2</v>
      </c>
      <c r="IC61" s="166">
        <v>0.16279069767441862</v>
      </c>
      <c r="ID61" s="166">
        <v>0.11627906976744186</v>
      </c>
      <c r="IE61" s="167">
        <v>43</v>
      </c>
      <c r="IF61" s="155">
        <v>0</v>
      </c>
      <c r="IG61" s="156">
        <v>0</v>
      </c>
      <c r="IH61" s="156">
        <v>0</v>
      </c>
      <c r="II61" s="156">
        <v>1</v>
      </c>
      <c r="IJ61" s="156">
        <v>0</v>
      </c>
      <c r="IK61" s="162">
        <v>1</v>
      </c>
      <c r="IL61" s="155">
        <v>0</v>
      </c>
      <c r="IM61" s="156">
        <v>0</v>
      </c>
      <c r="IN61" s="156">
        <v>0</v>
      </c>
      <c r="IO61" s="156">
        <v>1</v>
      </c>
      <c r="IP61" s="156">
        <v>0</v>
      </c>
      <c r="IQ61" s="162">
        <v>46</v>
      </c>
      <c r="IR61" s="155">
        <v>0.21276595744680879</v>
      </c>
      <c r="IS61" s="156">
        <v>0.7872340425531914</v>
      </c>
      <c r="IT61" s="162">
        <v>47</v>
      </c>
      <c r="IU61" s="161">
        <v>0</v>
      </c>
      <c r="IV61" s="156">
        <v>0.1</v>
      </c>
      <c r="IW61" s="156">
        <v>0.89999999999999991</v>
      </c>
      <c r="IX61" s="162">
        <v>10</v>
      </c>
    </row>
    <row r="62" spans="1:258" ht="32.1" customHeight="1" x14ac:dyDescent="0.25">
      <c r="A62" s="110" t="s">
        <v>453</v>
      </c>
      <c r="B62" s="108" t="s">
        <v>586</v>
      </c>
      <c r="C62" s="108" t="s">
        <v>454</v>
      </c>
      <c r="D62" s="109">
        <v>202</v>
      </c>
      <c r="E62" s="139" t="s">
        <v>512</v>
      </c>
      <c r="F62" s="155">
        <v>7.6923076923076858E-2</v>
      </c>
      <c r="G62" s="156">
        <v>0.92307692307692335</v>
      </c>
      <c r="H62" s="157">
        <v>13</v>
      </c>
      <c r="I62" s="155">
        <v>0.72727272727272729</v>
      </c>
      <c r="J62" s="156">
        <v>0.27272727272727271</v>
      </c>
      <c r="K62" s="157">
        <v>11</v>
      </c>
      <c r="L62" s="155">
        <v>0.625</v>
      </c>
      <c r="M62" s="156">
        <v>0.375</v>
      </c>
      <c r="N62" s="157">
        <v>8</v>
      </c>
      <c r="O62" s="155">
        <v>0.15384615384615385</v>
      </c>
      <c r="P62" s="156">
        <v>0.15384615384615385</v>
      </c>
      <c r="Q62" s="156">
        <v>0.46153846153846162</v>
      </c>
      <c r="R62" s="156">
        <v>7.6923076923076927E-2</v>
      </c>
      <c r="S62" s="156">
        <v>0.38461538461538486</v>
      </c>
      <c r="T62" s="156">
        <v>0</v>
      </c>
      <c r="U62" s="156">
        <v>0</v>
      </c>
      <c r="V62" s="156">
        <v>0.23076923076923081</v>
      </c>
      <c r="W62" s="156">
        <v>7.6923076923076927E-2</v>
      </c>
      <c r="X62" s="156">
        <v>0</v>
      </c>
      <c r="Y62" s="157">
        <v>13</v>
      </c>
      <c r="Z62" s="155">
        <v>0.6923076923076924</v>
      </c>
      <c r="AA62" s="156">
        <v>0.92307692307692324</v>
      </c>
      <c r="AB62" s="156">
        <v>0.53846153846153855</v>
      </c>
      <c r="AC62" s="156">
        <v>0.61538461538461542</v>
      </c>
      <c r="AD62" s="156">
        <v>7.6923076923076927E-2</v>
      </c>
      <c r="AE62" s="156">
        <v>7.6923076923076927E-2</v>
      </c>
      <c r="AF62" s="157">
        <v>13</v>
      </c>
      <c r="AG62" s="158">
        <v>9.7499999999999982</v>
      </c>
      <c r="AH62" s="159">
        <v>12</v>
      </c>
      <c r="AI62" s="160">
        <v>9.9166666666666643</v>
      </c>
      <c r="AJ62" s="159">
        <v>12</v>
      </c>
      <c r="AK62" s="160">
        <v>9.9166666666666643</v>
      </c>
      <c r="AL62" s="157">
        <v>12</v>
      </c>
      <c r="AM62" s="155">
        <v>0.53846153846153821</v>
      </c>
      <c r="AN62" s="156">
        <v>0.30769230769230743</v>
      </c>
      <c r="AO62" s="156">
        <v>7.6923076923076858E-2</v>
      </c>
      <c r="AP62" s="156">
        <v>7.6923076923076858E-2</v>
      </c>
      <c r="AQ62" s="156">
        <v>0</v>
      </c>
      <c r="AR62" s="157">
        <v>13</v>
      </c>
      <c r="AS62" s="155">
        <v>0.84615384615384626</v>
      </c>
      <c r="AT62" s="156">
        <v>0.15384615384615372</v>
      </c>
      <c r="AU62" s="156">
        <v>0</v>
      </c>
      <c r="AV62" s="156">
        <v>0</v>
      </c>
      <c r="AW62" s="156">
        <v>0</v>
      </c>
      <c r="AX62" s="157">
        <v>13</v>
      </c>
      <c r="AY62" s="155">
        <v>0.69230769230769251</v>
      </c>
      <c r="AZ62" s="156">
        <v>0.23076923076923084</v>
      </c>
      <c r="BA62" s="156">
        <v>7.6923076923076858E-2</v>
      </c>
      <c r="BB62" s="156">
        <v>0</v>
      </c>
      <c r="BC62" s="156">
        <v>0</v>
      </c>
      <c r="BD62" s="157">
        <v>13</v>
      </c>
      <c r="BE62" s="155">
        <v>0.69230769230769251</v>
      </c>
      <c r="BF62" s="156">
        <v>0.30769230769230743</v>
      </c>
      <c r="BG62" s="156">
        <v>0</v>
      </c>
      <c r="BH62" s="156">
        <v>0</v>
      </c>
      <c r="BI62" s="156">
        <v>0</v>
      </c>
      <c r="BJ62" s="157">
        <v>13</v>
      </c>
      <c r="BK62" s="155">
        <v>0.5</v>
      </c>
      <c r="BL62" s="156">
        <v>0.33333333333333343</v>
      </c>
      <c r="BM62" s="156">
        <v>0.16666666666666671</v>
      </c>
      <c r="BN62" s="156">
        <v>0</v>
      </c>
      <c r="BO62" s="156">
        <v>0</v>
      </c>
      <c r="BP62" s="157">
        <v>12</v>
      </c>
      <c r="BQ62" s="155">
        <v>0.84615384615384626</v>
      </c>
      <c r="BR62" s="156">
        <v>0.15384615384615372</v>
      </c>
      <c r="BS62" s="156">
        <v>0</v>
      </c>
      <c r="BT62" s="156">
        <v>0</v>
      </c>
      <c r="BU62" s="156">
        <v>0</v>
      </c>
      <c r="BV62" s="157">
        <v>13</v>
      </c>
      <c r="BW62" s="161">
        <v>0.84615384615384626</v>
      </c>
      <c r="BX62" s="156">
        <v>0.15384615384615372</v>
      </c>
      <c r="BY62" s="156">
        <v>0</v>
      </c>
      <c r="BZ62" s="156">
        <v>0</v>
      </c>
      <c r="CA62" s="156">
        <v>0</v>
      </c>
      <c r="CB62" s="157">
        <v>13</v>
      </c>
      <c r="CC62" s="155">
        <v>0.66666666666666685</v>
      </c>
      <c r="CD62" s="156">
        <v>0.33333333333333343</v>
      </c>
      <c r="CE62" s="156">
        <v>0</v>
      </c>
      <c r="CF62" s="156">
        <v>0</v>
      </c>
      <c r="CG62" s="156">
        <v>0</v>
      </c>
      <c r="CH62" s="162">
        <v>3</v>
      </c>
      <c r="CI62" s="155">
        <v>0.33333333333333343</v>
      </c>
      <c r="CJ62" s="156">
        <v>0.33333333333333343</v>
      </c>
      <c r="CK62" s="156">
        <v>0.33333333333333343</v>
      </c>
      <c r="CL62" s="156">
        <v>0</v>
      </c>
      <c r="CM62" s="156">
        <v>0</v>
      </c>
      <c r="CN62" s="162">
        <v>3</v>
      </c>
      <c r="CO62" s="155">
        <v>0.25</v>
      </c>
      <c r="CP62" s="156">
        <v>0.5</v>
      </c>
      <c r="CQ62" s="156">
        <v>0.25</v>
      </c>
      <c r="CR62" s="156">
        <v>0</v>
      </c>
      <c r="CS62" s="156">
        <v>0</v>
      </c>
      <c r="CT62" s="162">
        <v>4</v>
      </c>
      <c r="CU62" s="155">
        <v>0.25</v>
      </c>
      <c r="CV62" s="156">
        <v>0.75</v>
      </c>
      <c r="CW62" s="156">
        <v>0</v>
      </c>
      <c r="CX62" s="156">
        <v>0</v>
      </c>
      <c r="CY62" s="156">
        <v>0</v>
      </c>
      <c r="CZ62" s="162">
        <v>4</v>
      </c>
      <c r="DA62" s="155">
        <v>0.66666666666666685</v>
      </c>
      <c r="DB62" s="156">
        <v>0.33333333333333343</v>
      </c>
      <c r="DC62" s="156">
        <v>0</v>
      </c>
      <c r="DD62" s="156">
        <v>0</v>
      </c>
      <c r="DE62" s="156">
        <v>0</v>
      </c>
      <c r="DF62" s="162">
        <v>3</v>
      </c>
      <c r="DG62" s="155">
        <v>0.5</v>
      </c>
      <c r="DH62" s="156">
        <v>0.5</v>
      </c>
      <c r="DI62" s="156">
        <v>0</v>
      </c>
      <c r="DJ62" s="156">
        <v>0</v>
      </c>
      <c r="DK62" s="156">
        <v>0</v>
      </c>
      <c r="DL62" s="162">
        <v>2</v>
      </c>
      <c r="DM62" s="155">
        <v>1</v>
      </c>
      <c r="DN62" s="156">
        <v>0</v>
      </c>
      <c r="DO62" s="156">
        <v>0</v>
      </c>
      <c r="DP62" s="156">
        <v>0</v>
      </c>
      <c r="DQ62" s="156">
        <v>0</v>
      </c>
      <c r="DR62" s="162">
        <v>2</v>
      </c>
      <c r="DS62" s="161">
        <v>1</v>
      </c>
      <c r="DT62" s="156">
        <v>0</v>
      </c>
      <c r="DU62" s="156">
        <v>0</v>
      </c>
      <c r="DV62" s="156">
        <v>0</v>
      </c>
      <c r="DW62" s="156">
        <v>0</v>
      </c>
      <c r="DX62" s="162">
        <v>3</v>
      </c>
      <c r="DY62" s="155">
        <v>1</v>
      </c>
      <c r="DZ62" s="156">
        <v>0</v>
      </c>
      <c r="EA62" s="156">
        <v>0</v>
      </c>
      <c r="EB62" s="156">
        <v>0</v>
      </c>
      <c r="EC62" s="156">
        <v>0</v>
      </c>
      <c r="ED62" s="162">
        <v>13</v>
      </c>
      <c r="EE62" s="155">
        <v>0.8</v>
      </c>
      <c r="EF62" s="156">
        <v>0</v>
      </c>
      <c r="EG62" s="156">
        <v>0.2</v>
      </c>
      <c r="EH62" s="156">
        <v>0</v>
      </c>
      <c r="EI62" s="156">
        <v>0</v>
      </c>
      <c r="EJ62" s="162">
        <v>5</v>
      </c>
      <c r="EK62" s="155">
        <v>0.8</v>
      </c>
      <c r="EL62" s="156">
        <v>0</v>
      </c>
      <c r="EM62" s="156">
        <v>0.2</v>
      </c>
      <c r="EN62" s="156">
        <v>0</v>
      </c>
      <c r="EO62" s="156">
        <v>0</v>
      </c>
      <c r="EP62" s="162">
        <v>5</v>
      </c>
      <c r="EQ62" s="155">
        <v>1</v>
      </c>
      <c r="ER62" s="156">
        <v>0</v>
      </c>
      <c r="ES62" s="156">
        <v>0</v>
      </c>
      <c r="ET62" s="156">
        <v>0</v>
      </c>
      <c r="EU62" s="156">
        <v>0</v>
      </c>
      <c r="EV62" s="162">
        <v>7</v>
      </c>
      <c r="EW62" s="155">
        <v>1</v>
      </c>
      <c r="EX62" s="156">
        <v>0</v>
      </c>
      <c r="EY62" s="156">
        <v>0</v>
      </c>
      <c r="EZ62" s="156">
        <v>0</v>
      </c>
      <c r="FA62" s="156">
        <v>0</v>
      </c>
      <c r="FB62" s="162">
        <v>8</v>
      </c>
      <c r="FC62" s="155">
        <v>0.25</v>
      </c>
      <c r="FD62" s="156">
        <v>0.5</v>
      </c>
      <c r="FE62" s="156">
        <v>0.25</v>
      </c>
      <c r="FF62" s="156">
        <v>0</v>
      </c>
      <c r="FG62" s="156">
        <v>0</v>
      </c>
      <c r="FH62" s="162">
        <v>4</v>
      </c>
      <c r="FI62" s="161">
        <v>0.5</v>
      </c>
      <c r="FJ62" s="156">
        <v>0</v>
      </c>
      <c r="FK62" s="156">
        <v>0.5</v>
      </c>
      <c r="FL62" s="156">
        <v>0</v>
      </c>
      <c r="FM62" s="156">
        <v>0</v>
      </c>
      <c r="FN62" s="162">
        <v>2</v>
      </c>
      <c r="FO62" s="155">
        <v>0</v>
      </c>
      <c r="FP62" s="156">
        <v>0</v>
      </c>
      <c r="FQ62" s="156">
        <v>0</v>
      </c>
      <c r="FR62" s="156">
        <v>0</v>
      </c>
      <c r="FS62" s="156">
        <v>0</v>
      </c>
      <c r="FT62" s="162">
        <v>0</v>
      </c>
      <c r="FU62" s="155">
        <v>0</v>
      </c>
      <c r="FV62" s="156">
        <v>0</v>
      </c>
      <c r="FW62" s="156">
        <v>0</v>
      </c>
      <c r="FX62" s="156">
        <v>0</v>
      </c>
      <c r="FY62" s="156">
        <v>0</v>
      </c>
      <c r="FZ62" s="162">
        <v>0</v>
      </c>
      <c r="GA62" s="161">
        <v>0</v>
      </c>
      <c r="GB62" s="156">
        <v>0</v>
      </c>
      <c r="GC62" s="156">
        <v>0</v>
      </c>
      <c r="GD62" s="156">
        <v>0</v>
      </c>
      <c r="GE62" s="156">
        <v>0</v>
      </c>
      <c r="GF62" s="162">
        <v>0</v>
      </c>
      <c r="GG62" s="158">
        <v>9.7777777777777732</v>
      </c>
      <c r="GH62" s="162">
        <v>9</v>
      </c>
      <c r="GI62" s="155">
        <v>0.75</v>
      </c>
      <c r="GJ62" s="156">
        <v>0.16666666666666671</v>
      </c>
      <c r="GK62" s="156">
        <v>8.3333333333333356E-2</v>
      </c>
      <c r="GL62" s="156">
        <v>0</v>
      </c>
      <c r="GM62" s="156">
        <v>0</v>
      </c>
      <c r="GN62" s="162">
        <v>12</v>
      </c>
      <c r="GO62" s="155">
        <v>0.6923076923076924</v>
      </c>
      <c r="GP62" s="156">
        <v>7.6923076923076927E-2</v>
      </c>
      <c r="GQ62" s="156">
        <v>7.6923076923076927E-2</v>
      </c>
      <c r="GR62" s="156">
        <v>0.23076923076923081</v>
      </c>
      <c r="GS62" s="162">
        <v>13</v>
      </c>
      <c r="GT62" s="163">
        <v>3.153846153846156</v>
      </c>
      <c r="GU62" s="162">
        <v>13</v>
      </c>
      <c r="GV62" s="155">
        <v>1</v>
      </c>
      <c r="GW62" s="156">
        <v>0</v>
      </c>
      <c r="GX62" s="162">
        <v>4</v>
      </c>
      <c r="GY62" s="155">
        <v>1</v>
      </c>
      <c r="GZ62" s="156">
        <v>0</v>
      </c>
      <c r="HA62" s="162">
        <v>10</v>
      </c>
      <c r="HB62" s="155">
        <v>0.9090909090909095</v>
      </c>
      <c r="HC62" s="156">
        <v>9.0909090909090898E-2</v>
      </c>
      <c r="HD62" s="162">
        <v>11</v>
      </c>
      <c r="HE62" s="161">
        <v>0.875</v>
      </c>
      <c r="HF62" s="156">
        <v>0.125</v>
      </c>
      <c r="HG62" s="162">
        <v>8</v>
      </c>
      <c r="HH62" s="155">
        <v>0.53846153846153821</v>
      </c>
      <c r="HI62" s="156">
        <v>0.46153846153846168</v>
      </c>
      <c r="HJ62" s="162">
        <v>13</v>
      </c>
      <c r="HK62" s="155">
        <v>1</v>
      </c>
      <c r="HL62" s="156">
        <v>0</v>
      </c>
      <c r="HM62" s="162">
        <v>13</v>
      </c>
      <c r="HN62" s="161">
        <v>8.3333333333333356E-2</v>
      </c>
      <c r="HO62" s="156">
        <v>8.3333333333333356E-2</v>
      </c>
      <c r="HP62" s="156">
        <v>0.25</v>
      </c>
      <c r="HQ62" s="156">
        <v>0.5</v>
      </c>
      <c r="HR62" s="156">
        <v>8.3333333333333356E-2</v>
      </c>
      <c r="HS62" s="160">
        <v>59.499999999999993</v>
      </c>
      <c r="HT62" s="164">
        <v>12</v>
      </c>
      <c r="HU62" s="165">
        <v>0</v>
      </c>
      <c r="HV62" s="166">
        <v>0.1</v>
      </c>
      <c r="HW62" s="166">
        <v>0.1</v>
      </c>
      <c r="HX62" s="166">
        <v>0</v>
      </c>
      <c r="HY62" s="166">
        <v>0.1</v>
      </c>
      <c r="HZ62" s="166">
        <v>0.3</v>
      </c>
      <c r="IA62" s="166">
        <v>0.1</v>
      </c>
      <c r="IB62" s="166">
        <v>0.2</v>
      </c>
      <c r="IC62" s="166">
        <v>0</v>
      </c>
      <c r="ID62" s="166">
        <v>0.1</v>
      </c>
      <c r="IE62" s="167">
        <v>10</v>
      </c>
      <c r="IF62" s="155">
        <v>0</v>
      </c>
      <c r="IG62" s="156">
        <v>0</v>
      </c>
      <c r="IH62" s="156">
        <v>0</v>
      </c>
      <c r="II62" s="156">
        <v>0</v>
      </c>
      <c r="IJ62" s="156">
        <v>1</v>
      </c>
      <c r="IK62" s="162">
        <v>1</v>
      </c>
      <c r="IL62" s="155">
        <v>0</v>
      </c>
      <c r="IM62" s="156">
        <v>0</v>
      </c>
      <c r="IN62" s="156">
        <v>0</v>
      </c>
      <c r="IO62" s="156">
        <v>1</v>
      </c>
      <c r="IP62" s="156">
        <v>0</v>
      </c>
      <c r="IQ62" s="162">
        <v>12</v>
      </c>
      <c r="IR62" s="155">
        <v>8.3333333333333356E-2</v>
      </c>
      <c r="IS62" s="156">
        <v>0.91666666666666641</v>
      </c>
      <c r="IT62" s="162">
        <v>12</v>
      </c>
      <c r="IU62" s="161">
        <v>0</v>
      </c>
      <c r="IV62" s="156">
        <v>1</v>
      </c>
      <c r="IW62" s="156">
        <v>0</v>
      </c>
      <c r="IX62" s="162">
        <v>1</v>
      </c>
    </row>
    <row r="63" spans="1:258" ht="32.1" customHeight="1" x14ac:dyDescent="0.25">
      <c r="A63" s="110" t="s">
        <v>453</v>
      </c>
      <c r="B63" s="108" t="s">
        <v>586</v>
      </c>
      <c r="C63" s="108" t="s">
        <v>454</v>
      </c>
      <c r="D63" s="109">
        <v>203</v>
      </c>
      <c r="E63" s="139" t="s">
        <v>513</v>
      </c>
      <c r="F63" s="155">
        <v>0.33333333333333326</v>
      </c>
      <c r="G63" s="156">
        <v>0.66666666666666652</v>
      </c>
      <c r="H63" s="157">
        <v>15</v>
      </c>
      <c r="I63" s="155">
        <v>1</v>
      </c>
      <c r="J63" s="156">
        <v>0</v>
      </c>
      <c r="K63" s="157">
        <v>10</v>
      </c>
      <c r="L63" s="155">
        <v>0.88888888888888895</v>
      </c>
      <c r="M63" s="156">
        <v>0.11111111111111112</v>
      </c>
      <c r="N63" s="157">
        <v>9</v>
      </c>
      <c r="O63" s="155">
        <v>0.33333333333333326</v>
      </c>
      <c r="P63" s="156">
        <v>0.20000000000000004</v>
      </c>
      <c r="Q63" s="156">
        <v>0.26666666666666666</v>
      </c>
      <c r="R63" s="156">
        <v>0</v>
      </c>
      <c r="S63" s="156">
        <v>0.40000000000000008</v>
      </c>
      <c r="T63" s="156">
        <v>6.6666666666666666E-2</v>
      </c>
      <c r="U63" s="156">
        <v>0.13333333333333333</v>
      </c>
      <c r="V63" s="156">
        <v>0.26666666666666666</v>
      </c>
      <c r="W63" s="156">
        <v>0.13333333333333333</v>
      </c>
      <c r="X63" s="156">
        <v>6.6666666666666666E-2</v>
      </c>
      <c r="Y63" s="157">
        <v>15</v>
      </c>
      <c r="Z63" s="155">
        <v>0.57142857142857129</v>
      </c>
      <c r="AA63" s="156">
        <v>0.85714285714285721</v>
      </c>
      <c r="AB63" s="156">
        <v>0.57142857142857129</v>
      </c>
      <c r="AC63" s="156">
        <v>0.6428571428571429</v>
      </c>
      <c r="AD63" s="156">
        <v>0.14285714285714282</v>
      </c>
      <c r="AE63" s="156">
        <v>0.14285714285714282</v>
      </c>
      <c r="AF63" s="157">
        <v>14</v>
      </c>
      <c r="AG63" s="158">
        <v>9.384615384615385</v>
      </c>
      <c r="AH63" s="159">
        <v>13</v>
      </c>
      <c r="AI63" s="160">
        <v>9.6153846153846132</v>
      </c>
      <c r="AJ63" s="159">
        <v>13</v>
      </c>
      <c r="AK63" s="160">
        <v>9.4166666666666661</v>
      </c>
      <c r="AL63" s="157">
        <v>12</v>
      </c>
      <c r="AM63" s="155">
        <v>0.28571428571428559</v>
      </c>
      <c r="AN63" s="156">
        <v>0.49999999999999994</v>
      </c>
      <c r="AO63" s="156">
        <v>0.14285714285714279</v>
      </c>
      <c r="AP63" s="156">
        <v>7.1428571428571397E-2</v>
      </c>
      <c r="AQ63" s="156">
        <v>0</v>
      </c>
      <c r="AR63" s="157">
        <v>14</v>
      </c>
      <c r="AS63" s="155">
        <v>0.92857142857142871</v>
      </c>
      <c r="AT63" s="156">
        <v>0</v>
      </c>
      <c r="AU63" s="156">
        <v>7.1428571428571397E-2</v>
      </c>
      <c r="AV63" s="156">
        <v>0</v>
      </c>
      <c r="AW63" s="156">
        <v>0</v>
      </c>
      <c r="AX63" s="157">
        <v>14</v>
      </c>
      <c r="AY63" s="155">
        <v>0.78571428571428581</v>
      </c>
      <c r="AZ63" s="156">
        <v>0.14285714285714279</v>
      </c>
      <c r="BA63" s="156">
        <v>7.1428571428571397E-2</v>
      </c>
      <c r="BB63" s="156">
        <v>0</v>
      </c>
      <c r="BC63" s="156">
        <v>0</v>
      </c>
      <c r="BD63" s="157">
        <v>14</v>
      </c>
      <c r="BE63" s="155">
        <v>0.64285714285714302</v>
      </c>
      <c r="BF63" s="156">
        <v>0.21428571428571427</v>
      </c>
      <c r="BG63" s="156">
        <v>7.1428571428571397E-2</v>
      </c>
      <c r="BH63" s="156">
        <v>7.1428571428571397E-2</v>
      </c>
      <c r="BI63" s="156">
        <v>0</v>
      </c>
      <c r="BJ63" s="157">
        <v>14</v>
      </c>
      <c r="BK63" s="155">
        <v>0.63636363636363635</v>
      </c>
      <c r="BL63" s="156">
        <v>0.27272727272727265</v>
      </c>
      <c r="BM63" s="156">
        <v>9.0909090909090912E-2</v>
      </c>
      <c r="BN63" s="156">
        <v>0</v>
      </c>
      <c r="BO63" s="156">
        <v>0</v>
      </c>
      <c r="BP63" s="157">
        <v>11</v>
      </c>
      <c r="BQ63" s="155">
        <v>0.92857142857142871</v>
      </c>
      <c r="BR63" s="156">
        <v>0</v>
      </c>
      <c r="BS63" s="156">
        <v>7.1428571428571397E-2</v>
      </c>
      <c r="BT63" s="156">
        <v>0</v>
      </c>
      <c r="BU63" s="156">
        <v>0</v>
      </c>
      <c r="BV63" s="157">
        <v>14</v>
      </c>
      <c r="BW63" s="161">
        <v>0.7142857142857143</v>
      </c>
      <c r="BX63" s="156">
        <v>0.14285714285714279</v>
      </c>
      <c r="BY63" s="156">
        <v>0.14285714285714279</v>
      </c>
      <c r="BZ63" s="156">
        <v>0</v>
      </c>
      <c r="CA63" s="156">
        <v>0</v>
      </c>
      <c r="CB63" s="157">
        <v>14</v>
      </c>
      <c r="CC63" s="155">
        <v>0.99999999999999989</v>
      </c>
      <c r="CD63" s="156">
        <v>0</v>
      </c>
      <c r="CE63" s="156">
        <v>0</v>
      </c>
      <c r="CF63" s="156">
        <v>0</v>
      </c>
      <c r="CG63" s="156">
        <v>0</v>
      </c>
      <c r="CH63" s="162">
        <v>2</v>
      </c>
      <c r="CI63" s="155">
        <v>0</v>
      </c>
      <c r="CJ63" s="156">
        <v>0.99999999999999989</v>
      </c>
      <c r="CK63" s="156">
        <v>0</v>
      </c>
      <c r="CL63" s="156">
        <v>0</v>
      </c>
      <c r="CM63" s="156">
        <v>0</v>
      </c>
      <c r="CN63" s="162">
        <v>1</v>
      </c>
      <c r="CO63" s="155">
        <v>0.375</v>
      </c>
      <c r="CP63" s="156">
        <v>0.49999999999999994</v>
      </c>
      <c r="CQ63" s="156">
        <v>0.12499999999999999</v>
      </c>
      <c r="CR63" s="156">
        <v>0</v>
      </c>
      <c r="CS63" s="156">
        <v>0</v>
      </c>
      <c r="CT63" s="162">
        <v>8</v>
      </c>
      <c r="CU63" s="155">
        <v>0.49999999999999994</v>
      </c>
      <c r="CV63" s="156">
        <v>0.24999999999999997</v>
      </c>
      <c r="CW63" s="156">
        <v>0.24999999999999997</v>
      </c>
      <c r="CX63" s="156">
        <v>0</v>
      </c>
      <c r="CY63" s="156">
        <v>0</v>
      </c>
      <c r="CZ63" s="162">
        <v>8</v>
      </c>
      <c r="DA63" s="155">
        <v>0.66666666666666641</v>
      </c>
      <c r="DB63" s="156">
        <v>0.3333333333333332</v>
      </c>
      <c r="DC63" s="156">
        <v>0</v>
      </c>
      <c r="DD63" s="156">
        <v>0</v>
      </c>
      <c r="DE63" s="156">
        <v>0</v>
      </c>
      <c r="DF63" s="162">
        <v>3</v>
      </c>
      <c r="DG63" s="155">
        <v>0.3333333333333332</v>
      </c>
      <c r="DH63" s="156">
        <v>0.66666666666666641</v>
      </c>
      <c r="DI63" s="156">
        <v>0</v>
      </c>
      <c r="DJ63" s="156">
        <v>0</v>
      </c>
      <c r="DK63" s="156">
        <v>0</v>
      </c>
      <c r="DL63" s="162">
        <v>3</v>
      </c>
      <c r="DM63" s="155">
        <v>0.24999999999999997</v>
      </c>
      <c r="DN63" s="156">
        <v>0.24999999999999997</v>
      </c>
      <c r="DO63" s="156">
        <v>0.24999999999999997</v>
      </c>
      <c r="DP63" s="156">
        <v>0.24999999999999997</v>
      </c>
      <c r="DQ63" s="156">
        <v>0</v>
      </c>
      <c r="DR63" s="162">
        <v>4</v>
      </c>
      <c r="DS63" s="161">
        <v>1</v>
      </c>
      <c r="DT63" s="156">
        <v>0</v>
      </c>
      <c r="DU63" s="156">
        <v>0</v>
      </c>
      <c r="DV63" s="156">
        <v>0</v>
      </c>
      <c r="DW63" s="156">
        <v>0</v>
      </c>
      <c r="DX63" s="162">
        <v>5</v>
      </c>
      <c r="DY63" s="155">
        <v>0.92307692307692302</v>
      </c>
      <c r="DZ63" s="156">
        <v>0</v>
      </c>
      <c r="EA63" s="156">
        <v>7.6923076923076927E-2</v>
      </c>
      <c r="EB63" s="156">
        <v>0</v>
      </c>
      <c r="EC63" s="156">
        <v>0</v>
      </c>
      <c r="ED63" s="162">
        <v>13</v>
      </c>
      <c r="EE63" s="155">
        <v>0</v>
      </c>
      <c r="EF63" s="156">
        <v>0</v>
      </c>
      <c r="EG63" s="156">
        <v>0.99999999999999989</v>
      </c>
      <c r="EH63" s="156">
        <v>0</v>
      </c>
      <c r="EI63" s="156">
        <v>0</v>
      </c>
      <c r="EJ63" s="162">
        <v>2</v>
      </c>
      <c r="EK63" s="155">
        <v>0</v>
      </c>
      <c r="EL63" s="156">
        <v>0.99999999999999989</v>
      </c>
      <c r="EM63" s="156">
        <v>0</v>
      </c>
      <c r="EN63" s="156">
        <v>0</v>
      </c>
      <c r="EO63" s="156">
        <v>0</v>
      </c>
      <c r="EP63" s="162">
        <v>1</v>
      </c>
      <c r="EQ63" s="155">
        <v>0.90909090909090917</v>
      </c>
      <c r="ER63" s="156">
        <v>9.0909090909090912E-2</v>
      </c>
      <c r="ES63" s="156">
        <v>0</v>
      </c>
      <c r="ET63" s="156">
        <v>0</v>
      </c>
      <c r="EU63" s="156">
        <v>0</v>
      </c>
      <c r="EV63" s="162">
        <v>11</v>
      </c>
      <c r="EW63" s="155">
        <v>1</v>
      </c>
      <c r="EX63" s="156">
        <v>0</v>
      </c>
      <c r="EY63" s="156">
        <v>0</v>
      </c>
      <c r="EZ63" s="156">
        <v>0</v>
      </c>
      <c r="FA63" s="156">
        <v>0</v>
      </c>
      <c r="FB63" s="162">
        <v>11</v>
      </c>
      <c r="FC63" s="155">
        <v>0.49999999999999994</v>
      </c>
      <c r="FD63" s="156">
        <v>0.49999999999999994</v>
      </c>
      <c r="FE63" s="156">
        <v>0</v>
      </c>
      <c r="FF63" s="156">
        <v>0</v>
      </c>
      <c r="FG63" s="156">
        <v>0</v>
      </c>
      <c r="FH63" s="162">
        <v>2</v>
      </c>
      <c r="FI63" s="161">
        <v>0.99999999999999989</v>
      </c>
      <c r="FJ63" s="156">
        <v>0</v>
      </c>
      <c r="FK63" s="156">
        <v>0</v>
      </c>
      <c r="FL63" s="156">
        <v>0</v>
      </c>
      <c r="FM63" s="156">
        <v>0</v>
      </c>
      <c r="FN63" s="162">
        <v>2</v>
      </c>
      <c r="FO63" s="155">
        <v>0</v>
      </c>
      <c r="FP63" s="156">
        <v>0</v>
      </c>
      <c r="FQ63" s="156">
        <v>0</v>
      </c>
      <c r="FR63" s="156">
        <v>0</v>
      </c>
      <c r="FS63" s="156">
        <v>0</v>
      </c>
      <c r="FT63" s="162">
        <v>0</v>
      </c>
      <c r="FU63" s="155">
        <v>0</v>
      </c>
      <c r="FV63" s="156">
        <v>0</v>
      </c>
      <c r="FW63" s="156">
        <v>0</v>
      </c>
      <c r="FX63" s="156">
        <v>0</v>
      </c>
      <c r="FY63" s="156">
        <v>0</v>
      </c>
      <c r="FZ63" s="162">
        <v>0</v>
      </c>
      <c r="GA63" s="161">
        <v>0</v>
      </c>
      <c r="GB63" s="156">
        <v>0</v>
      </c>
      <c r="GC63" s="156">
        <v>0</v>
      </c>
      <c r="GD63" s="156">
        <v>0</v>
      </c>
      <c r="GE63" s="156">
        <v>0</v>
      </c>
      <c r="GF63" s="162">
        <v>0</v>
      </c>
      <c r="GG63" s="158">
        <v>9.6153846153846132</v>
      </c>
      <c r="GH63" s="162">
        <v>13</v>
      </c>
      <c r="GI63" s="155">
        <v>0.49999999999999994</v>
      </c>
      <c r="GJ63" s="156">
        <v>0.35714285714285715</v>
      </c>
      <c r="GK63" s="156">
        <v>0.14285714285714279</v>
      </c>
      <c r="GL63" s="156">
        <v>0</v>
      </c>
      <c r="GM63" s="156">
        <v>0</v>
      </c>
      <c r="GN63" s="162">
        <v>14</v>
      </c>
      <c r="GO63" s="155">
        <v>0.4285714285714286</v>
      </c>
      <c r="GP63" s="156">
        <v>0.4285714285714286</v>
      </c>
      <c r="GQ63" s="156">
        <v>0.2142857142857143</v>
      </c>
      <c r="GR63" s="156">
        <v>0.2142857142857143</v>
      </c>
      <c r="GS63" s="162">
        <v>14</v>
      </c>
      <c r="GT63" s="163">
        <v>2.9166666666666652</v>
      </c>
      <c r="GU63" s="162">
        <v>12</v>
      </c>
      <c r="GV63" s="155">
        <v>1</v>
      </c>
      <c r="GW63" s="156">
        <v>0</v>
      </c>
      <c r="GX63" s="162">
        <v>5</v>
      </c>
      <c r="GY63" s="155">
        <v>1</v>
      </c>
      <c r="GZ63" s="156">
        <v>0</v>
      </c>
      <c r="HA63" s="162">
        <v>10</v>
      </c>
      <c r="HB63" s="155">
        <v>1</v>
      </c>
      <c r="HC63" s="156">
        <v>0</v>
      </c>
      <c r="HD63" s="162">
        <v>11</v>
      </c>
      <c r="HE63" s="161">
        <v>1</v>
      </c>
      <c r="HF63" s="156">
        <v>0</v>
      </c>
      <c r="HG63" s="162">
        <v>9</v>
      </c>
      <c r="HH63" s="155">
        <v>0.46666666666666656</v>
      </c>
      <c r="HI63" s="156">
        <v>0.53333333333333344</v>
      </c>
      <c r="HJ63" s="162">
        <v>15</v>
      </c>
      <c r="HK63" s="155">
        <v>0.99999999999999989</v>
      </c>
      <c r="HL63" s="156">
        <v>0</v>
      </c>
      <c r="HM63" s="162">
        <v>14</v>
      </c>
      <c r="HN63" s="161">
        <v>0</v>
      </c>
      <c r="HO63" s="156">
        <v>0.38461538461538458</v>
      </c>
      <c r="HP63" s="156">
        <v>0.30769230769230771</v>
      </c>
      <c r="HQ63" s="156">
        <v>0.23076923076923075</v>
      </c>
      <c r="HR63" s="156">
        <v>7.6923076923076927E-2</v>
      </c>
      <c r="HS63" s="160">
        <v>53.384615384615365</v>
      </c>
      <c r="HT63" s="164">
        <v>13</v>
      </c>
      <c r="HU63" s="165">
        <v>0</v>
      </c>
      <c r="HV63" s="166">
        <v>7.6923076923076927E-2</v>
      </c>
      <c r="HW63" s="166">
        <v>0.23076923076923078</v>
      </c>
      <c r="HX63" s="166">
        <v>7.6923076923076927E-2</v>
      </c>
      <c r="HY63" s="166">
        <v>0.23076923076923078</v>
      </c>
      <c r="HZ63" s="166">
        <v>0.15384615384615385</v>
      </c>
      <c r="IA63" s="166">
        <v>7.6923076923076927E-2</v>
      </c>
      <c r="IB63" s="166">
        <v>0.15384615384615385</v>
      </c>
      <c r="IC63" s="166">
        <v>0</v>
      </c>
      <c r="ID63" s="166">
        <v>0</v>
      </c>
      <c r="IE63" s="167">
        <v>13</v>
      </c>
      <c r="IF63" s="155">
        <v>0</v>
      </c>
      <c r="IG63" s="156">
        <v>0</v>
      </c>
      <c r="IH63" s="156">
        <v>0</v>
      </c>
      <c r="II63" s="156">
        <v>0</v>
      </c>
      <c r="IJ63" s="156">
        <v>0.99999999999999989</v>
      </c>
      <c r="IK63" s="162">
        <v>1</v>
      </c>
      <c r="IL63" s="155">
        <v>0</v>
      </c>
      <c r="IM63" s="156">
        <v>0</v>
      </c>
      <c r="IN63" s="156">
        <v>0</v>
      </c>
      <c r="IO63" s="156">
        <v>0.99999999999999989</v>
      </c>
      <c r="IP63" s="156">
        <v>0</v>
      </c>
      <c r="IQ63" s="162">
        <v>14</v>
      </c>
      <c r="IR63" s="155">
        <v>6.666666666666668E-2</v>
      </c>
      <c r="IS63" s="156">
        <v>0.93333333333333313</v>
      </c>
      <c r="IT63" s="162">
        <v>15</v>
      </c>
      <c r="IU63" s="161">
        <v>0</v>
      </c>
      <c r="IV63" s="156">
        <v>0.99999999999999989</v>
      </c>
      <c r="IW63" s="156">
        <v>0</v>
      </c>
      <c r="IX63" s="162">
        <v>1</v>
      </c>
    </row>
    <row r="64" spans="1:258" ht="32.1" customHeight="1" x14ac:dyDescent="0.25">
      <c r="A64" s="110" t="s">
        <v>453</v>
      </c>
      <c r="B64" s="108" t="s">
        <v>586</v>
      </c>
      <c r="C64" s="108" t="s">
        <v>454</v>
      </c>
      <c r="D64" s="109">
        <v>205</v>
      </c>
      <c r="E64" s="139" t="s">
        <v>514</v>
      </c>
      <c r="F64" s="155">
        <v>0.16666666666666669</v>
      </c>
      <c r="G64" s="156">
        <v>0.83333333333333315</v>
      </c>
      <c r="H64" s="157">
        <v>18</v>
      </c>
      <c r="I64" s="155">
        <v>0.6</v>
      </c>
      <c r="J64" s="156">
        <v>0.40000000000000008</v>
      </c>
      <c r="K64" s="157">
        <v>15</v>
      </c>
      <c r="L64" s="155">
        <v>0.77777777777777768</v>
      </c>
      <c r="M64" s="156">
        <v>0.22222222222222221</v>
      </c>
      <c r="N64" s="157">
        <v>9</v>
      </c>
      <c r="O64" s="155">
        <v>0.3333333333333332</v>
      </c>
      <c r="P64" s="156">
        <v>0.22222222222222227</v>
      </c>
      <c r="Q64" s="156">
        <v>0.1666666666666666</v>
      </c>
      <c r="R64" s="156">
        <v>0</v>
      </c>
      <c r="S64" s="156">
        <v>0.1666666666666666</v>
      </c>
      <c r="T64" s="156">
        <v>0</v>
      </c>
      <c r="U64" s="156">
        <v>0</v>
      </c>
      <c r="V64" s="156">
        <v>0.27777777777777773</v>
      </c>
      <c r="W64" s="156">
        <v>5.5555555555555566E-2</v>
      </c>
      <c r="X64" s="156">
        <v>0.22222222222222227</v>
      </c>
      <c r="Y64" s="157">
        <v>18</v>
      </c>
      <c r="Z64" s="155">
        <v>0.52941176470588236</v>
      </c>
      <c r="AA64" s="156">
        <v>0.76470588235294157</v>
      </c>
      <c r="AB64" s="156">
        <v>0.41176470588235309</v>
      </c>
      <c r="AC64" s="156">
        <v>0.52941176470588236</v>
      </c>
      <c r="AD64" s="156">
        <v>0.11764705882352941</v>
      </c>
      <c r="AE64" s="156">
        <v>0.17647058823529405</v>
      </c>
      <c r="AF64" s="157">
        <v>17</v>
      </c>
      <c r="AG64" s="158">
        <v>9.9999999999999982</v>
      </c>
      <c r="AH64" s="159">
        <v>18</v>
      </c>
      <c r="AI64" s="160">
        <v>9.9999999999999982</v>
      </c>
      <c r="AJ64" s="159">
        <v>18</v>
      </c>
      <c r="AK64" s="160">
        <v>9.9999999999999982</v>
      </c>
      <c r="AL64" s="157">
        <v>18</v>
      </c>
      <c r="AM64" s="155">
        <v>0.52941176470588269</v>
      </c>
      <c r="AN64" s="156">
        <v>0.47058823529411742</v>
      </c>
      <c r="AO64" s="156">
        <v>0</v>
      </c>
      <c r="AP64" s="156">
        <v>0</v>
      </c>
      <c r="AQ64" s="156">
        <v>0</v>
      </c>
      <c r="AR64" s="157">
        <v>17</v>
      </c>
      <c r="AS64" s="155">
        <v>0.89473684210526272</v>
      </c>
      <c r="AT64" s="156">
        <v>5.2631578947368397E-2</v>
      </c>
      <c r="AU64" s="156">
        <v>5.2631578947368397E-2</v>
      </c>
      <c r="AV64" s="156">
        <v>0</v>
      </c>
      <c r="AW64" s="156">
        <v>0</v>
      </c>
      <c r="AX64" s="157">
        <v>19</v>
      </c>
      <c r="AY64" s="155">
        <v>0.78947368421052644</v>
      </c>
      <c r="AZ64" s="156">
        <v>0.10526315789473679</v>
      </c>
      <c r="BA64" s="156">
        <v>0.10526315789473679</v>
      </c>
      <c r="BB64" s="156">
        <v>0</v>
      </c>
      <c r="BC64" s="156">
        <v>0</v>
      </c>
      <c r="BD64" s="157">
        <v>19</v>
      </c>
      <c r="BE64" s="155">
        <v>0.73684210526315808</v>
      </c>
      <c r="BF64" s="156">
        <v>0.26315789473684215</v>
      </c>
      <c r="BG64" s="156">
        <v>0</v>
      </c>
      <c r="BH64" s="156">
        <v>0</v>
      </c>
      <c r="BI64" s="156">
        <v>0</v>
      </c>
      <c r="BJ64" s="157">
        <v>19</v>
      </c>
      <c r="BK64" s="155">
        <v>0.78947368421052644</v>
      </c>
      <c r="BL64" s="156">
        <v>0.15789473684210523</v>
      </c>
      <c r="BM64" s="156">
        <v>5.2631578947368397E-2</v>
      </c>
      <c r="BN64" s="156">
        <v>0</v>
      </c>
      <c r="BO64" s="156">
        <v>0</v>
      </c>
      <c r="BP64" s="157">
        <v>19</v>
      </c>
      <c r="BQ64" s="155">
        <v>0.89473684210526272</v>
      </c>
      <c r="BR64" s="156">
        <v>0.10526315789473679</v>
      </c>
      <c r="BS64" s="156">
        <v>0</v>
      </c>
      <c r="BT64" s="156">
        <v>0</v>
      </c>
      <c r="BU64" s="156">
        <v>0</v>
      </c>
      <c r="BV64" s="157">
        <v>19</v>
      </c>
      <c r="BW64" s="161">
        <v>0.94117647058823484</v>
      </c>
      <c r="BX64" s="156">
        <v>5.8823529411764677E-2</v>
      </c>
      <c r="BY64" s="156">
        <v>0</v>
      </c>
      <c r="BZ64" s="156">
        <v>0</v>
      </c>
      <c r="CA64" s="156">
        <v>0</v>
      </c>
      <c r="CB64" s="157">
        <v>17</v>
      </c>
      <c r="CC64" s="155">
        <v>1</v>
      </c>
      <c r="CD64" s="156">
        <v>0</v>
      </c>
      <c r="CE64" s="156">
        <v>0</v>
      </c>
      <c r="CF64" s="156">
        <v>0</v>
      </c>
      <c r="CG64" s="156">
        <v>0</v>
      </c>
      <c r="CH64" s="162">
        <v>4</v>
      </c>
      <c r="CI64" s="155">
        <v>1</v>
      </c>
      <c r="CJ64" s="156">
        <v>0</v>
      </c>
      <c r="CK64" s="156">
        <v>0</v>
      </c>
      <c r="CL64" s="156">
        <v>0</v>
      </c>
      <c r="CM64" s="156">
        <v>0</v>
      </c>
      <c r="CN64" s="162">
        <v>3</v>
      </c>
      <c r="CO64" s="155">
        <v>0.25</v>
      </c>
      <c r="CP64" s="156">
        <v>0.66666666666666652</v>
      </c>
      <c r="CQ64" s="156">
        <v>8.3333333333333315E-2</v>
      </c>
      <c r="CR64" s="156">
        <v>0</v>
      </c>
      <c r="CS64" s="156">
        <v>0</v>
      </c>
      <c r="CT64" s="162">
        <v>12</v>
      </c>
      <c r="CU64" s="155">
        <v>0.28571428571428564</v>
      </c>
      <c r="CV64" s="156">
        <v>0.6428571428571429</v>
      </c>
      <c r="CW64" s="156">
        <v>0</v>
      </c>
      <c r="CX64" s="156">
        <v>7.1428571428571411E-2</v>
      </c>
      <c r="CY64" s="156">
        <v>0</v>
      </c>
      <c r="CZ64" s="162">
        <v>14</v>
      </c>
      <c r="DA64" s="155">
        <v>0.66666666666666652</v>
      </c>
      <c r="DB64" s="156">
        <v>0.33333333333333326</v>
      </c>
      <c r="DC64" s="156">
        <v>0</v>
      </c>
      <c r="DD64" s="156">
        <v>0</v>
      </c>
      <c r="DE64" s="156">
        <v>0</v>
      </c>
      <c r="DF64" s="162">
        <v>3</v>
      </c>
      <c r="DG64" s="155">
        <v>0.66666666666666652</v>
      </c>
      <c r="DH64" s="156">
        <v>0.33333333333333326</v>
      </c>
      <c r="DI64" s="156">
        <v>0</v>
      </c>
      <c r="DJ64" s="156">
        <v>0</v>
      </c>
      <c r="DK64" s="156">
        <v>0</v>
      </c>
      <c r="DL64" s="162">
        <v>3</v>
      </c>
      <c r="DM64" s="155">
        <v>0.9</v>
      </c>
      <c r="DN64" s="156">
        <v>9.9999999999999978E-2</v>
      </c>
      <c r="DO64" s="156">
        <v>0</v>
      </c>
      <c r="DP64" s="156">
        <v>0</v>
      </c>
      <c r="DQ64" s="156">
        <v>0</v>
      </c>
      <c r="DR64" s="162">
        <v>10</v>
      </c>
      <c r="DS64" s="161">
        <v>0.91666666666666685</v>
      </c>
      <c r="DT64" s="156">
        <v>8.3333333333333315E-2</v>
      </c>
      <c r="DU64" s="156">
        <v>0</v>
      </c>
      <c r="DV64" s="156">
        <v>0</v>
      </c>
      <c r="DW64" s="156">
        <v>0</v>
      </c>
      <c r="DX64" s="162">
        <v>12</v>
      </c>
      <c r="DY64" s="155">
        <v>1</v>
      </c>
      <c r="DZ64" s="156">
        <v>0</v>
      </c>
      <c r="EA64" s="156">
        <v>0</v>
      </c>
      <c r="EB64" s="156">
        <v>0</v>
      </c>
      <c r="EC64" s="156">
        <v>0</v>
      </c>
      <c r="ED64" s="162">
        <v>19</v>
      </c>
      <c r="EE64" s="155">
        <v>1</v>
      </c>
      <c r="EF64" s="156">
        <v>0</v>
      </c>
      <c r="EG64" s="156">
        <v>0</v>
      </c>
      <c r="EH64" s="156">
        <v>0</v>
      </c>
      <c r="EI64" s="156">
        <v>0</v>
      </c>
      <c r="EJ64" s="162">
        <v>9</v>
      </c>
      <c r="EK64" s="155">
        <v>1</v>
      </c>
      <c r="EL64" s="156">
        <v>0</v>
      </c>
      <c r="EM64" s="156">
        <v>0</v>
      </c>
      <c r="EN64" s="156">
        <v>0</v>
      </c>
      <c r="EO64" s="156">
        <v>0</v>
      </c>
      <c r="EP64" s="162">
        <v>8</v>
      </c>
      <c r="EQ64" s="155">
        <v>0.80000000000000016</v>
      </c>
      <c r="ER64" s="156">
        <v>0.20000000000000004</v>
      </c>
      <c r="ES64" s="156">
        <v>0</v>
      </c>
      <c r="ET64" s="156">
        <v>0</v>
      </c>
      <c r="EU64" s="156">
        <v>0</v>
      </c>
      <c r="EV64" s="162">
        <v>15</v>
      </c>
      <c r="EW64" s="155">
        <v>0.9375</v>
      </c>
      <c r="EX64" s="156">
        <v>6.25E-2</v>
      </c>
      <c r="EY64" s="156">
        <v>0</v>
      </c>
      <c r="EZ64" s="156">
        <v>0</v>
      </c>
      <c r="FA64" s="156">
        <v>0</v>
      </c>
      <c r="FB64" s="162">
        <v>16</v>
      </c>
      <c r="FC64" s="155">
        <v>1</v>
      </c>
      <c r="FD64" s="156">
        <v>0</v>
      </c>
      <c r="FE64" s="156">
        <v>0</v>
      </c>
      <c r="FF64" s="156">
        <v>0</v>
      </c>
      <c r="FG64" s="156">
        <v>0</v>
      </c>
      <c r="FH64" s="162">
        <v>2</v>
      </c>
      <c r="FI64" s="161">
        <v>0.66666666666666652</v>
      </c>
      <c r="FJ64" s="156">
        <v>0.33333333333333326</v>
      </c>
      <c r="FK64" s="156">
        <v>0</v>
      </c>
      <c r="FL64" s="156">
        <v>0</v>
      </c>
      <c r="FM64" s="156">
        <v>0</v>
      </c>
      <c r="FN64" s="162">
        <v>3</v>
      </c>
      <c r="FO64" s="155">
        <v>0</v>
      </c>
      <c r="FP64" s="156">
        <v>0</v>
      </c>
      <c r="FQ64" s="156">
        <v>0</v>
      </c>
      <c r="FR64" s="156">
        <v>0</v>
      </c>
      <c r="FS64" s="156">
        <v>0</v>
      </c>
      <c r="FT64" s="162">
        <v>0</v>
      </c>
      <c r="FU64" s="155">
        <v>0</v>
      </c>
      <c r="FV64" s="156">
        <v>0</v>
      </c>
      <c r="FW64" s="156">
        <v>0</v>
      </c>
      <c r="FX64" s="156">
        <v>0</v>
      </c>
      <c r="FY64" s="156">
        <v>0</v>
      </c>
      <c r="FZ64" s="162">
        <v>0</v>
      </c>
      <c r="GA64" s="161">
        <v>0</v>
      </c>
      <c r="GB64" s="156">
        <v>0</v>
      </c>
      <c r="GC64" s="156">
        <v>0</v>
      </c>
      <c r="GD64" s="156">
        <v>0</v>
      </c>
      <c r="GE64" s="156">
        <v>0</v>
      </c>
      <c r="GF64" s="162">
        <v>0</v>
      </c>
      <c r="GG64" s="158">
        <v>9.7777777777777732</v>
      </c>
      <c r="GH64" s="162">
        <v>18</v>
      </c>
      <c r="GI64" s="155">
        <v>0.66666666666666674</v>
      </c>
      <c r="GJ64" s="156">
        <v>0.27777777777777773</v>
      </c>
      <c r="GK64" s="156">
        <v>0</v>
      </c>
      <c r="GL64" s="156">
        <v>5.5555555555555559E-2</v>
      </c>
      <c r="GM64" s="156">
        <v>0</v>
      </c>
      <c r="GN64" s="162">
        <v>18</v>
      </c>
      <c r="GO64" s="155">
        <v>0.72222222222222188</v>
      </c>
      <c r="GP64" s="156">
        <v>0.22222222222222227</v>
      </c>
      <c r="GQ64" s="156">
        <v>0</v>
      </c>
      <c r="GR64" s="156">
        <v>5.5555555555555566E-2</v>
      </c>
      <c r="GS64" s="162">
        <v>18</v>
      </c>
      <c r="GT64" s="163">
        <v>3.8823529411764723</v>
      </c>
      <c r="GU64" s="162">
        <v>17</v>
      </c>
      <c r="GV64" s="155">
        <v>0.66666666666666674</v>
      </c>
      <c r="GW64" s="156">
        <v>0.33333333333333337</v>
      </c>
      <c r="GX64" s="162">
        <v>9</v>
      </c>
      <c r="GY64" s="155">
        <v>1</v>
      </c>
      <c r="GZ64" s="156">
        <v>0</v>
      </c>
      <c r="HA64" s="162">
        <v>10</v>
      </c>
      <c r="HB64" s="155">
        <v>1</v>
      </c>
      <c r="HC64" s="156">
        <v>0</v>
      </c>
      <c r="HD64" s="162">
        <v>18</v>
      </c>
      <c r="HE64" s="161">
        <v>0.91666666666666685</v>
      </c>
      <c r="HF64" s="156">
        <v>8.3333333333333315E-2</v>
      </c>
      <c r="HG64" s="162">
        <v>12</v>
      </c>
      <c r="HH64" s="155">
        <v>0.47058823529411742</v>
      </c>
      <c r="HI64" s="156">
        <v>0.52941176470588269</v>
      </c>
      <c r="HJ64" s="162">
        <v>17</v>
      </c>
      <c r="HK64" s="155">
        <v>1</v>
      </c>
      <c r="HL64" s="156">
        <v>0</v>
      </c>
      <c r="HM64" s="162">
        <v>15</v>
      </c>
      <c r="HN64" s="161">
        <v>6.6666666666666693E-2</v>
      </c>
      <c r="HO64" s="156">
        <v>0.33333333333333337</v>
      </c>
      <c r="HP64" s="156">
        <v>0.40000000000000008</v>
      </c>
      <c r="HQ64" s="156">
        <v>0.13333333333333339</v>
      </c>
      <c r="HR64" s="156">
        <v>6.6666666666666693E-2</v>
      </c>
      <c r="HS64" s="160">
        <v>49</v>
      </c>
      <c r="HT64" s="164">
        <v>15</v>
      </c>
      <c r="HU64" s="165">
        <v>0.13333333333333333</v>
      </c>
      <c r="HV64" s="166">
        <v>6.6666666666666666E-2</v>
      </c>
      <c r="HW64" s="166">
        <v>6.6666666666666666E-2</v>
      </c>
      <c r="HX64" s="166">
        <v>0</v>
      </c>
      <c r="HY64" s="166">
        <v>0</v>
      </c>
      <c r="HZ64" s="166">
        <v>6.6666666666666666E-2</v>
      </c>
      <c r="IA64" s="166">
        <v>0.2</v>
      </c>
      <c r="IB64" s="166">
        <v>0.2</v>
      </c>
      <c r="IC64" s="166">
        <v>0.13333333333333333</v>
      </c>
      <c r="ID64" s="166">
        <v>0.13333333333333333</v>
      </c>
      <c r="IE64" s="167">
        <v>15</v>
      </c>
      <c r="IF64" s="155">
        <v>0</v>
      </c>
      <c r="IG64" s="156">
        <v>0</v>
      </c>
      <c r="IH64" s="156">
        <v>0</v>
      </c>
      <c r="II64" s="156">
        <v>0</v>
      </c>
      <c r="IJ64" s="156">
        <v>0</v>
      </c>
      <c r="IK64" s="162">
        <v>0</v>
      </c>
      <c r="IL64" s="155">
        <v>0</v>
      </c>
      <c r="IM64" s="156">
        <v>0</v>
      </c>
      <c r="IN64" s="156">
        <v>0</v>
      </c>
      <c r="IO64" s="156">
        <v>1</v>
      </c>
      <c r="IP64" s="156">
        <v>0</v>
      </c>
      <c r="IQ64" s="162">
        <v>15</v>
      </c>
      <c r="IR64" s="155">
        <v>0.13333333333333339</v>
      </c>
      <c r="IS64" s="156">
        <v>0.86666666666666681</v>
      </c>
      <c r="IT64" s="162">
        <v>15</v>
      </c>
      <c r="IU64" s="161">
        <v>0</v>
      </c>
      <c r="IV64" s="156">
        <v>0</v>
      </c>
      <c r="IW64" s="156">
        <v>1</v>
      </c>
      <c r="IX64" s="162">
        <v>2</v>
      </c>
    </row>
    <row r="65" spans="1:258" ht="32.1" customHeight="1" x14ac:dyDescent="0.25">
      <c r="A65" s="110" t="s">
        <v>453</v>
      </c>
      <c r="B65" s="108" t="s">
        <v>586</v>
      </c>
      <c r="C65" s="108" t="s">
        <v>457</v>
      </c>
      <c r="D65" s="109">
        <v>206</v>
      </c>
      <c r="E65" s="139" t="s">
        <v>515</v>
      </c>
      <c r="F65" s="155">
        <v>0.12000000000000002</v>
      </c>
      <c r="G65" s="156">
        <v>0.88000000000000012</v>
      </c>
      <c r="H65" s="157">
        <v>25</v>
      </c>
      <c r="I65" s="155">
        <v>0.81818181818181812</v>
      </c>
      <c r="J65" s="156">
        <v>0.18181818181818188</v>
      </c>
      <c r="K65" s="157">
        <v>22</v>
      </c>
      <c r="L65" s="155">
        <v>0.55555555555555547</v>
      </c>
      <c r="M65" s="156">
        <v>0.44444444444444448</v>
      </c>
      <c r="N65" s="157">
        <v>18</v>
      </c>
      <c r="O65" s="155">
        <v>0.68000000000000016</v>
      </c>
      <c r="P65" s="156">
        <v>0</v>
      </c>
      <c r="Q65" s="156">
        <v>4.0000000000000029E-2</v>
      </c>
      <c r="R65" s="156">
        <v>0.12000000000000006</v>
      </c>
      <c r="S65" s="156">
        <v>8.0000000000000057E-2</v>
      </c>
      <c r="T65" s="156">
        <v>4.0000000000000029E-2</v>
      </c>
      <c r="U65" s="156">
        <v>0</v>
      </c>
      <c r="V65" s="156">
        <v>0.12000000000000006</v>
      </c>
      <c r="W65" s="156">
        <v>0.24000000000000019</v>
      </c>
      <c r="X65" s="156">
        <v>0.12000000000000006</v>
      </c>
      <c r="Y65" s="157">
        <v>25</v>
      </c>
      <c r="Z65" s="155">
        <v>0.75000000000000011</v>
      </c>
      <c r="AA65" s="156">
        <v>0.62500000000000011</v>
      </c>
      <c r="AB65" s="156">
        <v>0.7083333333333337</v>
      </c>
      <c r="AC65" s="156">
        <v>0.87500000000000011</v>
      </c>
      <c r="AD65" s="156">
        <v>4.1666666666666713E-2</v>
      </c>
      <c r="AE65" s="156">
        <v>8.3333333333333426E-2</v>
      </c>
      <c r="AF65" s="157">
        <v>24</v>
      </c>
      <c r="AG65" s="158">
        <v>9.8400000000000016</v>
      </c>
      <c r="AH65" s="159">
        <v>25</v>
      </c>
      <c r="AI65" s="160">
        <v>9.8799999999999972</v>
      </c>
      <c r="AJ65" s="159">
        <v>25</v>
      </c>
      <c r="AK65" s="160">
        <v>9.9523809523809561</v>
      </c>
      <c r="AL65" s="157">
        <v>21</v>
      </c>
      <c r="AM65" s="155">
        <v>0.30434782608695654</v>
      </c>
      <c r="AN65" s="156">
        <v>0.56521739130434778</v>
      </c>
      <c r="AO65" s="156">
        <v>0</v>
      </c>
      <c r="AP65" s="156">
        <v>0.13043478260869565</v>
      </c>
      <c r="AQ65" s="156">
        <v>0</v>
      </c>
      <c r="AR65" s="157">
        <v>23</v>
      </c>
      <c r="AS65" s="155">
        <v>0.75000000000000011</v>
      </c>
      <c r="AT65" s="156">
        <v>0.25000000000000006</v>
      </c>
      <c r="AU65" s="156">
        <v>0</v>
      </c>
      <c r="AV65" s="156">
        <v>0</v>
      </c>
      <c r="AW65" s="156">
        <v>0</v>
      </c>
      <c r="AX65" s="157">
        <v>24</v>
      </c>
      <c r="AY65" s="155">
        <v>0.95833333333333315</v>
      </c>
      <c r="AZ65" s="156">
        <v>4.1666666666666706E-2</v>
      </c>
      <c r="BA65" s="156">
        <v>0</v>
      </c>
      <c r="BB65" s="156">
        <v>0</v>
      </c>
      <c r="BC65" s="156">
        <v>0</v>
      </c>
      <c r="BD65" s="157">
        <v>24</v>
      </c>
      <c r="BE65" s="155">
        <v>0.83333333333333315</v>
      </c>
      <c r="BF65" s="156">
        <v>0.12500000000000003</v>
      </c>
      <c r="BG65" s="156">
        <v>4.1666666666666706E-2</v>
      </c>
      <c r="BH65" s="156">
        <v>0</v>
      </c>
      <c r="BI65" s="156">
        <v>0</v>
      </c>
      <c r="BJ65" s="157">
        <v>24</v>
      </c>
      <c r="BK65" s="155">
        <v>0.7916666666666673</v>
      </c>
      <c r="BL65" s="156">
        <v>0.20833333333333356</v>
      </c>
      <c r="BM65" s="156">
        <v>0</v>
      </c>
      <c r="BN65" s="156">
        <v>0</v>
      </c>
      <c r="BO65" s="156">
        <v>0</v>
      </c>
      <c r="BP65" s="157">
        <v>24</v>
      </c>
      <c r="BQ65" s="155">
        <v>1.0000000000000002</v>
      </c>
      <c r="BR65" s="156">
        <v>0</v>
      </c>
      <c r="BS65" s="156">
        <v>0</v>
      </c>
      <c r="BT65" s="156">
        <v>0</v>
      </c>
      <c r="BU65" s="156">
        <v>0</v>
      </c>
      <c r="BV65" s="157">
        <v>24</v>
      </c>
      <c r="BW65" s="161">
        <v>0.72727272727272763</v>
      </c>
      <c r="BX65" s="156">
        <v>0.22727272727272743</v>
      </c>
      <c r="BY65" s="156">
        <v>0</v>
      </c>
      <c r="BZ65" s="156">
        <v>4.545454545454547E-2</v>
      </c>
      <c r="CA65" s="156">
        <v>0</v>
      </c>
      <c r="CB65" s="157">
        <v>22</v>
      </c>
      <c r="CC65" s="155">
        <v>0</v>
      </c>
      <c r="CD65" s="156">
        <v>0</v>
      </c>
      <c r="CE65" s="156">
        <v>0</v>
      </c>
      <c r="CF65" s="156">
        <v>0</v>
      </c>
      <c r="CG65" s="156">
        <v>0</v>
      </c>
      <c r="CH65" s="162">
        <v>0</v>
      </c>
      <c r="CI65" s="155">
        <v>0</v>
      </c>
      <c r="CJ65" s="156">
        <v>0</v>
      </c>
      <c r="CK65" s="156">
        <v>0</v>
      </c>
      <c r="CL65" s="156">
        <v>0</v>
      </c>
      <c r="CM65" s="156">
        <v>0</v>
      </c>
      <c r="CN65" s="162">
        <v>0</v>
      </c>
      <c r="CO65" s="155">
        <v>0.29411764705882354</v>
      </c>
      <c r="CP65" s="156">
        <v>0.58823529411764708</v>
      </c>
      <c r="CQ65" s="156">
        <v>0.11764705882352935</v>
      </c>
      <c r="CR65" s="156">
        <v>0</v>
      </c>
      <c r="CS65" s="156">
        <v>0</v>
      </c>
      <c r="CT65" s="162">
        <v>17</v>
      </c>
      <c r="CU65" s="155">
        <v>0.3125</v>
      </c>
      <c r="CV65" s="156">
        <v>0.56249999999999989</v>
      </c>
      <c r="CW65" s="156">
        <v>0.12499999999999999</v>
      </c>
      <c r="CX65" s="156">
        <v>0</v>
      </c>
      <c r="CY65" s="156">
        <v>0</v>
      </c>
      <c r="CZ65" s="162">
        <v>16</v>
      </c>
      <c r="DA65" s="155">
        <v>0.33333333333333343</v>
      </c>
      <c r="DB65" s="156">
        <v>0.33333333333333343</v>
      </c>
      <c r="DC65" s="156">
        <v>0.33333333333333343</v>
      </c>
      <c r="DD65" s="156">
        <v>0</v>
      </c>
      <c r="DE65" s="156">
        <v>0</v>
      </c>
      <c r="DF65" s="162">
        <v>6</v>
      </c>
      <c r="DG65" s="155">
        <v>0.66666666666666685</v>
      </c>
      <c r="DH65" s="156">
        <v>0</v>
      </c>
      <c r="DI65" s="156">
        <v>0.33333333333333343</v>
      </c>
      <c r="DJ65" s="156">
        <v>0</v>
      </c>
      <c r="DK65" s="156">
        <v>0</v>
      </c>
      <c r="DL65" s="162">
        <v>3</v>
      </c>
      <c r="DM65" s="155">
        <v>0.7</v>
      </c>
      <c r="DN65" s="156">
        <v>0.2</v>
      </c>
      <c r="DO65" s="156">
        <v>0</v>
      </c>
      <c r="DP65" s="156">
        <v>0</v>
      </c>
      <c r="DQ65" s="156">
        <v>0.1</v>
      </c>
      <c r="DR65" s="162">
        <v>10</v>
      </c>
      <c r="DS65" s="161">
        <v>0.71428571428571386</v>
      </c>
      <c r="DT65" s="156">
        <v>0.14285714285714279</v>
      </c>
      <c r="DU65" s="156">
        <v>0.14285714285714279</v>
      </c>
      <c r="DV65" s="156">
        <v>0</v>
      </c>
      <c r="DW65" s="156">
        <v>0</v>
      </c>
      <c r="DX65" s="162">
        <v>7</v>
      </c>
      <c r="DY65" s="155">
        <v>0.95652173913043481</v>
      </c>
      <c r="DZ65" s="156">
        <v>4.3478260869565258E-2</v>
      </c>
      <c r="EA65" s="156">
        <v>0</v>
      </c>
      <c r="EB65" s="156">
        <v>0</v>
      </c>
      <c r="EC65" s="156">
        <v>0</v>
      </c>
      <c r="ED65" s="162">
        <v>23</v>
      </c>
      <c r="EE65" s="155">
        <v>0.75</v>
      </c>
      <c r="EF65" s="156">
        <v>0.25</v>
      </c>
      <c r="EG65" s="156">
        <v>0</v>
      </c>
      <c r="EH65" s="156">
        <v>0</v>
      </c>
      <c r="EI65" s="156">
        <v>0</v>
      </c>
      <c r="EJ65" s="162">
        <v>4</v>
      </c>
      <c r="EK65" s="155">
        <v>0.83333333333333304</v>
      </c>
      <c r="EL65" s="156">
        <v>0.16666666666666671</v>
      </c>
      <c r="EM65" s="156">
        <v>0</v>
      </c>
      <c r="EN65" s="156">
        <v>0</v>
      </c>
      <c r="EO65" s="156">
        <v>0</v>
      </c>
      <c r="EP65" s="162">
        <v>6</v>
      </c>
      <c r="EQ65" s="155">
        <v>0.6666666666666673</v>
      </c>
      <c r="ER65" s="156">
        <v>0.28571428571428564</v>
      </c>
      <c r="ES65" s="156">
        <v>0</v>
      </c>
      <c r="ET65" s="156">
        <v>4.7619047619047603E-2</v>
      </c>
      <c r="EU65" s="156">
        <v>0</v>
      </c>
      <c r="EV65" s="162">
        <v>21</v>
      </c>
      <c r="EW65" s="155">
        <v>0.86363636363636431</v>
      </c>
      <c r="EX65" s="156">
        <v>9.0909090909090939E-2</v>
      </c>
      <c r="EY65" s="156">
        <v>4.545454545454547E-2</v>
      </c>
      <c r="EZ65" s="156">
        <v>0</v>
      </c>
      <c r="FA65" s="156">
        <v>0</v>
      </c>
      <c r="FB65" s="162">
        <v>22</v>
      </c>
      <c r="FC65" s="155">
        <v>1</v>
      </c>
      <c r="FD65" s="156">
        <v>0</v>
      </c>
      <c r="FE65" s="156">
        <v>0</v>
      </c>
      <c r="FF65" s="156">
        <v>0</v>
      </c>
      <c r="FG65" s="156">
        <v>0</v>
      </c>
      <c r="FH65" s="162">
        <v>1</v>
      </c>
      <c r="FI65" s="161">
        <v>0</v>
      </c>
      <c r="FJ65" s="156">
        <v>0</v>
      </c>
      <c r="FK65" s="156">
        <v>0</v>
      </c>
      <c r="FL65" s="156">
        <v>0</v>
      </c>
      <c r="FM65" s="156">
        <v>0</v>
      </c>
      <c r="FN65" s="162">
        <v>0</v>
      </c>
      <c r="FO65" s="155">
        <v>0</v>
      </c>
      <c r="FP65" s="156">
        <v>0</v>
      </c>
      <c r="FQ65" s="156">
        <v>0</v>
      </c>
      <c r="FR65" s="156">
        <v>0</v>
      </c>
      <c r="FS65" s="156">
        <v>0</v>
      </c>
      <c r="FT65" s="162">
        <v>0</v>
      </c>
      <c r="FU65" s="155">
        <v>0</v>
      </c>
      <c r="FV65" s="156">
        <v>0</v>
      </c>
      <c r="FW65" s="156">
        <v>0</v>
      </c>
      <c r="FX65" s="156">
        <v>0</v>
      </c>
      <c r="FY65" s="156">
        <v>0</v>
      </c>
      <c r="FZ65" s="162">
        <v>0</v>
      </c>
      <c r="GA65" s="161">
        <v>0</v>
      </c>
      <c r="GB65" s="156">
        <v>0</v>
      </c>
      <c r="GC65" s="156">
        <v>0</v>
      </c>
      <c r="GD65" s="156">
        <v>0</v>
      </c>
      <c r="GE65" s="156">
        <v>0</v>
      </c>
      <c r="GF65" s="162">
        <v>0</v>
      </c>
      <c r="GG65" s="158">
        <v>9.3000000000000043</v>
      </c>
      <c r="GH65" s="162">
        <v>20</v>
      </c>
      <c r="GI65" s="155">
        <v>0.12500000000000003</v>
      </c>
      <c r="GJ65" s="156">
        <v>0.54166666666666718</v>
      </c>
      <c r="GK65" s="156">
        <v>0.33333333333333365</v>
      </c>
      <c r="GL65" s="156">
        <v>0</v>
      </c>
      <c r="GM65" s="156">
        <v>0</v>
      </c>
      <c r="GN65" s="162">
        <v>24</v>
      </c>
      <c r="GO65" s="155">
        <v>0.29166666666666691</v>
      </c>
      <c r="GP65" s="156">
        <v>0.29166666666666691</v>
      </c>
      <c r="GQ65" s="156">
        <v>0.25000000000000006</v>
      </c>
      <c r="GR65" s="156">
        <v>0.37500000000000006</v>
      </c>
      <c r="GS65" s="162">
        <v>24</v>
      </c>
      <c r="GT65" s="163">
        <v>4.0434782608695636</v>
      </c>
      <c r="GU65" s="162">
        <v>23</v>
      </c>
      <c r="GV65" s="155">
        <v>1</v>
      </c>
      <c r="GW65" s="156">
        <v>0</v>
      </c>
      <c r="GX65" s="162">
        <v>5</v>
      </c>
      <c r="GY65" s="155">
        <v>1</v>
      </c>
      <c r="GZ65" s="156">
        <v>0</v>
      </c>
      <c r="HA65" s="162">
        <v>13</v>
      </c>
      <c r="HB65" s="155">
        <v>1</v>
      </c>
      <c r="HC65" s="156">
        <v>0</v>
      </c>
      <c r="HD65" s="162">
        <v>22</v>
      </c>
      <c r="HE65" s="161">
        <v>0.83333333333333315</v>
      </c>
      <c r="HF65" s="156">
        <v>0.16666666666666671</v>
      </c>
      <c r="HG65" s="162">
        <v>18</v>
      </c>
      <c r="HH65" s="155">
        <v>0.50000000000000011</v>
      </c>
      <c r="HI65" s="156">
        <v>0.50000000000000011</v>
      </c>
      <c r="HJ65" s="162">
        <v>22</v>
      </c>
      <c r="HK65" s="155">
        <v>1</v>
      </c>
      <c r="HL65" s="156">
        <v>0</v>
      </c>
      <c r="HM65" s="162">
        <v>21</v>
      </c>
      <c r="HN65" s="161">
        <v>0.22727272727272743</v>
      </c>
      <c r="HO65" s="156">
        <v>0.31818181818181834</v>
      </c>
      <c r="HP65" s="156">
        <v>0.18181818181818188</v>
      </c>
      <c r="HQ65" s="156">
        <v>0.18181818181818188</v>
      </c>
      <c r="HR65" s="156">
        <v>9.0909090909090939E-2</v>
      </c>
      <c r="HS65" s="160">
        <v>45.681818181818215</v>
      </c>
      <c r="HT65" s="164">
        <v>22</v>
      </c>
      <c r="HU65" s="165">
        <v>0</v>
      </c>
      <c r="HV65" s="166">
        <v>4.7619047619047616E-2</v>
      </c>
      <c r="HW65" s="166">
        <v>4.7619047619047616E-2</v>
      </c>
      <c r="HX65" s="166">
        <v>4.7619047619047616E-2</v>
      </c>
      <c r="HY65" s="166">
        <v>0.2857142857142857</v>
      </c>
      <c r="HZ65" s="166">
        <v>0.14285714285714285</v>
      </c>
      <c r="IA65" s="166">
        <v>4.7619047619047616E-2</v>
      </c>
      <c r="IB65" s="166">
        <v>0.23809523809523808</v>
      </c>
      <c r="IC65" s="166">
        <v>0.14285714285714285</v>
      </c>
      <c r="ID65" s="166">
        <v>0</v>
      </c>
      <c r="IE65" s="167">
        <v>21</v>
      </c>
      <c r="IF65" s="155">
        <v>0</v>
      </c>
      <c r="IG65" s="156">
        <v>0</v>
      </c>
      <c r="IH65" s="156">
        <v>0</v>
      </c>
      <c r="II65" s="156">
        <v>0</v>
      </c>
      <c r="IJ65" s="156">
        <v>0</v>
      </c>
      <c r="IK65" s="162">
        <v>0</v>
      </c>
      <c r="IL65" s="155">
        <v>0</v>
      </c>
      <c r="IM65" s="156">
        <v>0</v>
      </c>
      <c r="IN65" s="156">
        <v>0</v>
      </c>
      <c r="IO65" s="156">
        <v>1</v>
      </c>
      <c r="IP65" s="156">
        <v>0</v>
      </c>
      <c r="IQ65" s="162">
        <v>22</v>
      </c>
      <c r="IR65" s="155">
        <v>0.13636363636363633</v>
      </c>
      <c r="IS65" s="156">
        <v>0.86363636363636431</v>
      </c>
      <c r="IT65" s="162">
        <v>22</v>
      </c>
      <c r="IU65" s="161">
        <v>0</v>
      </c>
      <c r="IV65" s="156">
        <v>0</v>
      </c>
      <c r="IW65" s="156">
        <v>1</v>
      </c>
      <c r="IX65" s="162">
        <v>3</v>
      </c>
    </row>
    <row r="66" spans="1:258" ht="32.1" customHeight="1" x14ac:dyDescent="0.25">
      <c r="A66" s="110" t="s">
        <v>516</v>
      </c>
      <c r="B66" s="108" t="s">
        <v>516</v>
      </c>
      <c r="C66" s="108" t="s">
        <v>454</v>
      </c>
      <c r="D66" s="109">
        <v>208</v>
      </c>
      <c r="E66" s="139" t="s">
        <v>610</v>
      </c>
      <c r="F66" s="155">
        <v>0.2258064516129033</v>
      </c>
      <c r="G66" s="156">
        <v>0.77419354838709742</v>
      </c>
      <c r="H66" s="157">
        <v>31</v>
      </c>
      <c r="I66" s="155">
        <v>0.91304347826086985</v>
      </c>
      <c r="J66" s="156">
        <v>8.6956521739130391E-2</v>
      </c>
      <c r="K66" s="157">
        <v>23</v>
      </c>
      <c r="L66" s="155">
        <v>0.64999999999999991</v>
      </c>
      <c r="M66" s="156">
        <v>0.34999999999999992</v>
      </c>
      <c r="N66" s="157">
        <v>20</v>
      </c>
      <c r="O66" s="155">
        <v>0.1935483870967741</v>
      </c>
      <c r="P66" s="156">
        <v>0.1935483870967741</v>
      </c>
      <c r="Q66" s="156">
        <v>0.41935483870967782</v>
      </c>
      <c r="R66" s="156">
        <v>0</v>
      </c>
      <c r="S66" s="156">
        <v>0.48387096774193583</v>
      </c>
      <c r="T66" s="156">
        <v>0</v>
      </c>
      <c r="U66" s="156">
        <v>3.2258064516129024E-2</v>
      </c>
      <c r="V66" s="156">
        <v>0.1290322580645161</v>
      </c>
      <c r="W66" s="156">
        <v>6.4516129032258049E-2</v>
      </c>
      <c r="X66" s="156">
        <v>0</v>
      </c>
      <c r="Y66" s="157">
        <v>31</v>
      </c>
      <c r="Z66" s="155">
        <v>0.60714285714285754</v>
      </c>
      <c r="AA66" s="156">
        <v>0.60714285714285754</v>
      </c>
      <c r="AB66" s="156">
        <v>0.39285714285714279</v>
      </c>
      <c r="AC66" s="156">
        <v>0.42857142857142877</v>
      </c>
      <c r="AD66" s="156">
        <v>0</v>
      </c>
      <c r="AE66" s="156">
        <v>0.14285714285714288</v>
      </c>
      <c r="AF66" s="157">
        <v>28</v>
      </c>
      <c r="AG66" s="158">
        <v>9.8666666666666725</v>
      </c>
      <c r="AH66" s="159">
        <v>30</v>
      </c>
      <c r="AI66" s="160">
        <v>9.9333333333333389</v>
      </c>
      <c r="AJ66" s="159">
        <v>30</v>
      </c>
      <c r="AK66" s="160">
        <v>9.8666666666666725</v>
      </c>
      <c r="AL66" s="157">
        <v>30</v>
      </c>
      <c r="AM66" s="155">
        <v>0.53333333333333321</v>
      </c>
      <c r="AN66" s="156">
        <v>0.36666666666666664</v>
      </c>
      <c r="AO66" s="156">
        <v>3.3333333333333326E-2</v>
      </c>
      <c r="AP66" s="156">
        <v>6.6666666666666652E-2</v>
      </c>
      <c r="AQ66" s="156">
        <v>0</v>
      </c>
      <c r="AR66" s="157">
        <v>30</v>
      </c>
      <c r="AS66" s="155">
        <v>0.90322580645161321</v>
      </c>
      <c r="AT66" s="156">
        <v>6.4516129032258021E-2</v>
      </c>
      <c r="AU66" s="156">
        <v>3.2258064516129011E-2</v>
      </c>
      <c r="AV66" s="156">
        <v>0</v>
      </c>
      <c r="AW66" s="156">
        <v>0</v>
      </c>
      <c r="AX66" s="157">
        <v>31</v>
      </c>
      <c r="AY66" s="155">
        <v>0.8666666666666667</v>
      </c>
      <c r="AZ66" s="156">
        <v>6.6666666666666652E-2</v>
      </c>
      <c r="BA66" s="156">
        <v>6.6666666666666652E-2</v>
      </c>
      <c r="BB66" s="156">
        <v>0</v>
      </c>
      <c r="BC66" s="156">
        <v>0</v>
      </c>
      <c r="BD66" s="157">
        <v>30</v>
      </c>
      <c r="BE66" s="155">
        <v>0.90322580645161321</v>
      </c>
      <c r="BF66" s="156">
        <v>9.6774193548387177E-2</v>
      </c>
      <c r="BG66" s="156">
        <v>0</v>
      </c>
      <c r="BH66" s="156">
        <v>0</v>
      </c>
      <c r="BI66" s="156">
        <v>0</v>
      </c>
      <c r="BJ66" s="157">
        <v>31</v>
      </c>
      <c r="BK66" s="155">
        <v>0.76666666666666683</v>
      </c>
      <c r="BL66" s="156">
        <v>0.20000000000000004</v>
      </c>
      <c r="BM66" s="156">
        <v>3.3333333333333326E-2</v>
      </c>
      <c r="BN66" s="156">
        <v>0</v>
      </c>
      <c r="BO66" s="156">
        <v>0</v>
      </c>
      <c r="BP66" s="157">
        <v>30</v>
      </c>
      <c r="BQ66" s="155">
        <v>0.96774193548387155</v>
      </c>
      <c r="BR66" s="156">
        <v>3.2258064516129011E-2</v>
      </c>
      <c r="BS66" s="156">
        <v>0</v>
      </c>
      <c r="BT66" s="156">
        <v>0</v>
      </c>
      <c r="BU66" s="156">
        <v>0</v>
      </c>
      <c r="BV66" s="157">
        <v>31</v>
      </c>
      <c r="BW66" s="161">
        <v>0.86956521739130455</v>
      </c>
      <c r="BX66" s="156">
        <v>0.13043478260869562</v>
      </c>
      <c r="BY66" s="156">
        <v>0</v>
      </c>
      <c r="BZ66" s="156">
        <v>0</v>
      </c>
      <c r="CA66" s="156">
        <v>0</v>
      </c>
      <c r="CB66" s="157">
        <v>23</v>
      </c>
      <c r="CC66" s="155">
        <v>1</v>
      </c>
      <c r="CD66" s="156">
        <v>0</v>
      </c>
      <c r="CE66" s="156">
        <v>0</v>
      </c>
      <c r="CF66" s="156">
        <v>0</v>
      </c>
      <c r="CG66" s="156">
        <v>0</v>
      </c>
      <c r="CH66" s="162">
        <v>14</v>
      </c>
      <c r="CI66" s="155">
        <v>0.91666666666666641</v>
      </c>
      <c r="CJ66" s="156">
        <v>8.3333333333333356E-2</v>
      </c>
      <c r="CK66" s="156">
        <v>0</v>
      </c>
      <c r="CL66" s="156">
        <v>0</v>
      </c>
      <c r="CM66" s="156">
        <v>0</v>
      </c>
      <c r="CN66" s="162">
        <v>12</v>
      </c>
      <c r="CO66" s="155">
        <v>0.8</v>
      </c>
      <c r="CP66" s="156">
        <v>6.6666666666666638E-2</v>
      </c>
      <c r="CQ66" s="156">
        <v>6.6666666666666638E-2</v>
      </c>
      <c r="CR66" s="156">
        <v>6.6666666666666638E-2</v>
      </c>
      <c r="CS66" s="156">
        <v>0</v>
      </c>
      <c r="CT66" s="162">
        <v>15</v>
      </c>
      <c r="CU66" s="155">
        <v>0.71428571428571397</v>
      </c>
      <c r="CV66" s="156">
        <v>7.1428571428571397E-2</v>
      </c>
      <c r="CW66" s="156">
        <v>0.14285714285714279</v>
      </c>
      <c r="CX66" s="156">
        <v>7.1428571428571397E-2</v>
      </c>
      <c r="CY66" s="156">
        <v>0</v>
      </c>
      <c r="CZ66" s="162">
        <v>14</v>
      </c>
      <c r="DA66" s="155">
        <v>0.72727272727272718</v>
      </c>
      <c r="DB66" s="156">
        <v>9.0909090909090898E-2</v>
      </c>
      <c r="DC66" s="156">
        <v>0.1818181818181818</v>
      </c>
      <c r="DD66" s="156">
        <v>0</v>
      </c>
      <c r="DE66" s="156">
        <v>0</v>
      </c>
      <c r="DF66" s="162">
        <v>11</v>
      </c>
      <c r="DG66" s="155">
        <v>0.69999999999999984</v>
      </c>
      <c r="DH66" s="156">
        <v>9.9999999999999978E-2</v>
      </c>
      <c r="DI66" s="156">
        <v>0.19999999999999996</v>
      </c>
      <c r="DJ66" s="156">
        <v>0</v>
      </c>
      <c r="DK66" s="156">
        <v>0</v>
      </c>
      <c r="DL66" s="162">
        <v>10</v>
      </c>
      <c r="DM66" s="155">
        <v>0.74999999999999989</v>
      </c>
      <c r="DN66" s="156">
        <v>0</v>
      </c>
      <c r="DO66" s="156">
        <v>0.125</v>
      </c>
      <c r="DP66" s="156">
        <v>0</v>
      </c>
      <c r="DQ66" s="156">
        <v>0.125</v>
      </c>
      <c r="DR66" s="162">
        <v>8</v>
      </c>
      <c r="DS66" s="161">
        <v>0.875</v>
      </c>
      <c r="DT66" s="156">
        <v>0</v>
      </c>
      <c r="DU66" s="156">
        <v>0.125</v>
      </c>
      <c r="DV66" s="156">
        <v>0</v>
      </c>
      <c r="DW66" s="156">
        <v>0</v>
      </c>
      <c r="DX66" s="162">
        <v>8</v>
      </c>
      <c r="DY66" s="155">
        <v>0.93103448275862011</v>
      </c>
      <c r="DZ66" s="156">
        <v>6.8965517241379337E-2</v>
      </c>
      <c r="EA66" s="156">
        <v>0</v>
      </c>
      <c r="EB66" s="156">
        <v>0</v>
      </c>
      <c r="EC66" s="156">
        <v>0</v>
      </c>
      <c r="ED66" s="162">
        <v>29</v>
      </c>
      <c r="EE66" s="155">
        <v>0.71428571428571397</v>
      </c>
      <c r="EF66" s="156">
        <v>0.23809523809523817</v>
      </c>
      <c r="EG66" s="156">
        <v>4.7619047619047603E-2</v>
      </c>
      <c r="EH66" s="156">
        <v>0</v>
      </c>
      <c r="EI66" s="156">
        <v>0</v>
      </c>
      <c r="EJ66" s="162">
        <v>21</v>
      </c>
      <c r="EK66" s="155">
        <v>0.78947368421052633</v>
      </c>
      <c r="EL66" s="156">
        <v>0.15789473684210523</v>
      </c>
      <c r="EM66" s="156">
        <v>5.2631578947368418E-2</v>
      </c>
      <c r="EN66" s="156">
        <v>0</v>
      </c>
      <c r="EO66" s="156">
        <v>0</v>
      </c>
      <c r="EP66" s="162">
        <v>19</v>
      </c>
      <c r="EQ66" s="155">
        <v>1</v>
      </c>
      <c r="ER66" s="156">
        <v>0</v>
      </c>
      <c r="ES66" s="156">
        <v>0</v>
      </c>
      <c r="ET66" s="156">
        <v>0</v>
      </c>
      <c r="EU66" s="156">
        <v>0</v>
      </c>
      <c r="EV66" s="162">
        <v>22</v>
      </c>
      <c r="EW66" s="155">
        <v>1</v>
      </c>
      <c r="EX66" s="156">
        <v>0</v>
      </c>
      <c r="EY66" s="156">
        <v>0</v>
      </c>
      <c r="EZ66" s="156">
        <v>0</v>
      </c>
      <c r="FA66" s="156">
        <v>0</v>
      </c>
      <c r="FB66" s="162">
        <v>19</v>
      </c>
      <c r="FC66" s="155">
        <v>0.6</v>
      </c>
      <c r="FD66" s="156">
        <v>0.33333333333333343</v>
      </c>
      <c r="FE66" s="156">
        <v>6.6666666666666638E-2</v>
      </c>
      <c r="FF66" s="156">
        <v>0</v>
      </c>
      <c r="FG66" s="156">
        <v>0</v>
      </c>
      <c r="FH66" s="162">
        <v>15</v>
      </c>
      <c r="FI66" s="161">
        <v>1</v>
      </c>
      <c r="FJ66" s="156">
        <v>0</v>
      </c>
      <c r="FK66" s="156">
        <v>0</v>
      </c>
      <c r="FL66" s="156">
        <v>0</v>
      </c>
      <c r="FM66" s="156">
        <v>0</v>
      </c>
      <c r="FN66" s="162">
        <v>9</v>
      </c>
      <c r="FO66" s="155">
        <v>1</v>
      </c>
      <c r="FP66" s="156">
        <v>0</v>
      </c>
      <c r="FQ66" s="156">
        <v>0</v>
      </c>
      <c r="FR66" s="156">
        <v>0</v>
      </c>
      <c r="FS66" s="156">
        <v>0</v>
      </c>
      <c r="FT66" s="162">
        <v>1</v>
      </c>
      <c r="FU66" s="155">
        <v>0</v>
      </c>
      <c r="FV66" s="156">
        <v>1</v>
      </c>
      <c r="FW66" s="156">
        <v>0</v>
      </c>
      <c r="FX66" s="156">
        <v>0</v>
      </c>
      <c r="FY66" s="156">
        <v>0</v>
      </c>
      <c r="FZ66" s="162">
        <v>1</v>
      </c>
      <c r="GA66" s="161">
        <v>0</v>
      </c>
      <c r="GB66" s="156">
        <v>1</v>
      </c>
      <c r="GC66" s="156">
        <v>0</v>
      </c>
      <c r="GD66" s="156">
        <v>0</v>
      </c>
      <c r="GE66" s="156">
        <v>0</v>
      </c>
      <c r="GF66" s="162">
        <v>1</v>
      </c>
      <c r="GG66" s="158">
        <v>9.5925925925925917</v>
      </c>
      <c r="GH66" s="162">
        <v>27</v>
      </c>
      <c r="GI66" s="155">
        <v>0.86206896551724166</v>
      </c>
      <c r="GJ66" s="156">
        <v>0.10344827586206901</v>
      </c>
      <c r="GK66" s="156">
        <v>3.4482758620689669E-2</v>
      </c>
      <c r="GL66" s="156">
        <v>0</v>
      </c>
      <c r="GM66" s="156">
        <v>0</v>
      </c>
      <c r="GN66" s="162">
        <v>29</v>
      </c>
      <c r="GO66" s="155">
        <v>0.68965517241379348</v>
      </c>
      <c r="GP66" s="156">
        <v>0.13793103448275859</v>
      </c>
      <c r="GQ66" s="156">
        <v>3.4482758620689648E-2</v>
      </c>
      <c r="GR66" s="156">
        <v>0.17241379310344837</v>
      </c>
      <c r="GS66" s="162">
        <v>29</v>
      </c>
      <c r="GT66" s="163">
        <v>2.5172413793103474</v>
      </c>
      <c r="GU66" s="162">
        <v>29</v>
      </c>
      <c r="GV66" s="155">
        <v>0.91666666666666641</v>
      </c>
      <c r="GW66" s="156">
        <v>8.3333333333333356E-2</v>
      </c>
      <c r="GX66" s="162">
        <v>12</v>
      </c>
      <c r="GY66" s="155">
        <v>0.93333333333333357</v>
      </c>
      <c r="GZ66" s="156">
        <v>6.6666666666666638E-2</v>
      </c>
      <c r="HA66" s="162">
        <v>15</v>
      </c>
      <c r="HB66" s="155">
        <v>0.7826086956521745</v>
      </c>
      <c r="HC66" s="156">
        <v>0.21739130434782614</v>
      </c>
      <c r="HD66" s="162">
        <v>23</v>
      </c>
      <c r="HE66" s="161">
        <v>0.66666666666666685</v>
      </c>
      <c r="HF66" s="156">
        <v>0.33333333333333343</v>
      </c>
      <c r="HG66" s="162">
        <v>12</v>
      </c>
      <c r="HH66" s="155">
        <v>0.48387096774193578</v>
      </c>
      <c r="HI66" s="156">
        <v>0.51612903225806517</v>
      </c>
      <c r="HJ66" s="162">
        <v>31</v>
      </c>
      <c r="HK66" s="155">
        <v>1</v>
      </c>
      <c r="HL66" s="156">
        <v>0</v>
      </c>
      <c r="HM66" s="162">
        <v>29</v>
      </c>
      <c r="HN66" s="161">
        <v>3.8461538461538429E-2</v>
      </c>
      <c r="HO66" s="156">
        <v>7.6923076923076858E-2</v>
      </c>
      <c r="HP66" s="156">
        <v>0.19230769230769237</v>
      </c>
      <c r="HQ66" s="156">
        <v>0.38461538461538475</v>
      </c>
      <c r="HR66" s="156">
        <v>0.30769230769230743</v>
      </c>
      <c r="HS66" s="160">
        <v>66.653846153846175</v>
      </c>
      <c r="HT66" s="164">
        <v>26</v>
      </c>
      <c r="HU66" s="165">
        <v>0</v>
      </c>
      <c r="HV66" s="166">
        <v>3.5714285714285712E-2</v>
      </c>
      <c r="HW66" s="166">
        <v>3.5714285714285712E-2</v>
      </c>
      <c r="HX66" s="166">
        <v>7.1428571428571425E-2</v>
      </c>
      <c r="HY66" s="166">
        <v>3.5714285714285712E-2</v>
      </c>
      <c r="HZ66" s="166">
        <v>0.10714285714285714</v>
      </c>
      <c r="IA66" s="166">
        <v>0.10714285714285714</v>
      </c>
      <c r="IB66" s="166">
        <v>0.14285714285714285</v>
      </c>
      <c r="IC66" s="166">
        <v>0.2857142857142857</v>
      </c>
      <c r="ID66" s="166">
        <v>0.17857142857142858</v>
      </c>
      <c r="IE66" s="167">
        <v>28</v>
      </c>
      <c r="IF66" s="155">
        <v>0</v>
      </c>
      <c r="IG66" s="156">
        <v>0</v>
      </c>
      <c r="IH66" s="156">
        <v>0</v>
      </c>
      <c r="II66" s="156">
        <v>0</v>
      </c>
      <c r="IJ66" s="156">
        <v>0</v>
      </c>
      <c r="IK66" s="162">
        <v>0</v>
      </c>
      <c r="IL66" s="155">
        <v>0</v>
      </c>
      <c r="IM66" s="156">
        <v>0</v>
      </c>
      <c r="IN66" s="156">
        <v>0</v>
      </c>
      <c r="IO66" s="156">
        <v>1</v>
      </c>
      <c r="IP66" s="156">
        <v>0</v>
      </c>
      <c r="IQ66" s="162">
        <v>30</v>
      </c>
      <c r="IR66" s="155">
        <v>3.4482758620689669E-2</v>
      </c>
      <c r="IS66" s="156">
        <v>0.96551724137931116</v>
      </c>
      <c r="IT66" s="162">
        <v>29</v>
      </c>
      <c r="IU66" s="161">
        <v>0</v>
      </c>
      <c r="IV66" s="156">
        <v>0</v>
      </c>
      <c r="IW66" s="156">
        <v>1</v>
      </c>
      <c r="IX66" s="162">
        <v>1</v>
      </c>
    </row>
    <row r="67" spans="1:258" ht="32.1" customHeight="1" x14ac:dyDescent="0.25">
      <c r="A67" s="110" t="s">
        <v>516</v>
      </c>
      <c r="B67" s="108" t="s">
        <v>516</v>
      </c>
      <c r="C67" s="108" t="s">
        <v>454</v>
      </c>
      <c r="D67" s="109">
        <v>209</v>
      </c>
      <c r="E67" s="139" t="s">
        <v>611</v>
      </c>
      <c r="F67" s="155">
        <v>0.13888888888888901</v>
      </c>
      <c r="G67" s="156">
        <v>0.86111111111111172</v>
      </c>
      <c r="H67" s="157">
        <v>36</v>
      </c>
      <c r="I67" s="155">
        <v>0.73333333333333295</v>
      </c>
      <c r="J67" s="156">
        <v>0.26666666666666639</v>
      </c>
      <c r="K67" s="157">
        <v>30</v>
      </c>
      <c r="L67" s="155">
        <v>0.28571428571428564</v>
      </c>
      <c r="M67" s="156">
        <v>0.71428571428571386</v>
      </c>
      <c r="N67" s="157">
        <v>21</v>
      </c>
      <c r="O67" s="155">
        <v>0.25</v>
      </c>
      <c r="P67" s="156">
        <v>8.3333333333333356E-2</v>
      </c>
      <c r="Q67" s="156">
        <v>0.36111111111111088</v>
      </c>
      <c r="R67" s="156">
        <v>0</v>
      </c>
      <c r="S67" s="156">
        <v>0.36111111111111088</v>
      </c>
      <c r="T67" s="156">
        <v>0</v>
      </c>
      <c r="U67" s="156">
        <v>2.7777777777777783E-2</v>
      </c>
      <c r="V67" s="156">
        <v>0.13888888888888895</v>
      </c>
      <c r="W67" s="156">
        <v>8.3333333333333356E-2</v>
      </c>
      <c r="X67" s="156">
        <v>0.13888888888888895</v>
      </c>
      <c r="Y67" s="157">
        <v>36</v>
      </c>
      <c r="Z67" s="155">
        <v>0.83333333333333304</v>
      </c>
      <c r="AA67" s="156">
        <v>0.5555555555555558</v>
      </c>
      <c r="AB67" s="156">
        <v>0.44444444444444453</v>
      </c>
      <c r="AC67" s="156">
        <v>0.44444444444444453</v>
      </c>
      <c r="AD67" s="156">
        <v>2.7777777777777783E-2</v>
      </c>
      <c r="AE67" s="156">
        <v>0.16666666666666671</v>
      </c>
      <c r="AF67" s="157">
        <v>36</v>
      </c>
      <c r="AG67" s="158">
        <v>9.9999999999999947</v>
      </c>
      <c r="AH67" s="159">
        <v>34</v>
      </c>
      <c r="AI67" s="160">
        <v>9.9999999999999947</v>
      </c>
      <c r="AJ67" s="159">
        <v>34</v>
      </c>
      <c r="AK67" s="160">
        <v>9.9999999999999947</v>
      </c>
      <c r="AL67" s="157">
        <v>31</v>
      </c>
      <c r="AM67" s="155">
        <v>0.55882352941176405</v>
      </c>
      <c r="AN67" s="156">
        <v>0.41176470588235292</v>
      </c>
      <c r="AO67" s="156">
        <v>0</v>
      </c>
      <c r="AP67" s="156">
        <v>2.9411764705882332E-2</v>
      </c>
      <c r="AQ67" s="156">
        <v>0</v>
      </c>
      <c r="AR67" s="157">
        <v>34</v>
      </c>
      <c r="AS67" s="155">
        <v>0.85294117647058865</v>
      </c>
      <c r="AT67" s="156">
        <v>0.14705882352941166</v>
      </c>
      <c r="AU67" s="156">
        <v>0</v>
      </c>
      <c r="AV67" s="156">
        <v>0</v>
      </c>
      <c r="AW67" s="156">
        <v>0</v>
      </c>
      <c r="AX67" s="157">
        <v>34</v>
      </c>
      <c r="AY67" s="155">
        <v>0.86111111111111172</v>
      </c>
      <c r="AZ67" s="156">
        <v>0.13888888888888901</v>
      </c>
      <c r="BA67" s="156">
        <v>0</v>
      </c>
      <c r="BB67" s="156">
        <v>0</v>
      </c>
      <c r="BC67" s="156">
        <v>0</v>
      </c>
      <c r="BD67" s="157">
        <v>36</v>
      </c>
      <c r="BE67" s="155">
        <v>0.94444444444444386</v>
      </c>
      <c r="BF67" s="156">
        <v>5.5555555555555518E-2</v>
      </c>
      <c r="BG67" s="156">
        <v>0</v>
      </c>
      <c r="BH67" s="156">
        <v>0</v>
      </c>
      <c r="BI67" s="156">
        <v>0</v>
      </c>
      <c r="BJ67" s="157">
        <v>36</v>
      </c>
      <c r="BK67" s="155">
        <v>0.87499999999999989</v>
      </c>
      <c r="BL67" s="156">
        <v>0.12499999999999999</v>
      </c>
      <c r="BM67" s="156">
        <v>0</v>
      </c>
      <c r="BN67" s="156">
        <v>0</v>
      </c>
      <c r="BO67" s="156">
        <v>0</v>
      </c>
      <c r="BP67" s="157">
        <v>24</v>
      </c>
      <c r="BQ67" s="155">
        <v>0.94444444444444386</v>
      </c>
      <c r="BR67" s="156">
        <v>5.5555555555555518E-2</v>
      </c>
      <c r="BS67" s="156">
        <v>0</v>
      </c>
      <c r="BT67" s="156">
        <v>0</v>
      </c>
      <c r="BU67" s="156">
        <v>0</v>
      </c>
      <c r="BV67" s="157">
        <v>36</v>
      </c>
      <c r="BW67" s="161">
        <v>0.81818181818181823</v>
      </c>
      <c r="BX67" s="156">
        <v>0.18181818181818174</v>
      </c>
      <c r="BY67" s="156">
        <v>0</v>
      </c>
      <c r="BZ67" s="156">
        <v>0</v>
      </c>
      <c r="CA67" s="156">
        <v>0</v>
      </c>
      <c r="CB67" s="157">
        <v>22</v>
      </c>
      <c r="CC67" s="155">
        <v>0.875</v>
      </c>
      <c r="CD67" s="156">
        <v>0.12500000000000003</v>
      </c>
      <c r="CE67" s="156">
        <v>0</v>
      </c>
      <c r="CF67" s="156">
        <v>0</v>
      </c>
      <c r="CG67" s="156">
        <v>0</v>
      </c>
      <c r="CH67" s="162">
        <v>16</v>
      </c>
      <c r="CI67" s="155">
        <v>0.7857142857142857</v>
      </c>
      <c r="CJ67" s="156">
        <v>0.21428571428571441</v>
      </c>
      <c r="CK67" s="156">
        <v>0</v>
      </c>
      <c r="CL67" s="156">
        <v>0</v>
      </c>
      <c r="CM67" s="156">
        <v>0</v>
      </c>
      <c r="CN67" s="162">
        <v>14</v>
      </c>
      <c r="CO67" s="155">
        <v>0.73684210526315819</v>
      </c>
      <c r="CP67" s="156">
        <v>0.26315789473684192</v>
      </c>
      <c r="CQ67" s="156">
        <v>0</v>
      </c>
      <c r="CR67" s="156">
        <v>0</v>
      </c>
      <c r="CS67" s="156">
        <v>0</v>
      </c>
      <c r="CT67" s="162">
        <v>19</v>
      </c>
      <c r="CU67" s="155">
        <v>0.66666666666666674</v>
      </c>
      <c r="CV67" s="156">
        <v>0.33333333333333343</v>
      </c>
      <c r="CW67" s="156">
        <v>0</v>
      </c>
      <c r="CX67" s="156">
        <v>0</v>
      </c>
      <c r="CY67" s="156">
        <v>0</v>
      </c>
      <c r="CZ67" s="162">
        <v>18</v>
      </c>
      <c r="DA67" s="155">
        <v>0.7</v>
      </c>
      <c r="DB67" s="156">
        <v>0.30000000000000004</v>
      </c>
      <c r="DC67" s="156">
        <v>0</v>
      </c>
      <c r="DD67" s="156">
        <v>0</v>
      </c>
      <c r="DE67" s="156">
        <v>0</v>
      </c>
      <c r="DF67" s="162">
        <v>10</v>
      </c>
      <c r="DG67" s="155">
        <v>0.8</v>
      </c>
      <c r="DH67" s="156">
        <v>0.2</v>
      </c>
      <c r="DI67" s="156">
        <v>0</v>
      </c>
      <c r="DJ67" s="156">
        <v>0</v>
      </c>
      <c r="DK67" s="156">
        <v>0</v>
      </c>
      <c r="DL67" s="162">
        <v>10</v>
      </c>
      <c r="DM67" s="155">
        <v>1</v>
      </c>
      <c r="DN67" s="156">
        <v>0</v>
      </c>
      <c r="DO67" s="156">
        <v>0</v>
      </c>
      <c r="DP67" s="156">
        <v>0</v>
      </c>
      <c r="DQ67" s="156">
        <v>0</v>
      </c>
      <c r="DR67" s="162">
        <v>8</v>
      </c>
      <c r="DS67" s="161">
        <v>1</v>
      </c>
      <c r="DT67" s="156">
        <v>0</v>
      </c>
      <c r="DU67" s="156">
        <v>0</v>
      </c>
      <c r="DV67" s="156">
        <v>0</v>
      </c>
      <c r="DW67" s="156">
        <v>0</v>
      </c>
      <c r="DX67" s="162">
        <v>6</v>
      </c>
      <c r="DY67" s="155">
        <v>0.94285714285714262</v>
      </c>
      <c r="DZ67" s="156">
        <v>5.7142857142857155E-2</v>
      </c>
      <c r="EA67" s="156">
        <v>0</v>
      </c>
      <c r="EB67" s="156">
        <v>0</v>
      </c>
      <c r="EC67" s="156">
        <v>0</v>
      </c>
      <c r="ED67" s="162">
        <v>35</v>
      </c>
      <c r="EE67" s="155">
        <v>0.95238095238095288</v>
      </c>
      <c r="EF67" s="156">
        <v>4.7619047619047603E-2</v>
      </c>
      <c r="EG67" s="156">
        <v>0</v>
      </c>
      <c r="EH67" s="156">
        <v>0</v>
      </c>
      <c r="EI67" s="156">
        <v>0</v>
      </c>
      <c r="EJ67" s="162">
        <v>21</v>
      </c>
      <c r="EK67" s="155">
        <v>0.95238095238095288</v>
      </c>
      <c r="EL67" s="156">
        <v>4.7619047619047603E-2</v>
      </c>
      <c r="EM67" s="156">
        <v>0</v>
      </c>
      <c r="EN67" s="156">
        <v>0</v>
      </c>
      <c r="EO67" s="156">
        <v>0</v>
      </c>
      <c r="EP67" s="162">
        <v>21</v>
      </c>
      <c r="EQ67" s="155">
        <v>0.9166666666666663</v>
      </c>
      <c r="ER67" s="156">
        <v>4.1666666666666671E-2</v>
      </c>
      <c r="ES67" s="156">
        <v>4.1666666666666671E-2</v>
      </c>
      <c r="ET67" s="156">
        <v>0</v>
      </c>
      <c r="EU67" s="156">
        <v>0</v>
      </c>
      <c r="EV67" s="162">
        <v>24</v>
      </c>
      <c r="EW67" s="155">
        <v>0.96428571428571463</v>
      </c>
      <c r="EX67" s="156">
        <v>3.5714285714285705E-2</v>
      </c>
      <c r="EY67" s="156">
        <v>0</v>
      </c>
      <c r="EZ67" s="156">
        <v>0</v>
      </c>
      <c r="FA67" s="156">
        <v>0</v>
      </c>
      <c r="FB67" s="162">
        <v>28</v>
      </c>
      <c r="FC67" s="155">
        <v>0.8333333333333337</v>
      </c>
      <c r="FD67" s="156">
        <v>0.16666666666666671</v>
      </c>
      <c r="FE67" s="156">
        <v>0</v>
      </c>
      <c r="FF67" s="156">
        <v>0</v>
      </c>
      <c r="FG67" s="156">
        <v>0</v>
      </c>
      <c r="FH67" s="162">
        <v>12</v>
      </c>
      <c r="FI67" s="161">
        <v>1</v>
      </c>
      <c r="FJ67" s="156">
        <v>0</v>
      </c>
      <c r="FK67" s="156">
        <v>0</v>
      </c>
      <c r="FL67" s="156">
        <v>0</v>
      </c>
      <c r="FM67" s="156">
        <v>0</v>
      </c>
      <c r="FN67" s="162">
        <v>9</v>
      </c>
      <c r="FO67" s="155">
        <v>0.66666666666666685</v>
      </c>
      <c r="FP67" s="156">
        <v>8.3333333333333356E-2</v>
      </c>
      <c r="FQ67" s="156">
        <v>0.25000000000000006</v>
      </c>
      <c r="FR67" s="156">
        <v>0</v>
      </c>
      <c r="FS67" s="156">
        <v>0</v>
      </c>
      <c r="FT67" s="162">
        <v>12</v>
      </c>
      <c r="FU67" s="155">
        <v>0.2</v>
      </c>
      <c r="FV67" s="156">
        <v>0.2</v>
      </c>
      <c r="FW67" s="156">
        <v>0.60000000000000009</v>
      </c>
      <c r="FX67" s="156">
        <v>0</v>
      </c>
      <c r="FY67" s="156">
        <v>0</v>
      </c>
      <c r="FZ67" s="162">
        <v>5</v>
      </c>
      <c r="GA67" s="161">
        <v>0.33333333333333337</v>
      </c>
      <c r="GB67" s="156">
        <v>0.16666666666666669</v>
      </c>
      <c r="GC67" s="156">
        <v>0.5</v>
      </c>
      <c r="GD67" s="156">
        <v>0</v>
      </c>
      <c r="GE67" s="156">
        <v>0</v>
      </c>
      <c r="GF67" s="162">
        <v>6</v>
      </c>
      <c r="GG67" s="158">
        <v>9.6969696969696901</v>
      </c>
      <c r="GH67" s="162">
        <v>33</v>
      </c>
      <c r="GI67" s="155">
        <v>0.86111111111111172</v>
      </c>
      <c r="GJ67" s="156">
        <v>5.5555555555555518E-2</v>
      </c>
      <c r="GK67" s="156">
        <v>8.3333333333333343E-2</v>
      </c>
      <c r="GL67" s="156">
        <v>0</v>
      </c>
      <c r="GM67" s="156">
        <v>0</v>
      </c>
      <c r="GN67" s="162">
        <v>36</v>
      </c>
      <c r="GO67" s="155">
        <v>0.45714285714285707</v>
      </c>
      <c r="GP67" s="156">
        <v>0.34285714285714286</v>
      </c>
      <c r="GQ67" s="156">
        <v>5.7142857142857148E-2</v>
      </c>
      <c r="GR67" s="156">
        <v>0.17142857142857149</v>
      </c>
      <c r="GS67" s="162">
        <v>35</v>
      </c>
      <c r="GT67" s="163">
        <v>2.5999999999999983</v>
      </c>
      <c r="GU67" s="162">
        <v>35</v>
      </c>
      <c r="GV67" s="155">
        <v>1</v>
      </c>
      <c r="GW67" s="156">
        <v>0</v>
      </c>
      <c r="GX67" s="162">
        <v>17</v>
      </c>
      <c r="GY67" s="155">
        <v>1</v>
      </c>
      <c r="GZ67" s="156">
        <v>0</v>
      </c>
      <c r="HA67" s="162">
        <v>23</v>
      </c>
      <c r="HB67" s="155">
        <v>0.96428571428571463</v>
      </c>
      <c r="HC67" s="156">
        <v>3.5714285714285705E-2</v>
      </c>
      <c r="HD67" s="162">
        <v>28</v>
      </c>
      <c r="HE67" s="161">
        <v>0.89473684210526283</v>
      </c>
      <c r="HF67" s="156">
        <v>0.10526315789473693</v>
      </c>
      <c r="HG67" s="162">
        <v>19</v>
      </c>
      <c r="HH67" s="155">
        <v>0.51515151515151492</v>
      </c>
      <c r="HI67" s="156">
        <v>0.48484848484848475</v>
      </c>
      <c r="HJ67" s="162">
        <v>33</v>
      </c>
      <c r="HK67" s="155">
        <v>1</v>
      </c>
      <c r="HL67" s="156">
        <v>0</v>
      </c>
      <c r="HM67" s="162">
        <v>30</v>
      </c>
      <c r="HN67" s="161">
        <v>0</v>
      </c>
      <c r="HO67" s="156">
        <v>0.10344827586206899</v>
      </c>
      <c r="HP67" s="156">
        <v>0.34482758620689624</v>
      </c>
      <c r="HQ67" s="156">
        <v>0.34482758620689624</v>
      </c>
      <c r="HR67" s="156">
        <v>0.20689655172413798</v>
      </c>
      <c r="HS67" s="160">
        <v>64.551724137931004</v>
      </c>
      <c r="HT67" s="164">
        <v>29</v>
      </c>
      <c r="HU67" s="165">
        <v>3.3333333333333333E-2</v>
      </c>
      <c r="HV67" s="166">
        <v>0</v>
      </c>
      <c r="HW67" s="166">
        <v>0.1</v>
      </c>
      <c r="HX67" s="166">
        <v>6.6666666666666666E-2</v>
      </c>
      <c r="HY67" s="166">
        <v>6.6666666666666666E-2</v>
      </c>
      <c r="HZ67" s="166">
        <v>0.16666666666666666</v>
      </c>
      <c r="IA67" s="166">
        <v>0.16666666666666666</v>
      </c>
      <c r="IB67" s="166">
        <v>0.1</v>
      </c>
      <c r="IC67" s="166">
        <v>0.13333333333333333</v>
      </c>
      <c r="ID67" s="166">
        <v>0.16666666666666666</v>
      </c>
      <c r="IE67" s="167">
        <v>30</v>
      </c>
      <c r="IF67" s="155">
        <v>0</v>
      </c>
      <c r="IG67" s="156">
        <v>0</v>
      </c>
      <c r="IH67" s="156">
        <v>1</v>
      </c>
      <c r="II67" s="156">
        <v>0</v>
      </c>
      <c r="IJ67" s="156">
        <v>0</v>
      </c>
      <c r="IK67" s="162">
        <v>1</v>
      </c>
      <c r="IL67" s="155">
        <v>0</v>
      </c>
      <c r="IM67" s="156">
        <v>0</v>
      </c>
      <c r="IN67" s="156">
        <v>0</v>
      </c>
      <c r="IO67" s="156">
        <v>1</v>
      </c>
      <c r="IP67" s="156">
        <v>0</v>
      </c>
      <c r="IQ67" s="162">
        <v>32</v>
      </c>
      <c r="IR67" s="155">
        <v>0.12499999999999999</v>
      </c>
      <c r="IS67" s="156">
        <v>0.87499999999999989</v>
      </c>
      <c r="IT67" s="162">
        <v>32</v>
      </c>
      <c r="IU67" s="161">
        <v>0</v>
      </c>
      <c r="IV67" s="156">
        <v>0</v>
      </c>
      <c r="IW67" s="156">
        <v>1</v>
      </c>
      <c r="IX67" s="162">
        <v>4</v>
      </c>
    </row>
    <row r="68" spans="1:258" ht="32.1" customHeight="1" x14ac:dyDescent="0.25">
      <c r="A68" s="110" t="s">
        <v>516</v>
      </c>
      <c r="B68" s="108" t="s">
        <v>516</v>
      </c>
      <c r="C68" s="108" t="s">
        <v>480</v>
      </c>
      <c r="D68" s="109">
        <v>210</v>
      </c>
      <c r="E68" s="139" t="s">
        <v>517</v>
      </c>
      <c r="F68" s="155">
        <v>0.19999999999999996</v>
      </c>
      <c r="G68" s="156">
        <v>0.79999999999999982</v>
      </c>
      <c r="H68" s="157">
        <v>85</v>
      </c>
      <c r="I68" s="155">
        <v>0.92647058823529449</v>
      </c>
      <c r="J68" s="156">
        <v>7.3529411764705954E-2</v>
      </c>
      <c r="K68" s="157">
        <v>68</v>
      </c>
      <c r="L68" s="155">
        <v>0.82812499999999989</v>
      </c>
      <c r="M68" s="156">
        <v>0.171875</v>
      </c>
      <c r="N68" s="157">
        <v>64</v>
      </c>
      <c r="O68" s="155">
        <v>0.56470588235293961</v>
      </c>
      <c r="P68" s="156">
        <v>1.176470588235292E-2</v>
      </c>
      <c r="Q68" s="156">
        <v>0.23529411764705832</v>
      </c>
      <c r="R68" s="156">
        <v>2.3529411764705844E-2</v>
      </c>
      <c r="S68" s="156">
        <v>0.17647058823529382</v>
      </c>
      <c r="T68" s="156">
        <v>0.16470588235294095</v>
      </c>
      <c r="U68" s="156">
        <v>0</v>
      </c>
      <c r="V68" s="156">
        <v>7.0588235294117466E-2</v>
      </c>
      <c r="W68" s="156">
        <v>0.14117647058823493</v>
      </c>
      <c r="X68" s="156">
        <v>0.14117647058823493</v>
      </c>
      <c r="Y68" s="157">
        <v>85</v>
      </c>
      <c r="Z68" s="155">
        <v>0.60810810810810689</v>
      </c>
      <c r="AA68" s="156">
        <v>0.14864864864864871</v>
      </c>
      <c r="AB68" s="156">
        <v>0.39189189189189155</v>
      </c>
      <c r="AC68" s="156">
        <v>0.71621621621621623</v>
      </c>
      <c r="AD68" s="156">
        <v>5.4054054054054036E-2</v>
      </c>
      <c r="AE68" s="156">
        <v>0.12162162162162155</v>
      </c>
      <c r="AF68" s="157">
        <v>74</v>
      </c>
      <c r="AG68" s="158">
        <v>9.7469879518072258</v>
      </c>
      <c r="AH68" s="159">
        <v>83</v>
      </c>
      <c r="AI68" s="160">
        <v>9.8192771084337398</v>
      </c>
      <c r="AJ68" s="159">
        <v>83</v>
      </c>
      <c r="AK68" s="160">
        <v>9.7499999999999982</v>
      </c>
      <c r="AL68" s="157">
        <v>80</v>
      </c>
      <c r="AM68" s="155">
        <v>0.59999999999999976</v>
      </c>
      <c r="AN68" s="156">
        <v>0.32499999999999996</v>
      </c>
      <c r="AO68" s="156">
        <v>2.4999999999999994E-2</v>
      </c>
      <c r="AP68" s="156">
        <v>3.7499999999999999E-2</v>
      </c>
      <c r="AQ68" s="156">
        <v>1.2499999999999997E-2</v>
      </c>
      <c r="AR68" s="157">
        <v>80</v>
      </c>
      <c r="AS68" s="155">
        <v>0.91764705882353104</v>
      </c>
      <c r="AT68" s="156">
        <v>7.0588235294117549E-2</v>
      </c>
      <c r="AU68" s="156">
        <v>0</v>
      </c>
      <c r="AV68" s="156">
        <v>1.176470588235291E-2</v>
      </c>
      <c r="AW68" s="156">
        <v>0</v>
      </c>
      <c r="AX68" s="157">
        <v>85</v>
      </c>
      <c r="AY68" s="155">
        <v>0.94117647058823439</v>
      </c>
      <c r="AZ68" s="156">
        <v>5.882352941176465E-2</v>
      </c>
      <c r="BA68" s="156">
        <v>0</v>
      </c>
      <c r="BB68" s="156">
        <v>0</v>
      </c>
      <c r="BC68" s="156">
        <v>0</v>
      </c>
      <c r="BD68" s="157">
        <v>85</v>
      </c>
      <c r="BE68" s="155">
        <v>0.88372093023255749</v>
      </c>
      <c r="BF68" s="156">
        <v>0.10465116279069768</v>
      </c>
      <c r="BG68" s="156">
        <v>0</v>
      </c>
      <c r="BH68" s="156">
        <v>1.1627906976744198E-2</v>
      </c>
      <c r="BI68" s="156">
        <v>0</v>
      </c>
      <c r="BJ68" s="157">
        <v>86</v>
      </c>
      <c r="BK68" s="155">
        <v>0.83333333333333226</v>
      </c>
      <c r="BL68" s="156">
        <v>0.16666666666666669</v>
      </c>
      <c r="BM68" s="156">
        <v>0</v>
      </c>
      <c r="BN68" s="156">
        <v>0</v>
      </c>
      <c r="BO68" s="156">
        <v>0</v>
      </c>
      <c r="BP68" s="157">
        <v>84</v>
      </c>
      <c r="BQ68" s="155">
        <v>0.87058823529411722</v>
      </c>
      <c r="BR68" s="156">
        <v>0.1176470588235293</v>
      </c>
      <c r="BS68" s="156">
        <v>1.176470588235291E-2</v>
      </c>
      <c r="BT68" s="156">
        <v>0</v>
      </c>
      <c r="BU68" s="156">
        <v>0</v>
      </c>
      <c r="BV68" s="157">
        <v>85</v>
      </c>
      <c r="BW68" s="161">
        <v>0.82142857142857095</v>
      </c>
      <c r="BX68" s="156">
        <v>0.10714285714285696</v>
      </c>
      <c r="BY68" s="156">
        <v>7.142857142857148E-2</v>
      </c>
      <c r="BZ68" s="156">
        <v>0</v>
      </c>
      <c r="CA68" s="156">
        <v>0</v>
      </c>
      <c r="CB68" s="157">
        <v>28</v>
      </c>
      <c r="CC68" s="155">
        <v>0.78431372549019474</v>
      </c>
      <c r="CD68" s="156">
        <v>0.21568627450980379</v>
      </c>
      <c r="CE68" s="156">
        <v>0</v>
      </c>
      <c r="CF68" s="156">
        <v>0</v>
      </c>
      <c r="CG68" s="156">
        <v>0</v>
      </c>
      <c r="CH68" s="162">
        <v>51</v>
      </c>
      <c r="CI68" s="155">
        <v>0.45652173913043503</v>
      </c>
      <c r="CJ68" s="156">
        <v>0.39130434782608653</v>
      </c>
      <c r="CK68" s="156">
        <v>0.10869565217391339</v>
      </c>
      <c r="CL68" s="156">
        <v>4.3478260869565195E-2</v>
      </c>
      <c r="CM68" s="156">
        <v>0</v>
      </c>
      <c r="CN68" s="162">
        <v>46</v>
      </c>
      <c r="CO68" s="155">
        <v>0.41538461538461463</v>
      </c>
      <c r="CP68" s="156">
        <v>0.43076923076922979</v>
      </c>
      <c r="CQ68" s="156">
        <v>0.12307692307692294</v>
      </c>
      <c r="CR68" s="156">
        <v>3.0769230769230736E-2</v>
      </c>
      <c r="CS68" s="156">
        <v>0</v>
      </c>
      <c r="CT68" s="162">
        <v>65</v>
      </c>
      <c r="CU68" s="155">
        <v>0.41791044776119302</v>
      </c>
      <c r="CV68" s="156">
        <v>0.41791044776119302</v>
      </c>
      <c r="CW68" s="156">
        <v>0.14925373134328332</v>
      </c>
      <c r="CX68" s="156">
        <v>1.4925373134328346E-2</v>
      </c>
      <c r="CY68" s="156">
        <v>0</v>
      </c>
      <c r="CZ68" s="162">
        <v>67</v>
      </c>
      <c r="DA68" s="155">
        <v>0.53061224489795988</v>
      </c>
      <c r="DB68" s="156">
        <v>0.40816326530612185</v>
      </c>
      <c r="DC68" s="156">
        <v>6.1224489795918505E-2</v>
      </c>
      <c r="DD68" s="156">
        <v>0</v>
      </c>
      <c r="DE68" s="156">
        <v>0</v>
      </c>
      <c r="DF68" s="162">
        <v>49</v>
      </c>
      <c r="DG68" s="155">
        <v>0.41666666666666635</v>
      </c>
      <c r="DH68" s="156">
        <v>0.50000000000000011</v>
      </c>
      <c r="DI68" s="156">
        <v>8.3333333333333412E-2</v>
      </c>
      <c r="DJ68" s="156">
        <v>0</v>
      </c>
      <c r="DK68" s="156">
        <v>0</v>
      </c>
      <c r="DL68" s="162">
        <v>48</v>
      </c>
      <c r="DM68" s="155">
        <v>0.33333333333333365</v>
      </c>
      <c r="DN68" s="156">
        <v>0.33333333333333365</v>
      </c>
      <c r="DO68" s="156">
        <v>0.17647058823529446</v>
      </c>
      <c r="DP68" s="156">
        <v>0.13725490196078452</v>
      </c>
      <c r="DQ68" s="156">
        <v>1.9607843137254947E-2</v>
      </c>
      <c r="DR68" s="162">
        <v>51</v>
      </c>
      <c r="DS68" s="161">
        <v>0.65957446808510545</v>
      </c>
      <c r="DT68" s="156">
        <v>0.27659574468085146</v>
      </c>
      <c r="DU68" s="156">
        <v>2.1276595744680851E-2</v>
      </c>
      <c r="DV68" s="156">
        <v>4.2553191489361701E-2</v>
      </c>
      <c r="DW68" s="156">
        <v>0</v>
      </c>
      <c r="DX68" s="162">
        <v>47</v>
      </c>
      <c r="DY68" s="155">
        <v>0.89655172413793249</v>
      </c>
      <c r="DZ68" s="156">
        <v>0.10344827586206869</v>
      </c>
      <c r="EA68" s="156">
        <v>0</v>
      </c>
      <c r="EB68" s="156">
        <v>0</v>
      </c>
      <c r="EC68" s="156">
        <v>0</v>
      </c>
      <c r="ED68" s="162">
        <v>87</v>
      </c>
      <c r="EE68" s="155">
        <v>0.70000000000000018</v>
      </c>
      <c r="EF68" s="156">
        <v>0.266666666666667</v>
      </c>
      <c r="EG68" s="156">
        <v>0</v>
      </c>
      <c r="EH68" s="156">
        <v>3.3333333333333375E-2</v>
      </c>
      <c r="EI68" s="156">
        <v>0</v>
      </c>
      <c r="EJ68" s="162">
        <v>30</v>
      </c>
      <c r="EK68" s="155">
        <v>0.56250000000000011</v>
      </c>
      <c r="EL68" s="156">
        <v>0.34375000000000006</v>
      </c>
      <c r="EM68" s="156">
        <v>9.3750000000000014E-2</v>
      </c>
      <c r="EN68" s="156">
        <v>0</v>
      </c>
      <c r="EO68" s="156">
        <v>0</v>
      </c>
      <c r="EP68" s="162">
        <v>32</v>
      </c>
      <c r="EQ68" s="155">
        <v>0.67924528301886622</v>
      </c>
      <c r="ER68" s="156">
        <v>0.26415094339622608</v>
      </c>
      <c r="ES68" s="156">
        <v>5.6603773584905648E-2</v>
      </c>
      <c r="ET68" s="156">
        <v>0</v>
      </c>
      <c r="EU68" s="156">
        <v>0</v>
      </c>
      <c r="EV68" s="162">
        <v>53</v>
      </c>
      <c r="EW68" s="155">
        <v>0.83018867924528361</v>
      </c>
      <c r="EX68" s="156">
        <v>0.13207547169811304</v>
      </c>
      <c r="EY68" s="156">
        <v>3.7735849056603779E-2</v>
      </c>
      <c r="EZ68" s="156">
        <v>0</v>
      </c>
      <c r="FA68" s="156">
        <v>0</v>
      </c>
      <c r="FB68" s="162">
        <v>53</v>
      </c>
      <c r="FC68" s="155">
        <v>0.45833333333333398</v>
      </c>
      <c r="FD68" s="156">
        <v>0.45833333333333398</v>
      </c>
      <c r="FE68" s="156">
        <v>4.1666666666666706E-2</v>
      </c>
      <c r="FF68" s="156">
        <v>0</v>
      </c>
      <c r="FG68" s="156">
        <v>4.1666666666666706E-2</v>
      </c>
      <c r="FH68" s="162">
        <v>24</v>
      </c>
      <c r="FI68" s="161">
        <v>0.71428571428571497</v>
      </c>
      <c r="FJ68" s="156">
        <v>0.1428571428571429</v>
      </c>
      <c r="FK68" s="156">
        <v>9.5238095238095205E-2</v>
      </c>
      <c r="FL68" s="156">
        <v>4.7619047619047603E-2</v>
      </c>
      <c r="FM68" s="156">
        <v>0</v>
      </c>
      <c r="FN68" s="162">
        <v>21</v>
      </c>
      <c r="FO68" s="155">
        <v>0.95121951219512124</v>
      </c>
      <c r="FP68" s="156">
        <v>4.8780487804878057E-2</v>
      </c>
      <c r="FQ68" s="156">
        <v>0</v>
      </c>
      <c r="FR68" s="156">
        <v>0</v>
      </c>
      <c r="FS68" s="156">
        <v>0</v>
      </c>
      <c r="FT68" s="162">
        <v>41</v>
      </c>
      <c r="FU68" s="155">
        <v>0.82758620689655105</v>
      </c>
      <c r="FV68" s="156">
        <v>0.17241379310344865</v>
      </c>
      <c r="FW68" s="156">
        <v>0</v>
      </c>
      <c r="FX68" s="156">
        <v>0</v>
      </c>
      <c r="FY68" s="156">
        <v>0</v>
      </c>
      <c r="FZ68" s="162">
        <v>29</v>
      </c>
      <c r="GA68" s="161">
        <v>0.78787878787878929</v>
      </c>
      <c r="GB68" s="156">
        <v>0.21212121212121243</v>
      </c>
      <c r="GC68" s="156">
        <v>0</v>
      </c>
      <c r="GD68" s="156">
        <v>0</v>
      </c>
      <c r="GE68" s="156">
        <v>0</v>
      </c>
      <c r="GF68" s="162">
        <v>33</v>
      </c>
      <c r="GG68" s="158">
        <v>9.5060240963855431</v>
      </c>
      <c r="GH68" s="162">
        <v>83</v>
      </c>
      <c r="GI68" s="155">
        <v>0.65517241379310365</v>
      </c>
      <c r="GJ68" s="156">
        <v>8.0459770114942597E-2</v>
      </c>
      <c r="GK68" s="156">
        <v>0.25287356321839066</v>
      </c>
      <c r="GL68" s="156">
        <v>0</v>
      </c>
      <c r="GM68" s="156">
        <v>1.1494252873563225E-2</v>
      </c>
      <c r="GN68" s="162">
        <v>87</v>
      </c>
      <c r="GO68" s="155">
        <v>0.45977011494252851</v>
      </c>
      <c r="GP68" s="156">
        <v>0.20689655172413762</v>
      </c>
      <c r="GQ68" s="156">
        <v>0.14942528735632141</v>
      </c>
      <c r="GR68" s="156">
        <v>0.3793103448275863</v>
      </c>
      <c r="GS68" s="162">
        <v>87</v>
      </c>
      <c r="GT68" s="163">
        <v>3.3176470588235252</v>
      </c>
      <c r="GU68" s="162">
        <v>85</v>
      </c>
      <c r="GV68" s="155">
        <v>0.96875000000000011</v>
      </c>
      <c r="GW68" s="156">
        <v>3.1250000000000007E-2</v>
      </c>
      <c r="GX68" s="162">
        <v>32</v>
      </c>
      <c r="GY68" s="155">
        <v>1</v>
      </c>
      <c r="GZ68" s="156">
        <v>0</v>
      </c>
      <c r="HA68" s="162">
        <v>37</v>
      </c>
      <c r="HB68" s="155">
        <v>0.95833333333333215</v>
      </c>
      <c r="HC68" s="156">
        <v>4.1666666666666699E-2</v>
      </c>
      <c r="HD68" s="162">
        <v>72</v>
      </c>
      <c r="HE68" s="161">
        <v>0.81999999999999984</v>
      </c>
      <c r="HF68" s="156">
        <v>0.18000000000000005</v>
      </c>
      <c r="HG68" s="162">
        <v>50</v>
      </c>
      <c r="HH68" s="155">
        <v>0.50588235294117523</v>
      </c>
      <c r="HI68" s="156">
        <v>0.49411764705882322</v>
      </c>
      <c r="HJ68" s="162">
        <v>85</v>
      </c>
      <c r="HK68" s="155">
        <v>1</v>
      </c>
      <c r="HL68" s="156">
        <v>0</v>
      </c>
      <c r="HM68" s="162">
        <v>79</v>
      </c>
      <c r="HN68" s="161">
        <v>0.27631578947368374</v>
      </c>
      <c r="HO68" s="156">
        <v>9.2105263157894773E-2</v>
      </c>
      <c r="HP68" s="156">
        <v>0.26315789473684176</v>
      </c>
      <c r="HQ68" s="156">
        <v>0.27631578947368374</v>
      </c>
      <c r="HR68" s="156">
        <v>9.2105263157894773E-2</v>
      </c>
      <c r="HS68" s="160">
        <v>49.105263157894683</v>
      </c>
      <c r="HT68" s="164">
        <v>76</v>
      </c>
      <c r="HU68" s="165">
        <v>0</v>
      </c>
      <c r="HV68" s="166">
        <v>1.3888888888888888E-2</v>
      </c>
      <c r="HW68" s="166">
        <v>0</v>
      </c>
      <c r="HX68" s="166">
        <v>1.3888888888888888E-2</v>
      </c>
      <c r="HY68" s="166">
        <v>9.7222222222222224E-2</v>
      </c>
      <c r="HZ68" s="166">
        <v>0.1111111111111111</v>
      </c>
      <c r="IA68" s="166">
        <v>0.25</v>
      </c>
      <c r="IB68" s="166">
        <v>9.7222222222222224E-2</v>
      </c>
      <c r="IC68" s="166">
        <v>0.30555555555555558</v>
      </c>
      <c r="ID68" s="166">
        <v>0.1111111111111111</v>
      </c>
      <c r="IE68" s="167">
        <v>72</v>
      </c>
      <c r="IF68" s="155">
        <v>0</v>
      </c>
      <c r="IG68" s="156">
        <v>0</v>
      </c>
      <c r="IH68" s="156">
        <v>1</v>
      </c>
      <c r="II68" s="156">
        <v>0</v>
      </c>
      <c r="IJ68" s="156">
        <v>0</v>
      </c>
      <c r="IK68" s="162">
        <v>1</v>
      </c>
      <c r="IL68" s="155">
        <v>3.5714285714285608E-2</v>
      </c>
      <c r="IM68" s="156">
        <v>0</v>
      </c>
      <c r="IN68" s="156">
        <v>0</v>
      </c>
      <c r="IO68" s="156">
        <v>0.92857142857142949</v>
      </c>
      <c r="IP68" s="156">
        <v>3.5714285714285608E-2</v>
      </c>
      <c r="IQ68" s="162">
        <v>84</v>
      </c>
      <c r="IR68" s="155">
        <v>9.638554216867451E-2</v>
      </c>
      <c r="IS68" s="156">
        <v>0.90361445783132632</v>
      </c>
      <c r="IT68" s="162">
        <v>83</v>
      </c>
      <c r="IU68" s="161">
        <v>0</v>
      </c>
      <c r="IV68" s="156">
        <v>0.125</v>
      </c>
      <c r="IW68" s="156">
        <v>0.875</v>
      </c>
      <c r="IX68" s="162">
        <v>8</v>
      </c>
    </row>
    <row r="69" spans="1:258" ht="32.1" customHeight="1" x14ac:dyDescent="0.25">
      <c r="A69" s="110" t="s">
        <v>516</v>
      </c>
      <c r="B69" s="108" t="s">
        <v>516</v>
      </c>
      <c r="C69" s="108" t="s">
        <v>454</v>
      </c>
      <c r="D69" s="109">
        <v>211</v>
      </c>
      <c r="E69" s="139" t="s">
        <v>518</v>
      </c>
      <c r="F69" s="155">
        <v>0.26923076923076927</v>
      </c>
      <c r="G69" s="156">
        <v>0.73076923076922984</v>
      </c>
      <c r="H69" s="157">
        <v>52</v>
      </c>
      <c r="I69" s="155">
        <v>0.60526315789473739</v>
      </c>
      <c r="J69" s="156">
        <v>0.39473684210526316</v>
      </c>
      <c r="K69" s="157">
        <v>38</v>
      </c>
      <c r="L69" s="155">
        <v>0.40909090909090906</v>
      </c>
      <c r="M69" s="156">
        <v>0.59090909090909105</v>
      </c>
      <c r="N69" s="157">
        <v>22</v>
      </c>
      <c r="O69" s="155">
        <v>0.19230769230769265</v>
      </c>
      <c r="P69" s="156">
        <v>0.13461538461538483</v>
      </c>
      <c r="Q69" s="156">
        <v>0.25000000000000011</v>
      </c>
      <c r="R69" s="156">
        <v>1.9230769230769263E-2</v>
      </c>
      <c r="S69" s="156">
        <v>0.38461538461538458</v>
      </c>
      <c r="T69" s="156">
        <v>0.26923076923076966</v>
      </c>
      <c r="U69" s="156">
        <v>3.8461538461538526E-2</v>
      </c>
      <c r="V69" s="156">
        <v>1.9230769230769263E-2</v>
      </c>
      <c r="W69" s="156">
        <v>0.19230769230769265</v>
      </c>
      <c r="X69" s="156">
        <v>9.6153846153846326E-2</v>
      </c>
      <c r="Y69" s="157">
        <v>52</v>
      </c>
      <c r="Z69" s="155">
        <v>0.61224489795918324</v>
      </c>
      <c r="AA69" s="156">
        <v>0.61224489795918324</v>
      </c>
      <c r="AB69" s="156">
        <v>0.20408163265306117</v>
      </c>
      <c r="AC69" s="156">
        <v>0.18367346938775531</v>
      </c>
      <c r="AD69" s="156">
        <v>6.1224489795918345E-2</v>
      </c>
      <c r="AE69" s="156">
        <v>0.22448979591836768</v>
      </c>
      <c r="AF69" s="157">
        <v>49</v>
      </c>
      <c r="AG69" s="158">
        <v>9.9148936170212814</v>
      </c>
      <c r="AH69" s="159">
        <v>47</v>
      </c>
      <c r="AI69" s="160">
        <v>9.9599999999999937</v>
      </c>
      <c r="AJ69" s="159">
        <v>50</v>
      </c>
      <c r="AK69" s="160">
        <v>9.9183673469387905</v>
      </c>
      <c r="AL69" s="157">
        <v>49</v>
      </c>
      <c r="AM69" s="155">
        <v>0.73469387755102133</v>
      </c>
      <c r="AN69" s="156">
        <v>0.22448979591836765</v>
      </c>
      <c r="AO69" s="156">
        <v>2.0408163265306162E-2</v>
      </c>
      <c r="AP69" s="156">
        <v>2.0408163265306162E-2</v>
      </c>
      <c r="AQ69" s="156">
        <v>0</v>
      </c>
      <c r="AR69" s="157">
        <v>49</v>
      </c>
      <c r="AS69" s="155">
        <v>0.88235294117646945</v>
      </c>
      <c r="AT69" s="156">
        <v>0.11764705882352938</v>
      </c>
      <c r="AU69" s="156">
        <v>0</v>
      </c>
      <c r="AV69" s="156">
        <v>0</v>
      </c>
      <c r="AW69" s="156">
        <v>0</v>
      </c>
      <c r="AX69" s="157">
        <v>51</v>
      </c>
      <c r="AY69" s="155">
        <v>0.92</v>
      </c>
      <c r="AZ69" s="156">
        <v>8.0000000000000016E-2</v>
      </c>
      <c r="BA69" s="156">
        <v>0</v>
      </c>
      <c r="BB69" s="156">
        <v>0</v>
      </c>
      <c r="BC69" s="156">
        <v>0</v>
      </c>
      <c r="BD69" s="157">
        <v>50</v>
      </c>
      <c r="BE69" s="155">
        <v>0.86538461538461509</v>
      </c>
      <c r="BF69" s="156">
        <v>7.6923076923076941E-2</v>
      </c>
      <c r="BG69" s="156">
        <v>3.8461538461538471E-2</v>
      </c>
      <c r="BH69" s="156">
        <v>1.9230769230769235E-2</v>
      </c>
      <c r="BI69" s="156">
        <v>0</v>
      </c>
      <c r="BJ69" s="157">
        <v>52</v>
      </c>
      <c r="BK69" s="155">
        <v>0.65789473684210509</v>
      </c>
      <c r="BL69" s="156">
        <v>0.18421052631578963</v>
      </c>
      <c r="BM69" s="156">
        <v>2.6315789473684233E-2</v>
      </c>
      <c r="BN69" s="156">
        <v>7.8947368421052641E-2</v>
      </c>
      <c r="BO69" s="156">
        <v>5.2631578947368467E-2</v>
      </c>
      <c r="BP69" s="157">
        <v>38</v>
      </c>
      <c r="BQ69" s="155">
        <v>0.96</v>
      </c>
      <c r="BR69" s="156">
        <v>2.0000000000000004E-2</v>
      </c>
      <c r="BS69" s="156">
        <v>2.0000000000000004E-2</v>
      </c>
      <c r="BT69" s="156">
        <v>0</v>
      </c>
      <c r="BU69" s="156">
        <v>0</v>
      </c>
      <c r="BV69" s="157">
        <v>50</v>
      </c>
      <c r="BW69" s="161">
        <v>0.90000000000000013</v>
      </c>
      <c r="BX69" s="156">
        <v>0.10000000000000002</v>
      </c>
      <c r="BY69" s="156">
        <v>0</v>
      </c>
      <c r="BZ69" s="156">
        <v>0</v>
      </c>
      <c r="CA69" s="156">
        <v>0</v>
      </c>
      <c r="CB69" s="157">
        <v>30</v>
      </c>
      <c r="CC69" s="155">
        <v>0.75000000000000011</v>
      </c>
      <c r="CD69" s="156">
        <v>0</v>
      </c>
      <c r="CE69" s="156">
        <v>0</v>
      </c>
      <c r="CF69" s="156">
        <v>0.125</v>
      </c>
      <c r="CG69" s="156">
        <v>0.125</v>
      </c>
      <c r="CH69" s="162">
        <v>8</v>
      </c>
      <c r="CI69" s="155">
        <v>0.8333333333333337</v>
      </c>
      <c r="CJ69" s="156">
        <v>0.16666666666666655</v>
      </c>
      <c r="CK69" s="156">
        <v>0</v>
      </c>
      <c r="CL69" s="156">
        <v>0</v>
      </c>
      <c r="CM69" s="156">
        <v>0</v>
      </c>
      <c r="CN69" s="162">
        <v>6</v>
      </c>
      <c r="CO69" s="155">
        <v>0.35714285714285732</v>
      </c>
      <c r="CP69" s="156">
        <v>0.57142857142857184</v>
      </c>
      <c r="CQ69" s="156">
        <v>0</v>
      </c>
      <c r="CR69" s="156">
        <v>7.142857142857148E-2</v>
      </c>
      <c r="CS69" s="156">
        <v>0</v>
      </c>
      <c r="CT69" s="162">
        <v>14</v>
      </c>
      <c r="CU69" s="155">
        <v>0.37500000000000006</v>
      </c>
      <c r="CV69" s="156">
        <v>0.50000000000000011</v>
      </c>
      <c r="CW69" s="156">
        <v>6.2500000000000014E-2</v>
      </c>
      <c r="CX69" s="156">
        <v>6.2500000000000014E-2</v>
      </c>
      <c r="CY69" s="156">
        <v>0</v>
      </c>
      <c r="CZ69" s="162">
        <v>16</v>
      </c>
      <c r="DA69" s="155">
        <v>0.3</v>
      </c>
      <c r="DB69" s="156">
        <v>0.5</v>
      </c>
      <c r="DC69" s="156">
        <v>0.2</v>
      </c>
      <c r="DD69" s="156">
        <v>0</v>
      </c>
      <c r="DE69" s="156">
        <v>0</v>
      </c>
      <c r="DF69" s="162">
        <v>10</v>
      </c>
      <c r="DG69" s="155">
        <v>0.25</v>
      </c>
      <c r="DH69" s="156">
        <v>0.75000000000000011</v>
      </c>
      <c r="DI69" s="156">
        <v>0</v>
      </c>
      <c r="DJ69" s="156">
        <v>0</v>
      </c>
      <c r="DK69" s="156">
        <v>0</v>
      </c>
      <c r="DL69" s="162">
        <v>8</v>
      </c>
      <c r="DM69" s="155">
        <v>0.8333333333333337</v>
      </c>
      <c r="DN69" s="156">
        <v>0.16666666666666655</v>
      </c>
      <c r="DO69" s="156">
        <v>0</v>
      </c>
      <c r="DP69" s="156">
        <v>0</v>
      </c>
      <c r="DQ69" s="156">
        <v>0</v>
      </c>
      <c r="DR69" s="162">
        <v>12</v>
      </c>
      <c r="DS69" s="161">
        <v>0.77777777777777812</v>
      </c>
      <c r="DT69" s="156">
        <v>0.22222222222222196</v>
      </c>
      <c r="DU69" s="156">
        <v>0</v>
      </c>
      <c r="DV69" s="156">
        <v>0</v>
      </c>
      <c r="DW69" s="156">
        <v>0</v>
      </c>
      <c r="DX69" s="162">
        <v>9</v>
      </c>
      <c r="DY69" s="155">
        <v>0.95121951219512113</v>
      </c>
      <c r="DZ69" s="156">
        <v>4.8780487804878037E-2</v>
      </c>
      <c r="EA69" s="156">
        <v>0</v>
      </c>
      <c r="EB69" s="156">
        <v>0</v>
      </c>
      <c r="EC69" s="156">
        <v>0</v>
      </c>
      <c r="ED69" s="162">
        <v>41</v>
      </c>
      <c r="EE69" s="155">
        <v>0.7916666666666663</v>
      </c>
      <c r="EF69" s="156">
        <v>0.16666666666666657</v>
      </c>
      <c r="EG69" s="156">
        <v>0</v>
      </c>
      <c r="EH69" s="156">
        <v>4.1666666666666644E-2</v>
      </c>
      <c r="EI69" s="156">
        <v>0</v>
      </c>
      <c r="EJ69" s="162">
        <v>24</v>
      </c>
      <c r="EK69" s="155">
        <v>0.86666666666666647</v>
      </c>
      <c r="EL69" s="156">
        <v>0.13333333333333339</v>
      </c>
      <c r="EM69" s="156">
        <v>0</v>
      </c>
      <c r="EN69" s="156">
        <v>0</v>
      </c>
      <c r="EO69" s="156">
        <v>0</v>
      </c>
      <c r="EP69" s="162">
        <v>15</v>
      </c>
      <c r="EQ69" s="155">
        <v>0.87500000000000011</v>
      </c>
      <c r="ER69" s="156">
        <v>9.3750000000000014E-2</v>
      </c>
      <c r="ES69" s="156">
        <v>3.1250000000000007E-2</v>
      </c>
      <c r="ET69" s="156">
        <v>0</v>
      </c>
      <c r="EU69" s="156">
        <v>0</v>
      </c>
      <c r="EV69" s="162">
        <v>32</v>
      </c>
      <c r="EW69" s="155">
        <v>0.96875</v>
      </c>
      <c r="EX69" s="156">
        <v>3.1250000000000007E-2</v>
      </c>
      <c r="EY69" s="156">
        <v>0</v>
      </c>
      <c r="EZ69" s="156">
        <v>0</v>
      </c>
      <c r="FA69" s="156">
        <v>0</v>
      </c>
      <c r="FB69" s="162">
        <v>32</v>
      </c>
      <c r="FC69" s="155">
        <v>0.75</v>
      </c>
      <c r="FD69" s="156">
        <v>0.25</v>
      </c>
      <c r="FE69" s="156">
        <v>0</v>
      </c>
      <c r="FF69" s="156">
        <v>0</v>
      </c>
      <c r="FG69" s="156">
        <v>0</v>
      </c>
      <c r="FH69" s="162">
        <v>4</v>
      </c>
      <c r="FI69" s="161">
        <v>0.85714285714285721</v>
      </c>
      <c r="FJ69" s="156">
        <v>0</v>
      </c>
      <c r="FK69" s="156">
        <v>0</v>
      </c>
      <c r="FL69" s="156">
        <v>0</v>
      </c>
      <c r="FM69" s="156">
        <v>0.14285714285714296</v>
      </c>
      <c r="FN69" s="162">
        <v>7</v>
      </c>
      <c r="FO69" s="155">
        <v>0.22222222222222196</v>
      </c>
      <c r="FP69" s="156">
        <v>0.22222222222222196</v>
      </c>
      <c r="FQ69" s="156">
        <v>0.33333333333333309</v>
      </c>
      <c r="FR69" s="156">
        <v>0.22222222222222196</v>
      </c>
      <c r="FS69" s="156">
        <v>0</v>
      </c>
      <c r="FT69" s="162">
        <v>9</v>
      </c>
      <c r="FU69" s="155">
        <v>0.49999999999999994</v>
      </c>
      <c r="FV69" s="156">
        <v>0.16666666666666655</v>
      </c>
      <c r="FW69" s="156">
        <v>0.33333333333333309</v>
      </c>
      <c r="FX69" s="156">
        <v>0</v>
      </c>
      <c r="FY69" s="156">
        <v>0</v>
      </c>
      <c r="FZ69" s="162">
        <v>6</v>
      </c>
      <c r="GA69" s="161">
        <v>0.42857142857142855</v>
      </c>
      <c r="GB69" s="156">
        <v>0.28571428571428592</v>
      </c>
      <c r="GC69" s="156">
        <v>0.28571428571428592</v>
      </c>
      <c r="GD69" s="156">
        <v>0</v>
      </c>
      <c r="GE69" s="156">
        <v>0</v>
      </c>
      <c r="GF69" s="162">
        <v>7</v>
      </c>
      <c r="GG69" s="158">
        <v>9.6739130434782545</v>
      </c>
      <c r="GH69" s="162">
        <v>46</v>
      </c>
      <c r="GI69" s="155">
        <v>0.8461538461538467</v>
      </c>
      <c r="GJ69" s="156">
        <v>3.8461538461538471E-2</v>
      </c>
      <c r="GK69" s="156">
        <v>0.11538461538461549</v>
      </c>
      <c r="GL69" s="156">
        <v>0</v>
      </c>
      <c r="GM69" s="156">
        <v>0</v>
      </c>
      <c r="GN69" s="162">
        <v>52</v>
      </c>
      <c r="GO69" s="155">
        <v>0.45098039215686347</v>
      </c>
      <c r="GP69" s="156">
        <v>0.41176470588235276</v>
      </c>
      <c r="GQ69" s="156">
        <v>1.9607843137254933E-2</v>
      </c>
      <c r="GR69" s="156">
        <v>0.15686274509803946</v>
      </c>
      <c r="GS69" s="162">
        <v>51</v>
      </c>
      <c r="GT69" s="163">
        <v>2.4600000000000044</v>
      </c>
      <c r="GU69" s="162">
        <v>50</v>
      </c>
      <c r="GV69" s="155">
        <v>0.93333333333333346</v>
      </c>
      <c r="GW69" s="156">
        <v>6.6666666666666693E-2</v>
      </c>
      <c r="GX69" s="162">
        <v>15</v>
      </c>
      <c r="GY69" s="155">
        <v>1</v>
      </c>
      <c r="GZ69" s="156">
        <v>0</v>
      </c>
      <c r="HA69" s="162">
        <v>24</v>
      </c>
      <c r="HB69" s="155">
        <v>0.90625000000000011</v>
      </c>
      <c r="HC69" s="156">
        <v>9.3750000000000014E-2</v>
      </c>
      <c r="HD69" s="162">
        <v>32</v>
      </c>
      <c r="HE69" s="161">
        <v>0.82758620689655227</v>
      </c>
      <c r="HF69" s="156">
        <v>0.17241379310344854</v>
      </c>
      <c r="HG69" s="162">
        <v>29</v>
      </c>
      <c r="HH69" s="155">
        <v>0.48936170212765945</v>
      </c>
      <c r="HI69" s="156">
        <v>0.51063829787234094</v>
      </c>
      <c r="HJ69" s="162">
        <v>47</v>
      </c>
      <c r="HK69" s="155">
        <v>1</v>
      </c>
      <c r="HL69" s="156">
        <v>0</v>
      </c>
      <c r="HM69" s="162">
        <v>43</v>
      </c>
      <c r="HN69" s="161">
        <v>0</v>
      </c>
      <c r="HO69" s="156">
        <v>4.5454545454545539E-2</v>
      </c>
      <c r="HP69" s="156">
        <v>0.25000000000000006</v>
      </c>
      <c r="HQ69" s="156">
        <v>0.4318181818181821</v>
      </c>
      <c r="HR69" s="156">
        <v>0.27272727272727271</v>
      </c>
      <c r="HS69" s="160">
        <v>66.727272727272648</v>
      </c>
      <c r="HT69" s="164">
        <v>44</v>
      </c>
      <c r="HU69" s="165">
        <v>2.5000000000000001E-2</v>
      </c>
      <c r="HV69" s="166">
        <v>0.05</v>
      </c>
      <c r="HW69" s="166">
        <v>7.4999999999999997E-2</v>
      </c>
      <c r="HX69" s="166">
        <v>0.17499999999999999</v>
      </c>
      <c r="HY69" s="166">
        <v>0.17499999999999999</v>
      </c>
      <c r="HZ69" s="166">
        <v>0.15</v>
      </c>
      <c r="IA69" s="166">
        <v>7.4999999999999997E-2</v>
      </c>
      <c r="IB69" s="166">
        <v>0.125</v>
      </c>
      <c r="IC69" s="166">
        <v>2.5000000000000001E-2</v>
      </c>
      <c r="ID69" s="166">
        <v>0.125</v>
      </c>
      <c r="IE69" s="167">
        <v>40</v>
      </c>
      <c r="IF69" s="155">
        <v>0</v>
      </c>
      <c r="IG69" s="156">
        <v>0</v>
      </c>
      <c r="IH69" s="156">
        <v>0</v>
      </c>
      <c r="II69" s="156">
        <v>0</v>
      </c>
      <c r="IJ69" s="156">
        <v>0</v>
      </c>
      <c r="IK69" s="162">
        <v>0</v>
      </c>
      <c r="IL69" s="155">
        <v>0</v>
      </c>
      <c r="IM69" s="156">
        <v>0</v>
      </c>
      <c r="IN69" s="156">
        <v>2.1276595744680864E-2</v>
      </c>
      <c r="IO69" s="156">
        <v>0.97872340425531879</v>
      </c>
      <c r="IP69" s="156">
        <v>0</v>
      </c>
      <c r="IQ69" s="162">
        <v>47</v>
      </c>
      <c r="IR69" s="155">
        <v>0.17777777777777803</v>
      </c>
      <c r="IS69" s="156">
        <v>0.82222222222222219</v>
      </c>
      <c r="IT69" s="162">
        <v>45</v>
      </c>
      <c r="IU69" s="161">
        <v>0</v>
      </c>
      <c r="IV69" s="156">
        <v>0</v>
      </c>
      <c r="IW69" s="156">
        <v>1</v>
      </c>
      <c r="IX69" s="162">
        <v>8</v>
      </c>
    </row>
    <row r="70" spans="1:258" ht="32.1" customHeight="1" x14ac:dyDescent="0.25">
      <c r="A70" s="110" t="s">
        <v>516</v>
      </c>
      <c r="B70" s="108" t="s">
        <v>516</v>
      </c>
      <c r="C70" s="108" t="s">
        <v>454</v>
      </c>
      <c r="D70" s="109">
        <v>212</v>
      </c>
      <c r="E70" s="139" t="s">
        <v>519</v>
      </c>
      <c r="F70" s="155">
        <v>0.27586206896551735</v>
      </c>
      <c r="G70" s="156">
        <v>0.7241379310344831</v>
      </c>
      <c r="H70" s="157">
        <v>29</v>
      </c>
      <c r="I70" s="155">
        <v>0.85</v>
      </c>
      <c r="J70" s="156">
        <v>0.14999999999999997</v>
      </c>
      <c r="K70" s="157">
        <v>20</v>
      </c>
      <c r="L70" s="155">
        <v>0.21428571428571427</v>
      </c>
      <c r="M70" s="156">
        <v>0.78571428571428581</v>
      </c>
      <c r="N70" s="157">
        <v>14</v>
      </c>
      <c r="O70" s="155">
        <v>0.27586206896551713</v>
      </c>
      <c r="P70" s="156">
        <v>0.17241379310344837</v>
      </c>
      <c r="Q70" s="156">
        <v>0.51724137931034508</v>
      </c>
      <c r="R70" s="156">
        <v>0</v>
      </c>
      <c r="S70" s="156">
        <v>0.34482758620689674</v>
      </c>
      <c r="T70" s="156">
        <v>0.10344827586206896</v>
      </c>
      <c r="U70" s="156">
        <v>3.4482758620689634E-2</v>
      </c>
      <c r="V70" s="156">
        <v>0</v>
      </c>
      <c r="W70" s="156">
        <v>3.4482758620689634E-2</v>
      </c>
      <c r="X70" s="156">
        <v>0.17241379310344837</v>
      </c>
      <c r="Y70" s="157">
        <v>29</v>
      </c>
      <c r="Z70" s="155">
        <v>0.375</v>
      </c>
      <c r="AA70" s="156">
        <v>0.25</v>
      </c>
      <c r="AB70" s="156">
        <v>0.41666666666666657</v>
      </c>
      <c r="AC70" s="156">
        <v>0.41666666666666657</v>
      </c>
      <c r="AD70" s="156">
        <v>8.3333333333333329E-2</v>
      </c>
      <c r="AE70" s="156">
        <v>0.25</v>
      </c>
      <c r="AF70" s="157">
        <v>24</v>
      </c>
      <c r="AG70" s="158">
        <v>9.8461538461538431</v>
      </c>
      <c r="AH70" s="159">
        <v>26</v>
      </c>
      <c r="AI70" s="160">
        <v>9.8846153846153815</v>
      </c>
      <c r="AJ70" s="159">
        <v>26</v>
      </c>
      <c r="AK70" s="160">
        <v>9.9599999999999991</v>
      </c>
      <c r="AL70" s="157">
        <v>25</v>
      </c>
      <c r="AM70" s="155">
        <v>0.83333333333333326</v>
      </c>
      <c r="AN70" s="156">
        <v>0.16666666666666674</v>
      </c>
      <c r="AO70" s="156">
        <v>0</v>
      </c>
      <c r="AP70" s="156">
        <v>0</v>
      </c>
      <c r="AQ70" s="156">
        <v>0</v>
      </c>
      <c r="AR70" s="157">
        <v>24</v>
      </c>
      <c r="AS70" s="155">
        <v>0.88888888888888862</v>
      </c>
      <c r="AT70" s="156">
        <v>0.11111111111111108</v>
      </c>
      <c r="AU70" s="156">
        <v>0</v>
      </c>
      <c r="AV70" s="156">
        <v>0</v>
      </c>
      <c r="AW70" s="156">
        <v>0</v>
      </c>
      <c r="AX70" s="157">
        <v>27</v>
      </c>
      <c r="AY70" s="155">
        <v>0.88888888888888862</v>
      </c>
      <c r="AZ70" s="156">
        <v>0.11111111111111108</v>
      </c>
      <c r="BA70" s="156">
        <v>0</v>
      </c>
      <c r="BB70" s="156">
        <v>0</v>
      </c>
      <c r="BC70" s="156">
        <v>0</v>
      </c>
      <c r="BD70" s="157">
        <v>27</v>
      </c>
      <c r="BE70" s="155">
        <v>0.89285714285714235</v>
      </c>
      <c r="BF70" s="156">
        <v>0.10714285714285716</v>
      </c>
      <c r="BG70" s="156">
        <v>0</v>
      </c>
      <c r="BH70" s="156">
        <v>0</v>
      </c>
      <c r="BI70" s="156">
        <v>0</v>
      </c>
      <c r="BJ70" s="157">
        <v>28</v>
      </c>
      <c r="BK70" s="155">
        <v>0.53333333333333321</v>
      </c>
      <c r="BL70" s="156">
        <v>0.4</v>
      </c>
      <c r="BM70" s="156">
        <v>6.6666666666666652E-2</v>
      </c>
      <c r="BN70" s="156">
        <v>0</v>
      </c>
      <c r="BO70" s="156">
        <v>0</v>
      </c>
      <c r="BP70" s="157">
        <v>15</v>
      </c>
      <c r="BQ70" s="155">
        <v>0.81481481481481477</v>
      </c>
      <c r="BR70" s="156">
        <v>0.18518518518518526</v>
      </c>
      <c r="BS70" s="156">
        <v>0</v>
      </c>
      <c r="BT70" s="156">
        <v>0</v>
      </c>
      <c r="BU70" s="156">
        <v>0</v>
      </c>
      <c r="BV70" s="157">
        <v>27</v>
      </c>
      <c r="BW70" s="161">
        <v>0.7</v>
      </c>
      <c r="BX70" s="156">
        <v>0.2</v>
      </c>
      <c r="BY70" s="156">
        <v>0.1</v>
      </c>
      <c r="BZ70" s="156">
        <v>0</v>
      </c>
      <c r="CA70" s="156">
        <v>0</v>
      </c>
      <c r="CB70" s="157">
        <v>10</v>
      </c>
      <c r="CC70" s="155">
        <v>0.81818181818181801</v>
      </c>
      <c r="CD70" s="156">
        <v>0.18181818181818182</v>
      </c>
      <c r="CE70" s="156">
        <v>0</v>
      </c>
      <c r="CF70" s="156">
        <v>0</v>
      </c>
      <c r="CG70" s="156">
        <v>0</v>
      </c>
      <c r="CH70" s="162">
        <v>11</v>
      </c>
      <c r="CI70" s="155">
        <v>0.75</v>
      </c>
      <c r="CJ70" s="156">
        <v>0.125</v>
      </c>
      <c r="CK70" s="156">
        <v>0</v>
      </c>
      <c r="CL70" s="156">
        <v>0.125</v>
      </c>
      <c r="CM70" s="156">
        <v>0</v>
      </c>
      <c r="CN70" s="162">
        <v>8</v>
      </c>
      <c r="CO70" s="155">
        <v>0.6</v>
      </c>
      <c r="CP70" s="156">
        <v>0.3</v>
      </c>
      <c r="CQ70" s="156">
        <v>0.1</v>
      </c>
      <c r="CR70" s="156">
        <v>0</v>
      </c>
      <c r="CS70" s="156">
        <v>0</v>
      </c>
      <c r="CT70" s="162">
        <v>10</v>
      </c>
      <c r="CU70" s="155">
        <v>0.49999999999999994</v>
      </c>
      <c r="CV70" s="156">
        <v>0.49999999999999994</v>
      </c>
      <c r="CW70" s="156">
        <v>0</v>
      </c>
      <c r="CX70" s="156">
        <v>0</v>
      </c>
      <c r="CY70" s="156">
        <v>0</v>
      </c>
      <c r="CZ70" s="162">
        <v>10</v>
      </c>
      <c r="DA70" s="155">
        <v>0.7</v>
      </c>
      <c r="DB70" s="156">
        <v>0.3</v>
      </c>
      <c r="DC70" s="156">
        <v>0</v>
      </c>
      <c r="DD70" s="156">
        <v>0</v>
      </c>
      <c r="DE70" s="156">
        <v>0</v>
      </c>
      <c r="DF70" s="162">
        <v>10</v>
      </c>
      <c r="DG70" s="155">
        <v>0.5555555555555558</v>
      </c>
      <c r="DH70" s="156">
        <v>0.33333333333333343</v>
      </c>
      <c r="DI70" s="156">
        <v>0.11111111111111108</v>
      </c>
      <c r="DJ70" s="156">
        <v>0</v>
      </c>
      <c r="DK70" s="156">
        <v>0</v>
      </c>
      <c r="DL70" s="162">
        <v>9</v>
      </c>
      <c r="DM70" s="155">
        <v>0.66666666666666685</v>
      </c>
      <c r="DN70" s="156">
        <v>0.22222222222222215</v>
      </c>
      <c r="DO70" s="156">
        <v>0</v>
      </c>
      <c r="DP70" s="156">
        <v>0.11111111111111108</v>
      </c>
      <c r="DQ70" s="156">
        <v>0</v>
      </c>
      <c r="DR70" s="162">
        <v>9</v>
      </c>
      <c r="DS70" s="161">
        <v>0.66666666666666696</v>
      </c>
      <c r="DT70" s="156">
        <v>0.33333333333333348</v>
      </c>
      <c r="DU70" s="156">
        <v>0</v>
      </c>
      <c r="DV70" s="156">
        <v>0</v>
      </c>
      <c r="DW70" s="156">
        <v>0</v>
      </c>
      <c r="DX70" s="162">
        <v>6</v>
      </c>
      <c r="DY70" s="155">
        <v>0.8076923076923076</v>
      </c>
      <c r="DZ70" s="156">
        <v>0.15384615384615374</v>
      </c>
      <c r="EA70" s="156">
        <v>0</v>
      </c>
      <c r="EB70" s="156">
        <v>3.8461538461538436E-2</v>
      </c>
      <c r="EC70" s="156">
        <v>0</v>
      </c>
      <c r="ED70" s="162">
        <v>26</v>
      </c>
      <c r="EE70" s="155">
        <v>0.76470588235294135</v>
      </c>
      <c r="EF70" s="156">
        <v>0.23529411764705865</v>
      </c>
      <c r="EG70" s="156">
        <v>0</v>
      </c>
      <c r="EH70" s="156">
        <v>0</v>
      </c>
      <c r="EI70" s="156">
        <v>0</v>
      </c>
      <c r="EJ70" s="162">
        <v>17</v>
      </c>
      <c r="EK70" s="155">
        <v>0.72222222222222188</v>
      </c>
      <c r="EL70" s="156">
        <v>0.2777777777777779</v>
      </c>
      <c r="EM70" s="156">
        <v>0</v>
      </c>
      <c r="EN70" s="156">
        <v>0</v>
      </c>
      <c r="EO70" s="156">
        <v>0</v>
      </c>
      <c r="EP70" s="162">
        <v>18</v>
      </c>
      <c r="EQ70" s="155">
        <v>0.69230769230769273</v>
      </c>
      <c r="ER70" s="156">
        <v>0.30769230769230749</v>
      </c>
      <c r="ES70" s="156">
        <v>0</v>
      </c>
      <c r="ET70" s="156">
        <v>0</v>
      </c>
      <c r="EU70" s="156">
        <v>0</v>
      </c>
      <c r="EV70" s="162">
        <v>13</v>
      </c>
      <c r="EW70" s="155">
        <v>0.76923076923076938</v>
      </c>
      <c r="EX70" s="156">
        <v>0.23076923076923084</v>
      </c>
      <c r="EY70" s="156">
        <v>0</v>
      </c>
      <c r="EZ70" s="156">
        <v>0</v>
      </c>
      <c r="FA70" s="156">
        <v>0</v>
      </c>
      <c r="FB70" s="162">
        <v>13</v>
      </c>
      <c r="FC70" s="155">
        <v>0.57142857142857117</v>
      </c>
      <c r="FD70" s="156">
        <v>0.42857142857142866</v>
      </c>
      <c r="FE70" s="156">
        <v>0</v>
      </c>
      <c r="FF70" s="156">
        <v>0</v>
      </c>
      <c r="FG70" s="156">
        <v>0</v>
      </c>
      <c r="FH70" s="162">
        <v>7</v>
      </c>
      <c r="FI70" s="161">
        <v>0.5</v>
      </c>
      <c r="FJ70" s="156">
        <v>0.5</v>
      </c>
      <c r="FK70" s="156">
        <v>0</v>
      </c>
      <c r="FL70" s="156">
        <v>0</v>
      </c>
      <c r="FM70" s="156">
        <v>0</v>
      </c>
      <c r="FN70" s="162">
        <v>4</v>
      </c>
      <c r="FO70" s="155">
        <v>0.85714285714285732</v>
      </c>
      <c r="FP70" s="156">
        <v>7.1428571428571397E-2</v>
      </c>
      <c r="FQ70" s="156">
        <v>7.1428571428571397E-2</v>
      </c>
      <c r="FR70" s="156">
        <v>0</v>
      </c>
      <c r="FS70" s="156">
        <v>0</v>
      </c>
      <c r="FT70" s="162">
        <v>14</v>
      </c>
      <c r="FU70" s="155">
        <v>0.71428571428571386</v>
      </c>
      <c r="FV70" s="156">
        <v>0.28571428571428559</v>
      </c>
      <c r="FW70" s="156">
        <v>0</v>
      </c>
      <c r="FX70" s="156">
        <v>0</v>
      </c>
      <c r="FY70" s="156">
        <v>0</v>
      </c>
      <c r="FZ70" s="162">
        <v>7</v>
      </c>
      <c r="GA70" s="161">
        <v>0.71428571428571386</v>
      </c>
      <c r="GB70" s="156">
        <v>0.28571428571428559</v>
      </c>
      <c r="GC70" s="156">
        <v>0</v>
      </c>
      <c r="GD70" s="156">
        <v>0</v>
      </c>
      <c r="GE70" s="156">
        <v>0</v>
      </c>
      <c r="GF70" s="162">
        <v>7</v>
      </c>
      <c r="GG70" s="158">
        <v>9.7499999999999982</v>
      </c>
      <c r="GH70" s="162">
        <v>24</v>
      </c>
      <c r="GI70" s="155">
        <v>0.75</v>
      </c>
      <c r="GJ70" s="156">
        <v>3.5714285714285698E-2</v>
      </c>
      <c r="GK70" s="156">
        <v>0.21428571428571433</v>
      </c>
      <c r="GL70" s="156">
        <v>0</v>
      </c>
      <c r="GM70" s="156">
        <v>0</v>
      </c>
      <c r="GN70" s="162">
        <v>28</v>
      </c>
      <c r="GO70" s="155">
        <v>0.46428571428571402</v>
      </c>
      <c r="GP70" s="156">
        <v>0.14285714285714282</v>
      </c>
      <c r="GQ70" s="156">
        <v>0.25</v>
      </c>
      <c r="GR70" s="156">
        <v>0.32142857142857134</v>
      </c>
      <c r="GS70" s="162">
        <v>28</v>
      </c>
      <c r="GT70" s="163">
        <v>2.0384615384615397</v>
      </c>
      <c r="GU70" s="162">
        <v>26</v>
      </c>
      <c r="GV70" s="155">
        <v>1</v>
      </c>
      <c r="GW70" s="156">
        <v>0</v>
      </c>
      <c r="GX70" s="162">
        <v>13</v>
      </c>
      <c r="GY70" s="155">
        <v>1</v>
      </c>
      <c r="GZ70" s="156">
        <v>0</v>
      </c>
      <c r="HA70" s="162">
        <v>22</v>
      </c>
      <c r="HB70" s="155">
        <v>0.9047619047619041</v>
      </c>
      <c r="HC70" s="156">
        <v>9.5238095238095205E-2</v>
      </c>
      <c r="HD70" s="162">
        <v>21</v>
      </c>
      <c r="HE70" s="161">
        <v>1</v>
      </c>
      <c r="HF70" s="156">
        <v>0</v>
      </c>
      <c r="HG70" s="162">
        <v>19</v>
      </c>
      <c r="HH70" s="155">
        <v>0.59259259259259289</v>
      </c>
      <c r="HI70" s="156">
        <v>0.40740740740740738</v>
      </c>
      <c r="HJ70" s="162">
        <v>27</v>
      </c>
      <c r="HK70" s="155">
        <v>0.95833333333333359</v>
      </c>
      <c r="HL70" s="156">
        <v>4.1666666666666685E-2</v>
      </c>
      <c r="HM70" s="162">
        <v>24</v>
      </c>
      <c r="HN70" s="161">
        <v>0.16</v>
      </c>
      <c r="HO70" s="156">
        <v>0.08</v>
      </c>
      <c r="HP70" s="156">
        <v>0.24</v>
      </c>
      <c r="HQ70" s="156">
        <v>0.28000000000000003</v>
      </c>
      <c r="HR70" s="156">
        <v>0.24</v>
      </c>
      <c r="HS70" s="160">
        <v>57.279999999999987</v>
      </c>
      <c r="HT70" s="164">
        <v>25</v>
      </c>
      <c r="HU70" s="165">
        <v>0</v>
      </c>
      <c r="HV70" s="166">
        <v>0</v>
      </c>
      <c r="HW70" s="166">
        <v>0</v>
      </c>
      <c r="HX70" s="166">
        <v>0.23809523809523808</v>
      </c>
      <c r="HY70" s="166">
        <v>4.7619047619047616E-2</v>
      </c>
      <c r="HZ70" s="166">
        <v>0.23809523809523808</v>
      </c>
      <c r="IA70" s="166">
        <v>0.19047619047619047</v>
      </c>
      <c r="IB70" s="166">
        <v>4.7619047619047616E-2</v>
      </c>
      <c r="IC70" s="166">
        <v>0.23809523809523808</v>
      </c>
      <c r="ID70" s="166">
        <v>0</v>
      </c>
      <c r="IE70" s="167">
        <v>21</v>
      </c>
      <c r="IF70" s="155">
        <v>0</v>
      </c>
      <c r="IG70" s="156">
        <v>0</v>
      </c>
      <c r="IH70" s="156">
        <v>0.66666666666666696</v>
      </c>
      <c r="II70" s="156">
        <v>0</v>
      </c>
      <c r="IJ70" s="156">
        <v>0.33333333333333348</v>
      </c>
      <c r="IK70" s="162">
        <v>3</v>
      </c>
      <c r="IL70" s="155">
        <v>3.7037037037037056E-2</v>
      </c>
      <c r="IM70" s="156">
        <v>0</v>
      </c>
      <c r="IN70" s="156">
        <v>0</v>
      </c>
      <c r="IO70" s="156">
        <v>0.96296296296296235</v>
      </c>
      <c r="IP70" s="156">
        <v>0</v>
      </c>
      <c r="IQ70" s="162">
        <v>27</v>
      </c>
      <c r="IR70" s="155">
        <v>0.11111111111111108</v>
      </c>
      <c r="IS70" s="156">
        <v>0.88888888888888862</v>
      </c>
      <c r="IT70" s="162">
        <v>27</v>
      </c>
      <c r="IU70" s="161">
        <v>0</v>
      </c>
      <c r="IV70" s="156">
        <v>0</v>
      </c>
      <c r="IW70" s="156">
        <v>1</v>
      </c>
      <c r="IX70" s="162">
        <v>3</v>
      </c>
    </row>
    <row r="71" spans="1:258" ht="32.1" customHeight="1" x14ac:dyDescent="0.25">
      <c r="A71" s="110" t="s">
        <v>516</v>
      </c>
      <c r="B71" s="108" t="s">
        <v>516</v>
      </c>
      <c r="C71" s="108" t="s">
        <v>454</v>
      </c>
      <c r="D71" s="109">
        <v>213</v>
      </c>
      <c r="E71" s="139" t="s">
        <v>520</v>
      </c>
      <c r="F71" s="155">
        <v>9.0909090909090967E-2</v>
      </c>
      <c r="G71" s="156">
        <v>0.9090909090909095</v>
      </c>
      <c r="H71" s="157">
        <v>33</v>
      </c>
      <c r="I71" s="155">
        <v>0.85185185185185208</v>
      </c>
      <c r="J71" s="156">
        <v>0.14814814814814833</v>
      </c>
      <c r="K71" s="157">
        <v>27</v>
      </c>
      <c r="L71" s="155">
        <v>0.5454545454545453</v>
      </c>
      <c r="M71" s="156">
        <v>0.4545454545454547</v>
      </c>
      <c r="N71" s="157">
        <v>22</v>
      </c>
      <c r="O71" s="155">
        <v>9.6774193548387122E-2</v>
      </c>
      <c r="P71" s="156">
        <v>6.4516129032258063E-2</v>
      </c>
      <c r="Q71" s="156">
        <v>0.35483870967741976</v>
      </c>
      <c r="R71" s="156">
        <v>6.4516129032258063E-2</v>
      </c>
      <c r="S71" s="156">
        <v>0.45161290322580649</v>
      </c>
      <c r="T71" s="156">
        <v>0</v>
      </c>
      <c r="U71" s="156">
        <v>3.2258064516129031E-2</v>
      </c>
      <c r="V71" s="156">
        <v>0.12903225806451613</v>
      </c>
      <c r="W71" s="156">
        <v>9.6774193548387122E-2</v>
      </c>
      <c r="X71" s="156">
        <v>0.16129032258064527</v>
      </c>
      <c r="Y71" s="157">
        <v>31</v>
      </c>
      <c r="Z71" s="155">
        <v>0.42307692307692329</v>
      </c>
      <c r="AA71" s="156">
        <v>0.76923076923076994</v>
      </c>
      <c r="AB71" s="156">
        <v>0.23076923076923087</v>
      </c>
      <c r="AC71" s="156">
        <v>0.15384615384615391</v>
      </c>
      <c r="AD71" s="156">
        <v>7.6923076923076955E-2</v>
      </c>
      <c r="AE71" s="156">
        <v>0.11538461538461543</v>
      </c>
      <c r="AF71" s="157">
        <v>26</v>
      </c>
      <c r="AG71" s="158">
        <v>9.7812500000000053</v>
      </c>
      <c r="AH71" s="159">
        <v>32</v>
      </c>
      <c r="AI71" s="160">
        <v>9.9062500000000053</v>
      </c>
      <c r="AJ71" s="159">
        <v>32</v>
      </c>
      <c r="AK71" s="160">
        <v>9.6562500000000053</v>
      </c>
      <c r="AL71" s="157">
        <v>32</v>
      </c>
      <c r="AM71" s="155">
        <v>0.50000000000000022</v>
      </c>
      <c r="AN71" s="156">
        <v>0.28125000000000006</v>
      </c>
      <c r="AO71" s="156">
        <v>6.2500000000000028E-2</v>
      </c>
      <c r="AP71" s="156">
        <v>0.15625000000000003</v>
      </c>
      <c r="AQ71" s="156">
        <v>0</v>
      </c>
      <c r="AR71" s="157">
        <v>32</v>
      </c>
      <c r="AS71" s="155">
        <v>0.9090909090909095</v>
      </c>
      <c r="AT71" s="156">
        <v>9.0909090909090967E-2</v>
      </c>
      <c r="AU71" s="156">
        <v>0</v>
      </c>
      <c r="AV71" s="156">
        <v>0</v>
      </c>
      <c r="AW71" s="156">
        <v>0</v>
      </c>
      <c r="AX71" s="157">
        <v>33</v>
      </c>
      <c r="AY71" s="155">
        <v>0.72727272727272774</v>
      </c>
      <c r="AZ71" s="156">
        <v>0.15151515151515171</v>
      </c>
      <c r="BA71" s="156">
        <v>0.12121212121212127</v>
      </c>
      <c r="BB71" s="156">
        <v>0</v>
      </c>
      <c r="BC71" s="156">
        <v>0</v>
      </c>
      <c r="BD71" s="157">
        <v>33</v>
      </c>
      <c r="BE71" s="155">
        <v>0.78787878787878807</v>
      </c>
      <c r="BF71" s="156">
        <v>0.21212121212121235</v>
      </c>
      <c r="BG71" s="156">
        <v>0</v>
      </c>
      <c r="BH71" s="156">
        <v>0</v>
      </c>
      <c r="BI71" s="156">
        <v>0</v>
      </c>
      <c r="BJ71" s="157">
        <v>33</v>
      </c>
      <c r="BK71" s="155">
        <v>0.66666666666666718</v>
      </c>
      <c r="BL71" s="156">
        <v>0.33333333333333359</v>
      </c>
      <c r="BM71" s="156">
        <v>0</v>
      </c>
      <c r="BN71" s="156">
        <v>0</v>
      </c>
      <c r="BO71" s="156">
        <v>0</v>
      </c>
      <c r="BP71" s="157">
        <v>24</v>
      </c>
      <c r="BQ71" s="155">
        <v>0.78125000000000011</v>
      </c>
      <c r="BR71" s="156">
        <v>0.18750000000000003</v>
      </c>
      <c r="BS71" s="156">
        <v>3.1250000000000014E-2</v>
      </c>
      <c r="BT71" s="156">
        <v>0</v>
      </c>
      <c r="BU71" s="156">
        <v>0</v>
      </c>
      <c r="BV71" s="157">
        <v>32</v>
      </c>
      <c r="BW71" s="161">
        <v>0.72222222222222188</v>
      </c>
      <c r="BX71" s="156">
        <v>0.16666666666666671</v>
      </c>
      <c r="BY71" s="156">
        <v>5.5555555555555525E-2</v>
      </c>
      <c r="BZ71" s="156">
        <v>5.5555555555555525E-2</v>
      </c>
      <c r="CA71" s="156">
        <v>0</v>
      </c>
      <c r="CB71" s="157">
        <v>18</v>
      </c>
      <c r="CC71" s="155">
        <v>0.94117647058823461</v>
      </c>
      <c r="CD71" s="156">
        <v>0</v>
      </c>
      <c r="CE71" s="156">
        <v>0</v>
      </c>
      <c r="CF71" s="156">
        <v>0</v>
      </c>
      <c r="CG71" s="156">
        <v>5.8823529411764663E-2</v>
      </c>
      <c r="CH71" s="162">
        <v>17</v>
      </c>
      <c r="CI71" s="155">
        <v>0.74999999999999989</v>
      </c>
      <c r="CJ71" s="156">
        <v>0.125</v>
      </c>
      <c r="CK71" s="156">
        <v>0</v>
      </c>
      <c r="CL71" s="156">
        <v>6.25E-2</v>
      </c>
      <c r="CM71" s="156">
        <v>6.25E-2</v>
      </c>
      <c r="CN71" s="162">
        <v>16</v>
      </c>
      <c r="CO71" s="155">
        <v>0.6</v>
      </c>
      <c r="CP71" s="156">
        <v>0.40000000000000008</v>
      </c>
      <c r="CQ71" s="156">
        <v>0</v>
      </c>
      <c r="CR71" s="156">
        <v>0</v>
      </c>
      <c r="CS71" s="156">
        <v>0</v>
      </c>
      <c r="CT71" s="162">
        <v>10</v>
      </c>
      <c r="CU71" s="155">
        <v>0.54545454545454519</v>
      </c>
      <c r="CV71" s="156">
        <v>0.45454545454545475</v>
      </c>
      <c r="CW71" s="156">
        <v>0</v>
      </c>
      <c r="CX71" s="156">
        <v>0</v>
      </c>
      <c r="CY71" s="156">
        <v>0</v>
      </c>
      <c r="CZ71" s="162">
        <v>11</v>
      </c>
      <c r="DA71" s="155">
        <v>0.66666666666666685</v>
      </c>
      <c r="DB71" s="156">
        <v>0.33333333333333343</v>
      </c>
      <c r="DC71" s="156">
        <v>0</v>
      </c>
      <c r="DD71" s="156">
        <v>0</v>
      </c>
      <c r="DE71" s="156">
        <v>0</v>
      </c>
      <c r="DF71" s="162">
        <v>9</v>
      </c>
      <c r="DG71" s="155">
        <v>0.99999999999999989</v>
      </c>
      <c r="DH71" s="156">
        <v>0</v>
      </c>
      <c r="DI71" s="156">
        <v>0</v>
      </c>
      <c r="DJ71" s="156">
        <v>0</v>
      </c>
      <c r="DK71" s="156">
        <v>0</v>
      </c>
      <c r="DL71" s="162">
        <v>6</v>
      </c>
      <c r="DM71" s="155">
        <v>0.57142857142857129</v>
      </c>
      <c r="DN71" s="156">
        <v>0.42857142857142866</v>
      </c>
      <c r="DO71" s="156">
        <v>0</v>
      </c>
      <c r="DP71" s="156">
        <v>0</v>
      </c>
      <c r="DQ71" s="156">
        <v>0</v>
      </c>
      <c r="DR71" s="162">
        <v>7</v>
      </c>
      <c r="DS71" s="161">
        <v>0.5</v>
      </c>
      <c r="DT71" s="156">
        <v>0.125</v>
      </c>
      <c r="DU71" s="156">
        <v>0</v>
      </c>
      <c r="DV71" s="156">
        <v>0.125</v>
      </c>
      <c r="DW71" s="156">
        <v>0.25</v>
      </c>
      <c r="DX71" s="162">
        <v>8</v>
      </c>
      <c r="DY71" s="155">
        <v>0.86666666666666647</v>
      </c>
      <c r="DZ71" s="156">
        <v>0.13333333333333353</v>
      </c>
      <c r="EA71" s="156">
        <v>0</v>
      </c>
      <c r="EB71" s="156">
        <v>0</v>
      </c>
      <c r="EC71" s="156">
        <v>0</v>
      </c>
      <c r="ED71" s="162">
        <v>30</v>
      </c>
      <c r="EE71" s="155">
        <v>0.82352941176470595</v>
      </c>
      <c r="EF71" s="156">
        <v>0.17647058823529402</v>
      </c>
      <c r="EG71" s="156">
        <v>0</v>
      </c>
      <c r="EH71" s="156">
        <v>0</v>
      </c>
      <c r="EI71" s="156">
        <v>0</v>
      </c>
      <c r="EJ71" s="162">
        <v>17</v>
      </c>
      <c r="EK71" s="155">
        <v>0.8125</v>
      </c>
      <c r="EL71" s="156">
        <v>0.18749999999999997</v>
      </c>
      <c r="EM71" s="156">
        <v>0</v>
      </c>
      <c r="EN71" s="156">
        <v>0</v>
      </c>
      <c r="EO71" s="156">
        <v>0</v>
      </c>
      <c r="EP71" s="162">
        <v>16</v>
      </c>
      <c r="EQ71" s="155">
        <v>0.66666666666666685</v>
      </c>
      <c r="ER71" s="156">
        <v>0.28571428571428564</v>
      </c>
      <c r="ES71" s="156">
        <v>4.7619047619047603E-2</v>
      </c>
      <c r="ET71" s="156">
        <v>0</v>
      </c>
      <c r="EU71" s="156">
        <v>0</v>
      </c>
      <c r="EV71" s="162">
        <v>21</v>
      </c>
      <c r="EW71" s="155">
        <v>0.72727272727272774</v>
      </c>
      <c r="EX71" s="156">
        <v>0.2727272727272726</v>
      </c>
      <c r="EY71" s="156">
        <v>0</v>
      </c>
      <c r="EZ71" s="156">
        <v>0</v>
      </c>
      <c r="FA71" s="156">
        <v>0</v>
      </c>
      <c r="FB71" s="162">
        <v>22</v>
      </c>
      <c r="FC71" s="155">
        <v>0.28571428571428564</v>
      </c>
      <c r="FD71" s="156">
        <v>0.57142857142857129</v>
      </c>
      <c r="FE71" s="156">
        <v>0</v>
      </c>
      <c r="FF71" s="156">
        <v>0</v>
      </c>
      <c r="FG71" s="156">
        <v>0.14285714285714282</v>
      </c>
      <c r="FH71" s="162">
        <v>7</v>
      </c>
      <c r="FI71" s="161">
        <v>0.79999999999999982</v>
      </c>
      <c r="FJ71" s="156">
        <v>0.13333333333333328</v>
      </c>
      <c r="FK71" s="156">
        <v>0</v>
      </c>
      <c r="FL71" s="156">
        <v>6.6666666666666638E-2</v>
      </c>
      <c r="FM71" s="156">
        <v>0</v>
      </c>
      <c r="FN71" s="162">
        <v>15</v>
      </c>
      <c r="FO71" s="155">
        <v>0.40000000000000008</v>
      </c>
      <c r="FP71" s="156">
        <v>0.40000000000000008</v>
      </c>
      <c r="FQ71" s="156">
        <v>0.20000000000000004</v>
      </c>
      <c r="FR71" s="156">
        <v>0</v>
      </c>
      <c r="FS71" s="156">
        <v>0</v>
      </c>
      <c r="FT71" s="162">
        <v>5</v>
      </c>
      <c r="FU71" s="155">
        <v>0</v>
      </c>
      <c r="FV71" s="156">
        <v>0.99999999999999989</v>
      </c>
      <c r="FW71" s="156">
        <v>0</v>
      </c>
      <c r="FX71" s="156">
        <v>0</v>
      </c>
      <c r="FY71" s="156">
        <v>0</v>
      </c>
      <c r="FZ71" s="162">
        <v>3</v>
      </c>
      <c r="GA71" s="161">
        <v>0.25</v>
      </c>
      <c r="GB71" s="156">
        <v>0.74999999999999989</v>
      </c>
      <c r="GC71" s="156">
        <v>0</v>
      </c>
      <c r="GD71" s="156">
        <v>0</v>
      </c>
      <c r="GE71" s="156">
        <v>0</v>
      </c>
      <c r="GF71" s="162">
        <v>4</v>
      </c>
      <c r="GG71" s="158">
        <v>9.5000000000000053</v>
      </c>
      <c r="GH71" s="162">
        <v>30</v>
      </c>
      <c r="GI71" s="155">
        <v>0.90625000000000011</v>
      </c>
      <c r="GJ71" s="156">
        <v>3.1250000000000014E-2</v>
      </c>
      <c r="GK71" s="156">
        <v>6.2500000000000028E-2</v>
      </c>
      <c r="GL71" s="156">
        <v>0</v>
      </c>
      <c r="GM71" s="156">
        <v>0</v>
      </c>
      <c r="GN71" s="162">
        <v>32</v>
      </c>
      <c r="GO71" s="155">
        <v>0.32258064516129054</v>
      </c>
      <c r="GP71" s="156">
        <v>0.48387096774193589</v>
      </c>
      <c r="GQ71" s="156">
        <v>3.2258064516129031E-2</v>
      </c>
      <c r="GR71" s="156">
        <v>0.25806451612903225</v>
      </c>
      <c r="GS71" s="162">
        <v>31</v>
      </c>
      <c r="GT71" s="163">
        <v>2.1034482758620703</v>
      </c>
      <c r="GU71" s="162">
        <v>29</v>
      </c>
      <c r="GV71" s="155">
        <v>0.57142857142857129</v>
      </c>
      <c r="GW71" s="156">
        <v>0.42857142857142866</v>
      </c>
      <c r="GX71" s="162">
        <v>7</v>
      </c>
      <c r="GY71" s="155">
        <v>1</v>
      </c>
      <c r="GZ71" s="156">
        <v>0</v>
      </c>
      <c r="HA71" s="162">
        <v>14</v>
      </c>
      <c r="HB71" s="155">
        <v>0.75862068965517226</v>
      </c>
      <c r="HC71" s="156">
        <v>0.24137931034482782</v>
      </c>
      <c r="HD71" s="162">
        <v>29</v>
      </c>
      <c r="HE71" s="161">
        <v>0.64285714285714235</v>
      </c>
      <c r="HF71" s="156">
        <v>0.35714285714285698</v>
      </c>
      <c r="HG71" s="162">
        <v>14</v>
      </c>
      <c r="HH71" s="155">
        <v>0.42857142857142883</v>
      </c>
      <c r="HI71" s="156">
        <v>0.57142857142857162</v>
      </c>
      <c r="HJ71" s="162">
        <v>28</v>
      </c>
      <c r="HK71" s="155">
        <v>1</v>
      </c>
      <c r="HL71" s="156">
        <v>0</v>
      </c>
      <c r="HM71" s="162">
        <v>28</v>
      </c>
      <c r="HN71" s="161">
        <v>0</v>
      </c>
      <c r="HO71" s="156">
        <v>4.0000000000000008E-2</v>
      </c>
      <c r="HP71" s="156">
        <v>0.32000000000000006</v>
      </c>
      <c r="HQ71" s="156">
        <v>0.3600000000000001</v>
      </c>
      <c r="HR71" s="156">
        <v>0.28000000000000003</v>
      </c>
      <c r="HS71" s="160">
        <v>66.240000000000023</v>
      </c>
      <c r="HT71" s="164">
        <v>25</v>
      </c>
      <c r="HU71" s="165">
        <v>3.7037037037037035E-2</v>
      </c>
      <c r="HV71" s="166">
        <v>7.407407407407407E-2</v>
      </c>
      <c r="HW71" s="166">
        <v>7.407407407407407E-2</v>
      </c>
      <c r="HX71" s="166">
        <v>3.7037037037037035E-2</v>
      </c>
      <c r="HY71" s="166">
        <v>0.1111111111111111</v>
      </c>
      <c r="HZ71" s="166">
        <v>0.1111111111111111</v>
      </c>
      <c r="IA71" s="166">
        <v>0.44444444444444442</v>
      </c>
      <c r="IB71" s="166">
        <v>3.7037037037037035E-2</v>
      </c>
      <c r="IC71" s="166">
        <v>7.407407407407407E-2</v>
      </c>
      <c r="ID71" s="166">
        <v>0</v>
      </c>
      <c r="IE71" s="167">
        <v>27</v>
      </c>
      <c r="IF71" s="155">
        <v>0</v>
      </c>
      <c r="IG71" s="156">
        <v>0</v>
      </c>
      <c r="IH71" s="156">
        <v>0</v>
      </c>
      <c r="II71" s="156">
        <v>0</v>
      </c>
      <c r="IJ71" s="156">
        <v>0</v>
      </c>
      <c r="IK71" s="162">
        <v>0</v>
      </c>
      <c r="IL71" s="155">
        <v>0</v>
      </c>
      <c r="IM71" s="156">
        <v>0</v>
      </c>
      <c r="IN71" s="156">
        <v>3.3333333333333381E-2</v>
      </c>
      <c r="IO71" s="156">
        <v>0.93333333333333368</v>
      </c>
      <c r="IP71" s="156">
        <v>3.3333333333333381E-2</v>
      </c>
      <c r="IQ71" s="162">
        <v>30</v>
      </c>
      <c r="IR71" s="155">
        <v>0.17857142857142874</v>
      </c>
      <c r="IS71" s="156">
        <v>0.82142857142857184</v>
      </c>
      <c r="IT71" s="162">
        <v>28</v>
      </c>
      <c r="IU71" s="161">
        <v>0</v>
      </c>
      <c r="IV71" s="156">
        <v>0.20000000000000004</v>
      </c>
      <c r="IW71" s="156">
        <v>0.80000000000000016</v>
      </c>
      <c r="IX71" s="162">
        <v>5</v>
      </c>
    </row>
    <row r="72" spans="1:258" ht="32.1" customHeight="1" x14ac:dyDescent="0.25">
      <c r="A72" s="110" t="s">
        <v>516</v>
      </c>
      <c r="B72" s="108" t="s">
        <v>516</v>
      </c>
      <c r="C72" s="108" t="s">
        <v>454</v>
      </c>
      <c r="D72" s="109">
        <v>214</v>
      </c>
      <c r="E72" s="139" t="s">
        <v>521</v>
      </c>
      <c r="F72" s="155">
        <v>0.4193548387096781</v>
      </c>
      <c r="G72" s="156">
        <v>0.58064516129032295</v>
      </c>
      <c r="H72" s="157">
        <v>62</v>
      </c>
      <c r="I72" s="155">
        <v>0.85714285714285765</v>
      </c>
      <c r="J72" s="156">
        <v>0.14285714285714282</v>
      </c>
      <c r="K72" s="157">
        <v>35</v>
      </c>
      <c r="L72" s="155">
        <v>0.42857142857142866</v>
      </c>
      <c r="M72" s="156">
        <v>0.57142857142857117</v>
      </c>
      <c r="N72" s="157">
        <v>28</v>
      </c>
      <c r="O72" s="155">
        <v>0.3492063492063493</v>
      </c>
      <c r="P72" s="156">
        <v>0.12698412698412723</v>
      </c>
      <c r="Q72" s="156">
        <v>0.39682539682539791</v>
      </c>
      <c r="R72" s="156">
        <v>1.5873015873015903E-2</v>
      </c>
      <c r="S72" s="156">
        <v>0.23809523809523866</v>
      </c>
      <c r="T72" s="156">
        <v>0</v>
      </c>
      <c r="U72" s="156">
        <v>0.12698412698412723</v>
      </c>
      <c r="V72" s="156">
        <v>0.14285714285714307</v>
      </c>
      <c r="W72" s="156">
        <v>4.7619047619047755E-2</v>
      </c>
      <c r="X72" s="156">
        <v>7.936507936507943E-2</v>
      </c>
      <c r="Y72" s="157">
        <v>63</v>
      </c>
      <c r="Z72" s="155">
        <v>0.82258064516128993</v>
      </c>
      <c r="AA72" s="156">
        <v>0.77419354838709653</v>
      </c>
      <c r="AB72" s="156">
        <v>0.46774193548387183</v>
      </c>
      <c r="AC72" s="156">
        <v>0.6290322580645169</v>
      </c>
      <c r="AD72" s="156">
        <v>8.0645161290322689E-2</v>
      </c>
      <c r="AE72" s="156">
        <v>1.6129032258064523E-2</v>
      </c>
      <c r="AF72" s="157">
        <v>62</v>
      </c>
      <c r="AG72" s="158">
        <v>9.7213114754098431</v>
      </c>
      <c r="AH72" s="159">
        <v>61</v>
      </c>
      <c r="AI72" s="160">
        <v>9.9180327868852629</v>
      </c>
      <c r="AJ72" s="159">
        <v>61</v>
      </c>
      <c r="AK72" s="160">
        <v>9.9152542372881527</v>
      </c>
      <c r="AL72" s="157">
        <v>59</v>
      </c>
      <c r="AM72" s="155">
        <v>0.59016393442623094</v>
      </c>
      <c r="AN72" s="156">
        <v>0.29508196721311547</v>
      </c>
      <c r="AO72" s="156">
        <v>4.9180327868852493E-2</v>
      </c>
      <c r="AP72" s="156">
        <v>6.5573770491803324E-2</v>
      </c>
      <c r="AQ72" s="156">
        <v>0</v>
      </c>
      <c r="AR72" s="157">
        <v>61</v>
      </c>
      <c r="AS72" s="155">
        <v>0.85714285714285654</v>
      </c>
      <c r="AT72" s="156">
        <v>0.1111111111111112</v>
      </c>
      <c r="AU72" s="156">
        <v>3.1746031746031828E-2</v>
      </c>
      <c r="AV72" s="156">
        <v>0</v>
      </c>
      <c r="AW72" s="156">
        <v>0</v>
      </c>
      <c r="AX72" s="157">
        <v>63</v>
      </c>
      <c r="AY72" s="155">
        <v>0.9344262295081982</v>
      </c>
      <c r="AZ72" s="156">
        <v>6.5573770491803324E-2</v>
      </c>
      <c r="BA72" s="156">
        <v>0</v>
      </c>
      <c r="BB72" s="156">
        <v>0</v>
      </c>
      <c r="BC72" s="156">
        <v>0</v>
      </c>
      <c r="BD72" s="157">
        <v>61</v>
      </c>
      <c r="BE72" s="155">
        <v>0.95161290322580561</v>
      </c>
      <c r="BF72" s="156">
        <v>4.8387096774193644E-2</v>
      </c>
      <c r="BG72" s="156">
        <v>0</v>
      </c>
      <c r="BH72" s="156">
        <v>0</v>
      </c>
      <c r="BI72" s="156">
        <v>0</v>
      </c>
      <c r="BJ72" s="157">
        <v>62</v>
      </c>
      <c r="BK72" s="155">
        <v>0.81666666666666698</v>
      </c>
      <c r="BL72" s="156">
        <v>0.16666666666666713</v>
      </c>
      <c r="BM72" s="156">
        <v>1.6666666666666705E-2</v>
      </c>
      <c r="BN72" s="156">
        <v>0</v>
      </c>
      <c r="BO72" s="156">
        <v>0</v>
      </c>
      <c r="BP72" s="157">
        <v>60</v>
      </c>
      <c r="BQ72" s="155">
        <v>0.92063492063492058</v>
      </c>
      <c r="BR72" s="156">
        <v>6.3492063492063655E-2</v>
      </c>
      <c r="BS72" s="156">
        <v>0</v>
      </c>
      <c r="BT72" s="156">
        <v>1.5873015873015914E-2</v>
      </c>
      <c r="BU72" s="156">
        <v>0</v>
      </c>
      <c r="BV72" s="157">
        <v>63</v>
      </c>
      <c r="BW72" s="161">
        <v>0.79245283018867962</v>
      </c>
      <c r="BX72" s="156">
        <v>0.16981132075471705</v>
      </c>
      <c r="BY72" s="156">
        <v>3.7735849056603842E-2</v>
      </c>
      <c r="BZ72" s="156">
        <v>0</v>
      </c>
      <c r="CA72" s="156">
        <v>0</v>
      </c>
      <c r="CB72" s="157">
        <v>53</v>
      </c>
      <c r="CC72" s="155">
        <v>0.80555555555555647</v>
      </c>
      <c r="CD72" s="156">
        <v>0.19444444444444436</v>
      </c>
      <c r="CE72" s="156">
        <v>0</v>
      </c>
      <c r="CF72" s="156">
        <v>0</v>
      </c>
      <c r="CG72" s="156">
        <v>0</v>
      </c>
      <c r="CH72" s="162">
        <v>36</v>
      </c>
      <c r="CI72" s="155">
        <v>0.75862068965517226</v>
      </c>
      <c r="CJ72" s="156">
        <v>0.2068965517241379</v>
      </c>
      <c r="CK72" s="156">
        <v>3.4482758620689613E-2</v>
      </c>
      <c r="CL72" s="156">
        <v>0</v>
      </c>
      <c r="CM72" s="156">
        <v>0</v>
      </c>
      <c r="CN72" s="162">
        <v>29</v>
      </c>
      <c r="CO72" s="155">
        <v>0.64285714285714302</v>
      </c>
      <c r="CP72" s="156">
        <v>0.3333333333333332</v>
      </c>
      <c r="CQ72" s="156">
        <v>2.3809523809523805E-2</v>
      </c>
      <c r="CR72" s="156">
        <v>0</v>
      </c>
      <c r="CS72" s="156">
        <v>0</v>
      </c>
      <c r="CT72" s="162">
        <v>42</v>
      </c>
      <c r="CU72" s="155">
        <v>0.66666666666666641</v>
      </c>
      <c r="CV72" s="156">
        <v>0.2857142857142862</v>
      </c>
      <c r="CW72" s="156">
        <v>4.7619047619047609E-2</v>
      </c>
      <c r="CX72" s="156">
        <v>0</v>
      </c>
      <c r="CY72" s="156">
        <v>0</v>
      </c>
      <c r="CZ72" s="162">
        <v>42</v>
      </c>
      <c r="DA72" s="155">
        <v>0.69230769230769185</v>
      </c>
      <c r="DB72" s="156">
        <v>0.23076923076923087</v>
      </c>
      <c r="DC72" s="156">
        <v>7.692307692307683E-2</v>
      </c>
      <c r="DD72" s="156">
        <v>0</v>
      </c>
      <c r="DE72" s="156">
        <v>0</v>
      </c>
      <c r="DF72" s="162">
        <v>26</v>
      </c>
      <c r="DG72" s="155">
        <v>0.68</v>
      </c>
      <c r="DH72" s="156">
        <v>0.23999999999999996</v>
      </c>
      <c r="DI72" s="156">
        <v>7.9999999999999988E-2</v>
      </c>
      <c r="DJ72" s="156">
        <v>0</v>
      </c>
      <c r="DK72" s="156">
        <v>0</v>
      </c>
      <c r="DL72" s="162">
        <v>25</v>
      </c>
      <c r="DM72" s="155">
        <v>0.73913043478260898</v>
      </c>
      <c r="DN72" s="156">
        <v>0.1304347826086954</v>
      </c>
      <c r="DO72" s="156">
        <v>8.6956521739130446E-2</v>
      </c>
      <c r="DP72" s="156">
        <v>4.3478260869565223E-2</v>
      </c>
      <c r="DQ72" s="156">
        <v>0</v>
      </c>
      <c r="DR72" s="162">
        <v>23</v>
      </c>
      <c r="DS72" s="161">
        <v>0.56521739130434856</v>
      </c>
      <c r="DT72" s="156">
        <v>0.21739130434782589</v>
      </c>
      <c r="DU72" s="156">
        <v>0.1304347826086954</v>
      </c>
      <c r="DV72" s="156">
        <v>8.6956521739130446E-2</v>
      </c>
      <c r="DW72" s="156">
        <v>0</v>
      </c>
      <c r="DX72" s="162">
        <v>23</v>
      </c>
      <c r="DY72" s="155">
        <v>0.95</v>
      </c>
      <c r="DZ72" s="156">
        <v>5.0000000000000017E-2</v>
      </c>
      <c r="EA72" s="156">
        <v>0</v>
      </c>
      <c r="EB72" s="156">
        <v>0</v>
      </c>
      <c r="EC72" s="156">
        <v>0</v>
      </c>
      <c r="ED72" s="162">
        <v>60</v>
      </c>
      <c r="EE72" s="155">
        <v>0.875</v>
      </c>
      <c r="EF72" s="156">
        <v>0.12499999999999999</v>
      </c>
      <c r="EG72" s="156">
        <v>0</v>
      </c>
      <c r="EH72" s="156">
        <v>0</v>
      </c>
      <c r="EI72" s="156">
        <v>0</v>
      </c>
      <c r="EJ72" s="162">
        <v>24</v>
      </c>
      <c r="EK72" s="155">
        <v>0.85185185185185208</v>
      </c>
      <c r="EL72" s="156">
        <v>0.14814814814814803</v>
      </c>
      <c r="EM72" s="156">
        <v>0</v>
      </c>
      <c r="EN72" s="156">
        <v>0</v>
      </c>
      <c r="EO72" s="156">
        <v>0</v>
      </c>
      <c r="EP72" s="162">
        <v>27</v>
      </c>
      <c r="EQ72" s="155">
        <v>0.81818181818181912</v>
      </c>
      <c r="ER72" s="156">
        <v>0.13636363636363635</v>
      </c>
      <c r="ES72" s="156">
        <v>2.2727272727272773E-2</v>
      </c>
      <c r="ET72" s="156">
        <v>2.2727272727272773E-2</v>
      </c>
      <c r="EU72" s="156">
        <v>0</v>
      </c>
      <c r="EV72" s="162">
        <v>44</v>
      </c>
      <c r="EW72" s="155">
        <v>0.90909090909090973</v>
      </c>
      <c r="EX72" s="156">
        <v>6.8181818181818163E-2</v>
      </c>
      <c r="EY72" s="156">
        <v>0</v>
      </c>
      <c r="EZ72" s="156">
        <v>2.2727272727272773E-2</v>
      </c>
      <c r="FA72" s="156">
        <v>0</v>
      </c>
      <c r="FB72" s="162">
        <v>44</v>
      </c>
      <c r="FC72" s="155">
        <v>0.66666666666666619</v>
      </c>
      <c r="FD72" s="156">
        <v>0.22222222222222193</v>
      </c>
      <c r="FE72" s="156">
        <v>0.11111111111111097</v>
      </c>
      <c r="FF72" s="156">
        <v>0</v>
      </c>
      <c r="FG72" s="156">
        <v>0</v>
      </c>
      <c r="FH72" s="162">
        <v>9</v>
      </c>
      <c r="FI72" s="161">
        <v>0.76923076923077038</v>
      </c>
      <c r="FJ72" s="156">
        <v>7.692307692307683E-2</v>
      </c>
      <c r="FK72" s="156">
        <v>7.692307692307683E-2</v>
      </c>
      <c r="FL72" s="156">
        <v>7.692307692307683E-2</v>
      </c>
      <c r="FM72" s="156">
        <v>0</v>
      </c>
      <c r="FN72" s="162">
        <v>13</v>
      </c>
      <c r="FO72" s="155">
        <v>0.81818181818181901</v>
      </c>
      <c r="FP72" s="156">
        <v>0.18181818181818166</v>
      </c>
      <c r="FQ72" s="156">
        <v>0</v>
      </c>
      <c r="FR72" s="156">
        <v>0</v>
      </c>
      <c r="FS72" s="156">
        <v>0</v>
      </c>
      <c r="FT72" s="162">
        <v>11</v>
      </c>
      <c r="FU72" s="155">
        <v>0.66666666666666619</v>
      </c>
      <c r="FV72" s="156">
        <v>0.22222222222222193</v>
      </c>
      <c r="FW72" s="156">
        <v>0.11111111111111097</v>
      </c>
      <c r="FX72" s="156">
        <v>0</v>
      </c>
      <c r="FY72" s="156">
        <v>0</v>
      </c>
      <c r="FZ72" s="162">
        <v>9</v>
      </c>
      <c r="GA72" s="161">
        <v>0.69999999999999984</v>
      </c>
      <c r="GB72" s="156">
        <v>0.19999999999999996</v>
      </c>
      <c r="GC72" s="156">
        <v>9.9999999999999978E-2</v>
      </c>
      <c r="GD72" s="156">
        <v>0</v>
      </c>
      <c r="GE72" s="156">
        <v>0</v>
      </c>
      <c r="GF72" s="162">
        <v>10</v>
      </c>
      <c r="GG72" s="158">
        <v>9.616666666666676</v>
      </c>
      <c r="GH72" s="162">
        <v>60</v>
      </c>
      <c r="GI72" s="155">
        <v>0.88333333333333297</v>
      </c>
      <c r="GJ72" s="156">
        <v>8.3333333333333565E-2</v>
      </c>
      <c r="GK72" s="156">
        <v>1.6666666666666705E-2</v>
      </c>
      <c r="GL72" s="156">
        <v>1.6666666666666705E-2</v>
      </c>
      <c r="GM72" s="156">
        <v>0</v>
      </c>
      <c r="GN72" s="162">
        <v>60</v>
      </c>
      <c r="GO72" s="155">
        <v>0.70491803278688547</v>
      </c>
      <c r="GP72" s="156">
        <v>0.18032786885245913</v>
      </c>
      <c r="GQ72" s="156">
        <v>6.5573770491803365E-2</v>
      </c>
      <c r="GR72" s="156">
        <v>0.11475409836065603</v>
      </c>
      <c r="GS72" s="162">
        <v>61</v>
      </c>
      <c r="GT72" s="163">
        <v>3.1694915254237297</v>
      </c>
      <c r="GU72" s="162">
        <v>59</v>
      </c>
      <c r="GV72" s="155">
        <v>0.96</v>
      </c>
      <c r="GW72" s="156">
        <v>3.9999999999999994E-2</v>
      </c>
      <c r="GX72" s="162">
        <v>25</v>
      </c>
      <c r="GY72" s="155">
        <v>0.9166666666666673</v>
      </c>
      <c r="GZ72" s="156">
        <v>8.3333333333333287E-2</v>
      </c>
      <c r="HA72" s="162">
        <v>36</v>
      </c>
      <c r="HB72" s="155">
        <v>0.93478260869565089</v>
      </c>
      <c r="HC72" s="156">
        <v>6.5217391304347935E-2</v>
      </c>
      <c r="HD72" s="162">
        <v>46</v>
      </c>
      <c r="HE72" s="161">
        <v>1</v>
      </c>
      <c r="HF72" s="156">
        <v>0</v>
      </c>
      <c r="HG72" s="162">
        <v>36</v>
      </c>
      <c r="HH72" s="155">
        <v>0.59677419354838668</v>
      </c>
      <c r="HI72" s="156">
        <v>0.4032258064516141</v>
      </c>
      <c r="HJ72" s="162">
        <v>62</v>
      </c>
      <c r="HK72" s="155">
        <v>1</v>
      </c>
      <c r="HL72" s="156">
        <v>0</v>
      </c>
      <c r="HM72" s="162">
        <v>56</v>
      </c>
      <c r="HN72" s="161">
        <v>0.169491525423729</v>
      </c>
      <c r="HO72" s="156">
        <v>0.20338983050847467</v>
      </c>
      <c r="HP72" s="156">
        <v>0.28813559322033988</v>
      </c>
      <c r="HQ72" s="156">
        <v>0.22033898305084759</v>
      </c>
      <c r="HR72" s="156">
        <v>0.11864406779661037</v>
      </c>
      <c r="HS72" s="160">
        <v>51.084745762711911</v>
      </c>
      <c r="HT72" s="164">
        <v>59</v>
      </c>
      <c r="HU72" s="165">
        <v>5.2631578947368418E-2</v>
      </c>
      <c r="HV72" s="166">
        <v>7.0175438596491224E-2</v>
      </c>
      <c r="HW72" s="166">
        <v>5.2631578947368418E-2</v>
      </c>
      <c r="HX72" s="166">
        <v>7.0175438596491224E-2</v>
      </c>
      <c r="HY72" s="166">
        <v>0.10526315789473684</v>
      </c>
      <c r="HZ72" s="166">
        <v>3.5087719298245612E-2</v>
      </c>
      <c r="IA72" s="166">
        <v>7.0175438596491224E-2</v>
      </c>
      <c r="IB72" s="166">
        <v>0.14035087719298245</v>
      </c>
      <c r="IC72" s="166">
        <v>0.22807017543859648</v>
      </c>
      <c r="ID72" s="166">
        <v>0.17543859649122806</v>
      </c>
      <c r="IE72" s="167">
        <v>57</v>
      </c>
      <c r="IF72" s="155">
        <v>0</v>
      </c>
      <c r="IG72" s="156">
        <v>0</v>
      </c>
      <c r="IH72" s="156">
        <v>0</v>
      </c>
      <c r="II72" s="156">
        <v>0</v>
      </c>
      <c r="IJ72" s="156">
        <v>1</v>
      </c>
      <c r="IK72" s="162">
        <v>2</v>
      </c>
      <c r="IL72" s="155">
        <v>0</v>
      </c>
      <c r="IM72" s="156">
        <v>0</v>
      </c>
      <c r="IN72" s="156">
        <v>0</v>
      </c>
      <c r="IO72" s="156">
        <v>1</v>
      </c>
      <c r="IP72" s="156">
        <v>0</v>
      </c>
      <c r="IQ72" s="162">
        <v>61</v>
      </c>
      <c r="IR72" s="155">
        <v>0.11666666666666665</v>
      </c>
      <c r="IS72" s="156">
        <v>0.88333333333333297</v>
      </c>
      <c r="IT72" s="162">
        <v>60</v>
      </c>
      <c r="IU72" s="161">
        <v>0</v>
      </c>
      <c r="IV72" s="156">
        <v>0.14285714285714282</v>
      </c>
      <c r="IW72" s="156">
        <v>0.85714285714285698</v>
      </c>
      <c r="IX72" s="162">
        <v>7</v>
      </c>
    </row>
    <row r="73" spans="1:258" ht="32.1" customHeight="1" x14ac:dyDescent="0.25">
      <c r="A73" s="110" t="s">
        <v>516</v>
      </c>
      <c r="B73" s="108" t="s">
        <v>516</v>
      </c>
      <c r="C73" s="108" t="s">
        <v>454</v>
      </c>
      <c r="D73" s="109">
        <v>216</v>
      </c>
      <c r="E73" s="139" t="s">
        <v>522</v>
      </c>
      <c r="F73" s="155">
        <v>0.24242424242424246</v>
      </c>
      <c r="G73" s="156">
        <v>0.7575757575757579</v>
      </c>
      <c r="H73" s="157">
        <v>33</v>
      </c>
      <c r="I73" s="155">
        <v>0.82608695652173936</v>
      </c>
      <c r="J73" s="156">
        <v>0.17391304347826078</v>
      </c>
      <c r="K73" s="157">
        <v>23</v>
      </c>
      <c r="L73" s="155">
        <v>0.63157894736842091</v>
      </c>
      <c r="M73" s="156">
        <v>0.36842105263157904</v>
      </c>
      <c r="N73" s="157">
        <v>19</v>
      </c>
      <c r="O73" s="155">
        <v>0.17647058823529416</v>
      </c>
      <c r="P73" s="156">
        <v>0.20588235294117657</v>
      </c>
      <c r="Q73" s="156">
        <v>0.41176470588235314</v>
      </c>
      <c r="R73" s="156">
        <v>0</v>
      </c>
      <c r="S73" s="156">
        <v>0.35294117647058831</v>
      </c>
      <c r="T73" s="156">
        <v>0</v>
      </c>
      <c r="U73" s="156">
        <v>0.11764705882352941</v>
      </c>
      <c r="V73" s="156">
        <v>5.8823529411764705E-2</v>
      </c>
      <c r="W73" s="156">
        <v>8.8235294117647078E-2</v>
      </c>
      <c r="X73" s="156">
        <v>0.11764705882352941</v>
      </c>
      <c r="Y73" s="157">
        <v>34</v>
      </c>
      <c r="Z73" s="155">
        <v>0.6000000000000002</v>
      </c>
      <c r="AA73" s="156">
        <v>0.63333333333333297</v>
      </c>
      <c r="AB73" s="156">
        <v>0.33333333333333343</v>
      </c>
      <c r="AC73" s="156">
        <v>0.40000000000000019</v>
      </c>
      <c r="AD73" s="156">
        <v>0</v>
      </c>
      <c r="AE73" s="156">
        <v>6.666666666666668E-2</v>
      </c>
      <c r="AF73" s="157">
        <v>30</v>
      </c>
      <c r="AG73" s="158">
        <v>9.8181818181818148</v>
      </c>
      <c r="AH73" s="159">
        <v>33</v>
      </c>
      <c r="AI73" s="160">
        <v>9.9090909090909154</v>
      </c>
      <c r="AJ73" s="159">
        <v>33</v>
      </c>
      <c r="AK73" s="160">
        <v>9.8709677419354858</v>
      </c>
      <c r="AL73" s="157">
        <v>31</v>
      </c>
      <c r="AM73" s="155">
        <v>0.73333333333333339</v>
      </c>
      <c r="AN73" s="156">
        <v>0.23333333333333342</v>
      </c>
      <c r="AO73" s="156">
        <v>0</v>
      </c>
      <c r="AP73" s="156">
        <v>3.3333333333333319E-2</v>
      </c>
      <c r="AQ73" s="156">
        <v>0</v>
      </c>
      <c r="AR73" s="157">
        <v>30</v>
      </c>
      <c r="AS73" s="155">
        <v>0.76470588235294135</v>
      </c>
      <c r="AT73" s="156">
        <v>0.23529411764705865</v>
      </c>
      <c r="AU73" s="156">
        <v>0</v>
      </c>
      <c r="AV73" s="156">
        <v>0</v>
      </c>
      <c r="AW73" s="156">
        <v>0</v>
      </c>
      <c r="AX73" s="157">
        <v>34</v>
      </c>
      <c r="AY73" s="155">
        <v>0.54545454545454519</v>
      </c>
      <c r="AZ73" s="156">
        <v>0.33333333333333337</v>
      </c>
      <c r="BA73" s="156">
        <v>6.0606060606060615E-2</v>
      </c>
      <c r="BB73" s="156">
        <v>6.0606060606060615E-2</v>
      </c>
      <c r="BC73" s="156">
        <v>0</v>
      </c>
      <c r="BD73" s="157">
        <v>33</v>
      </c>
      <c r="BE73" s="155">
        <v>0.70588235294117618</v>
      </c>
      <c r="BF73" s="156">
        <v>0.29411764705882343</v>
      </c>
      <c r="BG73" s="156">
        <v>0</v>
      </c>
      <c r="BH73" s="156">
        <v>0</v>
      </c>
      <c r="BI73" s="156">
        <v>0</v>
      </c>
      <c r="BJ73" s="157">
        <v>34</v>
      </c>
      <c r="BK73" s="155">
        <v>0.74074074074074081</v>
      </c>
      <c r="BL73" s="156">
        <v>0.1851851851851852</v>
      </c>
      <c r="BM73" s="156">
        <v>7.4074074074074125E-2</v>
      </c>
      <c r="BN73" s="156">
        <v>0</v>
      </c>
      <c r="BO73" s="156">
        <v>0</v>
      </c>
      <c r="BP73" s="157">
        <v>27</v>
      </c>
      <c r="BQ73" s="155">
        <v>0.79411764705882393</v>
      </c>
      <c r="BR73" s="156">
        <v>0.17647058823529405</v>
      </c>
      <c r="BS73" s="156">
        <v>2.9411764705882332E-2</v>
      </c>
      <c r="BT73" s="156">
        <v>0</v>
      </c>
      <c r="BU73" s="156">
        <v>0</v>
      </c>
      <c r="BV73" s="157">
        <v>34</v>
      </c>
      <c r="BW73" s="161">
        <v>0.6875</v>
      </c>
      <c r="BX73" s="156">
        <v>0.25</v>
      </c>
      <c r="BY73" s="156">
        <v>6.25E-2</v>
      </c>
      <c r="BZ73" s="156">
        <v>0</v>
      </c>
      <c r="CA73" s="156">
        <v>0</v>
      </c>
      <c r="CB73" s="157">
        <v>16</v>
      </c>
      <c r="CC73" s="155">
        <v>0.93333333333333368</v>
      </c>
      <c r="CD73" s="156">
        <v>6.6666666666666638E-2</v>
      </c>
      <c r="CE73" s="156">
        <v>0</v>
      </c>
      <c r="CF73" s="156">
        <v>0</v>
      </c>
      <c r="CG73" s="156">
        <v>0</v>
      </c>
      <c r="CH73" s="162">
        <v>15</v>
      </c>
      <c r="CI73" s="155">
        <v>0.5333333333333331</v>
      </c>
      <c r="CJ73" s="156">
        <v>0.4</v>
      </c>
      <c r="CK73" s="156">
        <v>6.6666666666666638E-2</v>
      </c>
      <c r="CL73" s="156">
        <v>0</v>
      </c>
      <c r="CM73" s="156">
        <v>0</v>
      </c>
      <c r="CN73" s="162">
        <v>15</v>
      </c>
      <c r="CO73" s="155">
        <v>0.52631578947368385</v>
      </c>
      <c r="CP73" s="156">
        <v>0.36842105263157909</v>
      </c>
      <c r="CQ73" s="156">
        <v>0</v>
      </c>
      <c r="CR73" s="156">
        <v>0.10526315789473685</v>
      </c>
      <c r="CS73" s="156">
        <v>0</v>
      </c>
      <c r="CT73" s="162">
        <v>19</v>
      </c>
      <c r="CU73" s="155">
        <v>0.63157894736842091</v>
      </c>
      <c r="CV73" s="156">
        <v>0.31578947368421045</v>
      </c>
      <c r="CW73" s="156">
        <v>0</v>
      </c>
      <c r="CX73" s="156">
        <v>5.2631578947368425E-2</v>
      </c>
      <c r="CY73" s="156">
        <v>0</v>
      </c>
      <c r="CZ73" s="162">
        <v>19</v>
      </c>
      <c r="DA73" s="155">
        <v>0.4166666666666668</v>
      </c>
      <c r="DB73" s="156">
        <v>0.58333333333333304</v>
      </c>
      <c r="DC73" s="156">
        <v>0</v>
      </c>
      <c r="DD73" s="156">
        <v>0</v>
      </c>
      <c r="DE73" s="156">
        <v>0</v>
      </c>
      <c r="DF73" s="162">
        <v>12</v>
      </c>
      <c r="DG73" s="155">
        <v>0.5</v>
      </c>
      <c r="DH73" s="156">
        <v>0.5</v>
      </c>
      <c r="DI73" s="156">
        <v>0</v>
      </c>
      <c r="DJ73" s="156">
        <v>0</v>
      </c>
      <c r="DK73" s="156">
        <v>0</v>
      </c>
      <c r="DL73" s="162">
        <v>8</v>
      </c>
      <c r="DM73" s="155">
        <v>0.24999999999999997</v>
      </c>
      <c r="DN73" s="156">
        <v>0.5</v>
      </c>
      <c r="DO73" s="156">
        <v>8.3333333333333343E-2</v>
      </c>
      <c r="DP73" s="156">
        <v>8.3333333333333343E-2</v>
      </c>
      <c r="DQ73" s="156">
        <v>8.3333333333333343E-2</v>
      </c>
      <c r="DR73" s="162">
        <v>12</v>
      </c>
      <c r="DS73" s="161">
        <v>0.83333333333333359</v>
      </c>
      <c r="DT73" s="156">
        <v>0.16666666666666669</v>
      </c>
      <c r="DU73" s="156">
        <v>0</v>
      </c>
      <c r="DV73" s="156">
        <v>0</v>
      </c>
      <c r="DW73" s="156">
        <v>0</v>
      </c>
      <c r="DX73" s="162">
        <v>6</v>
      </c>
      <c r="DY73" s="155">
        <v>0.96969696969696983</v>
      </c>
      <c r="DZ73" s="156">
        <v>3.0303030303030307E-2</v>
      </c>
      <c r="EA73" s="156">
        <v>0</v>
      </c>
      <c r="EB73" s="156">
        <v>0</v>
      </c>
      <c r="EC73" s="156">
        <v>0</v>
      </c>
      <c r="ED73" s="162">
        <v>33</v>
      </c>
      <c r="EE73" s="155">
        <v>0.96</v>
      </c>
      <c r="EF73" s="156">
        <v>3.9999999999999994E-2</v>
      </c>
      <c r="EG73" s="156">
        <v>0</v>
      </c>
      <c r="EH73" s="156">
        <v>0</v>
      </c>
      <c r="EI73" s="156">
        <v>0</v>
      </c>
      <c r="EJ73" s="162">
        <v>25</v>
      </c>
      <c r="EK73" s="155">
        <v>0.94117647058823461</v>
      </c>
      <c r="EL73" s="156">
        <v>5.8823529411764663E-2</v>
      </c>
      <c r="EM73" s="156">
        <v>0</v>
      </c>
      <c r="EN73" s="156">
        <v>0</v>
      </c>
      <c r="EO73" s="156">
        <v>0</v>
      </c>
      <c r="EP73" s="162">
        <v>17</v>
      </c>
      <c r="EQ73" s="155">
        <v>0.875</v>
      </c>
      <c r="ER73" s="156">
        <v>0.12499999999999999</v>
      </c>
      <c r="ES73" s="156">
        <v>0</v>
      </c>
      <c r="ET73" s="156">
        <v>0</v>
      </c>
      <c r="EU73" s="156">
        <v>0</v>
      </c>
      <c r="EV73" s="162">
        <v>24</v>
      </c>
      <c r="EW73" s="155">
        <v>0.86956521739130477</v>
      </c>
      <c r="EX73" s="156">
        <v>0.13043478260869562</v>
      </c>
      <c r="EY73" s="156">
        <v>0</v>
      </c>
      <c r="EZ73" s="156">
        <v>0</v>
      </c>
      <c r="FA73" s="156">
        <v>0</v>
      </c>
      <c r="FB73" s="162">
        <v>23</v>
      </c>
      <c r="FC73" s="155">
        <v>0.66666666666666674</v>
      </c>
      <c r="FD73" s="156">
        <v>0.33333333333333337</v>
      </c>
      <c r="FE73" s="156">
        <v>0</v>
      </c>
      <c r="FF73" s="156">
        <v>0</v>
      </c>
      <c r="FG73" s="156">
        <v>0</v>
      </c>
      <c r="FH73" s="162">
        <v>12</v>
      </c>
      <c r="FI73" s="161">
        <v>0.9</v>
      </c>
      <c r="FJ73" s="156">
        <v>9.9999999999999978E-2</v>
      </c>
      <c r="FK73" s="156">
        <v>0</v>
      </c>
      <c r="FL73" s="156">
        <v>0</v>
      </c>
      <c r="FM73" s="156">
        <v>0</v>
      </c>
      <c r="FN73" s="162">
        <v>10</v>
      </c>
      <c r="FO73" s="155">
        <v>0.49999999999999994</v>
      </c>
      <c r="FP73" s="156">
        <v>0.49999999999999994</v>
      </c>
      <c r="FQ73" s="156">
        <v>0</v>
      </c>
      <c r="FR73" s="156">
        <v>0</v>
      </c>
      <c r="FS73" s="156">
        <v>0</v>
      </c>
      <c r="FT73" s="162">
        <v>6</v>
      </c>
      <c r="FU73" s="155">
        <v>0.625</v>
      </c>
      <c r="FV73" s="156">
        <v>0.375</v>
      </c>
      <c r="FW73" s="156">
        <v>0</v>
      </c>
      <c r="FX73" s="156">
        <v>0</v>
      </c>
      <c r="FY73" s="156">
        <v>0</v>
      </c>
      <c r="FZ73" s="162">
        <v>8</v>
      </c>
      <c r="GA73" s="161">
        <v>0.33333333333333337</v>
      </c>
      <c r="GB73" s="156">
        <v>0.49999999999999994</v>
      </c>
      <c r="GC73" s="156">
        <v>0</v>
      </c>
      <c r="GD73" s="156">
        <v>0.16666666666666669</v>
      </c>
      <c r="GE73" s="156">
        <v>0</v>
      </c>
      <c r="GF73" s="162">
        <v>6</v>
      </c>
      <c r="GG73" s="158">
        <v>9.4838709677419342</v>
      </c>
      <c r="GH73" s="162">
        <v>31</v>
      </c>
      <c r="GI73" s="155">
        <v>0.71875</v>
      </c>
      <c r="GJ73" s="156">
        <v>0.25</v>
      </c>
      <c r="GK73" s="156">
        <v>3.125E-2</v>
      </c>
      <c r="GL73" s="156">
        <v>0</v>
      </c>
      <c r="GM73" s="156">
        <v>0</v>
      </c>
      <c r="GN73" s="162">
        <v>32</v>
      </c>
      <c r="GO73" s="155">
        <v>0.55882352941176461</v>
      </c>
      <c r="GP73" s="156">
        <v>0.32352941176470601</v>
      </c>
      <c r="GQ73" s="156">
        <v>0.11764705882352941</v>
      </c>
      <c r="GR73" s="156">
        <v>0.11764705882352941</v>
      </c>
      <c r="GS73" s="162">
        <v>34</v>
      </c>
      <c r="GT73" s="163">
        <v>2.6060606060606077</v>
      </c>
      <c r="GU73" s="162">
        <v>33</v>
      </c>
      <c r="GV73" s="155">
        <v>0.9166666666666663</v>
      </c>
      <c r="GW73" s="156">
        <v>8.3333333333333343E-2</v>
      </c>
      <c r="GX73" s="162">
        <v>12</v>
      </c>
      <c r="GY73" s="155">
        <v>0.94736842105263219</v>
      </c>
      <c r="GZ73" s="156">
        <v>5.2631578947368425E-2</v>
      </c>
      <c r="HA73" s="162">
        <v>19</v>
      </c>
      <c r="HB73" s="155">
        <v>0.92592592592592593</v>
      </c>
      <c r="HC73" s="156">
        <v>7.4074074074074125E-2</v>
      </c>
      <c r="HD73" s="162">
        <v>27</v>
      </c>
      <c r="HE73" s="161">
        <v>1</v>
      </c>
      <c r="HF73" s="156">
        <v>0</v>
      </c>
      <c r="HG73" s="162">
        <v>18</v>
      </c>
      <c r="HH73" s="155">
        <v>0.5625</v>
      </c>
      <c r="HI73" s="156">
        <v>0.4375</v>
      </c>
      <c r="HJ73" s="162">
        <v>32</v>
      </c>
      <c r="HK73" s="155">
        <v>1</v>
      </c>
      <c r="HL73" s="156">
        <v>0</v>
      </c>
      <c r="HM73" s="162">
        <v>29</v>
      </c>
      <c r="HN73" s="161">
        <v>0.11538461538461542</v>
      </c>
      <c r="HO73" s="156">
        <v>0.15384615384615372</v>
      </c>
      <c r="HP73" s="156">
        <v>0.26923076923076911</v>
      </c>
      <c r="HQ73" s="156">
        <v>0.3461538461538462</v>
      </c>
      <c r="HR73" s="156">
        <v>0.11538461538461542</v>
      </c>
      <c r="HS73" s="160">
        <v>55.346153846153818</v>
      </c>
      <c r="HT73" s="164">
        <v>26</v>
      </c>
      <c r="HU73" s="165">
        <v>7.1428571428571425E-2</v>
      </c>
      <c r="HV73" s="166">
        <v>7.1428571428571425E-2</v>
      </c>
      <c r="HW73" s="166">
        <v>0</v>
      </c>
      <c r="HX73" s="166">
        <v>0.10714285714285714</v>
      </c>
      <c r="HY73" s="166">
        <v>3.5714285714285712E-2</v>
      </c>
      <c r="HZ73" s="166">
        <v>0.10714285714285714</v>
      </c>
      <c r="IA73" s="166">
        <v>0</v>
      </c>
      <c r="IB73" s="166">
        <v>0.14285714285714285</v>
      </c>
      <c r="IC73" s="166">
        <v>0.21428571428571427</v>
      </c>
      <c r="ID73" s="166">
        <v>0.25</v>
      </c>
      <c r="IE73" s="167">
        <v>28</v>
      </c>
      <c r="IF73" s="155">
        <v>0</v>
      </c>
      <c r="IG73" s="156">
        <v>0</v>
      </c>
      <c r="IH73" s="156">
        <v>0</v>
      </c>
      <c r="II73" s="156">
        <v>0</v>
      </c>
      <c r="IJ73" s="156">
        <v>0</v>
      </c>
      <c r="IK73" s="162">
        <v>0</v>
      </c>
      <c r="IL73" s="155">
        <v>0</v>
      </c>
      <c r="IM73" s="156">
        <v>0</v>
      </c>
      <c r="IN73" s="156">
        <v>0</v>
      </c>
      <c r="IO73" s="156">
        <v>1</v>
      </c>
      <c r="IP73" s="156">
        <v>0</v>
      </c>
      <c r="IQ73" s="162">
        <v>29</v>
      </c>
      <c r="IR73" s="155">
        <v>0.13793103448275867</v>
      </c>
      <c r="IS73" s="156">
        <v>0.86206896551724166</v>
      </c>
      <c r="IT73" s="162">
        <v>29</v>
      </c>
      <c r="IU73" s="161">
        <v>0</v>
      </c>
      <c r="IV73" s="156">
        <v>0</v>
      </c>
      <c r="IW73" s="156">
        <v>1</v>
      </c>
      <c r="IX73" s="162">
        <v>4</v>
      </c>
    </row>
    <row r="74" spans="1:258" ht="32.1" customHeight="1" x14ac:dyDescent="0.25">
      <c r="A74" s="110" t="s">
        <v>516</v>
      </c>
      <c r="B74" s="108" t="s">
        <v>516</v>
      </c>
      <c r="C74" s="108" t="s">
        <v>457</v>
      </c>
      <c r="D74" s="109">
        <v>217</v>
      </c>
      <c r="E74" s="139" t="s">
        <v>523</v>
      </c>
      <c r="F74" s="155">
        <v>0.5</v>
      </c>
      <c r="G74" s="156">
        <v>0.5</v>
      </c>
      <c r="H74" s="157">
        <v>4</v>
      </c>
      <c r="I74" s="155">
        <v>1</v>
      </c>
      <c r="J74" s="156">
        <v>0</v>
      </c>
      <c r="K74" s="157">
        <v>2</v>
      </c>
      <c r="L74" s="155">
        <v>0</v>
      </c>
      <c r="M74" s="156">
        <v>1</v>
      </c>
      <c r="N74" s="157">
        <v>2</v>
      </c>
      <c r="O74" s="155">
        <v>0.66666666666666663</v>
      </c>
      <c r="P74" s="156">
        <v>0</v>
      </c>
      <c r="Q74" s="156">
        <v>0</v>
      </c>
      <c r="R74" s="156">
        <v>0</v>
      </c>
      <c r="S74" s="156">
        <v>0</v>
      </c>
      <c r="T74" s="156">
        <v>0</v>
      </c>
      <c r="U74" s="156">
        <v>0</v>
      </c>
      <c r="V74" s="156">
        <v>0.33333333333333331</v>
      </c>
      <c r="W74" s="156">
        <v>0</v>
      </c>
      <c r="X74" s="156">
        <v>0</v>
      </c>
      <c r="Y74" s="157">
        <v>6</v>
      </c>
      <c r="Z74" s="155">
        <v>0.5</v>
      </c>
      <c r="AA74" s="156">
        <v>1</v>
      </c>
      <c r="AB74" s="156">
        <v>0.66666666666666663</v>
      </c>
      <c r="AC74" s="156">
        <v>0.66666666666666663</v>
      </c>
      <c r="AD74" s="156">
        <v>0</v>
      </c>
      <c r="AE74" s="156">
        <v>0</v>
      </c>
      <c r="AF74" s="157">
        <v>6</v>
      </c>
      <c r="AG74" s="158">
        <v>10</v>
      </c>
      <c r="AH74" s="159">
        <v>6</v>
      </c>
      <c r="AI74" s="160">
        <v>10</v>
      </c>
      <c r="AJ74" s="159">
        <v>6</v>
      </c>
      <c r="AK74" s="160">
        <v>10</v>
      </c>
      <c r="AL74" s="157">
        <v>6</v>
      </c>
      <c r="AM74" s="155">
        <v>0.66666666666666674</v>
      </c>
      <c r="AN74" s="156">
        <v>0.33333333333333337</v>
      </c>
      <c r="AO74" s="156">
        <v>0</v>
      </c>
      <c r="AP74" s="156">
        <v>0</v>
      </c>
      <c r="AQ74" s="156">
        <v>0</v>
      </c>
      <c r="AR74" s="157">
        <v>6</v>
      </c>
      <c r="AS74" s="155">
        <v>1</v>
      </c>
      <c r="AT74" s="156">
        <v>0</v>
      </c>
      <c r="AU74" s="156">
        <v>0</v>
      </c>
      <c r="AV74" s="156">
        <v>0</v>
      </c>
      <c r="AW74" s="156">
        <v>0</v>
      </c>
      <c r="AX74" s="157">
        <v>6</v>
      </c>
      <c r="AY74" s="155">
        <v>1</v>
      </c>
      <c r="AZ74" s="156">
        <v>0</v>
      </c>
      <c r="BA74" s="156">
        <v>0</v>
      </c>
      <c r="BB74" s="156">
        <v>0</v>
      </c>
      <c r="BC74" s="156">
        <v>0</v>
      </c>
      <c r="BD74" s="157">
        <v>6</v>
      </c>
      <c r="BE74" s="155">
        <v>1</v>
      </c>
      <c r="BF74" s="156">
        <v>0</v>
      </c>
      <c r="BG74" s="156">
        <v>0</v>
      </c>
      <c r="BH74" s="156">
        <v>0</v>
      </c>
      <c r="BI74" s="156">
        <v>0</v>
      </c>
      <c r="BJ74" s="157">
        <v>6</v>
      </c>
      <c r="BK74" s="155">
        <v>1</v>
      </c>
      <c r="BL74" s="156">
        <v>0</v>
      </c>
      <c r="BM74" s="156">
        <v>0</v>
      </c>
      <c r="BN74" s="156">
        <v>0</v>
      </c>
      <c r="BO74" s="156">
        <v>0</v>
      </c>
      <c r="BP74" s="157">
        <v>6</v>
      </c>
      <c r="BQ74" s="155">
        <v>1</v>
      </c>
      <c r="BR74" s="156">
        <v>0</v>
      </c>
      <c r="BS74" s="156">
        <v>0</v>
      </c>
      <c r="BT74" s="156">
        <v>0</v>
      </c>
      <c r="BU74" s="156">
        <v>0</v>
      </c>
      <c r="BV74" s="157">
        <v>6</v>
      </c>
      <c r="BW74" s="161">
        <v>1</v>
      </c>
      <c r="BX74" s="156">
        <v>0</v>
      </c>
      <c r="BY74" s="156">
        <v>0</v>
      </c>
      <c r="BZ74" s="156">
        <v>0</v>
      </c>
      <c r="CA74" s="156">
        <v>0</v>
      </c>
      <c r="CB74" s="157">
        <v>6</v>
      </c>
      <c r="CC74" s="155">
        <v>1</v>
      </c>
      <c r="CD74" s="156">
        <v>0</v>
      </c>
      <c r="CE74" s="156">
        <v>0</v>
      </c>
      <c r="CF74" s="156">
        <v>0</v>
      </c>
      <c r="CG74" s="156">
        <v>0</v>
      </c>
      <c r="CH74" s="162">
        <v>2</v>
      </c>
      <c r="CI74" s="155">
        <v>0</v>
      </c>
      <c r="CJ74" s="156">
        <v>0</v>
      </c>
      <c r="CK74" s="156">
        <v>0</v>
      </c>
      <c r="CL74" s="156">
        <v>0</v>
      </c>
      <c r="CM74" s="156">
        <v>0</v>
      </c>
      <c r="CN74" s="162">
        <v>0</v>
      </c>
      <c r="CO74" s="155">
        <v>0.5</v>
      </c>
      <c r="CP74" s="156">
        <v>0.5</v>
      </c>
      <c r="CQ74" s="156">
        <v>0</v>
      </c>
      <c r="CR74" s="156">
        <v>0</v>
      </c>
      <c r="CS74" s="156">
        <v>0</v>
      </c>
      <c r="CT74" s="162">
        <v>4</v>
      </c>
      <c r="CU74" s="155">
        <v>0.5</v>
      </c>
      <c r="CV74" s="156">
        <v>0.5</v>
      </c>
      <c r="CW74" s="156">
        <v>0</v>
      </c>
      <c r="CX74" s="156">
        <v>0</v>
      </c>
      <c r="CY74" s="156">
        <v>0</v>
      </c>
      <c r="CZ74" s="162">
        <v>4</v>
      </c>
      <c r="DA74" s="155">
        <v>0</v>
      </c>
      <c r="DB74" s="156">
        <v>1</v>
      </c>
      <c r="DC74" s="156">
        <v>0</v>
      </c>
      <c r="DD74" s="156">
        <v>0</v>
      </c>
      <c r="DE74" s="156">
        <v>0</v>
      </c>
      <c r="DF74" s="162">
        <v>2</v>
      </c>
      <c r="DG74" s="155">
        <v>0</v>
      </c>
      <c r="DH74" s="156">
        <v>1</v>
      </c>
      <c r="DI74" s="156">
        <v>0</v>
      </c>
      <c r="DJ74" s="156">
        <v>0</v>
      </c>
      <c r="DK74" s="156">
        <v>0</v>
      </c>
      <c r="DL74" s="162">
        <v>2</v>
      </c>
      <c r="DM74" s="155">
        <v>1</v>
      </c>
      <c r="DN74" s="156">
        <v>0</v>
      </c>
      <c r="DO74" s="156">
        <v>0</v>
      </c>
      <c r="DP74" s="156">
        <v>0</v>
      </c>
      <c r="DQ74" s="156">
        <v>0</v>
      </c>
      <c r="DR74" s="162">
        <v>2</v>
      </c>
      <c r="DS74" s="161">
        <v>1</v>
      </c>
      <c r="DT74" s="156">
        <v>0</v>
      </c>
      <c r="DU74" s="156">
        <v>0</v>
      </c>
      <c r="DV74" s="156">
        <v>0</v>
      </c>
      <c r="DW74" s="156">
        <v>0</v>
      </c>
      <c r="DX74" s="162">
        <v>2</v>
      </c>
      <c r="DY74" s="155">
        <v>1</v>
      </c>
      <c r="DZ74" s="156">
        <v>0</v>
      </c>
      <c r="EA74" s="156">
        <v>0</v>
      </c>
      <c r="EB74" s="156">
        <v>0</v>
      </c>
      <c r="EC74" s="156">
        <v>0</v>
      </c>
      <c r="ED74" s="162">
        <v>6</v>
      </c>
      <c r="EE74" s="155">
        <v>1</v>
      </c>
      <c r="EF74" s="156">
        <v>0</v>
      </c>
      <c r="EG74" s="156">
        <v>0</v>
      </c>
      <c r="EH74" s="156">
        <v>0</v>
      </c>
      <c r="EI74" s="156">
        <v>0</v>
      </c>
      <c r="EJ74" s="162">
        <v>6</v>
      </c>
      <c r="EK74" s="155">
        <v>1</v>
      </c>
      <c r="EL74" s="156">
        <v>0</v>
      </c>
      <c r="EM74" s="156">
        <v>0</v>
      </c>
      <c r="EN74" s="156">
        <v>0</v>
      </c>
      <c r="EO74" s="156">
        <v>0</v>
      </c>
      <c r="EP74" s="162">
        <v>6</v>
      </c>
      <c r="EQ74" s="155">
        <v>1</v>
      </c>
      <c r="ER74" s="156">
        <v>0</v>
      </c>
      <c r="ES74" s="156">
        <v>0</v>
      </c>
      <c r="ET74" s="156">
        <v>0</v>
      </c>
      <c r="EU74" s="156">
        <v>0</v>
      </c>
      <c r="EV74" s="162">
        <v>6</v>
      </c>
      <c r="EW74" s="155">
        <v>1</v>
      </c>
      <c r="EX74" s="156">
        <v>0</v>
      </c>
      <c r="EY74" s="156">
        <v>0</v>
      </c>
      <c r="EZ74" s="156">
        <v>0</v>
      </c>
      <c r="FA74" s="156">
        <v>0</v>
      </c>
      <c r="FB74" s="162">
        <v>6</v>
      </c>
      <c r="FC74" s="155">
        <v>0</v>
      </c>
      <c r="FD74" s="156">
        <v>0</v>
      </c>
      <c r="FE74" s="156">
        <v>0</v>
      </c>
      <c r="FF74" s="156">
        <v>0</v>
      </c>
      <c r="FG74" s="156">
        <v>0</v>
      </c>
      <c r="FH74" s="162">
        <v>0</v>
      </c>
      <c r="FI74" s="161">
        <v>0</v>
      </c>
      <c r="FJ74" s="156">
        <v>0</v>
      </c>
      <c r="FK74" s="156">
        <v>0</v>
      </c>
      <c r="FL74" s="156">
        <v>0</v>
      </c>
      <c r="FM74" s="156">
        <v>0</v>
      </c>
      <c r="FN74" s="162">
        <v>0</v>
      </c>
      <c r="FO74" s="155">
        <v>0</v>
      </c>
      <c r="FP74" s="156">
        <v>0</v>
      </c>
      <c r="FQ74" s="156">
        <v>0</v>
      </c>
      <c r="FR74" s="156">
        <v>0</v>
      </c>
      <c r="FS74" s="156">
        <v>0</v>
      </c>
      <c r="FT74" s="162">
        <v>0</v>
      </c>
      <c r="FU74" s="155">
        <v>0</v>
      </c>
      <c r="FV74" s="156">
        <v>0</v>
      </c>
      <c r="FW74" s="156">
        <v>0</v>
      </c>
      <c r="FX74" s="156">
        <v>0</v>
      </c>
      <c r="FY74" s="156">
        <v>0</v>
      </c>
      <c r="FZ74" s="162">
        <v>0</v>
      </c>
      <c r="GA74" s="161">
        <v>0</v>
      </c>
      <c r="GB74" s="156">
        <v>0</v>
      </c>
      <c r="GC74" s="156">
        <v>0</v>
      </c>
      <c r="GD74" s="156">
        <v>0</v>
      </c>
      <c r="GE74" s="156">
        <v>0</v>
      </c>
      <c r="GF74" s="162">
        <v>0</v>
      </c>
      <c r="GG74" s="158">
        <v>10</v>
      </c>
      <c r="GH74" s="162">
        <v>6</v>
      </c>
      <c r="GI74" s="155">
        <v>0.33333333333333337</v>
      </c>
      <c r="GJ74" s="156">
        <v>0.33333333333333337</v>
      </c>
      <c r="GK74" s="156">
        <v>0.33333333333333337</v>
      </c>
      <c r="GL74" s="156">
        <v>0</v>
      </c>
      <c r="GM74" s="156">
        <v>0</v>
      </c>
      <c r="GN74" s="162">
        <v>6</v>
      </c>
      <c r="GO74" s="155">
        <v>0</v>
      </c>
      <c r="GP74" s="156">
        <v>0.33333333333333331</v>
      </c>
      <c r="GQ74" s="156">
        <v>0</v>
      </c>
      <c r="GR74" s="156">
        <v>0.66666666666666663</v>
      </c>
      <c r="GS74" s="162">
        <v>6</v>
      </c>
      <c r="GT74" s="163">
        <v>2.5000000000000004</v>
      </c>
      <c r="GU74" s="162">
        <v>6</v>
      </c>
      <c r="GV74" s="155">
        <v>1</v>
      </c>
      <c r="GW74" s="156">
        <v>0</v>
      </c>
      <c r="GX74" s="162">
        <v>2</v>
      </c>
      <c r="GY74" s="155">
        <v>1</v>
      </c>
      <c r="GZ74" s="156">
        <v>0</v>
      </c>
      <c r="HA74" s="162">
        <v>2</v>
      </c>
      <c r="HB74" s="155">
        <v>1</v>
      </c>
      <c r="HC74" s="156">
        <v>0</v>
      </c>
      <c r="HD74" s="162">
        <v>6</v>
      </c>
      <c r="HE74" s="161">
        <v>1</v>
      </c>
      <c r="HF74" s="156">
        <v>0</v>
      </c>
      <c r="HG74" s="162">
        <v>4</v>
      </c>
      <c r="HH74" s="155">
        <v>1</v>
      </c>
      <c r="HI74" s="156">
        <v>0</v>
      </c>
      <c r="HJ74" s="162">
        <v>2</v>
      </c>
      <c r="HK74" s="155">
        <v>1</v>
      </c>
      <c r="HL74" s="156">
        <v>0</v>
      </c>
      <c r="HM74" s="162">
        <v>2</v>
      </c>
      <c r="HN74" s="161">
        <v>0</v>
      </c>
      <c r="HO74" s="156">
        <v>1</v>
      </c>
      <c r="HP74" s="156">
        <v>0</v>
      </c>
      <c r="HQ74" s="156">
        <v>0</v>
      </c>
      <c r="HR74" s="156">
        <v>0</v>
      </c>
      <c r="HS74" s="160">
        <v>35</v>
      </c>
      <c r="HT74" s="164">
        <v>2</v>
      </c>
      <c r="HU74" s="165">
        <v>0</v>
      </c>
      <c r="HV74" s="166">
        <v>0</v>
      </c>
      <c r="HW74" s="166">
        <v>0</v>
      </c>
      <c r="HX74" s="166">
        <v>0</v>
      </c>
      <c r="HY74" s="166">
        <v>0</v>
      </c>
      <c r="HZ74" s="166">
        <v>0</v>
      </c>
      <c r="IA74" s="166">
        <v>1</v>
      </c>
      <c r="IB74" s="166">
        <v>0</v>
      </c>
      <c r="IC74" s="166">
        <v>0</v>
      </c>
      <c r="ID74" s="166">
        <v>0</v>
      </c>
      <c r="IE74" s="167">
        <v>1</v>
      </c>
      <c r="IF74" s="155">
        <v>0</v>
      </c>
      <c r="IG74" s="156">
        <v>0</v>
      </c>
      <c r="IH74" s="156">
        <v>0</v>
      </c>
      <c r="II74" s="156">
        <v>0</v>
      </c>
      <c r="IJ74" s="156">
        <v>0</v>
      </c>
      <c r="IK74" s="162">
        <v>0</v>
      </c>
      <c r="IL74" s="155">
        <v>0</v>
      </c>
      <c r="IM74" s="156">
        <v>0</v>
      </c>
      <c r="IN74" s="156">
        <v>0</v>
      </c>
      <c r="IO74" s="156">
        <v>1</v>
      </c>
      <c r="IP74" s="156">
        <v>0</v>
      </c>
      <c r="IQ74" s="162">
        <v>2</v>
      </c>
      <c r="IR74" s="155">
        <v>0</v>
      </c>
      <c r="IS74" s="156">
        <v>1</v>
      </c>
      <c r="IT74" s="162">
        <v>2</v>
      </c>
      <c r="IU74" s="161">
        <v>0</v>
      </c>
      <c r="IV74" s="156">
        <v>0</v>
      </c>
      <c r="IW74" s="156">
        <v>0</v>
      </c>
      <c r="IX74" s="162">
        <v>0</v>
      </c>
    </row>
    <row r="75" spans="1:258" ht="32.1" customHeight="1" x14ac:dyDescent="0.25">
      <c r="A75" s="110" t="s">
        <v>516</v>
      </c>
      <c r="B75" s="108" t="s">
        <v>516</v>
      </c>
      <c r="C75" s="108" t="s">
        <v>454</v>
      </c>
      <c r="D75" s="109">
        <v>218</v>
      </c>
      <c r="E75" s="139" t="s">
        <v>524</v>
      </c>
      <c r="F75" s="155">
        <v>0.33333333333333348</v>
      </c>
      <c r="G75" s="156">
        <v>0.66666666666666685</v>
      </c>
      <c r="H75" s="157">
        <v>27</v>
      </c>
      <c r="I75" s="155">
        <v>0.83333333333333326</v>
      </c>
      <c r="J75" s="156">
        <v>0.1666666666666668</v>
      </c>
      <c r="K75" s="157">
        <v>18</v>
      </c>
      <c r="L75" s="155">
        <v>0.53333333333333366</v>
      </c>
      <c r="M75" s="156">
        <v>0.46666666666666662</v>
      </c>
      <c r="N75" s="157">
        <v>15</v>
      </c>
      <c r="O75" s="155">
        <v>0</v>
      </c>
      <c r="P75" s="156">
        <v>7.4074074074074112E-2</v>
      </c>
      <c r="Q75" s="156">
        <v>0.37037037037037029</v>
      </c>
      <c r="R75" s="156">
        <v>3.7037037037037056E-2</v>
      </c>
      <c r="S75" s="156">
        <v>0.37037037037037029</v>
      </c>
      <c r="T75" s="156">
        <v>7.4074074074074112E-2</v>
      </c>
      <c r="U75" s="156">
        <v>7.4074074074074112E-2</v>
      </c>
      <c r="V75" s="156">
        <v>0.11111111111111115</v>
      </c>
      <c r="W75" s="156">
        <v>7.4074074074074112E-2</v>
      </c>
      <c r="X75" s="156">
        <v>7.4074074074074112E-2</v>
      </c>
      <c r="Y75" s="157">
        <v>27</v>
      </c>
      <c r="Z75" s="155">
        <v>0.77777777777777757</v>
      </c>
      <c r="AA75" s="156">
        <v>0.74074074074074048</v>
      </c>
      <c r="AB75" s="156">
        <v>0.592592592592592</v>
      </c>
      <c r="AC75" s="156">
        <v>0.48148148148148134</v>
      </c>
      <c r="AD75" s="156">
        <v>3.7037037037037056E-2</v>
      </c>
      <c r="AE75" s="156">
        <v>7.4074074074074112E-2</v>
      </c>
      <c r="AF75" s="157">
        <v>27</v>
      </c>
      <c r="AG75" s="158">
        <v>9.9999999999999982</v>
      </c>
      <c r="AH75" s="159">
        <v>27</v>
      </c>
      <c r="AI75" s="160">
        <v>9.9615384615384546</v>
      </c>
      <c r="AJ75" s="159">
        <v>26</v>
      </c>
      <c r="AK75" s="160">
        <v>9.9230769230769109</v>
      </c>
      <c r="AL75" s="157">
        <v>26</v>
      </c>
      <c r="AM75" s="155">
        <v>0.76923076923076905</v>
      </c>
      <c r="AN75" s="156">
        <v>0.23076923076923092</v>
      </c>
      <c r="AO75" s="156">
        <v>0</v>
      </c>
      <c r="AP75" s="156">
        <v>0</v>
      </c>
      <c r="AQ75" s="156">
        <v>0</v>
      </c>
      <c r="AR75" s="157">
        <v>26</v>
      </c>
      <c r="AS75" s="155">
        <v>0.70370370370370383</v>
      </c>
      <c r="AT75" s="156">
        <v>0.25925925925925908</v>
      </c>
      <c r="AU75" s="156">
        <v>0</v>
      </c>
      <c r="AV75" s="156">
        <v>3.7037037037037056E-2</v>
      </c>
      <c r="AW75" s="156">
        <v>0</v>
      </c>
      <c r="AX75" s="157">
        <v>27</v>
      </c>
      <c r="AY75" s="155">
        <v>0.96296296296296235</v>
      </c>
      <c r="AZ75" s="156">
        <v>3.7037037037037056E-2</v>
      </c>
      <c r="BA75" s="156">
        <v>0</v>
      </c>
      <c r="BB75" s="156">
        <v>0</v>
      </c>
      <c r="BC75" s="156">
        <v>0</v>
      </c>
      <c r="BD75" s="157">
        <v>27</v>
      </c>
      <c r="BE75" s="155">
        <v>0.85185185185185208</v>
      </c>
      <c r="BF75" s="156">
        <v>0.14814814814814822</v>
      </c>
      <c r="BG75" s="156">
        <v>0</v>
      </c>
      <c r="BH75" s="156">
        <v>0</v>
      </c>
      <c r="BI75" s="156">
        <v>0</v>
      </c>
      <c r="BJ75" s="157">
        <v>27</v>
      </c>
      <c r="BK75" s="155">
        <v>0.82608695652173947</v>
      </c>
      <c r="BL75" s="156">
        <v>0.13043478260869565</v>
      </c>
      <c r="BM75" s="156">
        <v>4.3478260869565258E-2</v>
      </c>
      <c r="BN75" s="156">
        <v>0</v>
      </c>
      <c r="BO75" s="156">
        <v>0</v>
      </c>
      <c r="BP75" s="157">
        <v>23</v>
      </c>
      <c r="BQ75" s="155">
        <v>0.96296296296296235</v>
      </c>
      <c r="BR75" s="156">
        <v>3.7037037037037056E-2</v>
      </c>
      <c r="BS75" s="156">
        <v>0</v>
      </c>
      <c r="BT75" s="156">
        <v>0</v>
      </c>
      <c r="BU75" s="156">
        <v>0</v>
      </c>
      <c r="BV75" s="157">
        <v>27</v>
      </c>
      <c r="BW75" s="161">
        <v>0.91304347826086985</v>
      </c>
      <c r="BX75" s="156">
        <v>4.3478260869565258E-2</v>
      </c>
      <c r="BY75" s="156">
        <v>0</v>
      </c>
      <c r="BZ75" s="156">
        <v>0</v>
      </c>
      <c r="CA75" s="156">
        <v>4.3478260869565258E-2</v>
      </c>
      <c r="CB75" s="157">
        <v>23</v>
      </c>
      <c r="CC75" s="155">
        <v>0.5</v>
      </c>
      <c r="CD75" s="156">
        <v>0</v>
      </c>
      <c r="CE75" s="156">
        <v>0.33333333333333348</v>
      </c>
      <c r="CF75" s="156">
        <v>0</v>
      </c>
      <c r="CG75" s="156">
        <v>0.16666666666666674</v>
      </c>
      <c r="CH75" s="162">
        <v>6</v>
      </c>
      <c r="CI75" s="155">
        <v>0.6</v>
      </c>
      <c r="CJ75" s="156">
        <v>0</v>
      </c>
      <c r="CK75" s="156">
        <v>0.4</v>
      </c>
      <c r="CL75" s="156">
        <v>0</v>
      </c>
      <c r="CM75" s="156">
        <v>0</v>
      </c>
      <c r="CN75" s="162">
        <v>5</v>
      </c>
      <c r="CO75" s="155">
        <v>0.5555555555555558</v>
      </c>
      <c r="CP75" s="156">
        <v>0.11111111111111109</v>
      </c>
      <c r="CQ75" s="156">
        <v>0.11111111111111109</v>
      </c>
      <c r="CR75" s="156">
        <v>0.11111111111111109</v>
      </c>
      <c r="CS75" s="156">
        <v>0.11111111111111109</v>
      </c>
      <c r="CT75" s="162">
        <v>9</v>
      </c>
      <c r="CU75" s="155">
        <v>0.44444444444444436</v>
      </c>
      <c r="CV75" s="156">
        <v>0.33333333333333348</v>
      </c>
      <c r="CW75" s="156">
        <v>0</v>
      </c>
      <c r="CX75" s="156">
        <v>0.11111111111111109</v>
      </c>
      <c r="CY75" s="156">
        <v>0.11111111111111109</v>
      </c>
      <c r="CZ75" s="162">
        <v>9</v>
      </c>
      <c r="DA75" s="155">
        <v>0.5</v>
      </c>
      <c r="DB75" s="156">
        <v>0.375</v>
      </c>
      <c r="DC75" s="156">
        <v>0</v>
      </c>
      <c r="DD75" s="156">
        <v>0</v>
      </c>
      <c r="DE75" s="156">
        <v>0.125</v>
      </c>
      <c r="DF75" s="162">
        <v>8</v>
      </c>
      <c r="DG75" s="155">
        <v>0.42857142857142883</v>
      </c>
      <c r="DH75" s="156">
        <v>0.28571428571428564</v>
      </c>
      <c r="DI75" s="156">
        <v>0.14285714285714282</v>
      </c>
      <c r="DJ75" s="156">
        <v>0</v>
      </c>
      <c r="DK75" s="156">
        <v>0.14285714285714282</v>
      </c>
      <c r="DL75" s="162">
        <v>7</v>
      </c>
      <c r="DM75" s="155">
        <v>0.5</v>
      </c>
      <c r="DN75" s="156">
        <v>0.16666666666666674</v>
      </c>
      <c r="DO75" s="156">
        <v>0.33333333333333348</v>
      </c>
      <c r="DP75" s="156">
        <v>0</v>
      </c>
      <c r="DQ75" s="156">
        <v>0</v>
      </c>
      <c r="DR75" s="162">
        <v>6</v>
      </c>
      <c r="DS75" s="161">
        <v>0.66666666666666696</v>
      </c>
      <c r="DT75" s="156">
        <v>0.16666666666666674</v>
      </c>
      <c r="DU75" s="156">
        <v>0.16666666666666674</v>
      </c>
      <c r="DV75" s="156">
        <v>0</v>
      </c>
      <c r="DW75" s="156">
        <v>0</v>
      </c>
      <c r="DX75" s="162">
        <v>6</v>
      </c>
      <c r="DY75" s="155">
        <v>1</v>
      </c>
      <c r="DZ75" s="156">
        <v>0</v>
      </c>
      <c r="EA75" s="156">
        <v>0</v>
      </c>
      <c r="EB75" s="156">
        <v>0</v>
      </c>
      <c r="EC75" s="156">
        <v>0</v>
      </c>
      <c r="ED75" s="162">
        <v>26</v>
      </c>
      <c r="EE75" s="155">
        <v>0.88235294117647045</v>
      </c>
      <c r="EF75" s="156">
        <v>5.8823529411764719E-2</v>
      </c>
      <c r="EG75" s="156">
        <v>0</v>
      </c>
      <c r="EH75" s="156">
        <v>5.8823529411764719E-2</v>
      </c>
      <c r="EI75" s="156">
        <v>0</v>
      </c>
      <c r="EJ75" s="162">
        <v>17</v>
      </c>
      <c r="EK75" s="155">
        <v>0.92307692307692368</v>
      </c>
      <c r="EL75" s="156">
        <v>7.6923076923076872E-2</v>
      </c>
      <c r="EM75" s="156">
        <v>0</v>
      </c>
      <c r="EN75" s="156">
        <v>0</v>
      </c>
      <c r="EO75" s="156">
        <v>0</v>
      </c>
      <c r="EP75" s="162">
        <v>13</v>
      </c>
      <c r="EQ75" s="155">
        <v>0.95238095238095255</v>
      </c>
      <c r="ER75" s="156">
        <v>0</v>
      </c>
      <c r="ES75" s="156">
        <v>0</v>
      </c>
      <c r="ET75" s="156">
        <v>4.7619047619047616E-2</v>
      </c>
      <c r="EU75" s="156">
        <v>0</v>
      </c>
      <c r="EV75" s="162">
        <v>21</v>
      </c>
      <c r="EW75" s="155">
        <v>0.9</v>
      </c>
      <c r="EX75" s="156">
        <v>0</v>
      </c>
      <c r="EY75" s="156">
        <v>5.000000000000001E-2</v>
      </c>
      <c r="EZ75" s="156">
        <v>5.000000000000001E-2</v>
      </c>
      <c r="FA75" s="156">
        <v>0</v>
      </c>
      <c r="FB75" s="162">
        <v>20</v>
      </c>
      <c r="FC75" s="155">
        <v>0.8</v>
      </c>
      <c r="FD75" s="156">
        <v>0</v>
      </c>
      <c r="FE75" s="156">
        <v>0.2</v>
      </c>
      <c r="FF75" s="156">
        <v>0</v>
      </c>
      <c r="FG75" s="156">
        <v>0</v>
      </c>
      <c r="FH75" s="162">
        <v>5</v>
      </c>
      <c r="FI75" s="161">
        <v>0.87499999999999989</v>
      </c>
      <c r="FJ75" s="156">
        <v>0.125</v>
      </c>
      <c r="FK75" s="156">
        <v>0</v>
      </c>
      <c r="FL75" s="156">
        <v>0</v>
      </c>
      <c r="FM75" s="156">
        <v>0</v>
      </c>
      <c r="FN75" s="162">
        <v>8</v>
      </c>
      <c r="FO75" s="155">
        <v>0.33333333333333348</v>
      </c>
      <c r="FP75" s="156">
        <v>0</v>
      </c>
      <c r="FQ75" s="156">
        <v>0.66666666666666696</v>
      </c>
      <c r="FR75" s="156">
        <v>0</v>
      </c>
      <c r="FS75" s="156">
        <v>0</v>
      </c>
      <c r="FT75" s="162">
        <v>3</v>
      </c>
      <c r="FU75" s="155">
        <v>0.6</v>
      </c>
      <c r="FV75" s="156">
        <v>0</v>
      </c>
      <c r="FW75" s="156">
        <v>0.4</v>
      </c>
      <c r="FX75" s="156">
        <v>0</v>
      </c>
      <c r="FY75" s="156">
        <v>0</v>
      </c>
      <c r="FZ75" s="162">
        <v>5</v>
      </c>
      <c r="GA75" s="161">
        <v>0.5</v>
      </c>
      <c r="GB75" s="156">
        <v>0</v>
      </c>
      <c r="GC75" s="156">
        <v>0.5</v>
      </c>
      <c r="GD75" s="156">
        <v>0</v>
      </c>
      <c r="GE75" s="156">
        <v>0</v>
      </c>
      <c r="GF75" s="162">
        <v>4</v>
      </c>
      <c r="GG75" s="158">
        <v>9.56</v>
      </c>
      <c r="GH75" s="162">
        <v>25</v>
      </c>
      <c r="GI75" s="155">
        <v>0.88888888888888873</v>
      </c>
      <c r="GJ75" s="156">
        <v>0.11111111111111109</v>
      </c>
      <c r="GK75" s="156">
        <v>0</v>
      </c>
      <c r="GL75" s="156">
        <v>0</v>
      </c>
      <c r="GM75" s="156">
        <v>0</v>
      </c>
      <c r="GN75" s="162">
        <v>27</v>
      </c>
      <c r="GO75" s="155">
        <v>0.6153846153846152</v>
      </c>
      <c r="GP75" s="156">
        <v>0.26923076923076922</v>
      </c>
      <c r="GQ75" s="156">
        <v>0.1538461538461538</v>
      </c>
      <c r="GR75" s="156">
        <v>7.69230769230769E-2</v>
      </c>
      <c r="GS75" s="162">
        <v>26</v>
      </c>
      <c r="GT75" s="163">
        <v>2.7600000000000007</v>
      </c>
      <c r="GU75" s="162">
        <v>25</v>
      </c>
      <c r="GV75" s="155">
        <v>0.92307692307692368</v>
      </c>
      <c r="GW75" s="156">
        <v>7.6923076923076872E-2</v>
      </c>
      <c r="GX75" s="162">
        <v>13</v>
      </c>
      <c r="GY75" s="155">
        <v>1</v>
      </c>
      <c r="GZ75" s="156">
        <v>0</v>
      </c>
      <c r="HA75" s="162">
        <v>20</v>
      </c>
      <c r="HB75" s="155">
        <v>1</v>
      </c>
      <c r="HC75" s="156">
        <v>0</v>
      </c>
      <c r="HD75" s="162">
        <v>23</v>
      </c>
      <c r="HE75" s="161">
        <v>0.95454545454545481</v>
      </c>
      <c r="HF75" s="156">
        <v>4.5454545454545477E-2</v>
      </c>
      <c r="HG75" s="162">
        <v>22</v>
      </c>
      <c r="HH75" s="155">
        <v>0.3600000000000001</v>
      </c>
      <c r="HI75" s="156">
        <v>0.6399999999999999</v>
      </c>
      <c r="HJ75" s="162">
        <v>25</v>
      </c>
      <c r="HK75" s="155">
        <v>1</v>
      </c>
      <c r="HL75" s="156">
        <v>0</v>
      </c>
      <c r="HM75" s="162">
        <v>24</v>
      </c>
      <c r="HN75" s="161">
        <v>0</v>
      </c>
      <c r="HO75" s="156">
        <v>0.17391304347826103</v>
      </c>
      <c r="HP75" s="156">
        <v>0.21739130434782619</v>
      </c>
      <c r="HQ75" s="156">
        <v>0.56521739130434767</v>
      </c>
      <c r="HR75" s="156">
        <v>4.3478260869565258E-2</v>
      </c>
      <c r="HS75" s="160">
        <v>62.347826086956509</v>
      </c>
      <c r="HT75" s="164">
        <v>23</v>
      </c>
      <c r="HU75" s="165">
        <v>0</v>
      </c>
      <c r="HV75" s="166">
        <v>0</v>
      </c>
      <c r="HW75" s="166">
        <v>0.13043478260869565</v>
      </c>
      <c r="HX75" s="166">
        <v>4.3478260869565216E-2</v>
      </c>
      <c r="HY75" s="166">
        <v>0.17391304347826086</v>
      </c>
      <c r="HZ75" s="166">
        <v>8.6956521739130432E-2</v>
      </c>
      <c r="IA75" s="166">
        <v>0.13043478260869565</v>
      </c>
      <c r="IB75" s="166">
        <v>0.13043478260869565</v>
      </c>
      <c r="IC75" s="166">
        <v>8.6956521739130432E-2</v>
      </c>
      <c r="ID75" s="166">
        <v>0.21739130434782608</v>
      </c>
      <c r="IE75" s="167">
        <v>23</v>
      </c>
      <c r="IF75" s="155">
        <v>0</v>
      </c>
      <c r="IG75" s="156">
        <v>0</v>
      </c>
      <c r="IH75" s="156">
        <v>1</v>
      </c>
      <c r="II75" s="156">
        <v>0</v>
      </c>
      <c r="IJ75" s="156">
        <v>0</v>
      </c>
      <c r="IK75" s="162">
        <v>1</v>
      </c>
      <c r="IL75" s="155">
        <v>0</v>
      </c>
      <c r="IM75" s="156">
        <v>0</v>
      </c>
      <c r="IN75" s="156">
        <v>0</v>
      </c>
      <c r="IO75" s="156">
        <v>1</v>
      </c>
      <c r="IP75" s="156">
        <v>0</v>
      </c>
      <c r="IQ75" s="162">
        <v>25</v>
      </c>
      <c r="IR75" s="155">
        <v>8.0000000000000016E-2</v>
      </c>
      <c r="IS75" s="156">
        <v>0.91999999999999982</v>
      </c>
      <c r="IT75" s="162">
        <v>25</v>
      </c>
      <c r="IU75" s="161">
        <v>0</v>
      </c>
      <c r="IV75" s="156">
        <v>0</v>
      </c>
      <c r="IW75" s="156">
        <v>1</v>
      </c>
      <c r="IX75" s="162">
        <v>2</v>
      </c>
    </row>
    <row r="76" spans="1:258" ht="32.1" customHeight="1" x14ac:dyDescent="0.25">
      <c r="A76" s="110" t="s">
        <v>516</v>
      </c>
      <c r="B76" s="108" t="s">
        <v>516</v>
      </c>
      <c r="C76" s="108" t="s">
        <v>454</v>
      </c>
      <c r="D76" s="109">
        <v>221</v>
      </c>
      <c r="E76" s="139" t="s">
        <v>525</v>
      </c>
      <c r="F76" s="155">
        <v>0.34146341463414648</v>
      </c>
      <c r="G76" s="156">
        <v>0.65853658536585369</v>
      </c>
      <c r="H76" s="157">
        <v>41</v>
      </c>
      <c r="I76" s="155">
        <v>0.76923076923076916</v>
      </c>
      <c r="J76" s="156">
        <v>0.23076923076923081</v>
      </c>
      <c r="K76" s="157">
        <v>26</v>
      </c>
      <c r="L76" s="155">
        <v>0.5625</v>
      </c>
      <c r="M76" s="156">
        <v>0.4375</v>
      </c>
      <c r="N76" s="157">
        <v>16</v>
      </c>
      <c r="O76" s="155">
        <v>0.1219512195121952</v>
      </c>
      <c r="P76" s="156">
        <v>4.8780487804878071E-2</v>
      </c>
      <c r="Q76" s="156">
        <v>0.36585365853658514</v>
      </c>
      <c r="R76" s="156">
        <v>4.8780487804878071E-2</v>
      </c>
      <c r="S76" s="156">
        <v>0.41463414634146323</v>
      </c>
      <c r="T76" s="156">
        <v>2.4390243902439039E-2</v>
      </c>
      <c r="U76" s="156">
        <v>4.8780487804878071E-2</v>
      </c>
      <c r="V76" s="156">
        <v>0.14634146341463422</v>
      </c>
      <c r="W76" s="156">
        <v>0.14634146341463422</v>
      </c>
      <c r="X76" s="156">
        <v>4.8780487804878071E-2</v>
      </c>
      <c r="Y76" s="157">
        <v>41</v>
      </c>
      <c r="Z76" s="155">
        <v>0.57499999999999951</v>
      </c>
      <c r="AA76" s="156">
        <v>0.82499999999999973</v>
      </c>
      <c r="AB76" s="156">
        <v>0.15000000000000011</v>
      </c>
      <c r="AC76" s="156">
        <v>0.22499999999999981</v>
      </c>
      <c r="AD76" s="156">
        <v>5.0000000000000017E-2</v>
      </c>
      <c r="AE76" s="156">
        <v>5.0000000000000017E-2</v>
      </c>
      <c r="AF76" s="157">
        <v>40</v>
      </c>
      <c r="AG76" s="158">
        <v>9.9756097560975689</v>
      </c>
      <c r="AH76" s="159">
        <v>41</v>
      </c>
      <c r="AI76" s="160">
        <v>10.000000000000002</v>
      </c>
      <c r="AJ76" s="159">
        <v>41</v>
      </c>
      <c r="AK76" s="160">
        <v>9.9500000000000028</v>
      </c>
      <c r="AL76" s="157">
        <v>40</v>
      </c>
      <c r="AM76" s="155">
        <v>0.62499999999999989</v>
      </c>
      <c r="AN76" s="156">
        <v>0.29999999999999993</v>
      </c>
      <c r="AO76" s="156">
        <v>0</v>
      </c>
      <c r="AP76" s="156">
        <v>7.5000000000000011E-2</v>
      </c>
      <c r="AQ76" s="156">
        <v>0</v>
      </c>
      <c r="AR76" s="157">
        <v>40</v>
      </c>
      <c r="AS76" s="155">
        <v>0.84615384615384659</v>
      </c>
      <c r="AT76" s="156">
        <v>0.15384615384615369</v>
      </c>
      <c r="AU76" s="156">
        <v>0</v>
      </c>
      <c r="AV76" s="156">
        <v>0</v>
      </c>
      <c r="AW76" s="156">
        <v>0</v>
      </c>
      <c r="AX76" s="157">
        <v>39</v>
      </c>
      <c r="AY76" s="155">
        <v>0.90243902439024293</v>
      </c>
      <c r="AZ76" s="156">
        <v>9.7560975609756059E-2</v>
      </c>
      <c r="BA76" s="156">
        <v>0</v>
      </c>
      <c r="BB76" s="156">
        <v>0</v>
      </c>
      <c r="BC76" s="156">
        <v>0</v>
      </c>
      <c r="BD76" s="157">
        <v>41</v>
      </c>
      <c r="BE76" s="155">
        <v>0.95121951219512113</v>
      </c>
      <c r="BF76" s="156">
        <v>4.878048780487803E-2</v>
      </c>
      <c r="BG76" s="156">
        <v>0</v>
      </c>
      <c r="BH76" s="156">
        <v>0</v>
      </c>
      <c r="BI76" s="156">
        <v>0</v>
      </c>
      <c r="BJ76" s="157">
        <v>41</v>
      </c>
      <c r="BK76" s="155">
        <v>0.86486486486486558</v>
      </c>
      <c r="BL76" s="156">
        <v>0.13513513513513506</v>
      </c>
      <c r="BM76" s="156">
        <v>0</v>
      </c>
      <c r="BN76" s="156">
        <v>0</v>
      </c>
      <c r="BO76" s="156">
        <v>0</v>
      </c>
      <c r="BP76" s="157">
        <v>37</v>
      </c>
      <c r="BQ76" s="155">
        <v>0.95121951219512113</v>
      </c>
      <c r="BR76" s="156">
        <v>4.878048780487803E-2</v>
      </c>
      <c r="BS76" s="156">
        <v>0</v>
      </c>
      <c r="BT76" s="156">
        <v>0</v>
      </c>
      <c r="BU76" s="156">
        <v>0</v>
      </c>
      <c r="BV76" s="157">
        <v>41</v>
      </c>
      <c r="BW76" s="161">
        <v>1</v>
      </c>
      <c r="BX76" s="156">
        <v>0</v>
      </c>
      <c r="BY76" s="156">
        <v>0</v>
      </c>
      <c r="BZ76" s="156">
        <v>0</v>
      </c>
      <c r="CA76" s="156">
        <v>0</v>
      </c>
      <c r="CB76" s="157">
        <v>28</v>
      </c>
      <c r="CC76" s="155">
        <v>0.66666666666666641</v>
      </c>
      <c r="CD76" s="156">
        <v>0.26666666666666661</v>
      </c>
      <c r="CE76" s="156">
        <v>6.6666666666666652E-2</v>
      </c>
      <c r="CF76" s="156">
        <v>0</v>
      </c>
      <c r="CG76" s="156">
        <v>0</v>
      </c>
      <c r="CH76" s="162">
        <v>15</v>
      </c>
      <c r="CI76" s="155">
        <v>0.54545454545454519</v>
      </c>
      <c r="CJ76" s="156">
        <v>0.2727272727272726</v>
      </c>
      <c r="CK76" s="156">
        <v>0.18181818181818168</v>
      </c>
      <c r="CL76" s="156">
        <v>0</v>
      </c>
      <c r="CM76" s="156">
        <v>0</v>
      </c>
      <c r="CN76" s="162">
        <v>11</v>
      </c>
      <c r="CO76" s="155">
        <v>0.61538461538461475</v>
      </c>
      <c r="CP76" s="156">
        <v>0.30769230769230738</v>
      </c>
      <c r="CQ76" s="156">
        <v>7.6923076923076844E-2</v>
      </c>
      <c r="CR76" s="156">
        <v>0</v>
      </c>
      <c r="CS76" s="156">
        <v>0</v>
      </c>
      <c r="CT76" s="162">
        <v>13</v>
      </c>
      <c r="CU76" s="155">
        <v>0.8333333333333337</v>
      </c>
      <c r="CV76" s="156">
        <v>0.1666666666666666</v>
      </c>
      <c r="CW76" s="156">
        <v>0</v>
      </c>
      <c r="CX76" s="156">
        <v>0</v>
      </c>
      <c r="CY76" s="156">
        <v>0</v>
      </c>
      <c r="CZ76" s="162">
        <v>12</v>
      </c>
      <c r="DA76" s="155">
        <v>0.75</v>
      </c>
      <c r="DB76" s="156">
        <v>0.12500000000000003</v>
      </c>
      <c r="DC76" s="156">
        <v>0.12500000000000003</v>
      </c>
      <c r="DD76" s="156">
        <v>0</v>
      </c>
      <c r="DE76" s="156">
        <v>0</v>
      </c>
      <c r="DF76" s="162">
        <v>8</v>
      </c>
      <c r="DG76" s="155">
        <v>0.85714285714285754</v>
      </c>
      <c r="DH76" s="156">
        <v>0</v>
      </c>
      <c r="DI76" s="156">
        <v>0.14285714285714288</v>
      </c>
      <c r="DJ76" s="156">
        <v>0</v>
      </c>
      <c r="DK76" s="156">
        <v>0</v>
      </c>
      <c r="DL76" s="162">
        <v>7</v>
      </c>
      <c r="DM76" s="155">
        <v>1</v>
      </c>
      <c r="DN76" s="156">
        <v>0</v>
      </c>
      <c r="DO76" s="156">
        <v>0</v>
      </c>
      <c r="DP76" s="156">
        <v>0</v>
      </c>
      <c r="DQ76" s="156">
        <v>0</v>
      </c>
      <c r="DR76" s="162">
        <v>13</v>
      </c>
      <c r="DS76" s="161">
        <v>0.875</v>
      </c>
      <c r="DT76" s="156">
        <v>0.12500000000000003</v>
      </c>
      <c r="DU76" s="156">
        <v>0</v>
      </c>
      <c r="DV76" s="156">
        <v>0</v>
      </c>
      <c r="DW76" s="156">
        <v>0</v>
      </c>
      <c r="DX76" s="162">
        <v>8</v>
      </c>
      <c r="DY76" s="155">
        <v>0.95121951219512113</v>
      </c>
      <c r="DZ76" s="156">
        <v>4.878048780487803E-2</v>
      </c>
      <c r="EA76" s="156">
        <v>0</v>
      </c>
      <c r="EB76" s="156">
        <v>0</v>
      </c>
      <c r="EC76" s="156">
        <v>0</v>
      </c>
      <c r="ED76" s="162">
        <v>41</v>
      </c>
      <c r="EE76" s="155">
        <v>0.82608695652173969</v>
      </c>
      <c r="EF76" s="156">
        <v>0.17391304347826089</v>
      </c>
      <c r="EG76" s="156">
        <v>0</v>
      </c>
      <c r="EH76" s="156">
        <v>0</v>
      </c>
      <c r="EI76" s="156">
        <v>0</v>
      </c>
      <c r="EJ76" s="162">
        <v>23</v>
      </c>
      <c r="EK76" s="155">
        <v>0.76923076923076994</v>
      </c>
      <c r="EL76" s="156">
        <v>0.23076923076923087</v>
      </c>
      <c r="EM76" s="156">
        <v>0</v>
      </c>
      <c r="EN76" s="156">
        <v>0</v>
      </c>
      <c r="EO76" s="156">
        <v>0</v>
      </c>
      <c r="EP76" s="162">
        <v>26</v>
      </c>
      <c r="EQ76" s="155">
        <v>0.82608695652173969</v>
      </c>
      <c r="ER76" s="156">
        <v>0.17391304347826089</v>
      </c>
      <c r="ES76" s="156">
        <v>0</v>
      </c>
      <c r="ET76" s="156">
        <v>0</v>
      </c>
      <c r="EU76" s="156">
        <v>0</v>
      </c>
      <c r="EV76" s="162">
        <v>23</v>
      </c>
      <c r="EW76" s="155">
        <v>0.9</v>
      </c>
      <c r="EX76" s="156">
        <v>0.10000000000000002</v>
      </c>
      <c r="EY76" s="156">
        <v>0</v>
      </c>
      <c r="EZ76" s="156">
        <v>0</v>
      </c>
      <c r="FA76" s="156">
        <v>0</v>
      </c>
      <c r="FB76" s="162">
        <v>20</v>
      </c>
      <c r="FC76" s="155">
        <v>0.9</v>
      </c>
      <c r="FD76" s="156">
        <v>0.10000000000000002</v>
      </c>
      <c r="FE76" s="156">
        <v>0</v>
      </c>
      <c r="FF76" s="156">
        <v>0</v>
      </c>
      <c r="FG76" s="156">
        <v>0</v>
      </c>
      <c r="FH76" s="162">
        <v>20</v>
      </c>
      <c r="FI76" s="161">
        <v>0.81818181818181857</v>
      </c>
      <c r="FJ76" s="156">
        <v>0.18181818181818168</v>
      </c>
      <c r="FK76" s="156">
        <v>0</v>
      </c>
      <c r="FL76" s="156">
        <v>0</v>
      </c>
      <c r="FM76" s="156">
        <v>0</v>
      </c>
      <c r="FN76" s="162">
        <v>11</v>
      </c>
      <c r="FO76" s="155">
        <v>1</v>
      </c>
      <c r="FP76" s="156">
        <v>0</v>
      </c>
      <c r="FQ76" s="156">
        <v>0</v>
      </c>
      <c r="FR76" s="156">
        <v>0</v>
      </c>
      <c r="FS76" s="156">
        <v>0</v>
      </c>
      <c r="FT76" s="162">
        <v>24</v>
      </c>
      <c r="FU76" s="155">
        <v>0.875</v>
      </c>
      <c r="FV76" s="156">
        <v>6.2500000000000014E-2</v>
      </c>
      <c r="FW76" s="156">
        <v>6.2500000000000014E-2</v>
      </c>
      <c r="FX76" s="156">
        <v>0</v>
      </c>
      <c r="FY76" s="156">
        <v>0</v>
      </c>
      <c r="FZ76" s="162">
        <v>16</v>
      </c>
      <c r="GA76" s="161">
        <v>0.9</v>
      </c>
      <c r="GB76" s="156">
        <v>0</v>
      </c>
      <c r="GC76" s="156">
        <v>0.10000000000000002</v>
      </c>
      <c r="GD76" s="156">
        <v>0</v>
      </c>
      <c r="GE76" s="156">
        <v>0</v>
      </c>
      <c r="GF76" s="162">
        <v>10</v>
      </c>
      <c r="GG76" s="158">
        <v>9.7560975609756078</v>
      </c>
      <c r="GH76" s="162">
        <v>41</v>
      </c>
      <c r="GI76" s="155">
        <v>0.87499999999999989</v>
      </c>
      <c r="GJ76" s="156">
        <v>0.10000000000000002</v>
      </c>
      <c r="GK76" s="156">
        <v>2.5000000000000005E-2</v>
      </c>
      <c r="GL76" s="156">
        <v>0</v>
      </c>
      <c r="GM76" s="156">
        <v>0</v>
      </c>
      <c r="GN76" s="162">
        <v>40</v>
      </c>
      <c r="GO76" s="155">
        <v>0.42500000000000027</v>
      </c>
      <c r="GP76" s="156">
        <v>0.44999999999999962</v>
      </c>
      <c r="GQ76" s="156">
        <v>0.10000000000000003</v>
      </c>
      <c r="GR76" s="156">
        <v>0.15000000000000011</v>
      </c>
      <c r="GS76" s="162">
        <v>40</v>
      </c>
      <c r="GT76" s="163">
        <v>2.6666666666666679</v>
      </c>
      <c r="GU76" s="162">
        <v>39</v>
      </c>
      <c r="GV76" s="155">
        <v>0.75</v>
      </c>
      <c r="GW76" s="156">
        <v>0.25000000000000006</v>
      </c>
      <c r="GX76" s="162">
        <v>16</v>
      </c>
      <c r="GY76" s="155">
        <v>0.96</v>
      </c>
      <c r="GZ76" s="156">
        <v>4.0000000000000008E-2</v>
      </c>
      <c r="HA76" s="162">
        <v>25</v>
      </c>
      <c r="HB76" s="155">
        <v>0.84375</v>
      </c>
      <c r="HC76" s="156">
        <v>0.15625000000000003</v>
      </c>
      <c r="HD76" s="162">
        <v>32</v>
      </c>
      <c r="HE76" s="161">
        <v>0.875</v>
      </c>
      <c r="HF76" s="156">
        <v>0.12500000000000003</v>
      </c>
      <c r="HG76" s="162">
        <v>24</v>
      </c>
      <c r="HH76" s="155">
        <v>0.46341463414634121</v>
      </c>
      <c r="HI76" s="156">
        <v>0.53658536585365868</v>
      </c>
      <c r="HJ76" s="162">
        <v>41</v>
      </c>
      <c r="HK76" s="155">
        <v>1</v>
      </c>
      <c r="HL76" s="156">
        <v>0</v>
      </c>
      <c r="HM76" s="162">
        <v>38</v>
      </c>
      <c r="HN76" s="161">
        <v>5.1282051282051315E-2</v>
      </c>
      <c r="HO76" s="156">
        <v>0.17948717948717938</v>
      </c>
      <c r="HP76" s="156">
        <v>0.30769230769230738</v>
      </c>
      <c r="HQ76" s="156">
        <v>0.3333333333333332</v>
      </c>
      <c r="HR76" s="156">
        <v>0.12820512820512822</v>
      </c>
      <c r="HS76" s="160">
        <v>58.717948717948715</v>
      </c>
      <c r="HT76" s="164">
        <v>39</v>
      </c>
      <c r="HU76" s="165">
        <v>0</v>
      </c>
      <c r="HV76" s="166">
        <v>0</v>
      </c>
      <c r="HW76" s="166">
        <v>0.14705882352941177</v>
      </c>
      <c r="HX76" s="166">
        <v>8.8235294117647065E-2</v>
      </c>
      <c r="HY76" s="166">
        <v>0.26470588235294118</v>
      </c>
      <c r="HZ76" s="166">
        <v>0.11764705882352941</v>
      </c>
      <c r="IA76" s="166">
        <v>0.11764705882352941</v>
      </c>
      <c r="IB76" s="166">
        <v>8.8235294117647065E-2</v>
      </c>
      <c r="IC76" s="166">
        <v>2.9411764705882353E-2</v>
      </c>
      <c r="ID76" s="166">
        <v>0.14705882352941177</v>
      </c>
      <c r="IE76" s="167">
        <v>34</v>
      </c>
      <c r="IF76" s="155">
        <v>0</v>
      </c>
      <c r="IG76" s="156">
        <v>0</v>
      </c>
      <c r="IH76" s="156">
        <v>0.5</v>
      </c>
      <c r="II76" s="156">
        <v>0</v>
      </c>
      <c r="IJ76" s="156">
        <v>0.5</v>
      </c>
      <c r="IK76" s="162">
        <v>2</v>
      </c>
      <c r="IL76" s="155">
        <v>0</v>
      </c>
      <c r="IM76" s="156">
        <v>0</v>
      </c>
      <c r="IN76" s="156">
        <v>0</v>
      </c>
      <c r="IO76" s="156">
        <v>1</v>
      </c>
      <c r="IP76" s="156">
        <v>0</v>
      </c>
      <c r="IQ76" s="162">
        <v>36</v>
      </c>
      <c r="IR76" s="155">
        <v>0.16216216216216217</v>
      </c>
      <c r="IS76" s="156">
        <v>0.83783783783783761</v>
      </c>
      <c r="IT76" s="162">
        <v>37</v>
      </c>
      <c r="IU76" s="161">
        <v>0</v>
      </c>
      <c r="IV76" s="156">
        <v>0</v>
      </c>
      <c r="IW76" s="156">
        <v>1</v>
      </c>
      <c r="IX76" s="162">
        <v>6</v>
      </c>
    </row>
    <row r="77" spans="1:258" ht="32.1" customHeight="1" x14ac:dyDescent="0.25">
      <c r="A77" s="110" t="s">
        <v>516</v>
      </c>
      <c r="B77" s="108" t="s">
        <v>516</v>
      </c>
      <c r="C77" s="108" t="s">
        <v>457</v>
      </c>
      <c r="D77" s="109">
        <v>222</v>
      </c>
      <c r="E77" s="139" t="s">
        <v>526</v>
      </c>
      <c r="F77" s="155">
        <v>0.35714285714285715</v>
      </c>
      <c r="G77" s="156">
        <v>0.64285714285714246</v>
      </c>
      <c r="H77" s="157">
        <v>14</v>
      </c>
      <c r="I77" s="155">
        <v>0.88888888888888895</v>
      </c>
      <c r="J77" s="156">
        <v>0.11111111111111112</v>
      </c>
      <c r="K77" s="157">
        <v>9</v>
      </c>
      <c r="L77" s="155">
        <v>0.75</v>
      </c>
      <c r="M77" s="156">
        <v>0.25000000000000006</v>
      </c>
      <c r="N77" s="157">
        <v>8</v>
      </c>
      <c r="O77" s="155">
        <v>0.57142857142857129</v>
      </c>
      <c r="P77" s="156">
        <v>7.1428571428571425E-2</v>
      </c>
      <c r="Q77" s="156">
        <v>7.1428571428571425E-2</v>
      </c>
      <c r="R77" s="156">
        <v>0</v>
      </c>
      <c r="S77" s="156">
        <v>0.42857142857142877</v>
      </c>
      <c r="T77" s="156">
        <v>0.14285714285714285</v>
      </c>
      <c r="U77" s="156">
        <v>0</v>
      </c>
      <c r="V77" s="156">
        <v>0.2857142857142857</v>
      </c>
      <c r="W77" s="156">
        <v>0.42857142857142877</v>
      </c>
      <c r="X77" s="156">
        <v>0</v>
      </c>
      <c r="Y77" s="157">
        <v>14</v>
      </c>
      <c r="Z77" s="155">
        <v>0.6153846153846152</v>
      </c>
      <c r="AA77" s="156">
        <v>0.53846153846153844</v>
      </c>
      <c r="AB77" s="156">
        <v>0.38461538461538469</v>
      </c>
      <c r="AC77" s="156">
        <v>0.53846153846153844</v>
      </c>
      <c r="AD77" s="156">
        <v>0.23076923076923084</v>
      </c>
      <c r="AE77" s="156">
        <v>0.15384615384615391</v>
      </c>
      <c r="AF77" s="157">
        <v>13</v>
      </c>
      <c r="AG77" s="158">
        <v>10.000000000000002</v>
      </c>
      <c r="AH77" s="159">
        <v>14</v>
      </c>
      <c r="AI77" s="160">
        <v>10.000000000000002</v>
      </c>
      <c r="AJ77" s="159">
        <v>14</v>
      </c>
      <c r="AK77" s="160">
        <v>10.000000000000002</v>
      </c>
      <c r="AL77" s="157">
        <v>14</v>
      </c>
      <c r="AM77" s="155">
        <v>0.53846153846153844</v>
      </c>
      <c r="AN77" s="156">
        <v>0.38461538461538458</v>
      </c>
      <c r="AO77" s="156">
        <v>0</v>
      </c>
      <c r="AP77" s="156">
        <v>7.6923076923076941E-2</v>
      </c>
      <c r="AQ77" s="156">
        <v>0</v>
      </c>
      <c r="AR77" s="157">
        <v>13</v>
      </c>
      <c r="AS77" s="155">
        <v>0.76923076923076916</v>
      </c>
      <c r="AT77" s="156">
        <v>0.15384615384615388</v>
      </c>
      <c r="AU77" s="156">
        <v>0</v>
      </c>
      <c r="AV77" s="156">
        <v>7.6923076923076941E-2</v>
      </c>
      <c r="AW77" s="156">
        <v>0</v>
      </c>
      <c r="AX77" s="157">
        <v>13</v>
      </c>
      <c r="AY77" s="155">
        <v>0.7142857142857143</v>
      </c>
      <c r="AZ77" s="156">
        <v>0.28571428571428575</v>
      </c>
      <c r="BA77" s="156">
        <v>0</v>
      </c>
      <c r="BB77" s="156">
        <v>0</v>
      </c>
      <c r="BC77" s="156">
        <v>0</v>
      </c>
      <c r="BD77" s="157">
        <v>14</v>
      </c>
      <c r="BE77" s="155">
        <v>0.57142857142857129</v>
      </c>
      <c r="BF77" s="156">
        <v>0.42857142857142877</v>
      </c>
      <c r="BG77" s="156">
        <v>0</v>
      </c>
      <c r="BH77" s="156">
        <v>0</v>
      </c>
      <c r="BI77" s="156">
        <v>0</v>
      </c>
      <c r="BJ77" s="157">
        <v>14</v>
      </c>
      <c r="BK77" s="155">
        <v>0.55555555555555547</v>
      </c>
      <c r="BL77" s="156">
        <v>0.44444444444444448</v>
      </c>
      <c r="BM77" s="156">
        <v>0</v>
      </c>
      <c r="BN77" s="156">
        <v>0</v>
      </c>
      <c r="BO77" s="156">
        <v>0</v>
      </c>
      <c r="BP77" s="157">
        <v>9</v>
      </c>
      <c r="BQ77" s="155">
        <v>0.7142857142857143</v>
      </c>
      <c r="BR77" s="156">
        <v>0.28571428571428575</v>
      </c>
      <c r="BS77" s="156">
        <v>0</v>
      </c>
      <c r="BT77" s="156">
        <v>0</v>
      </c>
      <c r="BU77" s="156">
        <v>0</v>
      </c>
      <c r="BV77" s="157">
        <v>14</v>
      </c>
      <c r="BW77" s="161">
        <v>0.88888888888888895</v>
      </c>
      <c r="BX77" s="156">
        <v>0.11111111111111112</v>
      </c>
      <c r="BY77" s="156">
        <v>0</v>
      </c>
      <c r="BZ77" s="156">
        <v>0</v>
      </c>
      <c r="CA77" s="156">
        <v>0</v>
      </c>
      <c r="CB77" s="157">
        <v>9</v>
      </c>
      <c r="CC77" s="155">
        <v>0.8</v>
      </c>
      <c r="CD77" s="156">
        <v>0</v>
      </c>
      <c r="CE77" s="156">
        <v>0.2</v>
      </c>
      <c r="CF77" s="156">
        <v>0</v>
      </c>
      <c r="CG77" s="156">
        <v>0</v>
      </c>
      <c r="CH77" s="162">
        <v>5</v>
      </c>
      <c r="CI77" s="155">
        <v>0.8</v>
      </c>
      <c r="CJ77" s="156">
        <v>0</v>
      </c>
      <c r="CK77" s="156">
        <v>0.2</v>
      </c>
      <c r="CL77" s="156">
        <v>0</v>
      </c>
      <c r="CM77" s="156">
        <v>0</v>
      </c>
      <c r="CN77" s="162">
        <v>5</v>
      </c>
      <c r="CO77" s="155">
        <v>0.45454545454545453</v>
      </c>
      <c r="CP77" s="156">
        <v>0.27272727272727276</v>
      </c>
      <c r="CQ77" s="156">
        <v>0.18181818181818188</v>
      </c>
      <c r="CR77" s="156">
        <v>9.0909090909090939E-2</v>
      </c>
      <c r="CS77" s="156">
        <v>0</v>
      </c>
      <c r="CT77" s="162">
        <v>11</v>
      </c>
      <c r="CU77" s="155">
        <v>0.54545454545454541</v>
      </c>
      <c r="CV77" s="156">
        <v>9.0909090909090939E-2</v>
      </c>
      <c r="CW77" s="156">
        <v>0.27272727272727276</v>
      </c>
      <c r="CX77" s="156">
        <v>9.0909090909090939E-2</v>
      </c>
      <c r="CY77" s="156">
        <v>0</v>
      </c>
      <c r="CZ77" s="162">
        <v>11</v>
      </c>
      <c r="DA77" s="155">
        <v>0.66666666666666652</v>
      </c>
      <c r="DB77" s="156">
        <v>0.11111111111111112</v>
      </c>
      <c r="DC77" s="156">
        <v>0.22222222222222224</v>
      </c>
      <c r="DD77" s="156">
        <v>0</v>
      </c>
      <c r="DE77" s="156">
        <v>0</v>
      </c>
      <c r="DF77" s="162">
        <v>9</v>
      </c>
      <c r="DG77" s="155">
        <v>0.66666666666666652</v>
      </c>
      <c r="DH77" s="156">
        <v>0.22222222222222224</v>
      </c>
      <c r="DI77" s="156">
        <v>0.11111111111111112</v>
      </c>
      <c r="DJ77" s="156">
        <v>0</v>
      </c>
      <c r="DK77" s="156">
        <v>0</v>
      </c>
      <c r="DL77" s="162">
        <v>9</v>
      </c>
      <c r="DM77" s="155">
        <v>0.75</v>
      </c>
      <c r="DN77" s="156">
        <v>0.25000000000000006</v>
      </c>
      <c r="DO77" s="156">
        <v>0</v>
      </c>
      <c r="DP77" s="156">
        <v>0</v>
      </c>
      <c r="DQ77" s="156">
        <v>0</v>
      </c>
      <c r="DR77" s="162">
        <v>8</v>
      </c>
      <c r="DS77" s="161">
        <v>0.83333333333333348</v>
      </c>
      <c r="DT77" s="156">
        <v>0.16666666666666663</v>
      </c>
      <c r="DU77" s="156">
        <v>0</v>
      </c>
      <c r="DV77" s="156">
        <v>0</v>
      </c>
      <c r="DW77" s="156">
        <v>0</v>
      </c>
      <c r="DX77" s="162">
        <v>6</v>
      </c>
      <c r="DY77" s="155">
        <v>1</v>
      </c>
      <c r="DZ77" s="156">
        <v>0</v>
      </c>
      <c r="EA77" s="156">
        <v>0</v>
      </c>
      <c r="EB77" s="156">
        <v>0</v>
      </c>
      <c r="EC77" s="156">
        <v>0</v>
      </c>
      <c r="ED77" s="162">
        <v>13</v>
      </c>
      <c r="EE77" s="155">
        <v>0.72727272727272729</v>
      </c>
      <c r="EF77" s="156">
        <v>0.27272727272727276</v>
      </c>
      <c r="EG77" s="156">
        <v>0</v>
      </c>
      <c r="EH77" s="156">
        <v>0</v>
      </c>
      <c r="EI77" s="156">
        <v>0</v>
      </c>
      <c r="EJ77" s="162">
        <v>11</v>
      </c>
      <c r="EK77" s="155">
        <v>0.72727272727272729</v>
      </c>
      <c r="EL77" s="156">
        <v>0.27272727272727276</v>
      </c>
      <c r="EM77" s="156">
        <v>0</v>
      </c>
      <c r="EN77" s="156">
        <v>0</v>
      </c>
      <c r="EO77" s="156">
        <v>0</v>
      </c>
      <c r="EP77" s="162">
        <v>11</v>
      </c>
      <c r="EQ77" s="155">
        <v>0.69230769230769251</v>
      </c>
      <c r="ER77" s="156">
        <v>0.30769230769230776</v>
      </c>
      <c r="ES77" s="156">
        <v>0</v>
      </c>
      <c r="ET77" s="156">
        <v>0</v>
      </c>
      <c r="EU77" s="156">
        <v>0</v>
      </c>
      <c r="EV77" s="162">
        <v>13</v>
      </c>
      <c r="EW77" s="155">
        <v>0.76923076923076916</v>
      </c>
      <c r="EX77" s="156">
        <v>0.23076923076923092</v>
      </c>
      <c r="EY77" s="156">
        <v>0</v>
      </c>
      <c r="EZ77" s="156">
        <v>0</v>
      </c>
      <c r="FA77" s="156">
        <v>0</v>
      </c>
      <c r="FB77" s="162">
        <v>13</v>
      </c>
      <c r="FC77" s="155">
        <v>1</v>
      </c>
      <c r="FD77" s="156">
        <v>0</v>
      </c>
      <c r="FE77" s="156">
        <v>0</v>
      </c>
      <c r="FF77" s="156">
        <v>0</v>
      </c>
      <c r="FG77" s="156">
        <v>0</v>
      </c>
      <c r="FH77" s="162">
        <v>2</v>
      </c>
      <c r="FI77" s="161">
        <v>0.85714285714285754</v>
      </c>
      <c r="FJ77" s="156">
        <v>0.14285714285714288</v>
      </c>
      <c r="FK77" s="156">
        <v>0</v>
      </c>
      <c r="FL77" s="156">
        <v>0</v>
      </c>
      <c r="FM77" s="156">
        <v>0</v>
      </c>
      <c r="FN77" s="162">
        <v>7</v>
      </c>
      <c r="FO77" s="155">
        <v>1</v>
      </c>
      <c r="FP77" s="156">
        <v>0</v>
      </c>
      <c r="FQ77" s="156">
        <v>0</v>
      </c>
      <c r="FR77" s="156">
        <v>0</v>
      </c>
      <c r="FS77" s="156">
        <v>0</v>
      </c>
      <c r="FT77" s="162">
        <v>7</v>
      </c>
      <c r="FU77" s="155">
        <v>0.83333333333333348</v>
      </c>
      <c r="FV77" s="156">
        <v>0</v>
      </c>
      <c r="FW77" s="156">
        <v>0.16666666666666663</v>
      </c>
      <c r="FX77" s="156">
        <v>0</v>
      </c>
      <c r="FY77" s="156">
        <v>0</v>
      </c>
      <c r="FZ77" s="162">
        <v>6</v>
      </c>
      <c r="GA77" s="161">
        <v>0.83333333333333348</v>
      </c>
      <c r="GB77" s="156">
        <v>0</v>
      </c>
      <c r="GC77" s="156">
        <v>0.16666666666666663</v>
      </c>
      <c r="GD77" s="156">
        <v>0</v>
      </c>
      <c r="GE77" s="156">
        <v>0</v>
      </c>
      <c r="GF77" s="162">
        <v>6</v>
      </c>
      <c r="GG77" s="158">
        <v>9.5833333333333321</v>
      </c>
      <c r="GH77" s="162">
        <v>12</v>
      </c>
      <c r="GI77" s="155">
        <v>0.15384615384615388</v>
      </c>
      <c r="GJ77" s="156">
        <v>0.38461538461538458</v>
      </c>
      <c r="GK77" s="156">
        <v>0.46153846153846173</v>
      </c>
      <c r="GL77" s="156">
        <v>0</v>
      </c>
      <c r="GM77" s="156">
        <v>0</v>
      </c>
      <c r="GN77" s="162">
        <v>13</v>
      </c>
      <c r="GO77" s="155">
        <v>0.54545454545454564</v>
      </c>
      <c r="GP77" s="156">
        <v>0.27272727272727287</v>
      </c>
      <c r="GQ77" s="156">
        <v>9.0909090909090912E-2</v>
      </c>
      <c r="GR77" s="156">
        <v>9.0909090909090912E-2</v>
      </c>
      <c r="GS77" s="162">
        <v>11</v>
      </c>
      <c r="GT77" s="163">
        <v>2.3571428571428572</v>
      </c>
      <c r="GU77" s="162">
        <v>14</v>
      </c>
      <c r="GV77" s="155">
        <v>1</v>
      </c>
      <c r="GW77" s="156">
        <v>0</v>
      </c>
      <c r="GX77" s="162">
        <v>5</v>
      </c>
      <c r="GY77" s="155">
        <v>1</v>
      </c>
      <c r="GZ77" s="156">
        <v>0</v>
      </c>
      <c r="HA77" s="162">
        <v>8</v>
      </c>
      <c r="HB77" s="155">
        <v>1</v>
      </c>
      <c r="HC77" s="156">
        <v>0</v>
      </c>
      <c r="HD77" s="162">
        <v>12</v>
      </c>
      <c r="HE77" s="161">
        <v>1</v>
      </c>
      <c r="HF77" s="156">
        <v>0</v>
      </c>
      <c r="HG77" s="162">
        <v>8</v>
      </c>
      <c r="HH77" s="155">
        <v>7.6923076923076941E-2</v>
      </c>
      <c r="HI77" s="156">
        <v>0.92307692307692291</v>
      </c>
      <c r="HJ77" s="162">
        <v>13</v>
      </c>
      <c r="HK77" s="155">
        <v>1</v>
      </c>
      <c r="HL77" s="156">
        <v>0</v>
      </c>
      <c r="HM77" s="162">
        <v>12</v>
      </c>
      <c r="HN77" s="161">
        <v>0.4166666666666668</v>
      </c>
      <c r="HO77" s="156">
        <v>0.25000000000000006</v>
      </c>
      <c r="HP77" s="156">
        <v>0</v>
      </c>
      <c r="HQ77" s="156">
        <v>0.33333333333333359</v>
      </c>
      <c r="HR77" s="156">
        <v>0</v>
      </c>
      <c r="HS77" s="160">
        <v>40.583333333333329</v>
      </c>
      <c r="HT77" s="164">
        <v>12</v>
      </c>
      <c r="HU77" s="168" t="s">
        <v>608</v>
      </c>
      <c r="HV77" s="169" t="s">
        <v>608</v>
      </c>
      <c r="HW77" s="169" t="s">
        <v>608</v>
      </c>
      <c r="HX77" s="169" t="s">
        <v>608</v>
      </c>
      <c r="HY77" s="169" t="s">
        <v>608</v>
      </c>
      <c r="HZ77" s="169" t="s">
        <v>608</v>
      </c>
      <c r="IA77" s="169" t="s">
        <v>608</v>
      </c>
      <c r="IB77" s="169" t="s">
        <v>608</v>
      </c>
      <c r="IC77" s="169" t="s">
        <v>608</v>
      </c>
      <c r="ID77" s="169" t="s">
        <v>608</v>
      </c>
      <c r="IE77" s="170" t="s">
        <v>608</v>
      </c>
      <c r="IF77" s="155">
        <v>0</v>
      </c>
      <c r="IG77" s="156">
        <v>0</v>
      </c>
      <c r="IH77" s="156">
        <v>0</v>
      </c>
      <c r="II77" s="156">
        <v>0</v>
      </c>
      <c r="IJ77" s="156">
        <v>0</v>
      </c>
      <c r="IK77" s="162">
        <v>0</v>
      </c>
      <c r="IL77" s="155">
        <v>0</v>
      </c>
      <c r="IM77" s="156">
        <v>0</v>
      </c>
      <c r="IN77" s="156">
        <v>0</v>
      </c>
      <c r="IO77" s="156">
        <v>1</v>
      </c>
      <c r="IP77" s="156">
        <v>0</v>
      </c>
      <c r="IQ77" s="162">
        <v>13</v>
      </c>
      <c r="IR77" s="155">
        <v>9.0909090909090939E-2</v>
      </c>
      <c r="IS77" s="156">
        <v>0.90909090909090906</v>
      </c>
      <c r="IT77" s="162">
        <v>11</v>
      </c>
      <c r="IU77" s="161">
        <v>0</v>
      </c>
      <c r="IV77" s="156">
        <v>0</v>
      </c>
      <c r="IW77" s="156">
        <v>1</v>
      </c>
      <c r="IX77" s="162">
        <v>1</v>
      </c>
    </row>
    <row r="78" spans="1:258" ht="32.1" customHeight="1" x14ac:dyDescent="0.25">
      <c r="A78" s="110" t="s">
        <v>527</v>
      </c>
      <c r="B78" s="108" t="s">
        <v>527</v>
      </c>
      <c r="C78" s="108" t="s">
        <v>457</v>
      </c>
      <c r="D78" s="109">
        <v>227</v>
      </c>
      <c r="E78" s="139" t="s">
        <v>528</v>
      </c>
      <c r="F78" s="155">
        <v>0</v>
      </c>
      <c r="G78" s="156">
        <v>1</v>
      </c>
      <c r="H78" s="157">
        <v>8</v>
      </c>
      <c r="I78" s="155">
        <v>0.75</v>
      </c>
      <c r="J78" s="156">
        <v>0.25</v>
      </c>
      <c r="K78" s="157">
        <v>8</v>
      </c>
      <c r="L78" s="155">
        <v>0.83333333333333359</v>
      </c>
      <c r="M78" s="156">
        <v>0.16666666666666669</v>
      </c>
      <c r="N78" s="157">
        <v>6</v>
      </c>
      <c r="O78" s="155">
        <v>0.75</v>
      </c>
      <c r="P78" s="156">
        <v>0.125</v>
      </c>
      <c r="Q78" s="156">
        <v>0</v>
      </c>
      <c r="R78" s="156">
        <v>0</v>
      </c>
      <c r="S78" s="156">
        <v>0.125</v>
      </c>
      <c r="T78" s="156">
        <v>0</v>
      </c>
      <c r="U78" s="156">
        <v>0</v>
      </c>
      <c r="V78" s="156">
        <v>0.125</v>
      </c>
      <c r="W78" s="156">
        <v>0.125</v>
      </c>
      <c r="X78" s="156">
        <v>0</v>
      </c>
      <c r="Y78" s="157">
        <v>8</v>
      </c>
      <c r="Z78" s="155">
        <v>0.625</v>
      </c>
      <c r="AA78" s="156">
        <v>0.75</v>
      </c>
      <c r="AB78" s="156">
        <v>0.5</v>
      </c>
      <c r="AC78" s="156">
        <v>0.875</v>
      </c>
      <c r="AD78" s="156">
        <v>0.125</v>
      </c>
      <c r="AE78" s="156">
        <v>0</v>
      </c>
      <c r="AF78" s="157">
        <v>8</v>
      </c>
      <c r="AG78" s="158">
        <v>9.625</v>
      </c>
      <c r="AH78" s="159">
        <v>8</v>
      </c>
      <c r="AI78" s="160">
        <v>9.875</v>
      </c>
      <c r="AJ78" s="159">
        <v>8</v>
      </c>
      <c r="AK78" s="160">
        <v>9.875</v>
      </c>
      <c r="AL78" s="157">
        <v>8</v>
      </c>
      <c r="AM78" s="155">
        <v>0.375</v>
      </c>
      <c r="AN78" s="156">
        <v>0.125</v>
      </c>
      <c r="AO78" s="156">
        <v>0</v>
      </c>
      <c r="AP78" s="156">
        <v>0.25</v>
      </c>
      <c r="AQ78" s="156">
        <v>0.25</v>
      </c>
      <c r="AR78" s="157">
        <v>8</v>
      </c>
      <c r="AS78" s="155">
        <v>0.7142857142857143</v>
      </c>
      <c r="AT78" s="156">
        <v>0.28571428571428575</v>
      </c>
      <c r="AU78" s="156">
        <v>0</v>
      </c>
      <c r="AV78" s="156">
        <v>0</v>
      </c>
      <c r="AW78" s="156">
        <v>0</v>
      </c>
      <c r="AX78" s="157">
        <v>7</v>
      </c>
      <c r="AY78" s="155">
        <v>0.75</v>
      </c>
      <c r="AZ78" s="156">
        <v>0.25</v>
      </c>
      <c r="BA78" s="156">
        <v>0</v>
      </c>
      <c r="BB78" s="156">
        <v>0</v>
      </c>
      <c r="BC78" s="156">
        <v>0</v>
      </c>
      <c r="BD78" s="157">
        <v>8</v>
      </c>
      <c r="BE78" s="155">
        <v>0.75</v>
      </c>
      <c r="BF78" s="156">
        <v>0.25</v>
      </c>
      <c r="BG78" s="156">
        <v>0</v>
      </c>
      <c r="BH78" s="156">
        <v>0</v>
      </c>
      <c r="BI78" s="156">
        <v>0</v>
      </c>
      <c r="BJ78" s="157">
        <v>8</v>
      </c>
      <c r="BK78" s="155">
        <v>0.375</v>
      </c>
      <c r="BL78" s="156">
        <v>0.5</v>
      </c>
      <c r="BM78" s="156">
        <v>0</v>
      </c>
      <c r="BN78" s="156">
        <v>0.125</v>
      </c>
      <c r="BO78" s="156">
        <v>0</v>
      </c>
      <c r="BP78" s="157">
        <v>8</v>
      </c>
      <c r="BQ78" s="155">
        <v>0.875</v>
      </c>
      <c r="BR78" s="156">
        <v>0.125</v>
      </c>
      <c r="BS78" s="156">
        <v>0</v>
      </c>
      <c r="BT78" s="156">
        <v>0</v>
      </c>
      <c r="BU78" s="156">
        <v>0</v>
      </c>
      <c r="BV78" s="157">
        <v>8</v>
      </c>
      <c r="BW78" s="161">
        <v>0.83333333333333359</v>
      </c>
      <c r="BX78" s="156">
        <v>0.16666666666666669</v>
      </c>
      <c r="BY78" s="156">
        <v>0</v>
      </c>
      <c r="BZ78" s="156">
        <v>0</v>
      </c>
      <c r="CA78" s="156">
        <v>0</v>
      </c>
      <c r="CB78" s="157">
        <v>6</v>
      </c>
      <c r="CC78" s="155">
        <v>0</v>
      </c>
      <c r="CD78" s="156">
        <v>0</v>
      </c>
      <c r="CE78" s="156">
        <v>0</v>
      </c>
      <c r="CF78" s="156">
        <v>0</v>
      </c>
      <c r="CG78" s="156">
        <v>0</v>
      </c>
      <c r="CH78" s="162">
        <v>0</v>
      </c>
      <c r="CI78" s="155">
        <v>0</v>
      </c>
      <c r="CJ78" s="156">
        <v>0</v>
      </c>
      <c r="CK78" s="156">
        <v>0</v>
      </c>
      <c r="CL78" s="156">
        <v>0</v>
      </c>
      <c r="CM78" s="156">
        <v>0</v>
      </c>
      <c r="CN78" s="162">
        <v>0</v>
      </c>
      <c r="CO78" s="155">
        <v>0</v>
      </c>
      <c r="CP78" s="156">
        <v>0.66666666666666674</v>
      </c>
      <c r="CQ78" s="156">
        <v>0</v>
      </c>
      <c r="CR78" s="156">
        <v>0.33333333333333337</v>
      </c>
      <c r="CS78" s="156">
        <v>0</v>
      </c>
      <c r="CT78" s="162">
        <v>3</v>
      </c>
      <c r="CU78" s="155">
        <v>0.25</v>
      </c>
      <c r="CV78" s="156">
        <v>0.5</v>
      </c>
      <c r="CW78" s="156">
        <v>0</v>
      </c>
      <c r="CX78" s="156">
        <v>0.25</v>
      </c>
      <c r="CY78" s="156">
        <v>0</v>
      </c>
      <c r="CZ78" s="162">
        <v>4</v>
      </c>
      <c r="DA78" s="155">
        <v>1</v>
      </c>
      <c r="DB78" s="156">
        <v>0</v>
      </c>
      <c r="DC78" s="156">
        <v>0</v>
      </c>
      <c r="DD78" s="156">
        <v>0</v>
      </c>
      <c r="DE78" s="156">
        <v>0</v>
      </c>
      <c r="DF78" s="162">
        <v>1</v>
      </c>
      <c r="DG78" s="155">
        <v>1</v>
      </c>
      <c r="DH78" s="156">
        <v>0</v>
      </c>
      <c r="DI78" s="156">
        <v>0</v>
      </c>
      <c r="DJ78" s="156">
        <v>0</v>
      </c>
      <c r="DK78" s="156">
        <v>0</v>
      </c>
      <c r="DL78" s="162">
        <v>1</v>
      </c>
      <c r="DM78" s="155">
        <v>0.75</v>
      </c>
      <c r="DN78" s="156">
        <v>0</v>
      </c>
      <c r="DO78" s="156">
        <v>0.25</v>
      </c>
      <c r="DP78" s="156">
        <v>0</v>
      </c>
      <c r="DQ78" s="156">
        <v>0</v>
      </c>
      <c r="DR78" s="162">
        <v>4</v>
      </c>
      <c r="DS78" s="161">
        <v>0.99999999999999989</v>
      </c>
      <c r="DT78" s="156">
        <v>0</v>
      </c>
      <c r="DU78" s="156">
        <v>0</v>
      </c>
      <c r="DV78" s="156">
        <v>0</v>
      </c>
      <c r="DW78" s="156">
        <v>0</v>
      </c>
      <c r="DX78" s="162">
        <v>3</v>
      </c>
      <c r="DY78" s="155">
        <v>0.875</v>
      </c>
      <c r="DZ78" s="156">
        <v>0.125</v>
      </c>
      <c r="EA78" s="156">
        <v>0</v>
      </c>
      <c r="EB78" s="156">
        <v>0</v>
      </c>
      <c r="EC78" s="156">
        <v>0</v>
      </c>
      <c r="ED78" s="162">
        <v>8</v>
      </c>
      <c r="EE78" s="155">
        <v>0</v>
      </c>
      <c r="EF78" s="156">
        <v>0</v>
      </c>
      <c r="EG78" s="156">
        <v>0</v>
      </c>
      <c r="EH78" s="156">
        <v>0</v>
      </c>
      <c r="EI78" s="156">
        <v>0</v>
      </c>
      <c r="EJ78" s="162">
        <v>0</v>
      </c>
      <c r="EK78" s="155">
        <v>0.66666666666666674</v>
      </c>
      <c r="EL78" s="156">
        <v>0.33333333333333337</v>
      </c>
      <c r="EM78" s="156">
        <v>0</v>
      </c>
      <c r="EN78" s="156">
        <v>0</v>
      </c>
      <c r="EO78" s="156">
        <v>0</v>
      </c>
      <c r="EP78" s="162">
        <v>3</v>
      </c>
      <c r="EQ78" s="155">
        <v>0.7142857142857143</v>
      </c>
      <c r="ER78" s="156">
        <v>0.28571428571428575</v>
      </c>
      <c r="ES78" s="156">
        <v>0</v>
      </c>
      <c r="ET78" s="156">
        <v>0</v>
      </c>
      <c r="EU78" s="156">
        <v>0</v>
      </c>
      <c r="EV78" s="162">
        <v>7</v>
      </c>
      <c r="EW78" s="155">
        <v>0.7142857142857143</v>
      </c>
      <c r="EX78" s="156">
        <v>0.28571428571428575</v>
      </c>
      <c r="EY78" s="156">
        <v>0</v>
      </c>
      <c r="EZ78" s="156">
        <v>0</v>
      </c>
      <c r="FA78" s="156">
        <v>0</v>
      </c>
      <c r="FB78" s="162">
        <v>7</v>
      </c>
      <c r="FC78" s="155">
        <v>0</v>
      </c>
      <c r="FD78" s="156">
        <v>0</v>
      </c>
      <c r="FE78" s="156">
        <v>0</v>
      </c>
      <c r="FF78" s="156">
        <v>1</v>
      </c>
      <c r="FG78" s="156">
        <v>0</v>
      </c>
      <c r="FH78" s="162">
        <v>1</v>
      </c>
      <c r="FI78" s="161">
        <v>0</v>
      </c>
      <c r="FJ78" s="156">
        <v>0</v>
      </c>
      <c r="FK78" s="156">
        <v>0</v>
      </c>
      <c r="FL78" s="156">
        <v>0</v>
      </c>
      <c r="FM78" s="156">
        <v>0</v>
      </c>
      <c r="FN78" s="162">
        <v>0</v>
      </c>
      <c r="FO78" s="155">
        <v>0</v>
      </c>
      <c r="FP78" s="156">
        <v>0</v>
      </c>
      <c r="FQ78" s="156">
        <v>0</v>
      </c>
      <c r="FR78" s="156">
        <v>0</v>
      </c>
      <c r="FS78" s="156">
        <v>0</v>
      </c>
      <c r="FT78" s="162">
        <v>0</v>
      </c>
      <c r="FU78" s="155">
        <v>0</v>
      </c>
      <c r="FV78" s="156">
        <v>0</v>
      </c>
      <c r="FW78" s="156">
        <v>0</v>
      </c>
      <c r="FX78" s="156">
        <v>0</v>
      </c>
      <c r="FY78" s="156">
        <v>0</v>
      </c>
      <c r="FZ78" s="162">
        <v>0</v>
      </c>
      <c r="GA78" s="161">
        <v>0</v>
      </c>
      <c r="GB78" s="156">
        <v>0</v>
      </c>
      <c r="GC78" s="156">
        <v>0</v>
      </c>
      <c r="GD78" s="156">
        <v>0</v>
      </c>
      <c r="GE78" s="156">
        <v>0</v>
      </c>
      <c r="GF78" s="162">
        <v>0</v>
      </c>
      <c r="GG78" s="158">
        <v>8</v>
      </c>
      <c r="GH78" s="162">
        <v>7</v>
      </c>
      <c r="GI78" s="155">
        <v>0.57142857142857151</v>
      </c>
      <c r="GJ78" s="156">
        <v>0.14285714285714288</v>
      </c>
      <c r="GK78" s="156">
        <v>0.28571428571428575</v>
      </c>
      <c r="GL78" s="156">
        <v>0</v>
      </c>
      <c r="GM78" s="156">
        <v>0</v>
      </c>
      <c r="GN78" s="162">
        <v>7</v>
      </c>
      <c r="GO78" s="155">
        <v>0.5</v>
      </c>
      <c r="GP78" s="156">
        <v>0.25</v>
      </c>
      <c r="GQ78" s="156">
        <v>0.125</v>
      </c>
      <c r="GR78" s="156">
        <v>0.125</v>
      </c>
      <c r="GS78" s="162">
        <v>8</v>
      </c>
      <c r="GT78" s="163">
        <v>3</v>
      </c>
      <c r="GU78" s="162">
        <v>8</v>
      </c>
      <c r="GV78" s="155">
        <v>1</v>
      </c>
      <c r="GW78" s="156">
        <v>0</v>
      </c>
      <c r="GX78" s="162">
        <v>2</v>
      </c>
      <c r="GY78" s="155">
        <v>1</v>
      </c>
      <c r="GZ78" s="156">
        <v>0</v>
      </c>
      <c r="HA78" s="162">
        <v>5</v>
      </c>
      <c r="HB78" s="155">
        <v>1</v>
      </c>
      <c r="HC78" s="156">
        <v>0</v>
      </c>
      <c r="HD78" s="162">
        <v>7</v>
      </c>
      <c r="HE78" s="161">
        <v>1</v>
      </c>
      <c r="HF78" s="156">
        <v>0</v>
      </c>
      <c r="HG78" s="162">
        <v>7</v>
      </c>
      <c r="HH78" s="155">
        <v>0.625</v>
      </c>
      <c r="HI78" s="156">
        <v>0.375</v>
      </c>
      <c r="HJ78" s="162">
        <v>8</v>
      </c>
      <c r="HK78" s="155">
        <v>1</v>
      </c>
      <c r="HL78" s="156">
        <v>0</v>
      </c>
      <c r="HM78" s="162">
        <v>8</v>
      </c>
      <c r="HN78" s="161">
        <v>0</v>
      </c>
      <c r="HO78" s="156">
        <v>0.42857142857142849</v>
      </c>
      <c r="HP78" s="156">
        <v>0</v>
      </c>
      <c r="HQ78" s="156">
        <v>0.57142857142857151</v>
      </c>
      <c r="HR78" s="156">
        <v>0</v>
      </c>
      <c r="HS78" s="160">
        <v>54.857142857142847</v>
      </c>
      <c r="HT78" s="164">
        <v>7</v>
      </c>
      <c r="HU78" s="165">
        <v>0</v>
      </c>
      <c r="HV78" s="166">
        <v>0</v>
      </c>
      <c r="HW78" s="166">
        <v>0</v>
      </c>
      <c r="HX78" s="166">
        <v>0</v>
      </c>
      <c r="HY78" s="166">
        <v>0.42857142857142855</v>
      </c>
      <c r="HZ78" s="166">
        <v>0.14285714285714285</v>
      </c>
      <c r="IA78" s="166">
        <v>0</v>
      </c>
      <c r="IB78" s="166">
        <v>0.14285714285714285</v>
      </c>
      <c r="IC78" s="166">
        <v>0.14285714285714285</v>
      </c>
      <c r="ID78" s="166">
        <v>0.14285714285714285</v>
      </c>
      <c r="IE78" s="167">
        <v>7</v>
      </c>
      <c r="IF78" s="155">
        <v>0</v>
      </c>
      <c r="IG78" s="156">
        <v>0</v>
      </c>
      <c r="IH78" s="156">
        <v>0</v>
      </c>
      <c r="II78" s="156">
        <v>0</v>
      </c>
      <c r="IJ78" s="156">
        <v>0</v>
      </c>
      <c r="IK78" s="162">
        <v>0</v>
      </c>
      <c r="IL78" s="155">
        <v>0</v>
      </c>
      <c r="IM78" s="156">
        <v>0</v>
      </c>
      <c r="IN78" s="156">
        <v>0</v>
      </c>
      <c r="IO78" s="156">
        <v>1</v>
      </c>
      <c r="IP78" s="156">
        <v>0</v>
      </c>
      <c r="IQ78" s="162">
        <v>7</v>
      </c>
      <c r="IR78" s="155">
        <v>0</v>
      </c>
      <c r="IS78" s="156">
        <v>1</v>
      </c>
      <c r="IT78" s="162">
        <v>7</v>
      </c>
      <c r="IU78" s="161">
        <v>0</v>
      </c>
      <c r="IV78" s="156">
        <v>0</v>
      </c>
      <c r="IW78" s="156">
        <v>0</v>
      </c>
      <c r="IX78" s="162">
        <v>0</v>
      </c>
    </row>
    <row r="79" spans="1:258" ht="32.1" customHeight="1" x14ac:dyDescent="0.25">
      <c r="A79" s="110" t="s">
        <v>527</v>
      </c>
      <c r="B79" s="108" t="s">
        <v>527</v>
      </c>
      <c r="C79" s="108" t="s">
        <v>457</v>
      </c>
      <c r="D79" s="109">
        <v>231</v>
      </c>
      <c r="E79" s="139" t="s">
        <v>529</v>
      </c>
      <c r="F79" s="155">
        <v>0.24242424242424238</v>
      </c>
      <c r="G79" s="156">
        <v>0.75757575757575712</v>
      </c>
      <c r="H79" s="157">
        <v>33</v>
      </c>
      <c r="I79" s="155">
        <v>0.72</v>
      </c>
      <c r="J79" s="156">
        <v>0.28000000000000003</v>
      </c>
      <c r="K79" s="157">
        <v>25</v>
      </c>
      <c r="L79" s="155">
        <v>0.75</v>
      </c>
      <c r="M79" s="156">
        <v>0.25000000000000006</v>
      </c>
      <c r="N79" s="157">
        <v>16</v>
      </c>
      <c r="O79" s="155">
        <v>0.81818181818181746</v>
      </c>
      <c r="P79" s="156">
        <v>0</v>
      </c>
      <c r="Q79" s="156">
        <v>3.030303030303028E-2</v>
      </c>
      <c r="R79" s="156">
        <v>6.0606060606060559E-2</v>
      </c>
      <c r="S79" s="156">
        <v>0.2727272727272726</v>
      </c>
      <c r="T79" s="156">
        <v>9.0909090909090842E-2</v>
      </c>
      <c r="U79" s="156">
        <v>0</v>
      </c>
      <c r="V79" s="156">
        <v>9.0909090909090842E-2</v>
      </c>
      <c r="W79" s="156">
        <v>0.21212121212121196</v>
      </c>
      <c r="X79" s="156">
        <v>6.0606060606060559E-2</v>
      </c>
      <c r="Y79" s="157">
        <v>33</v>
      </c>
      <c r="Z79" s="155">
        <v>0.56249999999999989</v>
      </c>
      <c r="AA79" s="156">
        <v>0.87499999999999989</v>
      </c>
      <c r="AB79" s="156">
        <v>0.46874999999999994</v>
      </c>
      <c r="AC79" s="156">
        <v>0.78124999999999989</v>
      </c>
      <c r="AD79" s="156">
        <v>6.2499999999999986E-2</v>
      </c>
      <c r="AE79" s="156">
        <v>6.2499999999999986E-2</v>
      </c>
      <c r="AF79" s="157">
        <v>32</v>
      </c>
      <c r="AG79" s="158">
        <v>9.9999999999999982</v>
      </c>
      <c r="AH79" s="159">
        <v>33</v>
      </c>
      <c r="AI79" s="160">
        <v>9.909090909090903</v>
      </c>
      <c r="AJ79" s="159">
        <v>33</v>
      </c>
      <c r="AK79" s="160">
        <v>9.8181818181818148</v>
      </c>
      <c r="AL79" s="157">
        <v>33</v>
      </c>
      <c r="AM79" s="155">
        <v>0.37499999999999994</v>
      </c>
      <c r="AN79" s="156">
        <v>0.59374999999999989</v>
      </c>
      <c r="AO79" s="156">
        <v>0</v>
      </c>
      <c r="AP79" s="156">
        <v>3.1249999999999997E-2</v>
      </c>
      <c r="AQ79" s="156">
        <v>0</v>
      </c>
      <c r="AR79" s="157">
        <v>32</v>
      </c>
      <c r="AS79" s="155">
        <v>0.90624999999999989</v>
      </c>
      <c r="AT79" s="156">
        <v>6.2499999999999993E-2</v>
      </c>
      <c r="AU79" s="156">
        <v>0</v>
      </c>
      <c r="AV79" s="156">
        <v>3.1249999999999997E-2</v>
      </c>
      <c r="AW79" s="156">
        <v>0</v>
      </c>
      <c r="AX79" s="157">
        <v>32</v>
      </c>
      <c r="AY79" s="155">
        <v>0.96969696969696983</v>
      </c>
      <c r="AZ79" s="156">
        <v>3.0303030303030304E-2</v>
      </c>
      <c r="BA79" s="156">
        <v>0</v>
      </c>
      <c r="BB79" s="156">
        <v>0</v>
      </c>
      <c r="BC79" s="156">
        <v>0</v>
      </c>
      <c r="BD79" s="157">
        <v>33</v>
      </c>
      <c r="BE79" s="155">
        <v>0.87878787878787856</v>
      </c>
      <c r="BF79" s="156">
        <v>9.0909090909090884E-2</v>
      </c>
      <c r="BG79" s="156">
        <v>3.0303030303030304E-2</v>
      </c>
      <c r="BH79" s="156">
        <v>0</v>
      </c>
      <c r="BI79" s="156">
        <v>0</v>
      </c>
      <c r="BJ79" s="157">
        <v>33</v>
      </c>
      <c r="BK79" s="155">
        <v>0.81818181818181812</v>
      </c>
      <c r="BL79" s="156">
        <v>0.18181818181818177</v>
      </c>
      <c r="BM79" s="156">
        <v>0</v>
      </c>
      <c r="BN79" s="156">
        <v>0</v>
      </c>
      <c r="BO79" s="156">
        <v>0</v>
      </c>
      <c r="BP79" s="157">
        <v>33</v>
      </c>
      <c r="BQ79" s="155">
        <v>0.9090909090909095</v>
      </c>
      <c r="BR79" s="156">
        <v>6.0606060606060608E-2</v>
      </c>
      <c r="BS79" s="156">
        <v>3.0303030303030304E-2</v>
      </c>
      <c r="BT79" s="156">
        <v>0</v>
      </c>
      <c r="BU79" s="156">
        <v>0</v>
      </c>
      <c r="BV79" s="157">
        <v>33</v>
      </c>
      <c r="BW79" s="161">
        <v>0.74074074074074059</v>
      </c>
      <c r="BX79" s="156">
        <v>0.2222222222222221</v>
      </c>
      <c r="BY79" s="156">
        <v>0</v>
      </c>
      <c r="BZ79" s="156">
        <v>3.7037037037037063E-2</v>
      </c>
      <c r="CA79" s="156">
        <v>0</v>
      </c>
      <c r="CB79" s="157">
        <v>27</v>
      </c>
      <c r="CC79" s="155">
        <v>0.66666666666666685</v>
      </c>
      <c r="CD79" s="156">
        <v>0.33333333333333343</v>
      </c>
      <c r="CE79" s="156">
        <v>0</v>
      </c>
      <c r="CF79" s="156">
        <v>0</v>
      </c>
      <c r="CG79" s="156">
        <v>0</v>
      </c>
      <c r="CH79" s="162">
        <v>6</v>
      </c>
      <c r="CI79" s="155">
        <v>0.8</v>
      </c>
      <c r="CJ79" s="156">
        <v>0.2</v>
      </c>
      <c r="CK79" s="156">
        <v>0</v>
      </c>
      <c r="CL79" s="156">
        <v>0</v>
      </c>
      <c r="CM79" s="156">
        <v>0</v>
      </c>
      <c r="CN79" s="162">
        <v>5</v>
      </c>
      <c r="CO79" s="155">
        <v>0.42857142857142866</v>
      </c>
      <c r="CP79" s="156">
        <v>0.57142857142857129</v>
      </c>
      <c r="CQ79" s="156">
        <v>0</v>
      </c>
      <c r="CR79" s="156">
        <v>0</v>
      </c>
      <c r="CS79" s="156">
        <v>0</v>
      </c>
      <c r="CT79" s="162">
        <v>21</v>
      </c>
      <c r="CU79" s="155">
        <v>0.43478260869565227</v>
      </c>
      <c r="CV79" s="156">
        <v>0.52173913043478259</v>
      </c>
      <c r="CW79" s="156">
        <v>4.3478260869565209E-2</v>
      </c>
      <c r="CX79" s="156">
        <v>0</v>
      </c>
      <c r="CY79" s="156">
        <v>0</v>
      </c>
      <c r="CZ79" s="162">
        <v>23</v>
      </c>
      <c r="DA79" s="155">
        <v>0.64285714285714235</v>
      </c>
      <c r="DB79" s="156">
        <v>0.35714285714285698</v>
      </c>
      <c r="DC79" s="156">
        <v>0</v>
      </c>
      <c r="DD79" s="156">
        <v>0</v>
      </c>
      <c r="DE79" s="156">
        <v>0</v>
      </c>
      <c r="DF79" s="162">
        <v>14</v>
      </c>
      <c r="DG79" s="155">
        <v>0.58333333333333304</v>
      </c>
      <c r="DH79" s="156">
        <v>0.4166666666666668</v>
      </c>
      <c r="DI79" s="156">
        <v>0</v>
      </c>
      <c r="DJ79" s="156">
        <v>0</v>
      </c>
      <c r="DK79" s="156">
        <v>0</v>
      </c>
      <c r="DL79" s="162">
        <v>12</v>
      </c>
      <c r="DM79" s="155">
        <v>0.875</v>
      </c>
      <c r="DN79" s="156">
        <v>0.12500000000000003</v>
      </c>
      <c r="DO79" s="156">
        <v>0</v>
      </c>
      <c r="DP79" s="156">
        <v>0</v>
      </c>
      <c r="DQ79" s="156">
        <v>0</v>
      </c>
      <c r="DR79" s="162">
        <v>16</v>
      </c>
      <c r="DS79" s="161">
        <v>0.58333333333333304</v>
      </c>
      <c r="DT79" s="156">
        <v>0.1666666666666668</v>
      </c>
      <c r="DU79" s="156">
        <v>0.1666666666666668</v>
      </c>
      <c r="DV79" s="156">
        <v>0</v>
      </c>
      <c r="DW79" s="156">
        <v>8.3333333333333398E-2</v>
      </c>
      <c r="DX79" s="162">
        <v>12</v>
      </c>
      <c r="DY79" s="155">
        <v>1</v>
      </c>
      <c r="DZ79" s="156">
        <v>0</v>
      </c>
      <c r="EA79" s="156">
        <v>0</v>
      </c>
      <c r="EB79" s="156">
        <v>0</v>
      </c>
      <c r="EC79" s="156">
        <v>0</v>
      </c>
      <c r="ED79" s="162">
        <v>33</v>
      </c>
      <c r="EE79" s="155">
        <v>0.75</v>
      </c>
      <c r="EF79" s="156">
        <v>0.1666666666666668</v>
      </c>
      <c r="EG79" s="156">
        <v>8.3333333333333398E-2</v>
      </c>
      <c r="EH79" s="156">
        <v>0</v>
      </c>
      <c r="EI79" s="156">
        <v>0</v>
      </c>
      <c r="EJ79" s="162">
        <v>12</v>
      </c>
      <c r="EK79" s="155">
        <v>0.99999999999999989</v>
      </c>
      <c r="EL79" s="156">
        <v>0</v>
      </c>
      <c r="EM79" s="156">
        <v>0</v>
      </c>
      <c r="EN79" s="156">
        <v>0</v>
      </c>
      <c r="EO79" s="156">
        <v>0</v>
      </c>
      <c r="EP79" s="162">
        <v>10</v>
      </c>
      <c r="EQ79" s="155">
        <v>0.75000000000000011</v>
      </c>
      <c r="ER79" s="156">
        <v>0.20000000000000004</v>
      </c>
      <c r="ES79" s="156">
        <v>0</v>
      </c>
      <c r="ET79" s="156">
        <v>5.000000000000001E-2</v>
      </c>
      <c r="EU79" s="156">
        <v>0</v>
      </c>
      <c r="EV79" s="162">
        <v>20</v>
      </c>
      <c r="EW79" s="155">
        <v>0.9</v>
      </c>
      <c r="EX79" s="156">
        <v>0.10000000000000002</v>
      </c>
      <c r="EY79" s="156">
        <v>0</v>
      </c>
      <c r="EZ79" s="156">
        <v>0</v>
      </c>
      <c r="FA79" s="156">
        <v>0</v>
      </c>
      <c r="FB79" s="162">
        <v>20</v>
      </c>
      <c r="FC79" s="155">
        <v>1</v>
      </c>
      <c r="FD79" s="156">
        <v>0</v>
      </c>
      <c r="FE79" s="156">
        <v>0</v>
      </c>
      <c r="FF79" s="156">
        <v>0</v>
      </c>
      <c r="FG79" s="156">
        <v>0</v>
      </c>
      <c r="FH79" s="162">
        <v>3</v>
      </c>
      <c r="FI79" s="161">
        <v>1</v>
      </c>
      <c r="FJ79" s="156">
        <v>0</v>
      </c>
      <c r="FK79" s="156">
        <v>0</v>
      </c>
      <c r="FL79" s="156">
        <v>0</v>
      </c>
      <c r="FM79" s="156">
        <v>0</v>
      </c>
      <c r="FN79" s="162">
        <v>2</v>
      </c>
      <c r="FO79" s="155">
        <v>0</v>
      </c>
      <c r="FP79" s="156">
        <v>0</v>
      </c>
      <c r="FQ79" s="156">
        <v>0</v>
      </c>
      <c r="FR79" s="156">
        <v>0</v>
      </c>
      <c r="FS79" s="156">
        <v>0</v>
      </c>
      <c r="FT79" s="162">
        <v>0</v>
      </c>
      <c r="FU79" s="155">
        <v>0</v>
      </c>
      <c r="FV79" s="156">
        <v>0</v>
      </c>
      <c r="FW79" s="156">
        <v>0</v>
      </c>
      <c r="FX79" s="156">
        <v>0</v>
      </c>
      <c r="FY79" s="156">
        <v>0</v>
      </c>
      <c r="FZ79" s="162">
        <v>0</v>
      </c>
      <c r="GA79" s="161">
        <v>0</v>
      </c>
      <c r="GB79" s="156">
        <v>0</v>
      </c>
      <c r="GC79" s="156">
        <v>0</v>
      </c>
      <c r="GD79" s="156">
        <v>0</v>
      </c>
      <c r="GE79" s="156">
        <v>0</v>
      </c>
      <c r="GF79" s="162">
        <v>0</v>
      </c>
      <c r="GG79" s="158">
        <v>9.7096774193548381</v>
      </c>
      <c r="GH79" s="162">
        <v>31</v>
      </c>
      <c r="GI79" s="155">
        <v>0.27272727272727254</v>
      </c>
      <c r="GJ79" s="156">
        <v>0.21212121212121207</v>
      </c>
      <c r="GK79" s="156">
        <v>0.45454545454545431</v>
      </c>
      <c r="GL79" s="156">
        <v>6.0606060606060608E-2</v>
      </c>
      <c r="GM79" s="156">
        <v>0</v>
      </c>
      <c r="GN79" s="162">
        <v>33</v>
      </c>
      <c r="GO79" s="155">
        <v>0.45454545454545459</v>
      </c>
      <c r="GP79" s="156">
        <v>0.21212121212121196</v>
      </c>
      <c r="GQ79" s="156">
        <v>9.0909090909090842E-2</v>
      </c>
      <c r="GR79" s="156">
        <v>0.33333333333333326</v>
      </c>
      <c r="GS79" s="162">
        <v>33</v>
      </c>
      <c r="GT79" s="163">
        <v>2.7812499999999996</v>
      </c>
      <c r="GU79" s="162">
        <v>32</v>
      </c>
      <c r="GV79" s="155">
        <v>0.91666666666666641</v>
      </c>
      <c r="GW79" s="156">
        <v>8.3333333333333398E-2</v>
      </c>
      <c r="GX79" s="162">
        <v>12</v>
      </c>
      <c r="GY79" s="155">
        <v>0.95454545454545481</v>
      </c>
      <c r="GZ79" s="156">
        <v>4.5454545454545484E-2</v>
      </c>
      <c r="HA79" s="162">
        <v>22</v>
      </c>
      <c r="HB79" s="155">
        <v>0.93548387096774166</v>
      </c>
      <c r="HC79" s="156">
        <v>6.4516129032258021E-2</v>
      </c>
      <c r="HD79" s="162">
        <v>31</v>
      </c>
      <c r="HE79" s="161">
        <v>0.9047619047619041</v>
      </c>
      <c r="HF79" s="156">
        <v>9.5238095238095205E-2</v>
      </c>
      <c r="HG79" s="162">
        <v>21</v>
      </c>
      <c r="HH79" s="155">
        <v>0.43749999999999994</v>
      </c>
      <c r="HI79" s="156">
        <v>0.56249999999999989</v>
      </c>
      <c r="HJ79" s="162">
        <v>32</v>
      </c>
      <c r="HK79" s="155">
        <v>1.0000000000000002</v>
      </c>
      <c r="HL79" s="156">
        <v>0</v>
      </c>
      <c r="HM79" s="162">
        <v>32</v>
      </c>
      <c r="HN79" s="161">
        <v>0.36666666666666647</v>
      </c>
      <c r="HO79" s="156">
        <v>0.26666666666666639</v>
      </c>
      <c r="HP79" s="156">
        <v>0.19999999999999996</v>
      </c>
      <c r="HQ79" s="156">
        <v>6.6666666666666638E-2</v>
      </c>
      <c r="HR79" s="156">
        <v>9.9999999999999978E-2</v>
      </c>
      <c r="HS79" s="160">
        <v>39.966666666666676</v>
      </c>
      <c r="HT79" s="164">
        <v>30</v>
      </c>
      <c r="HU79" s="165">
        <v>0</v>
      </c>
      <c r="HV79" s="166">
        <v>3.3333333333333333E-2</v>
      </c>
      <c r="HW79" s="166">
        <v>0.1</v>
      </c>
      <c r="HX79" s="166">
        <v>6.6666666666666666E-2</v>
      </c>
      <c r="HY79" s="166">
        <v>0.1</v>
      </c>
      <c r="HZ79" s="166">
        <v>0.1</v>
      </c>
      <c r="IA79" s="166">
        <v>6.6666666666666666E-2</v>
      </c>
      <c r="IB79" s="166">
        <v>0.13333333333333333</v>
      </c>
      <c r="IC79" s="166">
        <v>0.1</v>
      </c>
      <c r="ID79" s="166">
        <v>0.3</v>
      </c>
      <c r="IE79" s="167">
        <v>30</v>
      </c>
      <c r="IF79" s="155">
        <v>0</v>
      </c>
      <c r="IG79" s="156">
        <v>0</v>
      </c>
      <c r="IH79" s="156">
        <v>1</v>
      </c>
      <c r="II79" s="156">
        <v>0</v>
      </c>
      <c r="IJ79" s="156">
        <v>0</v>
      </c>
      <c r="IK79" s="162">
        <v>1</v>
      </c>
      <c r="IL79" s="155">
        <v>0</v>
      </c>
      <c r="IM79" s="156">
        <v>0</v>
      </c>
      <c r="IN79" s="156">
        <v>3.3333333333333319E-2</v>
      </c>
      <c r="IO79" s="156">
        <v>0.96666666666666634</v>
      </c>
      <c r="IP79" s="156">
        <v>0</v>
      </c>
      <c r="IQ79" s="162">
        <v>30</v>
      </c>
      <c r="IR79" s="155">
        <v>0.21874999999999997</v>
      </c>
      <c r="IS79" s="156">
        <v>0.78124999999999989</v>
      </c>
      <c r="IT79" s="162">
        <v>32</v>
      </c>
      <c r="IU79" s="161">
        <v>0</v>
      </c>
      <c r="IV79" s="156">
        <v>0.1428571428571429</v>
      </c>
      <c r="IW79" s="156">
        <v>0.85714285714285698</v>
      </c>
      <c r="IX79" s="162">
        <v>7</v>
      </c>
    </row>
    <row r="80" spans="1:258" ht="32.1" customHeight="1" x14ac:dyDescent="0.25">
      <c r="A80" s="110" t="s">
        <v>527</v>
      </c>
      <c r="B80" s="108" t="s">
        <v>527</v>
      </c>
      <c r="C80" s="108" t="s">
        <v>454</v>
      </c>
      <c r="D80" s="109">
        <v>232</v>
      </c>
      <c r="E80" s="139" t="s">
        <v>530</v>
      </c>
      <c r="F80" s="155">
        <v>0.34545454545454551</v>
      </c>
      <c r="G80" s="156">
        <v>0.65454545454545499</v>
      </c>
      <c r="H80" s="157">
        <v>55</v>
      </c>
      <c r="I80" s="155">
        <v>0.83333333333333437</v>
      </c>
      <c r="J80" s="156">
        <v>0.16666666666666671</v>
      </c>
      <c r="K80" s="157">
        <v>36</v>
      </c>
      <c r="L80" s="155">
        <v>0.53846153846153821</v>
      </c>
      <c r="M80" s="156">
        <v>0.46153846153846168</v>
      </c>
      <c r="N80" s="157">
        <v>26</v>
      </c>
      <c r="O80" s="155">
        <v>0.15789473684210545</v>
      </c>
      <c r="P80" s="156">
        <v>0.10526315789473695</v>
      </c>
      <c r="Q80" s="156">
        <v>0.47368421052631599</v>
      </c>
      <c r="R80" s="156">
        <v>0</v>
      </c>
      <c r="S80" s="156">
        <v>0.24561403508771928</v>
      </c>
      <c r="T80" s="156">
        <v>8.7719298245614113E-2</v>
      </c>
      <c r="U80" s="156">
        <v>0</v>
      </c>
      <c r="V80" s="156">
        <v>5.2631578947368474E-2</v>
      </c>
      <c r="W80" s="156">
        <v>7.0175438596491363E-2</v>
      </c>
      <c r="X80" s="156">
        <v>0.10526315789473695</v>
      </c>
      <c r="Y80" s="157">
        <v>57</v>
      </c>
      <c r="Z80" s="155">
        <v>0.78723404255319229</v>
      </c>
      <c r="AA80" s="156">
        <v>0.42553191489361786</v>
      </c>
      <c r="AB80" s="156">
        <v>0.25531914893617025</v>
      </c>
      <c r="AC80" s="156">
        <v>0.2978723404255324</v>
      </c>
      <c r="AD80" s="156">
        <v>6.3829787234042562E-2</v>
      </c>
      <c r="AE80" s="156">
        <v>0.17021276595744686</v>
      </c>
      <c r="AF80" s="157">
        <v>47</v>
      </c>
      <c r="AG80" s="158">
        <v>9.7586206896551815</v>
      </c>
      <c r="AH80" s="159">
        <v>58</v>
      </c>
      <c r="AI80" s="160">
        <v>10.000000000000004</v>
      </c>
      <c r="AJ80" s="159">
        <v>57</v>
      </c>
      <c r="AK80" s="160">
        <v>10.000000000000004</v>
      </c>
      <c r="AL80" s="157">
        <v>57</v>
      </c>
      <c r="AM80" s="155">
        <v>0.74545454545454559</v>
      </c>
      <c r="AN80" s="156">
        <v>0.21818181818181837</v>
      </c>
      <c r="AO80" s="156">
        <v>0</v>
      </c>
      <c r="AP80" s="156">
        <v>1.8181818181818171E-2</v>
      </c>
      <c r="AQ80" s="156">
        <v>1.8181818181818171E-2</v>
      </c>
      <c r="AR80" s="157">
        <v>55</v>
      </c>
      <c r="AS80" s="155">
        <v>0.93220338983050999</v>
      </c>
      <c r="AT80" s="156">
        <v>6.7796610169491525E-2</v>
      </c>
      <c r="AU80" s="156">
        <v>0</v>
      </c>
      <c r="AV80" s="156">
        <v>0</v>
      </c>
      <c r="AW80" s="156">
        <v>0</v>
      </c>
      <c r="AX80" s="157">
        <v>59</v>
      </c>
      <c r="AY80" s="155">
        <v>1</v>
      </c>
      <c r="AZ80" s="156">
        <v>0</v>
      </c>
      <c r="BA80" s="156">
        <v>0</v>
      </c>
      <c r="BB80" s="156">
        <v>0</v>
      </c>
      <c r="BC80" s="156">
        <v>0</v>
      </c>
      <c r="BD80" s="157">
        <v>59</v>
      </c>
      <c r="BE80" s="155">
        <v>0.94915254237288227</v>
      </c>
      <c r="BF80" s="156">
        <v>5.0847457627118661E-2</v>
      </c>
      <c r="BG80" s="156">
        <v>0</v>
      </c>
      <c r="BH80" s="156">
        <v>0</v>
      </c>
      <c r="BI80" s="156">
        <v>0</v>
      </c>
      <c r="BJ80" s="157">
        <v>59</v>
      </c>
      <c r="BK80" s="155">
        <v>0.94230769230769251</v>
      </c>
      <c r="BL80" s="156">
        <v>5.7692307692307744E-2</v>
      </c>
      <c r="BM80" s="156">
        <v>0</v>
      </c>
      <c r="BN80" s="156">
        <v>0</v>
      </c>
      <c r="BO80" s="156">
        <v>0</v>
      </c>
      <c r="BP80" s="157">
        <v>52</v>
      </c>
      <c r="BQ80" s="155">
        <v>0.96551724137931105</v>
      </c>
      <c r="BR80" s="156">
        <v>3.4482758620689738E-2</v>
      </c>
      <c r="BS80" s="156">
        <v>0</v>
      </c>
      <c r="BT80" s="156">
        <v>0</v>
      </c>
      <c r="BU80" s="156">
        <v>0</v>
      </c>
      <c r="BV80" s="157">
        <v>58</v>
      </c>
      <c r="BW80" s="161">
        <v>0.96</v>
      </c>
      <c r="BX80" s="156">
        <v>3.9999999999999994E-2</v>
      </c>
      <c r="BY80" s="156">
        <v>0</v>
      </c>
      <c r="BZ80" s="156">
        <v>0</v>
      </c>
      <c r="CA80" s="156">
        <v>0</v>
      </c>
      <c r="CB80" s="157">
        <v>25</v>
      </c>
      <c r="CC80" s="155">
        <v>0.71428571428571475</v>
      </c>
      <c r="CD80" s="156">
        <v>0</v>
      </c>
      <c r="CE80" s="156">
        <v>7.1428571428571508E-2</v>
      </c>
      <c r="CF80" s="156">
        <v>0.21428571428571414</v>
      </c>
      <c r="CG80" s="156">
        <v>0</v>
      </c>
      <c r="CH80" s="162">
        <v>14</v>
      </c>
      <c r="CI80" s="155">
        <v>0.66666666666666596</v>
      </c>
      <c r="CJ80" s="156">
        <v>0.16666666666666649</v>
      </c>
      <c r="CK80" s="156">
        <v>0.16666666666666649</v>
      </c>
      <c r="CL80" s="156">
        <v>0</v>
      </c>
      <c r="CM80" s="156">
        <v>0</v>
      </c>
      <c r="CN80" s="162">
        <v>6</v>
      </c>
      <c r="CO80" s="155">
        <v>0.53846153846153821</v>
      </c>
      <c r="CP80" s="156">
        <v>0.30769230769230732</v>
      </c>
      <c r="CQ80" s="156">
        <v>0.15384615384615366</v>
      </c>
      <c r="CR80" s="156">
        <v>0</v>
      </c>
      <c r="CS80" s="156">
        <v>0</v>
      </c>
      <c r="CT80" s="162">
        <v>13</v>
      </c>
      <c r="CU80" s="155">
        <v>0.49999999999999994</v>
      </c>
      <c r="CV80" s="156">
        <v>0.33333333333333298</v>
      </c>
      <c r="CW80" s="156">
        <v>0.16666666666666649</v>
      </c>
      <c r="CX80" s="156">
        <v>0</v>
      </c>
      <c r="CY80" s="156">
        <v>0</v>
      </c>
      <c r="CZ80" s="162">
        <v>12</v>
      </c>
      <c r="DA80" s="155">
        <v>0.6</v>
      </c>
      <c r="DB80" s="156">
        <v>0.3</v>
      </c>
      <c r="DC80" s="156">
        <v>9.9999999999999978E-2</v>
      </c>
      <c r="DD80" s="156">
        <v>0</v>
      </c>
      <c r="DE80" s="156">
        <v>0</v>
      </c>
      <c r="DF80" s="162">
        <v>10</v>
      </c>
      <c r="DG80" s="155">
        <v>0.85714285714285676</v>
      </c>
      <c r="DH80" s="156">
        <v>0</v>
      </c>
      <c r="DI80" s="156">
        <v>0.14285714285714302</v>
      </c>
      <c r="DJ80" s="156">
        <v>0</v>
      </c>
      <c r="DK80" s="156">
        <v>0</v>
      </c>
      <c r="DL80" s="162">
        <v>7</v>
      </c>
      <c r="DM80" s="155">
        <v>0.6</v>
      </c>
      <c r="DN80" s="156">
        <v>0.19999999999999996</v>
      </c>
      <c r="DO80" s="156">
        <v>9.9999999999999978E-2</v>
      </c>
      <c r="DP80" s="156">
        <v>9.9999999999999978E-2</v>
      </c>
      <c r="DQ80" s="156">
        <v>0</v>
      </c>
      <c r="DR80" s="162">
        <v>10</v>
      </c>
      <c r="DS80" s="161">
        <v>0.71428571428571475</v>
      </c>
      <c r="DT80" s="156">
        <v>0.14285714285714302</v>
      </c>
      <c r="DU80" s="156">
        <v>0.14285714285714302</v>
      </c>
      <c r="DV80" s="156">
        <v>0</v>
      </c>
      <c r="DW80" s="156">
        <v>0</v>
      </c>
      <c r="DX80" s="162">
        <v>7</v>
      </c>
      <c r="DY80" s="155">
        <v>0.94230769230769251</v>
      </c>
      <c r="DZ80" s="156">
        <v>5.7692307692307744E-2</v>
      </c>
      <c r="EA80" s="156">
        <v>0</v>
      </c>
      <c r="EB80" s="156">
        <v>0</v>
      </c>
      <c r="EC80" s="156">
        <v>0</v>
      </c>
      <c r="ED80" s="162">
        <v>52</v>
      </c>
      <c r="EE80" s="155">
        <v>0.92592592592592482</v>
      </c>
      <c r="EF80" s="156">
        <v>7.4074074074073945E-2</v>
      </c>
      <c r="EG80" s="156">
        <v>0</v>
      </c>
      <c r="EH80" s="156">
        <v>0</v>
      </c>
      <c r="EI80" s="156">
        <v>0</v>
      </c>
      <c r="EJ80" s="162">
        <v>27</v>
      </c>
      <c r="EK80" s="155">
        <v>0.86956521739130399</v>
      </c>
      <c r="EL80" s="156">
        <v>0.13043478260869543</v>
      </c>
      <c r="EM80" s="156">
        <v>0</v>
      </c>
      <c r="EN80" s="156">
        <v>0</v>
      </c>
      <c r="EO80" s="156">
        <v>0</v>
      </c>
      <c r="EP80" s="162">
        <v>23</v>
      </c>
      <c r="EQ80" s="155">
        <v>0.78571428571428514</v>
      </c>
      <c r="ER80" s="156">
        <v>0.21428571428571414</v>
      </c>
      <c r="ES80" s="156">
        <v>0</v>
      </c>
      <c r="ET80" s="156">
        <v>0</v>
      </c>
      <c r="EU80" s="156">
        <v>0</v>
      </c>
      <c r="EV80" s="162">
        <v>28</v>
      </c>
      <c r="EW80" s="155">
        <v>0.92592592592592482</v>
      </c>
      <c r="EX80" s="156">
        <v>7.4074074074073945E-2</v>
      </c>
      <c r="EY80" s="156">
        <v>0</v>
      </c>
      <c r="EZ80" s="156">
        <v>0</v>
      </c>
      <c r="FA80" s="156">
        <v>0</v>
      </c>
      <c r="FB80" s="162">
        <v>27</v>
      </c>
      <c r="FC80" s="155">
        <v>0.72727272727272663</v>
      </c>
      <c r="FD80" s="156">
        <v>0.18181818181818166</v>
      </c>
      <c r="FE80" s="156">
        <v>9.0909090909090828E-2</v>
      </c>
      <c r="FF80" s="156">
        <v>0</v>
      </c>
      <c r="FG80" s="156">
        <v>0</v>
      </c>
      <c r="FH80" s="162">
        <v>11</v>
      </c>
      <c r="FI80" s="161">
        <v>0.66666666666666596</v>
      </c>
      <c r="FJ80" s="156">
        <v>0.16666666666666649</v>
      </c>
      <c r="FK80" s="156">
        <v>0.16666666666666649</v>
      </c>
      <c r="FL80" s="156">
        <v>0</v>
      </c>
      <c r="FM80" s="156">
        <v>0</v>
      </c>
      <c r="FN80" s="162">
        <v>18</v>
      </c>
      <c r="FO80" s="155">
        <v>0</v>
      </c>
      <c r="FP80" s="156">
        <v>0</v>
      </c>
      <c r="FQ80" s="156">
        <v>0</v>
      </c>
      <c r="FR80" s="156">
        <v>0</v>
      </c>
      <c r="FS80" s="156">
        <v>0</v>
      </c>
      <c r="FT80" s="162">
        <v>0</v>
      </c>
      <c r="FU80" s="155">
        <v>0</v>
      </c>
      <c r="FV80" s="156">
        <v>0</v>
      </c>
      <c r="FW80" s="156">
        <v>0</v>
      </c>
      <c r="FX80" s="156">
        <v>0</v>
      </c>
      <c r="FY80" s="156">
        <v>0</v>
      </c>
      <c r="FZ80" s="162">
        <v>0</v>
      </c>
      <c r="GA80" s="161">
        <v>0</v>
      </c>
      <c r="GB80" s="156">
        <v>0</v>
      </c>
      <c r="GC80" s="156">
        <v>0</v>
      </c>
      <c r="GD80" s="156">
        <v>0</v>
      </c>
      <c r="GE80" s="156">
        <v>0</v>
      </c>
      <c r="GF80" s="162">
        <v>0</v>
      </c>
      <c r="GG80" s="158">
        <v>9.8653846153846327</v>
      </c>
      <c r="GH80" s="162">
        <v>52</v>
      </c>
      <c r="GI80" s="155">
        <v>0.70689655172413868</v>
      </c>
      <c r="GJ80" s="156">
        <v>6.8965517241379476E-2</v>
      </c>
      <c r="GK80" s="156">
        <v>0.18965517241379309</v>
      </c>
      <c r="GL80" s="156">
        <v>0</v>
      </c>
      <c r="GM80" s="156">
        <v>3.4482758620689738E-2</v>
      </c>
      <c r="GN80" s="162">
        <v>58</v>
      </c>
      <c r="GO80" s="155">
        <v>0.47368421052631599</v>
      </c>
      <c r="GP80" s="156">
        <v>0.28070175438596545</v>
      </c>
      <c r="GQ80" s="156">
        <v>0.19298245614035106</v>
      </c>
      <c r="GR80" s="156">
        <v>0.19298245614035106</v>
      </c>
      <c r="GS80" s="162">
        <v>57</v>
      </c>
      <c r="GT80" s="163">
        <v>2.3684210526315792</v>
      </c>
      <c r="GU80" s="162">
        <v>57</v>
      </c>
      <c r="GV80" s="155">
        <v>0.9285714285714286</v>
      </c>
      <c r="GW80" s="156">
        <v>7.1428571428571508E-2</v>
      </c>
      <c r="GX80" s="162">
        <v>14</v>
      </c>
      <c r="GY80" s="155">
        <v>1.0000000000000002</v>
      </c>
      <c r="GZ80" s="156">
        <v>0</v>
      </c>
      <c r="HA80" s="162">
        <v>26</v>
      </c>
      <c r="HB80" s="155">
        <v>0.9722222222222231</v>
      </c>
      <c r="HC80" s="156">
        <v>2.7777777777777742E-2</v>
      </c>
      <c r="HD80" s="162">
        <v>36</v>
      </c>
      <c r="HE80" s="161">
        <v>1</v>
      </c>
      <c r="HF80" s="156">
        <v>0</v>
      </c>
      <c r="HG80" s="162">
        <v>32</v>
      </c>
      <c r="HH80" s="155">
        <v>0.50000000000000033</v>
      </c>
      <c r="HI80" s="156">
        <v>0.50000000000000033</v>
      </c>
      <c r="HJ80" s="162">
        <v>56</v>
      </c>
      <c r="HK80" s="155">
        <v>1</v>
      </c>
      <c r="HL80" s="156">
        <v>0</v>
      </c>
      <c r="HM80" s="162">
        <v>56</v>
      </c>
      <c r="HN80" s="161">
        <v>1.8518518518518514E-2</v>
      </c>
      <c r="HO80" s="156">
        <v>0.18518518518518554</v>
      </c>
      <c r="HP80" s="156">
        <v>0.25925925925925936</v>
      </c>
      <c r="HQ80" s="156">
        <v>0.31481481481481521</v>
      </c>
      <c r="HR80" s="156">
        <v>0.22222222222222243</v>
      </c>
      <c r="HS80" s="160">
        <v>61.31481481481481</v>
      </c>
      <c r="HT80" s="164">
        <v>54</v>
      </c>
      <c r="HU80" s="165">
        <v>0</v>
      </c>
      <c r="HV80" s="166">
        <v>0</v>
      </c>
      <c r="HW80" s="166">
        <v>0</v>
      </c>
      <c r="HX80" s="166">
        <v>0.15384615384615385</v>
      </c>
      <c r="HY80" s="166">
        <v>5.128205128205128E-2</v>
      </c>
      <c r="HZ80" s="166">
        <v>0.15384615384615385</v>
      </c>
      <c r="IA80" s="166">
        <v>0.15384615384615385</v>
      </c>
      <c r="IB80" s="166">
        <v>7.6923076923076927E-2</v>
      </c>
      <c r="IC80" s="166">
        <v>0.17948717948717949</v>
      </c>
      <c r="ID80" s="166">
        <v>0.23076923076923078</v>
      </c>
      <c r="IE80" s="167">
        <v>39</v>
      </c>
      <c r="IF80" s="155">
        <v>0</v>
      </c>
      <c r="IG80" s="156">
        <v>0.11111111111111097</v>
      </c>
      <c r="IH80" s="156">
        <v>0.55555555555555625</v>
      </c>
      <c r="II80" s="156">
        <v>0</v>
      </c>
      <c r="IJ80" s="156">
        <v>0.33333333333333298</v>
      </c>
      <c r="IK80" s="162">
        <v>9</v>
      </c>
      <c r="IL80" s="155">
        <v>0</v>
      </c>
      <c r="IM80" s="156">
        <v>0</v>
      </c>
      <c r="IN80" s="156">
        <v>5.4545454545454591E-2</v>
      </c>
      <c r="IO80" s="156">
        <v>0.94545454545454644</v>
      </c>
      <c r="IP80" s="156">
        <v>0</v>
      </c>
      <c r="IQ80" s="162">
        <v>55</v>
      </c>
      <c r="IR80" s="155">
        <v>0.12727272727272745</v>
      </c>
      <c r="IS80" s="156">
        <v>0.87272727272727291</v>
      </c>
      <c r="IT80" s="162">
        <v>55</v>
      </c>
      <c r="IU80" s="161">
        <v>0</v>
      </c>
      <c r="IV80" s="156">
        <v>0</v>
      </c>
      <c r="IW80" s="156">
        <v>1</v>
      </c>
      <c r="IX80" s="162">
        <v>7</v>
      </c>
    </row>
    <row r="81" spans="1:258" ht="32.1" customHeight="1" x14ac:dyDescent="0.25">
      <c r="A81" s="110" t="s">
        <v>527</v>
      </c>
      <c r="B81" s="108" t="s">
        <v>527</v>
      </c>
      <c r="C81" s="108" t="s">
        <v>480</v>
      </c>
      <c r="D81" s="109">
        <v>233</v>
      </c>
      <c r="E81" s="139" t="s">
        <v>531</v>
      </c>
      <c r="F81" s="155">
        <v>6.8181818181818135E-2</v>
      </c>
      <c r="G81" s="156">
        <v>0.93181818181818099</v>
      </c>
      <c r="H81" s="157">
        <v>44</v>
      </c>
      <c r="I81" s="155">
        <v>0.74999999999999989</v>
      </c>
      <c r="J81" s="156">
        <v>0.25000000000000006</v>
      </c>
      <c r="K81" s="157">
        <v>40</v>
      </c>
      <c r="L81" s="155">
        <v>0.56666666666666732</v>
      </c>
      <c r="M81" s="156">
        <v>0.43333333333333335</v>
      </c>
      <c r="N81" s="157">
        <v>30</v>
      </c>
      <c r="O81" s="155">
        <v>0.7777777777777779</v>
      </c>
      <c r="P81" s="156">
        <v>0</v>
      </c>
      <c r="Q81" s="156">
        <v>0.13333333333333344</v>
      </c>
      <c r="R81" s="156">
        <v>2.2222222222222233E-2</v>
      </c>
      <c r="S81" s="156">
        <v>8.8888888888888934E-2</v>
      </c>
      <c r="T81" s="156">
        <v>4.4444444444444495E-2</v>
      </c>
      <c r="U81" s="156">
        <v>0</v>
      </c>
      <c r="V81" s="156">
        <v>8.8888888888888934E-2</v>
      </c>
      <c r="W81" s="156">
        <v>0.2222222222222221</v>
      </c>
      <c r="X81" s="156">
        <v>6.6666666666666721E-2</v>
      </c>
      <c r="Y81" s="157">
        <v>45</v>
      </c>
      <c r="Z81" s="155">
        <v>0.79545454545454597</v>
      </c>
      <c r="AA81" s="156">
        <v>0.49999999999999994</v>
      </c>
      <c r="AB81" s="156">
        <v>0.63636363636363646</v>
      </c>
      <c r="AC81" s="156">
        <v>0.79545454545454597</v>
      </c>
      <c r="AD81" s="156">
        <v>0.15909090909090914</v>
      </c>
      <c r="AE81" s="156">
        <v>0.11363636363636359</v>
      </c>
      <c r="AF81" s="157">
        <v>44</v>
      </c>
      <c r="AG81" s="158">
        <v>9.8181818181818166</v>
      </c>
      <c r="AH81" s="159">
        <v>44</v>
      </c>
      <c r="AI81" s="160">
        <v>9.6363636363636314</v>
      </c>
      <c r="AJ81" s="159">
        <v>44</v>
      </c>
      <c r="AK81" s="160">
        <v>9.744186046511631</v>
      </c>
      <c r="AL81" s="157">
        <v>43</v>
      </c>
      <c r="AM81" s="155">
        <v>0.688888888888888</v>
      </c>
      <c r="AN81" s="156">
        <v>0.31111111111111089</v>
      </c>
      <c r="AO81" s="156">
        <v>0</v>
      </c>
      <c r="AP81" s="156">
        <v>0</v>
      </c>
      <c r="AQ81" s="156">
        <v>0</v>
      </c>
      <c r="AR81" s="157">
        <v>45</v>
      </c>
      <c r="AS81" s="155">
        <v>0.91111111111111187</v>
      </c>
      <c r="AT81" s="156">
        <v>8.8888888888888962E-2</v>
      </c>
      <c r="AU81" s="156">
        <v>0</v>
      </c>
      <c r="AV81" s="156">
        <v>0</v>
      </c>
      <c r="AW81" s="156">
        <v>0</v>
      </c>
      <c r="AX81" s="157">
        <v>45</v>
      </c>
      <c r="AY81" s="155">
        <v>0.93333333333333368</v>
      </c>
      <c r="AZ81" s="156">
        <v>6.6666666666666666E-2</v>
      </c>
      <c r="BA81" s="156">
        <v>0</v>
      </c>
      <c r="BB81" s="156">
        <v>0</v>
      </c>
      <c r="BC81" s="156">
        <v>0</v>
      </c>
      <c r="BD81" s="157">
        <v>45</v>
      </c>
      <c r="BE81" s="155">
        <v>0.88888888888888795</v>
      </c>
      <c r="BF81" s="156">
        <v>0.11111111111111099</v>
      </c>
      <c r="BG81" s="156">
        <v>0</v>
      </c>
      <c r="BH81" s="156">
        <v>0</v>
      </c>
      <c r="BI81" s="156">
        <v>0</v>
      </c>
      <c r="BJ81" s="157">
        <v>45</v>
      </c>
      <c r="BK81" s="155">
        <v>0.73333333333333361</v>
      </c>
      <c r="BL81" s="156">
        <v>0.24444444444444444</v>
      </c>
      <c r="BM81" s="156">
        <v>0</v>
      </c>
      <c r="BN81" s="156">
        <v>2.222222222222224E-2</v>
      </c>
      <c r="BO81" s="156">
        <v>0</v>
      </c>
      <c r="BP81" s="157">
        <v>45</v>
      </c>
      <c r="BQ81" s="155">
        <v>0.84090909090909027</v>
      </c>
      <c r="BR81" s="156">
        <v>0.13636363636363627</v>
      </c>
      <c r="BS81" s="156">
        <v>2.2727272727272707E-2</v>
      </c>
      <c r="BT81" s="156">
        <v>0</v>
      </c>
      <c r="BU81" s="156">
        <v>0</v>
      </c>
      <c r="BV81" s="157">
        <v>44</v>
      </c>
      <c r="BW81" s="161">
        <v>0.6785714285714296</v>
      </c>
      <c r="BX81" s="156">
        <v>0.25000000000000006</v>
      </c>
      <c r="BY81" s="156">
        <v>3.5714285714285747E-2</v>
      </c>
      <c r="BZ81" s="156">
        <v>3.5714285714285747E-2</v>
      </c>
      <c r="CA81" s="156">
        <v>0</v>
      </c>
      <c r="CB81" s="157">
        <v>28</v>
      </c>
      <c r="CC81" s="155">
        <v>0.85714285714285754</v>
      </c>
      <c r="CD81" s="156">
        <v>0.1428571428571429</v>
      </c>
      <c r="CE81" s="156">
        <v>0</v>
      </c>
      <c r="CF81" s="156">
        <v>0</v>
      </c>
      <c r="CG81" s="156">
        <v>0</v>
      </c>
      <c r="CH81" s="162">
        <v>7</v>
      </c>
      <c r="CI81" s="155">
        <v>0.80000000000000016</v>
      </c>
      <c r="CJ81" s="156">
        <v>0.20000000000000004</v>
      </c>
      <c r="CK81" s="156">
        <v>0</v>
      </c>
      <c r="CL81" s="156">
        <v>0</v>
      </c>
      <c r="CM81" s="156">
        <v>0</v>
      </c>
      <c r="CN81" s="162">
        <v>5</v>
      </c>
      <c r="CO81" s="155">
        <v>0.33333333333333326</v>
      </c>
      <c r="CP81" s="156">
        <v>0.56410256410256354</v>
      </c>
      <c r="CQ81" s="156">
        <v>5.1282051282051329E-2</v>
      </c>
      <c r="CR81" s="156">
        <v>5.1282051282051329E-2</v>
      </c>
      <c r="CS81" s="156">
        <v>0</v>
      </c>
      <c r="CT81" s="162">
        <v>39</v>
      </c>
      <c r="CU81" s="155">
        <v>0.39473684210526305</v>
      </c>
      <c r="CV81" s="156">
        <v>0.47368421052631626</v>
      </c>
      <c r="CW81" s="156">
        <v>0.10526315789473696</v>
      </c>
      <c r="CX81" s="156">
        <v>2.631578947368424E-2</v>
      </c>
      <c r="CY81" s="156">
        <v>0</v>
      </c>
      <c r="CZ81" s="162">
        <v>38</v>
      </c>
      <c r="DA81" s="155">
        <v>0.57142857142857162</v>
      </c>
      <c r="DB81" s="156">
        <v>0.33333333333333326</v>
      </c>
      <c r="DC81" s="156">
        <v>9.5238095238095219E-2</v>
      </c>
      <c r="DD81" s="156">
        <v>0</v>
      </c>
      <c r="DE81" s="156">
        <v>0</v>
      </c>
      <c r="DF81" s="162">
        <v>21</v>
      </c>
      <c r="DG81" s="155">
        <v>0.5</v>
      </c>
      <c r="DH81" s="156">
        <v>0.41666666666666691</v>
      </c>
      <c r="DI81" s="156">
        <v>8.3333333333333301E-2</v>
      </c>
      <c r="DJ81" s="156">
        <v>0</v>
      </c>
      <c r="DK81" s="156">
        <v>0</v>
      </c>
      <c r="DL81" s="162">
        <v>12</v>
      </c>
      <c r="DM81" s="155">
        <v>0.79411764705882404</v>
      </c>
      <c r="DN81" s="156">
        <v>8.8235294117647009E-2</v>
      </c>
      <c r="DO81" s="156">
        <v>0.1176470588235294</v>
      </c>
      <c r="DP81" s="156">
        <v>0</v>
      </c>
      <c r="DQ81" s="156">
        <v>0</v>
      </c>
      <c r="DR81" s="162">
        <v>34</v>
      </c>
      <c r="DS81" s="161">
        <v>0.87500000000000011</v>
      </c>
      <c r="DT81" s="156">
        <v>0.12500000000000003</v>
      </c>
      <c r="DU81" s="156">
        <v>0</v>
      </c>
      <c r="DV81" s="156">
        <v>0</v>
      </c>
      <c r="DW81" s="156">
        <v>0</v>
      </c>
      <c r="DX81" s="162">
        <v>24</v>
      </c>
      <c r="DY81" s="155">
        <v>0.97777777777777775</v>
      </c>
      <c r="DZ81" s="156">
        <v>2.222222222222224E-2</v>
      </c>
      <c r="EA81" s="156">
        <v>0</v>
      </c>
      <c r="EB81" s="156">
        <v>0</v>
      </c>
      <c r="EC81" s="156">
        <v>0</v>
      </c>
      <c r="ED81" s="162">
        <v>45</v>
      </c>
      <c r="EE81" s="155">
        <v>0.53846153846153821</v>
      </c>
      <c r="EF81" s="156">
        <v>0.30769230769230738</v>
      </c>
      <c r="EG81" s="156">
        <v>0.15384615384615369</v>
      </c>
      <c r="EH81" s="156">
        <v>0</v>
      </c>
      <c r="EI81" s="156">
        <v>0</v>
      </c>
      <c r="EJ81" s="162">
        <v>13</v>
      </c>
      <c r="EK81" s="155">
        <v>0.7</v>
      </c>
      <c r="EL81" s="156">
        <v>0.20000000000000004</v>
      </c>
      <c r="EM81" s="156">
        <v>0.10000000000000002</v>
      </c>
      <c r="EN81" s="156">
        <v>0</v>
      </c>
      <c r="EO81" s="156">
        <v>0</v>
      </c>
      <c r="EP81" s="162">
        <v>10</v>
      </c>
      <c r="EQ81" s="155">
        <v>0.57142857142857162</v>
      </c>
      <c r="ER81" s="156">
        <v>0.28571428571428581</v>
      </c>
      <c r="ES81" s="156">
        <v>7.1428571428571452E-2</v>
      </c>
      <c r="ET81" s="156">
        <v>7.1428571428571452E-2</v>
      </c>
      <c r="EU81" s="156">
        <v>0</v>
      </c>
      <c r="EV81" s="162">
        <v>42</v>
      </c>
      <c r="EW81" s="155">
        <v>0.83720930232558177</v>
      </c>
      <c r="EX81" s="156">
        <v>0.13953488372093031</v>
      </c>
      <c r="EY81" s="156">
        <v>0</v>
      </c>
      <c r="EZ81" s="156">
        <v>2.3255813953488351E-2</v>
      </c>
      <c r="FA81" s="156">
        <v>0</v>
      </c>
      <c r="FB81" s="162">
        <v>43</v>
      </c>
      <c r="FC81" s="155">
        <v>0.40000000000000008</v>
      </c>
      <c r="FD81" s="156">
        <v>0.6</v>
      </c>
      <c r="FE81" s="156">
        <v>0</v>
      </c>
      <c r="FF81" s="156">
        <v>0</v>
      </c>
      <c r="FG81" s="156">
        <v>0</v>
      </c>
      <c r="FH81" s="162">
        <v>5</v>
      </c>
      <c r="FI81" s="161">
        <v>0.66666666666666641</v>
      </c>
      <c r="FJ81" s="156">
        <v>0</v>
      </c>
      <c r="FK81" s="156">
        <v>0.3333333333333332</v>
      </c>
      <c r="FL81" s="156">
        <v>0</v>
      </c>
      <c r="FM81" s="156">
        <v>0</v>
      </c>
      <c r="FN81" s="162">
        <v>3</v>
      </c>
      <c r="FO81" s="155">
        <v>0</v>
      </c>
      <c r="FP81" s="156">
        <v>0</v>
      </c>
      <c r="FQ81" s="156">
        <v>0</v>
      </c>
      <c r="FR81" s="156">
        <v>0</v>
      </c>
      <c r="FS81" s="156">
        <v>0</v>
      </c>
      <c r="FT81" s="162">
        <v>0</v>
      </c>
      <c r="FU81" s="155">
        <v>0</v>
      </c>
      <c r="FV81" s="156">
        <v>0</v>
      </c>
      <c r="FW81" s="156">
        <v>0</v>
      </c>
      <c r="FX81" s="156">
        <v>0</v>
      </c>
      <c r="FY81" s="156">
        <v>0</v>
      </c>
      <c r="FZ81" s="162">
        <v>0</v>
      </c>
      <c r="GA81" s="161">
        <v>0</v>
      </c>
      <c r="GB81" s="156">
        <v>0</v>
      </c>
      <c r="GC81" s="156">
        <v>0</v>
      </c>
      <c r="GD81" s="156">
        <v>0</v>
      </c>
      <c r="GE81" s="156">
        <v>0</v>
      </c>
      <c r="GF81" s="162">
        <v>0</v>
      </c>
      <c r="GG81" s="158">
        <v>9.372093023255827</v>
      </c>
      <c r="GH81" s="162">
        <v>43</v>
      </c>
      <c r="GI81" s="155">
        <v>2.222222222222224E-2</v>
      </c>
      <c r="GJ81" s="156">
        <v>0.55555555555555514</v>
      </c>
      <c r="GK81" s="156">
        <v>0.4</v>
      </c>
      <c r="GL81" s="156">
        <v>0</v>
      </c>
      <c r="GM81" s="156">
        <v>2.222222222222224E-2</v>
      </c>
      <c r="GN81" s="162">
        <v>45</v>
      </c>
      <c r="GO81" s="155">
        <v>0.4</v>
      </c>
      <c r="GP81" s="156">
        <v>0.24444444444444421</v>
      </c>
      <c r="GQ81" s="156">
        <v>0.17777777777777787</v>
      </c>
      <c r="GR81" s="156">
        <v>0.33333333333333354</v>
      </c>
      <c r="GS81" s="162">
        <v>45</v>
      </c>
      <c r="GT81" s="163">
        <v>4.1777777777777763</v>
      </c>
      <c r="GU81" s="162">
        <v>45</v>
      </c>
      <c r="GV81" s="155">
        <v>0.88235294117646956</v>
      </c>
      <c r="GW81" s="156">
        <v>0.11764705882352933</v>
      </c>
      <c r="GX81" s="162">
        <v>17</v>
      </c>
      <c r="GY81" s="155">
        <v>1</v>
      </c>
      <c r="GZ81" s="156">
        <v>0</v>
      </c>
      <c r="HA81" s="162">
        <v>20</v>
      </c>
      <c r="HB81" s="155">
        <v>1</v>
      </c>
      <c r="HC81" s="156">
        <v>0</v>
      </c>
      <c r="HD81" s="162">
        <v>36</v>
      </c>
      <c r="HE81" s="161">
        <v>0.90625000000000011</v>
      </c>
      <c r="HF81" s="156">
        <v>9.3750000000000014E-2</v>
      </c>
      <c r="HG81" s="162">
        <v>32</v>
      </c>
      <c r="HH81" s="155">
        <v>0.5</v>
      </c>
      <c r="HI81" s="156">
        <v>0.5</v>
      </c>
      <c r="HJ81" s="162">
        <v>40</v>
      </c>
      <c r="HK81" s="155">
        <v>0.97435897435897445</v>
      </c>
      <c r="HL81" s="156">
        <v>2.5641025641025664E-2</v>
      </c>
      <c r="HM81" s="162">
        <v>39</v>
      </c>
      <c r="HN81" s="161">
        <v>0.10526315789473696</v>
      </c>
      <c r="HO81" s="156">
        <v>0.36842105263157909</v>
      </c>
      <c r="HP81" s="156">
        <v>0.31578947368421045</v>
      </c>
      <c r="HQ81" s="156">
        <v>0.15789473684210523</v>
      </c>
      <c r="HR81" s="156">
        <v>5.2631578947368481E-2</v>
      </c>
      <c r="HS81" s="160">
        <v>47.18421052631583</v>
      </c>
      <c r="HT81" s="164">
        <v>38</v>
      </c>
      <c r="HU81" s="165">
        <v>0</v>
      </c>
      <c r="HV81" s="166">
        <v>0.12</v>
      </c>
      <c r="HW81" s="166">
        <v>0.08</v>
      </c>
      <c r="HX81" s="166">
        <v>0.12</v>
      </c>
      <c r="HY81" s="166">
        <v>0.08</v>
      </c>
      <c r="HZ81" s="166">
        <v>0.08</v>
      </c>
      <c r="IA81" s="166">
        <v>0.2</v>
      </c>
      <c r="IB81" s="166">
        <v>0.08</v>
      </c>
      <c r="IC81" s="166">
        <v>0.08</v>
      </c>
      <c r="ID81" s="166">
        <v>0.16</v>
      </c>
      <c r="IE81" s="167">
        <v>25</v>
      </c>
      <c r="IF81" s="155">
        <v>0</v>
      </c>
      <c r="IG81" s="156">
        <v>0.10000000000000002</v>
      </c>
      <c r="IH81" s="156">
        <v>0.7</v>
      </c>
      <c r="II81" s="156">
        <v>0.10000000000000002</v>
      </c>
      <c r="IJ81" s="156">
        <v>0.10000000000000002</v>
      </c>
      <c r="IK81" s="162">
        <v>10</v>
      </c>
      <c r="IL81" s="155">
        <v>5.1282051282051329E-2</v>
      </c>
      <c r="IM81" s="156">
        <v>0</v>
      </c>
      <c r="IN81" s="156">
        <v>2.5641025641025664E-2</v>
      </c>
      <c r="IO81" s="156">
        <v>0.89743589743589813</v>
      </c>
      <c r="IP81" s="156">
        <v>2.5641025641025664E-2</v>
      </c>
      <c r="IQ81" s="162">
        <v>39</v>
      </c>
      <c r="IR81" s="155">
        <v>0.17500000000000004</v>
      </c>
      <c r="IS81" s="156">
        <v>0.82499999999999984</v>
      </c>
      <c r="IT81" s="162">
        <v>40</v>
      </c>
      <c r="IU81" s="161">
        <v>0</v>
      </c>
      <c r="IV81" s="156">
        <v>0.14285714285714288</v>
      </c>
      <c r="IW81" s="156">
        <v>0.85714285714285698</v>
      </c>
      <c r="IX81" s="162">
        <v>7</v>
      </c>
    </row>
    <row r="82" spans="1:258" ht="32.1" customHeight="1" x14ac:dyDescent="0.25">
      <c r="A82" s="110" t="s">
        <v>527</v>
      </c>
      <c r="B82" s="108" t="s">
        <v>527</v>
      </c>
      <c r="C82" s="108" t="s">
        <v>454</v>
      </c>
      <c r="D82" s="109">
        <v>243</v>
      </c>
      <c r="E82" s="139" t="s">
        <v>532</v>
      </c>
      <c r="F82" s="155">
        <v>0.36885245901639402</v>
      </c>
      <c r="G82" s="156">
        <v>0.63114754098360937</v>
      </c>
      <c r="H82" s="157">
        <v>122</v>
      </c>
      <c r="I82" s="155">
        <v>0.90666666666666762</v>
      </c>
      <c r="J82" s="156">
        <v>9.3333333333333324E-2</v>
      </c>
      <c r="K82" s="157">
        <v>75</v>
      </c>
      <c r="L82" s="155">
        <v>0.46031746031746013</v>
      </c>
      <c r="M82" s="156">
        <v>0.53968253968253943</v>
      </c>
      <c r="N82" s="157">
        <v>63</v>
      </c>
      <c r="O82" s="155">
        <v>0.27642276422764261</v>
      </c>
      <c r="P82" s="156">
        <v>0.41463414634146334</v>
      </c>
      <c r="Q82" s="156">
        <v>0.30894308943089482</v>
      </c>
      <c r="R82" s="156">
        <v>1.6260162601626053E-2</v>
      </c>
      <c r="S82" s="156">
        <v>0.21138211382113806</v>
      </c>
      <c r="T82" s="156">
        <v>8.1300813008130263E-3</v>
      </c>
      <c r="U82" s="156">
        <v>0</v>
      </c>
      <c r="V82" s="156">
        <v>8.943089430894334E-2</v>
      </c>
      <c r="W82" s="156">
        <v>4.8780487804878099E-2</v>
      </c>
      <c r="X82" s="156">
        <v>4.8780487804878099E-2</v>
      </c>
      <c r="Y82" s="157">
        <v>123</v>
      </c>
      <c r="Z82" s="155">
        <v>0.46721311475410043</v>
      </c>
      <c r="AA82" s="156">
        <v>0.81967213114754156</v>
      </c>
      <c r="AB82" s="156">
        <v>0.25409836065573832</v>
      </c>
      <c r="AC82" s="156">
        <v>0.16393442622950863</v>
      </c>
      <c r="AD82" s="156">
        <v>4.098360655737715E-2</v>
      </c>
      <c r="AE82" s="156">
        <v>0.13934426229508251</v>
      </c>
      <c r="AF82" s="157">
        <v>122</v>
      </c>
      <c r="AG82" s="158">
        <v>9.8595041322314287</v>
      </c>
      <c r="AH82" s="159">
        <v>121</v>
      </c>
      <c r="AI82" s="160">
        <v>9.9586776859503949</v>
      </c>
      <c r="AJ82" s="159">
        <v>121</v>
      </c>
      <c r="AK82" s="160">
        <v>9.9249999999999758</v>
      </c>
      <c r="AL82" s="157">
        <v>120</v>
      </c>
      <c r="AM82" s="155">
        <v>0.50406504065040902</v>
      </c>
      <c r="AN82" s="156">
        <v>0.3495934959349597</v>
      </c>
      <c r="AO82" s="156">
        <v>5.6910569105691221E-2</v>
      </c>
      <c r="AP82" s="156">
        <v>7.3170731707317305E-2</v>
      </c>
      <c r="AQ82" s="156">
        <v>1.6260162601626015E-2</v>
      </c>
      <c r="AR82" s="157">
        <v>123</v>
      </c>
      <c r="AS82" s="155">
        <v>0.81451612903225934</v>
      </c>
      <c r="AT82" s="156">
        <v>0.16935483870967791</v>
      </c>
      <c r="AU82" s="156">
        <v>8.0645161290322769E-3</v>
      </c>
      <c r="AV82" s="156">
        <v>8.0645161290322769E-3</v>
      </c>
      <c r="AW82" s="156">
        <v>0</v>
      </c>
      <c r="AX82" s="157">
        <v>124</v>
      </c>
      <c r="AY82" s="155">
        <v>0.77235772357723675</v>
      </c>
      <c r="AZ82" s="156">
        <v>0.20325203252032545</v>
      </c>
      <c r="BA82" s="156">
        <v>2.4390243902439025E-2</v>
      </c>
      <c r="BB82" s="156">
        <v>0</v>
      </c>
      <c r="BC82" s="156">
        <v>0</v>
      </c>
      <c r="BD82" s="157">
        <v>123</v>
      </c>
      <c r="BE82" s="155">
        <v>0.78399999999999825</v>
      </c>
      <c r="BF82" s="156">
        <v>0.19200000000000003</v>
      </c>
      <c r="BG82" s="156">
        <v>1.6000000000000011E-2</v>
      </c>
      <c r="BH82" s="156">
        <v>8.0000000000000054E-3</v>
      </c>
      <c r="BI82" s="156">
        <v>0</v>
      </c>
      <c r="BJ82" s="157">
        <v>125</v>
      </c>
      <c r="BK82" s="155">
        <v>0.72321428571428692</v>
      </c>
      <c r="BL82" s="156">
        <v>0.2410714285714281</v>
      </c>
      <c r="BM82" s="156">
        <v>2.6785714285714395E-2</v>
      </c>
      <c r="BN82" s="156">
        <v>8.9285714285714194E-3</v>
      </c>
      <c r="BO82" s="156">
        <v>0</v>
      </c>
      <c r="BP82" s="157">
        <v>112</v>
      </c>
      <c r="BQ82" s="155">
        <v>0.84799999999999942</v>
      </c>
      <c r="BR82" s="156">
        <v>0.13599999999999976</v>
      </c>
      <c r="BS82" s="156">
        <v>1.6000000000000011E-2</v>
      </c>
      <c r="BT82" s="156">
        <v>0</v>
      </c>
      <c r="BU82" s="156">
        <v>0</v>
      </c>
      <c r="BV82" s="157">
        <v>125</v>
      </c>
      <c r="BW82" s="161">
        <v>0.63888888888888873</v>
      </c>
      <c r="BX82" s="156">
        <v>0.27777777777777823</v>
      </c>
      <c r="BY82" s="156">
        <v>4.6296296296296301E-2</v>
      </c>
      <c r="BZ82" s="156">
        <v>2.7777777777777755E-2</v>
      </c>
      <c r="CA82" s="156">
        <v>9.2592592592592466E-3</v>
      </c>
      <c r="CB82" s="157">
        <v>108</v>
      </c>
      <c r="CC82" s="155">
        <v>0.71428571428571441</v>
      </c>
      <c r="CD82" s="156">
        <v>0.22857142857142818</v>
      </c>
      <c r="CE82" s="156">
        <v>5.7142857142857044E-2</v>
      </c>
      <c r="CF82" s="156">
        <v>0</v>
      </c>
      <c r="CG82" s="156">
        <v>0</v>
      </c>
      <c r="CH82" s="162">
        <v>35</v>
      </c>
      <c r="CI82" s="155">
        <v>0.56250000000000011</v>
      </c>
      <c r="CJ82" s="156">
        <v>0.37500000000000006</v>
      </c>
      <c r="CK82" s="156">
        <v>6.2500000000000014E-2</v>
      </c>
      <c r="CL82" s="156">
        <v>0</v>
      </c>
      <c r="CM82" s="156">
        <v>0</v>
      </c>
      <c r="CN82" s="162">
        <v>32</v>
      </c>
      <c r="CO82" s="155">
        <v>0.43750000000000006</v>
      </c>
      <c r="CP82" s="156">
        <v>0.21875000000000003</v>
      </c>
      <c r="CQ82" s="156">
        <v>0.21875000000000003</v>
      </c>
      <c r="CR82" s="156">
        <v>6.2500000000000014E-2</v>
      </c>
      <c r="CS82" s="156">
        <v>6.2500000000000014E-2</v>
      </c>
      <c r="CT82" s="162">
        <v>32</v>
      </c>
      <c r="CU82" s="155">
        <v>0.46875000000000006</v>
      </c>
      <c r="CV82" s="156">
        <v>0.21875000000000003</v>
      </c>
      <c r="CW82" s="156">
        <v>0.15625000000000003</v>
      </c>
      <c r="CX82" s="156">
        <v>9.3750000000000014E-2</v>
      </c>
      <c r="CY82" s="156">
        <v>6.2500000000000014E-2</v>
      </c>
      <c r="CZ82" s="162">
        <v>32</v>
      </c>
      <c r="DA82" s="155">
        <v>0.46666666666666728</v>
      </c>
      <c r="DB82" s="156">
        <v>0.23333333333333361</v>
      </c>
      <c r="DC82" s="156">
        <v>0.2</v>
      </c>
      <c r="DD82" s="156">
        <v>6.6666666666666569E-2</v>
      </c>
      <c r="DE82" s="156">
        <v>3.3333333333333284E-2</v>
      </c>
      <c r="DF82" s="162">
        <v>30</v>
      </c>
      <c r="DG82" s="155">
        <v>0.51612903225806572</v>
      </c>
      <c r="DH82" s="156">
        <v>0.2258064516129028</v>
      </c>
      <c r="DI82" s="156">
        <v>0.16129032258064568</v>
      </c>
      <c r="DJ82" s="156">
        <v>6.4516129032258174E-2</v>
      </c>
      <c r="DK82" s="156">
        <v>3.2258064516129087E-2</v>
      </c>
      <c r="DL82" s="162">
        <v>31</v>
      </c>
      <c r="DM82" s="155">
        <v>0.7352941176470611</v>
      </c>
      <c r="DN82" s="156">
        <v>0.17647058823529438</v>
      </c>
      <c r="DO82" s="156">
        <v>0</v>
      </c>
      <c r="DP82" s="156">
        <v>2.9411764705882328E-2</v>
      </c>
      <c r="DQ82" s="156">
        <v>5.8823529411764656E-2</v>
      </c>
      <c r="DR82" s="162">
        <v>34</v>
      </c>
      <c r="DS82" s="161">
        <v>0.41176470588235203</v>
      </c>
      <c r="DT82" s="156">
        <v>0.1176470588235293</v>
      </c>
      <c r="DU82" s="156">
        <v>0.29411764705882404</v>
      </c>
      <c r="DV82" s="156">
        <v>0.17647058823529435</v>
      </c>
      <c r="DW82" s="156">
        <v>0</v>
      </c>
      <c r="DX82" s="162">
        <v>17</v>
      </c>
      <c r="DY82" s="155">
        <v>0.91304347826087251</v>
      </c>
      <c r="DZ82" s="156">
        <v>8.6956521739130294E-2</v>
      </c>
      <c r="EA82" s="156">
        <v>0</v>
      </c>
      <c r="EB82" s="156">
        <v>0</v>
      </c>
      <c r="EC82" s="156">
        <v>0</v>
      </c>
      <c r="ED82" s="162">
        <v>115</v>
      </c>
      <c r="EE82" s="155">
        <v>0.76923076923076839</v>
      </c>
      <c r="EF82" s="156">
        <v>0.17948717948717949</v>
      </c>
      <c r="EG82" s="156">
        <v>5.1282051282051169E-2</v>
      </c>
      <c r="EH82" s="156">
        <v>0</v>
      </c>
      <c r="EI82" s="156">
        <v>0</v>
      </c>
      <c r="EJ82" s="162">
        <v>78</v>
      </c>
      <c r="EK82" s="155">
        <v>0.75675675675675658</v>
      </c>
      <c r="EL82" s="156">
        <v>0.21621621621621639</v>
      </c>
      <c r="EM82" s="156">
        <v>2.7027027027027042E-2</v>
      </c>
      <c r="EN82" s="156">
        <v>0</v>
      </c>
      <c r="EO82" s="156">
        <v>0</v>
      </c>
      <c r="EP82" s="162">
        <v>74</v>
      </c>
      <c r="EQ82" s="155">
        <v>0.76249999999999984</v>
      </c>
      <c r="ER82" s="156">
        <v>0.16249999999999998</v>
      </c>
      <c r="ES82" s="156">
        <v>3.7499999999999992E-2</v>
      </c>
      <c r="ET82" s="156">
        <v>2.4999999999999994E-2</v>
      </c>
      <c r="EU82" s="156">
        <v>1.2499999999999997E-2</v>
      </c>
      <c r="EV82" s="162">
        <v>80</v>
      </c>
      <c r="EW82" s="155">
        <v>0.85365853658536639</v>
      </c>
      <c r="EX82" s="156">
        <v>9.7560975609756018E-2</v>
      </c>
      <c r="EY82" s="156">
        <v>3.6585365853658382E-2</v>
      </c>
      <c r="EZ82" s="156">
        <v>0</v>
      </c>
      <c r="FA82" s="156">
        <v>1.2195121951219502E-2</v>
      </c>
      <c r="FB82" s="162">
        <v>82</v>
      </c>
      <c r="FC82" s="155">
        <v>0.61904761904761707</v>
      </c>
      <c r="FD82" s="156">
        <v>9.5238095238095385E-2</v>
      </c>
      <c r="FE82" s="156">
        <v>0.23809523809523842</v>
      </c>
      <c r="FF82" s="156">
        <v>4.7619047619047693E-2</v>
      </c>
      <c r="FG82" s="156">
        <v>0</v>
      </c>
      <c r="FH82" s="162">
        <v>21</v>
      </c>
      <c r="FI82" s="161">
        <v>0.70270270270270141</v>
      </c>
      <c r="FJ82" s="156">
        <v>0.16216216216216242</v>
      </c>
      <c r="FK82" s="156">
        <v>0.10810810810810829</v>
      </c>
      <c r="FL82" s="156">
        <v>2.7027027027027074E-2</v>
      </c>
      <c r="FM82" s="156">
        <v>0</v>
      </c>
      <c r="FN82" s="162">
        <v>37</v>
      </c>
      <c r="FO82" s="155">
        <v>0</v>
      </c>
      <c r="FP82" s="156">
        <v>0</v>
      </c>
      <c r="FQ82" s="156">
        <v>0</v>
      </c>
      <c r="FR82" s="156">
        <v>0</v>
      </c>
      <c r="FS82" s="156">
        <v>0</v>
      </c>
      <c r="FT82" s="162">
        <v>0</v>
      </c>
      <c r="FU82" s="155">
        <v>0</v>
      </c>
      <c r="FV82" s="156">
        <v>0</v>
      </c>
      <c r="FW82" s="156">
        <v>0</v>
      </c>
      <c r="FX82" s="156">
        <v>0</v>
      </c>
      <c r="FY82" s="156">
        <v>0</v>
      </c>
      <c r="FZ82" s="162">
        <v>0</v>
      </c>
      <c r="GA82" s="161">
        <v>0</v>
      </c>
      <c r="GB82" s="156">
        <v>0</v>
      </c>
      <c r="GC82" s="156">
        <v>0</v>
      </c>
      <c r="GD82" s="156">
        <v>0</v>
      </c>
      <c r="GE82" s="156">
        <v>0</v>
      </c>
      <c r="GF82" s="162">
        <v>0</v>
      </c>
      <c r="GG82" s="158">
        <v>9.4054054054054124</v>
      </c>
      <c r="GH82" s="162">
        <v>111</v>
      </c>
      <c r="GI82" s="155">
        <v>0.30000000000000004</v>
      </c>
      <c r="GJ82" s="156">
        <v>0.41666666666666707</v>
      </c>
      <c r="GK82" s="156">
        <v>0.2166666666666667</v>
      </c>
      <c r="GL82" s="156">
        <v>5.000000000000001E-2</v>
      </c>
      <c r="GM82" s="156">
        <v>1.6666666666666653E-2</v>
      </c>
      <c r="GN82" s="162">
        <v>120</v>
      </c>
      <c r="GO82" s="155">
        <v>0.62393162393162527</v>
      </c>
      <c r="GP82" s="156">
        <v>0.17948717948717915</v>
      </c>
      <c r="GQ82" s="156">
        <v>7.6923076923076816E-2</v>
      </c>
      <c r="GR82" s="156">
        <v>0.21367521367521369</v>
      </c>
      <c r="GS82" s="162">
        <v>117</v>
      </c>
      <c r="GT82" s="163">
        <v>2.0338983050847541</v>
      </c>
      <c r="GU82" s="162">
        <v>118</v>
      </c>
      <c r="GV82" s="155">
        <v>0.95918367346938482</v>
      </c>
      <c r="GW82" s="156">
        <v>4.0816326530612165E-2</v>
      </c>
      <c r="GX82" s="162">
        <v>49</v>
      </c>
      <c r="GY82" s="155">
        <v>0.98571428571428787</v>
      </c>
      <c r="GZ82" s="156">
        <v>1.4285714285714244E-2</v>
      </c>
      <c r="HA82" s="162">
        <v>70</v>
      </c>
      <c r="HB82" s="155">
        <v>0.95412844036697164</v>
      </c>
      <c r="HC82" s="156">
        <v>4.5871559633027463E-2</v>
      </c>
      <c r="HD82" s="162">
        <v>109</v>
      </c>
      <c r="HE82" s="161">
        <v>0.94444444444444653</v>
      </c>
      <c r="HF82" s="156">
        <v>5.5555555555555441E-2</v>
      </c>
      <c r="HG82" s="162">
        <v>72</v>
      </c>
      <c r="HH82" s="155">
        <v>0.44347826086956643</v>
      </c>
      <c r="HI82" s="156">
        <v>0.55652173913043712</v>
      </c>
      <c r="HJ82" s="162">
        <v>115</v>
      </c>
      <c r="HK82" s="155">
        <v>0.9909909909909933</v>
      </c>
      <c r="HL82" s="156">
        <v>9.0090090090090384E-3</v>
      </c>
      <c r="HM82" s="162">
        <v>111</v>
      </c>
      <c r="HN82" s="161">
        <v>0.14814814814814795</v>
      </c>
      <c r="HO82" s="156">
        <v>0.32407407407407396</v>
      </c>
      <c r="HP82" s="156">
        <v>0.28703703703703798</v>
      </c>
      <c r="HQ82" s="156">
        <v>0.18518518518518545</v>
      </c>
      <c r="HR82" s="156">
        <v>5.5555555555555511E-2</v>
      </c>
      <c r="HS82" s="160">
        <v>46.67592592592603</v>
      </c>
      <c r="HT82" s="164">
        <v>108</v>
      </c>
      <c r="HU82" s="165">
        <v>5.7692307692307696E-2</v>
      </c>
      <c r="HV82" s="166">
        <v>2.8846153846153848E-2</v>
      </c>
      <c r="HW82" s="166">
        <v>8.6538461538461536E-2</v>
      </c>
      <c r="HX82" s="166">
        <v>8.6538461538461536E-2</v>
      </c>
      <c r="HY82" s="166">
        <v>0.13461538461538461</v>
      </c>
      <c r="HZ82" s="166">
        <v>0.10576923076923077</v>
      </c>
      <c r="IA82" s="166">
        <v>0.14423076923076922</v>
      </c>
      <c r="IB82" s="166">
        <v>0.125</v>
      </c>
      <c r="IC82" s="166">
        <v>9.6153846153846159E-2</v>
      </c>
      <c r="ID82" s="166">
        <v>0.13461538461538461</v>
      </c>
      <c r="IE82" s="167">
        <v>104</v>
      </c>
      <c r="IF82" s="155">
        <v>0</v>
      </c>
      <c r="IG82" s="156">
        <v>0</v>
      </c>
      <c r="IH82" s="156">
        <v>0.33333333333333376</v>
      </c>
      <c r="II82" s="156">
        <v>0.33333333333333376</v>
      </c>
      <c r="IJ82" s="156">
        <v>0.33333333333333376</v>
      </c>
      <c r="IK82" s="162">
        <v>3</v>
      </c>
      <c r="IL82" s="155">
        <v>6.3063063063062919E-2</v>
      </c>
      <c r="IM82" s="156">
        <v>0</v>
      </c>
      <c r="IN82" s="156">
        <v>9.0090090090090384E-3</v>
      </c>
      <c r="IO82" s="156">
        <v>0.91891891891891775</v>
      </c>
      <c r="IP82" s="156">
        <v>9.0090090090090384E-3</v>
      </c>
      <c r="IQ82" s="162">
        <v>111</v>
      </c>
      <c r="IR82" s="155">
        <v>0.14414414414414461</v>
      </c>
      <c r="IS82" s="156">
        <v>0.85585585585585644</v>
      </c>
      <c r="IT82" s="162">
        <v>111</v>
      </c>
      <c r="IU82" s="161">
        <v>0</v>
      </c>
      <c r="IV82" s="156">
        <v>0.24999999999999997</v>
      </c>
      <c r="IW82" s="156">
        <v>0.74999999999999989</v>
      </c>
      <c r="IX82" s="162">
        <v>16</v>
      </c>
    </row>
    <row r="83" spans="1:258" ht="32.1" customHeight="1" x14ac:dyDescent="0.25">
      <c r="A83" s="110" t="s">
        <v>527</v>
      </c>
      <c r="B83" s="108" t="s">
        <v>527</v>
      </c>
      <c r="C83" s="108" t="s">
        <v>457</v>
      </c>
      <c r="D83" s="109">
        <v>247</v>
      </c>
      <c r="E83" s="139" t="s">
        <v>533</v>
      </c>
      <c r="F83" s="155">
        <v>0.10526315789473678</v>
      </c>
      <c r="G83" s="156">
        <v>0.89473684210526305</v>
      </c>
      <c r="H83" s="157">
        <v>19</v>
      </c>
      <c r="I83" s="155">
        <v>0.64705882352941191</v>
      </c>
      <c r="J83" s="156">
        <v>0.35294117647058798</v>
      </c>
      <c r="K83" s="157">
        <v>17</v>
      </c>
      <c r="L83" s="155">
        <v>0.45454545454545453</v>
      </c>
      <c r="M83" s="156">
        <v>0.54545454545454508</v>
      </c>
      <c r="N83" s="157">
        <v>11</v>
      </c>
      <c r="O83" s="155">
        <v>1</v>
      </c>
      <c r="P83" s="156">
        <v>0</v>
      </c>
      <c r="Q83" s="156">
        <v>0</v>
      </c>
      <c r="R83" s="156">
        <v>0</v>
      </c>
      <c r="S83" s="156">
        <v>0</v>
      </c>
      <c r="T83" s="156">
        <v>9.9999999999999922E-2</v>
      </c>
      <c r="U83" s="156">
        <v>0</v>
      </c>
      <c r="V83" s="156">
        <v>9.9999999999999922E-2</v>
      </c>
      <c r="W83" s="156">
        <v>9.9999999999999922E-2</v>
      </c>
      <c r="X83" s="156">
        <v>4.9999999999999961E-2</v>
      </c>
      <c r="Y83" s="157">
        <v>20</v>
      </c>
      <c r="Z83" s="155">
        <v>0.59999999999999976</v>
      </c>
      <c r="AA83" s="156">
        <v>0.74999999999999989</v>
      </c>
      <c r="AB83" s="156">
        <v>0.55000000000000004</v>
      </c>
      <c r="AC83" s="156">
        <v>0.74999999999999989</v>
      </c>
      <c r="AD83" s="156">
        <v>0.19999999999999984</v>
      </c>
      <c r="AE83" s="156">
        <v>9.9999999999999922E-2</v>
      </c>
      <c r="AF83" s="157">
        <v>20</v>
      </c>
      <c r="AG83" s="158">
        <v>9.9999999999999982</v>
      </c>
      <c r="AH83" s="159">
        <v>20</v>
      </c>
      <c r="AI83" s="160">
        <v>9.9999999999999982</v>
      </c>
      <c r="AJ83" s="159">
        <v>20</v>
      </c>
      <c r="AK83" s="160">
        <v>9.9999999999999982</v>
      </c>
      <c r="AL83" s="157">
        <v>20</v>
      </c>
      <c r="AM83" s="155">
        <v>0.8</v>
      </c>
      <c r="AN83" s="156">
        <v>0.19999999999999996</v>
      </c>
      <c r="AO83" s="156">
        <v>0</v>
      </c>
      <c r="AP83" s="156">
        <v>0</v>
      </c>
      <c r="AQ83" s="156">
        <v>0</v>
      </c>
      <c r="AR83" s="157">
        <v>20</v>
      </c>
      <c r="AS83" s="155">
        <v>0.95</v>
      </c>
      <c r="AT83" s="156">
        <v>4.9999999999999989E-2</v>
      </c>
      <c r="AU83" s="156">
        <v>0</v>
      </c>
      <c r="AV83" s="156">
        <v>0</v>
      </c>
      <c r="AW83" s="156">
        <v>0</v>
      </c>
      <c r="AX83" s="157">
        <v>20</v>
      </c>
      <c r="AY83" s="155">
        <v>0.95</v>
      </c>
      <c r="AZ83" s="156">
        <v>4.9999999999999989E-2</v>
      </c>
      <c r="BA83" s="156">
        <v>0</v>
      </c>
      <c r="BB83" s="156">
        <v>0</v>
      </c>
      <c r="BC83" s="156">
        <v>0</v>
      </c>
      <c r="BD83" s="157">
        <v>20</v>
      </c>
      <c r="BE83" s="155">
        <v>0.9</v>
      </c>
      <c r="BF83" s="156">
        <v>4.9999999999999989E-2</v>
      </c>
      <c r="BG83" s="156">
        <v>0</v>
      </c>
      <c r="BH83" s="156">
        <v>4.9999999999999989E-2</v>
      </c>
      <c r="BI83" s="156">
        <v>0</v>
      </c>
      <c r="BJ83" s="157">
        <v>20</v>
      </c>
      <c r="BK83" s="155">
        <v>0.83333333333333315</v>
      </c>
      <c r="BL83" s="156">
        <v>0.16666666666666649</v>
      </c>
      <c r="BM83" s="156">
        <v>0</v>
      </c>
      <c r="BN83" s="156">
        <v>0</v>
      </c>
      <c r="BO83" s="156">
        <v>0</v>
      </c>
      <c r="BP83" s="157">
        <v>18</v>
      </c>
      <c r="BQ83" s="155">
        <v>0.95</v>
      </c>
      <c r="BR83" s="156">
        <v>4.9999999999999989E-2</v>
      </c>
      <c r="BS83" s="156">
        <v>0</v>
      </c>
      <c r="BT83" s="156">
        <v>0</v>
      </c>
      <c r="BU83" s="156">
        <v>0</v>
      </c>
      <c r="BV83" s="157">
        <v>20</v>
      </c>
      <c r="BW83" s="161">
        <v>0.68421052631578949</v>
      </c>
      <c r="BX83" s="156">
        <v>0.15789473684210517</v>
      </c>
      <c r="BY83" s="156">
        <v>0</v>
      </c>
      <c r="BZ83" s="156">
        <v>0.15789473684210517</v>
      </c>
      <c r="CA83" s="156">
        <v>0</v>
      </c>
      <c r="CB83" s="157">
        <v>19</v>
      </c>
      <c r="CC83" s="155">
        <v>0</v>
      </c>
      <c r="CD83" s="156">
        <v>0</v>
      </c>
      <c r="CE83" s="156">
        <v>0</v>
      </c>
      <c r="CF83" s="156">
        <v>0</v>
      </c>
      <c r="CG83" s="156">
        <v>0</v>
      </c>
      <c r="CH83" s="162">
        <v>0</v>
      </c>
      <c r="CI83" s="155">
        <v>0</v>
      </c>
      <c r="CJ83" s="156">
        <v>0</v>
      </c>
      <c r="CK83" s="156">
        <v>0</v>
      </c>
      <c r="CL83" s="156">
        <v>0</v>
      </c>
      <c r="CM83" s="156">
        <v>0</v>
      </c>
      <c r="CN83" s="162">
        <v>0</v>
      </c>
      <c r="CO83" s="155">
        <v>0.49999999999999994</v>
      </c>
      <c r="CP83" s="156">
        <v>0.3571428571428571</v>
      </c>
      <c r="CQ83" s="156">
        <v>7.1428571428571411E-2</v>
      </c>
      <c r="CR83" s="156">
        <v>7.1428571428571411E-2</v>
      </c>
      <c r="CS83" s="156">
        <v>0</v>
      </c>
      <c r="CT83" s="162">
        <v>14</v>
      </c>
      <c r="CU83" s="155">
        <v>0.49999999999999994</v>
      </c>
      <c r="CV83" s="156">
        <v>0.3571428571428571</v>
      </c>
      <c r="CW83" s="156">
        <v>0.14285714285714282</v>
      </c>
      <c r="CX83" s="156">
        <v>0</v>
      </c>
      <c r="CY83" s="156">
        <v>0</v>
      </c>
      <c r="CZ83" s="162">
        <v>14</v>
      </c>
      <c r="DA83" s="155">
        <v>0.44444444444444448</v>
      </c>
      <c r="DB83" s="156">
        <v>0.44444444444444448</v>
      </c>
      <c r="DC83" s="156">
        <v>0.11111111111111112</v>
      </c>
      <c r="DD83" s="156">
        <v>0</v>
      </c>
      <c r="DE83" s="156">
        <v>0</v>
      </c>
      <c r="DF83" s="162">
        <v>9</v>
      </c>
      <c r="DG83" s="155">
        <v>0.5</v>
      </c>
      <c r="DH83" s="156">
        <v>0.375</v>
      </c>
      <c r="DI83" s="156">
        <v>0.125</v>
      </c>
      <c r="DJ83" s="156">
        <v>0</v>
      </c>
      <c r="DK83" s="156">
        <v>0</v>
      </c>
      <c r="DL83" s="162">
        <v>8</v>
      </c>
      <c r="DM83" s="155">
        <v>0.88888888888888895</v>
      </c>
      <c r="DN83" s="156">
        <v>0.1111111111111111</v>
      </c>
      <c r="DO83" s="156">
        <v>0</v>
      </c>
      <c r="DP83" s="156">
        <v>0</v>
      </c>
      <c r="DQ83" s="156">
        <v>0</v>
      </c>
      <c r="DR83" s="162">
        <v>18</v>
      </c>
      <c r="DS83" s="161">
        <v>1</v>
      </c>
      <c r="DT83" s="156">
        <v>0</v>
      </c>
      <c r="DU83" s="156">
        <v>0</v>
      </c>
      <c r="DV83" s="156">
        <v>0</v>
      </c>
      <c r="DW83" s="156">
        <v>0</v>
      </c>
      <c r="DX83" s="162">
        <v>8</v>
      </c>
      <c r="DY83" s="155">
        <v>1</v>
      </c>
      <c r="DZ83" s="156">
        <v>0</v>
      </c>
      <c r="EA83" s="156">
        <v>0</v>
      </c>
      <c r="EB83" s="156">
        <v>0</v>
      </c>
      <c r="EC83" s="156">
        <v>0</v>
      </c>
      <c r="ED83" s="162">
        <v>20</v>
      </c>
      <c r="EE83" s="155">
        <v>0.87499999999999989</v>
      </c>
      <c r="EF83" s="156">
        <v>0.125</v>
      </c>
      <c r="EG83" s="156">
        <v>0</v>
      </c>
      <c r="EH83" s="156">
        <v>0</v>
      </c>
      <c r="EI83" s="156">
        <v>0</v>
      </c>
      <c r="EJ83" s="162">
        <v>8</v>
      </c>
      <c r="EK83" s="155">
        <v>0.6</v>
      </c>
      <c r="EL83" s="156">
        <v>0.4</v>
      </c>
      <c r="EM83" s="156">
        <v>0</v>
      </c>
      <c r="EN83" s="156">
        <v>0</v>
      </c>
      <c r="EO83" s="156">
        <v>0</v>
      </c>
      <c r="EP83" s="162">
        <v>5</v>
      </c>
      <c r="EQ83" s="155">
        <v>0.84615384615384603</v>
      </c>
      <c r="ER83" s="156">
        <v>0.15384615384615383</v>
      </c>
      <c r="ES83" s="156">
        <v>0</v>
      </c>
      <c r="ET83" s="156">
        <v>0</v>
      </c>
      <c r="EU83" s="156">
        <v>0</v>
      </c>
      <c r="EV83" s="162">
        <v>13</v>
      </c>
      <c r="EW83" s="155">
        <v>0.92307692307692324</v>
      </c>
      <c r="EX83" s="156">
        <v>7.6923076923076913E-2</v>
      </c>
      <c r="EY83" s="156">
        <v>0</v>
      </c>
      <c r="EZ83" s="156">
        <v>0</v>
      </c>
      <c r="FA83" s="156">
        <v>0</v>
      </c>
      <c r="FB83" s="162">
        <v>13</v>
      </c>
      <c r="FC83" s="155">
        <v>1</v>
      </c>
      <c r="FD83" s="156">
        <v>0</v>
      </c>
      <c r="FE83" s="156">
        <v>0</v>
      </c>
      <c r="FF83" s="156">
        <v>0</v>
      </c>
      <c r="FG83" s="156">
        <v>0</v>
      </c>
      <c r="FH83" s="162">
        <v>1</v>
      </c>
      <c r="FI83" s="161">
        <v>1</v>
      </c>
      <c r="FJ83" s="156">
        <v>0</v>
      </c>
      <c r="FK83" s="156">
        <v>0</v>
      </c>
      <c r="FL83" s="156">
        <v>0</v>
      </c>
      <c r="FM83" s="156">
        <v>0</v>
      </c>
      <c r="FN83" s="162">
        <v>1</v>
      </c>
      <c r="FO83" s="155">
        <v>0</v>
      </c>
      <c r="FP83" s="156">
        <v>0</v>
      </c>
      <c r="FQ83" s="156">
        <v>0</v>
      </c>
      <c r="FR83" s="156">
        <v>0</v>
      </c>
      <c r="FS83" s="156">
        <v>0</v>
      </c>
      <c r="FT83" s="162">
        <v>0</v>
      </c>
      <c r="FU83" s="155">
        <v>0</v>
      </c>
      <c r="FV83" s="156">
        <v>0</v>
      </c>
      <c r="FW83" s="156">
        <v>0</v>
      </c>
      <c r="FX83" s="156">
        <v>0</v>
      </c>
      <c r="FY83" s="156">
        <v>0</v>
      </c>
      <c r="FZ83" s="162">
        <v>0</v>
      </c>
      <c r="GA83" s="161">
        <v>0</v>
      </c>
      <c r="GB83" s="156">
        <v>0</v>
      </c>
      <c r="GC83" s="156">
        <v>0</v>
      </c>
      <c r="GD83" s="156">
        <v>0</v>
      </c>
      <c r="GE83" s="156">
        <v>0</v>
      </c>
      <c r="GF83" s="162">
        <v>0</v>
      </c>
      <c r="GG83" s="158">
        <v>9.7777777777777732</v>
      </c>
      <c r="GH83" s="162">
        <v>18</v>
      </c>
      <c r="GI83" s="155">
        <v>4.9999999999999989E-2</v>
      </c>
      <c r="GJ83" s="156">
        <v>0.44999999999999996</v>
      </c>
      <c r="GK83" s="156">
        <v>0.49999999999999994</v>
      </c>
      <c r="GL83" s="156">
        <v>0</v>
      </c>
      <c r="GM83" s="156">
        <v>0</v>
      </c>
      <c r="GN83" s="162">
        <v>20</v>
      </c>
      <c r="GO83" s="155">
        <v>0.19999999999999984</v>
      </c>
      <c r="GP83" s="156">
        <v>0.29999999999999988</v>
      </c>
      <c r="GQ83" s="156">
        <v>0.29999999999999988</v>
      </c>
      <c r="GR83" s="156">
        <v>0.4499999999999999</v>
      </c>
      <c r="GS83" s="162">
        <v>20</v>
      </c>
      <c r="GT83" s="163">
        <v>3.4500000000000006</v>
      </c>
      <c r="GU83" s="162">
        <v>20</v>
      </c>
      <c r="GV83" s="155">
        <v>1</v>
      </c>
      <c r="GW83" s="156">
        <v>0</v>
      </c>
      <c r="GX83" s="162">
        <v>11</v>
      </c>
      <c r="GY83" s="155">
        <v>1.0000000000000002</v>
      </c>
      <c r="GZ83" s="156">
        <v>0</v>
      </c>
      <c r="HA83" s="162">
        <v>5</v>
      </c>
      <c r="HB83" s="155">
        <v>0.94444444444444398</v>
      </c>
      <c r="HC83" s="156">
        <v>5.5555555555555552E-2</v>
      </c>
      <c r="HD83" s="162">
        <v>18</v>
      </c>
      <c r="HE83" s="161">
        <v>0.92307692307692324</v>
      </c>
      <c r="HF83" s="156">
        <v>7.6923076923076913E-2</v>
      </c>
      <c r="HG83" s="162">
        <v>13</v>
      </c>
      <c r="HH83" s="155">
        <v>0.68421052631578949</v>
      </c>
      <c r="HI83" s="156">
        <v>0.31578947368421034</v>
      </c>
      <c r="HJ83" s="162">
        <v>19</v>
      </c>
      <c r="HK83" s="155">
        <v>1.0000000000000002</v>
      </c>
      <c r="HL83" s="156">
        <v>0</v>
      </c>
      <c r="HM83" s="162">
        <v>19</v>
      </c>
      <c r="HN83" s="161">
        <v>0.36842105263157882</v>
      </c>
      <c r="HO83" s="156">
        <v>0.31578947368421034</v>
      </c>
      <c r="HP83" s="156">
        <v>0.31578947368421034</v>
      </c>
      <c r="HQ83" s="156">
        <v>0</v>
      </c>
      <c r="HR83" s="156">
        <v>0</v>
      </c>
      <c r="HS83" s="160">
        <v>35.368421052631568</v>
      </c>
      <c r="HT83" s="164">
        <v>19</v>
      </c>
      <c r="HU83" s="165">
        <v>0</v>
      </c>
      <c r="HV83" s="166">
        <v>0.25</v>
      </c>
      <c r="HW83" s="166">
        <v>8.3333333333333329E-2</v>
      </c>
      <c r="HX83" s="166">
        <v>0.16666666666666666</v>
      </c>
      <c r="HY83" s="166">
        <v>0</v>
      </c>
      <c r="HZ83" s="166">
        <v>0.33333333333333331</v>
      </c>
      <c r="IA83" s="166">
        <v>8.3333333333333329E-2</v>
      </c>
      <c r="IB83" s="166">
        <v>8.3333333333333329E-2</v>
      </c>
      <c r="IC83" s="166">
        <v>0</v>
      </c>
      <c r="ID83" s="166">
        <v>0</v>
      </c>
      <c r="IE83" s="167">
        <v>12</v>
      </c>
      <c r="IF83" s="155">
        <v>0</v>
      </c>
      <c r="IG83" s="156">
        <v>0</v>
      </c>
      <c r="IH83" s="156">
        <v>1</v>
      </c>
      <c r="II83" s="156">
        <v>0</v>
      </c>
      <c r="IJ83" s="156">
        <v>0</v>
      </c>
      <c r="IK83" s="162">
        <v>3</v>
      </c>
      <c r="IL83" s="155">
        <v>5.263157894736839E-2</v>
      </c>
      <c r="IM83" s="156">
        <v>0</v>
      </c>
      <c r="IN83" s="156">
        <v>0</v>
      </c>
      <c r="IO83" s="156">
        <v>0.94736842105263142</v>
      </c>
      <c r="IP83" s="156">
        <v>0</v>
      </c>
      <c r="IQ83" s="162">
        <v>19</v>
      </c>
      <c r="IR83" s="155">
        <v>0.16666666666666649</v>
      </c>
      <c r="IS83" s="156">
        <v>0.83333333333333315</v>
      </c>
      <c r="IT83" s="162">
        <v>18</v>
      </c>
      <c r="IU83" s="161">
        <v>0</v>
      </c>
      <c r="IV83" s="156">
        <v>0</v>
      </c>
      <c r="IW83" s="156">
        <v>1</v>
      </c>
      <c r="IX83" s="162">
        <v>3</v>
      </c>
    </row>
    <row r="84" spans="1:258" ht="32.1" customHeight="1" x14ac:dyDescent="0.25">
      <c r="A84" s="110" t="s">
        <v>527</v>
      </c>
      <c r="B84" s="108" t="s">
        <v>527</v>
      </c>
      <c r="C84" s="108" t="s">
        <v>457</v>
      </c>
      <c r="D84" s="109">
        <v>248</v>
      </c>
      <c r="E84" s="139" t="s">
        <v>534</v>
      </c>
      <c r="F84" s="155">
        <v>0.375</v>
      </c>
      <c r="G84" s="156">
        <v>0.625</v>
      </c>
      <c r="H84" s="157">
        <v>8</v>
      </c>
      <c r="I84" s="155">
        <v>0.6</v>
      </c>
      <c r="J84" s="156">
        <v>0.4</v>
      </c>
      <c r="K84" s="157">
        <v>5</v>
      </c>
      <c r="L84" s="155">
        <v>0</v>
      </c>
      <c r="M84" s="156">
        <v>1.0000000000000002</v>
      </c>
      <c r="N84" s="157">
        <v>3</v>
      </c>
      <c r="O84" s="155">
        <v>0.625</v>
      </c>
      <c r="P84" s="156">
        <v>0</v>
      </c>
      <c r="Q84" s="156">
        <v>0.375</v>
      </c>
      <c r="R84" s="156">
        <v>0</v>
      </c>
      <c r="S84" s="156">
        <v>0.25</v>
      </c>
      <c r="T84" s="156">
        <v>0.125</v>
      </c>
      <c r="U84" s="156">
        <v>0</v>
      </c>
      <c r="V84" s="156">
        <v>0</v>
      </c>
      <c r="W84" s="156">
        <v>0.125</v>
      </c>
      <c r="X84" s="156">
        <v>0.125</v>
      </c>
      <c r="Y84" s="157">
        <v>8</v>
      </c>
      <c r="Z84" s="155">
        <v>0.75</v>
      </c>
      <c r="AA84" s="156">
        <v>1</v>
      </c>
      <c r="AB84" s="156">
        <v>0.625</v>
      </c>
      <c r="AC84" s="156">
        <v>0.87500000000000011</v>
      </c>
      <c r="AD84" s="156">
        <v>0.125</v>
      </c>
      <c r="AE84" s="156">
        <v>0.25</v>
      </c>
      <c r="AF84" s="157">
        <v>8</v>
      </c>
      <c r="AG84" s="158">
        <v>10.000000000000002</v>
      </c>
      <c r="AH84" s="159">
        <v>8</v>
      </c>
      <c r="AI84" s="160">
        <v>10.000000000000002</v>
      </c>
      <c r="AJ84" s="159">
        <v>8</v>
      </c>
      <c r="AK84" s="160">
        <v>9.7500000000000018</v>
      </c>
      <c r="AL84" s="157">
        <v>8</v>
      </c>
      <c r="AM84" s="155">
        <v>0.5</v>
      </c>
      <c r="AN84" s="156">
        <v>0.5</v>
      </c>
      <c r="AO84" s="156">
        <v>0</v>
      </c>
      <c r="AP84" s="156">
        <v>0</v>
      </c>
      <c r="AQ84" s="156">
        <v>0</v>
      </c>
      <c r="AR84" s="157">
        <v>8</v>
      </c>
      <c r="AS84" s="155">
        <v>0.75</v>
      </c>
      <c r="AT84" s="156">
        <v>0.25</v>
      </c>
      <c r="AU84" s="156">
        <v>0</v>
      </c>
      <c r="AV84" s="156">
        <v>0</v>
      </c>
      <c r="AW84" s="156">
        <v>0</v>
      </c>
      <c r="AX84" s="157">
        <v>8</v>
      </c>
      <c r="AY84" s="155">
        <v>0.75</v>
      </c>
      <c r="AZ84" s="156">
        <v>0.25</v>
      </c>
      <c r="BA84" s="156">
        <v>0</v>
      </c>
      <c r="BB84" s="156">
        <v>0</v>
      </c>
      <c r="BC84" s="156">
        <v>0</v>
      </c>
      <c r="BD84" s="157">
        <v>8</v>
      </c>
      <c r="BE84" s="155">
        <v>0.5</v>
      </c>
      <c r="BF84" s="156">
        <v>0.5</v>
      </c>
      <c r="BG84" s="156">
        <v>0</v>
      </c>
      <c r="BH84" s="156">
        <v>0</v>
      </c>
      <c r="BI84" s="156">
        <v>0</v>
      </c>
      <c r="BJ84" s="157">
        <v>8</v>
      </c>
      <c r="BK84" s="155">
        <v>0.875</v>
      </c>
      <c r="BL84" s="156">
        <v>0.125</v>
      </c>
      <c r="BM84" s="156">
        <v>0</v>
      </c>
      <c r="BN84" s="156">
        <v>0</v>
      </c>
      <c r="BO84" s="156">
        <v>0</v>
      </c>
      <c r="BP84" s="157">
        <v>8</v>
      </c>
      <c r="BQ84" s="155">
        <v>0.875</v>
      </c>
      <c r="BR84" s="156">
        <v>0.125</v>
      </c>
      <c r="BS84" s="156">
        <v>0</v>
      </c>
      <c r="BT84" s="156">
        <v>0</v>
      </c>
      <c r="BU84" s="156">
        <v>0</v>
      </c>
      <c r="BV84" s="157">
        <v>8</v>
      </c>
      <c r="BW84" s="161">
        <v>0.75</v>
      </c>
      <c r="BX84" s="156">
        <v>0.25</v>
      </c>
      <c r="BY84" s="156">
        <v>0</v>
      </c>
      <c r="BZ84" s="156">
        <v>0</v>
      </c>
      <c r="CA84" s="156">
        <v>0</v>
      </c>
      <c r="CB84" s="157">
        <v>8</v>
      </c>
      <c r="CC84" s="155">
        <v>0.5</v>
      </c>
      <c r="CD84" s="156">
        <v>0</v>
      </c>
      <c r="CE84" s="156">
        <v>0.5</v>
      </c>
      <c r="CF84" s="156">
        <v>0</v>
      </c>
      <c r="CG84" s="156">
        <v>0</v>
      </c>
      <c r="CH84" s="162">
        <v>2</v>
      </c>
      <c r="CI84" s="155">
        <v>0.5</v>
      </c>
      <c r="CJ84" s="156">
        <v>0</v>
      </c>
      <c r="CK84" s="156">
        <v>0.5</v>
      </c>
      <c r="CL84" s="156">
        <v>0</v>
      </c>
      <c r="CM84" s="156">
        <v>0</v>
      </c>
      <c r="CN84" s="162">
        <v>2</v>
      </c>
      <c r="CO84" s="155">
        <v>0.5</v>
      </c>
      <c r="CP84" s="156">
        <v>0.3333333333333332</v>
      </c>
      <c r="CQ84" s="156">
        <v>0</v>
      </c>
      <c r="CR84" s="156">
        <v>0.1666666666666666</v>
      </c>
      <c r="CS84" s="156">
        <v>0</v>
      </c>
      <c r="CT84" s="162">
        <v>6</v>
      </c>
      <c r="CU84" s="155">
        <v>0.5</v>
      </c>
      <c r="CV84" s="156">
        <v>0.3333333333333332</v>
      </c>
      <c r="CW84" s="156">
        <v>0</v>
      </c>
      <c r="CX84" s="156">
        <v>0.1666666666666666</v>
      </c>
      <c r="CY84" s="156">
        <v>0</v>
      </c>
      <c r="CZ84" s="162">
        <v>6</v>
      </c>
      <c r="DA84" s="155">
        <v>0.25</v>
      </c>
      <c r="DB84" s="156">
        <v>0.5</v>
      </c>
      <c r="DC84" s="156">
        <v>0.25</v>
      </c>
      <c r="DD84" s="156">
        <v>0</v>
      </c>
      <c r="DE84" s="156">
        <v>0</v>
      </c>
      <c r="DF84" s="162">
        <v>4</v>
      </c>
      <c r="DG84" s="155">
        <v>0.25</v>
      </c>
      <c r="DH84" s="156">
        <v>0.5</v>
      </c>
      <c r="DI84" s="156">
        <v>0.25</v>
      </c>
      <c r="DJ84" s="156">
        <v>0</v>
      </c>
      <c r="DK84" s="156">
        <v>0</v>
      </c>
      <c r="DL84" s="162">
        <v>4</v>
      </c>
      <c r="DM84" s="155">
        <v>0.2</v>
      </c>
      <c r="DN84" s="156">
        <v>0.4</v>
      </c>
      <c r="DO84" s="156">
        <v>0</v>
      </c>
      <c r="DP84" s="156">
        <v>0.4</v>
      </c>
      <c r="DQ84" s="156">
        <v>0</v>
      </c>
      <c r="DR84" s="162">
        <v>5</v>
      </c>
      <c r="DS84" s="161">
        <v>0.5</v>
      </c>
      <c r="DT84" s="156">
        <v>0.5</v>
      </c>
      <c r="DU84" s="156">
        <v>0</v>
      </c>
      <c r="DV84" s="156">
        <v>0</v>
      </c>
      <c r="DW84" s="156">
        <v>0</v>
      </c>
      <c r="DX84" s="162">
        <v>2</v>
      </c>
      <c r="DY84" s="155">
        <v>0.875</v>
      </c>
      <c r="DZ84" s="156">
        <v>0.125</v>
      </c>
      <c r="EA84" s="156">
        <v>0</v>
      </c>
      <c r="EB84" s="156">
        <v>0</v>
      </c>
      <c r="EC84" s="156">
        <v>0</v>
      </c>
      <c r="ED84" s="162">
        <v>8</v>
      </c>
      <c r="EE84" s="155">
        <v>1</v>
      </c>
      <c r="EF84" s="156">
        <v>0</v>
      </c>
      <c r="EG84" s="156">
        <v>0</v>
      </c>
      <c r="EH84" s="156">
        <v>0</v>
      </c>
      <c r="EI84" s="156">
        <v>0</v>
      </c>
      <c r="EJ84" s="162">
        <v>2</v>
      </c>
      <c r="EK84" s="155">
        <v>1</v>
      </c>
      <c r="EL84" s="156">
        <v>0</v>
      </c>
      <c r="EM84" s="156">
        <v>0</v>
      </c>
      <c r="EN84" s="156">
        <v>0</v>
      </c>
      <c r="EO84" s="156">
        <v>0</v>
      </c>
      <c r="EP84" s="162">
        <v>2</v>
      </c>
      <c r="EQ84" s="155">
        <v>0.99999999999999989</v>
      </c>
      <c r="ER84" s="156">
        <v>0</v>
      </c>
      <c r="ES84" s="156">
        <v>0</v>
      </c>
      <c r="ET84" s="156">
        <v>0</v>
      </c>
      <c r="EU84" s="156">
        <v>0</v>
      </c>
      <c r="EV84" s="162">
        <v>5</v>
      </c>
      <c r="EW84" s="155">
        <v>0.99999999999999989</v>
      </c>
      <c r="EX84" s="156">
        <v>0</v>
      </c>
      <c r="EY84" s="156">
        <v>0</v>
      </c>
      <c r="EZ84" s="156">
        <v>0</v>
      </c>
      <c r="FA84" s="156">
        <v>0</v>
      </c>
      <c r="FB84" s="162">
        <v>5</v>
      </c>
      <c r="FC84" s="155">
        <v>0</v>
      </c>
      <c r="FD84" s="156">
        <v>0</v>
      </c>
      <c r="FE84" s="156">
        <v>0</v>
      </c>
      <c r="FF84" s="156">
        <v>0</v>
      </c>
      <c r="FG84" s="156">
        <v>0</v>
      </c>
      <c r="FH84" s="162">
        <v>0</v>
      </c>
      <c r="FI84" s="161">
        <v>0</v>
      </c>
      <c r="FJ84" s="156">
        <v>0</v>
      </c>
      <c r="FK84" s="156">
        <v>0</v>
      </c>
      <c r="FL84" s="156">
        <v>0</v>
      </c>
      <c r="FM84" s="156">
        <v>0</v>
      </c>
      <c r="FN84" s="162">
        <v>0</v>
      </c>
      <c r="FO84" s="155">
        <v>0</v>
      </c>
      <c r="FP84" s="156">
        <v>0</v>
      </c>
      <c r="FQ84" s="156">
        <v>0</v>
      </c>
      <c r="FR84" s="156">
        <v>0</v>
      </c>
      <c r="FS84" s="156">
        <v>0</v>
      </c>
      <c r="FT84" s="162">
        <v>0</v>
      </c>
      <c r="FU84" s="155">
        <v>0</v>
      </c>
      <c r="FV84" s="156">
        <v>0</v>
      </c>
      <c r="FW84" s="156">
        <v>0</v>
      </c>
      <c r="FX84" s="156">
        <v>0</v>
      </c>
      <c r="FY84" s="156">
        <v>0</v>
      </c>
      <c r="FZ84" s="162">
        <v>0</v>
      </c>
      <c r="GA84" s="161">
        <v>0</v>
      </c>
      <c r="GB84" s="156">
        <v>0</v>
      </c>
      <c r="GC84" s="156">
        <v>0</v>
      </c>
      <c r="GD84" s="156">
        <v>0</v>
      </c>
      <c r="GE84" s="156">
        <v>0</v>
      </c>
      <c r="GF84" s="162">
        <v>0</v>
      </c>
      <c r="GG84" s="158">
        <v>9.3333333333333304</v>
      </c>
      <c r="GH84" s="162">
        <v>6</v>
      </c>
      <c r="GI84" s="155">
        <v>0.375</v>
      </c>
      <c r="GJ84" s="156">
        <v>0.125</v>
      </c>
      <c r="GK84" s="156">
        <v>0.375</v>
      </c>
      <c r="GL84" s="156">
        <v>0</v>
      </c>
      <c r="GM84" s="156">
        <v>0.125</v>
      </c>
      <c r="GN84" s="162">
        <v>8</v>
      </c>
      <c r="GO84" s="155">
        <v>0.25</v>
      </c>
      <c r="GP84" s="156">
        <v>0.375</v>
      </c>
      <c r="GQ84" s="156">
        <v>0.375</v>
      </c>
      <c r="GR84" s="156">
        <v>0</v>
      </c>
      <c r="GS84" s="162">
        <v>8</v>
      </c>
      <c r="GT84" s="163">
        <v>2.8749999999999996</v>
      </c>
      <c r="GU84" s="162">
        <v>8</v>
      </c>
      <c r="GV84" s="155">
        <v>1</v>
      </c>
      <c r="GW84" s="156">
        <v>0</v>
      </c>
      <c r="GX84" s="162">
        <v>4</v>
      </c>
      <c r="GY84" s="155">
        <v>1</v>
      </c>
      <c r="GZ84" s="156">
        <v>0</v>
      </c>
      <c r="HA84" s="162">
        <v>2</v>
      </c>
      <c r="HB84" s="155">
        <v>0.7142857142857143</v>
      </c>
      <c r="HC84" s="156">
        <v>0.28571428571428564</v>
      </c>
      <c r="HD84" s="162">
        <v>7</v>
      </c>
      <c r="HE84" s="161">
        <v>0.99999999999999989</v>
      </c>
      <c r="HF84" s="156">
        <v>0</v>
      </c>
      <c r="HG84" s="162">
        <v>5</v>
      </c>
      <c r="HH84" s="155">
        <v>0.85714285714285698</v>
      </c>
      <c r="HI84" s="156">
        <v>0.14285714285714282</v>
      </c>
      <c r="HJ84" s="162">
        <v>7</v>
      </c>
      <c r="HK84" s="155">
        <v>1</v>
      </c>
      <c r="HL84" s="156">
        <v>0</v>
      </c>
      <c r="HM84" s="162">
        <v>7</v>
      </c>
      <c r="HN84" s="161">
        <v>0.14285714285714282</v>
      </c>
      <c r="HO84" s="156">
        <v>0.28571428571428564</v>
      </c>
      <c r="HP84" s="156">
        <v>0.28571428571428564</v>
      </c>
      <c r="HQ84" s="156">
        <v>0.28571428571428564</v>
      </c>
      <c r="HR84" s="156">
        <v>0</v>
      </c>
      <c r="HS84" s="160">
        <v>49.142857142857125</v>
      </c>
      <c r="HT84" s="164">
        <v>7</v>
      </c>
      <c r="HU84" s="165">
        <v>0</v>
      </c>
      <c r="HV84" s="166">
        <v>0.14285714285714285</v>
      </c>
      <c r="HW84" s="166">
        <v>0.14285714285714285</v>
      </c>
      <c r="HX84" s="166">
        <v>0</v>
      </c>
      <c r="HY84" s="166">
        <v>0.14285714285714285</v>
      </c>
      <c r="HZ84" s="166">
        <v>0.14285714285714285</v>
      </c>
      <c r="IA84" s="166">
        <v>0</v>
      </c>
      <c r="IB84" s="166">
        <v>0.14285714285714285</v>
      </c>
      <c r="IC84" s="166">
        <v>0.2857142857142857</v>
      </c>
      <c r="ID84" s="166">
        <v>0</v>
      </c>
      <c r="IE84" s="167">
        <v>7</v>
      </c>
      <c r="IF84" s="155">
        <v>0</v>
      </c>
      <c r="IG84" s="156">
        <v>0</v>
      </c>
      <c r="IH84" s="156">
        <v>0</v>
      </c>
      <c r="II84" s="156">
        <v>0</v>
      </c>
      <c r="IJ84" s="156">
        <v>0</v>
      </c>
      <c r="IK84" s="162">
        <v>0</v>
      </c>
      <c r="IL84" s="155">
        <v>0</v>
      </c>
      <c r="IM84" s="156">
        <v>0</v>
      </c>
      <c r="IN84" s="156">
        <v>0</v>
      </c>
      <c r="IO84" s="156">
        <v>0.83333333333333326</v>
      </c>
      <c r="IP84" s="156">
        <v>0.1666666666666666</v>
      </c>
      <c r="IQ84" s="162">
        <v>6</v>
      </c>
      <c r="IR84" s="155">
        <v>0</v>
      </c>
      <c r="IS84" s="156">
        <v>1</v>
      </c>
      <c r="IT84" s="162">
        <v>7</v>
      </c>
      <c r="IU84" s="161">
        <v>0</v>
      </c>
      <c r="IV84" s="156">
        <v>0</v>
      </c>
      <c r="IW84" s="156">
        <v>0</v>
      </c>
      <c r="IX84" s="162">
        <v>0</v>
      </c>
    </row>
    <row r="85" spans="1:258" ht="32.1" customHeight="1" x14ac:dyDescent="0.25">
      <c r="A85" s="110" t="s">
        <v>527</v>
      </c>
      <c r="B85" s="108" t="s">
        <v>527</v>
      </c>
      <c r="C85" s="108" t="s">
        <v>454</v>
      </c>
      <c r="D85" s="109">
        <v>252</v>
      </c>
      <c r="E85" s="139" t="s">
        <v>535</v>
      </c>
      <c r="F85" s="155">
        <v>0.11111111111111115</v>
      </c>
      <c r="G85" s="156">
        <v>0.88888888888888895</v>
      </c>
      <c r="H85" s="157">
        <v>18</v>
      </c>
      <c r="I85" s="155">
        <v>0.81250000000000011</v>
      </c>
      <c r="J85" s="156">
        <v>0.1875</v>
      </c>
      <c r="K85" s="157">
        <v>16</v>
      </c>
      <c r="L85" s="155">
        <v>0.24999999999999997</v>
      </c>
      <c r="M85" s="156">
        <v>0.75000000000000011</v>
      </c>
      <c r="N85" s="157">
        <v>12</v>
      </c>
      <c r="O85" s="155">
        <v>0.27777777777777779</v>
      </c>
      <c r="P85" s="156">
        <v>0.22222222222222227</v>
      </c>
      <c r="Q85" s="156">
        <v>0.22222222222222227</v>
      </c>
      <c r="R85" s="156">
        <v>0</v>
      </c>
      <c r="S85" s="156">
        <v>0.50000000000000011</v>
      </c>
      <c r="T85" s="156">
        <v>0</v>
      </c>
      <c r="U85" s="156">
        <v>0</v>
      </c>
      <c r="V85" s="156">
        <v>5.5555555555555566E-2</v>
      </c>
      <c r="W85" s="156">
        <v>0.33333333333333326</v>
      </c>
      <c r="X85" s="156">
        <v>0</v>
      </c>
      <c r="Y85" s="157">
        <v>18</v>
      </c>
      <c r="Z85" s="155">
        <v>0.56250000000000011</v>
      </c>
      <c r="AA85" s="156">
        <v>0.75000000000000011</v>
      </c>
      <c r="AB85" s="156">
        <v>0.31250000000000006</v>
      </c>
      <c r="AC85" s="156">
        <v>0.62500000000000011</v>
      </c>
      <c r="AD85" s="156">
        <v>0.12500000000000003</v>
      </c>
      <c r="AE85" s="156">
        <v>0.25000000000000006</v>
      </c>
      <c r="AF85" s="157">
        <v>16</v>
      </c>
      <c r="AG85" s="158">
        <v>9.94444444444445</v>
      </c>
      <c r="AH85" s="159">
        <v>18</v>
      </c>
      <c r="AI85" s="160">
        <v>9.94444444444445</v>
      </c>
      <c r="AJ85" s="159">
        <v>18</v>
      </c>
      <c r="AK85" s="160">
        <v>9.8888888888888893</v>
      </c>
      <c r="AL85" s="157">
        <v>18</v>
      </c>
      <c r="AM85" s="155">
        <v>0.61111111111111116</v>
      </c>
      <c r="AN85" s="156">
        <v>0.38888888888888906</v>
      </c>
      <c r="AO85" s="156">
        <v>0</v>
      </c>
      <c r="AP85" s="156">
        <v>0</v>
      </c>
      <c r="AQ85" s="156">
        <v>0</v>
      </c>
      <c r="AR85" s="157">
        <v>18</v>
      </c>
      <c r="AS85" s="155">
        <v>0.9444444444444442</v>
      </c>
      <c r="AT85" s="156">
        <v>5.5555555555555573E-2</v>
      </c>
      <c r="AU85" s="156">
        <v>0</v>
      </c>
      <c r="AV85" s="156">
        <v>0</v>
      </c>
      <c r="AW85" s="156">
        <v>0</v>
      </c>
      <c r="AX85" s="157">
        <v>18</v>
      </c>
      <c r="AY85" s="155">
        <v>0.88888888888888895</v>
      </c>
      <c r="AZ85" s="156">
        <v>0.11111111111111115</v>
      </c>
      <c r="BA85" s="156">
        <v>0</v>
      </c>
      <c r="BB85" s="156">
        <v>0</v>
      </c>
      <c r="BC85" s="156">
        <v>0</v>
      </c>
      <c r="BD85" s="157">
        <v>18</v>
      </c>
      <c r="BE85" s="155">
        <v>0.9444444444444442</v>
      </c>
      <c r="BF85" s="156">
        <v>5.5555555555555573E-2</v>
      </c>
      <c r="BG85" s="156">
        <v>0</v>
      </c>
      <c r="BH85" s="156">
        <v>0</v>
      </c>
      <c r="BI85" s="156">
        <v>0</v>
      </c>
      <c r="BJ85" s="157">
        <v>18</v>
      </c>
      <c r="BK85" s="155">
        <v>0.42857142857142877</v>
      </c>
      <c r="BL85" s="156">
        <v>0.42857142857142877</v>
      </c>
      <c r="BM85" s="156">
        <v>7.1428571428571425E-2</v>
      </c>
      <c r="BN85" s="156">
        <v>7.1428571428571425E-2</v>
      </c>
      <c r="BO85" s="156">
        <v>0</v>
      </c>
      <c r="BP85" s="157">
        <v>14</v>
      </c>
      <c r="BQ85" s="155">
        <v>1</v>
      </c>
      <c r="BR85" s="156">
        <v>0</v>
      </c>
      <c r="BS85" s="156">
        <v>0</v>
      </c>
      <c r="BT85" s="156">
        <v>0</v>
      </c>
      <c r="BU85" s="156">
        <v>0</v>
      </c>
      <c r="BV85" s="157">
        <v>16</v>
      </c>
      <c r="BW85" s="161">
        <v>0.7</v>
      </c>
      <c r="BX85" s="156">
        <v>0.29999999999999993</v>
      </c>
      <c r="BY85" s="156">
        <v>0</v>
      </c>
      <c r="BZ85" s="156">
        <v>0</v>
      </c>
      <c r="CA85" s="156">
        <v>0</v>
      </c>
      <c r="CB85" s="157">
        <v>10</v>
      </c>
      <c r="CC85" s="155">
        <v>0.5</v>
      </c>
      <c r="CD85" s="156">
        <v>0</v>
      </c>
      <c r="CE85" s="156">
        <v>0.5</v>
      </c>
      <c r="CF85" s="156">
        <v>0</v>
      </c>
      <c r="CG85" s="156">
        <v>0</v>
      </c>
      <c r="CH85" s="162">
        <v>2</v>
      </c>
      <c r="CI85" s="155">
        <v>0</v>
      </c>
      <c r="CJ85" s="156">
        <v>0</v>
      </c>
      <c r="CK85" s="156">
        <v>0</v>
      </c>
      <c r="CL85" s="156">
        <v>0</v>
      </c>
      <c r="CM85" s="156">
        <v>0</v>
      </c>
      <c r="CN85" s="162">
        <v>0</v>
      </c>
      <c r="CO85" s="155">
        <v>0.55555555555555547</v>
      </c>
      <c r="CP85" s="156">
        <v>0.44444444444444448</v>
      </c>
      <c r="CQ85" s="156">
        <v>0</v>
      </c>
      <c r="CR85" s="156">
        <v>0</v>
      </c>
      <c r="CS85" s="156">
        <v>0</v>
      </c>
      <c r="CT85" s="162">
        <v>9</v>
      </c>
      <c r="CU85" s="155">
        <v>0.7</v>
      </c>
      <c r="CV85" s="156">
        <v>9.9999999999999978E-2</v>
      </c>
      <c r="CW85" s="156">
        <v>9.9999999999999978E-2</v>
      </c>
      <c r="CX85" s="156">
        <v>9.9999999999999978E-2</v>
      </c>
      <c r="CY85" s="156">
        <v>0</v>
      </c>
      <c r="CZ85" s="162">
        <v>10</v>
      </c>
      <c r="DA85" s="155">
        <v>0.8</v>
      </c>
      <c r="DB85" s="156">
        <v>0</v>
      </c>
      <c r="DC85" s="156">
        <v>0.2</v>
      </c>
      <c r="DD85" s="156">
        <v>0</v>
      </c>
      <c r="DE85" s="156">
        <v>0</v>
      </c>
      <c r="DF85" s="162">
        <v>5</v>
      </c>
      <c r="DG85" s="155">
        <v>1</v>
      </c>
      <c r="DH85" s="156">
        <v>0</v>
      </c>
      <c r="DI85" s="156">
        <v>0</v>
      </c>
      <c r="DJ85" s="156">
        <v>0</v>
      </c>
      <c r="DK85" s="156">
        <v>0</v>
      </c>
      <c r="DL85" s="162">
        <v>1</v>
      </c>
      <c r="DM85" s="155">
        <v>0.75</v>
      </c>
      <c r="DN85" s="156">
        <v>0</v>
      </c>
      <c r="DO85" s="156">
        <v>0.25</v>
      </c>
      <c r="DP85" s="156">
        <v>0</v>
      </c>
      <c r="DQ85" s="156">
        <v>0</v>
      </c>
      <c r="DR85" s="162">
        <v>4</v>
      </c>
      <c r="DS85" s="161">
        <v>0.66666666666666674</v>
      </c>
      <c r="DT85" s="156">
        <v>0.33333333333333337</v>
      </c>
      <c r="DU85" s="156">
        <v>0</v>
      </c>
      <c r="DV85" s="156">
        <v>0</v>
      </c>
      <c r="DW85" s="156">
        <v>0</v>
      </c>
      <c r="DX85" s="162">
        <v>3</v>
      </c>
      <c r="DY85" s="155">
        <v>0.88235294117647056</v>
      </c>
      <c r="DZ85" s="156">
        <v>0.11764705882352949</v>
      </c>
      <c r="EA85" s="156">
        <v>0</v>
      </c>
      <c r="EB85" s="156">
        <v>0</v>
      </c>
      <c r="EC85" s="156">
        <v>0</v>
      </c>
      <c r="ED85" s="162">
        <v>17</v>
      </c>
      <c r="EE85" s="155">
        <v>1</v>
      </c>
      <c r="EF85" s="156">
        <v>0</v>
      </c>
      <c r="EG85" s="156">
        <v>0</v>
      </c>
      <c r="EH85" s="156">
        <v>0</v>
      </c>
      <c r="EI85" s="156">
        <v>0</v>
      </c>
      <c r="EJ85" s="162">
        <v>3</v>
      </c>
      <c r="EK85" s="155">
        <v>0.88888888888888895</v>
      </c>
      <c r="EL85" s="156">
        <v>0</v>
      </c>
      <c r="EM85" s="156">
        <v>0.11111111111111112</v>
      </c>
      <c r="EN85" s="156">
        <v>0</v>
      </c>
      <c r="EO85" s="156">
        <v>0</v>
      </c>
      <c r="EP85" s="162">
        <v>9</v>
      </c>
      <c r="EQ85" s="155">
        <v>0.9</v>
      </c>
      <c r="ER85" s="156">
        <v>9.9999999999999978E-2</v>
      </c>
      <c r="ES85" s="156">
        <v>0</v>
      </c>
      <c r="ET85" s="156">
        <v>0</v>
      </c>
      <c r="EU85" s="156">
        <v>0</v>
      </c>
      <c r="EV85" s="162">
        <v>10</v>
      </c>
      <c r="EW85" s="155">
        <v>1</v>
      </c>
      <c r="EX85" s="156">
        <v>0</v>
      </c>
      <c r="EY85" s="156">
        <v>0</v>
      </c>
      <c r="EZ85" s="156">
        <v>0</v>
      </c>
      <c r="FA85" s="156">
        <v>0</v>
      </c>
      <c r="FB85" s="162">
        <v>9</v>
      </c>
      <c r="FC85" s="155">
        <v>0</v>
      </c>
      <c r="FD85" s="156">
        <v>0</v>
      </c>
      <c r="FE85" s="156">
        <v>0</v>
      </c>
      <c r="FF85" s="156">
        <v>0</v>
      </c>
      <c r="FG85" s="156">
        <v>0</v>
      </c>
      <c r="FH85" s="162">
        <v>0</v>
      </c>
      <c r="FI85" s="161">
        <v>0.5</v>
      </c>
      <c r="FJ85" s="156">
        <v>0</v>
      </c>
      <c r="FK85" s="156">
        <v>0</v>
      </c>
      <c r="FL85" s="156">
        <v>0.5</v>
      </c>
      <c r="FM85" s="156">
        <v>0</v>
      </c>
      <c r="FN85" s="162">
        <v>2</v>
      </c>
      <c r="FO85" s="155">
        <v>0</v>
      </c>
      <c r="FP85" s="156">
        <v>0</v>
      </c>
      <c r="FQ85" s="156">
        <v>0</v>
      </c>
      <c r="FR85" s="156">
        <v>0</v>
      </c>
      <c r="FS85" s="156">
        <v>0</v>
      </c>
      <c r="FT85" s="162">
        <v>0</v>
      </c>
      <c r="FU85" s="155">
        <v>0</v>
      </c>
      <c r="FV85" s="156">
        <v>0</v>
      </c>
      <c r="FW85" s="156">
        <v>0</v>
      </c>
      <c r="FX85" s="156">
        <v>0</v>
      </c>
      <c r="FY85" s="156">
        <v>0</v>
      </c>
      <c r="FZ85" s="162">
        <v>0</v>
      </c>
      <c r="GA85" s="161">
        <v>0</v>
      </c>
      <c r="GB85" s="156">
        <v>0</v>
      </c>
      <c r="GC85" s="156">
        <v>0</v>
      </c>
      <c r="GD85" s="156">
        <v>0</v>
      </c>
      <c r="GE85" s="156">
        <v>0</v>
      </c>
      <c r="GF85" s="162">
        <v>0</v>
      </c>
      <c r="GG85" s="158">
        <v>9.4375000000000018</v>
      </c>
      <c r="GH85" s="162">
        <v>16</v>
      </c>
      <c r="GI85" s="155">
        <v>0.47058823529411797</v>
      </c>
      <c r="GJ85" s="156">
        <v>0.41176470588235325</v>
      </c>
      <c r="GK85" s="156">
        <v>0.11764705882352949</v>
      </c>
      <c r="GL85" s="156">
        <v>0</v>
      </c>
      <c r="GM85" s="156">
        <v>0</v>
      </c>
      <c r="GN85" s="162">
        <v>17</v>
      </c>
      <c r="GO85" s="155">
        <v>0.33333333333333326</v>
      </c>
      <c r="GP85" s="156">
        <v>0.46666666666666679</v>
      </c>
      <c r="GQ85" s="156">
        <v>0.26666666666666666</v>
      </c>
      <c r="GR85" s="156">
        <v>0.20000000000000007</v>
      </c>
      <c r="GS85" s="162">
        <v>15</v>
      </c>
      <c r="GT85" s="163">
        <v>3.1176470588235294</v>
      </c>
      <c r="GU85" s="162">
        <v>17</v>
      </c>
      <c r="GV85" s="155">
        <v>1</v>
      </c>
      <c r="GW85" s="156">
        <v>0</v>
      </c>
      <c r="GX85" s="162">
        <v>6</v>
      </c>
      <c r="GY85" s="155">
        <v>1</v>
      </c>
      <c r="GZ85" s="156">
        <v>0</v>
      </c>
      <c r="HA85" s="162">
        <v>9</v>
      </c>
      <c r="HB85" s="155">
        <v>0.93333333333333313</v>
      </c>
      <c r="HC85" s="156">
        <v>6.6666666666666707E-2</v>
      </c>
      <c r="HD85" s="162">
        <v>15</v>
      </c>
      <c r="HE85" s="161">
        <v>0.99999999999999989</v>
      </c>
      <c r="HF85" s="156">
        <v>0</v>
      </c>
      <c r="HG85" s="162">
        <v>8</v>
      </c>
      <c r="HH85" s="155">
        <v>0.5454545454545453</v>
      </c>
      <c r="HI85" s="156">
        <v>0.4545454545454547</v>
      </c>
      <c r="HJ85" s="162">
        <v>11</v>
      </c>
      <c r="HK85" s="155">
        <v>1</v>
      </c>
      <c r="HL85" s="156">
        <v>0</v>
      </c>
      <c r="HM85" s="162">
        <v>9</v>
      </c>
      <c r="HN85" s="161">
        <v>0</v>
      </c>
      <c r="HO85" s="156">
        <v>9.9999999999999978E-2</v>
      </c>
      <c r="HP85" s="156">
        <v>0.59999999999999987</v>
      </c>
      <c r="HQ85" s="156">
        <v>0.29999999999999993</v>
      </c>
      <c r="HR85" s="156">
        <v>0</v>
      </c>
      <c r="HS85" s="160">
        <v>58.499999999999986</v>
      </c>
      <c r="HT85" s="164">
        <v>10</v>
      </c>
      <c r="HU85" s="165">
        <v>0</v>
      </c>
      <c r="HV85" s="166">
        <v>9.0909090909090912E-2</v>
      </c>
      <c r="HW85" s="166">
        <v>0</v>
      </c>
      <c r="HX85" s="166">
        <v>0</v>
      </c>
      <c r="HY85" s="166">
        <v>0.18181818181818182</v>
      </c>
      <c r="HZ85" s="166">
        <v>0</v>
      </c>
      <c r="IA85" s="166">
        <v>0.27272727272727271</v>
      </c>
      <c r="IB85" s="166">
        <v>0.18181818181818182</v>
      </c>
      <c r="IC85" s="166">
        <v>0.27272727272727271</v>
      </c>
      <c r="ID85" s="166">
        <v>0</v>
      </c>
      <c r="IE85" s="167">
        <v>11</v>
      </c>
      <c r="IF85" s="155">
        <v>0</v>
      </c>
      <c r="IG85" s="156">
        <v>0</v>
      </c>
      <c r="IH85" s="156">
        <v>0</v>
      </c>
      <c r="II85" s="156">
        <v>0</v>
      </c>
      <c r="IJ85" s="156">
        <v>0</v>
      </c>
      <c r="IK85" s="162">
        <v>0</v>
      </c>
      <c r="IL85" s="155">
        <v>0</v>
      </c>
      <c r="IM85" s="156">
        <v>0</v>
      </c>
      <c r="IN85" s="156">
        <v>0</v>
      </c>
      <c r="IO85" s="156">
        <v>1</v>
      </c>
      <c r="IP85" s="156">
        <v>0</v>
      </c>
      <c r="IQ85" s="162">
        <v>10</v>
      </c>
      <c r="IR85" s="155">
        <v>9.9999999999999978E-2</v>
      </c>
      <c r="IS85" s="156">
        <v>0.9</v>
      </c>
      <c r="IT85" s="162">
        <v>10</v>
      </c>
      <c r="IU85" s="161">
        <v>0</v>
      </c>
      <c r="IV85" s="156">
        <v>0</v>
      </c>
      <c r="IW85" s="156">
        <v>1</v>
      </c>
      <c r="IX85" s="162">
        <v>1</v>
      </c>
    </row>
    <row r="86" spans="1:258" ht="32.1" customHeight="1" x14ac:dyDescent="0.25">
      <c r="A86" s="110" t="s">
        <v>453</v>
      </c>
      <c r="B86" s="108" t="s">
        <v>576</v>
      </c>
      <c r="C86" s="108" t="s">
        <v>536</v>
      </c>
      <c r="D86" s="109">
        <v>262</v>
      </c>
      <c r="E86" s="139" t="s">
        <v>537</v>
      </c>
      <c r="F86" s="155">
        <v>0</v>
      </c>
      <c r="G86" s="156">
        <v>1</v>
      </c>
      <c r="H86" s="157">
        <v>21</v>
      </c>
      <c r="I86" s="155">
        <v>0.76190476190476175</v>
      </c>
      <c r="J86" s="156">
        <v>0.23809523809523803</v>
      </c>
      <c r="K86" s="157">
        <v>21</v>
      </c>
      <c r="L86" s="155">
        <v>0.4375</v>
      </c>
      <c r="M86" s="156">
        <v>0.56250000000000011</v>
      </c>
      <c r="N86" s="157">
        <v>16</v>
      </c>
      <c r="O86" s="155">
        <v>0.76190476190476231</v>
      </c>
      <c r="P86" s="156">
        <v>0</v>
      </c>
      <c r="Q86" s="156">
        <v>4.7619047619047644E-2</v>
      </c>
      <c r="R86" s="156">
        <v>0</v>
      </c>
      <c r="S86" s="156">
        <v>4.7619047619047644E-2</v>
      </c>
      <c r="T86" s="156">
        <v>0</v>
      </c>
      <c r="U86" s="156">
        <v>0</v>
      </c>
      <c r="V86" s="156">
        <v>4.7619047619047644E-2</v>
      </c>
      <c r="W86" s="156">
        <v>0.14285714285714282</v>
      </c>
      <c r="X86" s="156">
        <v>0</v>
      </c>
      <c r="Y86" s="157">
        <v>21</v>
      </c>
      <c r="Z86" s="155">
        <v>0.42857142857142866</v>
      </c>
      <c r="AA86" s="156">
        <v>0.95238095238095244</v>
      </c>
      <c r="AB86" s="156">
        <v>0.23809523809523811</v>
      </c>
      <c r="AC86" s="156">
        <v>0.14285714285714282</v>
      </c>
      <c r="AD86" s="156">
        <v>0.14285714285714282</v>
      </c>
      <c r="AE86" s="156">
        <v>9.5238095238095288E-2</v>
      </c>
      <c r="AF86" s="157">
        <v>21</v>
      </c>
      <c r="AG86" s="158">
        <v>9.4761904761904798</v>
      </c>
      <c r="AH86" s="159">
        <v>21</v>
      </c>
      <c r="AI86" s="160">
        <v>9.8095238095238031</v>
      </c>
      <c r="AJ86" s="159">
        <v>21</v>
      </c>
      <c r="AK86" s="160">
        <v>9.6666666666666643</v>
      </c>
      <c r="AL86" s="157">
        <v>21</v>
      </c>
      <c r="AM86" s="155">
        <v>0.45</v>
      </c>
      <c r="AN86" s="156">
        <v>0.2</v>
      </c>
      <c r="AO86" s="156">
        <v>0</v>
      </c>
      <c r="AP86" s="156">
        <v>0.35</v>
      </c>
      <c r="AQ86" s="156">
        <v>0</v>
      </c>
      <c r="AR86" s="157">
        <v>20</v>
      </c>
      <c r="AS86" s="155">
        <v>0.66666666666666685</v>
      </c>
      <c r="AT86" s="156">
        <v>0.33333333333333343</v>
      </c>
      <c r="AU86" s="156">
        <v>0</v>
      </c>
      <c r="AV86" s="156">
        <v>0</v>
      </c>
      <c r="AW86" s="156">
        <v>0</v>
      </c>
      <c r="AX86" s="157">
        <v>21</v>
      </c>
      <c r="AY86" s="155">
        <v>0.65</v>
      </c>
      <c r="AZ86" s="156">
        <v>0.35</v>
      </c>
      <c r="BA86" s="156">
        <v>0</v>
      </c>
      <c r="BB86" s="156">
        <v>0</v>
      </c>
      <c r="BC86" s="156">
        <v>0</v>
      </c>
      <c r="BD86" s="157">
        <v>20</v>
      </c>
      <c r="BE86" s="155">
        <v>0.57142857142857117</v>
      </c>
      <c r="BF86" s="156">
        <v>0.238095238095238</v>
      </c>
      <c r="BG86" s="156">
        <v>0.19047619047619041</v>
      </c>
      <c r="BH86" s="156">
        <v>0</v>
      </c>
      <c r="BI86" s="156">
        <v>0</v>
      </c>
      <c r="BJ86" s="157">
        <v>21</v>
      </c>
      <c r="BK86" s="155">
        <v>0.80952380952380953</v>
      </c>
      <c r="BL86" s="156">
        <v>0.19047619047619041</v>
      </c>
      <c r="BM86" s="156">
        <v>0</v>
      </c>
      <c r="BN86" s="156">
        <v>0</v>
      </c>
      <c r="BO86" s="156">
        <v>0</v>
      </c>
      <c r="BP86" s="157">
        <v>21</v>
      </c>
      <c r="BQ86" s="155">
        <v>0.80952380952380953</v>
      </c>
      <c r="BR86" s="156">
        <v>0.14285714285714279</v>
      </c>
      <c r="BS86" s="156">
        <v>4.7619047619047603E-2</v>
      </c>
      <c r="BT86" s="156">
        <v>0</v>
      </c>
      <c r="BU86" s="156">
        <v>0</v>
      </c>
      <c r="BV86" s="157">
        <v>21</v>
      </c>
      <c r="BW86" s="161">
        <v>0.61111111111111094</v>
      </c>
      <c r="BX86" s="156">
        <v>0.27777777777777785</v>
      </c>
      <c r="BY86" s="156">
        <v>0</v>
      </c>
      <c r="BZ86" s="156">
        <v>0.11111111111111112</v>
      </c>
      <c r="CA86" s="156">
        <v>0</v>
      </c>
      <c r="CB86" s="157">
        <v>18</v>
      </c>
      <c r="CC86" s="155">
        <v>1</v>
      </c>
      <c r="CD86" s="156">
        <v>0</v>
      </c>
      <c r="CE86" s="156">
        <v>0</v>
      </c>
      <c r="CF86" s="156">
        <v>0</v>
      </c>
      <c r="CG86" s="156">
        <v>0</v>
      </c>
      <c r="CH86" s="162">
        <v>2</v>
      </c>
      <c r="CI86" s="155">
        <v>1</v>
      </c>
      <c r="CJ86" s="156">
        <v>0</v>
      </c>
      <c r="CK86" s="156">
        <v>0</v>
      </c>
      <c r="CL86" s="156">
        <v>0</v>
      </c>
      <c r="CM86" s="156">
        <v>0</v>
      </c>
      <c r="CN86" s="162">
        <v>2</v>
      </c>
      <c r="CO86" s="155">
        <v>0.2</v>
      </c>
      <c r="CP86" s="156">
        <v>0.2</v>
      </c>
      <c r="CQ86" s="156">
        <v>0.2</v>
      </c>
      <c r="CR86" s="156">
        <v>0.2</v>
      </c>
      <c r="CS86" s="156">
        <v>0.2</v>
      </c>
      <c r="CT86" s="162">
        <v>5</v>
      </c>
      <c r="CU86" s="155">
        <v>0.33333333333333343</v>
      </c>
      <c r="CV86" s="156">
        <v>0.16666666666666671</v>
      </c>
      <c r="CW86" s="156">
        <v>0</v>
      </c>
      <c r="CX86" s="156">
        <v>0.16666666666666671</v>
      </c>
      <c r="CY86" s="156">
        <v>0.33333333333333343</v>
      </c>
      <c r="CZ86" s="162">
        <v>6</v>
      </c>
      <c r="DA86" s="155">
        <v>0.57142857142857129</v>
      </c>
      <c r="DB86" s="156">
        <v>0.28571428571428564</v>
      </c>
      <c r="DC86" s="156">
        <v>0</v>
      </c>
      <c r="DD86" s="156">
        <v>0.14285714285714282</v>
      </c>
      <c r="DE86" s="156">
        <v>0</v>
      </c>
      <c r="DF86" s="162">
        <v>7</v>
      </c>
      <c r="DG86" s="155">
        <v>0.85714285714285721</v>
      </c>
      <c r="DH86" s="156">
        <v>0.14285714285714282</v>
      </c>
      <c r="DI86" s="156">
        <v>0</v>
      </c>
      <c r="DJ86" s="156">
        <v>0</v>
      </c>
      <c r="DK86" s="156">
        <v>0</v>
      </c>
      <c r="DL86" s="162">
        <v>7</v>
      </c>
      <c r="DM86" s="155">
        <v>1</v>
      </c>
      <c r="DN86" s="156">
        <v>0</v>
      </c>
      <c r="DO86" s="156">
        <v>0</v>
      </c>
      <c r="DP86" s="156">
        <v>0</v>
      </c>
      <c r="DQ86" s="156">
        <v>0</v>
      </c>
      <c r="DR86" s="162">
        <v>8</v>
      </c>
      <c r="DS86" s="161">
        <v>0.8</v>
      </c>
      <c r="DT86" s="156">
        <v>0.2</v>
      </c>
      <c r="DU86" s="156">
        <v>0</v>
      </c>
      <c r="DV86" s="156">
        <v>0</v>
      </c>
      <c r="DW86" s="156">
        <v>0</v>
      </c>
      <c r="DX86" s="162">
        <v>10</v>
      </c>
      <c r="DY86" s="155">
        <v>0.63636363636363658</v>
      </c>
      <c r="DZ86" s="156">
        <v>9.0909090909090912E-2</v>
      </c>
      <c r="EA86" s="156">
        <v>0.13636363636363633</v>
      </c>
      <c r="EB86" s="156">
        <v>0.13636363636363633</v>
      </c>
      <c r="EC86" s="156">
        <v>0</v>
      </c>
      <c r="ED86" s="162">
        <v>22</v>
      </c>
      <c r="EE86" s="155">
        <v>0.71428571428571397</v>
      </c>
      <c r="EF86" s="156">
        <v>0</v>
      </c>
      <c r="EG86" s="156">
        <v>0</v>
      </c>
      <c r="EH86" s="156">
        <v>0</v>
      </c>
      <c r="EI86" s="156">
        <v>0.28571428571428564</v>
      </c>
      <c r="EJ86" s="162">
        <v>7</v>
      </c>
      <c r="EK86" s="155">
        <v>0.66666666666666685</v>
      </c>
      <c r="EL86" s="156">
        <v>0.16666666666666671</v>
      </c>
      <c r="EM86" s="156">
        <v>0.16666666666666671</v>
      </c>
      <c r="EN86" s="156">
        <v>0</v>
      </c>
      <c r="EO86" s="156">
        <v>0</v>
      </c>
      <c r="EP86" s="162">
        <v>6</v>
      </c>
      <c r="EQ86" s="155">
        <v>0.57894736842105221</v>
      </c>
      <c r="ER86" s="156">
        <v>0.31578947368421045</v>
      </c>
      <c r="ES86" s="156">
        <v>5.263157894736846E-2</v>
      </c>
      <c r="ET86" s="156">
        <v>5.263157894736846E-2</v>
      </c>
      <c r="EU86" s="156">
        <v>0</v>
      </c>
      <c r="EV86" s="162">
        <v>19</v>
      </c>
      <c r="EW86" s="155">
        <v>0.77777777777777812</v>
      </c>
      <c r="EX86" s="156">
        <v>0.22222222222222224</v>
      </c>
      <c r="EY86" s="156">
        <v>0</v>
      </c>
      <c r="EZ86" s="156">
        <v>0</v>
      </c>
      <c r="FA86" s="156">
        <v>0</v>
      </c>
      <c r="FB86" s="162">
        <v>18</v>
      </c>
      <c r="FC86" s="155">
        <v>1</v>
      </c>
      <c r="FD86" s="156">
        <v>0</v>
      </c>
      <c r="FE86" s="156">
        <v>0</v>
      </c>
      <c r="FF86" s="156">
        <v>0</v>
      </c>
      <c r="FG86" s="156">
        <v>0</v>
      </c>
      <c r="FH86" s="162">
        <v>1</v>
      </c>
      <c r="FI86" s="161">
        <v>0.5</v>
      </c>
      <c r="FJ86" s="156">
        <v>0</v>
      </c>
      <c r="FK86" s="156">
        <v>0.125</v>
      </c>
      <c r="FL86" s="156">
        <v>0.375</v>
      </c>
      <c r="FM86" s="156">
        <v>0</v>
      </c>
      <c r="FN86" s="162">
        <v>8</v>
      </c>
      <c r="FO86" s="155">
        <v>0</v>
      </c>
      <c r="FP86" s="156">
        <v>0</v>
      </c>
      <c r="FQ86" s="156">
        <v>0</v>
      </c>
      <c r="FR86" s="156">
        <v>0</v>
      </c>
      <c r="FS86" s="156">
        <v>0</v>
      </c>
      <c r="FT86" s="162">
        <v>0</v>
      </c>
      <c r="FU86" s="155">
        <v>0</v>
      </c>
      <c r="FV86" s="156">
        <v>0</v>
      </c>
      <c r="FW86" s="156">
        <v>0</v>
      </c>
      <c r="FX86" s="156">
        <v>0</v>
      </c>
      <c r="FY86" s="156">
        <v>0</v>
      </c>
      <c r="FZ86" s="162">
        <v>0</v>
      </c>
      <c r="GA86" s="161">
        <v>0</v>
      </c>
      <c r="GB86" s="156">
        <v>0</v>
      </c>
      <c r="GC86" s="156">
        <v>0</v>
      </c>
      <c r="GD86" s="156">
        <v>0</v>
      </c>
      <c r="GE86" s="156">
        <v>0</v>
      </c>
      <c r="GF86" s="162">
        <v>0</v>
      </c>
      <c r="GG86" s="158">
        <v>8.6818181818181852</v>
      </c>
      <c r="GH86" s="162">
        <v>22</v>
      </c>
      <c r="GI86" s="155">
        <v>0.14285714285714279</v>
      </c>
      <c r="GJ86" s="156">
        <v>0.71428571428571397</v>
      </c>
      <c r="GK86" s="156">
        <v>9.5238095238095205E-2</v>
      </c>
      <c r="GL86" s="156">
        <v>0</v>
      </c>
      <c r="GM86" s="156">
        <v>4.7619047619047603E-2</v>
      </c>
      <c r="GN86" s="162">
        <v>21</v>
      </c>
      <c r="GO86" s="155">
        <v>0.63157894736842113</v>
      </c>
      <c r="GP86" s="156">
        <v>0.21052631578947356</v>
      </c>
      <c r="GQ86" s="156">
        <v>5.263157894736839E-2</v>
      </c>
      <c r="GR86" s="156">
        <v>0.15789473684210528</v>
      </c>
      <c r="GS86" s="162">
        <v>19</v>
      </c>
      <c r="GT86" s="163">
        <v>4.799999999999998</v>
      </c>
      <c r="GU86" s="162">
        <v>20</v>
      </c>
      <c r="GV86" s="155">
        <v>0.75</v>
      </c>
      <c r="GW86" s="156">
        <v>0.25</v>
      </c>
      <c r="GX86" s="162">
        <v>8</v>
      </c>
      <c r="GY86" s="155">
        <v>0.875</v>
      </c>
      <c r="GZ86" s="156">
        <v>0.125</v>
      </c>
      <c r="HA86" s="162">
        <v>8</v>
      </c>
      <c r="HB86" s="155">
        <v>0.95</v>
      </c>
      <c r="HC86" s="156">
        <v>0.05</v>
      </c>
      <c r="HD86" s="162">
        <v>20</v>
      </c>
      <c r="HE86" s="161">
        <v>1</v>
      </c>
      <c r="HF86" s="156">
        <v>0</v>
      </c>
      <c r="HG86" s="162">
        <v>14</v>
      </c>
      <c r="HH86" s="155">
        <v>0.22222222222222224</v>
      </c>
      <c r="HI86" s="156">
        <v>0.77777777777777812</v>
      </c>
      <c r="HJ86" s="162">
        <v>18</v>
      </c>
      <c r="HK86" s="155">
        <v>1</v>
      </c>
      <c r="HL86" s="156">
        <v>0</v>
      </c>
      <c r="HM86" s="162">
        <v>18</v>
      </c>
      <c r="HN86" s="161">
        <v>0.1764705882352941</v>
      </c>
      <c r="HO86" s="156">
        <v>0.11764705882352935</v>
      </c>
      <c r="HP86" s="156">
        <v>0.41176470588235276</v>
      </c>
      <c r="HQ86" s="156">
        <v>0.1764705882352941</v>
      </c>
      <c r="HR86" s="156">
        <v>0.11764705882352935</v>
      </c>
      <c r="HS86" s="160">
        <v>51.470588235294123</v>
      </c>
      <c r="HT86" s="164">
        <v>17</v>
      </c>
      <c r="HU86" s="165">
        <v>0</v>
      </c>
      <c r="HV86" s="166">
        <v>0</v>
      </c>
      <c r="HW86" s="166">
        <v>0</v>
      </c>
      <c r="HX86" s="166">
        <v>0</v>
      </c>
      <c r="HY86" s="166">
        <v>0.14285714285714285</v>
      </c>
      <c r="HZ86" s="166">
        <v>0.2857142857142857</v>
      </c>
      <c r="IA86" s="166">
        <v>0.2857142857142857</v>
      </c>
      <c r="IB86" s="166">
        <v>0.14285714285714285</v>
      </c>
      <c r="IC86" s="166">
        <v>0.14285714285714285</v>
      </c>
      <c r="ID86" s="166">
        <v>0</v>
      </c>
      <c r="IE86" s="167">
        <v>7</v>
      </c>
      <c r="IF86" s="155">
        <v>0</v>
      </c>
      <c r="IG86" s="156">
        <v>0.14285714285714282</v>
      </c>
      <c r="IH86" s="156">
        <v>0.57142857142857129</v>
      </c>
      <c r="II86" s="156">
        <v>0</v>
      </c>
      <c r="IJ86" s="156">
        <v>0.28571428571428564</v>
      </c>
      <c r="IK86" s="162">
        <v>7</v>
      </c>
      <c r="IL86" s="155">
        <v>6.25E-2</v>
      </c>
      <c r="IM86" s="156">
        <v>0</v>
      </c>
      <c r="IN86" s="156">
        <v>0</v>
      </c>
      <c r="IO86" s="156">
        <v>0.9375</v>
      </c>
      <c r="IP86" s="156">
        <v>0</v>
      </c>
      <c r="IQ86" s="162">
        <v>16</v>
      </c>
      <c r="IR86" s="155">
        <v>6.666666666666668E-2</v>
      </c>
      <c r="IS86" s="156">
        <v>0.93333333333333313</v>
      </c>
      <c r="IT86" s="162">
        <v>15</v>
      </c>
      <c r="IU86" s="161">
        <v>0</v>
      </c>
      <c r="IV86" s="156">
        <v>1</v>
      </c>
      <c r="IW86" s="156">
        <v>0</v>
      </c>
      <c r="IX86" s="162">
        <v>1</v>
      </c>
    </row>
    <row r="87" spans="1:258" ht="32.1" customHeight="1" x14ac:dyDescent="0.25">
      <c r="A87" s="110" t="s">
        <v>453</v>
      </c>
      <c r="B87" s="108" t="s">
        <v>588</v>
      </c>
      <c r="C87" s="108" t="s">
        <v>454</v>
      </c>
      <c r="D87" s="109">
        <v>347</v>
      </c>
      <c r="E87" s="139" t="s">
        <v>538</v>
      </c>
      <c r="F87" s="155">
        <v>0.27397260273972679</v>
      </c>
      <c r="G87" s="156">
        <v>0.72602739726027432</v>
      </c>
      <c r="H87" s="157">
        <v>73</v>
      </c>
      <c r="I87" s="155">
        <v>0.44230769230769257</v>
      </c>
      <c r="J87" s="156">
        <v>0.55769230769230826</v>
      </c>
      <c r="K87" s="157">
        <v>52</v>
      </c>
      <c r="L87" s="155">
        <v>0.36363636363636365</v>
      </c>
      <c r="M87" s="156">
        <v>0.63636363636363658</v>
      </c>
      <c r="N87" s="157">
        <v>22</v>
      </c>
      <c r="O87" s="155">
        <v>0.1369863013698632</v>
      </c>
      <c r="P87" s="156">
        <v>0.28767123287671248</v>
      </c>
      <c r="Q87" s="156">
        <v>0.2739726027397264</v>
      </c>
      <c r="R87" s="156">
        <v>4.1095890410959034E-2</v>
      </c>
      <c r="S87" s="156">
        <v>0.38356164383561636</v>
      </c>
      <c r="T87" s="156">
        <v>5.4794520547945327E-2</v>
      </c>
      <c r="U87" s="156">
        <v>0</v>
      </c>
      <c r="V87" s="156">
        <v>9.5890410958904104E-2</v>
      </c>
      <c r="W87" s="156">
        <v>9.5890410958904104E-2</v>
      </c>
      <c r="X87" s="156">
        <v>0.1369863013698632</v>
      </c>
      <c r="Y87" s="157">
        <v>73</v>
      </c>
      <c r="Z87" s="155">
        <v>0.69696969696969602</v>
      </c>
      <c r="AA87" s="156">
        <v>0.53030303030303094</v>
      </c>
      <c r="AB87" s="156">
        <v>0.34848484848484856</v>
      </c>
      <c r="AC87" s="156">
        <v>0.25757575757575785</v>
      </c>
      <c r="AD87" s="156">
        <v>7.5757575757575898E-2</v>
      </c>
      <c r="AE87" s="156">
        <v>0.24242424242424249</v>
      </c>
      <c r="AF87" s="157">
        <v>66</v>
      </c>
      <c r="AG87" s="158">
        <v>9.9000000000000128</v>
      </c>
      <c r="AH87" s="159">
        <v>70</v>
      </c>
      <c r="AI87" s="160">
        <v>9.9857142857142982</v>
      </c>
      <c r="AJ87" s="159">
        <v>70</v>
      </c>
      <c r="AK87" s="160">
        <v>9.9714285714286088</v>
      </c>
      <c r="AL87" s="157">
        <v>70</v>
      </c>
      <c r="AM87" s="155">
        <v>0.8493150684931513</v>
      </c>
      <c r="AN87" s="156">
        <v>0.15068493150684945</v>
      </c>
      <c r="AO87" s="156">
        <v>0</v>
      </c>
      <c r="AP87" s="156">
        <v>0</v>
      </c>
      <c r="AQ87" s="156">
        <v>0</v>
      </c>
      <c r="AR87" s="157">
        <v>73</v>
      </c>
      <c r="AS87" s="155">
        <v>0.93150684931506722</v>
      </c>
      <c r="AT87" s="156">
        <v>6.8493150684931697E-2</v>
      </c>
      <c r="AU87" s="156">
        <v>0</v>
      </c>
      <c r="AV87" s="156">
        <v>0</v>
      </c>
      <c r="AW87" s="156">
        <v>0</v>
      </c>
      <c r="AX87" s="157">
        <v>73</v>
      </c>
      <c r="AY87" s="155">
        <v>0.70422535211267689</v>
      </c>
      <c r="AZ87" s="156">
        <v>0.26760563380281782</v>
      </c>
      <c r="BA87" s="156">
        <v>2.8169014084507116E-2</v>
      </c>
      <c r="BB87" s="156">
        <v>0</v>
      </c>
      <c r="BC87" s="156">
        <v>0</v>
      </c>
      <c r="BD87" s="157">
        <v>71</v>
      </c>
      <c r="BE87" s="155">
        <v>0.8219178082191777</v>
      </c>
      <c r="BF87" s="156">
        <v>0.16438356164383566</v>
      </c>
      <c r="BG87" s="156">
        <v>0</v>
      </c>
      <c r="BH87" s="156">
        <v>1.3698630136986334E-2</v>
      </c>
      <c r="BI87" s="156">
        <v>0</v>
      </c>
      <c r="BJ87" s="157">
        <v>73</v>
      </c>
      <c r="BK87" s="155">
        <v>0.75000000000000011</v>
      </c>
      <c r="BL87" s="156">
        <v>0.17857142857142885</v>
      </c>
      <c r="BM87" s="156">
        <v>5.3571428571428721E-2</v>
      </c>
      <c r="BN87" s="156">
        <v>0</v>
      </c>
      <c r="BO87" s="156">
        <v>1.7857142857142884E-2</v>
      </c>
      <c r="BP87" s="157">
        <v>56</v>
      </c>
      <c r="BQ87" s="155">
        <v>0.94202898550724756</v>
      </c>
      <c r="BR87" s="156">
        <v>4.3478260869565244E-2</v>
      </c>
      <c r="BS87" s="156">
        <v>1.4492753623188432E-2</v>
      </c>
      <c r="BT87" s="156">
        <v>0</v>
      </c>
      <c r="BU87" s="156">
        <v>0</v>
      </c>
      <c r="BV87" s="157">
        <v>69</v>
      </c>
      <c r="BW87" s="161">
        <v>0.87500000000000011</v>
      </c>
      <c r="BX87" s="156">
        <v>6.2500000000000014E-2</v>
      </c>
      <c r="BY87" s="156">
        <v>6.2500000000000014E-2</v>
      </c>
      <c r="BZ87" s="156">
        <v>0</v>
      </c>
      <c r="CA87" s="156">
        <v>0</v>
      </c>
      <c r="CB87" s="157">
        <v>32</v>
      </c>
      <c r="CC87" s="155">
        <v>0.93103448275862111</v>
      </c>
      <c r="CD87" s="156">
        <v>6.8965517241379212E-2</v>
      </c>
      <c r="CE87" s="156">
        <v>0</v>
      </c>
      <c r="CF87" s="156">
        <v>0</v>
      </c>
      <c r="CG87" s="156">
        <v>0</v>
      </c>
      <c r="CH87" s="162">
        <v>29</v>
      </c>
      <c r="CI87" s="155">
        <v>0.86363636363636298</v>
      </c>
      <c r="CJ87" s="156">
        <v>0.13636363636363627</v>
      </c>
      <c r="CK87" s="156">
        <v>0</v>
      </c>
      <c r="CL87" s="156">
        <v>0</v>
      </c>
      <c r="CM87" s="156">
        <v>0</v>
      </c>
      <c r="CN87" s="162">
        <v>22</v>
      </c>
      <c r="CO87" s="155">
        <v>0.68421052631578905</v>
      </c>
      <c r="CP87" s="156">
        <v>0.31578947368421073</v>
      </c>
      <c r="CQ87" s="156">
        <v>0</v>
      </c>
      <c r="CR87" s="156">
        <v>0</v>
      </c>
      <c r="CS87" s="156">
        <v>0</v>
      </c>
      <c r="CT87" s="162">
        <v>19</v>
      </c>
      <c r="CU87" s="155">
        <v>0.78947368421052544</v>
      </c>
      <c r="CV87" s="156">
        <v>0.21052631578947345</v>
      </c>
      <c r="CW87" s="156">
        <v>0</v>
      </c>
      <c r="CX87" s="156">
        <v>0</v>
      </c>
      <c r="CY87" s="156">
        <v>0</v>
      </c>
      <c r="CZ87" s="162">
        <v>19</v>
      </c>
      <c r="DA87" s="155">
        <v>0.8333333333333327</v>
      </c>
      <c r="DB87" s="156">
        <v>0.16666666666666669</v>
      </c>
      <c r="DC87" s="156">
        <v>0</v>
      </c>
      <c r="DD87" s="156">
        <v>0</v>
      </c>
      <c r="DE87" s="156">
        <v>0</v>
      </c>
      <c r="DF87" s="162">
        <v>18</v>
      </c>
      <c r="DG87" s="155">
        <v>0.8333333333333327</v>
      </c>
      <c r="DH87" s="156">
        <v>0.16666666666666669</v>
      </c>
      <c r="DI87" s="156">
        <v>0</v>
      </c>
      <c r="DJ87" s="156">
        <v>0</v>
      </c>
      <c r="DK87" s="156">
        <v>0</v>
      </c>
      <c r="DL87" s="162">
        <v>12</v>
      </c>
      <c r="DM87" s="155">
        <v>0.8</v>
      </c>
      <c r="DN87" s="156">
        <v>0.19999999999999996</v>
      </c>
      <c r="DO87" s="156">
        <v>0</v>
      </c>
      <c r="DP87" s="156">
        <v>0</v>
      </c>
      <c r="DQ87" s="156">
        <v>0</v>
      </c>
      <c r="DR87" s="162">
        <v>10</v>
      </c>
      <c r="DS87" s="161">
        <v>0.49999999999999994</v>
      </c>
      <c r="DT87" s="156">
        <v>0.49999999999999994</v>
      </c>
      <c r="DU87" s="156">
        <v>0</v>
      </c>
      <c r="DV87" s="156">
        <v>0</v>
      </c>
      <c r="DW87" s="156">
        <v>0</v>
      </c>
      <c r="DX87" s="162">
        <v>6</v>
      </c>
      <c r="DY87" s="155">
        <v>0.92647058823529516</v>
      </c>
      <c r="DZ87" s="156">
        <v>5.8823529411764684E-2</v>
      </c>
      <c r="EA87" s="156">
        <v>1.4705882352941171E-2</v>
      </c>
      <c r="EB87" s="156">
        <v>0</v>
      </c>
      <c r="EC87" s="156">
        <v>0</v>
      </c>
      <c r="ED87" s="162">
        <v>68</v>
      </c>
      <c r="EE87" s="155">
        <v>0.82857142857142885</v>
      </c>
      <c r="EF87" s="156">
        <v>0.17142857142857132</v>
      </c>
      <c r="EG87" s="156">
        <v>0</v>
      </c>
      <c r="EH87" s="156">
        <v>0</v>
      </c>
      <c r="EI87" s="156">
        <v>0</v>
      </c>
      <c r="EJ87" s="162">
        <v>35</v>
      </c>
      <c r="EK87" s="155">
        <v>0.9047619047619061</v>
      </c>
      <c r="EL87" s="156">
        <v>7.1428571428571536E-2</v>
      </c>
      <c r="EM87" s="156">
        <v>0</v>
      </c>
      <c r="EN87" s="156">
        <v>2.3809523809523805E-2</v>
      </c>
      <c r="EO87" s="156">
        <v>0</v>
      </c>
      <c r="EP87" s="162">
        <v>42</v>
      </c>
      <c r="EQ87" s="155">
        <v>0.86486486486486613</v>
      </c>
      <c r="ER87" s="156">
        <v>0.10810810810810828</v>
      </c>
      <c r="ES87" s="156">
        <v>2.702702702702707E-2</v>
      </c>
      <c r="ET87" s="156">
        <v>0</v>
      </c>
      <c r="EU87" s="156">
        <v>0</v>
      </c>
      <c r="EV87" s="162">
        <v>37</v>
      </c>
      <c r="EW87" s="155">
        <v>0.90625</v>
      </c>
      <c r="EX87" s="156">
        <v>6.2500000000000014E-2</v>
      </c>
      <c r="EY87" s="156">
        <v>3.1250000000000007E-2</v>
      </c>
      <c r="EZ87" s="156">
        <v>0</v>
      </c>
      <c r="FA87" s="156">
        <v>0</v>
      </c>
      <c r="FB87" s="162">
        <v>32</v>
      </c>
      <c r="FC87" s="155">
        <v>0.72222222222222288</v>
      </c>
      <c r="FD87" s="156">
        <v>0.27777777777777812</v>
      </c>
      <c r="FE87" s="156">
        <v>0</v>
      </c>
      <c r="FF87" s="156">
        <v>0</v>
      </c>
      <c r="FG87" s="156">
        <v>0</v>
      </c>
      <c r="FH87" s="162">
        <v>18</v>
      </c>
      <c r="FI87" s="161">
        <v>0.8333333333333327</v>
      </c>
      <c r="FJ87" s="156">
        <v>0.16666666666666669</v>
      </c>
      <c r="FK87" s="156">
        <v>0</v>
      </c>
      <c r="FL87" s="156">
        <v>0</v>
      </c>
      <c r="FM87" s="156">
        <v>0</v>
      </c>
      <c r="FN87" s="162">
        <v>18</v>
      </c>
      <c r="FO87" s="155">
        <v>0</v>
      </c>
      <c r="FP87" s="156">
        <v>0</v>
      </c>
      <c r="FQ87" s="156">
        <v>0</v>
      </c>
      <c r="FR87" s="156">
        <v>0</v>
      </c>
      <c r="FS87" s="156">
        <v>0</v>
      </c>
      <c r="FT87" s="162">
        <v>0</v>
      </c>
      <c r="FU87" s="155">
        <v>0</v>
      </c>
      <c r="FV87" s="156">
        <v>0</v>
      </c>
      <c r="FW87" s="156">
        <v>0</v>
      </c>
      <c r="FX87" s="156">
        <v>0</v>
      </c>
      <c r="FY87" s="156">
        <v>0</v>
      </c>
      <c r="FZ87" s="162">
        <v>0</v>
      </c>
      <c r="GA87" s="161">
        <v>0</v>
      </c>
      <c r="GB87" s="156">
        <v>0</v>
      </c>
      <c r="GC87" s="156">
        <v>0</v>
      </c>
      <c r="GD87" s="156">
        <v>0</v>
      </c>
      <c r="GE87" s="156">
        <v>0</v>
      </c>
      <c r="GF87" s="162">
        <v>0</v>
      </c>
      <c r="GG87" s="158">
        <v>9.5072463768116204</v>
      </c>
      <c r="GH87" s="162">
        <v>69</v>
      </c>
      <c r="GI87" s="155">
        <v>4.1666666666666796E-2</v>
      </c>
      <c r="GJ87" s="156">
        <v>0.69444444444444375</v>
      </c>
      <c r="GK87" s="156">
        <v>0.20833333333333329</v>
      </c>
      <c r="GL87" s="156">
        <v>2.7777777777777787E-2</v>
      </c>
      <c r="GM87" s="156">
        <v>2.7777777777777787E-2</v>
      </c>
      <c r="GN87" s="162">
        <v>72</v>
      </c>
      <c r="GO87" s="155">
        <v>0.49295774647887292</v>
      </c>
      <c r="GP87" s="156">
        <v>0.33802816901408433</v>
      </c>
      <c r="GQ87" s="156">
        <v>0.11267605633802819</v>
      </c>
      <c r="GR87" s="156">
        <v>0.16901408450704244</v>
      </c>
      <c r="GS87" s="162">
        <v>71</v>
      </c>
      <c r="GT87" s="163">
        <v>1.9855072463768124</v>
      </c>
      <c r="GU87" s="162">
        <v>69</v>
      </c>
      <c r="GV87" s="155">
        <v>0.95454545454545292</v>
      </c>
      <c r="GW87" s="156">
        <v>4.5454545454545449E-2</v>
      </c>
      <c r="GX87" s="162">
        <v>22</v>
      </c>
      <c r="GY87" s="155">
        <v>1</v>
      </c>
      <c r="GZ87" s="156">
        <v>0</v>
      </c>
      <c r="HA87" s="162">
        <v>52</v>
      </c>
      <c r="HB87" s="155">
        <v>0.98387096774193428</v>
      </c>
      <c r="HC87" s="156">
        <v>1.6129032258064516E-2</v>
      </c>
      <c r="HD87" s="162">
        <v>62</v>
      </c>
      <c r="HE87" s="161">
        <v>0.97826086956521774</v>
      </c>
      <c r="HF87" s="156">
        <v>2.1739130434782615E-2</v>
      </c>
      <c r="HG87" s="162">
        <v>46</v>
      </c>
      <c r="HH87" s="155">
        <v>0.50000000000000011</v>
      </c>
      <c r="HI87" s="156">
        <v>0.50000000000000011</v>
      </c>
      <c r="HJ87" s="162">
        <v>68</v>
      </c>
      <c r="HK87" s="155">
        <v>1</v>
      </c>
      <c r="HL87" s="156">
        <v>0</v>
      </c>
      <c r="HM87" s="162">
        <v>63</v>
      </c>
      <c r="HN87" s="161">
        <v>3.1250000000000014E-2</v>
      </c>
      <c r="HO87" s="156">
        <v>0.26562500000000011</v>
      </c>
      <c r="HP87" s="156">
        <v>0.34375000000000017</v>
      </c>
      <c r="HQ87" s="156">
        <v>0.31250000000000011</v>
      </c>
      <c r="HR87" s="156">
        <v>4.6875000000000021E-2</v>
      </c>
      <c r="HS87" s="160">
        <v>55.203125000000021</v>
      </c>
      <c r="HT87" s="164">
        <v>64</v>
      </c>
      <c r="HU87" s="165">
        <v>0</v>
      </c>
      <c r="HV87" s="166">
        <v>1.6949152542372881E-2</v>
      </c>
      <c r="HW87" s="166">
        <v>5.0847457627118647E-2</v>
      </c>
      <c r="HX87" s="166">
        <v>0.13559322033898305</v>
      </c>
      <c r="HY87" s="166">
        <v>0.10169491525423729</v>
      </c>
      <c r="HZ87" s="166">
        <v>8.4745762711864403E-2</v>
      </c>
      <c r="IA87" s="166">
        <v>0.10169491525423729</v>
      </c>
      <c r="IB87" s="166">
        <v>8.4745762711864403E-2</v>
      </c>
      <c r="IC87" s="166">
        <v>0.25423728813559321</v>
      </c>
      <c r="ID87" s="166">
        <v>0.16949152542372881</v>
      </c>
      <c r="IE87" s="167">
        <v>59</v>
      </c>
      <c r="IF87" s="155">
        <v>0</v>
      </c>
      <c r="IG87" s="156">
        <v>0.5</v>
      </c>
      <c r="IH87" s="156">
        <v>0.5</v>
      </c>
      <c r="II87" s="156">
        <v>0</v>
      </c>
      <c r="IJ87" s="156">
        <v>0</v>
      </c>
      <c r="IK87" s="162">
        <v>2</v>
      </c>
      <c r="IL87" s="155">
        <v>0</v>
      </c>
      <c r="IM87" s="156">
        <v>1.5151515151515161E-2</v>
      </c>
      <c r="IN87" s="156">
        <v>4.5454545454545567E-2</v>
      </c>
      <c r="IO87" s="156">
        <v>0.90909090909090962</v>
      </c>
      <c r="IP87" s="156">
        <v>3.0303030303030321E-2</v>
      </c>
      <c r="IQ87" s="162">
        <v>66</v>
      </c>
      <c r="IR87" s="155">
        <v>7.4626865671641951E-2</v>
      </c>
      <c r="IS87" s="156">
        <v>0.92537313432835688</v>
      </c>
      <c r="IT87" s="162">
        <v>67</v>
      </c>
      <c r="IU87" s="161">
        <v>0</v>
      </c>
      <c r="IV87" s="156">
        <v>0.2</v>
      </c>
      <c r="IW87" s="156">
        <v>0.8</v>
      </c>
      <c r="IX87" s="162">
        <v>5</v>
      </c>
    </row>
    <row r="88" spans="1:258" ht="32.1" customHeight="1" x14ac:dyDescent="0.25">
      <c r="A88" s="110" t="s">
        <v>453</v>
      </c>
      <c r="B88" s="108" t="s">
        <v>588</v>
      </c>
      <c r="C88" s="108" t="s">
        <v>454</v>
      </c>
      <c r="D88" s="109">
        <v>352</v>
      </c>
      <c r="E88" s="139" t="s">
        <v>539</v>
      </c>
      <c r="F88" s="155">
        <v>0.40909090909090928</v>
      </c>
      <c r="G88" s="156">
        <v>0.5909090909090905</v>
      </c>
      <c r="H88" s="157">
        <v>44</v>
      </c>
      <c r="I88" s="155">
        <v>0.62500000000000011</v>
      </c>
      <c r="J88" s="156">
        <v>0.37500000000000006</v>
      </c>
      <c r="K88" s="157">
        <v>24</v>
      </c>
      <c r="L88" s="155">
        <v>0.50000000000000011</v>
      </c>
      <c r="M88" s="156">
        <v>0.50000000000000011</v>
      </c>
      <c r="N88" s="157">
        <v>14</v>
      </c>
      <c r="O88" s="155">
        <v>0.28888888888888914</v>
      </c>
      <c r="P88" s="156">
        <v>0.1555555555555557</v>
      </c>
      <c r="Q88" s="156">
        <v>0.28888888888888914</v>
      </c>
      <c r="R88" s="156">
        <v>2.2222222222222247E-2</v>
      </c>
      <c r="S88" s="156">
        <v>0.46666666666666634</v>
      </c>
      <c r="T88" s="156">
        <v>6.6666666666666721E-2</v>
      </c>
      <c r="U88" s="156">
        <v>2.2222222222222247E-2</v>
      </c>
      <c r="V88" s="156">
        <v>8.8888888888888989E-2</v>
      </c>
      <c r="W88" s="156">
        <v>0.11111111111111105</v>
      </c>
      <c r="X88" s="156">
        <v>4.4444444444444495E-2</v>
      </c>
      <c r="Y88" s="157">
        <v>45</v>
      </c>
      <c r="Z88" s="155">
        <v>0.65853658536585424</v>
      </c>
      <c r="AA88" s="156">
        <v>0.68292682926829307</v>
      </c>
      <c r="AB88" s="156">
        <v>0.36585365853658525</v>
      </c>
      <c r="AC88" s="156">
        <v>0.26829268292682917</v>
      </c>
      <c r="AD88" s="156">
        <v>4.8780487804878085E-2</v>
      </c>
      <c r="AE88" s="156">
        <v>9.756097560975617E-2</v>
      </c>
      <c r="AF88" s="157">
        <v>41</v>
      </c>
      <c r="AG88" s="158">
        <v>9.7333333333333343</v>
      </c>
      <c r="AH88" s="159">
        <v>45</v>
      </c>
      <c r="AI88" s="160">
        <v>9.9090909090908941</v>
      </c>
      <c r="AJ88" s="159">
        <v>44</v>
      </c>
      <c r="AK88" s="160">
        <v>9.8333333333333197</v>
      </c>
      <c r="AL88" s="157">
        <v>42</v>
      </c>
      <c r="AM88" s="155">
        <v>0.37500000000000006</v>
      </c>
      <c r="AN88" s="156">
        <v>0.37500000000000006</v>
      </c>
      <c r="AO88" s="156">
        <v>0</v>
      </c>
      <c r="AP88" s="156">
        <v>0.20000000000000004</v>
      </c>
      <c r="AQ88" s="156">
        <v>5.000000000000001E-2</v>
      </c>
      <c r="AR88" s="157">
        <v>40</v>
      </c>
      <c r="AS88" s="155">
        <v>0.77272727272727348</v>
      </c>
      <c r="AT88" s="156">
        <v>0.2272727272727274</v>
      </c>
      <c r="AU88" s="156">
        <v>0</v>
      </c>
      <c r="AV88" s="156">
        <v>0</v>
      </c>
      <c r="AW88" s="156">
        <v>0</v>
      </c>
      <c r="AX88" s="157">
        <v>44</v>
      </c>
      <c r="AY88" s="155">
        <v>0.80487804878048774</v>
      </c>
      <c r="AZ88" s="156">
        <v>0.19512195121951215</v>
      </c>
      <c r="BA88" s="156">
        <v>0</v>
      </c>
      <c r="BB88" s="156">
        <v>0</v>
      </c>
      <c r="BC88" s="156">
        <v>0</v>
      </c>
      <c r="BD88" s="157">
        <v>41</v>
      </c>
      <c r="BE88" s="155">
        <v>0.81818181818181857</v>
      </c>
      <c r="BF88" s="156">
        <v>0.13636363636363633</v>
      </c>
      <c r="BG88" s="156">
        <v>4.5454545454545518E-2</v>
      </c>
      <c r="BH88" s="156">
        <v>0</v>
      </c>
      <c r="BI88" s="156">
        <v>0</v>
      </c>
      <c r="BJ88" s="157">
        <v>44</v>
      </c>
      <c r="BK88" s="155">
        <v>0.7179487179487174</v>
      </c>
      <c r="BL88" s="156">
        <v>0.25641025641025639</v>
      </c>
      <c r="BM88" s="156">
        <v>0</v>
      </c>
      <c r="BN88" s="156">
        <v>2.5641025641025664E-2</v>
      </c>
      <c r="BO88" s="156">
        <v>0</v>
      </c>
      <c r="BP88" s="157">
        <v>39</v>
      </c>
      <c r="BQ88" s="155">
        <v>0.88636363636363535</v>
      </c>
      <c r="BR88" s="156">
        <v>0.11363636363636372</v>
      </c>
      <c r="BS88" s="156">
        <v>0</v>
      </c>
      <c r="BT88" s="156">
        <v>0</v>
      </c>
      <c r="BU88" s="156">
        <v>0</v>
      </c>
      <c r="BV88" s="157">
        <v>44</v>
      </c>
      <c r="BW88" s="161">
        <v>0.78378378378378344</v>
      </c>
      <c r="BX88" s="156">
        <v>0.10810810810810825</v>
      </c>
      <c r="BY88" s="156">
        <v>5.4054054054054126E-2</v>
      </c>
      <c r="BZ88" s="156">
        <v>5.4054054054054126E-2</v>
      </c>
      <c r="CA88" s="156">
        <v>0</v>
      </c>
      <c r="CB88" s="157">
        <v>37</v>
      </c>
      <c r="CC88" s="155">
        <v>0.86666666666666603</v>
      </c>
      <c r="CD88" s="156">
        <v>0.13333333333333333</v>
      </c>
      <c r="CE88" s="156">
        <v>0</v>
      </c>
      <c r="CF88" s="156">
        <v>0</v>
      </c>
      <c r="CG88" s="156">
        <v>0</v>
      </c>
      <c r="CH88" s="162">
        <v>15</v>
      </c>
      <c r="CI88" s="155">
        <v>0.83333333333333381</v>
      </c>
      <c r="CJ88" s="156">
        <v>0.1666666666666666</v>
      </c>
      <c r="CK88" s="156">
        <v>0</v>
      </c>
      <c r="CL88" s="156">
        <v>0</v>
      </c>
      <c r="CM88" s="156">
        <v>0</v>
      </c>
      <c r="CN88" s="162">
        <v>12</v>
      </c>
      <c r="CO88" s="155">
        <v>0.53333333333333333</v>
      </c>
      <c r="CP88" s="156">
        <v>0.33333333333333326</v>
      </c>
      <c r="CQ88" s="156">
        <v>0.13333333333333333</v>
      </c>
      <c r="CR88" s="156">
        <v>0</v>
      </c>
      <c r="CS88" s="156">
        <v>0</v>
      </c>
      <c r="CT88" s="162">
        <v>15</v>
      </c>
      <c r="CU88" s="155">
        <v>0.53333333333333333</v>
      </c>
      <c r="CV88" s="156">
        <v>0.26666666666666666</v>
      </c>
      <c r="CW88" s="156">
        <v>0.20000000000000004</v>
      </c>
      <c r="CX88" s="156">
        <v>0</v>
      </c>
      <c r="CY88" s="156">
        <v>0</v>
      </c>
      <c r="CZ88" s="162">
        <v>15</v>
      </c>
      <c r="DA88" s="155">
        <v>0.58333333333333348</v>
      </c>
      <c r="DB88" s="156">
        <v>0.1666666666666666</v>
      </c>
      <c r="DC88" s="156">
        <v>0.25000000000000006</v>
      </c>
      <c r="DD88" s="156">
        <v>0</v>
      </c>
      <c r="DE88" s="156">
        <v>0</v>
      </c>
      <c r="DF88" s="162">
        <v>12</v>
      </c>
      <c r="DG88" s="155">
        <v>0.63636363636363635</v>
      </c>
      <c r="DH88" s="156">
        <v>9.0909090909090828E-2</v>
      </c>
      <c r="DI88" s="156">
        <v>0.27272727272727254</v>
      </c>
      <c r="DJ88" s="156">
        <v>0</v>
      </c>
      <c r="DK88" s="156">
        <v>0</v>
      </c>
      <c r="DL88" s="162">
        <v>11</v>
      </c>
      <c r="DM88" s="155">
        <v>0.60000000000000009</v>
      </c>
      <c r="DN88" s="156">
        <v>0.20000000000000004</v>
      </c>
      <c r="DO88" s="156">
        <v>0</v>
      </c>
      <c r="DP88" s="156">
        <v>0.20000000000000004</v>
      </c>
      <c r="DQ88" s="156">
        <v>0</v>
      </c>
      <c r="DR88" s="162">
        <v>15</v>
      </c>
      <c r="DS88" s="161">
        <v>0.88888888888888795</v>
      </c>
      <c r="DT88" s="156">
        <v>0.11111111111111099</v>
      </c>
      <c r="DU88" s="156">
        <v>0</v>
      </c>
      <c r="DV88" s="156">
        <v>0</v>
      </c>
      <c r="DW88" s="156">
        <v>0</v>
      </c>
      <c r="DX88" s="162">
        <v>9</v>
      </c>
      <c r="DY88" s="155">
        <v>0.90697674418604579</v>
      </c>
      <c r="DZ88" s="156">
        <v>9.3023255813953515E-2</v>
      </c>
      <c r="EA88" s="156">
        <v>0</v>
      </c>
      <c r="EB88" s="156">
        <v>0</v>
      </c>
      <c r="EC88" s="156">
        <v>0</v>
      </c>
      <c r="ED88" s="162">
        <v>43</v>
      </c>
      <c r="EE88" s="155">
        <v>0.9</v>
      </c>
      <c r="EF88" s="156">
        <v>0.10000000000000002</v>
      </c>
      <c r="EG88" s="156">
        <v>0</v>
      </c>
      <c r="EH88" s="156">
        <v>0</v>
      </c>
      <c r="EI88" s="156">
        <v>0</v>
      </c>
      <c r="EJ88" s="162">
        <v>20</v>
      </c>
      <c r="EK88" s="155">
        <v>0.8</v>
      </c>
      <c r="EL88" s="156">
        <v>0.16000000000000003</v>
      </c>
      <c r="EM88" s="156">
        <v>4.0000000000000008E-2</v>
      </c>
      <c r="EN88" s="156">
        <v>0</v>
      </c>
      <c r="EO88" s="156">
        <v>0</v>
      </c>
      <c r="EP88" s="162">
        <v>25</v>
      </c>
      <c r="EQ88" s="155">
        <v>0.73684210526315819</v>
      </c>
      <c r="ER88" s="156">
        <v>0.10526315789473696</v>
      </c>
      <c r="ES88" s="156">
        <v>0.15789473684210523</v>
      </c>
      <c r="ET88" s="156">
        <v>0</v>
      </c>
      <c r="EU88" s="156">
        <v>0</v>
      </c>
      <c r="EV88" s="162">
        <v>19</v>
      </c>
      <c r="EW88" s="155">
        <v>0.89473684210526272</v>
      </c>
      <c r="EX88" s="156">
        <v>0.10526315789473696</v>
      </c>
      <c r="EY88" s="156">
        <v>0</v>
      </c>
      <c r="EZ88" s="156">
        <v>0</v>
      </c>
      <c r="FA88" s="156">
        <v>0</v>
      </c>
      <c r="FB88" s="162">
        <v>19</v>
      </c>
      <c r="FC88" s="155">
        <v>0.80000000000000016</v>
      </c>
      <c r="FD88" s="156">
        <v>0.20000000000000004</v>
      </c>
      <c r="FE88" s="156">
        <v>0</v>
      </c>
      <c r="FF88" s="156">
        <v>0</v>
      </c>
      <c r="FG88" s="156">
        <v>0</v>
      </c>
      <c r="FH88" s="162">
        <v>15</v>
      </c>
      <c r="FI88" s="161">
        <v>0.83333333333333381</v>
      </c>
      <c r="FJ88" s="156">
        <v>8.3333333333333301E-2</v>
      </c>
      <c r="FK88" s="156">
        <v>8.3333333333333301E-2</v>
      </c>
      <c r="FL88" s="156">
        <v>0</v>
      </c>
      <c r="FM88" s="156">
        <v>0</v>
      </c>
      <c r="FN88" s="162">
        <v>12</v>
      </c>
      <c r="FO88" s="155">
        <v>0</v>
      </c>
      <c r="FP88" s="156">
        <v>0</v>
      </c>
      <c r="FQ88" s="156">
        <v>0</v>
      </c>
      <c r="FR88" s="156">
        <v>0</v>
      </c>
      <c r="FS88" s="156">
        <v>0</v>
      </c>
      <c r="FT88" s="162">
        <v>0</v>
      </c>
      <c r="FU88" s="155">
        <v>0</v>
      </c>
      <c r="FV88" s="156">
        <v>0</v>
      </c>
      <c r="FW88" s="156">
        <v>0</v>
      </c>
      <c r="FX88" s="156">
        <v>0</v>
      </c>
      <c r="FY88" s="156">
        <v>0</v>
      </c>
      <c r="FZ88" s="162">
        <v>0</v>
      </c>
      <c r="GA88" s="161">
        <v>0</v>
      </c>
      <c r="GB88" s="156">
        <v>0</v>
      </c>
      <c r="GC88" s="156">
        <v>0</v>
      </c>
      <c r="GD88" s="156">
        <v>0</v>
      </c>
      <c r="GE88" s="156">
        <v>0</v>
      </c>
      <c r="GF88" s="162">
        <v>0</v>
      </c>
      <c r="GG88" s="158">
        <v>9.2307692307692282</v>
      </c>
      <c r="GH88" s="162">
        <v>39</v>
      </c>
      <c r="GI88" s="155">
        <v>0.13636363636363633</v>
      </c>
      <c r="GJ88" s="156">
        <v>0.79545454545454519</v>
      </c>
      <c r="GK88" s="156">
        <v>4.5454545454545518E-2</v>
      </c>
      <c r="GL88" s="156">
        <v>0</v>
      </c>
      <c r="GM88" s="156">
        <v>2.2727272727272759E-2</v>
      </c>
      <c r="GN88" s="162">
        <v>44</v>
      </c>
      <c r="GO88" s="155">
        <v>0.55813953488372159</v>
      </c>
      <c r="GP88" s="156">
        <v>0.18604651162790714</v>
      </c>
      <c r="GQ88" s="156">
        <v>0.11627906976744198</v>
      </c>
      <c r="GR88" s="156">
        <v>0.18604651162790714</v>
      </c>
      <c r="GS88" s="162">
        <v>43</v>
      </c>
      <c r="GT88" s="163">
        <v>1.8571428571428599</v>
      </c>
      <c r="GU88" s="162">
        <v>42</v>
      </c>
      <c r="GV88" s="155">
        <v>0.92857142857142771</v>
      </c>
      <c r="GW88" s="156">
        <v>7.1428571428571452E-2</v>
      </c>
      <c r="GX88" s="162">
        <v>14</v>
      </c>
      <c r="GY88" s="155">
        <v>1</v>
      </c>
      <c r="GZ88" s="156">
        <v>0</v>
      </c>
      <c r="HA88" s="162">
        <v>27</v>
      </c>
      <c r="HB88" s="155">
        <v>0.92105263157894679</v>
      </c>
      <c r="HC88" s="156">
        <v>7.8947368421052613E-2</v>
      </c>
      <c r="HD88" s="162">
        <v>38</v>
      </c>
      <c r="HE88" s="161">
        <v>1</v>
      </c>
      <c r="HF88" s="156">
        <v>0</v>
      </c>
      <c r="HG88" s="162">
        <v>28</v>
      </c>
      <c r="HH88" s="155">
        <v>0.61538461538461475</v>
      </c>
      <c r="HI88" s="156">
        <v>0.38461538461538503</v>
      </c>
      <c r="HJ88" s="162">
        <v>39</v>
      </c>
      <c r="HK88" s="155">
        <v>1</v>
      </c>
      <c r="HL88" s="156">
        <v>0</v>
      </c>
      <c r="HM88" s="162">
        <v>37</v>
      </c>
      <c r="HN88" s="161">
        <v>0.14705882352941185</v>
      </c>
      <c r="HO88" s="156">
        <v>0.17647058823529402</v>
      </c>
      <c r="HP88" s="156">
        <v>0.2647058823529414</v>
      </c>
      <c r="HQ88" s="156">
        <v>0.32352941176470573</v>
      </c>
      <c r="HR88" s="156">
        <v>8.8235294117647009E-2</v>
      </c>
      <c r="HS88" s="160">
        <v>52.735294117647108</v>
      </c>
      <c r="HT88" s="164">
        <v>34</v>
      </c>
      <c r="HU88" s="165">
        <v>0</v>
      </c>
      <c r="HV88" s="166">
        <v>0.16129032258064516</v>
      </c>
      <c r="HW88" s="166">
        <v>0.12903225806451613</v>
      </c>
      <c r="HX88" s="166">
        <v>6.4516129032258063E-2</v>
      </c>
      <c r="HY88" s="166">
        <v>0.16129032258064516</v>
      </c>
      <c r="HZ88" s="166">
        <v>0.12903225806451613</v>
      </c>
      <c r="IA88" s="166">
        <v>6.4516129032258063E-2</v>
      </c>
      <c r="IB88" s="166">
        <v>9.6774193548387094E-2</v>
      </c>
      <c r="IC88" s="166">
        <v>6.4516129032258063E-2</v>
      </c>
      <c r="ID88" s="166">
        <v>0.12903225806451613</v>
      </c>
      <c r="IE88" s="167">
        <v>31</v>
      </c>
      <c r="IF88" s="155">
        <v>0</v>
      </c>
      <c r="IG88" s="156">
        <v>0</v>
      </c>
      <c r="IH88" s="156">
        <v>0</v>
      </c>
      <c r="II88" s="156">
        <v>0</v>
      </c>
      <c r="IJ88" s="156">
        <v>0</v>
      </c>
      <c r="IK88" s="162">
        <v>0</v>
      </c>
      <c r="IL88" s="155">
        <v>0.21052631578947392</v>
      </c>
      <c r="IM88" s="156">
        <v>0</v>
      </c>
      <c r="IN88" s="156">
        <v>0</v>
      </c>
      <c r="IO88" s="156">
        <v>0.71052631578947401</v>
      </c>
      <c r="IP88" s="156">
        <v>7.8947368421052613E-2</v>
      </c>
      <c r="IQ88" s="162">
        <v>38</v>
      </c>
      <c r="IR88" s="155">
        <v>0.10810810810810825</v>
      </c>
      <c r="IS88" s="156">
        <v>0.89189189189189177</v>
      </c>
      <c r="IT88" s="162">
        <v>37</v>
      </c>
      <c r="IU88" s="161">
        <v>0</v>
      </c>
      <c r="IV88" s="156">
        <v>0</v>
      </c>
      <c r="IW88" s="156">
        <v>1</v>
      </c>
      <c r="IX88" s="162">
        <v>4</v>
      </c>
    </row>
    <row r="89" spans="1:258" ht="32.1" customHeight="1" x14ac:dyDescent="0.25">
      <c r="A89" s="110" t="s">
        <v>453</v>
      </c>
      <c r="B89" s="108" t="s">
        <v>588</v>
      </c>
      <c r="C89" s="108" t="s">
        <v>454</v>
      </c>
      <c r="D89" s="109">
        <v>358</v>
      </c>
      <c r="E89" s="139" t="s">
        <v>540</v>
      </c>
      <c r="F89" s="155">
        <v>0.33333333333333415</v>
      </c>
      <c r="G89" s="156">
        <v>0.66666666666666641</v>
      </c>
      <c r="H89" s="157">
        <v>48</v>
      </c>
      <c r="I89" s="155">
        <v>0.80645161290322587</v>
      </c>
      <c r="J89" s="156">
        <v>0.19354838709677435</v>
      </c>
      <c r="K89" s="157">
        <v>31</v>
      </c>
      <c r="L89" s="155">
        <v>0.53846153846153877</v>
      </c>
      <c r="M89" s="156">
        <v>0.46153846153846184</v>
      </c>
      <c r="N89" s="157">
        <v>26</v>
      </c>
      <c r="O89" s="155">
        <v>0.22000000000000047</v>
      </c>
      <c r="P89" s="156">
        <v>0.24000000000000024</v>
      </c>
      <c r="Q89" s="156">
        <v>0.16000000000000017</v>
      </c>
      <c r="R89" s="156">
        <v>2.0000000000000021E-2</v>
      </c>
      <c r="S89" s="156">
        <v>0.62000000000000077</v>
      </c>
      <c r="T89" s="156">
        <v>0.14000000000000032</v>
      </c>
      <c r="U89" s="156">
        <v>6.0000000000000053E-2</v>
      </c>
      <c r="V89" s="156">
        <v>6.0000000000000053E-2</v>
      </c>
      <c r="W89" s="156">
        <v>8.0000000000000071E-2</v>
      </c>
      <c r="X89" s="156">
        <v>6.0000000000000053E-2</v>
      </c>
      <c r="Y89" s="157">
        <v>50</v>
      </c>
      <c r="Z89" s="155">
        <v>0.68085106382978777</v>
      </c>
      <c r="AA89" s="156">
        <v>0.44680851063829857</v>
      </c>
      <c r="AB89" s="156">
        <v>0.31914893617021345</v>
      </c>
      <c r="AC89" s="156">
        <v>0.29787234042553257</v>
      </c>
      <c r="AD89" s="156">
        <v>0.12765957446808515</v>
      </c>
      <c r="AE89" s="156">
        <v>0.2127659574468089</v>
      </c>
      <c r="AF89" s="157">
        <v>47</v>
      </c>
      <c r="AG89" s="158">
        <v>9.5400000000000151</v>
      </c>
      <c r="AH89" s="159">
        <v>50</v>
      </c>
      <c r="AI89" s="160">
        <v>9.8000000000000096</v>
      </c>
      <c r="AJ89" s="159">
        <v>50</v>
      </c>
      <c r="AK89" s="160">
        <v>9.6938775510204191</v>
      </c>
      <c r="AL89" s="157">
        <v>49</v>
      </c>
      <c r="AM89" s="155">
        <v>0.55102040816326581</v>
      </c>
      <c r="AN89" s="156">
        <v>0.40816326530612279</v>
      </c>
      <c r="AO89" s="156">
        <v>0</v>
      </c>
      <c r="AP89" s="156">
        <v>4.0816326530612318E-2</v>
      </c>
      <c r="AQ89" s="156">
        <v>0</v>
      </c>
      <c r="AR89" s="157">
        <v>49</v>
      </c>
      <c r="AS89" s="155">
        <v>0.79591836734693944</v>
      </c>
      <c r="AT89" s="156">
        <v>0.14285714285714302</v>
      </c>
      <c r="AU89" s="156">
        <v>4.0816326530612318E-2</v>
      </c>
      <c r="AV89" s="156">
        <v>2.0408163265306159E-2</v>
      </c>
      <c r="AW89" s="156">
        <v>0</v>
      </c>
      <c r="AX89" s="157">
        <v>49</v>
      </c>
      <c r="AY89" s="155">
        <v>0.61224489795918413</v>
      </c>
      <c r="AZ89" s="156">
        <v>0.28571428571428603</v>
      </c>
      <c r="BA89" s="156">
        <v>8.1632653061224636E-2</v>
      </c>
      <c r="BB89" s="156">
        <v>2.0408163265306159E-2</v>
      </c>
      <c r="BC89" s="156">
        <v>0</v>
      </c>
      <c r="BD89" s="157">
        <v>49</v>
      </c>
      <c r="BE89" s="155">
        <v>0.57142857142857184</v>
      </c>
      <c r="BF89" s="156">
        <v>0.32653061224489854</v>
      </c>
      <c r="BG89" s="156">
        <v>6.1224489795918442E-2</v>
      </c>
      <c r="BH89" s="156">
        <v>4.0816326530612318E-2</v>
      </c>
      <c r="BI89" s="156">
        <v>0</v>
      </c>
      <c r="BJ89" s="157">
        <v>49</v>
      </c>
      <c r="BK89" s="155">
        <v>0.46666666666666695</v>
      </c>
      <c r="BL89" s="156">
        <v>0.37777777777777821</v>
      </c>
      <c r="BM89" s="156">
        <v>6.6666666666666805E-2</v>
      </c>
      <c r="BN89" s="156">
        <v>8.8888888888889017E-2</v>
      </c>
      <c r="BO89" s="156">
        <v>0</v>
      </c>
      <c r="BP89" s="157">
        <v>45</v>
      </c>
      <c r="BQ89" s="155">
        <v>0.7400000000000001</v>
      </c>
      <c r="BR89" s="156">
        <v>0.16000000000000006</v>
      </c>
      <c r="BS89" s="156">
        <v>0.10000000000000003</v>
      </c>
      <c r="BT89" s="156">
        <v>0</v>
      </c>
      <c r="BU89" s="156">
        <v>0</v>
      </c>
      <c r="BV89" s="157">
        <v>50</v>
      </c>
      <c r="BW89" s="161">
        <v>0.60000000000000009</v>
      </c>
      <c r="BX89" s="156">
        <v>0.25</v>
      </c>
      <c r="BY89" s="156">
        <v>9.9999999999999978E-2</v>
      </c>
      <c r="BZ89" s="156">
        <v>4.9999999999999989E-2</v>
      </c>
      <c r="CA89" s="156">
        <v>0</v>
      </c>
      <c r="CB89" s="157">
        <v>20</v>
      </c>
      <c r="CC89" s="155">
        <v>1</v>
      </c>
      <c r="CD89" s="156">
        <v>0</v>
      </c>
      <c r="CE89" s="156">
        <v>0</v>
      </c>
      <c r="CF89" s="156">
        <v>0</v>
      </c>
      <c r="CG89" s="156">
        <v>0</v>
      </c>
      <c r="CH89" s="162">
        <v>13</v>
      </c>
      <c r="CI89" s="155">
        <v>0.77777777777777812</v>
      </c>
      <c r="CJ89" s="156">
        <v>0.22222222222222199</v>
      </c>
      <c r="CK89" s="156">
        <v>0</v>
      </c>
      <c r="CL89" s="156">
        <v>0</v>
      </c>
      <c r="CM89" s="156">
        <v>0</v>
      </c>
      <c r="CN89" s="162">
        <v>9</v>
      </c>
      <c r="CO89" s="155">
        <v>0.28571428571428592</v>
      </c>
      <c r="CP89" s="156">
        <v>0.35714285714285732</v>
      </c>
      <c r="CQ89" s="156">
        <v>0.2142857142857143</v>
      </c>
      <c r="CR89" s="156">
        <v>0</v>
      </c>
      <c r="CS89" s="156">
        <v>0.14285714285714296</v>
      </c>
      <c r="CT89" s="162">
        <v>14</v>
      </c>
      <c r="CU89" s="155">
        <v>0.46153846153846168</v>
      </c>
      <c r="CV89" s="156">
        <v>0.23076923076923084</v>
      </c>
      <c r="CW89" s="156">
        <v>0.23076923076923084</v>
      </c>
      <c r="CX89" s="156">
        <v>7.692307692307683E-2</v>
      </c>
      <c r="CY89" s="156">
        <v>0</v>
      </c>
      <c r="CZ89" s="162">
        <v>13</v>
      </c>
      <c r="DA89" s="155">
        <v>0.54545454545454508</v>
      </c>
      <c r="DB89" s="156">
        <v>0.18181818181818157</v>
      </c>
      <c r="DC89" s="156">
        <v>0.27272727272727254</v>
      </c>
      <c r="DD89" s="156">
        <v>0</v>
      </c>
      <c r="DE89" s="156">
        <v>0</v>
      </c>
      <c r="DF89" s="162">
        <v>11</v>
      </c>
      <c r="DG89" s="155">
        <v>0.55555555555555614</v>
      </c>
      <c r="DH89" s="156">
        <v>0.22222222222222199</v>
      </c>
      <c r="DI89" s="156">
        <v>0.11111111111111099</v>
      </c>
      <c r="DJ89" s="156">
        <v>0.11111111111111099</v>
      </c>
      <c r="DK89" s="156">
        <v>0</v>
      </c>
      <c r="DL89" s="162">
        <v>9</v>
      </c>
      <c r="DM89" s="155">
        <v>0.55555555555555614</v>
      </c>
      <c r="DN89" s="156">
        <v>0.22222222222222199</v>
      </c>
      <c r="DO89" s="156">
        <v>0.11111111111111099</v>
      </c>
      <c r="DP89" s="156">
        <v>0</v>
      </c>
      <c r="DQ89" s="156">
        <v>0.11111111111111099</v>
      </c>
      <c r="DR89" s="162">
        <v>9</v>
      </c>
      <c r="DS89" s="161">
        <v>0.33333333333333315</v>
      </c>
      <c r="DT89" s="156">
        <v>0.33333333333333315</v>
      </c>
      <c r="DU89" s="156">
        <v>0.16666666666666657</v>
      </c>
      <c r="DV89" s="156">
        <v>0</v>
      </c>
      <c r="DW89" s="156">
        <v>0.16666666666666657</v>
      </c>
      <c r="DX89" s="162">
        <v>6</v>
      </c>
      <c r="DY89" s="155">
        <v>0.6938775510204086</v>
      </c>
      <c r="DZ89" s="156">
        <v>0.28571428571428603</v>
      </c>
      <c r="EA89" s="156">
        <v>2.0408163265306159E-2</v>
      </c>
      <c r="EB89" s="156">
        <v>0</v>
      </c>
      <c r="EC89" s="156">
        <v>0</v>
      </c>
      <c r="ED89" s="162">
        <v>49</v>
      </c>
      <c r="EE89" s="155">
        <v>0.75000000000000011</v>
      </c>
      <c r="EF89" s="156">
        <v>0.21428571428571433</v>
      </c>
      <c r="EG89" s="156">
        <v>3.571428571428574E-2</v>
      </c>
      <c r="EH89" s="156">
        <v>0</v>
      </c>
      <c r="EI89" s="156">
        <v>0</v>
      </c>
      <c r="EJ89" s="162">
        <v>28</v>
      </c>
      <c r="EK89" s="155">
        <v>0.57575757575757547</v>
      </c>
      <c r="EL89" s="156">
        <v>0.3333333333333332</v>
      </c>
      <c r="EM89" s="156">
        <v>9.0909090909091064E-2</v>
      </c>
      <c r="EN89" s="156">
        <v>0</v>
      </c>
      <c r="EO89" s="156">
        <v>0</v>
      </c>
      <c r="EP89" s="162">
        <v>33</v>
      </c>
      <c r="EQ89" s="155">
        <v>0.63636363636363624</v>
      </c>
      <c r="ER89" s="156">
        <v>0.22727272727272738</v>
      </c>
      <c r="ES89" s="156">
        <v>4.5454545454545407E-2</v>
      </c>
      <c r="ET89" s="156">
        <v>4.5454545454545407E-2</v>
      </c>
      <c r="EU89" s="156">
        <v>4.5454545454545407E-2</v>
      </c>
      <c r="EV89" s="162">
        <v>22</v>
      </c>
      <c r="EW89" s="155">
        <v>0.65217391304347871</v>
      </c>
      <c r="EX89" s="156">
        <v>0.26086956521739152</v>
      </c>
      <c r="EY89" s="156">
        <v>0</v>
      </c>
      <c r="EZ89" s="156">
        <v>4.3478260869565244E-2</v>
      </c>
      <c r="FA89" s="156">
        <v>4.3478260869565244E-2</v>
      </c>
      <c r="FB89" s="162">
        <v>23</v>
      </c>
      <c r="FC89" s="155">
        <v>0.52631578947368363</v>
      </c>
      <c r="FD89" s="156">
        <v>0.36842105263157909</v>
      </c>
      <c r="FE89" s="156">
        <v>0.10526315789473686</v>
      </c>
      <c r="FF89" s="156">
        <v>0</v>
      </c>
      <c r="FG89" s="156">
        <v>0</v>
      </c>
      <c r="FH89" s="162">
        <v>19</v>
      </c>
      <c r="FI89" s="161">
        <v>0.61904761904761929</v>
      </c>
      <c r="FJ89" s="156">
        <v>0.2380952380952383</v>
      </c>
      <c r="FK89" s="156">
        <v>9.5238095238095205E-2</v>
      </c>
      <c r="FL89" s="156">
        <v>0</v>
      </c>
      <c r="FM89" s="156">
        <v>4.7619047619047603E-2</v>
      </c>
      <c r="FN89" s="162">
        <v>21</v>
      </c>
      <c r="FO89" s="155">
        <v>0</v>
      </c>
      <c r="FP89" s="156">
        <v>0</v>
      </c>
      <c r="FQ89" s="156">
        <v>0</v>
      </c>
      <c r="FR89" s="156">
        <v>0</v>
      </c>
      <c r="FS89" s="156">
        <v>0</v>
      </c>
      <c r="FT89" s="162">
        <v>0</v>
      </c>
      <c r="FU89" s="155">
        <v>0</v>
      </c>
      <c r="FV89" s="156">
        <v>0</v>
      </c>
      <c r="FW89" s="156">
        <v>0</v>
      </c>
      <c r="FX89" s="156">
        <v>0</v>
      </c>
      <c r="FY89" s="156">
        <v>0</v>
      </c>
      <c r="FZ89" s="162">
        <v>0</v>
      </c>
      <c r="GA89" s="161">
        <v>0</v>
      </c>
      <c r="GB89" s="156">
        <v>0</v>
      </c>
      <c r="GC89" s="156">
        <v>0</v>
      </c>
      <c r="GD89" s="156">
        <v>0</v>
      </c>
      <c r="GE89" s="156">
        <v>0</v>
      </c>
      <c r="GF89" s="162">
        <v>0</v>
      </c>
      <c r="GG89" s="158">
        <v>9.1818181818181852</v>
      </c>
      <c r="GH89" s="162">
        <v>44</v>
      </c>
      <c r="GI89" s="155">
        <v>0.19607843137254921</v>
      </c>
      <c r="GJ89" s="156">
        <v>0.50980392156862775</v>
      </c>
      <c r="GK89" s="156">
        <v>0.23529411764705876</v>
      </c>
      <c r="GL89" s="156">
        <v>1.9607843137254933E-2</v>
      </c>
      <c r="GM89" s="156">
        <v>3.9215686274509866E-2</v>
      </c>
      <c r="GN89" s="162">
        <v>51</v>
      </c>
      <c r="GO89" s="155">
        <v>0.43137254901960859</v>
      </c>
      <c r="GP89" s="156">
        <v>0.25490196078431415</v>
      </c>
      <c r="GQ89" s="156">
        <v>0.27450980392156904</v>
      </c>
      <c r="GR89" s="156">
        <v>0.13725490196078452</v>
      </c>
      <c r="GS89" s="162">
        <v>51</v>
      </c>
      <c r="GT89" s="163">
        <v>1.8431372549019611</v>
      </c>
      <c r="GU89" s="162">
        <v>51</v>
      </c>
      <c r="GV89" s="155">
        <v>0.94117647058823461</v>
      </c>
      <c r="GW89" s="156">
        <v>5.882352941176465E-2</v>
      </c>
      <c r="GX89" s="162">
        <v>17</v>
      </c>
      <c r="GY89" s="155">
        <v>0.97297297297297436</v>
      </c>
      <c r="GZ89" s="156">
        <v>2.7027027027027063E-2</v>
      </c>
      <c r="HA89" s="162">
        <v>37</v>
      </c>
      <c r="HB89" s="155">
        <v>0.87804878048780555</v>
      </c>
      <c r="HC89" s="156">
        <v>0.12195121951219524</v>
      </c>
      <c r="HD89" s="162">
        <v>41</v>
      </c>
      <c r="HE89" s="161">
        <v>0.91891891891891941</v>
      </c>
      <c r="HF89" s="156">
        <v>8.108108108108121E-2</v>
      </c>
      <c r="HG89" s="162">
        <v>37</v>
      </c>
      <c r="HH89" s="155">
        <v>0.44444444444444509</v>
      </c>
      <c r="HI89" s="156">
        <v>0.55555555555555625</v>
      </c>
      <c r="HJ89" s="162">
        <v>45</v>
      </c>
      <c r="HK89" s="155">
        <v>1</v>
      </c>
      <c r="HL89" s="156">
        <v>0</v>
      </c>
      <c r="HM89" s="162">
        <v>41</v>
      </c>
      <c r="HN89" s="161">
        <v>4.8780487804878037E-2</v>
      </c>
      <c r="HO89" s="156">
        <v>0.21951219512195155</v>
      </c>
      <c r="HP89" s="156">
        <v>0.39024390243902457</v>
      </c>
      <c r="HQ89" s="156">
        <v>0.14634146341463417</v>
      </c>
      <c r="HR89" s="156">
        <v>0.1951219512195122</v>
      </c>
      <c r="HS89" s="160">
        <v>57.341463414634255</v>
      </c>
      <c r="HT89" s="164">
        <v>41</v>
      </c>
      <c r="HU89" s="165">
        <v>0</v>
      </c>
      <c r="HV89" s="166">
        <v>0</v>
      </c>
      <c r="HW89" s="166">
        <v>0</v>
      </c>
      <c r="HX89" s="166">
        <v>3.4482758620689655E-2</v>
      </c>
      <c r="HY89" s="166">
        <v>3.4482758620689655E-2</v>
      </c>
      <c r="HZ89" s="166">
        <v>6.8965517241379309E-2</v>
      </c>
      <c r="IA89" s="166">
        <v>3.4482758620689655E-2</v>
      </c>
      <c r="IB89" s="166">
        <v>0.10344827586206896</v>
      </c>
      <c r="IC89" s="166">
        <v>0.34482758620689657</v>
      </c>
      <c r="ID89" s="166">
        <v>0.37931034482758619</v>
      </c>
      <c r="IE89" s="167">
        <v>29</v>
      </c>
      <c r="IF89" s="155">
        <v>0</v>
      </c>
      <c r="IG89" s="156">
        <v>0</v>
      </c>
      <c r="IH89" s="156">
        <v>1</v>
      </c>
      <c r="II89" s="156">
        <v>0</v>
      </c>
      <c r="IJ89" s="156">
        <v>0</v>
      </c>
      <c r="IK89" s="162">
        <v>1</v>
      </c>
      <c r="IL89" s="155">
        <v>6.6666666666666805E-2</v>
      </c>
      <c r="IM89" s="156">
        <v>0</v>
      </c>
      <c r="IN89" s="156">
        <v>2.2222222222222254E-2</v>
      </c>
      <c r="IO89" s="156">
        <v>0.86666666666666625</v>
      </c>
      <c r="IP89" s="156">
        <v>4.4444444444444509E-2</v>
      </c>
      <c r="IQ89" s="162">
        <v>45</v>
      </c>
      <c r="IR89" s="155">
        <v>9.3023255813953487E-2</v>
      </c>
      <c r="IS89" s="156">
        <v>0.90697674418604624</v>
      </c>
      <c r="IT89" s="162">
        <v>43</v>
      </c>
      <c r="IU89" s="161">
        <v>0</v>
      </c>
      <c r="IV89" s="156">
        <v>0.25</v>
      </c>
      <c r="IW89" s="156">
        <v>0.75000000000000011</v>
      </c>
      <c r="IX89" s="162">
        <v>4</v>
      </c>
    </row>
    <row r="90" spans="1:258" ht="32.1" customHeight="1" x14ac:dyDescent="0.25">
      <c r="A90" s="110" t="s">
        <v>453</v>
      </c>
      <c r="B90" s="108" t="s">
        <v>588</v>
      </c>
      <c r="C90" s="108" t="s">
        <v>457</v>
      </c>
      <c r="D90" s="109">
        <v>366</v>
      </c>
      <c r="E90" s="139" t="s">
        <v>541</v>
      </c>
      <c r="F90" s="155">
        <v>0.27272727272727271</v>
      </c>
      <c r="G90" s="156">
        <v>0.72727272727272729</v>
      </c>
      <c r="H90" s="157">
        <v>11</v>
      </c>
      <c r="I90" s="155">
        <v>0.5</v>
      </c>
      <c r="J90" s="156">
        <v>0.5</v>
      </c>
      <c r="K90" s="157">
        <v>8</v>
      </c>
      <c r="L90" s="155">
        <v>1</v>
      </c>
      <c r="M90" s="156">
        <v>0</v>
      </c>
      <c r="N90" s="157">
        <v>4</v>
      </c>
      <c r="O90" s="155">
        <v>1</v>
      </c>
      <c r="P90" s="156">
        <v>0</v>
      </c>
      <c r="Q90" s="156">
        <v>0</v>
      </c>
      <c r="R90" s="156">
        <v>0</v>
      </c>
      <c r="S90" s="156">
        <v>0</v>
      </c>
      <c r="T90" s="156">
        <v>0</v>
      </c>
      <c r="U90" s="156">
        <v>0</v>
      </c>
      <c r="V90" s="156">
        <v>9.0909090909090925E-2</v>
      </c>
      <c r="W90" s="156">
        <v>0.18181818181818185</v>
      </c>
      <c r="X90" s="156">
        <v>0</v>
      </c>
      <c r="Y90" s="157">
        <v>11</v>
      </c>
      <c r="Z90" s="155">
        <v>0.7272727272727274</v>
      </c>
      <c r="AA90" s="156">
        <v>1</v>
      </c>
      <c r="AB90" s="156">
        <v>0.7272727272727274</v>
      </c>
      <c r="AC90" s="156">
        <v>0.7272727272727274</v>
      </c>
      <c r="AD90" s="156">
        <v>0.18181818181818185</v>
      </c>
      <c r="AE90" s="156">
        <v>0.27272727272727282</v>
      </c>
      <c r="AF90" s="157">
        <v>11</v>
      </c>
      <c r="AG90" s="158">
        <v>10.000000000000002</v>
      </c>
      <c r="AH90" s="159">
        <v>11</v>
      </c>
      <c r="AI90" s="160">
        <v>10.000000000000002</v>
      </c>
      <c r="AJ90" s="159">
        <v>11</v>
      </c>
      <c r="AK90" s="160">
        <v>10.000000000000002</v>
      </c>
      <c r="AL90" s="157">
        <v>11</v>
      </c>
      <c r="AM90" s="155">
        <v>0.60000000000000009</v>
      </c>
      <c r="AN90" s="156">
        <v>0.40000000000000008</v>
      </c>
      <c r="AO90" s="156">
        <v>0</v>
      </c>
      <c r="AP90" s="156">
        <v>0</v>
      </c>
      <c r="AQ90" s="156">
        <v>0</v>
      </c>
      <c r="AR90" s="157">
        <v>10</v>
      </c>
      <c r="AS90" s="155">
        <v>0.81818181818181845</v>
      </c>
      <c r="AT90" s="156">
        <v>9.0909090909090912E-2</v>
      </c>
      <c r="AU90" s="156">
        <v>9.0909090909090912E-2</v>
      </c>
      <c r="AV90" s="156">
        <v>0</v>
      </c>
      <c r="AW90" s="156">
        <v>0</v>
      </c>
      <c r="AX90" s="157">
        <v>11</v>
      </c>
      <c r="AY90" s="155">
        <v>0.45454545454545447</v>
      </c>
      <c r="AZ90" s="156">
        <v>0.27272727272727271</v>
      </c>
      <c r="BA90" s="156">
        <v>9.0909090909090912E-2</v>
      </c>
      <c r="BB90" s="156">
        <v>0.18181818181818182</v>
      </c>
      <c r="BC90" s="156">
        <v>0</v>
      </c>
      <c r="BD90" s="157">
        <v>11</v>
      </c>
      <c r="BE90" s="155">
        <v>0.45454545454545447</v>
      </c>
      <c r="BF90" s="156">
        <v>0.36363636363636365</v>
      </c>
      <c r="BG90" s="156">
        <v>9.0909090909090912E-2</v>
      </c>
      <c r="BH90" s="156">
        <v>9.0909090909090912E-2</v>
      </c>
      <c r="BI90" s="156">
        <v>0</v>
      </c>
      <c r="BJ90" s="157">
        <v>11</v>
      </c>
      <c r="BK90" s="155">
        <v>0.40000000000000008</v>
      </c>
      <c r="BL90" s="156">
        <v>0.40000000000000008</v>
      </c>
      <c r="BM90" s="156">
        <v>0.10000000000000002</v>
      </c>
      <c r="BN90" s="156">
        <v>0</v>
      </c>
      <c r="BO90" s="156">
        <v>0.10000000000000002</v>
      </c>
      <c r="BP90" s="157">
        <v>10</v>
      </c>
      <c r="BQ90" s="155">
        <v>0.81818181818181845</v>
      </c>
      <c r="BR90" s="156">
        <v>9.0909090909090912E-2</v>
      </c>
      <c r="BS90" s="156">
        <v>9.0909090909090912E-2</v>
      </c>
      <c r="BT90" s="156">
        <v>0</v>
      </c>
      <c r="BU90" s="156">
        <v>0</v>
      </c>
      <c r="BV90" s="157">
        <v>11</v>
      </c>
      <c r="BW90" s="161">
        <v>0.625</v>
      </c>
      <c r="BX90" s="156">
        <v>0.375</v>
      </c>
      <c r="BY90" s="156">
        <v>0</v>
      </c>
      <c r="BZ90" s="156">
        <v>0</v>
      </c>
      <c r="CA90" s="156">
        <v>0</v>
      </c>
      <c r="CB90" s="157">
        <v>8</v>
      </c>
      <c r="CC90" s="155">
        <v>0</v>
      </c>
      <c r="CD90" s="156">
        <v>0.5</v>
      </c>
      <c r="CE90" s="156">
        <v>0.5</v>
      </c>
      <c r="CF90" s="156">
        <v>0</v>
      </c>
      <c r="CG90" s="156">
        <v>0</v>
      </c>
      <c r="CH90" s="162">
        <v>2</v>
      </c>
      <c r="CI90" s="155">
        <v>0.33333333333333326</v>
      </c>
      <c r="CJ90" s="156">
        <v>0.33333333333333326</v>
      </c>
      <c r="CK90" s="156">
        <v>0.33333333333333326</v>
      </c>
      <c r="CL90" s="156">
        <v>0</v>
      </c>
      <c r="CM90" s="156">
        <v>0</v>
      </c>
      <c r="CN90" s="162">
        <v>3</v>
      </c>
      <c r="CO90" s="155">
        <v>0.28571428571428559</v>
      </c>
      <c r="CP90" s="156">
        <v>0.57142857142857117</v>
      </c>
      <c r="CQ90" s="156">
        <v>0</v>
      </c>
      <c r="CR90" s="156">
        <v>0.14285714285714279</v>
      </c>
      <c r="CS90" s="156">
        <v>0</v>
      </c>
      <c r="CT90" s="162">
        <v>7</v>
      </c>
      <c r="CU90" s="155">
        <v>0.66666666666666652</v>
      </c>
      <c r="CV90" s="156">
        <v>0.16666666666666663</v>
      </c>
      <c r="CW90" s="156">
        <v>0.16666666666666663</v>
      </c>
      <c r="CX90" s="156">
        <v>0</v>
      </c>
      <c r="CY90" s="156">
        <v>0</v>
      </c>
      <c r="CZ90" s="162">
        <v>6</v>
      </c>
      <c r="DA90" s="155">
        <v>0.75</v>
      </c>
      <c r="DB90" s="156">
        <v>0</v>
      </c>
      <c r="DC90" s="156">
        <v>0.25</v>
      </c>
      <c r="DD90" s="156">
        <v>0</v>
      </c>
      <c r="DE90" s="156">
        <v>0</v>
      </c>
      <c r="DF90" s="162">
        <v>4</v>
      </c>
      <c r="DG90" s="155">
        <v>0.66666666666666652</v>
      </c>
      <c r="DH90" s="156">
        <v>0</v>
      </c>
      <c r="DI90" s="156">
        <v>0.33333333333333326</v>
      </c>
      <c r="DJ90" s="156">
        <v>0</v>
      </c>
      <c r="DK90" s="156">
        <v>0</v>
      </c>
      <c r="DL90" s="162">
        <v>3</v>
      </c>
      <c r="DM90" s="155">
        <v>0.5</v>
      </c>
      <c r="DN90" s="156">
        <v>0.33333333333333326</v>
      </c>
      <c r="DO90" s="156">
        <v>0.16666666666666663</v>
      </c>
      <c r="DP90" s="156">
        <v>0</v>
      </c>
      <c r="DQ90" s="156">
        <v>0</v>
      </c>
      <c r="DR90" s="162">
        <v>6</v>
      </c>
      <c r="DS90" s="161">
        <v>0.28571428571428559</v>
      </c>
      <c r="DT90" s="156">
        <v>0.42857142857142838</v>
      </c>
      <c r="DU90" s="156">
        <v>0.14285714285714279</v>
      </c>
      <c r="DV90" s="156">
        <v>0</v>
      </c>
      <c r="DW90" s="156">
        <v>0.14285714285714279</v>
      </c>
      <c r="DX90" s="162">
        <v>7</v>
      </c>
      <c r="DY90" s="155">
        <v>0.90909090909090895</v>
      </c>
      <c r="DZ90" s="156">
        <v>0</v>
      </c>
      <c r="EA90" s="156">
        <v>9.0909090909090912E-2</v>
      </c>
      <c r="EB90" s="156">
        <v>0</v>
      </c>
      <c r="EC90" s="156">
        <v>0</v>
      </c>
      <c r="ED90" s="162">
        <v>11</v>
      </c>
      <c r="EE90" s="155">
        <v>0.85714285714285676</v>
      </c>
      <c r="EF90" s="156">
        <v>0.14285714285714279</v>
      </c>
      <c r="EG90" s="156">
        <v>0</v>
      </c>
      <c r="EH90" s="156">
        <v>0</v>
      </c>
      <c r="EI90" s="156">
        <v>0</v>
      </c>
      <c r="EJ90" s="162">
        <v>7</v>
      </c>
      <c r="EK90" s="155">
        <v>1</v>
      </c>
      <c r="EL90" s="156">
        <v>0</v>
      </c>
      <c r="EM90" s="156">
        <v>0</v>
      </c>
      <c r="EN90" s="156">
        <v>0</v>
      </c>
      <c r="EO90" s="156">
        <v>0</v>
      </c>
      <c r="EP90" s="162">
        <v>6</v>
      </c>
      <c r="EQ90" s="155">
        <v>0.88888888888888895</v>
      </c>
      <c r="ER90" s="156">
        <v>0.11111111111111112</v>
      </c>
      <c r="ES90" s="156">
        <v>0</v>
      </c>
      <c r="ET90" s="156">
        <v>0</v>
      </c>
      <c r="EU90" s="156">
        <v>0</v>
      </c>
      <c r="EV90" s="162">
        <v>9</v>
      </c>
      <c r="EW90" s="155">
        <v>1</v>
      </c>
      <c r="EX90" s="156">
        <v>0</v>
      </c>
      <c r="EY90" s="156">
        <v>0</v>
      </c>
      <c r="EZ90" s="156">
        <v>0</v>
      </c>
      <c r="FA90" s="156">
        <v>0</v>
      </c>
      <c r="FB90" s="162">
        <v>9</v>
      </c>
      <c r="FC90" s="155">
        <v>1</v>
      </c>
      <c r="FD90" s="156">
        <v>0</v>
      </c>
      <c r="FE90" s="156">
        <v>0</v>
      </c>
      <c r="FF90" s="156">
        <v>0</v>
      </c>
      <c r="FG90" s="156">
        <v>0</v>
      </c>
      <c r="FH90" s="162">
        <v>1</v>
      </c>
      <c r="FI90" s="161">
        <v>1</v>
      </c>
      <c r="FJ90" s="156">
        <v>0</v>
      </c>
      <c r="FK90" s="156">
        <v>0</v>
      </c>
      <c r="FL90" s="156">
        <v>0</v>
      </c>
      <c r="FM90" s="156">
        <v>0</v>
      </c>
      <c r="FN90" s="162">
        <v>2</v>
      </c>
      <c r="FO90" s="155">
        <v>0</v>
      </c>
      <c r="FP90" s="156">
        <v>0</v>
      </c>
      <c r="FQ90" s="156">
        <v>0</v>
      </c>
      <c r="FR90" s="156">
        <v>0</v>
      </c>
      <c r="FS90" s="156">
        <v>0</v>
      </c>
      <c r="FT90" s="162">
        <v>0</v>
      </c>
      <c r="FU90" s="155">
        <v>0</v>
      </c>
      <c r="FV90" s="156">
        <v>0</v>
      </c>
      <c r="FW90" s="156">
        <v>0</v>
      </c>
      <c r="FX90" s="156">
        <v>0</v>
      </c>
      <c r="FY90" s="156">
        <v>0</v>
      </c>
      <c r="FZ90" s="162">
        <v>0</v>
      </c>
      <c r="GA90" s="161">
        <v>0</v>
      </c>
      <c r="GB90" s="156">
        <v>0</v>
      </c>
      <c r="GC90" s="156">
        <v>0</v>
      </c>
      <c r="GD90" s="156">
        <v>0</v>
      </c>
      <c r="GE90" s="156">
        <v>0</v>
      </c>
      <c r="GF90" s="162">
        <v>0</v>
      </c>
      <c r="GG90" s="158">
        <v>9.3000000000000007</v>
      </c>
      <c r="GH90" s="162">
        <v>10</v>
      </c>
      <c r="GI90" s="155">
        <v>0</v>
      </c>
      <c r="GJ90" s="156">
        <v>0.90909090909090895</v>
      </c>
      <c r="GK90" s="156">
        <v>9.0909090909090912E-2</v>
      </c>
      <c r="GL90" s="156">
        <v>0</v>
      </c>
      <c r="GM90" s="156">
        <v>0</v>
      </c>
      <c r="GN90" s="162">
        <v>11</v>
      </c>
      <c r="GO90" s="155">
        <v>0.50000000000000011</v>
      </c>
      <c r="GP90" s="156">
        <v>9.9999999999999992E-2</v>
      </c>
      <c r="GQ90" s="156">
        <v>0</v>
      </c>
      <c r="GR90" s="156">
        <v>0.39999999999999997</v>
      </c>
      <c r="GS90" s="162">
        <v>10</v>
      </c>
      <c r="GT90" s="163">
        <v>3.0909090909090904</v>
      </c>
      <c r="GU90" s="162">
        <v>11</v>
      </c>
      <c r="GV90" s="155">
        <v>1</v>
      </c>
      <c r="GW90" s="156">
        <v>0</v>
      </c>
      <c r="GX90" s="162">
        <v>5</v>
      </c>
      <c r="GY90" s="155">
        <v>1</v>
      </c>
      <c r="GZ90" s="156">
        <v>0</v>
      </c>
      <c r="HA90" s="162">
        <v>8</v>
      </c>
      <c r="HB90" s="155">
        <v>1</v>
      </c>
      <c r="HC90" s="156">
        <v>0</v>
      </c>
      <c r="HD90" s="162">
        <v>11</v>
      </c>
      <c r="HE90" s="161">
        <v>1</v>
      </c>
      <c r="HF90" s="156">
        <v>0</v>
      </c>
      <c r="HG90" s="162">
        <v>10</v>
      </c>
      <c r="HH90" s="155">
        <v>0.63636363636363658</v>
      </c>
      <c r="HI90" s="156">
        <v>0.36363636363636365</v>
      </c>
      <c r="HJ90" s="162">
        <v>11</v>
      </c>
      <c r="HK90" s="155">
        <v>1</v>
      </c>
      <c r="HL90" s="156">
        <v>0</v>
      </c>
      <c r="HM90" s="162">
        <v>10</v>
      </c>
      <c r="HN90" s="161">
        <v>0.54545454545454541</v>
      </c>
      <c r="HO90" s="156">
        <v>9.0909090909090912E-2</v>
      </c>
      <c r="HP90" s="156">
        <v>9.0909090909090912E-2</v>
      </c>
      <c r="HQ90" s="156">
        <v>0.18181818181818182</v>
      </c>
      <c r="HR90" s="156">
        <v>9.0909090909090912E-2</v>
      </c>
      <c r="HS90" s="160">
        <v>38.636363636363633</v>
      </c>
      <c r="HT90" s="164">
        <v>11</v>
      </c>
      <c r="HU90" s="165">
        <v>0</v>
      </c>
      <c r="HV90" s="166">
        <v>0.1</v>
      </c>
      <c r="HW90" s="166">
        <v>0.2</v>
      </c>
      <c r="HX90" s="166">
        <v>0.2</v>
      </c>
      <c r="HY90" s="166">
        <v>0</v>
      </c>
      <c r="HZ90" s="166">
        <v>0.2</v>
      </c>
      <c r="IA90" s="166">
        <v>0.1</v>
      </c>
      <c r="IB90" s="166">
        <v>0.1</v>
      </c>
      <c r="IC90" s="166">
        <v>0.1</v>
      </c>
      <c r="ID90" s="166">
        <v>0</v>
      </c>
      <c r="IE90" s="167">
        <v>10</v>
      </c>
      <c r="IF90" s="155">
        <v>0</v>
      </c>
      <c r="IG90" s="156">
        <v>0</v>
      </c>
      <c r="IH90" s="156">
        <v>0</v>
      </c>
      <c r="II90" s="156">
        <v>1</v>
      </c>
      <c r="IJ90" s="156">
        <v>0</v>
      </c>
      <c r="IK90" s="162">
        <v>1</v>
      </c>
      <c r="IL90" s="155">
        <v>0.18181818181818182</v>
      </c>
      <c r="IM90" s="156">
        <v>0.18181818181818182</v>
      </c>
      <c r="IN90" s="156">
        <v>0.18181818181818182</v>
      </c>
      <c r="IO90" s="156">
        <v>0.45454545454545447</v>
      </c>
      <c r="IP90" s="156">
        <v>0</v>
      </c>
      <c r="IQ90" s="162">
        <v>11</v>
      </c>
      <c r="IR90" s="155">
        <v>0.27272727272727271</v>
      </c>
      <c r="IS90" s="156">
        <v>0.72727272727272729</v>
      </c>
      <c r="IT90" s="162">
        <v>11</v>
      </c>
      <c r="IU90" s="161">
        <v>0</v>
      </c>
      <c r="IV90" s="156">
        <v>0</v>
      </c>
      <c r="IW90" s="156">
        <v>1</v>
      </c>
      <c r="IX90" s="162">
        <v>3</v>
      </c>
    </row>
    <row r="91" spans="1:258" ht="32.1" customHeight="1" x14ac:dyDescent="0.25">
      <c r="A91" s="110" t="s">
        <v>453</v>
      </c>
      <c r="B91" s="108" t="s">
        <v>578</v>
      </c>
      <c r="C91" s="108" t="s">
        <v>480</v>
      </c>
      <c r="D91" s="109">
        <v>422</v>
      </c>
      <c r="E91" s="139" t="s">
        <v>542</v>
      </c>
      <c r="F91" s="155">
        <v>0</v>
      </c>
      <c r="G91" s="156">
        <v>1</v>
      </c>
      <c r="H91" s="157">
        <v>10</v>
      </c>
      <c r="I91" s="155">
        <v>0.39999999999999991</v>
      </c>
      <c r="J91" s="156">
        <v>0.59999999999999987</v>
      </c>
      <c r="K91" s="157">
        <v>10</v>
      </c>
      <c r="L91" s="155">
        <v>0.75</v>
      </c>
      <c r="M91" s="156">
        <v>0.25</v>
      </c>
      <c r="N91" s="157">
        <v>4</v>
      </c>
      <c r="O91" s="155">
        <v>0.49999999999999989</v>
      </c>
      <c r="P91" s="156">
        <v>0</v>
      </c>
      <c r="Q91" s="156">
        <v>0</v>
      </c>
      <c r="R91" s="156">
        <v>0</v>
      </c>
      <c r="S91" s="156">
        <v>0</v>
      </c>
      <c r="T91" s="156">
        <v>0</v>
      </c>
      <c r="U91" s="156">
        <v>9.9999999999999978E-2</v>
      </c>
      <c r="V91" s="156">
        <v>0.29999999999999988</v>
      </c>
      <c r="W91" s="156">
        <v>9.9999999999999978E-2</v>
      </c>
      <c r="X91" s="156">
        <v>0.19999999999999996</v>
      </c>
      <c r="Y91" s="157">
        <v>10</v>
      </c>
      <c r="Z91" s="155">
        <v>0.70000000000000007</v>
      </c>
      <c r="AA91" s="156">
        <v>1</v>
      </c>
      <c r="AB91" s="156">
        <v>0.29999999999999988</v>
      </c>
      <c r="AC91" s="156">
        <v>0.70000000000000007</v>
      </c>
      <c r="AD91" s="156">
        <v>0</v>
      </c>
      <c r="AE91" s="156">
        <v>9.9999999999999978E-2</v>
      </c>
      <c r="AF91" s="157">
        <v>10</v>
      </c>
      <c r="AG91" s="158">
        <v>9.7999999999999972</v>
      </c>
      <c r="AH91" s="159">
        <v>10</v>
      </c>
      <c r="AI91" s="160">
        <v>10</v>
      </c>
      <c r="AJ91" s="159">
        <v>10</v>
      </c>
      <c r="AK91" s="160">
        <v>10</v>
      </c>
      <c r="AL91" s="157">
        <v>10</v>
      </c>
      <c r="AM91" s="155">
        <v>0.19999999999999996</v>
      </c>
      <c r="AN91" s="156">
        <v>0.49999999999999994</v>
      </c>
      <c r="AO91" s="156">
        <v>0</v>
      </c>
      <c r="AP91" s="156">
        <v>0.19999999999999996</v>
      </c>
      <c r="AQ91" s="156">
        <v>9.9999999999999978E-2</v>
      </c>
      <c r="AR91" s="157">
        <v>10</v>
      </c>
      <c r="AS91" s="155">
        <v>0.7777777777777779</v>
      </c>
      <c r="AT91" s="156">
        <v>0.1111111111111111</v>
      </c>
      <c r="AU91" s="156">
        <v>0.1111111111111111</v>
      </c>
      <c r="AV91" s="156">
        <v>0</v>
      </c>
      <c r="AW91" s="156">
        <v>0</v>
      </c>
      <c r="AX91" s="157">
        <v>9</v>
      </c>
      <c r="AY91" s="155">
        <v>0.59999999999999987</v>
      </c>
      <c r="AZ91" s="156">
        <v>0.29999999999999993</v>
      </c>
      <c r="BA91" s="156">
        <v>0</v>
      </c>
      <c r="BB91" s="156">
        <v>9.9999999999999978E-2</v>
      </c>
      <c r="BC91" s="156">
        <v>0</v>
      </c>
      <c r="BD91" s="157">
        <v>10</v>
      </c>
      <c r="BE91" s="155">
        <v>0.59999999999999987</v>
      </c>
      <c r="BF91" s="156">
        <v>0.29999999999999993</v>
      </c>
      <c r="BG91" s="156">
        <v>9.9999999999999978E-2</v>
      </c>
      <c r="BH91" s="156">
        <v>0</v>
      </c>
      <c r="BI91" s="156">
        <v>0</v>
      </c>
      <c r="BJ91" s="157">
        <v>10</v>
      </c>
      <c r="BK91" s="155">
        <v>0.55555555555555547</v>
      </c>
      <c r="BL91" s="156">
        <v>0.22222222222222221</v>
      </c>
      <c r="BM91" s="156">
        <v>0.22222222222222221</v>
      </c>
      <c r="BN91" s="156">
        <v>0</v>
      </c>
      <c r="BO91" s="156">
        <v>0</v>
      </c>
      <c r="BP91" s="157">
        <v>9</v>
      </c>
      <c r="BQ91" s="155">
        <v>0.59999999999999987</v>
      </c>
      <c r="BR91" s="156">
        <v>0.19999999999999996</v>
      </c>
      <c r="BS91" s="156">
        <v>9.9999999999999978E-2</v>
      </c>
      <c r="BT91" s="156">
        <v>9.9999999999999978E-2</v>
      </c>
      <c r="BU91" s="156">
        <v>0</v>
      </c>
      <c r="BV91" s="157">
        <v>10</v>
      </c>
      <c r="BW91" s="161">
        <v>0.59999999999999987</v>
      </c>
      <c r="BX91" s="156">
        <v>0.39999999999999991</v>
      </c>
      <c r="BY91" s="156">
        <v>0</v>
      </c>
      <c r="BZ91" s="156">
        <v>0</v>
      </c>
      <c r="CA91" s="156">
        <v>0</v>
      </c>
      <c r="CB91" s="157">
        <v>10</v>
      </c>
      <c r="CC91" s="155">
        <v>1</v>
      </c>
      <c r="CD91" s="156">
        <v>0</v>
      </c>
      <c r="CE91" s="156">
        <v>0</v>
      </c>
      <c r="CF91" s="156">
        <v>0</v>
      </c>
      <c r="CG91" s="156">
        <v>0</v>
      </c>
      <c r="CH91" s="162">
        <v>4</v>
      </c>
      <c r="CI91" s="155">
        <v>0.66666666666666641</v>
      </c>
      <c r="CJ91" s="156">
        <v>0.3333333333333332</v>
      </c>
      <c r="CK91" s="156">
        <v>0</v>
      </c>
      <c r="CL91" s="156">
        <v>0</v>
      </c>
      <c r="CM91" s="156">
        <v>0</v>
      </c>
      <c r="CN91" s="162">
        <v>3</v>
      </c>
      <c r="CO91" s="155">
        <v>0.1666666666666666</v>
      </c>
      <c r="CP91" s="156">
        <v>0.5</v>
      </c>
      <c r="CQ91" s="156">
        <v>0.3333333333333332</v>
      </c>
      <c r="CR91" s="156">
        <v>0</v>
      </c>
      <c r="CS91" s="156">
        <v>0</v>
      </c>
      <c r="CT91" s="162">
        <v>6</v>
      </c>
      <c r="CU91" s="155">
        <v>0.1666666666666666</v>
      </c>
      <c r="CV91" s="156">
        <v>0.5</v>
      </c>
      <c r="CW91" s="156">
        <v>0.3333333333333332</v>
      </c>
      <c r="CX91" s="156">
        <v>0</v>
      </c>
      <c r="CY91" s="156">
        <v>0</v>
      </c>
      <c r="CZ91" s="162">
        <v>6</v>
      </c>
      <c r="DA91" s="155">
        <v>0</v>
      </c>
      <c r="DB91" s="156">
        <v>0.60000000000000009</v>
      </c>
      <c r="DC91" s="156">
        <v>0.4</v>
      </c>
      <c r="DD91" s="156">
        <v>0</v>
      </c>
      <c r="DE91" s="156">
        <v>0</v>
      </c>
      <c r="DF91" s="162">
        <v>5</v>
      </c>
      <c r="DG91" s="155">
        <v>0</v>
      </c>
      <c r="DH91" s="156">
        <v>0.66666666666666641</v>
      </c>
      <c r="DI91" s="156">
        <v>0.3333333333333332</v>
      </c>
      <c r="DJ91" s="156">
        <v>0</v>
      </c>
      <c r="DK91" s="156">
        <v>0</v>
      </c>
      <c r="DL91" s="162">
        <v>3</v>
      </c>
      <c r="DM91" s="155">
        <v>0</v>
      </c>
      <c r="DN91" s="156">
        <v>0.75</v>
      </c>
      <c r="DO91" s="156">
        <v>0.25</v>
      </c>
      <c r="DP91" s="156">
        <v>0</v>
      </c>
      <c r="DQ91" s="156">
        <v>0</v>
      </c>
      <c r="DR91" s="162">
        <v>4</v>
      </c>
      <c r="DS91" s="161">
        <v>0.66666666666666641</v>
      </c>
      <c r="DT91" s="156">
        <v>0.3333333333333332</v>
      </c>
      <c r="DU91" s="156">
        <v>0</v>
      </c>
      <c r="DV91" s="156">
        <v>0</v>
      </c>
      <c r="DW91" s="156">
        <v>0</v>
      </c>
      <c r="DX91" s="162">
        <v>3</v>
      </c>
      <c r="DY91" s="155">
        <v>0.9</v>
      </c>
      <c r="DZ91" s="156">
        <v>9.9999999999999978E-2</v>
      </c>
      <c r="EA91" s="156">
        <v>0</v>
      </c>
      <c r="EB91" s="156">
        <v>0</v>
      </c>
      <c r="EC91" s="156">
        <v>0</v>
      </c>
      <c r="ED91" s="162">
        <v>10</v>
      </c>
      <c r="EE91" s="155">
        <v>1</v>
      </c>
      <c r="EF91" s="156">
        <v>0</v>
      </c>
      <c r="EG91" s="156">
        <v>0</v>
      </c>
      <c r="EH91" s="156">
        <v>0</v>
      </c>
      <c r="EI91" s="156">
        <v>0</v>
      </c>
      <c r="EJ91" s="162">
        <v>1</v>
      </c>
      <c r="EK91" s="155">
        <v>1</v>
      </c>
      <c r="EL91" s="156">
        <v>0</v>
      </c>
      <c r="EM91" s="156">
        <v>0</v>
      </c>
      <c r="EN91" s="156">
        <v>0</v>
      </c>
      <c r="EO91" s="156">
        <v>0</v>
      </c>
      <c r="EP91" s="162">
        <v>1</v>
      </c>
      <c r="EQ91" s="155">
        <v>0.60000000000000009</v>
      </c>
      <c r="ER91" s="156">
        <v>0.4</v>
      </c>
      <c r="ES91" s="156">
        <v>0</v>
      </c>
      <c r="ET91" s="156">
        <v>0</v>
      </c>
      <c r="EU91" s="156">
        <v>0</v>
      </c>
      <c r="EV91" s="162">
        <v>5</v>
      </c>
      <c r="EW91" s="155">
        <v>0.83333333333333348</v>
      </c>
      <c r="EX91" s="156">
        <v>0.1666666666666666</v>
      </c>
      <c r="EY91" s="156">
        <v>0</v>
      </c>
      <c r="EZ91" s="156">
        <v>0</v>
      </c>
      <c r="FA91" s="156">
        <v>0</v>
      </c>
      <c r="FB91" s="162">
        <v>6</v>
      </c>
      <c r="FC91" s="155">
        <v>0</v>
      </c>
      <c r="FD91" s="156">
        <v>0</v>
      </c>
      <c r="FE91" s="156">
        <v>0</v>
      </c>
      <c r="FF91" s="156">
        <v>1</v>
      </c>
      <c r="FG91" s="156">
        <v>0</v>
      </c>
      <c r="FH91" s="162">
        <v>1</v>
      </c>
      <c r="FI91" s="161">
        <v>0</v>
      </c>
      <c r="FJ91" s="156">
        <v>0</v>
      </c>
      <c r="FK91" s="156">
        <v>0</v>
      </c>
      <c r="FL91" s="156">
        <v>0</v>
      </c>
      <c r="FM91" s="156">
        <v>0</v>
      </c>
      <c r="FN91" s="162">
        <v>0</v>
      </c>
      <c r="FO91" s="155">
        <v>0</v>
      </c>
      <c r="FP91" s="156">
        <v>0</v>
      </c>
      <c r="FQ91" s="156">
        <v>0</v>
      </c>
      <c r="FR91" s="156">
        <v>0</v>
      </c>
      <c r="FS91" s="156">
        <v>0</v>
      </c>
      <c r="FT91" s="162">
        <v>0</v>
      </c>
      <c r="FU91" s="155">
        <v>0</v>
      </c>
      <c r="FV91" s="156">
        <v>0</v>
      </c>
      <c r="FW91" s="156">
        <v>0</v>
      </c>
      <c r="FX91" s="156">
        <v>0</v>
      </c>
      <c r="FY91" s="156">
        <v>0</v>
      </c>
      <c r="FZ91" s="162">
        <v>0</v>
      </c>
      <c r="GA91" s="161">
        <v>0</v>
      </c>
      <c r="GB91" s="156">
        <v>0</v>
      </c>
      <c r="GC91" s="156">
        <v>0</v>
      </c>
      <c r="GD91" s="156">
        <v>0</v>
      </c>
      <c r="GE91" s="156">
        <v>0</v>
      </c>
      <c r="GF91" s="162">
        <v>0</v>
      </c>
      <c r="GG91" s="158">
        <v>9.0999999999999961</v>
      </c>
      <c r="GH91" s="162">
        <v>10</v>
      </c>
      <c r="GI91" s="155">
        <v>0.19999999999999996</v>
      </c>
      <c r="GJ91" s="156">
        <v>0.49999999999999994</v>
      </c>
      <c r="GK91" s="156">
        <v>9.9999999999999978E-2</v>
      </c>
      <c r="GL91" s="156">
        <v>9.9999999999999978E-2</v>
      </c>
      <c r="GM91" s="156">
        <v>9.9999999999999978E-2</v>
      </c>
      <c r="GN91" s="162">
        <v>10</v>
      </c>
      <c r="GO91" s="155">
        <v>0.49999999999999989</v>
      </c>
      <c r="GP91" s="156">
        <v>0.19999999999999996</v>
      </c>
      <c r="GQ91" s="156">
        <v>0</v>
      </c>
      <c r="GR91" s="156">
        <v>0.29999999999999988</v>
      </c>
      <c r="GS91" s="162">
        <v>10</v>
      </c>
      <c r="GT91" s="163">
        <v>2.899999999999999</v>
      </c>
      <c r="GU91" s="162">
        <v>10</v>
      </c>
      <c r="GV91" s="155">
        <v>0.66666666666666641</v>
      </c>
      <c r="GW91" s="156">
        <v>0.3333333333333332</v>
      </c>
      <c r="GX91" s="162">
        <v>6</v>
      </c>
      <c r="GY91" s="155">
        <v>1</v>
      </c>
      <c r="GZ91" s="156">
        <v>0</v>
      </c>
      <c r="HA91" s="162">
        <v>4</v>
      </c>
      <c r="HB91" s="155">
        <v>1</v>
      </c>
      <c r="HC91" s="156">
        <v>0</v>
      </c>
      <c r="HD91" s="162">
        <v>10</v>
      </c>
      <c r="HE91" s="161">
        <v>0.83333333333333348</v>
      </c>
      <c r="HF91" s="156">
        <v>0.1666666666666666</v>
      </c>
      <c r="HG91" s="162">
        <v>6</v>
      </c>
      <c r="HH91" s="155">
        <v>0.7</v>
      </c>
      <c r="HI91" s="156">
        <v>0.29999999999999993</v>
      </c>
      <c r="HJ91" s="162">
        <v>10</v>
      </c>
      <c r="HK91" s="155">
        <v>1</v>
      </c>
      <c r="HL91" s="156">
        <v>0</v>
      </c>
      <c r="HM91" s="162">
        <v>10</v>
      </c>
      <c r="HN91" s="161">
        <v>0.19999999999999996</v>
      </c>
      <c r="HO91" s="156">
        <v>0.49999999999999994</v>
      </c>
      <c r="HP91" s="156">
        <v>0.19999999999999996</v>
      </c>
      <c r="HQ91" s="156">
        <v>9.9999999999999978E-2</v>
      </c>
      <c r="HR91" s="156">
        <v>0</v>
      </c>
      <c r="HS91" s="160">
        <v>38.899999999999984</v>
      </c>
      <c r="HT91" s="164">
        <v>10</v>
      </c>
      <c r="HU91" s="165">
        <v>0</v>
      </c>
      <c r="HV91" s="166">
        <v>0</v>
      </c>
      <c r="HW91" s="166">
        <v>0.125</v>
      </c>
      <c r="HX91" s="166">
        <v>0.125</v>
      </c>
      <c r="HY91" s="166">
        <v>0.125</v>
      </c>
      <c r="HZ91" s="166">
        <v>0</v>
      </c>
      <c r="IA91" s="166">
        <v>0.125</v>
      </c>
      <c r="IB91" s="166">
        <v>0.25</v>
      </c>
      <c r="IC91" s="166">
        <v>0.25</v>
      </c>
      <c r="ID91" s="166">
        <v>0</v>
      </c>
      <c r="IE91" s="167">
        <v>8</v>
      </c>
      <c r="IF91" s="155">
        <v>0</v>
      </c>
      <c r="IG91" s="156">
        <v>0.5</v>
      </c>
      <c r="IH91" s="156">
        <v>0.5</v>
      </c>
      <c r="II91" s="156">
        <v>0</v>
      </c>
      <c r="IJ91" s="156">
        <v>0</v>
      </c>
      <c r="IK91" s="162">
        <v>2</v>
      </c>
      <c r="IL91" s="155">
        <v>0.19999999999999996</v>
      </c>
      <c r="IM91" s="156">
        <v>0</v>
      </c>
      <c r="IN91" s="156">
        <v>0</v>
      </c>
      <c r="IO91" s="156">
        <v>0.8</v>
      </c>
      <c r="IP91" s="156">
        <v>0</v>
      </c>
      <c r="IQ91" s="162">
        <v>10</v>
      </c>
      <c r="IR91" s="155">
        <v>9.9999999999999978E-2</v>
      </c>
      <c r="IS91" s="156">
        <v>0.9</v>
      </c>
      <c r="IT91" s="162">
        <v>10</v>
      </c>
      <c r="IU91" s="161">
        <v>0</v>
      </c>
      <c r="IV91" s="156">
        <v>0</v>
      </c>
      <c r="IW91" s="156">
        <v>1</v>
      </c>
      <c r="IX91" s="162">
        <v>1</v>
      </c>
    </row>
    <row r="92" spans="1:258" ht="32.1" customHeight="1" x14ac:dyDescent="0.25">
      <c r="A92" s="110" t="s">
        <v>527</v>
      </c>
      <c r="B92" s="108" t="s">
        <v>527</v>
      </c>
      <c r="C92" s="108" t="s">
        <v>480</v>
      </c>
      <c r="D92" s="109">
        <v>551</v>
      </c>
      <c r="E92" s="139" t="s">
        <v>543</v>
      </c>
      <c r="F92" s="155">
        <v>0.2307692307692307</v>
      </c>
      <c r="G92" s="156">
        <v>0.76923076923076972</v>
      </c>
      <c r="H92" s="157">
        <v>39</v>
      </c>
      <c r="I92" s="155">
        <v>0.68965517241379293</v>
      </c>
      <c r="J92" s="156">
        <v>0.31034482758620691</v>
      </c>
      <c r="K92" s="157">
        <v>29</v>
      </c>
      <c r="L92" s="155">
        <v>0.25000000000000006</v>
      </c>
      <c r="M92" s="156">
        <v>0.75000000000000011</v>
      </c>
      <c r="N92" s="157">
        <v>16</v>
      </c>
      <c r="O92" s="155">
        <v>0.33333333333333337</v>
      </c>
      <c r="P92" s="156">
        <v>0.56410256410256332</v>
      </c>
      <c r="Q92" s="156">
        <v>2.5641025641025637E-2</v>
      </c>
      <c r="R92" s="156">
        <v>0</v>
      </c>
      <c r="S92" s="156">
        <v>0.20512820512820509</v>
      </c>
      <c r="T92" s="156">
        <v>0</v>
      </c>
      <c r="U92" s="156">
        <v>2.5641025641025637E-2</v>
      </c>
      <c r="V92" s="156">
        <v>0.12820512820512808</v>
      </c>
      <c r="W92" s="156">
        <v>7.6923076923076941E-2</v>
      </c>
      <c r="X92" s="156">
        <v>7.6923076923076941E-2</v>
      </c>
      <c r="Y92" s="157">
        <v>39</v>
      </c>
      <c r="Z92" s="155">
        <v>0.57894736842105232</v>
      </c>
      <c r="AA92" s="156">
        <v>0.84210526315789447</v>
      </c>
      <c r="AB92" s="156">
        <v>0.47368421052631515</v>
      </c>
      <c r="AC92" s="156">
        <v>0.57894736842105232</v>
      </c>
      <c r="AD92" s="156">
        <v>0</v>
      </c>
      <c r="AE92" s="156">
        <v>7.8947368421052641E-2</v>
      </c>
      <c r="AF92" s="157">
        <v>38</v>
      </c>
      <c r="AG92" s="158">
        <v>9.9487179487179525</v>
      </c>
      <c r="AH92" s="159">
        <v>39</v>
      </c>
      <c r="AI92" s="160">
        <v>9.9230769230769198</v>
      </c>
      <c r="AJ92" s="159">
        <v>39</v>
      </c>
      <c r="AK92" s="160">
        <v>9.9473684210526194</v>
      </c>
      <c r="AL92" s="157">
        <v>38</v>
      </c>
      <c r="AM92" s="155">
        <v>0.57894736842105232</v>
      </c>
      <c r="AN92" s="156">
        <v>0.36842105263157898</v>
      </c>
      <c r="AO92" s="156">
        <v>5.2631578947368425E-2</v>
      </c>
      <c r="AP92" s="156">
        <v>0</v>
      </c>
      <c r="AQ92" s="156">
        <v>0</v>
      </c>
      <c r="AR92" s="157">
        <v>38</v>
      </c>
      <c r="AS92" s="155">
        <v>0.89743589743589813</v>
      </c>
      <c r="AT92" s="156">
        <v>7.6923076923076858E-2</v>
      </c>
      <c r="AU92" s="156">
        <v>2.5641025641025651E-2</v>
      </c>
      <c r="AV92" s="156">
        <v>0</v>
      </c>
      <c r="AW92" s="156">
        <v>0</v>
      </c>
      <c r="AX92" s="157">
        <v>39</v>
      </c>
      <c r="AY92" s="155">
        <v>0.79487179487179527</v>
      </c>
      <c r="AZ92" s="156">
        <v>0.20512820512820518</v>
      </c>
      <c r="BA92" s="156">
        <v>0</v>
      </c>
      <c r="BB92" s="156">
        <v>0</v>
      </c>
      <c r="BC92" s="156">
        <v>0</v>
      </c>
      <c r="BD92" s="157">
        <v>39</v>
      </c>
      <c r="BE92" s="155">
        <v>0.92307692307692368</v>
      </c>
      <c r="BF92" s="156">
        <v>7.6923076923076858E-2</v>
      </c>
      <c r="BG92" s="156">
        <v>0</v>
      </c>
      <c r="BH92" s="156">
        <v>0</v>
      </c>
      <c r="BI92" s="156">
        <v>0</v>
      </c>
      <c r="BJ92" s="157">
        <v>39</v>
      </c>
      <c r="BK92" s="155">
        <v>0.72727272727272674</v>
      </c>
      <c r="BL92" s="156">
        <v>0.24242424242424243</v>
      </c>
      <c r="BM92" s="156">
        <v>3.0303030303030304E-2</v>
      </c>
      <c r="BN92" s="156">
        <v>0</v>
      </c>
      <c r="BO92" s="156">
        <v>0</v>
      </c>
      <c r="BP92" s="157">
        <v>33</v>
      </c>
      <c r="BQ92" s="155">
        <v>0.88888888888888817</v>
      </c>
      <c r="BR92" s="156">
        <v>0.11111111111111098</v>
      </c>
      <c r="BS92" s="156">
        <v>0</v>
      </c>
      <c r="BT92" s="156">
        <v>0</v>
      </c>
      <c r="BU92" s="156">
        <v>0</v>
      </c>
      <c r="BV92" s="157">
        <v>36</v>
      </c>
      <c r="BW92" s="161">
        <v>0.84848484848484873</v>
      </c>
      <c r="BX92" s="156">
        <v>0.12121212121212122</v>
      </c>
      <c r="BY92" s="156">
        <v>0</v>
      </c>
      <c r="BZ92" s="156">
        <v>3.0303030303030304E-2</v>
      </c>
      <c r="CA92" s="156">
        <v>0</v>
      </c>
      <c r="CB92" s="157">
        <v>33</v>
      </c>
      <c r="CC92" s="155">
        <v>0.77777777777777812</v>
      </c>
      <c r="CD92" s="156">
        <v>0.11111111111111104</v>
      </c>
      <c r="CE92" s="156">
        <v>0.11111111111111104</v>
      </c>
      <c r="CF92" s="156">
        <v>0</v>
      </c>
      <c r="CG92" s="156">
        <v>0</v>
      </c>
      <c r="CH92" s="162">
        <v>9</v>
      </c>
      <c r="CI92" s="155">
        <v>0.50000000000000011</v>
      </c>
      <c r="CJ92" s="156">
        <v>0.16666666666666669</v>
      </c>
      <c r="CK92" s="156">
        <v>0.33333333333333337</v>
      </c>
      <c r="CL92" s="156">
        <v>0</v>
      </c>
      <c r="CM92" s="156">
        <v>0</v>
      </c>
      <c r="CN92" s="162">
        <v>6</v>
      </c>
      <c r="CO92" s="155">
        <v>0.64705882352941158</v>
      </c>
      <c r="CP92" s="156">
        <v>0.23529411764705879</v>
      </c>
      <c r="CQ92" s="156">
        <v>0.1176470588235294</v>
      </c>
      <c r="CR92" s="156">
        <v>0</v>
      </c>
      <c r="CS92" s="156">
        <v>0</v>
      </c>
      <c r="CT92" s="162">
        <v>17</v>
      </c>
      <c r="CU92" s="155">
        <v>0.52631578947368385</v>
      </c>
      <c r="CV92" s="156">
        <v>0.42105263157894746</v>
      </c>
      <c r="CW92" s="156">
        <v>5.2631578947368481E-2</v>
      </c>
      <c r="CX92" s="156">
        <v>0</v>
      </c>
      <c r="CY92" s="156">
        <v>0</v>
      </c>
      <c r="CZ92" s="162">
        <v>19</v>
      </c>
      <c r="DA92" s="155">
        <v>0.27272727272727265</v>
      </c>
      <c r="DB92" s="156">
        <v>0.72727272727272674</v>
      </c>
      <c r="DC92" s="156">
        <v>0</v>
      </c>
      <c r="DD92" s="156">
        <v>0</v>
      </c>
      <c r="DE92" s="156">
        <v>0</v>
      </c>
      <c r="DF92" s="162">
        <v>11</v>
      </c>
      <c r="DG92" s="155">
        <v>0.50000000000000011</v>
      </c>
      <c r="DH92" s="156">
        <v>0.41666666666666691</v>
      </c>
      <c r="DI92" s="156">
        <v>0</v>
      </c>
      <c r="DJ92" s="156">
        <v>0</v>
      </c>
      <c r="DK92" s="156">
        <v>8.3333333333333343E-2</v>
      </c>
      <c r="DL92" s="162">
        <v>12</v>
      </c>
      <c r="DM92" s="155">
        <v>0.66666666666666652</v>
      </c>
      <c r="DN92" s="156">
        <v>8.3333333333333343E-2</v>
      </c>
      <c r="DO92" s="156">
        <v>0</v>
      </c>
      <c r="DP92" s="156">
        <v>0</v>
      </c>
      <c r="DQ92" s="156">
        <v>0.25000000000000006</v>
      </c>
      <c r="DR92" s="162">
        <v>12</v>
      </c>
      <c r="DS92" s="161">
        <v>0.44444444444444414</v>
      </c>
      <c r="DT92" s="156">
        <v>0.22222222222222207</v>
      </c>
      <c r="DU92" s="156">
        <v>0.11111111111111104</v>
      </c>
      <c r="DV92" s="156">
        <v>0</v>
      </c>
      <c r="DW92" s="156">
        <v>0.22222222222222207</v>
      </c>
      <c r="DX92" s="162">
        <v>9</v>
      </c>
      <c r="DY92" s="155">
        <v>0.97435897435897445</v>
      </c>
      <c r="DZ92" s="156">
        <v>2.5641025641025651E-2</v>
      </c>
      <c r="EA92" s="156">
        <v>0</v>
      </c>
      <c r="EB92" s="156">
        <v>0</v>
      </c>
      <c r="EC92" s="156">
        <v>0</v>
      </c>
      <c r="ED92" s="162">
        <v>39</v>
      </c>
      <c r="EE92" s="155">
        <v>0.88235294117646967</v>
      </c>
      <c r="EF92" s="156">
        <v>0.1176470588235294</v>
      </c>
      <c r="EG92" s="156">
        <v>0</v>
      </c>
      <c r="EH92" s="156">
        <v>0</v>
      </c>
      <c r="EI92" s="156">
        <v>0</v>
      </c>
      <c r="EJ92" s="162">
        <v>17</v>
      </c>
      <c r="EK92" s="155">
        <v>0.80952380952380876</v>
      </c>
      <c r="EL92" s="156">
        <v>0.19047619047619041</v>
      </c>
      <c r="EM92" s="156">
        <v>0</v>
      </c>
      <c r="EN92" s="156">
        <v>0</v>
      </c>
      <c r="EO92" s="156">
        <v>0</v>
      </c>
      <c r="EP92" s="162">
        <v>21</v>
      </c>
      <c r="EQ92" s="155">
        <v>0.72413793103448243</v>
      </c>
      <c r="ER92" s="156">
        <v>0.27586206896551718</v>
      </c>
      <c r="ES92" s="156">
        <v>0</v>
      </c>
      <c r="ET92" s="156">
        <v>0</v>
      </c>
      <c r="EU92" s="156">
        <v>0</v>
      </c>
      <c r="EV92" s="162">
        <v>29</v>
      </c>
      <c r="EW92" s="155">
        <v>0.92592592592592593</v>
      </c>
      <c r="EX92" s="156">
        <v>7.4074074074074098E-2</v>
      </c>
      <c r="EY92" s="156">
        <v>0</v>
      </c>
      <c r="EZ92" s="156">
        <v>0</v>
      </c>
      <c r="FA92" s="156">
        <v>0</v>
      </c>
      <c r="FB92" s="162">
        <v>27</v>
      </c>
      <c r="FC92" s="155">
        <v>0.80000000000000016</v>
      </c>
      <c r="FD92" s="156">
        <v>0.20000000000000004</v>
      </c>
      <c r="FE92" s="156">
        <v>0</v>
      </c>
      <c r="FF92" s="156">
        <v>0</v>
      </c>
      <c r="FG92" s="156">
        <v>0</v>
      </c>
      <c r="FH92" s="162">
        <v>5</v>
      </c>
      <c r="FI92" s="161">
        <v>0.50000000000000011</v>
      </c>
      <c r="FJ92" s="156">
        <v>0.37500000000000006</v>
      </c>
      <c r="FK92" s="156">
        <v>0</v>
      </c>
      <c r="FL92" s="156">
        <v>0.12500000000000003</v>
      </c>
      <c r="FM92" s="156">
        <v>0</v>
      </c>
      <c r="FN92" s="162">
        <v>8</v>
      </c>
      <c r="FO92" s="155">
        <v>0</v>
      </c>
      <c r="FP92" s="156">
        <v>0</v>
      </c>
      <c r="FQ92" s="156">
        <v>0</v>
      </c>
      <c r="FR92" s="156">
        <v>0</v>
      </c>
      <c r="FS92" s="156">
        <v>0</v>
      </c>
      <c r="FT92" s="162">
        <v>0</v>
      </c>
      <c r="FU92" s="155">
        <v>0</v>
      </c>
      <c r="FV92" s="156">
        <v>0</v>
      </c>
      <c r="FW92" s="156">
        <v>0</v>
      </c>
      <c r="FX92" s="156">
        <v>0</v>
      </c>
      <c r="FY92" s="156">
        <v>0</v>
      </c>
      <c r="FZ92" s="162">
        <v>0</v>
      </c>
      <c r="GA92" s="161">
        <v>0</v>
      </c>
      <c r="GB92" s="156">
        <v>0</v>
      </c>
      <c r="GC92" s="156">
        <v>0</v>
      </c>
      <c r="GD92" s="156">
        <v>0</v>
      </c>
      <c r="GE92" s="156">
        <v>0</v>
      </c>
      <c r="GF92" s="162">
        <v>0</v>
      </c>
      <c r="GG92" s="158">
        <v>9.4999999999999982</v>
      </c>
      <c r="GH92" s="162">
        <v>36</v>
      </c>
      <c r="GI92" s="155">
        <v>0.30555555555555519</v>
      </c>
      <c r="GJ92" s="156">
        <v>0.22222222222222196</v>
      </c>
      <c r="GK92" s="156">
        <v>0.47222222222222177</v>
      </c>
      <c r="GL92" s="156">
        <v>0</v>
      </c>
      <c r="GM92" s="156">
        <v>0</v>
      </c>
      <c r="GN92" s="162">
        <v>36</v>
      </c>
      <c r="GO92" s="155">
        <v>0.52777777777777746</v>
      </c>
      <c r="GP92" s="156">
        <v>0.16666666666666669</v>
      </c>
      <c r="GQ92" s="156">
        <v>0.16666666666666669</v>
      </c>
      <c r="GR92" s="156">
        <v>0.22222222222222213</v>
      </c>
      <c r="GS92" s="162">
        <v>36</v>
      </c>
      <c r="GT92" s="163">
        <v>1.722222222222221</v>
      </c>
      <c r="GU92" s="162">
        <v>36</v>
      </c>
      <c r="GV92" s="155">
        <v>0.84615384615384659</v>
      </c>
      <c r="GW92" s="156">
        <v>0.15384615384615397</v>
      </c>
      <c r="GX92" s="162">
        <v>13</v>
      </c>
      <c r="GY92" s="155">
        <v>0.91666666666666619</v>
      </c>
      <c r="GZ92" s="156">
        <v>8.3333333333333343E-2</v>
      </c>
      <c r="HA92" s="162">
        <v>12</v>
      </c>
      <c r="HB92" s="155">
        <v>0.97058823529411731</v>
      </c>
      <c r="HC92" s="156">
        <v>2.9411764705882325E-2</v>
      </c>
      <c r="HD92" s="162">
        <v>34</v>
      </c>
      <c r="HE92" s="161">
        <v>0.89473684210526261</v>
      </c>
      <c r="HF92" s="156">
        <v>0.10526315789473696</v>
      </c>
      <c r="HG92" s="162">
        <v>19</v>
      </c>
      <c r="HH92" s="155">
        <v>0.54054054054054002</v>
      </c>
      <c r="HI92" s="156">
        <v>0.45945945945945882</v>
      </c>
      <c r="HJ92" s="162">
        <v>37</v>
      </c>
      <c r="HK92" s="155">
        <v>1</v>
      </c>
      <c r="HL92" s="156">
        <v>0</v>
      </c>
      <c r="HM92" s="162">
        <v>35</v>
      </c>
      <c r="HN92" s="161">
        <v>0.29999999999999993</v>
      </c>
      <c r="HO92" s="156">
        <v>0.26666666666666639</v>
      </c>
      <c r="HP92" s="156">
        <v>0.29999999999999993</v>
      </c>
      <c r="HQ92" s="156">
        <v>6.6666666666666596E-2</v>
      </c>
      <c r="HR92" s="156">
        <v>6.6666666666666596E-2</v>
      </c>
      <c r="HS92" s="160">
        <v>40.733333333333341</v>
      </c>
      <c r="HT92" s="164">
        <v>30</v>
      </c>
      <c r="HU92" s="165">
        <v>0</v>
      </c>
      <c r="HV92" s="166">
        <v>0</v>
      </c>
      <c r="HW92" s="166">
        <v>0.10714285714285714</v>
      </c>
      <c r="HX92" s="166">
        <v>0.21428571428571427</v>
      </c>
      <c r="HY92" s="166">
        <v>0.14285714285714285</v>
      </c>
      <c r="HZ92" s="166">
        <v>7.1428571428571425E-2</v>
      </c>
      <c r="IA92" s="166">
        <v>0.14285714285714285</v>
      </c>
      <c r="IB92" s="166">
        <v>7.1428571428571425E-2</v>
      </c>
      <c r="IC92" s="166">
        <v>0.10714285714285714</v>
      </c>
      <c r="ID92" s="166">
        <v>0.14285714285714285</v>
      </c>
      <c r="IE92" s="167">
        <v>28</v>
      </c>
      <c r="IF92" s="155">
        <v>0</v>
      </c>
      <c r="IG92" s="156">
        <v>0</v>
      </c>
      <c r="IH92" s="156">
        <v>0.66666666666666652</v>
      </c>
      <c r="II92" s="156">
        <v>0.33333333333333326</v>
      </c>
      <c r="IJ92" s="156">
        <v>0</v>
      </c>
      <c r="IK92" s="162">
        <v>3</v>
      </c>
      <c r="IL92" s="155">
        <v>0.13888888888888873</v>
      </c>
      <c r="IM92" s="156">
        <v>2.7777777777777745E-2</v>
      </c>
      <c r="IN92" s="156">
        <v>0</v>
      </c>
      <c r="IO92" s="156">
        <v>0.80555555555555625</v>
      </c>
      <c r="IP92" s="156">
        <v>2.7777777777777745E-2</v>
      </c>
      <c r="IQ92" s="162">
        <v>36</v>
      </c>
      <c r="IR92" s="155">
        <v>0.12121212121212122</v>
      </c>
      <c r="IS92" s="156">
        <v>0.8787878787878789</v>
      </c>
      <c r="IT92" s="162">
        <v>33</v>
      </c>
      <c r="IU92" s="161">
        <v>0</v>
      </c>
      <c r="IV92" s="156">
        <v>0</v>
      </c>
      <c r="IW92" s="156">
        <v>1</v>
      </c>
      <c r="IX92" s="162">
        <v>4</v>
      </c>
    </row>
    <row r="93" spans="1:258" ht="32.1" customHeight="1" x14ac:dyDescent="0.25">
      <c r="A93" s="110" t="s">
        <v>453</v>
      </c>
      <c r="B93" s="108" t="s">
        <v>586</v>
      </c>
      <c r="C93" s="108" t="s">
        <v>480</v>
      </c>
      <c r="D93" s="109">
        <v>756</v>
      </c>
      <c r="E93" s="139" t="s">
        <v>544</v>
      </c>
      <c r="F93" s="155">
        <v>0.18518518518518529</v>
      </c>
      <c r="G93" s="156">
        <v>0.81481481481481499</v>
      </c>
      <c r="H93" s="157">
        <v>27</v>
      </c>
      <c r="I93" s="155">
        <v>0.80952380952380953</v>
      </c>
      <c r="J93" s="156">
        <v>0.19047619047619041</v>
      </c>
      <c r="K93" s="157">
        <v>21</v>
      </c>
      <c r="L93" s="155">
        <v>0.58823529411764719</v>
      </c>
      <c r="M93" s="156">
        <v>0.41176470588235292</v>
      </c>
      <c r="N93" s="157">
        <v>17</v>
      </c>
      <c r="O93" s="155">
        <v>0.48148148148148134</v>
      </c>
      <c r="P93" s="156">
        <v>0.14814814814814806</v>
      </c>
      <c r="Q93" s="156">
        <v>3.7037037037037007E-2</v>
      </c>
      <c r="R93" s="156">
        <v>0</v>
      </c>
      <c r="S93" s="156">
        <v>3.7037037037037007E-2</v>
      </c>
      <c r="T93" s="156">
        <v>3.7037037037037007E-2</v>
      </c>
      <c r="U93" s="156">
        <v>0</v>
      </c>
      <c r="V93" s="156">
        <v>7.4074074074074028E-2</v>
      </c>
      <c r="W93" s="156">
        <v>0.48148148148148134</v>
      </c>
      <c r="X93" s="156">
        <v>0.14814814814814806</v>
      </c>
      <c r="Y93" s="157">
        <v>27</v>
      </c>
      <c r="Z93" s="155">
        <v>0.74074074074074059</v>
      </c>
      <c r="AA93" s="156">
        <v>0.81481481481481433</v>
      </c>
      <c r="AB93" s="156">
        <v>0.5185185185185186</v>
      </c>
      <c r="AC93" s="156">
        <v>0.48148148148148134</v>
      </c>
      <c r="AD93" s="156">
        <v>7.4074074074074028E-2</v>
      </c>
      <c r="AE93" s="156">
        <v>0.14814814814814806</v>
      </c>
      <c r="AF93" s="157">
        <v>27</v>
      </c>
      <c r="AG93" s="158">
        <v>9.7692307692307718</v>
      </c>
      <c r="AH93" s="159">
        <v>26</v>
      </c>
      <c r="AI93" s="160">
        <v>10</v>
      </c>
      <c r="AJ93" s="159">
        <v>26</v>
      </c>
      <c r="AK93" s="160">
        <v>9.9615384615384599</v>
      </c>
      <c r="AL93" s="157">
        <v>26</v>
      </c>
      <c r="AM93" s="155">
        <v>0.54166666666666685</v>
      </c>
      <c r="AN93" s="156">
        <v>0.29166666666666657</v>
      </c>
      <c r="AO93" s="156">
        <v>0</v>
      </c>
      <c r="AP93" s="156">
        <v>0.16666666666666671</v>
      </c>
      <c r="AQ93" s="156">
        <v>0</v>
      </c>
      <c r="AR93" s="157">
        <v>24</v>
      </c>
      <c r="AS93" s="155">
        <v>0.91666666666666674</v>
      </c>
      <c r="AT93" s="156">
        <v>8.3333333333333356E-2</v>
      </c>
      <c r="AU93" s="156">
        <v>0</v>
      </c>
      <c r="AV93" s="156">
        <v>0</v>
      </c>
      <c r="AW93" s="156">
        <v>0</v>
      </c>
      <c r="AX93" s="157">
        <v>24</v>
      </c>
      <c r="AY93" s="155">
        <v>0.8</v>
      </c>
      <c r="AZ93" s="156">
        <v>0.16</v>
      </c>
      <c r="BA93" s="156">
        <v>0.04</v>
      </c>
      <c r="BB93" s="156">
        <v>0</v>
      </c>
      <c r="BC93" s="156">
        <v>0</v>
      </c>
      <c r="BD93" s="157">
        <v>25</v>
      </c>
      <c r="BE93" s="155">
        <v>0.92</v>
      </c>
      <c r="BF93" s="156">
        <v>0.04</v>
      </c>
      <c r="BG93" s="156">
        <v>0.04</v>
      </c>
      <c r="BH93" s="156">
        <v>0</v>
      </c>
      <c r="BI93" s="156">
        <v>0</v>
      </c>
      <c r="BJ93" s="157">
        <v>25</v>
      </c>
      <c r="BK93" s="155">
        <v>0.92</v>
      </c>
      <c r="BL93" s="156">
        <v>0.08</v>
      </c>
      <c r="BM93" s="156">
        <v>0</v>
      </c>
      <c r="BN93" s="156">
        <v>0</v>
      </c>
      <c r="BO93" s="156">
        <v>0</v>
      </c>
      <c r="BP93" s="157">
        <v>25</v>
      </c>
      <c r="BQ93" s="155">
        <v>1</v>
      </c>
      <c r="BR93" s="156">
        <v>0</v>
      </c>
      <c r="BS93" s="156">
        <v>0</v>
      </c>
      <c r="BT93" s="156">
        <v>0</v>
      </c>
      <c r="BU93" s="156">
        <v>0</v>
      </c>
      <c r="BV93" s="157">
        <v>25</v>
      </c>
      <c r="BW93" s="161">
        <v>0.77272727272727271</v>
      </c>
      <c r="BX93" s="156">
        <v>0.1363636363636363</v>
      </c>
      <c r="BY93" s="156">
        <v>4.5454545454545456E-2</v>
      </c>
      <c r="BZ93" s="156">
        <v>4.5454545454545456E-2</v>
      </c>
      <c r="CA93" s="156">
        <v>0</v>
      </c>
      <c r="CB93" s="157">
        <v>22</v>
      </c>
      <c r="CC93" s="155">
        <v>0.75</v>
      </c>
      <c r="CD93" s="156">
        <v>0.25</v>
      </c>
      <c r="CE93" s="156">
        <v>0</v>
      </c>
      <c r="CF93" s="156">
        <v>0</v>
      </c>
      <c r="CG93" s="156">
        <v>0</v>
      </c>
      <c r="CH93" s="162">
        <v>8</v>
      </c>
      <c r="CI93" s="155">
        <v>0.33333333333333343</v>
      </c>
      <c r="CJ93" s="156">
        <v>0.66666666666666685</v>
      </c>
      <c r="CK93" s="156">
        <v>0</v>
      </c>
      <c r="CL93" s="156">
        <v>0</v>
      </c>
      <c r="CM93" s="156">
        <v>0</v>
      </c>
      <c r="CN93" s="162">
        <v>6</v>
      </c>
      <c r="CO93" s="155">
        <v>0.26666666666666661</v>
      </c>
      <c r="CP93" s="156">
        <v>0.66666666666666685</v>
      </c>
      <c r="CQ93" s="156">
        <v>6.6666666666666652E-2</v>
      </c>
      <c r="CR93" s="156">
        <v>0</v>
      </c>
      <c r="CS93" s="156">
        <v>0</v>
      </c>
      <c r="CT93" s="162">
        <v>15</v>
      </c>
      <c r="CU93" s="155">
        <v>0.26666666666666661</v>
      </c>
      <c r="CV93" s="156">
        <v>0.73333333333333295</v>
      </c>
      <c r="CW93" s="156">
        <v>0</v>
      </c>
      <c r="CX93" s="156">
        <v>0</v>
      </c>
      <c r="CY93" s="156">
        <v>0</v>
      </c>
      <c r="CZ93" s="162">
        <v>15</v>
      </c>
      <c r="DA93" s="155">
        <v>0.28571428571428564</v>
      </c>
      <c r="DB93" s="156">
        <v>0.71428571428571386</v>
      </c>
      <c r="DC93" s="156">
        <v>0</v>
      </c>
      <c r="DD93" s="156">
        <v>0</v>
      </c>
      <c r="DE93" s="156">
        <v>0</v>
      </c>
      <c r="DF93" s="162">
        <v>7</v>
      </c>
      <c r="DG93" s="155">
        <v>0.2</v>
      </c>
      <c r="DH93" s="156">
        <v>0.8</v>
      </c>
      <c r="DI93" s="156">
        <v>0</v>
      </c>
      <c r="DJ93" s="156">
        <v>0</v>
      </c>
      <c r="DK93" s="156">
        <v>0</v>
      </c>
      <c r="DL93" s="162">
        <v>5</v>
      </c>
      <c r="DM93" s="155">
        <v>0.5</v>
      </c>
      <c r="DN93" s="156">
        <v>0.5</v>
      </c>
      <c r="DO93" s="156">
        <v>0</v>
      </c>
      <c r="DP93" s="156">
        <v>0</v>
      </c>
      <c r="DQ93" s="156">
        <v>0</v>
      </c>
      <c r="DR93" s="162">
        <v>8</v>
      </c>
      <c r="DS93" s="161">
        <v>0.77777777777777812</v>
      </c>
      <c r="DT93" s="156">
        <v>0.22222222222222218</v>
      </c>
      <c r="DU93" s="156">
        <v>0</v>
      </c>
      <c r="DV93" s="156">
        <v>0</v>
      </c>
      <c r="DW93" s="156">
        <v>0</v>
      </c>
      <c r="DX93" s="162">
        <v>9</v>
      </c>
      <c r="DY93" s="155">
        <v>0.875</v>
      </c>
      <c r="DZ93" s="156">
        <v>0.125</v>
      </c>
      <c r="EA93" s="156">
        <v>0</v>
      </c>
      <c r="EB93" s="156">
        <v>0</v>
      </c>
      <c r="EC93" s="156">
        <v>0</v>
      </c>
      <c r="ED93" s="162">
        <v>24</v>
      </c>
      <c r="EE93" s="155">
        <v>0.71428571428571386</v>
      </c>
      <c r="EF93" s="156">
        <v>0.28571428571428564</v>
      </c>
      <c r="EG93" s="156">
        <v>0</v>
      </c>
      <c r="EH93" s="156">
        <v>0</v>
      </c>
      <c r="EI93" s="156">
        <v>0</v>
      </c>
      <c r="EJ93" s="162">
        <v>7</v>
      </c>
      <c r="EK93" s="155">
        <v>0.75</v>
      </c>
      <c r="EL93" s="156">
        <v>0.25</v>
      </c>
      <c r="EM93" s="156">
        <v>0</v>
      </c>
      <c r="EN93" s="156">
        <v>0</v>
      </c>
      <c r="EO93" s="156">
        <v>0</v>
      </c>
      <c r="EP93" s="162">
        <v>8</v>
      </c>
      <c r="EQ93" s="155">
        <v>0.82352941176470562</v>
      </c>
      <c r="ER93" s="156">
        <v>0.17647058823529405</v>
      </c>
      <c r="ES93" s="156">
        <v>0</v>
      </c>
      <c r="ET93" s="156">
        <v>0</v>
      </c>
      <c r="EU93" s="156">
        <v>0</v>
      </c>
      <c r="EV93" s="162">
        <v>17</v>
      </c>
      <c r="EW93" s="155">
        <v>0.85714285714285721</v>
      </c>
      <c r="EX93" s="156">
        <v>0.14285714285714282</v>
      </c>
      <c r="EY93" s="156">
        <v>0</v>
      </c>
      <c r="EZ93" s="156">
        <v>0</v>
      </c>
      <c r="FA93" s="156">
        <v>0</v>
      </c>
      <c r="FB93" s="162">
        <v>14</v>
      </c>
      <c r="FC93" s="155">
        <v>0.6</v>
      </c>
      <c r="FD93" s="156">
        <v>0.4</v>
      </c>
      <c r="FE93" s="156">
        <v>0</v>
      </c>
      <c r="FF93" s="156">
        <v>0</v>
      </c>
      <c r="FG93" s="156">
        <v>0</v>
      </c>
      <c r="FH93" s="162">
        <v>5</v>
      </c>
      <c r="FI93" s="161">
        <v>0.6</v>
      </c>
      <c r="FJ93" s="156">
        <v>0</v>
      </c>
      <c r="FK93" s="156">
        <v>0.2</v>
      </c>
      <c r="FL93" s="156">
        <v>0</v>
      </c>
      <c r="FM93" s="156">
        <v>0.2</v>
      </c>
      <c r="FN93" s="162">
        <v>5</v>
      </c>
      <c r="FO93" s="155">
        <v>0</v>
      </c>
      <c r="FP93" s="156">
        <v>0</v>
      </c>
      <c r="FQ93" s="156">
        <v>0</v>
      </c>
      <c r="FR93" s="156">
        <v>0</v>
      </c>
      <c r="FS93" s="156">
        <v>0</v>
      </c>
      <c r="FT93" s="162">
        <v>0</v>
      </c>
      <c r="FU93" s="155">
        <v>0</v>
      </c>
      <c r="FV93" s="156">
        <v>0</v>
      </c>
      <c r="FW93" s="156">
        <v>0</v>
      </c>
      <c r="FX93" s="156">
        <v>0</v>
      </c>
      <c r="FY93" s="156">
        <v>0</v>
      </c>
      <c r="FZ93" s="162">
        <v>0</v>
      </c>
      <c r="GA93" s="161">
        <v>0</v>
      </c>
      <c r="GB93" s="156">
        <v>0</v>
      </c>
      <c r="GC93" s="156">
        <v>0</v>
      </c>
      <c r="GD93" s="156">
        <v>0</v>
      </c>
      <c r="GE93" s="156">
        <v>0</v>
      </c>
      <c r="GF93" s="162">
        <v>0</v>
      </c>
      <c r="GG93" s="158">
        <v>9.6521739130434749</v>
      </c>
      <c r="GH93" s="162">
        <v>23</v>
      </c>
      <c r="GI93" s="155">
        <v>0.14814814814814822</v>
      </c>
      <c r="GJ93" s="156">
        <v>0.77777777777777812</v>
      </c>
      <c r="GK93" s="156">
        <v>3.7037037037037056E-2</v>
      </c>
      <c r="GL93" s="156">
        <v>0</v>
      </c>
      <c r="GM93" s="156">
        <v>3.7037037037037056E-2</v>
      </c>
      <c r="GN93" s="162">
        <v>27</v>
      </c>
      <c r="GO93" s="155">
        <v>0.62962962962962965</v>
      </c>
      <c r="GP93" s="156">
        <v>0.29629629629629611</v>
      </c>
      <c r="GQ93" s="156">
        <v>0.18518518518518515</v>
      </c>
      <c r="GR93" s="156">
        <v>3.7037037037037007E-2</v>
      </c>
      <c r="GS93" s="162">
        <v>27</v>
      </c>
      <c r="GT93" s="163">
        <v>3.4615384615384621</v>
      </c>
      <c r="GU93" s="162">
        <v>26</v>
      </c>
      <c r="GV93" s="155">
        <v>0.83333333333333315</v>
      </c>
      <c r="GW93" s="156">
        <v>0.16666666666666671</v>
      </c>
      <c r="GX93" s="162">
        <v>6</v>
      </c>
      <c r="GY93" s="155">
        <v>1</v>
      </c>
      <c r="GZ93" s="156">
        <v>0</v>
      </c>
      <c r="HA93" s="162">
        <v>6</v>
      </c>
      <c r="HB93" s="155">
        <v>0.96296296296296247</v>
      </c>
      <c r="HC93" s="156">
        <v>3.7037037037037056E-2</v>
      </c>
      <c r="HD93" s="162">
        <v>27</v>
      </c>
      <c r="HE93" s="161">
        <v>0.91666666666666674</v>
      </c>
      <c r="HF93" s="156">
        <v>8.3333333333333356E-2</v>
      </c>
      <c r="HG93" s="162">
        <v>12</v>
      </c>
      <c r="HH93" s="155">
        <v>0.125</v>
      </c>
      <c r="HI93" s="156">
        <v>0.875</v>
      </c>
      <c r="HJ93" s="162">
        <v>24</v>
      </c>
      <c r="HK93" s="155">
        <v>1</v>
      </c>
      <c r="HL93" s="156">
        <v>0</v>
      </c>
      <c r="HM93" s="162">
        <v>20</v>
      </c>
      <c r="HN93" s="161">
        <v>0</v>
      </c>
      <c r="HO93" s="156">
        <v>0.22727272727272735</v>
      </c>
      <c r="HP93" s="156">
        <v>0.18181818181818182</v>
      </c>
      <c r="HQ93" s="156">
        <v>0.2727272727272726</v>
      </c>
      <c r="HR93" s="156">
        <v>0.3181818181818184</v>
      </c>
      <c r="HS93" s="160">
        <v>63</v>
      </c>
      <c r="HT93" s="164">
        <v>22</v>
      </c>
      <c r="HU93" s="168" t="s">
        <v>608</v>
      </c>
      <c r="HV93" s="169" t="s">
        <v>608</v>
      </c>
      <c r="HW93" s="169" t="s">
        <v>608</v>
      </c>
      <c r="HX93" s="169" t="s">
        <v>608</v>
      </c>
      <c r="HY93" s="169" t="s">
        <v>608</v>
      </c>
      <c r="HZ93" s="169" t="s">
        <v>608</v>
      </c>
      <c r="IA93" s="169" t="s">
        <v>608</v>
      </c>
      <c r="IB93" s="169" t="s">
        <v>608</v>
      </c>
      <c r="IC93" s="169" t="s">
        <v>608</v>
      </c>
      <c r="ID93" s="169" t="s">
        <v>608</v>
      </c>
      <c r="IE93" s="170" t="s">
        <v>608</v>
      </c>
      <c r="IF93" s="155">
        <v>0</v>
      </c>
      <c r="IG93" s="156">
        <v>0</v>
      </c>
      <c r="IH93" s="156">
        <v>1</v>
      </c>
      <c r="II93" s="156">
        <v>0</v>
      </c>
      <c r="IJ93" s="156">
        <v>0</v>
      </c>
      <c r="IK93" s="162">
        <v>1</v>
      </c>
      <c r="IL93" s="155">
        <v>0</v>
      </c>
      <c r="IM93" s="156">
        <v>0</v>
      </c>
      <c r="IN93" s="156">
        <v>0</v>
      </c>
      <c r="IO93" s="156">
        <v>1</v>
      </c>
      <c r="IP93" s="156">
        <v>0</v>
      </c>
      <c r="IQ93" s="162">
        <v>23</v>
      </c>
      <c r="IR93" s="155">
        <v>0.13043478260869565</v>
      </c>
      <c r="IS93" s="156">
        <v>0.86956521739130477</v>
      </c>
      <c r="IT93" s="162">
        <v>23</v>
      </c>
      <c r="IU93" s="161">
        <v>0</v>
      </c>
      <c r="IV93" s="156">
        <v>0</v>
      </c>
      <c r="IW93" s="156">
        <v>1</v>
      </c>
      <c r="IX93" s="162">
        <v>3</v>
      </c>
    </row>
    <row r="94" spans="1:258" ht="32.1" customHeight="1" x14ac:dyDescent="0.25">
      <c r="A94" s="110" t="s">
        <v>453</v>
      </c>
      <c r="B94" s="108" t="s">
        <v>580</v>
      </c>
      <c r="C94" s="108" t="s">
        <v>454</v>
      </c>
      <c r="D94" s="109">
        <v>757</v>
      </c>
      <c r="E94" s="139" t="s">
        <v>545</v>
      </c>
      <c r="F94" s="155">
        <v>0.15384615384615369</v>
      </c>
      <c r="G94" s="156">
        <v>0.84615384615384726</v>
      </c>
      <c r="H94" s="157">
        <v>39</v>
      </c>
      <c r="I94" s="155">
        <v>0.87878787878787945</v>
      </c>
      <c r="J94" s="156">
        <v>0.12121212121212123</v>
      </c>
      <c r="K94" s="157">
        <v>33</v>
      </c>
      <c r="L94" s="155">
        <v>0.82758620689655171</v>
      </c>
      <c r="M94" s="156">
        <v>0.17241379310344823</v>
      </c>
      <c r="N94" s="157">
        <v>29</v>
      </c>
      <c r="O94" s="155">
        <v>7.5000000000000039E-2</v>
      </c>
      <c r="P94" s="156">
        <v>0.17499999999999988</v>
      </c>
      <c r="Q94" s="156">
        <v>0.20000000000000012</v>
      </c>
      <c r="R94" s="156">
        <v>5.0000000000000031E-2</v>
      </c>
      <c r="S94" s="156">
        <v>0.57500000000000029</v>
      </c>
      <c r="T94" s="156">
        <v>2.5000000000000012E-2</v>
      </c>
      <c r="U94" s="156">
        <v>0</v>
      </c>
      <c r="V94" s="156">
        <v>7.5000000000000039E-2</v>
      </c>
      <c r="W94" s="156">
        <v>0.12500000000000003</v>
      </c>
      <c r="X94" s="156">
        <v>0.32499999999999984</v>
      </c>
      <c r="Y94" s="157">
        <v>40</v>
      </c>
      <c r="Z94" s="155">
        <v>0.38709677419354815</v>
      </c>
      <c r="AA94" s="156">
        <v>0.41935483870967749</v>
      </c>
      <c r="AB94" s="156">
        <v>0.22580645161290316</v>
      </c>
      <c r="AC94" s="156">
        <v>6.4516129032258021E-2</v>
      </c>
      <c r="AD94" s="156">
        <v>3.2258064516129011E-2</v>
      </c>
      <c r="AE94" s="156">
        <v>0.48387096774193566</v>
      </c>
      <c r="AF94" s="157">
        <v>31</v>
      </c>
      <c r="AG94" s="158">
        <v>9.8500000000000085</v>
      </c>
      <c r="AH94" s="159">
        <v>40</v>
      </c>
      <c r="AI94" s="160">
        <v>9.9250000000000096</v>
      </c>
      <c r="AJ94" s="159">
        <v>40</v>
      </c>
      <c r="AK94" s="160">
        <v>9.8461538461538538</v>
      </c>
      <c r="AL94" s="157">
        <v>39</v>
      </c>
      <c r="AM94" s="155">
        <v>0.4324324324324329</v>
      </c>
      <c r="AN94" s="156">
        <v>0.2972972972972972</v>
      </c>
      <c r="AO94" s="156">
        <v>0.1081081081081082</v>
      </c>
      <c r="AP94" s="156">
        <v>0.13513513513513506</v>
      </c>
      <c r="AQ94" s="156">
        <v>2.7027027027027049E-2</v>
      </c>
      <c r="AR94" s="157">
        <v>37</v>
      </c>
      <c r="AS94" s="155">
        <v>0.86842105263157932</v>
      </c>
      <c r="AT94" s="156">
        <v>0.10526315789473696</v>
      </c>
      <c r="AU94" s="156">
        <v>2.631578947368424E-2</v>
      </c>
      <c r="AV94" s="156">
        <v>0</v>
      </c>
      <c r="AW94" s="156">
        <v>0</v>
      </c>
      <c r="AX94" s="157">
        <v>38</v>
      </c>
      <c r="AY94" s="155">
        <v>0.67500000000000016</v>
      </c>
      <c r="AZ94" s="156">
        <v>0.20000000000000004</v>
      </c>
      <c r="BA94" s="156">
        <v>7.5000000000000011E-2</v>
      </c>
      <c r="BB94" s="156">
        <v>5.000000000000001E-2</v>
      </c>
      <c r="BC94" s="156">
        <v>0</v>
      </c>
      <c r="BD94" s="157">
        <v>40</v>
      </c>
      <c r="BE94" s="155">
        <v>0.80000000000000016</v>
      </c>
      <c r="BF94" s="156">
        <v>0.15000000000000002</v>
      </c>
      <c r="BG94" s="156">
        <v>2.5000000000000005E-2</v>
      </c>
      <c r="BH94" s="156">
        <v>2.5000000000000005E-2</v>
      </c>
      <c r="BI94" s="156">
        <v>0</v>
      </c>
      <c r="BJ94" s="157">
        <v>40</v>
      </c>
      <c r="BK94" s="155">
        <v>0.15624999999999997</v>
      </c>
      <c r="BL94" s="156">
        <v>0.15624999999999997</v>
      </c>
      <c r="BM94" s="156">
        <v>0.12499999999999999</v>
      </c>
      <c r="BN94" s="156">
        <v>0.31249999999999994</v>
      </c>
      <c r="BO94" s="156">
        <v>0.24999999999999997</v>
      </c>
      <c r="BP94" s="157">
        <v>32</v>
      </c>
      <c r="BQ94" s="155">
        <v>0.95000000000000018</v>
      </c>
      <c r="BR94" s="156">
        <v>2.5000000000000005E-2</v>
      </c>
      <c r="BS94" s="156">
        <v>2.5000000000000005E-2</v>
      </c>
      <c r="BT94" s="156">
        <v>0</v>
      </c>
      <c r="BU94" s="156">
        <v>0</v>
      </c>
      <c r="BV94" s="157">
        <v>40</v>
      </c>
      <c r="BW94" s="161">
        <v>0.63636363636363558</v>
      </c>
      <c r="BX94" s="156">
        <v>0.2727272727272726</v>
      </c>
      <c r="BY94" s="156">
        <v>9.0909090909090828E-2</v>
      </c>
      <c r="BZ94" s="156">
        <v>0</v>
      </c>
      <c r="CA94" s="156">
        <v>0</v>
      </c>
      <c r="CB94" s="157">
        <v>22</v>
      </c>
      <c r="CC94" s="155">
        <v>0.74999999999999989</v>
      </c>
      <c r="CD94" s="156">
        <v>0.18749999999999997</v>
      </c>
      <c r="CE94" s="156">
        <v>6.2499999999999993E-2</v>
      </c>
      <c r="CF94" s="156">
        <v>0</v>
      </c>
      <c r="CG94" s="156">
        <v>0</v>
      </c>
      <c r="CH94" s="162">
        <v>16</v>
      </c>
      <c r="CI94" s="155">
        <v>0.35714285714285715</v>
      </c>
      <c r="CJ94" s="156">
        <v>0.49999999999999994</v>
      </c>
      <c r="CK94" s="156">
        <v>0</v>
      </c>
      <c r="CL94" s="156">
        <v>7.1428571428571438E-2</v>
      </c>
      <c r="CM94" s="156">
        <v>7.1428571428571438E-2</v>
      </c>
      <c r="CN94" s="162">
        <v>14</v>
      </c>
      <c r="CO94" s="155">
        <v>0.29999999999999993</v>
      </c>
      <c r="CP94" s="156">
        <v>0.49999999999999994</v>
      </c>
      <c r="CQ94" s="156">
        <v>0.19999999999999996</v>
      </c>
      <c r="CR94" s="156">
        <v>0</v>
      </c>
      <c r="CS94" s="156">
        <v>0</v>
      </c>
      <c r="CT94" s="162">
        <v>10</v>
      </c>
      <c r="CU94" s="155">
        <v>0.29999999999999993</v>
      </c>
      <c r="CV94" s="156">
        <v>0.49999999999999994</v>
      </c>
      <c r="CW94" s="156">
        <v>0.19999999999999996</v>
      </c>
      <c r="CX94" s="156">
        <v>0</v>
      </c>
      <c r="CY94" s="156">
        <v>0</v>
      </c>
      <c r="CZ94" s="162">
        <v>10</v>
      </c>
      <c r="DA94" s="155">
        <v>0.57142857142857151</v>
      </c>
      <c r="DB94" s="156">
        <v>0.42857142857142883</v>
      </c>
      <c r="DC94" s="156">
        <v>0</v>
      </c>
      <c r="DD94" s="156">
        <v>0</v>
      </c>
      <c r="DE94" s="156">
        <v>0</v>
      </c>
      <c r="DF94" s="162">
        <v>7</v>
      </c>
      <c r="DG94" s="155">
        <v>0.66666666666666652</v>
      </c>
      <c r="DH94" s="156">
        <v>0.33333333333333326</v>
      </c>
      <c r="DI94" s="156">
        <v>0</v>
      </c>
      <c r="DJ94" s="156">
        <v>0</v>
      </c>
      <c r="DK94" s="156">
        <v>0</v>
      </c>
      <c r="DL94" s="162">
        <v>9</v>
      </c>
      <c r="DM94" s="155">
        <v>0.66666666666666652</v>
      </c>
      <c r="DN94" s="156">
        <v>0.24999999999999997</v>
      </c>
      <c r="DO94" s="156">
        <v>8.3333333333333315E-2</v>
      </c>
      <c r="DP94" s="156">
        <v>0</v>
      </c>
      <c r="DQ94" s="156">
        <v>0</v>
      </c>
      <c r="DR94" s="162">
        <v>12</v>
      </c>
      <c r="DS94" s="161">
        <v>0.7142857142857143</v>
      </c>
      <c r="DT94" s="156">
        <v>0.14285714285714288</v>
      </c>
      <c r="DU94" s="156">
        <v>0</v>
      </c>
      <c r="DV94" s="156">
        <v>0.14285714285714288</v>
      </c>
      <c r="DW94" s="156">
        <v>0</v>
      </c>
      <c r="DX94" s="162">
        <v>7</v>
      </c>
      <c r="DY94" s="155">
        <v>0.63888888888888962</v>
      </c>
      <c r="DZ94" s="156">
        <v>0.36111111111111099</v>
      </c>
      <c r="EA94" s="156">
        <v>0</v>
      </c>
      <c r="EB94" s="156">
        <v>0</v>
      </c>
      <c r="EC94" s="156">
        <v>0</v>
      </c>
      <c r="ED94" s="162">
        <v>36</v>
      </c>
      <c r="EE94" s="155">
        <v>0.46153846153846173</v>
      </c>
      <c r="EF94" s="156">
        <v>0.53846153846153821</v>
      </c>
      <c r="EG94" s="156">
        <v>0</v>
      </c>
      <c r="EH94" s="156">
        <v>0</v>
      </c>
      <c r="EI94" s="156">
        <v>0</v>
      </c>
      <c r="EJ94" s="162">
        <v>13</v>
      </c>
      <c r="EK94" s="155">
        <v>0.61904761904761907</v>
      </c>
      <c r="EL94" s="156">
        <v>0.38095238095238082</v>
      </c>
      <c r="EM94" s="156">
        <v>0</v>
      </c>
      <c r="EN94" s="156">
        <v>0</v>
      </c>
      <c r="EO94" s="156">
        <v>0</v>
      </c>
      <c r="EP94" s="162">
        <v>21</v>
      </c>
      <c r="EQ94" s="155">
        <v>0.80952380952380876</v>
      </c>
      <c r="ER94" s="156">
        <v>0.19047619047619041</v>
      </c>
      <c r="ES94" s="156">
        <v>0</v>
      </c>
      <c r="ET94" s="156">
        <v>0</v>
      </c>
      <c r="EU94" s="156">
        <v>0</v>
      </c>
      <c r="EV94" s="162">
        <v>21</v>
      </c>
      <c r="EW94" s="155">
        <v>0.94999999999999984</v>
      </c>
      <c r="EX94" s="156">
        <v>0</v>
      </c>
      <c r="EY94" s="156">
        <v>4.9999999999999989E-2</v>
      </c>
      <c r="EZ94" s="156">
        <v>0</v>
      </c>
      <c r="FA94" s="156">
        <v>0</v>
      </c>
      <c r="FB94" s="162">
        <v>20</v>
      </c>
      <c r="FC94" s="155">
        <v>0.72727272727272674</v>
      </c>
      <c r="FD94" s="156">
        <v>0.2727272727272726</v>
      </c>
      <c r="FE94" s="156">
        <v>0</v>
      </c>
      <c r="FF94" s="156">
        <v>0</v>
      </c>
      <c r="FG94" s="156">
        <v>0</v>
      </c>
      <c r="FH94" s="162">
        <v>11</v>
      </c>
      <c r="FI94" s="161">
        <v>0.78571428571428481</v>
      </c>
      <c r="FJ94" s="156">
        <v>0.14285714285714288</v>
      </c>
      <c r="FK94" s="156">
        <v>7.1428571428571438E-2</v>
      </c>
      <c r="FL94" s="156">
        <v>0</v>
      </c>
      <c r="FM94" s="156">
        <v>0</v>
      </c>
      <c r="FN94" s="162">
        <v>14</v>
      </c>
      <c r="FO94" s="155">
        <v>0</v>
      </c>
      <c r="FP94" s="156">
        <v>0</v>
      </c>
      <c r="FQ94" s="156">
        <v>0</v>
      </c>
      <c r="FR94" s="156">
        <v>0</v>
      </c>
      <c r="FS94" s="156">
        <v>0</v>
      </c>
      <c r="FT94" s="162">
        <v>0</v>
      </c>
      <c r="FU94" s="155">
        <v>0</v>
      </c>
      <c r="FV94" s="156">
        <v>0</v>
      </c>
      <c r="FW94" s="156">
        <v>0</v>
      </c>
      <c r="FX94" s="156">
        <v>0</v>
      </c>
      <c r="FY94" s="156">
        <v>0</v>
      </c>
      <c r="FZ94" s="162">
        <v>0</v>
      </c>
      <c r="GA94" s="161">
        <v>0</v>
      </c>
      <c r="GB94" s="156">
        <v>0</v>
      </c>
      <c r="GC94" s="156">
        <v>0</v>
      </c>
      <c r="GD94" s="156">
        <v>0</v>
      </c>
      <c r="GE94" s="156">
        <v>0</v>
      </c>
      <c r="GF94" s="162">
        <v>0</v>
      </c>
      <c r="GG94" s="158">
        <v>9.2058823529411651</v>
      </c>
      <c r="GH94" s="162">
        <v>34</v>
      </c>
      <c r="GI94" s="155">
        <v>0.55000000000000016</v>
      </c>
      <c r="GJ94" s="156">
        <v>0.10000000000000002</v>
      </c>
      <c r="GK94" s="156">
        <v>0.35000000000000009</v>
      </c>
      <c r="GL94" s="156">
        <v>0</v>
      </c>
      <c r="GM94" s="156">
        <v>0</v>
      </c>
      <c r="GN94" s="162">
        <v>40</v>
      </c>
      <c r="GO94" s="155">
        <v>0.31578947368421062</v>
      </c>
      <c r="GP94" s="156">
        <v>0.50000000000000011</v>
      </c>
      <c r="GQ94" s="156">
        <v>7.8947368421052641E-2</v>
      </c>
      <c r="GR94" s="156">
        <v>0.21052631578947362</v>
      </c>
      <c r="GS94" s="162">
        <v>38</v>
      </c>
      <c r="GT94" s="163">
        <v>2.7750000000000017</v>
      </c>
      <c r="GU94" s="162">
        <v>40</v>
      </c>
      <c r="GV94" s="155">
        <v>0.9473684210526323</v>
      </c>
      <c r="GW94" s="156">
        <v>5.2631578947368425E-2</v>
      </c>
      <c r="GX94" s="162">
        <v>19</v>
      </c>
      <c r="GY94" s="155">
        <v>1</v>
      </c>
      <c r="GZ94" s="156">
        <v>0</v>
      </c>
      <c r="HA94" s="162">
        <v>34</v>
      </c>
      <c r="HB94" s="155">
        <v>1</v>
      </c>
      <c r="HC94" s="156">
        <v>0</v>
      </c>
      <c r="HD94" s="162">
        <v>23</v>
      </c>
      <c r="HE94" s="161">
        <v>1</v>
      </c>
      <c r="HF94" s="156">
        <v>0</v>
      </c>
      <c r="HG94" s="162">
        <v>23</v>
      </c>
      <c r="HH94" s="155">
        <v>0.5641025641025641</v>
      </c>
      <c r="HI94" s="156">
        <v>0.43589743589743635</v>
      </c>
      <c r="HJ94" s="162">
        <v>39</v>
      </c>
      <c r="HK94" s="155">
        <v>1</v>
      </c>
      <c r="HL94" s="156">
        <v>0</v>
      </c>
      <c r="HM94" s="162">
        <v>36</v>
      </c>
      <c r="HN94" s="161">
        <v>2.631578947368424E-2</v>
      </c>
      <c r="HO94" s="156">
        <v>2.631578947368424E-2</v>
      </c>
      <c r="HP94" s="156">
        <v>0.26315789473684192</v>
      </c>
      <c r="HQ94" s="156">
        <v>0.36842105263157909</v>
      </c>
      <c r="HR94" s="156">
        <v>0.31578947368421045</v>
      </c>
      <c r="HS94" s="160">
        <v>67.605263157894711</v>
      </c>
      <c r="HT94" s="164">
        <v>38</v>
      </c>
      <c r="HU94" s="165">
        <v>3.0303030303030304E-2</v>
      </c>
      <c r="HV94" s="166">
        <v>0</v>
      </c>
      <c r="HW94" s="166">
        <v>0.21212121212121213</v>
      </c>
      <c r="HX94" s="166">
        <v>0.30303030303030304</v>
      </c>
      <c r="HY94" s="166">
        <v>0.24242424242424243</v>
      </c>
      <c r="HZ94" s="166">
        <v>3.0303030303030304E-2</v>
      </c>
      <c r="IA94" s="166">
        <v>0.12121212121212122</v>
      </c>
      <c r="IB94" s="166">
        <v>0</v>
      </c>
      <c r="IC94" s="166">
        <v>3.0303030303030304E-2</v>
      </c>
      <c r="ID94" s="166">
        <v>3.0303030303030304E-2</v>
      </c>
      <c r="IE94" s="167">
        <v>33</v>
      </c>
      <c r="IF94" s="155">
        <v>0</v>
      </c>
      <c r="IG94" s="156">
        <v>0</v>
      </c>
      <c r="IH94" s="156">
        <v>1</v>
      </c>
      <c r="II94" s="156">
        <v>0</v>
      </c>
      <c r="IJ94" s="156">
        <v>0</v>
      </c>
      <c r="IK94" s="162">
        <v>1</v>
      </c>
      <c r="IL94" s="155">
        <v>0</v>
      </c>
      <c r="IM94" s="156">
        <v>0</v>
      </c>
      <c r="IN94" s="156">
        <v>2.7777777777777755E-2</v>
      </c>
      <c r="IO94" s="156">
        <v>0.97222222222222188</v>
      </c>
      <c r="IP94" s="156">
        <v>0</v>
      </c>
      <c r="IQ94" s="162">
        <v>36</v>
      </c>
      <c r="IR94" s="155">
        <v>8.1081081081081086E-2</v>
      </c>
      <c r="IS94" s="156">
        <v>0.91891891891891975</v>
      </c>
      <c r="IT94" s="162">
        <v>37</v>
      </c>
      <c r="IU94" s="161">
        <v>0</v>
      </c>
      <c r="IV94" s="156">
        <v>0</v>
      </c>
      <c r="IW94" s="156">
        <v>1.0000000000000002</v>
      </c>
      <c r="IX94" s="162">
        <v>3</v>
      </c>
    </row>
    <row r="95" spans="1:258" ht="32.1" customHeight="1" x14ac:dyDescent="0.25">
      <c r="A95" s="110" t="s">
        <v>453</v>
      </c>
      <c r="B95" s="108" t="s">
        <v>588</v>
      </c>
      <c r="C95" s="108" t="s">
        <v>480</v>
      </c>
      <c r="D95" s="109">
        <v>813</v>
      </c>
      <c r="E95" s="139" t="s">
        <v>635</v>
      </c>
      <c r="F95" s="155">
        <v>0.125</v>
      </c>
      <c r="G95" s="156">
        <v>0.87500000000000011</v>
      </c>
      <c r="H95" s="157">
        <v>16</v>
      </c>
      <c r="I95" s="155">
        <v>0.5</v>
      </c>
      <c r="J95" s="156">
        <v>0.5</v>
      </c>
      <c r="K95" s="157">
        <v>14</v>
      </c>
      <c r="L95" s="155">
        <v>0.42857142857142849</v>
      </c>
      <c r="M95" s="156">
        <v>0.57142857142857129</v>
      </c>
      <c r="N95" s="157">
        <v>7</v>
      </c>
      <c r="O95" s="155">
        <v>0.50000000000000011</v>
      </c>
      <c r="P95" s="156">
        <v>0.12500000000000003</v>
      </c>
      <c r="Q95" s="156">
        <v>0.18750000000000003</v>
      </c>
      <c r="R95" s="156">
        <v>0.12500000000000003</v>
      </c>
      <c r="S95" s="156">
        <v>0.12500000000000003</v>
      </c>
      <c r="T95" s="156">
        <v>0</v>
      </c>
      <c r="U95" s="156">
        <v>0</v>
      </c>
      <c r="V95" s="156">
        <v>6.2500000000000014E-2</v>
      </c>
      <c r="W95" s="156">
        <v>0.43750000000000006</v>
      </c>
      <c r="X95" s="156">
        <v>6.2500000000000014E-2</v>
      </c>
      <c r="Y95" s="157">
        <v>16</v>
      </c>
      <c r="Z95" s="155">
        <v>0.68750000000000011</v>
      </c>
      <c r="AA95" s="156">
        <v>0.62500000000000011</v>
      </c>
      <c r="AB95" s="156">
        <v>0.37500000000000006</v>
      </c>
      <c r="AC95" s="156">
        <v>0.68750000000000011</v>
      </c>
      <c r="AD95" s="156">
        <v>0.12500000000000003</v>
      </c>
      <c r="AE95" s="156">
        <v>0.18750000000000003</v>
      </c>
      <c r="AF95" s="157">
        <v>16</v>
      </c>
      <c r="AG95" s="158">
        <v>9.7333333333333307</v>
      </c>
      <c r="AH95" s="159">
        <v>15</v>
      </c>
      <c r="AI95" s="160">
        <v>9.8666666666666654</v>
      </c>
      <c r="AJ95" s="159">
        <v>15</v>
      </c>
      <c r="AK95" s="160">
        <v>9.8000000000000007</v>
      </c>
      <c r="AL95" s="157">
        <v>15</v>
      </c>
      <c r="AM95" s="155">
        <v>0.53333333333333366</v>
      </c>
      <c r="AN95" s="156">
        <v>0.20000000000000004</v>
      </c>
      <c r="AO95" s="156">
        <v>6.666666666666668E-2</v>
      </c>
      <c r="AP95" s="156">
        <v>0.20000000000000004</v>
      </c>
      <c r="AQ95" s="156">
        <v>0</v>
      </c>
      <c r="AR95" s="157">
        <v>15</v>
      </c>
      <c r="AS95" s="155">
        <v>0.92307692307692346</v>
      </c>
      <c r="AT95" s="156">
        <v>7.6923076923076927E-2</v>
      </c>
      <c r="AU95" s="156">
        <v>0</v>
      </c>
      <c r="AV95" s="156">
        <v>0</v>
      </c>
      <c r="AW95" s="156">
        <v>0</v>
      </c>
      <c r="AX95" s="157">
        <v>13</v>
      </c>
      <c r="AY95" s="155">
        <v>0.92857142857142871</v>
      </c>
      <c r="AZ95" s="156">
        <v>7.1428571428571397E-2</v>
      </c>
      <c r="BA95" s="156">
        <v>0</v>
      </c>
      <c r="BB95" s="156">
        <v>0</v>
      </c>
      <c r="BC95" s="156">
        <v>0</v>
      </c>
      <c r="BD95" s="157">
        <v>14</v>
      </c>
      <c r="BE95" s="155">
        <v>0.85714285714285754</v>
      </c>
      <c r="BF95" s="156">
        <v>0.14285714285714279</v>
      </c>
      <c r="BG95" s="156">
        <v>0</v>
      </c>
      <c r="BH95" s="156">
        <v>0</v>
      </c>
      <c r="BI95" s="156">
        <v>0</v>
      </c>
      <c r="BJ95" s="157">
        <v>14</v>
      </c>
      <c r="BK95" s="155">
        <v>0.91666666666666674</v>
      </c>
      <c r="BL95" s="156">
        <v>8.3333333333333301E-2</v>
      </c>
      <c r="BM95" s="156">
        <v>0</v>
      </c>
      <c r="BN95" s="156">
        <v>0</v>
      </c>
      <c r="BO95" s="156">
        <v>0</v>
      </c>
      <c r="BP95" s="157">
        <v>12</v>
      </c>
      <c r="BQ95" s="155">
        <v>0.92857142857142871</v>
      </c>
      <c r="BR95" s="156">
        <v>7.1428571428571397E-2</v>
      </c>
      <c r="BS95" s="156">
        <v>0</v>
      </c>
      <c r="BT95" s="156">
        <v>0</v>
      </c>
      <c r="BU95" s="156">
        <v>0</v>
      </c>
      <c r="BV95" s="157">
        <v>14</v>
      </c>
      <c r="BW95" s="161">
        <v>1</v>
      </c>
      <c r="BX95" s="156">
        <v>0</v>
      </c>
      <c r="BY95" s="156">
        <v>0</v>
      </c>
      <c r="BZ95" s="156">
        <v>0</v>
      </c>
      <c r="CA95" s="156">
        <v>0</v>
      </c>
      <c r="CB95" s="157">
        <v>10</v>
      </c>
      <c r="CC95" s="155">
        <v>1</v>
      </c>
      <c r="CD95" s="156">
        <v>0</v>
      </c>
      <c r="CE95" s="156">
        <v>0</v>
      </c>
      <c r="CF95" s="156">
        <v>0</v>
      </c>
      <c r="CG95" s="156">
        <v>0</v>
      </c>
      <c r="CH95" s="162">
        <v>4</v>
      </c>
      <c r="CI95" s="155">
        <v>1</v>
      </c>
      <c r="CJ95" s="156">
        <v>0</v>
      </c>
      <c r="CK95" s="156">
        <v>0</v>
      </c>
      <c r="CL95" s="156">
        <v>0</v>
      </c>
      <c r="CM95" s="156">
        <v>0</v>
      </c>
      <c r="CN95" s="162">
        <v>4</v>
      </c>
      <c r="CO95" s="155">
        <v>0.69999999999999984</v>
      </c>
      <c r="CP95" s="156">
        <v>0.19999999999999996</v>
      </c>
      <c r="CQ95" s="156">
        <v>9.9999999999999978E-2</v>
      </c>
      <c r="CR95" s="156">
        <v>0</v>
      </c>
      <c r="CS95" s="156">
        <v>0</v>
      </c>
      <c r="CT95" s="162">
        <v>10</v>
      </c>
      <c r="CU95" s="155">
        <v>0.63636363636363635</v>
      </c>
      <c r="CV95" s="156">
        <v>0.27272727272727265</v>
      </c>
      <c r="CW95" s="156">
        <v>9.0909090909090912E-2</v>
      </c>
      <c r="CX95" s="156">
        <v>0</v>
      </c>
      <c r="CY95" s="156">
        <v>0</v>
      </c>
      <c r="CZ95" s="162">
        <v>11</v>
      </c>
      <c r="DA95" s="155">
        <v>0.8</v>
      </c>
      <c r="DB95" s="156">
        <v>0.2</v>
      </c>
      <c r="DC95" s="156">
        <v>0</v>
      </c>
      <c r="DD95" s="156">
        <v>0</v>
      </c>
      <c r="DE95" s="156">
        <v>0</v>
      </c>
      <c r="DF95" s="162">
        <v>5</v>
      </c>
      <c r="DG95" s="155">
        <v>0.75000000000000011</v>
      </c>
      <c r="DH95" s="156">
        <v>0.25</v>
      </c>
      <c r="DI95" s="156">
        <v>0</v>
      </c>
      <c r="DJ95" s="156">
        <v>0</v>
      </c>
      <c r="DK95" s="156">
        <v>0</v>
      </c>
      <c r="DL95" s="162">
        <v>4</v>
      </c>
      <c r="DM95" s="155">
        <v>0.7142857142857143</v>
      </c>
      <c r="DN95" s="156">
        <v>0</v>
      </c>
      <c r="DO95" s="156">
        <v>0.14285714285714279</v>
      </c>
      <c r="DP95" s="156">
        <v>0</v>
      </c>
      <c r="DQ95" s="156">
        <v>0.14285714285714279</v>
      </c>
      <c r="DR95" s="162">
        <v>7</v>
      </c>
      <c r="DS95" s="161">
        <v>0.8571428571428571</v>
      </c>
      <c r="DT95" s="156">
        <v>0.14285714285714279</v>
      </c>
      <c r="DU95" s="156">
        <v>0</v>
      </c>
      <c r="DV95" s="156">
        <v>0</v>
      </c>
      <c r="DW95" s="156">
        <v>0</v>
      </c>
      <c r="DX95" s="162">
        <v>7</v>
      </c>
      <c r="DY95" s="155">
        <v>1</v>
      </c>
      <c r="DZ95" s="156">
        <v>0</v>
      </c>
      <c r="EA95" s="156">
        <v>0</v>
      </c>
      <c r="EB95" s="156">
        <v>0</v>
      </c>
      <c r="EC95" s="156">
        <v>0</v>
      </c>
      <c r="ED95" s="162">
        <v>13</v>
      </c>
      <c r="EE95" s="155">
        <v>0.99999999999999989</v>
      </c>
      <c r="EF95" s="156">
        <v>0</v>
      </c>
      <c r="EG95" s="156">
        <v>0</v>
      </c>
      <c r="EH95" s="156">
        <v>0</v>
      </c>
      <c r="EI95" s="156">
        <v>0</v>
      </c>
      <c r="EJ95" s="162">
        <v>7</v>
      </c>
      <c r="EK95" s="155">
        <v>0.77777777777777801</v>
      </c>
      <c r="EL95" s="156">
        <v>0.22222222222222224</v>
      </c>
      <c r="EM95" s="156">
        <v>0</v>
      </c>
      <c r="EN95" s="156">
        <v>0</v>
      </c>
      <c r="EO95" s="156">
        <v>0</v>
      </c>
      <c r="EP95" s="162">
        <v>9</v>
      </c>
      <c r="EQ95" s="155">
        <v>0.90909090909090917</v>
      </c>
      <c r="ER95" s="156">
        <v>9.0909090909090912E-2</v>
      </c>
      <c r="ES95" s="156">
        <v>0</v>
      </c>
      <c r="ET95" s="156">
        <v>0</v>
      </c>
      <c r="EU95" s="156">
        <v>0</v>
      </c>
      <c r="EV95" s="162">
        <v>11</v>
      </c>
      <c r="EW95" s="155">
        <v>1</v>
      </c>
      <c r="EX95" s="156">
        <v>0</v>
      </c>
      <c r="EY95" s="156">
        <v>0</v>
      </c>
      <c r="EZ95" s="156">
        <v>0</v>
      </c>
      <c r="FA95" s="156">
        <v>0</v>
      </c>
      <c r="FB95" s="162">
        <v>11</v>
      </c>
      <c r="FC95" s="155">
        <v>0.66666666666666641</v>
      </c>
      <c r="FD95" s="156">
        <v>0.3333333333333332</v>
      </c>
      <c r="FE95" s="156">
        <v>0</v>
      </c>
      <c r="FF95" s="156">
        <v>0</v>
      </c>
      <c r="FG95" s="156">
        <v>0</v>
      </c>
      <c r="FH95" s="162">
        <v>3</v>
      </c>
      <c r="FI95" s="161">
        <v>0.66666666666666641</v>
      </c>
      <c r="FJ95" s="156">
        <v>0.3333333333333332</v>
      </c>
      <c r="FK95" s="156">
        <v>0</v>
      </c>
      <c r="FL95" s="156">
        <v>0</v>
      </c>
      <c r="FM95" s="156">
        <v>0</v>
      </c>
      <c r="FN95" s="162">
        <v>3</v>
      </c>
      <c r="FO95" s="155">
        <v>0</v>
      </c>
      <c r="FP95" s="156">
        <v>0</v>
      </c>
      <c r="FQ95" s="156">
        <v>0</v>
      </c>
      <c r="FR95" s="156">
        <v>0</v>
      </c>
      <c r="FS95" s="156">
        <v>0</v>
      </c>
      <c r="FT95" s="162">
        <v>0</v>
      </c>
      <c r="FU95" s="155">
        <v>0</v>
      </c>
      <c r="FV95" s="156">
        <v>0</v>
      </c>
      <c r="FW95" s="156">
        <v>0</v>
      </c>
      <c r="FX95" s="156">
        <v>0</v>
      </c>
      <c r="FY95" s="156">
        <v>0</v>
      </c>
      <c r="FZ95" s="162">
        <v>0</v>
      </c>
      <c r="GA95" s="161">
        <v>0</v>
      </c>
      <c r="GB95" s="156">
        <v>0</v>
      </c>
      <c r="GC95" s="156">
        <v>0</v>
      </c>
      <c r="GD95" s="156">
        <v>0</v>
      </c>
      <c r="GE95" s="156">
        <v>0</v>
      </c>
      <c r="GF95" s="162">
        <v>0</v>
      </c>
      <c r="GG95" s="158">
        <v>9.5714285714285694</v>
      </c>
      <c r="GH95" s="162">
        <v>14</v>
      </c>
      <c r="GI95" s="155">
        <v>6.25E-2</v>
      </c>
      <c r="GJ95" s="156">
        <v>0.8125</v>
      </c>
      <c r="GK95" s="156">
        <v>0.125</v>
      </c>
      <c r="GL95" s="156">
        <v>0</v>
      </c>
      <c r="GM95" s="156">
        <v>0</v>
      </c>
      <c r="GN95" s="162">
        <v>16</v>
      </c>
      <c r="GO95" s="155">
        <v>0.37500000000000006</v>
      </c>
      <c r="GP95" s="156">
        <v>0.18750000000000003</v>
      </c>
      <c r="GQ95" s="156">
        <v>0.37500000000000006</v>
      </c>
      <c r="GR95" s="156">
        <v>0.37500000000000006</v>
      </c>
      <c r="GS95" s="162">
        <v>16</v>
      </c>
      <c r="GT95" s="163">
        <v>3.4000000000000004</v>
      </c>
      <c r="GU95" s="162">
        <v>15</v>
      </c>
      <c r="GV95" s="155">
        <v>1</v>
      </c>
      <c r="GW95" s="156">
        <v>0</v>
      </c>
      <c r="GX95" s="162">
        <v>6</v>
      </c>
      <c r="GY95" s="155">
        <v>1</v>
      </c>
      <c r="GZ95" s="156">
        <v>0</v>
      </c>
      <c r="HA95" s="162">
        <v>5</v>
      </c>
      <c r="HB95" s="155">
        <v>1</v>
      </c>
      <c r="HC95" s="156">
        <v>0</v>
      </c>
      <c r="HD95" s="162">
        <v>15</v>
      </c>
      <c r="HE95" s="161">
        <v>1</v>
      </c>
      <c r="HF95" s="156">
        <v>0</v>
      </c>
      <c r="HG95" s="162">
        <v>11</v>
      </c>
      <c r="HH95" s="155">
        <v>0.28571428571428559</v>
      </c>
      <c r="HI95" s="156">
        <v>0.71428571428571441</v>
      </c>
      <c r="HJ95" s="162">
        <v>14</v>
      </c>
      <c r="HK95" s="155">
        <v>1</v>
      </c>
      <c r="HL95" s="156">
        <v>0</v>
      </c>
      <c r="HM95" s="162">
        <v>14</v>
      </c>
      <c r="HN95" s="161">
        <v>0</v>
      </c>
      <c r="HO95" s="156">
        <v>0.23076923076923087</v>
      </c>
      <c r="HP95" s="156">
        <v>0.46153846153846173</v>
      </c>
      <c r="HQ95" s="156">
        <v>0.15384615384615385</v>
      </c>
      <c r="HR95" s="156">
        <v>0.15384615384615385</v>
      </c>
      <c r="HS95" s="160">
        <v>56.46153846153846</v>
      </c>
      <c r="HT95" s="164">
        <v>13</v>
      </c>
      <c r="HU95" s="165">
        <v>0</v>
      </c>
      <c r="HV95" s="166">
        <v>0.125</v>
      </c>
      <c r="HW95" s="166">
        <v>0</v>
      </c>
      <c r="HX95" s="166">
        <v>0.125</v>
      </c>
      <c r="HY95" s="166">
        <v>0.125</v>
      </c>
      <c r="HZ95" s="166">
        <v>0</v>
      </c>
      <c r="IA95" s="166">
        <v>0.25</v>
      </c>
      <c r="IB95" s="166">
        <v>0</v>
      </c>
      <c r="IC95" s="166">
        <v>0.25</v>
      </c>
      <c r="ID95" s="166">
        <v>0.125</v>
      </c>
      <c r="IE95" s="167">
        <v>8</v>
      </c>
      <c r="IF95" s="155">
        <v>0</v>
      </c>
      <c r="IG95" s="156">
        <v>0</v>
      </c>
      <c r="IH95" s="156">
        <v>0.5</v>
      </c>
      <c r="II95" s="156">
        <v>0.25</v>
      </c>
      <c r="IJ95" s="156">
        <v>0.25</v>
      </c>
      <c r="IK95" s="162">
        <v>4</v>
      </c>
      <c r="IL95" s="155">
        <v>0</v>
      </c>
      <c r="IM95" s="156">
        <v>0</v>
      </c>
      <c r="IN95" s="156">
        <v>0</v>
      </c>
      <c r="IO95" s="156">
        <v>1</v>
      </c>
      <c r="IP95" s="156">
        <v>0</v>
      </c>
      <c r="IQ95" s="162">
        <v>13</v>
      </c>
      <c r="IR95" s="155">
        <v>8.3333333333333301E-2</v>
      </c>
      <c r="IS95" s="156">
        <v>0.91666666666666674</v>
      </c>
      <c r="IT95" s="162">
        <v>12</v>
      </c>
      <c r="IU95" s="161">
        <v>0</v>
      </c>
      <c r="IV95" s="156">
        <v>0</v>
      </c>
      <c r="IW95" s="156">
        <v>1</v>
      </c>
      <c r="IX95" s="162">
        <v>1</v>
      </c>
    </row>
    <row r="96" spans="1:258" ht="32.1" customHeight="1" x14ac:dyDescent="0.25">
      <c r="A96" s="110" t="s">
        <v>453</v>
      </c>
      <c r="B96" s="108" t="s">
        <v>576</v>
      </c>
      <c r="C96" s="108" t="s">
        <v>480</v>
      </c>
      <c r="D96" s="109">
        <v>1070</v>
      </c>
      <c r="E96" s="139" t="s">
        <v>547</v>
      </c>
      <c r="F96" s="155">
        <v>0.30769230769230771</v>
      </c>
      <c r="G96" s="156">
        <v>0.69230769230769251</v>
      </c>
      <c r="H96" s="157">
        <v>13</v>
      </c>
      <c r="I96" s="155">
        <v>0.55555555555555547</v>
      </c>
      <c r="J96" s="156">
        <v>0.44444444444444448</v>
      </c>
      <c r="K96" s="157">
        <v>9</v>
      </c>
      <c r="L96" s="155">
        <v>0.6</v>
      </c>
      <c r="M96" s="156">
        <v>0.4</v>
      </c>
      <c r="N96" s="157">
        <v>5</v>
      </c>
      <c r="O96" s="155">
        <v>0.1538461538461538</v>
      </c>
      <c r="P96" s="156">
        <v>7.69230769230769E-2</v>
      </c>
      <c r="Q96" s="156">
        <v>0.23076923076923081</v>
      </c>
      <c r="R96" s="156">
        <v>0.53846153846153844</v>
      </c>
      <c r="S96" s="156">
        <v>0</v>
      </c>
      <c r="T96" s="156">
        <v>0.1538461538461538</v>
      </c>
      <c r="U96" s="156">
        <v>0</v>
      </c>
      <c r="V96" s="156">
        <v>0</v>
      </c>
      <c r="W96" s="156">
        <v>0.1538461538461538</v>
      </c>
      <c r="X96" s="156">
        <v>7.69230769230769E-2</v>
      </c>
      <c r="Y96" s="157">
        <v>13</v>
      </c>
      <c r="Z96" s="155">
        <v>0.53846153846153844</v>
      </c>
      <c r="AA96" s="156">
        <v>1</v>
      </c>
      <c r="AB96" s="156">
        <v>0.38461538461538469</v>
      </c>
      <c r="AC96" s="156">
        <v>0.23076923076923081</v>
      </c>
      <c r="AD96" s="156">
        <v>7.69230769230769E-2</v>
      </c>
      <c r="AE96" s="156">
        <v>7.69230769230769E-2</v>
      </c>
      <c r="AF96" s="157">
        <v>13</v>
      </c>
      <c r="AG96" s="158">
        <v>9.7692307692307718</v>
      </c>
      <c r="AH96" s="159">
        <v>13</v>
      </c>
      <c r="AI96" s="160">
        <v>9.75</v>
      </c>
      <c r="AJ96" s="159">
        <v>12</v>
      </c>
      <c r="AK96" s="160">
        <v>9.6923076923076916</v>
      </c>
      <c r="AL96" s="157">
        <v>13</v>
      </c>
      <c r="AM96" s="155">
        <v>0.23076923076923073</v>
      </c>
      <c r="AN96" s="156">
        <v>0.61538461538461542</v>
      </c>
      <c r="AO96" s="156">
        <v>0</v>
      </c>
      <c r="AP96" s="156">
        <v>0.15384615384615385</v>
      </c>
      <c r="AQ96" s="156">
        <v>0</v>
      </c>
      <c r="AR96" s="157">
        <v>13</v>
      </c>
      <c r="AS96" s="155">
        <v>0.53846153846153844</v>
      </c>
      <c r="AT96" s="156">
        <v>0.46153846153846145</v>
      </c>
      <c r="AU96" s="156">
        <v>0</v>
      </c>
      <c r="AV96" s="156">
        <v>0</v>
      </c>
      <c r="AW96" s="156">
        <v>0</v>
      </c>
      <c r="AX96" s="157">
        <v>13</v>
      </c>
      <c r="AY96" s="155">
        <v>0.76923076923076916</v>
      </c>
      <c r="AZ96" s="156">
        <v>0.15384615384615385</v>
      </c>
      <c r="BA96" s="156">
        <v>7.6923076923076927E-2</v>
      </c>
      <c r="BB96" s="156">
        <v>0</v>
      </c>
      <c r="BC96" s="156">
        <v>0</v>
      </c>
      <c r="BD96" s="157">
        <v>13</v>
      </c>
      <c r="BE96" s="155">
        <v>0.69230769230769251</v>
      </c>
      <c r="BF96" s="156">
        <v>0.23076923076923073</v>
      </c>
      <c r="BG96" s="156">
        <v>7.6923076923076927E-2</v>
      </c>
      <c r="BH96" s="156">
        <v>0</v>
      </c>
      <c r="BI96" s="156">
        <v>0</v>
      </c>
      <c r="BJ96" s="157">
        <v>13</v>
      </c>
      <c r="BK96" s="155">
        <v>0.72727272727272729</v>
      </c>
      <c r="BL96" s="156">
        <v>0.18181818181818182</v>
      </c>
      <c r="BM96" s="156">
        <v>0</v>
      </c>
      <c r="BN96" s="156">
        <v>9.0909090909090912E-2</v>
      </c>
      <c r="BO96" s="156">
        <v>0</v>
      </c>
      <c r="BP96" s="157">
        <v>11</v>
      </c>
      <c r="BQ96" s="155">
        <v>0.84615384615384626</v>
      </c>
      <c r="BR96" s="156">
        <v>0.15384615384615385</v>
      </c>
      <c r="BS96" s="156">
        <v>0</v>
      </c>
      <c r="BT96" s="156">
        <v>0</v>
      </c>
      <c r="BU96" s="156">
        <v>0</v>
      </c>
      <c r="BV96" s="157">
        <v>13</v>
      </c>
      <c r="BW96" s="161">
        <v>0.75</v>
      </c>
      <c r="BX96" s="156">
        <v>0.16666666666666663</v>
      </c>
      <c r="BY96" s="156">
        <v>0</v>
      </c>
      <c r="BZ96" s="156">
        <v>0</v>
      </c>
      <c r="CA96" s="156">
        <v>8.3333333333333315E-2</v>
      </c>
      <c r="CB96" s="157">
        <v>12</v>
      </c>
      <c r="CC96" s="155">
        <v>0.66666666666666652</v>
      </c>
      <c r="CD96" s="156">
        <v>0.33333333333333326</v>
      </c>
      <c r="CE96" s="156">
        <v>0</v>
      </c>
      <c r="CF96" s="156">
        <v>0</v>
      </c>
      <c r="CG96" s="156">
        <v>0</v>
      </c>
      <c r="CH96" s="162">
        <v>3</v>
      </c>
      <c r="CI96" s="155">
        <v>0</v>
      </c>
      <c r="CJ96" s="156">
        <v>0</v>
      </c>
      <c r="CK96" s="156">
        <v>0</v>
      </c>
      <c r="CL96" s="156">
        <v>0</v>
      </c>
      <c r="CM96" s="156">
        <v>1</v>
      </c>
      <c r="CN96" s="162">
        <v>1</v>
      </c>
      <c r="CO96" s="155">
        <v>0.25</v>
      </c>
      <c r="CP96" s="156">
        <v>0.5</v>
      </c>
      <c r="CQ96" s="156">
        <v>0</v>
      </c>
      <c r="CR96" s="156">
        <v>0</v>
      </c>
      <c r="CS96" s="156">
        <v>0.25</v>
      </c>
      <c r="CT96" s="162">
        <v>4</v>
      </c>
      <c r="CU96" s="155">
        <v>0.5</v>
      </c>
      <c r="CV96" s="156">
        <v>0.25</v>
      </c>
      <c r="CW96" s="156">
        <v>0</v>
      </c>
      <c r="CX96" s="156">
        <v>0</v>
      </c>
      <c r="CY96" s="156">
        <v>0.25</v>
      </c>
      <c r="CZ96" s="162">
        <v>4</v>
      </c>
      <c r="DA96" s="155">
        <v>0.5</v>
      </c>
      <c r="DB96" s="156">
        <v>0</v>
      </c>
      <c r="DC96" s="156">
        <v>0</v>
      </c>
      <c r="DD96" s="156">
        <v>0</v>
      </c>
      <c r="DE96" s="156">
        <v>0.5</v>
      </c>
      <c r="DF96" s="162">
        <v>2</v>
      </c>
      <c r="DG96" s="155">
        <v>0</v>
      </c>
      <c r="DH96" s="156">
        <v>0</v>
      </c>
      <c r="DI96" s="156">
        <v>0</v>
      </c>
      <c r="DJ96" s="156">
        <v>0</v>
      </c>
      <c r="DK96" s="156">
        <v>1</v>
      </c>
      <c r="DL96" s="162">
        <v>1</v>
      </c>
      <c r="DM96" s="155">
        <v>0</v>
      </c>
      <c r="DN96" s="156">
        <v>0</v>
      </c>
      <c r="DO96" s="156">
        <v>0</v>
      </c>
      <c r="DP96" s="156">
        <v>0.5</v>
      </c>
      <c r="DQ96" s="156">
        <v>0.5</v>
      </c>
      <c r="DR96" s="162">
        <v>2</v>
      </c>
      <c r="DS96" s="161">
        <v>0.33333333333333326</v>
      </c>
      <c r="DT96" s="156">
        <v>0.33333333333333326</v>
      </c>
      <c r="DU96" s="156">
        <v>0</v>
      </c>
      <c r="DV96" s="156">
        <v>0</v>
      </c>
      <c r="DW96" s="156">
        <v>0.33333333333333326</v>
      </c>
      <c r="DX96" s="162">
        <v>3</v>
      </c>
      <c r="DY96" s="155">
        <v>0.69230769230769251</v>
      </c>
      <c r="DZ96" s="156">
        <v>0.23076923076923073</v>
      </c>
      <c r="EA96" s="156">
        <v>0</v>
      </c>
      <c r="EB96" s="156">
        <v>7.6923076923076927E-2</v>
      </c>
      <c r="EC96" s="156">
        <v>0</v>
      </c>
      <c r="ED96" s="162">
        <v>13</v>
      </c>
      <c r="EE96" s="155">
        <v>0.33333333333333326</v>
      </c>
      <c r="EF96" s="156">
        <v>0</v>
      </c>
      <c r="EG96" s="156">
        <v>0</v>
      </c>
      <c r="EH96" s="156">
        <v>0.33333333333333326</v>
      </c>
      <c r="EI96" s="156">
        <v>0.33333333333333326</v>
      </c>
      <c r="EJ96" s="162">
        <v>3</v>
      </c>
      <c r="EK96" s="155">
        <v>0.5</v>
      </c>
      <c r="EL96" s="156">
        <v>0.25</v>
      </c>
      <c r="EM96" s="156">
        <v>0</v>
      </c>
      <c r="EN96" s="156">
        <v>0</v>
      </c>
      <c r="EO96" s="156">
        <v>0.25</v>
      </c>
      <c r="EP96" s="162">
        <v>4</v>
      </c>
      <c r="EQ96" s="155">
        <v>0.83333333333333348</v>
      </c>
      <c r="ER96" s="156">
        <v>0</v>
      </c>
      <c r="ES96" s="156">
        <v>0</v>
      </c>
      <c r="ET96" s="156">
        <v>0</v>
      </c>
      <c r="EU96" s="156">
        <v>0.16666666666666663</v>
      </c>
      <c r="EV96" s="162">
        <v>6</v>
      </c>
      <c r="EW96" s="155">
        <v>0.83333333333333348</v>
      </c>
      <c r="EX96" s="156">
        <v>0</v>
      </c>
      <c r="EY96" s="156">
        <v>0</v>
      </c>
      <c r="EZ96" s="156">
        <v>0.16666666666666663</v>
      </c>
      <c r="FA96" s="156">
        <v>0</v>
      </c>
      <c r="FB96" s="162">
        <v>6</v>
      </c>
      <c r="FC96" s="155">
        <v>0</v>
      </c>
      <c r="FD96" s="156">
        <v>0</v>
      </c>
      <c r="FE96" s="156">
        <v>0</v>
      </c>
      <c r="FF96" s="156">
        <v>0</v>
      </c>
      <c r="FG96" s="156">
        <v>0</v>
      </c>
      <c r="FH96" s="162">
        <v>0</v>
      </c>
      <c r="FI96" s="161">
        <v>0</v>
      </c>
      <c r="FJ96" s="156">
        <v>0</v>
      </c>
      <c r="FK96" s="156">
        <v>0</v>
      </c>
      <c r="FL96" s="156">
        <v>1</v>
      </c>
      <c r="FM96" s="156">
        <v>0</v>
      </c>
      <c r="FN96" s="162">
        <v>2</v>
      </c>
      <c r="FO96" s="155">
        <v>0</v>
      </c>
      <c r="FP96" s="156">
        <v>0</v>
      </c>
      <c r="FQ96" s="156">
        <v>0</v>
      </c>
      <c r="FR96" s="156">
        <v>0</v>
      </c>
      <c r="FS96" s="156">
        <v>0</v>
      </c>
      <c r="FT96" s="162">
        <v>0</v>
      </c>
      <c r="FU96" s="155">
        <v>0</v>
      </c>
      <c r="FV96" s="156">
        <v>0</v>
      </c>
      <c r="FW96" s="156">
        <v>0</v>
      </c>
      <c r="FX96" s="156">
        <v>0</v>
      </c>
      <c r="FY96" s="156">
        <v>0</v>
      </c>
      <c r="FZ96" s="162">
        <v>0</v>
      </c>
      <c r="GA96" s="161">
        <v>0</v>
      </c>
      <c r="GB96" s="156">
        <v>0</v>
      </c>
      <c r="GC96" s="156">
        <v>0</v>
      </c>
      <c r="GD96" s="156">
        <v>0</v>
      </c>
      <c r="GE96" s="156">
        <v>0</v>
      </c>
      <c r="GF96" s="162">
        <v>0</v>
      </c>
      <c r="GG96" s="158">
        <v>8.7692307692307718</v>
      </c>
      <c r="GH96" s="162">
        <v>13</v>
      </c>
      <c r="GI96" s="155">
        <v>0.61538461538461542</v>
      </c>
      <c r="GJ96" s="156">
        <v>0.23076923076923073</v>
      </c>
      <c r="GK96" s="156">
        <v>0.15384615384615385</v>
      </c>
      <c r="GL96" s="156">
        <v>0</v>
      </c>
      <c r="GM96" s="156">
        <v>0</v>
      </c>
      <c r="GN96" s="162">
        <v>13</v>
      </c>
      <c r="GO96" s="155">
        <v>0.46153846153846162</v>
      </c>
      <c r="GP96" s="156">
        <v>0.3076923076923076</v>
      </c>
      <c r="GQ96" s="156">
        <v>0.23076923076923081</v>
      </c>
      <c r="GR96" s="156">
        <v>0.23076923076923081</v>
      </c>
      <c r="GS96" s="162">
        <v>13</v>
      </c>
      <c r="GT96" s="163">
        <v>2.5384615384615392</v>
      </c>
      <c r="GU96" s="162">
        <v>13</v>
      </c>
      <c r="GV96" s="155">
        <v>0.25</v>
      </c>
      <c r="GW96" s="156">
        <v>0.75</v>
      </c>
      <c r="GX96" s="162">
        <v>4</v>
      </c>
      <c r="GY96" s="155">
        <v>1</v>
      </c>
      <c r="GZ96" s="156">
        <v>0</v>
      </c>
      <c r="HA96" s="162">
        <v>3</v>
      </c>
      <c r="HB96" s="155">
        <v>1</v>
      </c>
      <c r="HC96" s="156">
        <v>0</v>
      </c>
      <c r="HD96" s="162">
        <v>12</v>
      </c>
      <c r="HE96" s="161">
        <v>0.85714285714285698</v>
      </c>
      <c r="HF96" s="156">
        <v>0.14285714285714285</v>
      </c>
      <c r="HG96" s="162">
        <v>7</v>
      </c>
      <c r="HH96" s="155">
        <v>0.15384615384615385</v>
      </c>
      <c r="HI96" s="156">
        <v>0.84615384615384626</v>
      </c>
      <c r="HJ96" s="162">
        <v>13</v>
      </c>
      <c r="HK96" s="155">
        <v>1</v>
      </c>
      <c r="HL96" s="156">
        <v>0</v>
      </c>
      <c r="HM96" s="162">
        <v>13</v>
      </c>
      <c r="HN96" s="161">
        <v>0</v>
      </c>
      <c r="HO96" s="156">
        <v>0</v>
      </c>
      <c r="HP96" s="156">
        <v>0.61538461538461542</v>
      </c>
      <c r="HQ96" s="156">
        <v>0.38461538461538458</v>
      </c>
      <c r="HR96" s="156">
        <v>0</v>
      </c>
      <c r="HS96" s="160">
        <v>59.923076923076913</v>
      </c>
      <c r="HT96" s="164">
        <v>13</v>
      </c>
      <c r="HU96" s="165">
        <v>0</v>
      </c>
      <c r="HV96" s="166">
        <v>0</v>
      </c>
      <c r="HW96" s="166">
        <v>0</v>
      </c>
      <c r="HX96" s="166">
        <v>0.25</v>
      </c>
      <c r="HY96" s="166">
        <v>0</v>
      </c>
      <c r="HZ96" s="166">
        <v>0.25</v>
      </c>
      <c r="IA96" s="166">
        <v>0</v>
      </c>
      <c r="IB96" s="166">
        <v>0.33333333333333331</v>
      </c>
      <c r="IC96" s="166">
        <v>0.16666666666666666</v>
      </c>
      <c r="ID96" s="166">
        <v>0</v>
      </c>
      <c r="IE96" s="167">
        <v>12</v>
      </c>
      <c r="IF96" s="155">
        <v>0</v>
      </c>
      <c r="IG96" s="156">
        <v>0</v>
      </c>
      <c r="IH96" s="156">
        <v>0</v>
      </c>
      <c r="II96" s="156">
        <v>0</v>
      </c>
      <c r="IJ96" s="156">
        <v>0</v>
      </c>
      <c r="IK96" s="162">
        <v>0</v>
      </c>
      <c r="IL96" s="155">
        <v>0</v>
      </c>
      <c r="IM96" s="156">
        <v>0</v>
      </c>
      <c r="IN96" s="156">
        <v>0</v>
      </c>
      <c r="IO96" s="156">
        <v>1</v>
      </c>
      <c r="IP96" s="156">
        <v>0</v>
      </c>
      <c r="IQ96" s="162">
        <v>12</v>
      </c>
      <c r="IR96" s="155">
        <v>0.18181818181818182</v>
      </c>
      <c r="IS96" s="156">
        <v>0.8181818181818179</v>
      </c>
      <c r="IT96" s="162">
        <v>11</v>
      </c>
      <c r="IU96" s="161">
        <v>0</v>
      </c>
      <c r="IV96" s="156">
        <v>0.5</v>
      </c>
      <c r="IW96" s="156">
        <v>0.5</v>
      </c>
      <c r="IX96" s="162">
        <v>2</v>
      </c>
    </row>
    <row r="97" spans="1:258" ht="32.1" customHeight="1" x14ac:dyDescent="0.25">
      <c r="A97" s="110" t="s">
        <v>453</v>
      </c>
      <c r="B97" s="108" t="s">
        <v>586</v>
      </c>
      <c r="C97" s="108" t="s">
        <v>457</v>
      </c>
      <c r="D97" s="109">
        <v>1103</v>
      </c>
      <c r="E97" s="139" t="s">
        <v>609</v>
      </c>
      <c r="F97" s="155">
        <v>0.25000000000000006</v>
      </c>
      <c r="G97" s="156">
        <v>0.75000000000000011</v>
      </c>
      <c r="H97" s="157">
        <v>16</v>
      </c>
      <c r="I97" s="155">
        <v>0.81818181818181845</v>
      </c>
      <c r="J97" s="156">
        <v>0.18181818181818182</v>
      </c>
      <c r="K97" s="157">
        <v>11</v>
      </c>
      <c r="L97" s="155">
        <v>0.57142857142857151</v>
      </c>
      <c r="M97" s="156">
        <v>0.42857142857142866</v>
      </c>
      <c r="N97" s="157">
        <v>7</v>
      </c>
      <c r="O97" s="155">
        <v>0.43750000000000006</v>
      </c>
      <c r="P97" s="156">
        <v>0</v>
      </c>
      <c r="Q97" s="156">
        <v>0</v>
      </c>
      <c r="R97" s="156">
        <v>0</v>
      </c>
      <c r="S97" s="156">
        <v>6.2500000000000014E-2</v>
      </c>
      <c r="T97" s="156">
        <v>0.18750000000000003</v>
      </c>
      <c r="U97" s="156">
        <v>0</v>
      </c>
      <c r="V97" s="156">
        <v>0.12500000000000003</v>
      </c>
      <c r="W97" s="156">
        <v>0.12500000000000003</v>
      </c>
      <c r="X97" s="156">
        <v>0.18750000000000003</v>
      </c>
      <c r="Y97" s="157">
        <v>16</v>
      </c>
      <c r="Z97" s="155">
        <v>0.64705882352941191</v>
      </c>
      <c r="AA97" s="156">
        <v>0.76470588235294146</v>
      </c>
      <c r="AB97" s="156">
        <v>0.29411764705882365</v>
      </c>
      <c r="AC97" s="156">
        <v>0.64705882352941191</v>
      </c>
      <c r="AD97" s="156">
        <v>0</v>
      </c>
      <c r="AE97" s="156">
        <v>5.8823529411764733E-2</v>
      </c>
      <c r="AF97" s="157">
        <v>17</v>
      </c>
      <c r="AG97" s="158">
        <v>10.000000000000004</v>
      </c>
      <c r="AH97" s="159">
        <v>17</v>
      </c>
      <c r="AI97" s="160">
        <v>9.9411764705882355</v>
      </c>
      <c r="AJ97" s="159">
        <v>17</v>
      </c>
      <c r="AK97" s="160">
        <v>9.9411764705882355</v>
      </c>
      <c r="AL97" s="157">
        <v>17</v>
      </c>
      <c r="AM97" s="155">
        <v>0.46666666666666662</v>
      </c>
      <c r="AN97" s="156">
        <v>0.40000000000000008</v>
      </c>
      <c r="AO97" s="156">
        <v>0</v>
      </c>
      <c r="AP97" s="156">
        <v>6.6666666666666707E-2</v>
      </c>
      <c r="AQ97" s="156">
        <v>6.6666666666666707E-2</v>
      </c>
      <c r="AR97" s="157">
        <v>15</v>
      </c>
      <c r="AS97" s="155">
        <v>0.88235294117647067</v>
      </c>
      <c r="AT97" s="156">
        <v>0.11764705882352948</v>
      </c>
      <c r="AU97" s="156">
        <v>0</v>
      </c>
      <c r="AV97" s="156">
        <v>0</v>
      </c>
      <c r="AW97" s="156">
        <v>0</v>
      </c>
      <c r="AX97" s="157">
        <v>17</v>
      </c>
      <c r="AY97" s="155">
        <v>0.94117647058823495</v>
      </c>
      <c r="AZ97" s="156">
        <v>5.882352941176474E-2</v>
      </c>
      <c r="BA97" s="156">
        <v>0</v>
      </c>
      <c r="BB97" s="156">
        <v>0</v>
      </c>
      <c r="BC97" s="156">
        <v>0</v>
      </c>
      <c r="BD97" s="157">
        <v>17</v>
      </c>
      <c r="BE97" s="155">
        <v>0.94117647058823495</v>
      </c>
      <c r="BF97" s="156">
        <v>5.882352941176474E-2</v>
      </c>
      <c r="BG97" s="156">
        <v>0</v>
      </c>
      <c r="BH97" s="156">
        <v>0</v>
      </c>
      <c r="BI97" s="156">
        <v>0</v>
      </c>
      <c r="BJ97" s="157">
        <v>17</v>
      </c>
      <c r="BK97" s="155">
        <v>0.8235294117647064</v>
      </c>
      <c r="BL97" s="156">
        <v>5.882352941176474E-2</v>
      </c>
      <c r="BM97" s="156">
        <v>0.11764705882352948</v>
      </c>
      <c r="BN97" s="156">
        <v>0</v>
      </c>
      <c r="BO97" s="156">
        <v>0</v>
      </c>
      <c r="BP97" s="157">
        <v>17</v>
      </c>
      <c r="BQ97" s="155">
        <v>0.88235294117647067</v>
      </c>
      <c r="BR97" s="156">
        <v>5.882352941176474E-2</v>
      </c>
      <c r="BS97" s="156">
        <v>5.882352941176474E-2</v>
      </c>
      <c r="BT97" s="156">
        <v>0</v>
      </c>
      <c r="BU97" s="156">
        <v>0</v>
      </c>
      <c r="BV97" s="157">
        <v>17</v>
      </c>
      <c r="BW97" s="161">
        <v>0.8666666666666667</v>
      </c>
      <c r="BX97" s="156">
        <v>0</v>
      </c>
      <c r="BY97" s="156">
        <v>0</v>
      </c>
      <c r="BZ97" s="156">
        <v>6.6666666666666707E-2</v>
      </c>
      <c r="CA97" s="156">
        <v>6.6666666666666707E-2</v>
      </c>
      <c r="CB97" s="157">
        <v>15</v>
      </c>
      <c r="CC97" s="155">
        <v>0.85714285714285754</v>
      </c>
      <c r="CD97" s="156">
        <v>0.14285714285714282</v>
      </c>
      <c r="CE97" s="156">
        <v>0</v>
      </c>
      <c r="CF97" s="156">
        <v>0</v>
      </c>
      <c r="CG97" s="156">
        <v>0</v>
      </c>
      <c r="CH97" s="162">
        <v>7</v>
      </c>
      <c r="CI97" s="155">
        <v>0.83333333333333348</v>
      </c>
      <c r="CJ97" s="156">
        <v>0.16666666666666663</v>
      </c>
      <c r="CK97" s="156">
        <v>0</v>
      </c>
      <c r="CL97" s="156">
        <v>0</v>
      </c>
      <c r="CM97" s="156">
        <v>0</v>
      </c>
      <c r="CN97" s="162">
        <v>6</v>
      </c>
      <c r="CO97" s="155">
        <v>0.38461538461538458</v>
      </c>
      <c r="CP97" s="156">
        <v>0.53846153846153844</v>
      </c>
      <c r="CQ97" s="156">
        <v>0</v>
      </c>
      <c r="CR97" s="156">
        <v>7.6923076923076927E-2</v>
      </c>
      <c r="CS97" s="156">
        <v>0</v>
      </c>
      <c r="CT97" s="162">
        <v>13</v>
      </c>
      <c r="CU97" s="155">
        <v>0.5714285714285714</v>
      </c>
      <c r="CV97" s="156">
        <v>0.42857142857142883</v>
      </c>
      <c r="CW97" s="156">
        <v>0</v>
      </c>
      <c r="CX97" s="156">
        <v>0</v>
      </c>
      <c r="CY97" s="156">
        <v>0</v>
      </c>
      <c r="CZ97" s="162">
        <v>14</v>
      </c>
      <c r="DA97" s="155">
        <v>0.57142857142857129</v>
      </c>
      <c r="DB97" s="156">
        <v>0.42857142857142877</v>
      </c>
      <c r="DC97" s="156">
        <v>0</v>
      </c>
      <c r="DD97" s="156">
        <v>0</v>
      </c>
      <c r="DE97" s="156">
        <v>0</v>
      </c>
      <c r="DF97" s="162">
        <v>7</v>
      </c>
      <c r="DG97" s="155">
        <v>0.8</v>
      </c>
      <c r="DH97" s="156">
        <v>0.2</v>
      </c>
      <c r="DI97" s="156">
        <v>0</v>
      </c>
      <c r="DJ97" s="156">
        <v>0</v>
      </c>
      <c r="DK97" s="156">
        <v>0</v>
      </c>
      <c r="DL97" s="162">
        <v>5</v>
      </c>
      <c r="DM97" s="155">
        <v>0.69999999999999984</v>
      </c>
      <c r="DN97" s="156">
        <v>0</v>
      </c>
      <c r="DO97" s="156">
        <v>0.1</v>
      </c>
      <c r="DP97" s="156">
        <v>0.1</v>
      </c>
      <c r="DQ97" s="156">
        <v>0.1</v>
      </c>
      <c r="DR97" s="162">
        <v>10</v>
      </c>
      <c r="DS97" s="161">
        <v>0.66666666666666652</v>
      </c>
      <c r="DT97" s="156">
        <v>0.33333333333333326</v>
      </c>
      <c r="DU97" s="156">
        <v>0</v>
      </c>
      <c r="DV97" s="156">
        <v>0</v>
      </c>
      <c r="DW97" s="156">
        <v>0</v>
      </c>
      <c r="DX97" s="162">
        <v>6</v>
      </c>
      <c r="DY97" s="155">
        <v>1</v>
      </c>
      <c r="DZ97" s="156">
        <v>0</v>
      </c>
      <c r="EA97" s="156">
        <v>0</v>
      </c>
      <c r="EB97" s="156">
        <v>0</v>
      </c>
      <c r="EC97" s="156">
        <v>0</v>
      </c>
      <c r="ED97" s="162">
        <v>17</v>
      </c>
      <c r="EE97" s="155">
        <v>1</v>
      </c>
      <c r="EF97" s="156">
        <v>0</v>
      </c>
      <c r="EG97" s="156">
        <v>0</v>
      </c>
      <c r="EH97" s="156">
        <v>0</v>
      </c>
      <c r="EI97" s="156">
        <v>0</v>
      </c>
      <c r="EJ97" s="162">
        <v>6</v>
      </c>
      <c r="EK97" s="155">
        <v>1</v>
      </c>
      <c r="EL97" s="156">
        <v>0</v>
      </c>
      <c r="EM97" s="156">
        <v>0</v>
      </c>
      <c r="EN97" s="156">
        <v>0</v>
      </c>
      <c r="EO97" s="156">
        <v>0</v>
      </c>
      <c r="EP97" s="162">
        <v>8</v>
      </c>
      <c r="EQ97" s="155">
        <v>0.66666666666666652</v>
      </c>
      <c r="ER97" s="156">
        <v>0.33333333333333326</v>
      </c>
      <c r="ES97" s="156">
        <v>0</v>
      </c>
      <c r="ET97" s="156">
        <v>0</v>
      </c>
      <c r="EU97" s="156">
        <v>0</v>
      </c>
      <c r="EV97" s="162">
        <v>12</v>
      </c>
      <c r="EW97" s="155">
        <v>0.83333333333333348</v>
      </c>
      <c r="EX97" s="156">
        <v>0.16666666666666663</v>
      </c>
      <c r="EY97" s="156">
        <v>0</v>
      </c>
      <c r="EZ97" s="156">
        <v>0</v>
      </c>
      <c r="FA97" s="156">
        <v>0</v>
      </c>
      <c r="FB97" s="162">
        <v>12</v>
      </c>
      <c r="FC97" s="155">
        <v>1</v>
      </c>
      <c r="FD97" s="156">
        <v>0</v>
      </c>
      <c r="FE97" s="156">
        <v>0</v>
      </c>
      <c r="FF97" s="156">
        <v>0</v>
      </c>
      <c r="FG97" s="156">
        <v>0</v>
      </c>
      <c r="FH97" s="162">
        <v>2</v>
      </c>
      <c r="FI97" s="161">
        <v>1</v>
      </c>
      <c r="FJ97" s="156">
        <v>0</v>
      </c>
      <c r="FK97" s="156">
        <v>0</v>
      </c>
      <c r="FL97" s="156">
        <v>0</v>
      </c>
      <c r="FM97" s="156">
        <v>0</v>
      </c>
      <c r="FN97" s="162">
        <v>6</v>
      </c>
      <c r="FO97" s="155">
        <v>0</v>
      </c>
      <c r="FP97" s="156">
        <v>0</v>
      </c>
      <c r="FQ97" s="156">
        <v>0</v>
      </c>
      <c r="FR97" s="156">
        <v>0</v>
      </c>
      <c r="FS97" s="156">
        <v>0</v>
      </c>
      <c r="FT97" s="162">
        <v>0</v>
      </c>
      <c r="FU97" s="155">
        <v>0</v>
      </c>
      <c r="FV97" s="156">
        <v>0</v>
      </c>
      <c r="FW97" s="156">
        <v>0</v>
      </c>
      <c r="FX97" s="156">
        <v>0</v>
      </c>
      <c r="FY97" s="156">
        <v>0</v>
      </c>
      <c r="FZ97" s="162">
        <v>0</v>
      </c>
      <c r="GA97" s="161">
        <v>0</v>
      </c>
      <c r="GB97" s="156">
        <v>0</v>
      </c>
      <c r="GC97" s="156">
        <v>0</v>
      </c>
      <c r="GD97" s="156">
        <v>0</v>
      </c>
      <c r="GE97" s="156">
        <v>0</v>
      </c>
      <c r="GF97" s="162">
        <v>0</v>
      </c>
      <c r="GG97" s="158">
        <v>9.4375000000000018</v>
      </c>
      <c r="GH97" s="162">
        <v>16</v>
      </c>
      <c r="GI97" s="155">
        <v>5.882352941176474E-2</v>
      </c>
      <c r="GJ97" s="156">
        <v>0.35294117647058831</v>
      </c>
      <c r="GK97" s="156">
        <v>0.4117647058823532</v>
      </c>
      <c r="GL97" s="156">
        <v>5.882352941176474E-2</v>
      </c>
      <c r="GM97" s="156">
        <v>0.11764705882352948</v>
      </c>
      <c r="GN97" s="162">
        <v>17</v>
      </c>
      <c r="GO97" s="155">
        <v>0.47058823529411786</v>
      </c>
      <c r="GP97" s="156">
        <v>0.17647058823529421</v>
      </c>
      <c r="GQ97" s="156">
        <v>0.11764705882352947</v>
      </c>
      <c r="GR97" s="156">
        <v>0.35294117647058842</v>
      </c>
      <c r="GS97" s="162">
        <v>17</v>
      </c>
      <c r="GT97" s="163">
        <v>4.2500000000000009</v>
      </c>
      <c r="GU97" s="162">
        <v>16</v>
      </c>
      <c r="GV97" s="155">
        <v>1</v>
      </c>
      <c r="GW97" s="156">
        <v>0</v>
      </c>
      <c r="GX97" s="162">
        <v>8</v>
      </c>
      <c r="GY97" s="155">
        <v>1</v>
      </c>
      <c r="GZ97" s="156">
        <v>0</v>
      </c>
      <c r="HA97" s="162">
        <v>8</v>
      </c>
      <c r="HB97" s="155">
        <v>1</v>
      </c>
      <c r="HC97" s="156">
        <v>0</v>
      </c>
      <c r="HD97" s="162">
        <v>13</v>
      </c>
      <c r="HE97" s="161">
        <v>1</v>
      </c>
      <c r="HF97" s="156">
        <v>0</v>
      </c>
      <c r="HG97" s="162">
        <v>13</v>
      </c>
      <c r="HH97" s="155">
        <v>0.37500000000000006</v>
      </c>
      <c r="HI97" s="156">
        <v>0.62500000000000011</v>
      </c>
      <c r="HJ97" s="162">
        <v>16</v>
      </c>
      <c r="HK97" s="155">
        <v>1.0000000000000002</v>
      </c>
      <c r="HL97" s="156">
        <v>0</v>
      </c>
      <c r="HM97" s="162">
        <v>14</v>
      </c>
      <c r="HN97" s="161">
        <v>0.38461538461538458</v>
      </c>
      <c r="HO97" s="156">
        <v>0.15384615384615385</v>
      </c>
      <c r="HP97" s="156">
        <v>0.15384615384615385</v>
      </c>
      <c r="HQ97" s="156">
        <v>0.15384615384615385</v>
      </c>
      <c r="HR97" s="156">
        <v>0.15384615384615385</v>
      </c>
      <c r="HS97" s="160">
        <v>46.230769230769248</v>
      </c>
      <c r="HT97" s="164">
        <v>13</v>
      </c>
      <c r="HU97" s="165">
        <v>0.23076923076923078</v>
      </c>
      <c r="HV97" s="166">
        <v>7.6923076923076927E-2</v>
      </c>
      <c r="HW97" s="166">
        <v>7.6923076923076927E-2</v>
      </c>
      <c r="HX97" s="166">
        <v>7.6923076923076927E-2</v>
      </c>
      <c r="HY97" s="166">
        <v>7.6923076923076927E-2</v>
      </c>
      <c r="HZ97" s="166">
        <v>0</v>
      </c>
      <c r="IA97" s="166">
        <v>0.15384615384615385</v>
      </c>
      <c r="IB97" s="166">
        <v>0.15384615384615385</v>
      </c>
      <c r="IC97" s="166">
        <v>0</v>
      </c>
      <c r="ID97" s="166">
        <v>0.15384615384615385</v>
      </c>
      <c r="IE97" s="167">
        <v>13</v>
      </c>
      <c r="IF97" s="155">
        <v>0</v>
      </c>
      <c r="IG97" s="156">
        <v>0</v>
      </c>
      <c r="IH97" s="156">
        <v>0</v>
      </c>
      <c r="II97" s="156">
        <v>0</v>
      </c>
      <c r="IJ97" s="156">
        <v>1</v>
      </c>
      <c r="IK97" s="162">
        <v>1</v>
      </c>
      <c r="IL97" s="155">
        <v>0.14285714285714285</v>
      </c>
      <c r="IM97" s="156">
        <v>0</v>
      </c>
      <c r="IN97" s="156">
        <v>0</v>
      </c>
      <c r="IO97" s="156">
        <v>0.85714285714285765</v>
      </c>
      <c r="IP97" s="156">
        <v>0</v>
      </c>
      <c r="IQ97" s="162">
        <v>14</v>
      </c>
      <c r="IR97" s="155">
        <v>0.21428571428571441</v>
      </c>
      <c r="IS97" s="156">
        <v>0.78571428571428603</v>
      </c>
      <c r="IT97" s="162">
        <v>14</v>
      </c>
      <c r="IU97" s="161">
        <v>0</v>
      </c>
      <c r="IV97" s="156">
        <v>0</v>
      </c>
      <c r="IW97" s="156">
        <v>1</v>
      </c>
      <c r="IX97" s="162">
        <v>3</v>
      </c>
    </row>
    <row r="98" spans="1:258" ht="32.1" customHeight="1" x14ac:dyDescent="0.25">
      <c r="A98" s="110" t="s">
        <v>453</v>
      </c>
      <c r="B98" s="108" t="s">
        <v>588</v>
      </c>
      <c r="C98" s="108" t="s">
        <v>548</v>
      </c>
      <c r="D98" s="109">
        <v>1229</v>
      </c>
      <c r="E98" s="139" t="s">
        <v>549</v>
      </c>
      <c r="F98" s="155">
        <v>6.8965517241379282E-2</v>
      </c>
      <c r="G98" s="156">
        <v>0.93103448275862022</v>
      </c>
      <c r="H98" s="157">
        <v>29</v>
      </c>
      <c r="I98" s="155">
        <v>0.73076923076923084</v>
      </c>
      <c r="J98" s="156">
        <v>0.26923076923076911</v>
      </c>
      <c r="K98" s="157">
        <v>26</v>
      </c>
      <c r="L98" s="155">
        <v>0.61111111111111105</v>
      </c>
      <c r="M98" s="156">
        <v>0.38888888888888906</v>
      </c>
      <c r="N98" s="157">
        <v>18</v>
      </c>
      <c r="O98" s="155">
        <v>0.79310344827586154</v>
      </c>
      <c r="P98" s="156">
        <v>0</v>
      </c>
      <c r="Q98" s="156">
        <v>0.13793103448275848</v>
      </c>
      <c r="R98" s="156">
        <v>0</v>
      </c>
      <c r="S98" s="156">
        <v>3.448275862068962E-2</v>
      </c>
      <c r="T98" s="156">
        <v>0</v>
      </c>
      <c r="U98" s="156">
        <v>0</v>
      </c>
      <c r="V98" s="156">
        <v>0.10344827586206894</v>
      </c>
      <c r="W98" s="156">
        <v>0.13793103448275848</v>
      </c>
      <c r="X98" s="156">
        <v>3.448275862068962E-2</v>
      </c>
      <c r="Y98" s="157">
        <v>29</v>
      </c>
      <c r="Z98" s="155">
        <v>0.72413793103448265</v>
      </c>
      <c r="AA98" s="156">
        <v>0.96551724137930983</v>
      </c>
      <c r="AB98" s="156">
        <v>0.6551724137931032</v>
      </c>
      <c r="AC98" s="156">
        <v>0.79310344827586154</v>
      </c>
      <c r="AD98" s="156">
        <v>0.37931034482758597</v>
      </c>
      <c r="AE98" s="156">
        <v>0.10344827586206894</v>
      </c>
      <c r="AF98" s="157">
        <v>29</v>
      </c>
      <c r="AG98" s="158">
        <v>9.8275862068965498</v>
      </c>
      <c r="AH98" s="159">
        <v>29</v>
      </c>
      <c r="AI98" s="160">
        <v>9.9310344827586245</v>
      </c>
      <c r="AJ98" s="159">
        <v>29</v>
      </c>
      <c r="AK98" s="160">
        <v>9.7586206896551726</v>
      </c>
      <c r="AL98" s="157">
        <v>29</v>
      </c>
      <c r="AM98" s="155">
        <v>0.44444444444444414</v>
      </c>
      <c r="AN98" s="156">
        <v>0.33333333333333343</v>
      </c>
      <c r="AO98" s="156">
        <v>3.7037037037037E-2</v>
      </c>
      <c r="AP98" s="156">
        <v>0.148148148148148</v>
      </c>
      <c r="AQ98" s="156">
        <v>3.7037037037037E-2</v>
      </c>
      <c r="AR98" s="157">
        <v>27</v>
      </c>
      <c r="AS98" s="155">
        <v>0.85714285714285732</v>
      </c>
      <c r="AT98" s="156">
        <v>0.10714285714285716</v>
      </c>
      <c r="AU98" s="156">
        <v>3.5714285714285698E-2</v>
      </c>
      <c r="AV98" s="156">
        <v>0</v>
      </c>
      <c r="AW98" s="156">
        <v>0</v>
      </c>
      <c r="AX98" s="157">
        <v>28</v>
      </c>
      <c r="AY98" s="155">
        <v>0.96153846153846179</v>
      </c>
      <c r="AZ98" s="156">
        <v>0</v>
      </c>
      <c r="BA98" s="156">
        <v>3.8461538461538436E-2</v>
      </c>
      <c r="BB98" s="156">
        <v>0</v>
      </c>
      <c r="BC98" s="156">
        <v>0</v>
      </c>
      <c r="BD98" s="157">
        <v>26</v>
      </c>
      <c r="BE98" s="155">
        <v>0.78571428571428503</v>
      </c>
      <c r="BF98" s="156">
        <v>0.17857142857142846</v>
      </c>
      <c r="BG98" s="156">
        <v>3.5714285714285698E-2</v>
      </c>
      <c r="BH98" s="156">
        <v>0</v>
      </c>
      <c r="BI98" s="156">
        <v>0</v>
      </c>
      <c r="BJ98" s="157">
        <v>28</v>
      </c>
      <c r="BK98" s="155">
        <v>0.66666666666666685</v>
      </c>
      <c r="BL98" s="156">
        <v>0.25</v>
      </c>
      <c r="BM98" s="156">
        <v>0</v>
      </c>
      <c r="BN98" s="156">
        <v>8.3333333333333356E-2</v>
      </c>
      <c r="BO98" s="156">
        <v>0</v>
      </c>
      <c r="BP98" s="157">
        <v>24</v>
      </c>
      <c r="BQ98" s="155">
        <v>0.85714285714285732</v>
      </c>
      <c r="BR98" s="156">
        <v>0.10714285714285716</v>
      </c>
      <c r="BS98" s="156">
        <v>3.5714285714285698E-2</v>
      </c>
      <c r="BT98" s="156">
        <v>0</v>
      </c>
      <c r="BU98" s="156">
        <v>0</v>
      </c>
      <c r="BV98" s="157">
        <v>28</v>
      </c>
      <c r="BW98" s="161">
        <v>0.5833333333333327</v>
      </c>
      <c r="BX98" s="156">
        <v>0.25</v>
      </c>
      <c r="BY98" s="156">
        <v>4.1666666666666678E-2</v>
      </c>
      <c r="BZ98" s="156">
        <v>8.3333333333333356E-2</v>
      </c>
      <c r="CA98" s="156">
        <v>4.1666666666666678E-2</v>
      </c>
      <c r="CB98" s="157">
        <v>24</v>
      </c>
      <c r="CC98" s="155">
        <v>0.8</v>
      </c>
      <c r="CD98" s="156">
        <v>0.2</v>
      </c>
      <c r="CE98" s="156">
        <v>0</v>
      </c>
      <c r="CF98" s="156">
        <v>0</v>
      </c>
      <c r="CG98" s="156">
        <v>0</v>
      </c>
      <c r="CH98" s="162">
        <v>5</v>
      </c>
      <c r="CI98" s="155">
        <v>1</v>
      </c>
      <c r="CJ98" s="156">
        <v>0</v>
      </c>
      <c r="CK98" s="156">
        <v>0</v>
      </c>
      <c r="CL98" s="156">
        <v>0</v>
      </c>
      <c r="CM98" s="156">
        <v>0</v>
      </c>
      <c r="CN98" s="162">
        <v>3</v>
      </c>
      <c r="CO98" s="155">
        <v>0.36363636363636365</v>
      </c>
      <c r="CP98" s="156">
        <v>0.40909090909090901</v>
      </c>
      <c r="CQ98" s="156">
        <v>9.0909090909090912E-2</v>
      </c>
      <c r="CR98" s="156">
        <v>0.1363636363636363</v>
      </c>
      <c r="CS98" s="156">
        <v>0</v>
      </c>
      <c r="CT98" s="162">
        <v>22</v>
      </c>
      <c r="CU98" s="155">
        <v>0.36363636363636365</v>
      </c>
      <c r="CV98" s="156">
        <v>0.45454545454545475</v>
      </c>
      <c r="CW98" s="156">
        <v>4.5454545454545456E-2</v>
      </c>
      <c r="CX98" s="156">
        <v>0.1363636363636363</v>
      </c>
      <c r="CY98" s="156">
        <v>0</v>
      </c>
      <c r="CZ98" s="162">
        <v>22</v>
      </c>
      <c r="DA98" s="155">
        <v>0.6363636363636368</v>
      </c>
      <c r="DB98" s="156">
        <v>0.18181818181818182</v>
      </c>
      <c r="DC98" s="156">
        <v>0.18181818181818182</v>
      </c>
      <c r="DD98" s="156">
        <v>0</v>
      </c>
      <c r="DE98" s="156">
        <v>0</v>
      </c>
      <c r="DF98" s="162">
        <v>11</v>
      </c>
      <c r="DG98" s="155">
        <v>0.8</v>
      </c>
      <c r="DH98" s="156">
        <v>0</v>
      </c>
      <c r="DI98" s="156">
        <v>0.2</v>
      </c>
      <c r="DJ98" s="156">
        <v>0</v>
      </c>
      <c r="DK98" s="156">
        <v>0</v>
      </c>
      <c r="DL98" s="162">
        <v>5</v>
      </c>
      <c r="DM98" s="155">
        <v>0.73076923076923062</v>
      </c>
      <c r="DN98" s="156">
        <v>0.23076923076923084</v>
      </c>
      <c r="DO98" s="156">
        <v>0</v>
      </c>
      <c r="DP98" s="156">
        <v>0</v>
      </c>
      <c r="DQ98" s="156">
        <v>3.8461538461538436E-2</v>
      </c>
      <c r="DR98" s="162">
        <v>26</v>
      </c>
      <c r="DS98" s="161">
        <v>1</v>
      </c>
      <c r="DT98" s="156">
        <v>0</v>
      </c>
      <c r="DU98" s="156">
        <v>0</v>
      </c>
      <c r="DV98" s="156">
        <v>0</v>
      </c>
      <c r="DW98" s="156">
        <v>0</v>
      </c>
      <c r="DX98" s="162">
        <v>18</v>
      </c>
      <c r="DY98" s="155">
        <v>0.92592592592592593</v>
      </c>
      <c r="DZ98" s="156">
        <v>3.7037037037037E-2</v>
      </c>
      <c r="EA98" s="156">
        <v>3.7037037037037E-2</v>
      </c>
      <c r="EB98" s="156">
        <v>0</v>
      </c>
      <c r="EC98" s="156">
        <v>0</v>
      </c>
      <c r="ED98" s="162">
        <v>27</v>
      </c>
      <c r="EE98" s="155">
        <v>0.75000000000000011</v>
      </c>
      <c r="EF98" s="156">
        <v>0.125</v>
      </c>
      <c r="EG98" s="156">
        <v>0</v>
      </c>
      <c r="EH98" s="156">
        <v>0</v>
      </c>
      <c r="EI98" s="156">
        <v>0.125</v>
      </c>
      <c r="EJ98" s="162">
        <v>8</v>
      </c>
      <c r="EK98" s="155">
        <v>0.77777777777777812</v>
      </c>
      <c r="EL98" s="156">
        <v>0.22222222222222215</v>
      </c>
      <c r="EM98" s="156">
        <v>0</v>
      </c>
      <c r="EN98" s="156">
        <v>0</v>
      </c>
      <c r="EO98" s="156">
        <v>0</v>
      </c>
      <c r="EP98" s="162">
        <v>9</v>
      </c>
      <c r="EQ98" s="155">
        <v>0.79166666666666674</v>
      </c>
      <c r="ER98" s="156">
        <v>0.16666666666666671</v>
      </c>
      <c r="ES98" s="156">
        <v>4.1666666666666678E-2</v>
      </c>
      <c r="ET98" s="156">
        <v>0</v>
      </c>
      <c r="EU98" s="156">
        <v>0</v>
      </c>
      <c r="EV98" s="162">
        <v>24</v>
      </c>
      <c r="EW98" s="155">
        <v>0.95999999999999985</v>
      </c>
      <c r="EX98" s="156">
        <v>3.9999999999999994E-2</v>
      </c>
      <c r="EY98" s="156">
        <v>0</v>
      </c>
      <c r="EZ98" s="156">
        <v>0</v>
      </c>
      <c r="FA98" s="156">
        <v>0</v>
      </c>
      <c r="FB98" s="162">
        <v>25</v>
      </c>
      <c r="FC98" s="155">
        <v>0.5</v>
      </c>
      <c r="FD98" s="156">
        <v>0</v>
      </c>
      <c r="FE98" s="156">
        <v>0.5</v>
      </c>
      <c r="FF98" s="156">
        <v>0</v>
      </c>
      <c r="FG98" s="156">
        <v>0</v>
      </c>
      <c r="FH98" s="162">
        <v>2</v>
      </c>
      <c r="FI98" s="161">
        <v>0.66666666666666696</v>
      </c>
      <c r="FJ98" s="156">
        <v>0.33333333333333348</v>
      </c>
      <c r="FK98" s="156">
        <v>0</v>
      </c>
      <c r="FL98" s="156">
        <v>0</v>
      </c>
      <c r="FM98" s="156">
        <v>0</v>
      </c>
      <c r="FN98" s="162">
        <v>3</v>
      </c>
      <c r="FO98" s="155">
        <v>0</v>
      </c>
      <c r="FP98" s="156">
        <v>0</v>
      </c>
      <c r="FQ98" s="156">
        <v>0</v>
      </c>
      <c r="FR98" s="156">
        <v>0</v>
      </c>
      <c r="FS98" s="156">
        <v>0</v>
      </c>
      <c r="FT98" s="162">
        <v>0</v>
      </c>
      <c r="FU98" s="155">
        <v>0</v>
      </c>
      <c r="FV98" s="156">
        <v>0</v>
      </c>
      <c r="FW98" s="156">
        <v>0</v>
      </c>
      <c r="FX98" s="156">
        <v>0</v>
      </c>
      <c r="FY98" s="156">
        <v>0</v>
      </c>
      <c r="FZ98" s="162">
        <v>0</v>
      </c>
      <c r="GA98" s="161">
        <v>0</v>
      </c>
      <c r="GB98" s="156">
        <v>0</v>
      </c>
      <c r="GC98" s="156">
        <v>0</v>
      </c>
      <c r="GD98" s="156">
        <v>0</v>
      </c>
      <c r="GE98" s="156">
        <v>0</v>
      </c>
      <c r="GF98" s="162">
        <v>0</v>
      </c>
      <c r="GG98" s="158">
        <v>9.1111111111111125</v>
      </c>
      <c r="GH98" s="162">
        <v>27</v>
      </c>
      <c r="GI98" s="155">
        <v>0</v>
      </c>
      <c r="GJ98" s="156">
        <v>0.92857142857142838</v>
      </c>
      <c r="GK98" s="156">
        <v>3.5714285714285698E-2</v>
      </c>
      <c r="GL98" s="156">
        <v>0</v>
      </c>
      <c r="GM98" s="156">
        <v>3.5714285714285698E-2</v>
      </c>
      <c r="GN98" s="162">
        <v>28</v>
      </c>
      <c r="GO98" s="155">
        <v>0.48275862068965486</v>
      </c>
      <c r="GP98" s="156">
        <v>0.31034482758620657</v>
      </c>
      <c r="GQ98" s="156">
        <v>0.10344827586206894</v>
      </c>
      <c r="GR98" s="156">
        <v>0.24137931034482743</v>
      </c>
      <c r="GS98" s="162">
        <v>29</v>
      </c>
      <c r="GT98" s="163">
        <v>4.25</v>
      </c>
      <c r="GU98" s="162">
        <v>28</v>
      </c>
      <c r="GV98" s="155">
        <v>0.75000000000000011</v>
      </c>
      <c r="GW98" s="156">
        <v>0.25</v>
      </c>
      <c r="GX98" s="162">
        <v>8</v>
      </c>
      <c r="GY98" s="155">
        <v>0.84615384615384615</v>
      </c>
      <c r="GZ98" s="156">
        <v>0.15384615384615399</v>
      </c>
      <c r="HA98" s="162">
        <v>13</v>
      </c>
      <c r="HB98" s="155">
        <v>1</v>
      </c>
      <c r="HC98" s="156">
        <v>0</v>
      </c>
      <c r="HD98" s="162">
        <v>25</v>
      </c>
      <c r="HE98" s="161">
        <v>0.95</v>
      </c>
      <c r="HF98" s="156">
        <v>0.05</v>
      </c>
      <c r="HG98" s="162">
        <v>20</v>
      </c>
      <c r="HH98" s="155">
        <v>0.40740740740740727</v>
      </c>
      <c r="HI98" s="156">
        <v>0.59259259259259189</v>
      </c>
      <c r="HJ98" s="162">
        <v>27</v>
      </c>
      <c r="HK98" s="155">
        <v>1</v>
      </c>
      <c r="HL98" s="156">
        <v>0</v>
      </c>
      <c r="HM98" s="162">
        <v>27</v>
      </c>
      <c r="HN98" s="161">
        <v>3.9999999999999994E-2</v>
      </c>
      <c r="HO98" s="156">
        <v>0.35999999999999993</v>
      </c>
      <c r="HP98" s="156">
        <v>0.31999999999999995</v>
      </c>
      <c r="HQ98" s="156">
        <v>0.23999999999999996</v>
      </c>
      <c r="HR98" s="156">
        <v>3.9999999999999994E-2</v>
      </c>
      <c r="HS98" s="160">
        <v>50.519999999999982</v>
      </c>
      <c r="HT98" s="164">
        <v>25</v>
      </c>
      <c r="HU98" s="165">
        <v>7.1428571428571425E-2</v>
      </c>
      <c r="HV98" s="166">
        <v>7.1428571428571425E-2</v>
      </c>
      <c r="HW98" s="166">
        <v>0</v>
      </c>
      <c r="HX98" s="166">
        <v>7.1428571428571425E-2</v>
      </c>
      <c r="HY98" s="166">
        <v>0</v>
      </c>
      <c r="HZ98" s="166">
        <v>0.2857142857142857</v>
      </c>
      <c r="IA98" s="166">
        <v>0</v>
      </c>
      <c r="IB98" s="166">
        <v>0.14285714285714285</v>
      </c>
      <c r="IC98" s="166">
        <v>7.1428571428571425E-2</v>
      </c>
      <c r="ID98" s="166">
        <v>0.2857142857142857</v>
      </c>
      <c r="IE98" s="167">
        <v>14</v>
      </c>
      <c r="IF98" s="155">
        <v>0</v>
      </c>
      <c r="IG98" s="156">
        <v>0</v>
      </c>
      <c r="IH98" s="156">
        <v>0.58333333333333326</v>
      </c>
      <c r="II98" s="156">
        <v>8.3333333333333412E-2</v>
      </c>
      <c r="IJ98" s="156">
        <v>0.33333333333333365</v>
      </c>
      <c r="IK98" s="162">
        <v>12</v>
      </c>
      <c r="IL98" s="155">
        <v>0.11538461538461542</v>
      </c>
      <c r="IM98" s="156">
        <v>3.8461538461538436E-2</v>
      </c>
      <c r="IN98" s="156">
        <v>0</v>
      </c>
      <c r="IO98" s="156">
        <v>0.84615384615384615</v>
      </c>
      <c r="IP98" s="156">
        <v>0</v>
      </c>
      <c r="IQ98" s="162">
        <v>26</v>
      </c>
      <c r="IR98" s="155">
        <v>0.11111111111111108</v>
      </c>
      <c r="IS98" s="156">
        <v>0.88888888888888862</v>
      </c>
      <c r="IT98" s="162">
        <v>27</v>
      </c>
      <c r="IU98" s="161">
        <v>0</v>
      </c>
      <c r="IV98" s="156">
        <v>0</v>
      </c>
      <c r="IW98" s="156">
        <v>1</v>
      </c>
      <c r="IX98" s="162">
        <v>3</v>
      </c>
    </row>
    <row r="99" spans="1:258" ht="32.1" customHeight="1" x14ac:dyDescent="0.25">
      <c r="A99" s="110" t="s">
        <v>516</v>
      </c>
      <c r="B99" s="108" t="s">
        <v>516</v>
      </c>
      <c r="C99" s="108" t="s">
        <v>457</v>
      </c>
      <c r="D99" s="109">
        <v>1239</v>
      </c>
      <c r="E99" s="139" t="s">
        <v>550</v>
      </c>
      <c r="F99" s="155">
        <v>0.46153846153846168</v>
      </c>
      <c r="G99" s="156">
        <v>0.53846153846153821</v>
      </c>
      <c r="H99" s="157">
        <v>26</v>
      </c>
      <c r="I99" s="155">
        <v>0.7142857142857143</v>
      </c>
      <c r="J99" s="156">
        <v>0.28571428571428575</v>
      </c>
      <c r="K99" s="157">
        <v>14</v>
      </c>
      <c r="L99" s="155">
        <v>0.25000000000000006</v>
      </c>
      <c r="M99" s="156">
        <v>0.75</v>
      </c>
      <c r="N99" s="157">
        <v>8</v>
      </c>
      <c r="O99" s="155">
        <v>0.80769230769230749</v>
      </c>
      <c r="P99" s="156">
        <v>3.8461538461538464E-2</v>
      </c>
      <c r="Q99" s="156">
        <v>3.8461538461538464E-2</v>
      </c>
      <c r="R99" s="156">
        <v>0.1153846153846154</v>
      </c>
      <c r="S99" s="156">
        <v>3.8461538461538464E-2</v>
      </c>
      <c r="T99" s="156">
        <v>0.1153846153846154</v>
      </c>
      <c r="U99" s="156">
        <v>0</v>
      </c>
      <c r="V99" s="156">
        <v>0</v>
      </c>
      <c r="W99" s="156">
        <v>0.1153846153846154</v>
      </c>
      <c r="X99" s="156">
        <v>3.8461538461538464E-2</v>
      </c>
      <c r="Y99" s="157">
        <v>26</v>
      </c>
      <c r="Z99" s="155">
        <v>0.5</v>
      </c>
      <c r="AA99" s="156">
        <v>0.6923076923076924</v>
      </c>
      <c r="AB99" s="156">
        <v>0.3461538461538462</v>
      </c>
      <c r="AC99" s="156">
        <v>0.30769230769230771</v>
      </c>
      <c r="AD99" s="156">
        <v>3.8461538461538464E-2</v>
      </c>
      <c r="AE99" s="156">
        <v>3.8461538461538464E-2</v>
      </c>
      <c r="AF99" s="157">
        <v>26</v>
      </c>
      <c r="AG99" s="158">
        <v>9.5769230769230766</v>
      </c>
      <c r="AH99" s="159">
        <v>26</v>
      </c>
      <c r="AI99" s="160">
        <v>9.8846153846153797</v>
      </c>
      <c r="AJ99" s="159">
        <v>26</v>
      </c>
      <c r="AK99" s="160">
        <v>9.807692307692303</v>
      </c>
      <c r="AL99" s="157">
        <v>26</v>
      </c>
      <c r="AM99" s="155">
        <v>0.28000000000000003</v>
      </c>
      <c r="AN99" s="156">
        <v>0.52</v>
      </c>
      <c r="AO99" s="156">
        <v>0.12000000000000002</v>
      </c>
      <c r="AP99" s="156">
        <v>8.0000000000000016E-2</v>
      </c>
      <c r="AQ99" s="156">
        <v>0</v>
      </c>
      <c r="AR99" s="157">
        <v>25</v>
      </c>
      <c r="AS99" s="155">
        <v>0.61538461538461486</v>
      </c>
      <c r="AT99" s="156">
        <v>0.34615384615384626</v>
      </c>
      <c r="AU99" s="156">
        <v>3.8461538461538429E-2</v>
      </c>
      <c r="AV99" s="156">
        <v>0</v>
      </c>
      <c r="AW99" s="156">
        <v>0</v>
      </c>
      <c r="AX99" s="157">
        <v>26</v>
      </c>
      <c r="AY99" s="155">
        <v>0.69230769230769251</v>
      </c>
      <c r="AZ99" s="156">
        <v>0.26923076923076911</v>
      </c>
      <c r="BA99" s="156">
        <v>3.8461538461538429E-2</v>
      </c>
      <c r="BB99" s="156">
        <v>0</v>
      </c>
      <c r="BC99" s="156">
        <v>0</v>
      </c>
      <c r="BD99" s="157">
        <v>26</v>
      </c>
      <c r="BE99" s="155">
        <v>0.7692307692307695</v>
      </c>
      <c r="BF99" s="156">
        <v>0.23076923076923084</v>
      </c>
      <c r="BG99" s="156">
        <v>0</v>
      </c>
      <c r="BH99" s="156">
        <v>0</v>
      </c>
      <c r="BI99" s="156">
        <v>0</v>
      </c>
      <c r="BJ99" s="157">
        <v>26</v>
      </c>
      <c r="BK99" s="155">
        <v>0.53846153846153821</v>
      </c>
      <c r="BL99" s="156">
        <v>0.30769230769230743</v>
      </c>
      <c r="BM99" s="156">
        <v>0.15384615384615372</v>
      </c>
      <c r="BN99" s="156">
        <v>0</v>
      </c>
      <c r="BO99" s="156">
        <v>0</v>
      </c>
      <c r="BP99" s="157">
        <v>26</v>
      </c>
      <c r="BQ99" s="155">
        <v>0.7692307692307695</v>
      </c>
      <c r="BR99" s="156">
        <v>0.23076923076923084</v>
      </c>
      <c r="BS99" s="156">
        <v>0</v>
      </c>
      <c r="BT99" s="156">
        <v>0</v>
      </c>
      <c r="BU99" s="156">
        <v>0</v>
      </c>
      <c r="BV99" s="157">
        <v>26</v>
      </c>
      <c r="BW99" s="161">
        <v>0.65217391304347805</v>
      </c>
      <c r="BX99" s="156">
        <v>0.30434782608695632</v>
      </c>
      <c r="BY99" s="156">
        <v>0</v>
      </c>
      <c r="BZ99" s="156">
        <v>4.3478260869565209E-2</v>
      </c>
      <c r="CA99" s="156">
        <v>0</v>
      </c>
      <c r="CB99" s="157">
        <v>23</v>
      </c>
      <c r="CC99" s="155">
        <v>0</v>
      </c>
      <c r="CD99" s="156">
        <v>0.2</v>
      </c>
      <c r="CE99" s="156">
        <v>0.60000000000000009</v>
      </c>
      <c r="CF99" s="156">
        <v>0.2</v>
      </c>
      <c r="CG99" s="156">
        <v>0</v>
      </c>
      <c r="CH99" s="162">
        <v>5</v>
      </c>
      <c r="CI99" s="155">
        <v>0</v>
      </c>
      <c r="CJ99" s="156">
        <v>0.66666666666666685</v>
      </c>
      <c r="CK99" s="156">
        <v>0.33333333333333343</v>
      </c>
      <c r="CL99" s="156">
        <v>0</v>
      </c>
      <c r="CM99" s="156">
        <v>0</v>
      </c>
      <c r="CN99" s="162">
        <v>3</v>
      </c>
      <c r="CO99" s="155">
        <v>0.28571428571428564</v>
      </c>
      <c r="CP99" s="156">
        <v>0.64285714285714268</v>
      </c>
      <c r="CQ99" s="156">
        <v>7.1428571428571411E-2</v>
      </c>
      <c r="CR99" s="156">
        <v>0</v>
      </c>
      <c r="CS99" s="156">
        <v>0</v>
      </c>
      <c r="CT99" s="162">
        <v>14</v>
      </c>
      <c r="CU99" s="155">
        <v>0.28571428571428564</v>
      </c>
      <c r="CV99" s="156">
        <v>0.64285714285714268</v>
      </c>
      <c r="CW99" s="156">
        <v>7.1428571428571411E-2</v>
      </c>
      <c r="CX99" s="156">
        <v>0</v>
      </c>
      <c r="CY99" s="156">
        <v>0</v>
      </c>
      <c r="CZ99" s="162">
        <v>14</v>
      </c>
      <c r="DA99" s="155">
        <v>0.18181818181818193</v>
      </c>
      <c r="DB99" s="156">
        <v>0.72727272727272718</v>
      </c>
      <c r="DC99" s="156">
        <v>9.0909090909090967E-2</v>
      </c>
      <c r="DD99" s="156">
        <v>0</v>
      </c>
      <c r="DE99" s="156">
        <v>0</v>
      </c>
      <c r="DF99" s="162">
        <v>11</v>
      </c>
      <c r="DG99" s="155">
        <v>0.18181818181818193</v>
      </c>
      <c r="DH99" s="156">
        <v>0.81818181818181845</v>
      </c>
      <c r="DI99" s="156">
        <v>0</v>
      </c>
      <c r="DJ99" s="156">
        <v>0</v>
      </c>
      <c r="DK99" s="156">
        <v>0</v>
      </c>
      <c r="DL99" s="162">
        <v>11</v>
      </c>
      <c r="DM99" s="155">
        <v>0.5625</v>
      </c>
      <c r="DN99" s="156">
        <v>0.31250000000000006</v>
      </c>
      <c r="DO99" s="156">
        <v>6.2500000000000014E-2</v>
      </c>
      <c r="DP99" s="156">
        <v>6.2500000000000014E-2</v>
      </c>
      <c r="DQ99" s="156">
        <v>0</v>
      </c>
      <c r="DR99" s="162">
        <v>16</v>
      </c>
      <c r="DS99" s="161">
        <v>0.25000000000000006</v>
      </c>
      <c r="DT99" s="156">
        <v>0.33333333333333359</v>
      </c>
      <c r="DU99" s="156">
        <v>0.4166666666666668</v>
      </c>
      <c r="DV99" s="156">
        <v>0</v>
      </c>
      <c r="DW99" s="156">
        <v>0</v>
      </c>
      <c r="DX99" s="162">
        <v>12</v>
      </c>
      <c r="DY99" s="155">
        <v>0.7692307692307695</v>
      </c>
      <c r="DZ99" s="156">
        <v>0.23076923076923084</v>
      </c>
      <c r="EA99" s="156">
        <v>0</v>
      </c>
      <c r="EB99" s="156">
        <v>0</v>
      </c>
      <c r="EC99" s="156">
        <v>0</v>
      </c>
      <c r="ED99" s="162">
        <v>26</v>
      </c>
      <c r="EE99" s="155">
        <v>0.73333333333333328</v>
      </c>
      <c r="EF99" s="156">
        <v>0.1333333333333333</v>
      </c>
      <c r="EG99" s="156">
        <v>0.1333333333333333</v>
      </c>
      <c r="EH99" s="156">
        <v>0</v>
      </c>
      <c r="EI99" s="156">
        <v>0</v>
      </c>
      <c r="EJ99" s="162">
        <v>15</v>
      </c>
      <c r="EK99" s="155">
        <v>0.64705882352941202</v>
      </c>
      <c r="EL99" s="156">
        <v>0.35294117647058809</v>
      </c>
      <c r="EM99" s="156">
        <v>0</v>
      </c>
      <c r="EN99" s="156">
        <v>0</v>
      </c>
      <c r="EO99" s="156">
        <v>0</v>
      </c>
      <c r="EP99" s="162">
        <v>17</v>
      </c>
      <c r="EQ99" s="155">
        <v>0.78571428571428581</v>
      </c>
      <c r="ER99" s="156">
        <v>0.21428571428571441</v>
      </c>
      <c r="ES99" s="156">
        <v>0</v>
      </c>
      <c r="ET99" s="156">
        <v>0</v>
      </c>
      <c r="EU99" s="156">
        <v>0</v>
      </c>
      <c r="EV99" s="162">
        <v>14</v>
      </c>
      <c r="EW99" s="155">
        <v>0.69230769230769251</v>
      </c>
      <c r="EX99" s="156">
        <v>0.30769230769230743</v>
      </c>
      <c r="EY99" s="156">
        <v>0</v>
      </c>
      <c r="EZ99" s="156">
        <v>0</v>
      </c>
      <c r="FA99" s="156">
        <v>0</v>
      </c>
      <c r="FB99" s="162">
        <v>13</v>
      </c>
      <c r="FC99" s="155">
        <v>1</v>
      </c>
      <c r="FD99" s="156">
        <v>0</v>
      </c>
      <c r="FE99" s="156">
        <v>0</v>
      </c>
      <c r="FF99" s="156">
        <v>0</v>
      </c>
      <c r="FG99" s="156">
        <v>0</v>
      </c>
      <c r="FH99" s="162">
        <v>3</v>
      </c>
      <c r="FI99" s="161">
        <v>0.66666666666666685</v>
      </c>
      <c r="FJ99" s="156">
        <v>0.33333333333333343</v>
      </c>
      <c r="FK99" s="156">
        <v>0</v>
      </c>
      <c r="FL99" s="156">
        <v>0</v>
      </c>
      <c r="FM99" s="156">
        <v>0</v>
      </c>
      <c r="FN99" s="162">
        <v>3</v>
      </c>
      <c r="FO99" s="155">
        <v>0.5</v>
      </c>
      <c r="FP99" s="156">
        <v>0</v>
      </c>
      <c r="FQ99" s="156">
        <v>0.5</v>
      </c>
      <c r="FR99" s="156">
        <v>0</v>
      </c>
      <c r="FS99" s="156">
        <v>0</v>
      </c>
      <c r="FT99" s="162">
        <v>2</v>
      </c>
      <c r="FU99" s="155">
        <v>0.5</v>
      </c>
      <c r="FV99" s="156">
        <v>0.5</v>
      </c>
      <c r="FW99" s="156">
        <v>0</v>
      </c>
      <c r="FX99" s="156">
        <v>0</v>
      </c>
      <c r="FY99" s="156">
        <v>0</v>
      </c>
      <c r="FZ99" s="162">
        <v>2</v>
      </c>
      <c r="GA99" s="161">
        <v>0.5</v>
      </c>
      <c r="GB99" s="156">
        <v>0.5</v>
      </c>
      <c r="GC99" s="156">
        <v>0</v>
      </c>
      <c r="GD99" s="156">
        <v>0</v>
      </c>
      <c r="GE99" s="156">
        <v>0</v>
      </c>
      <c r="GF99" s="162">
        <v>2</v>
      </c>
      <c r="GG99" s="158">
        <v>9.1428571428571441</v>
      </c>
      <c r="GH99" s="162">
        <v>21</v>
      </c>
      <c r="GI99" s="155">
        <v>4.0000000000000008E-2</v>
      </c>
      <c r="GJ99" s="156">
        <v>8.0000000000000016E-2</v>
      </c>
      <c r="GK99" s="156">
        <v>0.84</v>
      </c>
      <c r="GL99" s="156">
        <v>0</v>
      </c>
      <c r="GM99" s="156">
        <v>4.0000000000000008E-2</v>
      </c>
      <c r="GN99" s="162">
        <v>25</v>
      </c>
      <c r="GO99" s="155">
        <v>0.47826086956521718</v>
      </c>
      <c r="GP99" s="156">
        <v>0.21739130434782614</v>
      </c>
      <c r="GQ99" s="156">
        <v>0.13043478260869573</v>
      </c>
      <c r="GR99" s="156">
        <v>0.21739130434782614</v>
      </c>
      <c r="GS99" s="162">
        <v>23</v>
      </c>
      <c r="GT99" s="163">
        <v>2.0833333333333348</v>
      </c>
      <c r="GU99" s="162">
        <v>24</v>
      </c>
      <c r="GV99" s="155">
        <v>0.9090909090909095</v>
      </c>
      <c r="GW99" s="156">
        <v>9.0909090909090967E-2</v>
      </c>
      <c r="GX99" s="162">
        <v>11</v>
      </c>
      <c r="GY99" s="155">
        <v>1</v>
      </c>
      <c r="GZ99" s="156">
        <v>0</v>
      </c>
      <c r="HA99" s="162">
        <v>16</v>
      </c>
      <c r="HB99" s="155">
        <v>1</v>
      </c>
      <c r="HC99" s="156">
        <v>0</v>
      </c>
      <c r="HD99" s="162">
        <v>23</v>
      </c>
      <c r="HE99" s="161">
        <v>0.95</v>
      </c>
      <c r="HF99" s="156">
        <v>5.000000000000001E-2</v>
      </c>
      <c r="HG99" s="162">
        <v>20</v>
      </c>
      <c r="HH99" s="155">
        <v>0.61904761904761918</v>
      </c>
      <c r="HI99" s="156">
        <v>0.38095238095238082</v>
      </c>
      <c r="HJ99" s="162">
        <v>21</v>
      </c>
      <c r="HK99" s="155">
        <v>1</v>
      </c>
      <c r="HL99" s="156">
        <v>0</v>
      </c>
      <c r="HM99" s="162">
        <v>21</v>
      </c>
      <c r="HN99" s="161">
        <v>0.66666666666666685</v>
      </c>
      <c r="HO99" s="156">
        <v>0.14285714285714282</v>
      </c>
      <c r="HP99" s="156">
        <v>0.14285714285714282</v>
      </c>
      <c r="HQ99" s="156">
        <v>4.7619047619047603E-2</v>
      </c>
      <c r="HR99" s="156">
        <v>0</v>
      </c>
      <c r="HS99" s="160">
        <v>29</v>
      </c>
      <c r="HT99" s="164">
        <v>21</v>
      </c>
      <c r="HU99" s="165">
        <v>0.05</v>
      </c>
      <c r="HV99" s="166">
        <v>0.05</v>
      </c>
      <c r="HW99" s="166">
        <v>0.1</v>
      </c>
      <c r="HX99" s="166">
        <v>0.1</v>
      </c>
      <c r="HY99" s="166">
        <v>0.3</v>
      </c>
      <c r="HZ99" s="166">
        <v>0</v>
      </c>
      <c r="IA99" s="166">
        <v>0.15</v>
      </c>
      <c r="IB99" s="166">
        <v>0.15</v>
      </c>
      <c r="IC99" s="166">
        <v>0.05</v>
      </c>
      <c r="ID99" s="166">
        <v>0.05</v>
      </c>
      <c r="IE99" s="167">
        <v>20</v>
      </c>
      <c r="IF99" s="155">
        <v>0</v>
      </c>
      <c r="IG99" s="156">
        <v>0</v>
      </c>
      <c r="IH99" s="156">
        <v>0</v>
      </c>
      <c r="II99" s="156">
        <v>0</v>
      </c>
      <c r="IJ99" s="156">
        <v>0</v>
      </c>
      <c r="IK99" s="162">
        <v>0</v>
      </c>
      <c r="IL99" s="155">
        <v>5.000000000000001E-2</v>
      </c>
      <c r="IM99" s="156">
        <v>0</v>
      </c>
      <c r="IN99" s="156">
        <v>0</v>
      </c>
      <c r="IO99" s="156">
        <v>0.9</v>
      </c>
      <c r="IP99" s="156">
        <v>5.000000000000001E-2</v>
      </c>
      <c r="IQ99" s="162">
        <v>20</v>
      </c>
      <c r="IR99" s="155">
        <v>0.20000000000000004</v>
      </c>
      <c r="IS99" s="156">
        <v>0.8</v>
      </c>
      <c r="IT99" s="162">
        <v>20</v>
      </c>
      <c r="IU99" s="161">
        <v>0</v>
      </c>
      <c r="IV99" s="156">
        <v>0</v>
      </c>
      <c r="IW99" s="156">
        <v>1</v>
      </c>
      <c r="IX99" s="162">
        <v>4</v>
      </c>
    </row>
    <row r="100" spans="1:258" ht="32.1" customHeight="1" x14ac:dyDescent="0.25">
      <c r="A100" s="110" t="s">
        <v>551</v>
      </c>
      <c r="B100" s="108" t="s">
        <v>551</v>
      </c>
      <c r="C100" s="108" t="s">
        <v>454</v>
      </c>
      <c r="D100" s="109">
        <v>1539</v>
      </c>
      <c r="E100" s="139" t="s">
        <v>552</v>
      </c>
      <c r="F100" s="155">
        <v>0.24418604651162867</v>
      </c>
      <c r="G100" s="156">
        <v>0.75581395348837477</v>
      </c>
      <c r="H100" s="157">
        <v>86</v>
      </c>
      <c r="I100" s="155">
        <v>0.90769230769230747</v>
      </c>
      <c r="J100" s="156">
        <v>9.2307692307692341E-2</v>
      </c>
      <c r="K100" s="157">
        <v>65</v>
      </c>
      <c r="L100" s="155">
        <v>0.59649122807017618</v>
      </c>
      <c r="M100" s="156">
        <v>0.40350877192982404</v>
      </c>
      <c r="N100" s="157">
        <v>57</v>
      </c>
      <c r="O100" s="155">
        <v>9.302325581395364E-2</v>
      </c>
      <c r="P100" s="156">
        <v>0.13953488372093045</v>
      </c>
      <c r="Q100" s="156">
        <v>0.51162790697674421</v>
      </c>
      <c r="R100" s="156">
        <v>2.325581395348841E-2</v>
      </c>
      <c r="S100" s="156">
        <v>0.15116279069767433</v>
      </c>
      <c r="T100" s="156">
        <v>6.9767441860465226E-2</v>
      </c>
      <c r="U100" s="156">
        <v>4.651162790697682E-2</v>
      </c>
      <c r="V100" s="156">
        <v>6.9767441860465226E-2</v>
      </c>
      <c r="W100" s="156">
        <v>4.651162790697682E-2</v>
      </c>
      <c r="X100" s="156">
        <v>0.33720930232558266</v>
      </c>
      <c r="Y100" s="157">
        <v>86</v>
      </c>
      <c r="Z100" s="155">
        <v>0.55384615384615365</v>
      </c>
      <c r="AA100" s="156">
        <v>0.32307692307692276</v>
      </c>
      <c r="AB100" s="156">
        <v>0.29230769230769216</v>
      </c>
      <c r="AC100" s="156">
        <v>0.35384615384615331</v>
      </c>
      <c r="AD100" s="156">
        <v>7.6923076923076844E-2</v>
      </c>
      <c r="AE100" s="156">
        <v>0.21538461538461498</v>
      </c>
      <c r="AF100" s="157">
        <v>65</v>
      </c>
      <c r="AG100" s="158">
        <v>9.9625000000000092</v>
      </c>
      <c r="AH100" s="159">
        <v>80</v>
      </c>
      <c r="AI100" s="160">
        <v>9.9875000000000362</v>
      </c>
      <c r="AJ100" s="159">
        <v>80</v>
      </c>
      <c r="AK100" s="160">
        <v>9.9620253164557333</v>
      </c>
      <c r="AL100" s="157">
        <v>79</v>
      </c>
      <c r="AM100" s="155">
        <v>0.68421052631579127</v>
      </c>
      <c r="AN100" s="156">
        <v>0.26315789473684204</v>
      </c>
      <c r="AO100" s="156">
        <v>3.9473684210526369E-2</v>
      </c>
      <c r="AP100" s="156">
        <v>1.3157894736842091E-2</v>
      </c>
      <c r="AQ100" s="156">
        <v>0</v>
      </c>
      <c r="AR100" s="157">
        <v>76</v>
      </c>
      <c r="AS100" s="155">
        <v>0.91358024691357986</v>
      </c>
      <c r="AT100" s="156">
        <v>8.6419753086419929E-2</v>
      </c>
      <c r="AU100" s="156">
        <v>0</v>
      </c>
      <c r="AV100" s="156">
        <v>0</v>
      </c>
      <c r="AW100" s="156">
        <v>0</v>
      </c>
      <c r="AX100" s="157">
        <v>81</v>
      </c>
      <c r="AY100" s="155">
        <v>0.95000000000000018</v>
      </c>
      <c r="AZ100" s="156">
        <v>5.000000000000001E-2</v>
      </c>
      <c r="BA100" s="156">
        <v>0</v>
      </c>
      <c r="BB100" s="156">
        <v>0</v>
      </c>
      <c r="BC100" s="156">
        <v>0</v>
      </c>
      <c r="BD100" s="157">
        <v>80</v>
      </c>
      <c r="BE100" s="155">
        <v>0.99999999999999989</v>
      </c>
      <c r="BF100" s="156">
        <v>0</v>
      </c>
      <c r="BG100" s="156">
        <v>0</v>
      </c>
      <c r="BH100" s="156">
        <v>0</v>
      </c>
      <c r="BI100" s="156">
        <v>0</v>
      </c>
      <c r="BJ100" s="157">
        <v>82</v>
      </c>
      <c r="BK100" s="155">
        <v>0.90140845070422759</v>
      </c>
      <c r="BL100" s="156">
        <v>9.8591549295774697E-2</v>
      </c>
      <c r="BM100" s="156">
        <v>0</v>
      </c>
      <c r="BN100" s="156">
        <v>0</v>
      </c>
      <c r="BO100" s="156">
        <v>0</v>
      </c>
      <c r="BP100" s="157">
        <v>71</v>
      </c>
      <c r="BQ100" s="155">
        <v>0.98809523809523814</v>
      </c>
      <c r="BR100" s="156">
        <v>1.1904761904761901E-2</v>
      </c>
      <c r="BS100" s="156">
        <v>0</v>
      </c>
      <c r="BT100" s="156">
        <v>0</v>
      </c>
      <c r="BU100" s="156">
        <v>0</v>
      </c>
      <c r="BV100" s="157">
        <v>84</v>
      </c>
      <c r="BW100" s="161">
        <v>0.89655172413793249</v>
      </c>
      <c r="BX100" s="156">
        <v>3.4482758620689592E-2</v>
      </c>
      <c r="BY100" s="156">
        <v>6.8965517241379184E-2</v>
      </c>
      <c r="BZ100" s="156">
        <v>0</v>
      </c>
      <c r="CA100" s="156">
        <v>0</v>
      </c>
      <c r="CB100" s="157">
        <v>29</v>
      </c>
      <c r="CC100" s="155">
        <v>0.93650793650793485</v>
      </c>
      <c r="CD100" s="156">
        <v>6.3492063492063405E-2</v>
      </c>
      <c r="CE100" s="156">
        <v>0</v>
      </c>
      <c r="CF100" s="156">
        <v>0</v>
      </c>
      <c r="CG100" s="156">
        <v>0</v>
      </c>
      <c r="CH100" s="162">
        <v>63</v>
      </c>
      <c r="CI100" s="155">
        <v>0.81967213114754245</v>
      </c>
      <c r="CJ100" s="156">
        <v>0.13114754098360659</v>
      </c>
      <c r="CK100" s="156">
        <v>4.9180327868852479E-2</v>
      </c>
      <c r="CL100" s="156">
        <v>0</v>
      </c>
      <c r="CM100" s="156">
        <v>0</v>
      </c>
      <c r="CN100" s="162">
        <v>61</v>
      </c>
      <c r="CO100" s="155">
        <v>0.7058823529411774</v>
      </c>
      <c r="CP100" s="156">
        <v>0.29411764705882393</v>
      </c>
      <c r="CQ100" s="156">
        <v>0</v>
      </c>
      <c r="CR100" s="156">
        <v>0</v>
      </c>
      <c r="CS100" s="156">
        <v>0</v>
      </c>
      <c r="CT100" s="162">
        <v>51</v>
      </c>
      <c r="CU100" s="155">
        <v>0.82692307692307632</v>
      </c>
      <c r="CV100" s="156">
        <v>0.17307692307692313</v>
      </c>
      <c r="CW100" s="156">
        <v>0</v>
      </c>
      <c r="CX100" s="156">
        <v>0</v>
      </c>
      <c r="CY100" s="156">
        <v>0</v>
      </c>
      <c r="CZ100" s="162">
        <v>52</v>
      </c>
      <c r="DA100" s="155">
        <v>0.8611111111111126</v>
      </c>
      <c r="DB100" s="156">
        <v>0.13888888888888895</v>
      </c>
      <c r="DC100" s="156">
        <v>0</v>
      </c>
      <c r="DD100" s="156">
        <v>0</v>
      </c>
      <c r="DE100" s="156">
        <v>0</v>
      </c>
      <c r="DF100" s="162">
        <v>36</v>
      </c>
      <c r="DG100" s="155">
        <v>0.84375</v>
      </c>
      <c r="DH100" s="156">
        <v>0.12499999999999999</v>
      </c>
      <c r="DI100" s="156">
        <v>3.1249999999999997E-2</v>
      </c>
      <c r="DJ100" s="156">
        <v>0</v>
      </c>
      <c r="DK100" s="156">
        <v>0</v>
      </c>
      <c r="DL100" s="162">
        <v>32</v>
      </c>
      <c r="DM100" s="155">
        <v>0.77777777777777646</v>
      </c>
      <c r="DN100" s="156">
        <v>0.1851851851851849</v>
      </c>
      <c r="DO100" s="156">
        <v>3.7037037037036966E-2</v>
      </c>
      <c r="DP100" s="156">
        <v>0</v>
      </c>
      <c r="DQ100" s="156">
        <v>0</v>
      </c>
      <c r="DR100" s="162">
        <v>27</v>
      </c>
      <c r="DS100" s="161">
        <v>0.79999999999999982</v>
      </c>
      <c r="DT100" s="156">
        <v>0.19999999999999996</v>
      </c>
      <c r="DU100" s="156">
        <v>0</v>
      </c>
      <c r="DV100" s="156">
        <v>0</v>
      </c>
      <c r="DW100" s="156">
        <v>0</v>
      </c>
      <c r="DX100" s="162">
        <v>15</v>
      </c>
      <c r="DY100" s="155">
        <v>0.90789473684210675</v>
      </c>
      <c r="DZ100" s="156">
        <v>7.8947368421052738E-2</v>
      </c>
      <c r="EA100" s="156">
        <v>1.3157894736842091E-2</v>
      </c>
      <c r="EB100" s="156">
        <v>0</v>
      </c>
      <c r="EC100" s="156">
        <v>0</v>
      </c>
      <c r="ED100" s="162">
        <v>76</v>
      </c>
      <c r="EE100" s="155">
        <v>0.93548387096774377</v>
      </c>
      <c r="EF100" s="156">
        <v>3.2258064516128997E-2</v>
      </c>
      <c r="EG100" s="156">
        <v>3.2258064516128997E-2</v>
      </c>
      <c r="EH100" s="156">
        <v>0</v>
      </c>
      <c r="EI100" s="156">
        <v>0</v>
      </c>
      <c r="EJ100" s="162">
        <v>31</v>
      </c>
      <c r="EK100" s="155">
        <v>0.87878787878787978</v>
      </c>
      <c r="EL100" s="156">
        <v>9.0909090909090912E-2</v>
      </c>
      <c r="EM100" s="156">
        <v>3.0303030303030297E-2</v>
      </c>
      <c r="EN100" s="156">
        <v>0</v>
      </c>
      <c r="EO100" s="156">
        <v>0</v>
      </c>
      <c r="EP100" s="162">
        <v>33</v>
      </c>
      <c r="EQ100" s="155">
        <v>0.91489361702127781</v>
      </c>
      <c r="ER100" s="156">
        <v>6.3829787234042618E-2</v>
      </c>
      <c r="ES100" s="156">
        <v>2.1276595744680837E-2</v>
      </c>
      <c r="ET100" s="156">
        <v>0</v>
      </c>
      <c r="EU100" s="156">
        <v>0</v>
      </c>
      <c r="EV100" s="162">
        <v>47</v>
      </c>
      <c r="EW100" s="155">
        <v>0.9</v>
      </c>
      <c r="EX100" s="156">
        <v>7.4999999999999997E-2</v>
      </c>
      <c r="EY100" s="156">
        <v>2.4999999999999994E-2</v>
      </c>
      <c r="EZ100" s="156">
        <v>0</v>
      </c>
      <c r="FA100" s="156">
        <v>0</v>
      </c>
      <c r="FB100" s="162">
        <v>40</v>
      </c>
      <c r="FC100" s="155">
        <v>0.77777777777777646</v>
      </c>
      <c r="FD100" s="156">
        <v>0.11111111111111092</v>
      </c>
      <c r="FE100" s="156">
        <v>0.11111111111111092</v>
      </c>
      <c r="FF100" s="156">
        <v>0</v>
      </c>
      <c r="FG100" s="156">
        <v>0</v>
      </c>
      <c r="FH100" s="162">
        <v>9</v>
      </c>
      <c r="FI100" s="161">
        <v>0.84</v>
      </c>
      <c r="FJ100" s="156">
        <v>0.15999999999999998</v>
      </c>
      <c r="FK100" s="156">
        <v>0</v>
      </c>
      <c r="FL100" s="156">
        <v>0</v>
      </c>
      <c r="FM100" s="156">
        <v>0</v>
      </c>
      <c r="FN100" s="162">
        <v>25</v>
      </c>
      <c r="FO100" s="155">
        <v>0</v>
      </c>
      <c r="FP100" s="156">
        <v>0</v>
      </c>
      <c r="FQ100" s="156">
        <v>0</v>
      </c>
      <c r="FR100" s="156">
        <v>0</v>
      </c>
      <c r="FS100" s="156">
        <v>0</v>
      </c>
      <c r="FT100" s="162">
        <v>0</v>
      </c>
      <c r="FU100" s="155">
        <v>0</v>
      </c>
      <c r="FV100" s="156">
        <v>0</v>
      </c>
      <c r="FW100" s="156">
        <v>0</v>
      </c>
      <c r="FX100" s="156">
        <v>0</v>
      </c>
      <c r="FY100" s="156">
        <v>0</v>
      </c>
      <c r="FZ100" s="162">
        <v>0</v>
      </c>
      <c r="GA100" s="161">
        <v>0</v>
      </c>
      <c r="GB100" s="156">
        <v>0</v>
      </c>
      <c r="GC100" s="156">
        <v>0</v>
      </c>
      <c r="GD100" s="156">
        <v>0</v>
      </c>
      <c r="GE100" s="156">
        <v>0</v>
      </c>
      <c r="GF100" s="162">
        <v>0</v>
      </c>
      <c r="GG100" s="158">
        <v>9.8493150684931763</v>
      </c>
      <c r="GH100" s="162">
        <v>73</v>
      </c>
      <c r="GI100" s="155">
        <v>0.55421686746988053</v>
      </c>
      <c r="GJ100" s="156">
        <v>4.8192771084337498E-2</v>
      </c>
      <c r="GK100" s="156">
        <v>0.37349397590361572</v>
      </c>
      <c r="GL100" s="156">
        <v>1.2048192771084374E-2</v>
      </c>
      <c r="GM100" s="156">
        <v>1.2048192771084374E-2</v>
      </c>
      <c r="GN100" s="162">
        <v>83</v>
      </c>
      <c r="GO100" s="155">
        <v>0.62195121951219734</v>
      </c>
      <c r="GP100" s="156">
        <v>0.21951219512195164</v>
      </c>
      <c r="GQ100" s="156">
        <v>0.15853658536585374</v>
      </c>
      <c r="GR100" s="156">
        <v>7.3170731707317138E-2</v>
      </c>
      <c r="GS100" s="162">
        <v>82</v>
      </c>
      <c r="GT100" s="163">
        <v>2.2469135802469116</v>
      </c>
      <c r="GU100" s="162">
        <v>81</v>
      </c>
      <c r="GV100" s="155">
        <v>0.93939393939393978</v>
      </c>
      <c r="GW100" s="156">
        <v>6.0606060606060594E-2</v>
      </c>
      <c r="GX100" s="162">
        <v>33</v>
      </c>
      <c r="GY100" s="155">
        <v>1.0000000000000002</v>
      </c>
      <c r="GZ100" s="156">
        <v>0</v>
      </c>
      <c r="HA100" s="162">
        <v>43</v>
      </c>
      <c r="HB100" s="155">
        <v>0.90740740740740822</v>
      </c>
      <c r="HC100" s="156">
        <v>9.2592592592592393E-2</v>
      </c>
      <c r="HD100" s="162">
        <v>54</v>
      </c>
      <c r="HE100" s="161">
        <v>0.97959183673469175</v>
      </c>
      <c r="HF100" s="156">
        <v>2.040816326530611E-2</v>
      </c>
      <c r="HG100" s="162">
        <v>49</v>
      </c>
      <c r="HH100" s="155">
        <v>0.58666666666666689</v>
      </c>
      <c r="HI100" s="156">
        <v>0.41333333333333455</v>
      </c>
      <c r="HJ100" s="162">
        <v>75</v>
      </c>
      <c r="HK100" s="155">
        <v>1</v>
      </c>
      <c r="HL100" s="156">
        <v>0</v>
      </c>
      <c r="HM100" s="162">
        <v>73</v>
      </c>
      <c r="HN100" s="161">
        <v>0</v>
      </c>
      <c r="HO100" s="156">
        <v>0.12676056338028169</v>
      </c>
      <c r="HP100" s="156">
        <v>0.30985915492957739</v>
      </c>
      <c r="HQ100" s="156">
        <v>0.40845070422535201</v>
      </c>
      <c r="HR100" s="156">
        <v>0.15492957746478855</v>
      </c>
      <c r="HS100" s="160">
        <v>62.915492957746473</v>
      </c>
      <c r="HT100" s="164">
        <v>71</v>
      </c>
      <c r="HU100" s="165">
        <v>5.8823529411764705E-2</v>
      </c>
      <c r="HV100" s="166">
        <v>5.8823529411764705E-2</v>
      </c>
      <c r="HW100" s="166">
        <v>0</v>
      </c>
      <c r="HX100" s="166">
        <v>0</v>
      </c>
      <c r="HY100" s="166">
        <v>0.17647058823529413</v>
      </c>
      <c r="HZ100" s="166">
        <v>0.23529411764705882</v>
      </c>
      <c r="IA100" s="166">
        <v>0.11764705882352941</v>
      </c>
      <c r="IB100" s="166">
        <v>0.11764705882352941</v>
      </c>
      <c r="IC100" s="166">
        <v>0</v>
      </c>
      <c r="ID100" s="166">
        <v>0.23529411764705882</v>
      </c>
      <c r="IE100" s="167">
        <v>17</v>
      </c>
      <c r="IF100" s="155">
        <v>0</v>
      </c>
      <c r="IG100" s="156">
        <v>0</v>
      </c>
      <c r="IH100" s="156">
        <v>0</v>
      </c>
      <c r="II100" s="156">
        <v>0</v>
      </c>
      <c r="IJ100" s="156">
        <v>1</v>
      </c>
      <c r="IK100" s="162">
        <v>54</v>
      </c>
      <c r="IL100" s="155">
        <v>0</v>
      </c>
      <c r="IM100" s="156">
        <v>1.4084507042253556E-2</v>
      </c>
      <c r="IN100" s="156">
        <v>0</v>
      </c>
      <c r="IO100" s="156">
        <v>0.98591549295774672</v>
      </c>
      <c r="IP100" s="156">
        <v>0</v>
      </c>
      <c r="IQ100" s="162">
        <v>71</v>
      </c>
      <c r="IR100" s="155">
        <v>0.10958904109589064</v>
      </c>
      <c r="IS100" s="156">
        <v>0.89041095890411082</v>
      </c>
      <c r="IT100" s="162">
        <v>73</v>
      </c>
      <c r="IU100" s="161">
        <v>0</v>
      </c>
      <c r="IV100" s="156">
        <v>0</v>
      </c>
      <c r="IW100" s="156">
        <v>1</v>
      </c>
      <c r="IX100" s="162">
        <v>8</v>
      </c>
    </row>
    <row r="101" spans="1:258" ht="32.1" customHeight="1" x14ac:dyDescent="0.25">
      <c r="A101" s="110" t="s">
        <v>453</v>
      </c>
      <c r="B101" s="108" t="s">
        <v>572</v>
      </c>
      <c r="C101" s="108" t="s">
        <v>480</v>
      </c>
      <c r="D101" s="109">
        <v>1585</v>
      </c>
      <c r="E101" s="139" t="s">
        <v>553</v>
      </c>
      <c r="F101" s="155">
        <v>5.8823529411764698E-2</v>
      </c>
      <c r="G101" s="156">
        <v>0.94117647058823461</v>
      </c>
      <c r="H101" s="157">
        <v>34</v>
      </c>
      <c r="I101" s="155">
        <v>0.68750000000000011</v>
      </c>
      <c r="J101" s="156">
        <v>0.31250000000000006</v>
      </c>
      <c r="K101" s="157">
        <v>32</v>
      </c>
      <c r="L101" s="155">
        <v>0.77272727272727271</v>
      </c>
      <c r="M101" s="156">
        <v>0.22727272727272735</v>
      </c>
      <c r="N101" s="157">
        <v>22</v>
      </c>
      <c r="O101" s="155">
        <v>8.3333333333333356E-2</v>
      </c>
      <c r="P101" s="156">
        <v>0.69444444444444409</v>
      </c>
      <c r="Q101" s="156">
        <v>5.5555555555555566E-2</v>
      </c>
      <c r="R101" s="156">
        <v>2.7777777777777783E-2</v>
      </c>
      <c r="S101" s="156">
        <v>0.11111111111111113</v>
      </c>
      <c r="T101" s="156">
        <v>5.5555555555555566E-2</v>
      </c>
      <c r="U101" s="156">
        <v>0</v>
      </c>
      <c r="V101" s="156">
        <v>0.33333333333333376</v>
      </c>
      <c r="W101" s="156">
        <v>5.5555555555555566E-2</v>
      </c>
      <c r="X101" s="156">
        <v>0.11111111111111113</v>
      </c>
      <c r="Y101" s="157">
        <v>36</v>
      </c>
      <c r="Z101" s="155">
        <v>0.82857142857142907</v>
      </c>
      <c r="AA101" s="156">
        <v>0.80000000000000049</v>
      </c>
      <c r="AB101" s="156">
        <v>0.48571428571428604</v>
      </c>
      <c r="AC101" s="156">
        <v>0.45714285714285741</v>
      </c>
      <c r="AD101" s="156">
        <v>0.1428571428571429</v>
      </c>
      <c r="AE101" s="156">
        <v>8.5714285714285812E-2</v>
      </c>
      <c r="AF101" s="157">
        <v>35</v>
      </c>
      <c r="AG101" s="158">
        <v>9.8888888888888982</v>
      </c>
      <c r="AH101" s="159">
        <v>36</v>
      </c>
      <c r="AI101" s="160">
        <v>9.9166666666666803</v>
      </c>
      <c r="AJ101" s="159">
        <v>36</v>
      </c>
      <c r="AK101" s="160">
        <v>9.8888888888888946</v>
      </c>
      <c r="AL101" s="157">
        <v>36</v>
      </c>
      <c r="AM101" s="155">
        <v>0.50000000000000011</v>
      </c>
      <c r="AN101" s="156">
        <v>0.41176470588235342</v>
      </c>
      <c r="AO101" s="156">
        <v>5.8823529411764698E-2</v>
      </c>
      <c r="AP101" s="156">
        <v>2.9411764705882349E-2</v>
      </c>
      <c r="AQ101" s="156">
        <v>0</v>
      </c>
      <c r="AR101" s="157">
        <v>34</v>
      </c>
      <c r="AS101" s="155">
        <v>0.62857142857142856</v>
      </c>
      <c r="AT101" s="156">
        <v>0.22857142857142879</v>
      </c>
      <c r="AU101" s="156">
        <v>8.5714285714285729E-2</v>
      </c>
      <c r="AV101" s="156">
        <v>5.7142857142857197E-2</v>
      </c>
      <c r="AW101" s="156">
        <v>0</v>
      </c>
      <c r="AX101" s="157">
        <v>35</v>
      </c>
      <c r="AY101" s="155">
        <v>0.88888888888888828</v>
      </c>
      <c r="AZ101" s="156">
        <v>8.3333333333333343E-2</v>
      </c>
      <c r="BA101" s="156">
        <v>2.7777777777777762E-2</v>
      </c>
      <c r="BB101" s="156">
        <v>0</v>
      </c>
      <c r="BC101" s="156">
        <v>0</v>
      </c>
      <c r="BD101" s="157">
        <v>36</v>
      </c>
      <c r="BE101" s="155">
        <v>0.72222222222222188</v>
      </c>
      <c r="BF101" s="156">
        <v>0.2222222222222221</v>
      </c>
      <c r="BG101" s="156">
        <v>5.5555555555555525E-2</v>
      </c>
      <c r="BH101" s="156">
        <v>0</v>
      </c>
      <c r="BI101" s="156">
        <v>0</v>
      </c>
      <c r="BJ101" s="157">
        <v>36</v>
      </c>
      <c r="BK101" s="155">
        <v>0.68750000000000011</v>
      </c>
      <c r="BL101" s="156">
        <v>0.25000000000000006</v>
      </c>
      <c r="BM101" s="156">
        <v>3.1250000000000007E-2</v>
      </c>
      <c r="BN101" s="156">
        <v>0</v>
      </c>
      <c r="BO101" s="156">
        <v>3.1250000000000007E-2</v>
      </c>
      <c r="BP101" s="157">
        <v>32</v>
      </c>
      <c r="BQ101" s="155">
        <v>0.8333333333333337</v>
      </c>
      <c r="BR101" s="156">
        <v>0.13888888888888901</v>
      </c>
      <c r="BS101" s="156">
        <v>2.7777777777777762E-2</v>
      </c>
      <c r="BT101" s="156">
        <v>0</v>
      </c>
      <c r="BU101" s="156">
        <v>0</v>
      </c>
      <c r="BV101" s="157">
        <v>36</v>
      </c>
      <c r="BW101" s="161">
        <v>0.55555555555555614</v>
      </c>
      <c r="BX101" s="156">
        <v>0.27777777777777801</v>
      </c>
      <c r="BY101" s="156">
        <v>0.11111111111111105</v>
      </c>
      <c r="BZ101" s="156">
        <v>5.5555555555555525E-2</v>
      </c>
      <c r="CA101" s="156">
        <v>0</v>
      </c>
      <c r="CB101" s="157">
        <v>36</v>
      </c>
      <c r="CC101" s="155">
        <v>1</v>
      </c>
      <c r="CD101" s="156">
        <v>0</v>
      </c>
      <c r="CE101" s="156">
        <v>0</v>
      </c>
      <c r="CF101" s="156">
        <v>0</v>
      </c>
      <c r="CG101" s="156">
        <v>0</v>
      </c>
      <c r="CH101" s="162">
        <v>7</v>
      </c>
      <c r="CI101" s="155">
        <v>0.99999999999999989</v>
      </c>
      <c r="CJ101" s="156">
        <v>0</v>
      </c>
      <c r="CK101" s="156">
        <v>0</v>
      </c>
      <c r="CL101" s="156">
        <v>0</v>
      </c>
      <c r="CM101" s="156">
        <v>0</v>
      </c>
      <c r="CN101" s="162">
        <v>3</v>
      </c>
      <c r="CO101" s="155">
        <v>0.54545454545454508</v>
      </c>
      <c r="CP101" s="156">
        <v>0.18181818181818174</v>
      </c>
      <c r="CQ101" s="156">
        <v>0.18181818181818174</v>
      </c>
      <c r="CR101" s="156">
        <v>9.090909090909087E-2</v>
      </c>
      <c r="CS101" s="156">
        <v>0</v>
      </c>
      <c r="CT101" s="162">
        <v>11</v>
      </c>
      <c r="CU101" s="155">
        <v>0.42857142857142866</v>
      </c>
      <c r="CV101" s="156">
        <v>0.3571428571428571</v>
      </c>
      <c r="CW101" s="156">
        <v>0.21428571428571433</v>
      </c>
      <c r="CX101" s="156">
        <v>0</v>
      </c>
      <c r="CY101" s="156">
        <v>0</v>
      </c>
      <c r="CZ101" s="162">
        <v>14</v>
      </c>
      <c r="DA101" s="155">
        <v>0.66666666666666674</v>
      </c>
      <c r="DB101" s="156">
        <v>0.24999999999999997</v>
      </c>
      <c r="DC101" s="156">
        <v>8.3333333333333343E-2</v>
      </c>
      <c r="DD101" s="156">
        <v>0</v>
      </c>
      <c r="DE101" s="156">
        <v>0</v>
      </c>
      <c r="DF101" s="162">
        <v>12</v>
      </c>
      <c r="DG101" s="155">
        <v>0.66666666666666674</v>
      </c>
      <c r="DH101" s="156">
        <v>0.22222222222222207</v>
      </c>
      <c r="DI101" s="156">
        <v>0.11111111111111104</v>
      </c>
      <c r="DJ101" s="156">
        <v>0</v>
      </c>
      <c r="DK101" s="156">
        <v>0</v>
      </c>
      <c r="DL101" s="162">
        <v>9</v>
      </c>
      <c r="DM101" s="155">
        <v>0.66666666666666674</v>
      </c>
      <c r="DN101" s="156">
        <v>0.16666666666666669</v>
      </c>
      <c r="DO101" s="156">
        <v>8.3333333333333343E-2</v>
      </c>
      <c r="DP101" s="156">
        <v>8.3333333333333343E-2</v>
      </c>
      <c r="DQ101" s="156">
        <v>0</v>
      </c>
      <c r="DR101" s="162">
        <v>12</v>
      </c>
      <c r="DS101" s="161">
        <v>0.7</v>
      </c>
      <c r="DT101" s="156">
        <v>0.2</v>
      </c>
      <c r="DU101" s="156">
        <v>0</v>
      </c>
      <c r="DV101" s="156">
        <v>0.1</v>
      </c>
      <c r="DW101" s="156">
        <v>0</v>
      </c>
      <c r="DX101" s="162">
        <v>10</v>
      </c>
      <c r="DY101" s="155">
        <v>0.97222222222222188</v>
      </c>
      <c r="DZ101" s="156">
        <v>0</v>
      </c>
      <c r="EA101" s="156">
        <v>2.7777777777777762E-2</v>
      </c>
      <c r="EB101" s="156">
        <v>0</v>
      </c>
      <c r="EC101" s="156">
        <v>0</v>
      </c>
      <c r="ED101" s="162">
        <v>36</v>
      </c>
      <c r="EE101" s="155">
        <v>0.99999999999999989</v>
      </c>
      <c r="EF101" s="156">
        <v>0</v>
      </c>
      <c r="EG101" s="156">
        <v>0</v>
      </c>
      <c r="EH101" s="156">
        <v>0</v>
      </c>
      <c r="EI101" s="156">
        <v>0</v>
      </c>
      <c r="EJ101" s="162">
        <v>6</v>
      </c>
      <c r="EK101" s="155">
        <v>0.83333333333333348</v>
      </c>
      <c r="EL101" s="156">
        <v>0.16666666666666669</v>
      </c>
      <c r="EM101" s="156">
        <v>0</v>
      </c>
      <c r="EN101" s="156">
        <v>0</v>
      </c>
      <c r="EO101" s="156">
        <v>0</v>
      </c>
      <c r="EP101" s="162">
        <v>12</v>
      </c>
      <c r="EQ101" s="155">
        <v>0.88888888888888828</v>
      </c>
      <c r="ER101" s="156">
        <v>3.7037037037037056E-2</v>
      </c>
      <c r="ES101" s="156">
        <v>7.4074074074074112E-2</v>
      </c>
      <c r="ET101" s="156">
        <v>0</v>
      </c>
      <c r="EU101" s="156">
        <v>0</v>
      </c>
      <c r="EV101" s="162">
        <v>27</v>
      </c>
      <c r="EW101" s="155">
        <v>0.9090909090909095</v>
      </c>
      <c r="EX101" s="156">
        <v>4.5454545454545435E-2</v>
      </c>
      <c r="EY101" s="156">
        <v>4.5454545454545435E-2</v>
      </c>
      <c r="EZ101" s="156">
        <v>0</v>
      </c>
      <c r="FA101" s="156">
        <v>0</v>
      </c>
      <c r="FB101" s="162">
        <v>22</v>
      </c>
      <c r="FC101" s="155">
        <v>0</v>
      </c>
      <c r="FD101" s="156">
        <v>0</v>
      </c>
      <c r="FE101" s="156">
        <v>0</v>
      </c>
      <c r="FF101" s="156">
        <v>0</v>
      </c>
      <c r="FG101" s="156">
        <v>0</v>
      </c>
      <c r="FH101" s="162">
        <v>0</v>
      </c>
      <c r="FI101" s="161">
        <v>0.66666666666666674</v>
      </c>
      <c r="FJ101" s="156">
        <v>0</v>
      </c>
      <c r="FK101" s="156">
        <v>0.33333333333333337</v>
      </c>
      <c r="FL101" s="156">
        <v>0</v>
      </c>
      <c r="FM101" s="156">
        <v>0</v>
      </c>
      <c r="FN101" s="162">
        <v>3</v>
      </c>
      <c r="FO101" s="155">
        <v>0</v>
      </c>
      <c r="FP101" s="156">
        <v>0</v>
      </c>
      <c r="FQ101" s="156">
        <v>0</v>
      </c>
      <c r="FR101" s="156">
        <v>0</v>
      </c>
      <c r="FS101" s="156">
        <v>0</v>
      </c>
      <c r="FT101" s="162">
        <v>0</v>
      </c>
      <c r="FU101" s="155">
        <v>0</v>
      </c>
      <c r="FV101" s="156">
        <v>0</v>
      </c>
      <c r="FW101" s="156">
        <v>0</v>
      </c>
      <c r="FX101" s="156">
        <v>0</v>
      </c>
      <c r="FY101" s="156">
        <v>0</v>
      </c>
      <c r="FZ101" s="162">
        <v>0</v>
      </c>
      <c r="GA101" s="161">
        <v>0</v>
      </c>
      <c r="GB101" s="156">
        <v>0</v>
      </c>
      <c r="GC101" s="156">
        <v>0</v>
      </c>
      <c r="GD101" s="156">
        <v>0</v>
      </c>
      <c r="GE101" s="156">
        <v>0</v>
      </c>
      <c r="GF101" s="162">
        <v>0</v>
      </c>
      <c r="GG101" s="158">
        <v>9.4117647058823586</v>
      </c>
      <c r="GH101" s="162">
        <v>34</v>
      </c>
      <c r="GI101" s="155">
        <v>0.69444444444444398</v>
      </c>
      <c r="GJ101" s="156">
        <v>0.19444444444444453</v>
      </c>
      <c r="GK101" s="156">
        <v>5.5555555555555525E-2</v>
      </c>
      <c r="GL101" s="156">
        <v>2.7777777777777762E-2</v>
      </c>
      <c r="GM101" s="156">
        <v>2.7777777777777762E-2</v>
      </c>
      <c r="GN101" s="162">
        <v>36</v>
      </c>
      <c r="GO101" s="155">
        <v>0.5555555555555558</v>
      </c>
      <c r="GP101" s="156">
        <v>0.33333333333333376</v>
      </c>
      <c r="GQ101" s="156">
        <v>8.3333333333333356E-2</v>
      </c>
      <c r="GR101" s="156">
        <v>0.11111111111111113</v>
      </c>
      <c r="GS101" s="162">
        <v>36</v>
      </c>
      <c r="GT101" s="163">
        <v>2.8055555555555567</v>
      </c>
      <c r="GU101" s="162">
        <v>36</v>
      </c>
      <c r="GV101" s="155">
        <v>0.88888888888888828</v>
      </c>
      <c r="GW101" s="156">
        <v>0.11111111111111104</v>
      </c>
      <c r="GX101" s="162">
        <v>9</v>
      </c>
      <c r="GY101" s="155">
        <v>1</v>
      </c>
      <c r="GZ101" s="156">
        <v>0</v>
      </c>
      <c r="HA101" s="162">
        <v>10</v>
      </c>
      <c r="HB101" s="155">
        <v>1</v>
      </c>
      <c r="HC101" s="156">
        <v>0</v>
      </c>
      <c r="HD101" s="162">
        <v>33</v>
      </c>
      <c r="HE101" s="161">
        <v>0.9375</v>
      </c>
      <c r="HF101" s="156">
        <v>6.2499999999999993E-2</v>
      </c>
      <c r="HG101" s="162">
        <v>16</v>
      </c>
      <c r="HH101" s="155">
        <v>0.51428571428571501</v>
      </c>
      <c r="HI101" s="156">
        <v>0.48571428571428621</v>
      </c>
      <c r="HJ101" s="162">
        <v>35</v>
      </c>
      <c r="HK101" s="155">
        <v>1</v>
      </c>
      <c r="HL101" s="156">
        <v>0</v>
      </c>
      <c r="HM101" s="162">
        <v>34</v>
      </c>
      <c r="HN101" s="161">
        <v>2.9411764705882349E-2</v>
      </c>
      <c r="HO101" s="156">
        <v>0.61764705882352955</v>
      </c>
      <c r="HP101" s="156">
        <v>0.17647058823529405</v>
      </c>
      <c r="HQ101" s="156">
        <v>0.1176470588235294</v>
      </c>
      <c r="HR101" s="156">
        <v>5.8823529411764698E-2</v>
      </c>
      <c r="HS101" s="160">
        <v>43.970588235294137</v>
      </c>
      <c r="HT101" s="164">
        <v>34</v>
      </c>
      <c r="HU101" s="165">
        <v>3.7037037037037035E-2</v>
      </c>
      <c r="HV101" s="166">
        <v>0.14814814814814814</v>
      </c>
      <c r="HW101" s="166">
        <v>7.407407407407407E-2</v>
      </c>
      <c r="HX101" s="166">
        <v>3.7037037037037035E-2</v>
      </c>
      <c r="HY101" s="166">
        <v>0.18518518518518517</v>
      </c>
      <c r="HZ101" s="166">
        <v>3.7037037037037035E-2</v>
      </c>
      <c r="IA101" s="166">
        <v>7.407407407407407E-2</v>
      </c>
      <c r="IB101" s="166">
        <v>0.1111111111111111</v>
      </c>
      <c r="IC101" s="166">
        <v>0.1111111111111111</v>
      </c>
      <c r="ID101" s="166">
        <v>0.18518518518518517</v>
      </c>
      <c r="IE101" s="167">
        <v>27</v>
      </c>
      <c r="IF101" s="155">
        <v>0</v>
      </c>
      <c r="IG101" s="156">
        <v>0</v>
      </c>
      <c r="IH101" s="156">
        <v>0</v>
      </c>
      <c r="II101" s="156">
        <v>0</v>
      </c>
      <c r="IJ101" s="156">
        <v>0</v>
      </c>
      <c r="IK101" s="162">
        <v>0</v>
      </c>
      <c r="IL101" s="155">
        <v>0</v>
      </c>
      <c r="IM101" s="156">
        <v>0</v>
      </c>
      <c r="IN101" s="156">
        <v>2.8571428571428598E-2</v>
      </c>
      <c r="IO101" s="156">
        <v>0.97142857142857209</v>
      </c>
      <c r="IP101" s="156">
        <v>0</v>
      </c>
      <c r="IQ101" s="162">
        <v>35</v>
      </c>
      <c r="IR101" s="155">
        <v>8.5714285714285729E-2</v>
      </c>
      <c r="IS101" s="156">
        <v>0.91428571428571448</v>
      </c>
      <c r="IT101" s="162">
        <v>35</v>
      </c>
      <c r="IU101" s="161">
        <v>0</v>
      </c>
      <c r="IV101" s="156">
        <v>0.33333333333333326</v>
      </c>
      <c r="IW101" s="156">
        <v>0.66666666666666652</v>
      </c>
      <c r="IX101" s="162">
        <v>3</v>
      </c>
    </row>
    <row r="102" spans="1:258" ht="32.1" customHeight="1" x14ac:dyDescent="0.25">
      <c r="A102" s="110" t="s">
        <v>453</v>
      </c>
      <c r="B102" s="108" t="s">
        <v>578</v>
      </c>
      <c r="C102" s="108" t="s">
        <v>454</v>
      </c>
      <c r="D102" s="109">
        <v>1623</v>
      </c>
      <c r="E102" s="139" t="s">
        <v>554</v>
      </c>
      <c r="F102" s="155">
        <v>0.12500000000000003</v>
      </c>
      <c r="G102" s="156">
        <v>0.875</v>
      </c>
      <c r="H102" s="157">
        <v>32</v>
      </c>
      <c r="I102" s="155">
        <v>0.6666666666666673</v>
      </c>
      <c r="J102" s="156">
        <v>0.33333333333333365</v>
      </c>
      <c r="K102" s="157">
        <v>27</v>
      </c>
      <c r="L102" s="155">
        <v>0.73684210526315819</v>
      </c>
      <c r="M102" s="156">
        <v>0.2631578947368422</v>
      </c>
      <c r="N102" s="157">
        <v>19</v>
      </c>
      <c r="O102" s="155">
        <v>0.32258064516129054</v>
      </c>
      <c r="P102" s="156">
        <v>0.25806451612903225</v>
      </c>
      <c r="Q102" s="156">
        <v>0.22580645161290325</v>
      </c>
      <c r="R102" s="156">
        <v>6.4516129032258063E-2</v>
      </c>
      <c r="S102" s="156">
        <v>0.38709677419354849</v>
      </c>
      <c r="T102" s="156">
        <v>3.2258064516129031E-2</v>
      </c>
      <c r="U102" s="156">
        <v>3.2258064516129031E-2</v>
      </c>
      <c r="V102" s="156">
        <v>9.6774193548387122E-2</v>
      </c>
      <c r="W102" s="156">
        <v>0.12903225806451613</v>
      </c>
      <c r="X102" s="156">
        <v>0.8064516129032252</v>
      </c>
      <c r="Y102" s="157">
        <v>31</v>
      </c>
      <c r="Z102" s="155">
        <v>0.41379310344827586</v>
      </c>
      <c r="AA102" s="156">
        <v>0.68965517241379348</v>
      </c>
      <c r="AB102" s="156">
        <v>0.34482758620689674</v>
      </c>
      <c r="AC102" s="156">
        <v>0.41379310344827586</v>
      </c>
      <c r="AD102" s="156">
        <v>0.10344827586206896</v>
      </c>
      <c r="AE102" s="156">
        <v>6.8965517241379393E-2</v>
      </c>
      <c r="AF102" s="157">
        <v>29</v>
      </c>
      <c r="AG102" s="158">
        <v>9.7500000000000018</v>
      </c>
      <c r="AH102" s="159">
        <v>32</v>
      </c>
      <c r="AI102" s="160">
        <v>9.8064516129032295</v>
      </c>
      <c r="AJ102" s="159">
        <v>31</v>
      </c>
      <c r="AK102" s="160">
        <v>9.7096774193548381</v>
      </c>
      <c r="AL102" s="157">
        <v>31</v>
      </c>
      <c r="AM102" s="155">
        <v>0.75</v>
      </c>
      <c r="AN102" s="156">
        <v>0.21875000000000003</v>
      </c>
      <c r="AO102" s="156">
        <v>0</v>
      </c>
      <c r="AP102" s="156">
        <v>3.1250000000000007E-2</v>
      </c>
      <c r="AQ102" s="156">
        <v>0</v>
      </c>
      <c r="AR102" s="157">
        <v>32</v>
      </c>
      <c r="AS102" s="155">
        <v>0.90625000000000011</v>
      </c>
      <c r="AT102" s="156">
        <v>9.3750000000000014E-2</v>
      </c>
      <c r="AU102" s="156">
        <v>0</v>
      </c>
      <c r="AV102" s="156">
        <v>0</v>
      </c>
      <c r="AW102" s="156">
        <v>0</v>
      </c>
      <c r="AX102" s="157">
        <v>32</v>
      </c>
      <c r="AY102" s="155">
        <v>0.9375</v>
      </c>
      <c r="AZ102" s="156">
        <v>6.2500000000000014E-2</v>
      </c>
      <c r="BA102" s="156">
        <v>0</v>
      </c>
      <c r="BB102" s="156">
        <v>0</v>
      </c>
      <c r="BC102" s="156">
        <v>0</v>
      </c>
      <c r="BD102" s="157">
        <v>32</v>
      </c>
      <c r="BE102" s="155">
        <v>0.90625000000000011</v>
      </c>
      <c r="BF102" s="156">
        <v>9.3750000000000014E-2</v>
      </c>
      <c r="BG102" s="156">
        <v>0</v>
      </c>
      <c r="BH102" s="156">
        <v>0</v>
      </c>
      <c r="BI102" s="156">
        <v>0</v>
      </c>
      <c r="BJ102" s="157">
        <v>32</v>
      </c>
      <c r="BK102" s="155">
        <v>0.83333333333333348</v>
      </c>
      <c r="BL102" s="156">
        <v>6.6666666666666652E-2</v>
      </c>
      <c r="BM102" s="156">
        <v>6.6666666666666652E-2</v>
      </c>
      <c r="BN102" s="156">
        <v>3.3333333333333326E-2</v>
      </c>
      <c r="BO102" s="156">
        <v>0</v>
      </c>
      <c r="BP102" s="157">
        <v>30</v>
      </c>
      <c r="BQ102" s="155">
        <v>0.90322580645161321</v>
      </c>
      <c r="BR102" s="156">
        <v>9.6774193548387177E-2</v>
      </c>
      <c r="BS102" s="156">
        <v>0</v>
      </c>
      <c r="BT102" s="156">
        <v>0</v>
      </c>
      <c r="BU102" s="156">
        <v>0</v>
      </c>
      <c r="BV102" s="157">
        <v>31</v>
      </c>
      <c r="BW102" s="161">
        <v>0.85185185185185208</v>
      </c>
      <c r="BX102" s="156">
        <v>3.7037037037037063E-2</v>
      </c>
      <c r="BY102" s="156">
        <v>7.4074074074074125E-2</v>
      </c>
      <c r="BZ102" s="156">
        <v>0</v>
      </c>
      <c r="CA102" s="156">
        <v>3.7037037037037063E-2</v>
      </c>
      <c r="CB102" s="157">
        <v>27</v>
      </c>
      <c r="CC102" s="155">
        <v>0.66666666666666685</v>
      </c>
      <c r="CD102" s="156">
        <v>0.33333333333333343</v>
      </c>
      <c r="CE102" s="156">
        <v>0</v>
      </c>
      <c r="CF102" s="156">
        <v>0</v>
      </c>
      <c r="CG102" s="156">
        <v>0</v>
      </c>
      <c r="CH102" s="162">
        <v>12</v>
      </c>
      <c r="CI102" s="155">
        <v>0.3</v>
      </c>
      <c r="CJ102" s="156">
        <v>0.3</v>
      </c>
      <c r="CK102" s="156">
        <v>0.1</v>
      </c>
      <c r="CL102" s="156">
        <v>0.2</v>
      </c>
      <c r="CM102" s="156">
        <v>0.1</v>
      </c>
      <c r="CN102" s="162">
        <v>10</v>
      </c>
      <c r="CO102" s="155">
        <v>0.42857142857142883</v>
      </c>
      <c r="CP102" s="156">
        <v>0.35714285714285748</v>
      </c>
      <c r="CQ102" s="156">
        <v>7.1428571428571411E-2</v>
      </c>
      <c r="CR102" s="156">
        <v>0.14285714285714282</v>
      </c>
      <c r="CS102" s="156">
        <v>0</v>
      </c>
      <c r="CT102" s="162">
        <v>14</v>
      </c>
      <c r="CU102" s="155">
        <v>0.28571428571428564</v>
      </c>
      <c r="CV102" s="156">
        <v>0.57142857142857129</v>
      </c>
      <c r="CW102" s="156">
        <v>7.1428571428571411E-2</v>
      </c>
      <c r="CX102" s="156">
        <v>7.1428571428571411E-2</v>
      </c>
      <c r="CY102" s="156">
        <v>0</v>
      </c>
      <c r="CZ102" s="162">
        <v>14</v>
      </c>
      <c r="DA102" s="155">
        <v>0.28571428571428559</v>
      </c>
      <c r="DB102" s="156">
        <v>0.42857142857142866</v>
      </c>
      <c r="DC102" s="156">
        <v>0.28571428571428559</v>
      </c>
      <c r="DD102" s="156">
        <v>0</v>
      </c>
      <c r="DE102" s="156">
        <v>0</v>
      </c>
      <c r="DF102" s="162">
        <v>7</v>
      </c>
      <c r="DG102" s="155">
        <v>0.49999999999999994</v>
      </c>
      <c r="DH102" s="156">
        <v>0.33333333333333343</v>
      </c>
      <c r="DI102" s="156">
        <v>0.16666666666666671</v>
      </c>
      <c r="DJ102" s="156">
        <v>0</v>
      </c>
      <c r="DK102" s="156">
        <v>0</v>
      </c>
      <c r="DL102" s="162">
        <v>6</v>
      </c>
      <c r="DM102" s="155">
        <v>0.37499999999999994</v>
      </c>
      <c r="DN102" s="156">
        <v>0.37499999999999994</v>
      </c>
      <c r="DO102" s="156">
        <v>0</v>
      </c>
      <c r="DP102" s="156">
        <v>0.12499999999999999</v>
      </c>
      <c r="DQ102" s="156">
        <v>0.12499999999999999</v>
      </c>
      <c r="DR102" s="162">
        <v>8</v>
      </c>
      <c r="DS102" s="161">
        <v>0.4444444444444442</v>
      </c>
      <c r="DT102" s="156">
        <v>0.4444444444444442</v>
      </c>
      <c r="DU102" s="156">
        <v>0.11111111111111105</v>
      </c>
      <c r="DV102" s="156">
        <v>0</v>
      </c>
      <c r="DW102" s="156">
        <v>0</v>
      </c>
      <c r="DX102" s="162">
        <v>9</v>
      </c>
      <c r="DY102" s="155">
        <v>0.82758620689655193</v>
      </c>
      <c r="DZ102" s="156">
        <v>0.17241379310344832</v>
      </c>
      <c r="EA102" s="156">
        <v>0</v>
      </c>
      <c r="EB102" s="156">
        <v>0</v>
      </c>
      <c r="EC102" s="156">
        <v>0</v>
      </c>
      <c r="ED102" s="162">
        <v>29</v>
      </c>
      <c r="EE102" s="155">
        <v>0.69230769230769251</v>
      </c>
      <c r="EF102" s="156">
        <v>0.30769230769230743</v>
      </c>
      <c r="EG102" s="156">
        <v>0</v>
      </c>
      <c r="EH102" s="156">
        <v>0</v>
      </c>
      <c r="EI102" s="156">
        <v>0</v>
      </c>
      <c r="EJ102" s="162">
        <v>13</v>
      </c>
      <c r="EK102" s="155">
        <v>0.80000000000000016</v>
      </c>
      <c r="EL102" s="156">
        <v>0.20000000000000004</v>
      </c>
      <c r="EM102" s="156">
        <v>0</v>
      </c>
      <c r="EN102" s="156">
        <v>0</v>
      </c>
      <c r="EO102" s="156">
        <v>0</v>
      </c>
      <c r="EP102" s="162">
        <v>15</v>
      </c>
      <c r="EQ102" s="155">
        <v>0.72727272727272718</v>
      </c>
      <c r="ER102" s="156">
        <v>0.22727272727272743</v>
      </c>
      <c r="ES102" s="156">
        <v>0</v>
      </c>
      <c r="ET102" s="156">
        <v>0</v>
      </c>
      <c r="EU102" s="156">
        <v>4.5454545454545484E-2</v>
      </c>
      <c r="EV102" s="162">
        <v>22</v>
      </c>
      <c r="EW102" s="155">
        <v>0.86956521739130477</v>
      </c>
      <c r="EX102" s="156">
        <v>0.13043478260869565</v>
      </c>
      <c r="EY102" s="156">
        <v>0</v>
      </c>
      <c r="EZ102" s="156">
        <v>0</v>
      </c>
      <c r="FA102" s="156">
        <v>0</v>
      </c>
      <c r="FB102" s="162">
        <v>23</v>
      </c>
      <c r="FC102" s="155">
        <v>0.54545454545454519</v>
      </c>
      <c r="FD102" s="156">
        <v>0.1818181818181818</v>
      </c>
      <c r="FE102" s="156">
        <v>0.1818181818181818</v>
      </c>
      <c r="FF102" s="156">
        <v>0</v>
      </c>
      <c r="FG102" s="156">
        <v>9.0909090909090898E-2</v>
      </c>
      <c r="FH102" s="162">
        <v>11</v>
      </c>
      <c r="FI102" s="161">
        <v>0.55555555555555591</v>
      </c>
      <c r="FJ102" s="156">
        <v>0.2222222222222221</v>
      </c>
      <c r="FK102" s="156">
        <v>0.2222222222222221</v>
      </c>
      <c r="FL102" s="156">
        <v>0</v>
      </c>
      <c r="FM102" s="156">
        <v>0</v>
      </c>
      <c r="FN102" s="162">
        <v>9</v>
      </c>
      <c r="FO102" s="155">
        <v>0</v>
      </c>
      <c r="FP102" s="156">
        <v>0</v>
      </c>
      <c r="FQ102" s="156">
        <v>0</v>
      </c>
      <c r="FR102" s="156">
        <v>0</v>
      </c>
      <c r="FS102" s="156">
        <v>0</v>
      </c>
      <c r="FT102" s="162">
        <v>0</v>
      </c>
      <c r="FU102" s="155">
        <v>0</v>
      </c>
      <c r="FV102" s="156">
        <v>0</v>
      </c>
      <c r="FW102" s="156">
        <v>0</v>
      </c>
      <c r="FX102" s="156">
        <v>0</v>
      </c>
      <c r="FY102" s="156">
        <v>0</v>
      </c>
      <c r="FZ102" s="162">
        <v>0</v>
      </c>
      <c r="GA102" s="161">
        <v>0</v>
      </c>
      <c r="GB102" s="156">
        <v>0</v>
      </c>
      <c r="GC102" s="156">
        <v>0</v>
      </c>
      <c r="GD102" s="156">
        <v>0</v>
      </c>
      <c r="GE102" s="156">
        <v>0</v>
      </c>
      <c r="GF102" s="162">
        <v>0</v>
      </c>
      <c r="GG102" s="158">
        <v>9.5000000000000018</v>
      </c>
      <c r="GH102" s="162">
        <v>30</v>
      </c>
      <c r="GI102" s="155">
        <v>0.15625000000000003</v>
      </c>
      <c r="GJ102" s="156">
        <v>0.62500000000000011</v>
      </c>
      <c r="GK102" s="156">
        <v>0.15625000000000003</v>
      </c>
      <c r="GL102" s="156">
        <v>0</v>
      </c>
      <c r="GM102" s="156">
        <v>6.2500000000000014E-2</v>
      </c>
      <c r="GN102" s="162">
        <v>32</v>
      </c>
      <c r="GO102" s="155">
        <v>0.53571428571428592</v>
      </c>
      <c r="GP102" s="156">
        <v>0.25000000000000006</v>
      </c>
      <c r="GQ102" s="156">
        <v>0.21428571428571441</v>
      </c>
      <c r="GR102" s="156">
        <v>0.21428571428571441</v>
      </c>
      <c r="GS102" s="162">
        <v>28</v>
      </c>
      <c r="GT102" s="163">
        <v>2.5000000000000004</v>
      </c>
      <c r="GU102" s="162">
        <v>32</v>
      </c>
      <c r="GV102" s="155">
        <v>0.875</v>
      </c>
      <c r="GW102" s="156">
        <v>0.12499999999999999</v>
      </c>
      <c r="GX102" s="162">
        <v>8</v>
      </c>
      <c r="GY102" s="155">
        <v>1</v>
      </c>
      <c r="GZ102" s="156">
        <v>0</v>
      </c>
      <c r="HA102" s="162">
        <v>20</v>
      </c>
      <c r="HB102" s="155">
        <v>0.96428571428571441</v>
      </c>
      <c r="HC102" s="156">
        <v>3.5714285714285726E-2</v>
      </c>
      <c r="HD102" s="162">
        <v>28</v>
      </c>
      <c r="HE102" s="161">
        <v>0.95652173913043481</v>
      </c>
      <c r="HF102" s="156">
        <v>4.3478260869565272E-2</v>
      </c>
      <c r="HG102" s="162">
        <v>23</v>
      </c>
      <c r="HH102" s="155">
        <v>0.48275862068965558</v>
      </c>
      <c r="HI102" s="156">
        <v>0.51724137931034475</v>
      </c>
      <c r="HJ102" s="162">
        <v>29</v>
      </c>
      <c r="HK102" s="155">
        <v>0.96296296296296358</v>
      </c>
      <c r="HL102" s="156">
        <v>3.7037037037037063E-2</v>
      </c>
      <c r="HM102" s="162">
        <v>27</v>
      </c>
      <c r="HN102" s="161">
        <v>0.1923076923076924</v>
      </c>
      <c r="HO102" s="156">
        <v>0.1923076923076924</v>
      </c>
      <c r="HP102" s="156">
        <v>0.26923076923076933</v>
      </c>
      <c r="HQ102" s="156">
        <v>0.23076923076923092</v>
      </c>
      <c r="HR102" s="156">
        <v>0.11538461538461546</v>
      </c>
      <c r="HS102" s="160">
        <v>51.307692307692356</v>
      </c>
      <c r="HT102" s="164">
        <v>26</v>
      </c>
      <c r="HU102" s="165">
        <v>0.24</v>
      </c>
      <c r="HV102" s="166">
        <v>0</v>
      </c>
      <c r="HW102" s="166">
        <v>0.24</v>
      </c>
      <c r="HX102" s="166">
        <v>0.08</v>
      </c>
      <c r="HY102" s="166">
        <v>0.12</v>
      </c>
      <c r="HZ102" s="166">
        <v>0.04</v>
      </c>
      <c r="IA102" s="166">
        <v>0.04</v>
      </c>
      <c r="IB102" s="166">
        <v>0.16</v>
      </c>
      <c r="IC102" s="166">
        <v>0</v>
      </c>
      <c r="ID102" s="166">
        <v>0.08</v>
      </c>
      <c r="IE102" s="167">
        <v>25</v>
      </c>
      <c r="IF102" s="155">
        <v>0</v>
      </c>
      <c r="IG102" s="156">
        <v>0</v>
      </c>
      <c r="IH102" s="156">
        <v>1</v>
      </c>
      <c r="II102" s="156">
        <v>0</v>
      </c>
      <c r="IJ102" s="156">
        <v>0</v>
      </c>
      <c r="IK102" s="162">
        <v>1</v>
      </c>
      <c r="IL102" s="155">
        <v>3.4482758620689676E-2</v>
      </c>
      <c r="IM102" s="156">
        <v>0</v>
      </c>
      <c r="IN102" s="156">
        <v>3.4482758620689676E-2</v>
      </c>
      <c r="IO102" s="156">
        <v>0.93103448275862011</v>
      </c>
      <c r="IP102" s="156">
        <v>0</v>
      </c>
      <c r="IQ102" s="162">
        <v>29</v>
      </c>
      <c r="IR102" s="155">
        <v>0.11111111111111123</v>
      </c>
      <c r="IS102" s="156">
        <v>0.8888888888888884</v>
      </c>
      <c r="IT102" s="162">
        <v>27</v>
      </c>
      <c r="IU102" s="161">
        <v>0</v>
      </c>
      <c r="IV102" s="156">
        <v>0</v>
      </c>
      <c r="IW102" s="156">
        <v>1</v>
      </c>
      <c r="IX102" s="162">
        <v>3</v>
      </c>
    </row>
    <row r="103" spans="1:258" ht="32.1" customHeight="1" x14ac:dyDescent="0.25">
      <c r="A103" s="110" t="s">
        <v>527</v>
      </c>
      <c r="B103" s="108" t="s">
        <v>527</v>
      </c>
      <c r="C103" s="108" t="s">
        <v>454</v>
      </c>
      <c r="D103" s="109">
        <v>1741</v>
      </c>
      <c r="E103" s="139" t="s">
        <v>555</v>
      </c>
      <c r="F103" s="155">
        <v>0.4285714285714286</v>
      </c>
      <c r="G103" s="156">
        <v>0.57142857142857129</v>
      </c>
      <c r="H103" s="157">
        <v>21</v>
      </c>
      <c r="I103" s="155">
        <v>0.81818181818181801</v>
      </c>
      <c r="J103" s="156">
        <v>0.18181818181818182</v>
      </c>
      <c r="K103" s="157">
        <v>11</v>
      </c>
      <c r="L103" s="155">
        <v>0.62499999999999989</v>
      </c>
      <c r="M103" s="156">
        <v>0.375</v>
      </c>
      <c r="N103" s="157">
        <v>8</v>
      </c>
      <c r="O103" s="155">
        <v>9.0909090909090884E-2</v>
      </c>
      <c r="P103" s="156">
        <v>0.18181818181818177</v>
      </c>
      <c r="Q103" s="156">
        <v>0.5</v>
      </c>
      <c r="R103" s="156">
        <v>4.5454545454545442E-2</v>
      </c>
      <c r="S103" s="156">
        <v>0.31818181818181829</v>
      </c>
      <c r="T103" s="156">
        <v>0.18181818181818177</v>
      </c>
      <c r="U103" s="156">
        <v>0</v>
      </c>
      <c r="V103" s="156">
        <v>0</v>
      </c>
      <c r="W103" s="156">
        <v>0</v>
      </c>
      <c r="X103" s="156">
        <v>0</v>
      </c>
      <c r="Y103" s="157">
        <v>22</v>
      </c>
      <c r="Z103" s="155">
        <v>0.61111111111111083</v>
      </c>
      <c r="AA103" s="156">
        <v>0.27777777777777773</v>
      </c>
      <c r="AB103" s="156">
        <v>0.38888888888888906</v>
      </c>
      <c r="AC103" s="156">
        <v>0.1666666666666666</v>
      </c>
      <c r="AD103" s="156">
        <v>5.5555555555555573E-2</v>
      </c>
      <c r="AE103" s="156">
        <v>0.1666666666666666</v>
      </c>
      <c r="AF103" s="157">
        <v>18</v>
      </c>
      <c r="AG103" s="158">
        <v>9.9047619047618998</v>
      </c>
      <c r="AH103" s="159">
        <v>21</v>
      </c>
      <c r="AI103" s="160">
        <v>9.9047619047618998</v>
      </c>
      <c r="AJ103" s="159">
        <v>21</v>
      </c>
      <c r="AK103" s="160">
        <v>9.8823529411764657</v>
      </c>
      <c r="AL103" s="157">
        <v>17</v>
      </c>
      <c r="AM103" s="155">
        <v>0.88888888888888895</v>
      </c>
      <c r="AN103" s="156">
        <v>0</v>
      </c>
      <c r="AO103" s="156">
        <v>5.5555555555555559E-2</v>
      </c>
      <c r="AP103" s="156">
        <v>5.5555555555555559E-2</v>
      </c>
      <c r="AQ103" s="156">
        <v>0</v>
      </c>
      <c r="AR103" s="157">
        <v>18</v>
      </c>
      <c r="AS103" s="155">
        <v>0.952380952380952</v>
      </c>
      <c r="AT103" s="156">
        <v>4.7619047619047603E-2</v>
      </c>
      <c r="AU103" s="156">
        <v>0</v>
      </c>
      <c r="AV103" s="156">
        <v>0</v>
      </c>
      <c r="AW103" s="156">
        <v>0</v>
      </c>
      <c r="AX103" s="157">
        <v>21</v>
      </c>
      <c r="AY103" s="155">
        <v>0.95</v>
      </c>
      <c r="AZ103" s="156">
        <v>0.05</v>
      </c>
      <c r="BA103" s="156">
        <v>0</v>
      </c>
      <c r="BB103" s="156">
        <v>0</v>
      </c>
      <c r="BC103" s="156">
        <v>0</v>
      </c>
      <c r="BD103" s="157">
        <v>20</v>
      </c>
      <c r="BE103" s="155">
        <v>0.95</v>
      </c>
      <c r="BF103" s="156">
        <v>0.05</v>
      </c>
      <c r="BG103" s="156">
        <v>0</v>
      </c>
      <c r="BH103" s="156">
        <v>0</v>
      </c>
      <c r="BI103" s="156">
        <v>0</v>
      </c>
      <c r="BJ103" s="157">
        <v>20</v>
      </c>
      <c r="BK103" s="155">
        <v>0.94444444444444398</v>
      </c>
      <c r="BL103" s="156">
        <v>5.5555555555555559E-2</v>
      </c>
      <c r="BM103" s="156">
        <v>0</v>
      </c>
      <c r="BN103" s="156">
        <v>0</v>
      </c>
      <c r="BO103" s="156">
        <v>0</v>
      </c>
      <c r="BP103" s="157">
        <v>18</v>
      </c>
      <c r="BQ103" s="155">
        <v>0.99999999999999989</v>
      </c>
      <c r="BR103" s="156">
        <v>0</v>
      </c>
      <c r="BS103" s="156">
        <v>0</v>
      </c>
      <c r="BT103" s="156">
        <v>0</v>
      </c>
      <c r="BU103" s="156">
        <v>0</v>
      </c>
      <c r="BV103" s="157">
        <v>20</v>
      </c>
      <c r="BW103" s="161">
        <v>0.8</v>
      </c>
      <c r="BX103" s="156">
        <v>0.2</v>
      </c>
      <c r="BY103" s="156">
        <v>0</v>
      </c>
      <c r="BZ103" s="156">
        <v>0</v>
      </c>
      <c r="CA103" s="156">
        <v>0</v>
      </c>
      <c r="CB103" s="157">
        <v>5</v>
      </c>
      <c r="CC103" s="155">
        <v>1</v>
      </c>
      <c r="CD103" s="156">
        <v>0</v>
      </c>
      <c r="CE103" s="156">
        <v>0</v>
      </c>
      <c r="CF103" s="156">
        <v>0</v>
      </c>
      <c r="CG103" s="156">
        <v>0</v>
      </c>
      <c r="CH103" s="162">
        <v>3</v>
      </c>
      <c r="CI103" s="155">
        <v>1</v>
      </c>
      <c r="CJ103" s="156">
        <v>0</v>
      </c>
      <c r="CK103" s="156">
        <v>0</v>
      </c>
      <c r="CL103" s="156">
        <v>0</v>
      </c>
      <c r="CM103" s="156">
        <v>0</v>
      </c>
      <c r="CN103" s="162">
        <v>3</v>
      </c>
      <c r="CO103" s="155">
        <v>0.8</v>
      </c>
      <c r="CP103" s="156">
        <v>0.2</v>
      </c>
      <c r="CQ103" s="156">
        <v>0</v>
      </c>
      <c r="CR103" s="156">
        <v>0</v>
      </c>
      <c r="CS103" s="156">
        <v>0</v>
      </c>
      <c r="CT103" s="162">
        <v>5</v>
      </c>
      <c r="CU103" s="155">
        <v>0.99999999999999989</v>
      </c>
      <c r="CV103" s="156">
        <v>0</v>
      </c>
      <c r="CW103" s="156">
        <v>0</v>
      </c>
      <c r="CX103" s="156">
        <v>0</v>
      </c>
      <c r="CY103" s="156">
        <v>0</v>
      </c>
      <c r="CZ103" s="162">
        <v>5</v>
      </c>
      <c r="DA103" s="155">
        <v>0.83333333333333315</v>
      </c>
      <c r="DB103" s="156">
        <v>0</v>
      </c>
      <c r="DC103" s="156">
        <v>0.16666666666666671</v>
      </c>
      <c r="DD103" s="156">
        <v>0</v>
      </c>
      <c r="DE103" s="156">
        <v>0</v>
      </c>
      <c r="DF103" s="162">
        <v>6</v>
      </c>
      <c r="DG103" s="155">
        <v>1</v>
      </c>
      <c r="DH103" s="156">
        <v>0</v>
      </c>
      <c r="DI103" s="156">
        <v>0</v>
      </c>
      <c r="DJ103" s="156">
        <v>0</v>
      </c>
      <c r="DK103" s="156">
        <v>0</v>
      </c>
      <c r="DL103" s="162">
        <v>2</v>
      </c>
      <c r="DM103" s="155">
        <v>1</v>
      </c>
      <c r="DN103" s="156">
        <v>0</v>
      </c>
      <c r="DO103" s="156">
        <v>0</v>
      </c>
      <c r="DP103" s="156">
        <v>0</v>
      </c>
      <c r="DQ103" s="156">
        <v>0</v>
      </c>
      <c r="DR103" s="162">
        <v>3</v>
      </c>
      <c r="DS103" s="161">
        <v>1</v>
      </c>
      <c r="DT103" s="156">
        <v>0</v>
      </c>
      <c r="DU103" s="156">
        <v>0</v>
      </c>
      <c r="DV103" s="156">
        <v>0</v>
      </c>
      <c r="DW103" s="156">
        <v>0</v>
      </c>
      <c r="DX103" s="162">
        <v>1</v>
      </c>
      <c r="DY103" s="155">
        <v>1.0000000000000002</v>
      </c>
      <c r="DZ103" s="156">
        <v>0</v>
      </c>
      <c r="EA103" s="156">
        <v>0</v>
      </c>
      <c r="EB103" s="156">
        <v>0</v>
      </c>
      <c r="EC103" s="156">
        <v>0</v>
      </c>
      <c r="ED103" s="162">
        <v>17</v>
      </c>
      <c r="EE103" s="155">
        <v>0.92307692307692324</v>
      </c>
      <c r="EF103" s="156">
        <v>7.69230769230769E-2</v>
      </c>
      <c r="EG103" s="156">
        <v>0</v>
      </c>
      <c r="EH103" s="156">
        <v>0</v>
      </c>
      <c r="EI103" s="156">
        <v>0</v>
      </c>
      <c r="EJ103" s="162">
        <v>13</v>
      </c>
      <c r="EK103" s="155">
        <v>0.91666666666666685</v>
      </c>
      <c r="EL103" s="156">
        <v>0</v>
      </c>
      <c r="EM103" s="156">
        <v>8.3333333333333356E-2</v>
      </c>
      <c r="EN103" s="156">
        <v>0</v>
      </c>
      <c r="EO103" s="156">
        <v>0</v>
      </c>
      <c r="EP103" s="162">
        <v>12</v>
      </c>
      <c r="EQ103" s="155">
        <v>0.85714285714285721</v>
      </c>
      <c r="ER103" s="156">
        <v>0.14285714285714282</v>
      </c>
      <c r="ES103" s="156">
        <v>0</v>
      </c>
      <c r="ET103" s="156">
        <v>0</v>
      </c>
      <c r="EU103" s="156">
        <v>0</v>
      </c>
      <c r="EV103" s="162">
        <v>7</v>
      </c>
      <c r="EW103" s="155">
        <v>0.85714285714285721</v>
      </c>
      <c r="EX103" s="156">
        <v>0.14285714285714282</v>
      </c>
      <c r="EY103" s="156">
        <v>0</v>
      </c>
      <c r="EZ103" s="156">
        <v>0</v>
      </c>
      <c r="FA103" s="156">
        <v>0</v>
      </c>
      <c r="FB103" s="162">
        <v>7</v>
      </c>
      <c r="FC103" s="155">
        <v>0.99999999999999989</v>
      </c>
      <c r="FD103" s="156">
        <v>0</v>
      </c>
      <c r="FE103" s="156">
        <v>0</v>
      </c>
      <c r="FF103" s="156">
        <v>0</v>
      </c>
      <c r="FG103" s="156">
        <v>0</v>
      </c>
      <c r="FH103" s="162">
        <v>5</v>
      </c>
      <c r="FI103" s="161">
        <v>1</v>
      </c>
      <c r="FJ103" s="156">
        <v>0</v>
      </c>
      <c r="FK103" s="156">
        <v>0</v>
      </c>
      <c r="FL103" s="156">
        <v>0</v>
      </c>
      <c r="FM103" s="156">
        <v>0</v>
      </c>
      <c r="FN103" s="162">
        <v>3</v>
      </c>
      <c r="FO103" s="155">
        <v>0</v>
      </c>
      <c r="FP103" s="156">
        <v>0</v>
      </c>
      <c r="FQ103" s="156">
        <v>0</v>
      </c>
      <c r="FR103" s="156">
        <v>0</v>
      </c>
      <c r="FS103" s="156">
        <v>0</v>
      </c>
      <c r="FT103" s="162">
        <v>0</v>
      </c>
      <c r="FU103" s="155">
        <v>0</v>
      </c>
      <c r="FV103" s="156">
        <v>0</v>
      </c>
      <c r="FW103" s="156">
        <v>0</v>
      </c>
      <c r="FX103" s="156">
        <v>0</v>
      </c>
      <c r="FY103" s="156">
        <v>0</v>
      </c>
      <c r="FZ103" s="162">
        <v>0</v>
      </c>
      <c r="GA103" s="161">
        <v>0</v>
      </c>
      <c r="GB103" s="156">
        <v>0</v>
      </c>
      <c r="GC103" s="156">
        <v>0</v>
      </c>
      <c r="GD103" s="156">
        <v>0</v>
      </c>
      <c r="GE103" s="156">
        <v>0</v>
      </c>
      <c r="GF103" s="162">
        <v>0</v>
      </c>
      <c r="GG103" s="158">
        <v>9.6923076923076863</v>
      </c>
      <c r="GH103" s="162">
        <v>13</v>
      </c>
      <c r="GI103" s="155">
        <v>0.80952380952380965</v>
      </c>
      <c r="GJ103" s="156">
        <v>9.5238095238095205E-2</v>
      </c>
      <c r="GK103" s="156">
        <v>4.7619047619047603E-2</v>
      </c>
      <c r="GL103" s="156">
        <v>0</v>
      </c>
      <c r="GM103" s="156">
        <v>4.7619047619047603E-2</v>
      </c>
      <c r="GN103" s="162">
        <v>21</v>
      </c>
      <c r="GO103" s="155">
        <v>0.2631578947368422</v>
      </c>
      <c r="GP103" s="156">
        <v>0.5263157894736844</v>
      </c>
      <c r="GQ103" s="156">
        <v>0.31578947368421056</v>
      </c>
      <c r="GR103" s="156">
        <v>0.15789473684210528</v>
      </c>
      <c r="GS103" s="162">
        <v>19</v>
      </c>
      <c r="GT103" s="163">
        <v>1.8823529411764708</v>
      </c>
      <c r="GU103" s="162">
        <v>17</v>
      </c>
      <c r="GV103" s="155">
        <v>0.99999999999999989</v>
      </c>
      <c r="GW103" s="156">
        <v>0</v>
      </c>
      <c r="GX103" s="162">
        <v>5</v>
      </c>
      <c r="GY103" s="155">
        <v>1</v>
      </c>
      <c r="GZ103" s="156">
        <v>0</v>
      </c>
      <c r="HA103" s="162">
        <v>11</v>
      </c>
      <c r="HB103" s="155">
        <v>1</v>
      </c>
      <c r="HC103" s="156">
        <v>0</v>
      </c>
      <c r="HD103" s="162">
        <v>9</v>
      </c>
      <c r="HE103" s="161">
        <v>0.9</v>
      </c>
      <c r="HF103" s="156">
        <v>0.1</v>
      </c>
      <c r="HG103" s="162">
        <v>10</v>
      </c>
      <c r="HH103" s="155">
        <v>0.57894736842105277</v>
      </c>
      <c r="HI103" s="156">
        <v>0.42105263157894768</v>
      </c>
      <c r="HJ103" s="162">
        <v>19</v>
      </c>
      <c r="HK103" s="155">
        <v>1</v>
      </c>
      <c r="HL103" s="156">
        <v>0</v>
      </c>
      <c r="HM103" s="162">
        <v>15</v>
      </c>
      <c r="HN103" s="161">
        <v>5.5555555555555559E-2</v>
      </c>
      <c r="HO103" s="156">
        <v>5.5555555555555559E-2</v>
      </c>
      <c r="HP103" s="156">
        <v>0.33333333333333343</v>
      </c>
      <c r="HQ103" s="156">
        <v>0.27777777777777785</v>
      </c>
      <c r="HR103" s="156">
        <v>0.27777777777777785</v>
      </c>
      <c r="HS103" s="160">
        <v>62.833333333333321</v>
      </c>
      <c r="HT103" s="164">
        <v>18</v>
      </c>
      <c r="HU103" s="165">
        <v>0</v>
      </c>
      <c r="HV103" s="166">
        <v>0</v>
      </c>
      <c r="HW103" s="166">
        <v>0</v>
      </c>
      <c r="HX103" s="166">
        <v>0.13333333333333333</v>
      </c>
      <c r="HY103" s="166">
        <v>0.26666666666666666</v>
      </c>
      <c r="HZ103" s="166">
        <v>0.2</v>
      </c>
      <c r="IA103" s="166">
        <v>0.26666666666666666</v>
      </c>
      <c r="IB103" s="166">
        <v>0</v>
      </c>
      <c r="IC103" s="166">
        <v>6.6666666666666666E-2</v>
      </c>
      <c r="ID103" s="166">
        <v>6.6666666666666666E-2</v>
      </c>
      <c r="IE103" s="167">
        <v>15</v>
      </c>
      <c r="IF103" s="155">
        <v>0</v>
      </c>
      <c r="IG103" s="156">
        <v>0</v>
      </c>
      <c r="IH103" s="156">
        <v>0</v>
      </c>
      <c r="II103" s="156">
        <v>0</v>
      </c>
      <c r="IJ103" s="156">
        <v>0</v>
      </c>
      <c r="IK103" s="162">
        <v>0</v>
      </c>
      <c r="IL103" s="155">
        <v>0</v>
      </c>
      <c r="IM103" s="156">
        <v>0</v>
      </c>
      <c r="IN103" s="156">
        <v>0</v>
      </c>
      <c r="IO103" s="156">
        <v>1.0000000000000002</v>
      </c>
      <c r="IP103" s="156">
        <v>0</v>
      </c>
      <c r="IQ103" s="162">
        <v>17</v>
      </c>
      <c r="IR103" s="155">
        <v>0.11111111111111112</v>
      </c>
      <c r="IS103" s="156">
        <v>0.88888888888888895</v>
      </c>
      <c r="IT103" s="162">
        <v>18</v>
      </c>
      <c r="IU103" s="161">
        <v>0</v>
      </c>
      <c r="IV103" s="156">
        <v>0.5</v>
      </c>
      <c r="IW103" s="156">
        <v>0.5</v>
      </c>
      <c r="IX103" s="162">
        <v>2</v>
      </c>
    </row>
    <row r="104" spans="1:258" ht="32.1" customHeight="1" x14ac:dyDescent="0.25">
      <c r="A104" s="110" t="s">
        <v>453</v>
      </c>
      <c r="B104" s="108" t="s">
        <v>576</v>
      </c>
      <c r="C104" s="108" t="s">
        <v>454</v>
      </c>
      <c r="D104" s="109">
        <v>1800</v>
      </c>
      <c r="E104" s="139" t="s">
        <v>556</v>
      </c>
      <c r="F104" s="155">
        <v>0.28000000000000003</v>
      </c>
      <c r="G104" s="156">
        <v>0.72</v>
      </c>
      <c r="H104" s="157">
        <v>25</v>
      </c>
      <c r="I104" s="155">
        <v>0.77777777777777801</v>
      </c>
      <c r="J104" s="156">
        <v>0.22222222222222224</v>
      </c>
      <c r="K104" s="157">
        <v>18</v>
      </c>
      <c r="L104" s="155">
        <v>0.58333333333333348</v>
      </c>
      <c r="M104" s="156">
        <v>0.41666666666666674</v>
      </c>
      <c r="N104" s="157">
        <v>12</v>
      </c>
      <c r="O104" s="155">
        <v>0.12</v>
      </c>
      <c r="P104" s="156">
        <v>0.3600000000000001</v>
      </c>
      <c r="Q104" s="156">
        <v>0.3600000000000001</v>
      </c>
      <c r="R104" s="156">
        <v>4.0000000000000008E-2</v>
      </c>
      <c r="S104" s="156">
        <v>0.44</v>
      </c>
      <c r="T104" s="156">
        <v>0.12</v>
      </c>
      <c r="U104" s="156">
        <v>4.0000000000000008E-2</v>
      </c>
      <c r="V104" s="156">
        <v>8.0000000000000016E-2</v>
      </c>
      <c r="W104" s="156">
        <v>0.28000000000000019</v>
      </c>
      <c r="X104" s="156">
        <v>4.0000000000000008E-2</v>
      </c>
      <c r="Y104" s="157">
        <v>25</v>
      </c>
      <c r="Z104" s="155">
        <v>0.87500000000000011</v>
      </c>
      <c r="AA104" s="156">
        <v>0.375</v>
      </c>
      <c r="AB104" s="156">
        <v>0.45833333333333343</v>
      </c>
      <c r="AC104" s="156">
        <v>0.58333333333333359</v>
      </c>
      <c r="AD104" s="156">
        <v>0</v>
      </c>
      <c r="AE104" s="156">
        <v>8.3333333333333301E-2</v>
      </c>
      <c r="AF104" s="157">
        <v>24</v>
      </c>
      <c r="AG104" s="158">
        <v>8.6956521739130395</v>
      </c>
      <c r="AH104" s="159">
        <v>23</v>
      </c>
      <c r="AI104" s="160">
        <v>8.8749999999999982</v>
      </c>
      <c r="AJ104" s="159">
        <v>24</v>
      </c>
      <c r="AK104" s="160">
        <v>9.0434782608695645</v>
      </c>
      <c r="AL104" s="157">
        <v>23</v>
      </c>
      <c r="AM104" s="155">
        <v>0.45833333333333343</v>
      </c>
      <c r="AN104" s="156">
        <v>0.45833333333333343</v>
      </c>
      <c r="AO104" s="156">
        <v>4.1666666666666678E-2</v>
      </c>
      <c r="AP104" s="156">
        <v>4.1666666666666678E-2</v>
      </c>
      <c r="AQ104" s="156">
        <v>0</v>
      </c>
      <c r="AR104" s="157">
        <v>24</v>
      </c>
      <c r="AS104" s="155">
        <v>0.65217391304347816</v>
      </c>
      <c r="AT104" s="156">
        <v>0.30434782608695637</v>
      </c>
      <c r="AU104" s="156">
        <v>0</v>
      </c>
      <c r="AV104" s="156">
        <v>4.3478260869565195E-2</v>
      </c>
      <c r="AW104" s="156">
        <v>0</v>
      </c>
      <c r="AX104" s="157">
        <v>23</v>
      </c>
      <c r="AY104" s="155">
        <v>0.76000000000000012</v>
      </c>
      <c r="AZ104" s="156">
        <v>0.11999999999999998</v>
      </c>
      <c r="BA104" s="156">
        <v>3.9999999999999994E-2</v>
      </c>
      <c r="BB104" s="156">
        <v>7.9999999999999988E-2</v>
      </c>
      <c r="BC104" s="156">
        <v>0</v>
      </c>
      <c r="BD104" s="157">
        <v>25</v>
      </c>
      <c r="BE104" s="155">
        <v>0.83333333333333315</v>
      </c>
      <c r="BF104" s="156">
        <v>8.3333333333333356E-2</v>
      </c>
      <c r="BG104" s="156">
        <v>8.3333333333333356E-2</v>
      </c>
      <c r="BH104" s="156">
        <v>0</v>
      </c>
      <c r="BI104" s="156">
        <v>0</v>
      </c>
      <c r="BJ104" s="157">
        <v>24</v>
      </c>
      <c r="BK104" s="155">
        <v>0.60869565217391275</v>
      </c>
      <c r="BL104" s="156">
        <v>0.21739130434782619</v>
      </c>
      <c r="BM104" s="156">
        <v>0.13043478260869562</v>
      </c>
      <c r="BN104" s="156">
        <v>4.3478260869565195E-2</v>
      </c>
      <c r="BO104" s="156">
        <v>0</v>
      </c>
      <c r="BP104" s="157">
        <v>23</v>
      </c>
      <c r="BQ104" s="155">
        <v>0.80000000000000016</v>
      </c>
      <c r="BR104" s="156">
        <v>0.15999999999999998</v>
      </c>
      <c r="BS104" s="156">
        <v>0</v>
      </c>
      <c r="BT104" s="156">
        <v>3.9999999999999994E-2</v>
      </c>
      <c r="BU104" s="156">
        <v>0</v>
      </c>
      <c r="BV104" s="157">
        <v>25</v>
      </c>
      <c r="BW104" s="161">
        <v>0.41176470588235276</v>
      </c>
      <c r="BX104" s="156">
        <v>0.35294117647058809</v>
      </c>
      <c r="BY104" s="156">
        <v>0.11764705882352935</v>
      </c>
      <c r="BZ104" s="156">
        <v>0.11764705882352935</v>
      </c>
      <c r="CA104" s="156">
        <v>0</v>
      </c>
      <c r="CB104" s="157">
        <v>17</v>
      </c>
      <c r="CC104" s="155">
        <v>0.57894736842105265</v>
      </c>
      <c r="CD104" s="156">
        <v>0.31578947368421045</v>
      </c>
      <c r="CE104" s="156">
        <v>0</v>
      </c>
      <c r="CF104" s="156">
        <v>0.10526315789473678</v>
      </c>
      <c r="CG104" s="156">
        <v>0</v>
      </c>
      <c r="CH104" s="162">
        <v>19</v>
      </c>
      <c r="CI104" s="155">
        <v>0.41176470588235276</v>
      </c>
      <c r="CJ104" s="156">
        <v>0.35294117647058809</v>
      </c>
      <c r="CK104" s="156">
        <v>0</v>
      </c>
      <c r="CL104" s="156">
        <v>0.11764705882352935</v>
      </c>
      <c r="CM104" s="156">
        <v>0.11764705882352935</v>
      </c>
      <c r="CN104" s="162">
        <v>17</v>
      </c>
      <c r="CO104" s="155">
        <v>0.19999999999999996</v>
      </c>
      <c r="CP104" s="156">
        <v>0.46666666666666656</v>
      </c>
      <c r="CQ104" s="156">
        <v>0.19999999999999996</v>
      </c>
      <c r="CR104" s="156">
        <v>0.13333333333333333</v>
      </c>
      <c r="CS104" s="156">
        <v>0</v>
      </c>
      <c r="CT104" s="162">
        <v>15</v>
      </c>
      <c r="CU104" s="155">
        <v>0.18749999999999997</v>
      </c>
      <c r="CV104" s="156">
        <v>0.6875</v>
      </c>
      <c r="CW104" s="156">
        <v>6.2499999999999993E-2</v>
      </c>
      <c r="CX104" s="156">
        <v>0</v>
      </c>
      <c r="CY104" s="156">
        <v>6.2499999999999993E-2</v>
      </c>
      <c r="CZ104" s="162">
        <v>16</v>
      </c>
      <c r="DA104" s="155">
        <v>0.24999999999999997</v>
      </c>
      <c r="DB104" s="156">
        <v>0.24999999999999997</v>
      </c>
      <c r="DC104" s="156">
        <v>0.37499999999999994</v>
      </c>
      <c r="DD104" s="156">
        <v>0.12499999999999999</v>
      </c>
      <c r="DE104" s="156">
        <v>0</v>
      </c>
      <c r="DF104" s="162">
        <v>8</v>
      </c>
      <c r="DG104" s="155">
        <v>0.39999999999999991</v>
      </c>
      <c r="DH104" s="156">
        <v>0.3</v>
      </c>
      <c r="DI104" s="156">
        <v>0.3</v>
      </c>
      <c r="DJ104" s="156">
        <v>0</v>
      </c>
      <c r="DK104" s="156">
        <v>0</v>
      </c>
      <c r="DL104" s="162">
        <v>10</v>
      </c>
      <c r="DM104" s="155">
        <v>0.49999999999999994</v>
      </c>
      <c r="DN104" s="156">
        <v>0.19999999999999996</v>
      </c>
      <c r="DO104" s="156">
        <v>0.19999999999999996</v>
      </c>
      <c r="DP104" s="156">
        <v>9.9999999999999978E-2</v>
      </c>
      <c r="DQ104" s="156">
        <v>0</v>
      </c>
      <c r="DR104" s="162">
        <v>10</v>
      </c>
      <c r="DS104" s="161">
        <v>0.33333333333333343</v>
      </c>
      <c r="DT104" s="156">
        <v>0.33333333333333343</v>
      </c>
      <c r="DU104" s="156">
        <v>0.16666666666666671</v>
      </c>
      <c r="DV104" s="156">
        <v>0.16666666666666671</v>
      </c>
      <c r="DW104" s="156">
        <v>0</v>
      </c>
      <c r="DX104" s="162">
        <v>6</v>
      </c>
      <c r="DY104" s="155">
        <v>0.83333333333333315</v>
      </c>
      <c r="DZ104" s="156">
        <v>0.16666666666666671</v>
      </c>
      <c r="EA104" s="156">
        <v>0</v>
      </c>
      <c r="EB104" s="156">
        <v>0</v>
      </c>
      <c r="EC104" s="156">
        <v>0</v>
      </c>
      <c r="ED104" s="162">
        <v>24</v>
      </c>
      <c r="EE104" s="155">
        <v>0.37499999999999994</v>
      </c>
      <c r="EF104" s="156">
        <v>0.24999999999999997</v>
      </c>
      <c r="EG104" s="156">
        <v>0.12499999999999999</v>
      </c>
      <c r="EH104" s="156">
        <v>0.24999999999999997</v>
      </c>
      <c r="EI104" s="156">
        <v>0</v>
      </c>
      <c r="EJ104" s="162">
        <v>8</v>
      </c>
      <c r="EK104" s="155">
        <v>0.44444444444444442</v>
      </c>
      <c r="EL104" s="156">
        <v>0.22222222222222221</v>
      </c>
      <c r="EM104" s="156">
        <v>0.33333333333333343</v>
      </c>
      <c r="EN104" s="156">
        <v>0</v>
      </c>
      <c r="EO104" s="156">
        <v>0</v>
      </c>
      <c r="EP104" s="162">
        <v>9</v>
      </c>
      <c r="EQ104" s="155">
        <v>0.33333333333333343</v>
      </c>
      <c r="ER104" s="156">
        <v>0.55555555555555569</v>
      </c>
      <c r="ES104" s="156">
        <v>0</v>
      </c>
      <c r="ET104" s="156">
        <v>0</v>
      </c>
      <c r="EU104" s="156">
        <v>0.1111111111111111</v>
      </c>
      <c r="EV104" s="162">
        <v>18</v>
      </c>
      <c r="EW104" s="155">
        <v>0.62500000000000011</v>
      </c>
      <c r="EX104" s="156">
        <v>0.24999999999999997</v>
      </c>
      <c r="EY104" s="156">
        <v>0</v>
      </c>
      <c r="EZ104" s="156">
        <v>6.2499999999999993E-2</v>
      </c>
      <c r="FA104" s="156">
        <v>6.2499999999999993E-2</v>
      </c>
      <c r="FB104" s="162">
        <v>16</v>
      </c>
      <c r="FC104" s="155">
        <v>0.4545454545454547</v>
      </c>
      <c r="FD104" s="156">
        <v>9.0909090909090912E-2</v>
      </c>
      <c r="FE104" s="156">
        <v>0.18181818181818182</v>
      </c>
      <c r="FF104" s="156">
        <v>0.18181818181818182</v>
      </c>
      <c r="FG104" s="156">
        <v>9.0909090909090912E-2</v>
      </c>
      <c r="FH104" s="162">
        <v>11</v>
      </c>
      <c r="FI104" s="161">
        <v>0.55555555555555569</v>
      </c>
      <c r="FJ104" s="156">
        <v>0</v>
      </c>
      <c r="FK104" s="156">
        <v>0.1111111111111111</v>
      </c>
      <c r="FL104" s="156">
        <v>0.1111111111111111</v>
      </c>
      <c r="FM104" s="156">
        <v>0.22222222222222221</v>
      </c>
      <c r="FN104" s="162">
        <v>9</v>
      </c>
      <c r="FO104" s="155">
        <v>0</v>
      </c>
      <c r="FP104" s="156">
        <v>0</v>
      </c>
      <c r="FQ104" s="156">
        <v>0</v>
      </c>
      <c r="FR104" s="156">
        <v>0</v>
      </c>
      <c r="FS104" s="156">
        <v>0</v>
      </c>
      <c r="FT104" s="162">
        <v>0</v>
      </c>
      <c r="FU104" s="155">
        <v>0</v>
      </c>
      <c r="FV104" s="156">
        <v>0</v>
      </c>
      <c r="FW104" s="156">
        <v>0</v>
      </c>
      <c r="FX104" s="156">
        <v>0</v>
      </c>
      <c r="FY104" s="156">
        <v>0</v>
      </c>
      <c r="FZ104" s="162">
        <v>0</v>
      </c>
      <c r="GA104" s="161">
        <v>0</v>
      </c>
      <c r="GB104" s="156">
        <v>0</v>
      </c>
      <c r="GC104" s="156">
        <v>0</v>
      </c>
      <c r="GD104" s="156">
        <v>0</v>
      </c>
      <c r="GE104" s="156">
        <v>0</v>
      </c>
      <c r="GF104" s="162">
        <v>0</v>
      </c>
      <c r="GG104" s="158">
        <v>8.3333333333333357</v>
      </c>
      <c r="GH104" s="162">
        <v>21</v>
      </c>
      <c r="GI104" s="155">
        <v>0.56000000000000005</v>
      </c>
      <c r="GJ104" s="156">
        <v>0.28000000000000003</v>
      </c>
      <c r="GK104" s="156">
        <v>0</v>
      </c>
      <c r="GL104" s="156">
        <v>3.9999999999999994E-2</v>
      </c>
      <c r="GM104" s="156">
        <v>0.11999999999999998</v>
      </c>
      <c r="GN104" s="162">
        <v>25</v>
      </c>
      <c r="GO104" s="155">
        <v>0.73913043478260898</v>
      </c>
      <c r="GP104" s="156">
        <v>8.6956521739130391E-2</v>
      </c>
      <c r="GQ104" s="156">
        <v>8.6956521739130391E-2</v>
      </c>
      <c r="GR104" s="156">
        <v>0.21739130434782614</v>
      </c>
      <c r="GS104" s="162">
        <v>23</v>
      </c>
      <c r="GT104" s="163">
        <v>3.2608695652173911</v>
      </c>
      <c r="GU104" s="162">
        <v>23</v>
      </c>
      <c r="GV104" s="155">
        <v>0.8</v>
      </c>
      <c r="GW104" s="156">
        <v>0.19999999999999996</v>
      </c>
      <c r="GX104" s="162">
        <v>10</v>
      </c>
      <c r="GY104" s="155">
        <v>1</v>
      </c>
      <c r="GZ104" s="156">
        <v>0</v>
      </c>
      <c r="HA104" s="162">
        <v>12</v>
      </c>
      <c r="HB104" s="155">
        <v>0.84999999999999987</v>
      </c>
      <c r="HC104" s="156">
        <v>0.15</v>
      </c>
      <c r="HD104" s="162">
        <v>20</v>
      </c>
      <c r="HE104" s="161">
        <v>0.86666666666666681</v>
      </c>
      <c r="HF104" s="156">
        <v>0.13333333333333333</v>
      </c>
      <c r="HG104" s="162">
        <v>15</v>
      </c>
      <c r="HH104" s="155">
        <v>0.36363636363636365</v>
      </c>
      <c r="HI104" s="156">
        <v>0.63636363636363669</v>
      </c>
      <c r="HJ104" s="162">
        <v>22</v>
      </c>
      <c r="HK104" s="155">
        <v>1</v>
      </c>
      <c r="HL104" s="156">
        <v>0</v>
      </c>
      <c r="HM104" s="162">
        <v>20</v>
      </c>
      <c r="HN104" s="161">
        <v>0</v>
      </c>
      <c r="HO104" s="156">
        <v>0.15789473684210523</v>
      </c>
      <c r="HP104" s="156">
        <v>0.31578947368421045</v>
      </c>
      <c r="HQ104" s="156">
        <v>0.47368421052631582</v>
      </c>
      <c r="HR104" s="156">
        <v>5.263157894736839E-2</v>
      </c>
      <c r="HS104" s="160">
        <v>61.421052631578952</v>
      </c>
      <c r="HT104" s="164">
        <v>19</v>
      </c>
      <c r="HU104" s="165">
        <v>7.1428571428571425E-2</v>
      </c>
      <c r="HV104" s="166">
        <v>0</v>
      </c>
      <c r="HW104" s="166">
        <v>0</v>
      </c>
      <c r="HX104" s="166">
        <v>7.1428571428571425E-2</v>
      </c>
      <c r="HY104" s="166">
        <v>7.1428571428571425E-2</v>
      </c>
      <c r="HZ104" s="166">
        <v>0.21428571428571427</v>
      </c>
      <c r="IA104" s="166">
        <v>0.21428571428571427</v>
      </c>
      <c r="IB104" s="166">
        <v>7.1428571428571425E-2</v>
      </c>
      <c r="IC104" s="166">
        <v>0</v>
      </c>
      <c r="ID104" s="166">
        <v>0.2857142857142857</v>
      </c>
      <c r="IE104" s="167">
        <v>14</v>
      </c>
      <c r="IF104" s="155">
        <v>0</v>
      </c>
      <c r="IG104" s="156">
        <v>0</v>
      </c>
      <c r="IH104" s="156">
        <v>0.66666666666666685</v>
      </c>
      <c r="II104" s="156">
        <v>0</v>
      </c>
      <c r="IJ104" s="156">
        <v>0.33333333333333343</v>
      </c>
      <c r="IK104" s="162">
        <v>3</v>
      </c>
      <c r="IL104" s="155">
        <v>0</v>
      </c>
      <c r="IM104" s="156">
        <v>0</v>
      </c>
      <c r="IN104" s="156">
        <v>0</v>
      </c>
      <c r="IO104" s="156">
        <v>1</v>
      </c>
      <c r="IP104" s="156">
        <v>0</v>
      </c>
      <c r="IQ104" s="162">
        <v>21</v>
      </c>
      <c r="IR104" s="155">
        <v>4.3478260869565195E-2</v>
      </c>
      <c r="IS104" s="156">
        <v>0.95652173913043481</v>
      </c>
      <c r="IT104" s="162">
        <v>23</v>
      </c>
      <c r="IU104" s="161">
        <v>0</v>
      </c>
      <c r="IV104" s="156">
        <v>0</v>
      </c>
      <c r="IW104" s="156">
        <v>0.99999999999999989</v>
      </c>
      <c r="IX104" s="162">
        <v>1</v>
      </c>
    </row>
    <row r="105" spans="1:258" ht="32.1" customHeight="1" x14ac:dyDescent="0.25">
      <c r="A105" s="110" t="s">
        <v>453</v>
      </c>
      <c r="B105" s="108" t="s">
        <v>578</v>
      </c>
      <c r="C105" s="108" t="s">
        <v>454</v>
      </c>
      <c r="D105" s="109">
        <v>1831</v>
      </c>
      <c r="E105" s="139" t="s">
        <v>557</v>
      </c>
      <c r="F105" s="155">
        <v>0.11538461538461546</v>
      </c>
      <c r="G105" s="156">
        <v>0.88461538461538514</v>
      </c>
      <c r="H105" s="157">
        <v>26</v>
      </c>
      <c r="I105" s="155">
        <v>0.85</v>
      </c>
      <c r="J105" s="156">
        <v>0.15000000000000002</v>
      </c>
      <c r="K105" s="157">
        <v>20</v>
      </c>
      <c r="L105" s="155">
        <v>0.76470588235294135</v>
      </c>
      <c r="M105" s="156">
        <v>0.23529411764705899</v>
      </c>
      <c r="N105" s="157">
        <v>17</v>
      </c>
      <c r="O105" s="155">
        <v>3.7037037037037063E-2</v>
      </c>
      <c r="P105" s="156">
        <v>7.4074074074074125E-2</v>
      </c>
      <c r="Q105" s="156">
        <v>0.59259259259259223</v>
      </c>
      <c r="R105" s="156">
        <v>0</v>
      </c>
      <c r="S105" s="156">
        <v>0.37037037037037029</v>
      </c>
      <c r="T105" s="156">
        <v>3.7037037037037063E-2</v>
      </c>
      <c r="U105" s="156">
        <v>0</v>
      </c>
      <c r="V105" s="156">
        <v>7.4074074074074125E-2</v>
      </c>
      <c r="W105" s="156">
        <v>7.4074074074074125E-2</v>
      </c>
      <c r="X105" s="156">
        <v>0.11111111111111115</v>
      </c>
      <c r="Y105" s="157">
        <v>27</v>
      </c>
      <c r="Z105" s="155">
        <v>0.42857142857142877</v>
      </c>
      <c r="AA105" s="156">
        <v>0.71428571428571408</v>
      </c>
      <c r="AB105" s="156">
        <v>0.23809523809523814</v>
      </c>
      <c r="AC105" s="156">
        <v>0.23809523809523814</v>
      </c>
      <c r="AD105" s="156">
        <v>0.14285714285714282</v>
      </c>
      <c r="AE105" s="156">
        <v>0.19047619047619058</v>
      </c>
      <c r="AF105" s="157">
        <v>21</v>
      </c>
      <c r="AG105" s="158">
        <v>9.5384615384615401</v>
      </c>
      <c r="AH105" s="159">
        <v>26</v>
      </c>
      <c r="AI105" s="160">
        <v>9.6923076923076863</v>
      </c>
      <c r="AJ105" s="159">
        <v>26</v>
      </c>
      <c r="AK105" s="160">
        <v>9.759999999999998</v>
      </c>
      <c r="AL105" s="157">
        <v>25</v>
      </c>
      <c r="AM105" s="155">
        <v>0.19230769230769229</v>
      </c>
      <c r="AN105" s="156">
        <v>0.34615384615384637</v>
      </c>
      <c r="AO105" s="156">
        <v>0.15384615384615374</v>
      </c>
      <c r="AP105" s="156">
        <v>0.23076923076923081</v>
      </c>
      <c r="AQ105" s="156">
        <v>7.6923076923076872E-2</v>
      </c>
      <c r="AR105" s="157">
        <v>26</v>
      </c>
      <c r="AS105" s="155">
        <v>0.84615384615384581</v>
      </c>
      <c r="AT105" s="156">
        <v>7.6923076923076872E-2</v>
      </c>
      <c r="AU105" s="156">
        <v>3.8461538461538436E-2</v>
      </c>
      <c r="AV105" s="156">
        <v>3.8461538461538436E-2</v>
      </c>
      <c r="AW105" s="156">
        <v>0</v>
      </c>
      <c r="AX105" s="157">
        <v>26</v>
      </c>
      <c r="AY105" s="155">
        <v>0.65384615384615419</v>
      </c>
      <c r="AZ105" s="156">
        <v>0.23076923076923081</v>
      </c>
      <c r="BA105" s="156">
        <v>7.6923076923076872E-2</v>
      </c>
      <c r="BB105" s="156">
        <v>3.8461538461538436E-2</v>
      </c>
      <c r="BC105" s="156">
        <v>0</v>
      </c>
      <c r="BD105" s="157">
        <v>26</v>
      </c>
      <c r="BE105" s="155">
        <v>0.62962962962962987</v>
      </c>
      <c r="BF105" s="156">
        <v>0.29629629629629645</v>
      </c>
      <c r="BG105" s="156">
        <v>7.4074074074074112E-2</v>
      </c>
      <c r="BH105" s="156">
        <v>0</v>
      </c>
      <c r="BI105" s="156">
        <v>0</v>
      </c>
      <c r="BJ105" s="157">
        <v>27</v>
      </c>
      <c r="BK105" s="155">
        <v>0.74074074074074092</v>
      </c>
      <c r="BL105" s="156">
        <v>0.14814814814814822</v>
      </c>
      <c r="BM105" s="156">
        <v>7.4074074074074112E-2</v>
      </c>
      <c r="BN105" s="156">
        <v>3.7037037037037056E-2</v>
      </c>
      <c r="BO105" s="156">
        <v>0</v>
      </c>
      <c r="BP105" s="157">
        <v>27</v>
      </c>
      <c r="BQ105" s="155">
        <v>0.77777777777777812</v>
      </c>
      <c r="BR105" s="156">
        <v>0.14814814814814822</v>
      </c>
      <c r="BS105" s="156">
        <v>7.4074074074074112E-2</v>
      </c>
      <c r="BT105" s="156">
        <v>0</v>
      </c>
      <c r="BU105" s="156">
        <v>0</v>
      </c>
      <c r="BV105" s="157">
        <v>27</v>
      </c>
      <c r="BW105" s="161">
        <v>0.73684210526315819</v>
      </c>
      <c r="BX105" s="156">
        <v>0.10526315789473692</v>
      </c>
      <c r="BY105" s="156">
        <v>0.10526315789473692</v>
      </c>
      <c r="BZ105" s="156">
        <v>5.263157894736846E-2</v>
      </c>
      <c r="CA105" s="156">
        <v>0</v>
      </c>
      <c r="CB105" s="157">
        <v>19</v>
      </c>
      <c r="CC105" s="155">
        <v>0.61538461538461497</v>
      </c>
      <c r="CD105" s="156">
        <v>0.23076923076923092</v>
      </c>
      <c r="CE105" s="156">
        <v>7.6923076923076872E-2</v>
      </c>
      <c r="CF105" s="156">
        <v>7.6923076923076872E-2</v>
      </c>
      <c r="CG105" s="156">
        <v>0</v>
      </c>
      <c r="CH105" s="162">
        <v>13</v>
      </c>
      <c r="CI105" s="155">
        <v>0.40000000000000008</v>
      </c>
      <c r="CJ105" s="156">
        <v>0.40000000000000008</v>
      </c>
      <c r="CK105" s="156">
        <v>0.20000000000000004</v>
      </c>
      <c r="CL105" s="156">
        <v>0</v>
      </c>
      <c r="CM105" s="156">
        <v>0</v>
      </c>
      <c r="CN105" s="162">
        <v>10</v>
      </c>
      <c r="CO105" s="155">
        <v>0.40000000000000008</v>
      </c>
      <c r="CP105" s="156">
        <v>0.20000000000000004</v>
      </c>
      <c r="CQ105" s="156">
        <v>0.20000000000000004</v>
      </c>
      <c r="CR105" s="156">
        <v>0.20000000000000004</v>
      </c>
      <c r="CS105" s="156">
        <v>0</v>
      </c>
      <c r="CT105" s="162">
        <v>10</v>
      </c>
      <c r="CU105" s="155">
        <v>0.75</v>
      </c>
      <c r="CV105" s="156">
        <v>0.12500000000000003</v>
      </c>
      <c r="CW105" s="156">
        <v>0.12500000000000003</v>
      </c>
      <c r="CX105" s="156">
        <v>0</v>
      </c>
      <c r="CY105" s="156">
        <v>0</v>
      </c>
      <c r="CZ105" s="162">
        <v>8</v>
      </c>
      <c r="DA105" s="155">
        <v>0.66666666666666685</v>
      </c>
      <c r="DB105" s="156">
        <v>0.11111111111111109</v>
      </c>
      <c r="DC105" s="156">
        <v>0.22222222222222218</v>
      </c>
      <c r="DD105" s="156">
        <v>0</v>
      </c>
      <c r="DE105" s="156">
        <v>0</v>
      </c>
      <c r="DF105" s="162">
        <v>9</v>
      </c>
      <c r="DG105" s="155">
        <v>0.44444444444444436</v>
      </c>
      <c r="DH105" s="156">
        <v>0.44444444444444436</v>
      </c>
      <c r="DI105" s="156">
        <v>0.11111111111111109</v>
      </c>
      <c r="DJ105" s="156">
        <v>0</v>
      </c>
      <c r="DK105" s="156">
        <v>0</v>
      </c>
      <c r="DL105" s="162">
        <v>9</v>
      </c>
      <c r="DM105" s="155">
        <v>0.44444444444444436</v>
      </c>
      <c r="DN105" s="156">
        <v>0.22222222222222218</v>
      </c>
      <c r="DO105" s="156">
        <v>0.11111111111111109</v>
      </c>
      <c r="DP105" s="156">
        <v>0.11111111111111109</v>
      </c>
      <c r="DQ105" s="156">
        <v>0.11111111111111109</v>
      </c>
      <c r="DR105" s="162">
        <v>9</v>
      </c>
      <c r="DS105" s="161">
        <v>0.50000000000000011</v>
      </c>
      <c r="DT105" s="156">
        <v>0.25000000000000006</v>
      </c>
      <c r="DU105" s="156">
        <v>0</v>
      </c>
      <c r="DV105" s="156">
        <v>0.25000000000000006</v>
      </c>
      <c r="DW105" s="156">
        <v>0</v>
      </c>
      <c r="DX105" s="162">
        <v>8</v>
      </c>
      <c r="DY105" s="155">
        <v>0.88</v>
      </c>
      <c r="DZ105" s="156">
        <v>0.12000000000000002</v>
      </c>
      <c r="EA105" s="156">
        <v>0</v>
      </c>
      <c r="EB105" s="156">
        <v>0</v>
      </c>
      <c r="EC105" s="156">
        <v>0</v>
      </c>
      <c r="ED105" s="162">
        <v>25</v>
      </c>
      <c r="EE105" s="155">
        <v>0.68421052631578949</v>
      </c>
      <c r="EF105" s="156">
        <v>0.31578947368421045</v>
      </c>
      <c r="EG105" s="156">
        <v>0</v>
      </c>
      <c r="EH105" s="156">
        <v>0</v>
      </c>
      <c r="EI105" s="156">
        <v>0</v>
      </c>
      <c r="EJ105" s="162">
        <v>19</v>
      </c>
      <c r="EK105" s="155">
        <v>0.6</v>
      </c>
      <c r="EL105" s="156">
        <v>0.33333333333333343</v>
      </c>
      <c r="EM105" s="156">
        <v>6.6666666666666666E-2</v>
      </c>
      <c r="EN105" s="156">
        <v>0</v>
      </c>
      <c r="EO105" s="156">
        <v>0</v>
      </c>
      <c r="EP105" s="162">
        <v>15</v>
      </c>
      <c r="EQ105" s="155">
        <v>0.69230769230769273</v>
      </c>
      <c r="ER105" s="156">
        <v>0.23076923076923092</v>
      </c>
      <c r="ES105" s="156">
        <v>0</v>
      </c>
      <c r="ET105" s="156">
        <v>7.6923076923076872E-2</v>
      </c>
      <c r="EU105" s="156">
        <v>0</v>
      </c>
      <c r="EV105" s="162">
        <v>13</v>
      </c>
      <c r="EW105" s="155">
        <v>0.76923076923076894</v>
      </c>
      <c r="EX105" s="156">
        <v>0.23076923076923092</v>
      </c>
      <c r="EY105" s="156">
        <v>0</v>
      </c>
      <c r="EZ105" s="156">
        <v>0</v>
      </c>
      <c r="FA105" s="156">
        <v>0</v>
      </c>
      <c r="FB105" s="162">
        <v>13</v>
      </c>
      <c r="FC105" s="155">
        <v>0.60869565217391264</v>
      </c>
      <c r="FD105" s="156">
        <v>0.2608695652173913</v>
      </c>
      <c r="FE105" s="156">
        <v>8.6956521739130391E-2</v>
      </c>
      <c r="FF105" s="156">
        <v>4.3478260869565195E-2</v>
      </c>
      <c r="FG105" s="156">
        <v>0</v>
      </c>
      <c r="FH105" s="162">
        <v>23</v>
      </c>
      <c r="FI105" s="161">
        <v>0.85714285714285721</v>
      </c>
      <c r="FJ105" s="156">
        <v>0</v>
      </c>
      <c r="FK105" s="156">
        <v>0</v>
      </c>
      <c r="FL105" s="156">
        <v>0</v>
      </c>
      <c r="FM105" s="156">
        <v>0.14285714285714282</v>
      </c>
      <c r="FN105" s="162">
        <v>7</v>
      </c>
      <c r="FO105" s="155">
        <v>0</v>
      </c>
      <c r="FP105" s="156">
        <v>0</v>
      </c>
      <c r="FQ105" s="156">
        <v>0</v>
      </c>
      <c r="FR105" s="156">
        <v>0</v>
      </c>
      <c r="FS105" s="156">
        <v>0</v>
      </c>
      <c r="FT105" s="162">
        <v>0</v>
      </c>
      <c r="FU105" s="155">
        <v>0</v>
      </c>
      <c r="FV105" s="156">
        <v>0</v>
      </c>
      <c r="FW105" s="156">
        <v>0</v>
      </c>
      <c r="FX105" s="156">
        <v>0</v>
      </c>
      <c r="FY105" s="156">
        <v>0</v>
      </c>
      <c r="FZ105" s="162">
        <v>0</v>
      </c>
      <c r="GA105" s="161">
        <v>0</v>
      </c>
      <c r="GB105" s="156">
        <v>0</v>
      </c>
      <c r="GC105" s="156">
        <v>0</v>
      </c>
      <c r="GD105" s="156">
        <v>0</v>
      </c>
      <c r="GE105" s="156">
        <v>0</v>
      </c>
      <c r="GF105" s="162">
        <v>0</v>
      </c>
      <c r="GG105" s="158">
        <v>9</v>
      </c>
      <c r="GH105" s="162">
        <v>24</v>
      </c>
      <c r="GI105" s="155">
        <v>0.74074074074074092</v>
      </c>
      <c r="GJ105" s="156">
        <v>0.11111111111111109</v>
      </c>
      <c r="GK105" s="156">
        <v>0.14814814814814822</v>
      </c>
      <c r="GL105" s="156">
        <v>0</v>
      </c>
      <c r="GM105" s="156">
        <v>0</v>
      </c>
      <c r="GN105" s="162">
        <v>27</v>
      </c>
      <c r="GO105" s="155">
        <v>0.42307692307692324</v>
      </c>
      <c r="GP105" s="156">
        <v>0.46153846153846162</v>
      </c>
      <c r="GQ105" s="156">
        <v>7.69230769230769E-2</v>
      </c>
      <c r="GR105" s="156">
        <v>0.1538461538461538</v>
      </c>
      <c r="GS105" s="162">
        <v>26</v>
      </c>
      <c r="GT105" s="163">
        <v>3.2592592592592617</v>
      </c>
      <c r="GU105" s="162">
        <v>27</v>
      </c>
      <c r="GV105" s="155">
        <v>0.99999999999999989</v>
      </c>
      <c r="GW105" s="156">
        <v>0</v>
      </c>
      <c r="GX105" s="162">
        <v>10</v>
      </c>
      <c r="GY105" s="155">
        <v>1</v>
      </c>
      <c r="GZ105" s="156">
        <v>0</v>
      </c>
      <c r="HA105" s="162">
        <v>14</v>
      </c>
      <c r="HB105" s="155">
        <v>1</v>
      </c>
      <c r="HC105" s="156">
        <v>0</v>
      </c>
      <c r="HD105" s="162">
        <v>21</v>
      </c>
      <c r="HE105" s="161">
        <v>1</v>
      </c>
      <c r="HF105" s="156">
        <v>0</v>
      </c>
      <c r="HG105" s="162">
        <v>12</v>
      </c>
      <c r="HH105" s="155">
        <v>0.375</v>
      </c>
      <c r="HI105" s="156">
        <v>0.62500000000000011</v>
      </c>
      <c r="HJ105" s="162">
        <v>24</v>
      </c>
      <c r="HK105" s="155">
        <v>1</v>
      </c>
      <c r="HL105" s="156">
        <v>0</v>
      </c>
      <c r="HM105" s="162">
        <v>23</v>
      </c>
      <c r="HN105" s="161">
        <v>4.1666666666666706E-2</v>
      </c>
      <c r="HO105" s="156">
        <v>8.3333333333333412E-2</v>
      </c>
      <c r="HP105" s="156">
        <v>0.20833333333333331</v>
      </c>
      <c r="HQ105" s="156">
        <v>0.375</v>
      </c>
      <c r="HR105" s="156">
        <v>0.29166666666666657</v>
      </c>
      <c r="HS105" s="160">
        <v>65.750000000000014</v>
      </c>
      <c r="HT105" s="164">
        <v>24</v>
      </c>
      <c r="HU105" s="165">
        <v>0.13636363636363635</v>
      </c>
      <c r="HV105" s="166">
        <v>0.13636363636363635</v>
      </c>
      <c r="HW105" s="166">
        <v>0</v>
      </c>
      <c r="HX105" s="166">
        <v>0</v>
      </c>
      <c r="HY105" s="166">
        <v>4.5454545454545456E-2</v>
      </c>
      <c r="HZ105" s="166">
        <v>0.22727272727272727</v>
      </c>
      <c r="IA105" s="166">
        <v>4.5454545454545456E-2</v>
      </c>
      <c r="IB105" s="166">
        <v>0.13636363636363635</v>
      </c>
      <c r="IC105" s="166">
        <v>0.13636363636363635</v>
      </c>
      <c r="ID105" s="166">
        <v>0.13636363636363635</v>
      </c>
      <c r="IE105" s="167">
        <v>22</v>
      </c>
      <c r="IF105" s="155">
        <v>0</v>
      </c>
      <c r="IG105" s="156">
        <v>0</v>
      </c>
      <c r="IH105" s="156">
        <v>1</v>
      </c>
      <c r="II105" s="156">
        <v>0</v>
      </c>
      <c r="IJ105" s="156">
        <v>0</v>
      </c>
      <c r="IK105" s="162">
        <v>2</v>
      </c>
      <c r="IL105" s="155">
        <v>0</v>
      </c>
      <c r="IM105" s="156">
        <v>0</v>
      </c>
      <c r="IN105" s="156">
        <v>0</v>
      </c>
      <c r="IO105" s="156">
        <v>1</v>
      </c>
      <c r="IP105" s="156">
        <v>0</v>
      </c>
      <c r="IQ105" s="162">
        <v>23</v>
      </c>
      <c r="IR105" s="155">
        <v>0.25</v>
      </c>
      <c r="IS105" s="156">
        <v>0.75</v>
      </c>
      <c r="IT105" s="162">
        <v>24</v>
      </c>
      <c r="IU105" s="161">
        <v>0</v>
      </c>
      <c r="IV105" s="156">
        <v>0</v>
      </c>
      <c r="IW105" s="156">
        <v>1</v>
      </c>
      <c r="IX105" s="162">
        <v>6</v>
      </c>
    </row>
    <row r="106" spans="1:258" ht="32.1" customHeight="1" x14ac:dyDescent="0.25">
      <c r="A106" s="110" t="s">
        <v>516</v>
      </c>
      <c r="B106" s="108" t="s">
        <v>516</v>
      </c>
      <c r="C106" s="108" t="s">
        <v>480</v>
      </c>
      <c r="D106" s="109">
        <v>1952</v>
      </c>
      <c r="E106" s="139" t="s">
        <v>558</v>
      </c>
      <c r="F106" s="155">
        <v>0.23076923076923073</v>
      </c>
      <c r="G106" s="156">
        <v>0.76923076923076916</v>
      </c>
      <c r="H106" s="157">
        <v>13</v>
      </c>
      <c r="I106" s="155">
        <v>0.6</v>
      </c>
      <c r="J106" s="156">
        <v>0.40000000000000008</v>
      </c>
      <c r="K106" s="157">
        <v>10</v>
      </c>
      <c r="L106" s="155">
        <v>1.0000000000000002</v>
      </c>
      <c r="M106" s="156">
        <v>0</v>
      </c>
      <c r="N106" s="157">
        <v>2</v>
      </c>
      <c r="O106" s="155">
        <v>0.23076923076923081</v>
      </c>
      <c r="P106" s="156">
        <v>0.46153846153846162</v>
      </c>
      <c r="Q106" s="156">
        <v>0</v>
      </c>
      <c r="R106" s="156">
        <v>0</v>
      </c>
      <c r="S106" s="156">
        <v>0.38461538461538469</v>
      </c>
      <c r="T106" s="156">
        <v>0</v>
      </c>
      <c r="U106" s="156">
        <v>7.69230769230769E-2</v>
      </c>
      <c r="V106" s="156">
        <v>0.1538461538461538</v>
      </c>
      <c r="W106" s="156">
        <v>7.69230769230769E-2</v>
      </c>
      <c r="X106" s="156">
        <v>7.69230769230769E-2</v>
      </c>
      <c r="Y106" s="157">
        <v>13</v>
      </c>
      <c r="Z106" s="155">
        <v>0.41666666666666669</v>
      </c>
      <c r="AA106" s="156">
        <v>0.75</v>
      </c>
      <c r="AB106" s="156">
        <v>0.5</v>
      </c>
      <c r="AC106" s="156">
        <v>0.58333333333333326</v>
      </c>
      <c r="AD106" s="156">
        <v>0</v>
      </c>
      <c r="AE106" s="156">
        <v>8.3333333333333329E-2</v>
      </c>
      <c r="AF106" s="157">
        <v>12</v>
      </c>
      <c r="AG106" s="158">
        <v>10.000000000000002</v>
      </c>
      <c r="AH106" s="159">
        <v>13</v>
      </c>
      <c r="AI106" s="160">
        <v>10.000000000000002</v>
      </c>
      <c r="AJ106" s="159">
        <v>13</v>
      </c>
      <c r="AK106" s="160">
        <v>10.000000000000002</v>
      </c>
      <c r="AL106" s="157">
        <v>13</v>
      </c>
      <c r="AM106" s="155">
        <v>0.53846153846153844</v>
      </c>
      <c r="AN106" s="156">
        <v>0.38461538461538458</v>
      </c>
      <c r="AO106" s="156">
        <v>7.6923076923076927E-2</v>
      </c>
      <c r="AP106" s="156">
        <v>0</v>
      </c>
      <c r="AQ106" s="156">
        <v>0</v>
      </c>
      <c r="AR106" s="157">
        <v>13</v>
      </c>
      <c r="AS106" s="155">
        <v>1</v>
      </c>
      <c r="AT106" s="156">
        <v>0</v>
      </c>
      <c r="AU106" s="156">
        <v>0</v>
      </c>
      <c r="AV106" s="156">
        <v>0</v>
      </c>
      <c r="AW106" s="156">
        <v>0</v>
      </c>
      <c r="AX106" s="157">
        <v>13</v>
      </c>
      <c r="AY106" s="155">
        <v>0.92307692307692291</v>
      </c>
      <c r="AZ106" s="156">
        <v>7.6923076923076927E-2</v>
      </c>
      <c r="BA106" s="156">
        <v>0</v>
      </c>
      <c r="BB106" s="156">
        <v>0</v>
      </c>
      <c r="BC106" s="156">
        <v>0</v>
      </c>
      <c r="BD106" s="157">
        <v>13</v>
      </c>
      <c r="BE106" s="155">
        <v>0.92307692307692291</v>
      </c>
      <c r="BF106" s="156">
        <v>7.6923076923076927E-2</v>
      </c>
      <c r="BG106" s="156">
        <v>0</v>
      </c>
      <c r="BH106" s="156">
        <v>0</v>
      </c>
      <c r="BI106" s="156">
        <v>0</v>
      </c>
      <c r="BJ106" s="157">
        <v>13</v>
      </c>
      <c r="BK106" s="155">
        <v>0.90909090909090906</v>
      </c>
      <c r="BL106" s="156">
        <v>9.0909090909090912E-2</v>
      </c>
      <c r="BM106" s="156">
        <v>0</v>
      </c>
      <c r="BN106" s="156">
        <v>0</v>
      </c>
      <c r="BO106" s="156">
        <v>0</v>
      </c>
      <c r="BP106" s="157">
        <v>11</v>
      </c>
      <c r="BQ106" s="155">
        <v>1</v>
      </c>
      <c r="BR106" s="156">
        <v>0</v>
      </c>
      <c r="BS106" s="156">
        <v>0</v>
      </c>
      <c r="BT106" s="156">
        <v>0</v>
      </c>
      <c r="BU106" s="156">
        <v>0</v>
      </c>
      <c r="BV106" s="157">
        <v>10</v>
      </c>
      <c r="BW106" s="161">
        <v>1.0000000000000002</v>
      </c>
      <c r="BX106" s="156">
        <v>0</v>
      </c>
      <c r="BY106" s="156">
        <v>0</v>
      </c>
      <c r="BZ106" s="156">
        <v>0</v>
      </c>
      <c r="CA106" s="156">
        <v>0</v>
      </c>
      <c r="CB106" s="157">
        <v>8</v>
      </c>
      <c r="CC106" s="155">
        <v>0.83333333333333348</v>
      </c>
      <c r="CD106" s="156">
        <v>0</v>
      </c>
      <c r="CE106" s="156">
        <v>0.16666666666666663</v>
      </c>
      <c r="CF106" s="156">
        <v>0</v>
      </c>
      <c r="CG106" s="156">
        <v>0</v>
      </c>
      <c r="CH106" s="162">
        <v>6</v>
      </c>
      <c r="CI106" s="155">
        <v>0.6</v>
      </c>
      <c r="CJ106" s="156">
        <v>0</v>
      </c>
      <c r="CK106" s="156">
        <v>0.40000000000000008</v>
      </c>
      <c r="CL106" s="156">
        <v>0</v>
      </c>
      <c r="CM106" s="156">
        <v>0</v>
      </c>
      <c r="CN106" s="162">
        <v>5</v>
      </c>
      <c r="CO106" s="155">
        <v>0.6</v>
      </c>
      <c r="CP106" s="156">
        <v>0.20000000000000004</v>
      </c>
      <c r="CQ106" s="156">
        <v>0.20000000000000004</v>
      </c>
      <c r="CR106" s="156">
        <v>0</v>
      </c>
      <c r="CS106" s="156">
        <v>0</v>
      </c>
      <c r="CT106" s="162">
        <v>5</v>
      </c>
      <c r="CU106" s="155">
        <v>0.5</v>
      </c>
      <c r="CV106" s="156">
        <v>0.5</v>
      </c>
      <c r="CW106" s="156">
        <v>0</v>
      </c>
      <c r="CX106" s="156">
        <v>0</v>
      </c>
      <c r="CY106" s="156">
        <v>0</v>
      </c>
      <c r="CZ106" s="162">
        <v>6</v>
      </c>
      <c r="DA106" s="155">
        <v>0</v>
      </c>
      <c r="DB106" s="156">
        <v>1</v>
      </c>
      <c r="DC106" s="156">
        <v>0</v>
      </c>
      <c r="DD106" s="156">
        <v>0</v>
      </c>
      <c r="DE106" s="156">
        <v>0</v>
      </c>
      <c r="DF106" s="162">
        <v>3</v>
      </c>
      <c r="DG106" s="155">
        <v>0.40000000000000008</v>
      </c>
      <c r="DH106" s="156">
        <v>0.6</v>
      </c>
      <c r="DI106" s="156">
        <v>0</v>
      </c>
      <c r="DJ106" s="156">
        <v>0</v>
      </c>
      <c r="DK106" s="156">
        <v>0</v>
      </c>
      <c r="DL106" s="162">
        <v>5</v>
      </c>
      <c r="DM106" s="155">
        <v>0.80000000000000016</v>
      </c>
      <c r="DN106" s="156">
        <v>0</v>
      </c>
      <c r="DO106" s="156">
        <v>0</v>
      </c>
      <c r="DP106" s="156">
        <v>0</v>
      </c>
      <c r="DQ106" s="156">
        <v>0.20000000000000004</v>
      </c>
      <c r="DR106" s="162">
        <v>5</v>
      </c>
      <c r="DS106" s="161">
        <v>0.66666666666666652</v>
      </c>
      <c r="DT106" s="156">
        <v>0</v>
      </c>
      <c r="DU106" s="156">
        <v>0.33333333333333326</v>
      </c>
      <c r="DV106" s="156">
        <v>0</v>
      </c>
      <c r="DW106" s="156">
        <v>0</v>
      </c>
      <c r="DX106" s="162">
        <v>3</v>
      </c>
      <c r="DY106" s="155">
        <v>1</v>
      </c>
      <c r="DZ106" s="156">
        <v>0</v>
      </c>
      <c r="EA106" s="156">
        <v>0</v>
      </c>
      <c r="EB106" s="156">
        <v>0</v>
      </c>
      <c r="EC106" s="156">
        <v>0</v>
      </c>
      <c r="ED106" s="162">
        <v>13</v>
      </c>
      <c r="EE106" s="155">
        <v>0.80000000000000016</v>
      </c>
      <c r="EF106" s="156">
        <v>0.20000000000000004</v>
      </c>
      <c r="EG106" s="156">
        <v>0</v>
      </c>
      <c r="EH106" s="156">
        <v>0</v>
      </c>
      <c r="EI106" s="156">
        <v>0</v>
      </c>
      <c r="EJ106" s="162">
        <v>5</v>
      </c>
      <c r="EK106" s="155">
        <v>0.83333333333333348</v>
      </c>
      <c r="EL106" s="156">
        <v>0.16666666666666663</v>
      </c>
      <c r="EM106" s="156">
        <v>0</v>
      </c>
      <c r="EN106" s="156">
        <v>0</v>
      </c>
      <c r="EO106" s="156">
        <v>0</v>
      </c>
      <c r="EP106" s="162">
        <v>6</v>
      </c>
      <c r="EQ106" s="155">
        <v>0.6</v>
      </c>
      <c r="ER106" s="156">
        <v>0.40000000000000008</v>
      </c>
      <c r="ES106" s="156">
        <v>0</v>
      </c>
      <c r="ET106" s="156">
        <v>0</v>
      </c>
      <c r="EU106" s="156">
        <v>0</v>
      </c>
      <c r="EV106" s="162">
        <v>10</v>
      </c>
      <c r="EW106" s="155">
        <v>0.9</v>
      </c>
      <c r="EX106" s="156">
        <v>0.10000000000000002</v>
      </c>
      <c r="EY106" s="156">
        <v>0</v>
      </c>
      <c r="EZ106" s="156">
        <v>0</v>
      </c>
      <c r="FA106" s="156">
        <v>0</v>
      </c>
      <c r="FB106" s="162">
        <v>10</v>
      </c>
      <c r="FC106" s="155">
        <v>0</v>
      </c>
      <c r="FD106" s="156">
        <v>1.0000000000000002</v>
      </c>
      <c r="FE106" s="156">
        <v>0</v>
      </c>
      <c r="FF106" s="156">
        <v>0</v>
      </c>
      <c r="FG106" s="156">
        <v>0</v>
      </c>
      <c r="FH106" s="162">
        <v>1</v>
      </c>
      <c r="FI106" s="161">
        <v>0.6</v>
      </c>
      <c r="FJ106" s="156">
        <v>0.40000000000000008</v>
      </c>
      <c r="FK106" s="156">
        <v>0</v>
      </c>
      <c r="FL106" s="156">
        <v>0</v>
      </c>
      <c r="FM106" s="156">
        <v>0</v>
      </c>
      <c r="FN106" s="162">
        <v>5</v>
      </c>
      <c r="FO106" s="155">
        <v>1</v>
      </c>
      <c r="FP106" s="156">
        <v>0</v>
      </c>
      <c r="FQ106" s="156">
        <v>0</v>
      </c>
      <c r="FR106" s="156">
        <v>0</v>
      </c>
      <c r="FS106" s="156">
        <v>0</v>
      </c>
      <c r="FT106" s="162">
        <v>3</v>
      </c>
      <c r="FU106" s="155">
        <v>0.50000000000000011</v>
      </c>
      <c r="FV106" s="156">
        <v>0.50000000000000011</v>
      </c>
      <c r="FW106" s="156">
        <v>0</v>
      </c>
      <c r="FX106" s="156">
        <v>0</v>
      </c>
      <c r="FY106" s="156">
        <v>0</v>
      </c>
      <c r="FZ106" s="162">
        <v>2</v>
      </c>
      <c r="GA106" s="161">
        <v>0.50000000000000011</v>
      </c>
      <c r="GB106" s="156">
        <v>0.50000000000000011</v>
      </c>
      <c r="GC106" s="156">
        <v>0</v>
      </c>
      <c r="GD106" s="156">
        <v>0</v>
      </c>
      <c r="GE106" s="156">
        <v>0</v>
      </c>
      <c r="GF106" s="162">
        <v>2</v>
      </c>
      <c r="GG106" s="158">
        <v>9.6923076923076952</v>
      </c>
      <c r="GH106" s="162">
        <v>13</v>
      </c>
      <c r="GI106" s="155">
        <v>0.66666666666666652</v>
      </c>
      <c r="GJ106" s="156">
        <v>8.3333333333333315E-2</v>
      </c>
      <c r="GK106" s="156">
        <v>0.25</v>
      </c>
      <c r="GL106" s="156">
        <v>0</v>
      </c>
      <c r="GM106" s="156">
        <v>0</v>
      </c>
      <c r="GN106" s="162">
        <v>12</v>
      </c>
      <c r="GO106" s="155">
        <v>0.41666666666666669</v>
      </c>
      <c r="GP106" s="156">
        <v>0.33333333333333331</v>
      </c>
      <c r="GQ106" s="156">
        <v>0.16666666666666666</v>
      </c>
      <c r="GR106" s="156">
        <v>0.16666666666666666</v>
      </c>
      <c r="GS106" s="162">
        <v>12</v>
      </c>
      <c r="GT106" s="163">
        <v>1.5833333333333333</v>
      </c>
      <c r="GU106" s="162">
        <v>12</v>
      </c>
      <c r="GV106" s="155">
        <v>0.50000000000000011</v>
      </c>
      <c r="GW106" s="156">
        <v>0.50000000000000011</v>
      </c>
      <c r="GX106" s="162">
        <v>2</v>
      </c>
      <c r="GY106" s="155">
        <v>0.66666666666666652</v>
      </c>
      <c r="GZ106" s="156">
        <v>0.33333333333333326</v>
      </c>
      <c r="HA106" s="162">
        <v>3</v>
      </c>
      <c r="HB106" s="155">
        <v>1</v>
      </c>
      <c r="HC106" s="156">
        <v>0</v>
      </c>
      <c r="HD106" s="162">
        <v>10</v>
      </c>
      <c r="HE106" s="161">
        <v>0.83333333333333348</v>
      </c>
      <c r="HF106" s="156">
        <v>0.16666666666666663</v>
      </c>
      <c r="HG106" s="162">
        <v>6</v>
      </c>
      <c r="HH106" s="155">
        <v>0.58333333333333348</v>
      </c>
      <c r="HI106" s="156">
        <v>0.41666666666666674</v>
      </c>
      <c r="HJ106" s="162">
        <v>12</v>
      </c>
      <c r="HK106" s="155">
        <v>1</v>
      </c>
      <c r="HL106" s="156">
        <v>0</v>
      </c>
      <c r="HM106" s="162">
        <v>11</v>
      </c>
      <c r="HN106" s="161">
        <v>0</v>
      </c>
      <c r="HO106" s="156">
        <v>0.12500000000000003</v>
      </c>
      <c r="HP106" s="156">
        <v>0.75</v>
      </c>
      <c r="HQ106" s="156">
        <v>0.12500000000000003</v>
      </c>
      <c r="HR106" s="156">
        <v>0</v>
      </c>
      <c r="HS106" s="160">
        <v>56.25</v>
      </c>
      <c r="HT106" s="164">
        <v>8</v>
      </c>
      <c r="HU106" s="165">
        <v>0</v>
      </c>
      <c r="HV106" s="166">
        <v>0</v>
      </c>
      <c r="HW106" s="166">
        <v>0</v>
      </c>
      <c r="HX106" s="166">
        <v>0.33333333333333331</v>
      </c>
      <c r="HY106" s="166">
        <v>0.33333333333333331</v>
      </c>
      <c r="HZ106" s="166">
        <v>0</v>
      </c>
      <c r="IA106" s="166">
        <v>0.1111111111111111</v>
      </c>
      <c r="IB106" s="166">
        <v>0.1111111111111111</v>
      </c>
      <c r="IC106" s="166">
        <v>0.1111111111111111</v>
      </c>
      <c r="ID106" s="166">
        <v>0</v>
      </c>
      <c r="IE106" s="167">
        <v>9</v>
      </c>
      <c r="IF106" s="155">
        <v>0</v>
      </c>
      <c r="IG106" s="156">
        <v>0</v>
      </c>
      <c r="IH106" s="156">
        <v>0</v>
      </c>
      <c r="II106" s="156">
        <v>0</v>
      </c>
      <c r="IJ106" s="156">
        <v>0</v>
      </c>
      <c r="IK106" s="162">
        <v>0</v>
      </c>
      <c r="IL106" s="155">
        <v>0</v>
      </c>
      <c r="IM106" s="156">
        <v>0</v>
      </c>
      <c r="IN106" s="156">
        <v>0</v>
      </c>
      <c r="IO106" s="156">
        <v>1</v>
      </c>
      <c r="IP106" s="156">
        <v>0</v>
      </c>
      <c r="IQ106" s="162">
        <v>12</v>
      </c>
      <c r="IR106" s="155">
        <v>0.12500000000000003</v>
      </c>
      <c r="IS106" s="156">
        <v>0.875</v>
      </c>
      <c r="IT106" s="162">
        <v>8</v>
      </c>
      <c r="IU106" s="161">
        <v>0</v>
      </c>
      <c r="IV106" s="156">
        <v>0</v>
      </c>
      <c r="IW106" s="156">
        <v>1.0000000000000002</v>
      </c>
      <c r="IX106" s="162">
        <v>1</v>
      </c>
    </row>
    <row r="107" spans="1:258" ht="32.1" customHeight="1" x14ac:dyDescent="0.25">
      <c r="A107" s="110" t="s">
        <v>516</v>
      </c>
      <c r="B107" s="108" t="s">
        <v>516</v>
      </c>
      <c r="C107" s="108" t="s">
        <v>454</v>
      </c>
      <c r="D107" s="109">
        <v>2008</v>
      </c>
      <c r="E107" s="139" t="s">
        <v>559</v>
      </c>
      <c r="F107" s="155">
        <v>0.3199999999999999</v>
      </c>
      <c r="G107" s="156">
        <v>0.67999999999999983</v>
      </c>
      <c r="H107" s="157">
        <v>25</v>
      </c>
      <c r="I107" s="155">
        <v>0.7142857142857143</v>
      </c>
      <c r="J107" s="156">
        <v>0.28571428571428564</v>
      </c>
      <c r="K107" s="157">
        <v>14</v>
      </c>
      <c r="L107" s="155">
        <v>0.7777777777777779</v>
      </c>
      <c r="M107" s="156">
        <v>0.22222222222222224</v>
      </c>
      <c r="N107" s="157">
        <v>9</v>
      </c>
      <c r="O107" s="155">
        <v>0</v>
      </c>
      <c r="P107" s="156">
        <v>0.11999999999999998</v>
      </c>
      <c r="Q107" s="156">
        <v>0.35999999999999965</v>
      </c>
      <c r="R107" s="156">
        <v>0</v>
      </c>
      <c r="S107" s="156">
        <v>0.32000000000000006</v>
      </c>
      <c r="T107" s="156">
        <v>0.1999999999999999</v>
      </c>
      <c r="U107" s="156">
        <v>0</v>
      </c>
      <c r="V107" s="156">
        <v>0.11999999999999998</v>
      </c>
      <c r="W107" s="156">
        <v>4.0000000000000008E-2</v>
      </c>
      <c r="X107" s="156">
        <v>4.0000000000000008E-2</v>
      </c>
      <c r="Y107" s="157">
        <v>25</v>
      </c>
      <c r="Z107" s="155">
        <v>0.56521739130434756</v>
      </c>
      <c r="AA107" s="156">
        <v>0.39130434782608675</v>
      </c>
      <c r="AB107" s="156">
        <v>8.6956521739130391E-2</v>
      </c>
      <c r="AC107" s="156">
        <v>0.17391304347826078</v>
      </c>
      <c r="AD107" s="156">
        <v>8.6956521739130391E-2</v>
      </c>
      <c r="AE107" s="156">
        <v>0.26086956521739135</v>
      </c>
      <c r="AF107" s="157">
        <v>23</v>
      </c>
      <c r="AG107" s="158">
        <v>9.9599999999999866</v>
      </c>
      <c r="AH107" s="159">
        <v>25</v>
      </c>
      <c r="AI107" s="160">
        <v>9.9999999999999929</v>
      </c>
      <c r="AJ107" s="159">
        <v>25</v>
      </c>
      <c r="AK107" s="160">
        <v>9.8799999999999937</v>
      </c>
      <c r="AL107" s="157">
        <v>25</v>
      </c>
      <c r="AM107" s="155">
        <v>0.80952380952380953</v>
      </c>
      <c r="AN107" s="156">
        <v>0.19047619047619041</v>
      </c>
      <c r="AO107" s="156">
        <v>0</v>
      </c>
      <c r="AP107" s="156">
        <v>0</v>
      </c>
      <c r="AQ107" s="156">
        <v>0</v>
      </c>
      <c r="AR107" s="157">
        <v>21</v>
      </c>
      <c r="AS107" s="155">
        <v>0.91304347826086985</v>
      </c>
      <c r="AT107" s="156">
        <v>8.6956521739130391E-2</v>
      </c>
      <c r="AU107" s="156">
        <v>0</v>
      </c>
      <c r="AV107" s="156">
        <v>0</v>
      </c>
      <c r="AW107" s="156">
        <v>0</v>
      </c>
      <c r="AX107" s="157">
        <v>23</v>
      </c>
      <c r="AY107" s="155">
        <v>0.95454545454545481</v>
      </c>
      <c r="AZ107" s="156">
        <v>4.5454545454545456E-2</v>
      </c>
      <c r="BA107" s="156">
        <v>0</v>
      </c>
      <c r="BB107" s="156">
        <v>0</v>
      </c>
      <c r="BC107" s="156">
        <v>0</v>
      </c>
      <c r="BD107" s="157">
        <v>22</v>
      </c>
      <c r="BE107" s="155">
        <v>0.95652173913043481</v>
      </c>
      <c r="BF107" s="156">
        <v>4.3478260869565195E-2</v>
      </c>
      <c r="BG107" s="156">
        <v>0</v>
      </c>
      <c r="BH107" s="156">
        <v>0</v>
      </c>
      <c r="BI107" s="156">
        <v>0</v>
      </c>
      <c r="BJ107" s="157">
        <v>23</v>
      </c>
      <c r="BK107" s="155">
        <v>0.79999999999999982</v>
      </c>
      <c r="BL107" s="156">
        <v>0.19999999999999996</v>
      </c>
      <c r="BM107" s="156">
        <v>0</v>
      </c>
      <c r="BN107" s="156">
        <v>0</v>
      </c>
      <c r="BO107" s="156">
        <v>0</v>
      </c>
      <c r="BP107" s="157">
        <v>20</v>
      </c>
      <c r="BQ107" s="155">
        <v>0.95652173913043481</v>
      </c>
      <c r="BR107" s="156">
        <v>4.3478260869565195E-2</v>
      </c>
      <c r="BS107" s="156">
        <v>0</v>
      </c>
      <c r="BT107" s="156">
        <v>0</v>
      </c>
      <c r="BU107" s="156">
        <v>0</v>
      </c>
      <c r="BV107" s="157">
        <v>23</v>
      </c>
      <c r="BW107" s="161">
        <v>0.77777777777777812</v>
      </c>
      <c r="BX107" s="156">
        <v>0.1111111111111111</v>
      </c>
      <c r="BY107" s="156">
        <v>0.1111111111111111</v>
      </c>
      <c r="BZ107" s="156">
        <v>0</v>
      </c>
      <c r="CA107" s="156">
        <v>0</v>
      </c>
      <c r="CB107" s="157">
        <v>9</v>
      </c>
      <c r="CC107" s="155">
        <v>0.92307692307692324</v>
      </c>
      <c r="CD107" s="156">
        <v>7.6923076923076886E-2</v>
      </c>
      <c r="CE107" s="156">
        <v>0</v>
      </c>
      <c r="CF107" s="156">
        <v>0</v>
      </c>
      <c r="CG107" s="156">
        <v>0</v>
      </c>
      <c r="CH107" s="162">
        <v>13</v>
      </c>
      <c r="CI107" s="155">
        <v>0.81818181818181801</v>
      </c>
      <c r="CJ107" s="156">
        <v>0.18181818181818182</v>
      </c>
      <c r="CK107" s="156">
        <v>0</v>
      </c>
      <c r="CL107" s="156">
        <v>0</v>
      </c>
      <c r="CM107" s="156">
        <v>0</v>
      </c>
      <c r="CN107" s="162">
        <v>11</v>
      </c>
      <c r="CO107" s="155">
        <v>0.75</v>
      </c>
      <c r="CP107" s="156">
        <v>0.12500000000000003</v>
      </c>
      <c r="CQ107" s="156">
        <v>0.12500000000000003</v>
      </c>
      <c r="CR107" s="156">
        <v>0</v>
      </c>
      <c r="CS107" s="156">
        <v>0</v>
      </c>
      <c r="CT107" s="162">
        <v>8</v>
      </c>
      <c r="CU107" s="155">
        <v>0.66666666666666685</v>
      </c>
      <c r="CV107" s="156">
        <v>0.33333333333333343</v>
      </c>
      <c r="CW107" s="156">
        <v>0</v>
      </c>
      <c r="CX107" s="156">
        <v>0</v>
      </c>
      <c r="CY107" s="156">
        <v>0</v>
      </c>
      <c r="CZ107" s="162">
        <v>9</v>
      </c>
      <c r="DA107" s="155">
        <v>0.60000000000000009</v>
      </c>
      <c r="DB107" s="156">
        <v>0.4</v>
      </c>
      <c r="DC107" s="156">
        <v>0</v>
      </c>
      <c r="DD107" s="156">
        <v>0</v>
      </c>
      <c r="DE107" s="156">
        <v>0</v>
      </c>
      <c r="DF107" s="162">
        <v>5</v>
      </c>
      <c r="DG107" s="155">
        <v>0.66666666666666685</v>
      </c>
      <c r="DH107" s="156">
        <v>0.33333333333333343</v>
      </c>
      <c r="DI107" s="156">
        <v>0</v>
      </c>
      <c r="DJ107" s="156">
        <v>0</v>
      </c>
      <c r="DK107" s="156">
        <v>0</v>
      </c>
      <c r="DL107" s="162">
        <v>9</v>
      </c>
      <c r="DM107" s="155">
        <v>0.83333333333333315</v>
      </c>
      <c r="DN107" s="156">
        <v>0.16666666666666671</v>
      </c>
      <c r="DO107" s="156">
        <v>0</v>
      </c>
      <c r="DP107" s="156">
        <v>0</v>
      </c>
      <c r="DQ107" s="156">
        <v>0</v>
      </c>
      <c r="DR107" s="162">
        <v>6</v>
      </c>
      <c r="DS107" s="161">
        <v>0.83333333333333315</v>
      </c>
      <c r="DT107" s="156">
        <v>0</v>
      </c>
      <c r="DU107" s="156">
        <v>0.16666666666666671</v>
      </c>
      <c r="DV107" s="156">
        <v>0</v>
      </c>
      <c r="DW107" s="156">
        <v>0</v>
      </c>
      <c r="DX107" s="162">
        <v>6</v>
      </c>
      <c r="DY107" s="155">
        <v>0.95238095238095222</v>
      </c>
      <c r="DZ107" s="156">
        <v>4.7619047619047603E-2</v>
      </c>
      <c r="EA107" s="156">
        <v>0</v>
      </c>
      <c r="EB107" s="156">
        <v>0</v>
      </c>
      <c r="EC107" s="156">
        <v>0</v>
      </c>
      <c r="ED107" s="162">
        <v>21</v>
      </c>
      <c r="EE107" s="155">
        <v>0.69230769230769273</v>
      </c>
      <c r="EF107" s="156">
        <v>0.30769230769230754</v>
      </c>
      <c r="EG107" s="156">
        <v>0</v>
      </c>
      <c r="EH107" s="156">
        <v>0</v>
      </c>
      <c r="EI107" s="156">
        <v>0</v>
      </c>
      <c r="EJ107" s="162">
        <v>13</v>
      </c>
      <c r="EK107" s="155">
        <v>0.83333333333333315</v>
      </c>
      <c r="EL107" s="156">
        <v>0.16666666666666671</v>
      </c>
      <c r="EM107" s="156">
        <v>0</v>
      </c>
      <c r="EN107" s="156">
        <v>0</v>
      </c>
      <c r="EO107" s="156">
        <v>0</v>
      </c>
      <c r="EP107" s="162">
        <v>12</v>
      </c>
      <c r="EQ107" s="155">
        <v>0.75</v>
      </c>
      <c r="ER107" s="156">
        <v>0.25000000000000006</v>
      </c>
      <c r="ES107" s="156">
        <v>0</v>
      </c>
      <c r="ET107" s="156">
        <v>0</v>
      </c>
      <c r="EU107" s="156">
        <v>0</v>
      </c>
      <c r="EV107" s="162">
        <v>8</v>
      </c>
      <c r="EW107" s="155">
        <v>0.85714285714285721</v>
      </c>
      <c r="EX107" s="156">
        <v>0.14285714285714282</v>
      </c>
      <c r="EY107" s="156">
        <v>0</v>
      </c>
      <c r="EZ107" s="156">
        <v>0</v>
      </c>
      <c r="FA107" s="156">
        <v>0</v>
      </c>
      <c r="FB107" s="162">
        <v>7</v>
      </c>
      <c r="FC107" s="155">
        <v>0.60000000000000009</v>
      </c>
      <c r="FD107" s="156">
        <v>0.4</v>
      </c>
      <c r="FE107" s="156">
        <v>0</v>
      </c>
      <c r="FF107" s="156">
        <v>0</v>
      </c>
      <c r="FG107" s="156">
        <v>0</v>
      </c>
      <c r="FH107" s="162">
        <v>5</v>
      </c>
      <c r="FI107" s="161">
        <v>0.85714285714285721</v>
      </c>
      <c r="FJ107" s="156">
        <v>0.14285714285714282</v>
      </c>
      <c r="FK107" s="156">
        <v>0</v>
      </c>
      <c r="FL107" s="156">
        <v>0</v>
      </c>
      <c r="FM107" s="156">
        <v>0</v>
      </c>
      <c r="FN107" s="162">
        <v>7</v>
      </c>
      <c r="FO107" s="155">
        <v>0.83333333333333315</v>
      </c>
      <c r="FP107" s="156">
        <v>0</v>
      </c>
      <c r="FQ107" s="156">
        <v>0.16666666666666671</v>
      </c>
      <c r="FR107" s="156">
        <v>0</v>
      </c>
      <c r="FS107" s="156">
        <v>0</v>
      </c>
      <c r="FT107" s="162">
        <v>6</v>
      </c>
      <c r="FU107" s="155">
        <v>0.75</v>
      </c>
      <c r="FV107" s="156">
        <v>0.25</v>
      </c>
      <c r="FW107" s="156">
        <v>0</v>
      </c>
      <c r="FX107" s="156">
        <v>0</v>
      </c>
      <c r="FY107" s="156">
        <v>0</v>
      </c>
      <c r="FZ107" s="162">
        <v>4</v>
      </c>
      <c r="GA107" s="161">
        <v>0.66666666666666685</v>
      </c>
      <c r="GB107" s="156">
        <v>0</v>
      </c>
      <c r="GC107" s="156">
        <v>0.33333333333333343</v>
      </c>
      <c r="GD107" s="156">
        <v>0</v>
      </c>
      <c r="GE107" s="156">
        <v>0</v>
      </c>
      <c r="GF107" s="162">
        <v>3</v>
      </c>
      <c r="GG107" s="158">
        <v>9.7391304347825969</v>
      </c>
      <c r="GH107" s="162">
        <v>23</v>
      </c>
      <c r="GI107" s="155">
        <v>0.59999999999999976</v>
      </c>
      <c r="GJ107" s="156">
        <v>7.9999999999999988E-2</v>
      </c>
      <c r="GK107" s="156">
        <v>0.3199999999999999</v>
      </c>
      <c r="GL107" s="156">
        <v>0</v>
      </c>
      <c r="GM107" s="156">
        <v>0</v>
      </c>
      <c r="GN107" s="162">
        <v>25</v>
      </c>
      <c r="GO107" s="155">
        <v>0.49999999999999994</v>
      </c>
      <c r="GP107" s="156">
        <v>0.20833333333333312</v>
      </c>
      <c r="GQ107" s="156">
        <v>0.12499999999999999</v>
      </c>
      <c r="GR107" s="156">
        <v>0.20833333333333312</v>
      </c>
      <c r="GS107" s="162">
        <v>24</v>
      </c>
      <c r="GT107" s="163">
        <v>1.7199999999999995</v>
      </c>
      <c r="GU107" s="162">
        <v>25</v>
      </c>
      <c r="GV107" s="155">
        <v>0.92307692307692324</v>
      </c>
      <c r="GW107" s="156">
        <v>7.6923076923076886E-2</v>
      </c>
      <c r="GX107" s="162">
        <v>13</v>
      </c>
      <c r="GY107" s="155">
        <v>0.9285714285714286</v>
      </c>
      <c r="GZ107" s="156">
        <v>7.1428571428571411E-2</v>
      </c>
      <c r="HA107" s="162">
        <v>14</v>
      </c>
      <c r="HB107" s="155">
        <v>0.80952380952380953</v>
      </c>
      <c r="HC107" s="156">
        <v>0.19047619047619041</v>
      </c>
      <c r="HD107" s="162">
        <v>21</v>
      </c>
      <c r="HE107" s="161">
        <v>0.94736842105263164</v>
      </c>
      <c r="HF107" s="156">
        <v>5.263157894736839E-2</v>
      </c>
      <c r="HG107" s="162">
        <v>19</v>
      </c>
      <c r="HH107" s="155">
        <v>0.72727272727272729</v>
      </c>
      <c r="HI107" s="156">
        <v>0.27272727272727254</v>
      </c>
      <c r="HJ107" s="162">
        <v>22</v>
      </c>
      <c r="HK107" s="155">
        <v>1</v>
      </c>
      <c r="HL107" s="156">
        <v>0</v>
      </c>
      <c r="HM107" s="162">
        <v>22</v>
      </c>
      <c r="HN107" s="161">
        <v>0</v>
      </c>
      <c r="HO107" s="156">
        <v>0.13636363636363627</v>
      </c>
      <c r="HP107" s="156">
        <v>0.40909090909090884</v>
      </c>
      <c r="HQ107" s="156">
        <v>0.22727272727272735</v>
      </c>
      <c r="HR107" s="156">
        <v>0.22727272727272735</v>
      </c>
      <c r="HS107" s="160">
        <v>62.863636363636324</v>
      </c>
      <c r="HT107" s="164">
        <v>22</v>
      </c>
      <c r="HU107" s="165">
        <v>0</v>
      </c>
      <c r="HV107" s="166">
        <v>0</v>
      </c>
      <c r="HW107" s="166">
        <v>0.13636363636363635</v>
      </c>
      <c r="HX107" s="166">
        <v>0.22727272727272727</v>
      </c>
      <c r="HY107" s="166">
        <v>4.5454545454545456E-2</v>
      </c>
      <c r="HZ107" s="166">
        <v>0.13636363636363635</v>
      </c>
      <c r="IA107" s="166">
        <v>0.18181818181818182</v>
      </c>
      <c r="IB107" s="166">
        <v>4.5454545454545456E-2</v>
      </c>
      <c r="IC107" s="166">
        <v>0.13636363636363635</v>
      </c>
      <c r="ID107" s="166">
        <v>9.0909090909090912E-2</v>
      </c>
      <c r="IE107" s="167">
        <v>22</v>
      </c>
      <c r="IF107" s="155">
        <v>0</v>
      </c>
      <c r="IG107" s="156">
        <v>0</v>
      </c>
      <c r="IH107" s="156">
        <v>0</v>
      </c>
      <c r="II107" s="156">
        <v>0</v>
      </c>
      <c r="IJ107" s="156">
        <v>0</v>
      </c>
      <c r="IK107" s="162">
        <v>0</v>
      </c>
      <c r="IL107" s="155">
        <v>0.13043478260869562</v>
      </c>
      <c r="IM107" s="156">
        <v>0</v>
      </c>
      <c r="IN107" s="156">
        <v>0</v>
      </c>
      <c r="IO107" s="156">
        <v>0.82608695652173936</v>
      </c>
      <c r="IP107" s="156">
        <v>4.3478260869565195E-2</v>
      </c>
      <c r="IQ107" s="162">
        <v>23</v>
      </c>
      <c r="IR107" s="155">
        <v>8.6956521739130391E-2</v>
      </c>
      <c r="IS107" s="156">
        <v>0.91304347826086985</v>
      </c>
      <c r="IT107" s="162">
        <v>23</v>
      </c>
      <c r="IU107" s="161">
        <v>0</v>
      </c>
      <c r="IV107" s="156">
        <v>0</v>
      </c>
      <c r="IW107" s="156">
        <v>1</v>
      </c>
      <c r="IX107" s="162">
        <v>2</v>
      </c>
    </row>
    <row r="108" spans="1:258" ht="32.1" customHeight="1" x14ac:dyDescent="0.25">
      <c r="A108" s="110" t="s">
        <v>453</v>
      </c>
      <c r="B108" s="108" t="s">
        <v>588</v>
      </c>
      <c r="C108" s="108" t="s">
        <v>454</v>
      </c>
      <c r="D108" s="109">
        <v>2108</v>
      </c>
      <c r="E108" s="139" t="s">
        <v>560</v>
      </c>
      <c r="F108" s="155">
        <v>0.41463414634146362</v>
      </c>
      <c r="G108" s="156">
        <v>0.58536585365853644</v>
      </c>
      <c r="H108" s="157">
        <v>41</v>
      </c>
      <c r="I108" s="155">
        <v>0.86956521739130477</v>
      </c>
      <c r="J108" s="156">
        <v>0.13043478260869562</v>
      </c>
      <c r="K108" s="157">
        <v>23</v>
      </c>
      <c r="L108" s="155">
        <v>0.49999999999999983</v>
      </c>
      <c r="M108" s="156">
        <v>0.49999999999999983</v>
      </c>
      <c r="N108" s="157">
        <v>20</v>
      </c>
      <c r="O108" s="155">
        <v>0.53658536585365824</v>
      </c>
      <c r="P108" s="156">
        <v>4.878048780487805E-2</v>
      </c>
      <c r="Q108" s="156">
        <v>0</v>
      </c>
      <c r="R108" s="156">
        <v>0</v>
      </c>
      <c r="S108" s="156">
        <v>2.4390243902439025E-2</v>
      </c>
      <c r="T108" s="156">
        <v>0.24390243902439029</v>
      </c>
      <c r="U108" s="156">
        <v>0</v>
      </c>
      <c r="V108" s="156">
        <v>4.878048780487805E-2</v>
      </c>
      <c r="W108" s="156">
        <v>0.29268292682926839</v>
      </c>
      <c r="X108" s="156">
        <v>0.26829268292682912</v>
      </c>
      <c r="Y108" s="157">
        <v>41</v>
      </c>
      <c r="Z108" s="155">
        <v>0.28571428571428531</v>
      </c>
      <c r="AA108" s="156">
        <v>0.62857142857142889</v>
      </c>
      <c r="AB108" s="156">
        <v>0.14285714285714265</v>
      </c>
      <c r="AC108" s="156">
        <v>0.11428571428571423</v>
      </c>
      <c r="AD108" s="156">
        <v>0</v>
      </c>
      <c r="AE108" s="156">
        <v>0.22857142857142845</v>
      </c>
      <c r="AF108" s="157">
        <v>35</v>
      </c>
      <c r="AG108" s="158">
        <v>9.9743589743589656</v>
      </c>
      <c r="AH108" s="159">
        <v>39</v>
      </c>
      <c r="AI108" s="160">
        <v>9.9999999999999982</v>
      </c>
      <c r="AJ108" s="159">
        <v>40</v>
      </c>
      <c r="AK108" s="160">
        <v>9.9743589743589656</v>
      </c>
      <c r="AL108" s="157">
        <v>39</v>
      </c>
      <c r="AM108" s="155">
        <v>0.74999999999999989</v>
      </c>
      <c r="AN108" s="156">
        <v>0.22222222222222196</v>
      </c>
      <c r="AO108" s="156">
        <v>2.7777777777777745E-2</v>
      </c>
      <c r="AP108" s="156">
        <v>0</v>
      </c>
      <c r="AQ108" s="156">
        <v>0</v>
      </c>
      <c r="AR108" s="157">
        <v>36</v>
      </c>
      <c r="AS108" s="155">
        <v>0.84999999999999987</v>
      </c>
      <c r="AT108" s="156">
        <v>0.12499999999999996</v>
      </c>
      <c r="AU108" s="156">
        <v>0</v>
      </c>
      <c r="AV108" s="156">
        <v>2.4999999999999994E-2</v>
      </c>
      <c r="AW108" s="156">
        <v>0</v>
      </c>
      <c r="AX108" s="157">
        <v>40</v>
      </c>
      <c r="AY108" s="155">
        <v>0.87499999999999989</v>
      </c>
      <c r="AZ108" s="156">
        <v>7.4999999999999983E-2</v>
      </c>
      <c r="BA108" s="156">
        <v>0</v>
      </c>
      <c r="BB108" s="156">
        <v>4.9999999999999989E-2</v>
      </c>
      <c r="BC108" s="156">
        <v>0</v>
      </c>
      <c r="BD108" s="157">
        <v>40</v>
      </c>
      <c r="BE108" s="155">
        <v>0.85365853658536606</v>
      </c>
      <c r="BF108" s="156">
        <v>0.14634146341463405</v>
      </c>
      <c r="BG108" s="156">
        <v>0</v>
      </c>
      <c r="BH108" s="156">
        <v>0</v>
      </c>
      <c r="BI108" s="156">
        <v>0</v>
      </c>
      <c r="BJ108" s="157">
        <v>41</v>
      </c>
      <c r="BK108" s="155">
        <v>0.73684210526315819</v>
      </c>
      <c r="BL108" s="156">
        <v>0.23684210526315752</v>
      </c>
      <c r="BM108" s="156">
        <v>2.6315789473684213E-2</v>
      </c>
      <c r="BN108" s="156">
        <v>0</v>
      </c>
      <c r="BO108" s="156">
        <v>0</v>
      </c>
      <c r="BP108" s="157">
        <v>38</v>
      </c>
      <c r="BQ108" s="155">
        <v>0.76923076923076994</v>
      </c>
      <c r="BR108" s="156">
        <v>0.2051282051282052</v>
      </c>
      <c r="BS108" s="156">
        <v>2.5641025641025651E-2</v>
      </c>
      <c r="BT108" s="156">
        <v>0</v>
      </c>
      <c r="BU108" s="156">
        <v>0</v>
      </c>
      <c r="BV108" s="157">
        <v>39</v>
      </c>
      <c r="BW108" s="161">
        <v>0.73913043478260865</v>
      </c>
      <c r="BX108" s="156">
        <v>0.21739130434782616</v>
      </c>
      <c r="BY108" s="156">
        <v>0</v>
      </c>
      <c r="BZ108" s="156">
        <v>4.3478260869565223E-2</v>
      </c>
      <c r="CA108" s="156">
        <v>0</v>
      </c>
      <c r="CB108" s="157">
        <v>23</v>
      </c>
      <c r="CC108" s="155">
        <v>0.7</v>
      </c>
      <c r="CD108" s="156">
        <v>0.30000000000000004</v>
      </c>
      <c r="CE108" s="156">
        <v>0</v>
      </c>
      <c r="CF108" s="156">
        <v>0</v>
      </c>
      <c r="CG108" s="156">
        <v>0</v>
      </c>
      <c r="CH108" s="162">
        <v>10</v>
      </c>
      <c r="CI108" s="155">
        <v>0.57142857142857151</v>
      </c>
      <c r="CJ108" s="156">
        <v>0.28571428571428575</v>
      </c>
      <c r="CK108" s="156">
        <v>0.14285714285714288</v>
      </c>
      <c r="CL108" s="156">
        <v>0</v>
      </c>
      <c r="CM108" s="156">
        <v>0</v>
      </c>
      <c r="CN108" s="162">
        <v>7</v>
      </c>
      <c r="CO108" s="155">
        <v>0.3333333333333332</v>
      </c>
      <c r="CP108" s="156">
        <v>0.5</v>
      </c>
      <c r="CQ108" s="156">
        <v>8.3333333333333301E-2</v>
      </c>
      <c r="CR108" s="156">
        <v>8.3333333333333301E-2</v>
      </c>
      <c r="CS108" s="156">
        <v>0</v>
      </c>
      <c r="CT108" s="162">
        <v>12</v>
      </c>
      <c r="CU108" s="155">
        <v>0.41666666666666691</v>
      </c>
      <c r="CV108" s="156">
        <v>0.58333333333333326</v>
      </c>
      <c r="CW108" s="156">
        <v>0</v>
      </c>
      <c r="CX108" s="156">
        <v>0</v>
      </c>
      <c r="CY108" s="156">
        <v>0</v>
      </c>
      <c r="CZ108" s="162">
        <v>12</v>
      </c>
      <c r="DA108" s="155">
        <v>0.7</v>
      </c>
      <c r="DB108" s="156">
        <v>0.20000000000000004</v>
      </c>
      <c r="DC108" s="156">
        <v>0.10000000000000002</v>
      </c>
      <c r="DD108" s="156">
        <v>0</v>
      </c>
      <c r="DE108" s="156">
        <v>0</v>
      </c>
      <c r="DF108" s="162">
        <v>10</v>
      </c>
      <c r="DG108" s="155">
        <v>0.77777777777777812</v>
      </c>
      <c r="DH108" s="156">
        <v>0</v>
      </c>
      <c r="DI108" s="156">
        <v>0.22222222222222204</v>
      </c>
      <c r="DJ108" s="156">
        <v>0</v>
      </c>
      <c r="DK108" s="156">
        <v>0</v>
      </c>
      <c r="DL108" s="162">
        <v>9</v>
      </c>
      <c r="DM108" s="155">
        <v>0.69999999999999984</v>
      </c>
      <c r="DN108" s="156">
        <v>0.24999999999999992</v>
      </c>
      <c r="DO108" s="156">
        <v>4.9999999999999989E-2</v>
      </c>
      <c r="DP108" s="156">
        <v>0</v>
      </c>
      <c r="DQ108" s="156">
        <v>0</v>
      </c>
      <c r="DR108" s="162">
        <v>20</v>
      </c>
      <c r="DS108" s="161">
        <v>0.68749999999999989</v>
      </c>
      <c r="DT108" s="156">
        <v>0.31249999999999994</v>
      </c>
      <c r="DU108" s="156">
        <v>0</v>
      </c>
      <c r="DV108" s="156">
        <v>0</v>
      </c>
      <c r="DW108" s="156">
        <v>0</v>
      </c>
      <c r="DX108" s="162">
        <v>16</v>
      </c>
      <c r="DY108" s="155">
        <v>0.77499999999999991</v>
      </c>
      <c r="DZ108" s="156">
        <v>0.22499999999999992</v>
      </c>
      <c r="EA108" s="156">
        <v>0</v>
      </c>
      <c r="EB108" s="156">
        <v>0</v>
      </c>
      <c r="EC108" s="156">
        <v>0</v>
      </c>
      <c r="ED108" s="162">
        <v>40</v>
      </c>
      <c r="EE108" s="155">
        <v>0.82352941176470618</v>
      </c>
      <c r="EF108" s="156">
        <v>0.17647058823529396</v>
      </c>
      <c r="EG108" s="156">
        <v>0</v>
      </c>
      <c r="EH108" s="156">
        <v>0</v>
      </c>
      <c r="EI108" s="156">
        <v>0</v>
      </c>
      <c r="EJ108" s="162">
        <v>17</v>
      </c>
      <c r="EK108" s="155">
        <v>0.88</v>
      </c>
      <c r="EL108" s="156">
        <v>0.11999999999999998</v>
      </c>
      <c r="EM108" s="156">
        <v>0</v>
      </c>
      <c r="EN108" s="156">
        <v>0</v>
      </c>
      <c r="EO108" s="156">
        <v>0</v>
      </c>
      <c r="EP108" s="162">
        <v>25</v>
      </c>
      <c r="EQ108" s="155">
        <v>0.89473684210526272</v>
      </c>
      <c r="ER108" s="156">
        <v>0.10526315789473686</v>
      </c>
      <c r="ES108" s="156">
        <v>0</v>
      </c>
      <c r="ET108" s="156">
        <v>0</v>
      </c>
      <c r="EU108" s="156">
        <v>0</v>
      </c>
      <c r="EV108" s="162">
        <v>19</v>
      </c>
      <c r="EW108" s="155">
        <v>0.89473684210526272</v>
      </c>
      <c r="EX108" s="156">
        <v>0.10526315789473686</v>
      </c>
      <c r="EY108" s="156">
        <v>0</v>
      </c>
      <c r="EZ108" s="156">
        <v>0</v>
      </c>
      <c r="FA108" s="156">
        <v>0</v>
      </c>
      <c r="FB108" s="162">
        <v>19</v>
      </c>
      <c r="FC108" s="155">
        <v>0</v>
      </c>
      <c r="FD108" s="156">
        <v>0</v>
      </c>
      <c r="FE108" s="156">
        <v>0</v>
      </c>
      <c r="FF108" s="156">
        <v>0</v>
      </c>
      <c r="FG108" s="156">
        <v>0</v>
      </c>
      <c r="FH108" s="162">
        <v>0</v>
      </c>
      <c r="FI108" s="161">
        <v>1</v>
      </c>
      <c r="FJ108" s="156">
        <v>0</v>
      </c>
      <c r="FK108" s="156">
        <v>0</v>
      </c>
      <c r="FL108" s="156">
        <v>0</v>
      </c>
      <c r="FM108" s="156">
        <v>0</v>
      </c>
      <c r="FN108" s="162">
        <v>2</v>
      </c>
      <c r="FO108" s="155">
        <v>0</v>
      </c>
      <c r="FP108" s="156">
        <v>0</v>
      </c>
      <c r="FQ108" s="156">
        <v>0</v>
      </c>
      <c r="FR108" s="156">
        <v>0</v>
      </c>
      <c r="FS108" s="156">
        <v>0</v>
      </c>
      <c r="FT108" s="162">
        <v>0</v>
      </c>
      <c r="FU108" s="155">
        <v>0</v>
      </c>
      <c r="FV108" s="156">
        <v>0</v>
      </c>
      <c r="FW108" s="156">
        <v>0</v>
      </c>
      <c r="FX108" s="156">
        <v>0</v>
      </c>
      <c r="FY108" s="156">
        <v>0</v>
      </c>
      <c r="FZ108" s="162">
        <v>0</v>
      </c>
      <c r="GA108" s="161">
        <v>0</v>
      </c>
      <c r="GB108" s="156">
        <v>0</v>
      </c>
      <c r="GC108" s="156">
        <v>0</v>
      </c>
      <c r="GD108" s="156">
        <v>0</v>
      </c>
      <c r="GE108" s="156">
        <v>0</v>
      </c>
      <c r="GF108" s="162">
        <v>0</v>
      </c>
      <c r="GG108" s="158">
        <v>9.6249999999999982</v>
      </c>
      <c r="GH108" s="162">
        <v>40</v>
      </c>
      <c r="GI108" s="155">
        <v>0.14634146341463405</v>
      </c>
      <c r="GJ108" s="156">
        <v>0.39024390243902424</v>
      </c>
      <c r="GK108" s="156">
        <v>0.36585365853658525</v>
      </c>
      <c r="GL108" s="156">
        <v>7.3170731707317027E-2</v>
      </c>
      <c r="GM108" s="156">
        <v>2.4390243902439011E-2</v>
      </c>
      <c r="GN108" s="162">
        <v>41</v>
      </c>
      <c r="GO108" s="155">
        <v>0.47500000000000003</v>
      </c>
      <c r="GP108" s="156">
        <v>0.3000000000000001</v>
      </c>
      <c r="GQ108" s="156">
        <v>9.9999999999999992E-2</v>
      </c>
      <c r="GR108" s="156">
        <v>0.27499999999999986</v>
      </c>
      <c r="GS108" s="162">
        <v>40</v>
      </c>
      <c r="GT108" s="163">
        <v>2.3902439024390243</v>
      </c>
      <c r="GU108" s="162">
        <v>41</v>
      </c>
      <c r="GV108" s="155">
        <v>1</v>
      </c>
      <c r="GW108" s="156">
        <v>0</v>
      </c>
      <c r="GX108" s="162">
        <v>24</v>
      </c>
      <c r="GY108" s="155">
        <v>0.95833333333333381</v>
      </c>
      <c r="GZ108" s="156">
        <v>4.166666666666665E-2</v>
      </c>
      <c r="HA108" s="162">
        <v>24</v>
      </c>
      <c r="HB108" s="155">
        <v>1</v>
      </c>
      <c r="HC108" s="156">
        <v>0</v>
      </c>
      <c r="HD108" s="162">
        <v>22</v>
      </c>
      <c r="HE108" s="161">
        <v>1</v>
      </c>
      <c r="HF108" s="156">
        <v>0</v>
      </c>
      <c r="HG108" s="162">
        <v>36</v>
      </c>
      <c r="HH108" s="155">
        <v>0.89999999999999991</v>
      </c>
      <c r="HI108" s="156">
        <v>9.9999999999999978E-2</v>
      </c>
      <c r="HJ108" s="162">
        <v>40</v>
      </c>
      <c r="HK108" s="155">
        <v>1</v>
      </c>
      <c r="HL108" s="156">
        <v>0</v>
      </c>
      <c r="HM108" s="162">
        <v>39</v>
      </c>
      <c r="HN108" s="161">
        <v>0.4473684210526313</v>
      </c>
      <c r="HO108" s="156">
        <v>0.13157894736842091</v>
      </c>
      <c r="HP108" s="156">
        <v>0.13157894736842091</v>
      </c>
      <c r="HQ108" s="156">
        <v>7.8947368421052586E-2</v>
      </c>
      <c r="HR108" s="156">
        <v>0.21052631578947367</v>
      </c>
      <c r="HS108" s="160">
        <v>42.157894736842088</v>
      </c>
      <c r="HT108" s="164">
        <v>38</v>
      </c>
      <c r="HU108" s="165">
        <v>0</v>
      </c>
      <c r="HV108" s="166">
        <v>0</v>
      </c>
      <c r="HW108" s="166">
        <v>5.2631578947368418E-2</v>
      </c>
      <c r="HX108" s="166">
        <v>0</v>
      </c>
      <c r="HY108" s="166">
        <v>0.10526315789473684</v>
      </c>
      <c r="HZ108" s="166">
        <v>0.15789473684210525</v>
      </c>
      <c r="IA108" s="166">
        <v>0.13157894736842105</v>
      </c>
      <c r="IB108" s="166">
        <v>5.2631578947368418E-2</v>
      </c>
      <c r="IC108" s="166">
        <v>0.28947368421052633</v>
      </c>
      <c r="ID108" s="166">
        <v>0.21052631578947367</v>
      </c>
      <c r="IE108" s="167">
        <v>38</v>
      </c>
      <c r="IF108" s="155">
        <v>0</v>
      </c>
      <c r="IG108" s="156">
        <v>0</v>
      </c>
      <c r="IH108" s="156">
        <v>0</v>
      </c>
      <c r="II108" s="156">
        <v>0</v>
      </c>
      <c r="IJ108" s="156">
        <v>0</v>
      </c>
      <c r="IK108" s="162">
        <v>0</v>
      </c>
      <c r="IL108" s="155">
        <v>7.692307692307683E-2</v>
      </c>
      <c r="IM108" s="156">
        <v>2.5641025641025651E-2</v>
      </c>
      <c r="IN108" s="156">
        <v>0</v>
      </c>
      <c r="IO108" s="156">
        <v>0.87179487179487192</v>
      </c>
      <c r="IP108" s="156">
        <v>2.5641025641025651E-2</v>
      </c>
      <c r="IQ108" s="162">
        <v>39</v>
      </c>
      <c r="IR108" s="155">
        <v>0.25641025641025628</v>
      </c>
      <c r="IS108" s="156">
        <v>0.74358974358974439</v>
      </c>
      <c r="IT108" s="162">
        <v>39</v>
      </c>
      <c r="IU108" s="161">
        <v>0</v>
      </c>
      <c r="IV108" s="156">
        <v>0</v>
      </c>
      <c r="IW108" s="156">
        <v>0.99999999999999989</v>
      </c>
      <c r="IX108" s="162">
        <v>10</v>
      </c>
    </row>
    <row r="109" spans="1:258" ht="32.1" customHeight="1" x14ac:dyDescent="0.25">
      <c r="A109" s="110" t="s">
        <v>453</v>
      </c>
      <c r="B109" s="108" t="s">
        <v>588</v>
      </c>
      <c r="C109" s="108" t="s">
        <v>536</v>
      </c>
      <c r="D109" s="109">
        <v>3010</v>
      </c>
      <c r="E109" s="139" t="s">
        <v>561</v>
      </c>
      <c r="F109" s="155">
        <v>6.0606060606060615E-2</v>
      </c>
      <c r="G109" s="156">
        <v>0.93939393939393978</v>
      </c>
      <c r="H109" s="157">
        <v>33</v>
      </c>
      <c r="I109" s="155">
        <v>0.58620689655172387</v>
      </c>
      <c r="J109" s="156">
        <v>0.41379310344827597</v>
      </c>
      <c r="K109" s="157">
        <v>29</v>
      </c>
      <c r="L109" s="155">
        <v>0.57142857142857117</v>
      </c>
      <c r="M109" s="156">
        <v>0.42857142857142855</v>
      </c>
      <c r="N109" s="157">
        <v>14</v>
      </c>
      <c r="O109" s="155">
        <v>0.63636363636363658</v>
      </c>
      <c r="P109" s="156">
        <v>0.12121212121212113</v>
      </c>
      <c r="Q109" s="156">
        <v>6.0606060606060566E-2</v>
      </c>
      <c r="R109" s="156">
        <v>0</v>
      </c>
      <c r="S109" s="156">
        <v>0</v>
      </c>
      <c r="T109" s="156">
        <v>0.12121212121212113</v>
      </c>
      <c r="U109" s="156">
        <v>0</v>
      </c>
      <c r="V109" s="156">
        <v>0.18181818181818171</v>
      </c>
      <c r="W109" s="156">
        <v>0.12121212121212113</v>
      </c>
      <c r="X109" s="156">
        <v>3.0303030303030283E-2</v>
      </c>
      <c r="Y109" s="157">
        <v>33</v>
      </c>
      <c r="Z109" s="155">
        <v>0.71875</v>
      </c>
      <c r="AA109" s="156">
        <v>0.84375</v>
      </c>
      <c r="AB109" s="156">
        <v>0.5625</v>
      </c>
      <c r="AC109" s="156">
        <v>0.75</v>
      </c>
      <c r="AD109" s="156">
        <v>0.1875</v>
      </c>
      <c r="AE109" s="156">
        <v>3.125E-2</v>
      </c>
      <c r="AF109" s="157">
        <v>32</v>
      </c>
      <c r="AG109" s="158">
        <v>9.8181818181818148</v>
      </c>
      <c r="AH109" s="159">
        <v>33</v>
      </c>
      <c r="AI109" s="160">
        <v>9.8787878787878771</v>
      </c>
      <c r="AJ109" s="159">
        <v>33</v>
      </c>
      <c r="AK109" s="160">
        <v>9.8484848484848531</v>
      </c>
      <c r="AL109" s="157">
        <v>33</v>
      </c>
      <c r="AM109" s="155">
        <v>0.57575757575757558</v>
      </c>
      <c r="AN109" s="156">
        <v>0.33333333333333337</v>
      </c>
      <c r="AO109" s="156">
        <v>0</v>
      </c>
      <c r="AP109" s="156">
        <v>9.090909090909087E-2</v>
      </c>
      <c r="AQ109" s="156">
        <v>0</v>
      </c>
      <c r="AR109" s="157">
        <v>33</v>
      </c>
      <c r="AS109" s="155">
        <v>0.93939393939393978</v>
      </c>
      <c r="AT109" s="156">
        <v>3.0303030303030307E-2</v>
      </c>
      <c r="AU109" s="156">
        <v>3.0303030303030307E-2</v>
      </c>
      <c r="AV109" s="156">
        <v>0</v>
      </c>
      <c r="AW109" s="156">
        <v>0</v>
      </c>
      <c r="AX109" s="157">
        <v>33</v>
      </c>
      <c r="AY109" s="155">
        <v>0.9375</v>
      </c>
      <c r="AZ109" s="156">
        <v>6.2499999999999993E-2</v>
      </c>
      <c r="BA109" s="156">
        <v>0</v>
      </c>
      <c r="BB109" s="156">
        <v>0</v>
      </c>
      <c r="BC109" s="156">
        <v>0</v>
      </c>
      <c r="BD109" s="157">
        <v>32</v>
      </c>
      <c r="BE109" s="155">
        <v>0.9090909090909095</v>
      </c>
      <c r="BF109" s="156">
        <v>9.090909090909087E-2</v>
      </c>
      <c r="BG109" s="156">
        <v>0</v>
      </c>
      <c r="BH109" s="156">
        <v>0</v>
      </c>
      <c r="BI109" s="156">
        <v>0</v>
      </c>
      <c r="BJ109" s="157">
        <v>33</v>
      </c>
      <c r="BK109" s="155">
        <v>0.84848484848484873</v>
      </c>
      <c r="BL109" s="156">
        <v>6.0606060606060615E-2</v>
      </c>
      <c r="BM109" s="156">
        <v>3.0303030303030307E-2</v>
      </c>
      <c r="BN109" s="156">
        <v>6.0606060606060615E-2</v>
      </c>
      <c r="BO109" s="156">
        <v>0</v>
      </c>
      <c r="BP109" s="157">
        <v>33</v>
      </c>
      <c r="BQ109" s="155">
        <v>0.9090909090909095</v>
      </c>
      <c r="BR109" s="156">
        <v>9.090909090909087E-2</v>
      </c>
      <c r="BS109" s="156">
        <v>0</v>
      </c>
      <c r="BT109" s="156">
        <v>0</v>
      </c>
      <c r="BU109" s="156">
        <v>0</v>
      </c>
      <c r="BV109" s="157">
        <v>33</v>
      </c>
      <c r="BW109" s="161">
        <v>0.75</v>
      </c>
      <c r="BX109" s="156">
        <v>0.21875</v>
      </c>
      <c r="BY109" s="156">
        <v>0</v>
      </c>
      <c r="BZ109" s="156">
        <v>3.1249999999999997E-2</v>
      </c>
      <c r="CA109" s="156">
        <v>0</v>
      </c>
      <c r="CB109" s="157">
        <v>32</v>
      </c>
      <c r="CC109" s="155">
        <v>0</v>
      </c>
      <c r="CD109" s="156">
        <v>0</v>
      </c>
      <c r="CE109" s="156">
        <v>0</v>
      </c>
      <c r="CF109" s="156">
        <v>0</v>
      </c>
      <c r="CG109" s="156">
        <v>0</v>
      </c>
      <c r="CH109" s="162">
        <v>0</v>
      </c>
      <c r="CI109" s="155">
        <v>0</v>
      </c>
      <c r="CJ109" s="156">
        <v>0</v>
      </c>
      <c r="CK109" s="156">
        <v>0</v>
      </c>
      <c r="CL109" s="156">
        <v>0</v>
      </c>
      <c r="CM109" s="156">
        <v>0</v>
      </c>
      <c r="CN109" s="162">
        <v>0</v>
      </c>
      <c r="CO109" s="155">
        <v>0.6</v>
      </c>
      <c r="CP109" s="156">
        <v>0.3600000000000001</v>
      </c>
      <c r="CQ109" s="156">
        <v>3.9999999999999994E-2</v>
      </c>
      <c r="CR109" s="156">
        <v>0</v>
      </c>
      <c r="CS109" s="156">
        <v>0</v>
      </c>
      <c r="CT109" s="162">
        <v>25</v>
      </c>
      <c r="CU109" s="155">
        <v>0.55555555555555602</v>
      </c>
      <c r="CV109" s="156">
        <v>0.37037037037037024</v>
      </c>
      <c r="CW109" s="156">
        <v>3.7037037037037063E-2</v>
      </c>
      <c r="CX109" s="156">
        <v>3.7037037037037063E-2</v>
      </c>
      <c r="CY109" s="156">
        <v>0</v>
      </c>
      <c r="CZ109" s="162">
        <v>27</v>
      </c>
      <c r="DA109" s="155">
        <v>0.52941176470588269</v>
      </c>
      <c r="DB109" s="156">
        <v>0.29411764705882326</v>
      </c>
      <c r="DC109" s="156">
        <v>0.11764705882352933</v>
      </c>
      <c r="DD109" s="156">
        <v>5.8823529411764663E-2</v>
      </c>
      <c r="DE109" s="156">
        <v>0</v>
      </c>
      <c r="DF109" s="162">
        <v>17</v>
      </c>
      <c r="DG109" s="155">
        <v>0.61538461538461486</v>
      </c>
      <c r="DH109" s="156">
        <v>0.23076923076923084</v>
      </c>
      <c r="DI109" s="156">
        <v>0.15384615384615372</v>
      </c>
      <c r="DJ109" s="156">
        <v>0</v>
      </c>
      <c r="DK109" s="156">
        <v>0</v>
      </c>
      <c r="DL109" s="162">
        <v>13</v>
      </c>
      <c r="DM109" s="155">
        <v>0.85714285714285732</v>
      </c>
      <c r="DN109" s="156">
        <v>0.10714285714285716</v>
      </c>
      <c r="DO109" s="156">
        <v>0</v>
      </c>
      <c r="DP109" s="156">
        <v>3.5714285714285698E-2</v>
      </c>
      <c r="DQ109" s="156">
        <v>0</v>
      </c>
      <c r="DR109" s="162">
        <v>28</v>
      </c>
      <c r="DS109" s="161">
        <v>0.9047619047619041</v>
      </c>
      <c r="DT109" s="156">
        <v>9.5238095238095205E-2</v>
      </c>
      <c r="DU109" s="156">
        <v>0</v>
      </c>
      <c r="DV109" s="156">
        <v>0</v>
      </c>
      <c r="DW109" s="156">
        <v>0</v>
      </c>
      <c r="DX109" s="162">
        <v>21</v>
      </c>
      <c r="DY109" s="155">
        <v>0.96666666666666634</v>
      </c>
      <c r="DZ109" s="156">
        <v>3.3333333333333319E-2</v>
      </c>
      <c r="EA109" s="156">
        <v>0</v>
      </c>
      <c r="EB109" s="156">
        <v>0</v>
      </c>
      <c r="EC109" s="156">
        <v>0</v>
      </c>
      <c r="ED109" s="162">
        <v>30</v>
      </c>
      <c r="EE109" s="155">
        <v>0</v>
      </c>
      <c r="EF109" s="156">
        <v>0</v>
      </c>
      <c r="EG109" s="156">
        <v>0</v>
      </c>
      <c r="EH109" s="156">
        <v>0</v>
      </c>
      <c r="EI109" s="156">
        <v>0</v>
      </c>
      <c r="EJ109" s="162">
        <v>0</v>
      </c>
      <c r="EK109" s="155">
        <v>0</v>
      </c>
      <c r="EL109" s="156">
        <v>0</v>
      </c>
      <c r="EM109" s="156">
        <v>0</v>
      </c>
      <c r="EN109" s="156">
        <v>0</v>
      </c>
      <c r="EO109" s="156">
        <v>0</v>
      </c>
      <c r="EP109" s="162">
        <v>0</v>
      </c>
      <c r="EQ109" s="155">
        <v>0.80952380952380887</v>
      </c>
      <c r="ER109" s="156">
        <v>0.14285714285714279</v>
      </c>
      <c r="ES109" s="156">
        <v>4.7619047619047603E-2</v>
      </c>
      <c r="ET109" s="156">
        <v>0</v>
      </c>
      <c r="EU109" s="156">
        <v>0</v>
      </c>
      <c r="EV109" s="162">
        <v>21</v>
      </c>
      <c r="EW109" s="155">
        <v>0</v>
      </c>
      <c r="EX109" s="156">
        <v>0</v>
      </c>
      <c r="EY109" s="156">
        <v>0</v>
      </c>
      <c r="EZ109" s="156">
        <v>0</v>
      </c>
      <c r="FA109" s="156">
        <v>0</v>
      </c>
      <c r="FB109" s="162">
        <v>0</v>
      </c>
      <c r="FC109" s="155">
        <v>0</v>
      </c>
      <c r="FD109" s="156">
        <v>0</v>
      </c>
      <c r="FE109" s="156">
        <v>0</v>
      </c>
      <c r="FF109" s="156">
        <v>0</v>
      </c>
      <c r="FG109" s="156">
        <v>0</v>
      </c>
      <c r="FH109" s="162">
        <v>0</v>
      </c>
      <c r="FI109" s="161">
        <v>0.875</v>
      </c>
      <c r="FJ109" s="156">
        <v>0</v>
      </c>
      <c r="FK109" s="156">
        <v>0.12499999999999999</v>
      </c>
      <c r="FL109" s="156">
        <v>0</v>
      </c>
      <c r="FM109" s="156">
        <v>0</v>
      </c>
      <c r="FN109" s="162">
        <v>8</v>
      </c>
      <c r="FO109" s="155">
        <v>0</v>
      </c>
      <c r="FP109" s="156">
        <v>0</v>
      </c>
      <c r="FQ109" s="156">
        <v>0</v>
      </c>
      <c r="FR109" s="156">
        <v>0</v>
      </c>
      <c r="FS109" s="156">
        <v>0</v>
      </c>
      <c r="FT109" s="162">
        <v>0</v>
      </c>
      <c r="FU109" s="155">
        <v>0</v>
      </c>
      <c r="FV109" s="156">
        <v>0</v>
      </c>
      <c r="FW109" s="156">
        <v>0</v>
      </c>
      <c r="FX109" s="156">
        <v>0</v>
      </c>
      <c r="FY109" s="156">
        <v>0</v>
      </c>
      <c r="FZ109" s="162">
        <v>0</v>
      </c>
      <c r="GA109" s="161">
        <v>0</v>
      </c>
      <c r="GB109" s="156">
        <v>0</v>
      </c>
      <c r="GC109" s="156">
        <v>0</v>
      </c>
      <c r="GD109" s="156">
        <v>0</v>
      </c>
      <c r="GE109" s="156">
        <v>0</v>
      </c>
      <c r="GF109" s="162">
        <v>0</v>
      </c>
      <c r="GG109" s="158">
        <v>9.4848484848484915</v>
      </c>
      <c r="GH109" s="162">
        <v>33</v>
      </c>
      <c r="GI109" s="155">
        <v>6.4516129032258007E-2</v>
      </c>
      <c r="GJ109" s="156">
        <v>0.70967741935483886</v>
      </c>
      <c r="GK109" s="156">
        <v>0.12903225806451601</v>
      </c>
      <c r="GL109" s="156">
        <v>6.4516129032258007E-2</v>
      </c>
      <c r="GM109" s="156">
        <v>3.2258064516129004E-2</v>
      </c>
      <c r="GN109" s="162">
        <v>31</v>
      </c>
      <c r="GO109" s="155">
        <v>0.3666666666666667</v>
      </c>
      <c r="GP109" s="156">
        <v>0.33333333333333343</v>
      </c>
      <c r="GQ109" s="156">
        <v>0.16666666666666671</v>
      </c>
      <c r="GR109" s="156">
        <v>0.3666666666666667</v>
      </c>
      <c r="GS109" s="162">
        <v>30</v>
      </c>
      <c r="GT109" s="163">
        <v>2.7666666666666657</v>
      </c>
      <c r="GU109" s="162">
        <v>30</v>
      </c>
      <c r="GV109" s="155">
        <v>0.7</v>
      </c>
      <c r="GW109" s="156">
        <v>0.3</v>
      </c>
      <c r="GX109" s="162">
        <v>10</v>
      </c>
      <c r="GY109" s="155">
        <v>0.88888888888888828</v>
      </c>
      <c r="GZ109" s="156">
        <v>0.11111111111111104</v>
      </c>
      <c r="HA109" s="162">
        <v>9</v>
      </c>
      <c r="HB109" s="155">
        <v>0.86666666666666625</v>
      </c>
      <c r="HC109" s="156">
        <v>0.13333333333333328</v>
      </c>
      <c r="HD109" s="162">
        <v>30</v>
      </c>
      <c r="HE109" s="161">
        <v>1</v>
      </c>
      <c r="HF109" s="156">
        <v>0</v>
      </c>
      <c r="HG109" s="162">
        <v>18</v>
      </c>
      <c r="HH109" s="155">
        <v>0.5333333333333331</v>
      </c>
      <c r="HI109" s="156">
        <v>0.46666666666666684</v>
      </c>
      <c r="HJ109" s="162">
        <v>30</v>
      </c>
      <c r="HK109" s="155">
        <v>1</v>
      </c>
      <c r="HL109" s="156">
        <v>0</v>
      </c>
      <c r="HM109" s="162">
        <v>30</v>
      </c>
      <c r="HN109" s="161">
        <v>0.10714285714285716</v>
      </c>
      <c r="HO109" s="156">
        <v>0.42857142857142866</v>
      </c>
      <c r="HP109" s="156">
        <v>0.28571428571428559</v>
      </c>
      <c r="HQ109" s="156">
        <v>0.17857142857142855</v>
      </c>
      <c r="HR109" s="156">
        <v>0</v>
      </c>
      <c r="HS109" s="160">
        <v>44.428571428571402</v>
      </c>
      <c r="HT109" s="164">
        <v>28</v>
      </c>
      <c r="HU109" s="165">
        <v>0</v>
      </c>
      <c r="HV109" s="166">
        <v>0</v>
      </c>
      <c r="HW109" s="166">
        <v>5.8823529411764705E-2</v>
      </c>
      <c r="HX109" s="166">
        <v>0.23529411764705882</v>
      </c>
      <c r="HY109" s="166">
        <v>5.8823529411764705E-2</v>
      </c>
      <c r="HZ109" s="166">
        <v>0.17647058823529413</v>
      </c>
      <c r="IA109" s="166">
        <v>0.17647058823529413</v>
      </c>
      <c r="IB109" s="166">
        <v>5.8823529411764705E-2</v>
      </c>
      <c r="IC109" s="166">
        <v>0.17647058823529413</v>
      </c>
      <c r="ID109" s="166">
        <v>5.8823529411764705E-2</v>
      </c>
      <c r="IE109" s="167">
        <v>17</v>
      </c>
      <c r="IF109" s="155">
        <v>0</v>
      </c>
      <c r="IG109" s="156">
        <v>0</v>
      </c>
      <c r="IH109" s="156">
        <v>0.74999999999999989</v>
      </c>
      <c r="II109" s="156">
        <v>0</v>
      </c>
      <c r="IJ109" s="156">
        <v>0.24999999999999997</v>
      </c>
      <c r="IK109" s="162">
        <v>4</v>
      </c>
      <c r="IL109" s="155">
        <v>9.9999999999999978E-2</v>
      </c>
      <c r="IM109" s="156">
        <v>0</v>
      </c>
      <c r="IN109" s="156">
        <v>6.6666666666666638E-2</v>
      </c>
      <c r="IO109" s="156">
        <v>0.83333333333333359</v>
      </c>
      <c r="IP109" s="156">
        <v>0</v>
      </c>
      <c r="IQ109" s="162">
        <v>30</v>
      </c>
      <c r="IR109" s="155">
        <v>0.13793103448275867</v>
      </c>
      <c r="IS109" s="156">
        <v>0.86206896551724166</v>
      </c>
      <c r="IT109" s="162">
        <v>29</v>
      </c>
      <c r="IU109" s="161">
        <v>0</v>
      </c>
      <c r="IV109" s="156">
        <v>0</v>
      </c>
      <c r="IW109" s="156">
        <v>0.99999999999999989</v>
      </c>
      <c r="IX109" s="162">
        <v>4</v>
      </c>
    </row>
    <row r="110" spans="1:258" ht="32.1" customHeight="1" x14ac:dyDescent="0.25">
      <c r="A110" s="110" t="s">
        <v>453</v>
      </c>
      <c r="B110" s="108" t="s">
        <v>584</v>
      </c>
      <c r="C110" s="108" t="s">
        <v>454</v>
      </c>
      <c r="D110" s="109">
        <v>3171</v>
      </c>
      <c r="E110" s="139" t="s">
        <v>562</v>
      </c>
      <c r="F110" s="155">
        <v>0.24999999999999992</v>
      </c>
      <c r="G110" s="156">
        <v>0.74999999999999989</v>
      </c>
      <c r="H110" s="157">
        <v>36</v>
      </c>
      <c r="I110" s="155">
        <v>0.57692307692307632</v>
      </c>
      <c r="J110" s="156">
        <v>0.42307692307692285</v>
      </c>
      <c r="K110" s="157">
        <v>26</v>
      </c>
      <c r="L110" s="155">
        <v>0.57142857142857129</v>
      </c>
      <c r="M110" s="156">
        <v>0.42857142857142877</v>
      </c>
      <c r="N110" s="157">
        <v>14</v>
      </c>
      <c r="O110" s="155">
        <v>0.45945945945945926</v>
      </c>
      <c r="P110" s="156">
        <v>8.1081081081081099E-2</v>
      </c>
      <c r="Q110" s="156">
        <v>5.4054054054053988E-2</v>
      </c>
      <c r="R110" s="156">
        <v>0</v>
      </c>
      <c r="S110" s="156">
        <v>0.16216216216216206</v>
      </c>
      <c r="T110" s="156">
        <v>5.4054054054053988E-2</v>
      </c>
      <c r="U110" s="156">
        <v>5.4054054054053988E-2</v>
      </c>
      <c r="V110" s="156">
        <v>0.1891891891891892</v>
      </c>
      <c r="W110" s="156">
        <v>5.4054054054053988E-2</v>
      </c>
      <c r="X110" s="156">
        <v>0.27027027027027012</v>
      </c>
      <c r="Y110" s="157">
        <v>37</v>
      </c>
      <c r="Z110" s="155">
        <v>0.83783783783783827</v>
      </c>
      <c r="AA110" s="156">
        <v>0.54054054054054024</v>
      </c>
      <c r="AB110" s="156">
        <v>0.59459459459459407</v>
      </c>
      <c r="AC110" s="156">
        <v>0.56756756756756721</v>
      </c>
      <c r="AD110" s="156">
        <v>0.10810810810810798</v>
      </c>
      <c r="AE110" s="156">
        <v>5.4054054054053988E-2</v>
      </c>
      <c r="AF110" s="157">
        <v>37</v>
      </c>
      <c r="AG110" s="158">
        <v>9.7837837837837842</v>
      </c>
      <c r="AH110" s="159">
        <v>37</v>
      </c>
      <c r="AI110" s="160">
        <v>9.9459459459459385</v>
      </c>
      <c r="AJ110" s="159">
        <v>37</v>
      </c>
      <c r="AK110" s="160">
        <v>9.8648648648648578</v>
      </c>
      <c r="AL110" s="157">
        <v>37</v>
      </c>
      <c r="AM110" s="155">
        <v>0.39999999999999991</v>
      </c>
      <c r="AN110" s="156">
        <v>0.39999999999999991</v>
      </c>
      <c r="AO110" s="156">
        <v>0</v>
      </c>
      <c r="AP110" s="156">
        <v>0.17142857142857121</v>
      </c>
      <c r="AQ110" s="156">
        <v>2.8571428571428571E-2</v>
      </c>
      <c r="AR110" s="157">
        <v>35</v>
      </c>
      <c r="AS110" s="155">
        <v>0.75675675675675691</v>
      </c>
      <c r="AT110" s="156">
        <v>0.18918918918918887</v>
      </c>
      <c r="AU110" s="156">
        <v>2.702702702702699E-2</v>
      </c>
      <c r="AV110" s="156">
        <v>2.702702702702699E-2</v>
      </c>
      <c r="AW110" s="156">
        <v>0</v>
      </c>
      <c r="AX110" s="157">
        <v>37</v>
      </c>
      <c r="AY110" s="155">
        <v>0.81081081081081119</v>
      </c>
      <c r="AZ110" s="156">
        <v>0.16216216216216206</v>
      </c>
      <c r="BA110" s="156">
        <v>2.702702702702699E-2</v>
      </c>
      <c r="BB110" s="156">
        <v>0</v>
      </c>
      <c r="BC110" s="156">
        <v>0</v>
      </c>
      <c r="BD110" s="157">
        <v>37</v>
      </c>
      <c r="BE110" s="155">
        <v>0.80555555555555614</v>
      </c>
      <c r="BF110" s="156">
        <v>0.16666666666666641</v>
      </c>
      <c r="BG110" s="156">
        <v>2.7777777777777748E-2</v>
      </c>
      <c r="BH110" s="156">
        <v>0</v>
      </c>
      <c r="BI110" s="156">
        <v>0</v>
      </c>
      <c r="BJ110" s="157">
        <v>36</v>
      </c>
      <c r="BK110" s="155">
        <v>0.48484848484848475</v>
      </c>
      <c r="BL110" s="156">
        <v>0.4242424242424242</v>
      </c>
      <c r="BM110" s="156">
        <v>3.0303030303030307E-2</v>
      </c>
      <c r="BN110" s="156">
        <v>6.0606060606060615E-2</v>
      </c>
      <c r="BO110" s="156">
        <v>0</v>
      </c>
      <c r="BP110" s="157">
        <v>33</v>
      </c>
      <c r="BQ110" s="155">
        <v>0.72972972972972927</v>
      </c>
      <c r="BR110" s="156">
        <v>0.24324324324324295</v>
      </c>
      <c r="BS110" s="156">
        <v>2.702702702702699E-2</v>
      </c>
      <c r="BT110" s="156">
        <v>0</v>
      </c>
      <c r="BU110" s="156">
        <v>0</v>
      </c>
      <c r="BV110" s="157">
        <v>37</v>
      </c>
      <c r="BW110" s="161">
        <v>0.51428571428571346</v>
      </c>
      <c r="BX110" s="156">
        <v>0.37142857142857111</v>
      </c>
      <c r="BY110" s="156">
        <v>5.7142857142857141E-2</v>
      </c>
      <c r="BZ110" s="156">
        <v>5.7142857142857141E-2</v>
      </c>
      <c r="CA110" s="156">
        <v>0</v>
      </c>
      <c r="CB110" s="157">
        <v>35</v>
      </c>
      <c r="CC110" s="155">
        <v>0.80000000000000016</v>
      </c>
      <c r="CD110" s="156">
        <v>0</v>
      </c>
      <c r="CE110" s="156">
        <v>0.20000000000000004</v>
      </c>
      <c r="CF110" s="156">
        <v>0</v>
      </c>
      <c r="CG110" s="156">
        <v>0</v>
      </c>
      <c r="CH110" s="162">
        <v>5</v>
      </c>
      <c r="CI110" s="155">
        <v>0.66666666666666652</v>
      </c>
      <c r="CJ110" s="156">
        <v>0.33333333333333326</v>
      </c>
      <c r="CK110" s="156">
        <v>0</v>
      </c>
      <c r="CL110" s="156">
        <v>0</v>
      </c>
      <c r="CM110" s="156">
        <v>0</v>
      </c>
      <c r="CN110" s="162">
        <v>3</v>
      </c>
      <c r="CO110" s="155">
        <v>0.52380952380952339</v>
      </c>
      <c r="CP110" s="156">
        <v>0.38095238095238082</v>
      </c>
      <c r="CQ110" s="156">
        <v>4.7619047619047616E-2</v>
      </c>
      <c r="CR110" s="156">
        <v>4.7619047619047616E-2</v>
      </c>
      <c r="CS110" s="156">
        <v>0</v>
      </c>
      <c r="CT110" s="162">
        <v>21</v>
      </c>
      <c r="CU110" s="155">
        <v>0.54545454545454508</v>
      </c>
      <c r="CV110" s="156">
        <v>0.36363636363636348</v>
      </c>
      <c r="CW110" s="156">
        <v>9.0909090909091009E-2</v>
      </c>
      <c r="CX110" s="156">
        <v>0</v>
      </c>
      <c r="CY110" s="156">
        <v>0</v>
      </c>
      <c r="CZ110" s="162">
        <v>22</v>
      </c>
      <c r="DA110" s="155">
        <v>0.50000000000000011</v>
      </c>
      <c r="DB110" s="156">
        <v>0.16666666666666671</v>
      </c>
      <c r="DC110" s="156">
        <v>0.33333333333333343</v>
      </c>
      <c r="DD110" s="156">
        <v>0</v>
      </c>
      <c r="DE110" s="156">
        <v>0</v>
      </c>
      <c r="DF110" s="162">
        <v>6</v>
      </c>
      <c r="DG110" s="155">
        <v>0.50000000000000011</v>
      </c>
      <c r="DH110" s="156">
        <v>0.16666666666666671</v>
      </c>
      <c r="DI110" s="156">
        <v>0.33333333333333343</v>
      </c>
      <c r="DJ110" s="156">
        <v>0</v>
      </c>
      <c r="DK110" s="156">
        <v>0</v>
      </c>
      <c r="DL110" s="162">
        <v>6</v>
      </c>
      <c r="DM110" s="155">
        <v>0.47058823529411731</v>
      </c>
      <c r="DN110" s="156">
        <v>0.29411764705882354</v>
      </c>
      <c r="DO110" s="156">
        <v>0.11764705882352942</v>
      </c>
      <c r="DP110" s="156">
        <v>0.11764705882352942</v>
      </c>
      <c r="DQ110" s="156">
        <v>0</v>
      </c>
      <c r="DR110" s="162">
        <v>17</v>
      </c>
      <c r="DS110" s="161">
        <v>0.71428571428571419</v>
      </c>
      <c r="DT110" s="156">
        <v>0.23809523809523825</v>
      </c>
      <c r="DU110" s="156">
        <v>4.7619047619047616E-2</v>
      </c>
      <c r="DV110" s="156">
        <v>0</v>
      </c>
      <c r="DW110" s="156">
        <v>0</v>
      </c>
      <c r="DX110" s="162">
        <v>21</v>
      </c>
      <c r="DY110" s="155">
        <v>0.83333333333333348</v>
      </c>
      <c r="DZ110" s="156">
        <v>0.13888888888888873</v>
      </c>
      <c r="EA110" s="156">
        <v>2.7777777777777748E-2</v>
      </c>
      <c r="EB110" s="156">
        <v>0</v>
      </c>
      <c r="EC110" s="156">
        <v>0</v>
      </c>
      <c r="ED110" s="162">
        <v>36</v>
      </c>
      <c r="EE110" s="155">
        <v>0.53846153846153821</v>
      </c>
      <c r="EF110" s="156">
        <v>0.46153846153846184</v>
      </c>
      <c r="EG110" s="156">
        <v>0</v>
      </c>
      <c r="EH110" s="156">
        <v>0</v>
      </c>
      <c r="EI110" s="156">
        <v>0</v>
      </c>
      <c r="EJ110" s="162">
        <v>13</v>
      </c>
      <c r="EK110" s="155">
        <v>0.66666666666666652</v>
      </c>
      <c r="EL110" s="156">
        <v>0.22222222222222207</v>
      </c>
      <c r="EM110" s="156">
        <v>0.11111111111111104</v>
      </c>
      <c r="EN110" s="156">
        <v>0</v>
      </c>
      <c r="EO110" s="156">
        <v>0</v>
      </c>
      <c r="EP110" s="162">
        <v>9</v>
      </c>
      <c r="EQ110" s="155">
        <v>0.59999999999999987</v>
      </c>
      <c r="ER110" s="156">
        <v>0.31999999999999995</v>
      </c>
      <c r="ES110" s="156">
        <v>0.08</v>
      </c>
      <c r="ET110" s="156">
        <v>0</v>
      </c>
      <c r="EU110" s="156">
        <v>0</v>
      </c>
      <c r="EV110" s="162">
        <v>25</v>
      </c>
      <c r="EW110" s="155">
        <v>0.86363636363636376</v>
      </c>
      <c r="EX110" s="156">
        <v>0.1363636363636363</v>
      </c>
      <c r="EY110" s="156">
        <v>0</v>
      </c>
      <c r="EZ110" s="156">
        <v>0</v>
      </c>
      <c r="FA110" s="156">
        <v>0</v>
      </c>
      <c r="FB110" s="162">
        <v>22</v>
      </c>
      <c r="FC110" s="155">
        <v>1</v>
      </c>
      <c r="FD110" s="156">
        <v>0</v>
      </c>
      <c r="FE110" s="156">
        <v>0</v>
      </c>
      <c r="FF110" s="156">
        <v>0</v>
      </c>
      <c r="FG110" s="156">
        <v>0</v>
      </c>
      <c r="FH110" s="162">
        <v>1</v>
      </c>
      <c r="FI110" s="161">
        <v>0.5</v>
      </c>
      <c r="FJ110" s="156">
        <v>0.5</v>
      </c>
      <c r="FK110" s="156">
        <v>0</v>
      </c>
      <c r="FL110" s="156">
        <v>0</v>
      </c>
      <c r="FM110" s="156">
        <v>0</v>
      </c>
      <c r="FN110" s="162">
        <v>2</v>
      </c>
      <c r="FO110" s="155">
        <v>0</v>
      </c>
      <c r="FP110" s="156">
        <v>0</v>
      </c>
      <c r="FQ110" s="156">
        <v>0</v>
      </c>
      <c r="FR110" s="156">
        <v>0</v>
      </c>
      <c r="FS110" s="156">
        <v>0</v>
      </c>
      <c r="FT110" s="162">
        <v>0</v>
      </c>
      <c r="FU110" s="155">
        <v>0</v>
      </c>
      <c r="FV110" s="156">
        <v>0</v>
      </c>
      <c r="FW110" s="156">
        <v>0</v>
      </c>
      <c r="FX110" s="156">
        <v>0</v>
      </c>
      <c r="FY110" s="156">
        <v>0</v>
      </c>
      <c r="FZ110" s="162">
        <v>0</v>
      </c>
      <c r="GA110" s="161">
        <v>0</v>
      </c>
      <c r="GB110" s="156">
        <v>0</v>
      </c>
      <c r="GC110" s="156">
        <v>0</v>
      </c>
      <c r="GD110" s="156">
        <v>0</v>
      </c>
      <c r="GE110" s="156">
        <v>0</v>
      </c>
      <c r="GF110" s="162">
        <v>0</v>
      </c>
      <c r="GG110" s="158">
        <v>9.1212121212121229</v>
      </c>
      <c r="GH110" s="162">
        <v>33</v>
      </c>
      <c r="GI110" s="155">
        <v>0.24324324324324295</v>
      </c>
      <c r="GJ110" s="156">
        <v>0.59459459459459396</v>
      </c>
      <c r="GK110" s="156">
        <v>5.4054054054053981E-2</v>
      </c>
      <c r="GL110" s="156">
        <v>5.4054054054053981E-2</v>
      </c>
      <c r="GM110" s="156">
        <v>5.4054054054053981E-2</v>
      </c>
      <c r="GN110" s="162">
        <v>37</v>
      </c>
      <c r="GO110" s="155">
        <v>0.66666666666666674</v>
      </c>
      <c r="GP110" s="156">
        <v>0.22222222222222215</v>
      </c>
      <c r="GQ110" s="156">
        <v>0.1111111111111111</v>
      </c>
      <c r="GR110" s="156">
        <v>8.3333333333333343E-2</v>
      </c>
      <c r="GS110" s="162">
        <v>36</v>
      </c>
      <c r="GT110" s="163">
        <v>3.7837837837837784</v>
      </c>
      <c r="GU110" s="162">
        <v>37</v>
      </c>
      <c r="GV110" s="155">
        <v>0.9333333333333339</v>
      </c>
      <c r="GW110" s="156">
        <v>6.6666666666666638E-2</v>
      </c>
      <c r="GX110" s="162">
        <v>15</v>
      </c>
      <c r="GY110" s="155">
        <v>0.95</v>
      </c>
      <c r="GZ110" s="156">
        <v>5.000000000000001E-2</v>
      </c>
      <c r="HA110" s="162">
        <v>20</v>
      </c>
      <c r="HB110" s="155">
        <v>0.92857142857142805</v>
      </c>
      <c r="HC110" s="156">
        <v>7.1428571428571411E-2</v>
      </c>
      <c r="HD110" s="162">
        <v>28</v>
      </c>
      <c r="HE110" s="161">
        <v>0.9166666666666663</v>
      </c>
      <c r="HF110" s="156">
        <v>8.3333333333333315E-2</v>
      </c>
      <c r="HG110" s="162">
        <v>24</v>
      </c>
      <c r="HH110" s="155">
        <v>0.71428571428571397</v>
      </c>
      <c r="HI110" s="156">
        <v>0.28571428571428542</v>
      </c>
      <c r="HJ110" s="162">
        <v>35</v>
      </c>
      <c r="HK110" s="155">
        <v>1</v>
      </c>
      <c r="HL110" s="156">
        <v>0</v>
      </c>
      <c r="HM110" s="162">
        <v>35</v>
      </c>
      <c r="HN110" s="161">
        <v>0.39393939393939337</v>
      </c>
      <c r="HO110" s="156">
        <v>0.27272727272727254</v>
      </c>
      <c r="HP110" s="156">
        <v>9.0909090909090842E-2</v>
      </c>
      <c r="HQ110" s="156">
        <v>0.2121212121212121</v>
      </c>
      <c r="HR110" s="156">
        <v>3.0303030303030307E-2</v>
      </c>
      <c r="HS110" s="160">
        <v>39.333333333333279</v>
      </c>
      <c r="HT110" s="164">
        <v>33</v>
      </c>
      <c r="HU110" s="165">
        <v>0.10344827586206896</v>
      </c>
      <c r="HV110" s="166">
        <v>6.8965517241379309E-2</v>
      </c>
      <c r="HW110" s="166">
        <v>3.4482758620689655E-2</v>
      </c>
      <c r="HX110" s="166">
        <v>0.10344827586206896</v>
      </c>
      <c r="HY110" s="166">
        <v>0.20689655172413793</v>
      </c>
      <c r="HZ110" s="166">
        <v>0.20689655172413793</v>
      </c>
      <c r="IA110" s="166">
        <v>6.8965517241379309E-2</v>
      </c>
      <c r="IB110" s="166">
        <v>0.10344827586206896</v>
      </c>
      <c r="IC110" s="166">
        <v>0</v>
      </c>
      <c r="ID110" s="166">
        <v>0.10344827586206896</v>
      </c>
      <c r="IE110" s="167">
        <v>29</v>
      </c>
      <c r="IF110" s="155">
        <v>0</v>
      </c>
      <c r="IG110" s="156">
        <v>0.5</v>
      </c>
      <c r="IH110" s="156">
        <v>0</v>
      </c>
      <c r="II110" s="156">
        <v>0.5</v>
      </c>
      <c r="IJ110" s="156">
        <v>0</v>
      </c>
      <c r="IK110" s="162">
        <v>2</v>
      </c>
      <c r="IL110" s="155">
        <v>8.8235294117646981E-2</v>
      </c>
      <c r="IM110" s="156">
        <v>8.8235294117646981E-2</v>
      </c>
      <c r="IN110" s="156">
        <v>2.9411764705882328E-2</v>
      </c>
      <c r="IO110" s="156">
        <v>0.70588235294117585</v>
      </c>
      <c r="IP110" s="156">
        <v>8.8235294117646981E-2</v>
      </c>
      <c r="IQ110" s="162">
        <v>34</v>
      </c>
      <c r="IR110" s="155">
        <v>0.11764705882352931</v>
      </c>
      <c r="IS110" s="156">
        <v>0.8823529411764699</v>
      </c>
      <c r="IT110" s="162">
        <v>34</v>
      </c>
      <c r="IU110" s="161">
        <v>0</v>
      </c>
      <c r="IV110" s="156">
        <v>0.25</v>
      </c>
      <c r="IW110" s="156">
        <v>0.75</v>
      </c>
      <c r="IX110" s="162">
        <v>4</v>
      </c>
    </row>
    <row r="111" spans="1:258" ht="32.1" customHeight="1" x14ac:dyDescent="0.25">
      <c r="A111" s="110" t="s">
        <v>527</v>
      </c>
      <c r="B111" s="108" t="s">
        <v>527</v>
      </c>
      <c r="C111" s="108" t="s">
        <v>454</v>
      </c>
      <c r="D111" s="109">
        <v>3218</v>
      </c>
      <c r="E111" s="139" t="s">
        <v>563</v>
      </c>
      <c r="F111" s="155">
        <v>0.25</v>
      </c>
      <c r="G111" s="156">
        <v>0.75</v>
      </c>
      <c r="H111" s="157">
        <v>4</v>
      </c>
      <c r="I111" s="155">
        <v>1</v>
      </c>
      <c r="J111" s="156">
        <v>0</v>
      </c>
      <c r="K111" s="157">
        <v>3</v>
      </c>
      <c r="L111" s="155">
        <v>0.66666666666666652</v>
      </c>
      <c r="M111" s="156">
        <v>0.33333333333333326</v>
      </c>
      <c r="N111" s="157">
        <v>3</v>
      </c>
      <c r="O111" s="155">
        <v>0</v>
      </c>
      <c r="P111" s="156">
        <v>0.25</v>
      </c>
      <c r="Q111" s="156">
        <v>0.25</v>
      </c>
      <c r="R111" s="156">
        <v>0</v>
      </c>
      <c r="S111" s="156">
        <v>0.25</v>
      </c>
      <c r="T111" s="156">
        <v>0</v>
      </c>
      <c r="U111" s="156">
        <v>0</v>
      </c>
      <c r="V111" s="156">
        <v>0</v>
      </c>
      <c r="W111" s="156">
        <v>0.75000000000000011</v>
      </c>
      <c r="X111" s="156">
        <v>0</v>
      </c>
      <c r="Y111" s="157">
        <v>4</v>
      </c>
      <c r="Z111" s="155">
        <v>0.5</v>
      </c>
      <c r="AA111" s="156">
        <v>0.5</v>
      </c>
      <c r="AB111" s="156">
        <v>0.25</v>
      </c>
      <c r="AC111" s="156">
        <v>0.75000000000000011</v>
      </c>
      <c r="AD111" s="156">
        <v>0.25</v>
      </c>
      <c r="AE111" s="156">
        <v>0.5</v>
      </c>
      <c r="AF111" s="157">
        <v>4</v>
      </c>
      <c r="AG111" s="158">
        <v>10</v>
      </c>
      <c r="AH111" s="159">
        <v>4</v>
      </c>
      <c r="AI111" s="160">
        <v>10</v>
      </c>
      <c r="AJ111" s="159">
        <v>4</v>
      </c>
      <c r="AK111" s="160">
        <v>10</v>
      </c>
      <c r="AL111" s="157">
        <v>4</v>
      </c>
      <c r="AM111" s="155">
        <v>0.25</v>
      </c>
      <c r="AN111" s="156">
        <v>0.75</v>
      </c>
      <c r="AO111" s="156">
        <v>0</v>
      </c>
      <c r="AP111" s="156">
        <v>0</v>
      </c>
      <c r="AQ111" s="156">
        <v>0</v>
      </c>
      <c r="AR111" s="157">
        <v>4</v>
      </c>
      <c r="AS111" s="155">
        <v>1</v>
      </c>
      <c r="AT111" s="156">
        <v>0</v>
      </c>
      <c r="AU111" s="156">
        <v>0</v>
      </c>
      <c r="AV111" s="156">
        <v>0</v>
      </c>
      <c r="AW111" s="156">
        <v>0</v>
      </c>
      <c r="AX111" s="157">
        <v>4</v>
      </c>
      <c r="AY111" s="155">
        <v>1</v>
      </c>
      <c r="AZ111" s="156">
        <v>0</v>
      </c>
      <c r="BA111" s="156">
        <v>0</v>
      </c>
      <c r="BB111" s="156">
        <v>0</v>
      </c>
      <c r="BC111" s="156">
        <v>0</v>
      </c>
      <c r="BD111" s="157">
        <v>4</v>
      </c>
      <c r="BE111" s="155">
        <v>1</v>
      </c>
      <c r="BF111" s="156">
        <v>0</v>
      </c>
      <c r="BG111" s="156">
        <v>0</v>
      </c>
      <c r="BH111" s="156">
        <v>0</v>
      </c>
      <c r="BI111" s="156">
        <v>0</v>
      </c>
      <c r="BJ111" s="157">
        <v>4</v>
      </c>
      <c r="BK111" s="155">
        <v>1</v>
      </c>
      <c r="BL111" s="156">
        <v>0</v>
      </c>
      <c r="BM111" s="156">
        <v>0</v>
      </c>
      <c r="BN111" s="156">
        <v>0</v>
      </c>
      <c r="BO111" s="156">
        <v>0</v>
      </c>
      <c r="BP111" s="157">
        <v>2</v>
      </c>
      <c r="BQ111" s="155">
        <v>1</v>
      </c>
      <c r="BR111" s="156">
        <v>0</v>
      </c>
      <c r="BS111" s="156">
        <v>0</v>
      </c>
      <c r="BT111" s="156">
        <v>0</v>
      </c>
      <c r="BU111" s="156">
        <v>0</v>
      </c>
      <c r="BV111" s="157">
        <v>4</v>
      </c>
      <c r="BW111" s="161">
        <v>1</v>
      </c>
      <c r="BX111" s="156">
        <v>0</v>
      </c>
      <c r="BY111" s="156">
        <v>0</v>
      </c>
      <c r="BZ111" s="156">
        <v>0</v>
      </c>
      <c r="CA111" s="156">
        <v>0</v>
      </c>
      <c r="CB111" s="157">
        <v>3</v>
      </c>
      <c r="CC111" s="155">
        <v>0</v>
      </c>
      <c r="CD111" s="156">
        <v>0</v>
      </c>
      <c r="CE111" s="156">
        <v>0</v>
      </c>
      <c r="CF111" s="156">
        <v>0</v>
      </c>
      <c r="CG111" s="156">
        <v>0</v>
      </c>
      <c r="CH111" s="162">
        <v>0</v>
      </c>
      <c r="CI111" s="155">
        <v>0</v>
      </c>
      <c r="CJ111" s="156">
        <v>0</v>
      </c>
      <c r="CK111" s="156">
        <v>0</v>
      </c>
      <c r="CL111" s="156">
        <v>0</v>
      </c>
      <c r="CM111" s="156">
        <v>0</v>
      </c>
      <c r="CN111" s="162">
        <v>0</v>
      </c>
      <c r="CO111" s="155">
        <v>0.66666666666666652</v>
      </c>
      <c r="CP111" s="156">
        <v>0.33333333333333326</v>
      </c>
      <c r="CQ111" s="156">
        <v>0</v>
      </c>
      <c r="CR111" s="156">
        <v>0</v>
      </c>
      <c r="CS111" s="156">
        <v>0</v>
      </c>
      <c r="CT111" s="162">
        <v>3</v>
      </c>
      <c r="CU111" s="155">
        <v>0.66666666666666652</v>
      </c>
      <c r="CV111" s="156">
        <v>0.33333333333333326</v>
      </c>
      <c r="CW111" s="156">
        <v>0</v>
      </c>
      <c r="CX111" s="156">
        <v>0</v>
      </c>
      <c r="CY111" s="156">
        <v>0</v>
      </c>
      <c r="CZ111" s="162">
        <v>3</v>
      </c>
      <c r="DA111" s="155">
        <v>1</v>
      </c>
      <c r="DB111" s="156">
        <v>0</v>
      </c>
      <c r="DC111" s="156">
        <v>0</v>
      </c>
      <c r="DD111" s="156">
        <v>0</v>
      </c>
      <c r="DE111" s="156">
        <v>0</v>
      </c>
      <c r="DF111" s="162">
        <v>2</v>
      </c>
      <c r="DG111" s="155">
        <v>1</v>
      </c>
      <c r="DH111" s="156">
        <v>0</v>
      </c>
      <c r="DI111" s="156">
        <v>0</v>
      </c>
      <c r="DJ111" s="156">
        <v>0</v>
      </c>
      <c r="DK111" s="156">
        <v>0</v>
      </c>
      <c r="DL111" s="162">
        <v>2</v>
      </c>
      <c r="DM111" s="155">
        <v>0</v>
      </c>
      <c r="DN111" s="156">
        <v>0</v>
      </c>
      <c r="DO111" s="156">
        <v>0</v>
      </c>
      <c r="DP111" s="156">
        <v>1</v>
      </c>
      <c r="DQ111" s="156">
        <v>0</v>
      </c>
      <c r="DR111" s="162">
        <v>1</v>
      </c>
      <c r="DS111" s="161">
        <v>0</v>
      </c>
      <c r="DT111" s="156">
        <v>0</v>
      </c>
      <c r="DU111" s="156">
        <v>0</v>
      </c>
      <c r="DV111" s="156">
        <v>0</v>
      </c>
      <c r="DW111" s="156">
        <v>0</v>
      </c>
      <c r="DX111" s="162">
        <v>0</v>
      </c>
      <c r="DY111" s="155">
        <v>0.75</v>
      </c>
      <c r="DZ111" s="156">
        <v>0.25</v>
      </c>
      <c r="EA111" s="156">
        <v>0</v>
      </c>
      <c r="EB111" s="156">
        <v>0</v>
      </c>
      <c r="EC111" s="156">
        <v>0</v>
      </c>
      <c r="ED111" s="162">
        <v>4</v>
      </c>
      <c r="EE111" s="155">
        <v>1</v>
      </c>
      <c r="EF111" s="156">
        <v>0</v>
      </c>
      <c r="EG111" s="156">
        <v>0</v>
      </c>
      <c r="EH111" s="156">
        <v>0</v>
      </c>
      <c r="EI111" s="156">
        <v>0</v>
      </c>
      <c r="EJ111" s="162">
        <v>3</v>
      </c>
      <c r="EK111" s="155">
        <v>1</v>
      </c>
      <c r="EL111" s="156">
        <v>0</v>
      </c>
      <c r="EM111" s="156">
        <v>0</v>
      </c>
      <c r="EN111" s="156">
        <v>0</v>
      </c>
      <c r="EO111" s="156">
        <v>0</v>
      </c>
      <c r="EP111" s="162">
        <v>1</v>
      </c>
      <c r="EQ111" s="155">
        <v>1</v>
      </c>
      <c r="ER111" s="156">
        <v>0</v>
      </c>
      <c r="ES111" s="156">
        <v>0</v>
      </c>
      <c r="ET111" s="156">
        <v>0</v>
      </c>
      <c r="EU111" s="156">
        <v>0</v>
      </c>
      <c r="EV111" s="162">
        <v>1</v>
      </c>
      <c r="EW111" s="155">
        <v>0</v>
      </c>
      <c r="EX111" s="156">
        <v>0</v>
      </c>
      <c r="EY111" s="156">
        <v>0</v>
      </c>
      <c r="EZ111" s="156">
        <v>0</v>
      </c>
      <c r="FA111" s="156">
        <v>0</v>
      </c>
      <c r="FB111" s="162">
        <v>0</v>
      </c>
      <c r="FC111" s="155">
        <v>0</v>
      </c>
      <c r="FD111" s="156">
        <v>0</v>
      </c>
      <c r="FE111" s="156">
        <v>0</v>
      </c>
      <c r="FF111" s="156">
        <v>0</v>
      </c>
      <c r="FG111" s="156">
        <v>0</v>
      </c>
      <c r="FH111" s="162">
        <v>0</v>
      </c>
      <c r="FI111" s="161">
        <v>0</v>
      </c>
      <c r="FJ111" s="156">
        <v>0</v>
      </c>
      <c r="FK111" s="156">
        <v>0</v>
      </c>
      <c r="FL111" s="156">
        <v>0</v>
      </c>
      <c r="FM111" s="156">
        <v>0</v>
      </c>
      <c r="FN111" s="162">
        <v>0</v>
      </c>
      <c r="FO111" s="155">
        <v>0</v>
      </c>
      <c r="FP111" s="156">
        <v>0</v>
      </c>
      <c r="FQ111" s="156">
        <v>0</v>
      </c>
      <c r="FR111" s="156">
        <v>0</v>
      </c>
      <c r="FS111" s="156">
        <v>0</v>
      </c>
      <c r="FT111" s="162">
        <v>0</v>
      </c>
      <c r="FU111" s="155">
        <v>0</v>
      </c>
      <c r="FV111" s="156">
        <v>0</v>
      </c>
      <c r="FW111" s="156">
        <v>0</v>
      </c>
      <c r="FX111" s="156">
        <v>0</v>
      </c>
      <c r="FY111" s="156">
        <v>0</v>
      </c>
      <c r="FZ111" s="162">
        <v>0</v>
      </c>
      <c r="GA111" s="161">
        <v>0</v>
      </c>
      <c r="GB111" s="156">
        <v>0</v>
      </c>
      <c r="GC111" s="156">
        <v>0</v>
      </c>
      <c r="GD111" s="156">
        <v>0</v>
      </c>
      <c r="GE111" s="156">
        <v>0</v>
      </c>
      <c r="GF111" s="162">
        <v>0</v>
      </c>
      <c r="GG111" s="158">
        <v>9.4999999999999982</v>
      </c>
      <c r="GH111" s="162">
        <v>4</v>
      </c>
      <c r="GI111" s="155">
        <v>1</v>
      </c>
      <c r="GJ111" s="156">
        <v>0</v>
      </c>
      <c r="GK111" s="156">
        <v>0</v>
      </c>
      <c r="GL111" s="156">
        <v>0</v>
      </c>
      <c r="GM111" s="156">
        <v>0</v>
      </c>
      <c r="GN111" s="162">
        <v>3</v>
      </c>
      <c r="GO111" s="155">
        <v>0.33333333333333331</v>
      </c>
      <c r="GP111" s="156">
        <v>0.33333333333333331</v>
      </c>
      <c r="GQ111" s="156">
        <v>0.33333333333333331</v>
      </c>
      <c r="GR111" s="156">
        <v>0</v>
      </c>
      <c r="GS111" s="162">
        <v>3</v>
      </c>
      <c r="GT111" s="163">
        <v>3.4999999999999996</v>
      </c>
      <c r="GU111" s="162">
        <v>4</v>
      </c>
      <c r="GV111" s="155">
        <v>1</v>
      </c>
      <c r="GW111" s="156">
        <v>0</v>
      </c>
      <c r="GX111" s="162">
        <v>2</v>
      </c>
      <c r="GY111" s="155">
        <v>1</v>
      </c>
      <c r="GZ111" s="156">
        <v>0</v>
      </c>
      <c r="HA111" s="162">
        <v>3</v>
      </c>
      <c r="HB111" s="155">
        <v>0.75</v>
      </c>
      <c r="HC111" s="156">
        <v>0.25</v>
      </c>
      <c r="HD111" s="162">
        <v>4</v>
      </c>
      <c r="HE111" s="161">
        <v>1</v>
      </c>
      <c r="HF111" s="156">
        <v>0</v>
      </c>
      <c r="HG111" s="162">
        <v>4</v>
      </c>
      <c r="HH111" s="155">
        <v>0.75</v>
      </c>
      <c r="HI111" s="156">
        <v>0.25</v>
      </c>
      <c r="HJ111" s="162">
        <v>4</v>
      </c>
      <c r="HK111" s="155">
        <v>1</v>
      </c>
      <c r="HL111" s="156">
        <v>0</v>
      </c>
      <c r="HM111" s="162">
        <v>4</v>
      </c>
      <c r="HN111" s="161">
        <v>0</v>
      </c>
      <c r="HO111" s="156">
        <v>0</v>
      </c>
      <c r="HP111" s="156">
        <v>0.5</v>
      </c>
      <c r="HQ111" s="156">
        <v>0.25</v>
      </c>
      <c r="HR111" s="156">
        <v>0.25</v>
      </c>
      <c r="HS111" s="160">
        <v>66.25</v>
      </c>
      <c r="HT111" s="164">
        <v>4</v>
      </c>
      <c r="HU111" s="165">
        <v>0</v>
      </c>
      <c r="HV111" s="166">
        <v>0</v>
      </c>
      <c r="HW111" s="166">
        <v>0</v>
      </c>
      <c r="HX111" s="166">
        <v>0</v>
      </c>
      <c r="HY111" s="166">
        <v>0.5</v>
      </c>
      <c r="HZ111" s="166">
        <v>0</v>
      </c>
      <c r="IA111" s="166">
        <v>0</v>
      </c>
      <c r="IB111" s="166">
        <v>0.5</v>
      </c>
      <c r="IC111" s="166">
        <v>0</v>
      </c>
      <c r="ID111" s="166">
        <v>0</v>
      </c>
      <c r="IE111" s="167">
        <v>4</v>
      </c>
      <c r="IF111" s="155">
        <v>0</v>
      </c>
      <c r="IG111" s="156">
        <v>0</v>
      </c>
      <c r="IH111" s="156">
        <v>0</v>
      </c>
      <c r="II111" s="156">
        <v>0</v>
      </c>
      <c r="IJ111" s="156">
        <v>0</v>
      </c>
      <c r="IK111" s="162">
        <v>0</v>
      </c>
      <c r="IL111" s="155">
        <v>0</v>
      </c>
      <c r="IM111" s="156">
        <v>0</v>
      </c>
      <c r="IN111" s="156">
        <v>0</v>
      </c>
      <c r="IO111" s="156">
        <v>1</v>
      </c>
      <c r="IP111" s="156">
        <v>0</v>
      </c>
      <c r="IQ111" s="162">
        <v>4</v>
      </c>
      <c r="IR111" s="155">
        <v>0.25</v>
      </c>
      <c r="IS111" s="156">
        <v>0.75</v>
      </c>
      <c r="IT111" s="162">
        <v>4</v>
      </c>
      <c r="IU111" s="161">
        <v>0</v>
      </c>
      <c r="IV111" s="156">
        <v>0</v>
      </c>
      <c r="IW111" s="156">
        <v>1</v>
      </c>
      <c r="IX111" s="162">
        <v>1</v>
      </c>
    </row>
    <row r="112" spans="1:258" ht="32.1" customHeight="1" x14ac:dyDescent="0.25">
      <c r="A112" s="110" t="s">
        <v>527</v>
      </c>
      <c r="B112" s="108" t="s">
        <v>527</v>
      </c>
      <c r="C112" s="108" t="s">
        <v>454</v>
      </c>
      <c r="D112" s="109">
        <v>3219</v>
      </c>
      <c r="E112" s="139" t="s">
        <v>564</v>
      </c>
      <c r="F112" s="155">
        <v>0.33333333333333337</v>
      </c>
      <c r="G112" s="156">
        <v>0.66666666666666674</v>
      </c>
      <c r="H112" s="157">
        <v>9</v>
      </c>
      <c r="I112" s="155">
        <v>0.83333333333333326</v>
      </c>
      <c r="J112" s="156">
        <v>0.16666666666666669</v>
      </c>
      <c r="K112" s="157">
        <v>6</v>
      </c>
      <c r="L112" s="155">
        <v>0.66666666666666674</v>
      </c>
      <c r="M112" s="156">
        <v>0.33333333333333337</v>
      </c>
      <c r="N112" s="157">
        <v>6</v>
      </c>
      <c r="O112" s="155">
        <v>0.33333333333333331</v>
      </c>
      <c r="P112" s="156">
        <v>0</v>
      </c>
      <c r="Q112" s="156">
        <v>0.33333333333333331</v>
      </c>
      <c r="R112" s="156">
        <v>0</v>
      </c>
      <c r="S112" s="156">
        <v>0.55555555555555547</v>
      </c>
      <c r="T112" s="156">
        <v>0.22222222222222227</v>
      </c>
      <c r="U112" s="156">
        <v>0.11111111111111113</v>
      </c>
      <c r="V112" s="156">
        <v>0.11111111111111113</v>
      </c>
      <c r="W112" s="156">
        <v>0.11111111111111113</v>
      </c>
      <c r="X112" s="156">
        <v>0</v>
      </c>
      <c r="Y112" s="157">
        <v>9</v>
      </c>
      <c r="Z112" s="155">
        <v>0.44444444444444453</v>
      </c>
      <c r="AA112" s="156">
        <v>0.55555555555555547</v>
      </c>
      <c r="AB112" s="156">
        <v>0.44444444444444453</v>
      </c>
      <c r="AC112" s="156">
        <v>0.44444444444444453</v>
      </c>
      <c r="AD112" s="156">
        <v>0</v>
      </c>
      <c r="AE112" s="156">
        <v>0.11111111111111113</v>
      </c>
      <c r="AF112" s="157">
        <v>9</v>
      </c>
      <c r="AG112" s="158">
        <v>9.8888888888888875</v>
      </c>
      <c r="AH112" s="159">
        <v>9</v>
      </c>
      <c r="AI112" s="160">
        <v>9.8888888888888875</v>
      </c>
      <c r="AJ112" s="159">
        <v>9</v>
      </c>
      <c r="AK112" s="160">
        <v>10</v>
      </c>
      <c r="AL112" s="157">
        <v>9</v>
      </c>
      <c r="AM112" s="155">
        <v>0.88888888888888895</v>
      </c>
      <c r="AN112" s="156">
        <v>0.11111111111111112</v>
      </c>
      <c r="AO112" s="156">
        <v>0</v>
      </c>
      <c r="AP112" s="156">
        <v>0</v>
      </c>
      <c r="AQ112" s="156">
        <v>0</v>
      </c>
      <c r="AR112" s="157">
        <v>9</v>
      </c>
      <c r="AS112" s="155">
        <v>0.88888888888888895</v>
      </c>
      <c r="AT112" s="156">
        <v>0.11111111111111112</v>
      </c>
      <c r="AU112" s="156">
        <v>0</v>
      </c>
      <c r="AV112" s="156">
        <v>0</v>
      </c>
      <c r="AW112" s="156">
        <v>0</v>
      </c>
      <c r="AX112" s="157">
        <v>9</v>
      </c>
      <c r="AY112" s="155">
        <v>1</v>
      </c>
      <c r="AZ112" s="156">
        <v>0</v>
      </c>
      <c r="BA112" s="156">
        <v>0</v>
      </c>
      <c r="BB112" s="156">
        <v>0</v>
      </c>
      <c r="BC112" s="156">
        <v>0</v>
      </c>
      <c r="BD112" s="157">
        <v>7</v>
      </c>
      <c r="BE112" s="155">
        <v>1.0000000000000002</v>
      </c>
      <c r="BF112" s="156">
        <v>0</v>
      </c>
      <c r="BG112" s="156">
        <v>0</v>
      </c>
      <c r="BH112" s="156">
        <v>0</v>
      </c>
      <c r="BI112" s="156">
        <v>0</v>
      </c>
      <c r="BJ112" s="157">
        <v>9</v>
      </c>
      <c r="BK112" s="155">
        <v>1</v>
      </c>
      <c r="BL112" s="156">
        <v>0</v>
      </c>
      <c r="BM112" s="156">
        <v>0</v>
      </c>
      <c r="BN112" s="156">
        <v>0</v>
      </c>
      <c r="BO112" s="156">
        <v>0</v>
      </c>
      <c r="BP112" s="157">
        <v>5</v>
      </c>
      <c r="BQ112" s="155">
        <v>1.0000000000000002</v>
      </c>
      <c r="BR112" s="156">
        <v>0</v>
      </c>
      <c r="BS112" s="156">
        <v>0</v>
      </c>
      <c r="BT112" s="156">
        <v>0</v>
      </c>
      <c r="BU112" s="156">
        <v>0</v>
      </c>
      <c r="BV112" s="157">
        <v>9</v>
      </c>
      <c r="BW112" s="161">
        <v>1</v>
      </c>
      <c r="BX112" s="156">
        <v>0</v>
      </c>
      <c r="BY112" s="156">
        <v>0</v>
      </c>
      <c r="BZ112" s="156">
        <v>0</v>
      </c>
      <c r="CA112" s="156">
        <v>0</v>
      </c>
      <c r="CB112" s="157">
        <v>5</v>
      </c>
      <c r="CC112" s="155">
        <v>1</v>
      </c>
      <c r="CD112" s="156">
        <v>0</v>
      </c>
      <c r="CE112" s="156">
        <v>0</v>
      </c>
      <c r="CF112" s="156">
        <v>0</v>
      </c>
      <c r="CG112" s="156">
        <v>0</v>
      </c>
      <c r="CH112" s="162">
        <v>3</v>
      </c>
      <c r="CI112" s="155">
        <v>1</v>
      </c>
      <c r="CJ112" s="156">
        <v>0</v>
      </c>
      <c r="CK112" s="156">
        <v>0</v>
      </c>
      <c r="CL112" s="156">
        <v>0</v>
      </c>
      <c r="CM112" s="156">
        <v>0</v>
      </c>
      <c r="CN112" s="162">
        <v>2</v>
      </c>
      <c r="CO112" s="155">
        <v>1</v>
      </c>
      <c r="CP112" s="156">
        <v>0</v>
      </c>
      <c r="CQ112" s="156">
        <v>0</v>
      </c>
      <c r="CR112" s="156">
        <v>0</v>
      </c>
      <c r="CS112" s="156">
        <v>0</v>
      </c>
      <c r="CT112" s="162">
        <v>3</v>
      </c>
      <c r="CU112" s="155">
        <v>1</v>
      </c>
      <c r="CV112" s="156">
        <v>0</v>
      </c>
      <c r="CW112" s="156">
        <v>0</v>
      </c>
      <c r="CX112" s="156">
        <v>0</v>
      </c>
      <c r="CY112" s="156">
        <v>0</v>
      </c>
      <c r="CZ112" s="162">
        <v>3</v>
      </c>
      <c r="DA112" s="155">
        <v>1</v>
      </c>
      <c r="DB112" s="156">
        <v>0</v>
      </c>
      <c r="DC112" s="156">
        <v>0</v>
      </c>
      <c r="DD112" s="156">
        <v>0</v>
      </c>
      <c r="DE112" s="156">
        <v>0</v>
      </c>
      <c r="DF112" s="162">
        <v>3</v>
      </c>
      <c r="DG112" s="155">
        <v>1</v>
      </c>
      <c r="DH112" s="156">
        <v>0</v>
      </c>
      <c r="DI112" s="156">
        <v>0</v>
      </c>
      <c r="DJ112" s="156">
        <v>0</v>
      </c>
      <c r="DK112" s="156">
        <v>0</v>
      </c>
      <c r="DL112" s="162">
        <v>2</v>
      </c>
      <c r="DM112" s="155">
        <v>1</v>
      </c>
      <c r="DN112" s="156">
        <v>0</v>
      </c>
      <c r="DO112" s="156">
        <v>0</v>
      </c>
      <c r="DP112" s="156">
        <v>0</v>
      </c>
      <c r="DQ112" s="156">
        <v>0</v>
      </c>
      <c r="DR112" s="162">
        <v>2</v>
      </c>
      <c r="DS112" s="161">
        <v>1</v>
      </c>
      <c r="DT112" s="156">
        <v>0</v>
      </c>
      <c r="DU112" s="156">
        <v>0</v>
      </c>
      <c r="DV112" s="156">
        <v>0</v>
      </c>
      <c r="DW112" s="156">
        <v>0</v>
      </c>
      <c r="DX112" s="162">
        <v>3</v>
      </c>
      <c r="DY112" s="155">
        <v>1.0000000000000002</v>
      </c>
      <c r="DZ112" s="156">
        <v>0</v>
      </c>
      <c r="EA112" s="156">
        <v>0</v>
      </c>
      <c r="EB112" s="156">
        <v>0</v>
      </c>
      <c r="EC112" s="156">
        <v>0</v>
      </c>
      <c r="ED112" s="162">
        <v>9</v>
      </c>
      <c r="EE112" s="155">
        <v>1</v>
      </c>
      <c r="EF112" s="156">
        <v>0</v>
      </c>
      <c r="EG112" s="156">
        <v>0</v>
      </c>
      <c r="EH112" s="156">
        <v>0</v>
      </c>
      <c r="EI112" s="156">
        <v>0</v>
      </c>
      <c r="EJ112" s="162">
        <v>5</v>
      </c>
      <c r="EK112" s="155">
        <v>0.60000000000000009</v>
      </c>
      <c r="EL112" s="156">
        <v>0.4</v>
      </c>
      <c r="EM112" s="156">
        <v>0</v>
      </c>
      <c r="EN112" s="156">
        <v>0</v>
      </c>
      <c r="EO112" s="156">
        <v>0</v>
      </c>
      <c r="EP112" s="162">
        <v>5</v>
      </c>
      <c r="EQ112" s="155">
        <v>1</v>
      </c>
      <c r="ER112" s="156">
        <v>0</v>
      </c>
      <c r="ES112" s="156">
        <v>0</v>
      </c>
      <c r="ET112" s="156">
        <v>0</v>
      </c>
      <c r="EU112" s="156">
        <v>0</v>
      </c>
      <c r="EV112" s="162">
        <v>4</v>
      </c>
      <c r="EW112" s="155">
        <v>1</v>
      </c>
      <c r="EX112" s="156">
        <v>0</v>
      </c>
      <c r="EY112" s="156">
        <v>0</v>
      </c>
      <c r="EZ112" s="156">
        <v>0</v>
      </c>
      <c r="FA112" s="156">
        <v>0</v>
      </c>
      <c r="FB112" s="162">
        <v>4</v>
      </c>
      <c r="FC112" s="155">
        <v>1</v>
      </c>
      <c r="FD112" s="156">
        <v>0</v>
      </c>
      <c r="FE112" s="156">
        <v>0</v>
      </c>
      <c r="FF112" s="156">
        <v>0</v>
      </c>
      <c r="FG112" s="156">
        <v>0</v>
      </c>
      <c r="FH112" s="162">
        <v>2</v>
      </c>
      <c r="FI112" s="161">
        <v>1</v>
      </c>
      <c r="FJ112" s="156">
        <v>0</v>
      </c>
      <c r="FK112" s="156">
        <v>0</v>
      </c>
      <c r="FL112" s="156">
        <v>0</v>
      </c>
      <c r="FM112" s="156">
        <v>0</v>
      </c>
      <c r="FN112" s="162">
        <v>3</v>
      </c>
      <c r="FO112" s="155">
        <v>0</v>
      </c>
      <c r="FP112" s="156">
        <v>0</v>
      </c>
      <c r="FQ112" s="156">
        <v>0</v>
      </c>
      <c r="FR112" s="156">
        <v>0</v>
      </c>
      <c r="FS112" s="156">
        <v>0</v>
      </c>
      <c r="FT112" s="162">
        <v>0</v>
      </c>
      <c r="FU112" s="155">
        <v>0</v>
      </c>
      <c r="FV112" s="156">
        <v>0</v>
      </c>
      <c r="FW112" s="156">
        <v>0</v>
      </c>
      <c r="FX112" s="156">
        <v>0</v>
      </c>
      <c r="FY112" s="156">
        <v>0</v>
      </c>
      <c r="FZ112" s="162">
        <v>0</v>
      </c>
      <c r="GA112" s="161">
        <v>0</v>
      </c>
      <c r="GB112" s="156">
        <v>0</v>
      </c>
      <c r="GC112" s="156">
        <v>0</v>
      </c>
      <c r="GD112" s="156">
        <v>0</v>
      </c>
      <c r="GE112" s="156">
        <v>0</v>
      </c>
      <c r="GF112" s="162">
        <v>0</v>
      </c>
      <c r="GG112" s="158">
        <v>9.8888888888888875</v>
      </c>
      <c r="GH112" s="162">
        <v>9</v>
      </c>
      <c r="GI112" s="155">
        <v>0.55555555555555547</v>
      </c>
      <c r="GJ112" s="156">
        <v>0.11111111111111112</v>
      </c>
      <c r="GK112" s="156">
        <v>0.33333333333333337</v>
      </c>
      <c r="GL112" s="156">
        <v>0</v>
      </c>
      <c r="GM112" s="156">
        <v>0</v>
      </c>
      <c r="GN112" s="162">
        <v>9</v>
      </c>
      <c r="GO112" s="155">
        <v>0.44444444444444453</v>
      </c>
      <c r="GP112" s="156">
        <v>0.33333333333333331</v>
      </c>
      <c r="GQ112" s="156">
        <v>0.33333333333333331</v>
      </c>
      <c r="GR112" s="156">
        <v>0.11111111111111113</v>
      </c>
      <c r="GS112" s="162">
        <v>9</v>
      </c>
      <c r="GT112" s="163">
        <v>3.3333333333333326</v>
      </c>
      <c r="GU112" s="162">
        <v>9</v>
      </c>
      <c r="GV112" s="155">
        <v>1</v>
      </c>
      <c r="GW112" s="156">
        <v>0</v>
      </c>
      <c r="GX112" s="162">
        <v>3</v>
      </c>
      <c r="GY112" s="155">
        <v>1</v>
      </c>
      <c r="GZ112" s="156">
        <v>0</v>
      </c>
      <c r="HA112" s="162">
        <v>8</v>
      </c>
      <c r="HB112" s="155">
        <v>0.88888888888888895</v>
      </c>
      <c r="HC112" s="156">
        <v>0.11111111111111112</v>
      </c>
      <c r="HD112" s="162">
        <v>9</v>
      </c>
      <c r="HE112" s="161">
        <v>1</v>
      </c>
      <c r="HF112" s="156">
        <v>0</v>
      </c>
      <c r="HG112" s="162">
        <v>6</v>
      </c>
      <c r="HH112" s="155">
        <v>0.625</v>
      </c>
      <c r="HI112" s="156">
        <v>0.375</v>
      </c>
      <c r="HJ112" s="162">
        <v>8</v>
      </c>
      <c r="HK112" s="155">
        <v>1</v>
      </c>
      <c r="HL112" s="156">
        <v>0</v>
      </c>
      <c r="HM112" s="162">
        <v>7</v>
      </c>
      <c r="HN112" s="161">
        <v>0</v>
      </c>
      <c r="HO112" s="156">
        <v>0.125</v>
      </c>
      <c r="HP112" s="156">
        <v>0.625</v>
      </c>
      <c r="HQ112" s="156">
        <v>0.125</v>
      </c>
      <c r="HR112" s="156">
        <v>0.125</v>
      </c>
      <c r="HS112" s="160">
        <v>57.624999999999986</v>
      </c>
      <c r="HT112" s="164">
        <v>8</v>
      </c>
      <c r="HU112" s="165">
        <v>0</v>
      </c>
      <c r="HV112" s="166">
        <v>0.14285714285714285</v>
      </c>
      <c r="HW112" s="166">
        <v>0</v>
      </c>
      <c r="HX112" s="166">
        <v>0</v>
      </c>
      <c r="HY112" s="166">
        <v>0.14285714285714285</v>
      </c>
      <c r="HZ112" s="166">
        <v>0.2857142857142857</v>
      </c>
      <c r="IA112" s="166">
        <v>0.42857142857142855</v>
      </c>
      <c r="IB112" s="166">
        <v>0</v>
      </c>
      <c r="IC112" s="166">
        <v>0</v>
      </c>
      <c r="ID112" s="166">
        <v>0</v>
      </c>
      <c r="IE112" s="167">
        <v>7</v>
      </c>
      <c r="IF112" s="155">
        <v>0</v>
      </c>
      <c r="IG112" s="156">
        <v>0</v>
      </c>
      <c r="IH112" s="156">
        <v>1</v>
      </c>
      <c r="II112" s="156">
        <v>0</v>
      </c>
      <c r="IJ112" s="156">
        <v>0</v>
      </c>
      <c r="IK112" s="162">
        <v>1</v>
      </c>
      <c r="IL112" s="155">
        <v>0.125</v>
      </c>
      <c r="IM112" s="156">
        <v>0</v>
      </c>
      <c r="IN112" s="156">
        <v>0</v>
      </c>
      <c r="IO112" s="156">
        <v>0.87499999999999989</v>
      </c>
      <c r="IP112" s="156">
        <v>0</v>
      </c>
      <c r="IQ112" s="162">
        <v>8</v>
      </c>
      <c r="IR112" s="155">
        <v>0</v>
      </c>
      <c r="IS112" s="156">
        <v>1</v>
      </c>
      <c r="IT112" s="162">
        <v>8</v>
      </c>
      <c r="IU112" s="161">
        <v>0</v>
      </c>
      <c r="IV112" s="156">
        <v>0</v>
      </c>
      <c r="IW112" s="156">
        <v>0</v>
      </c>
      <c r="IX112" s="162">
        <v>0</v>
      </c>
    </row>
    <row r="113" spans="1:258" ht="32.1" customHeight="1" x14ac:dyDescent="0.25">
      <c r="A113" s="110" t="s">
        <v>453</v>
      </c>
      <c r="B113" s="108" t="s">
        <v>588</v>
      </c>
      <c r="C113" s="108" t="s">
        <v>480</v>
      </c>
      <c r="D113" s="109">
        <v>3233</v>
      </c>
      <c r="E113" s="139" t="s">
        <v>634</v>
      </c>
      <c r="F113" s="155">
        <v>4.9999999999999989E-2</v>
      </c>
      <c r="G113" s="156">
        <v>0.95000000000000018</v>
      </c>
      <c r="H113" s="157">
        <v>20</v>
      </c>
      <c r="I113" s="155">
        <v>0.73684210526315808</v>
      </c>
      <c r="J113" s="156">
        <v>0.26315789473684209</v>
      </c>
      <c r="K113" s="157">
        <v>19</v>
      </c>
      <c r="L113" s="155">
        <v>0.64285714285714246</v>
      </c>
      <c r="M113" s="156">
        <v>0.35714285714285715</v>
      </c>
      <c r="N113" s="157">
        <v>14</v>
      </c>
      <c r="O113" s="155">
        <v>0.69999999999999973</v>
      </c>
      <c r="P113" s="156">
        <v>0</v>
      </c>
      <c r="Q113" s="156">
        <v>4.9999999999999961E-2</v>
      </c>
      <c r="R113" s="156">
        <v>4.9999999999999961E-2</v>
      </c>
      <c r="S113" s="156">
        <v>0</v>
      </c>
      <c r="T113" s="156">
        <v>0</v>
      </c>
      <c r="U113" s="156">
        <v>0</v>
      </c>
      <c r="V113" s="156">
        <v>0.34999999999999987</v>
      </c>
      <c r="W113" s="156">
        <v>4.9999999999999961E-2</v>
      </c>
      <c r="X113" s="156">
        <v>0.14999999999999994</v>
      </c>
      <c r="Y113" s="157">
        <v>20</v>
      </c>
      <c r="Z113" s="155">
        <v>0.5</v>
      </c>
      <c r="AA113" s="156">
        <v>0.80000000000000016</v>
      </c>
      <c r="AB113" s="156">
        <v>0.34999999999999987</v>
      </c>
      <c r="AC113" s="156">
        <v>0.5</v>
      </c>
      <c r="AD113" s="156">
        <v>0</v>
      </c>
      <c r="AE113" s="156">
        <v>0.29999999999999988</v>
      </c>
      <c r="AF113" s="157">
        <v>20</v>
      </c>
      <c r="AG113" s="158">
        <v>9.6999999999999957</v>
      </c>
      <c r="AH113" s="159">
        <v>20</v>
      </c>
      <c r="AI113" s="160">
        <v>9.9000000000000021</v>
      </c>
      <c r="AJ113" s="159">
        <v>20</v>
      </c>
      <c r="AK113" s="160">
        <v>9.7894736842105221</v>
      </c>
      <c r="AL113" s="157">
        <v>19</v>
      </c>
      <c r="AM113" s="155">
        <v>0.16666666666666663</v>
      </c>
      <c r="AN113" s="156">
        <v>0.33333333333333326</v>
      </c>
      <c r="AO113" s="156">
        <v>0</v>
      </c>
      <c r="AP113" s="156">
        <v>0.44444444444444448</v>
      </c>
      <c r="AQ113" s="156">
        <v>5.5555555555555552E-2</v>
      </c>
      <c r="AR113" s="157">
        <v>18</v>
      </c>
      <c r="AS113" s="155">
        <v>0.90000000000000013</v>
      </c>
      <c r="AT113" s="156">
        <v>9.9999999999999978E-2</v>
      </c>
      <c r="AU113" s="156">
        <v>0</v>
      </c>
      <c r="AV113" s="156">
        <v>0</v>
      </c>
      <c r="AW113" s="156">
        <v>0</v>
      </c>
      <c r="AX113" s="157">
        <v>20</v>
      </c>
      <c r="AY113" s="155">
        <v>0.95000000000000018</v>
      </c>
      <c r="AZ113" s="156">
        <v>4.9999999999999989E-2</v>
      </c>
      <c r="BA113" s="156">
        <v>0</v>
      </c>
      <c r="BB113" s="156">
        <v>0</v>
      </c>
      <c r="BC113" s="156">
        <v>0</v>
      </c>
      <c r="BD113" s="157">
        <v>20</v>
      </c>
      <c r="BE113" s="155">
        <v>0.85</v>
      </c>
      <c r="BF113" s="156">
        <v>0.14999999999999997</v>
      </c>
      <c r="BG113" s="156">
        <v>0</v>
      </c>
      <c r="BH113" s="156">
        <v>0</v>
      </c>
      <c r="BI113" s="156">
        <v>0</v>
      </c>
      <c r="BJ113" s="157">
        <v>20</v>
      </c>
      <c r="BK113" s="155">
        <v>0.63157894736842091</v>
      </c>
      <c r="BL113" s="156">
        <v>0.26315789473684209</v>
      </c>
      <c r="BM113" s="156">
        <v>5.263157894736839E-2</v>
      </c>
      <c r="BN113" s="156">
        <v>5.263157894736839E-2</v>
      </c>
      <c r="BO113" s="156">
        <v>0</v>
      </c>
      <c r="BP113" s="157">
        <v>19</v>
      </c>
      <c r="BQ113" s="155">
        <v>0.90000000000000013</v>
      </c>
      <c r="BR113" s="156">
        <v>9.9999999999999978E-2</v>
      </c>
      <c r="BS113" s="156">
        <v>0</v>
      </c>
      <c r="BT113" s="156">
        <v>0</v>
      </c>
      <c r="BU113" s="156">
        <v>0</v>
      </c>
      <c r="BV113" s="157">
        <v>20</v>
      </c>
      <c r="BW113" s="161">
        <v>0.63157894736842091</v>
      </c>
      <c r="BX113" s="156">
        <v>0.1578947368421052</v>
      </c>
      <c r="BY113" s="156">
        <v>0.10526315789473678</v>
      </c>
      <c r="BZ113" s="156">
        <v>0.10526315789473678</v>
      </c>
      <c r="CA113" s="156">
        <v>0</v>
      </c>
      <c r="CB113" s="157">
        <v>19</v>
      </c>
      <c r="CC113" s="155">
        <v>1</v>
      </c>
      <c r="CD113" s="156">
        <v>0</v>
      </c>
      <c r="CE113" s="156">
        <v>0</v>
      </c>
      <c r="CF113" s="156">
        <v>0</v>
      </c>
      <c r="CG113" s="156">
        <v>0</v>
      </c>
      <c r="CH113" s="162">
        <v>4</v>
      </c>
      <c r="CI113" s="155">
        <v>1</v>
      </c>
      <c r="CJ113" s="156">
        <v>0</v>
      </c>
      <c r="CK113" s="156">
        <v>0</v>
      </c>
      <c r="CL113" s="156">
        <v>0</v>
      </c>
      <c r="CM113" s="156">
        <v>0</v>
      </c>
      <c r="CN113" s="162">
        <v>3</v>
      </c>
      <c r="CO113" s="155">
        <v>0.57142857142857129</v>
      </c>
      <c r="CP113" s="156">
        <v>0.2142857142857143</v>
      </c>
      <c r="CQ113" s="156">
        <v>7.1428571428571411E-2</v>
      </c>
      <c r="CR113" s="156">
        <v>0.14285714285714282</v>
      </c>
      <c r="CS113" s="156">
        <v>0</v>
      </c>
      <c r="CT113" s="162">
        <v>14</v>
      </c>
      <c r="CU113" s="155">
        <v>0.53333333333333355</v>
      </c>
      <c r="CV113" s="156">
        <v>0.26666666666666644</v>
      </c>
      <c r="CW113" s="156">
        <v>0.13333333333333322</v>
      </c>
      <c r="CX113" s="156">
        <v>6.666666666666661E-2</v>
      </c>
      <c r="CY113" s="156">
        <v>0</v>
      </c>
      <c r="CZ113" s="162">
        <v>15</v>
      </c>
      <c r="DA113" s="155">
        <v>0.63636363636363602</v>
      </c>
      <c r="DB113" s="156">
        <v>0.2727272727272726</v>
      </c>
      <c r="DC113" s="156">
        <v>9.0909090909090898E-2</v>
      </c>
      <c r="DD113" s="156">
        <v>0</v>
      </c>
      <c r="DE113" s="156">
        <v>0</v>
      </c>
      <c r="DF113" s="162">
        <v>11</v>
      </c>
      <c r="DG113" s="155">
        <v>0.54545454545454519</v>
      </c>
      <c r="DH113" s="156">
        <v>0.2727272727272726</v>
      </c>
      <c r="DI113" s="156">
        <v>0.1818181818181818</v>
      </c>
      <c r="DJ113" s="156">
        <v>0</v>
      </c>
      <c r="DK113" s="156">
        <v>0</v>
      </c>
      <c r="DL113" s="162">
        <v>11</v>
      </c>
      <c r="DM113" s="155">
        <v>0.39999999999999991</v>
      </c>
      <c r="DN113" s="156">
        <v>0.46666666666666645</v>
      </c>
      <c r="DO113" s="156">
        <v>6.666666666666661E-2</v>
      </c>
      <c r="DP113" s="156">
        <v>6.666666666666661E-2</v>
      </c>
      <c r="DQ113" s="156">
        <v>0</v>
      </c>
      <c r="DR113" s="162">
        <v>15</v>
      </c>
      <c r="DS113" s="161">
        <v>0.71428571428571419</v>
      </c>
      <c r="DT113" s="156">
        <v>0.28571428571428564</v>
      </c>
      <c r="DU113" s="156">
        <v>0</v>
      </c>
      <c r="DV113" s="156">
        <v>0</v>
      </c>
      <c r="DW113" s="156">
        <v>0</v>
      </c>
      <c r="DX113" s="162">
        <v>14</v>
      </c>
      <c r="DY113" s="155">
        <v>0.94736842105263142</v>
      </c>
      <c r="DZ113" s="156">
        <v>5.263157894736839E-2</v>
      </c>
      <c r="EA113" s="156">
        <v>0</v>
      </c>
      <c r="EB113" s="156">
        <v>0</v>
      </c>
      <c r="EC113" s="156">
        <v>0</v>
      </c>
      <c r="ED113" s="162">
        <v>19</v>
      </c>
      <c r="EE113" s="155">
        <v>0.66666666666666674</v>
      </c>
      <c r="EF113" s="156">
        <v>0.33333333333333337</v>
      </c>
      <c r="EG113" s="156">
        <v>0</v>
      </c>
      <c r="EH113" s="156">
        <v>0</v>
      </c>
      <c r="EI113" s="156">
        <v>0</v>
      </c>
      <c r="EJ113" s="162">
        <v>3</v>
      </c>
      <c r="EK113" s="155">
        <v>0.57142857142857129</v>
      </c>
      <c r="EL113" s="156">
        <v>0.4285714285714286</v>
      </c>
      <c r="EM113" s="156">
        <v>0</v>
      </c>
      <c r="EN113" s="156">
        <v>0</v>
      </c>
      <c r="EO113" s="156">
        <v>0</v>
      </c>
      <c r="EP113" s="162">
        <v>7</v>
      </c>
      <c r="EQ113" s="155">
        <v>0.70588235294117641</v>
      </c>
      <c r="ER113" s="156">
        <v>0.29411764705882332</v>
      </c>
      <c r="ES113" s="156">
        <v>0</v>
      </c>
      <c r="ET113" s="156">
        <v>0</v>
      </c>
      <c r="EU113" s="156">
        <v>0</v>
      </c>
      <c r="EV113" s="162">
        <v>17</v>
      </c>
      <c r="EW113" s="155">
        <v>0.72222222222222199</v>
      </c>
      <c r="EX113" s="156">
        <v>0.27777777777777773</v>
      </c>
      <c r="EY113" s="156">
        <v>0</v>
      </c>
      <c r="EZ113" s="156">
        <v>0</v>
      </c>
      <c r="FA113" s="156">
        <v>0</v>
      </c>
      <c r="FB113" s="162">
        <v>18</v>
      </c>
      <c r="FC113" s="155">
        <v>1</v>
      </c>
      <c r="FD113" s="156">
        <v>0</v>
      </c>
      <c r="FE113" s="156">
        <v>0</v>
      </c>
      <c r="FF113" s="156">
        <v>0</v>
      </c>
      <c r="FG113" s="156">
        <v>0</v>
      </c>
      <c r="FH113" s="162">
        <v>1</v>
      </c>
      <c r="FI113" s="161">
        <v>1</v>
      </c>
      <c r="FJ113" s="156">
        <v>0</v>
      </c>
      <c r="FK113" s="156">
        <v>0</v>
      </c>
      <c r="FL113" s="156">
        <v>0</v>
      </c>
      <c r="FM113" s="156">
        <v>0</v>
      </c>
      <c r="FN113" s="162">
        <v>2</v>
      </c>
      <c r="FO113" s="155">
        <v>0</v>
      </c>
      <c r="FP113" s="156">
        <v>0</v>
      </c>
      <c r="FQ113" s="156">
        <v>0</v>
      </c>
      <c r="FR113" s="156">
        <v>0</v>
      </c>
      <c r="FS113" s="156">
        <v>0</v>
      </c>
      <c r="FT113" s="162">
        <v>0</v>
      </c>
      <c r="FU113" s="155">
        <v>0</v>
      </c>
      <c r="FV113" s="156">
        <v>0</v>
      </c>
      <c r="FW113" s="156">
        <v>0</v>
      </c>
      <c r="FX113" s="156">
        <v>0</v>
      </c>
      <c r="FY113" s="156">
        <v>0</v>
      </c>
      <c r="FZ113" s="162">
        <v>0</v>
      </c>
      <c r="GA113" s="161">
        <v>0</v>
      </c>
      <c r="GB113" s="156">
        <v>0</v>
      </c>
      <c r="GC113" s="156">
        <v>0</v>
      </c>
      <c r="GD113" s="156">
        <v>0</v>
      </c>
      <c r="GE113" s="156">
        <v>0</v>
      </c>
      <c r="GF113" s="162">
        <v>0</v>
      </c>
      <c r="GG113" s="158">
        <v>9.1999999999999957</v>
      </c>
      <c r="GH113" s="162">
        <v>20</v>
      </c>
      <c r="GI113" s="155">
        <v>0</v>
      </c>
      <c r="GJ113" s="156">
        <v>0.85</v>
      </c>
      <c r="GK113" s="156">
        <v>0</v>
      </c>
      <c r="GL113" s="156">
        <v>9.9999999999999978E-2</v>
      </c>
      <c r="GM113" s="156">
        <v>4.9999999999999989E-2</v>
      </c>
      <c r="GN113" s="162">
        <v>20</v>
      </c>
      <c r="GO113" s="155">
        <v>0.59999999999999987</v>
      </c>
      <c r="GP113" s="156">
        <v>0.14999999999999994</v>
      </c>
      <c r="GQ113" s="156">
        <v>0</v>
      </c>
      <c r="GR113" s="156">
        <v>0.24999999999999994</v>
      </c>
      <c r="GS113" s="162">
        <v>20</v>
      </c>
      <c r="GT113" s="163">
        <v>3</v>
      </c>
      <c r="GU113" s="162">
        <v>20</v>
      </c>
      <c r="GV113" s="155">
        <v>0.77777777777777801</v>
      </c>
      <c r="GW113" s="156">
        <v>0.22222222222222221</v>
      </c>
      <c r="GX113" s="162">
        <v>9</v>
      </c>
      <c r="GY113" s="155">
        <v>0.88888888888888895</v>
      </c>
      <c r="GZ113" s="156">
        <v>0.1111111111111111</v>
      </c>
      <c r="HA113" s="162">
        <v>9</v>
      </c>
      <c r="HB113" s="155">
        <v>0.94736842105263142</v>
      </c>
      <c r="HC113" s="156">
        <v>5.263157894736839E-2</v>
      </c>
      <c r="HD113" s="162">
        <v>19</v>
      </c>
      <c r="HE113" s="161">
        <v>0.94736842105263142</v>
      </c>
      <c r="HF113" s="156">
        <v>5.263157894736839E-2</v>
      </c>
      <c r="HG113" s="162">
        <v>19</v>
      </c>
      <c r="HH113" s="155">
        <v>0.61111111111111105</v>
      </c>
      <c r="HI113" s="156">
        <v>0.38888888888888884</v>
      </c>
      <c r="HJ113" s="162">
        <v>18</v>
      </c>
      <c r="HK113" s="155">
        <v>1</v>
      </c>
      <c r="HL113" s="156">
        <v>0</v>
      </c>
      <c r="HM113" s="162">
        <v>17</v>
      </c>
      <c r="HN113" s="161">
        <v>0</v>
      </c>
      <c r="HO113" s="156">
        <v>0.41176470588235276</v>
      </c>
      <c r="HP113" s="156">
        <v>0.41176470588235276</v>
      </c>
      <c r="HQ113" s="156">
        <v>5.8823529411764663E-2</v>
      </c>
      <c r="HR113" s="156">
        <v>0.11764705882352933</v>
      </c>
      <c r="HS113" s="160">
        <v>50.999999999999993</v>
      </c>
      <c r="HT113" s="164">
        <v>17</v>
      </c>
      <c r="HU113" s="165">
        <v>0</v>
      </c>
      <c r="HV113" s="166">
        <v>0</v>
      </c>
      <c r="HW113" s="166">
        <v>0.14285714285714285</v>
      </c>
      <c r="HX113" s="166">
        <v>7.1428571428571425E-2</v>
      </c>
      <c r="HY113" s="166">
        <v>7.1428571428571425E-2</v>
      </c>
      <c r="HZ113" s="166">
        <v>7.1428571428571425E-2</v>
      </c>
      <c r="IA113" s="166">
        <v>0</v>
      </c>
      <c r="IB113" s="166">
        <v>0.35714285714285715</v>
      </c>
      <c r="IC113" s="166">
        <v>0.14285714285714285</v>
      </c>
      <c r="ID113" s="166">
        <v>0.14285714285714285</v>
      </c>
      <c r="IE113" s="167">
        <v>14</v>
      </c>
      <c r="IF113" s="155">
        <v>0</v>
      </c>
      <c r="IG113" s="156">
        <v>0.5</v>
      </c>
      <c r="IH113" s="156">
        <v>0.5</v>
      </c>
      <c r="II113" s="156">
        <v>0</v>
      </c>
      <c r="IJ113" s="156">
        <v>0</v>
      </c>
      <c r="IK113" s="162">
        <v>2</v>
      </c>
      <c r="IL113" s="155">
        <v>5.263157894736839E-2</v>
      </c>
      <c r="IM113" s="156">
        <v>0</v>
      </c>
      <c r="IN113" s="156">
        <v>0</v>
      </c>
      <c r="IO113" s="156">
        <v>0.84210526315789436</v>
      </c>
      <c r="IP113" s="156">
        <v>0.10526315789473678</v>
      </c>
      <c r="IQ113" s="162">
        <v>19</v>
      </c>
      <c r="IR113" s="155">
        <v>0</v>
      </c>
      <c r="IS113" s="156">
        <v>1</v>
      </c>
      <c r="IT113" s="162">
        <v>19</v>
      </c>
      <c r="IU113" s="161">
        <v>0</v>
      </c>
      <c r="IV113" s="156">
        <v>0</v>
      </c>
      <c r="IW113" s="156">
        <v>0</v>
      </c>
      <c r="IX113" s="162">
        <v>0</v>
      </c>
    </row>
    <row r="114" spans="1:258" ht="32.1" customHeight="1" x14ac:dyDescent="0.25">
      <c r="A114" s="110" t="s">
        <v>566</v>
      </c>
      <c r="B114" s="108" t="s">
        <v>566</v>
      </c>
      <c r="C114" s="108" t="s">
        <v>454</v>
      </c>
      <c r="D114" s="109">
        <v>3413</v>
      </c>
      <c r="E114" s="139" t="s">
        <v>567</v>
      </c>
      <c r="F114" s="155">
        <v>7.1428571428571397E-2</v>
      </c>
      <c r="G114" s="156">
        <v>0.92857142857142871</v>
      </c>
      <c r="H114" s="157">
        <v>14</v>
      </c>
      <c r="I114" s="155">
        <v>0.76923076923076916</v>
      </c>
      <c r="J114" s="156">
        <v>0.23076923076923073</v>
      </c>
      <c r="K114" s="157">
        <v>13</v>
      </c>
      <c r="L114" s="155">
        <v>0.49999999999999994</v>
      </c>
      <c r="M114" s="156">
        <v>0.49999999999999994</v>
      </c>
      <c r="N114" s="157">
        <v>8</v>
      </c>
      <c r="O114" s="155">
        <v>0.85714285714285754</v>
      </c>
      <c r="P114" s="156">
        <v>0.14285714285714282</v>
      </c>
      <c r="Q114" s="156">
        <v>0.14285714285714282</v>
      </c>
      <c r="R114" s="156">
        <v>0.14285714285714282</v>
      </c>
      <c r="S114" s="156">
        <v>0.42857142857142855</v>
      </c>
      <c r="T114" s="156">
        <v>7.1428571428571411E-2</v>
      </c>
      <c r="U114" s="156">
        <v>0</v>
      </c>
      <c r="V114" s="156">
        <v>0</v>
      </c>
      <c r="W114" s="156">
        <v>0.57142857142857129</v>
      </c>
      <c r="X114" s="156">
        <v>0.42857142857142855</v>
      </c>
      <c r="Y114" s="157">
        <v>14</v>
      </c>
      <c r="Z114" s="155">
        <v>0.57142857142857129</v>
      </c>
      <c r="AA114" s="156">
        <v>1</v>
      </c>
      <c r="AB114" s="156">
        <v>0.64285714285714302</v>
      </c>
      <c r="AC114" s="156">
        <v>0.14285714285714282</v>
      </c>
      <c r="AD114" s="156">
        <v>0.21428571428571427</v>
      </c>
      <c r="AE114" s="156">
        <v>7.1428571428571411E-2</v>
      </c>
      <c r="AF114" s="157">
        <v>14</v>
      </c>
      <c r="AG114" s="158">
        <v>9</v>
      </c>
      <c r="AH114" s="159">
        <v>14</v>
      </c>
      <c r="AI114" s="160">
        <v>9.2142857142857189</v>
      </c>
      <c r="AJ114" s="159">
        <v>14</v>
      </c>
      <c r="AK114" s="160">
        <v>9.2857142857142883</v>
      </c>
      <c r="AL114" s="157">
        <v>14</v>
      </c>
      <c r="AM114" s="155">
        <v>0.84615384615384626</v>
      </c>
      <c r="AN114" s="156">
        <v>0.15384615384615385</v>
      </c>
      <c r="AO114" s="156">
        <v>0</v>
      </c>
      <c r="AP114" s="156">
        <v>0</v>
      </c>
      <c r="AQ114" s="156">
        <v>0</v>
      </c>
      <c r="AR114" s="157">
        <v>13</v>
      </c>
      <c r="AS114" s="155">
        <v>1</v>
      </c>
      <c r="AT114" s="156">
        <v>0</v>
      </c>
      <c r="AU114" s="156">
        <v>0</v>
      </c>
      <c r="AV114" s="156">
        <v>0</v>
      </c>
      <c r="AW114" s="156">
        <v>0</v>
      </c>
      <c r="AX114" s="157">
        <v>14</v>
      </c>
      <c r="AY114" s="155">
        <v>0.7857142857142857</v>
      </c>
      <c r="AZ114" s="156">
        <v>0.21428571428571425</v>
      </c>
      <c r="BA114" s="156">
        <v>0</v>
      </c>
      <c r="BB114" s="156">
        <v>0</v>
      </c>
      <c r="BC114" s="156">
        <v>0</v>
      </c>
      <c r="BD114" s="157">
        <v>14</v>
      </c>
      <c r="BE114" s="155">
        <v>0.7857142857142857</v>
      </c>
      <c r="BF114" s="156">
        <v>0.21428571428571425</v>
      </c>
      <c r="BG114" s="156">
        <v>0</v>
      </c>
      <c r="BH114" s="156">
        <v>0</v>
      </c>
      <c r="BI114" s="156">
        <v>0</v>
      </c>
      <c r="BJ114" s="157">
        <v>14</v>
      </c>
      <c r="BK114" s="155">
        <v>0.7</v>
      </c>
      <c r="BL114" s="156">
        <v>0.19999999999999996</v>
      </c>
      <c r="BM114" s="156">
        <v>0</v>
      </c>
      <c r="BN114" s="156">
        <v>9.9999999999999978E-2</v>
      </c>
      <c r="BO114" s="156">
        <v>0</v>
      </c>
      <c r="BP114" s="157">
        <v>10</v>
      </c>
      <c r="BQ114" s="155">
        <v>1</v>
      </c>
      <c r="BR114" s="156">
        <v>0</v>
      </c>
      <c r="BS114" s="156">
        <v>0</v>
      </c>
      <c r="BT114" s="156">
        <v>0</v>
      </c>
      <c r="BU114" s="156">
        <v>0</v>
      </c>
      <c r="BV114" s="157">
        <v>13</v>
      </c>
      <c r="BW114" s="161">
        <v>0.79999999999999982</v>
      </c>
      <c r="BX114" s="156">
        <v>0.19999999999999996</v>
      </c>
      <c r="BY114" s="156">
        <v>0</v>
      </c>
      <c r="BZ114" s="156">
        <v>0</v>
      </c>
      <c r="CA114" s="156">
        <v>0</v>
      </c>
      <c r="CB114" s="157">
        <v>10</v>
      </c>
      <c r="CC114" s="155">
        <v>0</v>
      </c>
      <c r="CD114" s="156">
        <v>0</v>
      </c>
      <c r="CE114" s="156">
        <v>0</v>
      </c>
      <c r="CF114" s="156">
        <v>0</v>
      </c>
      <c r="CG114" s="156">
        <v>0</v>
      </c>
      <c r="CH114" s="162">
        <v>0</v>
      </c>
      <c r="CI114" s="155">
        <v>0</v>
      </c>
      <c r="CJ114" s="156">
        <v>0</v>
      </c>
      <c r="CK114" s="156">
        <v>0</v>
      </c>
      <c r="CL114" s="156">
        <v>0</v>
      </c>
      <c r="CM114" s="156">
        <v>0</v>
      </c>
      <c r="CN114" s="162">
        <v>0</v>
      </c>
      <c r="CO114" s="155">
        <v>1</v>
      </c>
      <c r="CP114" s="156">
        <v>0</v>
      </c>
      <c r="CQ114" s="156">
        <v>0</v>
      </c>
      <c r="CR114" s="156">
        <v>0</v>
      </c>
      <c r="CS114" s="156">
        <v>0</v>
      </c>
      <c r="CT114" s="162">
        <v>2</v>
      </c>
      <c r="CU114" s="155">
        <v>1</v>
      </c>
      <c r="CV114" s="156">
        <v>0</v>
      </c>
      <c r="CW114" s="156">
        <v>0</v>
      </c>
      <c r="CX114" s="156">
        <v>0</v>
      </c>
      <c r="CY114" s="156">
        <v>0</v>
      </c>
      <c r="CZ114" s="162">
        <v>2</v>
      </c>
      <c r="DA114" s="155">
        <v>0.3</v>
      </c>
      <c r="DB114" s="156">
        <v>0.7</v>
      </c>
      <c r="DC114" s="156">
        <v>0</v>
      </c>
      <c r="DD114" s="156">
        <v>0</v>
      </c>
      <c r="DE114" s="156">
        <v>0</v>
      </c>
      <c r="DF114" s="162">
        <v>10</v>
      </c>
      <c r="DG114" s="155">
        <v>0.3</v>
      </c>
      <c r="DH114" s="156">
        <v>0.7</v>
      </c>
      <c r="DI114" s="156">
        <v>0</v>
      </c>
      <c r="DJ114" s="156">
        <v>0</v>
      </c>
      <c r="DK114" s="156">
        <v>0</v>
      </c>
      <c r="DL114" s="162">
        <v>10</v>
      </c>
      <c r="DM114" s="155">
        <v>0.14285714285714279</v>
      </c>
      <c r="DN114" s="156">
        <v>0</v>
      </c>
      <c r="DO114" s="156">
        <v>0.14285714285714279</v>
      </c>
      <c r="DP114" s="156">
        <v>0.7142857142857143</v>
      </c>
      <c r="DQ114" s="156">
        <v>0</v>
      </c>
      <c r="DR114" s="162">
        <v>7</v>
      </c>
      <c r="DS114" s="161">
        <v>0.8</v>
      </c>
      <c r="DT114" s="156">
        <v>0</v>
      </c>
      <c r="DU114" s="156">
        <v>0.2</v>
      </c>
      <c r="DV114" s="156">
        <v>0</v>
      </c>
      <c r="DW114" s="156">
        <v>0</v>
      </c>
      <c r="DX114" s="162">
        <v>5</v>
      </c>
      <c r="DY114" s="155">
        <v>0.77777777777777801</v>
      </c>
      <c r="DZ114" s="156">
        <v>0.22222222222222224</v>
      </c>
      <c r="EA114" s="156">
        <v>0</v>
      </c>
      <c r="EB114" s="156">
        <v>0</v>
      </c>
      <c r="EC114" s="156">
        <v>0</v>
      </c>
      <c r="ED114" s="162">
        <v>9</v>
      </c>
      <c r="EE114" s="155">
        <v>0.4</v>
      </c>
      <c r="EF114" s="156">
        <v>0</v>
      </c>
      <c r="EG114" s="156">
        <v>0.6</v>
      </c>
      <c r="EH114" s="156">
        <v>0</v>
      </c>
      <c r="EI114" s="156">
        <v>0</v>
      </c>
      <c r="EJ114" s="162">
        <v>5</v>
      </c>
      <c r="EK114" s="155">
        <v>0.4</v>
      </c>
      <c r="EL114" s="156">
        <v>0</v>
      </c>
      <c r="EM114" s="156">
        <v>0.6</v>
      </c>
      <c r="EN114" s="156">
        <v>0</v>
      </c>
      <c r="EO114" s="156">
        <v>0</v>
      </c>
      <c r="EP114" s="162">
        <v>5</v>
      </c>
      <c r="EQ114" s="155">
        <v>0.44444444444444448</v>
      </c>
      <c r="ER114" s="156">
        <v>0.22222222222222224</v>
      </c>
      <c r="ES114" s="156">
        <v>0.3333333333333332</v>
      </c>
      <c r="ET114" s="156">
        <v>0</v>
      </c>
      <c r="EU114" s="156">
        <v>0</v>
      </c>
      <c r="EV114" s="162">
        <v>9</v>
      </c>
      <c r="EW114" s="155">
        <v>0.44444444444444448</v>
      </c>
      <c r="EX114" s="156">
        <v>0.3333333333333332</v>
      </c>
      <c r="EY114" s="156">
        <v>0.22222222222222224</v>
      </c>
      <c r="EZ114" s="156">
        <v>0</v>
      </c>
      <c r="FA114" s="156">
        <v>0</v>
      </c>
      <c r="FB114" s="162">
        <v>9</v>
      </c>
      <c r="FC114" s="155">
        <v>0</v>
      </c>
      <c r="FD114" s="156">
        <v>0</v>
      </c>
      <c r="FE114" s="156">
        <v>0</v>
      </c>
      <c r="FF114" s="156">
        <v>0</v>
      </c>
      <c r="FG114" s="156">
        <v>0</v>
      </c>
      <c r="FH114" s="162">
        <v>0</v>
      </c>
      <c r="FI114" s="161">
        <v>0</v>
      </c>
      <c r="FJ114" s="156">
        <v>0</v>
      </c>
      <c r="FK114" s="156">
        <v>0</v>
      </c>
      <c r="FL114" s="156">
        <v>0</v>
      </c>
      <c r="FM114" s="156">
        <v>0</v>
      </c>
      <c r="FN114" s="162">
        <v>0</v>
      </c>
      <c r="FO114" s="155">
        <v>0</v>
      </c>
      <c r="FP114" s="156">
        <v>0</v>
      </c>
      <c r="FQ114" s="156">
        <v>0</v>
      </c>
      <c r="FR114" s="156">
        <v>0</v>
      </c>
      <c r="FS114" s="156">
        <v>0</v>
      </c>
      <c r="FT114" s="162">
        <v>0</v>
      </c>
      <c r="FU114" s="155">
        <v>0</v>
      </c>
      <c r="FV114" s="156">
        <v>0</v>
      </c>
      <c r="FW114" s="156">
        <v>0</v>
      </c>
      <c r="FX114" s="156">
        <v>0</v>
      </c>
      <c r="FY114" s="156">
        <v>0</v>
      </c>
      <c r="FZ114" s="162">
        <v>0</v>
      </c>
      <c r="GA114" s="161">
        <v>0</v>
      </c>
      <c r="GB114" s="156">
        <v>0</v>
      </c>
      <c r="GC114" s="156">
        <v>0</v>
      </c>
      <c r="GD114" s="156">
        <v>0</v>
      </c>
      <c r="GE114" s="156">
        <v>0</v>
      </c>
      <c r="GF114" s="162">
        <v>0</v>
      </c>
      <c r="GG114" s="158">
        <v>9.1538461538461569</v>
      </c>
      <c r="GH114" s="162">
        <v>13</v>
      </c>
      <c r="GI114" s="155">
        <v>0.53846153846153844</v>
      </c>
      <c r="GJ114" s="156">
        <v>0.46153846153846145</v>
      </c>
      <c r="GK114" s="156">
        <v>0</v>
      </c>
      <c r="GL114" s="156">
        <v>0</v>
      </c>
      <c r="GM114" s="156">
        <v>0</v>
      </c>
      <c r="GN114" s="162">
        <v>13</v>
      </c>
      <c r="GO114" s="155">
        <v>0.30769230769230754</v>
      </c>
      <c r="GP114" s="156">
        <v>0.46153846153846162</v>
      </c>
      <c r="GQ114" s="156">
        <v>0.30769230769230754</v>
      </c>
      <c r="GR114" s="156">
        <v>0.23076923076923075</v>
      </c>
      <c r="GS114" s="162">
        <v>13</v>
      </c>
      <c r="GT114" s="163">
        <v>3.7142857142857149</v>
      </c>
      <c r="GU114" s="162">
        <v>14</v>
      </c>
      <c r="GV114" s="155">
        <v>0.75</v>
      </c>
      <c r="GW114" s="156">
        <v>0.25</v>
      </c>
      <c r="GX114" s="162">
        <v>4</v>
      </c>
      <c r="GY114" s="155">
        <v>1</v>
      </c>
      <c r="GZ114" s="156">
        <v>0</v>
      </c>
      <c r="HA114" s="162">
        <v>13</v>
      </c>
      <c r="HB114" s="155">
        <v>1</v>
      </c>
      <c r="HC114" s="156">
        <v>0</v>
      </c>
      <c r="HD114" s="162">
        <v>13</v>
      </c>
      <c r="HE114" s="161">
        <v>0.8181818181818179</v>
      </c>
      <c r="HF114" s="156">
        <v>0.1818181818181818</v>
      </c>
      <c r="HG114" s="162">
        <v>11</v>
      </c>
      <c r="HH114" s="155">
        <v>0.23076923076923073</v>
      </c>
      <c r="HI114" s="156">
        <v>0.76923076923076916</v>
      </c>
      <c r="HJ114" s="162">
        <v>13</v>
      </c>
      <c r="HK114" s="155">
        <v>1</v>
      </c>
      <c r="HL114" s="156">
        <v>0</v>
      </c>
      <c r="HM114" s="162">
        <v>9</v>
      </c>
      <c r="HN114" s="161">
        <v>0.37499999999999994</v>
      </c>
      <c r="HO114" s="156">
        <v>0.24999999999999997</v>
      </c>
      <c r="HP114" s="156">
        <v>0.24999999999999997</v>
      </c>
      <c r="HQ114" s="156">
        <v>0.12499999999999999</v>
      </c>
      <c r="HR114" s="156">
        <v>0</v>
      </c>
      <c r="HS114" s="160">
        <v>38.5</v>
      </c>
      <c r="HT114" s="164">
        <v>8</v>
      </c>
      <c r="HU114" s="168" t="s">
        <v>608</v>
      </c>
      <c r="HV114" s="169" t="s">
        <v>608</v>
      </c>
      <c r="HW114" s="169" t="s">
        <v>608</v>
      </c>
      <c r="HX114" s="169" t="s">
        <v>608</v>
      </c>
      <c r="HY114" s="169" t="s">
        <v>608</v>
      </c>
      <c r="HZ114" s="169" t="s">
        <v>608</v>
      </c>
      <c r="IA114" s="169" t="s">
        <v>608</v>
      </c>
      <c r="IB114" s="169" t="s">
        <v>608</v>
      </c>
      <c r="IC114" s="169" t="s">
        <v>608</v>
      </c>
      <c r="ID114" s="169" t="s">
        <v>608</v>
      </c>
      <c r="IE114" s="170" t="s">
        <v>608</v>
      </c>
      <c r="IF114" s="155">
        <v>0</v>
      </c>
      <c r="IG114" s="156">
        <v>0</v>
      </c>
      <c r="IH114" s="156">
        <v>1</v>
      </c>
      <c r="II114" s="156">
        <v>0</v>
      </c>
      <c r="IJ114" s="156">
        <v>0</v>
      </c>
      <c r="IK114" s="162">
        <v>2</v>
      </c>
      <c r="IL114" s="155">
        <v>7.6923076923076927E-2</v>
      </c>
      <c r="IM114" s="156">
        <v>0</v>
      </c>
      <c r="IN114" s="156">
        <v>0</v>
      </c>
      <c r="IO114" s="156">
        <v>0.92307692307692291</v>
      </c>
      <c r="IP114" s="156">
        <v>0</v>
      </c>
      <c r="IQ114" s="162">
        <v>13</v>
      </c>
      <c r="IR114" s="155">
        <v>0</v>
      </c>
      <c r="IS114" s="156">
        <v>1</v>
      </c>
      <c r="IT114" s="162">
        <v>13</v>
      </c>
      <c r="IU114" s="161">
        <v>0</v>
      </c>
      <c r="IV114" s="156">
        <v>0</v>
      </c>
      <c r="IW114" s="156">
        <v>0</v>
      </c>
      <c r="IX114" s="162">
        <v>0</v>
      </c>
    </row>
    <row r="115" spans="1:258" ht="32.1" customHeight="1" x14ac:dyDescent="0.25">
      <c r="A115" s="110" t="s">
        <v>527</v>
      </c>
      <c r="B115" s="108" t="s">
        <v>527</v>
      </c>
      <c r="C115" s="108" t="s">
        <v>457</v>
      </c>
      <c r="D115" s="109">
        <v>5000</v>
      </c>
      <c r="E115" s="139" t="s">
        <v>568</v>
      </c>
      <c r="F115" s="155">
        <v>0</v>
      </c>
      <c r="G115" s="156">
        <v>1</v>
      </c>
      <c r="H115" s="157">
        <v>3</v>
      </c>
      <c r="I115" s="155">
        <v>0</v>
      </c>
      <c r="J115" s="156">
        <v>1</v>
      </c>
      <c r="K115" s="157">
        <v>3</v>
      </c>
      <c r="L115" s="155">
        <v>0</v>
      </c>
      <c r="M115" s="156">
        <v>0</v>
      </c>
      <c r="N115" s="157">
        <v>0</v>
      </c>
      <c r="O115" s="155">
        <v>0.66666666666666663</v>
      </c>
      <c r="P115" s="156">
        <v>0</v>
      </c>
      <c r="Q115" s="156">
        <v>0</v>
      </c>
      <c r="R115" s="156">
        <v>0</v>
      </c>
      <c r="S115" s="156">
        <v>0</v>
      </c>
      <c r="T115" s="156">
        <v>0</v>
      </c>
      <c r="U115" s="156">
        <v>0</v>
      </c>
      <c r="V115" s="156">
        <v>0.33333333333333331</v>
      </c>
      <c r="W115" s="156">
        <v>0</v>
      </c>
      <c r="X115" s="156">
        <v>0</v>
      </c>
      <c r="Y115" s="157">
        <v>3</v>
      </c>
      <c r="Z115" s="155">
        <v>1</v>
      </c>
      <c r="AA115" s="156">
        <v>1</v>
      </c>
      <c r="AB115" s="156">
        <v>0.66666666666666663</v>
      </c>
      <c r="AC115" s="156">
        <v>0.66666666666666663</v>
      </c>
      <c r="AD115" s="156">
        <v>0</v>
      </c>
      <c r="AE115" s="156">
        <v>0</v>
      </c>
      <c r="AF115" s="157">
        <v>3</v>
      </c>
      <c r="AG115" s="158">
        <v>10</v>
      </c>
      <c r="AH115" s="159">
        <v>3</v>
      </c>
      <c r="AI115" s="160">
        <v>10</v>
      </c>
      <c r="AJ115" s="159">
        <v>3</v>
      </c>
      <c r="AK115" s="160">
        <v>10</v>
      </c>
      <c r="AL115" s="157">
        <v>3</v>
      </c>
      <c r="AM115" s="155">
        <v>0.33333333333333326</v>
      </c>
      <c r="AN115" s="156">
        <v>0.66666666666666652</v>
      </c>
      <c r="AO115" s="156">
        <v>0</v>
      </c>
      <c r="AP115" s="156">
        <v>0</v>
      </c>
      <c r="AQ115" s="156">
        <v>0</v>
      </c>
      <c r="AR115" s="157">
        <v>3</v>
      </c>
      <c r="AS115" s="155">
        <v>0.33333333333333326</v>
      </c>
      <c r="AT115" s="156">
        <v>0.66666666666666652</v>
      </c>
      <c r="AU115" s="156">
        <v>0</v>
      </c>
      <c r="AV115" s="156">
        <v>0</v>
      </c>
      <c r="AW115" s="156">
        <v>0</v>
      </c>
      <c r="AX115" s="157">
        <v>3</v>
      </c>
      <c r="AY115" s="155">
        <v>0.66666666666666652</v>
      </c>
      <c r="AZ115" s="156">
        <v>0</v>
      </c>
      <c r="BA115" s="156">
        <v>0.33333333333333326</v>
      </c>
      <c r="BB115" s="156">
        <v>0</v>
      </c>
      <c r="BC115" s="156">
        <v>0</v>
      </c>
      <c r="BD115" s="157">
        <v>3</v>
      </c>
      <c r="BE115" s="155">
        <v>0.66666666666666652</v>
      </c>
      <c r="BF115" s="156">
        <v>0</v>
      </c>
      <c r="BG115" s="156">
        <v>0.33333333333333326</v>
      </c>
      <c r="BH115" s="156">
        <v>0</v>
      </c>
      <c r="BI115" s="156">
        <v>0</v>
      </c>
      <c r="BJ115" s="157">
        <v>3</v>
      </c>
      <c r="BK115" s="155">
        <v>0.66666666666666652</v>
      </c>
      <c r="BL115" s="156">
        <v>0</v>
      </c>
      <c r="BM115" s="156">
        <v>0.33333333333333326</v>
      </c>
      <c r="BN115" s="156">
        <v>0</v>
      </c>
      <c r="BO115" s="156">
        <v>0</v>
      </c>
      <c r="BP115" s="157">
        <v>3</v>
      </c>
      <c r="BQ115" s="155">
        <v>1</v>
      </c>
      <c r="BR115" s="156">
        <v>0</v>
      </c>
      <c r="BS115" s="156">
        <v>0</v>
      </c>
      <c r="BT115" s="156">
        <v>0</v>
      </c>
      <c r="BU115" s="156">
        <v>0</v>
      </c>
      <c r="BV115" s="157">
        <v>3</v>
      </c>
      <c r="BW115" s="161">
        <v>1</v>
      </c>
      <c r="BX115" s="156">
        <v>0</v>
      </c>
      <c r="BY115" s="156">
        <v>0</v>
      </c>
      <c r="BZ115" s="156">
        <v>0</v>
      </c>
      <c r="CA115" s="156">
        <v>0</v>
      </c>
      <c r="CB115" s="157">
        <v>3</v>
      </c>
      <c r="CC115" s="155">
        <v>0</v>
      </c>
      <c r="CD115" s="156">
        <v>0</v>
      </c>
      <c r="CE115" s="156">
        <v>0</v>
      </c>
      <c r="CF115" s="156">
        <v>0</v>
      </c>
      <c r="CG115" s="156">
        <v>0</v>
      </c>
      <c r="CH115" s="162">
        <v>0</v>
      </c>
      <c r="CI115" s="155">
        <v>0</v>
      </c>
      <c r="CJ115" s="156">
        <v>0</v>
      </c>
      <c r="CK115" s="156">
        <v>0</v>
      </c>
      <c r="CL115" s="156">
        <v>0</v>
      </c>
      <c r="CM115" s="156">
        <v>0</v>
      </c>
      <c r="CN115" s="162">
        <v>0</v>
      </c>
      <c r="CO115" s="155">
        <v>0</v>
      </c>
      <c r="CP115" s="156">
        <v>1</v>
      </c>
      <c r="CQ115" s="156">
        <v>0</v>
      </c>
      <c r="CR115" s="156">
        <v>0</v>
      </c>
      <c r="CS115" s="156">
        <v>0</v>
      </c>
      <c r="CT115" s="162">
        <v>1</v>
      </c>
      <c r="CU115" s="155">
        <v>0</v>
      </c>
      <c r="CV115" s="156">
        <v>1</v>
      </c>
      <c r="CW115" s="156">
        <v>0</v>
      </c>
      <c r="CX115" s="156">
        <v>0</v>
      </c>
      <c r="CY115" s="156">
        <v>0</v>
      </c>
      <c r="CZ115" s="162">
        <v>1</v>
      </c>
      <c r="DA115" s="155">
        <v>0</v>
      </c>
      <c r="DB115" s="156">
        <v>0</v>
      </c>
      <c r="DC115" s="156">
        <v>0</v>
      </c>
      <c r="DD115" s="156">
        <v>0</v>
      </c>
      <c r="DE115" s="156">
        <v>0</v>
      </c>
      <c r="DF115" s="162">
        <v>0</v>
      </c>
      <c r="DG115" s="155">
        <v>0</v>
      </c>
      <c r="DH115" s="156">
        <v>0</v>
      </c>
      <c r="DI115" s="156">
        <v>0</v>
      </c>
      <c r="DJ115" s="156">
        <v>0</v>
      </c>
      <c r="DK115" s="156">
        <v>0</v>
      </c>
      <c r="DL115" s="171">
        <v>0</v>
      </c>
      <c r="DM115" s="155">
        <v>1</v>
      </c>
      <c r="DN115" s="156">
        <v>0</v>
      </c>
      <c r="DO115" s="156">
        <v>0</v>
      </c>
      <c r="DP115" s="156">
        <v>0</v>
      </c>
      <c r="DQ115" s="156">
        <v>0</v>
      </c>
      <c r="DR115" s="162">
        <v>2</v>
      </c>
      <c r="DS115" s="161">
        <v>0</v>
      </c>
      <c r="DT115" s="156">
        <v>0.5</v>
      </c>
      <c r="DU115" s="156">
        <v>0</v>
      </c>
      <c r="DV115" s="156">
        <v>0.5</v>
      </c>
      <c r="DW115" s="156">
        <v>0</v>
      </c>
      <c r="DX115" s="162">
        <v>2</v>
      </c>
      <c r="DY115" s="155">
        <v>1</v>
      </c>
      <c r="DZ115" s="156">
        <v>0</v>
      </c>
      <c r="EA115" s="156">
        <v>0</v>
      </c>
      <c r="EB115" s="156">
        <v>0</v>
      </c>
      <c r="EC115" s="156">
        <v>0</v>
      </c>
      <c r="ED115" s="162">
        <v>3</v>
      </c>
      <c r="EE115" s="155">
        <v>0</v>
      </c>
      <c r="EF115" s="156">
        <v>0</v>
      </c>
      <c r="EG115" s="156">
        <v>0</v>
      </c>
      <c r="EH115" s="156">
        <v>0</v>
      </c>
      <c r="EI115" s="156">
        <v>0</v>
      </c>
      <c r="EJ115" s="162">
        <v>0</v>
      </c>
      <c r="EK115" s="155">
        <v>1</v>
      </c>
      <c r="EL115" s="156">
        <v>0</v>
      </c>
      <c r="EM115" s="156">
        <v>0</v>
      </c>
      <c r="EN115" s="156">
        <v>0</v>
      </c>
      <c r="EO115" s="156">
        <v>0</v>
      </c>
      <c r="EP115" s="162">
        <v>1</v>
      </c>
      <c r="EQ115" s="155">
        <v>0</v>
      </c>
      <c r="ER115" s="156">
        <v>1</v>
      </c>
      <c r="ES115" s="156">
        <v>0</v>
      </c>
      <c r="ET115" s="156">
        <v>0</v>
      </c>
      <c r="EU115" s="156">
        <v>0</v>
      </c>
      <c r="EV115" s="162">
        <v>1</v>
      </c>
      <c r="EW115" s="155">
        <v>1</v>
      </c>
      <c r="EX115" s="156">
        <v>0</v>
      </c>
      <c r="EY115" s="156">
        <v>0</v>
      </c>
      <c r="EZ115" s="156">
        <v>0</v>
      </c>
      <c r="FA115" s="156">
        <v>0</v>
      </c>
      <c r="FB115" s="162">
        <v>2</v>
      </c>
      <c r="FC115" s="155">
        <v>0</v>
      </c>
      <c r="FD115" s="156">
        <v>0</v>
      </c>
      <c r="FE115" s="156">
        <v>0</v>
      </c>
      <c r="FF115" s="156">
        <v>0</v>
      </c>
      <c r="FG115" s="156">
        <v>0</v>
      </c>
      <c r="FH115" s="162">
        <v>0</v>
      </c>
      <c r="FI115" s="161">
        <v>0</v>
      </c>
      <c r="FJ115" s="156">
        <v>0</v>
      </c>
      <c r="FK115" s="156">
        <v>0</v>
      </c>
      <c r="FL115" s="156">
        <v>0</v>
      </c>
      <c r="FM115" s="156">
        <v>0</v>
      </c>
      <c r="FN115" s="162">
        <v>0</v>
      </c>
      <c r="FO115" s="155">
        <v>0</v>
      </c>
      <c r="FP115" s="156">
        <v>0</v>
      </c>
      <c r="FQ115" s="156">
        <v>0</v>
      </c>
      <c r="FR115" s="156">
        <v>0</v>
      </c>
      <c r="FS115" s="156">
        <v>0</v>
      </c>
      <c r="FT115" s="162">
        <v>0</v>
      </c>
      <c r="FU115" s="155">
        <v>0</v>
      </c>
      <c r="FV115" s="156">
        <v>0</v>
      </c>
      <c r="FW115" s="156">
        <v>0</v>
      </c>
      <c r="FX115" s="156">
        <v>0</v>
      </c>
      <c r="FY115" s="156">
        <v>0</v>
      </c>
      <c r="FZ115" s="162">
        <v>0</v>
      </c>
      <c r="GA115" s="161">
        <v>0</v>
      </c>
      <c r="GB115" s="156">
        <v>0</v>
      </c>
      <c r="GC115" s="156">
        <v>0</v>
      </c>
      <c r="GD115" s="156">
        <v>0</v>
      </c>
      <c r="GE115" s="156">
        <v>0</v>
      </c>
      <c r="GF115" s="162">
        <v>0</v>
      </c>
      <c r="GG115" s="158">
        <v>9</v>
      </c>
      <c r="GH115" s="162">
        <v>3</v>
      </c>
      <c r="GI115" s="155">
        <v>0.33333333333333326</v>
      </c>
      <c r="GJ115" s="156">
        <v>0</v>
      </c>
      <c r="GK115" s="156">
        <v>0.33333333333333326</v>
      </c>
      <c r="GL115" s="156">
        <v>0.33333333333333326</v>
      </c>
      <c r="GM115" s="156">
        <v>0</v>
      </c>
      <c r="GN115" s="162">
        <v>3</v>
      </c>
      <c r="GO115" s="155">
        <v>0.66666666666666663</v>
      </c>
      <c r="GP115" s="156">
        <v>0</v>
      </c>
      <c r="GQ115" s="156">
        <v>0</v>
      </c>
      <c r="GR115" s="156">
        <v>0.33333333333333331</v>
      </c>
      <c r="GS115" s="162">
        <v>3</v>
      </c>
      <c r="GT115" s="163">
        <v>2.9999999999999996</v>
      </c>
      <c r="GU115" s="162">
        <v>3</v>
      </c>
      <c r="GV115" s="155">
        <v>0</v>
      </c>
      <c r="GW115" s="156">
        <v>0</v>
      </c>
      <c r="GX115" s="162">
        <v>0</v>
      </c>
      <c r="GY115" s="155">
        <v>0</v>
      </c>
      <c r="GZ115" s="156">
        <v>0</v>
      </c>
      <c r="HA115" s="162">
        <v>0</v>
      </c>
      <c r="HB115" s="155">
        <v>1</v>
      </c>
      <c r="HC115" s="156">
        <v>0</v>
      </c>
      <c r="HD115" s="162">
        <v>3</v>
      </c>
      <c r="HE115" s="161">
        <v>1</v>
      </c>
      <c r="HF115" s="156">
        <v>0</v>
      </c>
      <c r="HG115" s="162">
        <v>2</v>
      </c>
      <c r="HH115" s="155">
        <v>0.66666666666666652</v>
      </c>
      <c r="HI115" s="156">
        <v>0.33333333333333326</v>
      </c>
      <c r="HJ115" s="162">
        <v>3</v>
      </c>
      <c r="HK115" s="155">
        <v>1</v>
      </c>
      <c r="HL115" s="156">
        <v>0</v>
      </c>
      <c r="HM115" s="162">
        <v>3</v>
      </c>
      <c r="HN115" s="161">
        <v>0.33333333333333326</v>
      </c>
      <c r="HO115" s="156">
        <v>0.33333333333333326</v>
      </c>
      <c r="HP115" s="156">
        <v>0.33333333333333326</v>
      </c>
      <c r="HQ115" s="156">
        <v>0</v>
      </c>
      <c r="HR115" s="156">
        <v>0</v>
      </c>
      <c r="HS115" s="160">
        <v>32.333333333333336</v>
      </c>
      <c r="HT115" s="164">
        <v>3</v>
      </c>
      <c r="HU115" s="165">
        <v>0.33333333333333331</v>
      </c>
      <c r="HV115" s="166">
        <v>0</v>
      </c>
      <c r="HW115" s="166">
        <v>0</v>
      </c>
      <c r="HX115" s="166">
        <v>0</v>
      </c>
      <c r="HY115" s="166">
        <v>0</v>
      </c>
      <c r="HZ115" s="166">
        <v>0</v>
      </c>
      <c r="IA115" s="166">
        <v>0.33333333333333331</v>
      </c>
      <c r="IB115" s="166">
        <v>0</v>
      </c>
      <c r="IC115" s="166">
        <v>0.33333333333333331</v>
      </c>
      <c r="ID115" s="166">
        <v>0</v>
      </c>
      <c r="IE115" s="167">
        <v>3</v>
      </c>
      <c r="IF115" s="155">
        <v>0</v>
      </c>
      <c r="IG115" s="156">
        <v>0</v>
      </c>
      <c r="IH115" s="156">
        <v>0</v>
      </c>
      <c r="II115" s="156">
        <v>0</v>
      </c>
      <c r="IJ115" s="156">
        <v>0</v>
      </c>
      <c r="IK115" s="162">
        <v>0</v>
      </c>
      <c r="IL115" s="155">
        <v>0</v>
      </c>
      <c r="IM115" s="156">
        <v>0</v>
      </c>
      <c r="IN115" s="156">
        <v>0.33333333333333326</v>
      </c>
      <c r="IO115" s="156">
        <v>0.66666666666666652</v>
      </c>
      <c r="IP115" s="156">
        <v>0</v>
      </c>
      <c r="IQ115" s="162">
        <v>3</v>
      </c>
      <c r="IR115" s="155">
        <v>0</v>
      </c>
      <c r="IS115" s="156">
        <v>1</v>
      </c>
      <c r="IT115" s="162">
        <v>3</v>
      </c>
      <c r="IU115" s="161">
        <v>0</v>
      </c>
      <c r="IV115" s="156">
        <v>0</v>
      </c>
      <c r="IW115" s="156">
        <v>0</v>
      </c>
      <c r="IX115" s="162">
        <v>0</v>
      </c>
    </row>
    <row r="116" spans="1:258" ht="32.1" customHeight="1" thickBot="1" x14ac:dyDescent="0.3">
      <c r="A116" s="111" t="s">
        <v>591</v>
      </c>
      <c r="B116" s="112" t="s">
        <v>591</v>
      </c>
      <c r="C116" s="113"/>
      <c r="D116" s="114"/>
      <c r="E116" s="140" t="s">
        <v>591</v>
      </c>
      <c r="F116" s="172">
        <v>0.19354164241303612</v>
      </c>
      <c r="G116" s="173">
        <v>0.80645835758696549</v>
      </c>
      <c r="H116" s="174">
        <v>5136</v>
      </c>
      <c r="I116" s="172">
        <v>0.82584472608582726</v>
      </c>
      <c r="J116" s="173">
        <v>0.17415527391417071</v>
      </c>
      <c r="K116" s="174">
        <v>3871</v>
      </c>
      <c r="L116" s="172">
        <v>0.61368962152295925</v>
      </c>
      <c r="M116" s="173">
        <v>0.38631037847702915</v>
      </c>
      <c r="N116" s="174">
        <v>2901</v>
      </c>
      <c r="O116" s="172">
        <v>0.36811799604168544</v>
      </c>
      <c r="P116" s="173">
        <v>0.10760018387210181</v>
      </c>
      <c r="Q116" s="173">
        <v>0.27817579397024489</v>
      </c>
      <c r="R116" s="173">
        <v>9.2703858573288514E-2</v>
      </c>
      <c r="S116" s="173">
        <v>0.24177093768293348</v>
      </c>
      <c r="T116" s="173">
        <v>6.1119624400824267E-2</v>
      </c>
      <c r="U116" s="173">
        <v>2.3097436430648301E-2</v>
      </c>
      <c r="V116" s="173">
        <v>0.1023081197820183</v>
      </c>
      <c r="W116" s="173">
        <v>0.12374800766260323</v>
      </c>
      <c r="X116" s="173">
        <v>0.11120267122944937</v>
      </c>
      <c r="Y116" s="174">
        <v>5199</v>
      </c>
      <c r="Z116" s="172">
        <v>0.66726123744328181</v>
      </c>
      <c r="AA116" s="173">
        <v>0.42454537557576777</v>
      </c>
      <c r="AB116" s="173">
        <v>0.47196893453346417</v>
      </c>
      <c r="AC116" s="173">
        <v>0.62523669586168518</v>
      </c>
      <c r="AD116" s="173">
        <v>9.4617398551653617E-2</v>
      </c>
      <c r="AE116" s="173">
        <v>0.12681779817839814</v>
      </c>
      <c r="AF116" s="174">
        <v>4859</v>
      </c>
      <c r="AG116" s="175">
        <v>9.732136870073921</v>
      </c>
      <c r="AH116" s="176">
        <v>5005</v>
      </c>
      <c r="AI116" s="177">
        <v>9.7970378600048509</v>
      </c>
      <c r="AJ116" s="176">
        <v>5036</v>
      </c>
      <c r="AK116" s="177">
        <v>9.7543083137206796</v>
      </c>
      <c r="AL116" s="174">
        <v>4821</v>
      </c>
      <c r="AM116" s="172">
        <v>0.58444354221625117</v>
      </c>
      <c r="AN116" s="173">
        <v>0.31924041314366869</v>
      </c>
      <c r="AO116" s="173">
        <v>3.0579830029118602E-2</v>
      </c>
      <c r="AP116" s="173">
        <v>5.3542150293487321E-2</v>
      </c>
      <c r="AQ116" s="173">
        <v>1.2194064317467756E-2</v>
      </c>
      <c r="AR116" s="174">
        <v>4879</v>
      </c>
      <c r="AS116" s="172">
        <v>0.83971985792057913</v>
      </c>
      <c r="AT116" s="173">
        <v>0.13768231225339941</v>
      </c>
      <c r="AU116" s="173">
        <v>1.4167619434180323E-2</v>
      </c>
      <c r="AV116" s="173">
        <v>7.6837914653157934E-3</v>
      </c>
      <c r="AW116" s="173">
        <v>7.4641892651941088E-4</v>
      </c>
      <c r="AX116" s="174">
        <v>5086</v>
      </c>
      <c r="AY116" s="172">
        <v>0.80512485083520158</v>
      </c>
      <c r="AZ116" s="173">
        <v>0.16395933843795393</v>
      </c>
      <c r="BA116" s="173">
        <v>2.4436464294402018E-2</v>
      </c>
      <c r="BB116" s="173">
        <v>4.6305143203788307E-3</v>
      </c>
      <c r="BC116" s="173">
        <v>1.8488321120624872E-3</v>
      </c>
      <c r="BD116" s="174">
        <v>5068</v>
      </c>
      <c r="BE116" s="172">
        <v>0.85409465539676488</v>
      </c>
      <c r="BF116" s="173">
        <v>0.12791259097094732</v>
      </c>
      <c r="BG116" s="173">
        <v>1.2664378283159149E-2</v>
      </c>
      <c r="BH116" s="173">
        <v>4.2422336154223092E-3</v>
      </c>
      <c r="BI116" s="173">
        <v>1.0861417337088553E-3</v>
      </c>
      <c r="BJ116" s="174">
        <v>5150</v>
      </c>
      <c r="BK116" s="172">
        <v>0.742052966780537</v>
      </c>
      <c r="BL116" s="173">
        <v>0.20867930519423905</v>
      </c>
      <c r="BM116" s="173">
        <v>2.5634620832130809E-2</v>
      </c>
      <c r="BN116" s="173">
        <v>1.7879500062576353E-2</v>
      </c>
      <c r="BO116" s="173">
        <v>5.7536071305144855E-3</v>
      </c>
      <c r="BP116" s="174">
        <v>4644</v>
      </c>
      <c r="BQ116" s="172">
        <v>0.84221630878785247</v>
      </c>
      <c r="BR116" s="173">
        <v>0.13314183263060064</v>
      </c>
      <c r="BS116" s="173">
        <v>1.7701579152715322E-2</v>
      </c>
      <c r="BT116" s="173">
        <v>6.8535383070104025E-3</v>
      </c>
      <c r="BU116" s="173">
        <v>8.6741121813139601E-5</v>
      </c>
      <c r="BV116" s="174">
        <v>5080</v>
      </c>
      <c r="BW116" s="178">
        <v>0.74123037364780586</v>
      </c>
      <c r="BX116" s="173">
        <v>0.17649144799048613</v>
      </c>
      <c r="BY116" s="173">
        <v>3.7983679571864985E-2</v>
      </c>
      <c r="BZ116" s="173">
        <v>3.247778106795967E-2</v>
      </c>
      <c r="CA116" s="173">
        <v>1.1816717721876889E-2</v>
      </c>
      <c r="CB116" s="174">
        <v>3435</v>
      </c>
      <c r="CC116" s="172">
        <v>0.81316519611037241</v>
      </c>
      <c r="CD116" s="173">
        <v>0.15622212702496799</v>
      </c>
      <c r="CE116" s="173">
        <v>2.3896547274866505E-2</v>
      </c>
      <c r="CF116" s="173">
        <v>5.4783392066661725E-3</v>
      </c>
      <c r="CG116" s="173">
        <v>1.237790383125676E-3</v>
      </c>
      <c r="CH116" s="179">
        <v>2050</v>
      </c>
      <c r="CI116" s="172">
        <v>0.65446293029755243</v>
      </c>
      <c r="CJ116" s="173">
        <v>0.27462277150288833</v>
      </c>
      <c r="CK116" s="173">
        <v>4.5106195903052357E-2</v>
      </c>
      <c r="CL116" s="173">
        <v>2.1687204061546575E-2</v>
      </c>
      <c r="CM116" s="173">
        <v>4.1208982349612714E-3</v>
      </c>
      <c r="CN116" s="179">
        <v>1810</v>
      </c>
      <c r="CO116" s="172">
        <v>0.52966284730925639</v>
      </c>
      <c r="CP116" s="173">
        <v>0.35550231903786517</v>
      </c>
      <c r="CQ116" s="173">
        <v>6.895677851773227E-2</v>
      </c>
      <c r="CR116" s="173">
        <v>3.5703762149887519E-2</v>
      </c>
      <c r="CS116" s="173">
        <v>1.0174292985251038E-2</v>
      </c>
      <c r="CT116" s="179">
        <v>2788</v>
      </c>
      <c r="CU116" s="172">
        <v>0.54774548494622044</v>
      </c>
      <c r="CV116" s="173">
        <v>0.34058543113023909</v>
      </c>
      <c r="CW116" s="173">
        <v>7.4562445968527791E-2</v>
      </c>
      <c r="CX116" s="173">
        <v>2.9331506476733552E-2</v>
      </c>
      <c r="CY116" s="173">
        <v>7.7751314782685621E-3</v>
      </c>
      <c r="CZ116" s="179">
        <v>2861</v>
      </c>
      <c r="DA116" s="172">
        <v>0.60000942416057024</v>
      </c>
      <c r="DB116" s="173">
        <v>0.30358345833762057</v>
      </c>
      <c r="DC116" s="173">
        <v>7.9556171307828064E-2</v>
      </c>
      <c r="DD116" s="173">
        <v>1.4525399368025826E-2</v>
      </c>
      <c r="DE116" s="173">
        <v>2.3255468259591535E-3</v>
      </c>
      <c r="DF116" s="179">
        <v>1780</v>
      </c>
      <c r="DG116" s="172">
        <v>0.59542820131885077</v>
      </c>
      <c r="DH116" s="173">
        <v>0.29684840361870535</v>
      </c>
      <c r="DI116" s="173">
        <v>8.9989681974102245E-2</v>
      </c>
      <c r="DJ116" s="173">
        <v>1.2665412706437602E-2</v>
      </c>
      <c r="DK116" s="173">
        <v>5.0683003819069327E-3</v>
      </c>
      <c r="DL116" s="179">
        <v>1602</v>
      </c>
      <c r="DM116" s="172">
        <v>0.6713941906231754</v>
      </c>
      <c r="DN116" s="173">
        <v>0.21333434490285774</v>
      </c>
      <c r="DO116" s="173">
        <v>5.9950225508239446E-2</v>
      </c>
      <c r="DP116" s="173">
        <v>4.2538561041098086E-2</v>
      </c>
      <c r="DQ116" s="173">
        <v>1.2782677924626165E-2</v>
      </c>
      <c r="DR116" s="179">
        <v>2084</v>
      </c>
      <c r="DS116" s="178">
        <v>0.71305259624971384</v>
      </c>
      <c r="DT116" s="173">
        <v>0.18931633575638984</v>
      </c>
      <c r="DU116" s="173">
        <v>6.0972172044728067E-2</v>
      </c>
      <c r="DV116" s="173">
        <v>3.2089456622196685E-2</v>
      </c>
      <c r="DW116" s="173">
        <v>4.5694393269730595E-3</v>
      </c>
      <c r="DX116" s="179">
        <v>1644</v>
      </c>
      <c r="DY116" s="172">
        <v>0.89204613423953449</v>
      </c>
      <c r="DZ116" s="173">
        <v>9.5936761858263442E-2</v>
      </c>
      <c r="EA116" s="173">
        <v>7.5725360671416771E-3</v>
      </c>
      <c r="EB116" s="173">
        <v>3.3177516884646289E-3</v>
      </c>
      <c r="EC116" s="173">
        <v>1.1268161465969239E-3</v>
      </c>
      <c r="ED116" s="179">
        <v>4964</v>
      </c>
      <c r="EE116" s="172">
        <v>0.7358464036618293</v>
      </c>
      <c r="EF116" s="173">
        <v>0.21785088952572379</v>
      </c>
      <c r="EG116" s="173">
        <v>3.0452560143542858E-2</v>
      </c>
      <c r="EH116" s="173">
        <v>1.3848006668639652E-2</v>
      </c>
      <c r="EI116" s="173">
        <v>2.0021400002681825E-3</v>
      </c>
      <c r="EJ116" s="179">
        <v>2207</v>
      </c>
      <c r="EK116" s="172">
        <v>0.74673170258944355</v>
      </c>
      <c r="EL116" s="173">
        <v>0.20772598694712383</v>
      </c>
      <c r="EM116" s="173">
        <v>4.1269485672848757E-2</v>
      </c>
      <c r="EN116" s="173">
        <v>3.9967396616081251E-3</v>
      </c>
      <c r="EO116" s="173">
        <v>2.7608512898112528E-4</v>
      </c>
      <c r="EP116" s="179">
        <v>2121</v>
      </c>
      <c r="EQ116" s="172">
        <v>0.74504576169130554</v>
      </c>
      <c r="ER116" s="173">
        <v>0.20102776541393427</v>
      </c>
      <c r="ES116" s="173">
        <v>2.7409655188019674E-2</v>
      </c>
      <c r="ET116" s="173">
        <v>1.7200366473147273E-2</v>
      </c>
      <c r="EU116" s="173">
        <v>9.316451233584596E-3</v>
      </c>
      <c r="EV116" s="179">
        <v>3557</v>
      </c>
      <c r="EW116" s="172">
        <v>0.82020408206261675</v>
      </c>
      <c r="EX116" s="173">
        <v>0.14694583447668216</v>
      </c>
      <c r="EY116" s="173">
        <v>1.8305428075419586E-2</v>
      </c>
      <c r="EZ116" s="173">
        <v>8.3655874104928002E-3</v>
      </c>
      <c r="FA116" s="173">
        <v>6.1790679747836209E-3</v>
      </c>
      <c r="FB116" s="179">
        <v>3475</v>
      </c>
      <c r="FC116" s="172">
        <v>0.60208047776565055</v>
      </c>
      <c r="FD116" s="173">
        <v>0.25142944842843284</v>
      </c>
      <c r="FE116" s="173">
        <v>8.7281814018977014E-2</v>
      </c>
      <c r="FF116" s="173">
        <v>4.1081115293544919E-2</v>
      </c>
      <c r="FG116" s="173">
        <v>1.8127144493384352E-2</v>
      </c>
      <c r="FH116" s="179">
        <v>1274</v>
      </c>
      <c r="FI116" s="178">
        <v>0.6849177223277565</v>
      </c>
      <c r="FJ116" s="173">
        <v>0.15828335181889133</v>
      </c>
      <c r="FK116" s="173">
        <v>7.5355353753809626E-2</v>
      </c>
      <c r="FL116" s="173">
        <v>3.7857613526960002E-2</v>
      </c>
      <c r="FM116" s="173">
        <v>4.3585958572584717E-2</v>
      </c>
      <c r="FN116" s="179">
        <v>1078</v>
      </c>
      <c r="FO116" s="172">
        <v>0.87960225313197626</v>
      </c>
      <c r="FP116" s="173">
        <v>7.2125354597717045E-2</v>
      </c>
      <c r="FQ116" s="173">
        <v>4.2568414431321748E-2</v>
      </c>
      <c r="FR116" s="173">
        <v>5.7039778389850592E-3</v>
      </c>
      <c r="FS116" s="173">
        <v>0</v>
      </c>
      <c r="FT116" s="179">
        <v>144</v>
      </c>
      <c r="FU116" s="172">
        <v>0.75074303892839467</v>
      </c>
      <c r="FV116" s="173">
        <v>0.19216451981102808</v>
      </c>
      <c r="FW116" s="173">
        <v>5.7092441260577928E-2</v>
      </c>
      <c r="FX116" s="173">
        <v>0</v>
      </c>
      <c r="FY116" s="173">
        <v>0</v>
      </c>
      <c r="FZ116" s="179">
        <v>103</v>
      </c>
      <c r="GA116" s="178">
        <v>0.71926648191072173</v>
      </c>
      <c r="GB116" s="173">
        <v>0.21411373956878066</v>
      </c>
      <c r="GC116" s="173">
        <v>6.0098926877580602E-2</v>
      </c>
      <c r="GD116" s="173">
        <v>6.5208516429181166E-3</v>
      </c>
      <c r="GE116" s="173">
        <v>0</v>
      </c>
      <c r="GF116" s="179">
        <v>101</v>
      </c>
      <c r="GG116" s="175">
        <v>9.3738690928533881</v>
      </c>
      <c r="GH116" s="179">
        <v>4713</v>
      </c>
      <c r="GI116" s="172">
        <v>0.42669276189983935</v>
      </c>
      <c r="GJ116" s="173">
        <v>0.40654203664909405</v>
      </c>
      <c r="GK116" s="173">
        <v>0.12698513151497098</v>
      </c>
      <c r="GL116" s="173">
        <v>1.5336407973428716E-2</v>
      </c>
      <c r="GM116" s="173">
        <v>2.4443661962654434E-2</v>
      </c>
      <c r="GN116" s="179">
        <v>5116</v>
      </c>
      <c r="GO116" s="172">
        <v>0.58758475947561306</v>
      </c>
      <c r="GP116" s="173">
        <v>0.23109532813008063</v>
      </c>
      <c r="GQ116" s="173">
        <v>0.10960530520658679</v>
      </c>
      <c r="GR116" s="173">
        <v>0.15481100677309179</v>
      </c>
      <c r="GS116" s="179">
        <v>5048</v>
      </c>
      <c r="GT116" s="180">
        <v>3.6552404298692172</v>
      </c>
      <c r="GU116" s="179">
        <v>5016</v>
      </c>
      <c r="GV116" s="172">
        <v>0.89286895792007859</v>
      </c>
      <c r="GW116" s="173">
        <v>0.10713104207991776</v>
      </c>
      <c r="GX116" s="179">
        <v>1985</v>
      </c>
      <c r="GY116" s="172">
        <v>0.95503584941186337</v>
      </c>
      <c r="GZ116" s="173">
        <v>4.4964150588133335E-2</v>
      </c>
      <c r="HA116" s="179">
        <v>2824</v>
      </c>
      <c r="HB116" s="172">
        <v>0.94995481035768992</v>
      </c>
      <c r="HC116" s="173">
        <v>5.0045189642304859E-2</v>
      </c>
      <c r="HD116" s="179">
        <v>4290</v>
      </c>
      <c r="HE116" s="178">
        <v>0.91597786523021785</v>
      </c>
      <c r="HF116" s="173">
        <v>8.4022134769775103E-2</v>
      </c>
      <c r="HG116" s="179">
        <v>3202</v>
      </c>
      <c r="HH116" s="172">
        <v>0.4663588167352623</v>
      </c>
      <c r="HI116" s="173">
        <v>0.53364118326473009</v>
      </c>
      <c r="HJ116" s="179">
        <v>4791</v>
      </c>
      <c r="HK116" s="172">
        <v>0.99678962782212044</v>
      </c>
      <c r="HL116" s="173">
        <v>3.2103721778810519E-3</v>
      </c>
      <c r="HM116" s="179">
        <v>4543</v>
      </c>
      <c r="HN116" s="178">
        <v>8.3665532750201749E-2</v>
      </c>
      <c r="HO116" s="173">
        <v>0.17005694601706151</v>
      </c>
      <c r="HP116" s="173">
        <v>0.31152177388023522</v>
      </c>
      <c r="HQ116" s="173">
        <v>0.30288215415541486</v>
      </c>
      <c r="HR116" s="173">
        <v>0.13187359319707601</v>
      </c>
      <c r="HS116" s="177">
        <v>56.56912154874933</v>
      </c>
      <c r="HT116" s="181">
        <v>4397</v>
      </c>
      <c r="HU116" s="182">
        <v>2.3295996549935302E-2</v>
      </c>
      <c r="HV116" s="183">
        <v>3.990906645767682E-2</v>
      </c>
      <c r="HW116" s="183">
        <v>5.8124608729824639E-2</v>
      </c>
      <c r="HX116" s="183">
        <v>7.2784080393522119E-2</v>
      </c>
      <c r="HY116" s="183">
        <v>0.11192716978278087</v>
      </c>
      <c r="HZ116" s="183">
        <v>0.11764034583970512</v>
      </c>
      <c r="IA116" s="183">
        <v>0.13347210698745096</v>
      </c>
      <c r="IB116" s="183">
        <v>0.12246910720989315</v>
      </c>
      <c r="IC116" s="183">
        <v>0.14659495747422871</v>
      </c>
      <c r="ID116" s="183">
        <v>0.17378256057498234</v>
      </c>
      <c r="IE116" s="179">
        <v>3765</v>
      </c>
      <c r="IF116" s="172">
        <v>3.6961882218017911E-2</v>
      </c>
      <c r="IG116" s="173">
        <v>0.13241167244223817</v>
      </c>
      <c r="IH116" s="173">
        <v>0.40046297995696251</v>
      </c>
      <c r="II116" s="173">
        <v>9.4919472688473047E-2</v>
      </c>
      <c r="IJ116" s="173">
        <v>0.33524399269430533</v>
      </c>
      <c r="IK116" s="179">
        <v>327</v>
      </c>
      <c r="IL116" s="172">
        <v>2.6083145120962107E-2</v>
      </c>
      <c r="IM116" s="173">
        <v>8.7903525950844066E-3</v>
      </c>
      <c r="IN116" s="173">
        <v>1.6528679834229551E-2</v>
      </c>
      <c r="IO116" s="173">
        <v>0.93404521676029784</v>
      </c>
      <c r="IP116" s="173">
        <v>1.4552605689434912E-2</v>
      </c>
      <c r="IQ116" s="179">
        <v>4629</v>
      </c>
      <c r="IR116" s="172">
        <v>0.12057588142551463</v>
      </c>
      <c r="IS116" s="173">
        <v>0.87942411857448732</v>
      </c>
      <c r="IT116" s="179">
        <v>4374</v>
      </c>
      <c r="IU116" s="178">
        <v>9.2317974000840023E-3</v>
      </c>
      <c r="IV116" s="173">
        <v>0.11876739340794515</v>
      </c>
      <c r="IW116" s="173">
        <v>0.87200080919197165</v>
      </c>
      <c r="IX116" s="179">
        <v>542</v>
      </c>
    </row>
    <row r="118" spans="1:258" ht="32.1" hidden="1" customHeight="1" x14ac:dyDescent="0.25">
      <c r="F118" s="5">
        <f>COLUMN()-5</f>
        <v>1</v>
      </c>
      <c r="G118" s="5">
        <f t="shared" ref="G118:BR118" si="0">COLUMN()-5</f>
        <v>2</v>
      </c>
      <c r="H118" s="5">
        <f t="shared" si="0"/>
        <v>3</v>
      </c>
      <c r="I118" s="5">
        <f t="shared" si="0"/>
        <v>4</v>
      </c>
      <c r="J118" s="5">
        <f t="shared" si="0"/>
        <v>5</v>
      </c>
      <c r="K118" s="5">
        <f t="shared" si="0"/>
        <v>6</v>
      </c>
      <c r="L118" s="5">
        <f t="shared" si="0"/>
        <v>7</v>
      </c>
      <c r="M118" s="5">
        <f t="shared" si="0"/>
        <v>8</v>
      </c>
      <c r="N118" s="5">
        <f t="shared" si="0"/>
        <v>9</v>
      </c>
      <c r="O118" s="5">
        <f t="shared" si="0"/>
        <v>10</v>
      </c>
      <c r="P118" s="5">
        <f t="shared" si="0"/>
        <v>11</v>
      </c>
      <c r="Q118" s="5">
        <f t="shared" si="0"/>
        <v>12</v>
      </c>
      <c r="R118" s="5">
        <f t="shared" si="0"/>
        <v>13</v>
      </c>
      <c r="S118" s="5">
        <f t="shared" si="0"/>
        <v>14</v>
      </c>
      <c r="T118" s="5">
        <f t="shared" si="0"/>
        <v>15</v>
      </c>
      <c r="U118" s="5">
        <f t="shared" si="0"/>
        <v>16</v>
      </c>
      <c r="V118" s="5">
        <f t="shared" si="0"/>
        <v>17</v>
      </c>
      <c r="W118" s="5">
        <f t="shared" si="0"/>
        <v>18</v>
      </c>
      <c r="X118" s="5">
        <f t="shared" si="0"/>
        <v>19</v>
      </c>
      <c r="Y118" s="5">
        <f t="shared" si="0"/>
        <v>20</v>
      </c>
      <c r="Z118" s="5">
        <f t="shared" si="0"/>
        <v>21</v>
      </c>
      <c r="AA118" s="5">
        <f t="shared" si="0"/>
        <v>22</v>
      </c>
      <c r="AB118" s="5">
        <f t="shared" si="0"/>
        <v>23</v>
      </c>
      <c r="AC118" s="5">
        <f t="shared" si="0"/>
        <v>24</v>
      </c>
      <c r="AD118" s="5">
        <f t="shared" si="0"/>
        <v>25</v>
      </c>
      <c r="AE118" s="5">
        <f t="shared" si="0"/>
        <v>26</v>
      </c>
      <c r="AF118" s="5">
        <f t="shared" si="0"/>
        <v>27</v>
      </c>
      <c r="AG118" s="5">
        <f t="shared" si="0"/>
        <v>28</v>
      </c>
      <c r="AH118" s="5">
        <f t="shared" si="0"/>
        <v>29</v>
      </c>
      <c r="AI118" s="5">
        <f t="shared" si="0"/>
        <v>30</v>
      </c>
      <c r="AJ118" s="5">
        <f t="shared" si="0"/>
        <v>31</v>
      </c>
      <c r="AK118" s="5">
        <f t="shared" si="0"/>
        <v>32</v>
      </c>
      <c r="AL118" s="5">
        <f t="shared" si="0"/>
        <v>33</v>
      </c>
      <c r="AM118" s="5">
        <f t="shared" si="0"/>
        <v>34</v>
      </c>
      <c r="AN118" s="5">
        <f t="shared" si="0"/>
        <v>35</v>
      </c>
      <c r="AO118" s="5">
        <f t="shared" si="0"/>
        <v>36</v>
      </c>
      <c r="AP118" s="5">
        <f t="shared" si="0"/>
        <v>37</v>
      </c>
      <c r="AQ118" s="5">
        <f t="shared" si="0"/>
        <v>38</v>
      </c>
      <c r="AR118" s="5">
        <f t="shared" si="0"/>
        <v>39</v>
      </c>
      <c r="AS118" s="5">
        <f t="shared" si="0"/>
        <v>40</v>
      </c>
      <c r="AT118" s="5">
        <f t="shared" si="0"/>
        <v>41</v>
      </c>
      <c r="AU118" s="5">
        <f t="shared" si="0"/>
        <v>42</v>
      </c>
      <c r="AV118" s="5">
        <f t="shared" si="0"/>
        <v>43</v>
      </c>
      <c r="AW118" s="5">
        <f t="shared" si="0"/>
        <v>44</v>
      </c>
      <c r="AX118" s="5">
        <f t="shared" si="0"/>
        <v>45</v>
      </c>
      <c r="AY118" s="5">
        <f t="shared" si="0"/>
        <v>46</v>
      </c>
      <c r="AZ118" s="5">
        <f t="shared" si="0"/>
        <v>47</v>
      </c>
      <c r="BA118" s="5">
        <f t="shared" si="0"/>
        <v>48</v>
      </c>
      <c r="BB118" s="5">
        <f t="shared" si="0"/>
        <v>49</v>
      </c>
      <c r="BC118" s="5">
        <f t="shared" si="0"/>
        <v>50</v>
      </c>
      <c r="BD118" s="5">
        <f t="shared" si="0"/>
        <v>51</v>
      </c>
      <c r="BE118" s="5">
        <f t="shared" si="0"/>
        <v>52</v>
      </c>
      <c r="BF118" s="5">
        <f t="shared" si="0"/>
        <v>53</v>
      </c>
      <c r="BG118" s="5">
        <f t="shared" si="0"/>
        <v>54</v>
      </c>
      <c r="BH118" s="5">
        <f t="shared" si="0"/>
        <v>55</v>
      </c>
      <c r="BI118" s="5">
        <f t="shared" si="0"/>
        <v>56</v>
      </c>
      <c r="BJ118" s="5">
        <f t="shared" si="0"/>
        <v>57</v>
      </c>
      <c r="BK118" s="5">
        <f t="shared" si="0"/>
        <v>58</v>
      </c>
      <c r="BL118" s="5">
        <f t="shared" si="0"/>
        <v>59</v>
      </c>
      <c r="BM118" s="5">
        <f t="shared" si="0"/>
        <v>60</v>
      </c>
      <c r="BN118" s="5">
        <f t="shared" si="0"/>
        <v>61</v>
      </c>
      <c r="BO118" s="5">
        <f t="shared" si="0"/>
        <v>62</v>
      </c>
      <c r="BP118" s="5">
        <f t="shared" si="0"/>
        <v>63</v>
      </c>
      <c r="BQ118" s="5">
        <f t="shared" si="0"/>
        <v>64</v>
      </c>
      <c r="BR118" s="5">
        <f t="shared" si="0"/>
        <v>65</v>
      </c>
      <c r="BS118" s="5">
        <f t="shared" ref="BS118:ED118" si="1">COLUMN()-5</f>
        <v>66</v>
      </c>
      <c r="BT118" s="5">
        <f t="shared" si="1"/>
        <v>67</v>
      </c>
      <c r="BU118" s="5">
        <f t="shared" si="1"/>
        <v>68</v>
      </c>
      <c r="BV118" s="5">
        <f t="shared" si="1"/>
        <v>69</v>
      </c>
      <c r="BW118" s="5">
        <f t="shared" si="1"/>
        <v>70</v>
      </c>
      <c r="BX118" s="5">
        <f t="shared" si="1"/>
        <v>71</v>
      </c>
      <c r="BY118" s="5">
        <f t="shared" si="1"/>
        <v>72</v>
      </c>
      <c r="BZ118" s="5">
        <f t="shared" si="1"/>
        <v>73</v>
      </c>
      <c r="CA118" s="5">
        <f t="shared" si="1"/>
        <v>74</v>
      </c>
      <c r="CB118" s="5">
        <f t="shared" si="1"/>
        <v>75</v>
      </c>
      <c r="CC118" s="5">
        <f t="shared" si="1"/>
        <v>76</v>
      </c>
      <c r="CD118" s="5">
        <f t="shared" si="1"/>
        <v>77</v>
      </c>
      <c r="CE118" s="5">
        <f t="shared" si="1"/>
        <v>78</v>
      </c>
      <c r="CF118" s="5">
        <f t="shared" si="1"/>
        <v>79</v>
      </c>
      <c r="CG118" s="5">
        <f t="shared" si="1"/>
        <v>80</v>
      </c>
      <c r="CH118" s="5">
        <f t="shared" si="1"/>
        <v>81</v>
      </c>
      <c r="CI118" s="5">
        <f t="shared" si="1"/>
        <v>82</v>
      </c>
      <c r="CJ118" s="5">
        <f t="shared" si="1"/>
        <v>83</v>
      </c>
      <c r="CK118" s="5">
        <f t="shared" si="1"/>
        <v>84</v>
      </c>
      <c r="CL118" s="5">
        <f t="shared" si="1"/>
        <v>85</v>
      </c>
      <c r="CM118" s="5">
        <f t="shared" si="1"/>
        <v>86</v>
      </c>
      <c r="CN118" s="5">
        <f t="shared" si="1"/>
        <v>87</v>
      </c>
      <c r="CO118" s="5">
        <f t="shared" si="1"/>
        <v>88</v>
      </c>
      <c r="CP118" s="5">
        <f t="shared" si="1"/>
        <v>89</v>
      </c>
      <c r="CQ118" s="5">
        <f t="shared" si="1"/>
        <v>90</v>
      </c>
      <c r="CR118" s="5">
        <f t="shared" si="1"/>
        <v>91</v>
      </c>
      <c r="CS118" s="5">
        <f t="shared" si="1"/>
        <v>92</v>
      </c>
      <c r="CT118" s="5">
        <f t="shared" si="1"/>
        <v>93</v>
      </c>
      <c r="CU118" s="5">
        <f t="shared" si="1"/>
        <v>94</v>
      </c>
      <c r="CV118" s="5">
        <f t="shared" si="1"/>
        <v>95</v>
      </c>
      <c r="CW118" s="5">
        <f t="shared" si="1"/>
        <v>96</v>
      </c>
      <c r="CX118" s="5">
        <f t="shared" si="1"/>
        <v>97</v>
      </c>
      <c r="CY118" s="5">
        <f t="shared" si="1"/>
        <v>98</v>
      </c>
      <c r="CZ118" s="5">
        <f t="shared" si="1"/>
        <v>99</v>
      </c>
      <c r="DA118" s="5">
        <f t="shared" si="1"/>
        <v>100</v>
      </c>
      <c r="DB118" s="5">
        <f t="shared" si="1"/>
        <v>101</v>
      </c>
      <c r="DC118" s="5">
        <f t="shared" si="1"/>
        <v>102</v>
      </c>
      <c r="DD118" s="5">
        <f t="shared" si="1"/>
        <v>103</v>
      </c>
      <c r="DE118" s="5">
        <f t="shared" si="1"/>
        <v>104</v>
      </c>
      <c r="DF118" s="5">
        <f t="shared" si="1"/>
        <v>105</v>
      </c>
      <c r="DG118" s="5">
        <f t="shared" si="1"/>
        <v>106</v>
      </c>
      <c r="DH118" s="5">
        <f t="shared" si="1"/>
        <v>107</v>
      </c>
      <c r="DI118" s="5">
        <f t="shared" si="1"/>
        <v>108</v>
      </c>
      <c r="DJ118" s="5">
        <f t="shared" si="1"/>
        <v>109</v>
      </c>
      <c r="DK118" s="5">
        <f t="shared" si="1"/>
        <v>110</v>
      </c>
      <c r="DL118" s="5">
        <f t="shared" si="1"/>
        <v>111</v>
      </c>
      <c r="DM118" s="5">
        <f t="shared" si="1"/>
        <v>112</v>
      </c>
      <c r="DN118" s="5">
        <f t="shared" si="1"/>
        <v>113</v>
      </c>
      <c r="DO118" s="5">
        <f t="shared" si="1"/>
        <v>114</v>
      </c>
      <c r="DP118" s="5">
        <f t="shared" si="1"/>
        <v>115</v>
      </c>
      <c r="DQ118" s="5">
        <f t="shared" si="1"/>
        <v>116</v>
      </c>
      <c r="DR118" s="5">
        <f t="shared" si="1"/>
        <v>117</v>
      </c>
      <c r="DS118" s="5">
        <f t="shared" si="1"/>
        <v>118</v>
      </c>
      <c r="DT118" s="5">
        <f t="shared" si="1"/>
        <v>119</v>
      </c>
      <c r="DU118" s="5">
        <f t="shared" si="1"/>
        <v>120</v>
      </c>
      <c r="DV118" s="5">
        <f t="shared" si="1"/>
        <v>121</v>
      </c>
      <c r="DW118" s="5">
        <f t="shared" si="1"/>
        <v>122</v>
      </c>
      <c r="DX118" s="5">
        <f t="shared" si="1"/>
        <v>123</v>
      </c>
      <c r="DY118" s="5">
        <f t="shared" si="1"/>
        <v>124</v>
      </c>
      <c r="DZ118" s="5">
        <f t="shared" si="1"/>
        <v>125</v>
      </c>
      <c r="EA118" s="5">
        <f t="shared" si="1"/>
        <v>126</v>
      </c>
      <c r="EB118" s="5">
        <f t="shared" si="1"/>
        <v>127</v>
      </c>
      <c r="EC118" s="5">
        <f t="shared" si="1"/>
        <v>128</v>
      </c>
      <c r="ED118" s="5">
        <f t="shared" si="1"/>
        <v>129</v>
      </c>
      <c r="EE118" s="5">
        <f t="shared" ref="EE118:GP118" si="2">COLUMN()-5</f>
        <v>130</v>
      </c>
      <c r="EF118" s="5">
        <f t="shared" si="2"/>
        <v>131</v>
      </c>
      <c r="EG118" s="5">
        <f t="shared" si="2"/>
        <v>132</v>
      </c>
      <c r="EH118" s="5">
        <f t="shared" si="2"/>
        <v>133</v>
      </c>
      <c r="EI118" s="5">
        <f t="shared" si="2"/>
        <v>134</v>
      </c>
      <c r="EJ118" s="5">
        <f t="shared" si="2"/>
        <v>135</v>
      </c>
      <c r="EK118" s="5">
        <f t="shared" si="2"/>
        <v>136</v>
      </c>
      <c r="EL118" s="5">
        <f t="shared" si="2"/>
        <v>137</v>
      </c>
      <c r="EM118" s="5">
        <f t="shared" si="2"/>
        <v>138</v>
      </c>
      <c r="EN118" s="5">
        <f t="shared" si="2"/>
        <v>139</v>
      </c>
      <c r="EO118" s="5">
        <f t="shared" si="2"/>
        <v>140</v>
      </c>
      <c r="EP118" s="5">
        <f t="shared" si="2"/>
        <v>141</v>
      </c>
      <c r="EQ118" s="5">
        <f t="shared" si="2"/>
        <v>142</v>
      </c>
      <c r="ER118" s="5">
        <f t="shared" si="2"/>
        <v>143</v>
      </c>
      <c r="ES118" s="5">
        <f t="shared" si="2"/>
        <v>144</v>
      </c>
      <c r="ET118" s="5">
        <f t="shared" si="2"/>
        <v>145</v>
      </c>
      <c r="EU118" s="5">
        <f t="shared" si="2"/>
        <v>146</v>
      </c>
      <c r="EV118" s="5">
        <f t="shared" si="2"/>
        <v>147</v>
      </c>
      <c r="EW118" s="5">
        <f t="shared" si="2"/>
        <v>148</v>
      </c>
      <c r="EX118" s="5">
        <f t="shared" si="2"/>
        <v>149</v>
      </c>
      <c r="EY118" s="5">
        <f t="shared" si="2"/>
        <v>150</v>
      </c>
      <c r="EZ118" s="5">
        <f t="shared" si="2"/>
        <v>151</v>
      </c>
      <c r="FA118" s="5">
        <f t="shared" si="2"/>
        <v>152</v>
      </c>
      <c r="FB118" s="5">
        <f t="shared" si="2"/>
        <v>153</v>
      </c>
      <c r="FC118" s="5">
        <f t="shared" si="2"/>
        <v>154</v>
      </c>
      <c r="FD118" s="5">
        <f t="shared" si="2"/>
        <v>155</v>
      </c>
      <c r="FE118" s="5">
        <f t="shared" si="2"/>
        <v>156</v>
      </c>
      <c r="FF118" s="5">
        <f t="shared" si="2"/>
        <v>157</v>
      </c>
      <c r="FG118" s="5">
        <f t="shared" si="2"/>
        <v>158</v>
      </c>
      <c r="FH118" s="5">
        <f t="shared" si="2"/>
        <v>159</v>
      </c>
      <c r="FI118" s="5">
        <f t="shared" si="2"/>
        <v>160</v>
      </c>
      <c r="FJ118" s="5">
        <f t="shared" si="2"/>
        <v>161</v>
      </c>
      <c r="FK118" s="5">
        <f t="shared" si="2"/>
        <v>162</v>
      </c>
      <c r="FL118" s="5">
        <f t="shared" si="2"/>
        <v>163</v>
      </c>
      <c r="FM118" s="5">
        <f t="shared" si="2"/>
        <v>164</v>
      </c>
      <c r="FN118" s="5">
        <f t="shared" si="2"/>
        <v>165</v>
      </c>
      <c r="FO118" s="5">
        <f t="shared" si="2"/>
        <v>166</v>
      </c>
      <c r="FP118" s="5">
        <f t="shared" si="2"/>
        <v>167</v>
      </c>
      <c r="FQ118" s="5">
        <f t="shared" si="2"/>
        <v>168</v>
      </c>
      <c r="FR118" s="5">
        <f t="shared" si="2"/>
        <v>169</v>
      </c>
      <c r="FS118" s="5">
        <f t="shared" si="2"/>
        <v>170</v>
      </c>
      <c r="FT118" s="5">
        <f t="shared" si="2"/>
        <v>171</v>
      </c>
      <c r="FU118" s="5">
        <f t="shared" si="2"/>
        <v>172</v>
      </c>
      <c r="FV118" s="5">
        <f t="shared" si="2"/>
        <v>173</v>
      </c>
      <c r="FW118" s="5">
        <f t="shared" si="2"/>
        <v>174</v>
      </c>
      <c r="FX118" s="5">
        <f t="shared" si="2"/>
        <v>175</v>
      </c>
      <c r="FY118" s="5">
        <f t="shared" si="2"/>
        <v>176</v>
      </c>
      <c r="FZ118" s="5">
        <f t="shared" si="2"/>
        <v>177</v>
      </c>
      <c r="GA118" s="5">
        <f t="shared" si="2"/>
        <v>178</v>
      </c>
      <c r="GB118" s="5">
        <f t="shared" si="2"/>
        <v>179</v>
      </c>
      <c r="GC118" s="5">
        <f t="shared" si="2"/>
        <v>180</v>
      </c>
      <c r="GD118" s="5">
        <f t="shared" si="2"/>
        <v>181</v>
      </c>
      <c r="GE118" s="5">
        <f t="shared" si="2"/>
        <v>182</v>
      </c>
      <c r="GF118" s="5">
        <f t="shared" si="2"/>
        <v>183</v>
      </c>
      <c r="GG118" s="5">
        <f t="shared" si="2"/>
        <v>184</v>
      </c>
      <c r="GH118" s="5">
        <f t="shared" si="2"/>
        <v>185</v>
      </c>
      <c r="GI118" s="5">
        <f t="shared" si="2"/>
        <v>186</v>
      </c>
      <c r="GJ118" s="5">
        <f t="shared" si="2"/>
        <v>187</v>
      </c>
      <c r="GK118" s="5">
        <f t="shared" si="2"/>
        <v>188</v>
      </c>
      <c r="GL118" s="5">
        <f t="shared" si="2"/>
        <v>189</v>
      </c>
      <c r="GM118" s="5">
        <f t="shared" si="2"/>
        <v>190</v>
      </c>
      <c r="GN118" s="5">
        <f t="shared" si="2"/>
        <v>191</v>
      </c>
      <c r="GO118" s="5">
        <f t="shared" si="2"/>
        <v>192</v>
      </c>
      <c r="GP118" s="5">
        <f t="shared" si="2"/>
        <v>193</v>
      </c>
      <c r="GQ118" s="5">
        <f t="shared" ref="GQ118:IX118" si="3">COLUMN()-5</f>
        <v>194</v>
      </c>
      <c r="GR118" s="5">
        <f t="shared" si="3"/>
        <v>195</v>
      </c>
      <c r="GS118" s="5">
        <f t="shared" si="3"/>
        <v>196</v>
      </c>
      <c r="GT118" s="5">
        <f t="shared" si="3"/>
        <v>197</v>
      </c>
      <c r="GU118" s="5">
        <f t="shared" si="3"/>
        <v>198</v>
      </c>
      <c r="GV118" s="5">
        <f t="shared" si="3"/>
        <v>199</v>
      </c>
      <c r="GW118" s="5">
        <f t="shared" si="3"/>
        <v>200</v>
      </c>
      <c r="GX118" s="5">
        <f t="shared" si="3"/>
        <v>201</v>
      </c>
      <c r="GY118" s="5">
        <f t="shared" si="3"/>
        <v>202</v>
      </c>
      <c r="GZ118" s="5">
        <f t="shared" si="3"/>
        <v>203</v>
      </c>
      <c r="HA118" s="5">
        <f t="shared" si="3"/>
        <v>204</v>
      </c>
      <c r="HB118" s="5">
        <f t="shared" si="3"/>
        <v>205</v>
      </c>
      <c r="HC118" s="5">
        <f t="shared" si="3"/>
        <v>206</v>
      </c>
      <c r="HD118" s="5">
        <f t="shared" si="3"/>
        <v>207</v>
      </c>
      <c r="HE118" s="5">
        <f t="shared" si="3"/>
        <v>208</v>
      </c>
      <c r="HF118" s="5">
        <f t="shared" si="3"/>
        <v>209</v>
      </c>
      <c r="HG118" s="5">
        <f t="shared" si="3"/>
        <v>210</v>
      </c>
      <c r="HH118" s="5">
        <f t="shared" si="3"/>
        <v>211</v>
      </c>
      <c r="HI118" s="5">
        <f t="shared" si="3"/>
        <v>212</v>
      </c>
      <c r="HJ118" s="5">
        <f t="shared" si="3"/>
        <v>213</v>
      </c>
      <c r="HK118" s="5">
        <f t="shared" si="3"/>
        <v>214</v>
      </c>
      <c r="HL118" s="5">
        <f t="shared" si="3"/>
        <v>215</v>
      </c>
      <c r="HM118" s="5">
        <f t="shared" si="3"/>
        <v>216</v>
      </c>
      <c r="HN118" s="5">
        <f t="shared" si="3"/>
        <v>217</v>
      </c>
      <c r="HO118" s="5">
        <f t="shared" si="3"/>
        <v>218</v>
      </c>
      <c r="HP118" s="5">
        <f t="shared" si="3"/>
        <v>219</v>
      </c>
      <c r="HQ118" s="5">
        <f t="shared" si="3"/>
        <v>220</v>
      </c>
      <c r="HR118" s="5">
        <f t="shared" si="3"/>
        <v>221</v>
      </c>
      <c r="HS118" s="5">
        <f t="shared" si="3"/>
        <v>222</v>
      </c>
      <c r="HT118" s="5">
        <f t="shared" si="3"/>
        <v>223</v>
      </c>
      <c r="HU118" s="5">
        <f t="shared" si="3"/>
        <v>224</v>
      </c>
      <c r="HV118" s="5">
        <f t="shared" si="3"/>
        <v>225</v>
      </c>
      <c r="HW118" s="5">
        <f t="shared" si="3"/>
        <v>226</v>
      </c>
      <c r="HX118" s="5">
        <f t="shared" si="3"/>
        <v>227</v>
      </c>
      <c r="HY118" s="5">
        <f t="shared" si="3"/>
        <v>228</v>
      </c>
      <c r="HZ118" s="5">
        <f t="shared" si="3"/>
        <v>229</v>
      </c>
      <c r="IA118" s="5">
        <f t="shared" si="3"/>
        <v>230</v>
      </c>
      <c r="IB118" s="5">
        <f t="shared" si="3"/>
        <v>231</v>
      </c>
      <c r="IC118" s="5">
        <f t="shared" si="3"/>
        <v>232</v>
      </c>
      <c r="ID118" s="5">
        <f t="shared" si="3"/>
        <v>233</v>
      </c>
      <c r="IE118" s="5">
        <f t="shared" si="3"/>
        <v>234</v>
      </c>
      <c r="IF118" s="5">
        <f t="shared" si="3"/>
        <v>235</v>
      </c>
      <c r="IG118" s="5">
        <f t="shared" si="3"/>
        <v>236</v>
      </c>
      <c r="IH118" s="5">
        <f t="shared" si="3"/>
        <v>237</v>
      </c>
      <c r="II118" s="5">
        <f t="shared" si="3"/>
        <v>238</v>
      </c>
      <c r="IJ118" s="5">
        <f t="shared" si="3"/>
        <v>239</v>
      </c>
      <c r="IK118" s="5">
        <f t="shared" si="3"/>
        <v>240</v>
      </c>
      <c r="IL118" s="5">
        <f t="shared" si="3"/>
        <v>241</v>
      </c>
      <c r="IM118" s="5">
        <f t="shared" si="3"/>
        <v>242</v>
      </c>
      <c r="IN118" s="5">
        <f t="shared" si="3"/>
        <v>243</v>
      </c>
      <c r="IO118" s="5">
        <f t="shared" si="3"/>
        <v>244</v>
      </c>
      <c r="IP118" s="5">
        <f t="shared" si="3"/>
        <v>245</v>
      </c>
      <c r="IQ118" s="5">
        <f t="shared" si="3"/>
        <v>246</v>
      </c>
      <c r="IR118" s="5">
        <f t="shared" si="3"/>
        <v>247</v>
      </c>
      <c r="IS118" s="5">
        <f t="shared" si="3"/>
        <v>248</v>
      </c>
      <c r="IT118" s="5">
        <f t="shared" si="3"/>
        <v>249</v>
      </c>
      <c r="IU118" s="5">
        <f t="shared" si="3"/>
        <v>250</v>
      </c>
      <c r="IV118" s="5">
        <f t="shared" si="3"/>
        <v>251</v>
      </c>
      <c r="IW118" s="5">
        <f t="shared" si="3"/>
        <v>252</v>
      </c>
      <c r="IX118" s="5">
        <f t="shared" si="3"/>
        <v>253</v>
      </c>
    </row>
  </sheetData>
  <sheetProtection algorithmName="SHA-512" hashValue="8f500iWHxX+MoQ/GwcPmXCTZUNMPLCboOtdrHpXG7VdS45jRQ2GAT1RAEoJDmE6BnajX/cZx33ggax5j0ifsLw==" saltValue="7VbXfWBY3y2AoYYsnkNOvQ==" spinCount="100000" sheet="1" objects="1" scenarios="1" formatCells="0" formatColumns="0" formatRows="0" autoFilter="0"/>
  <autoFilter ref="A4:E116" xr:uid="{AC808492-CF72-4E64-8BFE-563909DD0E43}"/>
  <mergeCells count="70">
    <mergeCell ref="CC1:DX1"/>
    <mergeCell ref="DY1:FN1"/>
    <mergeCell ref="FO1:GF1"/>
    <mergeCell ref="GG1:GH1"/>
    <mergeCell ref="F1:N1"/>
    <mergeCell ref="O1:Y1"/>
    <mergeCell ref="Z1:AF1"/>
    <mergeCell ref="AG1:AL1"/>
    <mergeCell ref="AM1:CB1"/>
    <mergeCell ref="GI1:GU1"/>
    <mergeCell ref="GV1:HG1"/>
    <mergeCell ref="AS3:AX3"/>
    <mergeCell ref="AY3:BD3"/>
    <mergeCell ref="BE3:BJ3"/>
    <mergeCell ref="DM3:DR3"/>
    <mergeCell ref="DS3:DX3"/>
    <mergeCell ref="CC2:DX2"/>
    <mergeCell ref="DY3:ED3"/>
    <mergeCell ref="EE3:EJ3"/>
    <mergeCell ref="HB3:HD3"/>
    <mergeCell ref="HE3:HG3"/>
    <mergeCell ref="GV2:HG2"/>
    <mergeCell ref="FC3:FH3"/>
    <mergeCell ref="CI3:CN3"/>
    <mergeCell ref="CO3:CT3"/>
    <mergeCell ref="AM2:CB2"/>
    <mergeCell ref="CC3:CH3"/>
    <mergeCell ref="EK3:EP3"/>
    <mergeCell ref="EQ3:EV3"/>
    <mergeCell ref="EW3:FB3"/>
    <mergeCell ref="BQ3:BV3"/>
    <mergeCell ref="BW3:CB3"/>
    <mergeCell ref="AM3:AR3"/>
    <mergeCell ref="DA3:DF3"/>
    <mergeCell ref="DG3:DL3"/>
    <mergeCell ref="HK2:HM2"/>
    <mergeCell ref="IL2:IQ2"/>
    <mergeCell ref="IR2:IT2"/>
    <mergeCell ref="DY2:FN2"/>
    <mergeCell ref="HN2:HT2"/>
    <mergeCell ref="HH2:HJ2"/>
    <mergeCell ref="FO2:GF2"/>
    <mergeCell ref="GG2:GH2"/>
    <mergeCell ref="A1:E3"/>
    <mergeCell ref="HU2:IE2"/>
    <mergeCell ref="HH1:IX1"/>
    <mergeCell ref="F2:N2"/>
    <mergeCell ref="AG3:AH3"/>
    <mergeCell ref="AI3:AJ3"/>
    <mergeCell ref="AK3:AL3"/>
    <mergeCell ref="O2:Y2"/>
    <mergeCell ref="Z2:AF2"/>
    <mergeCell ref="F3:H3"/>
    <mergeCell ref="I3:K3"/>
    <mergeCell ref="L3:N3"/>
    <mergeCell ref="BK3:BP3"/>
    <mergeCell ref="IF2:IK2"/>
    <mergeCell ref="AG2:AL2"/>
    <mergeCell ref="IU2:IX2"/>
    <mergeCell ref="GV3:GX3"/>
    <mergeCell ref="GY3:HA3"/>
    <mergeCell ref="CU3:CZ3"/>
    <mergeCell ref="FI3:FN3"/>
    <mergeCell ref="GI2:GN2"/>
    <mergeCell ref="FO3:FT3"/>
    <mergeCell ref="GO2:GS2"/>
    <mergeCell ref="GT2:GU2"/>
    <mergeCell ref="FU3:FZ3"/>
    <mergeCell ref="GA3:GF3"/>
    <mergeCell ref="GG3:GH3"/>
  </mergeCells>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4196A-C04A-4184-BEB0-494E7B9B2051}">
  <sheetPr codeName="Sheet3"/>
  <dimension ref="A1:A113"/>
  <sheetViews>
    <sheetView workbookViewId="0">
      <pane ySplit="1" topLeftCell="A73" activePane="bottomLeft" state="frozen"/>
      <selection pane="bottomLeft" activeCell="A114" sqref="A114"/>
    </sheetView>
  </sheetViews>
  <sheetFormatPr defaultRowHeight="15" x14ac:dyDescent="0.25"/>
  <cols>
    <col min="1" max="1" width="76.7109375" bestFit="1" customWidth="1"/>
  </cols>
  <sheetData>
    <row r="1" spans="1:1" x14ac:dyDescent="0.25">
      <c r="A1" t="s">
        <v>614</v>
      </c>
    </row>
    <row r="2" spans="1:1" x14ac:dyDescent="0.25">
      <c r="A2" t="s">
        <v>591</v>
      </c>
    </row>
    <row r="3" spans="1:1" x14ac:dyDescent="0.25">
      <c r="A3" t="s">
        <v>525</v>
      </c>
    </row>
    <row r="4" spans="1:1" x14ac:dyDescent="0.25">
      <c r="A4" t="s">
        <v>562</v>
      </c>
    </row>
    <row r="5" spans="1:1" x14ac:dyDescent="0.25">
      <c r="A5" t="s">
        <v>549</v>
      </c>
    </row>
    <row r="6" spans="1:1" x14ac:dyDescent="0.25">
      <c r="A6" t="s">
        <v>456</v>
      </c>
    </row>
    <row r="7" spans="1:1" x14ac:dyDescent="0.25">
      <c r="A7" t="s">
        <v>485</v>
      </c>
    </row>
    <row r="8" spans="1:1" x14ac:dyDescent="0.25">
      <c r="A8" t="s">
        <v>509</v>
      </c>
    </row>
    <row r="9" spans="1:1" x14ac:dyDescent="0.25">
      <c r="A9" t="s">
        <v>455</v>
      </c>
    </row>
    <row r="10" spans="1:1" x14ac:dyDescent="0.25">
      <c r="A10" t="s">
        <v>459</v>
      </c>
    </row>
    <row r="11" spans="1:1" x14ac:dyDescent="0.25">
      <c r="A11" t="s">
        <v>493</v>
      </c>
    </row>
    <row r="12" spans="1:1" x14ac:dyDescent="0.25">
      <c r="A12" t="s">
        <v>495</v>
      </c>
    </row>
    <row r="13" spans="1:1" x14ac:dyDescent="0.25">
      <c r="A13" t="s">
        <v>460</v>
      </c>
    </row>
    <row r="14" spans="1:1" x14ac:dyDescent="0.25">
      <c r="A14" t="s">
        <v>550</v>
      </c>
    </row>
    <row r="15" spans="1:1" x14ac:dyDescent="0.25">
      <c r="A15" t="s">
        <v>518</v>
      </c>
    </row>
    <row r="16" spans="1:1" x14ac:dyDescent="0.25">
      <c r="A16" t="s">
        <v>519</v>
      </c>
    </row>
    <row r="17" spans="1:1" x14ac:dyDescent="0.25">
      <c r="A17" t="s">
        <v>462</v>
      </c>
    </row>
    <row r="18" spans="1:1" x14ac:dyDescent="0.25">
      <c r="A18" t="s">
        <v>559</v>
      </c>
    </row>
    <row r="19" spans="1:1" x14ac:dyDescent="0.25">
      <c r="A19" t="s">
        <v>467</v>
      </c>
    </row>
    <row r="20" spans="1:1" x14ac:dyDescent="0.25">
      <c r="A20" t="s">
        <v>465</v>
      </c>
    </row>
    <row r="21" spans="1:1" x14ac:dyDescent="0.25">
      <c r="A21" t="s">
        <v>466</v>
      </c>
    </row>
    <row r="22" spans="1:1" x14ac:dyDescent="0.25">
      <c r="A22" t="s">
        <v>557</v>
      </c>
    </row>
    <row r="23" spans="1:1" x14ac:dyDescent="0.25">
      <c r="A23" t="s">
        <v>468</v>
      </c>
    </row>
    <row r="24" spans="1:1" x14ac:dyDescent="0.25">
      <c r="A24" t="s">
        <v>567</v>
      </c>
    </row>
    <row r="25" spans="1:1" x14ac:dyDescent="0.25">
      <c r="A25" t="s">
        <v>470</v>
      </c>
    </row>
    <row r="26" spans="1:1" x14ac:dyDescent="0.25">
      <c r="A26" t="s">
        <v>476</v>
      </c>
    </row>
    <row r="27" spans="1:1" x14ac:dyDescent="0.25">
      <c r="A27" t="s">
        <v>508</v>
      </c>
    </row>
    <row r="28" spans="1:1" x14ac:dyDescent="0.25">
      <c r="A28" t="s">
        <v>521</v>
      </c>
    </row>
    <row r="29" spans="1:1" x14ac:dyDescent="0.25">
      <c r="A29" t="s">
        <v>532</v>
      </c>
    </row>
    <row r="30" spans="1:1" x14ac:dyDescent="0.25">
      <c r="A30" t="s">
        <v>471</v>
      </c>
    </row>
    <row r="31" spans="1:1" x14ac:dyDescent="0.25">
      <c r="A31" t="s">
        <v>524</v>
      </c>
    </row>
    <row r="32" spans="1:1" x14ac:dyDescent="0.25">
      <c r="A32" t="s">
        <v>486</v>
      </c>
    </row>
    <row r="33" spans="1:1" x14ac:dyDescent="0.25">
      <c r="A33" t="s">
        <v>472</v>
      </c>
    </row>
    <row r="34" spans="1:1" x14ac:dyDescent="0.25">
      <c r="A34" t="s">
        <v>473</v>
      </c>
    </row>
    <row r="35" spans="1:1" x14ac:dyDescent="0.25">
      <c r="A35" t="s">
        <v>609</v>
      </c>
    </row>
    <row r="36" spans="1:1" x14ac:dyDescent="0.25">
      <c r="A36" t="s">
        <v>475</v>
      </c>
    </row>
    <row r="37" spans="1:1" x14ac:dyDescent="0.25">
      <c r="A37" t="s">
        <v>530</v>
      </c>
    </row>
    <row r="38" spans="1:1" x14ac:dyDescent="0.25">
      <c r="A38" t="s">
        <v>563</v>
      </c>
    </row>
    <row r="39" spans="1:1" x14ac:dyDescent="0.25">
      <c r="A39" t="s">
        <v>564</v>
      </c>
    </row>
    <row r="40" spans="1:1" x14ac:dyDescent="0.25">
      <c r="A40" t="s">
        <v>555</v>
      </c>
    </row>
    <row r="41" spans="1:1" x14ac:dyDescent="0.25">
      <c r="A41" t="s">
        <v>553</v>
      </c>
    </row>
    <row r="42" spans="1:1" x14ac:dyDescent="0.25">
      <c r="A42" t="s">
        <v>543</v>
      </c>
    </row>
    <row r="43" spans="1:1" x14ac:dyDescent="0.25">
      <c r="A43" t="s">
        <v>461</v>
      </c>
    </row>
    <row r="44" spans="1:1" x14ac:dyDescent="0.25">
      <c r="A44" t="s">
        <v>552</v>
      </c>
    </row>
    <row r="45" spans="1:1" x14ac:dyDescent="0.25">
      <c r="A45" t="s">
        <v>477</v>
      </c>
    </row>
    <row r="46" spans="1:1" x14ac:dyDescent="0.25">
      <c r="A46" t="s">
        <v>490</v>
      </c>
    </row>
    <row r="47" spans="1:1" x14ac:dyDescent="0.25">
      <c r="A47" t="s">
        <v>560</v>
      </c>
    </row>
    <row r="48" spans="1:1" x14ac:dyDescent="0.25">
      <c r="A48" t="s">
        <v>464</v>
      </c>
    </row>
    <row r="49" spans="1:1" x14ac:dyDescent="0.25">
      <c r="A49" t="s">
        <v>478</v>
      </c>
    </row>
    <row r="50" spans="1:1" x14ac:dyDescent="0.25">
      <c r="A50" t="s">
        <v>554</v>
      </c>
    </row>
    <row r="51" spans="1:1" x14ac:dyDescent="0.25">
      <c r="A51" t="s">
        <v>539</v>
      </c>
    </row>
    <row r="52" spans="1:1" x14ac:dyDescent="0.25">
      <c r="A52" t="s">
        <v>598</v>
      </c>
    </row>
    <row r="53" spans="1:1" x14ac:dyDescent="0.25">
      <c r="A53" t="s">
        <v>494</v>
      </c>
    </row>
    <row r="54" spans="1:1" x14ac:dyDescent="0.25">
      <c r="A54" t="s">
        <v>492</v>
      </c>
    </row>
    <row r="55" spans="1:1" x14ac:dyDescent="0.25">
      <c r="A55" t="s">
        <v>531</v>
      </c>
    </row>
    <row r="56" spans="1:1" x14ac:dyDescent="0.25">
      <c r="A56" t="s">
        <v>482</v>
      </c>
    </row>
    <row r="57" spans="1:1" x14ac:dyDescent="0.25">
      <c r="A57" t="s">
        <v>547</v>
      </c>
    </row>
    <row r="58" spans="1:1" x14ac:dyDescent="0.25">
      <c r="A58" t="s">
        <v>497</v>
      </c>
    </row>
    <row r="59" spans="1:1" x14ac:dyDescent="0.25">
      <c r="A59" t="s">
        <v>610</v>
      </c>
    </row>
    <row r="60" spans="1:1" x14ac:dyDescent="0.25">
      <c r="A60" t="s">
        <v>611</v>
      </c>
    </row>
    <row r="61" spans="1:1" x14ac:dyDescent="0.25">
      <c r="A61" t="s">
        <v>507</v>
      </c>
    </row>
    <row r="62" spans="1:1" x14ac:dyDescent="0.25">
      <c r="A62" t="s">
        <v>545</v>
      </c>
    </row>
    <row r="63" spans="1:1" x14ac:dyDescent="0.25">
      <c r="A63" t="s">
        <v>498</v>
      </c>
    </row>
    <row r="64" spans="1:1" x14ac:dyDescent="0.25">
      <c r="A64" t="s">
        <v>500</v>
      </c>
    </row>
    <row r="65" spans="1:1" x14ac:dyDescent="0.25">
      <c r="A65" t="s">
        <v>481</v>
      </c>
    </row>
    <row r="66" spans="1:1" x14ac:dyDescent="0.25">
      <c r="A66" t="s">
        <v>520</v>
      </c>
    </row>
    <row r="67" spans="1:1" x14ac:dyDescent="0.25">
      <c r="A67" t="s">
        <v>535</v>
      </c>
    </row>
    <row r="68" spans="1:1" x14ac:dyDescent="0.25">
      <c r="A68" t="s">
        <v>599</v>
      </c>
    </row>
    <row r="69" spans="1:1" x14ac:dyDescent="0.25">
      <c r="A69" t="s">
        <v>540</v>
      </c>
    </row>
    <row r="70" spans="1:1" x14ac:dyDescent="0.25">
      <c r="A70" t="s">
        <v>510</v>
      </c>
    </row>
    <row r="71" spans="1:1" x14ac:dyDescent="0.25">
      <c r="A71" t="s">
        <v>537</v>
      </c>
    </row>
    <row r="72" spans="1:1" x14ac:dyDescent="0.25">
      <c r="A72" t="s">
        <v>558</v>
      </c>
    </row>
    <row r="73" spans="1:1" x14ac:dyDescent="0.25">
      <c r="A73" t="s">
        <v>544</v>
      </c>
    </row>
    <row r="74" spans="1:1" x14ac:dyDescent="0.25">
      <c r="A74" t="s">
        <v>542</v>
      </c>
    </row>
    <row r="75" spans="1:1" x14ac:dyDescent="0.25">
      <c r="A75" t="s">
        <v>634</v>
      </c>
    </row>
    <row r="76" spans="1:1" x14ac:dyDescent="0.25">
      <c r="A76" t="s">
        <v>633</v>
      </c>
    </row>
    <row r="77" spans="1:1" x14ac:dyDescent="0.25">
      <c r="A77" t="s">
        <v>501</v>
      </c>
    </row>
    <row r="78" spans="1:1" x14ac:dyDescent="0.25">
      <c r="A78" t="s">
        <v>469</v>
      </c>
    </row>
    <row r="79" spans="1:1" x14ac:dyDescent="0.25">
      <c r="A79" t="s">
        <v>502</v>
      </c>
    </row>
    <row r="80" spans="1:1" x14ac:dyDescent="0.25">
      <c r="A80" t="s">
        <v>487</v>
      </c>
    </row>
    <row r="81" spans="1:1" x14ac:dyDescent="0.25">
      <c r="A81" t="s">
        <v>503</v>
      </c>
    </row>
    <row r="82" spans="1:1" x14ac:dyDescent="0.25">
      <c r="A82" t="s">
        <v>556</v>
      </c>
    </row>
    <row r="83" spans="1:1" x14ac:dyDescent="0.25">
      <c r="A83" t="s">
        <v>483</v>
      </c>
    </row>
    <row r="84" spans="1:1" x14ac:dyDescent="0.25">
      <c r="A84" t="s">
        <v>517</v>
      </c>
    </row>
    <row r="85" spans="1:1" x14ac:dyDescent="0.25">
      <c r="A85" t="s">
        <v>561</v>
      </c>
    </row>
    <row r="86" spans="1:1" x14ac:dyDescent="0.25">
      <c r="A86" t="s">
        <v>635</v>
      </c>
    </row>
    <row r="87" spans="1:1" x14ac:dyDescent="0.25">
      <c r="A87" t="s">
        <v>479</v>
      </c>
    </row>
    <row r="88" spans="1:1" x14ac:dyDescent="0.25">
      <c r="A88" t="s">
        <v>488</v>
      </c>
    </row>
    <row r="89" spans="1:1" x14ac:dyDescent="0.25">
      <c r="A89" t="s">
        <v>505</v>
      </c>
    </row>
    <row r="90" spans="1:1" x14ac:dyDescent="0.25">
      <c r="A90" t="s">
        <v>541</v>
      </c>
    </row>
    <row r="91" spans="1:1" x14ac:dyDescent="0.25">
      <c r="A91" t="s">
        <v>489</v>
      </c>
    </row>
    <row r="92" spans="1:1" x14ac:dyDescent="0.25">
      <c r="A92" t="s">
        <v>491</v>
      </c>
    </row>
    <row r="93" spans="1:1" x14ac:dyDescent="0.25">
      <c r="A93" t="s">
        <v>529</v>
      </c>
    </row>
    <row r="94" spans="1:1" x14ac:dyDescent="0.25">
      <c r="A94" t="s">
        <v>526</v>
      </c>
    </row>
    <row r="95" spans="1:1" x14ac:dyDescent="0.25">
      <c r="A95" t="s">
        <v>533</v>
      </c>
    </row>
    <row r="96" spans="1:1" x14ac:dyDescent="0.25">
      <c r="A96" t="s">
        <v>534</v>
      </c>
    </row>
    <row r="97" spans="1:1" x14ac:dyDescent="0.25">
      <c r="A97" t="s">
        <v>568</v>
      </c>
    </row>
    <row r="98" spans="1:1" x14ac:dyDescent="0.25">
      <c r="A98" t="s">
        <v>515</v>
      </c>
    </row>
    <row r="99" spans="1:1" x14ac:dyDescent="0.25">
      <c r="A99" t="s">
        <v>499</v>
      </c>
    </row>
    <row r="100" spans="1:1" x14ac:dyDescent="0.25">
      <c r="A100" t="s">
        <v>458</v>
      </c>
    </row>
    <row r="101" spans="1:1" x14ac:dyDescent="0.25">
      <c r="A101" t="s">
        <v>528</v>
      </c>
    </row>
    <row r="102" spans="1:1" x14ac:dyDescent="0.25">
      <c r="A102" t="s">
        <v>523</v>
      </c>
    </row>
    <row r="103" spans="1:1" x14ac:dyDescent="0.25">
      <c r="A103" t="s">
        <v>496</v>
      </c>
    </row>
    <row r="104" spans="1:1" x14ac:dyDescent="0.25">
      <c r="A104" t="s">
        <v>538</v>
      </c>
    </row>
    <row r="105" spans="1:1" x14ac:dyDescent="0.25">
      <c r="A105" t="s">
        <v>463</v>
      </c>
    </row>
    <row r="106" spans="1:1" x14ac:dyDescent="0.25">
      <c r="A106" t="s">
        <v>506</v>
      </c>
    </row>
    <row r="107" spans="1:1" x14ac:dyDescent="0.25">
      <c r="A107" t="s">
        <v>522</v>
      </c>
    </row>
    <row r="108" spans="1:1" x14ac:dyDescent="0.25">
      <c r="A108" t="s">
        <v>504</v>
      </c>
    </row>
    <row r="109" spans="1:1" x14ac:dyDescent="0.25">
      <c r="A109" t="s">
        <v>512</v>
      </c>
    </row>
    <row r="110" spans="1:1" x14ac:dyDescent="0.25">
      <c r="A110" t="s">
        <v>513</v>
      </c>
    </row>
    <row r="111" spans="1:1" x14ac:dyDescent="0.25">
      <c r="A111" t="s">
        <v>514</v>
      </c>
    </row>
    <row r="112" spans="1:1" x14ac:dyDescent="0.25">
      <c r="A112" t="s">
        <v>511</v>
      </c>
    </row>
    <row r="113" spans="1:1" x14ac:dyDescent="0.25">
      <c r="A113" t="s">
        <v>474</v>
      </c>
    </row>
  </sheetData>
  <autoFilter ref="A1:A113" xr:uid="{A544196A-C04A-4184-BEB0-494E7B9B2051}">
    <sortState xmlns:xlrd2="http://schemas.microsoft.com/office/spreadsheetml/2017/richdata2" ref="A2:A113">
      <sortCondition ref="A1:A113"/>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5CB36-1B68-4EED-A869-0F80BD7DAA3D}">
  <sheetPr codeName="Sheet4"/>
  <dimension ref="A1:AB308"/>
  <sheetViews>
    <sheetView showGridLines="0" showRowColHeaders="0" topLeftCell="L1" zoomScale="85" zoomScaleNormal="85" workbookViewId="0">
      <pane ySplit="3" topLeftCell="A4" activePane="bottomLeft" state="frozen"/>
      <selection pane="bottomLeft" activeCell="L2" sqref="L2:O2"/>
    </sheetView>
  </sheetViews>
  <sheetFormatPr defaultColWidth="0" defaultRowHeight="39.950000000000003" customHeight="1" zeroHeight="1" x14ac:dyDescent="0.25"/>
  <cols>
    <col min="1" max="2" width="9.140625" style="6" hidden="1" customWidth="1"/>
    <col min="3" max="3" width="11" style="6" hidden="1" customWidth="1"/>
    <col min="4" max="11" width="9.140625" style="6" hidden="1" customWidth="1"/>
    <col min="12" max="13" width="32.7109375" style="13" customWidth="1"/>
    <col min="14" max="14" width="48.7109375" style="15" customWidth="1"/>
    <col min="15" max="15" width="24.7109375" style="9" customWidth="1"/>
    <col min="16" max="16" width="9.140625" style="6" hidden="1" customWidth="1"/>
    <col min="17" max="17" width="9.140625" style="6" customWidth="1"/>
    <col min="18" max="18" width="9.140625" style="16" customWidth="1"/>
    <col min="19" max="28" width="9.140625" style="6" customWidth="1"/>
    <col min="29" max="16384" width="9.140625" style="6" hidden="1"/>
  </cols>
  <sheetData>
    <row r="1" spans="1:28" ht="39.950000000000003" customHeight="1" x14ac:dyDescent="0.25">
      <c r="L1" s="12"/>
      <c r="M1" s="12"/>
      <c r="N1" s="14"/>
      <c r="O1" s="8"/>
    </row>
    <row r="2" spans="1:28" ht="39.950000000000003" customHeight="1" x14ac:dyDescent="0.25">
      <c r="K2" s="7" t="e">
        <f>MATCH(L2,ArchiveResults!$E$4:$E$116,0)</f>
        <v>#N/A</v>
      </c>
      <c r="L2" s="226" t="s">
        <v>614</v>
      </c>
      <c r="M2" s="226"/>
      <c r="N2" s="226"/>
      <c r="O2" s="226"/>
    </row>
    <row r="3" spans="1:28" ht="39.950000000000003" customHeight="1" x14ac:dyDescent="0.25">
      <c r="L3" s="12"/>
      <c r="M3" s="12"/>
      <c r="N3" s="14"/>
      <c r="O3" s="8"/>
    </row>
    <row r="4" spans="1:28" ht="39.950000000000003" customHeight="1" x14ac:dyDescent="0.25">
      <c r="L4" s="19"/>
      <c r="M4" s="19"/>
      <c r="N4" s="20"/>
      <c r="O4" s="11"/>
      <c r="P4" s="10"/>
      <c r="Q4" s="10"/>
      <c r="S4" s="10"/>
      <c r="T4" s="10"/>
      <c r="U4" s="10"/>
      <c r="V4" s="10"/>
      <c r="W4" s="10"/>
      <c r="X4" s="10"/>
      <c r="Y4" s="10"/>
      <c r="Z4" s="10"/>
      <c r="AA4" s="10"/>
      <c r="AB4" s="10"/>
    </row>
    <row r="5" spans="1:28" ht="39.950000000000003" customHeight="1" x14ac:dyDescent="0.25">
      <c r="L5" s="19"/>
      <c r="M5" s="19"/>
      <c r="N5" s="20"/>
      <c r="O5" s="11"/>
      <c r="P5" s="10"/>
      <c r="Q5" s="10"/>
      <c r="S5" s="10"/>
      <c r="T5" s="10"/>
      <c r="U5" s="10"/>
      <c r="V5" s="10"/>
      <c r="W5" s="10"/>
      <c r="X5" s="10"/>
      <c r="Y5" s="10"/>
      <c r="Z5" s="10"/>
      <c r="AA5" s="10"/>
      <c r="AB5" s="10"/>
    </row>
    <row r="6" spans="1:28" ht="39.950000000000003" customHeight="1" x14ac:dyDescent="0.25">
      <c r="L6" s="228" t="s">
        <v>319</v>
      </c>
      <c r="M6" s="228" t="s">
        <v>324</v>
      </c>
      <c r="N6" s="227" t="s">
        <v>592</v>
      </c>
      <c r="O6" s="23" t="s">
        <v>392</v>
      </c>
      <c r="P6" s="24">
        <v>6</v>
      </c>
      <c r="Q6" s="25" t="e">
        <f>Y7</f>
        <v>#N/A</v>
      </c>
      <c r="S6" s="10"/>
      <c r="T6" s="10"/>
      <c r="U6" s="10"/>
      <c r="V6" s="10"/>
      <c r="W6" s="10"/>
      <c r="X6" s="10"/>
      <c r="Y6" s="11" t="s">
        <v>392</v>
      </c>
      <c r="Z6" s="11" t="s">
        <v>393</v>
      </c>
      <c r="AA6" s="10" t="s">
        <v>414</v>
      </c>
      <c r="AB6" s="10"/>
    </row>
    <row r="7" spans="1:28" ht="39.950000000000003" customHeight="1" x14ac:dyDescent="0.25">
      <c r="L7" s="228"/>
      <c r="M7" s="228"/>
      <c r="N7" s="227"/>
      <c r="O7" s="26" t="s">
        <v>393</v>
      </c>
      <c r="P7" s="27">
        <v>7</v>
      </c>
      <c r="Q7" s="28" t="e">
        <f>Z7</f>
        <v>#N/A</v>
      </c>
      <c r="S7" s="10"/>
      <c r="T7" s="10"/>
      <c r="U7" s="10"/>
      <c r="V7" s="10"/>
      <c r="W7" s="10"/>
      <c r="X7" s="11" t="str">
        <f>N6</f>
        <v>(a) Is this your first visit to any archive?</v>
      </c>
      <c r="Y7" s="10" t="e" cm="1">
        <f t="array" ref="Y7">INDEX(ArchiveResults!$A$4:$IX$116,IndividualReport!$K$2,IndividualReport!P6)</f>
        <v>#N/A</v>
      </c>
      <c r="Z7" s="10" t="e" cm="1">
        <f t="array" ref="Z7">INDEX(ArchiveResults!$A$4:$IX$116,IndividualReport!$K$2,IndividualReport!P7)</f>
        <v>#N/A</v>
      </c>
      <c r="AA7" s="10" t="e" cm="1">
        <f t="array" ref="AA7">INDEX(ArchiveResults!$A$4:$IX$116,IndividualReport!$K$2,IndividualReport!P8)</f>
        <v>#N/A</v>
      </c>
      <c r="AB7" s="10"/>
    </row>
    <row r="8" spans="1:28" ht="39.950000000000003" customHeight="1" x14ac:dyDescent="0.25">
      <c r="A8"/>
      <c r="B8"/>
      <c r="L8" s="228"/>
      <c r="M8" s="228"/>
      <c r="N8" s="227"/>
      <c r="O8" s="29" t="s">
        <v>414</v>
      </c>
      <c r="P8" s="30">
        <v>8</v>
      </c>
      <c r="Q8" s="31" t="e">
        <f>AA7</f>
        <v>#N/A</v>
      </c>
      <c r="S8" s="10"/>
      <c r="T8" s="10"/>
      <c r="U8" s="10"/>
      <c r="V8" s="10"/>
      <c r="W8" s="10"/>
      <c r="X8" s="11" t="str">
        <f>N10</f>
        <v>(b) If No at (a) above, have you visited this archive before?</v>
      </c>
      <c r="Y8" s="10" t="e" cm="1">
        <f t="array" ref="Y8">INDEX(ArchiveResults!$A$4:$IX$116,IndividualReport!$K$2,IndividualReport!P10)</f>
        <v>#N/A</v>
      </c>
      <c r="Z8" s="10" t="e" cm="1">
        <f t="array" ref="Z8">INDEX(ArchiveResults!$A$4:$IX$116,IndividualReport!$K$2,IndividualReport!P11)</f>
        <v>#N/A</v>
      </c>
      <c r="AA8" s="10" t="e" cm="1">
        <f t="array" ref="AA8">INDEX(ArchiveResults!$A$4:$IX$116,IndividualReport!$K$2,IndividualReport!P12)</f>
        <v>#N/A</v>
      </c>
      <c r="AB8" s="10"/>
    </row>
    <row r="9" spans="1:28" ht="39.950000000000003" customHeight="1" x14ac:dyDescent="0.25">
      <c r="A9"/>
      <c r="B9"/>
      <c r="L9" s="228"/>
      <c r="M9" s="228"/>
      <c r="N9" s="22"/>
      <c r="O9" s="32"/>
      <c r="P9" s="33"/>
      <c r="Q9" s="34"/>
      <c r="S9" s="10"/>
      <c r="T9" s="10"/>
      <c r="U9" s="10"/>
      <c r="V9" s="10"/>
      <c r="W9" s="10"/>
      <c r="X9" s="11" t="str">
        <f>N14</f>
        <v>(c) If Yes at (b) above, are you a regular user of this archive?</v>
      </c>
      <c r="Y9" s="10" t="e" cm="1">
        <f t="array" ref="Y9">INDEX(ArchiveResults!$A$4:$IX$116,IndividualReport!$K$2,IndividualReport!P14)</f>
        <v>#N/A</v>
      </c>
      <c r="Z9" s="10" t="e" cm="1">
        <f t="array" ref="Z9">INDEX(ArchiveResults!$A$4:$IX$116,IndividualReport!$K$2,IndividualReport!P15)</f>
        <v>#N/A</v>
      </c>
      <c r="AA9" s="10" t="e" cm="1">
        <f t="array" ref="AA9">INDEX(ArchiveResults!$A$4:$IX$116,IndividualReport!$K$2,IndividualReport!P16)</f>
        <v>#N/A</v>
      </c>
      <c r="AB9" s="10"/>
    </row>
    <row r="10" spans="1:28" ht="39.950000000000003" customHeight="1" x14ac:dyDescent="0.25">
      <c r="A10"/>
      <c r="B10"/>
      <c r="L10" s="228"/>
      <c r="M10" s="228"/>
      <c r="N10" s="227" t="s">
        <v>342</v>
      </c>
      <c r="O10" s="23" t="s">
        <v>392</v>
      </c>
      <c r="P10" s="24">
        <v>9</v>
      </c>
      <c r="Q10" s="25" t="e">
        <f>Y8</f>
        <v>#N/A</v>
      </c>
      <c r="S10" s="10"/>
      <c r="T10" s="10"/>
      <c r="U10" s="10"/>
      <c r="V10" s="10"/>
      <c r="W10" s="10"/>
      <c r="X10" s="10"/>
      <c r="Y10" s="10"/>
      <c r="Z10" s="10"/>
      <c r="AA10" s="10"/>
      <c r="AB10" s="10"/>
    </row>
    <row r="11" spans="1:28" ht="39.950000000000003" customHeight="1" x14ac:dyDescent="0.25">
      <c r="A11"/>
      <c r="B11"/>
      <c r="L11" s="228"/>
      <c r="M11" s="228"/>
      <c r="N11" s="227"/>
      <c r="O11" s="26" t="s">
        <v>393</v>
      </c>
      <c r="P11" s="27">
        <v>10</v>
      </c>
      <c r="Q11" s="28" t="e">
        <f>Z8</f>
        <v>#N/A</v>
      </c>
      <c r="S11" s="10"/>
      <c r="T11" s="10"/>
      <c r="U11" s="10"/>
      <c r="V11" s="10"/>
      <c r="W11" s="10"/>
      <c r="X11" s="10"/>
      <c r="Y11" s="10"/>
      <c r="Z11" s="10"/>
      <c r="AA11" s="10"/>
      <c r="AB11" s="10"/>
    </row>
    <row r="12" spans="1:28" ht="39.950000000000003" customHeight="1" x14ac:dyDescent="0.25">
      <c r="A12"/>
      <c r="B12"/>
      <c r="L12" s="228"/>
      <c r="M12" s="228"/>
      <c r="N12" s="227"/>
      <c r="O12" s="29" t="s">
        <v>414</v>
      </c>
      <c r="P12" s="30">
        <v>11</v>
      </c>
      <c r="Q12" s="31" t="e">
        <f>AA8</f>
        <v>#N/A</v>
      </c>
      <c r="S12" s="10"/>
      <c r="T12" s="10"/>
      <c r="U12" s="10"/>
      <c r="V12" s="10"/>
      <c r="W12" s="10"/>
      <c r="X12" s="10"/>
      <c r="Y12" s="10"/>
      <c r="Z12" s="10"/>
      <c r="AA12" s="10"/>
      <c r="AB12" s="10"/>
    </row>
    <row r="13" spans="1:28" ht="39.950000000000003" customHeight="1" x14ac:dyDescent="0.25">
      <c r="A13"/>
      <c r="B13"/>
      <c r="L13" s="228"/>
      <c r="M13" s="228"/>
      <c r="N13" s="22"/>
      <c r="O13" s="32"/>
      <c r="P13" s="33"/>
      <c r="Q13" s="34"/>
      <c r="S13" s="10"/>
      <c r="T13" s="10"/>
      <c r="U13" s="10"/>
      <c r="V13" s="10"/>
      <c r="W13" s="10"/>
      <c r="X13" s="10"/>
      <c r="Y13" s="10"/>
      <c r="Z13" s="10"/>
      <c r="AA13" s="10"/>
      <c r="AB13" s="10"/>
    </row>
    <row r="14" spans="1:28" ht="39.950000000000003" customHeight="1" x14ac:dyDescent="0.25">
      <c r="A14"/>
      <c r="B14"/>
      <c r="L14" s="228"/>
      <c r="M14" s="228"/>
      <c r="N14" s="227" t="s">
        <v>343</v>
      </c>
      <c r="O14" s="23" t="s">
        <v>392</v>
      </c>
      <c r="P14" s="24">
        <v>12</v>
      </c>
      <c r="Q14" s="25" t="e">
        <f>Y9</f>
        <v>#N/A</v>
      </c>
      <c r="S14" s="10"/>
      <c r="T14" s="10"/>
      <c r="U14" s="10"/>
      <c r="V14" s="10"/>
      <c r="W14" s="10"/>
      <c r="X14" s="10"/>
      <c r="Y14" s="10"/>
      <c r="Z14" s="10"/>
      <c r="AA14" s="10"/>
      <c r="AB14" s="10"/>
    </row>
    <row r="15" spans="1:28" ht="39.950000000000003" customHeight="1" x14ac:dyDescent="0.25">
      <c r="A15"/>
      <c r="B15"/>
      <c r="L15" s="228"/>
      <c r="M15" s="228"/>
      <c r="N15" s="227"/>
      <c r="O15" s="26" t="s">
        <v>393</v>
      </c>
      <c r="P15" s="27">
        <v>13</v>
      </c>
      <c r="Q15" s="28" t="e">
        <f>Z9</f>
        <v>#N/A</v>
      </c>
      <c r="S15" s="10"/>
      <c r="T15" s="10"/>
      <c r="U15" s="10"/>
      <c r="V15" s="10"/>
      <c r="W15" s="10"/>
      <c r="X15" s="10"/>
      <c r="Y15" s="10"/>
      <c r="Z15" s="10"/>
      <c r="AA15" s="10"/>
      <c r="AB15" s="10"/>
    </row>
    <row r="16" spans="1:28" ht="39.950000000000003" customHeight="1" x14ac:dyDescent="0.25">
      <c r="A16"/>
      <c r="B16"/>
      <c r="L16" s="228"/>
      <c r="M16" s="228"/>
      <c r="N16" s="227"/>
      <c r="O16" s="29" t="s">
        <v>414</v>
      </c>
      <c r="P16" s="30">
        <v>14</v>
      </c>
      <c r="Q16" s="31" t="e">
        <f>AA9</f>
        <v>#N/A</v>
      </c>
      <c r="S16" s="10"/>
      <c r="T16" s="10"/>
      <c r="U16" s="10"/>
      <c r="V16" s="10"/>
      <c r="W16" s="10"/>
      <c r="X16" s="10"/>
      <c r="Y16" s="10"/>
      <c r="Z16" s="10"/>
      <c r="AA16" s="10"/>
      <c r="AB16" s="10"/>
    </row>
    <row r="17" spans="1:28" ht="39.950000000000003" customHeight="1" x14ac:dyDescent="0.25">
      <c r="L17" s="21"/>
      <c r="M17" s="21"/>
      <c r="N17" s="22"/>
      <c r="O17" s="32"/>
      <c r="P17" s="33"/>
      <c r="Q17" s="34"/>
      <c r="S17" s="10"/>
      <c r="T17" s="10"/>
      <c r="U17" s="10"/>
      <c r="V17" s="10"/>
      <c r="W17" s="10"/>
      <c r="X17" s="10"/>
      <c r="Y17" s="10"/>
      <c r="Z17" s="10"/>
      <c r="AA17" s="10"/>
      <c r="AB17" s="10"/>
    </row>
    <row r="18" spans="1:28" ht="39.950000000000003" customHeight="1" x14ac:dyDescent="0.25">
      <c r="A18" s="7" t="e">
        <f>RANK(B18,$B$18:$B$26,1)</f>
        <v>#N/A</v>
      </c>
      <c r="B18" s="7" t="e">
        <f>(C18*D18)+E18</f>
        <v>#N/A</v>
      </c>
      <c r="C18" s="6">
        <v>1.0000000000000002E-8</v>
      </c>
      <c r="D18" s="7">
        <f>(COUNTIF($G$18:$G$26,G18)&gt;1)*1</f>
        <v>1</v>
      </c>
      <c r="E18" s="7" t="e">
        <f>RANK(G18,$G$18:$G$26)</f>
        <v>#N/A</v>
      </c>
      <c r="F18" s="8" t="s">
        <v>344</v>
      </c>
      <c r="G18" s="6" t="e" cm="1">
        <f t="array" ref="G18">INDEX(ArchiveResults!$A$4:$IX$116,IndividualReport!$K$2,IndividualReport!P18)</f>
        <v>#N/A</v>
      </c>
      <c r="H18" s="6">
        <v>1</v>
      </c>
      <c r="L18" s="228" t="s">
        <v>319</v>
      </c>
      <c r="M18" s="228" t="s">
        <v>325</v>
      </c>
      <c r="N18" s="35" t="e">
        <f t="shared" ref="N18:N26" si="0">INDEX($F$18:$F$26,MATCH(H18,$A$18:$A$26,0))</f>
        <v>#N/A</v>
      </c>
      <c r="O18" s="23" t="s">
        <v>395</v>
      </c>
      <c r="P18" s="24">
        <v>15</v>
      </c>
      <c r="Q18" s="25" t="e">
        <f t="shared" ref="Q18:Q26" si="1">INDEX($G$18:$G$26,MATCH(H18,$A$18:$A$26,0))</f>
        <v>#N/A</v>
      </c>
      <c r="S18" s="10"/>
      <c r="T18" s="10"/>
      <c r="U18" s="10"/>
      <c r="V18" s="10"/>
      <c r="W18" s="10"/>
      <c r="X18" s="10"/>
      <c r="Y18" s="10"/>
      <c r="Z18" s="10"/>
      <c r="AA18" s="10"/>
      <c r="AB18" s="10"/>
    </row>
    <row r="19" spans="1:28" ht="39.950000000000003" customHeight="1" x14ac:dyDescent="0.25">
      <c r="A19" s="7" t="e">
        <f t="shared" ref="A19:A26" si="2">RANK(B19,$B$18:$B$26,1)</f>
        <v>#N/A</v>
      </c>
      <c r="B19" s="7" t="e">
        <f t="shared" ref="B19:B26" si="3">(C19*D19)+E19</f>
        <v>#N/A</v>
      </c>
      <c r="C19" s="6">
        <v>1.0000000000000002E-7</v>
      </c>
      <c r="D19" s="7">
        <f t="shared" ref="D19:D26" si="4">(COUNTIF($G$18:$G$26,G19)&gt;1)*1</f>
        <v>1</v>
      </c>
      <c r="E19" s="7" t="e">
        <f t="shared" ref="E19:E26" si="5">RANK(G19,$G$18:$G$26)</f>
        <v>#N/A</v>
      </c>
      <c r="F19" s="8" t="s">
        <v>345</v>
      </c>
      <c r="G19" s="6" t="e" cm="1">
        <f t="array" ref="G19">INDEX(ArchiveResults!$A$4:$IX$116,IndividualReport!$K$2,IndividualReport!P19)</f>
        <v>#N/A</v>
      </c>
      <c r="H19" s="6">
        <v>2</v>
      </c>
      <c r="L19" s="228"/>
      <c r="M19" s="228"/>
      <c r="N19" s="36" t="e">
        <f t="shared" si="0"/>
        <v>#N/A</v>
      </c>
      <c r="O19" s="26" t="s">
        <v>395</v>
      </c>
      <c r="P19" s="27">
        <v>16</v>
      </c>
      <c r="Q19" s="28" t="e">
        <f t="shared" si="1"/>
        <v>#N/A</v>
      </c>
      <c r="S19" s="10"/>
      <c r="T19" s="10"/>
      <c r="U19" s="10"/>
      <c r="V19" s="10"/>
      <c r="W19" s="10"/>
      <c r="X19" s="10"/>
      <c r="Y19" s="10"/>
      <c r="Z19" s="10"/>
      <c r="AA19" s="10"/>
      <c r="AB19" s="10"/>
    </row>
    <row r="20" spans="1:28" ht="39.950000000000003" customHeight="1" x14ac:dyDescent="0.25">
      <c r="A20" s="7" t="e">
        <f t="shared" si="2"/>
        <v>#N/A</v>
      </c>
      <c r="B20" s="7" t="e">
        <f t="shared" si="3"/>
        <v>#N/A</v>
      </c>
      <c r="C20" s="6">
        <v>1.0000000000000002E-6</v>
      </c>
      <c r="D20" s="7">
        <f t="shared" si="4"/>
        <v>1</v>
      </c>
      <c r="E20" s="7" t="e">
        <f t="shared" si="5"/>
        <v>#N/A</v>
      </c>
      <c r="F20" s="8" t="s">
        <v>346</v>
      </c>
      <c r="G20" s="6" t="e" cm="1">
        <f t="array" ref="G20">INDEX(ArchiveResults!$A$4:$IX$116,IndividualReport!$K$2,IndividualReport!P20)</f>
        <v>#N/A</v>
      </c>
      <c r="H20" s="6">
        <v>3</v>
      </c>
      <c r="L20" s="228"/>
      <c r="M20" s="228"/>
      <c r="N20" s="36" t="e">
        <f t="shared" si="0"/>
        <v>#N/A</v>
      </c>
      <c r="O20" s="26" t="s">
        <v>395</v>
      </c>
      <c r="P20" s="27">
        <v>17</v>
      </c>
      <c r="Q20" s="28" t="e">
        <f t="shared" si="1"/>
        <v>#N/A</v>
      </c>
      <c r="S20" s="10"/>
      <c r="T20" s="10"/>
      <c r="U20" s="10"/>
      <c r="V20" s="10"/>
      <c r="W20" s="10"/>
      <c r="X20" s="10"/>
      <c r="Y20" s="10"/>
      <c r="Z20" s="10"/>
      <c r="AA20" s="10"/>
      <c r="AB20" s="10"/>
    </row>
    <row r="21" spans="1:28" ht="39.950000000000003" customHeight="1" x14ac:dyDescent="0.25">
      <c r="A21" s="7" t="e">
        <f t="shared" si="2"/>
        <v>#N/A</v>
      </c>
      <c r="B21" s="7" t="e">
        <f t="shared" si="3"/>
        <v>#N/A</v>
      </c>
      <c r="C21" s="6">
        <v>1E-3</v>
      </c>
      <c r="D21" s="7">
        <f t="shared" si="4"/>
        <v>1</v>
      </c>
      <c r="E21" s="7" t="e">
        <f t="shared" si="5"/>
        <v>#N/A</v>
      </c>
      <c r="F21" s="8" t="s">
        <v>347</v>
      </c>
      <c r="G21" s="6" t="e" cm="1">
        <f t="array" ref="G21">INDEX(ArchiveResults!$A$4:$IX$116,IndividualReport!$K$2,IndividualReport!P21)</f>
        <v>#N/A</v>
      </c>
      <c r="H21" s="6">
        <v>4</v>
      </c>
      <c r="L21" s="228"/>
      <c r="M21" s="228"/>
      <c r="N21" s="36" t="e">
        <f t="shared" si="0"/>
        <v>#N/A</v>
      </c>
      <c r="O21" s="26" t="s">
        <v>395</v>
      </c>
      <c r="P21" s="27">
        <v>18</v>
      </c>
      <c r="Q21" s="28" t="e">
        <f t="shared" si="1"/>
        <v>#N/A</v>
      </c>
      <c r="S21" s="10"/>
      <c r="T21" s="10"/>
      <c r="U21" s="10"/>
      <c r="V21" s="10"/>
      <c r="W21" s="10"/>
      <c r="X21" s="10"/>
      <c r="Y21" s="10"/>
      <c r="Z21" s="10"/>
      <c r="AA21" s="10"/>
      <c r="AB21" s="10"/>
    </row>
    <row r="22" spans="1:28" ht="39.950000000000003" customHeight="1" x14ac:dyDescent="0.25">
      <c r="A22" s="7" t="e">
        <f t="shared" si="2"/>
        <v>#N/A</v>
      </c>
      <c r="B22" s="7" t="e">
        <f t="shared" si="3"/>
        <v>#N/A</v>
      </c>
      <c r="C22" s="6">
        <v>1E-4</v>
      </c>
      <c r="D22" s="7">
        <f t="shared" si="4"/>
        <v>1</v>
      </c>
      <c r="E22" s="7" t="e">
        <f t="shared" si="5"/>
        <v>#N/A</v>
      </c>
      <c r="F22" s="8" t="s">
        <v>348</v>
      </c>
      <c r="G22" s="6" t="e" cm="1">
        <f t="array" ref="G22">INDEX(ArchiveResults!$A$4:$IX$116,IndividualReport!$K$2,IndividualReport!P22)</f>
        <v>#N/A</v>
      </c>
      <c r="H22" s="6">
        <v>5</v>
      </c>
      <c r="L22" s="228"/>
      <c r="M22" s="228"/>
      <c r="N22" s="36" t="e">
        <f t="shared" si="0"/>
        <v>#N/A</v>
      </c>
      <c r="O22" s="26" t="s">
        <v>395</v>
      </c>
      <c r="P22" s="27">
        <v>19</v>
      </c>
      <c r="Q22" s="28" t="e">
        <f t="shared" si="1"/>
        <v>#N/A</v>
      </c>
      <c r="S22" s="10"/>
      <c r="T22" s="10"/>
      <c r="U22" s="10"/>
      <c r="V22" s="10"/>
      <c r="W22" s="10"/>
      <c r="X22" s="10"/>
      <c r="Y22" s="10"/>
      <c r="Z22" s="10"/>
      <c r="AA22" s="10"/>
      <c r="AB22" s="10"/>
    </row>
    <row r="23" spans="1:28" ht="39.950000000000003" customHeight="1" x14ac:dyDescent="0.25">
      <c r="A23" s="7" t="e">
        <f t="shared" si="2"/>
        <v>#N/A</v>
      </c>
      <c r="B23" s="7" t="e">
        <f t="shared" si="3"/>
        <v>#N/A</v>
      </c>
      <c r="C23" s="6">
        <v>1.0000000000000001E-5</v>
      </c>
      <c r="D23" s="7">
        <f t="shared" si="4"/>
        <v>1</v>
      </c>
      <c r="E23" s="7" t="e">
        <f t="shared" si="5"/>
        <v>#N/A</v>
      </c>
      <c r="F23" s="8" t="s">
        <v>349</v>
      </c>
      <c r="G23" s="6" t="e" cm="1">
        <f t="array" ref="G23">INDEX(ArchiveResults!$A$4:$IX$116,IndividualReport!$K$2,IndividualReport!P23)</f>
        <v>#N/A</v>
      </c>
      <c r="H23" s="6">
        <v>6</v>
      </c>
      <c r="L23" s="228"/>
      <c r="M23" s="228"/>
      <c r="N23" s="36" t="e">
        <f t="shared" si="0"/>
        <v>#N/A</v>
      </c>
      <c r="O23" s="26" t="s">
        <v>395</v>
      </c>
      <c r="P23" s="27">
        <v>20</v>
      </c>
      <c r="Q23" s="28" t="e">
        <f t="shared" si="1"/>
        <v>#N/A</v>
      </c>
      <c r="S23" s="10"/>
      <c r="T23" s="10"/>
      <c r="U23" s="10"/>
      <c r="V23" s="10"/>
      <c r="W23" s="10"/>
      <c r="X23" s="10"/>
      <c r="Y23" s="10"/>
      <c r="Z23" s="10"/>
      <c r="AA23" s="10"/>
      <c r="AB23" s="10"/>
    </row>
    <row r="24" spans="1:28" ht="39.950000000000003" customHeight="1" x14ac:dyDescent="0.25">
      <c r="A24" s="7" t="e">
        <f t="shared" si="2"/>
        <v>#N/A</v>
      </c>
      <c r="B24" s="7" t="e">
        <f t="shared" si="3"/>
        <v>#N/A</v>
      </c>
      <c r="C24" s="6">
        <v>0.01</v>
      </c>
      <c r="D24" s="7">
        <f t="shared" si="4"/>
        <v>1</v>
      </c>
      <c r="E24" s="7" t="e">
        <f t="shared" si="5"/>
        <v>#N/A</v>
      </c>
      <c r="F24" s="8" t="s">
        <v>350</v>
      </c>
      <c r="G24" s="6" t="e" cm="1">
        <f t="array" ref="G24">INDEX(ArchiveResults!$A$4:$IX$116,IndividualReport!$K$2,IndividualReport!P24)</f>
        <v>#N/A</v>
      </c>
      <c r="H24" s="6">
        <v>7</v>
      </c>
      <c r="L24" s="228"/>
      <c r="M24" s="228"/>
      <c r="N24" s="36" t="e">
        <f t="shared" si="0"/>
        <v>#N/A</v>
      </c>
      <c r="O24" s="26" t="s">
        <v>395</v>
      </c>
      <c r="P24" s="27">
        <v>21</v>
      </c>
      <c r="Q24" s="28" t="e">
        <f t="shared" si="1"/>
        <v>#N/A</v>
      </c>
      <c r="S24" s="10"/>
      <c r="T24" s="10"/>
      <c r="U24" s="10"/>
      <c r="V24" s="10"/>
      <c r="W24" s="10"/>
      <c r="X24" s="10"/>
      <c r="Y24" s="10"/>
      <c r="Z24" s="10"/>
      <c r="AA24" s="10"/>
      <c r="AB24" s="10"/>
    </row>
    <row r="25" spans="1:28" ht="39.950000000000003" customHeight="1" x14ac:dyDescent="0.25">
      <c r="A25" s="7" t="e">
        <f t="shared" si="2"/>
        <v>#N/A</v>
      </c>
      <c r="B25" s="7" t="e">
        <f t="shared" si="3"/>
        <v>#N/A</v>
      </c>
      <c r="C25" s="6">
        <v>0.1</v>
      </c>
      <c r="D25" s="7">
        <f t="shared" si="4"/>
        <v>1</v>
      </c>
      <c r="E25" s="7" t="e">
        <f t="shared" si="5"/>
        <v>#N/A</v>
      </c>
      <c r="F25" s="8" t="s">
        <v>351</v>
      </c>
      <c r="G25" s="6" t="e" cm="1">
        <f t="array" ref="G25">INDEX(ArchiveResults!$A$4:$IX$116,IndividualReport!$K$2,IndividualReport!P25)</f>
        <v>#N/A</v>
      </c>
      <c r="H25" s="6">
        <v>8</v>
      </c>
      <c r="L25" s="228"/>
      <c r="M25" s="228"/>
      <c r="N25" s="36" t="e">
        <f t="shared" si="0"/>
        <v>#N/A</v>
      </c>
      <c r="O25" s="26" t="s">
        <v>395</v>
      </c>
      <c r="P25" s="27">
        <v>22</v>
      </c>
      <c r="Q25" s="28" t="e">
        <f t="shared" si="1"/>
        <v>#N/A</v>
      </c>
      <c r="S25" s="10"/>
      <c r="T25" s="10"/>
      <c r="U25" s="10"/>
      <c r="V25" s="10"/>
      <c r="W25" s="10"/>
      <c r="X25" s="10"/>
      <c r="Y25" s="10"/>
      <c r="Z25" s="10"/>
      <c r="AA25" s="10"/>
      <c r="AB25" s="10"/>
    </row>
    <row r="26" spans="1:28" ht="39.950000000000003" customHeight="1" x14ac:dyDescent="0.25">
      <c r="A26" s="7" t="e">
        <f t="shared" si="2"/>
        <v>#N/A</v>
      </c>
      <c r="B26" s="7" t="e">
        <f t="shared" si="3"/>
        <v>#N/A</v>
      </c>
      <c r="C26" s="6">
        <v>1</v>
      </c>
      <c r="D26" s="7">
        <f t="shared" si="4"/>
        <v>1</v>
      </c>
      <c r="E26" s="7" t="e">
        <f t="shared" si="5"/>
        <v>#N/A</v>
      </c>
      <c r="F26" s="8" t="s">
        <v>352</v>
      </c>
      <c r="G26" s="6" t="e" cm="1">
        <f t="array" ref="G26">INDEX(ArchiveResults!$A$4:$IX$116,IndividualReport!$K$2,IndividualReport!P26)</f>
        <v>#N/A</v>
      </c>
      <c r="H26" s="6">
        <v>9</v>
      </c>
      <c r="L26" s="228"/>
      <c r="M26" s="228"/>
      <c r="N26" s="36" t="e">
        <f t="shared" si="0"/>
        <v>#N/A</v>
      </c>
      <c r="O26" s="26" t="s">
        <v>395</v>
      </c>
      <c r="P26" s="27">
        <v>23</v>
      </c>
      <c r="Q26" s="28" t="e">
        <f t="shared" si="1"/>
        <v>#N/A</v>
      </c>
      <c r="S26" s="10"/>
      <c r="T26" s="10"/>
      <c r="U26" s="10"/>
      <c r="V26" s="10"/>
      <c r="W26" s="10"/>
      <c r="X26" s="10"/>
      <c r="Y26" s="10"/>
      <c r="Z26" s="10"/>
      <c r="AA26" s="10"/>
      <c r="AB26" s="10"/>
    </row>
    <row r="27" spans="1:28" ht="39.950000000000003" customHeight="1" x14ac:dyDescent="0.25">
      <c r="L27" s="228"/>
      <c r="M27" s="228"/>
      <c r="N27" s="36" t="s">
        <v>391</v>
      </c>
      <c r="O27" s="26" t="s">
        <v>395</v>
      </c>
      <c r="P27" s="27">
        <v>24</v>
      </c>
      <c r="Q27" s="28" t="e" cm="1">
        <f t="array" ref="Q27">INDEX(ArchiveResults!$A$4:$IX$116,IndividualReport!$K$2,IndividualReport!P27)</f>
        <v>#N/A</v>
      </c>
      <c r="S27" s="10"/>
      <c r="T27" s="10"/>
      <c r="U27" s="10"/>
      <c r="V27" s="10"/>
      <c r="W27" s="10"/>
      <c r="X27" s="10"/>
      <c r="Y27" s="10"/>
      <c r="Z27" s="10"/>
      <c r="AA27" s="10"/>
      <c r="AB27" s="10"/>
    </row>
    <row r="28" spans="1:28" ht="39.950000000000003" customHeight="1" x14ac:dyDescent="0.25">
      <c r="L28" s="228"/>
      <c r="M28" s="228"/>
      <c r="N28" s="37" t="s">
        <v>394</v>
      </c>
      <c r="O28" s="29" t="s">
        <v>413</v>
      </c>
      <c r="P28" s="30">
        <v>25</v>
      </c>
      <c r="Q28" s="31" t="e" cm="1">
        <f t="array" ref="Q28">INDEX(ArchiveResults!$A$4:$IX$116,IndividualReport!$K$2,IndividualReport!P28)</f>
        <v>#N/A</v>
      </c>
      <c r="S28" s="10"/>
      <c r="T28" s="10"/>
      <c r="U28" s="10"/>
      <c r="V28" s="10"/>
      <c r="W28" s="10"/>
      <c r="X28" s="10"/>
      <c r="Y28" s="10"/>
      <c r="Z28" s="10"/>
      <c r="AA28" s="10"/>
      <c r="AB28" s="10"/>
    </row>
    <row r="29" spans="1:28" ht="39.950000000000003" customHeight="1" x14ac:dyDescent="0.25">
      <c r="L29" s="21"/>
      <c r="M29" s="21"/>
      <c r="N29" s="22"/>
      <c r="O29" s="32"/>
      <c r="P29" s="33"/>
      <c r="Q29" s="34"/>
      <c r="S29" s="10"/>
      <c r="T29" s="10"/>
      <c r="U29" s="10"/>
      <c r="V29" s="10"/>
      <c r="W29" s="10"/>
      <c r="X29" s="10"/>
      <c r="Y29" s="10"/>
      <c r="Z29" s="10"/>
      <c r="AA29" s="10"/>
      <c r="AB29" s="10"/>
    </row>
    <row r="30" spans="1:28" ht="39.950000000000003" customHeight="1" x14ac:dyDescent="0.25">
      <c r="A30" s="7" t="e">
        <f>RANK(B30,$B$30:$B$34,1)</f>
        <v>#N/A</v>
      </c>
      <c r="B30" s="7" t="e">
        <f>(C30*D30)+E30</f>
        <v>#N/A</v>
      </c>
      <c r="C30" s="7">
        <v>1</v>
      </c>
      <c r="D30" s="7">
        <f>(COUNTIF($G$30:$G$34,G30)&gt;1)*1</f>
        <v>1</v>
      </c>
      <c r="E30" s="7" t="e">
        <f>RANK(G30,$G$30:$G$34)</f>
        <v>#N/A</v>
      </c>
      <c r="F30" s="8" t="s">
        <v>353</v>
      </c>
      <c r="G30" s="6" t="e" cm="1">
        <f t="array" ref="G30">INDEX(ArchiveResults!$A$4:$IX$116,IndividualReport!$K$2,IndividualReport!P30)</f>
        <v>#N/A</v>
      </c>
      <c r="H30" s="6">
        <v>1</v>
      </c>
      <c r="L30" s="228" t="s">
        <v>319</v>
      </c>
      <c r="M30" s="228" t="s">
        <v>326</v>
      </c>
      <c r="N30" s="35" t="e">
        <f>INDEX($F$30:$F$34,MATCH(H30,$A$30:$A$34,0))</f>
        <v>#N/A</v>
      </c>
      <c r="O30" s="23" t="s">
        <v>395</v>
      </c>
      <c r="P30" s="24">
        <v>26</v>
      </c>
      <c r="Q30" s="25" t="e">
        <f>INDEX($G$30:$G$34,MATCH(H30,$A$30:$A$34,0))</f>
        <v>#N/A</v>
      </c>
      <c r="S30" s="10"/>
      <c r="T30" s="10"/>
      <c r="U30" s="10"/>
      <c r="V30" s="10"/>
      <c r="W30" s="10"/>
      <c r="X30" s="10"/>
      <c r="Y30" s="10"/>
      <c r="Z30" s="10"/>
      <c r="AA30" s="10"/>
      <c r="AB30" s="10"/>
    </row>
    <row r="31" spans="1:28" ht="39.950000000000003" customHeight="1" x14ac:dyDescent="0.25">
      <c r="A31" s="7" t="e">
        <f t="shared" ref="A31:A34" si="6">RANK(B31,$B$30:$B$34,1)</f>
        <v>#N/A</v>
      </c>
      <c r="B31" s="7" t="e">
        <f t="shared" ref="B31:B34" si="7">(C31*D31)+E31</f>
        <v>#N/A</v>
      </c>
      <c r="C31" s="7">
        <v>1E-3</v>
      </c>
      <c r="D31" s="7">
        <f t="shared" ref="D31:D34" si="8">(COUNTIF($G$30:$G$34,G31)&gt;1)*1</f>
        <v>1</v>
      </c>
      <c r="E31" s="7" t="e">
        <f t="shared" ref="E31:E34" si="9">RANK(G31,$G$30:$G$34)</f>
        <v>#N/A</v>
      </c>
      <c r="F31" s="8" t="s">
        <v>354</v>
      </c>
      <c r="G31" s="6" t="e" cm="1">
        <f t="array" ref="G31">INDEX(ArchiveResults!$A$4:$IX$116,IndividualReport!$K$2,IndividualReport!P31)</f>
        <v>#N/A</v>
      </c>
      <c r="H31" s="6">
        <v>2</v>
      </c>
      <c r="L31" s="228"/>
      <c r="M31" s="228"/>
      <c r="N31" s="36" t="e">
        <f>INDEX($F$30:$F$34,MATCH(H31,$A$30:$A$34,0))</f>
        <v>#N/A</v>
      </c>
      <c r="O31" s="26" t="s">
        <v>395</v>
      </c>
      <c r="P31" s="27">
        <v>27</v>
      </c>
      <c r="Q31" s="28" t="e">
        <f>INDEX($G$30:$G$34,MATCH(H31,$A$30:$A$34,0))</f>
        <v>#N/A</v>
      </c>
      <c r="S31" s="10"/>
      <c r="T31" s="10"/>
      <c r="U31" s="10"/>
      <c r="V31" s="10"/>
      <c r="W31" s="10"/>
      <c r="X31" s="10"/>
      <c r="Y31" s="10"/>
      <c r="Z31" s="10"/>
      <c r="AA31" s="10"/>
      <c r="AB31" s="10"/>
    </row>
    <row r="32" spans="1:28" ht="39.950000000000003" customHeight="1" x14ac:dyDescent="0.25">
      <c r="A32" s="7" t="e">
        <f t="shared" si="6"/>
        <v>#N/A</v>
      </c>
      <c r="B32" s="7" t="e">
        <f t="shared" si="7"/>
        <v>#N/A</v>
      </c>
      <c r="C32" s="7">
        <v>1E-4</v>
      </c>
      <c r="D32" s="7">
        <f t="shared" si="8"/>
        <v>1</v>
      </c>
      <c r="E32" s="7" t="e">
        <f t="shared" si="9"/>
        <v>#N/A</v>
      </c>
      <c r="F32" s="8" t="s">
        <v>355</v>
      </c>
      <c r="G32" s="6" t="e" cm="1">
        <f t="array" ref="G32">INDEX(ArchiveResults!$A$4:$IX$116,IndividualReport!$K$2,IndividualReport!P32)</f>
        <v>#N/A</v>
      </c>
      <c r="H32" s="6">
        <v>3</v>
      </c>
      <c r="L32" s="228"/>
      <c r="M32" s="228"/>
      <c r="N32" s="36" t="e">
        <f>INDEX($F$30:$F$34,MATCH(H32,$A$30:$A$34,0))</f>
        <v>#N/A</v>
      </c>
      <c r="O32" s="26" t="s">
        <v>395</v>
      </c>
      <c r="P32" s="27">
        <v>28</v>
      </c>
      <c r="Q32" s="28" t="e">
        <f>INDEX($G$30:$G$34,MATCH(H32,$A$30:$A$34,0))</f>
        <v>#N/A</v>
      </c>
      <c r="S32" s="10"/>
      <c r="T32" s="10"/>
      <c r="U32" s="10"/>
      <c r="V32" s="10"/>
      <c r="W32" s="10"/>
      <c r="X32" s="10"/>
      <c r="Y32" s="10"/>
      <c r="Z32" s="10"/>
      <c r="AA32" s="10"/>
      <c r="AB32" s="10"/>
    </row>
    <row r="33" spans="1:28" ht="39.950000000000003" customHeight="1" x14ac:dyDescent="0.25">
      <c r="A33" s="7" t="e">
        <f t="shared" si="6"/>
        <v>#N/A</v>
      </c>
      <c r="B33" s="7" t="e">
        <f t="shared" si="7"/>
        <v>#N/A</v>
      </c>
      <c r="C33" s="7">
        <v>0.01</v>
      </c>
      <c r="D33" s="7">
        <f t="shared" si="8"/>
        <v>1</v>
      </c>
      <c r="E33" s="7" t="e">
        <f t="shared" si="9"/>
        <v>#N/A</v>
      </c>
      <c r="F33" s="8" t="s">
        <v>356</v>
      </c>
      <c r="G33" s="6" t="e" cm="1">
        <f t="array" ref="G33">INDEX(ArchiveResults!$A$4:$IX$116,IndividualReport!$K$2,IndividualReport!P33)</f>
        <v>#N/A</v>
      </c>
      <c r="H33" s="6">
        <v>4</v>
      </c>
      <c r="L33" s="228"/>
      <c r="M33" s="228"/>
      <c r="N33" s="36" t="e">
        <f>INDEX($F$30:$F$34,MATCH(H33,$A$30:$A$34,0))</f>
        <v>#N/A</v>
      </c>
      <c r="O33" s="26" t="s">
        <v>395</v>
      </c>
      <c r="P33" s="27">
        <v>29</v>
      </c>
      <c r="Q33" s="28" t="e">
        <f>INDEX($G$30:$G$34,MATCH(H33,$A$30:$A$34,0))</f>
        <v>#N/A</v>
      </c>
      <c r="S33" s="10"/>
      <c r="T33" s="10"/>
      <c r="U33" s="10"/>
      <c r="V33" s="10"/>
      <c r="W33" s="10"/>
      <c r="X33" s="10"/>
      <c r="Y33" s="10"/>
      <c r="Z33" s="10"/>
      <c r="AA33" s="10"/>
      <c r="AB33" s="10"/>
    </row>
    <row r="34" spans="1:28" ht="39.950000000000003" customHeight="1" x14ac:dyDescent="0.25">
      <c r="A34" s="7" t="e">
        <f t="shared" si="6"/>
        <v>#N/A</v>
      </c>
      <c r="B34" s="7" t="e">
        <f t="shared" si="7"/>
        <v>#N/A</v>
      </c>
      <c r="C34" s="7">
        <v>0.1</v>
      </c>
      <c r="D34" s="7">
        <f t="shared" si="8"/>
        <v>1</v>
      </c>
      <c r="E34" s="7" t="e">
        <f t="shared" si="9"/>
        <v>#N/A</v>
      </c>
      <c r="F34" s="8" t="s">
        <v>357</v>
      </c>
      <c r="G34" s="6" t="e" cm="1">
        <f t="array" ref="G34">INDEX(ArchiveResults!$A$4:$IX$116,IndividualReport!$K$2,IndividualReport!P34)</f>
        <v>#N/A</v>
      </c>
      <c r="H34" s="6">
        <v>5</v>
      </c>
      <c r="L34" s="228"/>
      <c r="M34" s="228"/>
      <c r="N34" s="36" t="e">
        <f>INDEX($F$30:$F$34,MATCH(H34,$A$30:$A$34,0))</f>
        <v>#N/A</v>
      </c>
      <c r="O34" s="26" t="s">
        <v>395</v>
      </c>
      <c r="P34" s="27">
        <v>30</v>
      </c>
      <c r="Q34" s="28" t="e">
        <f>INDEX($G$30:$G$34,MATCH(H34,$A$30:$A$34,0))</f>
        <v>#N/A</v>
      </c>
      <c r="S34" s="10"/>
      <c r="T34" s="10"/>
      <c r="U34" s="10"/>
      <c r="V34" s="10"/>
      <c r="W34" s="10"/>
      <c r="X34" s="10"/>
      <c r="Y34" s="10"/>
      <c r="Z34" s="10"/>
      <c r="AA34" s="10"/>
      <c r="AB34" s="10"/>
    </row>
    <row r="35" spans="1:28" ht="39.950000000000003" customHeight="1" x14ac:dyDescent="0.25">
      <c r="L35" s="228"/>
      <c r="M35" s="228"/>
      <c r="N35" s="36" t="s">
        <v>391</v>
      </c>
      <c r="O35" s="26" t="s">
        <v>395</v>
      </c>
      <c r="P35" s="27">
        <v>31</v>
      </c>
      <c r="Q35" s="28" t="e" cm="1">
        <f t="array" ref="Q35">INDEX(ArchiveResults!$A$4:$IX$116,IndividualReport!$K$2,IndividualReport!P35)</f>
        <v>#N/A</v>
      </c>
      <c r="S35" s="10"/>
      <c r="T35" s="10"/>
      <c r="U35" s="10"/>
      <c r="V35" s="10"/>
      <c r="W35" s="10"/>
      <c r="X35" s="10"/>
      <c r="Y35" s="10"/>
      <c r="Z35" s="10"/>
      <c r="AA35" s="10"/>
      <c r="AB35" s="10"/>
    </row>
    <row r="36" spans="1:28" ht="39.950000000000003" customHeight="1" x14ac:dyDescent="0.25">
      <c r="L36" s="228"/>
      <c r="M36" s="228"/>
      <c r="N36" s="37" t="s">
        <v>394</v>
      </c>
      <c r="O36" s="29" t="s">
        <v>413</v>
      </c>
      <c r="P36" s="30">
        <v>32</v>
      </c>
      <c r="Q36" s="31" t="e" cm="1">
        <f t="array" ref="Q36">INDEX(ArchiveResults!$A$4:$IX$116,IndividualReport!$K$2,IndividualReport!P36)</f>
        <v>#N/A</v>
      </c>
      <c r="S36" s="10"/>
      <c r="T36" s="10"/>
      <c r="U36" s="10"/>
      <c r="V36" s="10"/>
      <c r="W36" s="10"/>
      <c r="X36" s="10"/>
      <c r="Y36" s="10"/>
      <c r="Z36" s="10"/>
      <c r="AA36" s="10"/>
      <c r="AB36" s="10"/>
    </row>
    <row r="37" spans="1:28" ht="39.950000000000003" customHeight="1" x14ac:dyDescent="0.25">
      <c r="B37"/>
      <c r="C37"/>
      <c r="L37" s="21"/>
      <c r="M37" s="21"/>
      <c r="N37" s="22"/>
      <c r="O37" s="32"/>
      <c r="P37" s="33"/>
      <c r="Q37" s="34"/>
      <c r="S37" s="10"/>
      <c r="T37" s="10"/>
      <c r="U37" s="10"/>
      <c r="V37" s="10"/>
      <c r="W37" s="10"/>
      <c r="X37" s="10"/>
      <c r="Y37" s="10"/>
      <c r="Z37" s="10"/>
      <c r="AA37" s="10"/>
      <c r="AB37" s="10"/>
    </row>
    <row r="38" spans="1:28" ht="39.950000000000003" customHeight="1" x14ac:dyDescent="0.25">
      <c r="B38"/>
      <c r="C38"/>
      <c r="L38" s="228" t="s">
        <v>320</v>
      </c>
      <c r="M38" s="228" t="s">
        <v>449</v>
      </c>
      <c r="N38" s="231" t="s">
        <v>358</v>
      </c>
      <c r="O38" s="23" t="s">
        <v>396</v>
      </c>
      <c r="P38" s="24">
        <v>33</v>
      </c>
      <c r="Q38" s="38" t="e" cm="1">
        <f t="array" ref="Q38">INDEX(ArchiveResults!$A$4:$IX$116,IndividualReport!$K$2,IndividualReport!P38)</f>
        <v>#N/A</v>
      </c>
      <c r="R38" s="17" t="e">
        <f>10-Q38</f>
        <v>#N/A</v>
      </c>
      <c r="S38" s="10"/>
      <c r="T38" s="10"/>
      <c r="U38" s="10"/>
      <c r="V38" s="10"/>
      <c r="W38" s="10"/>
      <c r="X38" s="10"/>
      <c r="Y38" s="10"/>
      <c r="Z38" s="10"/>
      <c r="AA38" s="10"/>
      <c r="AB38" s="10"/>
    </row>
    <row r="39" spans="1:28" ht="39.950000000000003" customHeight="1" x14ac:dyDescent="0.25">
      <c r="B39"/>
      <c r="C39"/>
      <c r="L39" s="228"/>
      <c r="M39" s="228"/>
      <c r="N39" s="229"/>
      <c r="O39" s="26" t="s">
        <v>394</v>
      </c>
      <c r="P39" s="27">
        <v>34</v>
      </c>
      <c r="Q39" s="39" t="e" cm="1">
        <f t="array" ref="Q39">INDEX(ArchiveResults!$A$4:$IX$116,IndividualReport!$K$2,IndividualReport!P39)</f>
        <v>#N/A</v>
      </c>
      <c r="R39" s="18"/>
      <c r="S39" s="10"/>
      <c r="T39" s="10"/>
      <c r="U39" s="10"/>
      <c r="V39" s="10"/>
      <c r="W39" s="10"/>
      <c r="X39" s="10"/>
      <c r="Y39" s="10"/>
      <c r="Z39" s="10"/>
      <c r="AA39" s="10"/>
      <c r="AB39" s="10"/>
    </row>
    <row r="40" spans="1:28" ht="39.950000000000003" customHeight="1" x14ac:dyDescent="0.25">
      <c r="B40"/>
      <c r="C40"/>
      <c r="L40" s="228"/>
      <c r="M40" s="228"/>
      <c r="N40" s="229" t="s">
        <v>359</v>
      </c>
      <c r="O40" s="26" t="s">
        <v>396</v>
      </c>
      <c r="P40" s="27">
        <v>35</v>
      </c>
      <c r="Q40" s="40" t="e" cm="1">
        <f t="array" ref="Q40">INDEX(ArchiveResults!$A$4:$IX$116,IndividualReport!$K$2,IndividualReport!P40)</f>
        <v>#N/A</v>
      </c>
      <c r="R40" s="17" t="e">
        <f>10-Q40</f>
        <v>#N/A</v>
      </c>
      <c r="S40" s="10"/>
      <c r="T40" s="10"/>
      <c r="U40" s="10"/>
      <c r="V40" s="10"/>
      <c r="W40" s="10"/>
      <c r="X40" s="10"/>
      <c r="Y40" s="10"/>
      <c r="Z40" s="10"/>
      <c r="AA40" s="10"/>
      <c r="AB40" s="10"/>
    </row>
    <row r="41" spans="1:28" ht="39.950000000000003" customHeight="1" x14ac:dyDescent="0.25">
      <c r="B41"/>
      <c r="C41"/>
      <c r="L41" s="228"/>
      <c r="M41" s="228"/>
      <c r="N41" s="229"/>
      <c r="O41" s="26" t="s">
        <v>394</v>
      </c>
      <c r="P41" s="27">
        <v>36</v>
      </c>
      <c r="Q41" s="39" t="e" cm="1">
        <f t="array" ref="Q41">INDEX(ArchiveResults!$A$4:$IX$116,IndividualReport!$K$2,IndividualReport!P41)</f>
        <v>#N/A</v>
      </c>
      <c r="R41" s="18"/>
      <c r="S41" s="10"/>
      <c r="T41" s="10"/>
      <c r="U41" s="10"/>
      <c r="V41" s="10"/>
      <c r="W41" s="10"/>
      <c r="X41" s="10"/>
      <c r="Y41" s="10"/>
      <c r="Z41" s="10"/>
      <c r="AA41" s="10"/>
      <c r="AB41" s="10"/>
    </row>
    <row r="42" spans="1:28" ht="39.950000000000003" customHeight="1" x14ac:dyDescent="0.25">
      <c r="L42" s="228"/>
      <c r="M42" s="228"/>
      <c r="N42" s="229" t="s">
        <v>360</v>
      </c>
      <c r="O42" s="26" t="s">
        <v>396</v>
      </c>
      <c r="P42" s="27">
        <v>37</v>
      </c>
      <c r="Q42" s="40" t="e" cm="1">
        <f t="array" ref="Q42">INDEX(ArchiveResults!$A$4:$IX$116,IndividualReport!$K$2,IndividualReport!P42)</f>
        <v>#N/A</v>
      </c>
      <c r="R42" s="17" t="e">
        <f>10-Q42</f>
        <v>#N/A</v>
      </c>
      <c r="S42" s="10"/>
      <c r="T42" s="10"/>
      <c r="U42" s="10"/>
      <c r="V42" s="10"/>
      <c r="W42" s="10"/>
      <c r="X42" s="10"/>
      <c r="Y42" s="10"/>
      <c r="Z42" s="10"/>
      <c r="AA42" s="10"/>
      <c r="AB42" s="10"/>
    </row>
    <row r="43" spans="1:28" ht="39.950000000000003" customHeight="1" x14ac:dyDescent="0.25">
      <c r="L43" s="228"/>
      <c r="M43" s="228"/>
      <c r="N43" s="230"/>
      <c r="O43" s="29" t="s">
        <v>414</v>
      </c>
      <c r="P43" s="30">
        <v>38</v>
      </c>
      <c r="Q43" s="31" t="e" cm="1">
        <f t="array" ref="Q43">INDEX(ArchiveResults!$A$4:$IX$116,IndividualReport!$K$2,IndividualReport!P43)</f>
        <v>#N/A</v>
      </c>
      <c r="S43" s="10"/>
      <c r="T43" s="10"/>
      <c r="U43" s="10"/>
      <c r="V43" s="10"/>
      <c r="W43" s="10"/>
      <c r="X43" s="10"/>
      <c r="Y43" s="10"/>
      <c r="Z43" s="10"/>
      <c r="AA43" s="10"/>
      <c r="AB43" s="10"/>
    </row>
    <row r="44" spans="1:28" ht="39.950000000000003" customHeight="1" x14ac:dyDescent="0.25">
      <c r="L44" s="21"/>
      <c r="M44" s="21"/>
      <c r="N44" s="22"/>
      <c r="O44" s="32"/>
      <c r="P44" s="33"/>
      <c r="Q44" s="34"/>
      <c r="S44" s="10"/>
      <c r="T44" s="10"/>
      <c r="U44" s="10"/>
      <c r="V44" s="10"/>
      <c r="W44" s="10"/>
      <c r="X44" s="10"/>
      <c r="Y44" s="10"/>
      <c r="Z44" s="10"/>
      <c r="AA44" s="10"/>
      <c r="AB44" s="10"/>
    </row>
    <row r="45" spans="1:28" ht="39.950000000000003" customHeight="1" x14ac:dyDescent="0.25">
      <c r="L45" s="228" t="s">
        <v>320</v>
      </c>
      <c r="M45" s="228" t="s">
        <v>327</v>
      </c>
      <c r="N45" s="227" t="s">
        <v>361</v>
      </c>
      <c r="O45" s="23" t="s">
        <v>397</v>
      </c>
      <c r="P45" s="24">
        <v>39</v>
      </c>
      <c r="Q45" s="25" t="e" cm="1">
        <f t="array" ref="Q45">INDEX(ArchiveResults!$A$4:$IX$116,IndividualReport!$K$2,IndividualReport!P45)</f>
        <v>#N/A</v>
      </c>
      <c r="S45" s="10"/>
      <c r="T45" s="10"/>
      <c r="U45" s="10"/>
      <c r="V45" s="10"/>
      <c r="W45" s="10"/>
      <c r="X45" s="10"/>
      <c r="Y45" s="10"/>
      <c r="Z45" s="10"/>
      <c r="AA45" s="10"/>
      <c r="AB45" s="10"/>
    </row>
    <row r="46" spans="1:28" ht="39.950000000000003" customHeight="1" x14ac:dyDescent="0.25">
      <c r="L46" s="228"/>
      <c r="M46" s="228"/>
      <c r="N46" s="227"/>
      <c r="O46" s="26" t="s">
        <v>398</v>
      </c>
      <c r="P46" s="27">
        <v>40</v>
      </c>
      <c r="Q46" s="28" t="e" cm="1">
        <f t="array" ref="Q46">INDEX(ArchiveResults!$A$4:$IX$116,IndividualReport!$K$2,IndividualReport!P46)</f>
        <v>#N/A</v>
      </c>
      <c r="S46" s="10"/>
      <c r="T46" s="10"/>
      <c r="U46" s="10"/>
      <c r="V46" s="10"/>
      <c r="W46" s="10"/>
      <c r="X46" s="10"/>
      <c r="Y46" s="10"/>
      <c r="Z46" s="10"/>
      <c r="AA46" s="10"/>
      <c r="AB46" s="10"/>
    </row>
    <row r="47" spans="1:28" ht="39.950000000000003" customHeight="1" x14ac:dyDescent="0.25">
      <c r="L47" s="228"/>
      <c r="M47" s="228"/>
      <c r="N47" s="227"/>
      <c r="O47" s="26" t="s">
        <v>399</v>
      </c>
      <c r="P47" s="27">
        <v>41</v>
      </c>
      <c r="Q47" s="28" t="e" cm="1">
        <f t="array" ref="Q47">INDEX(ArchiveResults!$A$4:$IX$116,IndividualReport!$K$2,IndividualReport!P47)</f>
        <v>#N/A</v>
      </c>
      <c r="S47" s="10"/>
      <c r="T47" s="10"/>
      <c r="U47" s="10"/>
      <c r="V47" s="10"/>
      <c r="W47" s="10"/>
      <c r="X47" s="10"/>
      <c r="Y47" s="10"/>
      <c r="Z47" s="10"/>
      <c r="AA47" s="10"/>
      <c r="AB47" s="10"/>
    </row>
    <row r="48" spans="1:28" ht="39.950000000000003" customHeight="1" x14ac:dyDescent="0.25">
      <c r="L48" s="228"/>
      <c r="M48" s="228"/>
      <c r="N48" s="227"/>
      <c r="O48" s="26" t="s">
        <v>400</v>
      </c>
      <c r="P48" s="27">
        <v>42</v>
      </c>
      <c r="Q48" s="28" t="e" cm="1">
        <f t="array" ref="Q48">INDEX(ArchiveResults!$A$4:$IX$116,IndividualReport!$K$2,IndividualReport!P48)</f>
        <v>#N/A</v>
      </c>
      <c r="S48" s="10"/>
      <c r="T48" s="10"/>
      <c r="U48" s="10"/>
      <c r="V48" s="10"/>
      <c r="W48" s="10"/>
      <c r="X48" s="10"/>
      <c r="Y48" s="10"/>
      <c r="Z48" s="10"/>
      <c r="AA48" s="10"/>
      <c r="AB48" s="10"/>
    </row>
    <row r="49" spans="12:28" ht="39.950000000000003" customHeight="1" x14ac:dyDescent="0.25">
      <c r="L49" s="228"/>
      <c r="M49" s="228"/>
      <c r="N49" s="227"/>
      <c r="O49" s="26" t="s">
        <v>401</v>
      </c>
      <c r="P49" s="27">
        <v>43</v>
      </c>
      <c r="Q49" s="28" t="e" cm="1">
        <f t="array" ref="Q49">INDEX(ArchiveResults!$A$4:$IX$116,IndividualReport!$K$2,IndividualReport!P49)</f>
        <v>#N/A</v>
      </c>
      <c r="S49" s="10"/>
      <c r="T49" s="10"/>
      <c r="U49" s="10"/>
      <c r="V49" s="10"/>
      <c r="W49" s="10"/>
      <c r="X49" s="10"/>
      <c r="Y49" s="10"/>
      <c r="Z49" s="10"/>
      <c r="AA49" s="10"/>
      <c r="AB49" s="10"/>
    </row>
    <row r="50" spans="12:28" ht="39.950000000000003" customHeight="1" x14ac:dyDescent="0.25">
      <c r="L50" s="228"/>
      <c r="M50" s="228"/>
      <c r="N50" s="227"/>
      <c r="O50" s="29" t="s">
        <v>414</v>
      </c>
      <c r="P50" s="30">
        <v>44</v>
      </c>
      <c r="Q50" s="31" t="e" cm="1">
        <f t="array" ref="Q50">INDEX(ArchiveResults!$A$4:$IX$116,IndividualReport!$K$2,IndividualReport!P50)</f>
        <v>#N/A</v>
      </c>
      <c r="S50" s="10"/>
      <c r="T50" s="10"/>
      <c r="U50" s="10"/>
      <c r="V50" s="10"/>
      <c r="W50" s="10"/>
      <c r="X50" s="10"/>
      <c r="Y50" s="10"/>
      <c r="Z50" s="10"/>
      <c r="AA50" s="10"/>
      <c r="AB50" s="10"/>
    </row>
    <row r="51" spans="12:28" ht="39.950000000000003" customHeight="1" x14ac:dyDescent="0.25">
      <c r="L51" s="21"/>
      <c r="M51" s="21"/>
      <c r="N51" s="22"/>
      <c r="O51" s="32"/>
      <c r="P51" s="33"/>
      <c r="Q51" s="34"/>
      <c r="S51" s="10"/>
      <c r="T51" s="10"/>
      <c r="U51" s="10"/>
      <c r="V51" s="10"/>
      <c r="W51" s="10"/>
      <c r="X51" s="10"/>
      <c r="Y51" s="10"/>
      <c r="Z51" s="10"/>
      <c r="AA51" s="10"/>
      <c r="AB51" s="10"/>
    </row>
    <row r="52" spans="12:28" ht="39.950000000000003" customHeight="1" x14ac:dyDescent="0.25">
      <c r="L52" s="228" t="s">
        <v>320</v>
      </c>
      <c r="M52" s="228" t="s">
        <v>327</v>
      </c>
      <c r="N52" s="227" t="s">
        <v>362</v>
      </c>
      <c r="O52" s="23" t="s">
        <v>397</v>
      </c>
      <c r="P52" s="24">
        <v>45</v>
      </c>
      <c r="Q52" s="25" t="e" cm="1">
        <f t="array" ref="Q52">INDEX(ArchiveResults!$A$4:$IX$116,IndividualReport!$K$2,IndividualReport!P52)</f>
        <v>#N/A</v>
      </c>
      <c r="S52" s="10"/>
      <c r="T52" s="10"/>
      <c r="U52" s="10"/>
      <c r="V52" s="10"/>
      <c r="W52" s="10"/>
      <c r="X52" s="10"/>
      <c r="Y52" s="10"/>
      <c r="Z52" s="10"/>
      <c r="AA52" s="10"/>
      <c r="AB52" s="10"/>
    </row>
    <row r="53" spans="12:28" ht="39.950000000000003" customHeight="1" x14ac:dyDescent="0.25">
      <c r="L53" s="228"/>
      <c r="M53" s="228"/>
      <c r="N53" s="227"/>
      <c r="O53" s="26" t="s">
        <v>398</v>
      </c>
      <c r="P53" s="27">
        <v>46</v>
      </c>
      <c r="Q53" s="28" t="e" cm="1">
        <f t="array" ref="Q53">INDEX(ArchiveResults!$A$4:$IX$116,IndividualReport!$K$2,IndividualReport!P53)</f>
        <v>#N/A</v>
      </c>
      <c r="S53" s="10"/>
      <c r="T53" s="10"/>
      <c r="U53" s="10"/>
      <c r="V53" s="10"/>
      <c r="W53" s="10"/>
      <c r="X53" s="10"/>
      <c r="Y53" s="10"/>
      <c r="Z53" s="10"/>
      <c r="AA53" s="10"/>
      <c r="AB53" s="10"/>
    </row>
    <row r="54" spans="12:28" ht="39.950000000000003" customHeight="1" x14ac:dyDescent="0.25">
      <c r="L54" s="228"/>
      <c r="M54" s="228"/>
      <c r="N54" s="227"/>
      <c r="O54" s="26" t="s">
        <v>399</v>
      </c>
      <c r="P54" s="27">
        <v>47</v>
      </c>
      <c r="Q54" s="28" t="e" cm="1">
        <f t="array" ref="Q54">INDEX(ArchiveResults!$A$4:$IX$116,IndividualReport!$K$2,IndividualReport!P54)</f>
        <v>#N/A</v>
      </c>
      <c r="S54" s="10"/>
      <c r="T54" s="10"/>
      <c r="U54" s="10"/>
      <c r="V54" s="10"/>
      <c r="W54" s="10"/>
      <c r="X54" s="10"/>
      <c r="Y54" s="10"/>
      <c r="Z54" s="10"/>
      <c r="AA54" s="10"/>
      <c r="AB54" s="10"/>
    </row>
    <row r="55" spans="12:28" ht="39.950000000000003" customHeight="1" x14ac:dyDescent="0.25">
      <c r="L55" s="228"/>
      <c r="M55" s="228"/>
      <c r="N55" s="227"/>
      <c r="O55" s="26" t="s">
        <v>400</v>
      </c>
      <c r="P55" s="27">
        <v>48</v>
      </c>
      <c r="Q55" s="28" t="e" cm="1">
        <f t="array" ref="Q55">INDEX(ArchiveResults!$A$4:$IX$116,IndividualReport!$K$2,IndividualReport!P55)</f>
        <v>#N/A</v>
      </c>
      <c r="S55" s="10"/>
      <c r="T55" s="10"/>
      <c r="U55" s="10"/>
      <c r="V55" s="10"/>
      <c r="W55" s="10"/>
      <c r="X55" s="10"/>
      <c r="Y55" s="10"/>
      <c r="Z55" s="10"/>
      <c r="AA55" s="10"/>
      <c r="AB55" s="10"/>
    </row>
    <row r="56" spans="12:28" ht="39.950000000000003" customHeight="1" x14ac:dyDescent="0.25">
      <c r="L56" s="228"/>
      <c r="M56" s="228"/>
      <c r="N56" s="227"/>
      <c r="O56" s="26" t="s">
        <v>401</v>
      </c>
      <c r="P56" s="27">
        <v>49</v>
      </c>
      <c r="Q56" s="28" t="e" cm="1">
        <f t="array" ref="Q56">INDEX(ArchiveResults!$A$4:$IX$116,IndividualReport!$K$2,IndividualReport!P56)</f>
        <v>#N/A</v>
      </c>
      <c r="S56" s="10"/>
      <c r="T56" s="10"/>
      <c r="U56" s="10"/>
      <c r="V56" s="10"/>
      <c r="W56" s="10"/>
      <c r="X56" s="10"/>
      <c r="Y56" s="10"/>
      <c r="Z56" s="10"/>
      <c r="AA56" s="10"/>
      <c r="AB56" s="10"/>
    </row>
    <row r="57" spans="12:28" ht="39.950000000000003" customHeight="1" x14ac:dyDescent="0.25">
      <c r="L57" s="228"/>
      <c r="M57" s="228"/>
      <c r="N57" s="227"/>
      <c r="O57" s="29" t="s">
        <v>414</v>
      </c>
      <c r="P57" s="30">
        <v>50</v>
      </c>
      <c r="Q57" s="31" t="e" cm="1">
        <f t="array" ref="Q57">INDEX(ArchiveResults!$A$4:$IX$116,IndividualReport!$K$2,IndividualReport!P57)</f>
        <v>#N/A</v>
      </c>
      <c r="S57" s="10"/>
      <c r="T57" s="10"/>
      <c r="U57" s="10"/>
      <c r="V57" s="10"/>
      <c r="W57" s="10"/>
      <c r="X57" s="10"/>
      <c r="Y57" s="10"/>
      <c r="Z57" s="10"/>
      <c r="AA57" s="10"/>
      <c r="AB57" s="10"/>
    </row>
    <row r="58" spans="12:28" ht="39.950000000000003" customHeight="1" x14ac:dyDescent="0.25">
      <c r="L58" s="21"/>
      <c r="M58" s="21"/>
      <c r="N58" s="22"/>
      <c r="O58" s="32"/>
      <c r="P58" s="33"/>
      <c r="Q58" s="34"/>
      <c r="S58" s="10"/>
      <c r="T58" s="10"/>
      <c r="U58" s="10"/>
      <c r="V58" s="10"/>
      <c r="W58" s="10"/>
      <c r="X58" s="10"/>
      <c r="Y58" s="10"/>
      <c r="Z58" s="10"/>
      <c r="AA58" s="10"/>
      <c r="AB58" s="10"/>
    </row>
    <row r="59" spans="12:28" ht="39.950000000000003" customHeight="1" x14ac:dyDescent="0.25">
      <c r="L59" s="228" t="s">
        <v>320</v>
      </c>
      <c r="M59" s="228" t="s">
        <v>327</v>
      </c>
      <c r="N59" s="227" t="s">
        <v>363</v>
      </c>
      <c r="O59" s="23" t="s">
        <v>397</v>
      </c>
      <c r="P59" s="24">
        <v>51</v>
      </c>
      <c r="Q59" s="25" t="e" cm="1">
        <f t="array" ref="Q59">INDEX(ArchiveResults!$A$4:$IX$116,IndividualReport!$K$2,IndividualReport!P59)</f>
        <v>#N/A</v>
      </c>
      <c r="S59" s="10"/>
      <c r="T59" s="10"/>
      <c r="U59" s="10"/>
      <c r="V59" s="10"/>
      <c r="W59" s="10"/>
      <c r="X59" s="10"/>
      <c r="Y59" s="10"/>
      <c r="Z59" s="10"/>
      <c r="AA59" s="10"/>
      <c r="AB59" s="10"/>
    </row>
    <row r="60" spans="12:28" ht="39.950000000000003" customHeight="1" x14ac:dyDescent="0.25">
      <c r="L60" s="228"/>
      <c r="M60" s="228"/>
      <c r="N60" s="227"/>
      <c r="O60" s="26" t="s">
        <v>398</v>
      </c>
      <c r="P60" s="27">
        <v>52</v>
      </c>
      <c r="Q60" s="28" t="e" cm="1">
        <f t="array" ref="Q60">INDEX(ArchiveResults!$A$4:$IX$116,IndividualReport!$K$2,IndividualReport!P60)</f>
        <v>#N/A</v>
      </c>
      <c r="S60" s="10"/>
      <c r="T60" s="10"/>
      <c r="U60" s="10"/>
      <c r="V60" s="10"/>
      <c r="W60" s="10"/>
      <c r="X60" s="10"/>
      <c r="Y60" s="10"/>
      <c r="Z60" s="10"/>
      <c r="AA60" s="10"/>
      <c r="AB60" s="10"/>
    </row>
    <row r="61" spans="12:28" ht="39.950000000000003" customHeight="1" x14ac:dyDescent="0.25">
      <c r="L61" s="228"/>
      <c r="M61" s="228"/>
      <c r="N61" s="227"/>
      <c r="O61" s="26" t="s">
        <v>399</v>
      </c>
      <c r="P61" s="27">
        <v>53</v>
      </c>
      <c r="Q61" s="28" t="e" cm="1">
        <f t="array" ref="Q61">INDEX(ArchiveResults!$A$4:$IX$116,IndividualReport!$K$2,IndividualReport!P61)</f>
        <v>#N/A</v>
      </c>
      <c r="S61" s="10"/>
      <c r="T61" s="10"/>
      <c r="U61" s="10"/>
      <c r="V61" s="10"/>
      <c r="W61" s="10"/>
      <c r="X61" s="10"/>
      <c r="Y61" s="10"/>
      <c r="Z61" s="10"/>
      <c r="AA61" s="10"/>
      <c r="AB61" s="10"/>
    </row>
    <row r="62" spans="12:28" ht="39.950000000000003" customHeight="1" x14ac:dyDescent="0.25">
      <c r="L62" s="228"/>
      <c r="M62" s="228"/>
      <c r="N62" s="227"/>
      <c r="O62" s="26" t="s">
        <v>400</v>
      </c>
      <c r="P62" s="27">
        <v>54</v>
      </c>
      <c r="Q62" s="28" t="e" cm="1">
        <f t="array" ref="Q62">INDEX(ArchiveResults!$A$4:$IX$116,IndividualReport!$K$2,IndividualReport!P62)</f>
        <v>#N/A</v>
      </c>
      <c r="S62" s="10"/>
      <c r="T62" s="10"/>
      <c r="U62" s="10"/>
      <c r="V62" s="10"/>
      <c r="W62" s="10"/>
      <c r="X62" s="10"/>
      <c r="Y62" s="10"/>
      <c r="Z62" s="10"/>
      <c r="AA62" s="10"/>
      <c r="AB62" s="10"/>
    </row>
    <row r="63" spans="12:28" ht="39.950000000000003" customHeight="1" x14ac:dyDescent="0.25">
      <c r="L63" s="228"/>
      <c r="M63" s="228"/>
      <c r="N63" s="227"/>
      <c r="O63" s="26" t="s">
        <v>401</v>
      </c>
      <c r="P63" s="27">
        <v>55</v>
      </c>
      <c r="Q63" s="28" t="e" cm="1">
        <f t="array" ref="Q63">INDEX(ArchiveResults!$A$4:$IX$116,IndividualReport!$K$2,IndividualReport!P63)</f>
        <v>#N/A</v>
      </c>
      <c r="S63" s="10"/>
      <c r="T63" s="10"/>
      <c r="U63" s="10"/>
      <c r="V63" s="10"/>
      <c r="W63" s="10"/>
      <c r="X63" s="10"/>
      <c r="Y63" s="10"/>
      <c r="Z63" s="10"/>
      <c r="AA63" s="10"/>
      <c r="AB63" s="10"/>
    </row>
    <row r="64" spans="12:28" ht="39.950000000000003" customHeight="1" x14ac:dyDescent="0.25">
      <c r="L64" s="228"/>
      <c r="M64" s="228"/>
      <c r="N64" s="227"/>
      <c r="O64" s="29" t="s">
        <v>414</v>
      </c>
      <c r="P64" s="30">
        <v>56</v>
      </c>
      <c r="Q64" s="31" t="e" cm="1">
        <f t="array" ref="Q64">INDEX(ArchiveResults!$A$4:$IX$116,IndividualReport!$K$2,IndividualReport!P64)</f>
        <v>#N/A</v>
      </c>
      <c r="S64" s="10"/>
      <c r="T64" s="10"/>
      <c r="U64" s="10"/>
      <c r="V64" s="10"/>
      <c r="W64" s="10"/>
      <c r="X64" s="10"/>
      <c r="Y64" s="10"/>
      <c r="Z64" s="10"/>
      <c r="AA64" s="10"/>
      <c r="AB64" s="10"/>
    </row>
    <row r="65" spans="12:28" ht="39.950000000000003" customHeight="1" x14ac:dyDescent="0.25">
      <c r="L65" s="21"/>
      <c r="M65" s="21"/>
      <c r="N65" s="22"/>
      <c r="O65" s="32"/>
      <c r="P65" s="33"/>
      <c r="Q65" s="34"/>
      <c r="S65" s="10"/>
      <c r="T65" s="10"/>
      <c r="U65" s="10"/>
      <c r="V65" s="10"/>
      <c r="W65" s="10"/>
      <c r="X65" s="10"/>
      <c r="Y65" s="10"/>
      <c r="Z65" s="10"/>
      <c r="AA65" s="10"/>
      <c r="AB65" s="10"/>
    </row>
    <row r="66" spans="12:28" ht="39.950000000000003" customHeight="1" x14ac:dyDescent="0.25">
      <c r="L66" s="228" t="s">
        <v>320</v>
      </c>
      <c r="M66" s="228" t="s">
        <v>327</v>
      </c>
      <c r="N66" s="227" t="s">
        <v>364</v>
      </c>
      <c r="O66" s="23" t="s">
        <v>397</v>
      </c>
      <c r="P66" s="24">
        <v>57</v>
      </c>
      <c r="Q66" s="25" t="e" cm="1">
        <f t="array" ref="Q66">INDEX(ArchiveResults!$A$4:$IX$116,IndividualReport!$K$2,IndividualReport!P66)</f>
        <v>#N/A</v>
      </c>
      <c r="S66" s="10"/>
      <c r="T66" s="10"/>
      <c r="U66" s="10"/>
      <c r="V66" s="10"/>
      <c r="W66" s="10"/>
      <c r="X66" s="10"/>
      <c r="Y66" s="10"/>
      <c r="Z66" s="10"/>
      <c r="AA66" s="10"/>
      <c r="AB66" s="10"/>
    </row>
    <row r="67" spans="12:28" ht="39.950000000000003" customHeight="1" x14ac:dyDescent="0.25">
      <c r="L67" s="228"/>
      <c r="M67" s="228"/>
      <c r="N67" s="227"/>
      <c r="O67" s="26" t="s">
        <v>398</v>
      </c>
      <c r="P67" s="27">
        <v>58</v>
      </c>
      <c r="Q67" s="28" t="e" cm="1">
        <f t="array" ref="Q67">INDEX(ArchiveResults!$A$4:$IX$116,IndividualReport!$K$2,IndividualReport!P67)</f>
        <v>#N/A</v>
      </c>
      <c r="S67" s="10"/>
      <c r="T67" s="10"/>
      <c r="U67" s="10"/>
      <c r="V67" s="10"/>
      <c r="W67" s="10"/>
      <c r="X67" s="10"/>
      <c r="Y67" s="10"/>
      <c r="Z67" s="10"/>
      <c r="AA67" s="10"/>
      <c r="AB67" s="10"/>
    </row>
    <row r="68" spans="12:28" ht="39.950000000000003" customHeight="1" x14ac:dyDescent="0.25">
      <c r="L68" s="228"/>
      <c r="M68" s="228"/>
      <c r="N68" s="227"/>
      <c r="O68" s="26" t="s">
        <v>399</v>
      </c>
      <c r="P68" s="27">
        <v>59</v>
      </c>
      <c r="Q68" s="28" t="e" cm="1">
        <f t="array" ref="Q68">INDEX(ArchiveResults!$A$4:$IX$116,IndividualReport!$K$2,IndividualReport!P68)</f>
        <v>#N/A</v>
      </c>
      <c r="S68" s="10"/>
      <c r="T68" s="10"/>
      <c r="U68" s="10"/>
      <c r="V68" s="10"/>
      <c r="W68" s="10"/>
      <c r="X68" s="10"/>
      <c r="Y68" s="10"/>
      <c r="Z68" s="10"/>
      <c r="AA68" s="10"/>
      <c r="AB68" s="10"/>
    </row>
    <row r="69" spans="12:28" ht="39.950000000000003" customHeight="1" x14ac:dyDescent="0.25">
      <c r="L69" s="228"/>
      <c r="M69" s="228"/>
      <c r="N69" s="227"/>
      <c r="O69" s="26" t="s">
        <v>400</v>
      </c>
      <c r="P69" s="27">
        <v>60</v>
      </c>
      <c r="Q69" s="28" t="e" cm="1">
        <f t="array" ref="Q69">INDEX(ArchiveResults!$A$4:$IX$116,IndividualReport!$K$2,IndividualReport!P69)</f>
        <v>#N/A</v>
      </c>
      <c r="S69" s="10"/>
      <c r="T69" s="10"/>
      <c r="U69" s="10"/>
      <c r="V69" s="10"/>
      <c r="W69" s="10"/>
      <c r="X69" s="10"/>
      <c r="Y69" s="10"/>
      <c r="Z69" s="10"/>
      <c r="AA69" s="10"/>
      <c r="AB69" s="10"/>
    </row>
    <row r="70" spans="12:28" ht="39.950000000000003" customHeight="1" x14ac:dyDescent="0.25">
      <c r="L70" s="228"/>
      <c r="M70" s="228"/>
      <c r="N70" s="227"/>
      <c r="O70" s="26" t="s">
        <v>401</v>
      </c>
      <c r="P70" s="27">
        <v>61</v>
      </c>
      <c r="Q70" s="28" t="e" cm="1">
        <f t="array" ref="Q70">INDEX(ArchiveResults!$A$4:$IX$116,IndividualReport!$K$2,IndividualReport!P70)</f>
        <v>#N/A</v>
      </c>
      <c r="S70" s="10"/>
      <c r="T70" s="10"/>
      <c r="U70" s="10"/>
      <c r="V70" s="10"/>
      <c r="W70" s="10"/>
      <c r="X70" s="10"/>
      <c r="Y70" s="10"/>
      <c r="Z70" s="10"/>
      <c r="AA70" s="10"/>
      <c r="AB70" s="10"/>
    </row>
    <row r="71" spans="12:28" ht="39.950000000000003" customHeight="1" x14ac:dyDescent="0.25">
      <c r="L71" s="228"/>
      <c r="M71" s="228"/>
      <c r="N71" s="227"/>
      <c r="O71" s="29" t="s">
        <v>414</v>
      </c>
      <c r="P71" s="30">
        <v>62</v>
      </c>
      <c r="Q71" s="31" t="e" cm="1">
        <f t="array" ref="Q71">INDEX(ArchiveResults!$A$4:$IX$116,IndividualReport!$K$2,IndividualReport!P71)</f>
        <v>#N/A</v>
      </c>
      <c r="S71" s="10"/>
      <c r="T71" s="10"/>
      <c r="U71" s="10"/>
      <c r="V71" s="10"/>
      <c r="W71" s="10"/>
      <c r="X71" s="10"/>
      <c r="Y71" s="10"/>
      <c r="Z71" s="10"/>
      <c r="AA71" s="10"/>
      <c r="AB71" s="10"/>
    </row>
    <row r="72" spans="12:28" ht="39.950000000000003" customHeight="1" x14ac:dyDescent="0.25">
      <c r="L72" s="21"/>
      <c r="M72" s="21"/>
      <c r="N72" s="22"/>
      <c r="O72" s="32"/>
      <c r="P72" s="33"/>
      <c r="Q72" s="34"/>
      <c r="S72" s="10"/>
      <c r="T72" s="10"/>
      <c r="U72" s="10"/>
      <c r="V72" s="10"/>
      <c r="W72" s="10"/>
      <c r="X72" s="10"/>
      <c r="Y72" s="10"/>
      <c r="Z72" s="10"/>
      <c r="AA72" s="10"/>
      <c r="AB72" s="10"/>
    </row>
    <row r="73" spans="12:28" ht="39.950000000000003" customHeight="1" x14ac:dyDescent="0.25">
      <c r="L73" s="228" t="s">
        <v>320</v>
      </c>
      <c r="M73" s="228" t="s">
        <v>327</v>
      </c>
      <c r="N73" s="227" t="s">
        <v>365</v>
      </c>
      <c r="O73" s="23" t="s">
        <v>397</v>
      </c>
      <c r="P73" s="24">
        <v>63</v>
      </c>
      <c r="Q73" s="25" t="e" cm="1">
        <f t="array" ref="Q73">INDEX(ArchiveResults!$A$4:$IX$116,IndividualReport!$K$2,IndividualReport!P73)</f>
        <v>#N/A</v>
      </c>
      <c r="S73" s="10"/>
      <c r="T73" s="10"/>
      <c r="U73" s="10"/>
      <c r="V73" s="10"/>
      <c r="W73" s="10"/>
      <c r="X73" s="10"/>
      <c r="Y73" s="10"/>
      <c r="Z73" s="10"/>
      <c r="AA73" s="10"/>
      <c r="AB73" s="10"/>
    </row>
    <row r="74" spans="12:28" ht="39.950000000000003" customHeight="1" x14ac:dyDescent="0.25">
      <c r="L74" s="228"/>
      <c r="M74" s="228"/>
      <c r="N74" s="227"/>
      <c r="O74" s="26" t="s">
        <v>398</v>
      </c>
      <c r="P74" s="27">
        <v>64</v>
      </c>
      <c r="Q74" s="28" t="e" cm="1">
        <f t="array" ref="Q74">INDEX(ArchiveResults!$A$4:$IX$116,IndividualReport!$K$2,IndividualReport!P74)</f>
        <v>#N/A</v>
      </c>
      <c r="S74" s="10"/>
      <c r="T74" s="10"/>
      <c r="U74" s="10"/>
      <c r="V74" s="10"/>
      <c r="W74" s="10"/>
      <c r="X74" s="10"/>
      <c r="Y74" s="10"/>
      <c r="Z74" s="10"/>
      <c r="AA74" s="10"/>
      <c r="AB74" s="10"/>
    </row>
    <row r="75" spans="12:28" ht="39.950000000000003" customHeight="1" x14ac:dyDescent="0.25">
      <c r="L75" s="228"/>
      <c r="M75" s="228"/>
      <c r="N75" s="227"/>
      <c r="O75" s="26" t="s">
        <v>399</v>
      </c>
      <c r="P75" s="27">
        <v>65</v>
      </c>
      <c r="Q75" s="28" t="e" cm="1">
        <f t="array" ref="Q75">INDEX(ArchiveResults!$A$4:$IX$116,IndividualReport!$K$2,IndividualReport!P75)</f>
        <v>#N/A</v>
      </c>
      <c r="S75" s="10"/>
      <c r="T75" s="10"/>
      <c r="U75" s="10"/>
      <c r="V75" s="10"/>
      <c r="W75" s="10"/>
      <c r="X75" s="10"/>
      <c r="Y75" s="10"/>
      <c r="Z75" s="10"/>
      <c r="AA75" s="10"/>
      <c r="AB75" s="10"/>
    </row>
    <row r="76" spans="12:28" ht="39.950000000000003" customHeight="1" x14ac:dyDescent="0.25">
      <c r="L76" s="228"/>
      <c r="M76" s="228"/>
      <c r="N76" s="227"/>
      <c r="O76" s="26" t="s">
        <v>400</v>
      </c>
      <c r="P76" s="27">
        <v>66</v>
      </c>
      <c r="Q76" s="28" t="e" cm="1">
        <f t="array" ref="Q76">INDEX(ArchiveResults!$A$4:$IX$116,IndividualReport!$K$2,IndividualReport!P76)</f>
        <v>#N/A</v>
      </c>
      <c r="S76" s="10"/>
      <c r="T76" s="10"/>
      <c r="U76" s="10"/>
      <c r="V76" s="10"/>
      <c r="W76" s="10"/>
      <c r="X76" s="10"/>
      <c r="Y76" s="10"/>
      <c r="Z76" s="10"/>
      <c r="AA76" s="10"/>
      <c r="AB76" s="10"/>
    </row>
    <row r="77" spans="12:28" ht="39.950000000000003" customHeight="1" x14ac:dyDescent="0.25">
      <c r="L77" s="228"/>
      <c r="M77" s="228"/>
      <c r="N77" s="227"/>
      <c r="O77" s="26" t="s">
        <v>401</v>
      </c>
      <c r="P77" s="27">
        <v>67</v>
      </c>
      <c r="Q77" s="28" t="e" cm="1">
        <f t="array" ref="Q77">INDEX(ArchiveResults!$A$4:$IX$116,IndividualReport!$K$2,IndividualReport!P77)</f>
        <v>#N/A</v>
      </c>
      <c r="S77" s="10"/>
      <c r="T77" s="10"/>
      <c r="U77" s="10"/>
      <c r="V77" s="10"/>
      <c r="W77" s="10"/>
      <c r="X77" s="10"/>
      <c r="Y77" s="10"/>
      <c r="Z77" s="10"/>
      <c r="AA77" s="10"/>
      <c r="AB77" s="10"/>
    </row>
    <row r="78" spans="12:28" ht="39.950000000000003" customHeight="1" x14ac:dyDescent="0.25">
      <c r="L78" s="228"/>
      <c r="M78" s="228"/>
      <c r="N78" s="227"/>
      <c r="O78" s="29" t="s">
        <v>414</v>
      </c>
      <c r="P78" s="30">
        <v>68</v>
      </c>
      <c r="Q78" s="31" t="e" cm="1">
        <f t="array" ref="Q78">INDEX(ArchiveResults!$A$4:$IX$116,IndividualReport!$K$2,IndividualReport!P78)</f>
        <v>#N/A</v>
      </c>
      <c r="S78" s="10"/>
      <c r="T78" s="10"/>
      <c r="U78" s="10"/>
      <c r="V78" s="10"/>
      <c r="W78" s="10"/>
      <c r="X78" s="10"/>
      <c r="Y78" s="10"/>
      <c r="Z78" s="10"/>
      <c r="AA78" s="10"/>
      <c r="AB78" s="10"/>
    </row>
    <row r="79" spans="12:28" ht="39.950000000000003" customHeight="1" x14ac:dyDescent="0.25">
      <c r="L79" s="21"/>
      <c r="M79" s="21"/>
      <c r="N79" s="22"/>
      <c r="O79" s="32"/>
      <c r="P79" s="33"/>
      <c r="Q79" s="34"/>
      <c r="S79" s="10"/>
      <c r="T79" s="10"/>
      <c r="U79" s="10"/>
      <c r="V79" s="10"/>
      <c r="W79" s="10"/>
      <c r="X79" s="10"/>
      <c r="Y79" s="10"/>
      <c r="Z79" s="10"/>
      <c r="AA79" s="10"/>
      <c r="AB79" s="10"/>
    </row>
    <row r="80" spans="12:28" ht="39.950000000000003" customHeight="1" x14ac:dyDescent="0.25">
      <c r="L80" s="228" t="s">
        <v>320</v>
      </c>
      <c r="M80" s="228" t="s">
        <v>327</v>
      </c>
      <c r="N80" s="227" t="s">
        <v>366</v>
      </c>
      <c r="O80" s="23" t="s">
        <v>397</v>
      </c>
      <c r="P80" s="24">
        <v>69</v>
      </c>
      <c r="Q80" s="25" t="e" cm="1">
        <f t="array" ref="Q80">INDEX(ArchiveResults!$A$4:$IX$116,IndividualReport!$K$2,IndividualReport!P80)</f>
        <v>#N/A</v>
      </c>
      <c r="S80" s="10"/>
      <c r="T80" s="10"/>
      <c r="U80" s="10"/>
      <c r="V80" s="10"/>
      <c r="W80" s="10"/>
      <c r="X80" s="10"/>
      <c r="Y80" s="10"/>
      <c r="Z80" s="10"/>
      <c r="AA80" s="10"/>
      <c r="AB80" s="10"/>
    </row>
    <row r="81" spans="12:28" ht="39.950000000000003" customHeight="1" x14ac:dyDescent="0.25">
      <c r="L81" s="228"/>
      <c r="M81" s="228"/>
      <c r="N81" s="227"/>
      <c r="O81" s="26" t="s">
        <v>398</v>
      </c>
      <c r="P81" s="27">
        <v>70</v>
      </c>
      <c r="Q81" s="28" t="e" cm="1">
        <f t="array" ref="Q81">INDEX(ArchiveResults!$A$4:$IX$116,IndividualReport!$K$2,IndividualReport!P81)</f>
        <v>#N/A</v>
      </c>
      <c r="S81" s="10"/>
      <c r="T81" s="10"/>
      <c r="U81" s="10"/>
      <c r="V81" s="10"/>
      <c r="W81" s="10"/>
      <c r="X81" s="10"/>
      <c r="Y81" s="10"/>
      <c r="Z81" s="10"/>
      <c r="AA81" s="10"/>
      <c r="AB81" s="10"/>
    </row>
    <row r="82" spans="12:28" ht="39.950000000000003" customHeight="1" x14ac:dyDescent="0.25">
      <c r="L82" s="228"/>
      <c r="M82" s="228"/>
      <c r="N82" s="227"/>
      <c r="O82" s="26" t="s">
        <v>399</v>
      </c>
      <c r="P82" s="27">
        <v>71</v>
      </c>
      <c r="Q82" s="28" t="e" cm="1">
        <f t="array" ref="Q82">INDEX(ArchiveResults!$A$4:$IX$116,IndividualReport!$K$2,IndividualReport!P82)</f>
        <v>#N/A</v>
      </c>
      <c r="S82" s="10"/>
      <c r="T82" s="10"/>
      <c r="U82" s="10"/>
      <c r="V82" s="10"/>
      <c r="W82" s="10"/>
      <c r="X82" s="10"/>
      <c r="Y82" s="10"/>
      <c r="Z82" s="10"/>
      <c r="AA82" s="10"/>
      <c r="AB82" s="10"/>
    </row>
    <row r="83" spans="12:28" ht="39.950000000000003" customHeight="1" x14ac:dyDescent="0.25">
      <c r="L83" s="228"/>
      <c r="M83" s="228"/>
      <c r="N83" s="227"/>
      <c r="O83" s="26" t="s">
        <v>400</v>
      </c>
      <c r="P83" s="27">
        <v>72</v>
      </c>
      <c r="Q83" s="28" t="e" cm="1">
        <f t="array" ref="Q83">INDEX(ArchiveResults!$A$4:$IX$116,IndividualReport!$K$2,IndividualReport!P83)</f>
        <v>#N/A</v>
      </c>
      <c r="S83" s="10"/>
      <c r="T83" s="10"/>
      <c r="U83" s="10"/>
      <c r="V83" s="10"/>
      <c r="W83" s="10"/>
      <c r="X83" s="10"/>
      <c r="Y83" s="10"/>
      <c r="Z83" s="10"/>
      <c r="AA83" s="10"/>
      <c r="AB83" s="10"/>
    </row>
    <row r="84" spans="12:28" ht="39.950000000000003" customHeight="1" x14ac:dyDescent="0.25">
      <c r="L84" s="228"/>
      <c r="M84" s="228"/>
      <c r="N84" s="227"/>
      <c r="O84" s="26" t="s">
        <v>401</v>
      </c>
      <c r="P84" s="27">
        <v>73</v>
      </c>
      <c r="Q84" s="28" t="e" cm="1">
        <f t="array" ref="Q84">INDEX(ArchiveResults!$A$4:$IX$116,IndividualReport!$K$2,IndividualReport!P84)</f>
        <v>#N/A</v>
      </c>
      <c r="S84" s="10"/>
      <c r="T84" s="10"/>
      <c r="U84" s="10"/>
      <c r="V84" s="10"/>
      <c r="W84" s="10"/>
      <c r="X84" s="10"/>
      <c r="Y84" s="10"/>
      <c r="Z84" s="10"/>
      <c r="AA84" s="10"/>
      <c r="AB84" s="10"/>
    </row>
    <row r="85" spans="12:28" ht="39.950000000000003" customHeight="1" x14ac:dyDescent="0.25">
      <c r="L85" s="228"/>
      <c r="M85" s="228"/>
      <c r="N85" s="227"/>
      <c r="O85" s="29" t="s">
        <v>414</v>
      </c>
      <c r="P85" s="30">
        <v>74</v>
      </c>
      <c r="Q85" s="31" t="e" cm="1">
        <f t="array" ref="Q85">INDEX(ArchiveResults!$A$4:$IX$116,IndividualReport!$K$2,IndividualReport!P85)</f>
        <v>#N/A</v>
      </c>
      <c r="S85" s="10"/>
      <c r="T85" s="10"/>
      <c r="U85" s="10"/>
      <c r="V85" s="10"/>
      <c r="W85" s="10"/>
      <c r="X85" s="10"/>
      <c r="Y85" s="10"/>
      <c r="Z85" s="10"/>
      <c r="AA85" s="10"/>
      <c r="AB85" s="10"/>
    </row>
    <row r="86" spans="12:28" ht="39.950000000000003" customHeight="1" x14ac:dyDescent="0.25">
      <c r="L86" s="21"/>
      <c r="M86" s="21"/>
      <c r="N86" s="22"/>
      <c r="O86" s="32"/>
      <c r="P86" s="33"/>
      <c r="Q86" s="34"/>
      <c r="S86" s="10"/>
      <c r="T86" s="10"/>
      <c r="U86" s="10"/>
      <c r="V86" s="10"/>
      <c r="W86" s="10"/>
      <c r="X86" s="10"/>
      <c r="Y86" s="10"/>
      <c r="Z86" s="10"/>
      <c r="AA86" s="10"/>
      <c r="AB86" s="10"/>
    </row>
    <row r="87" spans="12:28" ht="39.950000000000003" customHeight="1" x14ac:dyDescent="0.25">
      <c r="L87" s="228" t="s">
        <v>320</v>
      </c>
      <c r="M87" s="228" t="s">
        <v>327</v>
      </c>
      <c r="N87" s="227" t="s">
        <v>367</v>
      </c>
      <c r="O87" s="23" t="s">
        <v>397</v>
      </c>
      <c r="P87" s="24">
        <v>75</v>
      </c>
      <c r="Q87" s="25" t="e" cm="1">
        <f t="array" ref="Q87">INDEX(ArchiveResults!$A$4:$IX$116,IndividualReport!$K$2,IndividualReport!P87)</f>
        <v>#N/A</v>
      </c>
      <c r="S87" s="10"/>
      <c r="T87" s="10"/>
      <c r="U87" s="10"/>
      <c r="V87" s="10"/>
      <c r="W87" s="10"/>
      <c r="X87" s="10"/>
      <c r="Y87" s="10"/>
      <c r="Z87" s="10"/>
      <c r="AA87" s="10"/>
      <c r="AB87" s="10"/>
    </row>
    <row r="88" spans="12:28" ht="39.950000000000003" customHeight="1" x14ac:dyDescent="0.25">
      <c r="L88" s="228"/>
      <c r="M88" s="228"/>
      <c r="N88" s="227"/>
      <c r="O88" s="26" t="s">
        <v>398</v>
      </c>
      <c r="P88" s="27">
        <v>76</v>
      </c>
      <c r="Q88" s="28" t="e" cm="1">
        <f t="array" ref="Q88">INDEX(ArchiveResults!$A$4:$IX$116,IndividualReport!$K$2,IndividualReport!P88)</f>
        <v>#N/A</v>
      </c>
      <c r="S88" s="10"/>
      <c r="T88" s="10"/>
      <c r="U88" s="10"/>
      <c r="V88" s="10"/>
      <c r="W88" s="10"/>
      <c r="X88" s="10"/>
      <c r="Y88" s="10"/>
      <c r="Z88" s="10"/>
      <c r="AA88" s="10"/>
      <c r="AB88" s="10"/>
    </row>
    <row r="89" spans="12:28" ht="39.950000000000003" customHeight="1" x14ac:dyDescent="0.25">
      <c r="L89" s="228"/>
      <c r="M89" s="228"/>
      <c r="N89" s="227"/>
      <c r="O89" s="26" t="s">
        <v>399</v>
      </c>
      <c r="P89" s="27">
        <v>77</v>
      </c>
      <c r="Q89" s="28" t="e" cm="1">
        <f t="array" ref="Q89">INDEX(ArchiveResults!$A$4:$IX$116,IndividualReport!$K$2,IndividualReport!P89)</f>
        <v>#N/A</v>
      </c>
      <c r="S89" s="10"/>
      <c r="T89" s="10"/>
      <c r="U89" s="10"/>
      <c r="V89" s="10"/>
      <c r="W89" s="10"/>
      <c r="X89" s="10"/>
      <c r="Y89" s="10"/>
      <c r="Z89" s="10"/>
      <c r="AA89" s="10"/>
      <c r="AB89" s="10"/>
    </row>
    <row r="90" spans="12:28" ht="39.950000000000003" customHeight="1" x14ac:dyDescent="0.25">
      <c r="L90" s="228"/>
      <c r="M90" s="228"/>
      <c r="N90" s="227"/>
      <c r="O90" s="26" t="s">
        <v>400</v>
      </c>
      <c r="P90" s="27">
        <v>78</v>
      </c>
      <c r="Q90" s="28" t="e" cm="1">
        <f t="array" ref="Q90">INDEX(ArchiveResults!$A$4:$IX$116,IndividualReport!$K$2,IndividualReport!P90)</f>
        <v>#N/A</v>
      </c>
      <c r="S90" s="10"/>
      <c r="T90" s="10"/>
      <c r="U90" s="10"/>
      <c r="V90" s="10"/>
      <c r="W90" s="10"/>
      <c r="X90" s="10"/>
      <c r="Y90" s="10"/>
      <c r="Z90" s="10"/>
      <c r="AA90" s="10"/>
      <c r="AB90" s="10"/>
    </row>
    <row r="91" spans="12:28" ht="39.950000000000003" customHeight="1" x14ac:dyDescent="0.25">
      <c r="L91" s="228"/>
      <c r="M91" s="228"/>
      <c r="N91" s="227"/>
      <c r="O91" s="26" t="s">
        <v>401</v>
      </c>
      <c r="P91" s="27">
        <v>79</v>
      </c>
      <c r="Q91" s="28" t="e" cm="1">
        <f t="array" ref="Q91">INDEX(ArchiveResults!$A$4:$IX$116,IndividualReport!$K$2,IndividualReport!P91)</f>
        <v>#N/A</v>
      </c>
      <c r="S91" s="10"/>
      <c r="T91" s="10"/>
      <c r="U91" s="10"/>
      <c r="V91" s="10"/>
      <c r="W91" s="10"/>
      <c r="X91" s="10"/>
      <c r="Y91" s="10"/>
      <c r="Z91" s="10"/>
      <c r="AA91" s="10"/>
      <c r="AB91" s="10"/>
    </row>
    <row r="92" spans="12:28" ht="39.950000000000003" customHeight="1" x14ac:dyDescent="0.25">
      <c r="L92" s="228"/>
      <c r="M92" s="228"/>
      <c r="N92" s="227"/>
      <c r="O92" s="29" t="s">
        <v>414</v>
      </c>
      <c r="P92" s="30">
        <v>80</v>
      </c>
      <c r="Q92" s="31" t="e" cm="1">
        <f t="array" ref="Q92">INDEX(ArchiveResults!$A$4:$IX$116,IndividualReport!$K$2,IndividualReport!P92)</f>
        <v>#N/A</v>
      </c>
      <c r="S92" s="10"/>
      <c r="T92" s="10"/>
      <c r="U92" s="10"/>
      <c r="V92" s="10"/>
      <c r="W92" s="10"/>
      <c r="X92" s="10"/>
      <c r="Y92" s="10"/>
      <c r="Z92" s="10"/>
      <c r="AA92" s="10"/>
      <c r="AB92" s="10"/>
    </row>
    <row r="93" spans="12:28" ht="39.950000000000003" customHeight="1" x14ac:dyDescent="0.25">
      <c r="L93" s="21"/>
      <c r="M93" s="21"/>
      <c r="N93" s="22"/>
      <c r="O93" s="32"/>
      <c r="P93" s="33"/>
      <c r="Q93" s="34"/>
      <c r="S93" s="10"/>
      <c r="T93" s="10"/>
      <c r="U93" s="10"/>
      <c r="V93" s="10"/>
      <c r="W93" s="10"/>
      <c r="X93" s="10"/>
      <c r="Y93" s="10"/>
      <c r="Z93" s="10"/>
      <c r="AA93" s="10"/>
      <c r="AB93" s="10"/>
    </row>
    <row r="94" spans="12:28" ht="39.950000000000003" customHeight="1" x14ac:dyDescent="0.25">
      <c r="L94" s="228" t="s">
        <v>320</v>
      </c>
      <c r="M94" s="228" t="s">
        <v>328</v>
      </c>
      <c r="N94" s="227" t="s">
        <v>368</v>
      </c>
      <c r="O94" s="23" t="s">
        <v>402</v>
      </c>
      <c r="P94" s="24">
        <v>81</v>
      </c>
      <c r="Q94" s="25" t="e" cm="1">
        <f t="array" ref="Q94">INDEX(ArchiveResults!$A$4:$IX$116,IndividualReport!$K$2,IndividualReport!P94)</f>
        <v>#N/A</v>
      </c>
      <c r="S94" s="10"/>
      <c r="T94" s="10"/>
      <c r="U94" s="10"/>
      <c r="V94" s="10"/>
      <c r="W94" s="10"/>
      <c r="X94" s="10"/>
      <c r="Y94" s="10"/>
      <c r="Z94" s="10"/>
      <c r="AA94" s="10"/>
      <c r="AB94" s="10"/>
    </row>
    <row r="95" spans="12:28" ht="39.950000000000003" customHeight="1" x14ac:dyDescent="0.25">
      <c r="L95" s="228"/>
      <c r="M95" s="228"/>
      <c r="N95" s="227"/>
      <c r="O95" s="26" t="s">
        <v>403</v>
      </c>
      <c r="P95" s="27">
        <v>82</v>
      </c>
      <c r="Q95" s="28" t="e" cm="1">
        <f t="array" ref="Q95">INDEX(ArchiveResults!$A$4:$IX$116,IndividualReport!$K$2,IndividualReport!P95)</f>
        <v>#N/A</v>
      </c>
      <c r="S95" s="10"/>
      <c r="T95" s="10"/>
      <c r="U95" s="10"/>
      <c r="V95" s="10"/>
      <c r="W95" s="10"/>
      <c r="X95" s="10"/>
      <c r="Y95" s="10"/>
      <c r="Z95" s="10"/>
      <c r="AA95" s="10"/>
      <c r="AB95" s="10"/>
    </row>
    <row r="96" spans="12:28" ht="39.950000000000003" customHeight="1" x14ac:dyDescent="0.25">
      <c r="L96" s="228"/>
      <c r="M96" s="228"/>
      <c r="N96" s="227"/>
      <c r="O96" s="26" t="s">
        <v>399</v>
      </c>
      <c r="P96" s="27">
        <v>83</v>
      </c>
      <c r="Q96" s="28" t="e" cm="1">
        <f t="array" ref="Q96">INDEX(ArchiveResults!$A$4:$IX$116,IndividualReport!$K$2,IndividualReport!P96)</f>
        <v>#N/A</v>
      </c>
      <c r="S96" s="10"/>
      <c r="T96" s="10"/>
      <c r="U96" s="10"/>
      <c r="V96" s="10"/>
      <c r="W96" s="10"/>
      <c r="X96" s="10"/>
      <c r="Y96" s="10"/>
      <c r="Z96" s="10"/>
      <c r="AA96" s="10"/>
      <c r="AB96" s="10"/>
    </row>
    <row r="97" spans="12:28" ht="39.950000000000003" customHeight="1" x14ac:dyDescent="0.25">
      <c r="L97" s="228"/>
      <c r="M97" s="228"/>
      <c r="N97" s="227"/>
      <c r="O97" s="26" t="s">
        <v>404</v>
      </c>
      <c r="P97" s="27">
        <v>84</v>
      </c>
      <c r="Q97" s="28" t="e" cm="1">
        <f t="array" ref="Q97">INDEX(ArchiveResults!$A$4:$IX$116,IndividualReport!$K$2,IndividualReport!P97)</f>
        <v>#N/A</v>
      </c>
      <c r="S97" s="10"/>
      <c r="T97" s="10"/>
      <c r="U97" s="10"/>
      <c r="V97" s="10"/>
      <c r="W97" s="10"/>
      <c r="X97" s="10"/>
      <c r="Y97" s="10"/>
      <c r="Z97" s="10"/>
      <c r="AA97" s="10"/>
      <c r="AB97" s="10"/>
    </row>
    <row r="98" spans="12:28" ht="39.950000000000003" customHeight="1" x14ac:dyDescent="0.25">
      <c r="L98" s="228"/>
      <c r="M98" s="228"/>
      <c r="N98" s="227"/>
      <c r="O98" s="26" t="s">
        <v>405</v>
      </c>
      <c r="P98" s="27">
        <v>85</v>
      </c>
      <c r="Q98" s="28" t="e" cm="1">
        <f t="array" ref="Q98">INDEX(ArchiveResults!$A$4:$IX$116,IndividualReport!$K$2,IndividualReport!P98)</f>
        <v>#N/A</v>
      </c>
      <c r="S98" s="10"/>
      <c r="T98" s="10"/>
      <c r="U98" s="10"/>
      <c r="V98" s="10"/>
      <c r="W98" s="10"/>
      <c r="X98" s="10"/>
      <c r="Y98" s="10"/>
      <c r="Z98" s="10"/>
      <c r="AA98" s="10"/>
      <c r="AB98" s="10"/>
    </row>
    <row r="99" spans="12:28" ht="39.950000000000003" customHeight="1" x14ac:dyDescent="0.25">
      <c r="L99" s="228"/>
      <c r="M99" s="228"/>
      <c r="N99" s="227"/>
      <c r="O99" s="29" t="s">
        <v>414</v>
      </c>
      <c r="P99" s="30">
        <v>86</v>
      </c>
      <c r="Q99" s="31" t="e" cm="1">
        <f t="array" ref="Q99">INDEX(ArchiveResults!$A$4:$IX$116,IndividualReport!$K$2,IndividualReport!P99)</f>
        <v>#N/A</v>
      </c>
      <c r="S99" s="10"/>
      <c r="T99" s="10"/>
      <c r="U99" s="10"/>
      <c r="V99" s="10"/>
      <c r="W99" s="10"/>
      <c r="X99" s="10"/>
      <c r="Y99" s="10"/>
      <c r="Z99" s="10"/>
      <c r="AA99" s="10"/>
      <c r="AB99" s="10"/>
    </row>
    <row r="100" spans="12:28" ht="39.950000000000003" customHeight="1" x14ac:dyDescent="0.25">
      <c r="L100" s="21"/>
      <c r="M100" s="21"/>
      <c r="N100" s="22"/>
      <c r="O100" s="32"/>
      <c r="P100" s="33"/>
      <c r="Q100" s="34"/>
      <c r="S100" s="10"/>
      <c r="T100" s="10"/>
      <c r="U100" s="10"/>
      <c r="V100" s="10"/>
      <c r="W100" s="10"/>
      <c r="X100" s="10"/>
      <c r="Y100" s="10"/>
      <c r="Z100" s="10"/>
      <c r="AA100" s="10"/>
      <c r="AB100" s="10"/>
    </row>
    <row r="101" spans="12:28" ht="39.950000000000003" customHeight="1" x14ac:dyDescent="0.25">
      <c r="L101" s="228" t="s">
        <v>320</v>
      </c>
      <c r="M101" s="228" t="s">
        <v>328</v>
      </c>
      <c r="N101" s="227" t="s">
        <v>369</v>
      </c>
      <c r="O101" s="23" t="s">
        <v>402</v>
      </c>
      <c r="P101" s="24">
        <v>87</v>
      </c>
      <c r="Q101" s="25" t="e" cm="1">
        <f t="array" ref="Q101">INDEX(ArchiveResults!$A$4:$IX$116,IndividualReport!$K$2,IndividualReport!P101)</f>
        <v>#N/A</v>
      </c>
      <c r="S101" s="10"/>
      <c r="T101" s="10"/>
      <c r="U101" s="10"/>
      <c r="V101" s="10"/>
      <c r="W101" s="10"/>
      <c r="X101" s="10"/>
      <c r="Y101" s="10"/>
      <c r="Z101" s="10"/>
      <c r="AA101" s="10"/>
      <c r="AB101" s="10"/>
    </row>
    <row r="102" spans="12:28" ht="39.950000000000003" customHeight="1" x14ac:dyDescent="0.25">
      <c r="L102" s="228"/>
      <c r="M102" s="228"/>
      <c r="N102" s="227"/>
      <c r="O102" s="26" t="s">
        <v>403</v>
      </c>
      <c r="P102" s="27">
        <v>88</v>
      </c>
      <c r="Q102" s="28" t="e" cm="1">
        <f t="array" ref="Q102">INDEX(ArchiveResults!$A$4:$IX$116,IndividualReport!$K$2,IndividualReport!P102)</f>
        <v>#N/A</v>
      </c>
      <c r="S102" s="10"/>
      <c r="T102" s="10"/>
      <c r="U102" s="10"/>
      <c r="V102" s="10"/>
      <c r="W102" s="10"/>
      <c r="X102" s="10"/>
      <c r="Y102" s="10"/>
      <c r="Z102" s="10"/>
      <c r="AA102" s="10"/>
      <c r="AB102" s="10"/>
    </row>
    <row r="103" spans="12:28" ht="39.950000000000003" customHeight="1" x14ac:dyDescent="0.25">
      <c r="L103" s="228"/>
      <c r="M103" s="228"/>
      <c r="N103" s="227"/>
      <c r="O103" s="26" t="s">
        <v>399</v>
      </c>
      <c r="P103" s="27">
        <v>89</v>
      </c>
      <c r="Q103" s="28" t="e" cm="1">
        <f t="array" ref="Q103">INDEX(ArchiveResults!$A$4:$IX$116,IndividualReport!$K$2,IndividualReport!P103)</f>
        <v>#N/A</v>
      </c>
      <c r="S103" s="10"/>
      <c r="T103" s="10"/>
      <c r="U103" s="10"/>
      <c r="V103" s="10"/>
      <c r="W103" s="10"/>
      <c r="X103" s="10"/>
      <c r="Y103" s="10"/>
      <c r="Z103" s="10"/>
      <c r="AA103" s="10"/>
      <c r="AB103" s="10"/>
    </row>
    <row r="104" spans="12:28" ht="39.950000000000003" customHeight="1" x14ac:dyDescent="0.25">
      <c r="L104" s="228"/>
      <c r="M104" s="228"/>
      <c r="N104" s="227"/>
      <c r="O104" s="26" t="s">
        <v>404</v>
      </c>
      <c r="P104" s="27">
        <v>90</v>
      </c>
      <c r="Q104" s="28" t="e" cm="1">
        <f t="array" ref="Q104">INDEX(ArchiveResults!$A$4:$IX$116,IndividualReport!$K$2,IndividualReport!P104)</f>
        <v>#N/A</v>
      </c>
      <c r="S104" s="10"/>
      <c r="T104" s="10"/>
      <c r="U104" s="10"/>
      <c r="V104" s="10"/>
      <c r="W104" s="10"/>
      <c r="X104" s="10"/>
      <c r="Y104" s="10"/>
      <c r="Z104" s="10"/>
      <c r="AA104" s="10"/>
      <c r="AB104" s="10"/>
    </row>
    <row r="105" spans="12:28" ht="39.950000000000003" customHeight="1" x14ac:dyDescent="0.25">
      <c r="L105" s="228"/>
      <c r="M105" s="228"/>
      <c r="N105" s="227"/>
      <c r="O105" s="26" t="s">
        <v>405</v>
      </c>
      <c r="P105" s="27">
        <v>91</v>
      </c>
      <c r="Q105" s="28" t="e" cm="1">
        <f t="array" ref="Q105">INDEX(ArchiveResults!$A$4:$IX$116,IndividualReport!$K$2,IndividualReport!P105)</f>
        <v>#N/A</v>
      </c>
      <c r="S105" s="10"/>
      <c r="T105" s="10"/>
      <c r="U105" s="10"/>
      <c r="V105" s="10"/>
      <c r="W105" s="10"/>
      <c r="X105" s="10"/>
      <c r="Y105" s="10"/>
      <c r="Z105" s="10"/>
      <c r="AA105" s="10"/>
      <c r="AB105" s="10"/>
    </row>
    <row r="106" spans="12:28" ht="39.950000000000003" customHeight="1" x14ac:dyDescent="0.25">
      <c r="L106" s="228"/>
      <c r="M106" s="228"/>
      <c r="N106" s="227"/>
      <c r="O106" s="29" t="s">
        <v>414</v>
      </c>
      <c r="P106" s="30">
        <v>92</v>
      </c>
      <c r="Q106" s="31" t="e" cm="1">
        <f t="array" ref="Q106">INDEX(ArchiveResults!$A$4:$IX$116,IndividualReport!$K$2,IndividualReport!P106)</f>
        <v>#N/A</v>
      </c>
      <c r="S106" s="10"/>
      <c r="T106" s="10"/>
      <c r="U106" s="10"/>
      <c r="V106" s="10"/>
      <c r="W106" s="10"/>
      <c r="X106" s="10"/>
      <c r="Y106" s="10"/>
      <c r="Z106" s="10"/>
      <c r="AA106" s="10"/>
      <c r="AB106" s="10"/>
    </row>
    <row r="107" spans="12:28" ht="39.950000000000003" customHeight="1" x14ac:dyDescent="0.25">
      <c r="L107" s="21"/>
      <c r="M107" s="21"/>
      <c r="N107" s="22"/>
      <c r="O107" s="32"/>
      <c r="P107" s="33"/>
      <c r="Q107" s="34"/>
      <c r="S107" s="10"/>
      <c r="T107" s="10"/>
      <c r="U107" s="10"/>
      <c r="V107" s="10"/>
      <c r="W107" s="10"/>
      <c r="X107" s="10"/>
      <c r="Y107" s="10"/>
      <c r="Z107" s="10"/>
      <c r="AA107" s="10"/>
      <c r="AB107" s="10"/>
    </row>
    <row r="108" spans="12:28" ht="39.950000000000003" customHeight="1" x14ac:dyDescent="0.25">
      <c r="L108" s="228" t="s">
        <v>320</v>
      </c>
      <c r="M108" s="228" t="s">
        <v>328</v>
      </c>
      <c r="N108" s="227" t="s">
        <v>370</v>
      </c>
      <c r="O108" s="23" t="s">
        <v>402</v>
      </c>
      <c r="P108" s="24">
        <v>93</v>
      </c>
      <c r="Q108" s="25" t="e" cm="1">
        <f t="array" ref="Q108">INDEX(ArchiveResults!$A$4:$IX$116,IndividualReport!$K$2,IndividualReport!P108)</f>
        <v>#N/A</v>
      </c>
      <c r="S108" s="10"/>
      <c r="T108" s="10"/>
      <c r="U108" s="10"/>
      <c r="V108" s="10"/>
      <c r="W108" s="10"/>
      <c r="X108" s="10"/>
      <c r="Y108" s="10"/>
      <c r="Z108" s="10"/>
      <c r="AA108" s="10"/>
      <c r="AB108" s="10"/>
    </row>
    <row r="109" spans="12:28" ht="39.950000000000003" customHeight="1" x14ac:dyDescent="0.25">
      <c r="L109" s="228"/>
      <c r="M109" s="228"/>
      <c r="N109" s="227"/>
      <c r="O109" s="26" t="s">
        <v>403</v>
      </c>
      <c r="P109" s="27">
        <v>94</v>
      </c>
      <c r="Q109" s="28" t="e" cm="1">
        <f t="array" ref="Q109">INDEX(ArchiveResults!$A$4:$IX$116,IndividualReport!$K$2,IndividualReport!P109)</f>
        <v>#N/A</v>
      </c>
      <c r="S109" s="10"/>
      <c r="T109" s="10"/>
      <c r="U109" s="10"/>
      <c r="V109" s="10"/>
      <c r="W109" s="10"/>
      <c r="X109" s="10"/>
      <c r="Y109" s="10"/>
      <c r="Z109" s="10"/>
      <c r="AA109" s="10"/>
      <c r="AB109" s="10"/>
    </row>
    <row r="110" spans="12:28" ht="39.950000000000003" customHeight="1" x14ac:dyDescent="0.25">
      <c r="L110" s="228"/>
      <c r="M110" s="228"/>
      <c r="N110" s="227"/>
      <c r="O110" s="26" t="s">
        <v>399</v>
      </c>
      <c r="P110" s="27">
        <v>95</v>
      </c>
      <c r="Q110" s="28" t="e" cm="1">
        <f t="array" ref="Q110">INDEX(ArchiveResults!$A$4:$IX$116,IndividualReport!$K$2,IndividualReport!P110)</f>
        <v>#N/A</v>
      </c>
      <c r="S110" s="10"/>
      <c r="T110" s="10"/>
      <c r="U110" s="10"/>
      <c r="V110" s="10"/>
      <c r="W110" s="10"/>
      <c r="X110" s="10"/>
      <c r="Y110" s="10"/>
      <c r="Z110" s="10"/>
      <c r="AA110" s="10"/>
      <c r="AB110" s="10"/>
    </row>
    <row r="111" spans="12:28" ht="39.950000000000003" customHeight="1" x14ac:dyDescent="0.25">
      <c r="L111" s="228"/>
      <c r="M111" s="228"/>
      <c r="N111" s="227"/>
      <c r="O111" s="26" t="s">
        <v>404</v>
      </c>
      <c r="P111" s="27">
        <v>96</v>
      </c>
      <c r="Q111" s="28" t="e" cm="1">
        <f t="array" ref="Q111">INDEX(ArchiveResults!$A$4:$IX$116,IndividualReport!$K$2,IndividualReport!P111)</f>
        <v>#N/A</v>
      </c>
      <c r="S111" s="10"/>
      <c r="T111" s="10"/>
      <c r="U111" s="10"/>
      <c r="V111" s="10"/>
      <c r="W111" s="10"/>
      <c r="X111" s="10"/>
      <c r="Y111" s="10"/>
      <c r="Z111" s="10"/>
      <c r="AA111" s="10"/>
      <c r="AB111" s="10"/>
    </row>
    <row r="112" spans="12:28" ht="39.950000000000003" customHeight="1" x14ac:dyDescent="0.25">
      <c r="L112" s="228"/>
      <c r="M112" s="228"/>
      <c r="N112" s="227"/>
      <c r="O112" s="26" t="s">
        <v>405</v>
      </c>
      <c r="P112" s="27">
        <v>97</v>
      </c>
      <c r="Q112" s="28" t="e" cm="1">
        <f t="array" ref="Q112">INDEX(ArchiveResults!$A$4:$IX$116,IndividualReport!$K$2,IndividualReport!P112)</f>
        <v>#N/A</v>
      </c>
      <c r="S112" s="10"/>
      <c r="T112" s="10"/>
      <c r="U112" s="10"/>
      <c r="V112" s="10"/>
      <c r="W112" s="10"/>
      <c r="X112" s="10"/>
      <c r="Y112" s="10"/>
      <c r="Z112" s="10"/>
      <c r="AA112" s="10"/>
      <c r="AB112" s="10"/>
    </row>
    <row r="113" spans="12:28" ht="39.950000000000003" customHeight="1" x14ac:dyDescent="0.25">
      <c r="L113" s="228"/>
      <c r="M113" s="228"/>
      <c r="N113" s="227"/>
      <c r="O113" s="29" t="s">
        <v>414</v>
      </c>
      <c r="P113" s="30">
        <v>98</v>
      </c>
      <c r="Q113" s="31" t="e" cm="1">
        <f t="array" ref="Q113">INDEX(ArchiveResults!$A$4:$IX$116,IndividualReport!$K$2,IndividualReport!P113)</f>
        <v>#N/A</v>
      </c>
      <c r="S113" s="10"/>
      <c r="T113" s="10"/>
      <c r="U113" s="10"/>
      <c r="V113" s="10"/>
      <c r="W113" s="10"/>
      <c r="X113" s="10"/>
      <c r="Y113" s="10"/>
      <c r="Z113" s="10"/>
      <c r="AA113" s="10"/>
      <c r="AB113" s="10"/>
    </row>
    <row r="114" spans="12:28" ht="39.950000000000003" customHeight="1" x14ac:dyDescent="0.25">
      <c r="L114" s="21"/>
      <c r="M114" s="21"/>
      <c r="N114" s="22"/>
      <c r="O114" s="32"/>
      <c r="P114" s="33"/>
      <c r="Q114" s="34"/>
      <c r="S114" s="10"/>
      <c r="T114" s="10"/>
      <c r="U114" s="10"/>
      <c r="V114" s="10"/>
      <c r="W114" s="10"/>
      <c r="X114" s="10"/>
      <c r="Y114" s="10"/>
      <c r="Z114" s="10"/>
      <c r="AA114" s="10"/>
      <c r="AB114" s="10"/>
    </row>
    <row r="115" spans="12:28" ht="39.950000000000003" customHeight="1" x14ac:dyDescent="0.25">
      <c r="L115" s="228" t="s">
        <v>320</v>
      </c>
      <c r="M115" s="228" t="s">
        <v>328</v>
      </c>
      <c r="N115" s="227" t="s">
        <v>371</v>
      </c>
      <c r="O115" s="23" t="s">
        <v>402</v>
      </c>
      <c r="P115" s="24">
        <v>99</v>
      </c>
      <c r="Q115" s="25" t="e" cm="1">
        <f t="array" ref="Q115">INDEX(ArchiveResults!$A$4:$IX$116,IndividualReport!$K$2,IndividualReport!P115)</f>
        <v>#N/A</v>
      </c>
      <c r="S115" s="10"/>
      <c r="T115" s="10"/>
      <c r="U115" s="10"/>
      <c r="V115" s="10"/>
      <c r="W115" s="10"/>
      <c r="X115" s="10"/>
      <c r="Y115" s="10"/>
      <c r="Z115" s="10"/>
      <c r="AA115" s="10"/>
      <c r="AB115" s="10"/>
    </row>
    <row r="116" spans="12:28" ht="39.950000000000003" customHeight="1" x14ac:dyDescent="0.25">
      <c r="L116" s="228"/>
      <c r="M116" s="228"/>
      <c r="N116" s="227"/>
      <c r="O116" s="26" t="s">
        <v>403</v>
      </c>
      <c r="P116" s="27">
        <v>100</v>
      </c>
      <c r="Q116" s="28" t="e" cm="1">
        <f t="array" ref="Q116">INDEX(ArchiveResults!$A$4:$IX$116,IndividualReport!$K$2,IndividualReport!P116)</f>
        <v>#N/A</v>
      </c>
      <c r="S116" s="10"/>
      <c r="T116" s="10"/>
      <c r="U116" s="10"/>
      <c r="V116" s="10"/>
      <c r="W116" s="10"/>
      <c r="X116" s="10"/>
      <c r="Y116" s="10"/>
      <c r="Z116" s="10"/>
      <c r="AA116" s="10"/>
      <c r="AB116" s="10"/>
    </row>
    <row r="117" spans="12:28" ht="39.950000000000003" customHeight="1" x14ac:dyDescent="0.25">
      <c r="L117" s="228"/>
      <c r="M117" s="228"/>
      <c r="N117" s="227"/>
      <c r="O117" s="26" t="s">
        <v>399</v>
      </c>
      <c r="P117" s="27">
        <v>101</v>
      </c>
      <c r="Q117" s="28" t="e" cm="1">
        <f t="array" ref="Q117">INDEX(ArchiveResults!$A$4:$IX$116,IndividualReport!$K$2,IndividualReport!P117)</f>
        <v>#N/A</v>
      </c>
      <c r="S117" s="10"/>
      <c r="T117" s="10"/>
      <c r="U117" s="10"/>
      <c r="V117" s="10"/>
      <c r="W117" s="10"/>
      <c r="X117" s="10"/>
      <c r="Y117" s="10"/>
      <c r="Z117" s="10"/>
      <c r="AA117" s="10"/>
      <c r="AB117" s="10"/>
    </row>
    <row r="118" spans="12:28" ht="39.950000000000003" customHeight="1" x14ac:dyDescent="0.25">
      <c r="L118" s="228"/>
      <c r="M118" s="228"/>
      <c r="N118" s="227"/>
      <c r="O118" s="26" t="s">
        <v>404</v>
      </c>
      <c r="P118" s="27">
        <v>102</v>
      </c>
      <c r="Q118" s="28" t="e" cm="1">
        <f t="array" ref="Q118">INDEX(ArchiveResults!$A$4:$IX$116,IndividualReport!$K$2,IndividualReport!P118)</f>
        <v>#N/A</v>
      </c>
      <c r="S118" s="10"/>
      <c r="T118" s="10"/>
      <c r="U118" s="10"/>
      <c r="V118" s="10"/>
      <c r="W118" s="10"/>
      <c r="X118" s="10"/>
      <c r="Y118" s="10"/>
      <c r="Z118" s="10"/>
      <c r="AA118" s="10"/>
      <c r="AB118" s="10"/>
    </row>
    <row r="119" spans="12:28" ht="39.950000000000003" customHeight="1" x14ac:dyDescent="0.25">
      <c r="L119" s="228"/>
      <c r="M119" s="228"/>
      <c r="N119" s="227"/>
      <c r="O119" s="26" t="s">
        <v>405</v>
      </c>
      <c r="P119" s="27">
        <v>103</v>
      </c>
      <c r="Q119" s="28" t="e" cm="1">
        <f t="array" ref="Q119">INDEX(ArchiveResults!$A$4:$IX$116,IndividualReport!$K$2,IndividualReport!P119)</f>
        <v>#N/A</v>
      </c>
      <c r="S119" s="10"/>
      <c r="T119" s="10"/>
      <c r="U119" s="10"/>
      <c r="V119" s="10"/>
      <c r="W119" s="10"/>
      <c r="X119" s="10"/>
      <c r="Y119" s="10"/>
      <c r="Z119" s="10"/>
      <c r="AA119" s="10"/>
      <c r="AB119" s="10"/>
    </row>
    <row r="120" spans="12:28" ht="39.950000000000003" customHeight="1" x14ac:dyDescent="0.25">
      <c r="L120" s="228"/>
      <c r="M120" s="228"/>
      <c r="N120" s="227"/>
      <c r="O120" s="29" t="s">
        <v>414</v>
      </c>
      <c r="P120" s="30">
        <v>104</v>
      </c>
      <c r="Q120" s="31" t="e" cm="1">
        <f t="array" ref="Q120">INDEX(ArchiveResults!$A$4:$IX$116,IndividualReport!$K$2,IndividualReport!P120)</f>
        <v>#N/A</v>
      </c>
      <c r="S120" s="10"/>
      <c r="T120" s="10"/>
      <c r="U120" s="10"/>
      <c r="V120" s="10"/>
      <c r="W120" s="10"/>
      <c r="X120" s="10"/>
      <c r="Y120" s="10"/>
      <c r="Z120" s="10"/>
      <c r="AA120" s="10"/>
      <c r="AB120" s="10"/>
    </row>
    <row r="121" spans="12:28" ht="39.950000000000003" customHeight="1" x14ac:dyDescent="0.25">
      <c r="L121" s="21"/>
      <c r="M121" s="21"/>
      <c r="N121" s="22"/>
      <c r="O121" s="32"/>
      <c r="P121" s="33"/>
      <c r="Q121" s="34"/>
      <c r="S121" s="10"/>
      <c r="T121" s="10"/>
      <c r="U121" s="10"/>
      <c r="V121" s="10"/>
      <c r="W121" s="10"/>
      <c r="X121" s="10"/>
      <c r="Y121" s="10"/>
      <c r="Z121" s="10"/>
      <c r="AA121" s="10"/>
      <c r="AB121" s="10"/>
    </row>
    <row r="122" spans="12:28" ht="39.950000000000003" customHeight="1" x14ac:dyDescent="0.25">
      <c r="L122" s="228" t="s">
        <v>320</v>
      </c>
      <c r="M122" s="228" t="s">
        <v>328</v>
      </c>
      <c r="N122" s="227" t="s">
        <v>372</v>
      </c>
      <c r="O122" s="23" t="s">
        <v>402</v>
      </c>
      <c r="P122" s="24">
        <v>105</v>
      </c>
      <c r="Q122" s="25" t="e" cm="1">
        <f t="array" ref="Q122">INDEX(ArchiveResults!$A$4:$IX$116,IndividualReport!$K$2,IndividualReport!P122)</f>
        <v>#N/A</v>
      </c>
      <c r="S122" s="10"/>
      <c r="T122" s="10"/>
      <c r="U122" s="10"/>
      <c r="V122" s="10"/>
      <c r="W122" s="10"/>
      <c r="X122" s="10"/>
      <c r="Y122" s="10"/>
      <c r="Z122" s="10"/>
      <c r="AA122" s="10"/>
      <c r="AB122" s="10"/>
    </row>
    <row r="123" spans="12:28" ht="39.950000000000003" customHeight="1" x14ac:dyDescent="0.25">
      <c r="L123" s="228"/>
      <c r="M123" s="228"/>
      <c r="N123" s="227"/>
      <c r="O123" s="26" t="s">
        <v>403</v>
      </c>
      <c r="P123" s="27">
        <v>106</v>
      </c>
      <c r="Q123" s="28" t="e" cm="1">
        <f t="array" ref="Q123">INDEX(ArchiveResults!$A$4:$IX$116,IndividualReport!$K$2,IndividualReport!P123)</f>
        <v>#N/A</v>
      </c>
      <c r="S123" s="10"/>
      <c r="T123" s="10"/>
      <c r="U123" s="10"/>
      <c r="V123" s="10"/>
      <c r="W123" s="10"/>
      <c r="X123" s="10"/>
      <c r="Y123" s="10"/>
      <c r="Z123" s="10"/>
      <c r="AA123" s="10"/>
      <c r="AB123" s="10"/>
    </row>
    <row r="124" spans="12:28" ht="39.950000000000003" customHeight="1" x14ac:dyDescent="0.25">
      <c r="L124" s="228"/>
      <c r="M124" s="228"/>
      <c r="N124" s="227"/>
      <c r="O124" s="26" t="s">
        <v>399</v>
      </c>
      <c r="P124" s="27">
        <v>107</v>
      </c>
      <c r="Q124" s="28" t="e" cm="1">
        <f t="array" ref="Q124">INDEX(ArchiveResults!$A$4:$IX$116,IndividualReport!$K$2,IndividualReport!P124)</f>
        <v>#N/A</v>
      </c>
      <c r="S124" s="10"/>
      <c r="T124" s="10"/>
      <c r="U124" s="10"/>
      <c r="V124" s="10"/>
      <c r="W124" s="10"/>
      <c r="X124" s="10"/>
      <c r="Y124" s="10"/>
      <c r="Z124" s="10"/>
      <c r="AA124" s="10"/>
      <c r="AB124" s="10"/>
    </row>
    <row r="125" spans="12:28" ht="39.950000000000003" customHeight="1" x14ac:dyDescent="0.25">
      <c r="L125" s="228"/>
      <c r="M125" s="228"/>
      <c r="N125" s="227"/>
      <c r="O125" s="26" t="s">
        <v>404</v>
      </c>
      <c r="P125" s="27">
        <v>108</v>
      </c>
      <c r="Q125" s="28" t="e" cm="1">
        <f t="array" ref="Q125">INDEX(ArchiveResults!$A$4:$IX$116,IndividualReport!$K$2,IndividualReport!P125)</f>
        <v>#N/A</v>
      </c>
      <c r="S125" s="10"/>
      <c r="T125" s="10"/>
      <c r="U125" s="10"/>
      <c r="V125" s="10"/>
      <c r="W125" s="10"/>
      <c r="X125" s="10"/>
      <c r="Y125" s="10"/>
      <c r="Z125" s="10"/>
      <c r="AA125" s="10"/>
      <c r="AB125" s="10"/>
    </row>
    <row r="126" spans="12:28" ht="39.950000000000003" customHeight="1" x14ac:dyDescent="0.25">
      <c r="L126" s="228"/>
      <c r="M126" s="228"/>
      <c r="N126" s="227"/>
      <c r="O126" s="26" t="s">
        <v>405</v>
      </c>
      <c r="P126" s="27">
        <v>109</v>
      </c>
      <c r="Q126" s="28" t="e" cm="1">
        <f t="array" ref="Q126">INDEX(ArchiveResults!$A$4:$IX$116,IndividualReport!$K$2,IndividualReport!P126)</f>
        <v>#N/A</v>
      </c>
      <c r="S126" s="10"/>
      <c r="T126" s="10"/>
      <c r="U126" s="10"/>
      <c r="V126" s="10"/>
      <c r="W126" s="10"/>
      <c r="X126" s="10"/>
      <c r="Y126" s="10"/>
      <c r="Z126" s="10"/>
      <c r="AA126" s="10"/>
      <c r="AB126" s="10"/>
    </row>
    <row r="127" spans="12:28" ht="39.950000000000003" customHeight="1" x14ac:dyDescent="0.25">
      <c r="L127" s="228"/>
      <c r="M127" s="228"/>
      <c r="N127" s="227"/>
      <c r="O127" s="29" t="s">
        <v>414</v>
      </c>
      <c r="P127" s="30">
        <v>110</v>
      </c>
      <c r="Q127" s="31" t="e" cm="1">
        <f t="array" ref="Q127">INDEX(ArchiveResults!$A$4:$IX$116,IndividualReport!$K$2,IndividualReport!P127)</f>
        <v>#N/A</v>
      </c>
      <c r="S127" s="10"/>
      <c r="T127" s="10"/>
      <c r="U127" s="10"/>
      <c r="V127" s="10"/>
      <c r="W127" s="10"/>
      <c r="X127" s="10"/>
      <c r="Y127" s="10"/>
      <c r="Z127" s="10"/>
      <c r="AA127" s="10"/>
      <c r="AB127" s="10"/>
    </row>
    <row r="128" spans="12:28" ht="39.950000000000003" customHeight="1" x14ac:dyDescent="0.25">
      <c r="L128" s="21"/>
      <c r="M128" s="21"/>
      <c r="N128" s="22"/>
      <c r="O128" s="32"/>
      <c r="P128" s="33"/>
      <c r="Q128" s="34"/>
      <c r="S128" s="10"/>
      <c r="T128" s="10"/>
      <c r="U128" s="10"/>
      <c r="V128" s="10"/>
      <c r="W128" s="10"/>
      <c r="X128" s="10"/>
      <c r="Y128" s="10"/>
      <c r="Z128" s="10"/>
      <c r="AA128" s="10"/>
      <c r="AB128" s="10"/>
    </row>
    <row r="129" spans="12:28" ht="39.950000000000003" customHeight="1" x14ac:dyDescent="0.25">
      <c r="L129" s="228" t="s">
        <v>320</v>
      </c>
      <c r="M129" s="228" t="s">
        <v>328</v>
      </c>
      <c r="N129" s="227" t="s">
        <v>373</v>
      </c>
      <c r="O129" s="23" t="s">
        <v>402</v>
      </c>
      <c r="P129" s="24">
        <v>111</v>
      </c>
      <c r="Q129" s="25" t="e" cm="1">
        <f t="array" ref="Q129">INDEX(ArchiveResults!$A$4:$IX$116,IndividualReport!$K$2,IndividualReport!P129)</f>
        <v>#N/A</v>
      </c>
      <c r="S129" s="10"/>
      <c r="T129" s="10"/>
      <c r="U129" s="10"/>
      <c r="V129" s="10"/>
      <c r="W129" s="10"/>
      <c r="X129" s="10"/>
      <c r="Y129" s="10"/>
      <c r="Z129" s="10"/>
      <c r="AA129" s="10"/>
      <c r="AB129" s="10"/>
    </row>
    <row r="130" spans="12:28" ht="39.950000000000003" customHeight="1" x14ac:dyDescent="0.25">
      <c r="L130" s="228"/>
      <c r="M130" s="228"/>
      <c r="N130" s="227"/>
      <c r="O130" s="26" t="s">
        <v>403</v>
      </c>
      <c r="P130" s="27">
        <v>112</v>
      </c>
      <c r="Q130" s="28" t="e" cm="1">
        <f t="array" ref="Q130">INDEX(ArchiveResults!$A$4:$IX$116,IndividualReport!$K$2,IndividualReport!P130)</f>
        <v>#N/A</v>
      </c>
      <c r="S130" s="10"/>
      <c r="T130" s="10"/>
      <c r="U130" s="10"/>
      <c r="V130" s="10"/>
      <c r="W130" s="10"/>
      <c r="X130" s="10"/>
      <c r="Y130" s="10"/>
      <c r="Z130" s="10"/>
      <c r="AA130" s="10"/>
      <c r="AB130" s="10"/>
    </row>
    <row r="131" spans="12:28" ht="39.950000000000003" customHeight="1" x14ac:dyDescent="0.25">
      <c r="L131" s="228"/>
      <c r="M131" s="228"/>
      <c r="N131" s="227"/>
      <c r="O131" s="26" t="s">
        <v>399</v>
      </c>
      <c r="P131" s="27">
        <v>113</v>
      </c>
      <c r="Q131" s="28" t="e" cm="1">
        <f t="array" ref="Q131">INDEX(ArchiveResults!$A$4:$IX$116,IndividualReport!$K$2,IndividualReport!P131)</f>
        <v>#N/A</v>
      </c>
      <c r="S131" s="10"/>
      <c r="T131" s="10"/>
      <c r="U131" s="10"/>
      <c r="V131" s="10"/>
      <c r="W131" s="10"/>
      <c r="X131" s="10"/>
      <c r="Y131" s="10"/>
      <c r="Z131" s="10"/>
      <c r="AA131" s="10"/>
      <c r="AB131" s="10"/>
    </row>
    <row r="132" spans="12:28" ht="39.950000000000003" customHeight="1" x14ac:dyDescent="0.25">
      <c r="L132" s="228"/>
      <c r="M132" s="228"/>
      <c r="N132" s="227"/>
      <c r="O132" s="26" t="s">
        <v>404</v>
      </c>
      <c r="P132" s="27">
        <v>114</v>
      </c>
      <c r="Q132" s="28" t="e" cm="1">
        <f t="array" ref="Q132">INDEX(ArchiveResults!$A$4:$IX$116,IndividualReport!$K$2,IndividualReport!P132)</f>
        <v>#N/A</v>
      </c>
      <c r="S132" s="10"/>
      <c r="T132" s="10"/>
      <c r="U132" s="10"/>
      <c r="V132" s="10"/>
      <c r="W132" s="10"/>
      <c r="X132" s="10"/>
      <c r="Y132" s="10"/>
      <c r="Z132" s="10"/>
      <c r="AA132" s="10"/>
      <c r="AB132" s="10"/>
    </row>
    <row r="133" spans="12:28" ht="39.950000000000003" customHeight="1" x14ac:dyDescent="0.25">
      <c r="L133" s="228"/>
      <c r="M133" s="228"/>
      <c r="N133" s="227"/>
      <c r="O133" s="26" t="s">
        <v>405</v>
      </c>
      <c r="P133" s="27">
        <v>115</v>
      </c>
      <c r="Q133" s="28" t="e" cm="1">
        <f t="array" ref="Q133">INDEX(ArchiveResults!$A$4:$IX$116,IndividualReport!$K$2,IndividualReport!P133)</f>
        <v>#N/A</v>
      </c>
      <c r="S133" s="10"/>
      <c r="T133" s="10"/>
      <c r="U133" s="10"/>
      <c r="V133" s="10"/>
      <c r="W133" s="10"/>
      <c r="X133" s="10"/>
      <c r="Y133" s="10"/>
      <c r="Z133" s="10"/>
      <c r="AA133" s="10"/>
      <c r="AB133" s="10"/>
    </row>
    <row r="134" spans="12:28" ht="39.950000000000003" customHeight="1" x14ac:dyDescent="0.25">
      <c r="L134" s="228"/>
      <c r="M134" s="228"/>
      <c r="N134" s="227"/>
      <c r="O134" s="29" t="s">
        <v>414</v>
      </c>
      <c r="P134" s="30">
        <v>116</v>
      </c>
      <c r="Q134" s="31" t="e" cm="1">
        <f t="array" ref="Q134">INDEX(ArchiveResults!$A$4:$IX$116,IndividualReport!$K$2,IndividualReport!P134)</f>
        <v>#N/A</v>
      </c>
      <c r="S134" s="10"/>
      <c r="T134" s="10"/>
      <c r="U134" s="10"/>
      <c r="V134" s="10"/>
      <c r="W134" s="10"/>
      <c r="X134" s="10"/>
      <c r="Y134" s="10"/>
      <c r="Z134" s="10"/>
      <c r="AA134" s="10"/>
      <c r="AB134" s="10"/>
    </row>
    <row r="135" spans="12:28" ht="39.950000000000003" customHeight="1" x14ac:dyDescent="0.25">
      <c r="L135" s="21"/>
      <c r="M135" s="21"/>
      <c r="N135" s="22"/>
      <c r="O135" s="32"/>
      <c r="P135" s="33"/>
      <c r="Q135" s="34"/>
      <c r="S135" s="10"/>
      <c r="T135" s="10"/>
      <c r="U135" s="10"/>
      <c r="V135" s="10"/>
      <c r="W135" s="10"/>
      <c r="X135" s="10"/>
      <c r="Y135" s="10"/>
      <c r="Z135" s="10"/>
      <c r="AA135" s="10"/>
      <c r="AB135" s="10"/>
    </row>
    <row r="136" spans="12:28" ht="39.950000000000003" customHeight="1" x14ac:dyDescent="0.25">
      <c r="L136" s="228" t="s">
        <v>320</v>
      </c>
      <c r="M136" s="228" t="s">
        <v>328</v>
      </c>
      <c r="N136" s="227" t="s">
        <v>374</v>
      </c>
      <c r="O136" s="23" t="s">
        <v>402</v>
      </c>
      <c r="P136" s="24">
        <v>117</v>
      </c>
      <c r="Q136" s="25" t="e" cm="1">
        <f t="array" ref="Q136">INDEX(ArchiveResults!$A$4:$IX$116,IndividualReport!$K$2,IndividualReport!P136)</f>
        <v>#N/A</v>
      </c>
      <c r="S136" s="10"/>
      <c r="T136" s="10"/>
      <c r="U136" s="10"/>
      <c r="V136" s="10"/>
      <c r="W136" s="10"/>
      <c r="X136" s="10"/>
      <c r="Y136" s="10"/>
      <c r="Z136" s="10"/>
      <c r="AA136" s="10"/>
      <c r="AB136" s="10"/>
    </row>
    <row r="137" spans="12:28" ht="39.950000000000003" customHeight="1" x14ac:dyDescent="0.25">
      <c r="L137" s="228"/>
      <c r="M137" s="228"/>
      <c r="N137" s="227"/>
      <c r="O137" s="26" t="s">
        <v>403</v>
      </c>
      <c r="P137" s="27">
        <v>118</v>
      </c>
      <c r="Q137" s="28" t="e" cm="1">
        <f t="array" ref="Q137">INDEX(ArchiveResults!$A$4:$IX$116,IndividualReport!$K$2,IndividualReport!P137)</f>
        <v>#N/A</v>
      </c>
      <c r="S137" s="10"/>
      <c r="T137" s="10"/>
      <c r="U137" s="10"/>
      <c r="V137" s="10"/>
      <c r="W137" s="10"/>
      <c r="X137" s="10"/>
      <c r="Y137" s="10"/>
      <c r="Z137" s="10"/>
      <c r="AA137" s="10"/>
      <c r="AB137" s="10"/>
    </row>
    <row r="138" spans="12:28" ht="39.950000000000003" customHeight="1" x14ac:dyDescent="0.25">
      <c r="L138" s="228"/>
      <c r="M138" s="228"/>
      <c r="N138" s="227"/>
      <c r="O138" s="26" t="s">
        <v>399</v>
      </c>
      <c r="P138" s="27">
        <v>119</v>
      </c>
      <c r="Q138" s="28" t="e" cm="1">
        <f t="array" ref="Q138">INDEX(ArchiveResults!$A$4:$IX$116,IndividualReport!$K$2,IndividualReport!P138)</f>
        <v>#N/A</v>
      </c>
      <c r="S138" s="10"/>
      <c r="T138" s="10"/>
      <c r="U138" s="10"/>
      <c r="V138" s="10"/>
      <c r="W138" s="10"/>
      <c r="X138" s="10"/>
      <c r="Y138" s="10"/>
      <c r="Z138" s="10"/>
      <c r="AA138" s="10"/>
      <c r="AB138" s="10"/>
    </row>
    <row r="139" spans="12:28" ht="39.950000000000003" customHeight="1" x14ac:dyDescent="0.25">
      <c r="L139" s="228"/>
      <c r="M139" s="228"/>
      <c r="N139" s="227"/>
      <c r="O139" s="26" t="s">
        <v>404</v>
      </c>
      <c r="P139" s="27">
        <v>120</v>
      </c>
      <c r="Q139" s="28" t="e" cm="1">
        <f t="array" ref="Q139">INDEX(ArchiveResults!$A$4:$IX$116,IndividualReport!$K$2,IndividualReport!P139)</f>
        <v>#N/A</v>
      </c>
      <c r="S139" s="10"/>
      <c r="T139" s="10"/>
      <c r="U139" s="10"/>
      <c r="V139" s="10"/>
      <c r="W139" s="10"/>
      <c r="X139" s="10"/>
      <c r="Y139" s="10"/>
      <c r="Z139" s="10"/>
      <c r="AA139" s="10"/>
      <c r="AB139" s="10"/>
    </row>
    <row r="140" spans="12:28" ht="39.950000000000003" customHeight="1" x14ac:dyDescent="0.25">
      <c r="L140" s="228"/>
      <c r="M140" s="228"/>
      <c r="N140" s="227"/>
      <c r="O140" s="26" t="s">
        <v>405</v>
      </c>
      <c r="P140" s="27">
        <v>121</v>
      </c>
      <c r="Q140" s="28" t="e" cm="1">
        <f t="array" ref="Q140">INDEX(ArchiveResults!$A$4:$IX$116,IndividualReport!$K$2,IndividualReport!P140)</f>
        <v>#N/A</v>
      </c>
      <c r="S140" s="10"/>
      <c r="T140" s="10"/>
      <c r="U140" s="10"/>
      <c r="V140" s="10"/>
      <c r="W140" s="10"/>
      <c r="X140" s="10"/>
      <c r="Y140" s="10"/>
      <c r="Z140" s="10"/>
      <c r="AA140" s="10"/>
      <c r="AB140" s="10"/>
    </row>
    <row r="141" spans="12:28" ht="39.950000000000003" customHeight="1" x14ac:dyDescent="0.25">
      <c r="L141" s="228"/>
      <c r="M141" s="228"/>
      <c r="N141" s="227"/>
      <c r="O141" s="29" t="s">
        <v>414</v>
      </c>
      <c r="P141" s="30">
        <v>122</v>
      </c>
      <c r="Q141" s="31" t="e" cm="1">
        <f t="array" ref="Q141">INDEX(ArchiveResults!$A$4:$IX$116,IndividualReport!$K$2,IndividualReport!P141)</f>
        <v>#N/A</v>
      </c>
      <c r="S141" s="10"/>
      <c r="T141" s="10"/>
      <c r="U141" s="10"/>
      <c r="V141" s="10"/>
      <c r="W141" s="10"/>
      <c r="X141" s="10"/>
      <c r="Y141" s="10"/>
      <c r="Z141" s="10"/>
      <c r="AA141" s="10"/>
      <c r="AB141" s="10"/>
    </row>
    <row r="142" spans="12:28" ht="39.950000000000003" customHeight="1" x14ac:dyDescent="0.25">
      <c r="L142" s="21"/>
      <c r="M142" s="21"/>
      <c r="N142" s="22"/>
      <c r="O142" s="32"/>
      <c r="P142" s="33"/>
      <c r="Q142" s="34"/>
      <c r="S142" s="10"/>
      <c r="T142" s="10"/>
      <c r="U142" s="10"/>
      <c r="V142" s="10"/>
      <c r="W142" s="10"/>
      <c r="X142" s="10"/>
      <c r="Y142" s="10"/>
      <c r="Z142" s="10"/>
      <c r="AA142" s="10"/>
      <c r="AB142" s="10"/>
    </row>
    <row r="143" spans="12:28" ht="39.950000000000003" customHeight="1" x14ac:dyDescent="0.25">
      <c r="L143" s="228" t="s">
        <v>320</v>
      </c>
      <c r="M143" s="228" t="s">
        <v>328</v>
      </c>
      <c r="N143" s="227" t="s">
        <v>375</v>
      </c>
      <c r="O143" s="23" t="s">
        <v>402</v>
      </c>
      <c r="P143" s="24">
        <v>123</v>
      </c>
      <c r="Q143" s="25" t="e" cm="1">
        <f t="array" ref="Q143">INDEX(ArchiveResults!$A$4:$IX$116,IndividualReport!$K$2,IndividualReport!P143)</f>
        <v>#N/A</v>
      </c>
      <c r="S143" s="10"/>
      <c r="T143" s="10"/>
      <c r="U143" s="10"/>
      <c r="V143" s="10"/>
      <c r="W143" s="10"/>
      <c r="X143" s="10"/>
      <c r="Y143" s="10"/>
      <c r="Z143" s="10"/>
      <c r="AA143" s="10"/>
      <c r="AB143" s="10"/>
    </row>
    <row r="144" spans="12:28" ht="39.950000000000003" customHeight="1" x14ac:dyDescent="0.25">
      <c r="L144" s="228"/>
      <c r="M144" s="228"/>
      <c r="N144" s="227"/>
      <c r="O144" s="26" t="s">
        <v>403</v>
      </c>
      <c r="P144" s="27">
        <v>124</v>
      </c>
      <c r="Q144" s="28" t="e" cm="1">
        <f t="array" ref="Q144">INDEX(ArchiveResults!$A$4:$IX$116,IndividualReport!$K$2,IndividualReport!P144)</f>
        <v>#N/A</v>
      </c>
      <c r="S144" s="10"/>
      <c r="T144" s="10"/>
      <c r="U144" s="10"/>
      <c r="V144" s="10"/>
      <c r="W144" s="10"/>
      <c r="X144" s="10"/>
      <c r="Y144" s="10"/>
      <c r="Z144" s="10"/>
      <c r="AA144" s="10"/>
      <c r="AB144" s="10"/>
    </row>
    <row r="145" spans="12:28" ht="39.950000000000003" customHeight="1" x14ac:dyDescent="0.25">
      <c r="L145" s="228"/>
      <c r="M145" s="228"/>
      <c r="N145" s="227"/>
      <c r="O145" s="26" t="s">
        <v>399</v>
      </c>
      <c r="P145" s="27">
        <v>125</v>
      </c>
      <c r="Q145" s="28" t="e" cm="1">
        <f t="array" ref="Q145">INDEX(ArchiveResults!$A$4:$IX$116,IndividualReport!$K$2,IndividualReport!P145)</f>
        <v>#N/A</v>
      </c>
      <c r="S145" s="10"/>
      <c r="T145" s="10"/>
      <c r="U145" s="10"/>
      <c r="V145" s="10"/>
      <c r="W145" s="10"/>
      <c r="X145" s="10"/>
      <c r="Y145" s="10"/>
      <c r="Z145" s="10"/>
      <c r="AA145" s="10"/>
      <c r="AB145" s="10"/>
    </row>
    <row r="146" spans="12:28" ht="39.950000000000003" customHeight="1" x14ac:dyDescent="0.25">
      <c r="L146" s="228"/>
      <c r="M146" s="228"/>
      <c r="N146" s="227"/>
      <c r="O146" s="26" t="s">
        <v>404</v>
      </c>
      <c r="P146" s="27">
        <v>126</v>
      </c>
      <c r="Q146" s="28" t="e" cm="1">
        <f t="array" ref="Q146">INDEX(ArchiveResults!$A$4:$IX$116,IndividualReport!$K$2,IndividualReport!P146)</f>
        <v>#N/A</v>
      </c>
      <c r="S146" s="10"/>
      <c r="T146" s="10"/>
      <c r="U146" s="10"/>
      <c r="V146" s="10"/>
      <c r="W146" s="10"/>
      <c r="X146" s="10"/>
      <c r="Y146" s="10"/>
      <c r="Z146" s="10"/>
      <c r="AA146" s="10"/>
      <c r="AB146" s="10"/>
    </row>
    <row r="147" spans="12:28" ht="39.950000000000003" customHeight="1" x14ac:dyDescent="0.25">
      <c r="L147" s="228"/>
      <c r="M147" s="228"/>
      <c r="N147" s="227"/>
      <c r="O147" s="26" t="s">
        <v>405</v>
      </c>
      <c r="P147" s="27">
        <v>127</v>
      </c>
      <c r="Q147" s="28" t="e" cm="1">
        <f t="array" ref="Q147">INDEX(ArchiveResults!$A$4:$IX$116,IndividualReport!$K$2,IndividualReport!P147)</f>
        <v>#N/A</v>
      </c>
      <c r="S147" s="10"/>
      <c r="T147" s="10"/>
      <c r="U147" s="10"/>
      <c r="V147" s="10"/>
      <c r="W147" s="10"/>
      <c r="X147" s="10"/>
      <c r="Y147" s="10"/>
      <c r="Z147" s="10"/>
      <c r="AA147" s="10"/>
      <c r="AB147" s="10"/>
    </row>
    <row r="148" spans="12:28" ht="39.950000000000003" customHeight="1" x14ac:dyDescent="0.25">
      <c r="L148" s="228"/>
      <c r="M148" s="228"/>
      <c r="N148" s="227"/>
      <c r="O148" s="29" t="s">
        <v>414</v>
      </c>
      <c r="P148" s="30">
        <v>128</v>
      </c>
      <c r="Q148" s="31" t="e" cm="1">
        <f t="array" ref="Q148">INDEX(ArchiveResults!$A$4:$IX$116,IndividualReport!$K$2,IndividualReport!P148)</f>
        <v>#N/A</v>
      </c>
      <c r="S148" s="10"/>
      <c r="T148" s="10"/>
      <c r="U148" s="10"/>
      <c r="V148" s="10"/>
      <c r="W148" s="10"/>
      <c r="X148" s="10"/>
      <c r="Y148" s="10"/>
      <c r="Z148" s="10"/>
      <c r="AA148" s="10"/>
      <c r="AB148" s="10"/>
    </row>
    <row r="149" spans="12:28" ht="39.950000000000003" customHeight="1" x14ac:dyDescent="0.25">
      <c r="L149" s="21"/>
      <c r="M149" s="21"/>
      <c r="N149" s="22"/>
      <c r="O149" s="32"/>
      <c r="P149" s="33"/>
      <c r="Q149" s="34"/>
      <c r="S149" s="10"/>
      <c r="T149" s="10"/>
      <c r="U149" s="10"/>
      <c r="V149" s="10"/>
      <c r="W149" s="10"/>
      <c r="X149" s="10"/>
      <c r="Y149" s="10"/>
      <c r="Z149" s="10"/>
      <c r="AA149" s="10"/>
      <c r="AB149" s="10"/>
    </row>
    <row r="150" spans="12:28" ht="39.950000000000003" customHeight="1" x14ac:dyDescent="0.25">
      <c r="L150" s="21"/>
      <c r="M150" s="21"/>
      <c r="N150" s="22"/>
      <c r="O150" s="32"/>
      <c r="P150" s="33"/>
      <c r="Q150" s="34"/>
      <c r="S150" s="10"/>
      <c r="T150" s="10"/>
      <c r="U150" s="10"/>
      <c r="V150" s="10"/>
      <c r="W150" s="10"/>
      <c r="X150" s="10"/>
      <c r="Y150" s="10"/>
      <c r="Z150" s="10"/>
      <c r="AA150" s="10"/>
      <c r="AB150" s="10"/>
    </row>
    <row r="151" spans="12:28" ht="39.950000000000003" customHeight="1" x14ac:dyDescent="0.25">
      <c r="L151" s="228" t="s">
        <v>320</v>
      </c>
      <c r="M151" s="228" t="s">
        <v>329</v>
      </c>
      <c r="N151" s="227" t="s">
        <v>376</v>
      </c>
      <c r="O151" s="23" t="s">
        <v>397</v>
      </c>
      <c r="P151" s="24">
        <v>129</v>
      </c>
      <c r="Q151" s="25" t="e" cm="1">
        <f t="array" ref="Q151">INDEX(ArchiveResults!$A$4:$IX$116,IndividualReport!$K$2,IndividualReport!P151)</f>
        <v>#N/A</v>
      </c>
      <c r="S151" s="10"/>
      <c r="T151" s="10"/>
      <c r="U151" s="10"/>
      <c r="V151" s="10"/>
      <c r="W151" s="10"/>
      <c r="X151" s="10"/>
      <c r="Y151" s="10"/>
      <c r="Z151" s="10"/>
      <c r="AA151" s="10"/>
      <c r="AB151" s="10"/>
    </row>
    <row r="152" spans="12:28" ht="39.950000000000003" customHeight="1" x14ac:dyDescent="0.25">
      <c r="L152" s="228"/>
      <c r="M152" s="228"/>
      <c r="N152" s="227"/>
      <c r="O152" s="26" t="s">
        <v>398</v>
      </c>
      <c r="P152" s="27">
        <v>130</v>
      </c>
      <c r="Q152" s="28" t="e" cm="1">
        <f t="array" ref="Q152">INDEX(ArchiveResults!$A$4:$IX$116,IndividualReport!$K$2,IndividualReport!P152)</f>
        <v>#N/A</v>
      </c>
      <c r="S152" s="10"/>
      <c r="T152" s="10"/>
      <c r="U152" s="10"/>
      <c r="V152" s="10"/>
      <c r="W152" s="10"/>
      <c r="X152" s="10"/>
      <c r="Y152" s="10"/>
      <c r="Z152" s="10"/>
      <c r="AA152" s="10"/>
      <c r="AB152" s="10"/>
    </row>
    <row r="153" spans="12:28" ht="39.950000000000003" customHeight="1" x14ac:dyDescent="0.25">
      <c r="L153" s="228"/>
      <c r="M153" s="228"/>
      <c r="N153" s="227"/>
      <c r="O153" s="26" t="s">
        <v>399</v>
      </c>
      <c r="P153" s="27">
        <v>131</v>
      </c>
      <c r="Q153" s="28" t="e" cm="1">
        <f t="array" ref="Q153">INDEX(ArchiveResults!$A$4:$IX$116,IndividualReport!$K$2,IndividualReport!P153)</f>
        <v>#N/A</v>
      </c>
      <c r="S153" s="10"/>
      <c r="T153" s="10"/>
      <c r="U153" s="10"/>
      <c r="V153" s="10"/>
      <c r="W153" s="10"/>
      <c r="X153" s="10"/>
      <c r="Y153" s="10"/>
      <c r="Z153" s="10"/>
      <c r="AA153" s="10"/>
      <c r="AB153" s="10"/>
    </row>
    <row r="154" spans="12:28" ht="39.950000000000003" customHeight="1" x14ac:dyDescent="0.25">
      <c r="L154" s="228"/>
      <c r="M154" s="228"/>
      <c r="N154" s="227"/>
      <c r="O154" s="26" t="s">
        <v>400</v>
      </c>
      <c r="P154" s="27">
        <v>132</v>
      </c>
      <c r="Q154" s="28" t="e" cm="1">
        <f t="array" ref="Q154">INDEX(ArchiveResults!$A$4:$IX$116,IndividualReport!$K$2,IndividualReport!P154)</f>
        <v>#N/A</v>
      </c>
      <c r="S154" s="10"/>
      <c r="T154" s="10"/>
      <c r="U154" s="10"/>
      <c r="V154" s="10"/>
      <c r="W154" s="10"/>
      <c r="X154" s="10"/>
      <c r="Y154" s="10"/>
      <c r="Z154" s="10"/>
      <c r="AA154" s="10"/>
      <c r="AB154" s="10"/>
    </row>
    <row r="155" spans="12:28" ht="39.950000000000003" customHeight="1" x14ac:dyDescent="0.25">
      <c r="L155" s="228"/>
      <c r="M155" s="228"/>
      <c r="N155" s="227"/>
      <c r="O155" s="26" t="s">
        <v>401</v>
      </c>
      <c r="P155" s="27">
        <v>133</v>
      </c>
      <c r="Q155" s="28" t="e" cm="1">
        <f t="array" ref="Q155">INDEX(ArchiveResults!$A$4:$IX$116,IndividualReport!$K$2,IndividualReport!P155)</f>
        <v>#N/A</v>
      </c>
      <c r="S155" s="10"/>
      <c r="T155" s="10"/>
      <c r="U155" s="10"/>
      <c r="V155" s="10"/>
      <c r="W155" s="10"/>
      <c r="X155" s="10"/>
      <c r="Y155" s="10"/>
      <c r="Z155" s="10"/>
      <c r="AA155" s="10"/>
      <c r="AB155" s="10"/>
    </row>
    <row r="156" spans="12:28" ht="39.950000000000003" customHeight="1" x14ac:dyDescent="0.25">
      <c r="L156" s="228"/>
      <c r="M156" s="228"/>
      <c r="N156" s="227"/>
      <c r="O156" s="29" t="s">
        <v>414</v>
      </c>
      <c r="P156" s="30">
        <v>134</v>
      </c>
      <c r="Q156" s="31" t="e" cm="1">
        <f t="array" ref="Q156">INDEX(ArchiveResults!$A$4:$IX$116,IndividualReport!$K$2,IndividualReport!P156)</f>
        <v>#N/A</v>
      </c>
      <c r="S156" s="10"/>
      <c r="T156" s="10"/>
      <c r="U156" s="10"/>
      <c r="V156" s="10"/>
      <c r="W156" s="10"/>
      <c r="X156" s="10"/>
      <c r="Y156" s="10"/>
      <c r="Z156" s="10"/>
      <c r="AA156" s="10"/>
      <c r="AB156" s="10"/>
    </row>
    <row r="157" spans="12:28" ht="39.950000000000003" customHeight="1" x14ac:dyDescent="0.25">
      <c r="L157" s="21"/>
      <c r="M157" s="21"/>
      <c r="N157" s="22"/>
      <c r="O157" s="32"/>
      <c r="P157" s="33"/>
      <c r="Q157" s="34"/>
      <c r="S157" s="10"/>
      <c r="T157" s="10"/>
      <c r="U157" s="10"/>
      <c r="V157" s="10"/>
      <c r="W157" s="10"/>
      <c r="X157" s="10"/>
      <c r="Y157" s="10"/>
      <c r="Z157" s="10"/>
      <c r="AA157" s="10"/>
      <c r="AB157" s="10"/>
    </row>
    <row r="158" spans="12:28" ht="39.950000000000003" customHeight="1" x14ac:dyDescent="0.25">
      <c r="L158" s="228" t="s">
        <v>320</v>
      </c>
      <c r="M158" s="228" t="s">
        <v>329</v>
      </c>
      <c r="N158" s="227" t="s">
        <v>377</v>
      </c>
      <c r="O158" s="23" t="s">
        <v>397</v>
      </c>
      <c r="P158" s="24">
        <v>135</v>
      </c>
      <c r="Q158" s="25" t="e" cm="1">
        <f t="array" ref="Q158">INDEX(ArchiveResults!$A$4:$IX$116,IndividualReport!$K$2,IndividualReport!P158)</f>
        <v>#N/A</v>
      </c>
      <c r="S158" s="10"/>
      <c r="T158" s="10"/>
      <c r="U158" s="10"/>
      <c r="V158" s="10"/>
      <c r="W158" s="10"/>
      <c r="X158" s="10"/>
      <c r="Y158" s="10"/>
      <c r="Z158" s="10"/>
      <c r="AA158" s="10"/>
      <c r="AB158" s="10"/>
    </row>
    <row r="159" spans="12:28" ht="39.950000000000003" customHeight="1" x14ac:dyDescent="0.25">
      <c r="L159" s="228"/>
      <c r="M159" s="228"/>
      <c r="N159" s="227"/>
      <c r="O159" s="26" t="s">
        <v>398</v>
      </c>
      <c r="P159" s="27">
        <v>136</v>
      </c>
      <c r="Q159" s="28" t="e" cm="1">
        <f t="array" ref="Q159">INDEX(ArchiveResults!$A$4:$IX$116,IndividualReport!$K$2,IndividualReport!P159)</f>
        <v>#N/A</v>
      </c>
      <c r="S159" s="10"/>
      <c r="T159" s="10"/>
      <c r="U159" s="10"/>
      <c r="V159" s="10"/>
      <c r="W159" s="10"/>
      <c r="X159" s="10"/>
      <c r="Y159" s="10"/>
      <c r="Z159" s="10"/>
      <c r="AA159" s="10"/>
      <c r="AB159" s="10"/>
    </row>
    <row r="160" spans="12:28" ht="39.950000000000003" customHeight="1" x14ac:dyDescent="0.25">
      <c r="L160" s="228"/>
      <c r="M160" s="228"/>
      <c r="N160" s="227"/>
      <c r="O160" s="26" t="s">
        <v>399</v>
      </c>
      <c r="P160" s="27">
        <v>137</v>
      </c>
      <c r="Q160" s="28" t="e" cm="1">
        <f t="array" ref="Q160">INDEX(ArchiveResults!$A$4:$IX$116,IndividualReport!$K$2,IndividualReport!P160)</f>
        <v>#N/A</v>
      </c>
      <c r="S160" s="10"/>
      <c r="T160" s="10"/>
      <c r="U160" s="10"/>
      <c r="V160" s="10"/>
      <c r="W160" s="10"/>
      <c r="X160" s="10"/>
      <c r="Y160" s="10"/>
      <c r="Z160" s="10"/>
      <c r="AA160" s="10"/>
      <c r="AB160" s="10"/>
    </row>
    <row r="161" spans="12:28" ht="39.950000000000003" customHeight="1" x14ac:dyDescent="0.25">
      <c r="L161" s="228"/>
      <c r="M161" s="228"/>
      <c r="N161" s="227"/>
      <c r="O161" s="26" t="s">
        <v>400</v>
      </c>
      <c r="P161" s="27">
        <v>138</v>
      </c>
      <c r="Q161" s="28" t="e" cm="1">
        <f t="array" ref="Q161">INDEX(ArchiveResults!$A$4:$IX$116,IndividualReport!$K$2,IndividualReport!P161)</f>
        <v>#N/A</v>
      </c>
      <c r="S161" s="10"/>
      <c r="T161" s="10"/>
      <c r="U161" s="10"/>
      <c r="V161" s="10"/>
      <c r="W161" s="10"/>
      <c r="X161" s="10"/>
      <c r="Y161" s="10"/>
      <c r="Z161" s="10"/>
      <c r="AA161" s="10"/>
      <c r="AB161" s="10"/>
    </row>
    <row r="162" spans="12:28" ht="39.950000000000003" customHeight="1" x14ac:dyDescent="0.25">
      <c r="L162" s="228"/>
      <c r="M162" s="228"/>
      <c r="N162" s="227"/>
      <c r="O162" s="26" t="s">
        <v>401</v>
      </c>
      <c r="P162" s="27">
        <v>139</v>
      </c>
      <c r="Q162" s="28" t="e" cm="1">
        <f t="array" ref="Q162">INDEX(ArchiveResults!$A$4:$IX$116,IndividualReport!$K$2,IndividualReport!P162)</f>
        <v>#N/A</v>
      </c>
      <c r="S162" s="10"/>
      <c r="T162" s="10"/>
      <c r="U162" s="10"/>
      <c r="V162" s="10"/>
      <c r="W162" s="10"/>
      <c r="X162" s="10"/>
      <c r="Y162" s="10"/>
      <c r="Z162" s="10"/>
      <c r="AA162" s="10"/>
      <c r="AB162" s="10"/>
    </row>
    <row r="163" spans="12:28" ht="39.950000000000003" customHeight="1" x14ac:dyDescent="0.25">
      <c r="L163" s="228"/>
      <c r="M163" s="228"/>
      <c r="N163" s="227"/>
      <c r="O163" s="29" t="s">
        <v>414</v>
      </c>
      <c r="P163" s="30">
        <v>140</v>
      </c>
      <c r="Q163" s="31" t="e" cm="1">
        <f t="array" ref="Q163">INDEX(ArchiveResults!$A$4:$IX$116,IndividualReport!$K$2,IndividualReport!P163)</f>
        <v>#N/A</v>
      </c>
      <c r="S163" s="10"/>
      <c r="T163" s="10"/>
      <c r="U163" s="10"/>
      <c r="V163" s="10"/>
      <c r="W163" s="10"/>
      <c r="X163" s="10"/>
      <c r="Y163" s="10"/>
      <c r="Z163" s="10"/>
      <c r="AA163" s="10"/>
      <c r="AB163" s="10"/>
    </row>
    <row r="164" spans="12:28" ht="39.950000000000003" customHeight="1" x14ac:dyDescent="0.25">
      <c r="L164" s="21"/>
      <c r="M164" s="21"/>
      <c r="N164" s="22"/>
      <c r="O164" s="32"/>
      <c r="P164" s="33"/>
      <c r="Q164" s="34"/>
      <c r="S164" s="10"/>
      <c r="T164" s="10"/>
      <c r="U164" s="10"/>
      <c r="V164" s="10"/>
      <c r="W164" s="10"/>
      <c r="X164" s="10"/>
      <c r="Y164" s="10"/>
      <c r="Z164" s="10"/>
      <c r="AA164" s="10"/>
      <c r="AB164" s="10"/>
    </row>
    <row r="165" spans="12:28" ht="39.950000000000003" customHeight="1" x14ac:dyDescent="0.25">
      <c r="L165" s="228" t="s">
        <v>320</v>
      </c>
      <c r="M165" s="228" t="s">
        <v>329</v>
      </c>
      <c r="N165" s="227" t="s">
        <v>378</v>
      </c>
      <c r="O165" s="23" t="s">
        <v>397</v>
      </c>
      <c r="P165" s="24">
        <v>141</v>
      </c>
      <c r="Q165" s="25" t="e" cm="1">
        <f t="array" ref="Q165">INDEX(ArchiveResults!$A$4:$IX$116,IndividualReport!$K$2,IndividualReport!P165)</f>
        <v>#N/A</v>
      </c>
      <c r="S165" s="10"/>
      <c r="T165" s="10"/>
      <c r="U165" s="10"/>
      <c r="V165" s="10"/>
      <c r="W165" s="10"/>
      <c r="X165" s="10"/>
      <c r="Y165" s="10"/>
      <c r="Z165" s="10"/>
      <c r="AA165" s="10"/>
      <c r="AB165" s="10"/>
    </row>
    <row r="166" spans="12:28" ht="39.950000000000003" customHeight="1" x14ac:dyDescent="0.25">
      <c r="L166" s="228"/>
      <c r="M166" s="228"/>
      <c r="N166" s="227"/>
      <c r="O166" s="26" t="s">
        <v>398</v>
      </c>
      <c r="P166" s="27">
        <v>142</v>
      </c>
      <c r="Q166" s="28" t="e" cm="1">
        <f t="array" ref="Q166">INDEX(ArchiveResults!$A$4:$IX$116,IndividualReport!$K$2,IndividualReport!P166)</f>
        <v>#N/A</v>
      </c>
      <c r="S166" s="10"/>
      <c r="T166" s="10"/>
      <c r="U166" s="10"/>
      <c r="V166" s="10"/>
      <c r="W166" s="10"/>
      <c r="X166" s="10"/>
      <c r="Y166" s="10"/>
      <c r="Z166" s="10"/>
      <c r="AA166" s="10"/>
      <c r="AB166" s="10"/>
    </row>
    <row r="167" spans="12:28" ht="39.950000000000003" customHeight="1" x14ac:dyDescent="0.25">
      <c r="L167" s="228"/>
      <c r="M167" s="228"/>
      <c r="N167" s="227"/>
      <c r="O167" s="26" t="s">
        <v>399</v>
      </c>
      <c r="P167" s="27">
        <v>143</v>
      </c>
      <c r="Q167" s="28" t="e" cm="1">
        <f t="array" ref="Q167">INDEX(ArchiveResults!$A$4:$IX$116,IndividualReport!$K$2,IndividualReport!P167)</f>
        <v>#N/A</v>
      </c>
      <c r="S167" s="10"/>
      <c r="T167" s="10"/>
      <c r="U167" s="10"/>
      <c r="V167" s="10"/>
      <c r="W167" s="10"/>
      <c r="X167" s="10"/>
      <c r="Y167" s="10"/>
      <c r="Z167" s="10"/>
      <c r="AA167" s="10"/>
      <c r="AB167" s="10"/>
    </row>
    <row r="168" spans="12:28" ht="39.950000000000003" customHeight="1" x14ac:dyDescent="0.25">
      <c r="L168" s="228"/>
      <c r="M168" s="228"/>
      <c r="N168" s="227"/>
      <c r="O168" s="26" t="s">
        <v>400</v>
      </c>
      <c r="P168" s="27">
        <v>144</v>
      </c>
      <c r="Q168" s="28" t="e" cm="1">
        <f t="array" ref="Q168">INDEX(ArchiveResults!$A$4:$IX$116,IndividualReport!$K$2,IndividualReport!P168)</f>
        <v>#N/A</v>
      </c>
      <c r="S168" s="10"/>
      <c r="T168" s="10"/>
      <c r="U168" s="10"/>
      <c r="V168" s="10"/>
      <c r="W168" s="10"/>
      <c r="X168" s="10"/>
      <c r="Y168" s="10"/>
      <c r="Z168" s="10"/>
      <c r="AA168" s="10"/>
      <c r="AB168" s="10"/>
    </row>
    <row r="169" spans="12:28" ht="39.950000000000003" customHeight="1" x14ac:dyDescent="0.25">
      <c r="L169" s="228"/>
      <c r="M169" s="228"/>
      <c r="N169" s="227"/>
      <c r="O169" s="26" t="s">
        <v>401</v>
      </c>
      <c r="P169" s="27">
        <v>145</v>
      </c>
      <c r="Q169" s="28" t="e" cm="1">
        <f t="array" ref="Q169">INDEX(ArchiveResults!$A$4:$IX$116,IndividualReport!$K$2,IndividualReport!P169)</f>
        <v>#N/A</v>
      </c>
      <c r="S169" s="10"/>
      <c r="T169" s="10"/>
      <c r="U169" s="10"/>
      <c r="V169" s="10"/>
      <c r="W169" s="10"/>
      <c r="X169" s="10"/>
      <c r="Y169" s="10"/>
      <c r="Z169" s="10"/>
      <c r="AA169" s="10"/>
      <c r="AB169" s="10"/>
    </row>
    <row r="170" spans="12:28" ht="39.950000000000003" customHeight="1" x14ac:dyDescent="0.25">
      <c r="L170" s="228"/>
      <c r="M170" s="228"/>
      <c r="N170" s="227"/>
      <c r="O170" s="29" t="s">
        <v>414</v>
      </c>
      <c r="P170" s="30">
        <v>146</v>
      </c>
      <c r="Q170" s="31" t="e" cm="1">
        <f t="array" ref="Q170">INDEX(ArchiveResults!$A$4:$IX$116,IndividualReport!$K$2,IndividualReport!P170)</f>
        <v>#N/A</v>
      </c>
      <c r="S170" s="10"/>
      <c r="T170" s="10"/>
      <c r="U170" s="10"/>
      <c r="V170" s="10"/>
      <c r="W170" s="10"/>
      <c r="X170" s="10"/>
      <c r="Y170" s="10"/>
      <c r="Z170" s="10"/>
      <c r="AA170" s="10"/>
      <c r="AB170" s="10"/>
    </row>
    <row r="171" spans="12:28" ht="39.950000000000003" customHeight="1" x14ac:dyDescent="0.25">
      <c r="L171" s="21"/>
      <c r="M171" s="21"/>
      <c r="N171" s="22"/>
      <c r="O171" s="32"/>
      <c r="P171" s="33"/>
      <c r="Q171" s="34"/>
      <c r="S171" s="10"/>
      <c r="T171" s="10"/>
      <c r="U171" s="10"/>
      <c r="V171" s="10"/>
      <c r="W171" s="10"/>
      <c r="X171" s="10"/>
      <c r="Y171" s="10"/>
      <c r="Z171" s="10"/>
      <c r="AA171" s="10"/>
      <c r="AB171" s="10"/>
    </row>
    <row r="172" spans="12:28" ht="39.950000000000003" customHeight="1" x14ac:dyDescent="0.25">
      <c r="L172" s="228" t="s">
        <v>320</v>
      </c>
      <c r="M172" s="228" t="s">
        <v>329</v>
      </c>
      <c r="N172" s="227" t="s">
        <v>379</v>
      </c>
      <c r="O172" s="23" t="s">
        <v>397</v>
      </c>
      <c r="P172" s="24">
        <v>147</v>
      </c>
      <c r="Q172" s="25" t="e" cm="1">
        <f t="array" ref="Q172">INDEX(ArchiveResults!$A$4:$IX$116,IndividualReport!$K$2,IndividualReport!P172)</f>
        <v>#N/A</v>
      </c>
      <c r="S172" s="10"/>
      <c r="T172" s="10"/>
      <c r="U172" s="10"/>
      <c r="V172" s="10"/>
      <c r="W172" s="10"/>
      <c r="X172" s="10"/>
      <c r="Y172" s="10"/>
      <c r="Z172" s="10"/>
      <c r="AA172" s="10"/>
      <c r="AB172" s="10"/>
    </row>
    <row r="173" spans="12:28" ht="39.950000000000003" customHeight="1" x14ac:dyDescent="0.25">
      <c r="L173" s="228"/>
      <c r="M173" s="228"/>
      <c r="N173" s="227"/>
      <c r="O173" s="26" t="s">
        <v>398</v>
      </c>
      <c r="P173" s="27">
        <v>148</v>
      </c>
      <c r="Q173" s="28" t="e" cm="1">
        <f t="array" ref="Q173">INDEX(ArchiveResults!$A$4:$IX$116,IndividualReport!$K$2,IndividualReport!P173)</f>
        <v>#N/A</v>
      </c>
      <c r="S173" s="10"/>
      <c r="T173" s="10"/>
      <c r="U173" s="10"/>
      <c r="V173" s="10"/>
      <c r="W173" s="10"/>
      <c r="X173" s="10"/>
      <c r="Y173" s="10"/>
      <c r="Z173" s="10"/>
      <c r="AA173" s="10"/>
      <c r="AB173" s="10"/>
    </row>
    <row r="174" spans="12:28" ht="39.950000000000003" customHeight="1" x14ac:dyDescent="0.25">
      <c r="L174" s="228"/>
      <c r="M174" s="228"/>
      <c r="N174" s="227"/>
      <c r="O174" s="26" t="s">
        <v>399</v>
      </c>
      <c r="P174" s="27">
        <v>149</v>
      </c>
      <c r="Q174" s="28" t="e" cm="1">
        <f t="array" ref="Q174">INDEX(ArchiveResults!$A$4:$IX$116,IndividualReport!$K$2,IndividualReport!P174)</f>
        <v>#N/A</v>
      </c>
      <c r="S174" s="10"/>
      <c r="T174" s="10"/>
      <c r="U174" s="10"/>
      <c r="V174" s="10"/>
      <c r="W174" s="10"/>
      <c r="X174" s="10"/>
      <c r="Y174" s="10"/>
      <c r="Z174" s="10"/>
      <c r="AA174" s="10"/>
      <c r="AB174" s="10"/>
    </row>
    <row r="175" spans="12:28" ht="39.950000000000003" customHeight="1" x14ac:dyDescent="0.25">
      <c r="L175" s="228"/>
      <c r="M175" s="228"/>
      <c r="N175" s="227"/>
      <c r="O175" s="26" t="s">
        <v>400</v>
      </c>
      <c r="P175" s="27">
        <v>150</v>
      </c>
      <c r="Q175" s="28" t="e" cm="1">
        <f t="array" ref="Q175">INDEX(ArchiveResults!$A$4:$IX$116,IndividualReport!$K$2,IndividualReport!P175)</f>
        <v>#N/A</v>
      </c>
      <c r="S175" s="10"/>
      <c r="T175" s="10"/>
      <c r="U175" s="10"/>
      <c r="V175" s="10"/>
      <c r="W175" s="10"/>
      <c r="X175" s="10"/>
      <c r="Y175" s="10"/>
      <c r="Z175" s="10"/>
      <c r="AA175" s="10"/>
      <c r="AB175" s="10"/>
    </row>
    <row r="176" spans="12:28" ht="39.950000000000003" customHeight="1" x14ac:dyDescent="0.25">
      <c r="L176" s="228"/>
      <c r="M176" s="228"/>
      <c r="N176" s="227"/>
      <c r="O176" s="26" t="s">
        <v>401</v>
      </c>
      <c r="P176" s="27">
        <v>151</v>
      </c>
      <c r="Q176" s="28" t="e" cm="1">
        <f t="array" ref="Q176">INDEX(ArchiveResults!$A$4:$IX$116,IndividualReport!$K$2,IndividualReport!P176)</f>
        <v>#N/A</v>
      </c>
      <c r="S176" s="10"/>
      <c r="T176" s="10"/>
      <c r="U176" s="10"/>
      <c r="V176" s="10"/>
      <c r="W176" s="10"/>
      <c r="X176" s="10"/>
      <c r="Y176" s="10"/>
      <c r="Z176" s="10"/>
      <c r="AA176" s="10"/>
      <c r="AB176" s="10"/>
    </row>
    <row r="177" spans="12:28" ht="39.950000000000003" customHeight="1" x14ac:dyDescent="0.25">
      <c r="L177" s="228"/>
      <c r="M177" s="228"/>
      <c r="N177" s="227"/>
      <c r="O177" s="29" t="s">
        <v>414</v>
      </c>
      <c r="P177" s="30">
        <v>152</v>
      </c>
      <c r="Q177" s="31" t="e" cm="1">
        <f t="array" ref="Q177">INDEX(ArchiveResults!$A$4:$IX$116,IndividualReport!$K$2,IndividualReport!P177)</f>
        <v>#N/A</v>
      </c>
      <c r="S177" s="10"/>
      <c r="T177" s="10"/>
      <c r="U177" s="10"/>
      <c r="V177" s="10"/>
      <c r="W177" s="10"/>
      <c r="X177" s="10"/>
      <c r="Y177" s="10"/>
      <c r="Z177" s="10"/>
      <c r="AA177" s="10"/>
      <c r="AB177" s="10"/>
    </row>
    <row r="178" spans="12:28" ht="39.950000000000003" customHeight="1" x14ac:dyDescent="0.25">
      <c r="L178" s="21"/>
      <c r="M178" s="21"/>
      <c r="N178" s="22"/>
      <c r="O178" s="32"/>
      <c r="P178" s="33"/>
      <c r="Q178" s="34"/>
      <c r="S178" s="10"/>
      <c r="T178" s="10"/>
      <c r="U178" s="10"/>
      <c r="V178" s="10"/>
      <c r="W178" s="10"/>
      <c r="X178" s="10"/>
      <c r="Y178" s="10"/>
      <c r="Z178" s="10"/>
      <c r="AA178" s="10"/>
      <c r="AB178" s="10"/>
    </row>
    <row r="179" spans="12:28" ht="39.950000000000003" customHeight="1" x14ac:dyDescent="0.25">
      <c r="L179" s="228" t="s">
        <v>320</v>
      </c>
      <c r="M179" s="228" t="s">
        <v>329</v>
      </c>
      <c r="N179" s="227" t="s">
        <v>380</v>
      </c>
      <c r="O179" s="23" t="s">
        <v>397</v>
      </c>
      <c r="P179" s="24">
        <v>153</v>
      </c>
      <c r="Q179" s="25" t="e" cm="1">
        <f t="array" ref="Q179">INDEX(ArchiveResults!$A$4:$IX$116,IndividualReport!$K$2,IndividualReport!P179)</f>
        <v>#N/A</v>
      </c>
      <c r="S179" s="10"/>
      <c r="T179" s="10"/>
      <c r="U179" s="10"/>
      <c r="V179" s="10"/>
      <c r="W179" s="10"/>
      <c r="X179" s="10"/>
      <c r="Y179" s="10"/>
      <c r="Z179" s="10"/>
      <c r="AA179" s="10"/>
      <c r="AB179" s="10"/>
    </row>
    <row r="180" spans="12:28" ht="39.950000000000003" customHeight="1" x14ac:dyDescent="0.25">
      <c r="L180" s="228"/>
      <c r="M180" s="228"/>
      <c r="N180" s="227"/>
      <c r="O180" s="26" t="s">
        <v>398</v>
      </c>
      <c r="P180" s="27">
        <v>154</v>
      </c>
      <c r="Q180" s="28" t="e" cm="1">
        <f t="array" ref="Q180">INDEX(ArchiveResults!$A$4:$IX$116,IndividualReport!$K$2,IndividualReport!P180)</f>
        <v>#N/A</v>
      </c>
      <c r="S180" s="10"/>
      <c r="T180" s="10"/>
      <c r="U180" s="10"/>
      <c r="V180" s="10"/>
      <c r="W180" s="10"/>
      <c r="X180" s="10"/>
      <c r="Y180" s="10"/>
      <c r="Z180" s="10"/>
      <c r="AA180" s="10"/>
      <c r="AB180" s="10"/>
    </row>
    <row r="181" spans="12:28" ht="39.950000000000003" customHeight="1" x14ac:dyDescent="0.25">
      <c r="L181" s="228"/>
      <c r="M181" s="228"/>
      <c r="N181" s="227"/>
      <c r="O181" s="26" t="s">
        <v>399</v>
      </c>
      <c r="P181" s="27">
        <v>155</v>
      </c>
      <c r="Q181" s="28" t="e" cm="1">
        <f t="array" ref="Q181">INDEX(ArchiveResults!$A$4:$IX$116,IndividualReport!$K$2,IndividualReport!P181)</f>
        <v>#N/A</v>
      </c>
      <c r="S181" s="10"/>
      <c r="T181" s="10"/>
      <c r="U181" s="10"/>
      <c r="V181" s="10"/>
      <c r="W181" s="10"/>
      <c r="X181" s="10"/>
      <c r="Y181" s="10"/>
      <c r="Z181" s="10"/>
      <c r="AA181" s="10"/>
      <c r="AB181" s="10"/>
    </row>
    <row r="182" spans="12:28" ht="39.950000000000003" customHeight="1" x14ac:dyDescent="0.25">
      <c r="L182" s="228"/>
      <c r="M182" s="228"/>
      <c r="N182" s="227"/>
      <c r="O182" s="26" t="s">
        <v>400</v>
      </c>
      <c r="P182" s="27">
        <v>156</v>
      </c>
      <c r="Q182" s="28" t="e" cm="1">
        <f t="array" ref="Q182">INDEX(ArchiveResults!$A$4:$IX$116,IndividualReport!$K$2,IndividualReport!P182)</f>
        <v>#N/A</v>
      </c>
      <c r="S182" s="10"/>
      <c r="T182" s="10"/>
      <c r="U182" s="10"/>
      <c r="V182" s="10"/>
      <c r="W182" s="10"/>
      <c r="X182" s="10"/>
      <c r="Y182" s="10"/>
      <c r="Z182" s="10"/>
      <c r="AA182" s="10"/>
      <c r="AB182" s="10"/>
    </row>
    <row r="183" spans="12:28" ht="39.950000000000003" customHeight="1" x14ac:dyDescent="0.25">
      <c r="L183" s="228"/>
      <c r="M183" s="228"/>
      <c r="N183" s="227"/>
      <c r="O183" s="26" t="s">
        <v>401</v>
      </c>
      <c r="P183" s="27">
        <v>157</v>
      </c>
      <c r="Q183" s="28" t="e" cm="1">
        <f t="array" ref="Q183">INDEX(ArchiveResults!$A$4:$IX$116,IndividualReport!$K$2,IndividualReport!P183)</f>
        <v>#N/A</v>
      </c>
      <c r="S183" s="10"/>
      <c r="T183" s="10"/>
      <c r="U183" s="10"/>
      <c r="V183" s="10"/>
      <c r="W183" s="10"/>
      <c r="X183" s="10"/>
      <c r="Y183" s="10"/>
      <c r="Z183" s="10"/>
      <c r="AA183" s="10"/>
      <c r="AB183" s="10"/>
    </row>
    <row r="184" spans="12:28" ht="39.950000000000003" customHeight="1" x14ac:dyDescent="0.25">
      <c r="L184" s="228"/>
      <c r="M184" s="228"/>
      <c r="N184" s="227"/>
      <c r="O184" s="29" t="s">
        <v>414</v>
      </c>
      <c r="P184" s="30">
        <v>158</v>
      </c>
      <c r="Q184" s="31" t="e" cm="1">
        <f t="array" ref="Q184">INDEX(ArchiveResults!$A$4:$IX$116,IndividualReport!$K$2,IndividualReport!P184)</f>
        <v>#N/A</v>
      </c>
      <c r="S184" s="10"/>
      <c r="T184" s="10"/>
      <c r="U184" s="10"/>
      <c r="V184" s="10"/>
      <c r="W184" s="10"/>
      <c r="X184" s="10"/>
      <c r="Y184" s="10"/>
      <c r="Z184" s="10"/>
      <c r="AA184" s="10"/>
      <c r="AB184" s="10"/>
    </row>
    <row r="185" spans="12:28" ht="39.950000000000003" customHeight="1" x14ac:dyDescent="0.25">
      <c r="L185" s="21"/>
      <c r="M185" s="21"/>
      <c r="N185" s="22"/>
      <c r="O185" s="32"/>
      <c r="P185" s="33"/>
      <c r="Q185" s="34"/>
      <c r="S185" s="10"/>
      <c r="T185" s="10"/>
      <c r="U185" s="10"/>
      <c r="V185" s="10"/>
      <c r="W185" s="10"/>
      <c r="X185" s="10"/>
      <c r="Y185" s="10"/>
      <c r="Z185" s="10"/>
      <c r="AA185" s="10"/>
      <c r="AB185" s="10"/>
    </row>
    <row r="186" spans="12:28" ht="39.950000000000003" customHeight="1" x14ac:dyDescent="0.25">
      <c r="L186" s="228" t="s">
        <v>320</v>
      </c>
      <c r="M186" s="228" t="s">
        <v>329</v>
      </c>
      <c r="N186" s="227" t="s">
        <v>381</v>
      </c>
      <c r="O186" s="23" t="s">
        <v>397</v>
      </c>
      <c r="P186" s="24">
        <v>159</v>
      </c>
      <c r="Q186" s="25" t="e" cm="1">
        <f t="array" ref="Q186">INDEX(ArchiveResults!$A$4:$IX$116,IndividualReport!$K$2,IndividualReport!P186)</f>
        <v>#N/A</v>
      </c>
      <c r="S186" s="10"/>
      <c r="T186" s="10"/>
      <c r="U186" s="10"/>
      <c r="V186" s="10"/>
      <c r="W186" s="10"/>
      <c r="X186" s="10"/>
      <c r="Y186" s="10"/>
      <c r="Z186" s="10"/>
      <c r="AA186" s="10"/>
      <c r="AB186" s="10"/>
    </row>
    <row r="187" spans="12:28" ht="39.950000000000003" customHeight="1" x14ac:dyDescent="0.25">
      <c r="L187" s="228"/>
      <c r="M187" s="228"/>
      <c r="N187" s="227"/>
      <c r="O187" s="26" t="s">
        <v>398</v>
      </c>
      <c r="P187" s="27">
        <v>160</v>
      </c>
      <c r="Q187" s="28" t="e" cm="1">
        <f t="array" ref="Q187">INDEX(ArchiveResults!$A$4:$IX$116,IndividualReport!$K$2,IndividualReport!P187)</f>
        <v>#N/A</v>
      </c>
      <c r="S187" s="10"/>
      <c r="T187" s="10"/>
      <c r="U187" s="10"/>
      <c r="V187" s="10"/>
      <c r="W187" s="10"/>
      <c r="X187" s="10"/>
      <c r="Y187" s="10"/>
      <c r="Z187" s="10"/>
      <c r="AA187" s="10"/>
      <c r="AB187" s="10"/>
    </row>
    <row r="188" spans="12:28" ht="39.950000000000003" customHeight="1" x14ac:dyDescent="0.25">
      <c r="L188" s="228"/>
      <c r="M188" s="228"/>
      <c r="N188" s="227"/>
      <c r="O188" s="26" t="s">
        <v>399</v>
      </c>
      <c r="P188" s="27">
        <v>161</v>
      </c>
      <c r="Q188" s="28" t="e" cm="1">
        <f t="array" ref="Q188">INDEX(ArchiveResults!$A$4:$IX$116,IndividualReport!$K$2,IndividualReport!P188)</f>
        <v>#N/A</v>
      </c>
      <c r="S188" s="10"/>
      <c r="T188" s="10"/>
      <c r="U188" s="10"/>
      <c r="V188" s="10"/>
      <c r="W188" s="10"/>
      <c r="X188" s="10"/>
      <c r="Y188" s="10"/>
      <c r="Z188" s="10"/>
      <c r="AA188" s="10"/>
      <c r="AB188" s="10"/>
    </row>
    <row r="189" spans="12:28" ht="39.950000000000003" customHeight="1" x14ac:dyDescent="0.25">
      <c r="L189" s="228"/>
      <c r="M189" s="228"/>
      <c r="N189" s="227"/>
      <c r="O189" s="26" t="s">
        <v>400</v>
      </c>
      <c r="P189" s="27">
        <v>162</v>
      </c>
      <c r="Q189" s="28" t="e" cm="1">
        <f t="array" ref="Q189">INDEX(ArchiveResults!$A$4:$IX$116,IndividualReport!$K$2,IndividualReport!P189)</f>
        <v>#N/A</v>
      </c>
      <c r="S189" s="10"/>
      <c r="T189" s="10"/>
      <c r="U189" s="10"/>
      <c r="V189" s="10"/>
      <c r="W189" s="10"/>
      <c r="X189" s="10"/>
      <c r="Y189" s="10"/>
      <c r="Z189" s="10"/>
      <c r="AA189" s="10"/>
      <c r="AB189" s="10"/>
    </row>
    <row r="190" spans="12:28" ht="39.950000000000003" customHeight="1" x14ac:dyDescent="0.25">
      <c r="L190" s="228"/>
      <c r="M190" s="228"/>
      <c r="N190" s="227"/>
      <c r="O190" s="26" t="s">
        <v>401</v>
      </c>
      <c r="P190" s="27">
        <v>163</v>
      </c>
      <c r="Q190" s="28" t="e" cm="1">
        <f t="array" ref="Q190">INDEX(ArchiveResults!$A$4:$IX$116,IndividualReport!$K$2,IndividualReport!P190)</f>
        <v>#N/A</v>
      </c>
      <c r="S190" s="10"/>
      <c r="T190" s="10"/>
      <c r="U190" s="10"/>
      <c r="V190" s="10"/>
      <c r="W190" s="10"/>
      <c r="X190" s="10"/>
      <c r="Y190" s="10"/>
      <c r="Z190" s="10"/>
      <c r="AA190" s="10"/>
      <c r="AB190" s="10"/>
    </row>
    <row r="191" spans="12:28" ht="39.950000000000003" customHeight="1" x14ac:dyDescent="0.25">
      <c r="L191" s="228"/>
      <c r="M191" s="228"/>
      <c r="N191" s="227"/>
      <c r="O191" s="29" t="s">
        <v>414</v>
      </c>
      <c r="P191" s="30">
        <v>164</v>
      </c>
      <c r="Q191" s="31" t="e" cm="1">
        <f t="array" ref="Q191">INDEX(ArchiveResults!$A$4:$IX$116,IndividualReport!$K$2,IndividualReport!P191)</f>
        <v>#N/A</v>
      </c>
      <c r="S191" s="10"/>
      <c r="T191" s="10"/>
      <c r="U191" s="10"/>
      <c r="V191" s="10"/>
      <c r="W191" s="10"/>
      <c r="X191" s="10"/>
      <c r="Y191" s="10"/>
      <c r="Z191" s="10"/>
      <c r="AA191" s="10"/>
      <c r="AB191" s="10"/>
    </row>
    <row r="192" spans="12:28" ht="39.950000000000003" customHeight="1" x14ac:dyDescent="0.25">
      <c r="L192" s="21"/>
      <c r="M192" s="21"/>
      <c r="N192" s="22"/>
      <c r="O192" s="32"/>
      <c r="P192" s="33"/>
      <c r="Q192" s="34"/>
      <c r="S192" s="10"/>
      <c r="T192" s="10"/>
      <c r="U192" s="10"/>
      <c r="V192" s="10"/>
      <c r="W192" s="10"/>
      <c r="X192" s="10"/>
      <c r="Y192" s="10"/>
      <c r="Z192" s="10"/>
      <c r="AA192" s="10"/>
      <c r="AB192" s="10"/>
    </row>
    <row r="193" spans="12:28" ht="39.950000000000003" customHeight="1" x14ac:dyDescent="0.25">
      <c r="L193" s="228" t="s">
        <v>320</v>
      </c>
      <c r="M193" s="228" t="s">
        <v>329</v>
      </c>
      <c r="N193" s="227" t="s">
        <v>382</v>
      </c>
      <c r="O193" s="23" t="s">
        <v>397</v>
      </c>
      <c r="P193" s="24">
        <v>165</v>
      </c>
      <c r="Q193" s="25" t="e" cm="1">
        <f t="array" ref="Q193">INDEX(ArchiveResults!$A$4:$IX$116,IndividualReport!$K$2,IndividualReport!P193)</f>
        <v>#N/A</v>
      </c>
      <c r="S193" s="10"/>
      <c r="T193" s="10"/>
      <c r="U193" s="10"/>
      <c r="V193" s="10"/>
      <c r="W193" s="10"/>
      <c r="X193" s="10"/>
      <c r="Y193" s="10"/>
      <c r="Z193" s="10"/>
      <c r="AA193" s="10"/>
      <c r="AB193" s="10"/>
    </row>
    <row r="194" spans="12:28" ht="39.950000000000003" customHeight="1" x14ac:dyDescent="0.25">
      <c r="L194" s="228"/>
      <c r="M194" s="228"/>
      <c r="N194" s="227"/>
      <c r="O194" s="26" t="s">
        <v>398</v>
      </c>
      <c r="P194" s="27">
        <v>166</v>
      </c>
      <c r="Q194" s="28" t="e" cm="1">
        <f t="array" ref="Q194">INDEX(ArchiveResults!$A$4:$IX$116,IndividualReport!$K$2,IndividualReport!P194)</f>
        <v>#N/A</v>
      </c>
      <c r="S194" s="10"/>
      <c r="T194" s="10"/>
      <c r="U194" s="10"/>
      <c r="V194" s="10"/>
      <c r="W194" s="10"/>
      <c r="X194" s="10"/>
      <c r="Y194" s="10"/>
      <c r="Z194" s="10"/>
      <c r="AA194" s="10"/>
      <c r="AB194" s="10"/>
    </row>
    <row r="195" spans="12:28" ht="39.950000000000003" customHeight="1" x14ac:dyDescent="0.25">
      <c r="L195" s="228"/>
      <c r="M195" s="228"/>
      <c r="N195" s="227"/>
      <c r="O195" s="26" t="s">
        <v>399</v>
      </c>
      <c r="P195" s="27">
        <v>167</v>
      </c>
      <c r="Q195" s="28" t="e" cm="1">
        <f t="array" ref="Q195">INDEX(ArchiveResults!$A$4:$IX$116,IndividualReport!$K$2,IndividualReport!P195)</f>
        <v>#N/A</v>
      </c>
      <c r="S195" s="10"/>
      <c r="T195" s="10"/>
      <c r="U195" s="10"/>
      <c r="V195" s="10"/>
      <c r="W195" s="10"/>
      <c r="X195" s="10"/>
      <c r="Y195" s="10"/>
      <c r="Z195" s="10"/>
      <c r="AA195" s="10"/>
      <c r="AB195" s="10"/>
    </row>
    <row r="196" spans="12:28" ht="39.950000000000003" customHeight="1" x14ac:dyDescent="0.25">
      <c r="L196" s="228"/>
      <c r="M196" s="228"/>
      <c r="N196" s="227"/>
      <c r="O196" s="26" t="s">
        <v>400</v>
      </c>
      <c r="P196" s="27">
        <v>168</v>
      </c>
      <c r="Q196" s="28" t="e" cm="1">
        <f t="array" ref="Q196">INDEX(ArchiveResults!$A$4:$IX$116,IndividualReport!$K$2,IndividualReport!P196)</f>
        <v>#N/A</v>
      </c>
      <c r="S196" s="10"/>
      <c r="T196" s="10"/>
      <c r="U196" s="10"/>
      <c r="V196" s="10"/>
      <c r="W196" s="10"/>
      <c r="X196" s="10"/>
      <c r="Y196" s="10"/>
      <c r="Z196" s="10"/>
      <c r="AA196" s="10"/>
      <c r="AB196" s="10"/>
    </row>
    <row r="197" spans="12:28" ht="39.950000000000003" customHeight="1" x14ac:dyDescent="0.25">
      <c r="L197" s="228"/>
      <c r="M197" s="228"/>
      <c r="N197" s="227"/>
      <c r="O197" s="26" t="s">
        <v>401</v>
      </c>
      <c r="P197" s="27">
        <v>169</v>
      </c>
      <c r="Q197" s="28" t="e" cm="1">
        <f t="array" ref="Q197">INDEX(ArchiveResults!$A$4:$IX$116,IndividualReport!$K$2,IndividualReport!P197)</f>
        <v>#N/A</v>
      </c>
      <c r="S197" s="10"/>
      <c r="T197" s="10"/>
      <c r="U197" s="10"/>
      <c r="V197" s="10"/>
      <c r="W197" s="10"/>
      <c r="X197" s="10"/>
      <c r="Y197" s="10"/>
      <c r="Z197" s="10"/>
      <c r="AA197" s="10"/>
      <c r="AB197" s="10"/>
    </row>
    <row r="198" spans="12:28" ht="39.950000000000003" customHeight="1" x14ac:dyDescent="0.25">
      <c r="L198" s="228"/>
      <c r="M198" s="228"/>
      <c r="N198" s="227"/>
      <c r="O198" s="29" t="s">
        <v>414</v>
      </c>
      <c r="P198" s="30">
        <v>170</v>
      </c>
      <c r="Q198" s="31" t="e" cm="1">
        <f t="array" ref="Q198">INDEX(ArchiveResults!$A$4:$IX$116,IndividualReport!$K$2,IndividualReport!P198)</f>
        <v>#N/A</v>
      </c>
      <c r="S198" s="10"/>
      <c r="T198" s="10"/>
      <c r="U198" s="10"/>
      <c r="V198" s="10"/>
      <c r="W198" s="10"/>
      <c r="X198" s="10"/>
      <c r="Y198" s="10"/>
      <c r="Z198" s="10"/>
      <c r="AA198" s="10"/>
      <c r="AB198" s="10"/>
    </row>
    <row r="199" spans="12:28" ht="39.950000000000003" customHeight="1" x14ac:dyDescent="0.25">
      <c r="L199" s="21"/>
      <c r="M199" s="21"/>
      <c r="N199" s="22"/>
      <c r="O199" s="32"/>
      <c r="P199" s="33"/>
      <c r="Q199" s="34"/>
      <c r="S199" s="10"/>
      <c r="T199" s="10"/>
      <c r="U199" s="10"/>
      <c r="V199" s="10"/>
      <c r="W199" s="10"/>
      <c r="X199" s="10"/>
      <c r="Y199" s="10"/>
      <c r="Z199" s="10"/>
      <c r="AA199" s="10"/>
      <c r="AB199" s="10"/>
    </row>
    <row r="200" spans="12:28" ht="39.950000000000003" customHeight="1" x14ac:dyDescent="0.25">
      <c r="L200" s="228" t="s">
        <v>320</v>
      </c>
      <c r="M200" s="228" t="s">
        <v>595</v>
      </c>
      <c r="N200" s="227" t="s">
        <v>383</v>
      </c>
      <c r="O200" s="23" t="s">
        <v>397</v>
      </c>
      <c r="P200" s="24">
        <v>171</v>
      </c>
      <c r="Q200" s="25" t="e" cm="1">
        <f t="array" ref="Q200">INDEX(ArchiveResults!$A$4:$IX$116,IndividualReport!$K$2,IndividualReport!P200)</f>
        <v>#N/A</v>
      </c>
      <c r="S200" s="10"/>
      <c r="T200" s="10"/>
      <c r="U200" s="10"/>
      <c r="V200" s="10"/>
      <c r="W200" s="10"/>
      <c r="X200" s="10"/>
      <c r="Y200" s="10"/>
      <c r="Z200" s="10"/>
      <c r="AA200" s="10"/>
      <c r="AB200" s="10"/>
    </row>
    <row r="201" spans="12:28" ht="39.950000000000003" customHeight="1" x14ac:dyDescent="0.25">
      <c r="L201" s="228"/>
      <c r="M201" s="228"/>
      <c r="N201" s="227"/>
      <c r="O201" s="26" t="s">
        <v>398</v>
      </c>
      <c r="P201" s="27">
        <v>172</v>
      </c>
      <c r="Q201" s="28" t="e" cm="1">
        <f t="array" ref="Q201">INDEX(ArchiveResults!$A$4:$IX$116,IndividualReport!$K$2,IndividualReport!P201)</f>
        <v>#N/A</v>
      </c>
      <c r="S201" s="10"/>
      <c r="T201" s="10"/>
      <c r="U201" s="10"/>
      <c r="V201" s="10"/>
      <c r="W201" s="10"/>
      <c r="X201" s="10"/>
      <c r="Y201" s="10"/>
      <c r="Z201" s="10"/>
      <c r="AA201" s="10"/>
      <c r="AB201" s="10"/>
    </row>
    <row r="202" spans="12:28" ht="39.950000000000003" customHeight="1" x14ac:dyDescent="0.25">
      <c r="L202" s="228"/>
      <c r="M202" s="228"/>
      <c r="N202" s="227"/>
      <c r="O202" s="26" t="s">
        <v>399</v>
      </c>
      <c r="P202" s="27">
        <v>173</v>
      </c>
      <c r="Q202" s="28" t="e" cm="1">
        <f t="array" ref="Q202">INDEX(ArchiveResults!$A$4:$IX$116,IndividualReport!$K$2,IndividualReport!P202)</f>
        <v>#N/A</v>
      </c>
      <c r="S202" s="10"/>
      <c r="T202" s="10"/>
      <c r="U202" s="10"/>
      <c r="V202" s="10"/>
      <c r="W202" s="10"/>
      <c r="X202" s="10"/>
      <c r="Y202" s="10"/>
      <c r="Z202" s="10"/>
      <c r="AA202" s="10"/>
      <c r="AB202" s="10"/>
    </row>
    <row r="203" spans="12:28" ht="39.950000000000003" customHeight="1" x14ac:dyDescent="0.25">
      <c r="L203" s="228"/>
      <c r="M203" s="228"/>
      <c r="N203" s="227"/>
      <c r="O203" s="26" t="s">
        <v>400</v>
      </c>
      <c r="P203" s="27">
        <v>174</v>
      </c>
      <c r="Q203" s="28" t="e" cm="1">
        <f t="array" ref="Q203">INDEX(ArchiveResults!$A$4:$IX$116,IndividualReport!$K$2,IndividualReport!P203)</f>
        <v>#N/A</v>
      </c>
      <c r="S203" s="10"/>
      <c r="T203" s="10"/>
      <c r="U203" s="10"/>
      <c r="V203" s="10"/>
      <c r="W203" s="10"/>
      <c r="X203" s="10"/>
      <c r="Y203" s="10"/>
      <c r="Z203" s="10"/>
      <c r="AA203" s="10"/>
      <c r="AB203" s="10"/>
    </row>
    <row r="204" spans="12:28" ht="39.950000000000003" customHeight="1" x14ac:dyDescent="0.25">
      <c r="L204" s="228"/>
      <c r="M204" s="228"/>
      <c r="N204" s="227"/>
      <c r="O204" s="26" t="s">
        <v>401</v>
      </c>
      <c r="P204" s="27">
        <v>175</v>
      </c>
      <c r="Q204" s="28" t="e" cm="1">
        <f t="array" ref="Q204">INDEX(ArchiveResults!$A$4:$IX$116,IndividualReport!$K$2,IndividualReport!P204)</f>
        <v>#N/A</v>
      </c>
      <c r="S204" s="10"/>
      <c r="T204" s="10"/>
      <c r="U204" s="10"/>
      <c r="V204" s="10"/>
      <c r="W204" s="10"/>
      <c r="X204" s="10"/>
      <c r="Y204" s="10"/>
      <c r="Z204" s="10"/>
      <c r="AA204" s="10"/>
      <c r="AB204" s="10"/>
    </row>
    <row r="205" spans="12:28" ht="39.950000000000003" customHeight="1" x14ac:dyDescent="0.25">
      <c r="L205" s="228"/>
      <c r="M205" s="228"/>
      <c r="N205" s="227"/>
      <c r="O205" s="29" t="s">
        <v>414</v>
      </c>
      <c r="P205" s="30">
        <v>176</v>
      </c>
      <c r="Q205" s="31" t="e" cm="1">
        <f t="array" ref="Q205">INDEX(ArchiveResults!$A$4:$IX$116,IndividualReport!$K$2,IndividualReport!P205)</f>
        <v>#N/A</v>
      </c>
      <c r="S205" s="10"/>
      <c r="T205" s="10"/>
      <c r="U205" s="10"/>
      <c r="V205" s="10"/>
      <c r="W205" s="10"/>
      <c r="X205" s="10"/>
      <c r="Y205" s="10"/>
      <c r="Z205" s="10"/>
      <c r="AA205" s="10"/>
      <c r="AB205" s="10"/>
    </row>
    <row r="206" spans="12:28" ht="39.950000000000003" customHeight="1" x14ac:dyDescent="0.25">
      <c r="L206" s="21"/>
      <c r="M206" s="21"/>
      <c r="N206" s="22"/>
      <c r="O206" s="32"/>
      <c r="P206" s="33"/>
      <c r="Q206" s="34"/>
      <c r="S206" s="10"/>
      <c r="T206" s="10"/>
      <c r="U206" s="10"/>
      <c r="V206" s="10"/>
      <c r="W206" s="10"/>
      <c r="X206" s="10"/>
      <c r="Y206" s="10"/>
      <c r="Z206" s="10"/>
      <c r="AA206" s="10"/>
      <c r="AB206" s="10"/>
    </row>
    <row r="207" spans="12:28" ht="39.950000000000003" customHeight="1" x14ac:dyDescent="0.25">
      <c r="L207" s="228" t="s">
        <v>320</v>
      </c>
      <c r="M207" s="228" t="s">
        <v>595</v>
      </c>
      <c r="N207" s="227" t="s">
        <v>384</v>
      </c>
      <c r="O207" s="23" t="s">
        <v>397</v>
      </c>
      <c r="P207" s="24">
        <v>177</v>
      </c>
      <c r="Q207" s="25" t="e" cm="1">
        <f t="array" ref="Q207">INDEX(ArchiveResults!$A$4:$IX$116,IndividualReport!$K$2,IndividualReport!P207)</f>
        <v>#N/A</v>
      </c>
      <c r="S207" s="10"/>
      <c r="T207" s="10"/>
      <c r="U207" s="10"/>
      <c r="V207" s="10"/>
      <c r="W207" s="10"/>
      <c r="X207" s="10"/>
      <c r="Y207" s="10"/>
      <c r="Z207" s="10"/>
      <c r="AA207" s="10"/>
      <c r="AB207" s="10"/>
    </row>
    <row r="208" spans="12:28" ht="39.950000000000003" customHeight="1" x14ac:dyDescent="0.25">
      <c r="L208" s="228"/>
      <c r="M208" s="228"/>
      <c r="N208" s="227"/>
      <c r="O208" s="26" t="s">
        <v>398</v>
      </c>
      <c r="P208" s="27">
        <v>178</v>
      </c>
      <c r="Q208" s="28" t="e" cm="1">
        <f t="array" ref="Q208">INDEX(ArchiveResults!$A$4:$IX$116,IndividualReport!$K$2,IndividualReport!P208)</f>
        <v>#N/A</v>
      </c>
      <c r="S208" s="10"/>
      <c r="T208" s="10"/>
      <c r="U208" s="10"/>
      <c r="V208" s="10"/>
      <c r="W208" s="10"/>
      <c r="X208" s="10"/>
      <c r="Y208" s="10"/>
      <c r="Z208" s="10"/>
      <c r="AA208" s="10"/>
      <c r="AB208" s="10"/>
    </row>
    <row r="209" spans="1:28" ht="39.950000000000003" customHeight="1" x14ac:dyDescent="0.25">
      <c r="L209" s="228"/>
      <c r="M209" s="228"/>
      <c r="N209" s="227"/>
      <c r="O209" s="26" t="s">
        <v>399</v>
      </c>
      <c r="P209" s="27">
        <v>179</v>
      </c>
      <c r="Q209" s="28" t="e" cm="1">
        <f t="array" ref="Q209">INDEX(ArchiveResults!$A$4:$IX$116,IndividualReport!$K$2,IndividualReport!P209)</f>
        <v>#N/A</v>
      </c>
      <c r="S209" s="10"/>
      <c r="T209" s="10"/>
      <c r="U209" s="10"/>
      <c r="V209" s="10"/>
      <c r="W209" s="10"/>
      <c r="X209" s="10"/>
      <c r="Y209" s="10"/>
      <c r="Z209" s="10"/>
      <c r="AA209" s="10"/>
      <c r="AB209" s="10"/>
    </row>
    <row r="210" spans="1:28" ht="39.950000000000003" customHeight="1" x14ac:dyDescent="0.25">
      <c r="L210" s="228"/>
      <c r="M210" s="228"/>
      <c r="N210" s="227"/>
      <c r="O210" s="26" t="s">
        <v>400</v>
      </c>
      <c r="P210" s="27">
        <v>180</v>
      </c>
      <c r="Q210" s="28" t="e" cm="1">
        <f t="array" ref="Q210">INDEX(ArchiveResults!$A$4:$IX$116,IndividualReport!$K$2,IndividualReport!P210)</f>
        <v>#N/A</v>
      </c>
      <c r="S210" s="10"/>
      <c r="T210" s="10"/>
      <c r="U210" s="10"/>
      <c r="V210" s="10"/>
      <c r="W210" s="10"/>
      <c r="X210" s="10"/>
      <c r="Y210" s="10"/>
      <c r="Z210" s="10"/>
      <c r="AA210" s="10"/>
      <c r="AB210" s="10"/>
    </row>
    <row r="211" spans="1:28" ht="39.950000000000003" customHeight="1" x14ac:dyDescent="0.25">
      <c r="L211" s="228"/>
      <c r="M211" s="228"/>
      <c r="N211" s="227"/>
      <c r="O211" s="26" t="s">
        <v>401</v>
      </c>
      <c r="P211" s="27">
        <v>181</v>
      </c>
      <c r="Q211" s="28" t="e" cm="1">
        <f t="array" ref="Q211">INDEX(ArchiveResults!$A$4:$IX$116,IndividualReport!$K$2,IndividualReport!P211)</f>
        <v>#N/A</v>
      </c>
      <c r="S211" s="10"/>
      <c r="T211" s="10"/>
      <c r="U211" s="10"/>
      <c r="V211" s="10"/>
      <c r="W211" s="10"/>
      <c r="X211" s="10"/>
      <c r="Y211" s="10"/>
      <c r="Z211" s="10"/>
      <c r="AA211" s="10"/>
      <c r="AB211" s="10"/>
    </row>
    <row r="212" spans="1:28" ht="39.950000000000003" customHeight="1" x14ac:dyDescent="0.25">
      <c r="L212" s="228"/>
      <c r="M212" s="228"/>
      <c r="N212" s="227"/>
      <c r="O212" s="29" t="s">
        <v>414</v>
      </c>
      <c r="P212" s="30">
        <v>182</v>
      </c>
      <c r="Q212" s="31" t="e" cm="1">
        <f t="array" ref="Q212">INDEX(ArchiveResults!$A$4:$IX$116,IndividualReport!$K$2,IndividualReport!P212)</f>
        <v>#N/A</v>
      </c>
      <c r="S212" s="10"/>
      <c r="T212" s="10"/>
      <c r="U212" s="10"/>
      <c r="V212" s="10"/>
      <c r="W212" s="10"/>
      <c r="X212" s="10"/>
      <c r="Y212" s="10"/>
      <c r="Z212" s="10"/>
      <c r="AA212" s="10"/>
      <c r="AB212" s="10"/>
    </row>
    <row r="213" spans="1:28" ht="39.950000000000003" customHeight="1" x14ac:dyDescent="0.25">
      <c r="L213" s="21"/>
      <c r="M213" s="21"/>
      <c r="N213" s="22"/>
      <c r="O213" s="32"/>
      <c r="P213" s="33"/>
      <c r="Q213" s="34"/>
      <c r="S213" s="10"/>
      <c r="T213" s="10"/>
      <c r="U213" s="10"/>
      <c r="V213" s="10"/>
      <c r="W213" s="10"/>
      <c r="X213" s="10"/>
      <c r="Y213" s="10"/>
      <c r="Z213" s="10"/>
      <c r="AA213" s="10"/>
      <c r="AB213" s="10"/>
    </row>
    <row r="214" spans="1:28" ht="39.950000000000003" customHeight="1" x14ac:dyDescent="0.25">
      <c r="L214" s="228" t="s">
        <v>320</v>
      </c>
      <c r="M214" s="228" t="s">
        <v>595</v>
      </c>
      <c r="N214" s="227" t="s">
        <v>385</v>
      </c>
      <c r="O214" s="23" t="s">
        <v>397</v>
      </c>
      <c r="P214" s="24">
        <v>183</v>
      </c>
      <c r="Q214" s="25" t="e" cm="1">
        <f t="array" ref="Q214">INDEX(ArchiveResults!$A$4:$IX$116,IndividualReport!$K$2,IndividualReport!P214)</f>
        <v>#N/A</v>
      </c>
      <c r="S214" s="10"/>
      <c r="T214" s="10"/>
      <c r="U214" s="10"/>
      <c r="V214" s="10"/>
      <c r="W214" s="10"/>
      <c r="X214" s="10"/>
      <c r="Y214" s="10"/>
      <c r="Z214" s="10"/>
      <c r="AA214" s="10"/>
      <c r="AB214" s="10"/>
    </row>
    <row r="215" spans="1:28" ht="39.950000000000003" customHeight="1" x14ac:dyDescent="0.25">
      <c r="L215" s="228"/>
      <c r="M215" s="228"/>
      <c r="N215" s="227"/>
      <c r="O215" s="26" t="s">
        <v>398</v>
      </c>
      <c r="P215" s="27">
        <v>184</v>
      </c>
      <c r="Q215" s="28" t="e" cm="1">
        <f t="array" ref="Q215">INDEX(ArchiveResults!$A$4:$IX$116,IndividualReport!$K$2,IndividualReport!P215)</f>
        <v>#N/A</v>
      </c>
      <c r="S215" s="10"/>
      <c r="T215" s="10"/>
      <c r="U215" s="10"/>
      <c r="V215" s="10"/>
      <c r="W215" s="10"/>
      <c r="X215" s="10"/>
      <c r="Y215" s="10"/>
      <c r="Z215" s="10"/>
      <c r="AA215" s="10"/>
      <c r="AB215" s="10"/>
    </row>
    <row r="216" spans="1:28" ht="39.950000000000003" customHeight="1" x14ac:dyDescent="0.25">
      <c r="L216" s="228"/>
      <c r="M216" s="228"/>
      <c r="N216" s="227"/>
      <c r="O216" s="26" t="s">
        <v>399</v>
      </c>
      <c r="P216" s="27">
        <v>185</v>
      </c>
      <c r="Q216" s="28" t="e" cm="1">
        <f t="array" ref="Q216">INDEX(ArchiveResults!$A$4:$IX$116,IndividualReport!$K$2,IndividualReport!P216)</f>
        <v>#N/A</v>
      </c>
      <c r="S216" s="10"/>
      <c r="T216" s="10"/>
      <c r="U216" s="10"/>
      <c r="V216" s="10"/>
      <c r="W216" s="10"/>
      <c r="X216" s="10"/>
      <c r="Y216" s="10"/>
      <c r="Z216" s="10"/>
      <c r="AA216" s="10"/>
      <c r="AB216" s="10"/>
    </row>
    <row r="217" spans="1:28" ht="39.950000000000003" customHeight="1" x14ac:dyDescent="0.25">
      <c r="L217" s="228"/>
      <c r="M217" s="228"/>
      <c r="N217" s="227"/>
      <c r="O217" s="26" t="s">
        <v>400</v>
      </c>
      <c r="P217" s="27">
        <v>186</v>
      </c>
      <c r="Q217" s="28" t="e" cm="1">
        <f t="array" ref="Q217">INDEX(ArchiveResults!$A$4:$IX$116,IndividualReport!$K$2,IndividualReport!P217)</f>
        <v>#N/A</v>
      </c>
      <c r="S217" s="10"/>
      <c r="T217" s="10"/>
      <c r="U217" s="10"/>
      <c r="V217" s="10"/>
      <c r="W217" s="10"/>
      <c r="X217" s="10"/>
      <c r="Y217" s="10"/>
      <c r="Z217" s="10"/>
      <c r="AA217" s="10"/>
      <c r="AB217" s="10"/>
    </row>
    <row r="218" spans="1:28" ht="39.950000000000003" customHeight="1" x14ac:dyDescent="0.25">
      <c r="L218" s="228"/>
      <c r="M218" s="228"/>
      <c r="N218" s="227"/>
      <c r="O218" s="26" t="s">
        <v>401</v>
      </c>
      <c r="P218" s="27">
        <v>187</v>
      </c>
      <c r="Q218" s="28" t="e" cm="1">
        <f t="array" ref="Q218">INDEX(ArchiveResults!$A$4:$IX$116,IndividualReport!$K$2,IndividualReport!P218)</f>
        <v>#N/A</v>
      </c>
      <c r="S218" s="10"/>
      <c r="T218" s="10"/>
      <c r="U218" s="10"/>
      <c r="V218" s="10"/>
      <c r="W218" s="10"/>
      <c r="X218" s="10"/>
      <c r="Y218" s="10"/>
      <c r="Z218" s="10"/>
      <c r="AA218" s="10"/>
      <c r="AB218" s="10"/>
    </row>
    <row r="219" spans="1:28" ht="39.950000000000003" customHeight="1" x14ac:dyDescent="0.25">
      <c r="L219" s="228"/>
      <c r="M219" s="228"/>
      <c r="N219" s="227"/>
      <c r="O219" s="29" t="s">
        <v>414</v>
      </c>
      <c r="P219" s="30">
        <v>188</v>
      </c>
      <c r="Q219" s="31" t="e" cm="1">
        <f t="array" ref="Q219">INDEX(ArchiveResults!$A$4:$IX$116,IndividualReport!$K$2,IndividualReport!P219)</f>
        <v>#N/A</v>
      </c>
      <c r="S219" s="10"/>
      <c r="T219" s="10"/>
      <c r="U219" s="10"/>
      <c r="V219" s="10"/>
      <c r="W219" s="10"/>
      <c r="X219" s="10"/>
      <c r="Y219" s="10"/>
      <c r="Z219" s="10"/>
      <c r="AA219" s="10"/>
      <c r="AB219" s="10"/>
    </row>
    <row r="220" spans="1:28" ht="39.950000000000003" customHeight="1" x14ac:dyDescent="0.25">
      <c r="L220" s="21"/>
      <c r="M220" s="21"/>
      <c r="N220" s="22"/>
      <c r="O220" s="32"/>
      <c r="P220" s="33"/>
      <c r="Q220" s="34"/>
      <c r="S220" s="10"/>
      <c r="T220" s="10"/>
      <c r="U220" s="10"/>
      <c r="V220" s="10"/>
      <c r="W220" s="10"/>
      <c r="X220" s="10"/>
      <c r="Y220" s="10"/>
      <c r="Z220" s="10"/>
      <c r="AA220" s="10"/>
      <c r="AB220" s="10"/>
    </row>
    <row r="221" spans="1:28" ht="39.950000000000003" customHeight="1" x14ac:dyDescent="0.25">
      <c r="L221" s="228" t="s">
        <v>320</v>
      </c>
      <c r="M221" s="228" t="s">
        <v>448</v>
      </c>
      <c r="N221" s="227" t="s">
        <v>386</v>
      </c>
      <c r="O221" s="23" t="s">
        <v>396</v>
      </c>
      <c r="P221" s="24">
        <v>189</v>
      </c>
      <c r="Q221" s="41" t="e" cm="1">
        <f t="array" ref="Q221">INDEX(ArchiveResults!$A$4:$IX$116,IndividualReport!$K$2,IndividualReport!P221)</f>
        <v>#N/A</v>
      </c>
      <c r="R221" s="17" t="e">
        <f>10-Q221</f>
        <v>#N/A</v>
      </c>
      <c r="S221" s="10"/>
      <c r="T221" s="10"/>
      <c r="U221" s="10"/>
      <c r="V221" s="10"/>
      <c r="W221" s="10"/>
      <c r="X221" s="10"/>
      <c r="Y221" s="10"/>
      <c r="Z221" s="10"/>
      <c r="AA221" s="10"/>
      <c r="AB221" s="10"/>
    </row>
    <row r="222" spans="1:28" ht="39.950000000000003" customHeight="1" x14ac:dyDescent="0.25">
      <c r="L222" s="228"/>
      <c r="M222" s="228"/>
      <c r="N222" s="227"/>
      <c r="O222" s="29" t="s">
        <v>394</v>
      </c>
      <c r="P222" s="30">
        <v>190</v>
      </c>
      <c r="Q222" s="31" t="e" cm="1">
        <f t="array" ref="Q222">INDEX(ArchiveResults!$A$4:$IX$116,IndividualReport!$K$2,IndividualReport!P222)</f>
        <v>#N/A</v>
      </c>
      <c r="S222" s="10"/>
      <c r="T222" s="10"/>
      <c r="U222" s="10"/>
      <c r="V222" s="10"/>
      <c r="W222" s="10"/>
      <c r="X222" s="10"/>
      <c r="Y222" s="10"/>
      <c r="Z222" s="10"/>
      <c r="AA222" s="10"/>
      <c r="AB222" s="10"/>
    </row>
    <row r="223" spans="1:28" ht="39.950000000000003" customHeight="1" x14ac:dyDescent="0.25">
      <c r="L223" s="21"/>
      <c r="M223" s="21"/>
      <c r="N223" s="22"/>
      <c r="O223" s="32"/>
      <c r="P223" s="33"/>
      <c r="Q223" s="34"/>
      <c r="S223" s="10"/>
      <c r="T223" s="10"/>
      <c r="U223" s="10"/>
      <c r="V223" s="10"/>
      <c r="W223" s="10"/>
      <c r="X223" s="10"/>
      <c r="Y223" s="10"/>
      <c r="Z223" s="10"/>
      <c r="AA223" s="10"/>
      <c r="AB223" s="10"/>
    </row>
    <row r="224" spans="1:28" ht="39.950000000000003" customHeight="1" x14ac:dyDescent="0.25">
      <c r="A224" s="7" t="e">
        <f>RANK(B224,$B$224:$B$227,1)</f>
        <v>#N/A</v>
      </c>
      <c r="B224" s="7" t="e">
        <f>(C224*D224)+E224</f>
        <v>#N/A</v>
      </c>
      <c r="C224" s="7">
        <v>0.1</v>
      </c>
      <c r="D224" s="7">
        <f>(COUNTIF($E$224:$E$227,E224)&gt;1)*1</f>
        <v>1</v>
      </c>
      <c r="E224" s="7" t="e">
        <f>RANK(G224,$G$224:$G$227)</f>
        <v>#N/A</v>
      </c>
      <c r="F224" s="7" t="s">
        <v>406</v>
      </c>
      <c r="G224" s="7" t="e" cm="1">
        <f t="array" ref="G224">INDEX(ArchiveResults!$A$4:$IX$116,IndividualReport!$K$2,IndividualReport!P224)</f>
        <v>#N/A</v>
      </c>
      <c r="H224" s="7">
        <v>1</v>
      </c>
      <c r="L224" s="228" t="s">
        <v>321</v>
      </c>
      <c r="M224" s="228" t="s">
        <v>331</v>
      </c>
      <c r="N224" s="35" t="e">
        <f>INDEX($F$224:$F$227,MATCH(H224,$A$224:$A$227,0))</f>
        <v>#N/A</v>
      </c>
      <c r="O224" s="23" t="s">
        <v>395</v>
      </c>
      <c r="P224" s="24">
        <v>191</v>
      </c>
      <c r="Q224" s="25" t="e">
        <f>INDEX($G$224:$G$227,MATCH(H224,$A$224:$A$227,0))</f>
        <v>#N/A</v>
      </c>
      <c r="S224" s="10"/>
      <c r="T224" s="10"/>
      <c r="U224" s="10"/>
      <c r="V224" s="10"/>
      <c r="W224" s="10"/>
      <c r="X224" s="10"/>
      <c r="Y224" s="10"/>
      <c r="Z224" s="10"/>
      <c r="AA224" s="10"/>
      <c r="AB224" s="10"/>
    </row>
    <row r="225" spans="1:28" ht="39.950000000000003" customHeight="1" x14ac:dyDescent="0.25">
      <c r="A225" s="7" t="e">
        <f t="shared" ref="A225:A227" si="10">RANK(B225,$B$224:$B$227,1)</f>
        <v>#N/A</v>
      </c>
      <c r="B225" s="7" t="e">
        <f t="shared" ref="B225:B227" si="11">(C225*D225)+E225</f>
        <v>#N/A</v>
      </c>
      <c r="C225" s="7">
        <v>1</v>
      </c>
      <c r="D225" s="7">
        <f t="shared" ref="D225:D227" si="12">(COUNTIF($E$224:$E$227,E225)&gt;1)*1</f>
        <v>1</v>
      </c>
      <c r="E225" s="7" t="e">
        <f t="shared" ref="E225:E227" si="13">RANK(G225,$G$224:$G$227)</f>
        <v>#N/A</v>
      </c>
      <c r="F225" s="7" t="s">
        <v>407</v>
      </c>
      <c r="G225" s="7" t="e" cm="1">
        <f t="array" ref="G225">INDEX(ArchiveResults!$A$4:$IX$116,IndividualReport!$K$2,IndividualReport!P225)</f>
        <v>#N/A</v>
      </c>
      <c r="H225" s="7">
        <v>2</v>
      </c>
      <c r="L225" s="228"/>
      <c r="M225" s="228"/>
      <c r="N225" s="36" t="e">
        <f t="shared" ref="N225:N227" si="14">INDEX($F$224:$F$227,MATCH(H225,$A$224:$A$227,0))</f>
        <v>#N/A</v>
      </c>
      <c r="O225" s="26" t="s">
        <v>395</v>
      </c>
      <c r="P225" s="27">
        <v>192</v>
      </c>
      <c r="Q225" s="28" t="e">
        <f t="shared" ref="Q225:Q227" si="15">INDEX($G$224:$G$227,MATCH(H225,$A$224:$A$227,0))</f>
        <v>#N/A</v>
      </c>
      <c r="S225" s="10"/>
      <c r="T225" s="10"/>
      <c r="U225" s="10"/>
      <c r="V225" s="10"/>
      <c r="W225" s="10"/>
      <c r="X225" s="10"/>
      <c r="Y225" s="10"/>
      <c r="Z225" s="10"/>
      <c r="AA225" s="10"/>
      <c r="AB225" s="10"/>
    </row>
    <row r="226" spans="1:28" ht="39.950000000000003" customHeight="1" x14ac:dyDescent="0.25">
      <c r="A226" s="7" t="e">
        <f t="shared" si="10"/>
        <v>#N/A</v>
      </c>
      <c r="B226" s="7" t="e">
        <f t="shared" si="11"/>
        <v>#N/A</v>
      </c>
      <c r="C226" s="7">
        <v>1E-3</v>
      </c>
      <c r="D226" s="7">
        <f t="shared" si="12"/>
        <v>1</v>
      </c>
      <c r="E226" s="7" t="e">
        <f t="shared" si="13"/>
        <v>#N/A</v>
      </c>
      <c r="F226" s="7" t="s">
        <v>408</v>
      </c>
      <c r="G226" s="7" t="e" cm="1">
        <f t="array" ref="G226">INDEX(ArchiveResults!$A$4:$IX$116,IndividualReport!$K$2,IndividualReport!P226)</f>
        <v>#N/A</v>
      </c>
      <c r="H226" s="7">
        <v>3</v>
      </c>
      <c r="L226" s="228"/>
      <c r="M226" s="228"/>
      <c r="N226" s="36" t="e">
        <f t="shared" si="14"/>
        <v>#N/A</v>
      </c>
      <c r="O226" s="26" t="s">
        <v>395</v>
      </c>
      <c r="P226" s="27">
        <v>193</v>
      </c>
      <c r="Q226" s="28" t="e">
        <f t="shared" si="15"/>
        <v>#N/A</v>
      </c>
      <c r="S226" s="10"/>
      <c r="T226" s="10"/>
      <c r="U226" s="10"/>
      <c r="V226" s="10"/>
      <c r="W226" s="10"/>
      <c r="X226" s="10"/>
      <c r="Y226" s="10"/>
      <c r="Z226" s="10"/>
      <c r="AA226" s="10"/>
      <c r="AB226" s="10"/>
    </row>
    <row r="227" spans="1:28" ht="39.950000000000003" customHeight="1" x14ac:dyDescent="0.25">
      <c r="A227" s="7" t="e">
        <f t="shared" si="10"/>
        <v>#N/A</v>
      </c>
      <c r="B227" s="7" t="e">
        <f t="shared" si="11"/>
        <v>#N/A</v>
      </c>
      <c r="C227" s="7">
        <v>1E-4</v>
      </c>
      <c r="D227" s="7">
        <f t="shared" si="12"/>
        <v>1</v>
      </c>
      <c r="E227" s="7" t="e">
        <f t="shared" si="13"/>
        <v>#N/A</v>
      </c>
      <c r="F227" s="7" t="s">
        <v>409</v>
      </c>
      <c r="G227" s="7" t="e" cm="1">
        <f t="array" ref="G227">INDEX(ArchiveResults!$A$4:$IX$116,IndividualReport!$K$2,IndividualReport!P227)</f>
        <v>#N/A</v>
      </c>
      <c r="H227" s="7">
        <v>4</v>
      </c>
      <c r="L227" s="228"/>
      <c r="M227" s="228"/>
      <c r="N227" s="36" t="e">
        <f t="shared" si="14"/>
        <v>#N/A</v>
      </c>
      <c r="O227" s="26" t="s">
        <v>395</v>
      </c>
      <c r="P227" s="27">
        <v>194</v>
      </c>
      <c r="Q227" s="28" t="e">
        <f t="shared" si="15"/>
        <v>#N/A</v>
      </c>
      <c r="S227" s="10"/>
      <c r="T227" s="10"/>
      <c r="U227" s="10"/>
      <c r="V227" s="10"/>
      <c r="W227" s="10"/>
      <c r="X227" s="10"/>
      <c r="Y227" s="10"/>
      <c r="Z227" s="10"/>
      <c r="AA227" s="10"/>
      <c r="AB227" s="10"/>
    </row>
    <row r="228" spans="1:28" ht="39.950000000000003" customHeight="1" x14ac:dyDescent="0.25">
      <c r="L228" s="228"/>
      <c r="M228" s="228"/>
      <c r="N228" s="36" t="s">
        <v>391</v>
      </c>
      <c r="O228" s="26" t="s">
        <v>395</v>
      </c>
      <c r="P228" s="27">
        <v>195</v>
      </c>
      <c r="Q228" s="28" t="e" cm="1">
        <f t="array" ref="Q228">INDEX(ArchiveResults!$A$4:$IX$116,IndividualReport!$K$2,IndividualReport!P228)</f>
        <v>#N/A</v>
      </c>
      <c r="S228" s="10"/>
      <c r="T228" s="10"/>
      <c r="U228" s="10"/>
      <c r="V228" s="10"/>
      <c r="W228" s="10"/>
      <c r="X228" s="10"/>
      <c r="Y228" s="10"/>
      <c r="Z228" s="10"/>
      <c r="AA228" s="10"/>
      <c r="AB228" s="10"/>
    </row>
    <row r="229" spans="1:28" ht="39.950000000000003" customHeight="1" x14ac:dyDescent="0.25">
      <c r="L229" s="228"/>
      <c r="M229" s="228"/>
      <c r="N229" s="37" t="s">
        <v>394</v>
      </c>
      <c r="O229" s="29" t="s">
        <v>413</v>
      </c>
      <c r="P229" s="30">
        <v>196</v>
      </c>
      <c r="Q229" s="31" t="e" cm="1">
        <f t="array" ref="Q229">INDEX(ArchiveResults!$A$4:$IX$116,IndividualReport!$K$2,IndividualReport!P229)</f>
        <v>#N/A</v>
      </c>
      <c r="S229" s="10"/>
      <c r="T229" s="10"/>
      <c r="U229" s="10"/>
      <c r="V229" s="10"/>
      <c r="W229" s="10"/>
      <c r="X229" s="10"/>
      <c r="Y229" s="10"/>
      <c r="Z229" s="10"/>
      <c r="AA229" s="10"/>
      <c r="AB229" s="10"/>
    </row>
    <row r="230" spans="1:28" ht="39.950000000000003" customHeight="1" x14ac:dyDescent="0.25">
      <c r="L230" s="21"/>
      <c r="M230" s="21"/>
      <c r="N230" s="22"/>
      <c r="O230" s="32"/>
      <c r="P230" s="33"/>
      <c r="Q230" s="34"/>
      <c r="S230" s="10"/>
      <c r="T230" s="10"/>
      <c r="U230" s="10"/>
      <c r="V230" s="10"/>
      <c r="W230" s="10"/>
      <c r="X230" s="10"/>
      <c r="Y230" s="10"/>
      <c r="Z230" s="10"/>
      <c r="AA230" s="10"/>
      <c r="AB230" s="10"/>
    </row>
    <row r="231" spans="1:28" ht="39.950000000000003" customHeight="1" x14ac:dyDescent="0.25">
      <c r="A231" s="7" t="e">
        <f>RANK(B231,$B$231:$B$233,1)</f>
        <v>#N/A</v>
      </c>
      <c r="B231" s="7" t="e">
        <f>(C231*D231)+E231</f>
        <v>#N/A</v>
      </c>
      <c r="C231" s="7">
        <v>0.01</v>
      </c>
      <c r="D231" s="7">
        <f>(COUNTIF($E$231:$E$233,E231)&gt;1)*1</f>
        <v>1</v>
      </c>
      <c r="E231" s="7" t="e">
        <f>RANK(G231,$G$231:$G$233)</f>
        <v>#N/A</v>
      </c>
      <c r="F231" s="7" t="s">
        <v>410</v>
      </c>
      <c r="G231" s="7" t="e" cm="1">
        <f t="array" ref="G231">INDEX(ArchiveResults!$A$4:$IX$116,IndividualReport!$K$2,IndividualReport!P231)</f>
        <v>#N/A</v>
      </c>
      <c r="H231" s="7">
        <v>1</v>
      </c>
      <c r="L231" s="228" t="s">
        <v>321</v>
      </c>
      <c r="M231" s="228" t="s">
        <v>332</v>
      </c>
      <c r="N231" s="35" t="e">
        <f>INDEX($F$231:$F$233,MATCH(H231,$A$231:$A$233,0))</f>
        <v>#N/A</v>
      </c>
      <c r="O231" s="23" t="s">
        <v>395</v>
      </c>
      <c r="P231" s="24">
        <v>197</v>
      </c>
      <c r="Q231" s="25" t="e">
        <f>INDEX($G$231:$G$233,MATCH(H231,$A$231:$A$233,0))</f>
        <v>#N/A</v>
      </c>
      <c r="S231" s="10"/>
      <c r="T231" s="10"/>
      <c r="U231" s="10"/>
      <c r="V231" s="10"/>
      <c r="W231" s="10"/>
      <c r="X231" s="10"/>
      <c r="Y231" s="10"/>
      <c r="Z231" s="10"/>
      <c r="AA231" s="10"/>
      <c r="AB231" s="10"/>
    </row>
    <row r="232" spans="1:28" ht="39.950000000000003" customHeight="1" x14ac:dyDescent="0.25">
      <c r="A232" s="7" t="e">
        <f t="shared" ref="A232:A233" si="16">RANK(B232,$B$231:$B$233,1)</f>
        <v>#N/A</v>
      </c>
      <c r="B232" s="7" t="e">
        <f t="shared" ref="B232:B233" si="17">(C232*D232)+E232</f>
        <v>#N/A</v>
      </c>
      <c r="C232" s="7">
        <v>0.1</v>
      </c>
      <c r="D232" s="7">
        <f t="shared" ref="D232:D233" si="18">(COUNTIF($E$231:$E$233,E232)&gt;1)*1</f>
        <v>1</v>
      </c>
      <c r="E232" s="7" t="e">
        <f t="shared" ref="E232:E233" si="19">RANK(G232,$G$231:$G$233)</f>
        <v>#N/A</v>
      </c>
      <c r="F232" s="7" t="s">
        <v>411</v>
      </c>
      <c r="G232" s="7" t="e" cm="1">
        <f t="array" ref="G232">INDEX(ArchiveResults!$A$4:$IX$116,IndividualReport!$K$2,IndividualReport!P232)</f>
        <v>#N/A</v>
      </c>
      <c r="H232" s="7">
        <v>2</v>
      </c>
      <c r="L232" s="228"/>
      <c r="M232" s="228"/>
      <c r="N232" s="36" t="e">
        <f t="shared" ref="N232:N233" si="20">INDEX($F$231:$F$233,MATCH(H232,$A$231:$A$233,0))</f>
        <v>#N/A</v>
      </c>
      <c r="O232" s="26" t="s">
        <v>395</v>
      </c>
      <c r="P232" s="27">
        <v>198</v>
      </c>
      <c r="Q232" s="28" t="e">
        <f t="shared" ref="Q232:Q233" si="21">INDEX($G$231:$G$233,MATCH(H232,$A$231:$A$233,0))</f>
        <v>#N/A</v>
      </c>
      <c r="S232" s="10"/>
      <c r="T232" s="10"/>
      <c r="U232" s="10"/>
      <c r="V232" s="10"/>
      <c r="W232" s="10"/>
      <c r="X232" s="10"/>
      <c r="Y232" s="10"/>
      <c r="Z232" s="10"/>
      <c r="AA232" s="10"/>
      <c r="AB232" s="10"/>
    </row>
    <row r="233" spans="1:28" ht="39.950000000000003" customHeight="1" x14ac:dyDescent="0.25">
      <c r="A233" s="7" t="e">
        <f t="shared" si="16"/>
        <v>#N/A</v>
      </c>
      <c r="B233" s="7" t="e">
        <f t="shared" si="17"/>
        <v>#N/A</v>
      </c>
      <c r="C233" s="7">
        <v>1</v>
      </c>
      <c r="D233" s="7">
        <f t="shared" si="18"/>
        <v>1</v>
      </c>
      <c r="E233" s="7" t="e">
        <f t="shared" si="19"/>
        <v>#N/A</v>
      </c>
      <c r="F233" s="7" t="s">
        <v>412</v>
      </c>
      <c r="G233" s="7" t="e" cm="1">
        <f t="array" ref="G233">INDEX(ArchiveResults!$A$4:$IX$116,IndividualReport!$K$2,IndividualReport!P233)</f>
        <v>#N/A</v>
      </c>
      <c r="H233" s="7">
        <v>3</v>
      </c>
      <c r="L233" s="228"/>
      <c r="M233" s="228"/>
      <c r="N233" s="36" t="e">
        <f t="shared" si="20"/>
        <v>#N/A</v>
      </c>
      <c r="O233" s="26" t="s">
        <v>395</v>
      </c>
      <c r="P233" s="27">
        <v>199</v>
      </c>
      <c r="Q233" s="28" t="e">
        <f t="shared" si="21"/>
        <v>#N/A</v>
      </c>
      <c r="S233" s="10"/>
      <c r="T233" s="10"/>
      <c r="U233" s="10"/>
      <c r="V233" s="10"/>
      <c r="W233" s="10"/>
      <c r="X233" s="10"/>
      <c r="Y233" s="10"/>
      <c r="Z233" s="10"/>
      <c r="AA233" s="10"/>
      <c r="AB233" s="10"/>
    </row>
    <row r="234" spans="1:28" ht="39.950000000000003" customHeight="1" x14ac:dyDescent="0.25">
      <c r="L234" s="228"/>
      <c r="M234" s="228"/>
      <c r="N234" s="36" t="s">
        <v>391</v>
      </c>
      <c r="O234" s="26" t="s">
        <v>395</v>
      </c>
      <c r="P234" s="27">
        <v>200</v>
      </c>
      <c r="Q234" s="28" t="e" cm="1">
        <f t="array" ref="Q234">INDEX(ArchiveResults!$A$4:$IX$116,IndividualReport!$K$2,IndividualReport!P234)</f>
        <v>#N/A</v>
      </c>
      <c r="S234" s="10"/>
      <c r="T234" s="10"/>
      <c r="U234" s="10"/>
      <c r="V234" s="10"/>
      <c r="W234" s="10"/>
      <c r="X234" s="10"/>
      <c r="Y234" s="10"/>
      <c r="Z234" s="10"/>
      <c r="AA234" s="10"/>
      <c r="AB234" s="10"/>
    </row>
    <row r="235" spans="1:28" ht="39.950000000000003" customHeight="1" x14ac:dyDescent="0.25">
      <c r="L235" s="228"/>
      <c r="M235" s="228"/>
      <c r="N235" s="37" t="s">
        <v>394</v>
      </c>
      <c r="O235" s="29" t="s">
        <v>413</v>
      </c>
      <c r="P235" s="30">
        <v>201</v>
      </c>
      <c r="Q235" s="31" t="e" cm="1">
        <f t="array" ref="Q235">INDEX(ArchiveResults!$A$4:$IX$116,IndividualReport!$K$2,IndividualReport!P235)</f>
        <v>#N/A</v>
      </c>
      <c r="S235" s="10"/>
      <c r="T235" s="10"/>
      <c r="U235" s="10"/>
      <c r="V235" s="10"/>
      <c r="W235" s="10"/>
      <c r="X235" s="10"/>
      <c r="Y235" s="10"/>
      <c r="Z235" s="10"/>
      <c r="AA235" s="10"/>
      <c r="AB235" s="10"/>
    </row>
    <row r="236" spans="1:28" ht="39.950000000000003" customHeight="1" x14ac:dyDescent="0.25">
      <c r="L236" s="21"/>
      <c r="M236" s="21"/>
      <c r="N236" s="22"/>
      <c r="O236" s="32"/>
      <c r="P236" s="33"/>
      <c r="Q236" s="34"/>
      <c r="S236" s="10"/>
      <c r="T236" s="10"/>
      <c r="U236" s="10"/>
      <c r="V236" s="10"/>
      <c r="W236" s="10"/>
      <c r="X236" s="10"/>
      <c r="Y236" s="10"/>
      <c r="Z236" s="10"/>
      <c r="AA236" s="10"/>
      <c r="AB236" s="10"/>
    </row>
    <row r="237" spans="1:28" ht="39.950000000000003" customHeight="1" x14ac:dyDescent="0.25">
      <c r="L237" s="228" t="s">
        <v>321</v>
      </c>
      <c r="M237" s="228" t="s">
        <v>333</v>
      </c>
      <c r="N237" s="35" t="s">
        <v>396</v>
      </c>
      <c r="O237" s="23" t="s">
        <v>415</v>
      </c>
      <c r="P237" s="24">
        <v>202</v>
      </c>
      <c r="Q237" s="38" t="e" cm="1">
        <f t="array" ref="Q237">INDEX(ArchiveResults!$A$4:$IX$116,IndividualReport!$K$2,IndividualReport!P237)</f>
        <v>#N/A</v>
      </c>
      <c r="R237" s="17" t="e">
        <f>MAX(ArchiveResults!GT5:GT116)-Q237</f>
        <v>#N/A</v>
      </c>
      <c r="S237" s="10"/>
      <c r="T237" s="10"/>
      <c r="U237" s="10"/>
      <c r="V237" s="10"/>
      <c r="W237" s="10"/>
      <c r="X237" s="10"/>
      <c r="Y237" s="10"/>
      <c r="Z237" s="10"/>
      <c r="AA237" s="10"/>
      <c r="AB237" s="10"/>
    </row>
    <row r="238" spans="1:28" ht="39.950000000000003" customHeight="1" x14ac:dyDescent="0.25">
      <c r="L238" s="228"/>
      <c r="M238" s="228"/>
      <c r="N238" s="37" t="s">
        <v>394</v>
      </c>
      <c r="O238" s="29" t="s">
        <v>413</v>
      </c>
      <c r="P238" s="30">
        <v>203</v>
      </c>
      <c r="Q238" s="31" t="e" cm="1">
        <f t="array" ref="Q238">INDEX(ArchiveResults!$A$4:$IX$116,IndividualReport!$K$2,IndividualReport!P238)</f>
        <v>#N/A</v>
      </c>
      <c r="S238" s="10"/>
      <c r="T238" s="10"/>
      <c r="U238" s="10"/>
      <c r="V238" s="10"/>
      <c r="W238" s="10"/>
      <c r="X238" s="10"/>
      <c r="Y238" s="10"/>
      <c r="Z238" s="10"/>
      <c r="AA238" s="10"/>
      <c r="AB238" s="10"/>
    </row>
    <row r="239" spans="1:28" ht="39.950000000000003" customHeight="1" x14ac:dyDescent="0.25">
      <c r="L239" s="21"/>
      <c r="M239" s="21"/>
      <c r="N239" s="22"/>
      <c r="O239" s="32"/>
      <c r="P239" s="33"/>
      <c r="Q239" s="34"/>
      <c r="S239" s="10"/>
      <c r="T239" s="10"/>
      <c r="U239" s="10"/>
      <c r="V239" s="10"/>
      <c r="W239" s="10"/>
      <c r="X239" s="10"/>
      <c r="Y239" s="10"/>
      <c r="Z239" s="10"/>
      <c r="AA239" s="10"/>
      <c r="AB239" s="10"/>
    </row>
    <row r="240" spans="1:28" ht="39.950000000000003" customHeight="1" x14ac:dyDescent="0.25">
      <c r="G240" s="6" t="s">
        <v>417</v>
      </c>
      <c r="H240" s="6" t="s">
        <v>418</v>
      </c>
      <c r="I240" s="9"/>
      <c r="L240" s="228" t="s">
        <v>322</v>
      </c>
      <c r="M240" s="228" t="s">
        <v>416</v>
      </c>
      <c r="N240" s="227" t="s">
        <v>387</v>
      </c>
      <c r="O240" s="23" t="s">
        <v>417</v>
      </c>
      <c r="P240" s="24">
        <v>204</v>
      </c>
      <c r="Q240" s="25" t="e" cm="1">
        <f t="array" ref="Q240">INDEX(ArchiveResults!$A$4:$IX$116,IndividualReport!$K$2,IndividualReport!P240)</f>
        <v>#N/A</v>
      </c>
      <c r="S240" s="10"/>
      <c r="T240" s="10"/>
      <c r="U240" s="10"/>
      <c r="V240" s="10"/>
      <c r="W240" s="10"/>
      <c r="X240" s="10">
        <v>1</v>
      </c>
      <c r="Y240" s="10" t="e">
        <f>INDEX($F$241:$F$244,MATCH(X240,$A$241:$A$244,0))</f>
        <v>#N/A</v>
      </c>
      <c r="Z240" s="10" t="e">
        <f>INDEX($G$241:$G$244,MATCH(X240,$A$241:$A$244,0))</f>
        <v>#N/A</v>
      </c>
      <c r="AA240" s="10" t="e">
        <f>INDEX($H$241:$H$244,MATCH(X240,$A$241:$A$244,0))</f>
        <v>#N/A</v>
      </c>
      <c r="AB240" s="10"/>
    </row>
    <row r="241" spans="1:28" ht="39.950000000000003" customHeight="1" x14ac:dyDescent="0.25">
      <c r="A241" s="7" t="e">
        <f>RANK(B241,$B$241:$B$244,1)</f>
        <v>#N/A</v>
      </c>
      <c r="B241" s="7" t="e">
        <f>(C241*D241)+E241</f>
        <v>#N/A</v>
      </c>
      <c r="C241" s="7">
        <v>0.01</v>
      </c>
      <c r="D241" s="7">
        <f>(COUNTIF($E$241:$E$244,E241)&gt;1)*1</f>
        <v>1</v>
      </c>
      <c r="E241" s="7" t="e">
        <f>RANK(G241,$G$241:$G$244)</f>
        <v>#N/A</v>
      </c>
      <c r="F241" s="7" t="s">
        <v>387</v>
      </c>
      <c r="G241" s="7" t="e" cm="1">
        <f t="array" ref="G241">INDEX(ArchiveResults!$A$4:$IX$116,IndividualReport!$K$2,IndividualReport!P240)</f>
        <v>#N/A</v>
      </c>
      <c r="H241" s="7" t="e" cm="1">
        <f t="array" ref="H241">INDEX(ArchiveResults!$A$4:$IX$116,IndividualReport!$K$2,IndividualReport!P241)</f>
        <v>#N/A</v>
      </c>
      <c r="I241" s="7"/>
      <c r="L241" s="228"/>
      <c r="M241" s="228"/>
      <c r="N241" s="227"/>
      <c r="O241" s="26" t="s">
        <v>418</v>
      </c>
      <c r="P241" s="27">
        <v>205</v>
      </c>
      <c r="Q241" s="28" t="e" cm="1">
        <f t="array" ref="Q241">INDEX(ArchiveResults!$A$4:$IX$116,IndividualReport!$K$2,IndividualReport!P241)</f>
        <v>#N/A</v>
      </c>
      <c r="S241" s="10"/>
      <c r="T241" s="10"/>
      <c r="U241" s="10"/>
      <c r="V241" s="10"/>
      <c r="W241" s="10"/>
      <c r="X241" s="10">
        <v>2</v>
      </c>
      <c r="Y241" s="10" t="e">
        <f t="shared" ref="Y241:Y243" si="22">INDEX($F$241:$F$244,MATCH(X241,$A$241:$A$244,0))</f>
        <v>#N/A</v>
      </c>
      <c r="Z241" s="10" t="e">
        <f t="shared" ref="Z241:Z243" si="23">INDEX($G$241:$G$244,MATCH(X241,$A$241:$A$244,0))</f>
        <v>#N/A</v>
      </c>
      <c r="AA241" s="10" t="e">
        <f t="shared" ref="AA241:AA243" si="24">INDEX($H$241:$H$244,MATCH(X241,$A$241:$A$244,0))</f>
        <v>#N/A</v>
      </c>
      <c r="AB241" s="10"/>
    </row>
    <row r="242" spans="1:28" ht="39.950000000000003" customHeight="1" x14ac:dyDescent="0.25">
      <c r="A242" s="7" t="e">
        <f t="shared" ref="A242:A244" si="25">RANK(B242,$B$241:$B$244,1)</f>
        <v>#N/A</v>
      </c>
      <c r="B242" s="7" t="e">
        <f t="shared" ref="B242:B244" si="26">(C242*D242)+E242</f>
        <v>#N/A</v>
      </c>
      <c r="C242" s="7">
        <v>0.1</v>
      </c>
      <c r="D242" s="7">
        <f>(COUNTIF($E$241:$E$244,E242)&gt;1)*1</f>
        <v>1</v>
      </c>
      <c r="E242" s="7" t="e">
        <f>RANK(G242,$G$241:$G$244)</f>
        <v>#N/A</v>
      </c>
      <c r="F242" s="7" t="s">
        <v>388</v>
      </c>
      <c r="G242" s="7" t="e" cm="1">
        <f t="array" ref="G242">INDEX(ArchiveResults!$A$4:$IX$116,IndividualReport!$K$2,IndividualReport!P244)</f>
        <v>#N/A</v>
      </c>
      <c r="H242" s="7" t="e" cm="1">
        <f t="array" ref="H242">INDEX(ArchiveResults!$A$4:$IX$116,IndividualReport!$K$2,IndividualReport!P245)</f>
        <v>#N/A</v>
      </c>
      <c r="I242" s="7"/>
      <c r="L242" s="228"/>
      <c r="M242" s="228"/>
      <c r="N242" s="227"/>
      <c r="O242" s="29" t="s">
        <v>414</v>
      </c>
      <c r="P242" s="30">
        <v>206</v>
      </c>
      <c r="Q242" s="31" t="e" cm="1">
        <f t="array" ref="Q242">INDEX(ArchiveResults!$A$4:$IX$116,IndividualReport!$K$2,IndividualReport!P242)</f>
        <v>#N/A</v>
      </c>
      <c r="S242" s="10"/>
      <c r="T242" s="10"/>
      <c r="U242" s="10"/>
      <c r="V242" s="10"/>
      <c r="W242" s="10"/>
      <c r="X242" s="10">
        <v>3</v>
      </c>
      <c r="Y242" s="10" t="e">
        <f t="shared" si="22"/>
        <v>#N/A</v>
      </c>
      <c r="Z242" s="10" t="e">
        <f t="shared" si="23"/>
        <v>#N/A</v>
      </c>
      <c r="AA242" s="10" t="e">
        <f t="shared" si="24"/>
        <v>#N/A</v>
      </c>
      <c r="AB242" s="10"/>
    </row>
    <row r="243" spans="1:28" ht="39.950000000000003" customHeight="1" x14ac:dyDescent="0.25">
      <c r="A243" s="7" t="e">
        <f t="shared" si="25"/>
        <v>#N/A</v>
      </c>
      <c r="B243" s="7" t="e">
        <f t="shared" si="26"/>
        <v>#N/A</v>
      </c>
      <c r="C243" s="7">
        <v>1E-3</v>
      </c>
      <c r="D243" s="7">
        <f>(COUNTIF($E$241:$E$244,E243)&gt;1)*1</f>
        <v>1</v>
      </c>
      <c r="E243" s="7" t="e">
        <f>RANK(G243,$G$241:$G$244)</f>
        <v>#N/A</v>
      </c>
      <c r="F243" s="7" t="s">
        <v>389</v>
      </c>
      <c r="G243" s="7" t="e" cm="1">
        <f t="array" ref="G243">INDEX(ArchiveResults!$A$4:$IX$116,IndividualReport!$K$2,IndividualReport!P248)</f>
        <v>#N/A</v>
      </c>
      <c r="H243" s="7" t="e" cm="1">
        <f t="array" ref="H243">INDEX(ArchiveResults!$A$4:$IX$116,IndividualReport!$K$2,IndividualReport!P249)</f>
        <v>#N/A</v>
      </c>
      <c r="I243" s="7"/>
      <c r="L243" s="21"/>
      <c r="M243" s="21"/>
      <c r="N243" s="22"/>
      <c r="O243" s="32"/>
      <c r="P243" s="33"/>
      <c r="Q243" s="34"/>
      <c r="S243" s="10"/>
      <c r="T243" s="10"/>
      <c r="U243" s="10"/>
      <c r="V243" s="10"/>
      <c r="W243" s="10"/>
      <c r="X243" s="10">
        <v>4</v>
      </c>
      <c r="Y243" s="10" t="e">
        <f t="shared" si="22"/>
        <v>#N/A</v>
      </c>
      <c r="Z243" s="10" t="e">
        <f t="shared" si="23"/>
        <v>#N/A</v>
      </c>
      <c r="AA243" s="10" t="e">
        <f t="shared" si="24"/>
        <v>#N/A</v>
      </c>
      <c r="AB243" s="10"/>
    </row>
    <row r="244" spans="1:28" ht="39.950000000000003" customHeight="1" x14ac:dyDescent="0.25">
      <c r="A244" s="7" t="e">
        <f t="shared" si="25"/>
        <v>#N/A</v>
      </c>
      <c r="B244" s="7" t="e">
        <f t="shared" si="26"/>
        <v>#N/A</v>
      </c>
      <c r="C244" s="7">
        <v>1</v>
      </c>
      <c r="D244" s="7">
        <f>(COUNTIF($E$241:$E$244,E244)&gt;1)*1</f>
        <v>1</v>
      </c>
      <c r="E244" s="7" t="e">
        <f>RANK(G244,$G$241:$G$244)</f>
        <v>#N/A</v>
      </c>
      <c r="F244" s="7" t="s">
        <v>390</v>
      </c>
      <c r="G244" s="7" t="e" cm="1">
        <f t="array" ref="G244">INDEX(ArchiveResults!$A$4:$IX$116,IndividualReport!$K$2,IndividualReport!P252)</f>
        <v>#N/A</v>
      </c>
      <c r="H244" s="7" t="e" cm="1">
        <f t="array" ref="H244">INDEX(ArchiveResults!$A$4:$IX$116,IndividualReport!$K$2,IndividualReport!P253)</f>
        <v>#N/A</v>
      </c>
      <c r="I244" s="7"/>
      <c r="L244" s="228" t="s">
        <v>322</v>
      </c>
      <c r="M244" s="228" t="s">
        <v>416</v>
      </c>
      <c r="N244" s="227" t="s">
        <v>388</v>
      </c>
      <c r="O244" s="23" t="s">
        <v>417</v>
      </c>
      <c r="P244" s="24">
        <v>207</v>
      </c>
      <c r="Q244" s="25" t="e" cm="1">
        <f t="array" ref="Q244">INDEX(ArchiveResults!$A$4:$IX$116,IndividualReport!$K$2,IndividualReport!P244)</f>
        <v>#N/A</v>
      </c>
      <c r="S244" s="10"/>
      <c r="T244" s="10"/>
      <c r="U244" s="10"/>
      <c r="V244" s="10"/>
      <c r="W244" s="10"/>
      <c r="X244" s="10"/>
      <c r="Y244" s="10"/>
      <c r="Z244" s="10"/>
      <c r="AA244" s="10"/>
      <c r="AB244" s="10"/>
    </row>
    <row r="245" spans="1:28" ht="39.950000000000003" customHeight="1" x14ac:dyDescent="0.25">
      <c r="L245" s="228"/>
      <c r="M245" s="228"/>
      <c r="N245" s="227"/>
      <c r="O245" s="26" t="s">
        <v>418</v>
      </c>
      <c r="P245" s="27">
        <v>208</v>
      </c>
      <c r="Q245" s="28" t="e" cm="1">
        <f t="array" ref="Q245">INDEX(ArchiveResults!$A$4:$IX$116,IndividualReport!$K$2,IndividualReport!P245)</f>
        <v>#N/A</v>
      </c>
      <c r="S245" s="10"/>
      <c r="T245" s="10"/>
      <c r="U245" s="10"/>
      <c r="V245" s="10"/>
      <c r="W245" s="10"/>
      <c r="X245" s="10"/>
      <c r="Y245" s="10"/>
      <c r="Z245" s="10"/>
      <c r="AA245" s="10"/>
      <c r="AB245" s="10"/>
    </row>
    <row r="246" spans="1:28" ht="39.950000000000003" customHeight="1" x14ac:dyDescent="0.25">
      <c r="L246" s="228"/>
      <c r="M246" s="228"/>
      <c r="N246" s="227"/>
      <c r="O246" s="29" t="s">
        <v>414</v>
      </c>
      <c r="P246" s="30">
        <v>209</v>
      </c>
      <c r="Q246" s="31" t="e" cm="1">
        <f t="array" ref="Q246">INDEX(ArchiveResults!$A$4:$IX$116,IndividualReport!$K$2,IndividualReport!P246)</f>
        <v>#N/A</v>
      </c>
      <c r="S246" s="10"/>
      <c r="T246" s="10"/>
      <c r="U246" s="10"/>
      <c r="V246" s="10"/>
      <c r="W246" s="10"/>
      <c r="X246" s="10"/>
      <c r="Y246" s="10"/>
      <c r="Z246" s="10"/>
      <c r="AA246" s="10"/>
      <c r="AB246" s="10"/>
    </row>
    <row r="247" spans="1:28" ht="39.950000000000003" customHeight="1" x14ac:dyDescent="0.25">
      <c r="L247" s="21"/>
      <c r="M247" s="21"/>
      <c r="N247" s="22"/>
      <c r="O247" s="32"/>
      <c r="P247" s="33"/>
      <c r="Q247" s="34"/>
      <c r="S247" s="10"/>
      <c r="T247" s="10"/>
      <c r="U247" s="10"/>
      <c r="V247" s="10"/>
      <c r="W247" s="10"/>
      <c r="X247" s="10"/>
      <c r="Y247" s="10"/>
      <c r="Z247" s="10"/>
      <c r="AA247" s="10"/>
      <c r="AB247" s="10"/>
    </row>
    <row r="248" spans="1:28" ht="39.950000000000003" customHeight="1" x14ac:dyDescent="0.25">
      <c r="L248" s="228" t="s">
        <v>322</v>
      </c>
      <c r="M248" s="228" t="s">
        <v>416</v>
      </c>
      <c r="N248" s="227" t="s">
        <v>389</v>
      </c>
      <c r="O248" s="23" t="s">
        <v>417</v>
      </c>
      <c r="P248" s="24">
        <v>210</v>
      </c>
      <c r="Q248" s="25" t="e" cm="1">
        <f t="array" ref="Q248">INDEX(ArchiveResults!$A$4:$IX$116,IndividualReport!$K$2,IndividualReport!P248)</f>
        <v>#N/A</v>
      </c>
      <c r="S248" s="10"/>
      <c r="T248" s="10"/>
      <c r="U248" s="10"/>
      <c r="V248" s="10"/>
      <c r="W248" s="10"/>
      <c r="X248" s="10"/>
      <c r="Y248" s="10"/>
      <c r="Z248" s="10"/>
      <c r="AA248" s="10"/>
      <c r="AB248" s="10"/>
    </row>
    <row r="249" spans="1:28" ht="39.950000000000003" customHeight="1" x14ac:dyDescent="0.25">
      <c r="L249" s="228"/>
      <c r="M249" s="228"/>
      <c r="N249" s="227"/>
      <c r="O249" s="26" t="s">
        <v>418</v>
      </c>
      <c r="P249" s="27">
        <v>211</v>
      </c>
      <c r="Q249" s="28" t="e" cm="1">
        <f t="array" ref="Q249">INDEX(ArchiveResults!$A$4:$IX$116,IndividualReport!$K$2,IndividualReport!P249)</f>
        <v>#N/A</v>
      </c>
      <c r="S249" s="10"/>
      <c r="T249" s="10"/>
      <c r="U249" s="10"/>
      <c r="V249" s="10"/>
      <c r="W249" s="10"/>
      <c r="X249" s="10"/>
      <c r="Y249" s="10"/>
      <c r="Z249" s="10"/>
      <c r="AA249" s="10"/>
      <c r="AB249" s="10"/>
    </row>
    <row r="250" spans="1:28" ht="39.950000000000003" customHeight="1" x14ac:dyDescent="0.25">
      <c r="L250" s="228"/>
      <c r="M250" s="228"/>
      <c r="N250" s="227"/>
      <c r="O250" s="29" t="s">
        <v>414</v>
      </c>
      <c r="P250" s="30">
        <v>212</v>
      </c>
      <c r="Q250" s="31" t="e" cm="1">
        <f t="array" ref="Q250">INDEX(ArchiveResults!$A$4:$IX$116,IndividualReport!$K$2,IndividualReport!P250)</f>
        <v>#N/A</v>
      </c>
      <c r="S250" s="10"/>
      <c r="T250" s="10"/>
      <c r="U250" s="10"/>
      <c r="V250" s="10"/>
      <c r="W250" s="10"/>
      <c r="X250" s="10"/>
      <c r="Y250" s="10"/>
      <c r="Z250" s="10"/>
      <c r="AA250" s="10"/>
      <c r="AB250" s="10"/>
    </row>
    <row r="251" spans="1:28" ht="39.950000000000003" customHeight="1" x14ac:dyDescent="0.25">
      <c r="L251" s="21"/>
      <c r="M251" s="21"/>
      <c r="N251" s="22"/>
      <c r="O251" s="32"/>
      <c r="P251" s="33"/>
      <c r="Q251" s="34"/>
      <c r="S251" s="10"/>
      <c r="T251" s="10"/>
      <c r="U251" s="10"/>
      <c r="V251" s="10"/>
      <c r="W251" s="10"/>
      <c r="X251" s="10"/>
      <c r="Y251" s="10"/>
      <c r="Z251" s="10"/>
      <c r="AA251" s="10"/>
      <c r="AB251" s="10"/>
    </row>
    <row r="252" spans="1:28" ht="39.950000000000003" customHeight="1" x14ac:dyDescent="0.25">
      <c r="L252" s="228" t="s">
        <v>322</v>
      </c>
      <c r="M252" s="228" t="s">
        <v>416</v>
      </c>
      <c r="N252" s="227" t="s">
        <v>390</v>
      </c>
      <c r="O252" s="23" t="s">
        <v>417</v>
      </c>
      <c r="P252" s="24">
        <v>213</v>
      </c>
      <c r="Q252" s="25" t="e" cm="1">
        <f t="array" ref="Q252">INDEX(ArchiveResults!$A$4:$IX$116,IndividualReport!$K$2,IndividualReport!P252)</f>
        <v>#N/A</v>
      </c>
      <c r="S252" s="10"/>
      <c r="T252" s="10"/>
      <c r="U252" s="10"/>
      <c r="V252" s="10"/>
      <c r="W252" s="10"/>
      <c r="X252" s="10"/>
      <c r="Y252" s="10"/>
      <c r="Z252" s="10"/>
      <c r="AA252" s="10"/>
      <c r="AB252" s="10"/>
    </row>
    <row r="253" spans="1:28" ht="39.950000000000003" customHeight="1" x14ac:dyDescent="0.25">
      <c r="L253" s="228"/>
      <c r="M253" s="228"/>
      <c r="N253" s="227"/>
      <c r="O253" s="26" t="s">
        <v>418</v>
      </c>
      <c r="P253" s="27">
        <v>214</v>
      </c>
      <c r="Q253" s="28" t="e" cm="1">
        <f t="array" ref="Q253">INDEX(ArchiveResults!$A$4:$IX$116,IndividualReport!$K$2,IndividualReport!P253)</f>
        <v>#N/A</v>
      </c>
      <c r="S253" s="10"/>
      <c r="T253" s="10"/>
      <c r="U253" s="10"/>
      <c r="V253" s="10"/>
      <c r="W253" s="10"/>
      <c r="X253" s="10"/>
      <c r="Y253" s="10"/>
      <c r="Z253" s="10"/>
      <c r="AA253" s="10"/>
      <c r="AB253" s="10"/>
    </row>
    <row r="254" spans="1:28" ht="39.950000000000003" customHeight="1" x14ac:dyDescent="0.25">
      <c r="L254" s="228"/>
      <c r="M254" s="228"/>
      <c r="N254" s="227"/>
      <c r="O254" s="29" t="s">
        <v>414</v>
      </c>
      <c r="P254" s="30">
        <v>215</v>
      </c>
      <c r="Q254" s="31" t="e" cm="1">
        <f t="array" ref="Q254">INDEX(ArchiveResults!$A$4:$IX$116,IndividualReport!$K$2,IndividualReport!P254)</f>
        <v>#N/A</v>
      </c>
      <c r="S254" s="10"/>
      <c r="T254" s="10"/>
      <c r="U254" s="10"/>
      <c r="V254" s="10"/>
      <c r="W254" s="10"/>
      <c r="X254" s="10"/>
      <c r="Y254" s="10"/>
      <c r="Z254" s="10"/>
      <c r="AA254" s="10"/>
      <c r="AB254" s="10"/>
    </row>
    <row r="255" spans="1:28" ht="39.950000000000003" customHeight="1" x14ac:dyDescent="0.25">
      <c r="L255" s="21"/>
      <c r="M255" s="21"/>
      <c r="N255" s="22"/>
      <c r="O255" s="32"/>
      <c r="P255" s="33"/>
      <c r="Q255" s="34"/>
      <c r="S255" s="10"/>
      <c r="T255" s="10"/>
      <c r="U255" s="10"/>
      <c r="V255" s="10"/>
      <c r="W255" s="10"/>
      <c r="X255" s="10"/>
      <c r="Y255" s="10"/>
      <c r="Z255" s="10"/>
      <c r="AA255" s="10"/>
      <c r="AB255" s="10"/>
    </row>
    <row r="256" spans="1:28" ht="39.950000000000003" customHeight="1" x14ac:dyDescent="0.25">
      <c r="L256" s="228" t="s">
        <v>323</v>
      </c>
      <c r="M256" s="228" t="s">
        <v>334</v>
      </c>
      <c r="N256" s="35" t="s">
        <v>419</v>
      </c>
      <c r="O256" s="23" t="s">
        <v>395</v>
      </c>
      <c r="P256" s="24">
        <v>216</v>
      </c>
      <c r="Q256" s="25" t="e" cm="1">
        <f t="array" ref="Q256">INDEX(ArchiveResults!$A$4:$IX$116,IndividualReport!$K$2,IndividualReport!P256)</f>
        <v>#N/A</v>
      </c>
      <c r="S256" s="10"/>
      <c r="T256" s="10"/>
      <c r="U256" s="10"/>
      <c r="V256" s="10"/>
      <c r="W256" s="10"/>
      <c r="X256" s="10"/>
      <c r="Y256" s="10"/>
      <c r="Z256" s="10"/>
      <c r="AA256" s="10"/>
      <c r="AB256" s="10"/>
    </row>
    <row r="257" spans="12:28" ht="39.950000000000003" customHeight="1" x14ac:dyDescent="0.25">
      <c r="L257" s="228"/>
      <c r="M257" s="228"/>
      <c r="N257" s="36" t="s">
        <v>420</v>
      </c>
      <c r="O257" s="26" t="s">
        <v>395</v>
      </c>
      <c r="P257" s="27">
        <v>217</v>
      </c>
      <c r="Q257" s="28" t="e" cm="1">
        <f t="array" ref="Q257">INDEX(ArchiveResults!$A$4:$IX$116,IndividualReport!$K$2,IndividualReport!P257)</f>
        <v>#N/A</v>
      </c>
      <c r="S257" s="10"/>
      <c r="T257" s="10"/>
      <c r="U257" s="10"/>
      <c r="V257" s="10"/>
      <c r="W257" s="10"/>
      <c r="X257" s="10"/>
      <c r="Y257" s="10"/>
      <c r="Z257" s="10"/>
      <c r="AA257" s="10"/>
      <c r="AB257" s="10"/>
    </row>
    <row r="258" spans="12:28" ht="39.950000000000003" customHeight="1" x14ac:dyDescent="0.25">
      <c r="L258" s="228"/>
      <c r="M258" s="228"/>
      <c r="N258" s="37" t="s">
        <v>394</v>
      </c>
      <c r="O258" s="29" t="s">
        <v>413</v>
      </c>
      <c r="P258" s="30">
        <v>218</v>
      </c>
      <c r="Q258" s="31" t="e" cm="1">
        <f t="array" ref="Q258">INDEX(ArchiveResults!$A$4:$IX$116,IndividualReport!$K$2,IndividualReport!P258)</f>
        <v>#N/A</v>
      </c>
      <c r="S258" s="10"/>
      <c r="T258" s="10"/>
      <c r="U258" s="10"/>
      <c r="V258" s="10"/>
      <c r="W258" s="10"/>
      <c r="X258" s="10"/>
      <c r="Y258" s="10"/>
      <c r="Z258" s="10"/>
      <c r="AA258" s="10"/>
      <c r="AB258" s="10"/>
    </row>
    <row r="259" spans="12:28" ht="39.950000000000003" customHeight="1" x14ac:dyDescent="0.25">
      <c r="L259" s="21"/>
      <c r="M259" s="21"/>
      <c r="N259" s="22"/>
      <c r="O259" s="32"/>
      <c r="P259" s="33"/>
      <c r="Q259" s="34"/>
      <c r="S259" s="10"/>
      <c r="T259" s="10"/>
      <c r="U259" s="10"/>
      <c r="V259" s="10"/>
      <c r="W259" s="10"/>
      <c r="X259" s="10"/>
      <c r="Y259" s="10"/>
      <c r="Z259" s="10"/>
      <c r="AA259" s="10"/>
      <c r="AB259" s="10"/>
    </row>
    <row r="260" spans="12:28" ht="39.950000000000003" customHeight="1" x14ac:dyDescent="0.25">
      <c r="L260" s="228" t="s">
        <v>323</v>
      </c>
      <c r="M260" s="228" t="s">
        <v>335</v>
      </c>
      <c r="N260" s="35" t="s">
        <v>392</v>
      </c>
      <c r="O260" s="23" t="s">
        <v>395</v>
      </c>
      <c r="P260" s="24">
        <v>219</v>
      </c>
      <c r="Q260" s="244" t="e" cm="1">
        <f t="array" ref="Q260">INDEX(ArchiveResults!$A$4:$IX$116,IndividualReport!$K$2,IndividualReport!P260)</f>
        <v>#N/A</v>
      </c>
      <c r="S260" s="10"/>
      <c r="T260" s="10"/>
      <c r="U260" s="10"/>
      <c r="V260" s="10"/>
      <c r="W260" s="10"/>
      <c r="X260" s="10"/>
      <c r="Y260" s="10"/>
      <c r="Z260" s="10"/>
      <c r="AA260" s="10"/>
      <c r="AB260" s="10"/>
    </row>
    <row r="261" spans="12:28" ht="39.950000000000003" customHeight="1" x14ac:dyDescent="0.25">
      <c r="L261" s="228"/>
      <c r="M261" s="228"/>
      <c r="N261" s="36" t="s">
        <v>393</v>
      </c>
      <c r="O261" s="26" t="s">
        <v>395</v>
      </c>
      <c r="P261" s="27">
        <v>220</v>
      </c>
      <c r="Q261" s="245" t="e" cm="1">
        <f t="array" ref="Q261">INDEX(ArchiveResults!$A$4:$IX$116,IndividualReport!$K$2,IndividualReport!P261)</f>
        <v>#N/A</v>
      </c>
      <c r="S261" s="10"/>
      <c r="T261" s="10"/>
      <c r="U261" s="10"/>
      <c r="V261" s="10"/>
      <c r="W261" s="10"/>
      <c r="X261" s="10"/>
      <c r="Y261" s="10"/>
      <c r="Z261" s="10"/>
      <c r="AA261" s="10"/>
      <c r="AB261" s="10"/>
    </row>
    <row r="262" spans="12:28" ht="39.950000000000003" customHeight="1" x14ac:dyDescent="0.25">
      <c r="L262" s="228"/>
      <c r="M262" s="228"/>
      <c r="N262" s="37" t="s">
        <v>394</v>
      </c>
      <c r="O262" s="29" t="s">
        <v>413</v>
      </c>
      <c r="P262" s="30">
        <v>221</v>
      </c>
      <c r="Q262" s="31" t="e" cm="1">
        <f t="array" ref="Q262">INDEX(ArchiveResults!$A$4:$IX$116,IndividualReport!$K$2,IndividualReport!P262)</f>
        <v>#N/A</v>
      </c>
      <c r="S262" s="10"/>
      <c r="T262" s="10"/>
      <c r="U262" s="10"/>
      <c r="V262" s="10"/>
      <c r="W262" s="10"/>
      <c r="X262" s="10"/>
      <c r="Y262" s="10"/>
      <c r="Z262" s="10"/>
      <c r="AA262" s="10"/>
      <c r="AB262" s="10"/>
    </row>
    <row r="263" spans="12:28" ht="39.950000000000003" customHeight="1" x14ac:dyDescent="0.25">
      <c r="L263" s="21"/>
      <c r="M263" s="21"/>
      <c r="N263" s="22"/>
      <c r="O263" s="32"/>
      <c r="P263" s="33"/>
      <c r="Q263" s="34"/>
      <c r="S263" s="10"/>
      <c r="T263" s="10"/>
      <c r="U263" s="10"/>
      <c r="V263" s="10"/>
      <c r="W263" s="10"/>
      <c r="X263" s="10"/>
      <c r="Y263" s="10"/>
      <c r="Z263" s="10"/>
      <c r="AA263" s="10"/>
      <c r="AB263" s="10"/>
    </row>
    <row r="264" spans="12:28" ht="39.950000000000003" customHeight="1" x14ac:dyDescent="0.25">
      <c r="L264" s="228" t="s">
        <v>323</v>
      </c>
      <c r="M264" s="228" t="s">
        <v>336</v>
      </c>
      <c r="N264" s="35" t="s">
        <v>421</v>
      </c>
      <c r="O264" s="23" t="s">
        <v>395</v>
      </c>
      <c r="P264" s="24">
        <v>222</v>
      </c>
      <c r="Q264" s="25" t="e" cm="1">
        <f t="array" ref="Q264">INDEX(ArchiveResults!$A$4:$IX$116,IndividualReport!$K$2,IndividualReport!P264)</f>
        <v>#N/A</v>
      </c>
      <c r="S264" s="10"/>
      <c r="T264" s="10"/>
      <c r="U264" s="10"/>
      <c r="V264" s="10"/>
      <c r="W264" s="10"/>
      <c r="X264" s="10"/>
      <c r="Y264" s="10"/>
      <c r="Z264" s="10"/>
      <c r="AA264" s="10"/>
      <c r="AB264" s="10"/>
    </row>
    <row r="265" spans="12:28" ht="39.950000000000003" customHeight="1" x14ac:dyDescent="0.25">
      <c r="L265" s="228"/>
      <c r="M265" s="228"/>
      <c r="N265" s="36" t="s">
        <v>422</v>
      </c>
      <c r="O265" s="26" t="s">
        <v>395</v>
      </c>
      <c r="P265" s="27">
        <v>223</v>
      </c>
      <c r="Q265" s="28" t="e" cm="1">
        <f t="array" ref="Q265">INDEX(ArchiveResults!$A$4:$IX$116,IndividualReport!$K$2,IndividualReport!P265)</f>
        <v>#N/A</v>
      </c>
      <c r="S265" s="10"/>
      <c r="T265" s="10"/>
      <c r="U265" s="10"/>
      <c r="V265" s="10"/>
      <c r="W265" s="10"/>
      <c r="X265" s="10"/>
      <c r="Y265" s="10"/>
      <c r="Z265" s="10"/>
      <c r="AA265" s="10"/>
      <c r="AB265" s="10"/>
    </row>
    <row r="266" spans="12:28" ht="39.950000000000003" customHeight="1" x14ac:dyDescent="0.25">
      <c r="L266" s="228"/>
      <c r="M266" s="228"/>
      <c r="N266" s="36" t="s">
        <v>423</v>
      </c>
      <c r="O266" s="26" t="s">
        <v>395</v>
      </c>
      <c r="P266" s="27">
        <v>224</v>
      </c>
      <c r="Q266" s="28" t="e" cm="1">
        <f t="array" ref="Q266">INDEX(ArchiveResults!$A$4:$IX$116,IndividualReport!$K$2,IndividualReport!P266)</f>
        <v>#N/A</v>
      </c>
      <c r="S266" s="10"/>
      <c r="T266" s="10"/>
      <c r="U266" s="10"/>
      <c r="V266" s="10"/>
      <c r="W266" s="10"/>
      <c r="X266" s="10"/>
      <c r="Y266" s="10"/>
      <c r="Z266" s="10"/>
      <c r="AA266" s="10"/>
      <c r="AB266" s="10"/>
    </row>
    <row r="267" spans="12:28" ht="39.950000000000003" customHeight="1" x14ac:dyDescent="0.25">
      <c r="L267" s="228"/>
      <c r="M267" s="228"/>
      <c r="N267" s="36" t="s">
        <v>424</v>
      </c>
      <c r="O267" s="26" t="s">
        <v>395</v>
      </c>
      <c r="P267" s="27">
        <v>225</v>
      </c>
      <c r="Q267" s="28" t="e" cm="1">
        <f t="array" ref="Q267">INDEX(ArchiveResults!$A$4:$IX$116,IndividualReport!$K$2,IndividualReport!P267)</f>
        <v>#N/A</v>
      </c>
      <c r="S267" s="10"/>
      <c r="T267" s="10"/>
      <c r="U267" s="10"/>
      <c r="V267" s="10"/>
      <c r="W267" s="10"/>
      <c r="X267" s="10"/>
      <c r="Y267" s="10"/>
      <c r="Z267" s="10"/>
      <c r="AA267" s="10"/>
      <c r="AB267" s="10"/>
    </row>
    <row r="268" spans="12:28" ht="39.950000000000003" customHeight="1" x14ac:dyDescent="0.25">
      <c r="L268" s="228"/>
      <c r="M268" s="228"/>
      <c r="N268" s="36" t="s">
        <v>425</v>
      </c>
      <c r="O268" s="26" t="s">
        <v>395</v>
      </c>
      <c r="P268" s="27">
        <v>226</v>
      </c>
      <c r="Q268" s="28" t="e" cm="1">
        <f t="array" ref="Q268">INDEX(ArchiveResults!$A$4:$IX$116,IndividualReport!$K$2,IndividualReport!P268)</f>
        <v>#N/A</v>
      </c>
      <c r="S268" s="10"/>
      <c r="T268" s="10"/>
      <c r="U268" s="10"/>
      <c r="V268" s="10"/>
      <c r="W268" s="10"/>
      <c r="X268" s="10"/>
      <c r="Y268" s="10"/>
      <c r="Z268" s="10"/>
      <c r="AA268" s="10"/>
      <c r="AB268" s="10"/>
    </row>
    <row r="269" spans="12:28" ht="39.950000000000003" customHeight="1" x14ac:dyDescent="0.25">
      <c r="L269" s="228"/>
      <c r="M269" s="228"/>
      <c r="N269" s="36" t="s">
        <v>593</v>
      </c>
      <c r="O269" s="26" t="s">
        <v>415</v>
      </c>
      <c r="P269" s="27">
        <v>227</v>
      </c>
      <c r="Q269" s="40" t="e" cm="1">
        <f t="array" ref="Q269">INDEX(ArchiveResults!$A$4:$IX$116,IndividualReport!$K$2,IndividualReport!P269)</f>
        <v>#N/A</v>
      </c>
      <c r="R269" s="17" t="e">
        <f>MAX(ArchiveResults!HS5:HS116)-Q269</f>
        <v>#N/A</v>
      </c>
      <c r="S269" s="42"/>
      <c r="T269" s="10"/>
      <c r="U269" s="10"/>
      <c r="V269" s="10"/>
      <c r="W269" s="10"/>
      <c r="X269" s="10"/>
      <c r="Y269" s="10"/>
      <c r="Z269" s="10"/>
      <c r="AA269" s="10"/>
      <c r="AB269" s="10"/>
    </row>
    <row r="270" spans="12:28" ht="39.950000000000003" customHeight="1" x14ac:dyDescent="0.25">
      <c r="L270" s="228"/>
      <c r="M270" s="228"/>
      <c r="N270" s="37" t="s">
        <v>394</v>
      </c>
      <c r="O270" s="29" t="s">
        <v>413</v>
      </c>
      <c r="P270" s="30">
        <v>228</v>
      </c>
      <c r="Q270" s="31" t="e" cm="1">
        <f t="array" ref="Q270">INDEX(ArchiveResults!$A$4:$IX$116,IndividualReport!$K$2,IndividualReport!P270)</f>
        <v>#N/A</v>
      </c>
      <c r="S270" s="10"/>
      <c r="T270" s="10"/>
      <c r="U270" s="10"/>
      <c r="V270" s="10"/>
      <c r="W270" s="10"/>
      <c r="X270" s="10"/>
      <c r="Y270" s="10"/>
      <c r="Z270" s="10"/>
      <c r="AA270" s="10"/>
      <c r="AB270" s="10"/>
    </row>
    <row r="271" spans="12:28" ht="39.950000000000003" customHeight="1" x14ac:dyDescent="0.25">
      <c r="L271" s="21"/>
      <c r="M271" s="21"/>
      <c r="N271" s="22"/>
      <c r="O271" s="32"/>
      <c r="P271" s="33"/>
      <c r="Q271" s="34"/>
      <c r="S271" s="10"/>
      <c r="T271" s="10"/>
      <c r="U271" s="10"/>
      <c r="V271" s="10"/>
      <c r="W271" s="10"/>
      <c r="X271" s="10"/>
      <c r="Y271" s="10"/>
      <c r="Z271" s="10"/>
      <c r="AA271" s="10"/>
      <c r="AB271" s="10"/>
    </row>
    <row r="272" spans="12:28" ht="39.950000000000003" customHeight="1" x14ac:dyDescent="0.25">
      <c r="L272" s="228" t="s">
        <v>323</v>
      </c>
      <c r="M272" s="228" t="s">
        <v>594</v>
      </c>
      <c r="N272" s="35" t="s">
        <v>426</v>
      </c>
      <c r="O272" s="23" t="s">
        <v>395</v>
      </c>
      <c r="P272" s="24">
        <v>229</v>
      </c>
      <c r="Q272" s="25" t="e" cm="1">
        <f t="array" ref="Q272">INDEX(ArchiveResults!$A$4:$IX$116,IndividualReport!$K$2,IndividualReport!P272)</f>
        <v>#N/A</v>
      </c>
      <c r="S272" s="10"/>
      <c r="T272" s="10"/>
      <c r="U272" s="10"/>
      <c r="V272" s="10"/>
      <c r="W272" s="10"/>
      <c r="X272" s="10"/>
      <c r="Y272" s="10"/>
      <c r="Z272" s="10"/>
      <c r="AA272" s="10"/>
      <c r="AB272" s="10"/>
    </row>
    <row r="273" spans="1:28" ht="39.950000000000003" customHeight="1" x14ac:dyDescent="0.25">
      <c r="L273" s="228"/>
      <c r="M273" s="228"/>
      <c r="N273" s="36" t="s">
        <v>427</v>
      </c>
      <c r="O273" s="26" t="s">
        <v>395</v>
      </c>
      <c r="P273" s="27">
        <v>230</v>
      </c>
      <c r="Q273" s="28" t="e" cm="1">
        <f t="array" ref="Q273">INDEX(ArchiveResults!$A$4:$IX$116,IndividualReport!$K$2,IndividualReport!P273)</f>
        <v>#N/A</v>
      </c>
      <c r="S273" s="10"/>
      <c r="T273" s="10"/>
      <c r="U273" s="10"/>
      <c r="V273" s="10"/>
      <c r="W273" s="10"/>
      <c r="X273" s="10"/>
      <c r="Y273" s="10"/>
      <c r="Z273" s="10"/>
      <c r="AA273" s="10"/>
      <c r="AB273" s="10"/>
    </row>
    <row r="274" spans="1:28" ht="39.950000000000003" customHeight="1" x14ac:dyDescent="0.25">
      <c r="L274" s="228"/>
      <c r="M274" s="228"/>
      <c r="N274" s="36" t="s">
        <v>428</v>
      </c>
      <c r="O274" s="26" t="s">
        <v>395</v>
      </c>
      <c r="P274" s="27">
        <v>231</v>
      </c>
      <c r="Q274" s="28" t="e" cm="1">
        <f t="array" ref="Q274">INDEX(ArchiveResults!$A$4:$IX$116,IndividualReport!$K$2,IndividualReport!P274)</f>
        <v>#N/A</v>
      </c>
      <c r="S274" s="10"/>
      <c r="T274" s="10"/>
      <c r="U274" s="10"/>
      <c r="V274" s="10"/>
      <c r="W274" s="10"/>
      <c r="X274" s="10"/>
      <c r="Y274" s="10"/>
      <c r="Z274" s="10"/>
      <c r="AA274" s="10"/>
      <c r="AB274" s="10"/>
    </row>
    <row r="275" spans="1:28" ht="39.950000000000003" customHeight="1" x14ac:dyDescent="0.25">
      <c r="L275" s="228"/>
      <c r="M275" s="228"/>
      <c r="N275" s="36" t="s">
        <v>429</v>
      </c>
      <c r="O275" s="26" t="s">
        <v>395</v>
      </c>
      <c r="P275" s="27">
        <v>232</v>
      </c>
      <c r="Q275" s="28" t="e" cm="1">
        <f t="array" ref="Q275">INDEX(ArchiveResults!$A$4:$IX$116,IndividualReport!$K$2,IndividualReport!P275)</f>
        <v>#N/A</v>
      </c>
      <c r="S275" s="10"/>
      <c r="T275" s="10"/>
      <c r="U275" s="10"/>
      <c r="V275" s="10"/>
      <c r="W275" s="10"/>
      <c r="X275" s="10"/>
      <c r="Y275" s="10"/>
      <c r="Z275" s="10"/>
      <c r="AA275" s="10"/>
      <c r="AB275" s="10"/>
    </row>
    <row r="276" spans="1:28" ht="39.950000000000003" customHeight="1" x14ac:dyDescent="0.25">
      <c r="L276" s="228"/>
      <c r="M276" s="228"/>
      <c r="N276" s="36" t="s">
        <v>430</v>
      </c>
      <c r="O276" s="26" t="s">
        <v>395</v>
      </c>
      <c r="P276" s="27">
        <v>233</v>
      </c>
      <c r="Q276" s="28" t="e" cm="1">
        <f t="array" ref="Q276">INDEX(ArchiveResults!$A$4:$IX$116,IndividualReport!$K$2,IndividualReport!P276)</f>
        <v>#N/A</v>
      </c>
      <c r="S276" s="10"/>
      <c r="T276" s="10"/>
      <c r="U276" s="10"/>
      <c r="V276" s="10"/>
      <c r="W276" s="10"/>
      <c r="X276" s="10"/>
      <c r="Y276" s="10"/>
      <c r="Z276" s="10"/>
      <c r="AA276" s="10"/>
      <c r="AB276" s="10"/>
    </row>
    <row r="277" spans="1:28" ht="39.950000000000003" customHeight="1" x14ac:dyDescent="0.25">
      <c r="L277" s="228"/>
      <c r="M277" s="228"/>
      <c r="N277" s="36" t="s">
        <v>431</v>
      </c>
      <c r="O277" s="26" t="s">
        <v>395</v>
      </c>
      <c r="P277" s="27">
        <v>234</v>
      </c>
      <c r="Q277" s="28" t="e" cm="1">
        <f t="array" ref="Q277">INDEX(ArchiveResults!$A$4:$IX$116,IndividualReport!$K$2,IndividualReport!P277)</f>
        <v>#N/A</v>
      </c>
      <c r="S277" s="10"/>
      <c r="T277" s="10"/>
      <c r="U277" s="10"/>
      <c r="V277" s="10"/>
      <c r="W277" s="10"/>
      <c r="X277" s="10"/>
      <c r="Y277" s="10"/>
      <c r="Z277" s="10"/>
      <c r="AA277" s="10"/>
      <c r="AB277" s="10"/>
    </row>
    <row r="278" spans="1:28" ht="39.950000000000003" customHeight="1" x14ac:dyDescent="0.25">
      <c r="L278" s="228"/>
      <c r="M278" s="228"/>
      <c r="N278" s="36" t="s">
        <v>432</v>
      </c>
      <c r="O278" s="26" t="s">
        <v>395</v>
      </c>
      <c r="P278" s="27">
        <v>235</v>
      </c>
      <c r="Q278" s="28" t="e" cm="1">
        <f t="array" ref="Q278">INDEX(ArchiveResults!$A$4:$IX$116,IndividualReport!$K$2,IndividualReport!P278)</f>
        <v>#N/A</v>
      </c>
      <c r="S278" s="10"/>
      <c r="T278" s="10"/>
      <c r="U278" s="10"/>
      <c r="V278" s="10"/>
      <c r="W278" s="10"/>
      <c r="X278" s="10"/>
      <c r="Y278" s="10"/>
      <c r="Z278" s="10"/>
      <c r="AA278" s="10"/>
      <c r="AB278" s="10"/>
    </row>
    <row r="279" spans="1:28" ht="39.950000000000003" customHeight="1" x14ac:dyDescent="0.25">
      <c r="L279" s="228"/>
      <c r="M279" s="228"/>
      <c r="N279" s="36" t="s">
        <v>433</v>
      </c>
      <c r="O279" s="26" t="s">
        <v>395</v>
      </c>
      <c r="P279" s="27">
        <v>236</v>
      </c>
      <c r="Q279" s="28" t="e" cm="1">
        <f t="array" ref="Q279">INDEX(ArchiveResults!$A$4:$IX$116,IndividualReport!$K$2,IndividualReport!P279)</f>
        <v>#N/A</v>
      </c>
      <c r="S279" s="10"/>
      <c r="T279" s="10"/>
      <c r="U279" s="10"/>
      <c r="V279" s="10"/>
      <c r="W279" s="10"/>
      <c r="X279" s="10"/>
      <c r="Y279" s="10"/>
      <c r="Z279" s="10"/>
      <c r="AA279" s="10"/>
      <c r="AB279" s="10"/>
    </row>
    <row r="280" spans="1:28" ht="39.950000000000003" customHeight="1" x14ac:dyDescent="0.25">
      <c r="L280" s="228"/>
      <c r="M280" s="228"/>
      <c r="N280" s="36" t="s">
        <v>434</v>
      </c>
      <c r="O280" s="26" t="s">
        <v>395</v>
      </c>
      <c r="P280" s="27">
        <v>237</v>
      </c>
      <c r="Q280" s="28" t="e" cm="1">
        <f t="array" ref="Q280">INDEX(ArchiveResults!$A$4:$IX$116,IndividualReport!$K$2,IndividualReport!P280)</f>
        <v>#N/A</v>
      </c>
      <c r="S280" s="10"/>
      <c r="T280" s="10"/>
      <c r="U280" s="10"/>
      <c r="V280" s="10"/>
      <c r="W280" s="10"/>
      <c r="X280" s="10"/>
      <c r="Y280" s="10"/>
      <c r="Z280" s="10"/>
      <c r="AA280" s="10"/>
      <c r="AB280" s="10"/>
    </row>
    <row r="281" spans="1:28" ht="39.950000000000003" customHeight="1" x14ac:dyDescent="0.25">
      <c r="L281" s="228"/>
      <c r="M281" s="228"/>
      <c r="N281" s="36" t="s">
        <v>435</v>
      </c>
      <c r="O281" s="26" t="s">
        <v>395</v>
      </c>
      <c r="P281" s="27">
        <v>238</v>
      </c>
      <c r="Q281" s="28" t="e" cm="1">
        <f t="array" ref="Q281">INDEX(ArchiveResults!$A$4:$IX$116,IndividualReport!$K$2,IndividualReport!P281)</f>
        <v>#N/A</v>
      </c>
      <c r="S281" s="10"/>
      <c r="T281" s="10"/>
      <c r="U281" s="10"/>
      <c r="V281" s="10"/>
      <c r="W281" s="10"/>
      <c r="X281" s="10"/>
      <c r="Y281" s="10"/>
      <c r="Z281" s="10"/>
      <c r="AA281" s="10"/>
      <c r="AB281" s="10"/>
    </row>
    <row r="282" spans="1:28" ht="39.950000000000003" customHeight="1" x14ac:dyDescent="0.25">
      <c r="L282" s="228"/>
      <c r="M282" s="228"/>
      <c r="N282" s="37" t="s">
        <v>394</v>
      </c>
      <c r="O282" s="29" t="s">
        <v>413</v>
      </c>
      <c r="P282" s="30">
        <v>239</v>
      </c>
      <c r="Q282" s="31" t="e" cm="1">
        <f t="array" ref="Q282">INDEX(ArchiveResults!$A$4:$IX$116,IndividualReport!$K$2,IndividualReport!P282)</f>
        <v>#N/A</v>
      </c>
      <c r="S282" s="10"/>
      <c r="T282" s="10"/>
      <c r="U282" s="10"/>
      <c r="V282" s="10"/>
      <c r="W282" s="10"/>
      <c r="X282" s="10"/>
      <c r="Y282" s="10"/>
      <c r="Z282" s="10"/>
      <c r="AA282" s="10"/>
      <c r="AB282" s="10"/>
    </row>
    <row r="283" spans="1:28" ht="39.950000000000003" customHeight="1" x14ac:dyDescent="0.25">
      <c r="L283" s="21"/>
      <c r="M283" s="21"/>
      <c r="N283" s="22"/>
      <c r="O283" s="32"/>
      <c r="P283" s="33"/>
      <c r="Q283" s="34"/>
      <c r="S283" s="10"/>
      <c r="T283" s="10"/>
      <c r="U283" s="10"/>
      <c r="V283" s="10"/>
      <c r="W283" s="10"/>
      <c r="X283" s="10"/>
      <c r="Y283" s="10"/>
      <c r="Z283" s="10"/>
      <c r="AA283" s="10"/>
      <c r="AB283" s="10"/>
    </row>
    <row r="284" spans="1:28" ht="39.950000000000003" customHeight="1" x14ac:dyDescent="0.25">
      <c r="A284" s="7" t="e">
        <f>RANK(B284,$B$284:$B$288,1)</f>
        <v>#N/A</v>
      </c>
      <c r="B284" s="7" t="e">
        <f>(C284*D284)+E284</f>
        <v>#N/A</v>
      </c>
      <c r="C284" s="7">
        <v>1E-4</v>
      </c>
      <c r="D284" s="7">
        <f>(COUNTIF($E$284:$E$288,E284)&gt;1)*1</f>
        <v>1</v>
      </c>
      <c r="E284" s="7" t="e">
        <f>RANK(G284,$G$284:$G$288)</f>
        <v>#N/A</v>
      </c>
      <c r="F284" s="7" t="s">
        <v>436</v>
      </c>
      <c r="G284" s="7" t="e" cm="1">
        <f t="array" ref="G284">INDEX(ArchiveResults!$A$4:$IX$116,IndividualReport!$K$2,IndividualReport!P284)</f>
        <v>#N/A</v>
      </c>
      <c r="H284" s="7">
        <v>1</v>
      </c>
      <c r="L284" s="228" t="s">
        <v>323</v>
      </c>
      <c r="M284" s="228" t="s">
        <v>596</v>
      </c>
      <c r="N284" s="35" t="e">
        <f>INDEX($F$284:$F$288,MATCH(H284,$A$284:$A$288,0))</f>
        <v>#N/A</v>
      </c>
      <c r="O284" s="23" t="s">
        <v>395</v>
      </c>
      <c r="P284" s="24">
        <v>240</v>
      </c>
      <c r="Q284" s="25" t="e">
        <f>INDEX($G$284:$G$288,MATCH(H284,$A$284:$A$288,0))</f>
        <v>#N/A</v>
      </c>
      <c r="S284" s="10"/>
      <c r="T284" s="10"/>
      <c r="U284" s="10"/>
      <c r="V284" s="10"/>
      <c r="W284" s="10"/>
      <c r="X284" s="10"/>
      <c r="Y284" s="10"/>
      <c r="Z284" s="10"/>
      <c r="AA284" s="10"/>
      <c r="AB284" s="10"/>
    </row>
    <row r="285" spans="1:28" ht="39.950000000000003" customHeight="1" x14ac:dyDescent="0.25">
      <c r="A285" s="7" t="e">
        <f t="shared" ref="A285:A288" si="27">RANK(B285,$B$284:$B$288,1)</f>
        <v>#N/A</v>
      </c>
      <c r="B285" s="7" t="e">
        <f t="shared" ref="B285:B288" si="28">(C285*D285)+E285</f>
        <v>#N/A</v>
      </c>
      <c r="C285" s="7">
        <v>1</v>
      </c>
      <c r="D285" s="7">
        <f t="shared" ref="D285:D288" si="29">(COUNTIF($E$284:$E$288,E285)&gt;1)*1</f>
        <v>1</v>
      </c>
      <c r="E285" s="7" t="e">
        <f t="shared" ref="E285:E288" si="30">RANK(G285,$G$284:$G$288)</f>
        <v>#N/A</v>
      </c>
      <c r="F285" s="7" t="s">
        <v>437</v>
      </c>
      <c r="G285" s="7" t="e" cm="1">
        <f t="array" ref="G285">INDEX(ArchiveResults!$A$4:$IX$116,IndividualReport!$K$2,IndividualReport!P285)</f>
        <v>#N/A</v>
      </c>
      <c r="H285" s="7">
        <v>2</v>
      </c>
      <c r="L285" s="228"/>
      <c r="M285" s="228"/>
      <c r="N285" s="36" t="e">
        <f t="shared" ref="N285:N288" si="31">INDEX($F$284:$F$288,MATCH(H285,$A$284:$A$288,0))</f>
        <v>#N/A</v>
      </c>
      <c r="O285" s="26" t="s">
        <v>395</v>
      </c>
      <c r="P285" s="27">
        <v>241</v>
      </c>
      <c r="Q285" s="28" t="e">
        <f t="shared" ref="Q285:Q288" si="32">INDEX($G$284:$G$288,MATCH(H285,$A$284:$A$288,0))</f>
        <v>#N/A</v>
      </c>
      <c r="S285" s="10"/>
      <c r="T285" s="10"/>
      <c r="U285" s="10"/>
      <c r="V285" s="10"/>
      <c r="W285" s="10"/>
      <c r="X285" s="10"/>
      <c r="Y285" s="10"/>
      <c r="Z285" s="10"/>
      <c r="AA285" s="10"/>
      <c r="AB285" s="10"/>
    </row>
    <row r="286" spans="1:28" ht="39.950000000000003" customHeight="1" x14ac:dyDescent="0.25">
      <c r="A286" s="7" t="e">
        <f t="shared" si="27"/>
        <v>#N/A</v>
      </c>
      <c r="B286" s="7" t="e">
        <f t="shared" si="28"/>
        <v>#N/A</v>
      </c>
      <c r="C286" s="7">
        <v>1E-3</v>
      </c>
      <c r="D286" s="7">
        <f t="shared" si="29"/>
        <v>1</v>
      </c>
      <c r="E286" s="7" t="e">
        <f t="shared" si="30"/>
        <v>#N/A</v>
      </c>
      <c r="F286" s="7" t="s">
        <v>438</v>
      </c>
      <c r="G286" s="7" t="e" cm="1">
        <f t="array" ref="G286">INDEX(ArchiveResults!$A$4:$IX$116,IndividualReport!$K$2,IndividualReport!P286)</f>
        <v>#N/A</v>
      </c>
      <c r="H286" s="7">
        <v>3</v>
      </c>
      <c r="L286" s="228"/>
      <c r="M286" s="228"/>
      <c r="N286" s="36" t="e">
        <f t="shared" si="31"/>
        <v>#N/A</v>
      </c>
      <c r="O286" s="26" t="s">
        <v>395</v>
      </c>
      <c r="P286" s="27">
        <v>242</v>
      </c>
      <c r="Q286" s="28" t="e">
        <f t="shared" si="32"/>
        <v>#N/A</v>
      </c>
      <c r="S286" s="10"/>
      <c r="T286" s="10"/>
      <c r="U286" s="10"/>
      <c r="V286" s="10"/>
      <c r="W286" s="10"/>
      <c r="X286" s="10"/>
      <c r="Y286" s="10"/>
      <c r="Z286" s="10"/>
      <c r="AA286" s="10"/>
      <c r="AB286" s="10"/>
    </row>
    <row r="287" spans="1:28" ht="39.950000000000003" customHeight="1" x14ac:dyDescent="0.25">
      <c r="A287" s="7" t="e">
        <f t="shared" si="27"/>
        <v>#N/A</v>
      </c>
      <c r="B287" s="7" t="e">
        <f t="shared" si="28"/>
        <v>#N/A</v>
      </c>
      <c r="C287" s="7">
        <v>0.01</v>
      </c>
      <c r="D287" s="7">
        <f t="shared" si="29"/>
        <v>1</v>
      </c>
      <c r="E287" s="7" t="e">
        <f t="shared" si="30"/>
        <v>#N/A</v>
      </c>
      <c r="F287" s="7" t="s">
        <v>439</v>
      </c>
      <c r="G287" s="7" t="e" cm="1">
        <f t="array" ref="G287">INDEX(ArchiveResults!$A$4:$IX$116,IndividualReport!$K$2,IndividualReport!P287)</f>
        <v>#N/A</v>
      </c>
      <c r="H287" s="7">
        <v>4</v>
      </c>
      <c r="L287" s="228"/>
      <c r="M287" s="228"/>
      <c r="N287" s="36" t="e">
        <f t="shared" si="31"/>
        <v>#N/A</v>
      </c>
      <c r="O287" s="26" t="s">
        <v>395</v>
      </c>
      <c r="P287" s="27">
        <v>243</v>
      </c>
      <c r="Q287" s="28" t="e">
        <f t="shared" si="32"/>
        <v>#N/A</v>
      </c>
      <c r="S287" s="10"/>
      <c r="T287" s="10"/>
      <c r="U287" s="10"/>
      <c r="V287" s="10"/>
      <c r="W287" s="10"/>
      <c r="X287" s="10"/>
      <c r="Y287" s="10"/>
      <c r="Z287" s="10"/>
      <c r="AA287" s="10"/>
      <c r="AB287" s="10"/>
    </row>
    <row r="288" spans="1:28" ht="39.950000000000003" customHeight="1" x14ac:dyDescent="0.25">
      <c r="A288" s="7" t="e">
        <f t="shared" si="27"/>
        <v>#N/A</v>
      </c>
      <c r="B288" s="7" t="e">
        <f t="shared" si="28"/>
        <v>#N/A</v>
      </c>
      <c r="C288" s="7">
        <v>0.1</v>
      </c>
      <c r="D288" s="7">
        <f t="shared" si="29"/>
        <v>1</v>
      </c>
      <c r="E288" s="7" t="e">
        <f t="shared" si="30"/>
        <v>#N/A</v>
      </c>
      <c r="F288" s="7" t="s">
        <v>440</v>
      </c>
      <c r="G288" s="7" t="e" cm="1">
        <f t="array" ref="G288">INDEX(ArchiveResults!$A$4:$IX$116,IndividualReport!$K$2,IndividualReport!P288)</f>
        <v>#N/A</v>
      </c>
      <c r="H288" s="7">
        <v>5</v>
      </c>
      <c r="L288" s="228"/>
      <c r="M288" s="228"/>
      <c r="N288" s="36" t="e">
        <f t="shared" si="31"/>
        <v>#N/A</v>
      </c>
      <c r="O288" s="26" t="s">
        <v>395</v>
      </c>
      <c r="P288" s="27">
        <v>244</v>
      </c>
      <c r="Q288" s="28" t="e">
        <f t="shared" si="32"/>
        <v>#N/A</v>
      </c>
      <c r="S288" s="10"/>
      <c r="T288" s="10"/>
      <c r="U288" s="10"/>
      <c r="V288" s="10"/>
      <c r="W288" s="10"/>
      <c r="X288" s="10"/>
      <c r="Y288" s="10"/>
      <c r="Z288" s="10"/>
      <c r="AA288" s="10"/>
      <c r="AB288" s="10"/>
    </row>
    <row r="289" spans="1:28" ht="39.950000000000003" customHeight="1" x14ac:dyDescent="0.25">
      <c r="L289" s="228"/>
      <c r="M289" s="228"/>
      <c r="N289" s="37" t="s">
        <v>394</v>
      </c>
      <c r="O289" s="29" t="s">
        <v>413</v>
      </c>
      <c r="P289" s="30">
        <v>245</v>
      </c>
      <c r="Q289" s="31" t="e" cm="1">
        <f t="array" ref="Q289">INDEX(ArchiveResults!$A$4:$IX$116,IndividualReport!$K$2,IndividualReport!P289)</f>
        <v>#N/A</v>
      </c>
      <c r="S289" s="10"/>
      <c r="T289" s="10"/>
      <c r="U289" s="10"/>
      <c r="V289" s="10"/>
      <c r="W289" s="10"/>
      <c r="X289" s="10"/>
      <c r="Y289" s="10"/>
      <c r="Z289" s="10"/>
      <c r="AA289" s="10"/>
      <c r="AB289" s="10"/>
    </row>
    <row r="290" spans="1:28" ht="39.950000000000003" customHeight="1" x14ac:dyDescent="0.25">
      <c r="L290" s="21"/>
      <c r="M290" s="21"/>
      <c r="N290" s="22"/>
      <c r="O290" s="32"/>
      <c r="P290" s="33"/>
      <c r="Q290" s="34"/>
      <c r="S290" s="10"/>
      <c r="T290" s="10"/>
      <c r="U290" s="10"/>
      <c r="V290" s="10"/>
      <c r="W290" s="10"/>
      <c r="X290" s="10"/>
      <c r="Y290" s="10"/>
      <c r="Z290" s="10"/>
      <c r="AA290" s="10"/>
      <c r="AB290" s="10"/>
    </row>
    <row r="291" spans="1:28" ht="39.950000000000003" customHeight="1" x14ac:dyDescent="0.25">
      <c r="A291" s="7" t="e">
        <f>RANK(B291,$B$291:$B$294,1)</f>
        <v>#N/A</v>
      </c>
      <c r="B291" s="7" t="e">
        <f>(C291*D291)+E291</f>
        <v>#N/A</v>
      </c>
      <c r="C291" s="7">
        <v>1E-3</v>
      </c>
      <c r="D291" s="7">
        <f>(COUNTIF($E$291:$E$294,E291)&gt;1)*1</f>
        <v>1</v>
      </c>
      <c r="E291" s="7" t="e">
        <f>RANK(G291,$G$291:$G$294)</f>
        <v>#N/A</v>
      </c>
      <c r="F291" s="7" t="s">
        <v>441</v>
      </c>
      <c r="G291" s="7" t="e" cm="1">
        <f t="array" ref="G291">INDEX(ArchiveResults!$A$4:$IX$116,IndividualReport!$K$2,IndividualReport!P291)</f>
        <v>#N/A</v>
      </c>
      <c r="H291" s="7">
        <v>1</v>
      </c>
      <c r="L291" s="228" t="s">
        <v>323</v>
      </c>
      <c r="M291" s="228" t="s">
        <v>339</v>
      </c>
      <c r="N291" s="35" t="e">
        <f>INDEX($F$291:$F$294,MATCH(H291,$A$291:$A$294,0))</f>
        <v>#N/A</v>
      </c>
      <c r="O291" s="23" t="s">
        <v>395</v>
      </c>
      <c r="P291" s="24">
        <v>246</v>
      </c>
      <c r="Q291" s="25" t="e">
        <f>INDEX($G$291:$G$294,MATCH(H291,$A$291:$A$294,0))</f>
        <v>#N/A</v>
      </c>
      <c r="S291" s="10"/>
      <c r="T291" s="10"/>
      <c r="U291" s="10"/>
      <c r="V291" s="10"/>
      <c r="W291" s="10"/>
      <c r="X291" s="10"/>
      <c r="Y291" s="10"/>
      <c r="Z291" s="10"/>
      <c r="AA291" s="10"/>
      <c r="AB291" s="10"/>
    </row>
    <row r="292" spans="1:28" ht="39.950000000000003" customHeight="1" x14ac:dyDescent="0.25">
      <c r="A292" s="7" t="e">
        <f t="shared" ref="A292:A294" si="33">RANK(B292,$B$291:$B$294,1)</f>
        <v>#N/A</v>
      </c>
      <c r="B292" s="7" t="e">
        <f t="shared" ref="B292:B294" si="34">(C292*D292)+E292</f>
        <v>#N/A</v>
      </c>
      <c r="C292" s="7">
        <v>0.01</v>
      </c>
      <c r="D292" s="7">
        <f t="shared" ref="D292:D294" si="35">(COUNTIF($E$291:$E$294,E292)&gt;1)*1</f>
        <v>1</v>
      </c>
      <c r="E292" s="7" t="e">
        <f t="shared" ref="E292:E294" si="36">RANK(G292,$G$291:$G$294)</f>
        <v>#N/A</v>
      </c>
      <c r="F292" s="7" t="s">
        <v>442</v>
      </c>
      <c r="G292" s="7" t="e" cm="1">
        <f t="array" ref="G292">INDEX(ArchiveResults!$A$4:$IX$116,IndividualReport!$K$2,IndividualReport!P292)</f>
        <v>#N/A</v>
      </c>
      <c r="H292" s="7">
        <v>2</v>
      </c>
      <c r="L292" s="228"/>
      <c r="M292" s="228"/>
      <c r="N292" s="36" t="e">
        <f t="shared" ref="N292:N294" si="37">INDEX($F$291:$F$294,MATCH(H292,$A$291:$A$294,0))</f>
        <v>#N/A</v>
      </c>
      <c r="O292" s="26" t="s">
        <v>395</v>
      </c>
      <c r="P292" s="27">
        <v>247</v>
      </c>
      <c r="Q292" s="28" t="e">
        <f t="shared" ref="Q292:Q294" si="38">INDEX($G$291:$G$294,MATCH(H292,$A$291:$A$294,0))</f>
        <v>#N/A</v>
      </c>
      <c r="S292" s="10"/>
      <c r="T292" s="10"/>
      <c r="U292" s="10"/>
      <c r="V292" s="10"/>
      <c r="W292" s="10"/>
      <c r="X292" s="10"/>
      <c r="Y292" s="10"/>
      <c r="Z292" s="10"/>
      <c r="AA292" s="10"/>
      <c r="AB292" s="10"/>
    </row>
    <row r="293" spans="1:28" ht="39.950000000000003" customHeight="1" x14ac:dyDescent="0.25">
      <c r="A293" s="7" t="e">
        <f t="shared" si="33"/>
        <v>#N/A</v>
      </c>
      <c r="B293" s="7" t="e">
        <f t="shared" si="34"/>
        <v>#N/A</v>
      </c>
      <c r="C293" s="7">
        <v>0.1</v>
      </c>
      <c r="D293" s="7">
        <f t="shared" si="35"/>
        <v>1</v>
      </c>
      <c r="E293" s="7" t="e">
        <f t="shared" si="36"/>
        <v>#N/A</v>
      </c>
      <c r="F293" s="7" t="s">
        <v>443</v>
      </c>
      <c r="G293" s="7" t="e" cm="1">
        <f t="array" ref="G293">INDEX(ArchiveResults!$A$4:$IX$116,IndividualReport!$K$2,IndividualReport!P293)</f>
        <v>#N/A</v>
      </c>
      <c r="H293" s="7">
        <v>3</v>
      </c>
      <c r="L293" s="228"/>
      <c r="M293" s="228"/>
      <c r="N293" s="36" t="e">
        <f t="shared" si="37"/>
        <v>#N/A</v>
      </c>
      <c r="O293" s="26" t="s">
        <v>395</v>
      </c>
      <c r="P293" s="27">
        <v>248</v>
      </c>
      <c r="Q293" s="28" t="e">
        <f t="shared" si="38"/>
        <v>#N/A</v>
      </c>
      <c r="S293" s="10"/>
      <c r="T293" s="10"/>
      <c r="U293" s="10"/>
      <c r="V293" s="10"/>
      <c r="W293" s="10"/>
      <c r="X293" s="10"/>
      <c r="Y293" s="10"/>
      <c r="Z293" s="10"/>
      <c r="AA293" s="10"/>
      <c r="AB293" s="10"/>
    </row>
    <row r="294" spans="1:28" ht="39.950000000000003" customHeight="1" x14ac:dyDescent="0.25">
      <c r="A294" s="7" t="e">
        <f t="shared" si="33"/>
        <v>#N/A</v>
      </c>
      <c r="B294" s="7" t="e">
        <f t="shared" si="34"/>
        <v>#N/A</v>
      </c>
      <c r="C294" s="7">
        <v>1</v>
      </c>
      <c r="D294" s="7">
        <f t="shared" si="35"/>
        <v>1</v>
      </c>
      <c r="E294" s="7" t="e">
        <f t="shared" si="36"/>
        <v>#N/A</v>
      </c>
      <c r="F294" s="7" t="s">
        <v>444</v>
      </c>
      <c r="G294" s="7" t="e" cm="1">
        <f t="array" ref="G294">INDEX(ArchiveResults!$A$4:$IX$116,IndividualReport!$K$2,IndividualReport!P294)</f>
        <v>#N/A</v>
      </c>
      <c r="H294" s="7">
        <v>4</v>
      </c>
      <c r="L294" s="228"/>
      <c r="M294" s="228"/>
      <c r="N294" s="36" t="e">
        <f t="shared" si="37"/>
        <v>#N/A</v>
      </c>
      <c r="O294" s="26" t="s">
        <v>395</v>
      </c>
      <c r="P294" s="27">
        <v>249</v>
      </c>
      <c r="Q294" s="28" t="e">
        <f t="shared" si="38"/>
        <v>#N/A</v>
      </c>
      <c r="S294" s="10"/>
      <c r="T294" s="10"/>
      <c r="U294" s="10"/>
      <c r="V294" s="10"/>
      <c r="W294" s="10"/>
      <c r="X294" s="10"/>
      <c r="Y294" s="10"/>
      <c r="Z294" s="10"/>
      <c r="AA294" s="10"/>
      <c r="AB294" s="10"/>
    </row>
    <row r="295" spans="1:28" ht="39.950000000000003" customHeight="1" x14ac:dyDescent="0.25">
      <c r="L295" s="228"/>
      <c r="M295" s="228"/>
      <c r="N295" s="36" t="s">
        <v>391</v>
      </c>
      <c r="O295" s="26" t="s">
        <v>395</v>
      </c>
      <c r="P295" s="27">
        <v>250</v>
      </c>
      <c r="Q295" s="28" t="e" cm="1">
        <f t="array" ref="Q295">INDEX(ArchiveResults!$A$4:$IX$116,IndividualReport!$K$2,IndividualReport!P295)</f>
        <v>#N/A</v>
      </c>
      <c r="S295" s="10"/>
      <c r="T295" s="10"/>
      <c r="U295" s="10"/>
      <c r="V295" s="10"/>
      <c r="W295" s="10"/>
      <c r="X295" s="10"/>
      <c r="Y295" s="10"/>
      <c r="Z295" s="10"/>
      <c r="AA295" s="10"/>
      <c r="AB295" s="10"/>
    </row>
    <row r="296" spans="1:28" ht="39.950000000000003" customHeight="1" x14ac:dyDescent="0.25">
      <c r="L296" s="228"/>
      <c r="M296" s="228"/>
      <c r="N296" s="37" t="s">
        <v>394</v>
      </c>
      <c r="O296" s="29" t="s">
        <v>413</v>
      </c>
      <c r="P296" s="30">
        <v>251</v>
      </c>
      <c r="Q296" s="31" t="e" cm="1">
        <f t="array" ref="Q296">INDEX(ArchiveResults!$A$4:$IX$116,IndividualReport!$K$2,IndividualReport!P296)</f>
        <v>#N/A</v>
      </c>
      <c r="S296" s="10"/>
      <c r="T296" s="10"/>
      <c r="U296" s="10"/>
      <c r="V296" s="10"/>
      <c r="W296" s="10"/>
      <c r="X296" s="10"/>
      <c r="Y296" s="10"/>
      <c r="Z296" s="10"/>
      <c r="AA296" s="10"/>
      <c r="AB296" s="10"/>
    </row>
    <row r="297" spans="1:28" ht="39.950000000000003" customHeight="1" x14ac:dyDescent="0.25">
      <c r="L297" s="21"/>
      <c r="M297" s="21"/>
      <c r="N297" s="22"/>
      <c r="O297" s="32"/>
      <c r="P297" s="33"/>
      <c r="Q297" s="34"/>
      <c r="S297" s="10"/>
      <c r="T297" s="10"/>
      <c r="U297" s="10"/>
      <c r="V297" s="10"/>
      <c r="W297" s="10"/>
      <c r="X297" s="10"/>
      <c r="Y297" s="10"/>
      <c r="Z297" s="10"/>
      <c r="AA297" s="10"/>
      <c r="AB297" s="10"/>
    </row>
    <row r="298" spans="1:28" ht="39.950000000000003" customHeight="1" x14ac:dyDescent="0.25">
      <c r="L298" s="228" t="s">
        <v>323</v>
      </c>
      <c r="M298" s="228" t="s">
        <v>340</v>
      </c>
      <c r="N298" s="35" t="s">
        <v>392</v>
      </c>
      <c r="O298" s="23" t="s">
        <v>395</v>
      </c>
      <c r="P298" s="24">
        <v>252</v>
      </c>
      <c r="Q298" s="25" t="e" cm="1">
        <f t="array" ref="Q298">INDEX(ArchiveResults!$A$4:$IX$116,IndividualReport!$K$2,IndividualReport!P298)</f>
        <v>#N/A</v>
      </c>
      <c r="S298" s="10"/>
      <c r="T298" s="10"/>
      <c r="U298" s="10"/>
      <c r="V298" s="10"/>
      <c r="W298" s="10"/>
      <c r="X298" s="10"/>
      <c r="Y298" s="10"/>
      <c r="Z298" s="10"/>
      <c r="AA298" s="10"/>
      <c r="AB298" s="10"/>
    </row>
    <row r="299" spans="1:28" ht="39.950000000000003" customHeight="1" x14ac:dyDescent="0.25">
      <c r="L299" s="228"/>
      <c r="M299" s="228"/>
      <c r="N299" s="36" t="s">
        <v>393</v>
      </c>
      <c r="O299" s="26" t="s">
        <v>395</v>
      </c>
      <c r="P299" s="27">
        <v>253</v>
      </c>
      <c r="Q299" s="28" t="e" cm="1">
        <f t="array" ref="Q299">INDEX(ArchiveResults!$A$4:$IX$116,IndividualReport!$K$2,IndividualReport!P299)</f>
        <v>#N/A</v>
      </c>
      <c r="S299" s="10"/>
      <c r="T299" s="10"/>
      <c r="U299" s="10"/>
      <c r="V299" s="10"/>
      <c r="W299" s="10"/>
      <c r="X299" s="10"/>
      <c r="Y299" s="10"/>
      <c r="Z299" s="10"/>
      <c r="AA299" s="10"/>
      <c r="AB299" s="10"/>
    </row>
    <row r="300" spans="1:28" ht="39.950000000000003" customHeight="1" x14ac:dyDescent="0.25">
      <c r="L300" s="228"/>
      <c r="M300" s="228"/>
      <c r="N300" s="37" t="s">
        <v>394</v>
      </c>
      <c r="O300" s="29" t="s">
        <v>413</v>
      </c>
      <c r="P300" s="30">
        <v>254</v>
      </c>
      <c r="Q300" s="31" t="e" cm="1">
        <f t="array" ref="Q300">INDEX(ArchiveResults!$A$4:$IX$116,IndividualReport!$K$2,IndividualReport!P300)</f>
        <v>#N/A</v>
      </c>
      <c r="S300" s="10"/>
      <c r="T300" s="10"/>
      <c r="U300" s="10"/>
      <c r="V300" s="10"/>
      <c r="W300" s="10"/>
      <c r="X300" s="10"/>
      <c r="Y300" s="10"/>
      <c r="Z300" s="10"/>
      <c r="AA300" s="10"/>
      <c r="AB300" s="10"/>
    </row>
    <row r="301" spans="1:28" ht="39.950000000000003" customHeight="1" x14ac:dyDescent="0.25">
      <c r="L301" s="21"/>
      <c r="M301" s="21"/>
      <c r="N301" s="22"/>
      <c r="O301" s="32"/>
      <c r="P301" s="33"/>
      <c r="Q301" s="34"/>
      <c r="S301" s="10"/>
      <c r="T301" s="10"/>
      <c r="U301" s="10"/>
      <c r="V301" s="10"/>
      <c r="W301" s="10"/>
      <c r="X301" s="10"/>
      <c r="Y301" s="10"/>
      <c r="Z301" s="10"/>
      <c r="AA301" s="10"/>
      <c r="AB301" s="10"/>
    </row>
    <row r="302" spans="1:28" ht="39.950000000000003" customHeight="1" x14ac:dyDescent="0.25">
      <c r="L302" s="228" t="s">
        <v>323</v>
      </c>
      <c r="M302" s="228" t="s">
        <v>627</v>
      </c>
      <c r="N302" s="35" t="s">
        <v>445</v>
      </c>
      <c r="O302" s="23" t="s">
        <v>395</v>
      </c>
      <c r="P302" s="24">
        <v>255</v>
      </c>
      <c r="Q302" s="25" t="e" cm="1">
        <f t="array" ref="Q302">INDEX(ArchiveResults!$A$4:$IX$116,IndividualReport!$K$2,IndividualReport!P302)</f>
        <v>#N/A</v>
      </c>
      <c r="S302" s="10"/>
      <c r="T302" s="10"/>
      <c r="U302" s="10"/>
      <c r="V302" s="10"/>
      <c r="W302" s="10"/>
      <c r="X302" s="10"/>
      <c r="Y302" s="10"/>
      <c r="Z302" s="10"/>
      <c r="AA302" s="10"/>
      <c r="AB302" s="10"/>
    </row>
    <row r="303" spans="1:28" ht="39.950000000000003" customHeight="1" x14ac:dyDescent="0.25">
      <c r="L303" s="228"/>
      <c r="M303" s="228"/>
      <c r="N303" s="36" t="s">
        <v>446</v>
      </c>
      <c r="O303" s="26" t="s">
        <v>395</v>
      </c>
      <c r="P303" s="27">
        <v>256</v>
      </c>
      <c r="Q303" s="28" t="e" cm="1">
        <f t="array" ref="Q303">INDEX(ArchiveResults!$A$4:$IX$116,IndividualReport!$K$2,IndividualReport!P303)</f>
        <v>#N/A</v>
      </c>
      <c r="S303" s="10"/>
      <c r="T303" s="10"/>
      <c r="U303" s="10"/>
      <c r="V303" s="10"/>
      <c r="W303" s="10"/>
      <c r="X303" s="10"/>
      <c r="Y303" s="10"/>
      <c r="Z303" s="10"/>
      <c r="AA303" s="10"/>
      <c r="AB303" s="10"/>
    </row>
    <row r="304" spans="1:28" ht="39.950000000000003" customHeight="1" x14ac:dyDescent="0.25">
      <c r="L304" s="228"/>
      <c r="M304" s="228"/>
      <c r="N304" s="36" t="s">
        <v>447</v>
      </c>
      <c r="O304" s="26" t="s">
        <v>395</v>
      </c>
      <c r="P304" s="27">
        <v>257</v>
      </c>
      <c r="Q304" s="28" t="e" cm="1">
        <f t="array" ref="Q304">INDEX(ArchiveResults!$A$4:$IX$116,IndividualReport!$K$2,IndividualReport!P304)</f>
        <v>#N/A</v>
      </c>
      <c r="S304" s="10"/>
      <c r="T304" s="10"/>
      <c r="U304" s="10"/>
      <c r="V304" s="10"/>
      <c r="W304" s="10"/>
      <c r="X304" s="10"/>
      <c r="Y304" s="10"/>
      <c r="Z304" s="10"/>
      <c r="AA304" s="10"/>
      <c r="AB304" s="10"/>
    </row>
    <row r="305" spans="12:28" ht="39.950000000000003" customHeight="1" x14ac:dyDescent="0.25">
      <c r="L305" s="228"/>
      <c r="M305" s="228"/>
      <c r="N305" s="37" t="s">
        <v>394</v>
      </c>
      <c r="O305" s="29" t="s">
        <v>413</v>
      </c>
      <c r="P305" s="30">
        <v>258</v>
      </c>
      <c r="Q305" s="31" t="e" cm="1">
        <f t="array" ref="Q305">INDEX(ArchiveResults!$A$4:$IX$116,IndividualReport!$K$2,IndividualReport!P305)</f>
        <v>#N/A</v>
      </c>
      <c r="S305" s="10"/>
      <c r="T305" s="10"/>
      <c r="U305" s="10"/>
      <c r="V305" s="10"/>
      <c r="W305" s="10"/>
      <c r="X305" s="10"/>
      <c r="Y305" s="10"/>
      <c r="Z305" s="10"/>
      <c r="AA305" s="10"/>
      <c r="AB305" s="10"/>
    </row>
    <row r="306" spans="12:28" ht="39.950000000000003" customHeight="1" x14ac:dyDescent="0.25">
      <c r="L306" s="21"/>
      <c r="M306" s="21"/>
      <c r="N306" s="22"/>
      <c r="O306" s="32"/>
      <c r="P306" s="10"/>
      <c r="Q306" s="10"/>
      <c r="S306" s="10"/>
      <c r="T306" s="10"/>
      <c r="U306" s="10"/>
      <c r="V306" s="10"/>
      <c r="W306" s="10"/>
      <c r="X306" s="10"/>
      <c r="Y306" s="10"/>
      <c r="Z306" s="10"/>
      <c r="AA306" s="10"/>
      <c r="AB306" s="10"/>
    </row>
    <row r="307" spans="12:28" ht="39.950000000000003" customHeight="1" x14ac:dyDescent="0.25">
      <c r="L307" s="21"/>
      <c r="M307" s="21"/>
      <c r="N307" s="22"/>
      <c r="O307" s="32"/>
      <c r="P307" s="10"/>
      <c r="Q307" s="10"/>
      <c r="S307" s="10"/>
      <c r="T307" s="10"/>
      <c r="U307" s="10"/>
      <c r="V307" s="10"/>
      <c r="W307" s="10"/>
      <c r="X307" s="10"/>
      <c r="Y307" s="10"/>
      <c r="Z307" s="10"/>
      <c r="AA307" s="10"/>
      <c r="AB307" s="10"/>
    </row>
    <row r="308" spans="12:28" ht="39.950000000000003" customHeight="1" x14ac:dyDescent="0.25">
      <c r="L308" s="21"/>
      <c r="M308" s="21"/>
      <c r="N308" s="22"/>
      <c r="O308" s="32"/>
      <c r="P308" s="10"/>
      <c r="Q308" s="10"/>
      <c r="S308" s="10"/>
      <c r="T308" s="10"/>
      <c r="U308" s="10"/>
      <c r="V308" s="10"/>
      <c r="W308" s="10"/>
      <c r="X308" s="10"/>
      <c r="Y308" s="10"/>
      <c r="Z308" s="10"/>
      <c r="AA308" s="10"/>
      <c r="AB308" s="10"/>
    </row>
  </sheetData>
  <sheetProtection algorithmName="SHA-512" hashValue="XfuW3N5c8LZLlr0smClgZFXymBxUH/+1/rSMEONmwaPJ7BxYzYQi1xFHQS5SUXLHtXzTMeuurnqkBTV+mWKOSg==" saltValue="ExtreJ/OZRf7HPFSDowifQ==" spinCount="100000" sheet="1" scenarios="1" formatCells="0" formatColumns="0" formatRows="0"/>
  <sortState xmlns:xlrd2="http://schemas.microsoft.com/office/spreadsheetml/2017/richdata2" ref="C37:C41">
    <sortCondition ref="C37:C41"/>
  </sortState>
  <mergeCells count="127">
    <mergeCell ref="M298:M300"/>
    <mergeCell ref="L298:L300"/>
    <mergeCell ref="M302:M305"/>
    <mergeCell ref="L302:L305"/>
    <mergeCell ref="M272:M282"/>
    <mergeCell ref="L272:L282"/>
    <mergeCell ref="M284:M289"/>
    <mergeCell ref="L284:L289"/>
    <mergeCell ref="M291:M296"/>
    <mergeCell ref="L291:L296"/>
    <mergeCell ref="M256:M258"/>
    <mergeCell ref="L256:L258"/>
    <mergeCell ref="M260:M262"/>
    <mergeCell ref="L260:L262"/>
    <mergeCell ref="M264:M270"/>
    <mergeCell ref="L264:L270"/>
    <mergeCell ref="N244:N246"/>
    <mergeCell ref="N248:N250"/>
    <mergeCell ref="N252:N254"/>
    <mergeCell ref="L244:L246"/>
    <mergeCell ref="M244:M246"/>
    <mergeCell ref="L248:L250"/>
    <mergeCell ref="M248:M250"/>
    <mergeCell ref="L252:L254"/>
    <mergeCell ref="M252:M254"/>
    <mergeCell ref="M231:M235"/>
    <mergeCell ref="L231:L235"/>
    <mergeCell ref="M237:M238"/>
    <mergeCell ref="L237:L238"/>
    <mergeCell ref="N240:N242"/>
    <mergeCell ref="M240:M242"/>
    <mergeCell ref="L240:L242"/>
    <mergeCell ref="N221:N222"/>
    <mergeCell ref="M221:M222"/>
    <mergeCell ref="L221:L222"/>
    <mergeCell ref="M224:M229"/>
    <mergeCell ref="L224:L229"/>
    <mergeCell ref="N207:N212"/>
    <mergeCell ref="N214:N219"/>
    <mergeCell ref="L207:L212"/>
    <mergeCell ref="M207:M212"/>
    <mergeCell ref="L214:L219"/>
    <mergeCell ref="M214:M219"/>
    <mergeCell ref="L186:L191"/>
    <mergeCell ref="M186:M191"/>
    <mergeCell ref="L193:L198"/>
    <mergeCell ref="M193:M198"/>
    <mergeCell ref="N200:N205"/>
    <mergeCell ref="M200:M205"/>
    <mergeCell ref="L200:L205"/>
    <mergeCell ref="N186:N191"/>
    <mergeCell ref="N193:N198"/>
    <mergeCell ref="L165:L170"/>
    <mergeCell ref="M165:M170"/>
    <mergeCell ref="L172:L177"/>
    <mergeCell ref="M172:M177"/>
    <mergeCell ref="L179:L184"/>
    <mergeCell ref="M179:M184"/>
    <mergeCell ref="N165:N170"/>
    <mergeCell ref="N172:N177"/>
    <mergeCell ref="N179:N184"/>
    <mergeCell ref="L158:L163"/>
    <mergeCell ref="M158:M163"/>
    <mergeCell ref="N151:N156"/>
    <mergeCell ref="M151:M156"/>
    <mergeCell ref="L151:L156"/>
    <mergeCell ref="N158:N163"/>
    <mergeCell ref="L136:L141"/>
    <mergeCell ref="M136:M141"/>
    <mergeCell ref="L143:L148"/>
    <mergeCell ref="M143:M148"/>
    <mergeCell ref="N136:N141"/>
    <mergeCell ref="N143:N148"/>
    <mergeCell ref="L115:L120"/>
    <mergeCell ref="M115:M120"/>
    <mergeCell ref="L122:L127"/>
    <mergeCell ref="M122:M127"/>
    <mergeCell ref="L129:L134"/>
    <mergeCell ref="M129:M134"/>
    <mergeCell ref="N115:N120"/>
    <mergeCell ref="N122:N127"/>
    <mergeCell ref="N129:N134"/>
    <mergeCell ref="N73:N78"/>
    <mergeCell ref="N80:N85"/>
    <mergeCell ref="L94:L99"/>
    <mergeCell ref="M94:M99"/>
    <mergeCell ref="N94:N99"/>
    <mergeCell ref="N101:N106"/>
    <mergeCell ref="N108:N113"/>
    <mergeCell ref="L101:L106"/>
    <mergeCell ref="M101:M106"/>
    <mergeCell ref="L108:L113"/>
    <mergeCell ref="M108:M113"/>
    <mergeCell ref="N45:N50"/>
    <mergeCell ref="M45:M50"/>
    <mergeCell ref="L45:L50"/>
    <mergeCell ref="M18:M28"/>
    <mergeCell ref="L18:L28"/>
    <mergeCell ref="M30:M36"/>
    <mergeCell ref="L30:L36"/>
    <mergeCell ref="N38:N39"/>
    <mergeCell ref="N87:N92"/>
    <mergeCell ref="L52:L57"/>
    <mergeCell ref="M52:M57"/>
    <mergeCell ref="L59:L64"/>
    <mergeCell ref="M59:M64"/>
    <mergeCell ref="L66:L71"/>
    <mergeCell ref="M66:M71"/>
    <mergeCell ref="L73:L78"/>
    <mergeCell ref="M73:M78"/>
    <mergeCell ref="L80:L85"/>
    <mergeCell ref="M80:M85"/>
    <mergeCell ref="L87:L92"/>
    <mergeCell ref="M87:M92"/>
    <mergeCell ref="N52:N57"/>
    <mergeCell ref="N59:N64"/>
    <mergeCell ref="N66:N71"/>
    <mergeCell ref="L2:O2"/>
    <mergeCell ref="N6:N8"/>
    <mergeCell ref="N10:N12"/>
    <mergeCell ref="N14:N16"/>
    <mergeCell ref="M6:M16"/>
    <mergeCell ref="L6:L16"/>
    <mergeCell ref="N40:N41"/>
    <mergeCell ref="N42:N43"/>
    <mergeCell ref="M38:M43"/>
    <mergeCell ref="L38:L43"/>
  </mergeCells>
  <pageMargins left="0.7" right="0.7" top="0.75" bottom="0.75" header="0.3" footer="0.3"/>
  <pageSetup paperSize="9"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ErrorMessage="1" xr:uid="{E2972DE0-EA31-4908-9307-EA3BCBAD70A7}">
          <x14:formula1>
            <xm:f>Sheet1!$A$1:$A$113</xm:f>
          </x14:formula1>
          <xm:sqref>L2:O2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CF30B-52FD-4581-BA2F-179FC7B66D10}">
  <sheetPr codeName="Sheet5"/>
  <dimension ref="A1:ADC117"/>
  <sheetViews>
    <sheetView showGridLines="0" showRowColHeaders="0" zoomScale="85" zoomScaleNormal="85" workbookViewId="0">
      <pane ySplit="1" topLeftCell="A2" activePane="bottomLeft" state="frozen"/>
      <selection pane="bottomLeft" activeCell="F2" sqref="F2"/>
    </sheetView>
  </sheetViews>
  <sheetFormatPr defaultColWidth="0" defaultRowHeight="18" customHeight="1" zeroHeight="1" x14ac:dyDescent="0.25"/>
  <cols>
    <col min="1" max="1" width="16.28515625" style="83" bestFit="1" customWidth="1"/>
    <col min="2" max="2" width="85.42578125" style="86" bestFit="1" customWidth="1"/>
    <col min="3" max="3" width="24.7109375" style="86" customWidth="1"/>
    <col min="4" max="4" width="32.7109375" style="86" customWidth="1"/>
    <col min="5" max="5" width="24.7109375" style="86" customWidth="1"/>
    <col min="6" max="6" width="16.7109375" style="84" customWidth="1"/>
    <col min="7" max="783" width="0" style="84" hidden="1" customWidth="1"/>
    <col min="784" max="16384" width="9.140625" style="84" hidden="1"/>
  </cols>
  <sheetData>
    <row r="1" spans="1:783" ht="18" customHeight="1" x14ac:dyDescent="0.25">
      <c r="A1" s="90" t="s">
        <v>0</v>
      </c>
      <c r="B1" s="91" t="s">
        <v>451</v>
      </c>
      <c r="C1" s="91" t="s">
        <v>569</v>
      </c>
      <c r="D1" s="91" t="s">
        <v>452</v>
      </c>
      <c r="E1" s="91" t="s">
        <v>570</v>
      </c>
      <c r="F1" s="92" t="s">
        <v>602</v>
      </c>
    </row>
    <row r="2" spans="1:783" ht="18" customHeight="1" x14ac:dyDescent="0.25">
      <c r="A2" s="93">
        <v>2</v>
      </c>
      <c r="B2" s="94" t="s">
        <v>455</v>
      </c>
      <c r="C2" s="94" t="s">
        <v>453</v>
      </c>
      <c r="D2" s="94" t="s">
        <v>572</v>
      </c>
      <c r="E2" s="94" t="s">
        <v>454</v>
      </c>
      <c r="F2" s="97"/>
      <c r="ACE2" s="232"/>
      <c r="ACF2" s="232"/>
      <c r="ACG2" s="232"/>
      <c r="ACH2" s="232"/>
      <c r="ACI2" s="232"/>
      <c r="ACJ2" s="232"/>
      <c r="ACK2" s="232"/>
      <c r="ACL2" s="232"/>
      <c r="ACM2" s="232"/>
      <c r="ACN2" s="232"/>
      <c r="ACO2" s="232"/>
      <c r="ACP2" s="232"/>
      <c r="ACQ2" s="232"/>
      <c r="ACR2" s="232"/>
      <c r="ACS2" s="232"/>
      <c r="ACT2" s="232"/>
      <c r="ACU2" s="232"/>
      <c r="ACV2" s="232"/>
      <c r="ACW2" s="232"/>
      <c r="ACX2" s="232"/>
      <c r="ACY2" s="232"/>
      <c r="ACZ2" s="232"/>
      <c r="ADA2" s="232"/>
      <c r="ADB2" s="232"/>
      <c r="ADC2" s="232"/>
    </row>
    <row r="3" spans="1:783" ht="18" customHeight="1" x14ac:dyDescent="0.25">
      <c r="A3" s="93">
        <v>5</v>
      </c>
      <c r="B3" s="94" t="s">
        <v>456</v>
      </c>
      <c r="C3" s="94" t="s">
        <v>453</v>
      </c>
      <c r="D3" s="94" t="s">
        <v>576</v>
      </c>
      <c r="E3" s="94" t="s">
        <v>454</v>
      </c>
      <c r="F3" s="97"/>
      <c r="ACE3" s="232"/>
      <c r="ACF3" s="232"/>
      <c r="ACG3" s="232"/>
      <c r="ACH3" s="232"/>
      <c r="ACI3" s="232"/>
      <c r="ACJ3" s="232"/>
      <c r="ACK3" s="232"/>
      <c r="ACL3" s="232"/>
      <c r="ACM3" s="232"/>
      <c r="ACN3" s="232"/>
      <c r="ACO3" s="232"/>
      <c r="ACP3" s="232"/>
      <c r="ACQ3" s="232"/>
      <c r="ACR3" s="232"/>
      <c r="ACS3" s="232"/>
      <c r="ACT3" s="232"/>
      <c r="ACU3" s="232"/>
      <c r="ACV3" s="232"/>
      <c r="ACW3" s="232"/>
      <c r="ACX3" s="232"/>
      <c r="ACY3" s="232"/>
      <c r="ACZ3" s="232"/>
      <c r="ADA3" s="232"/>
      <c r="ADB3" s="232"/>
      <c r="ADC3" s="232"/>
    </row>
    <row r="4" spans="1:783" ht="18" customHeight="1" x14ac:dyDescent="0.25">
      <c r="A4" s="93">
        <v>7</v>
      </c>
      <c r="B4" s="94" t="s">
        <v>458</v>
      </c>
      <c r="C4" s="94" t="s">
        <v>453</v>
      </c>
      <c r="D4" s="94" t="s">
        <v>576</v>
      </c>
      <c r="E4" s="94" t="s">
        <v>457</v>
      </c>
      <c r="F4" s="97"/>
    </row>
    <row r="5" spans="1:783" ht="18" customHeight="1" x14ac:dyDescent="0.25">
      <c r="A5" s="93">
        <v>8</v>
      </c>
      <c r="B5" s="94" t="s">
        <v>459</v>
      </c>
      <c r="C5" s="94" t="s">
        <v>453</v>
      </c>
      <c r="D5" s="94" t="s">
        <v>576</v>
      </c>
      <c r="E5" s="94" t="s">
        <v>454</v>
      </c>
      <c r="F5" s="97"/>
    </row>
    <row r="6" spans="1:783" ht="18" customHeight="1" x14ac:dyDescent="0.25">
      <c r="A6" s="93">
        <v>10</v>
      </c>
      <c r="B6" s="94" t="s">
        <v>460</v>
      </c>
      <c r="C6" s="94" t="s">
        <v>453</v>
      </c>
      <c r="D6" s="94" t="s">
        <v>574</v>
      </c>
      <c r="E6" s="94" t="s">
        <v>454</v>
      </c>
      <c r="F6" s="97"/>
      <c r="ACL6" s="84" t="e">
        <f>INDEX($B$6:$B$117,MATCH(ACK6,$ACE$6:$ACE$117,0))</f>
        <v>#N/A</v>
      </c>
      <c r="ACP6" s="82" t="e">
        <f>RANK(ACQ6,$ACQ$6:$ACQ$117,1)</f>
        <v>#N/A</v>
      </c>
      <c r="ACY6" s="84" t="e">
        <f>INDEX($B$6:$B$117,MATCH(ACX6,$ACP$6:$ACP$117,0))</f>
        <v>#N/A</v>
      </c>
      <c r="ACZ6" s="85" t="e">
        <f>INDEX($ACU$6:$ACU$117,MATCH(ACX6,$ACP$6:$ACP$117,0))</f>
        <v>#N/A</v>
      </c>
      <c r="ADA6" s="85" t="e">
        <f>INDEX($ACV$6:$ACV$117,MATCH(ACX6,$ACP$6:$ACP$117,0))</f>
        <v>#N/A</v>
      </c>
      <c r="ADB6" s="85" t="e">
        <f>INDEX($ACW$6:$ACW$117,MATCH(ACX6,$ACP$6:$ACP$117,0))</f>
        <v>#N/A</v>
      </c>
      <c r="ADC6" s="84" t="e">
        <f>MAX(ACZ6:ADB6)</f>
        <v>#N/A</v>
      </c>
    </row>
    <row r="7" spans="1:783" ht="18" customHeight="1" x14ac:dyDescent="0.25">
      <c r="A7" s="93">
        <v>11</v>
      </c>
      <c r="B7" s="94" t="s">
        <v>461</v>
      </c>
      <c r="C7" s="94" t="s">
        <v>453</v>
      </c>
      <c r="D7" s="94" t="s">
        <v>574</v>
      </c>
      <c r="E7" s="94" t="s">
        <v>454</v>
      </c>
      <c r="F7" s="97"/>
      <c r="ACP7" s="82" t="e">
        <f t="shared" ref="ACP7:ACP70" si="0">RANK(ACQ7,$ACQ$6:$ACQ$117,1)</f>
        <v>#N/A</v>
      </c>
      <c r="ACY7" s="84" t="e">
        <f t="shared" ref="ACY7:ACY70" si="1">INDEX($B$6:$B$117,MATCH(ACX7,$ACP$6:$ACP$117,0))</f>
        <v>#N/A</v>
      </c>
      <c r="ACZ7" s="85" t="e">
        <f t="shared" ref="ACZ7:ACZ70" si="2">INDEX($ACU$6:$ACU$117,MATCH(ACX7,$ACP$6:$ACP$117,0))</f>
        <v>#N/A</v>
      </c>
      <c r="ADA7" s="85" t="e">
        <f t="shared" ref="ADA7:ADA70" si="3">INDEX($ACV$6:$ACV$117,MATCH(ACX7,$ACP$6:$ACP$117,0))</f>
        <v>#N/A</v>
      </c>
      <c r="ADB7" s="85" t="e">
        <f t="shared" ref="ADB7:ADB70" si="4">INDEX($ACW$6:$ACW$117,MATCH(ACX7,$ACP$6:$ACP$117,0))</f>
        <v>#N/A</v>
      </c>
      <c r="ADC7" s="84" t="e">
        <f t="shared" ref="ADC7:ADC70" si="5">MAX(ACZ7:ADB7)</f>
        <v>#N/A</v>
      </c>
    </row>
    <row r="8" spans="1:783" ht="18" customHeight="1" x14ac:dyDescent="0.25">
      <c r="A8" s="93">
        <v>17</v>
      </c>
      <c r="B8" s="94" t="s">
        <v>462</v>
      </c>
      <c r="C8" s="94" t="s">
        <v>453</v>
      </c>
      <c r="D8" s="94" t="s">
        <v>578</v>
      </c>
      <c r="E8" s="94" t="s">
        <v>454</v>
      </c>
      <c r="F8" s="97"/>
      <c r="ACP8" s="82" t="e">
        <f t="shared" si="0"/>
        <v>#N/A</v>
      </c>
      <c r="ACY8" s="84" t="e">
        <f t="shared" si="1"/>
        <v>#N/A</v>
      </c>
      <c r="ACZ8" s="85" t="e">
        <f t="shared" si="2"/>
        <v>#N/A</v>
      </c>
      <c r="ADA8" s="85" t="e">
        <f t="shared" si="3"/>
        <v>#N/A</v>
      </c>
      <c r="ADB8" s="85" t="e">
        <f t="shared" si="4"/>
        <v>#N/A</v>
      </c>
      <c r="ADC8" s="84" t="e">
        <f t="shared" si="5"/>
        <v>#N/A</v>
      </c>
    </row>
    <row r="9" spans="1:783" ht="18" customHeight="1" x14ac:dyDescent="0.25">
      <c r="A9" s="93">
        <v>19</v>
      </c>
      <c r="B9" s="94" t="s">
        <v>463</v>
      </c>
      <c r="C9" s="94" t="s">
        <v>453</v>
      </c>
      <c r="D9" s="94" t="s">
        <v>578</v>
      </c>
      <c r="E9" s="94" t="s">
        <v>454</v>
      </c>
      <c r="F9" s="97"/>
      <c r="ACP9" s="82" t="e">
        <f t="shared" si="0"/>
        <v>#N/A</v>
      </c>
      <c r="ACY9" s="84" t="e">
        <f t="shared" si="1"/>
        <v>#N/A</v>
      </c>
      <c r="ACZ9" s="85" t="e">
        <f t="shared" si="2"/>
        <v>#N/A</v>
      </c>
      <c r="ADA9" s="85" t="e">
        <f t="shared" si="3"/>
        <v>#N/A</v>
      </c>
      <c r="ADB9" s="85" t="e">
        <f t="shared" si="4"/>
        <v>#N/A</v>
      </c>
      <c r="ADC9" s="84" t="e">
        <f t="shared" si="5"/>
        <v>#N/A</v>
      </c>
    </row>
    <row r="10" spans="1:783" ht="18" customHeight="1" x14ac:dyDescent="0.25">
      <c r="A10" s="93">
        <v>21</v>
      </c>
      <c r="B10" s="94" t="s">
        <v>464</v>
      </c>
      <c r="C10" s="94" t="s">
        <v>453</v>
      </c>
      <c r="D10" s="94" t="s">
        <v>572</v>
      </c>
      <c r="E10" s="94" t="s">
        <v>454</v>
      </c>
      <c r="F10" s="97"/>
      <c r="ACP10" s="82" t="e">
        <f t="shared" si="0"/>
        <v>#N/A</v>
      </c>
      <c r="ACY10" s="84" t="e">
        <f t="shared" si="1"/>
        <v>#N/A</v>
      </c>
      <c r="ACZ10" s="85" t="e">
        <f t="shared" si="2"/>
        <v>#N/A</v>
      </c>
      <c r="ADA10" s="85" t="e">
        <f t="shared" si="3"/>
        <v>#N/A</v>
      </c>
      <c r="ADB10" s="85" t="e">
        <f t="shared" si="4"/>
        <v>#N/A</v>
      </c>
      <c r="ADC10" s="84" t="e">
        <f t="shared" si="5"/>
        <v>#N/A</v>
      </c>
    </row>
    <row r="11" spans="1:783" ht="18" customHeight="1" x14ac:dyDescent="0.25">
      <c r="A11" s="93">
        <v>23</v>
      </c>
      <c r="B11" s="94" t="s">
        <v>465</v>
      </c>
      <c r="C11" s="94" t="s">
        <v>453</v>
      </c>
      <c r="D11" s="94" t="s">
        <v>578</v>
      </c>
      <c r="E11" s="94" t="s">
        <v>454</v>
      </c>
      <c r="F11" s="97"/>
      <c r="ACP11" s="82" t="e">
        <f t="shared" si="0"/>
        <v>#N/A</v>
      </c>
      <c r="ACY11" s="84" t="e">
        <f t="shared" si="1"/>
        <v>#N/A</v>
      </c>
      <c r="ACZ11" s="85" t="e">
        <f t="shared" si="2"/>
        <v>#N/A</v>
      </c>
      <c r="ADA11" s="85" t="e">
        <f t="shared" si="3"/>
        <v>#N/A</v>
      </c>
      <c r="ADB11" s="85" t="e">
        <f t="shared" si="4"/>
        <v>#N/A</v>
      </c>
      <c r="ADC11" s="84" t="e">
        <f t="shared" si="5"/>
        <v>#N/A</v>
      </c>
    </row>
    <row r="12" spans="1:783" ht="18" customHeight="1" x14ac:dyDescent="0.25">
      <c r="A12" s="93">
        <v>24</v>
      </c>
      <c r="B12" s="94" t="s">
        <v>466</v>
      </c>
      <c r="C12" s="94" t="s">
        <v>453</v>
      </c>
      <c r="D12" s="94" t="s">
        <v>578</v>
      </c>
      <c r="E12" s="94" t="s">
        <v>454</v>
      </c>
      <c r="F12" s="97"/>
      <c r="ACP12" s="82" t="e">
        <f t="shared" si="0"/>
        <v>#N/A</v>
      </c>
      <c r="ACY12" s="84" t="e">
        <f t="shared" si="1"/>
        <v>#N/A</v>
      </c>
      <c r="ACZ12" s="85" t="e">
        <f t="shared" si="2"/>
        <v>#N/A</v>
      </c>
      <c r="ADA12" s="85" t="e">
        <f t="shared" si="3"/>
        <v>#N/A</v>
      </c>
      <c r="ADB12" s="85" t="e">
        <f t="shared" si="4"/>
        <v>#N/A</v>
      </c>
      <c r="ADC12" s="84" t="e">
        <f t="shared" si="5"/>
        <v>#N/A</v>
      </c>
    </row>
    <row r="13" spans="1:783" ht="18" customHeight="1" x14ac:dyDescent="0.25">
      <c r="A13" s="93">
        <v>25</v>
      </c>
      <c r="B13" s="94" t="s">
        <v>467</v>
      </c>
      <c r="C13" s="94" t="s">
        <v>453</v>
      </c>
      <c r="D13" s="94" t="s">
        <v>578</v>
      </c>
      <c r="E13" s="94" t="s">
        <v>454</v>
      </c>
      <c r="F13" s="97"/>
      <c r="ACP13" s="82" t="e">
        <f t="shared" si="0"/>
        <v>#N/A</v>
      </c>
      <c r="ACY13" s="84" t="e">
        <f t="shared" si="1"/>
        <v>#N/A</v>
      </c>
      <c r="ACZ13" s="85" t="e">
        <f t="shared" si="2"/>
        <v>#N/A</v>
      </c>
      <c r="ADA13" s="85" t="e">
        <f t="shared" si="3"/>
        <v>#N/A</v>
      </c>
      <c r="ADB13" s="85" t="e">
        <f t="shared" si="4"/>
        <v>#N/A</v>
      </c>
      <c r="ADC13" s="84" t="e">
        <f t="shared" si="5"/>
        <v>#N/A</v>
      </c>
    </row>
    <row r="14" spans="1:783" ht="18" customHeight="1" x14ac:dyDescent="0.25">
      <c r="A14" s="93">
        <v>26</v>
      </c>
      <c r="B14" s="94" t="s">
        <v>468</v>
      </c>
      <c r="C14" s="94" t="s">
        <v>453</v>
      </c>
      <c r="D14" s="94" t="s">
        <v>582</v>
      </c>
      <c r="E14" s="94" t="s">
        <v>454</v>
      </c>
      <c r="F14" s="97"/>
      <c r="ACP14" s="82" t="e">
        <f t="shared" si="0"/>
        <v>#N/A</v>
      </c>
      <c r="ACY14" s="84" t="e">
        <f t="shared" si="1"/>
        <v>#N/A</v>
      </c>
      <c r="ACZ14" s="85" t="e">
        <f t="shared" si="2"/>
        <v>#N/A</v>
      </c>
      <c r="ADA14" s="85" t="e">
        <f t="shared" si="3"/>
        <v>#N/A</v>
      </c>
      <c r="ADB14" s="85" t="e">
        <f t="shared" si="4"/>
        <v>#N/A</v>
      </c>
      <c r="ADC14" s="84" t="e">
        <f t="shared" si="5"/>
        <v>#N/A</v>
      </c>
    </row>
    <row r="15" spans="1:783" ht="18" customHeight="1" x14ac:dyDescent="0.25">
      <c r="A15" s="93">
        <v>27</v>
      </c>
      <c r="B15" s="94" t="s">
        <v>469</v>
      </c>
      <c r="C15" s="94" t="s">
        <v>453</v>
      </c>
      <c r="D15" s="94" t="s">
        <v>572</v>
      </c>
      <c r="E15" s="94" t="s">
        <v>454</v>
      </c>
      <c r="F15" s="97"/>
      <c r="ACP15" s="82" t="e">
        <f t="shared" si="0"/>
        <v>#N/A</v>
      </c>
      <c r="ACY15" s="84" t="e">
        <f t="shared" si="1"/>
        <v>#N/A</v>
      </c>
      <c r="ACZ15" s="85" t="e">
        <f t="shared" si="2"/>
        <v>#N/A</v>
      </c>
      <c r="ADA15" s="85" t="e">
        <f t="shared" si="3"/>
        <v>#N/A</v>
      </c>
      <c r="ADB15" s="85" t="e">
        <f t="shared" si="4"/>
        <v>#N/A</v>
      </c>
      <c r="ADC15" s="84" t="e">
        <f t="shared" si="5"/>
        <v>#N/A</v>
      </c>
    </row>
    <row r="16" spans="1:783" ht="18" customHeight="1" x14ac:dyDescent="0.25">
      <c r="A16" s="93">
        <v>28</v>
      </c>
      <c r="B16" s="94" t="s">
        <v>599</v>
      </c>
      <c r="C16" s="94" t="s">
        <v>453</v>
      </c>
      <c r="D16" s="94" t="s">
        <v>572</v>
      </c>
      <c r="E16" s="94" t="s">
        <v>454</v>
      </c>
      <c r="F16" s="97"/>
      <c r="ACP16" s="82" t="e">
        <f t="shared" si="0"/>
        <v>#N/A</v>
      </c>
      <c r="ACY16" s="84" t="e">
        <f t="shared" si="1"/>
        <v>#N/A</v>
      </c>
      <c r="ACZ16" s="85" t="e">
        <f t="shared" si="2"/>
        <v>#N/A</v>
      </c>
      <c r="ADA16" s="85" t="e">
        <f t="shared" si="3"/>
        <v>#N/A</v>
      </c>
      <c r="ADB16" s="85" t="e">
        <f t="shared" si="4"/>
        <v>#N/A</v>
      </c>
      <c r="ADC16" s="84" t="e">
        <f t="shared" si="5"/>
        <v>#N/A</v>
      </c>
    </row>
    <row r="17" spans="1:783" ht="18" customHeight="1" x14ac:dyDescent="0.25">
      <c r="A17" s="93">
        <v>31</v>
      </c>
      <c r="B17" s="94" t="s">
        <v>470</v>
      </c>
      <c r="C17" s="94" t="s">
        <v>453</v>
      </c>
      <c r="D17" s="94" t="s">
        <v>572</v>
      </c>
      <c r="E17" s="94" t="s">
        <v>454</v>
      </c>
      <c r="F17" s="97"/>
      <c r="ACP17" s="82" t="e">
        <f t="shared" si="0"/>
        <v>#N/A</v>
      </c>
      <c r="ACY17" s="84" t="e">
        <f t="shared" si="1"/>
        <v>#N/A</v>
      </c>
      <c r="ACZ17" s="85" t="e">
        <f t="shared" si="2"/>
        <v>#N/A</v>
      </c>
      <c r="ADA17" s="85" t="e">
        <f t="shared" si="3"/>
        <v>#N/A</v>
      </c>
      <c r="ADB17" s="85" t="e">
        <f t="shared" si="4"/>
        <v>#N/A</v>
      </c>
      <c r="ADC17" s="84" t="e">
        <f t="shared" si="5"/>
        <v>#N/A</v>
      </c>
    </row>
    <row r="18" spans="1:783" ht="18" customHeight="1" x14ac:dyDescent="0.25">
      <c r="A18" s="93">
        <v>40</v>
      </c>
      <c r="B18" s="94" t="s">
        <v>471</v>
      </c>
      <c r="C18" s="94" t="s">
        <v>453</v>
      </c>
      <c r="D18" s="94" t="s">
        <v>572</v>
      </c>
      <c r="E18" s="94" t="s">
        <v>454</v>
      </c>
      <c r="F18" s="97"/>
      <c r="ACP18" s="82" t="e">
        <f t="shared" si="0"/>
        <v>#N/A</v>
      </c>
      <c r="ACY18" s="84" t="e">
        <f t="shared" si="1"/>
        <v>#N/A</v>
      </c>
      <c r="ACZ18" s="85" t="e">
        <f t="shared" si="2"/>
        <v>#N/A</v>
      </c>
      <c r="ADA18" s="85" t="e">
        <f t="shared" si="3"/>
        <v>#N/A</v>
      </c>
      <c r="ADB18" s="85" t="e">
        <f t="shared" si="4"/>
        <v>#N/A</v>
      </c>
      <c r="ADC18" s="84" t="e">
        <f t="shared" si="5"/>
        <v>#N/A</v>
      </c>
    </row>
    <row r="19" spans="1:783" ht="18" customHeight="1" x14ac:dyDescent="0.25">
      <c r="A19" s="93">
        <v>41</v>
      </c>
      <c r="B19" s="94" t="s">
        <v>472</v>
      </c>
      <c r="C19" s="94" t="s">
        <v>453</v>
      </c>
      <c r="D19" s="94" t="s">
        <v>576</v>
      </c>
      <c r="E19" s="94" t="s">
        <v>454</v>
      </c>
      <c r="F19" s="97"/>
      <c r="ACP19" s="82" t="e">
        <f t="shared" si="0"/>
        <v>#N/A</v>
      </c>
      <c r="ACY19" s="84" t="e">
        <f t="shared" si="1"/>
        <v>#N/A</v>
      </c>
      <c r="ACZ19" s="85" t="e">
        <f t="shared" si="2"/>
        <v>#N/A</v>
      </c>
      <c r="ADA19" s="85" t="e">
        <f t="shared" si="3"/>
        <v>#N/A</v>
      </c>
      <c r="ADB19" s="85" t="e">
        <f t="shared" si="4"/>
        <v>#N/A</v>
      </c>
      <c r="ADC19" s="84" t="e">
        <f t="shared" si="5"/>
        <v>#N/A</v>
      </c>
    </row>
    <row r="20" spans="1:783" ht="18" customHeight="1" x14ac:dyDescent="0.25">
      <c r="A20" s="93">
        <v>44</v>
      </c>
      <c r="B20" s="94" t="s">
        <v>473</v>
      </c>
      <c r="C20" s="94" t="s">
        <v>453</v>
      </c>
      <c r="D20" s="94" t="s">
        <v>584</v>
      </c>
      <c r="E20" s="94" t="s">
        <v>454</v>
      </c>
      <c r="F20" s="97"/>
      <c r="ACP20" s="82" t="e">
        <f t="shared" si="0"/>
        <v>#N/A</v>
      </c>
      <c r="ACY20" s="84" t="e">
        <f t="shared" si="1"/>
        <v>#N/A</v>
      </c>
      <c r="ACZ20" s="85" t="e">
        <f t="shared" si="2"/>
        <v>#N/A</v>
      </c>
      <c r="ADA20" s="85" t="e">
        <f t="shared" si="3"/>
        <v>#N/A</v>
      </c>
      <c r="ADB20" s="85" t="e">
        <f t="shared" si="4"/>
        <v>#N/A</v>
      </c>
      <c r="ADC20" s="84" t="e">
        <f t="shared" si="5"/>
        <v>#N/A</v>
      </c>
    </row>
    <row r="21" spans="1:783" ht="18" customHeight="1" x14ac:dyDescent="0.25">
      <c r="A21" s="93">
        <v>45</v>
      </c>
      <c r="B21" s="94" t="s">
        <v>474</v>
      </c>
      <c r="C21" s="94" t="s">
        <v>453</v>
      </c>
      <c r="D21" s="94" t="s">
        <v>584</v>
      </c>
      <c r="E21" s="94" t="s">
        <v>454</v>
      </c>
      <c r="F21" s="97"/>
      <c r="ACP21" s="82" t="e">
        <f t="shared" si="0"/>
        <v>#N/A</v>
      </c>
      <c r="ACY21" s="84" t="e">
        <f t="shared" si="1"/>
        <v>#N/A</v>
      </c>
      <c r="ACZ21" s="85" t="e">
        <f t="shared" si="2"/>
        <v>#N/A</v>
      </c>
      <c r="ADA21" s="85" t="e">
        <f t="shared" si="3"/>
        <v>#N/A</v>
      </c>
      <c r="ADB21" s="85" t="e">
        <f t="shared" si="4"/>
        <v>#N/A</v>
      </c>
      <c r="ADC21" s="84" t="e">
        <f t="shared" si="5"/>
        <v>#N/A</v>
      </c>
    </row>
    <row r="22" spans="1:783" ht="18" customHeight="1" x14ac:dyDescent="0.25">
      <c r="A22" s="93">
        <v>46</v>
      </c>
      <c r="B22" s="94" t="s">
        <v>475</v>
      </c>
      <c r="C22" s="94" t="s">
        <v>453</v>
      </c>
      <c r="D22" s="94" t="s">
        <v>574</v>
      </c>
      <c r="E22" s="94" t="s">
        <v>454</v>
      </c>
      <c r="F22" s="97"/>
      <c r="ACP22" s="82" t="e">
        <f t="shared" si="0"/>
        <v>#N/A</v>
      </c>
      <c r="ACY22" s="84" t="e">
        <f t="shared" si="1"/>
        <v>#N/A</v>
      </c>
      <c r="ACZ22" s="85" t="e">
        <f t="shared" si="2"/>
        <v>#N/A</v>
      </c>
      <c r="ADA22" s="85" t="e">
        <f t="shared" si="3"/>
        <v>#N/A</v>
      </c>
      <c r="ADB22" s="85" t="e">
        <f t="shared" si="4"/>
        <v>#N/A</v>
      </c>
      <c r="ADC22" s="84" t="e">
        <f t="shared" si="5"/>
        <v>#N/A</v>
      </c>
    </row>
    <row r="23" spans="1:783" ht="18" customHeight="1" x14ac:dyDescent="0.25">
      <c r="A23" s="93">
        <v>47</v>
      </c>
      <c r="B23" s="94" t="s">
        <v>476</v>
      </c>
      <c r="C23" s="94" t="s">
        <v>453</v>
      </c>
      <c r="D23" s="94" t="s">
        <v>586</v>
      </c>
      <c r="E23" s="94" t="s">
        <v>454</v>
      </c>
      <c r="F23" s="97"/>
      <c r="ACP23" s="82" t="e">
        <f t="shared" si="0"/>
        <v>#N/A</v>
      </c>
      <c r="ACY23" s="84" t="e">
        <f t="shared" si="1"/>
        <v>#N/A</v>
      </c>
      <c r="ACZ23" s="85" t="e">
        <f t="shared" si="2"/>
        <v>#N/A</v>
      </c>
      <c r="ADA23" s="85" t="e">
        <f t="shared" si="3"/>
        <v>#N/A</v>
      </c>
      <c r="ADB23" s="85" t="e">
        <f t="shared" si="4"/>
        <v>#N/A</v>
      </c>
      <c r="ADC23" s="84" t="e">
        <f t="shared" si="5"/>
        <v>#N/A</v>
      </c>
    </row>
    <row r="24" spans="1:783" ht="18" customHeight="1" x14ac:dyDescent="0.25">
      <c r="A24" s="93">
        <v>51</v>
      </c>
      <c r="B24" s="94" t="s">
        <v>477</v>
      </c>
      <c r="C24" s="94" t="s">
        <v>453</v>
      </c>
      <c r="D24" s="94" t="s">
        <v>576</v>
      </c>
      <c r="E24" s="94" t="s">
        <v>454</v>
      </c>
      <c r="F24" s="97"/>
      <c r="ACP24" s="82" t="e">
        <f t="shared" si="0"/>
        <v>#N/A</v>
      </c>
      <c r="ACY24" s="84" t="e">
        <f t="shared" si="1"/>
        <v>#N/A</v>
      </c>
      <c r="ACZ24" s="85" t="e">
        <f t="shared" si="2"/>
        <v>#N/A</v>
      </c>
      <c r="ADA24" s="85" t="e">
        <f t="shared" si="3"/>
        <v>#N/A</v>
      </c>
      <c r="ADB24" s="85" t="e">
        <f t="shared" si="4"/>
        <v>#N/A</v>
      </c>
      <c r="ADC24" s="84" t="e">
        <f t="shared" si="5"/>
        <v>#N/A</v>
      </c>
    </row>
    <row r="25" spans="1:783" ht="18" customHeight="1" x14ac:dyDescent="0.25">
      <c r="A25" s="93">
        <v>55</v>
      </c>
      <c r="B25" s="94" t="s">
        <v>478</v>
      </c>
      <c r="C25" s="94" t="s">
        <v>453</v>
      </c>
      <c r="D25" s="94" t="s">
        <v>578</v>
      </c>
      <c r="E25" s="94" t="s">
        <v>454</v>
      </c>
      <c r="F25" s="97"/>
      <c r="ACP25" s="82" t="e">
        <f t="shared" si="0"/>
        <v>#N/A</v>
      </c>
      <c r="ACY25" s="84" t="e">
        <f t="shared" si="1"/>
        <v>#N/A</v>
      </c>
      <c r="ACZ25" s="85" t="e">
        <f t="shared" si="2"/>
        <v>#N/A</v>
      </c>
      <c r="ADA25" s="85" t="e">
        <f t="shared" si="3"/>
        <v>#N/A</v>
      </c>
      <c r="ADB25" s="85" t="e">
        <f t="shared" si="4"/>
        <v>#N/A</v>
      </c>
      <c r="ADC25" s="84" t="e">
        <f t="shared" si="5"/>
        <v>#N/A</v>
      </c>
    </row>
    <row r="26" spans="1:783" ht="18" customHeight="1" x14ac:dyDescent="0.25">
      <c r="A26" s="93">
        <v>56</v>
      </c>
      <c r="B26" s="94" t="s">
        <v>479</v>
      </c>
      <c r="C26" s="94" t="s">
        <v>453</v>
      </c>
      <c r="D26" s="94" t="s">
        <v>582</v>
      </c>
      <c r="E26" s="94" t="s">
        <v>454</v>
      </c>
      <c r="F26" s="97"/>
      <c r="ACP26" s="82" t="e">
        <f t="shared" si="0"/>
        <v>#N/A</v>
      </c>
      <c r="ACY26" s="84" t="e">
        <f t="shared" si="1"/>
        <v>#N/A</v>
      </c>
      <c r="ACZ26" s="85" t="e">
        <f t="shared" si="2"/>
        <v>#N/A</v>
      </c>
      <c r="ADA26" s="85" t="e">
        <f t="shared" si="3"/>
        <v>#N/A</v>
      </c>
      <c r="ADB26" s="85" t="e">
        <f t="shared" si="4"/>
        <v>#N/A</v>
      </c>
      <c r="ADC26" s="84" t="e">
        <f t="shared" si="5"/>
        <v>#N/A</v>
      </c>
    </row>
    <row r="27" spans="1:783" ht="18" customHeight="1" x14ac:dyDescent="0.25">
      <c r="A27" s="93">
        <v>61</v>
      </c>
      <c r="B27" s="94" t="s">
        <v>481</v>
      </c>
      <c r="C27" s="94" t="s">
        <v>453</v>
      </c>
      <c r="D27" s="94" t="s">
        <v>588</v>
      </c>
      <c r="E27" s="94" t="s">
        <v>480</v>
      </c>
      <c r="F27" s="97"/>
      <c r="ACP27" s="82" t="e">
        <f t="shared" si="0"/>
        <v>#N/A</v>
      </c>
      <c r="ACY27" s="84" t="e">
        <f t="shared" si="1"/>
        <v>#N/A</v>
      </c>
      <c r="ACZ27" s="85" t="e">
        <f t="shared" si="2"/>
        <v>#N/A</v>
      </c>
      <c r="ADA27" s="85" t="e">
        <f t="shared" si="3"/>
        <v>#N/A</v>
      </c>
      <c r="ADB27" s="85" t="e">
        <f t="shared" si="4"/>
        <v>#N/A</v>
      </c>
      <c r="ADC27" s="84" t="e">
        <f t="shared" si="5"/>
        <v>#N/A</v>
      </c>
    </row>
    <row r="28" spans="1:783" ht="18" customHeight="1" x14ac:dyDescent="0.25">
      <c r="A28" s="93">
        <v>64</v>
      </c>
      <c r="B28" s="94" t="s">
        <v>482</v>
      </c>
      <c r="C28" s="94" t="s">
        <v>453</v>
      </c>
      <c r="D28" s="94" t="s">
        <v>588</v>
      </c>
      <c r="E28" s="94" t="s">
        <v>480</v>
      </c>
      <c r="F28" s="97"/>
      <c r="ACP28" s="82" t="e">
        <f t="shared" si="0"/>
        <v>#N/A</v>
      </c>
      <c r="ACY28" s="84" t="e">
        <f t="shared" si="1"/>
        <v>#N/A</v>
      </c>
      <c r="ACZ28" s="85" t="e">
        <f t="shared" si="2"/>
        <v>#N/A</v>
      </c>
      <c r="ADA28" s="85" t="e">
        <f t="shared" si="3"/>
        <v>#N/A</v>
      </c>
      <c r="ADB28" s="85" t="e">
        <f t="shared" si="4"/>
        <v>#N/A</v>
      </c>
      <c r="ADC28" s="84" t="e">
        <f t="shared" si="5"/>
        <v>#N/A</v>
      </c>
    </row>
    <row r="29" spans="1:783" ht="18" customHeight="1" x14ac:dyDescent="0.25">
      <c r="A29" s="93">
        <v>66</v>
      </c>
      <c r="B29" s="94" t="s">
        <v>483</v>
      </c>
      <c r="C29" s="94" t="s">
        <v>453</v>
      </c>
      <c r="D29" s="94" t="s">
        <v>588</v>
      </c>
      <c r="E29" s="94" t="s">
        <v>480</v>
      </c>
      <c r="F29" s="97"/>
      <c r="ACP29" s="82" t="e">
        <f t="shared" si="0"/>
        <v>#N/A</v>
      </c>
      <c r="ACY29" s="84" t="e">
        <f t="shared" si="1"/>
        <v>#N/A</v>
      </c>
      <c r="ACZ29" s="85" t="e">
        <f t="shared" si="2"/>
        <v>#N/A</v>
      </c>
      <c r="ADA29" s="85" t="e">
        <f t="shared" si="3"/>
        <v>#N/A</v>
      </c>
      <c r="ADB29" s="85" t="e">
        <f t="shared" si="4"/>
        <v>#N/A</v>
      </c>
      <c r="ADC29" s="84" t="e">
        <f t="shared" si="5"/>
        <v>#N/A</v>
      </c>
    </row>
    <row r="30" spans="1:783" ht="18" customHeight="1" x14ac:dyDescent="0.25">
      <c r="A30" s="93">
        <v>69</v>
      </c>
      <c r="B30" s="94" t="s">
        <v>484</v>
      </c>
      <c r="C30" s="94" t="s">
        <v>453</v>
      </c>
      <c r="D30" s="94" t="s">
        <v>572</v>
      </c>
      <c r="E30" s="94" t="s">
        <v>480</v>
      </c>
      <c r="F30" s="97"/>
      <c r="ACP30" s="82" t="e">
        <f t="shared" si="0"/>
        <v>#N/A</v>
      </c>
      <c r="ACY30" s="84" t="e">
        <f t="shared" si="1"/>
        <v>#N/A</v>
      </c>
      <c r="ACZ30" s="85" t="e">
        <f t="shared" si="2"/>
        <v>#N/A</v>
      </c>
      <c r="ADA30" s="85" t="e">
        <f t="shared" si="3"/>
        <v>#N/A</v>
      </c>
      <c r="ADB30" s="85" t="e">
        <f t="shared" si="4"/>
        <v>#N/A</v>
      </c>
      <c r="ADC30" s="84" t="e">
        <f t="shared" si="5"/>
        <v>#N/A</v>
      </c>
    </row>
    <row r="31" spans="1:783" ht="18" customHeight="1" x14ac:dyDescent="0.25">
      <c r="A31" s="93">
        <v>74</v>
      </c>
      <c r="B31" s="94" t="s">
        <v>598</v>
      </c>
      <c r="C31" s="94" t="s">
        <v>453</v>
      </c>
      <c r="D31" s="94" t="s">
        <v>588</v>
      </c>
      <c r="E31" s="94" t="s">
        <v>454</v>
      </c>
      <c r="F31" s="97"/>
      <c r="ACP31" s="82" t="e">
        <f t="shared" si="0"/>
        <v>#N/A</v>
      </c>
      <c r="ACY31" s="84" t="e">
        <f t="shared" si="1"/>
        <v>#N/A</v>
      </c>
      <c r="ACZ31" s="85" t="e">
        <f t="shared" si="2"/>
        <v>#N/A</v>
      </c>
      <c r="ADA31" s="85" t="e">
        <f t="shared" si="3"/>
        <v>#N/A</v>
      </c>
      <c r="ADB31" s="85" t="e">
        <f t="shared" si="4"/>
        <v>#N/A</v>
      </c>
      <c r="ADC31" s="84" t="e">
        <f t="shared" si="5"/>
        <v>#N/A</v>
      </c>
    </row>
    <row r="32" spans="1:783" ht="18" customHeight="1" x14ac:dyDescent="0.25">
      <c r="A32" s="93">
        <v>79</v>
      </c>
      <c r="B32" s="94" t="s">
        <v>485</v>
      </c>
      <c r="C32" s="94" t="s">
        <v>453</v>
      </c>
      <c r="D32" s="94" t="s">
        <v>588</v>
      </c>
      <c r="E32" s="94" t="s">
        <v>454</v>
      </c>
      <c r="F32" s="97"/>
      <c r="ACP32" s="82" t="e">
        <f t="shared" si="0"/>
        <v>#N/A</v>
      </c>
      <c r="ACY32" s="84" t="e">
        <f t="shared" si="1"/>
        <v>#N/A</v>
      </c>
      <c r="ACZ32" s="85" t="e">
        <f t="shared" si="2"/>
        <v>#N/A</v>
      </c>
      <c r="ADA32" s="85" t="e">
        <f t="shared" si="3"/>
        <v>#N/A</v>
      </c>
      <c r="ADB32" s="85" t="e">
        <f t="shared" si="4"/>
        <v>#N/A</v>
      </c>
      <c r="ADC32" s="84" t="e">
        <f t="shared" si="5"/>
        <v>#N/A</v>
      </c>
    </row>
    <row r="33" spans="1:783" ht="18" customHeight="1" x14ac:dyDescent="0.25">
      <c r="A33" s="93">
        <v>84</v>
      </c>
      <c r="B33" s="94" t="s">
        <v>486</v>
      </c>
      <c r="C33" s="94" t="s">
        <v>453</v>
      </c>
      <c r="D33" s="94" t="s">
        <v>588</v>
      </c>
      <c r="E33" s="94" t="s">
        <v>454</v>
      </c>
      <c r="F33" s="97"/>
      <c r="ACP33" s="82" t="e">
        <f t="shared" si="0"/>
        <v>#N/A</v>
      </c>
      <c r="ACY33" s="84" t="e">
        <f t="shared" si="1"/>
        <v>#N/A</v>
      </c>
      <c r="ACZ33" s="85" t="e">
        <f t="shared" si="2"/>
        <v>#N/A</v>
      </c>
      <c r="ADA33" s="85" t="e">
        <f t="shared" si="3"/>
        <v>#N/A</v>
      </c>
      <c r="ADB33" s="85" t="e">
        <f t="shared" si="4"/>
        <v>#N/A</v>
      </c>
      <c r="ADC33" s="84" t="e">
        <f t="shared" si="5"/>
        <v>#N/A</v>
      </c>
    </row>
    <row r="34" spans="1:783" ht="18" customHeight="1" x14ac:dyDescent="0.25">
      <c r="A34" s="93">
        <v>91</v>
      </c>
      <c r="B34" s="94" t="s">
        <v>487</v>
      </c>
      <c r="C34" s="94" t="s">
        <v>453</v>
      </c>
      <c r="D34" s="94" t="s">
        <v>588</v>
      </c>
      <c r="E34" s="94" t="s">
        <v>454</v>
      </c>
      <c r="F34" s="97"/>
      <c r="ACP34" s="82" t="e">
        <f t="shared" si="0"/>
        <v>#N/A</v>
      </c>
      <c r="ACY34" s="84" t="e">
        <f t="shared" si="1"/>
        <v>#N/A</v>
      </c>
      <c r="ACZ34" s="85" t="e">
        <f t="shared" si="2"/>
        <v>#N/A</v>
      </c>
      <c r="ADA34" s="85" t="e">
        <f t="shared" si="3"/>
        <v>#N/A</v>
      </c>
      <c r="ADB34" s="85" t="e">
        <f t="shared" si="4"/>
        <v>#N/A</v>
      </c>
      <c r="ADC34" s="84" t="e">
        <f t="shared" si="5"/>
        <v>#N/A</v>
      </c>
    </row>
    <row r="35" spans="1:783" ht="18" customHeight="1" x14ac:dyDescent="0.25">
      <c r="A35" s="93">
        <v>92</v>
      </c>
      <c r="B35" s="94" t="s">
        <v>488</v>
      </c>
      <c r="C35" s="94" t="s">
        <v>453</v>
      </c>
      <c r="D35" s="94" t="s">
        <v>588</v>
      </c>
      <c r="E35" s="94" t="s">
        <v>454</v>
      </c>
      <c r="F35" s="97"/>
      <c r="ACP35" s="82" t="e">
        <f t="shared" si="0"/>
        <v>#N/A</v>
      </c>
      <c r="ACY35" s="84" t="e">
        <f t="shared" si="1"/>
        <v>#N/A</v>
      </c>
      <c r="ACZ35" s="85" t="e">
        <f t="shared" si="2"/>
        <v>#N/A</v>
      </c>
      <c r="ADA35" s="85" t="e">
        <f t="shared" si="3"/>
        <v>#N/A</v>
      </c>
      <c r="ADB35" s="85" t="e">
        <f t="shared" si="4"/>
        <v>#N/A</v>
      </c>
      <c r="ADC35" s="84" t="e">
        <f t="shared" si="5"/>
        <v>#N/A</v>
      </c>
    </row>
    <row r="36" spans="1:783" ht="18" customHeight="1" x14ac:dyDescent="0.25">
      <c r="A36" s="93">
        <v>96</v>
      </c>
      <c r="B36" s="94" t="s">
        <v>489</v>
      </c>
      <c r="C36" s="94" t="s">
        <v>453</v>
      </c>
      <c r="D36" s="94" t="s">
        <v>588</v>
      </c>
      <c r="E36" s="94" t="s">
        <v>457</v>
      </c>
      <c r="F36" s="97"/>
      <c r="ACP36" s="82" t="e">
        <f t="shared" si="0"/>
        <v>#N/A</v>
      </c>
      <c r="ACY36" s="84" t="e">
        <f t="shared" si="1"/>
        <v>#N/A</v>
      </c>
      <c r="ACZ36" s="85" t="e">
        <f t="shared" si="2"/>
        <v>#N/A</v>
      </c>
      <c r="ADA36" s="85" t="e">
        <f t="shared" si="3"/>
        <v>#N/A</v>
      </c>
      <c r="ADB36" s="85" t="e">
        <f t="shared" si="4"/>
        <v>#N/A</v>
      </c>
      <c r="ADC36" s="84" t="e">
        <f t="shared" si="5"/>
        <v>#N/A</v>
      </c>
    </row>
    <row r="37" spans="1:783" ht="18" customHeight="1" x14ac:dyDescent="0.25">
      <c r="A37" s="93">
        <v>100</v>
      </c>
      <c r="B37" s="94" t="s">
        <v>490</v>
      </c>
      <c r="C37" s="94" t="s">
        <v>453</v>
      </c>
      <c r="D37" s="94" t="s">
        <v>588</v>
      </c>
      <c r="E37" s="94" t="s">
        <v>457</v>
      </c>
      <c r="F37" s="97"/>
      <c r="ACP37" s="82" t="e">
        <f t="shared" si="0"/>
        <v>#N/A</v>
      </c>
      <c r="ACY37" s="84" t="e">
        <f t="shared" si="1"/>
        <v>#N/A</v>
      </c>
      <c r="ACZ37" s="85" t="e">
        <f t="shared" si="2"/>
        <v>#N/A</v>
      </c>
      <c r="ADA37" s="85" t="e">
        <f t="shared" si="3"/>
        <v>#N/A</v>
      </c>
      <c r="ADB37" s="85" t="e">
        <f t="shared" si="4"/>
        <v>#N/A</v>
      </c>
      <c r="ADC37" s="84" t="e">
        <f t="shared" si="5"/>
        <v>#N/A</v>
      </c>
    </row>
    <row r="38" spans="1:783" ht="18" customHeight="1" x14ac:dyDescent="0.25">
      <c r="A38" s="93">
        <v>103</v>
      </c>
      <c r="B38" s="94" t="s">
        <v>491</v>
      </c>
      <c r="C38" s="94" t="s">
        <v>453</v>
      </c>
      <c r="D38" s="94" t="s">
        <v>588</v>
      </c>
      <c r="E38" s="94" t="s">
        <v>457</v>
      </c>
      <c r="F38" s="97"/>
      <c r="ACP38" s="82" t="e">
        <f t="shared" si="0"/>
        <v>#N/A</v>
      </c>
      <c r="ACY38" s="84" t="e">
        <f t="shared" si="1"/>
        <v>#N/A</v>
      </c>
      <c r="ACZ38" s="85" t="e">
        <f t="shared" si="2"/>
        <v>#N/A</v>
      </c>
      <c r="ADA38" s="85" t="e">
        <f t="shared" si="3"/>
        <v>#N/A</v>
      </c>
      <c r="ADB38" s="85" t="e">
        <f t="shared" si="4"/>
        <v>#N/A</v>
      </c>
      <c r="ADC38" s="84" t="e">
        <f t="shared" si="5"/>
        <v>#N/A</v>
      </c>
    </row>
    <row r="39" spans="1:783" ht="18" customHeight="1" x14ac:dyDescent="0.25">
      <c r="A39" s="93">
        <v>124</v>
      </c>
      <c r="B39" s="94" t="s">
        <v>492</v>
      </c>
      <c r="C39" s="94" t="s">
        <v>453</v>
      </c>
      <c r="D39" s="94" t="s">
        <v>578</v>
      </c>
      <c r="E39" s="94" t="s">
        <v>454</v>
      </c>
      <c r="F39" s="97"/>
      <c r="ACP39" s="82" t="e">
        <f t="shared" si="0"/>
        <v>#N/A</v>
      </c>
      <c r="ACY39" s="84" t="e">
        <f t="shared" si="1"/>
        <v>#N/A</v>
      </c>
      <c r="ACZ39" s="85" t="e">
        <f t="shared" si="2"/>
        <v>#N/A</v>
      </c>
      <c r="ADA39" s="85" t="e">
        <f t="shared" si="3"/>
        <v>#N/A</v>
      </c>
      <c r="ADB39" s="85" t="e">
        <f t="shared" si="4"/>
        <v>#N/A</v>
      </c>
      <c r="ADC39" s="84" t="e">
        <f t="shared" si="5"/>
        <v>#N/A</v>
      </c>
    </row>
    <row r="40" spans="1:783" ht="18" customHeight="1" x14ac:dyDescent="0.25">
      <c r="A40" s="93">
        <v>126</v>
      </c>
      <c r="B40" s="94" t="s">
        <v>493</v>
      </c>
      <c r="C40" s="94" t="s">
        <v>453</v>
      </c>
      <c r="D40" s="94" t="s">
        <v>578</v>
      </c>
      <c r="E40" s="94" t="s">
        <v>454</v>
      </c>
      <c r="F40" s="97"/>
      <c r="ACP40" s="82" t="e">
        <f t="shared" si="0"/>
        <v>#N/A</v>
      </c>
      <c r="ACY40" s="84" t="e">
        <f t="shared" si="1"/>
        <v>#N/A</v>
      </c>
      <c r="ACZ40" s="85" t="e">
        <f t="shared" si="2"/>
        <v>#N/A</v>
      </c>
      <c r="ADA40" s="85" t="e">
        <f t="shared" si="3"/>
        <v>#N/A</v>
      </c>
      <c r="ADB40" s="85" t="e">
        <f t="shared" si="4"/>
        <v>#N/A</v>
      </c>
      <c r="ADC40" s="84" t="e">
        <f t="shared" si="5"/>
        <v>#N/A</v>
      </c>
    </row>
    <row r="41" spans="1:783" ht="18" customHeight="1" x14ac:dyDescent="0.25">
      <c r="A41" s="93">
        <v>127</v>
      </c>
      <c r="B41" s="94" t="s">
        <v>494</v>
      </c>
      <c r="C41" s="94" t="s">
        <v>453</v>
      </c>
      <c r="D41" s="94" t="s">
        <v>578</v>
      </c>
      <c r="E41" s="94" t="s">
        <v>454</v>
      </c>
      <c r="F41" s="97"/>
      <c r="ACP41" s="82" t="e">
        <f t="shared" si="0"/>
        <v>#N/A</v>
      </c>
      <c r="ACY41" s="84" t="e">
        <f t="shared" si="1"/>
        <v>#N/A</v>
      </c>
      <c r="ACZ41" s="85" t="e">
        <f t="shared" si="2"/>
        <v>#N/A</v>
      </c>
      <c r="ADA41" s="85" t="e">
        <f t="shared" si="3"/>
        <v>#N/A</v>
      </c>
      <c r="ADB41" s="85" t="e">
        <f t="shared" si="4"/>
        <v>#N/A</v>
      </c>
      <c r="ADC41" s="84" t="e">
        <f t="shared" si="5"/>
        <v>#N/A</v>
      </c>
    </row>
    <row r="42" spans="1:783" ht="18" customHeight="1" x14ac:dyDescent="0.25">
      <c r="A42" s="93">
        <v>150</v>
      </c>
      <c r="B42" s="94" t="s">
        <v>495</v>
      </c>
      <c r="C42" s="94" t="s">
        <v>453</v>
      </c>
      <c r="D42" s="94" t="s">
        <v>584</v>
      </c>
      <c r="E42" s="94" t="s">
        <v>457</v>
      </c>
      <c r="F42" s="97"/>
      <c r="ACP42" s="82" t="e">
        <f t="shared" si="0"/>
        <v>#N/A</v>
      </c>
      <c r="ACY42" s="84" t="e">
        <f t="shared" si="1"/>
        <v>#N/A</v>
      </c>
      <c r="ACZ42" s="85" t="e">
        <f t="shared" si="2"/>
        <v>#N/A</v>
      </c>
      <c r="ADA42" s="85" t="e">
        <f t="shared" si="3"/>
        <v>#N/A</v>
      </c>
      <c r="ADB42" s="85" t="e">
        <f t="shared" si="4"/>
        <v>#N/A</v>
      </c>
      <c r="ADC42" s="84" t="e">
        <f t="shared" si="5"/>
        <v>#N/A</v>
      </c>
    </row>
    <row r="43" spans="1:783" ht="18" customHeight="1" x14ac:dyDescent="0.25">
      <c r="A43" s="93">
        <v>152</v>
      </c>
      <c r="B43" s="94" t="s">
        <v>496</v>
      </c>
      <c r="C43" s="94" t="s">
        <v>453</v>
      </c>
      <c r="D43" s="94" t="s">
        <v>584</v>
      </c>
      <c r="E43" s="94" t="s">
        <v>457</v>
      </c>
      <c r="F43" s="97"/>
      <c r="ACP43" s="82" t="e">
        <f t="shared" si="0"/>
        <v>#N/A</v>
      </c>
      <c r="ACY43" s="84" t="e">
        <f t="shared" si="1"/>
        <v>#N/A</v>
      </c>
      <c r="ACZ43" s="85" t="e">
        <f t="shared" si="2"/>
        <v>#N/A</v>
      </c>
      <c r="ADA43" s="85" t="e">
        <f t="shared" si="3"/>
        <v>#N/A</v>
      </c>
      <c r="ADB43" s="85" t="e">
        <f t="shared" si="4"/>
        <v>#N/A</v>
      </c>
      <c r="ADC43" s="84" t="e">
        <f t="shared" si="5"/>
        <v>#N/A</v>
      </c>
    </row>
    <row r="44" spans="1:783" ht="18" customHeight="1" x14ac:dyDescent="0.25">
      <c r="A44" s="93">
        <v>153</v>
      </c>
      <c r="B44" s="94" t="s">
        <v>497</v>
      </c>
      <c r="C44" s="94" t="s">
        <v>453</v>
      </c>
      <c r="D44" s="94" t="s">
        <v>574</v>
      </c>
      <c r="E44" s="94" t="s">
        <v>454</v>
      </c>
      <c r="F44" s="97"/>
      <c r="ACP44" s="82" t="e">
        <f t="shared" si="0"/>
        <v>#N/A</v>
      </c>
      <c r="ACY44" s="84" t="e">
        <f t="shared" si="1"/>
        <v>#N/A</v>
      </c>
      <c r="ACZ44" s="85" t="e">
        <f t="shared" si="2"/>
        <v>#N/A</v>
      </c>
      <c r="ADA44" s="85" t="e">
        <f t="shared" si="3"/>
        <v>#N/A</v>
      </c>
      <c r="ADB44" s="85" t="e">
        <f t="shared" si="4"/>
        <v>#N/A</v>
      </c>
      <c r="ADC44" s="84" t="e">
        <f t="shared" si="5"/>
        <v>#N/A</v>
      </c>
    </row>
    <row r="45" spans="1:783" ht="18" customHeight="1" x14ac:dyDescent="0.25">
      <c r="A45" s="93">
        <v>155</v>
      </c>
      <c r="B45" s="94" t="s">
        <v>498</v>
      </c>
      <c r="C45" s="94" t="s">
        <v>453</v>
      </c>
      <c r="D45" s="94" t="s">
        <v>580</v>
      </c>
      <c r="E45" s="94" t="s">
        <v>454</v>
      </c>
      <c r="F45" s="97"/>
      <c r="ACP45" s="82" t="e">
        <f t="shared" si="0"/>
        <v>#N/A</v>
      </c>
      <c r="ACY45" s="84" t="e">
        <f t="shared" si="1"/>
        <v>#N/A</v>
      </c>
      <c r="ACZ45" s="85" t="e">
        <f t="shared" si="2"/>
        <v>#N/A</v>
      </c>
      <c r="ADA45" s="85" t="e">
        <f t="shared" si="3"/>
        <v>#N/A</v>
      </c>
      <c r="ADB45" s="85" t="e">
        <f t="shared" si="4"/>
        <v>#N/A</v>
      </c>
      <c r="ADC45" s="84" t="e">
        <f t="shared" si="5"/>
        <v>#N/A</v>
      </c>
    </row>
    <row r="46" spans="1:783" ht="18" customHeight="1" x14ac:dyDescent="0.25">
      <c r="A46" s="93">
        <v>159</v>
      </c>
      <c r="B46" s="94" t="s">
        <v>499</v>
      </c>
      <c r="C46" s="94" t="s">
        <v>453</v>
      </c>
      <c r="D46" s="94" t="s">
        <v>582</v>
      </c>
      <c r="E46" s="94" t="s">
        <v>457</v>
      </c>
      <c r="F46" s="97"/>
      <c r="ACP46" s="82" t="e">
        <f t="shared" si="0"/>
        <v>#N/A</v>
      </c>
      <c r="ACY46" s="84" t="e">
        <f t="shared" si="1"/>
        <v>#N/A</v>
      </c>
      <c r="ACZ46" s="85" t="e">
        <f t="shared" si="2"/>
        <v>#N/A</v>
      </c>
      <c r="ADA46" s="85" t="e">
        <f t="shared" si="3"/>
        <v>#N/A</v>
      </c>
      <c r="ADB46" s="85" t="e">
        <f t="shared" si="4"/>
        <v>#N/A</v>
      </c>
      <c r="ADC46" s="84" t="e">
        <f t="shared" si="5"/>
        <v>#N/A</v>
      </c>
    </row>
    <row r="47" spans="1:783" ht="18" customHeight="1" x14ac:dyDescent="0.25">
      <c r="A47" s="93">
        <v>160</v>
      </c>
      <c r="B47" s="94" t="s">
        <v>500</v>
      </c>
      <c r="C47" s="94" t="s">
        <v>453</v>
      </c>
      <c r="D47" s="94" t="s">
        <v>576</v>
      </c>
      <c r="E47" s="94" t="s">
        <v>454</v>
      </c>
      <c r="F47" s="97"/>
      <c r="ACP47" s="82" t="e">
        <f t="shared" si="0"/>
        <v>#N/A</v>
      </c>
      <c r="ACY47" s="84" t="e">
        <f t="shared" si="1"/>
        <v>#N/A</v>
      </c>
      <c r="ACZ47" s="85" t="e">
        <f t="shared" si="2"/>
        <v>#N/A</v>
      </c>
      <c r="ADA47" s="85" t="e">
        <f t="shared" si="3"/>
        <v>#N/A</v>
      </c>
      <c r="ADB47" s="85" t="e">
        <f t="shared" si="4"/>
        <v>#N/A</v>
      </c>
      <c r="ADC47" s="84" t="e">
        <f t="shared" si="5"/>
        <v>#N/A</v>
      </c>
    </row>
    <row r="48" spans="1:783" ht="18" customHeight="1" x14ac:dyDescent="0.25">
      <c r="A48" s="93">
        <v>166</v>
      </c>
      <c r="B48" s="94" t="s">
        <v>501</v>
      </c>
      <c r="C48" s="94" t="s">
        <v>453</v>
      </c>
      <c r="D48" s="94" t="s">
        <v>584</v>
      </c>
      <c r="E48" s="94" t="s">
        <v>454</v>
      </c>
      <c r="F48" s="97"/>
      <c r="ACP48" s="82" t="e">
        <f t="shared" si="0"/>
        <v>#N/A</v>
      </c>
      <c r="ACY48" s="84" t="e">
        <f t="shared" si="1"/>
        <v>#N/A</v>
      </c>
      <c r="ACZ48" s="85" t="e">
        <f t="shared" si="2"/>
        <v>#N/A</v>
      </c>
      <c r="ADA48" s="85" t="e">
        <f t="shared" si="3"/>
        <v>#N/A</v>
      </c>
      <c r="ADB48" s="85" t="e">
        <f t="shared" si="4"/>
        <v>#N/A</v>
      </c>
      <c r="ADC48" s="84" t="e">
        <f t="shared" si="5"/>
        <v>#N/A</v>
      </c>
    </row>
    <row r="49" spans="1:783" ht="18" customHeight="1" x14ac:dyDescent="0.25">
      <c r="A49" s="93">
        <v>168</v>
      </c>
      <c r="B49" s="94" t="s">
        <v>502</v>
      </c>
      <c r="C49" s="94" t="s">
        <v>453</v>
      </c>
      <c r="D49" s="94" t="s">
        <v>572</v>
      </c>
      <c r="E49" s="94" t="s">
        <v>454</v>
      </c>
      <c r="F49" s="97"/>
      <c r="ACP49" s="82" t="e">
        <f t="shared" si="0"/>
        <v>#N/A</v>
      </c>
      <c r="ACY49" s="84" t="e">
        <f t="shared" si="1"/>
        <v>#N/A</v>
      </c>
      <c r="ACZ49" s="85" t="e">
        <f t="shared" si="2"/>
        <v>#N/A</v>
      </c>
      <c r="ADA49" s="85" t="e">
        <f t="shared" si="3"/>
        <v>#N/A</v>
      </c>
      <c r="ADB49" s="85" t="e">
        <f t="shared" si="4"/>
        <v>#N/A</v>
      </c>
      <c r="ADC49" s="84" t="e">
        <f t="shared" si="5"/>
        <v>#N/A</v>
      </c>
    </row>
    <row r="50" spans="1:783" ht="18" customHeight="1" x14ac:dyDescent="0.25">
      <c r="A50" s="93">
        <v>176</v>
      </c>
      <c r="B50" s="94" t="s">
        <v>503</v>
      </c>
      <c r="C50" s="94" t="s">
        <v>453</v>
      </c>
      <c r="D50" s="94" t="s">
        <v>576</v>
      </c>
      <c r="E50" s="94" t="s">
        <v>454</v>
      </c>
      <c r="F50" s="97"/>
      <c r="ACP50" s="82" t="e">
        <f t="shared" si="0"/>
        <v>#N/A</v>
      </c>
      <c r="ACY50" s="84" t="e">
        <f t="shared" si="1"/>
        <v>#N/A</v>
      </c>
      <c r="ACZ50" s="85" t="e">
        <f t="shared" si="2"/>
        <v>#N/A</v>
      </c>
      <c r="ADA50" s="85" t="e">
        <f t="shared" si="3"/>
        <v>#N/A</v>
      </c>
      <c r="ADB50" s="85" t="e">
        <f t="shared" si="4"/>
        <v>#N/A</v>
      </c>
      <c r="ADC50" s="84" t="e">
        <f t="shared" si="5"/>
        <v>#N/A</v>
      </c>
    </row>
    <row r="51" spans="1:783" ht="18" customHeight="1" x14ac:dyDescent="0.25">
      <c r="A51" s="93">
        <v>182</v>
      </c>
      <c r="B51" s="94" t="s">
        <v>504</v>
      </c>
      <c r="C51" s="94" t="s">
        <v>453</v>
      </c>
      <c r="D51" s="94" t="s">
        <v>576</v>
      </c>
      <c r="E51" s="94" t="s">
        <v>454</v>
      </c>
      <c r="F51" s="97"/>
      <c r="ACP51" s="82" t="e">
        <f t="shared" si="0"/>
        <v>#N/A</v>
      </c>
      <c r="ACY51" s="84" t="e">
        <f t="shared" si="1"/>
        <v>#N/A</v>
      </c>
      <c r="ACZ51" s="85" t="e">
        <f t="shared" si="2"/>
        <v>#N/A</v>
      </c>
      <c r="ADA51" s="85" t="e">
        <f t="shared" si="3"/>
        <v>#N/A</v>
      </c>
      <c r="ADB51" s="85" t="e">
        <f t="shared" si="4"/>
        <v>#N/A</v>
      </c>
      <c r="ADC51" s="84" t="e">
        <f t="shared" si="5"/>
        <v>#N/A</v>
      </c>
    </row>
    <row r="52" spans="1:783" ht="18" customHeight="1" x14ac:dyDescent="0.25">
      <c r="A52" s="93">
        <v>183</v>
      </c>
      <c r="B52" s="94" t="s">
        <v>505</v>
      </c>
      <c r="C52" s="94" t="s">
        <v>453</v>
      </c>
      <c r="D52" s="94" t="s">
        <v>580</v>
      </c>
      <c r="E52" s="94" t="s">
        <v>454</v>
      </c>
      <c r="F52" s="97"/>
      <c r="ACP52" s="82" t="e">
        <f t="shared" si="0"/>
        <v>#N/A</v>
      </c>
      <c r="ACY52" s="84" t="e">
        <f t="shared" si="1"/>
        <v>#N/A</v>
      </c>
      <c r="ACZ52" s="85" t="e">
        <f t="shared" si="2"/>
        <v>#N/A</v>
      </c>
      <c r="ADA52" s="85" t="e">
        <f t="shared" si="3"/>
        <v>#N/A</v>
      </c>
      <c r="ADB52" s="85" t="e">
        <f t="shared" si="4"/>
        <v>#N/A</v>
      </c>
      <c r="ADC52" s="84" t="e">
        <f t="shared" si="5"/>
        <v>#N/A</v>
      </c>
    </row>
    <row r="53" spans="1:783" ht="18" customHeight="1" x14ac:dyDescent="0.25">
      <c r="A53" s="93">
        <v>187</v>
      </c>
      <c r="B53" s="94" t="s">
        <v>506</v>
      </c>
      <c r="C53" s="94" t="s">
        <v>453</v>
      </c>
      <c r="D53" s="94" t="s">
        <v>584</v>
      </c>
      <c r="E53" s="94" t="s">
        <v>454</v>
      </c>
      <c r="F53" s="97"/>
      <c r="ACP53" s="82" t="e">
        <f t="shared" si="0"/>
        <v>#N/A</v>
      </c>
      <c r="ACY53" s="84" t="e">
        <f t="shared" si="1"/>
        <v>#N/A</v>
      </c>
      <c r="ACZ53" s="85" t="e">
        <f t="shared" si="2"/>
        <v>#N/A</v>
      </c>
      <c r="ADA53" s="85" t="e">
        <f t="shared" si="3"/>
        <v>#N/A</v>
      </c>
      <c r="ADB53" s="85" t="e">
        <f t="shared" si="4"/>
        <v>#N/A</v>
      </c>
      <c r="ADC53" s="84" t="e">
        <f t="shared" si="5"/>
        <v>#N/A</v>
      </c>
    </row>
    <row r="54" spans="1:783" ht="18" customHeight="1" x14ac:dyDescent="0.25">
      <c r="A54" s="93">
        <v>191</v>
      </c>
      <c r="B54" s="94" t="s">
        <v>507</v>
      </c>
      <c r="C54" s="94" t="s">
        <v>453</v>
      </c>
      <c r="D54" s="94" t="s">
        <v>586</v>
      </c>
      <c r="E54" s="94" t="s">
        <v>454</v>
      </c>
      <c r="F54" s="97"/>
      <c r="ACP54" s="82" t="e">
        <f t="shared" si="0"/>
        <v>#N/A</v>
      </c>
      <c r="ACY54" s="84" t="e">
        <f t="shared" si="1"/>
        <v>#N/A</v>
      </c>
      <c r="ACZ54" s="85" t="e">
        <f t="shared" si="2"/>
        <v>#N/A</v>
      </c>
      <c r="ADA54" s="85" t="e">
        <f t="shared" si="3"/>
        <v>#N/A</v>
      </c>
      <c r="ADB54" s="85" t="e">
        <f t="shared" si="4"/>
        <v>#N/A</v>
      </c>
      <c r="ADC54" s="84" t="e">
        <f t="shared" si="5"/>
        <v>#N/A</v>
      </c>
    </row>
    <row r="55" spans="1:783" ht="18" customHeight="1" x14ac:dyDescent="0.25">
      <c r="A55" s="93">
        <v>192</v>
      </c>
      <c r="B55" s="94" t="s">
        <v>508</v>
      </c>
      <c r="C55" s="94" t="s">
        <v>453</v>
      </c>
      <c r="D55" s="94" t="s">
        <v>586</v>
      </c>
      <c r="E55" s="94" t="s">
        <v>454</v>
      </c>
      <c r="F55" s="97"/>
      <c r="ACP55" s="82" t="e">
        <f t="shared" si="0"/>
        <v>#N/A</v>
      </c>
      <c r="ACY55" s="84" t="e">
        <f t="shared" si="1"/>
        <v>#N/A</v>
      </c>
      <c r="ACZ55" s="85" t="e">
        <f t="shared" si="2"/>
        <v>#N/A</v>
      </c>
      <c r="ADA55" s="85" t="e">
        <f t="shared" si="3"/>
        <v>#N/A</v>
      </c>
      <c r="ADB55" s="85" t="e">
        <f t="shared" si="4"/>
        <v>#N/A</v>
      </c>
      <c r="ADC55" s="84" t="e">
        <f t="shared" si="5"/>
        <v>#N/A</v>
      </c>
    </row>
    <row r="56" spans="1:783" ht="18" customHeight="1" x14ac:dyDescent="0.25">
      <c r="A56" s="93">
        <v>193</v>
      </c>
      <c r="B56" s="94" t="s">
        <v>509</v>
      </c>
      <c r="C56" s="94" t="s">
        <v>453</v>
      </c>
      <c r="D56" s="94" t="s">
        <v>586</v>
      </c>
      <c r="E56" s="94" t="s">
        <v>457</v>
      </c>
      <c r="F56" s="97"/>
      <c r="ACP56" s="82" t="e">
        <f t="shared" si="0"/>
        <v>#N/A</v>
      </c>
      <c r="ACY56" s="84" t="e">
        <f t="shared" si="1"/>
        <v>#N/A</v>
      </c>
      <c r="ACZ56" s="85" t="e">
        <f t="shared" si="2"/>
        <v>#N/A</v>
      </c>
      <c r="ADA56" s="85" t="e">
        <f t="shared" si="3"/>
        <v>#N/A</v>
      </c>
      <c r="ADB56" s="85" t="e">
        <f t="shared" si="4"/>
        <v>#N/A</v>
      </c>
      <c r="ADC56" s="84" t="e">
        <f t="shared" si="5"/>
        <v>#N/A</v>
      </c>
    </row>
    <row r="57" spans="1:783" ht="18" customHeight="1" x14ac:dyDescent="0.25">
      <c r="A57" s="93">
        <v>198</v>
      </c>
      <c r="B57" s="94" t="s">
        <v>510</v>
      </c>
      <c r="C57" s="94" t="s">
        <v>453</v>
      </c>
      <c r="D57" s="94" t="s">
        <v>586</v>
      </c>
      <c r="E57" s="94" t="s">
        <v>454</v>
      </c>
      <c r="F57" s="97"/>
      <c r="ACP57" s="82" t="e">
        <f t="shared" si="0"/>
        <v>#N/A</v>
      </c>
      <c r="ACY57" s="84" t="e">
        <f t="shared" si="1"/>
        <v>#N/A</v>
      </c>
      <c r="ACZ57" s="85" t="e">
        <f t="shared" si="2"/>
        <v>#N/A</v>
      </c>
      <c r="ADA57" s="85" t="e">
        <f t="shared" si="3"/>
        <v>#N/A</v>
      </c>
      <c r="ADB57" s="85" t="e">
        <f t="shared" si="4"/>
        <v>#N/A</v>
      </c>
      <c r="ADC57" s="84" t="e">
        <f t="shared" si="5"/>
        <v>#N/A</v>
      </c>
    </row>
    <row r="58" spans="1:783" ht="18" customHeight="1" x14ac:dyDescent="0.25">
      <c r="A58" s="93">
        <v>201</v>
      </c>
      <c r="B58" s="94" t="s">
        <v>511</v>
      </c>
      <c r="C58" s="94" t="s">
        <v>453</v>
      </c>
      <c r="D58" s="94" t="s">
        <v>586</v>
      </c>
      <c r="E58" s="94" t="s">
        <v>454</v>
      </c>
      <c r="F58" s="97"/>
      <c r="ACP58" s="82" t="e">
        <f t="shared" si="0"/>
        <v>#N/A</v>
      </c>
      <c r="ACY58" s="84" t="e">
        <f t="shared" si="1"/>
        <v>#N/A</v>
      </c>
      <c r="ACZ58" s="85" t="e">
        <f t="shared" si="2"/>
        <v>#N/A</v>
      </c>
      <c r="ADA58" s="85" t="e">
        <f t="shared" si="3"/>
        <v>#N/A</v>
      </c>
      <c r="ADB58" s="85" t="e">
        <f t="shared" si="4"/>
        <v>#N/A</v>
      </c>
      <c r="ADC58" s="84" t="e">
        <f t="shared" si="5"/>
        <v>#N/A</v>
      </c>
    </row>
    <row r="59" spans="1:783" ht="18" customHeight="1" x14ac:dyDescent="0.25">
      <c r="A59" s="93">
        <v>202</v>
      </c>
      <c r="B59" s="94" t="s">
        <v>512</v>
      </c>
      <c r="C59" s="94" t="s">
        <v>453</v>
      </c>
      <c r="D59" s="94" t="s">
        <v>586</v>
      </c>
      <c r="E59" s="94" t="s">
        <v>454</v>
      </c>
      <c r="F59" s="97"/>
      <c r="ACP59" s="82" t="e">
        <f t="shared" si="0"/>
        <v>#N/A</v>
      </c>
      <c r="ACY59" s="84" t="e">
        <f t="shared" si="1"/>
        <v>#N/A</v>
      </c>
      <c r="ACZ59" s="85" t="e">
        <f t="shared" si="2"/>
        <v>#N/A</v>
      </c>
      <c r="ADA59" s="85" t="e">
        <f t="shared" si="3"/>
        <v>#N/A</v>
      </c>
      <c r="ADB59" s="85" t="e">
        <f t="shared" si="4"/>
        <v>#N/A</v>
      </c>
      <c r="ADC59" s="84" t="e">
        <f t="shared" si="5"/>
        <v>#N/A</v>
      </c>
    </row>
    <row r="60" spans="1:783" ht="18" customHeight="1" x14ac:dyDescent="0.25">
      <c r="A60" s="93">
        <v>203</v>
      </c>
      <c r="B60" s="94" t="s">
        <v>513</v>
      </c>
      <c r="C60" s="94" t="s">
        <v>453</v>
      </c>
      <c r="D60" s="94" t="s">
        <v>586</v>
      </c>
      <c r="E60" s="94" t="s">
        <v>454</v>
      </c>
      <c r="F60" s="97"/>
      <c r="ACP60" s="82" t="e">
        <f t="shared" si="0"/>
        <v>#N/A</v>
      </c>
      <c r="ACY60" s="84" t="e">
        <f t="shared" si="1"/>
        <v>#N/A</v>
      </c>
      <c r="ACZ60" s="85" t="e">
        <f t="shared" si="2"/>
        <v>#N/A</v>
      </c>
      <c r="ADA60" s="85" t="e">
        <f t="shared" si="3"/>
        <v>#N/A</v>
      </c>
      <c r="ADB60" s="85" t="e">
        <f t="shared" si="4"/>
        <v>#N/A</v>
      </c>
      <c r="ADC60" s="84" t="e">
        <f t="shared" si="5"/>
        <v>#N/A</v>
      </c>
    </row>
    <row r="61" spans="1:783" ht="18" customHeight="1" x14ac:dyDescent="0.25">
      <c r="A61" s="93">
        <v>205</v>
      </c>
      <c r="B61" s="94" t="s">
        <v>514</v>
      </c>
      <c r="C61" s="94" t="s">
        <v>453</v>
      </c>
      <c r="D61" s="94" t="s">
        <v>586</v>
      </c>
      <c r="E61" s="94" t="s">
        <v>454</v>
      </c>
      <c r="F61" s="97"/>
      <c r="ACP61" s="82" t="e">
        <f t="shared" si="0"/>
        <v>#N/A</v>
      </c>
      <c r="ACY61" s="84" t="e">
        <f t="shared" si="1"/>
        <v>#N/A</v>
      </c>
      <c r="ACZ61" s="85" t="e">
        <f t="shared" si="2"/>
        <v>#N/A</v>
      </c>
      <c r="ADA61" s="85" t="e">
        <f t="shared" si="3"/>
        <v>#N/A</v>
      </c>
      <c r="ADB61" s="85" t="e">
        <f t="shared" si="4"/>
        <v>#N/A</v>
      </c>
      <c r="ADC61" s="84" t="e">
        <f t="shared" si="5"/>
        <v>#N/A</v>
      </c>
    </row>
    <row r="62" spans="1:783" ht="18" customHeight="1" x14ac:dyDescent="0.25">
      <c r="A62" s="93">
        <v>206</v>
      </c>
      <c r="B62" s="94" t="s">
        <v>515</v>
      </c>
      <c r="C62" s="94" t="s">
        <v>453</v>
      </c>
      <c r="D62" s="94" t="s">
        <v>586</v>
      </c>
      <c r="E62" s="94" t="s">
        <v>457</v>
      </c>
      <c r="F62" s="97"/>
      <c r="ACP62" s="82" t="e">
        <f t="shared" si="0"/>
        <v>#N/A</v>
      </c>
      <c r="ACY62" s="84" t="e">
        <f t="shared" si="1"/>
        <v>#N/A</v>
      </c>
      <c r="ACZ62" s="85" t="e">
        <f t="shared" si="2"/>
        <v>#N/A</v>
      </c>
      <c r="ADA62" s="85" t="e">
        <f t="shared" si="3"/>
        <v>#N/A</v>
      </c>
      <c r="ADB62" s="85" t="e">
        <f t="shared" si="4"/>
        <v>#N/A</v>
      </c>
      <c r="ADC62" s="84" t="e">
        <f t="shared" si="5"/>
        <v>#N/A</v>
      </c>
    </row>
    <row r="63" spans="1:783" ht="18" customHeight="1" x14ac:dyDescent="0.25">
      <c r="A63" s="93">
        <v>208</v>
      </c>
      <c r="B63" s="94" t="s">
        <v>610</v>
      </c>
      <c r="C63" s="94" t="s">
        <v>516</v>
      </c>
      <c r="D63" s="94" t="s">
        <v>516</v>
      </c>
      <c r="E63" s="94" t="s">
        <v>454</v>
      </c>
      <c r="F63" s="97"/>
      <c r="ACP63" s="82" t="e">
        <f t="shared" si="0"/>
        <v>#N/A</v>
      </c>
      <c r="ACY63" s="84" t="e">
        <f t="shared" si="1"/>
        <v>#N/A</v>
      </c>
      <c r="ACZ63" s="85" t="e">
        <f t="shared" si="2"/>
        <v>#N/A</v>
      </c>
      <c r="ADA63" s="85" t="e">
        <f t="shared" si="3"/>
        <v>#N/A</v>
      </c>
      <c r="ADB63" s="85" t="e">
        <f t="shared" si="4"/>
        <v>#N/A</v>
      </c>
      <c r="ADC63" s="84" t="e">
        <f t="shared" si="5"/>
        <v>#N/A</v>
      </c>
    </row>
    <row r="64" spans="1:783" ht="18" customHeight="1" x14ac:dyDescent="0.25">
      <c r="A64" s="93">
        <v>209</v>
      </c>
      <c r="B64" s="94" t="s">
        <v>611</v>
      </c>
      <c r="C64" s="94" t="s">
        <v>516</v>
      </c>
      <c r="D64" s="94" t="s">
        <v>516</v>
      </c>
      <c r="E64" s="94" t="s">
        <v>454</v>
      </c>
      <c r="F64" s="97"/>
      <c r="ACP64" s="82" t="e">
        <f t="shared" si="0"/>
        <v>#N/A</v>
      </c>
      <c r="ACY64" s="84" t="e">
        <f t="shared" si="1"/>
        <v>#N/A</v>
      </c>
      <c r="ACZ64" s="85" t="e">
        <f t="shared" si="2"/>
        <v>#N/A</v>
      </c>
      <c r="ADA64" s="85" t="e">
        <f t="shared" si="3"/>
        <v>#N/A</v>
      </c>
      <c r="ADB64" s="85" t="e">
        <f t="shared" si="4"/>
        <v>#N/A</v>
      </c>
      <c r="ADC64" s="84" t="e">
        <f t="shared" si="5"/>
        <v>#N/A</v>
      </c>
    </row>
    <row r="65" spans="1:783" ht="18" customHeight="1" x14ac:dyDescent="0.25">
      <c r="A65" s="93">
        <v>210</v>
      </c>
      <c r="B65" s="94" t="s">
        <v>517</v>
      </c>
      <c r="C65" s="94" t="s">
        <v>516</v>
      </c>
      <c r="D65" s="94" t="s">
        <v>516</v>
      </c>
      <c r="E65" s="94" t="s">
        <v>480</v>
      </c>
      <c r="F65" s="97"/>
      <c r="ACP65" s="82" t="e">
        <f t="shared" si="0"/>
        <v>#N/A</v>
      </c>
      <c r="ACY65" s="84" t="e">
        <f t="shared" si="1"/>
        <v>#N/A</v>
      </c>
      <c r="ACZ65" s="85" t="e">
        <f t="shared" si="2"/>
        <v>#N/A</v>
      </c>
      <c r="ADA65" s="85" t="e">
        <f t="shared" si="3"/>
        <v>#N/A</v>
      </c>
      <c r="ADB65" s="85" t="e">
        <f t="shared" si="4"/>
        <v>#N/A</v>
      </c>
      <c r="ADC65" s="84" t="e">
        <f t="shared" si="5"/>
        <v>#N/A</v>
      </c>
    </row>
    <row r="66" spans="1:783" ht="18" customHeight="1" x14ac:dyDescent="0.25">
      <c r="A66" s="93">
        <v>211</v>
      </c>
      <c r="B66" s="94" t="s">
        <v>518</v>
      </c>
      <c r="C66" s="94" t="s">
        <v>516</v>
      </c>
      <c r="D66" s="94" t="s">
        <v>516</v>
      </c>
      <c r="E66" s="94" t="s">
        <v>454</v>
      </c>
      <c r="F66" s="97"/>
      <c r="ACP66" s="82" t="e">
        <f t="shared" si="0"/>
        <v>#N/A</v>
      </c>
      <c r="ACY66" s="84" t="e">
        <f t="shared" si="1"/>
        <v>#N/A</v>
      </c>
      <c r="ACZ66" s="85" t="e">
        <f t="shared" si="2"/>
        <v>#N/A</v>
      </c>
      <c r="ADA66" s="85" t="e">
        <f t="shared" si="3"/>
        <v>#N/A</v>
      </c>
      <c r="ADB66" s="85" t="e">
        <f t="shared" si="4"/>
        <v>#N/A</v>
      </c>
      <c r="ADC66" s="84" t="e">
        <f t="shared" si="5"/>
        <v>#N/A</v>
      </c>
    </row>
    <row r="67" spans="1:783" ht="18" customHeight="1" x14ac:dyDescent="0.25">
      <c r="A67" s="93">
        <v>212</v>
      </c>
      <c r="B67" s="94" t="s">
        <v>519</v>
      </c>
      <c r="C67" s="94" t="s">
        <v>516</v>
      </c>
      <c r="D67" s="94" t="s">
        <v>516</v>
      </c>
      <c r="E67" s="94" t="s">
        <v>454</v>
      </c>
      <c r="F67" s="97"/>
      <c r="ACP67" s="82" t="e">
        <f t="shared" si="0"/>
        <v>#N/A</v>
      </c>
      <c r="ACY67" s="84" t="e">
        <f t="shared" si="1"/>
        <v>#N/A</v>
      </c>
      <c r="ACZ67" s="85" t="e">
        <f t="shared" si="2"/>
        <v>#N/A</v>
      </c>
      <c r="ADA67" s="85" t="e">
        <f t="shared" si="3"/>
        <v>#N/A</v>
      </c>
      <c r="ADB67" s="85" t="e">
        <f t="shared" si="4"/>
        <v>#N/A</v>
      </c>
      <c r="ADC67" s="84" t="e">
        <f t="shared" si="5"/>
        <v>#N/A</v>
      </c>
    </row>
    <row r="68" spans="1:783" ht="18" customHeight="1" x14ac:dyDescent="0.25">
      <c r="A68" s="93">
        <v>213</v>
      </c>
      <c r="B68" s="94" t="s">
        <v>520</v>
      </c>
      <c r="C68" s="94" t="s">
        <v>516</v>
      </c>
      <c r="D68" s="94" t="s">
        <v>516</v>
      </c>
      <c r="E68" s="94" t="s">
        <v>454</v>
      </c>
      <c r="F68" s="97"/>
      <c r="ACP68" s="82" t="e">
        <f t="shared" si="0"/>
        <v>#N/A</v>
      </c>
      <c r="ACY68" s="84" t="e">
        <f t="shared" si="1"/>
        <v>#N/A</v>
      </c>
      <c r="ACZ68" s="85" t="e">
        <f t="shared" si="2"/>
        <v>#N/A</v>
      </c>
      <c r="ADA68" s="85" t="e">
        <f t="shared" si="3"/>
        <v>#N/A</v>
      </c>
      <c r="ADB68" s="85" t="e">
        <f t="shared" si="4"/>
        <v>#N/A</v>
      </c>
      <c r="ADC68" s="84" t="e">
        <f t="shared" si="5"/>
        <v>#N/A</v>
      </c>
    </row>
    <row r="69" spans="1:783" ht="18" customHeight="1" x14ac:dyDescent="0.25">
      <c r="A69" s="93">
        <v>214</v>
      </c>
      <c r="B69" s="94" t="s">
        <v>521</v>
      </c>
      <c r="C69" s="94" t="s">
        <v>516</v>
      </c>
      <c r="D69" s="94" t="s">
        <v>516</v>
      </c>
      <c r="E69" s="94" t="s">
        <v>454</v>
      </c>
      <c r="F69" s="97"/>
      <c r="ACP69" s="82" t="e">
        <f t="shared" si="0"/>
        <v>#N/A</v>
      </c>
      <c r="ACY69" s="84" t="e">
        <f t="shared" si="1"/>
        <v>#N/A</v>
      </c>
      <c r="ACZ69" s="85" t="e">
        <f t="shared" si="2"/>
        <v>#N/A</v>
      </c>
      <c r="ADA69" s="85" t="e">
        <f t="shared" si="3"/>
        <v>#N/A</v>
      </c>
      <c r="ADB69" s="85" t="e">
        <f t="shared" si="4"/>
        <v>#N/A</v>
      </c>
      <c r="ADC69" s="84" t="e">
        <f t="shared" si="5"/>
        <v>#N/A</v>
      </c>
    </row>
    <row r="70" spans="1:783" ht="18" customHeight="1" x14ac:dyDescent="0.25">
      <c r="A70" s="93">
        <v>216</v>
      </c>
      <c r="B70" s="94" t="s">
        <v>522</v>
      </c>
      <c r="C70" s="94" t="s">
        <v>516</v>
      </c>
      <c r="D70" s="94" t="s">
        <v>516</v>
      </c>
      <c r="E70" s="94" t="s">
        <v>454</v>
      </c>
      <c r="F70" s="97"/>
      <c r="ACP70" s="82" t="e">
        <f t="shared" si="0"/>
        <v>#N/A</v>
      </c>
      <c r="ACY70" s="84" t="e">
        <f t="shared" si="1"/>
        <v>#N/A</v>
      </c>
      <c r="ACZ70" s="85" t="e">
        <f t="shared" si="2"/>
        <v>#N/A</v>
      </c>
      <c r="ADA70" s="85" t="e">
        <f t="shared" si="3"/>
        <v>#N/A</v>
      </c>
      <c r="ADB70" s="85" t="e">
        <f t="shared" si="4"/>
        <v>#N/A</v>
      </c>
      <c r="ADC70" s="84" t="e">
        <f t="shared" si="5"/>
        <v>#N/A</v>
      </c>
    </row>
    <row r="71" spans="1:783" ht="18" customHeight="1" x14ac:dyDescent="0.25">
      <c r="A71" s="93">
        <v>217</v>
      </c>
      <c r="B71" s="94" t="s">
        <v>523</v>
      </c>
      <c r="C71" s="94" t="s">
        <v>516</v>
      </c>
      <c r="D71" s="94" t="s">
        <v>516</v>
      </c>
      <c r="E71" s="94" t="s">
        <v>457</v>
      </c>
      <c r="F71" s="97"/>
      <c r="ACP71" s="82" t="e">
        <f t="shared" ref="ACP71:ACP117" si="6">RANK(ACQ71,$ACQ$6:$ACQ$117,1)</f>
        <v>#N/A</v>
      </c>
      <c r="ACY71" s="84" t="e">
        <f t="shared" ref="ACY71:ACY117" si="7">INDEX($B$6:$B$117,MATCH(ACX71,$ACP$6:$ACP$117,0))</f>
        <v>#N/A</v>
      </c>
      <c r="ACZ71" s="85" t="e">
        <f t="shared" ref="ACZ71:ACZ117" si="8">INDEX($ACU$6:$ACU$117,MATCH(ACX71,$ACP$6:$ACP$117,0))</f>
        <v>#N/A</v>
      </c>
      <c r="ADA71" s="85" t="e">
        <f t="shared" ref="ADA71:ADA117" si="9">INDEX($ACV$6:$ACV$117,MATCH(ACX71,$ACP$6:$ACP$117,0))</f>
        <v>#N/A</v>
      </c>
      <c r="ADB71" s="85" t="e">
        <f t="shared" ref="ADB71:ADB117" si="10">INDEX($ACW$6:$ACW$117,MATCH(ACX71,$ACP$6:$ACP$117,0))</f>
        <v>#N/A</v>
      </c>
      <c r="ADC71" s="84" t="e">
        <f t="shared" ref="ADC71:ADC117" si="11">MAX(ACZ71:ADB71)</f>
        <v>#N/A</v>
      </c>
    </row>
    <row r="72" spans="1:783" ht="18" customHeight="1" x14ac:dyDescent="0.25">
      <c r="A72" s="93">
        <v>218</v>
      </c>
      <c r="B72" s="94" t="s">
        <v>524</v>
      </c>
      <c r="C72" s="94" t="s">
        <v>516</v>
      </c>
      <c r="D72" s="94" t="s">
        <v>516</v>
      </c>
      <c r="E72" s="94" t="s">
        <v>454</v>
      </c>
      <c r="F72" s="97"/>
      <c r="ACP72" s="82" t="e">
        <f t="shared" si="6"/>
        <v>#N/A</v>
      </c>
      <c r="ACY72" s="84" t="e">
        <f t="shared" si="7"/>
        <v>#N/A</v>
      </c>
      <c r="ACZ72" s="85" t="e">
        <f t="shared" si="8"/>
        <v>#N/A</v>
      </c>
      <c r="ADA72" s="85" t="e">
        <f t="shared" si="9"/>
        <v>#N/A</v>
      </c>
      <c r="ADB72" s="85" t="e">
        <f t="shared" si="10"/>
        <v>#N/A</v>
      </c>
      <c r="ADC72" s="84" t="e">
        <f t="shared" si="11"/>
        <v>#N/A</v>
      </c>
    </row>
    <row r="73" spans="1:783" ht="18" customHeight="1" x14ac:dyDescent="0.25">
      <c r="A73" s="93">
        <v>221</v>
      </c>
      <c r="B73" s="94" t="s">
        <v>525</v>
      </c>
      <c r="C73" s="94" t="s">
        <v>516</v>
      </c>
      <c r="D73" s="94" t="s">
        <v>516</v>
      </c>
      <c r="E73" s="94" t="s">
        <v>454</v>
      </c>
      <c r="F73" s="97"/>
      <c r="ACP73" s="82" t="e">
        <f t="shared" si="6"/>
        <v>#N/A</v>
      </c>
      <c r="ACY73" s="84" t="e">
        <f t="shared" si="7"/>
        <v>#N/A</v>
      </c>
      <c r="ACZ73" s="85" t="e">
        <f t="shared" si="8"/>
        <v>#N/A</v>
      </c>
      <c r="ADA73" s="85" t="e">
        <f t="shared" si="9"/>
        <v>#N/A</v>
      </c>
      <c r="ADB73" s="85" t="e">
        <f t="shared" si="10"/>
        <v>#N/A</v>
      </c>
      <c r="ADC73" s="84" t="e">
        <f t="shared" si="11"/>
        <v>#N/A</v>
      </c>
    </row>
    <row r="74" spans="1:783" ht="18" customHeight="1" x14ac:dyDescent="0.25">
      <c r="A74" s="93">
        <v>222</v>
      </c>
      <c r="B74" s="94" t="s">
        <v>526</v>
      </c>
      <c r="C74" s="94" t="s">
        <v>516</v>
      </c>
      <c r="D74" s="94" t="s">
        <v>516</v>
      </c>
      <c r="E74" s="94" t="s">
        <v>457</v>
      </c>
      <c r="F74" s="97"/>
      <c r="ACP74" s="82" t="e">
        <f t="shared" si="6"/>
        <v>#N/A</v>
      </c>
      <c r="ACY74" s="84" t="e">
        <f t="shared" si="7"/>
        <v>#N/A</v>
      </c>
      <c r="ACZ74" s="85" t="e">
        <f t="shared" si="8"/>
        <v>#N/A</v>
      </c>
      <c r="ADA74" s="85" t="e">
        <f t="shared" si="9"/>
        <v>#N/A</v>
      </c>
      <c r="ADB74" s="85" t="e">
        <f t="shared" si="10"/>
        <v>#N/A</v>
      </c>
      <c r="ADC74" s="84" t="e">
        <f t="shared" si="11"/>
        <v>#N/A</v>
      </c>
    </row>
    <row r="75" spans="1:783" ht="18" customHeight="1" x14ac:dyDescent="0.25">
      <c r="A75" s="93">
        <v>227</v>
      </c>
      <c r="B75" s="94" t="s">
        <v>528</v>
      </c>
      <c r="C75" s="94" t="s">
        <v>527</v>
      </c>
      <c r="D75" s="94" t="s">
        <v>527</v>
      </c>
      <c r="E75" s="94" t="s">
        <v>457</v>
      </c>
      <c r="F75" s="97"/>
      <c r="ACP75" s="82" t="e">
        <f t="shared" si="6"/>
        <v>#N/A</v>
      </c>
      <c r="ACY75" s="84" t="e">
        <f t="shared" si="7"/>
        <v>#N/A</v>
      </c>
      <c r="ACZ75" s="85" t="e">
        <f t="shared" si="8"/>
        <v>#N/A</v>
      </c>
      <c r="ADA75" s="85" t="e">
        <f t="shared" si="9"/>
        <v>#N/A</v>
      </c>
      <c r="ADB75" s="85" t="e">
        <f t="shared" si="10"/>
        <v>#N/A</v>
      </c>
      <c r="ADC75" s="84" t="e">
        <f t="shared" si="11"/>
        <v>#N/A</v>
      </c>
    </row>
    <row r="76" spans="1:783" ht="18" customHeight="1" x14ac:dyDescent="0.25">
      <c r="A76" s="93">
        <v>231</v>
      </c>
      <c r="B76" s="94" t="s">
        <v>529</v>
      </c>
      <c r="C76" s="94" t="s">
        <v>527</v>
      </c>
      <c r="D76" s="94" t="s">
        <v>527</v>
      </c>
      <c r="E76" s="94" t="s">
        <v>457</v>
      </c>
      <c r="F76" s="97"/>
      <c r="ACP76" s="82" t="e">
        <f t="shared" si="6"/>
        <v>#N/A</v>
      </c>
      <c r="ACY76" s="84" t="e">
        <f t="shared" si="7"/>
        <v>#N/A</v>
      </c>
      <c r="ACZ76" s="85" t="e">
        <f t="shared" si="8"/>
        <v>#N/A</v>
      </c>
      <c r="ADA76" s="85" t="e">
        <f t="shared" si="9"/>
        <v>#N/A</v>
      </c>
      <c r="ADB76" s="85" t="e">
        <f t="shared" si="10"/>
        <v>#N/A</v>
      </c>
      <c r="ADC76" s="84" t="e">
        <f t="shared" si="11"/>
        <v>#N/A</v>
      </c>
    </row>
    <row r="77" spans="1:783" ht="18" customHeight="1" x14ac:dyDescent="0.25">
      <c r="A77" s="93">
        <v>232</v>
      </c>
      <c r="B77" s="94" t="s">
        <v>530</v>
      </c>
      <c r="C77" s="94" t="s">
        <v>527</v>
      </c>
      <c r="D77" s="94" t="s">
        <v>527</v>
      </c>
      <c r="E77" s="94" t="s">
        <v>454</v>
      </c>
      <c r="F77" s="97"/>
      <c r="ACP77" s="82" t="e">
        <f t="shared" si="6"/>
        <v>#N/A</v>
      </c>
      <c r="ACY77" s="84" t="e">
        <f t="shared" si="7"/>
        <v>#N/A</v>
      </c>
      <c r="ACZ77" s="85" t="e">
        <f t="shared" si="8"/>
        <v>#N/A</v>
      </c>
      <c r="ADA77" s="85" t="e">
        <f t="shared" si="9"/>
        <v>#N/A</v>
      </c>
      <c r="ADB77" s="85" t="e">
        <f t="shared" si="10"/>
        <v>#N/A</v>
      </c>
      <c r="ADC77" s="84" t="e">
        <f t="shared" si="11"/>
        <v>#N/A</v>
      </c>
    </row>
    <row r="78" spans="1:783" ht="18" customHeight="1" x14ac:dyDescent="0.25">
      <c r="A78" s="93">
        <v>233</v>
      </c>
      <c r="B78" s="94" t="s">
        <v>531</v>
      </c>
      <c r="C78" s="94" t="s">
        <v>527</v>
      </c>
      <c r="D78" s="94" t="s">
        <v>527</v>
      </c>
      <c r="E78" s="94" t="s">
        <v>480</v>
      </c>
      <c r="F78" s="97"/>
      <c r="ACP78" s="82" t="e">
        <f t="shared" si="6"/>
        <v>#N/A</v>
      </c>
      <c r="ACY78" s="84" t="e">
        <f t="shared" si="7"/>
        <v>#N/A</v>
      </c>
      <c r="ACZ78" s="85" t="e">
        <f t="shared" si="8"/>
        <v>#N/A</v>
      </c>
      <c r="ADA78" s="85" t="e">
        <f t="shared" si="9"/>
        <v>#N/A</v>
      </c>
      <c r="ADB78" s="85" t="e">
        <f t="shared" si="10"/>
        <v>#N/A</v>
      </c>
      <c r="ADC78" s="84" t="e">
        <f t="shared" si="11"/>
        <v>#N/A</v>
      </c>
    </row>
    <row r="79" spans="1:783" ht="18" customHeight="1" x14ac:dyDescent="0.25">
      <c r="A79" s="93">
        <v>243</v>
      </c>
      <c r="B79" s="94" t="s">
        <v>532</v>
      </c>
      <c r="C79" s="94" t="s">
        <v>527</v>
      </c>
      <c r="D79" s="94" t="s">
        <v>527</v>
      </c>
      <c r="E79" s="94" t="s">
        <v>454</v>
      </c>
      <c r="F79" s="97"/>
      <c r="ACP79" s="82" t="e">
        <f t="shared" si="6"/>
        <v>#N/A</v>
      </c>
      <c r="ACY79" s="84" t="e">
        <f t="shared" si="7"/>
        <v>#N/A</v>
      </c>
      <c r="ACZ79" s="85" t="e">
        <f t="shared" si="8"/>
        <v>#N/A</v>
      </c>
      <c r="ADA79" s="85" t="e">
        <f t="shared" si="9"/>
        <v>#N/A</v>
      </c>
      <c r="ADB79" s="85" t="e">
        <f t="shared" si="10"/>
        <v>#N/A</v>
      </c>
      <c r="ADC79" s="84" t="e">
        <f t="shared" si="11"/>
        <v>#N/A</v>
      </c>
    </row>
    <row r="80" spans="1:783" ht="18" customHeight="1" x14ac:dyDescent="0.25">
      <c r="A80" s="93">
        <v>247</v>
      </c>
      <c r="B80" s="94" t="s">
        <v>533</v>
      </c>
      <c r="C80" s="94" t="s">
        <v>527</v>
      </c>
      <c r="D80" s="94" t="s">
        <v>527</v>
      </c>
      <c r="E80" s="94" t="s">
        <v>457</v>
      </c>
      <c r="F80" s="97"/>
      <c r="ACP80" s="82" t="e">
        <f t="shared" si="6"/>
        <v>#N/A</v>
      </c>
      <c r="ACY80" s="84" t="e">
        <f t="shared" si="7"/>
        <v>#N/A</v>
      </c>
      <c r="ACZ80" s="85" t="e">
        <f t="shared" si="8"/>
        <v>#N/A</v>
      </c>
      <c r="ADA80" s="85" t="e">
        <f t="shared" si="9"/>
        <v>#N/A</v>
      </c>
      <c r="ADB80" s="85" t="e">
        <f t="shared" si="10"/>
        <v>#N/A</v>
      </c>
      <c r="ADC80" s="84" t="e">
        <f t="shared" si="11"/>
        <v>#N/A</v>
      </c>
    </row>
    <row r="81" spans="1:783" ht="18" customHeight="1" x14ac:dyDescent="0.25">
      <c r="A81" s="93">
        <v>248</v>
      </c>
      <c r="B81" s="94" t="s">
        <v>534</v>
      </c>
      <c r="C81" s="94" t="s">
        <v>527</v>
      </c>
      <c r="D81" s="94" t="s">
        <v>527</v>
      </c>
      <c r="E81" s="94" t="s">
        <v>457</v>
      </c>
      <c r="F81" s="97"/>
      <c r="ACP81" s="82" t="e">
        <f t="shared" si="6"/>
        <v>#N/A</v>
      </c>
      <c r="ACY81" s="84" t="e">
        <f t="shared" si="7"/>
        <v>#N/A</v>
      </c>
      <c r="ACZ81" s="85" t="e">
        <f t="shared" si="8"/>
        <v>#N/A</v>
      </c>
      <c r="ADA81" s="85" t="e">
        <f t="shared" si="9"/>
        <v>#N/A</v>
      </c>
      <c r="ADB81" s="85" t="e">
        <f t="shared" si="10"/>
        <v>#N/A</v>
      </c>
      <c r="ADC81" s="84" t="e">
        <f t="shared" si="11"/>
        <v>#N/A</v>
      </c>
    </row>
    <row r="82" spans="1:783" ht="18" customHeight="1" x14ac:dyDescent="0.25">
      <c r="A82" s="93">
        <v>252</v>
      </c>
      <c r="B82" s="94" t="s">
        <v>535</v>
      </c>
      <c r="C82" s="94" t="s">
        <v>527</v>
      </c>
      <c r="D82" s="94" t="s">
        <v>527</v>
      </c>
      <c r="E82" s="94" t="s">
        <v>454</v>
      </c>
      <c r="F82" s="97"/>
      <c r="ACP82" s="82" t="e">
        <f t="shared" si="6"/>
        <v>#N/A</v>
      </c>
      <c r="ACY82" s="84" t="e">
        <f t="shared" si="7"/>
        <v>#N/A</v>
      </c>
      <c r="ACZ82" s="85" t="e">
        <f t="shared" si="8"/>
        <v>#N/A</v>
      </c>
      <c r="ADA82" s="85" t="e">
        <f t="shared" si="9"/>
        <v>#N/A</v>
      </c>
      <c r="ADB82" s="85" t="e">
        <f t="shared" si="10"/>
        <v>#N/A</v>
      </c>
      <c r="ADC82" s="84" t="e">
        <f t="shared" si="11"/>
        <v>#N/A</v>
      </c>
    </row>
    <row r="83" spans="1:783" ht="18" customHeight="1" x14ac:dyDescent="0.25">
      <c r="A83" s="93">
        <v>262</v>
      </c>
      <c r="B83" s="94" t="s">
        <v>537</v>
      </c>
      <c r="C83" s="94" t="s">
        <v>453</v>
      </c>
      <c r="D83" s="94" t="s">
        <v>576</v>
      </c>
      <c r="E83" s="94" t="s">
        <v>536</v>
      </c>
      <c r="F83" s="97"/>
      <c r="ACP83" s="82" t="e">
        <f t="shared" si="6"/>
        <v>#N/A</v>
      </c>
      <c r="ACY83" s="84" t="e">
        <f t="shared" si="7"/>
        <v>#N/A</v>
      </c>
      <c r="ACZ83" s="85" t="e">
        <f t="shared" si="8"/>
        <v>#N/A</v>
      </c>
      <c r="ADA83" s="85" t="e">
        <f t="shared" si="9"/>
        <v>#N/A</v>
      </c>
      <c r="ADB83" s="85" t="e">
        <f t="shared" si="10"/>
        <v>#N/A</v>
      </c>
      <c r="ADC83" s="84" t="e">
        <f t="shared" si="11"/>
        <v>#N/A</v>
      </c>
    </row>
    <row r="84" spans="1:783" ht="18" customHeight="1" x14ac:dyDescent="0.25">
      <c r="A84" s="93">
        <v>347</v>
      </c>
      <c r="B84" s="94" t="s">
        <v>538</v>
      </c>
      <c r="C84" s="94" t="s">
        <v>453</v>
      </c>
      <c r="D84" s="94" t="s">
        <v>588</v>
      </c>
      <c r="E84" s="94" t="s">
        <v>454</v>
      </c>
      <c r="F84" s="97"/>
      <c r="ACP84" s="82" t="e">
        <f t="shared" si="6"/>
        <v>#N/A</v>
      </c>
      <c r="ACY84" s="84" t="e">
        <f t="shared" si="7"/>
        <v>#N/A</v>
      </c>
      <c r="ACZ84" s="85" t="e">
        <f t="shared" si="8"/>
        <v>#N/A</v>
      </c>
      <c r="ADA84" s="85" t="e">
        <f t="shared" si="9"/>
        <v>#N/A</v>
      </c>
      <c r="ADB84" s="85" t="e">
        <f t="shared" si="10"/>
        <v>#N/A</v>
      </c>
      <c r="ADC84" s="84" t="e">
        <f t="shared" si="11"/>
        <v>#N/A</v>
      </c>
    </row>
    <row r="85" spans="1:783" ht="18" customHeight="1" x14ac:dyDescent="0.25">
      <c r="A85" s="93">
        <v>352</v>
      </c>
      <c r="B85" s="94" t="s">
        <v>539</v>
      </c>
      <c r="C85" s="94" t="s">
        <v>453</v>
      </c>
      <c r="D85" s="94" t="s">
        <v>588</v>
      </c>
      <c r="E85" s="94" t="s">
        <v>454</v>
      </c>
      <c r="F85" s="97"/>
      <c r="ACP85" s="82" t="e">
        <f t="shared" si="6"/>
        <v>#N/A</v>
      </c>
      <c r="ACY85" s="84" t="e">
        <f t="shared" si="7"/>
        <v>#N/A</v>
      </c>
      <c r="ACZ85" s="85" t="e">
        <f t="shared" si="8"/>
        <v>#N/A</v>
      </c>
      <c r="ADA85" s="85" t="e">
        <f t="shared" si="9"/>
        <v>#N/A</v>
      </c>
      <c r="ADB85" s="85" t="e">
        <f t="shared" si="10"/>
        <v>#N/A</v>
      </c>
      <c r="ADC85" s="84" t="e">
        <f t="shared" si="11"/>
        <v>#N/A</v>
      </c>
    </row>
    <row r="86" spans="1:783" ht="18" customHeight="1" x14ac:dyDescent="0.25">
      <c r="A86" s="93">
        <v>358</v>
      </c>
      <c r="B86" s="94" t="s">
        <v>540</v>
      </c>
      <c r="C86" s="94" t="s">
        <v>453</v>
      </c>
      <c r="D86" s="94" t="s">
        <v>588</v>
      </c>
      <c r="E86" s="94" t="s">
        <v>454</v>
      </c>
      <c r="F86" s="97"/>
      <c r="ACP86" s="82" t="e">
        <f t="shared" si="6"/>
        <v>#N/A</v>
      </c>
      <c r="ACY86" s="84" t="e">
        <f t="shared" si="7"/>
        <v>#N/A</v>
      </c>
      <c r="ACZ86" s="85" t="e">
        <f t="shared" si="8"/>
        <v>#N/A</v>
      </c>
      <c r="ADA86" s="85" t="e">
        <f t="shared" si="9"/>
        <v>#N/A</v>
      </c>
      <c r="ADB86" s="85" t="e">
        <f t="shared" si="10"/>
        <v>#N/A</v>
      </c>
      <c r="ADC86" s="84" t="e">
        <f t="shared" si="11"/>
        <v>#N/A</v>
      </c>
    </row>
    <row r="87" spans="1:783" ht="18" customHeight="1" x14ac:dyDescent="0.25">
      <c r="A87" s="93">
        <v>366</v>
      </c>
      <c r="B87" s="94" t="s">
        <v>541</v>
      </c>
      <c r="C87" s="94" t="s">
        <v>453</v>
      </c>
      <c r="D87" s="94" t="s">
        <v>588</v>
      </c>
      <c r="E87" s="94" t="s">
        <v>457</v>
      </c>
      <c r="F87" s="97"/>
      <c r="ACP87" s="82" t="e">
        <f t="shared" si="6"/>
        <v>#N/A</v>
      </c>
      <c r="ACY87" s="84" t="e">
        <f t="shared" si="7"/>
        <v>#N/A</v>
      </c>
      <c r="ACZ87" s="85" t="e">
        <f t="shared" si="8"/>
        <v>#N/A</v>
      </c>
      <c r="ADA87" s="85" t="e">
        <f t="shared" si="9"/>
        <v>#N/A</v>
      </c>
      <c r="ADB87" s="85" t="e">
        <f t="shared" si="10"/>
        <v>#N/A</v>
      </c>
      <c r="ADC87" s="84" t="e">
        <f t="shared" si="11"/>
        <v>#N/A</v>
      </c>
    </row>
    <row r="88" spans="1:783" ht="18" customHeight="1" x14ac:dyDescent="0.25">
      <c r="A88" s="93">
        <v>422</v>
      </c>
      <c r="B88" s="94" t="s">
        <v>542</v>
      </c>
      <c r="C88" s="94" t="s">
        <v>453</v>
      </c>
      <c r="D88" s="94" t="s">
        <v>578</v>
      </c>
      <c r="E88" s="94" t="s">
        <v>480</v>
      </c>
      <c r="F88" s="97"/>
      <c r="ACP88" s="82" t="e">
        <f t="shared" si="6"/>
        <v>#N/A</v>
      </c>
      <c r="ACY88" s="84" t="e">
        <f t="shared" si="7"/>
        <v>#N/A</v>
      </c>
      <c r="ACZ88" s="85" t="e">
        <f t="shared" si="8"/>
        <v>#N/A</v>
      </c>
      <c r="ADA88" s="85" t="e">
        <f t="shared" si="9"/>
        <v>#N/A</v>
      </c>
      <c r="ADB88" s="85" t="e">
        <f t="shared" si="10"/>
        <v>#N/A</v>
      </c>
      <c r="ADC88" s="84" t="e">
        <f t="shared" si="11"/>
        <v>#N/A</v>
      </c>
    </row>
    <row r="89" spans="1:783" ht="18" customHeight="1" x14ac:dyDescent="0.25">
      <c r="A89" s="93">
        <v>551</v>
      </c>
      <c r="B89" s="94" t="s">
        <v>543</v>
      </c>
      <c r="C89" s="94" t="s">
        <v>527</v>
      </c>
      <c r="D89" s="94" t="s">
        <v>527</v>
      </c>
      <c r="E89" s="94" t="s">
        <v>480</v>
      </c>
      <c r="F89" s="97"/>
      <c r="ACP89" s="82" t="e">
        <f t="shared" si="6"/>
        <v>#N/A</v>
      </c>
      <c r="ACY89" s="84" t="e">
        <f t="shared" si="7"/>
        <v>#N/A</v>
      </c>
      <c r="ACZ89" s="85" t="e">
        <f t="shared" si="8"/>
        <v>#N/A</v>
      </c>
      <c r="ADA89" s="85" t="e">
        <f t="shared" si="9"/>
        <v>#N/A</v>
      </c>
      <c r="ADB89" s="85" t="e">
        <f t="shared" si="10"/>
        <v>#N/A</v>
      </c>
      <c r="ADC89" s="84" t="e">
        <f t="shared" si="11"/>
        <v>#N/A</v>
      </c>
    </row>
    <row r="90" spans="1:783" ht="18" customHeight="1" x14ac:dyDescent="0.25">
      <c r="A90" s="93">
        <v>756</v>
      </c>
      <c r="B90" s="94" t="s">
        <v>544</v>
      </c>
      <c r="C90" s="94" t="s">
        <v>453</v>
      </c>
      <c r="D90" s="94" t="s">
        <v>586</v>
      </c>
      <c r="E90" s="94" t="s">
        <v>480</v>
      </c>
      <c r="F90" s="97"/>
      <c r="ACP90" s="82" t="e">
        <f t="shared" si="6"/>
        <v>#N/A</v>
      </c>
      <c r="ACY90" s="84" t="e">
        <f t="shared" si="7"/>
        <v>#N/A</v>
      </c>
      <c r="ACZ90" s="85" t="e">
        <f t="shared" si="8"/>
        <v>#N/A</v>
      </c>
      <c r="ADA90" s="85" t="e">
        <f t="shared" si="9"/>
        <v>#N/A</v>
      </c>
      <c r="ADB90" s="85" t="e">
        <f t="shared" si="10"/>
        <v>#N/A</v>
      </c>
      <c r="ADC90" s="84" t="e">
        <f t="shared" si="11"/>
        <v>#N/A</v>
      </c>
    </row>
    <row r="91" spans="1:783" ht="18" customHeight="1" x14ac:dyDescent="0.25">
      <c r="A91" s="93">
        <v>757</v>
      </c>
      <c r="B91" s="94" t="s">
        <v>545</v>
      </c>
      <c r="C91" s="94" t="s">
        <v>453</v>
      </c>
      <c r="D91" s="94" t="s">
        <v>580</v>
      </c>
      <c r="E91" s="94" t="s">
        <v>454</v>
      </c>
      <c r="F91" s="97"/>
      <c r="ACP91" s="82" t="e">
        <f t="shared" si="6"/>
        <v>#N/A</v>
      </c>
      <c r="ACY91" s="84" t="e">
        <f t="shared" si="7"/>
        <v>#N/A</v>
      </c>
      <c r="ACZ91" s="85" t="e">
        <f t="shared" si="8"/>
        <v>#N/A</v>
      </c>
      <c r="ADA91" s="85" t="e">
        <f t="shared" si="9"/>
        <v>#N/A</v>
      </c>
      <c r="ADB91" s="85" t="e">
        <f t="shared" si="10"/>
        <v>#N/A</v>
      </c>
      <c r="ADC91" s="84" t="e">
        <f t="shared" si="11"/>
        <v>#N/A</v>
      </c>
    </row>
    <row r="92" spans="1:783" ht="18" customHeight="1" x14ac:dyDescent="0.25">
      <c r="A92" s="93">
        <v>813</v>
      </c>
      <c r="B92" s="94" t="s">
        <v>546</v>
      </c>
      <c r="C92" s="94" t="s">
        <v>453</v>
      </c>
      <c r="D92" s="94" t="s">
        <v>588</v>
      </c>
      <c r="E92" s="94" t="s">
        <v>480</v>
      </c>
      <c r="F92" s="97"/>
      <c r="ACP92" s="82" t="e">
        <f t="shared" si="6"/>
        <v>#N/A</v>
      </c>
      <c r="ACY92" s="84" t="e">
        <f t="shared" si="7"/>
        <v>#N/A</v>
      </c>
      <c r="ACZ92" s="85" t="e">
        <f t="shared" si="8"/>
        <v>#N/A</v>
      </c>
      <c r="ADA92" s="85" t="e">
        <f t="shared" si="9"/>
        <v>#N/A</v>
      </c>
      <c r="ADB92" s="85" t="e">
        <f t="shared" si="10"/>
        <v>#N/A</v>
      </c>
      <c r="ADC92" s="84" t="e">
        <f t="shared" si="11"/>
        <v>#N/A</v>
      </c>
    </row>
    <row r="93" spans="1:783" ht="18" customHeight="1" x14ac:dyDescent="0.25">
      <c r="A93" s="93">
        <v>1070</v>
      </c>
      <c r="B93" s="94" t="s">
        <v>547</v>
      </c>
      <c r="C93" s="94" t="s">
        <v>453</v>
      </c>
      <c r="D93" s="94" t="s">
        <v>576</v>
      </c>
      <c r="E93" s="94" t="s">
        <v>480</v>
      </c>
      <c r="F93" s="97"/>
      <c r="ACP93" s="82" t="e">
        <f t="shared" si="6"/>
        <v>#N/A</v>
      </c>
      <c r="ACY93" s="84" t="e">
        <f t="shared" si="7"/>
        <v>#N/A</v>
      </c>
      <c r="ACZ93" s="85" t="e">
        <f t="shared" si="8"/>
        <v>#N/A</v>
      </c>
      <c r="ADA93" s="85" t="e">
        <f t="shared" si="9"/>
        <v>#N/A</v>
      </c>
      <c r="ADB93" s="85" t="e">
        <f t="shared" si="10"/>
        <v>#N/A</v>
      </c>
      <c r="ADC93" s="84" t="e">
        <f t="shared" si="11"/>
        <v>#N/A</v>
      </c>
    </row>
    <row r="94" spans="1:783" ht="18" customHeight="1" x14ac:dyDescent="0.25">
      <c r="A94" s="93">
        <v>1103</v>
      </c>
      <c r="B94" s="94" t="s">
        <v>609</v>
      </c>
      <c r="C94" s="94" t="s">
        <v>453</v>
      </c>
      <c r="D94" s="94" t="s">
        <v>586</v>
      </c>
      <c r="E94" s="94" t="s">
        <v>457</v>
      </c>
      <c r="F94" s="97"/>
      <c r="ACP94" s="82" t="e">
        <f t="shared" si="6"/>
        <v>#N/A</v>
      </c>
      <c r="ACY94" s="84" t="e">
        <f t="shared" si="7"/>
        <v>#N/A</v>
      </c>
      <c r="ACZ94" s="85" t="e">
        <f t="shared" si="8"/>
        <v>#N/A</v>
      </c>
      <c r="ADA94" s="85" t="e">
        <f t="shared" si="9"/>
        <v>#N/A</v>
      </c>
      <c r="ADB94" s="85" t="e">
        <f t="shared" si="10"/>
        <v>#N/A</v>
      </c>
      <c r="ADC94" s="84" t="e">
        <f t="shared" si="11"/>
        <v>#N/A</v>
      </c>
    </row>
    <row r="95" spans="1:783" ht="18" customHeight="1" x14ac:dyDescent="0.25">
      <c r="A95" s="93">
        <v>1229</v>
      </c>
      <c r="B95" s="94" t="s">
        <v>549</v>
      </c>
      <c r="C95" s="94" t="s">
        <v>453</v>
      </c>
      <c r="D95" s="94" t="s">
        <v>588</v>
      </c>
      <c r="E95" s="94" t="s">
        <v>548</v>
      </c>
      <c r="F95" s="97"/>
      <c r="ACP95" s="82" t="e">
        <f t="shared" si="6"/>
        <v>#N/A</v>
      </c>
      <c r="ACY95" s="84" t="e">
        <f t="shared" si="7"/>
        <v>#N/A</v>
      </c>
      <c r="ACZ95" s="85" t="e">
        <f t="shared" si="8"/>
        <v>#N/A</v>
      </c>
      <c r="ADA95" s="85" t="e">
        <f t="shared" si="9"/>
        <v>#N/A</v>
      </c>
      <c r="ADB95" s="85" t="e">
        <f t="shared" si="10"/>
        <v>#N/A</v>
      </c>
      <c r="ADC95" s="84" t="e">
        <f t="shared" si="11"/>
        <v>#N/A</v>
      </c>
    </row>
    <row r="96" spans="1:783" ht="18" customHeight="1" x14ac:dyDescent="0.25">
      <c r="A96" s="93">
        <v>1239</v>
      </c>
      <c r="B96" s="94" t="s">
        <v>550</v>
      </c>
      <c r="C96" s="94" t="s">
        <v>516</v>
      </c>
      <c r="D96" s="94" t="s">
        <v>516</v>
      </c>
      <c r="E96" s="94" t="s">
        <v>457</v>
      </c>
      <c r="F96" s="97"/>
      <c r="ACP96" s="82" t="e">
        <f t="shared" si="6"/>
        <v>#N/A</v>
      </c>
      <c r="ACY96" s="84" t="e">
        <f t="shared" si="7"/>
        <v>#N/A</v>
      </c>
      <c r="ACZ96" s="85" t="e">
        <f t="shared" si="8"/>
        <v>#N/A</v>
      </c>
      <c r="ADA96" s="85" t="e">
        <f t="shared" si="9"/>
        <v>#N/A</v>
      </c>
      <c r="ADB96" s="85" t="e">
        <f t="shared" si="10"/>
        <v>#N/A</v>
      </c>
      <c r="ADC96" s="84" t="e">
        <f t="shared" si="11"/>
        <v>#N/A</v>
      </c>
    </row>
    <row r="97" spans="1:783" ht="18" customHeight="1" x14ac:dyDescent="0.25">
      <c r="A97" s="93">
        <v>1539</v>
      </c>
      <c r="B97" s="94" t="s">
        <v>552</v>
      </c>
      <c r="C97" s="94" t="s">
        <v>551</v>
      </c>
      <c r="D97" s="94" t="s">
        <v>551</v>
      </c>
      <c r="E97" s="94" t="s">
        <v>454</v>
      </c>
      <c r="F97" s="97"/>
      <c r="ACP97" s="82" t="e">
        <f t="shared" si="6"/>
        <v>#N/A</v>
      </c>
      <c r="ACY97" s="84" t="e">
        <f t="shared" si="7"/>
        <v>#N/A</v>
      </c>
      <c r="ACZ97" s="85" t="e">
        <f t="shared" si="8"/>
        <v>#N/A</v>
      </c>
      <c r="ADA97" s="85" t="e">
        <f t="shared" si="9"/>
        <v>#N/A</v>
      </c>
      <c r="ADB97" s="85" t="e">
        <f t="shared" si="10"/>
        <v>#N/A</v>
      </c>
      <c r="ADC97" s="84" t="e">
        <f t="shared" si="11"/>
        <v>#N/A</v>
      </c>
    </row>
    <row r="98" spans="1:783" ht="18" customHeight="1" x14ac:dyDescent="0.25">
      <c r="A98" s="93">
        <v>1585</v>
      </c>
      <c r="B98" s="94" t="s">
        <v>553</v>
      </c>
      <c r="C98" s="94" t="s">
        <v>453</v>
      </c>
      <c r="D98" s="94" t="s">
        <v>572</v>
      </c>
      <c r="E98" s="94" t="s">
        <v>480</v>
      </c>
      <c r="F98" s="97"/>
      <c r="ACP98" s="82" t="e">
        <f t="shared" si="6"/>
        <v>#N/A</v>
      </c>
      <c r="ACY98" s="84" t="e">
        <f t="shared" si="7"/>
        <v>#N/A</v>
      </c>
      <c r="ACZ98" s="85" t="e">
        <f t="shared" si="8"/>
        <v>#N/A</v>
      </c>
      <c r="ADA98" s="85" t="e">
        <f t="shared" si="9"/>
        <v>#N/A</v>
      </c>
      <c r="ADB98" s="85" t="e">
        <f t="shared" si="10"/>
        <v>#N/A</v>
      </c>
      <c r="ADC98" s="84" t="e">
        <f t="shared" si="11"/>
        <v>#N/A</v>
      </c>
    </row>
    <row r="99" spans="1:783" ht="18" customHeight="1" x14ac:dyDescent="0.25">
      <c r="A99" s="93">
        <v>1623</v>
      </c>
      <c r="B99" s="94" t="s">
        <v>554</v>
      </c>
      <c r="C99" s="94" t="s">
        <v>453</v>
      </c>
      <c r="D99" s="94" t="s">
        <v>578</v>
      </c>
      <c r="E99" s="94" t="s">
        <v>454</v>
      </c>
      <c r="F99" s="97"/>
      <c r="ACP99" s="82" t="e">
        <f t="shared" si="6"/>
        <v>#N/A</v>
      </c>
      <c r="ACY99" s="84" t="e">
        <f t="shared" si="7"/>
        <v>#N/A</v>
      </c>
      <c r="ACZ99" s="85" t="e">
        <f t="shared" si="8"/>
        <v>#N/A</v>
      </c>
      <c r="ADA99" s="85" t="e">
        <f t="shared" si="9"/>
        <v>#N/A</v>
      </c>
      <c r="ADB99" s="85" t="e">
        <f t="shared" si="10"/>
        <v>#N/A</v>
      </c>
      <c r="ADC99" s="84" t="e">
        <f t="shared" si="11"/>
        <v>#N/A</v>
      </c>
    </row>
    <row r="100" spans="1:783" ht="18" customHeight="1" x14ac:dyDescent="0.25">
      <c r="A100" s="93">
        <v>1741</v>
      </c>
      <c r="B100" s="94" t="s">
        <v>555</v>
      </c>
      <c r="C100" s="94" t="s">
        <v>527</v>
      </c>
      <c r="D100" s="94" t="s">
        <v>527</v>
      </c>
      <c r="E100" s="94" t="s">
        <v>454</v>
      </c>
      <c r="F100" s="97"/>
      <c r="ACP100" s="82" t="e">
        <f t="shared" si="6"/>
        <v>#N/A</v>
      </c>
      <c r="ACY100" s="84" t="e">
        <f t="shared" si="7"/>
        <v>#N/A</v>
      </c>
      <c r="ACZ100" s="85" t="e">
        <f t="shared" si="8"/>
        <v>#N/A</v>
      </c>
      <c r="ADA100" s="85" t="e">
        <f t="shared" si="9"/>
        <v>#N/A</v>
      </c>
      <c r="ADB100" s="85" t="e">
        <f t="shared" si="10"/>
        <v>#N/A</v>
      </c>
      <c r="ADC100" s="84" t="e">
        <f t="shared" si="11"/>
        <v>#N/A</v>
      </c>
    </row>
    <row r="101" spans="1:783" ht="18" customHeight="1" x14ac:dyDescent="0.25">
      <c r="A101" s="93">
        <v>1800</v>
      </c>
      <c r="B101" s="94" t="s">
        <v>556</v>
      </c>
      <c r="C101" s="94" t="s">
        <v>453</v>
      </c>
      <c r="D101" s="94" t="s">
        <v>576</v>
      </c>
      <c r="E101" s="94" t="s">
        <v>454</v>
      </c>
      <c r="F101" s="97"/>
      <c r="ACP101" s="82" t="e">
        <f t="shared" si="6"/>
        <v>#N/A</v>
      </c>
      <c r="ACY101" s="84" t="e">
        <f t="shared" si="7"/>
        <v>#N/A</v>
      </c>
      <c r="ACZ101" s="85" t="e">
        <f t="shared" si="8"/>
        <v>#N/A</v>
      </c>
      <c r="ADA101" s="85" t="e">
        <f t="shared" si="9"/>
        <v>#N/A</v>
      </c>
      <c r="ADB101" s="85" t="e">
        <f t="shared" si="10"/>
        <v>#N/A</v>
      </c>
      <c r="ADC101" s="84" t="e">
        <f t="shared" si="11"/>
        <v>#N/A</v>
      </c>
    </row>
    <row r="102" spans="1:783" ht="18" customHeight="1" x14ac:dyDescent="0.25">
      <c r="A102" s="93">
        <v>1831</v>
      </c>
      <c r="B102" s="94" t="s">
        <v>557</v>
      </c>
      <c r="C102" s="94" t="s">
        <v>453</v>
      </c>
      <c r="D102" s="94" t="s">
        <v>578</v>
      </c>
      <c r="E102" s="94" t="s">
        <v>454</v>
      </c>
      <c r="F102" s="97"/>
      <c r="ACP102" s="82" t="e">
        <f t="shared" si="6"/>
        <v>#N/A</v>
      </c>
      <c r="ACY102" s="84" t="e">
        <f t="shared" si="7"/>
        <v>#N/A</v>
      </c>
      <c r="ACZ102" s="85" t="e">
        <f t="shared" si="8"/>
        <v>#N/A</v>
      </c>
      <c r="ADA102" s="85" t="e">
        <f t="shared" si="9"/>
        <v>#N/A</v>
      </c>
      <c r="ADB102" s="85" t="e">
        <f t="shared" si="10"/>
        <v>#N/A</v>
      </c>
      <c r="ADC102" s="84" t="e">
        <f t="shared" si="11"/>
        <v>#N/A</v>
      </c>
    </row>
    <row r="103" spans="1:783" ht="18" customHeight="1" x14ac:dyDescent="0.25">
      <c r="A103" s="93">
        <v>1952</v>
      </c>
      <c r="B103" s="94" t="s">
        <v>558</v>
      </c>
      <c r="C103" s="94" t="s">
        <v>516</v>
      </c>
      <c r="D103" s="94" t="s">
        <v>516</v>
      </c>
      <c r="E103" s="94" t="s">
        <v>480</v>
      </c>
      <c r="F103" s="97"/>
      <c r="ACP103" s="82" t="e">
        <f t="shared" si="6"/>
        <v>#N/A</v>
      </c>
      <c r="ACY103" s="84" t="e">
        <f t="shared" si="7"/>
        <v>#N/A</v>
      </c>
      <c r="ACZ103" s="85" t="e">
        <f t="shared" si="8"/>
        <v>#N/A</v>
      </c>
      <c r="ADA103" s="85" t="e">
        <f t="shared" si="9"/>
        <v>#N/A</v>
      </c>
      <c r="ADB103" s="85" t="e">
        <f t="shared" si="10"/>
        <v>#N/A</v>
      </c>
      <c r="ADC103" s="84" t="e">
        <f t="shared" si="11"/>
        <v>#N/A</v>
      </c>
    </row>
    <row r="104" spans="1:783" ht="18" customHeight="1" x14ac:dyDescent="0.25">
      <c r="A104" s="93">
        <v>2008</v>
      </c>
      <c r="B104" s="94" t="s">
        <v>559</v>
      </c>
      <c r="C104" s="94" t="s">
        <v>516</v>
      </c>
      <c r="D104" s="94" t="s">
        <v>516</v>
      </c>
      <c r="E104" s="94" t="s">
        <v>454</v>
      </c>
      <c r="F104" s="97"/>
      <c r="ACP104" s="82" t="e">
        <f t="shared" si="6"/>
        <v>#N/A</v>
      </c>
      <c r="ACY104" s="84" t="e">
        <f t="shared" si="7"/>
        <v>#N/A</v>
      </c>
      <c r="ACZ104" s="85" t="e">
        <f t="shared" si="8"/>
        <v>#N/A</v>
      </c>
      <c r="ADA104" s="85" t="e">
        <f t="shared" si="9"/>
        <v>#N/A</v>
      </c>
      <c r="ADB104" s="85" t="e">
        <f t="shared" si="10"/>
        <v>#N/A</v>
      </c>
      <c r="ADC104" s="84" t="e">
        <f t="shared" si="11"/>
        <v>#N/A</v>
      </c>
    </row>
    <row r="105" spans="1:783" ht="18" customHeight="1" x14ac:dyDescent="0.25">
      <c r="A105" s="93">
        <v>2108</v>
      </c>
      <c r="B105" s="94" t="s">
        <v>560</v>
      </c>
      <c r="C105" s="94" t="s">
        <v>453</v>
      </c>
      <c r="D105" s="94" t="s">
        <v>588</v>
      </c>
      <c r="E105" s="94" t="s">
        <v>454</v>
      </c>
      <c r="F105" s="97"/>
      <c r="ACP105" s="82" t="e">
        <f t="shared" si="6"/>
        <v>#N/A</v>
      </c>
      <c r="ACY105" s="84" t="e">
        <f t="shared" si="7"/>
        <v>#N/A</v>
      </c>
      <c r="ACZ105" s="85" t="e">
        <f t="shared" si="8"/>
        <v>#N/A</v>
      </c>
      <c r="ADA105" s="85" t="e">
        <f t="shared" si="9"/>
        <v>#N/A</v>
      </c>
      <c r="ADB105" s="85" t="e">
        <f t="shared" si="10"/>
        <v>#N/A</v>
      </c>
      <c r="ADC105" s="84" t="e">
        <f t="shared" si="11"/>
        <v>#N/A</v>
      </c>
    </row>
    <row r="106" spans="1:783" ht="18" customHeight="1" x14ac:dyDescent="0.25">
      <c r="A106" s="93">
        <v>3010</v>
      </c>
      <c r="B106" s="94" t="s">
        <v>561</v>
      </c>
      <c r="C106" s="94" t="s">
        <v>453</v>
      </c>
      <c r="D106" s="94" t="s">
        <v>588</v>
      </c>
      <c r="E106" s="94" t="s">
        <v>536</v>
      </c>
      <c r="F106" s="97"/>
      <c r="ACP106" s="82" t="e">
        <f t="shared" si="6"/>
        <v>#N/A</v>
      </c>
      <c r="ACY106" s="84" t="e">
        <f t="shared" si="7"/>
        <v>#N/A</v>
      </c>
      <c r="ACZ106" s="85" t="e">
        <f t="shared" si="8"/>
        <v>#N/A</v>
      </c>
      <c r="ADA106" s="85" t="e">
        <f t="shared" si="9"/>
        <v>#N/A</v>
      </c>
      <c r="ADB106" s="85" t="e">
        <f t="shared" si="10"/>
        <v>#N/A</v>
      </c>
      <c r="ADC106" s="84" t="e">
        <f t="shared" si="11"/>
        <v>#N/A</v>
      </c>
    </row>
    <row r="107" spans="1:783" ht="18" customHeight="1" x14ac:dyDescent="0.25">
      <c r="A107" s="93">
        <v>3171</v>
      </c>
      <c r="B107" s="94" t="s">
        <v>562</v>
      </c>
      <c r="C107" s="94" t="s">
        <v>453</v>
      </c>
      <c r="D107" s="94" t="s">
        <v>584</v>
      </c>
      <c r="E107" s="94" t="s">
        <v>454</v>
      </c>
      <c r="F107" s="97"/>
      <c r="ACP107" s="82" t="e">
        <f t="shared" si="6"/>
        <v>#N/A</v>
      </c>
      <c r="ACY107" s="84" t="e">
        <f t="shared" si="7"/>
        <v>#N/A</v>
      </c>
      <c r="ACZ107" s="85" t="e">
        <f t="shared" si="8"/>
        <v>#N/A</v>
      </c>
      <c r="ADA107" s="85" t="e">
        <f t="shared" si="9"/>
        <v>#N/A</v>
      </c>
      <c r="ADB107" s="85" t="e">
        <f t="shared" si="10"/>
        <v>#N/A</v>
      </c>
      <c r="ADC107" s="84" t="e">
        <f t="shared" si="11"/>
        <v>#N/A</v>
      </c>
    </row>
    <row r="108" spans="1:783" ht="18" customHeight="1" x14ac:dyDescent="0.25">
      <c r="A108" s="93">
        <v>3218</v>
      </c>
      <c r="B108" s="94" t="s">
        <v>563</v>
      </c>
      <c r="C108" s="94" t="s">
        <v>527</v>
      </c>
      <c r="D108" s="94" t="s">
        <v>527</v>
      </c>
      <c r="E108" s="94" t="s">
        <v>454</v>
      </c>
      <c r="F108" s="97"/>
      <c r="ACP108" s="82" t="e">
        <f t="shared" si="6"/>
        <v>#N/A</v>
      </c>
      <c r="ACY108" s="84" t="e">
        <f t="shared" si="7"/>
        <v>#N/A</v>
      </c>
      <c r="ACZ108" s="85" t="e">
        <f t="shared" si="8"/>
        <v>#N/A</v>
      </c>
      <c r="ADA108" s="85" t="e">
        <f t="shared" si="9"/>
        <v>#N/A</v>
      </c>
      <c r="ADB108" s="85" t="e">
        <f t="shared" si="10"/>
        <v>#N/A</v>
      </c>
      <c r="ADC108" s="84" t="e">
        <f t="shared" si="11"/>
        <v>#N/A</v>
      </c>
    </row>
    <row r="109" spans="1:783" ht="18" customHeight="1" x14ac:dyDescent="0.25">
      <c r="A109" s="93">
        <v>3219</v>
      </c>
      <c r="B109" s="94" t="s">
        <v>564</v>
      </c>
      <c r="C109" s="94" t="s">
        <v>527</v>
      </c>
      <c r="D109" s="94" t="s">
        <v>527</v>
      </c>
      <c r="E109" s="94" t="s">
        <v>454</v>
      </c>
      <c r="F109" s="97"/>
      <c r="ACP109" s="82" t="e">
        <f t="shared" si="6"/>
        <v>#N/A</v>
      </c>
      <c r="ACY109" s="84" t="e">
        <f t="shared" si="7"/>
        <v>#N/A</v>
      </c>
      <c r="ACZ109" s="85" t="e">
        <f t="shared" si="8"/>
        <v>#N/A</v>
      </c>
      <c r="ADA109" s="85" t="e">
        <f t="shared" si="9"/>
        <v>#N/A</v>
      </c>
      <c r="ADB109" s="85" t="e">
        <f t="shared" si="10"/>
        <v>#N/A</v>
      </c>
      <c r="ADC109" s="84" t="e">
        <f t="shared" si="11"/>
        <v>#N/A</v>
      </c>
    </row>
    <row r="110" spans="1:783" ht="18" customHeight="1" x14ac:dyDescent="0.25">
      <c r="A110" s="93">
        <v>3233</v>
      </c>
      <c r="B110" s="94" t="s">
        <v>565</v>
      </c>
      <c r="C110" s="94" t="s">
        <v>453</v>
      </c>
      <c r="D110" s="94" t="s">
        <v>588</v>
      </c>
      <c r="E110" s="94" t="s">
        <v>480</v>
      </c>
      <c r="F110" s="97"/>
      <c r="ACP110" s="82" t="e">
        <f t="shared" si="6"/>
        <v>#N/A</v>
      </c>
      <c r="ACY110" s="84" t="e">
        <f t="shared" si="7"/>
        <v>#N/A</v>
      </c>
      <c r="ACZ110" s="85" t="e">
        <f t="shared" si="8"/>
        <v>#N/A</v>
      </c>
      <c r="ADA110" s="85" t="e">
        <f t="shared" si="9"/>
        <v>#N/A</v>
      </c>
      <c r="ADB110" s="85" t="e">
        <f t="shared" si="10"/>
        <v>#N/A</v>
      </c>
      <c r="ADC110" s="84" t="e">
        <f t="shared" si="11"/>
        <v>#N/A</v>
      </c>
    </row>
    <row r="111" spans="1:783" ht="18" customHeight="1" x14ac:dyDescent="0.25">
      <c r="A111" s="93">
        <v>3413</v>
      </c>
      <c r="B111" s="94" t="s">
        <v>567</v>
      </c>
      <c r="C111" s="94" t="s">
        <v>566</v>
      </c>
      <c r="D111" s="94" t="s">
        <v>566</v>
      </c>
      <c r="E111" s="94" t="s">
        <v>454</v>
      </c>
      <c r="F111" s="97"/>
      <c r="ACP111" s="82" t="e">
        <f t="shared" si="6"/>
        <v>#N/A</v>
      </c>
      <c r="ACY111" s="84" t="e">
        <f t="shared" si="7"/>
        <v>#N/A</v>
      </c>
      <c r="ACZ111" s="85" t="e">
        <f t="shared" si="8"/>
        <v>#N/A</v>
      </c>
      <c r="ADA111" s="85" t="e">
        <f t="shared" si="9"/>
        <v>#N/A</v>
      </c>
      <c r="ADB111" s="85" t="e">
        <f t="shared" si="10"/>
        <v>#N/A</v>
      </c>
      <c r="ADC111" s="84" t="e">
        <f t="shared" si="11"/>
        <v>#N/A</v>
      </c>
    </row>
    <row r="112" spans="1:783" ht="18" customHeight="1" x14ac:dyDescent="0.25">
      <c r="A112" s="93">
        <v>5000</v>
      </c>
      <c r="B112" s="94" t="s">
        <v>568</v>
      </c>
      <c r="C112" s="94" t="s">
        <v>527</v>
      </c>
      <c r="D112" s="94" t="s">
        <v>527</v>
      </c>
      <c r="E112" s="94" t="s">
        <v>457</v>
      </c>
      <c r="F112" s="97"/>
      <c r="ACP112" s="82" t="e">
        <f t="shared" si="6"/>
        <v>#N/A</v>
      </c>
      <c r="ACY112" s="84" t="e">
        <f t="shared" si="7"/>
        <v>#N/A</v>
      </c>
      <c r="ACZ112" s="85" t="e">
        <f t="shared" si="8"/>
        <v>#N/A</v>
      </c>
      <c r="ADA112" s="85" t="e">
        <f t="shared" si="9"/>
        <v>#N/A</v>
      </c>
      <c r="ADB112" s="85" t="e">
        <f t="shared" si="10"/>
        <v>#N/A</v>
      </c>
      <c r="ADC112" s="84" t="e">
        <f t="shared" si="11"/>
        <v>#N/A</v>
      </c>
    </row>
    <row r="113" spans="1:783" ht="18" customHeight="1" x14ac:dyDescent="0.25">
      <c r="A113" s="95" t="s">
        <v>601</v>
      </c>
      <c r="B113" s="96" t="s">
        <v>591</v>
      </c>
      <c r="C113" s="96" t="s">
        <v>591</v>
      </c>
      <c r="D113" s="96" t="s">
        <v>591</v>
      </c>
      <c r="E113" s="96" t="s">
        <v>591</v>
      </c>
      <c r="F113" s="97" t="s">
        <v>619</v>
      </c>
      <c r="ACP113" s="82" t="e">
        <f t="shared" si="6"/>
        <v>#N/A</v>
      </c>
      <c r="ACY113" s="84" t="e">
        <f t="shared" si="7"/>
        <v>#N/A</v>
      </c>
      <c r="ACZ113" s="85" t="e">
        <f t="shared" si="8"/>
        <v>#N/A</v>
      </c>
      <c r="ADA113" s="85" t="e">
        <f t="shared" si="9"/>
        <v>#N/A</v>
      </c>
      <c r="ADB113" s="85" t="e">
        <f t="shared" si="10"/>
        <v>#N/A</v>
      </c>
      <c r="ADC113" s="84" t="e">
        <f t="shared" si="11"/>
        <v>#N/A</v>
      </c>
    </row>
    <row r="114" spans="1:783" ht="18" hidden="1" customHeight="1" x14ac:dyDescent="0.25">
      <c r="ACP114" s="82" t="e">
        <f t="shared" si="6"/>
        <v>#N/A</v>
      </c>
      <c r="ACY114" s="84" t="e">
        <f t="shared" si="7"/>
        <v>#N/A</v>
      </c>
      <c r="ACZ114" s="85" t="e">
        <f t="shared" si="8"/>
        <v>#N/A</v>
      </c>
      <c r="ADA114" s="85" t="e">
        <f t="shared" si="9"/>
        <v>#N/A</v>
      </c>
      <c r="ADB114" s="85" t="e">
        <f t="shared" si="10"/>
        <v>#N/A</v>
      </c>
      <c r="ADC114" s="84" t="e">
        <f t="shared" si="11"/>
        <v>#N/A</v>
      </c>
    </row>
    <row r="115" spans="1:783" ht="18" hidden="1" customHeight="1" x14ac:dyDescent="0.25">
      <c r="ACP115" s="82" t="e">
        <f t="shared" si="6"/>
        <v>#N/A</v>
      </c>
      <c r="ACY115" s="84" t="e">
        <f t="shared" si="7"/>
        <v>#N/A</v>
      </c>
      <c r="ACZ115" s="85" t="e">
        <f t="shared" si="8"/>
        <v>#N/A</v>
      </c>
      <c r="ADA115" s="85" t="e">
        <f t="shared" si="9"/>
        <v>#N/A</v>
      </c>
      <c r="ADB115" s="85" t="e">
        <f t="shared" si="10"/>
        <v>#N/A</v>
      </c>
      <c r="ADC115" s="84" t="e">
        <f t="shared" si="11"/>
        <v>#N/A</v>
      </c>
    </row>
    <row r="116" spans="1:783" ht="18" hidden="1" customHeight="1" x14ac:dyDescent="0.25">
      <c r="ACP116" s="82" t="e">
        <f t="shared" si="6"/>
        <v>#N/A</v>
      </c>
      <c r="ACY116" s="84" t="e">
        <f t="shared" si="7"/>
        <v>#N/A</v>
      </c>
      <c r="ACZ116" s="85" t="e">
        <f t="shared" si="8"/>
        <v>#N/A</v>
      </c>
      <c r="ADA116" s="85" t="e">
        <f t="shared" si="9"/>
        <v>#N/A</v>
      </c>
      <c r="ADB116" s="85" t="e">
        <f t="shared" si="10"/>
        <v>#N/A</v>
      </c>
      <c r="ADC116" s="84" t="e">
        <f t="shared" si="11"/>
        <v>#N/A</v>
      </c>
    </row>
    <row r="117" spans="1:783" ht="18" hidden="1" customHeight="1" x14ac:dyDescent="0.25">
      <c r="ACP117" s="82" t="e">
        <f t="shared" si="6"/>
        <v>#N/A</v>
      </c>
      <c r="ACY117" s="84" t="e">
        <f t="shared" si="7"/>
        <v>#N/A</v>
      </c>
      <c r="ACZ117" s="85" t="e">
        <f t="shared" si="8"/>
        <v>#N/A</v>
      </c>
      <c r="ADA117" s="85" t="e">
        <f t="shared" si="9"/>
        <v>#N/A</v>
      </c>
      <c r="ADB117" s="85" t="e">
        <f t="shared" si="10"/>
        <v>#N/A</v>
      </c>
      <c r="ADC117" s="84" t="e">
        <f t="shared" si="11"/>
        <v>#N/A</v>
      </c>
    </row>
  </sheetData>
  <sheetProtection algorithmName="SHA-512" hashValue="vDIxvOIWuGdjEFtfBL//jMiXKIm2u4lryPwjjLcthmTwKNHXkkNEZ/H8io3niKs1mVZvA8vMg9K/7fxZW5fpxg==" saltValue="QoIuBadOPs4Hgllrr1BFjg==" spinCount="100000" sheet="1" objects="1" scenarios="1" formatCells="0" formatColumns="0" formatRows="0" autoFilter="0"/>
  <autoFilter ref="A1:F113" xr:uid="{BBDCF30B-52FD-4581-BA2F-179FC7B66D10}"/>
  <mergeCells count="4">
    <mergeCell ref="ACE2:ACO2"/>
    <mergeCell ref="ACE3:ACO3"/>
    <mergeCell ref="ACP2:ADC2"/>
    <mergeCell ref="ACP3:ADC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E2DE8-3656-4AA1-8A89-EE5F80CFF90D}">
  <sheetPr codeName="Sheet6"/>
  <dimension ref="A1:ADG119"/>
  <sheetViews>
    <sheetView workbookViewId="0">
      <pane xSplit="3" ySplit="5" topLeftCell="D6" activePane="bottomRight" state="frozen"/>
      <selection activeCell="ACV4" sqref="ACV4"/>
      <selection pane="topRight" activeCell="ACV4" sqref="ACV4"/>
      <selection pane="bottomLeft" activeCell="ACV4" sqref="ACV4"/>
      <selection pane="bottomRight" activeCell="A6" sqref="A6"/>
    </sheetView>
  </sheetViews>
  <sheetFormatPr defaultColWidth="16.7109375" defaultRowHeight="11.25" x14ac:dyDescent="0.25"/>
  <cols>
    <col min="1" max="1" width="16.7109375" style="43"/>
    <col min="2" max="2" width="61.140625" style="43" bestFit="1" customWidth="1"/>
    <col min="3" max="11" width="16.7109375" style="43"/>
    <col min="12" max="12" width="16.7109375" style="53"/>
    <col min="13" max="675" width="16.7109375" style="43"/>
    <col min="676" max="676" width="16.7109375" style="43" customWidth="1"/>
    <col min="677" max="698" width="16.7109375" style="43"/>
    <col min="699" max="708" width="8.7109375" style="43" customWidth="1"/>
    <col min="709" max="16384" width="16.7109375" style="43"/>
  </cols>
  <sheetData>
    <row r="1" spans="1:787" s="45" customFormat="1" x14ac:dyDescent="0.25">
      <c r="D1" s="49"/>
      <c r="E1" s="50"/>
      <c r="F1" s="50"/>
      <c r="G1" s="50"/>
      <c r="H1" s="50"/>
      <c r="I1" s="50">
        <v>1</v>
      </c>
      <c r="J1" s="50">
        <v>2</v>
      </c>
      <c r="K1" s="50"/>
      <c r="L1" s="51"/>
      <c r="M1" s="50"/>
      <c r="N1" s="50"/>
      <c r="O1" s="52"/>
      <c r="P1" s="49"/>
      <c r="Q1" s="50"/>
      <c r="R1" s="50"/>
      <c r="S1" s="50"/>
      <c r="T1" s="50"/>
      <c r="U1" s="50">
        <v>4</v>
      </c>
      <c r="V1" s="50">
        <v>5</v>
      </c>
      <c r="W1" s="50"/>
      <c r="X1" s="50"/>
      <c r="Y1" s="50"/>
      <c r="Z1" s="50"/>
      <c r="AA1" s="52"/>
      <c r="AG1" s="45">
        <v>7</v>
      </c>
      <c r="AH1" s="45">
        <v>8</v>
      </c>
      <c r="AR1" s="45">
        <v>10</v>
      </c>
      <c r="AS1" s="45">
        <v>11</v>
      </c>
      <c r="AT1" s="45">
        <v>12</v>
      </c>
      <c r="AU1" s="45">
        <v>13</v>
      </c>
      <c r="AV1" s="45">
        <v>14</v>
      </c>
      <c r="AW1" s="45">
        <v>15</v>
      </c>
      <c r="AX1" s="45">
        <v>16</v>
      </c>
      <c r="AY1" s="45">
        <v>17</v>
      </c>
      <c r="AZ1" s="45">
        <v>18</v>
      </c>
      <c r="BA1" s="45">
        <v>19</v>
      </c>
      <c r="BS1" s="45">
        <v>21</v>
      </c>
      <c r="BT1" s="45">
        <v>22</v>
      </c>
      <c r="BU1" s="45">
        <v>23</v>
      </c>
      <c r="BV1" s="45">
        <v>24</v>
      </c>
      <c r="BW1" s="45">
        <v>25</v>
      </c>
      <c r="BX1" s="45">
        <v>26</v>
      </c>
      <c r="CL1" s="45">
        <v>28</v>
      </c>
      <c r="CU1" s="45">
        <v>30</v>
      </c>
      <c r="DD1" s="45">
        <v>32</v>
      </c>
      <c r="DM1" s="45">
        <v>34</v>
      </c>
      <c r="DN1" s="45">
        <v>35</v>
      </c>
      <c r="DO1" s="45">
        <v>36</v>
      </c>
      <c r="DP1" s="45">
        <v>37</v>
      </c>
      <c r="DQ1" s="45">
        <v>38</v>
      </c>
      <c r="ED1" s="45">
        <v>40</v>
      </c>
      <c r="EE1" s="45">
        <v>41</v>
      </c>
      <c r="EF1" s="45">
        <v>42</v>
      </c>
      <c r="EG1" s="45">
        <v>43</v>
      </c>
      <c r="EH1" s="45">
        <v>44</v>
      </c>
      <c r="EU1" s="45">
        <v>46</v>
      </c>
      <c r="EV1" s="45">
        <v>47</v>
      </c>
      <c r="EW1" s="45">
        <v>48</v>
      </c>
      <c r="EX1" s="45">
        <v>49</v>
      </c>
      <c r="EY1" s="45">
        <v>50</v>
      </c>
      <c r="FL1" s="45">
        <v>52</v>
      </c>
      <c r="FM1" s="45">
        <v>53</v>
      </c>
      <c r="FN1" s="45">
        <v>54</v>
      </c>
      <c r="FO1" s="45">
        <v>55</v>
      </c>
      <c r="FP1" s="45">
        <v>56</v>
      </c>
      <c r="GC1" s="45">
        <v>58</v>
      </c>
      <c r="GD1" s="45">
        <v>59</v>
      </c>
      <c r="GE1" s="45">
        <v>60</v>
      </c>
      <c r="GF1" s="45">
        <v>61</v>
      </c>
      <c r="GG1" s="45">
        <v>62</v>
      </c>
      <c r="GT1" s="45">
        <v>64</v>
      </c>
      <c r="GU1" s="45">
        <v>65</v>
      </c>
      <c r="GV1" s="45">
        <v>66</v>
      </c>
      <c r="GW1" s="45">
        <v>67</v>
      </c>
      <c r="GX1" s="45">
        <v>68</v>
      </c>
      <c r="HK1" s="45">
        <v>70</v>
      </c>
      <c r="HL1" s="45">
        <v>71</v>
      </c>
      <c r="HM1" s="45">
        <v>72</v>
      </c>
      <c r="HN1" s="45">
        <v>73</v>
      </c>
      <c r="HO1" s="45">
        <v>74</v>
      </c>
      <c r="IC1" s="45">
        <v>76</v>
      </c>
      <c r="ID1" s="45">
        <v>77</v>
      </c>
      <c r="IE1" s="45">
        <v>78</v>
      </c>
      <c r="IF1" s="45">
        <v>79</v>
      </c>
      <c r="IG1" s="45">
        <v>80</v>
      </c>
      <c r="IU1" s="45">
        <v>82</v>
      </c>
      <c r="IV1" s="45">
        <v>83</v>
      </c>
      <c r="IW1" s="45">
        <v>84</v>
      </c>
      <c r="IX1" s="45">
        <v>85</v>
      </c>
      <c r="IY1" s="45">
        <v>86</v>
      </c>
      <c r="JM1" s="45">
        <v>88</v>
      </c>
      <c r="JN1" s="45">
        <v>89</v>
      </c>
      <c r="JO1" s="45">
        <v>90</v>
      </c>
      <c r="JP1" s="45">
        <v>91</v>
      </c>
      <c r="JQ1" s="45">
        <v>92</v>
      </c>
      <c r="KE1" s="45">
        <v>94</v>
      </c>
      <c r="KF1" s="45">
        <v>95</v>
      </c>
      <c r="KG1" s="45">
        <v>96</v>
      </c>
      <c r="KH1" s="45">
        <v>97</v>
      </c>
      <c r="KI1" s="45">
        <v>98</v>
      </c>
      <c r="KW1" s="45">
        <v>100</v>
      </c>
      <c r="KX1" s="45">
        <v>101</v>
      </c>
      <c r="KY1" s="45">
        <v>102</v>
      </c>
      <c r="KZ1" s="45">
        <v>103</v>
      </c>
      <c r="LA1" s="45">
        <v>104</v>
      </c>
      <c r="LO1" s="45">
        <v>106</v>
      </c>
      <c r="LP1" s="45">
        <v>107</v>
      </c>
      <c r="LQ1" s="45">
        <v>108</v>
      </c>
      <c r="LR1" s="45">
        <v>109</v>
      </c>
      <c r="LS1" s="45">
        <v>110</v>
      </c>
      <c r="MG1" s="45">
        <v>112</v>
      </c>
      <c r="MH1" s="45">
        <v>113</v>
      </c>
      <c r="MI1" s="45">
        <v>114</v>
      </c>
      <c r="MJ1" s="45">
        <v>115</v>
      </c>
      <c r="MK1" s="45">
        <v>116</v>
      </c>
      <c r="MY1" s="45">
        <v>118</v>
      </c>
      <c r="MZ1" s="45">
        <v>119</v>
      </c>
      <c r="NA1" s="45">
        <v>120</v>
      </c>
      <c r="NB1" s="45">
        <v>121</v>
      </c>
      <c r="NC1" s="45">
        <v>122</v>
      </c>
      <c r="NP1" s="45">
        <v>124</v>
      </c>
      <c r="NQ1" s="45">
        <v>125</v>
      </c>
      <c r="NR1" s="45">
        <v>126</v>
      </c>
      <c r="NS1" s="45">
        <v>127</v>
      </c>
      <c r="NT1" s="45">
        <v>128</v>
      </c>
      <c r="OH1" s="45">
        <v>130</v>
      </c>
      <c r="OI1" s="45">
        <v>131</v>
      </c>
      <c r="OJ1" s="45">
        <v>132</v>
      </c>
      <c r="OK1" s="45">
        <v>133</v>
      </c>
      <c r="OL1" s="45">
        <v>134</v>
      </c>
      <c r="OZ1" s="45">
        <v>136</v>
      </c>
      <c r="PA1" s="45">
        <v>137</v>
      </c>
      <c r="PB1" s="45">
        <v>138</v>
      </c>
      <c r="PC1" s="45">
        <v>139</v>
      </c>
      <c r="PD1" s="45">
        <v>140</v>
      </c>
      <c r="PR1" s="45">
        <v>142</v>
      </c>
      <c r="PS1" s="45">
        <v>143</v>
      </c>
      <c r="PT1" s="45">
        <v>144</v>
      </c>
      <c r="PU1" s="45">
        <v>145</v>
      </c>
      <c r="PV1" s="45">
        <v>146</v>
      </c>
      <c r="QJ1" s="45">
        <v>148</v>
      </c>
      <c r="QK1" s="45">
        <v>149</v>
      </c>
      <c r="QL1" s="45">
        <v>150</v>
      </c>
      <c r="QM1" s="45">
        <v>151</v>
      </c>
      <c r="QN1" s="45">
        <v>152</v>
      </c>
      <c r="RB1" s="45">
        <v>154</v>
      </c>
      <c r="RC1" s="45">
        <v>155</v>
      </c>
      <c r="RD1" s="45">
        <v>156</v>
      </c>
      <c r="RE1" s="45">
        <v>157</v>
      </c>
      <c r="RF1" s="45">
        <v>158</v>
      </c>
      <c r="RT1" s="45">
        <v>160</v>
      </c>
      <c r="RU1" s="45">
        <v>161</v>
      </c>
      <c r="RV1" s="45">
        <v>162</v>
      </c>
      <c r="RW1" s="45">
        <v>163</v>
      </c>
      <c r="RX1" s="45">
        <v>164</v>
      </c>
      <c r="SL1" s="45">
        <v>166</v>
      </c>
      <c r="SM1" s="45">
        <v>167</v>
      </c>
      <c r="SN1" s="45">
        <v>168</v>
      </c>
      <c r="SO1" s="45">
        <v>169</v>
      </c>
      <c r="SP1" s="45">
        <v>170</v>
      </c>
      <c r="TD1" s="45">
        <v>172</v>
      </c>
      <c r="TE1" s="45">
        <v>173</v>
      </c>
      <c r="TF1" s="45">
        <v>174</v>
      </c>
      <c r="TG1" s="45">
        <v>175</v>
      </c>
      <c r="TH1" s="45">
        <v>176</v>
      </c>
      <c r="TV1" s="45">
        <v>178</v>
      </c>
      <c r="TW1" s="45">
        <v>179</v>
      </c>
      <c r="TX1" s="45">
        <v>180</v>
      </c>
      <c r="TY1" s="45">
        <v>181</v>
      </c>
      <c r="TZ1" s="45">
        <v>182</v>
      </c>
      <c r="UM1" s="45">
        <v>184</v>
      </c>
      <c r="UW1" s="45">
        <v>186</v>
      </c>
      <c r="UX1" s="45">
        <v>187</v>
      </c>
      <c r="UY1" s="45">
        <v>188</v>
      </c>
      <c r="UZ1" s="45">
        <v>189</v>
      </c>
      <c r="VA1" s="45">
        <v>190</v>
      </c>
      <c r="VN1" s="45">
        <v>192</v>
      </c>
      <c r="VO1" s="45">
        <v>193</v>
      </c>
      <c r="VP1" s="45">
        <v>194</v>
      </c>
      <c r="VQ1" s="45">
        <v>195</v>
      </c>
      <c r="WC1" s="45">
        <v>197</v>
      </c>
      <c r="WL1" s="45">
        <v>199</v>
      </c>
      <c r="WM1" s="45">
        <v>200</v>
      </c>
      <c r="WW1" s="45">
        <v>202</v>
      </c>
      <c r="WX1" s="45">
        <v>203</v>
      </c>
      <c r="XH1" s="45">
        <v>205</v>
      </c>
      <c r="XI1" s="45">
        <v>206</v>
      </c>
      <c r="XS1" s="45">
        <v>208</v>
      </c>
      <c r="XT1" s="45">
        <v>209</v>
      </c>
      <c r="YD1" s="45">
        <v>211</v>
      </c>
      <c r="YE1" s="45">
        <v>212</v>
      </c>
      <c r="YO1" s="45">
        <v>214</v>
      </c>
      <c r="YP1" s="45">
        <v>215</v>
      </c>
      <c r="ZA1" s="45">
        <v>217</v>
      </c>
      <c r="ZB1" s="45">
        <v>218</v>
      </c>
      <c r="ZC1" s="45">
        <v>219</v>
      </c>
      <c r="ZD1" s="45">
        <v>220</v>
      </c>
      <c r="ZE1" s="45">
        <v>221</v>
      </c>
      <c r="ZR1" s="45">
        <v>222</v>
      </c>
      <c r="ZW1" s="45">
        <v>224</v>
      </c>
      <c r="ZX1" s="45">
        <v>225</v>
      </c>
      <c r="ZY1" s="45">
        <v>226</v>
      </c>
      <c r="ZZ1" s="45">
        <v>227</v>
      </c>
      <c r="AAA1" s="45">
        <v>228</v>
      </c>
      <c r="AAB1" s="45">
        <v>229</v>
      </c>
      <c r="AAC1" s="45">
        <v>230</v>
      </c>
      <c r="AAD1" s="45">
        <v>231</v>
      </c>
      <c r="AAE1" s="45">
        <v>232</v>
      </c>
      <c r="AAF1" s="45">
        <v>233</v>
      </c>
      <c r="ABD1" s="45">
        <v>235</v>
      </c>
      <c r="ABE1" s="45">
        <v>236</v>
      </c>
      <c r="ABF1" s="45">
        <v>237</v>
      </c>
      <c r="ABG1" s="45">
        <v>238</v>
      </c>
      <c r="ABH1" s="45">
        <v>239</v>
      </c>
      <c r="ABU1" s="45">
        <v>244</v>
      </c>
      <c r="ABV1" s="45">
        <v>241</v>
      </c>
      <c r="ABW1" s="45">
        <v>243</v>
      </c>
      <c r="ABX1" s="45">
        <v>242</v>
      </c>
      <c r="ABY1" s="45">
        <v>243</v>
      </c>
      <c r="ACM1" s="45">
        <v>247</v>
      </c>
      <c r="ACN1" s="45">
        <v>248</v>
      </c>
      <c r="ACY1" s="45">
        <v>250</v>
      </c>
      <c r="ACZ1" s="45">
        <v>251</v>
      </c>
      <c r="ADA1" s="45">
        <v>252</v>
      </c>
    </row>
    <row r="2" spans="1:787" ht="15" customHeight="1" x14ac:dyDescent="0.25">
      <c r="D2" s="44"/>
      <c r="I2" s="233" t="s">
        <v>319</v>
      </c>
      <c r="J2" s="233"/>
      <c r="K2" s="45"/>
      <c r="L2" s="46"/>
      <c r="M2" s="45"/>
      <c r="N2" s="45"/>
      <c r="O2" s="47"/>
      <c r="P2" s="48"/>
      <c r="Q2" s="45"/>
      <c r="R2" s="45"/>
      <c r="S2" s="45"/>
      <c r="T2" s="45"/>
      <c r="U2" s="45"/>
      <c r="V2" s="45"/>
      <c r="W2" s="45"/>
      <c r="X2" s="45"/>
      <c r="Y2" s="45"/>
      <c r="Z2" s="45"/>
      <c r="AA2" s="47"/>
      <c r="AB2" s="45"/>
      <c r="AC2" s="45"/>
      <c r="AD2" s="45"/>
      <c r="AE2" s="45"/>
      <c r="AF2" s="45"/>
      <c r="AG2" s="45"/>
      <c r="AH2" s="45"/>
      <c r="AI2" s="45"/>
      <c r="AJ2" s="45"/>
      <c r="AK2" s="45"/>
      <c r="AL2" s="45"/>
      <c r="AM2" s="45"/>
      <c r="AN2" s="45"/>
      <c r="AO2" s="45"/>
      <c r="AP2" s="45"/>
      <c r="AQ2" s="45"/>
      <c r="AR2" s="233" t="s">
        <v>319</v>
      </c>
      <c r="AS2" s="233"/>
      <c r="AT2" s="233"/>
      <c r="AU2" s="233"/>
      <c r="AV2" s="233"/>
      <c r="AW2" s="233"/>
      <c r="AX2" s="233"/>
      <c r="AY2" s="233"/>
      <c r="AZ2" s="233"/>
      <c r="BA2" s="233"/>
      <c r="BB2" s="45"/>
      <c r="BC2" s="45"/>
      <c r="BD2" s="45"/>
      <c r="BE2" s="45"/>
      <c r="BF2" s="45"/>
      <c r="BG2" s="45"/>
      <c r="BH2" s="45"/>
      <c r="BI2" s="45"/>
      <c r="BJ2" s="45"/>
      <c r="BK2" s="45"/>
      <c r="BL2" s="45"/>
      <c r="BM2" s="45"/>
      <c r="BN2" s="45"/>
      <c r="BO2" s="45"/>
      <c r="BP2" s="45"/>
      <c r="BQ2" s="45"/>
      <c r="BR2" s="45"/>
      <c r="BS2" s="233" t="s">
        <v>319</v>
      </c>
      <c r="BT2" s="233"/>
      <c r="BU2" s="233"/>
      <c r="BV2" s="233"/>
      <c r="BW2" s="233"/>
      <c r="BX2" s="233"/>
      <c r="BY2" s="45"/>
      <c r="BZ2" s="45"/>
      <c r="CA2" s="45"/>
      <c r="CB2" s="45"/>
      <c r="CC2" s="45"/>
      <c r="CD2" s="45"/>
      <c r="CE2" s="45"/>
      <c r="CF2" s="45"/>
      <c r="CG2" s="45"/>
      <c r="CH2" s="233" t="s">
        <v>320</v>
      </c>
      <c r="CI2" s="233"/>
      <c r="CJ2" s="233"/>
      <c r="CK2" s="233"/>
      <c r="CL2" s="233"/>
      <c r="CM2" s="233"/>
      <c r="CN2" s="233"/>
      <c r="CO2" s="233"/>
      <c r="CP2" s="233"/>
      <c r="CQ2" s="233" t="s">
        <v>320</v>
      </c>
      <c r="CR2" s="233"/>
      <c r="CS2" s="233"/>
      <c r="CT2" s="233"/>
      <c r="CU2" s="233"/>
      <c r="CV2" s="233"/>
      <c r="CW2" s="233"/>
      <c r="CX2" s="233"/>
      <c r="CY2" s="233"/>
      <c r="CZ2" s="233" t="s">
        <v>320</v>
      </c>
      <c r="DA2" s="233"/>
      <c r="DB2" s="233"/>
      <c r="DC2" s="233"/>
      <c r="DD2" s="233"/>
      <c r="DE2" s="233"/>
      <c r="DF2" s="233"/>
      <c r="DG2" s="233"/>
      <c r="DH2" s="233"/>
      <c r="DI2" s="233" t="s">
        <v>320</v>
      </c>
      <c r="DJ2" s="233"/>
      <c r="DK2" s="233"/>
      <c r="DL2" s="233"/>
      <c r="DM2" s="233"/>
      <c r="DN2" s="233"/>
      <c r="DO2" s="233"/>
      <c r="DP2" s="233"/>
      <c r="DQ2" s="233"/>
      <c r="DR2" s="233"/>
      <c r="DS2" s="233"/>
      <c r="DT2" s="233"/>
      <c r="DU2" s="233"/>
      <c r="DV2" s="233"/>
      <c r="DW2" s="233"/>
      <c r="DX2" s="233"/>
      <c r="DY2" s="233"/>
      <c r="DZ2" s="233" t="s">
        <v>320</v>
      </c>
      <c r="EA2" s="233"/>
      <c r="EB2" s="233"/>
      <c r="EC2" s="233"/>
      <c r="ED2" s="233"/>
      <c r="EE2" s="233"/>
      <c r="EF2" s="233"/>
      <c r="EG2" s="233"/>
      <c r="EH2" s="233"/>
      <c r="EI2" s="233"/>
      <c r="EJ2" s="233"/>
      <c r="EK2" s="233"/>
      <c r="EL2" s="233"/>
      <c r="EM2" s="233"/>
      <c r="EN2" s="233"/>
      <c r="EO2" s="233"/>
      <c r="EP2" s="233"/>
      <c r="EQ2" s="233" t="s">
        <v>320</v>
      </c>
      <c r="ER2" s="233"/>
      <c r="ES2" s="233"/>
      <c r="ET2" s="233"/>
      <c r="EU2" s="233"/>
      <c r="EV2" s="233"/>
      <c r="EW2" s="233"/>
      <c r="EX2" s="233"/>
      <c r="EY2" s="233"/>
      <c r="EZ2" s="233"/>
      <c r="FA2" s="233"/>
      <c r="FB2" s="233"/>
      <c r="FC2" s="233"/>
      <c r="FD2" s="233"/>
      <c r="FE2" s="233"/>
      <c r="FF2" s="233"/>
      <c r="FG2" s="233"/>
      <c r="FH2" s="233" t="s">
        <v>320</v>
      </c>
      <c r="FI2" s="233"/>
      <c r="FJ2" s="233"/>
      <c r="FK2" s="233"/>
      <c r="FL2" s="233"/>
      <c r="FM2" s="233"/>
      <c r="FN2" s="233"/>
      <c r="FO2" s="233"/>
      <c r="FP2" s="233"/>
      <c r="FQ2" s="233"/>
      <c r="FR2" s="233"/>
      <c r="FS2" s="233"/>
      <c r="FT2" s="233"/>
      <c r="FU2" s="233"/>
      <c r="FV2" s="233"/>
      <c r="FW2" s="233"/>
      <c r="FX2" s="233"/>
      <c r="FY2" s="233" t="s">
        <v>320</v>
      </c>
      <c r="FZ2" s="233"/>
      <c r="GA2" s="233"/>
      <c r="GB2" s="233"/>
      <c r="GC2" s="233"/>
      <c r="GD2" s="233"/>
      <c r="GE2" s="233"/>
      <c r="GF2" s="233"/>
      <c r="GG2" s="233"/>
      <c r="GH2" s="233"/>
      <c r="GI2" s="233"/>
      <c r="GJ2" s="233"/>
      <c r="GK2" s="233"/>
      <c r="GL2" s="233"/>
      <c r="GM2" s="233"/>
      <c r="GN2" s="233"/>
      <c r="GO2" s="233"/>
      <c r="GP2" s="233" t="s">
        <v>320</v>
      </c>
      <c r="GQ2" s="233"/>
      <c r="GR2" s="233"/>
      <c r="GS2" s="233"/>
      <c r="GT2" s="233"/>
      <c r="GU2" s="233"/>
      <c r="GV2" s="233"/>
      <c r="GW2" s="233"/>
      <c r="GX2" s="233"/>
      <c r="GY2" s="233"/>
      <c r="GZ2" s="233"/>
      <c r="HA2" s="233"/>
      <c r="HB2" s="233"/>
      <c r="HC2" s="233"/>
      <c r="HD2" s="233"/>
      <c r="HE2" s="233"/>
      <c r="HF2" s="233"/>
      <c r="HG2" s="233" t="s">
        <v>320</v>
      </c>
      <c r="HH2" s="233"/>
      <c r="HI2" s="233"/>
      <c r="HJ2" s="233"/>
      <c r="HK2" s="233"/>
      <c r="HL2" s="233"/>
      <c r="HM2" s="233"/>
      <c r="HN2" s="233"/>
      <c r="HO2" s="233"/>
      <c r="HP2" s="233"/>
      <c r="HQ2" s="233"/>
      <c r="HR2" s="233"/>
      <c r="HS2" s="233"/>
      <c r="HT2" s="233"/>
      <c r="HU2" s="233"/>
      <c r="HV2" s="233"/>
      <c r="HW2" s="233"/>
      <c r="HX2" s="233" t="s">
        <v>320</v>
      </c>
      <c r="HY2" s="233"/>
      <c r="HZ2" s="233"/>
      <c r="IA2" s="233"/>
      <c r="IB2" s="233"/>
      <c r="IC2" s="233"/>
      <c r="ID2" s="233"/>
      <c r="IE2" s="233"/>
      <c r="IF2" s="233"/>
      <c r="IG2" s="233"/>
      <c r="IH2" s="233"/>
      <c r="II2" s="233"/>
      <c r="IJ2" s="233"/>
      <c r="IK2" s="233"/>
      <c r="IL2" s="233"/>
      <c r="IM2" s="233"/>
      <c r="IN2" s="233"/>
      <c r="IO2" s="233"/>
      <c r="IP2" s="233" t="s">
        <v>320</v>
      </c>
      <c r="IQ2" s="233"/>
      <c r="IR2" s="233"/>
      <c r="IS2" s="233"/>
      <c r="IT2" s="233"/>
      <c r="IU2" s="233"/>
      <c r="IV2" s="233"/>
      <c r="IW2" s="233"/>
      <c r="IX2" s="233"/>
      <c r="IY2" s="233"/>
      <c r="IZ2" s="233"/>
      <c r="JA2" s="233"/>
      <c r="JB2" s="233"/>
      <c r="JC2" s="233"/>
      <c r="JD2" s="233"/>
      <c r="JE2" s="233"/>
      <c r="JF2" s="233"/>
      <c r="JG2" s="233"/>
      <c r="JH2" s="233" t="s">
        <v>320</v>
      </c>
      <c r="JI2" s="233"/>
      <c r="JJ2" s="233"/>
      <c r="JK2" s="233"/>
      <c r="JL2" s="233"/>
      <c r="JM2" s="233"/>
      <c r="JN2" s="233"/>
      <c r="JO2" s="233"/>
      <c r="JP2" s="233"/>
      <c r="JQ2" s="233"/>
      <c r="JR2" s="233"/>
      <c r="JS2" s="233"/>
      <c r="JT2" s="233"/>
      <c r="JU2" s="233"/>
      <c r="JV2" s="233"/>
      <c r="JW2" s="233"/>
      <c r="JX2" s="233"/>
      <c r="JY2" s="233"/>
      <c r="JZ2" s="233" t="s">
        <v>320</v>
      </c>
      <c r="KA2" s="233"/>
      <c r="KB2" s="233"/>
      <c r="KC2" s="233"/>
      <c r="KD2" s="233"/>
      <c r="KE2" s="233"/>
      <c r="KF2" s="233"/>
      <c r="KG2" s="233"/>
      <c r="KH2" s="233"/>
      <c r="KI2" s="233"/>
      <c r="KJ2" s="233"/>
      <c r="KK2" s="233"/>
      <c r="KL2" s="233"/>
      <c r="KM2" s="233"/>
      <c r="KN2" s="233"/>
      <c r="KO2" s="233"/>
      <c r="KP2" s="233"/>
      <c r="KQ2" s="233"/>
      <c r="KR2" s="233" t="s">
        <v>320</v>
      </c>
      <c r="KS2" s="233"/>
      <c r="KT2" s="233"/>
      <c r="KU2" s="233"/>
      <c r="KV2" s="233"/>
      <c r="KW2" s="233"/>
      <c r="KX2" s="233"/>
      <c r="KY2" s="233"/>
      <c r="KZ2" s="233"/>
      <c r="LA2" s="233"/>
      <c r="LB2" s="233"/>
      <c r="LC2" s="233"/>
      <c r="LD2" s="233"/>
      <c r="LE2" s="233"/>
      <c r="LF2" s="233"/>
      <c r="LG2" s="233"/>
      <c r="LH2" s="233"/>
      <c r="LI2" s="233"/>
      <c r="LJ2" s="233" t="s">
        <v>320</v>
      </c>
      <c r="LK2" s="233"/>
      <c r="LL2" s="233"/>
      <c r="LM2" s="233"/>
      <c r="LN2" s="233"/>
      <c r="LO2" s="233"/>
      <c r="LP2" s="233"/>
      <c r="LQ2" s="233"/>
      <c r="LR2" s="233"/>
      <c r="LS2" s="233"/>
      <c r="LT2" s="233"/>
      <c r="LU2" s="233"/>
      <c r="LV2" s="233"/>
      <c r="LW2" s="233"/>
      <c r="LX2" s="233"/>
      <c r="LY2" s="233"/>
      <c r="LZ2" s="233"/>
      <c r="MA2" s="233"/>
      <c r="MB2" s="233" t="s">
        <v>320</v>
      </c>
      <c r="MC2" s="233"/>
      <c r="MD2" s="233"/>
      <c r="ME2" s="233"/>
      <c r="MF2" s="233"/>
      <c r="MG2" s="233"/>
      <c r="MH2" s="233"/>
      <c r="MI2" s="233"/>
      <c r="MJ2" s="233"/>
      <c r="MK2" s="233"/>
      <c r="ML2" s="233"/>
      <c r="MM2" s="233"/>
      <c r="MN2" s="233"/>
      <c r="MO2" s="233"/>
      <c r="MP2" s="233"/>
      <c r="MQ2" s="233"/>
      <c r="MR2" s="233"/>
      <c r="MS2" s="233"/>
      <c r="MT2" s="233" t="s">
        <v>320</v>
      </c>
      <c r="MU2" s="233"/>
      <c r="MV2" s="233"/>
      <c r="MW2" s="233"/>
      <c r="MX2" s="233"/>
      <c r="MY2" s="233"/>
      <c r="MZ2" s="233"/>
      <c r="NA2" s="233"/>
      <c r="NB2" s="233"/>
      <c r="NC2" s="233"/>
      <c r="ND2" s="233"/>
      <c r="NE2" s="233"/>
      <c r="NF2" s="233"/>
      <c r="NG2" s="233"/>
      <c r="NH2" s="233"/>
      <c r="NI2" s="233"/>
      <c r="NJ2" s="233"/>
      <c r="NK2" s="233"/>
      <c r="NL2" s="233" t="s">
        <v>320</v>
      </c>
      <c r="NM2" s="233"/>
      <c r="NN2" s="233"/>
      <c r="NO2" s="233"/>
      <c r="NP2" s="233"/>
      <c r="NQ2" s="233"/>
      <c r="NR2" s="233"/>
      <c r="NS2" s="233"/>
      <c r="NT2" s="233"/>
      <c r="NU2" s="233"/>
      <c r="NV2" s="233"/>
      <c r="NW2" s="233"/>
      <c r="NX2" s="233"/>
      <c r="NY2" s="233"/>
      <c r="NZ2" s="233"/>
      <c r="OA2" s="233"/>
      <c r="OB2" s="233"/>
      <c r="OC2" s="233" t="s">
        <v>320</v>
      </c>
      <c r="OD2" s="233"/>
      <c r="OE2" s="233"/>
      <c r="OF2" s="233"/>
      <c r="OG2" s="233"/>
      <c r="OH2" s="233"/>
      <c r="OI2" s="233"/>
      <c r="OJ2" s="233"/>
      <c r="OK2" s="233"/>
      <c r="OL2" s="233"/>
      <c r="OM2" s="233"/>
      <c r="ON2" s="233"/>
      <c r="OO2" s="233"/>
      <c r="OP2" s="233"/>
      <c r="OQ2" s="233"/>
      <c r="OR2" s="233"/>
      <c r="OS2" s="233"/>
      <c r="OT2" s="233"/>
      <c r="OU2" s="233" t="s">
        <v>320</v>
      </c>
      <c r="OV2" s="233"/>
      <c r="OW2" s="233"/>
      <c r="OX2" s="233"/>
      <c r="OY2" s="233"/>
      <c r="OZ2" s="233"/>
      <c r="PA2" s="233"/>
      <c r="PB2" s="233"/>
      <c r="PC2" s="233"/>
      <c r="PD2" s="233"/>
      <c r="PE2" s="233"/>
      <c r="PF2" s="233"/>
      <c r="PG2" s="233"/>
      <c r="PH2" s="233"/>
      <c r="PI2" s="233"/>
      <c r="PJ2" s="233"/>
      <c r="PK2" s="233"/>
      <c r="PL2" s="233"/>
      <c r="PM2" s="233" t="s">
        <v>320</v>
      </c>
      <c r="PN2" s="233"/>
      <c r="PO2" s="233"/>
      <c r="PP2" s="233"/>
      <c r="PQ2" s="233"/>
      <c r="PR2" s="233"/>
      <c r="PS2" s="233"/>
      <c r="PT2" s="233"/>
      <c r="PU2" s="233"/>
      <c r="PV2" s="233"/>
      <c r="PW2" s="233"/>
      <c r="PX2" s="233"/>
      <c r="PY2" s="233"/>
      <c r="PZ2" s="233"/>
      <c r="QA2" s="233"/>
      <c r="QB2" s="233"/>
      <c r="QC2" s="233"/>
      <c r="QD2" s="233"/>
      <c r="QE2" s="233" t="s">
        <v>320</v>
      </c>
      <c r="QF2" s="233"/>
      <c r="QG2" s="233"/>
      <c r="QH2" s="233"/>
      <c r="QI2" s="233"/>
      <c r="QJ2" s="233"/>
      <c r="QK2" s="233"/>
      <c r="QL2" s="233"/>
      <c r="QM2" s="233"/>
      <c r="QN2" s="233"/>
      <c r="QO2" s="233"/>
      <c r="QP2" s="233"/>
      <c r="QQ2" s="233"/>
      <c r="QR2" s="233"/>
      <c r="QS2" s="233"/>
      <c r="QT2" s="233"/>
      <c r="QU2" s="233"/>
      <c r="QV2" s="233"/>
      <c r="QW2" s="233" t="s">
        <v>320</v>
      </c>
      <c r="QX2" s="233"/>
      <c r="QY2" s="233"/>
      <c r="QZ2" s="233"/>
      <c r="RA2" s="233"/>
      <c r="RB2" s="233"/>
      <c r="RC2" s="233"/>
      <c r="RD2" s="233"/>
      <c r="RE2" s="233"/>
      <c r="RF2" s="233"/>
      <c r="RG2" s="233"/>
      <c r="RH2" s="233"/>
      <c r="RI2" s="233"/>
      <c r="RJ2" s="233"/>
      <c r="RK2" s="233"/>
      <c r="RL2" s="233"/>
      <c r="RM2" s="233"/>
      <c r="RN2" s="233"/>
      <c r="RO2" s="233" t="s">
        <v>320</v>
      </c>
      <c r="RP2" s="233"/>
      <c r="RQ2" s="233"/>
      <c r="RR2" s="233"/>
      <c r="RS2" s="233"/>
      <c r="RT2" s="233"/>
      <c r="RU2" s="233"/>
      <c r="RV2" s="233"/>
      <c r="RW2" s="233"/>
      <c r="RX2" s="233"/>
      <c r="RY2" s="233"/>
      <c r="RZ2" s="233"/>
      <c r="SA2" s="233"/>
      <c r="SB2" s="233"/>
      <c r="SC2" s="233"/>
      <c r="SD2" s="233"/>
      <c r="SE2" s="233"/>
      <c r="SF2" s="233"/>
      <c r="SG2" s="233" t="s">
        <v>320</v>
      </c>
      <c r="SH2" s="233"/>
      <c r="SI2" s="233"/>
      <c r="SJ2" s="233"/>
      <c r="SK2" s="233"/>
      <c r="SL2" s="233"/>
      <c r="SM2" s="233"/>
      <c r="SN2" s="233"/>
      <c r="SO2" s="233"/>
      <c r="SP2" s="233"/>
      <c r="SQ2" s="233"/>
      <c r="SR2" s="233"/>
      <c r="SS2" s="233"/>
      <c r="ST2" s="233"/>
      <c r="SU2" s="233"/>
      <c r="SV2" s="233"/>
      <c r="SW2" s="233"/>
      <c r="SX2" s="233"/>
      <c r="SY2" s="233" t="s">
        <v>320</v>
      </c>
      <c r="SZ2" s="233"/>
      <c r="TA2" s="233"/>
      <c r="TB2" s="233"/>
      <c r="TC2" s="233"/>
      <c r="TD2" s="233"/>
      <c r="TE2" s="233"/>
      <c r="TF2" s="233"/>
      <c r="TG2" s="233"/>
      <c r="TH2" s="233"/>
      <c r="TI2" s="233"/>
      <c r="TJ2" s="233"/>
      <c r="TK2" s="233"/>
      <c r="TL2" s="233"/>
      <c r="TM2" s="233"/>
      <c r="TN2" s="233"/>
      <c r="TO2" s="233"/>
      <c r="TP2" s="233"/>
      <c r="TQ2" s="233" t="s">
        <v>320</v>
      </c>
      <c r="TR2" s="233"/>
      <c r="TS2" s="233"/>
      <c r="TT2" s="233"/>
      <c r="TU2" s="233"/>
      <c r="TV2" s="233"/>
      <c r="TW2" s="233"/>
      <c r="TX2" s="233"/>
      <c r="TY2" s="233"/>
      <c r="TZ2" s="233"/>
      <c r="UA2" s="233"/>
      <c r="UB2" s="233"/>
      <c r="UC2" s="233"/>
      <c r="UD2" s="233"/>
      <c r="UE2" s="233"/>
      <c r="UF2" s="233"/>
      <c r="UG2" s="233"/>
      <c r="UH2" s="233"/>
      <c r="UI2" s="233" t="s">
        <v>320</v>
      </c>
      <c r="UJ2" s="233"/>
      <c r="UK2" s="233"/>
      <c r="UL2" s="233"/>
      <c r="UM2" s="233"/>
      <c r="UN2" s="233"/>
      <c r="UO2" s="233"/>
      <c r="UP2" s="233"/>
      <c r="UQ2" s="233"/>
      <c r="UR2" s="233" t="s">
        <v>321</v>
      </c>
      <c r="US2" s="233"/>
      <c r="UT2" s="233"/>
      <c r="UU2" s="233"/>
      <c r="UV2" s="233"/>
      <c r="UW2" s="233"/>
      <c r="UX2" s="233"/>
      <c r="UY2" s="233"/>
      <c r="UZ2" s="233"/>
      <c r="VA2" s="233"/>
      <c r="VB2" s="233"/>
      <c r="VC2" s="233"/>
      <c r="VD2" s="233"/>
      <c r="VE2" s="233"/>
      <c r="VF2" s="233"/>
      <c r="VG2" s="233"/>
      <c r="VH2" s="233"/>
      <c r="VI2" s="233"/>
      <c r="VJ2" s="233" t="s">
        <v>321</v>
      </c>
      <c r="VK2" s="233"/>
      <c r="VL2" s="233"/>
      <c r="VM2" s="233"/>
      <c r="VN2" s="233"/>
      <c r="VO2" s="233"/>
      <c r="VP2" s="233"/>
      <c r="VQ2" s="233"/>
      <c r="VR2" s="233"/>
      <c r="VS2" s="233"/>
      <c r="VT2" s="233"/>
      <c r="VU2" s="233"/>
      <c r="VV2" s="233"/>
      <c r="VW2" s="233"/>
      <c r="VX2" s="233"/>
      <c r="VY2" s="233" t="s">
        <v>321</v>
      </c>
      <c r="VZ2" s="233"/>
      <c r="WA2" s="233"/>
      <c r="WB2" s="233"/>
      <c r="WC2" s="233"/>
      <c r="WD2" s="233"/>
      <c r="WE2" s="233"/>
      <c r="WF2" s="233"/>
      <c r="WG2" s="233"/>
      <c r="WH2" s="233" t="s">
        <v>322</v>
      </c>
      <c r="WI2" s="233"/>
      <c r="WJ2" s="233"/>
      <c r="WK2" s="233"/>
      <c r="WL2" s="233"/>
      <c r="WM2" s="233"/>
      <c r="WN2" s="233"/>
      <c r="WO2" s="233"/>
      <c r="WP2" s="233"/>
      <c r="WQ2" s="233"/>
      <c r="WR2" s="233"/>
      <c r="WS2" s="233" t="s">
        <v>322</v>
      </c>
      <c r="WT2" s="233"/>
      <c r="WU2" s="233"/>
      <c r="WV2" s="233"/>
      <c r="WW2" s="233"/>
      <c r="WX2" s="233"/>
      <c r="WY2" s="233"/>
      <c r="WZ2" s="233"/>
      <c r="XA2" s="233"/>
      <c r="XB2" s="233"/>
      <c r="XC2" s="233"/>
      <c r="XD2" s="233" t="s">
        <v>322</v>
      </c>
      <c r="XE2" s="233"/>
      <c r="XF2" s="233"/>
      <c r="XG2" s="233"/>
      <c r="XH2" s="233"/>
      <c r="XI2" s="233"/>
      <c r="XJ2" s="233"/>
      <c r="XK2" s="233"/>
      <c r="XL2" s="233"/>
      <c r="XM2" s="233"/>
      <c r="XN2" s="233"/>
      <c r="XO2" s="233" t="s">
        <v>322</v>
      </c>
      <c r="XP2" s="233"/>
      <c r="XQ2" s="233"/>
      <c r="XR2" s="233"/>
      <c r="XS2" s="233"/>
      <c r="XT2" s="233"/>
      <c r="XU2" s="233"/>
      <c r="XV2" s="233"/>
      <c r="XW2" s="233"/>
      <c r="XX2" s="233"/>
      <c r="XY2" s="233"/>
      <c r="XZ2" s="233" t="s">
        <v>323</v>
      </c>
      <c r="YA2" s="233"/>
      <c r="YB2" s="233"/>
      <c r="YC2" s="233"/>
      <c r="YD2" s="233"/>
      <c r="YE2" s="233"/>
      <c r="YF2" s="233"/>
      <c r="YG2" s="233"/>
      <c r="YH2" s="233"/>
      <c r="YI2" s="233"/>
      <c r="YJ2" s="233"/>
      <c r="YK2" s="233" t="s">
        <v>323</v>
      </c>
      <c r="YL2" s="233"/>
      <c r="YM2" s="233"/>
      <c r="YN2" s="233"/>
      <c r="YO2" s="233"/>
      <c r="YP2" s="233"/>
      <c r="YQ2" s="233"/>
      <c r="YR2" s="233"/>
      <c r="YS2" s="233"/>
      <c r="YT2" s="233"/>
      <c r="YU2" s="233"/>
      <c r="YV2" s="233" t="s">
        <v>323</v>
      </c>
      <c r="YW2" s="233"/>
      <c r="YX2" s="233"/>
      <c r="YY2" s="233"/>
      <c r="YZ2" s="233"/>
      <c r="ZA2" s="233"/>
      <c r="ZB2" s="233"/>
      <c r="ZC2" s="233"/>
      <c r="ZD2" s="233"/>
      <c r="ZE2" s="233"/>
      <c r="ZF2" s="233"/>
      <c r="ZG2" s="233"/>
      <c r="ZH2" s="233"/>
      <c r="ZI2" s="233"/>
      <c r="ZJ2" s="233"/>
      <c r="ZK2" s="233"/>
      <c r="ZL2" s="233"/>
      <c r="ZM2" s="233"/>
      <c r="ZN2" s="233" t="s">
        <v>323</v>
      </c>
      <c r="ZO2" s="233"/>
      <c r="ZP2" s="233"/>
      <c r="ZQ2" s="233"/>
      <c r="ZR2" s="233"/>
      <c r="ZS2" s="233"/>
      <c r="ZT2" s="233"/>
      <c r="ZU2" s="233"/>
      <c r="ZV2" s="233"/>
      <c r="ZW2" s="233" t="s">
        <v>323</v>
      </c>
      <c r="ZX2" s="233"/>
      <c r="ZY2" s="233"/>
      <c r="ZZ2" s="233"/>
      <c r="AAA2" s="233"/>
      <c r="AAB2" s="233"/>
      <c r="AAC2" s="233"/>
      <c r="AAD2" s="233"/>
      <c r="AAE2" s="233"/>
      <c r="AAF2" s="233"/>
      <c r="AAG2" s="233"/>
      <c r="AAH2" s="233"/>
      <c r="AAI2" s="233"/>
      <c r="AAJ2" s="233"/>
      <c r="AAK2" s="233"/>
      <c r="AAL2" s="233"/>
      <c r="AAM2" s="233"/>
      <c r="AAN2" s="233"/>
      <c r="AAO2" s="233"/>
      <c r="AAP2" s="233"/>
      <c r="AAQ2" s="233"/>
      <c r="AAR2" s="233"/>
      <c r="AAS2" s="233"/>
      <c r="AAT2" s="233"/>
      <c r="AAU2" s="233"/>
      <c r="AAV2" s="233"/>
      <c r="AAW2" s="233"/>
      <c r="AAX2" s="233"/>
      <c r="AAY2" s="233" t="s">
        <v>323</v>
      </c>
      <c r="AAZ2" s="233"/>
      <c r="ABA2" s="233"/>
      <c r="ABB2" s="233"/>
      <c r="ABC2" s="233"/>
      <c r="ABD2" s="233"/>
      <c r="ABE2" s="233"/>
      <c r="ABF2" s="233"/>
      <c r="ABG2" s="233"/>
      <c r="ABH2" s="233"/>
      <c r="ABI2" s="233"/>
      <c r="ABJ2" s="233"/>
      <c r="ABK2" s="233"/>
      <c r="ABL2" s="233"/>
      <c r="ABM2" s="233"/>
      <c r="ABN2" s="233"/>
      <c r="ABO2" s="233"/>
      <c r="ABP2" s="233"/>
      <c r="ABQ2" s="233" t="s">
        <v>323</v>
      </c>
      <c r="ABR2" s="233"/>
      <c r="ABS2" s="233"/>
      <c r="ABT2" s="233"/>
      <c r="ABU2" s="233"/>
      <c r="ABV2" s="233"/>
      <c r="ABW2" s="233"/>
      <c r="ABX2" s="233"/>
      <c r="ABY2" s="233"/>
      <c r="ABZ2" s="233"/>
      <c r="ACA2" s="233"/>
      <c r="ACB2" s="233"/>
      <c r="ACC2" s="233"/>
      <c r="ACD2" s="233"/>
      <c r="ACE2" s="233"/>
      <c r="ACF2" s="233"/>
      <c r="ACG2" s="233"/>
      <c r="ACH2" s="233" t="s">
        <v>323</v>
      </c>
      <c r="ACI2" s="233"/>
      <c r="ACJ2" s="233"/>
      <c r="ACK2" s="233"/>
      <c r="ACL2" s="233"/>
      <c r="ACM2" s="233"/>
      <c r="ACN2" s="233"/>
      <c r="ACO2" s="233"/>
      <c r="ACP2" s="233"/>
      <c r="ACQ2" s="233"/>
      <c r="ACR2" s="233"/>
      <c r="ACS2" s="233"/>
      <c r="ACT2" s="233" t="s">
        <v>323</v>
      </c>
      <c r="ACU2" s="233"/>
      <c r="ACV2" s="233"/>
      <c r="ACW2" s="233"/>
      <c r="ACX2" s="233"/>
      <c r="ACY2" s="233"/>
      <c r="ACZ2" s="233"/>
      <c r="ADA2" s="233"/>
      <c r="ADB2" s="233"/>
      <c r="ADC2" s="233"/>
      <c r="ADD2" s="233"/>
      <c r="ADE2" s="233"/>
      <c r="ADF2" s="233"/>
      <c r="ADG2" s="233"/>
    </row>
    <row r="3" spans="1:787" ht="15" customHeight="1" x14ac:dyDescent="0.25">
      <c r="D3" s="44"/>
      <c r="I3" s="233" t="s">
        <v>324</v>
      </c>
      <c r="J3" s="233"/>
      <c r="K3" s="45"/>
      <c r="L3" s="46"/>
      <c r="M3" s="45"/>
      <c r="N3" s="45"/>
      <c r="O3" s="47"/>
      <c r="P3" s="48"/>
      <c r="Q3" s="45"/>
      <c r="R3" s="45"/>
      <c r="S3" s="45"/>
      <c r="T3" s="45"/>
      <c r="U3" s="45"/>
      <c r="V3" s="45"/>
      <c r="W3" s="45"/>
      <c r="X3" s="45"/>
      <c r="Y3" s="45"/>
      <c r="Z3" s="45"/>
      <c r="AA3" s="47"/>
      <c r="AB3" s="45"/>
      <c r="AC3" s="45"/>
      <c r="AD3" s="45"/>
      <c r="AE3" s="45"/>
      <c r="AF3" s="45"/>
      <c r="AG3" s="45"/>
      <c r="AH3" s="45"/>
      <c r="AI3" s="45"/>
      <c r="AJ3" s="45"/>
      <c r="AK3" s="45"/>
      <c r="AL3" s="45"/>
      <c r="AM3" s="45"/>
      <c r="AN3" s="45"/>
      <c r="AO3" s="45"/>
      <c r="AP3" s="45"/>
      <c r="AQ3" s="45"/>
      <c r="AR3" s="233" t="s">
        <v>325</v>
      </c>
      <c r="AS3" s="233"/>
      <c r="AT3" s="233"/>
      <c r="AU3" s="233"/>
      <c r="AV3" s="233"/>
      <c r="AW3" s="233"/>
      <c r="AX3" s="233"/>
      <c r="AY3" s="233"/>
      <c r="AZ3" s="233"/>
      <c r="BA3" s="233"/>
      <c r="BB3" s="45"/>
      <c r="BC3" s="45"/>
      <c r="BD3" s="87" t="str">
        <f>AR3</f>
        <v xml:space="preserve">2. (a) Why are you visiting this archive today? </v>
      </c>
      <c r="BE3" s="45"/>
      <c r="BF3" s="45"/>
      <c r="BG3" s="45"/>
      <c r="BH3" s="45"/>
      <c r="BI3" s="45"/>
      <c r="BJ3" s="45"/>
      <c r="BK3" s="45"/>
      <c r="BL3" s="45"/>
      <c r="BM3" s="45"/>
      <c r="BN3" s="45"/>
      <c r="BO3" s="45"/>
      <c r="BP3" s="45"/>
      <c r="BQ3" s="45"/>
      <c r="BR3" s="45"/>
      <c r="BS3" s="233" t="s">
        <v>326</v>
      </c>
      <c r="BT3" s="233"/>
      <c r="BU3" s="233"/>
      <c r="BV3" s="233"/>
      <c r="BW3" s="233"/>
      <c r="BX3" s="233"/>
      <c r="BY3" s="45"/>
      <c r="BZ3" s="45"/>
      <c r="CA3" s="87" t="str">
        <f>BS3</f>
        <v>3. What, if any, of the following did you do to prepare for your visit today?</v>
      </c>
      <c r="CB3" s="45"/>
      <c r="CC3" s="45"/>
      <c r="CD3" s="45"/>
      <c r="CE3" s="45"/>
      <c r="CF3" s="45"/>
      <c r="CG3" s="45"/>
      <c r="CH3" s="233" t="s">
        <v>613</v>
      </c>
      <c r="CI3" s="233"/>
      <c r="CJ3" s="233"/>
      <c r="CK3" s="233"/>
      <c r="CL3" s="233"/>
      <c r="CM3" s="233"/>
      <c r="CN3" s="233"/>
      <c r="CO3" s="233"/>
      <c r="CP3" s="233"/>
      <c r="CQ3" s="233" t="s">
        <v>613</v>
      </c>
      <c r="CR3" s="233"/>
      <c r="CS3" s="233"/>
      <c r="CT3" s="233"/>
      <c r="CU3" s="233"/>
      <c r="CV3" s="233"/>
      <c r="CW3" s="233"/>
      <c r="CX3" s="233"/>
      <c r="CY3" s="233"/>
      <c r="CZ3" s="233" t="s">
        <v>613</v>
      </c>
      <c r="DA3" s="233"/>
      <c r="DB3" s="233"/>
      <c r="DC3" s="233"/>
      <c r="DD3" s="233"/>
      <c r="DE3" s="233"/>
      <c r="DF3" s="233"/>
      <c r="DG3" s="233"/>
      <c r="DH3" s="233"/>
      <c r="DI3" s="233" t="s">
        <v>327</v>
      </c>
      <c r="DJ3" s="233"/>
      <c r="DK3" s="233"/>
      <c r="DL3" s="233"/>
      <c r="DM3" s="233"/>
      <c r="DN3" s="233"/>
      <c r="DO3" s="233"/>
      <c r="DP3" s="233"/>
      <c r="DQ3" s="233"/>
      <c r="DR3" s="233"/>
      <c r="DS3" s="233"/>
      <c r="DT3" s="233"/>
      <c r="DU3" s="233"/>
      <c r="DV3" s="233"/>
      <c r="DW3" s="233"/>
      <c r="DX3" s="233"/>
      <c r="DY3" s="233"/>
      <c r="DZ3" s="233" t="s">
        <v>327</v>
      </c>
      <c r="EA3" s="233"/>
      <c r="EB3" s="233"/>
      <c r="EC3" s="233"/>
      <c r="ED3" s="233"/>
      <c r="EE3" s="233"/>
      <c r="EF3" s="233"/>
      <c r="EG3" s="233"/>
      <c r="EH3" s="233"/>
      <c r="EI3" s="233"/>
      <c r="EJ3" s="233"/>
      <c r="EK3" s="233"/>
      <c r="EL3" s="233"/>
      <c r="EM3" s="233"/>
      <c r="EN3" s="233"/>
      <c r="EO3" s="233"/>
      <c r="EP3" s="233"/>
      <c r="EQ3" s="233" t="s">
        <v>327</v>
      </c>
      <c r="ER3" s="233"/>
      <c r="ES3" s="233"/>
      <c r="ET3" s="233"/>
      <c r="EU3" s="233"/>
      <c r="EV3" s="233"/>
      <c r="EW3" s="233"/>
      <c r="EX3" s="233"/>
      <c r="EY3" s="233"/>
      <c r="EZ3" s="233"/>
      <c r="FA3" s="233"/>
      <c r="FB3" s="233"/>
      <c r="FC3" s="233"/>
      <c r="FD3" s="233"/>
      <c r="FE3" s="233"/>
      <c r="FF3" s="233"/>
      <c r="FG3" s="233"/>
      <c r="FH3" s="233" t="s">
        <v>327</v>
      </c>
      <c r="FI3" s="233"/>
      <c r="FJ3" s="233"/>
      <c r="FK3" s="233"/>
      <c r="FL3" s="233"/>
      <c r="FM3" s="233"/>
      <c r="FN3" s="233"/>
      <c r="FO3" s="233"/>
      <c r="FP3" s="233"/>
      <c r="FQ3" s="233"/>
      <c r="FR3" s="233"/>
      <c r="FS3" s="233"/>
      <c r="FT3" s="233"/>
      <c r="FU3" s="233"/>
      <c r="FV3" s="233"/>
      <c r="FW3" s="233"/>
      <c r="FX3" s="233"/>
      <c r="FY3" s="233" t="s">
        <v>327</v>
      </c>
      <c r="FZ3" s="233"/>
      <c r="GA3" s="233"/>
      <c r="GB3" s="233"/>
      <c r="GC3" s="233"/>
      <c r="GD3" s="233"/>
      <c r="GE3" s="233"/>
      <c r="GF3" s="233"/>
      <c r="GG3" s="233"/>
      <c r="GH3" s="233"/>
      <c r="GI3" s="233"/>
      <c r="GJ3" s="233"/>
      <c r="GK3" s="233"/>
      <c r="GL3" s="233"/>
      <c r="GM3" s="233"/>
      <c r="GN3" s="233"/>
      <c r="GO3" s="233"/>
      <c r="GP3" s="233" t="s">
        <v>327</v>
      </c>
      <c r="GQ3" s="233"/>
      <c r="GR3" s="233"/>
      <c r="GS3" s="233"/>
      <c r="GT3" s="233"/>
      <c r="GU3" s="233"/>
      <c r="GV3" s="233"/>
      <c r="GW3" s="233"/>
      <c r="GX3" s="233"/>
      <c r="GY3" s="233"/>
      <c r="GZ3" s="233"/>
      <c r="HA3" s="233"/>
      <c r="HB3" s="233"/>
      <c r="HC3" s="233"/>
      <c r="HD3" s="233"/>
      <c r="HE3" s="233"/>
      <c r="HF3" s="233"/>
      <c r="HG3" s="233" t="s">
        <v>327</v>
      </c>
      <c r="HH3" s="233"/>
      <c r="HI3" s="233"/>
      <c r="HJ3" s="233"/>
      <c r="HK3" s="233"/>
      <c r="HL3" s="233"/>
      <c r="HM3" s="233"/>
      <c r="HN3" s="233"/>
      <c r="HO3" s="233"/>
      <c r="HP3" s="233"/>
      <c r="HQ3" s="233"/>
      <c r="HR3" s="233"/>
      <c r="HS3" s="233"/>
      <c r="HT3" s="233"/>
      <c r="HU3" s="233"/>
      <c r="HV3" s="233"/>
      <c r="HW3" s="233"/>
      <c r="HX3" s="233" t="s">
        <v>328</v>
      </c>
      <c r="HY3" s="233"/>
      <c r="HZ3" s="233"/>
      <c r="IA3" s="233"/>
      <c r="IB3" s="233"/>
      <c r="IC3" s="233"/>
      <c r="ID3" s="233"/>
      <c r="IE3" s="233"/>
      <c r="IF3" s="233"/>
      <c r="IG3" s="233"/>
      <c r="IH3" s="233"/>
      <c r="II3" s="233"/>
      <c r="IJ3" s="233"/>
      <c r="IK3" s="233"/>
      <c r="IL3" s="233"/>
      <c r="IM3" s="233"/>
      <c r="IN3" s="233"/>
      <c r="IO3" s="233"/>
      <c r="IP3" s="233" t="s">
        <v>328</v>
      </c>
      <c r="IQ3" s="233"/>
      <c r="IR3" s="233"/>
      <c r="IS3" s="233"/>
      <c r="IT3" s="233"/>
      <c r="IU3" s="233"/>
      <c r="IV3" s="233"/>
      <c r="IW3" s="233"/>
      <c r="IX3" s="233"/>
      <c r="IY3" s="233"/>
      <c r="IZ3" s="233"/>
      <c r="JA3" s="233"/>
      <c r="JB3" s="233"/>
      <c r="JC3" s="233"/>
      <c r="JD3" s="233"/>
      <c r="JE3" s="233"/>
      <c r="JF3" s="233"/>
      <c r="JG3" s="233"/>
      <c r="JH3" s="233" t="s">
        <v>328</v>
      </c>
      <c r="JI3" s="233"/>
      <c r="JJ3" s="233"/>
      <c r="JK3" s="233"/>
      <c r="JL3" s="233"/>
      <c r="JM3" s="233"/>
      <c r="JN3" s="233"/>
      <c r="JO3" s="233"/>
      <c r="JP3" s="233"/>
      <c r="JQ3" s="233"/>
      <c r="JR3" s="233"/>
      <c r="JS3" s="233"/>
      <c r="JT3" s="233"/>
      <c r="JU3" s="233"/>
      <c r="JV3" s="233"/>
      <c r="JW3" s="233"/>
      <c r="JX3" s="233"/>
      <c r="JY3" s="233"/>
      <c r="JZ3" s="233" t="s">
        <v>328</v>
      </c>
      <c r="KA3" s="233"/>
      <c r="KB3" s="233"/>
      <c r="KC3" s="233"/>
      <c r="KD3" s="233"/>
      <c r="KE3" s="233"/>
      <c r="KF3" s="233"/>
      <c r="KG3" s="233"/>
      <c r="KH3" s="233"/>
      <c r="KI3" s="233"/>
      <c r="KJ3" s="233"/>
      <c r="KK3" s="233"/>
      <c r="KL3" s="233"/>
      <c r="KM3" s="233"/>
      <c r="KN3" s="233"/>
      <c r="KO3" s="233"/>
      <c r="KP3" s="233"/>
      <c r="KQ3" s="233"/>
      <c r="KR3" s="233" t="s">
        <v>328</v>
      </c>
      <c r="KS3" s="233"/>
      <c r="KT3" s="233"/>
      <c r="KU3" s="233"/>
      <c r="KV3" s="233"/>
      <c r="KW3" s="233"/>
      <c r="KX3" s="233"/>
      <c r="KY3" s="233"/>
      <c r="KZ3" s="233"/>
      <c r="LA3" s="233"/>
      <c r="LB3" s="233"/>
      <c r="LC3" s="233"/>
      <c r="LD3" s="233"/>
      <c r="LE3" s="233"/>
      <c r="LF3" s="233"/>
      <c r="LG3" s="233"/>
      <c r="LH3" s="233"/>
      <c r="LI3" s="233"/>
      <c r="LJ3" s="233" t="s">
        <v>328</v>
      </c>
      <c r="LK3" s="233"/>
      <c r="LL3" s="233"/>
      <c r="LM3" s="233"/>
      <c r="LN3" s="233"/>
      <c r="LO3" s="233"/>
      <c r="LP3" s="233"/>
      <c r="LQ3" s="233"/>
      <c r="LR3" s="233"/>
      <c r="LS3" s="233"/>
      <c r="LT3" s="233"/>
      <c r="LU3" s="233"/>
      <c r="LV3" s="233"/>
      <c r="LW3" s="233"/>
      <c r="LX3" s="233"/>
      <c r="LY3" s="233"/>
      <c r="LZ3" s="233"/>
      <c r="MA3" s="233"/>
      <c r="MB3" s="233" t="s">
        <v>328</v>
      </c>
      <c r="MC3" s="233"/>
      <c r="MD3" s="233"/>
      <c r="ME3" s="233"/>
      <c r="MF3" s="233"/>
      <c r="MG3" s="233"/>
      <c r="MH3" s="233"/>
      <c r="MI3" s="233"/>
      <c r="MJ3" s="233"/>
      <c r="MK3" s="233"/>
      <c r="ML3" s="233"/>
      <c r="MM3" s="233"/>
      <c r="MN3" s="233"/>
      <c r="MO3" s="233"/>
      <c r="MP3" s="233"/>
      <c r="MQ3" s="233"/>
      <c r="MR3" s="233"/>
      <c r="MS3" s="233"/>
      <c r="MT3" s="233" t="s">
        <v>328</v>
      </c>
      <c r="MU3" s="233"/>
      <c r="MV3" s="233"/>
      <c r="MW3" s="233"/>
      <c r="MX3" s="233"/>
      <c r="MY3" s="233"/>
      <c r="MZ3" s="233"/>
      <c r="NA3" s="233"/>
      <c r="NB3" s="233"/>
      <c r="NC3" s="233"/>
      <c r="ND3" s="233"/>
      <c r="NE3" s="233"/>
      <c r="NF3" s="233"/>
      <c r="NG3" s="233"/>
      <c r="NH3" s="233"/>
      <c r="NI3" s="233"/>
      <c r="NJ3" s="233"/>
      <c r="NK3" s="233"/>
      <c r="NL3" s="233" t="s">
        <v>329</v>
      </c>
      <c r="NM3" s="233"/>
      <c r="NN3" s="233"/>
      <c r="NO3" s="233"/>
      <c r="NP3" s="233"/>
      <c r="NQ3" s="233"/>
      <c r="NR3" s="233"/>
      <c r="NS3" s="233"/>
      <c r="NT3" s="233"/>
      <c r="NU3" s="233"/>
      <c r="NV3" s="233"/>
      <c r="NW3" s="233"/>
      <c r="NX3" s="233"/>
      <c r="NY3" s="233"/>
      <c r="NZ3" s="233"/>
      <c r="OA3" s="233"/>
      <c r="OB3" s="233"/>
      <c r="OC3" s="233" t="s">
        <v>329</v>
      </c>
      <c r="OD3" s="233"/>
      <c r="OE3" s="233"/>
      <c r="OF3" s="233"/>
      <c r="OG3" s="233"/>
      <c r="OH3" s="233"/>
      <c r="OI3" s="233"/>
      <c r="OJ3" s="233"/>
      <c r="OK3" s="233"/>
      <c r="OL3" s="233"/>
      <c r="OM3" s="233"/>
      <c r="ON3" s="233"/>
      <c r="OO3" s="233"/>
      <c r="OP3" s="233"/>
      <c r="OQ3" s="233"/>
      <c r="OR3" s="233"/>
      <c r="OS3" s="233"/>
      <c r="OT3" s="233"/>
      <c r="OU3" s="233" t="s">
        <v>329</v>
      </c>
      <c r="OV3" s="233"/>
      <c r="OW3" s="233"/>
      <c r="OX3" s="233"/>
      <c r="OY3" s="233"/>
      <c r="OZ3" s="233"/>
      <c r="PA3" s="233"/>
      <c r="PB3" s="233"/>
      <c r="PC3" s="233"/>
      <c r="PD3" s="233"/>
      <c r="PE3" s="233"/>
      <c r="PF3" s="233"/>
      <c r="PG3" s="233"/>
      <c r="PH3" s="233"/>
      <c r="PI3" s="233"/>
      <c r="PJ3" s="233"/>
      <c r="PK3" s="233"/>
      <c r="PL3" s="233"/>
      <c r="PM3" s="233" t="s">
        <v>329</v>
      </c>
      <c r="PN3" s="233"/>
      <c r="PO3" s="233"/>
      <c r="PP3" s="233"/>
      <c r="PQ3" s="233"/>
      <c r="PR3" s="233"/>
      <c r="PS3" s="233"/>
      <c r="PT3" s="233"/>
      <c r="PU3" s="233"/>
      <c r="PV3" s="233"/>
      <c r="PW3" s="233"/>
      <c r="PX3" s="233"/>
      <c r="PY3" s="233"/>
      <c r="PZ3" s="233"/>
      <c r="QA3" s="233"/>
      <c r="QB3" s="233"/>
      <c r="QC3" s="233"/>
      <c r="QD3" s="233"/>
      <c r="QE3" s="233" t="s">
        <v>329</v>
      </c>
      <c r="QF3" s="233"/>
      <c r="QG3" s="233"/>
      <c r="QH3" s="233"/>
      <c r="QI3" s="233"/>
      <c r="QJ3" s="233"/>
      <c r="QK3" s="233"/>
      <c r="QL3" s="233"/>
      <c r="QM3" s="233"/>
      <c r="QN3" s="233"/>
      <c r="QO3" s="233"/>
      <c r="QP3" s="233"/>
      <c r="QQ3" s="233"/>
      <c r="QR3" s="233"/>
      <c r="QS3" s="233"/>
      <c r="QT3" s="233"/>
      <c r="QU3" s="233"/>
      <c r="QV3" s="233"/>
      <c r="QW3" s="233" t="s">
        <v>329</v>
      </c>
      <c r="QX3" s="233"/>
      <c r="QY3" s="233"/>
      <c r="QZ3" s="233"/>
      <c r="RA3" s="233"/>
      <c r="RB3" s="233"/>
      <c r="RC3" s="233"/>
      <c r="RD3" s="233"/>
      <c r="RE3" s="233"/>
      <c r="RF3" s="233"/>
      <c r="RG3" s="233"/>
      <c r="RH3" s="233"/>
      <c r="RI3" s="233"/>
      <c r="RJ3" s="233"/>
      <c r="RK3" s="233"/>
      <c r="RL3" s="233"/>
      <c r="RM3" s="233"/>
      <c r="RN3" s="233"/>
      <c r="RO3" s="233" t="s">
        <v>329</v>
      </c>
      <c r="RP3" s="233"/>
      <c r="RQ3" s="233"/>
      <c r="RR3" s="233"/>
      <c r="RS3" s="233"/>
      <c r="RT3" s="233"/>
      <c r="RU3" s="233"/>
      <c r="RV3" s="233"/>
      <c r="RW3" s="233"/>
      <c r="RX3" s="233"/>
      <c r="RY3" s="233"/>
      <c r="RZ3" s="233"/>
      <c r="SA3" s="233"/>
      <c r="SB3" s="233"/>
      <c r="SC3" s="233"/>
      <c r="SD3" s="233"/>
      <c r="SE3" s="233"/>
      <c r="SF3" s="233"/>
      <c r="SG3" s="233" t="s">
        <v>615</v>
      </c>
      <c r="SH3" s="233"/>
      <c r="SI3" s="233"/>
      <c r="SJ3" s="233"/>
      <c r="SK3" s="233"/>
      <c r="SL3" s="233"/>
      <c r="SM3" s="233"/>
      <c r="SN3" s="233"/>
      <c r="SO3" s="233"/>
      <c r="SP3" s="233"/>
      <c r="SQ3" s="233"/>
      <c r="SR3" s="233"/>
      <c r="SS3" s="233"/>
      <c r="ST3" s="233"/>
      <c r="SU3" s="233"/>
      <c r="SV3" s="233"/>
      <c r="SW3" s="233"/>
      <c r="SX3" s="233"/>
      <c r="SY3" s="233" t="s">
        <v>615</v>
      </c>
      <c r="SZ3" s="233"/>
      <c r="TA3" s="233"/>
      <c r="TB3" s="233"/>
      <c r="TC3" s="233"/>
      <c r="TD3" s="233"/>
      <c r="TE3" s="233"/>
      <c r="TF3" s="233"/>
      <c r="TG3" s="233"/>
      <c r="TH3" s="233"/>
      <c r="TI3" s="233"/>
      <c r="TJ3" s="233"/>
      <c r="TK3" s="233"/>
      <c r="TL3" s="233"/>
      <c r="TM3" s="233"/>
      <c r="TN3" s="233"/>
      <c r="TO3" s="233"/>
      <c r="TP3" s="233"/>
      <c r="TQ3" s="233" t="s">
        <v>615</v>
      </c>
      <c r="TR3" s="233"/>
      <c r="TS3" s="233"/>
      <c r="TT3" s="233"/>
      <c r="TU3" s="233"/>
      <c r="TV3" s="233"/>
      <c r="TW3" s="233"/>
      <c r="TX3" s="233"/>
      <c r="TY3" s="233"/>
      <c r="TZ3" s="233"/>
      <c r="UA3" s="233"/>
      <c r="UB3" s="233"/>
      <c r="UC3" s="233"/>
      <c r="UD3" s="233"/>
      <c r="UE3" s="233"/>
      <c r="UF3" s="233"/>
      <c r="UG3" s="233"/>
      <c r="UH3" s="233"/>
      <c r="UI3" s="233" t="s">
        <v>448</v>
      </c>
      <c r="UJ3" s="233"/>
      <c r="UK3" s="233"/>
      <c r="UL3" s="233"/>
      <c r="UM3" s="233"/>
      <c r="UN3" s="233"/>
      <c r="UO3" s="233"/>
      <c r="UP3" s="233"/>
      <c r="UQ3" s="233"/>
      <c r="UR3" s="233" t="s">
        <v>331</v>
      </c>
      <c r="US3" s="233"/>
      <c r="UT3" s="233"/>
      <c r="UU3" s="233"/>
      <c r="UV3" s="233"/>
      <c r="UW3" s="233"/>
      <c r="UX3" s="233"/>
      <c r="UY3" s="233"/>
      <c r="UZ3" s="233"/>
      <c r="VA3" s="233"/>
      <c r="VB3" s="233"/>
      <c r="VC3" s="233"/>
      <c r="VD3" s="233"/>
      <c r="VE3" s="233"/>
      <c r="VF3" s="233"/>
      <c r="VG3" s="233"/>
      <c r="VH3" s="233"/>
      <c r="VI3" s="233"/>
      <c r="VJ3" s="233" t="s">
        <v>332</v>
      </c>
      <c r="VK3" s="233"/>
      <c r="VL3" s="233"/>
      <c r="VM3" s="233"/>
      <c r="VN3" s="233"/>
      <c r="VO3" s="233"/>
      <c r="VP3" s="233"/>
      <c r="VQ3" s="233"/>
      <c r="VR3" s="233"/>
      <c r="VS3" s="233"/>
      <c r="VT3" s="233"/>
      <c r="VU3" s="233"/>
      <c r="VV3" s="233"/>
      <c r="VW3" s="233"/>
      <c r="VX3" s="233"/>
      <c r="VY3" s="233" t="s">
        <v>333</v>
      </c>
      <c r="VZ3" s="233"/>
      <c r="WA3" s="233"/>
      <c r="WB3" s="233"/>
      <c r="WC3" s="233"/>
      <c r="WD3" s="233"/>
      <c r="WE3" s="233"/>
      <c r="WF3" s="233"/>
      <c r="WG3" s="233"/>
      <c r="WH3" s="233" t="s">
        <v>416</v>
      </c>
      <c r="WI3" s="233"/>
      <c r="WJ3" s="233"/>
      <c r="WK3" s="233"/>
      <c r="WL3" s="233"/>
      <c r="WM3" s="233"/>
      <c r="WN3" s="233"/>
      <c r="WO3" s="233"/>
      <c r="WP3" s="233"/>
      <c r="WQ3" s="233"/>
      <c r="WR3" s="233"/>
      <c r="WS3" s="233" t="s">
        <v>416</v>
      </c>
      <c r="WT3" s="233"/>
      <c r="WU3" s="233"/>
      <c r="WV3" s="233"/>
      <c r="WW3" s="233"/>
      <c r="WX3" s="233"/>
      <c r="WY3" s="233"/>
      <c r="WZ3" s="233"/>
      <c r="XA3" s="233"/>
      <c r="XB3" s="233"/>
      <c r="XC3" s="233"/>
      <c r="XD3" s="233" t="s">
        <v>416</v>
      </c>
      <c r="XE3" s="233"/>
      <c r="XF3" s="233"/>
      <c r="XG3" s="233"/>
      <c r="XH3" s="233"/>
      <c r="XI3" s="233"/>
      <c r="XJ3" s="233"/>
      <c r="XK3" s="233"/>
      <c r="XL3" s="233"/>
      <c r="XM3" s="233"/>
      <c r="XN3" s="233"/>
      <c r="XO3" s="233" t="s">
        <v>416</v>
      </c>
      <c r="XP3" s="233"/>
      <c r="XQ3" s="233"/>
      <c r="XR3" s="233"/>
      <c r="XS3" s="233"/>
      <c r="XT3" s="233"/>
      <c r="XU3" s="233"/>
      <c r="XV3" s="233"/>
      <c r="XW3" s="233"/>
      <c r="XX3" s="233"/>
      <c r="XY3" s="233"/>
      <c r="XZ3" s="233" t="s">
        <v>334</v>
      </c>
      <c r="YA3" s="233"/>
      <c r="YB3" s="233"/>
      <c r="YC3" s="233"/>
      <c r="YD3" s="233"/>
      <c r="YE3" s="233"/>
      <c r="YF3" s="233"/>
      <c r="YG3" s="233"/>
      <c r="YH3" s="233"/>
      <c r="YI3" s="233"/>
      <c r="YJ3" s="233"/>
      <c r="YK3" s="233" t="s">
        <v>335</v>
      </c>
      <c r="YL3" s="233"/>
      <c r="YM3" s="233"/>
      <c r="YN3" s="233"/>
      <c r="YO3" s="233"/>
      <c r="YP3" s="233"/>
      <c r="YQ3" s="233"/>
      <c r="YR3" s="233"/>
      <c r="YS3" s="233"/>
      <c r="YT3" s="233"/>
      <c r="YU3" s="233"/>
      <c r="YV3" s="233" t="s">
        <v>336</v>
      </c>
      <c r="YW3" s="233"/>
      <c r="YX3" s="233"/>
      <c r="YY3" s="233"/>
      <c r="YZ3" s="233"/>
      <c r="ZA3" s="233"/>
      <c r="ZB3" s="233"/>
      <c r="ZC3" s="233"/>
      <c r="ZD3" s="233"/>
      <c r="ZE3" s="233"/>
      <c r="ZF3" s="233"/>
      <c r="ZG3" s="233"/>
      <c r="ZH3" s="233"/>
      <c r="ZI3" s="233"/>
      <c r="ZJ3" s="233"/>
      <c r="ZK3" s="233"/>
      <c r="ZL3" s="233"/>
      <c r="ZM3" s="233"/>
      <c r="ZN3" s="233" t="s">
        <v>336</v>
      </c>
      <c r="ZO3" s="233"/>
      <c r="ZP3" s="233"/>
      <c r="ZQ3" s="233"/>
      <c r="ZR3" s="233"/>
      <c r="ZS3" s="233"/>
      <c r="ZT3" s="233"/>
      <c r="ZU3" s="233"/>
      <c r="ZV3" s="233"/>
      <c r="ZW3" s="233" t="s">
        <v>616</v>
      </c>
      <c r="ZX3" s="233"/>
      <c r="ZY3" s="233"/>
      <c r="ZZ3" s="233"/>
      <c r="AAA3" s="233"/>
      <c r="AAB3" s="233"/>
      <c r="AAC3" s="233"/>
      <c r="AAD3" s="233"/>
      <c r="AAE3" s="233"/>
      <c r="AAF3" s="233"/>
      <c r="AAG3" s="233"/>
      <c r="AAH3" s="233"/>
      <c r="AAI3" s="233"/>
      <c r="AAJ3" s="233"/>
      <c r="AAK3" s="233"/>
      <c r="AAL3" s="233"/>
      <c r="AAM3" s="233"/>
      <c r="AAN3" s="233"/>
      <c r="AAO3" s="233"/>
      <c r="AAP3" s="233"/>
      <c r="AAQ3" s="233"/>
      <c r="AAR3" s="233"/>
      <c r="AAS3" s="233"/>
      <c r="AAT3" s="233"/>
      <c r="AAU3" s="233"/>
      <c r="AAV3" s="233"/>
      <c r="AAW3" s="233"/>
      <c r="AAX3" s="233"/>
      <c r="AAY3" s="233" t="s">
        <v>617</v>
      </c>
      <c r="AAZ3" s="233"/>
      <c r="ABA3" s="233"/>
      <c r="ABB3" s="233"/>
      <c r="ABC3" s="233"/>
      <c r="ABD3" s="233"/>
      <c r="ABE3" s="233"/>
      <c r="ABF3" s="233"/>
      <c r="ABG3" s="233"/>
      <c r="ABH3" s="233"/>
      <c r="ABI3" s="233"/>
      <c r="ABJ3" s="233"/>
      <c r="ABK3" s="233"/>
      <c r="ABL3" s="233"/>
      <c r="ABM3" s="233"/>
      <c r="ABN3" s="233"/>
      <c r="ABO3" s="233"/>
      <c r="ABP3" s="233"/>
      <c r="ABQ3" s="233" t="s">
        <v>339</v>
      </c>
      <c r="ABR3" s="233"/>
      <c r="ABS3" s="233"/>
      <c r="ABT3" s="233"/>
      <c r="ABU3" s="233"/>
      <c r="ABV3" s="233"/>
      <c r="ABW3" s="233"/>
      <c r="ABX3" s="233"/>
      <c r="ABY3" s="233"/>
      <c r="ABZ3" s="233"/>
      <c r="ACA3" s="233"/>
      <c r="ACB3" s="233"/>
      <c r="ACC3" s="233"/>
      <c r="ACD3" s="233"/>
      <c r="ACE3" s="233"/>
      <c r="ACF3" s="233"/>
      <c r="ACG3" s="233"/>
      <c r="ACH3" s="233" t="s">
        <v>340</v>
      </c>
      <c r="ACI3" s="233"/>
      <c r="ACJ3" s="233"/>
      <c r="ACK3" s="233"/>
      <c r="ACL3" s="233"/>
      <c r="ACM3" s="233"/>
      <c r="ACN3" s="233"/>
      <c r="ACO3" s="233"/>
      <c r="ACP3" s="233"/>
      <c r="ACQ3" s="233"/>
      <c r="ACR3" s="233"/>
      <c r="ACS3" s="233"/>
      <c r="ACT3" s="233" t="s">
        <v>341</v>
      </c>
      <c r="ACU3" s="233"/>
      <c r="ACV3" s="233"/>
      <c r="ACW3" s="233"/>
      <c r="ACX3" s="233"/>
      <c r="ACY3" s="233"/>
      <c r="ACZ3" s="233"/>
      <c r="ADA3" s="233"/>
      <c r="ADB3" s="233"/>
      <c r="ADC3" s="233"/>
      <c r="ADD3" s="233"/>
      <c r="ADE3" s="233"/>
      <c r="ADF3" s="233"/>
      <c r="ADG3" s="233"/>
    </row>
    <row r="4" spans="1:787" ht="56.25" x14ac:dyDescent="0.25">
      <c r="D4" s="44"/>
      <c r="I4" s="233" t="s">
        <v>592</v>
      </c>
      <c r="J4" s="233"/>
      <c r="K4" s="45"/>
      <c r="L4" s="46"/>
      <c r="M4" s="45"/>
      <c r="N4" s="45"/>
      <c r="O4" s="47"/>
      <c r="P4" s="48"/>
      <c r="Q4" s="45"/>
      <c r="R4" s="45"/>
      <c r="S4" s="45"/>
      <c r="T4" s="45"/>
      <c r="U4" s="233" t="s">
        <v>342</v>
      </c>
      <c r="V4" s="233"/>
      <c r="W4" s="45"/>
      <c r="X4" s="45"/>
      <c r="Y4" s="45"/>
      <c r="Z4" s="45"/>
      <c r="AA4" s="47"/>
      <c r="AB4" s="45"/>
      <c r="AC4" s="45"/>
      <c r="AD4" s="45"/>
      <c r="AE4" s="45"/>
      <c r="AF4" s="45"/>
      <c r="AG4" s="233" t="s">
        <v>343</v>
      </c>
      <c r="AH4" s="233"/>
      <c r="AI4" s="45"/>
      <c r="AJ4" s="45"/>
      <c r="AK4" s="45"/>
      <c r="AL4" s="45"/>
      <c r="AM4" s="45"/>
      <c r="AN4" s="45"/>
      <c r="AO4" s="45"/>
      <c r="AP4" s="45"/>
      <c r="AQ4" s="45"/>
      <c r="AR4" s="45" t="s">
        <v>344</v>
      </c>
      <c r="AS4" s="45" t="s">
        <v>345</v>
      </c>
      <c r="AT4" s="45" t="s">
        <v>346</v>
      </c>
      <c r="AU4" s="45" t="s">
        <v>347</v>
      </c>
      <c r="AV4" s="45" t="s">
        <v>348</v>
      </c>
      <c r="AW4" s="45" t="s">
        <v>349</v>
      </c>
      <c r="AX4" s="45" t="s">
        <v>350</v>
      </c>
      <c r="AY4" s="45" t="s">
        <v>351</v>
      </c>
      <c r="AZ4" s="45" t="s">
        <v>352</v>
      </c>
      <c r="BA4" s="45" t="s">
        <v>391</v>
      </c>
      <c r="BB4" s="45"/>
      <c r="BC4" s="45"/>
      <c r="BD4" s="45" t="s">
        <v>344</v>
      </c>
      <c r="BE4" s="45" t="s">
        <v>346</v>
      </c>
      <c r="BF4" s="45" t="s">
        <v>348</v>
      </c>
      <c r="BG4" s="45" t="s">
        <v>352</v>
      </c>
      <c r="BH4" s="45" t="s">
        <v>345</v>
      </c>
      <c r="BI4" s="45" t="s">
        <v>351</v>
      </c>
      <c r="BJ4" s="45" t="s">
        <v>347</v>
      </c>
      <c r="BK4" s="45" t="s">
        <v>349</v>
      </c>
      <c r="BL4" s="45" t="s">
        <v>350</v>
      </c>
      <c r="BM4" s="45" t="s">
        <v>391</v>
      </c>
      <c r="BN4" s="45"/>
      <c r="BO4" s="45"/>
      <c r="BP4" s="45"/>
      <c r="BQ4" s="45"/>
      <c r="BR4" s="45"/>
      <c r="BS4" s="45" t="s">
        <v>353</v>
      </c>
      <c r="BT4" s="45" t="s">
        <v>354</v>
      </c>
      <c r="BU4" s="45" t="s">
        <v>355</v>
      </c>
      <c r="BV4" s="45" t="s">
        <v>356</v>
      </c>
      <c r="BW4" s="45" t="s">
        <v>357</v>
      </c>
      <c r="BX4" s="45" t="s">
        <v>391</v>
      </c>
      <c r="BY4" s="45"/>
      <c r="BZ4" s="45"/>
      <c r="CA4" s="45" t="s">
        <v>353</v>
      </c>
      <c r="CB4" s="45" t="s">
        <v>356</v>
      </c>
      <c r="CC4" s="45" t="s">
        <v>355</v>
      </c>
      <c r="CD4" s="45" t="s">
        <v>354</v>
      </c>
      <c r="CE4" s="45" t="s">
        <v>357</v>
      </c>
      <c r="CF4" s="45" t="s">
        <v>391</v>
      </c>
      <c r="CG4" s="45"/>
      <c r="CH4" s="45"/>
      <c r="CI4" s="45"/>
      <c r="CJ4" s="45"/>
      <c r="CK4" s="45"/>
      <c r="CL4" s="45" t="s">
        <v>358</v>
      </c>
      <c r="CM4" s="45"/>
      <c r="CN4" s="45"/>
      <c r="CO4" s="45"/>
      <c r="CP4" s="45"/>
      <c r="CQ4" s="45"/>
      <c r="CR4" s="45"/>
      <c r="CS4" s="45"/>
      <c r="CT4" s="45"/>
      <c r="CU4" s="45" t="s">
        <v>359</v>
      </c>
      <c r="CV4" s="45"/>
      <c r="CW4" s="45"/>
      <c r="CX4" s="45"/>
      <c r="CY4" s="45"/>
      <c r="CZ4" s="233" t="s">
        <v>360</v>
      </c>
      <c r="DA4" s="233"/>
      <c r="DB4" s="233"/>
      <c r="DC4" s="233"/>
      <c r="DD4" s="233"/>
      <c r="DE4" s="233"/>
      <c r="DF4" s="233"/>
      <c r="DG4" s="233"/>
      <c r="DH4" s="233"/>
      <c r="DI4" s="233" t="s">
        <v>361</v>
      </c>
      <c r="DJ4" s="233"/>
      <c r="DK4" s="233"/>
      <c r="DL4" s="233"/>
      <c r="DM4" s="233"/>
      <c r="DN4" s="233"/>
      <c r="DO4" s="233"/>
      <c r="DP4" s="233"/>
      <c r="DQ4" s="233"/>
      <c r="DR4" s="233"/>
      <c r="DS4" s="233"/>
      <c r="DT4" s="233"/>
      <c r="DU4" s="233"/>
      <c r="DV4" s="233"/>
      <c r="DW4" s="233"/>
      <c r="DX4" s="233"/>
      <c r="DY4" s="233"/>
      <c r="DZ4" s="233" t="s">
        <v>362</v>
      </c>
      <c r="EA4" s="233"/>
      <c r="EB4" s="233"/>
      <c r="EC4" s="233"/>
      <c r="ED4" s="233"/>
      <c r="EE4" s="233"/>
      <c r="EF4" s="233"/>
      <c r="EG4" s="233"/>
      <c r="EH4" s="233"/>
      <c r="EI4" s="233"/>
      <c r="EJ4" s="233"/>
      <c r="EK4" s="233"/>
      <c r="EL4" s="233"/>
      <c r="EM4" s="233"/>
      <c r="EN4" s="233"/>
      <c r="EO4" s="233"/>
      <c r="EP4" s="233"/>
      <c r="EQ4" s="233" t="s">
        <v>363</v>
      </c>
      <c r="ER4" s="233"/>
      <c r="ES4" s="233"/>
      <c r="ET4" s="233"/>
      <c r="EU4" s="233"/>
      <c r="EV4" s="233"/>
      <c r="EW4" s="233"/>
      <c r="EX4" s="233"/>
      <c r="EY4" s="233"/>
      <c r="EZ4" s="233"/>
      <c r="FA4" s="233"/>
      <c r="FB4" s="233"/>
      <c r="FC4" s="233"/>
      <c r="FD4" s="233"/>
      <c r="FE4" s="233"/>
      <c r="FF4" s="233"/>
      <c r="FG4" s="233"/>
      <c r="FH4" s="233" t="s">
        <v>364</v>
      </c>
      <c r="FI4" s="233"/>
      <c r="FJ4" s="233"/>
      <c r="FK4" s="233"/>
      <c r="FL4" s="233"/>
      <c r="FM4" s="233"/>
      <c r="FN4" s="233"/>
      <c r="FO4" s="233"/>
      <c r="FP4" s="233"/>
      <c r="FQ4" s="233"/>
      <c r="FR4" s="233"/>
      <c r="FS4" s="233"/>
      <c r="FT4" s="233"/>
      <c r="FU4" s="233"/>
      <c r="FV4" s="233"/>
      <c r="FW4" s="233"/>
      <c r="FX4" s="233"/>
      <c r="FY4" s="233" t="s">
        <v>365</v>
      </c>
      <c r="FZ4" s="233"/>
      <c r="GA4" s="233"/>
      <c r="GB4" s="233"/>
      <c r="GC4" s="233"/>
      <c r="GD4" s="233"/>
      <c r="GE4" s="233"/>
      <c r="GF4" s="233"/>
      <c r="GG4" s="233"/>
      <c r="GH4" s="233"/>
      <c r="GI4" s="233"/>
      <c r="GJ4" s="233"/>
      <c r="GK4" s="233"/>
      <c r="GL4" s="233"/>
      <c r="GM4" s="233"/>
      <c r="GN4" s="233"/>
      <c r="GO4" s="233"/>
      <c r="GP4" s="233" t="s">
        <v>366</v>
      </c>
      <c r="GQ4" s="233"/>
      <c r="GR4" s="233"/>
      <c r="GS4" s="233"/>
      <c r="GT4" s="233"/>
      <c r="GU4" s="233"/>
      <c r="GV4" s="233"/>
      <c r="GW4" s="233"/>
      <c r="GX4" s="233"/>
      <c r="GY4" s="233"/>
      <c r="GZ4" s="233"/>
      <c r="HA4" s="233"/>
      <c r="HB4" s="233"/>
      <c r="HC4" s="233"/>
      <c r="HD4" s="233"/>
      <c r="HE4" s="233"/>
      <c r="HF4" s="233"/>
      <c r="HG4" s="233" t="s">
        <v>367</v>
      </c>
      <c r="HH4" s="233"/>
      <c r="HI4" s="233"/>
      <c r="HJ4" s="233"/>
      <c r="HK4" s="233"/>
      <c r="HL4" s="233"/>
      <c r="HM4" s="233"/>
      <c r="HN4" s="233"/>
      <c r="HO4" s="233"/>
      <c r="HP4" s="233"/>
      <c r="HQ4" s="233"/>
      <c r="HR4" s="233"/>
      <c r="HS4" s="233"/>
      <c r="HT4" s="233"/>
      <c r="HU4" s="233"/>
      <c r="HV4" s="233"/>
      <c r="HW4" s="233"/>
      <c r="HX4" s="233" t="s">
        <v>368</v>
      </c>
      <c r="HY4" s="233"/>
      <c r="HZ4" s="233"/>
      <c r="IA4" s="233"/>
      <c r="IB4" s="233"/>
      <c r="IC4" s="233"/>
      <c r="ID4" s="233"/>
      <c r="IE4" s="233"/>
      <c r="IF4" s="233"/>
      <c r="IG4" s="233"/>
      <c r="IH4" s="233"/>
      <c r="II4" s="233"/>
      <c r="IJ4" s="233"/>
      <c r="IK4" s="233"/>
      <c r="IL4" s="233"/>
      <c r="IM4" s="233"/>
      <c r="IN4" s="233"/>
      <c r="IO4" s="233"/>
      <c r="IP4" s="233" t="s">
        <v>369</v>
      </c>
      <c r="IQ4" s="233"/>
      <c r="IR4" s="233"/>
      <c r="IS4" s="233"/>
      <c r="IT4" s="233"/>
      <c r="IU4" s="233"/>
      <c r="IV4" s="233"/>
      <c r="IW4" s="233"/>
      <c r="IX4" s="233"/>
      <c r="IY4" s="233"/>
      <c r="IZ4" s="233"/>
      <c r="JA4" s="233"/>
      <c r="JB4" s="233"/>
      <c r="JC4" s="233"/>
      <c r="JD4" s="233"/>
      <c r="JE4" s="233"/>
      <c r="JF4" s="233"/>
      <c r="JG4" s="233"/>
      <c r="JH4" s="233" t="s">
        <v>370</v>
      </c>
      <c r="JI4" s="233"/>
      <c r="JJ4" s="233"/>
      <c r="JK4" s="233"/>
      <c r="JL4" s="233"/>
      <c r="JM4" s="233"/>
      <c r="JN4" s="233"/>
      <c r="JO4" s="233"/>
      <c r="JP4" s="233"/>
      <c r="JQ4" s="233"/>
      <c r="JR4" s="233"/>
      <c r="JS4" s="233"/>
      <c r="JT4" s="233"/>
      <c r="JU4" s="233"/>
      <c r="JV4" s="233"/>
      <c r="JW4" s="233"/>
      <c r="JX4" s="233"/>
      <c r="JY4" s="233"/>
      <c r="JZ4" s="233" t="s">
        <v>371</v>
      </c>
      <c r="KA4" s="233"/>
      <c r="KB4" s="233"/>
      <c r="KC4" s="233"/>
      <c r="KD4" s="233"/>
      <c r="KE4" s="233"/>
      <c r="KF4" s="233"/>
      <c r="KG4" s="233"/>
      <c r="KH4" s="233"/>
      <c r="KI4" s="233"/>
      <c r="KJ4" s="233"/>
      <c r="KK4" s="233"/>
      <c r="KL4" s="233"/>
      <c r="KM4" s="233"/>
      <c r="KN4" s="233"/>
      <c r="KO4" s="233"/>
      <c r="KP4" s="233"/>
      <c r="KQ4" s="233"/>
      <c r="KR4" s="233" t="s">
        <v>372</v>
      </c>
      <c r="KS4" s="233"/>
      <c r="KT4" s="233"/>
      <c r="KU4" s="233"/>
      <c r="KV4" s="233"/>
      <c r="KW4" s="233"/>
      <c r="KX4" s="233"/>
      <c r="KY4" s="233"/>
      <c r="KZ4" s="233"/>
      <c r="LA4" s="233"/>
      <c r="LB4" s="233"/>
      <c r="LC4" s="233"/>
      <c r="LD4" s="233"/>
      <c r="LE4" s="233"/>
      <c r="LF4" s="233"/>
      <c r="LG4" s="233"/>
      <c r="LH4" s="233"/>
      <c r="LI4" s="233"/>
      <c r="LJ4" s="233" t="s">
        <v>373</v>
      </c>
      <c r="LK4" s="233"/>
      <c r="LL4" s="233"/>
      <c r="LM4" s="233"/>
      <c r="LN4" s="233"/>
      <c r="LO4" s="233"/>
      <c r="LP4" s="233"/>
      <c r="LQ4" s="233"/>
      <c r="LR4" s="233"/>
      <c r="LS4" s="233"/>
      <c r="LT4" s="233"/>
      <c r="LU4" s="233"/>
      <c r="LV4" s="233"/>
      <c r="LW4" s="233"/>
      <c r="LX4" s="233"/>
      <c r="LY4" s="233"/>
      <c r="LZ4" s="233"/>
      <c r="MA4" s="233"/>
      <c r="MB4" s="233" t="s">
        <v>374</v>
      </c>
      <c r="MC4" s="233"/>
      <c r="MD4" s="233"/>
      <c r="ME4" s="233"/>
      <c r="MF4" s="233"/>
      <c r="MG4" s="233"/>
      <c r="MH4" s="233"/>
      <c r="MI4" s="233"/>
      <c r="MJ4" s="233"/>
      <c r="MK4" s="233"/>
      <c r="ML4" s="233"/>
      <c r="MM4" s="233"/>
      <c r="MN4" s="233"/>
      <c r="MO4" s="233"/>
      <c r="MP4" s="233"/>
      <c r="MQ4" s="233"/>
      <c r="MR4" s="233"/>
      <c r="MS4" s="233"/>
      <c r="MT4" s="233" t="s">
        <v>375</v>
      </c>
      <c r="MU4" s="233"/>
      <c r="MV4" s="233"/>
      <c r="MW4" s="233"/>
      <c r="MX4" s="233"/>
      <c r="MY4" s="233"/>
      <c r="MZ4" s="233"/>
      <c r="NA4" s="233"/>
      <c r="NB4" s="233"/>
      <c r="NC4" s="233"/>
      <c r="ND4" s="233"/>
      <c r="NE4" s="233"/>
      <c r="NF4" s="233"/>
      <c r="NG4" s="233"/>
      <c r="NH4" s="233"/>
      <c r="NI4" s="233"/>
      <c r="NJ4" s="233"/>
      <c r="NK4" s="233"/>
      <c r="NL4" s="233" t="s">
        <v>376</v>
      </c>
      <c r="NM4" s="233"/>
      <c r="NN4" s="233"/>
      <c r="NO4" s="233"/>
      <c r="NP4" s="233"/>
      <c r="NQ4" s="233"/>
      <c r="NR4" s="233"/>
      <c r="NS4" s="233"/>
      <c r="NT4" s="233"/>
      <c r="NU4" s="233"/>
      <c r="NV4" s="233"/>
      <c r="NW4" s="233"/>
      <c r="NX4" s="233"/>
      <c r="NY4" s="233"/>
      <c r="NZ4" s="233"/>
      <c r="OA4" s="233"/>
      <c r="OB4" s="233"/>
      <c r="OC4" s="233" t="s">
        <v>377</v>
      </c>
      <c r="OD4" s="233"/>
      <c r="OE4" s="233"/>
      <c r="OF4" s="233"/>
      <c r="OG4" s="233"/>
      <c r="OH4" s="233"/>
      <c r="OI4" s="233"/>
      <c r="OJ4" s="233"/>
      <c r="OK4" s="233"/>
      <c r="OL4" s="233"/>
      <c r="OM4" s="233"/>
      <c r="ON4" s="233"/>
      <c r="OO4" s="233"/>
      <c r="OP4" s="233"/>
      <c r="OQ4" s="233"/>
      <c r="OR4" s="233"/>
      <c r="OS4" s="233"/>
      <c r="OT4" s="233"/>
      <c r="OU4" s="233" t="s">
        <v>378</v>
      </c>
      <c r="OV4" s="233"/>
      <c r="OW4" s="233"/>
      <c r="OX4" s="233"/>
      <c r="OY4" s="233"/>
      <c r="OZ4" s="233"/>
      <c r="PA4" s="233"/>
      <c r="PB4" s="233"/>
      <c r="PC4" s="233"/>
      <c r="PD4" s="233"/>
      <c r="PE4" s="233"/>
      <c r="PF4" s="233"/>
      <c r="PG4" s="233"/>
      <c r="PH4" s="233"/>
      <c r="PI4" s="233"/>
      <c r="PJ4" s="233"/>
      <c r="PK4" s="233"/>
      <c r="PL4" s="233"/>
      <c r="PM4" s="233" t="s">
        <v>379</v>
      </c>
      <c r="PN4" s="233"/>
      <c r="PO4" s="233"/>
      <c r="PP4" s="233"/>
      <c r="PQ4" s="233"/>
      <c r="PR4" s="233"/>
      <c r="PS4" s="233"/>
      <c r="PT4" s="233"/>
      <c r="PU4" s="233"/>
      <c r="PV4" s="233"/>
      <c r="PW4" s="233"/>
      <c r="PX4" s="233"/>
      <c r="PY4" s="233"/>
      <c r="PZ4" s="233"/>
      <c r="QA4" s="233"/>
      <c r="QB4" s="233"/>
      <c r="QC4" s="233"/>
      <c r="QD4" s="233"/>
      <c r="QE4" s="233" t="s">
        <v>380</v>
      </c>
      <c r="QF4" s="233"/>
      <c r="QG4" s="233"/>
      <c r="QH4" s="233"/>
      <c r="QI4" s="233"/>
      <c r="QJ4" s="233"/>
      <c r="QK4" s="233"/>
      <c r="QL4" s="233"/>
      <c r="QM4" s="233"/>
      <c r="QN4" s="233"/>
      <c r="QO4" s="233"/>
      <c r="QP4" s="233"/>
      <c r="QQ4" s="233"/>
      <c r="QR4" s="233"/>
      <c r="QS4" s="233"/>
      <c r="QT4" s="233"/>
      <c r="QU4" s="233"/>
      <c r="QV4" s="233"/>
      <c r="QW4" s="233" t="s">
        <v>381</v>
      </c>
      <c r="QX4" s="233"/>
      <c r="QY4" s="233"/>
      <c r="QZ4" s="233"/>
      <c r="RA4" s="233"/>
      <c r="RB4" s="233"/>
      <c r="RC4" s="233"/>
      <c r="RD4" s="233"/>
      <c r="RE4" s="233"/>
      <c r="RF4" s="233"/>
      <c r="RG4" s="233"/>
      <c r="RH4" s="233"/>
      <c r="RI4" s="233"/>
      <c r="RJ4" s="233"/>
      <c r="RK4" s="233"/>
      <c r="RL4" s="233"/>
      <c r="RM4" s="233"/>
      <c r="RN4" s="233"/>
      <c r="RO4" s="233" t="s">
        <v>382</v>
      </c>
      <c r="RP4" s="233"/>
      <c r="RQ4" s="233"/>
      <c r="RR4" s="233"/>
      <c r="RS4" s="233"/>
      <c r="RT4" s="233"/>
      <c r="RU4" s="233"/>
      <c r="RV4" s="233"/>
      <c r="RW4" s="233"/>
      <c r="RX4" s="233"/>
      <c r="RY4" s="233"/>
      <c r="RZ4" s="233"/>
      <c r="SA4" s="233"/>
      <c r="SB4" s="233"/>
      <c r="SC4" s="233"/>
      <c r="SD4" s="233"/>
      <c r="SE4" s="233"/>
      <c r="SF4" s="233"/>
      <c r="SG4" s="233" t="s">
        <v>383</v>
      </c>
      <c r="SH4" s="233"/>
      <c r="SI4" s="233"/>
      <c r="SJ4" s="233"/>
      <c r="SK4" s="233"/>
      <c r="SL4" s="233"/>
      <c r="SM4" s="233"/>
      <c r="SN4" s="233"/>
      <c r="SO4" s="233"/>
      <c r="SP4" s="233"/>
      <c r="SQ4" s="233"/>
      <c r="SR4" s="233"/>
      <c r="SS4" s="233"/>
      <c r="ST4" s="233"/>
      <c r="SU4" s="233"/>
      <c r="SV4" s="233"/>
      <c r="SW4" s="233"/>
      <c r="SX4" s="233"/>
      <c r="SY4" s="233" t="s">
        <v>384</v>
      </c>
      <c r="SZ4" s="233"/>
      <c r="TA4" s="233"/>
      <c r="TB4" s="233"/>
      <c r="TC4" s="233"/>
      <c r="TD4" s="233"/>
      <c r="TE4" s="233"/>
      <c r="TF4" s="233"/>
      <c r="TG4" s="233"/>
      <c r="TH4" s="233"/>
      <c r="TI4" s="233"/>
      <c r="TJ4" s="233"/>
      <c r="TK4" s="233"/>
      <c r="TL4" s="233"/>
      <c r="TM4" s="233"/>
      <c r="TN4" s="233"/>
      <c r="TO4" s="233"/>
      <c r="TP4" s="233"/>
      <c r="TQ4" s="233" t="s">
        <v>385</v>
      </c>
      <c r="TR4" s="233"/>
      <c r="TS4" s="233"/>
      <c r="TT4" s="233"/>
      <c r="TU4" s="233"/>
      <c r="TV4" s="233"/>
      <c r="TW4" s="233"/>
      <c r="TX4" s="233"/>
      <c r="TY4" s="233"/>
      <c r="TZ4" s="233"/>
      <c r="UA4" s="233"/>
      <c r="UB4" s="233"/>
      <c r="UC4" s="233"/>
      <c r="UD4" s="233"/>
      <c r="UE4" s="233"/>
      <c r="UF4" s="233"/>
      <c r="UG4" s="233"/>
      <c r="UH4" s="233"/>
      <c r="UI4" s="233" t="s">
        <v>386</v>
      </c>
      <c r="UJ4" s="233"/>
      <c r="UK4" s="233"/>
      <c r="UL4" s="233"/>
      <c r="UM4" s="233"/>
      <c r="UN4" s="233"/>
      <c r="UO4" s="233"/>
      <c r="UP4" s="233"/>
      <c r="UQ4" s="233"/>
      <c r="UR4" s="45"/>
      <c r="US4" s="45"/>
      <c r="UT4" s="45"/>
      <c r="UU4" s="45"/>
      <c r="UV4" s="45"/>
      <c r="UW4" s="45" t="s">
        <v>406</v>
      </c>
      <c r="UX4" s="45" t="s">
        <v>407</v>
      </c>
      <c r="UY4" s="45" t="s">
        <v>408</v>
      </c>
      <c r="UZ4" s="45" t="s">
        <v>409</v>
      </c>
      <c r="VA4" s="45" t="s">
        <v>391</v>
      </c>
      <c r="VB4" s="45"/>
      <c r="VC4" s="45"/>
      <c r="VD4" s="45" t="s">
        <v>406</v>
      </c>
      <c r="VE4" s="45" t="s">
        <v>407</v>
      </c>
      <c r="VF4" s="45" t="s">
        <v>408</v>
      </c>
      <c r="VG4" s="45" t="s">
        <v>409</v>
      </c>
      <c r="VH4" s="45" t="s">
        <v>391</v>
      </c>
      <c r="VI4" s="45"/>
      <c r="VJ4" s="45"/>
      <c r="VK4" s="45"/>
      <c r="VL4" s="45"/>
      <c r="VM4" s="45"/>
      <c r="VN4" s="45" t="s">
        <v>410</v>
      </c>
      <c r="VO4" s="45" t="s">
        <v>411</v>
      </c>
      <c r="VP4" s="45" t="s">
        <v>412</v>
      </c>
      <c r="VQ4" s="45" t="s">
        <v>391</v>
      </c>
      <c r="VR4" s="45"/>
      <c r="VS4" s="45"/>
      <c r="VT4" s="45" t="s">
        <v>410</v>
      </c>
      <c r="VU4" s="45" t="s">
        <v>411</v>
      </c>
      <c r="VV4" s="45" t="s">
        <v>412</v>
      </c>
      <c r="VW4" s="45" t="s">
        <v>391</v>
      </c>
      <c r="VX4" s="45"/>
      <c r="VY4" s="233" t="s">
        <v>396</v>
      </c>
      <c r="VZ4" s="233"/>
      <c r="WA4" s="233"/>
      <c r="WB4" s="233"/>
      <c r="WC4" s="233"/>
      <c r="WD4" s="233"/>
      <c r="WE4" s="233"/>
      <c r="WF4" s="233"/>
      <c r="WG4" s="233"/>
      <c r="WH4" s="233" t="s">
        <v>387</v>
      </c>
      <c r="WI4" s="233"/>
      <c r="WJ4" s="233"/>
      <c r="WK4" s="233"/>
      <c r="WL4" s="233"/>
      <c r="WM4" s="233"/>
      <c r="WN4" s="233"/>
      <c r="WO4" s="233"/>
      <c r="WP4" s="233"/>
      <c r="WQ4" s="233"/>
      <c r="WR4" s="233"/>
      <c r="WS4" s="233" t="s">
        <v>388</v>
      </c>
      <c r="WT4" s="233"/>
      <c r="WU4" s="233"/>
      <c r="WV4" s="233"/>
      <c r="WW4" s="233"/>
      <c r="WX4" s="233"/>
      <c r="WY4" s="233"/>
      <c r="WZ4" s="233"/>
      <c r="XA4" s="233"/>
      <c r="XB4" s="233"/>
      <c r="XC4" s="233"/>
      <c r="XD4" s="233" t="s">
        <v>389</v>
      </c>
      <c r="XE4" s="233"/>
      <c r="XF4" s="233"/>
      <c r="XG4" s="233"/>
      <c r="XH4" s="233"/>
      <c r="XI4" s="233"/>
      <c r="XJ4" s="233"/>
      <c r="XK4" s="233"/>
      <c r="XL4" s="233"/>
      <c r="XM4" s="233"/>
      <c r="XN4" s="233"/>
      <c r="XO4" s="233" t="s">
        <v>390</v>
      </c>
      <c r="XP4" s="233"/>
      <c r="XQ4" s="233"/>
      <c r="XR4" s="233"/>
      <c r="XS4" s="233"/>
      <c r="XT4" s="233"/>
      <c r="XU4" s="233"/>
      <c r="XV4" s="233"/>
      <c r="XW4" s="233"/>
      <c r="XX4" s="233"/>
      <c r="XY4" s="233"/>
      <c r="XZ4" s="45"/>
      <c r="YA4" s="45"/>
      <c r="YB4" s="45"/>
      <c r="YC4" s="45"/>
      <c r="YD4" s="45" t="s">
        <v>419</v>
      </c>
      <c r="YE4" s="45" t="s">
        <v>420</v>
      </c>
      <c r="YF4" s="45"/>
      <c r="YG4" s="45"/>
      <c r="YH4" s="45"/>
      <c r="YI4" s="45"/>
      <c r="YJ4" s="45"/>
      <c r="YK4" s="45"/>
      <c r="YL4" s="45"/>
      <c r="YM4" s="45"/>
      <c r="YN4" s="45"/>
      <c r="YO4" s="45" t="s">
        <v>392</v>
      </c>
      <c r="YP4" s="45" t="s">
        <v>393</v>
      </c>
      <c r="YQ4" s="45"/>
      <c r="YR4" s="45"/>
      <c r="YS4" s="45"/>
      <c r="YT4" s="45"/>
      <c r="YU4" s="45"/>
      <c r="YV4" s="45"/>
      <c r="YW4" s="45"/>
      <c r="YX4" s="45"/>
      <c r="YY4" s="45"/>
      <c r="YZ4" s="45"/>
      <c r="ZA4" s="45" t="s">
        <v>421</v>
      </c>
      <c r="ZB4" s="45" t="s">
        <v>422</v>
      </c>
      <c r="ZC4" s="45" t="s">
        <v>423</v>
      </c>
      <c r="ZD4" s="45" t="s">
        <v>424</v>
      </c>
      <c r="ZE4" s="45" t="s">
        <v>425</v>
      </c>
      <c r="ZF4" s="45"/>
      <c r="ZG4" s="45"/>
      <c r="ZH4" s="45" t="s">
        <v>421</v>
      </c>
      <c r="ZI4" s="45" t="s">
        <v>422</v>
      </c>
      <c r="ZJ4" s="45" t="s">
        <v>423</v>
      </c>
      <c r="ZK4" s="45" t="s">
        <v>424</v>
      </c>
      <c r="ZL4" s="45" t="s">
        <v>425</v>
      </c>
      <c r="ZM4" s="45"/>
      <c r="ZN4" s="233" t="s">
        <v>593</v>
      </c>
      <c r="ZO4" s="233"/>
      <c r="ZP4" s="233"/>
      <c r="ZQ4" s="233"/>
      <c r="ZR4" s="233"/>
      <c r="ZS4" s="233"/>
      <c r="ZT4" s="233"/>
      <c r="ZU4" s="233"/>
      <c r="ZV4" s="233"/>
      <c r="ZW4" s="80" t="s">
        <v>426</v>
      </c>
      <c r="ZX4" s="80" t="s">
        <v>427</v>
      </c>
      <c r="ZY4" s="80" t="s">
        <v>428</v>
      </c>
      <c r="ZZ4" s="80" t="s">
        <v>429</v>
      </c>
      <c r="AAA4" s="80" t="s">
        <v>430</v>
      </c>
      <c r="AAB4" s="80" t="s">
        <v>431</v>
      </c>
      <c r="AAC4" s="80" t="s">
        <v>432</v>
      </c>
      <c r="AAD4" s="80" t="s">
        <v>433</v>
      </c>
      <c r="AAE4" s="80" t="s">
        <v>434</v>
      </c>
      <c r="AAF4" s="80" t="s">
        <v>435</v>
      </c>
      <c r="AAG4" s="45"/>
      <c r="AAH4" s="45"/>
      <c r="AAI4" s="45"/>
      <c r="AAJ4" s="45" t="s">
        <v>612</v>
      </c>
      <c r="AAK4" s="45"/>
      <c r="AAL4" s="45" t="s">
        <v>607</v>
      </c>
      <c r="AAM4" s="45" t="s">
        <v>603</v>
      </c>
      <c r="AAN4" s="45" t="s">
        <v>604</v>
      </c>
      <c r="AAO4" s="45" t="s">
        <v>605</v>
      </c>
      <c r="AAP4" s="45" t="s">
        <v>606</v>
      </c>
      <c r="AAQ4" s="45"/>
      <c r="AAR4" s="45"/>
      <c r="AAS4" s="45" t="s">
        <v>607</v>
      </c>
      <c r="AAT4" s="45" t="s">
        <v>603</v>
      </c>
      <c r="AAU4" s="45" t="s">
        <v>604</v>
      </c>
      <c r="AAV4" s="45" t="s">
        <v>605</v>
      </c>
      <c r="AAW4" s="45" t="s">
        <v>606</v>
      </c>
      <c r="AAX4" s="45"/>
      <c r="AAY4" s="45"/>
      <c r="AAZ4" s="45"/>
      <c r="ABA4" s="45"/>
      <c r="ABB4" s="45"/>
      <c r="ABC4" s="45"/>
      <c r="ABD4" s="45" t="s">
        <v>436</v>
      </c>
      <c r="ABE4" s="45" t="s">
        <v>437</v>
      </c>
      <c r="ABF4" s="45" t="s">
        <v>438</v>
      </c>
      <c r="ABG4" s="45" t="s">
        <v>439</v>
      </c>
      <c r="ABH4" s="45" t="s">
        <v>440</v>
      </c>
      <c r="ABI4" s="45"/>
      <c r="ABJ4" s="45"/>
      <c r="ABK4" s="45" t="s">
        <v>438</v>
      </c>
      <c r="ABL4" s="45" t="s">
        <v>440</v>
      </c>
      <c r="ABM4" s="45" t="s">
        <v>437</v>
      </c>
      <c r="ABN4" s="45" t="s">
        <v>439</v>
      </c>
      <c r="ABO4" s="45" t="s">
        <v>436</v>
      </c>
      <c r="ABP4" s="45"/>
      <c r="ABQ4" s="45"/>
      <c r="ABR4" s="45"/>
      <c r="ABS4" s="45"/>
      <c r="ABT4" s="45"/>
      <c r="ABU4" s="45" t="s">
        <v>444</v>
      </c>
      <c r="ABV4" s="45" t="s">
        <v>441</v>
      </c>
      <c r="ABW4" s="45" t="s">
        <v>443</v>
      </c>
      <c r="ABX4" s="45" t="s">
        <v>442</v>
      </c>
      <c r="ABY4" s="45" t="s">
        <v>391</v>
      </c>
      <c r="ABZ4" s="45"/>
      <c r="ACA4" s="45"/>
      <c r="ACB4" s="45" t="s">
        <v>444</v>
      </c>
      <c r="ACC4" s="45" t="s">
        <v>441</v>
      </c>
      <c r="ACD4" s="45" t="s">
        <v>443</v>
      </c>
      <c r="ACE4" s="45" t="s">
        <v>442</v>
      </c>
      <c r="ACF4" s="45" t="s">
        <v>391</v>
      </c>
      <c r="ACG4" s="45"/>
      <c r="ACH4" s="45"/>
      <c r="ACI4" s="45"/>
      <c r="ACJ4" s="45"/>
      <c r="ACK4" s="45"/>
      <c r="ACL4" s="45"/>
      <c r="ACM4" s="45" t="s">
        <v>392</v>
      </c>
      <c r="ACN4" s="45" t="s">
        <v>393</v>
      </c>
      <c r="ACO4" s="45"/>
      <c r="ACP4" s="45"/>
      <c r="ACQ4" s="45"/>
      <c r="ACR4" s="45"/>
      <c r="ACS4" s="45"/>
      <c r="ACT4" s="45"/>
      <c r="ACU4" s="45"/>
      <c r="ACV4" s="45"/>
      <c r="ACW4" s="45"/>
      <c r="ACX4" s="45"/>
      <c r="ACY4" s="45" t="s">
        <v>445</v>
      </c>
      <c r="ACZ4" s="45" t="s">
        <v>446</v>
      </c>
      <c r="ADA4" s="45" t="s">
        <v>447</v>
      </c>
      <c r="ADB4" s="45"/>
    </row>
    <row r="5" spans="1:787" ht="15" x14ac:dyDescent="0.25">
      <c r="D5" s="44"/>
      <c r="I5" s="45" t="s">
        <v>392</v>
      </c>
      <c r="J5" s="45" t="s">
        <v>393</v>
      </c>
      <c r="K5" s="45"/>
      <c r="L5" s="46"/>
      <c r="M5" s="45"/>
      <c r="N5" s="45"/>
      <c r="O5" s="47"/>
      <c r="P5" s="48"/>
      <c r="Q5" s="45"/>
      <c r="R5" s="45"/>
      <c r="S5" s="45"/>
      <c r="T5" s="45"/>
      <c r="U5" s="45" t="s">
        <v>392</v>
      </c>
      <c r="V5" s="45" t="s">
        <v>393</v>
      </c>
      <c r="W5" s="45"/>
      <c r="X5" s="45"/>
      <c r="Y5" s="45"/>
      <c r="Z5" s="45"/>
      <c r="AA5" s="47"/>
      <c r="AB5" s="45"/>
      <c r="AC5" s="45"/>
      <c r="AD5" s="45"/>
      <c r="AE5" s="45"/>
      <c r="AF5" s="45"/>
      <c r="AG5" s="45" t="s">
        <v>392</v>
      </c>
      <c r="AH5" s="45" t="s">
        <v>393</v>
      </c>
      <c r="AI5" s="45"/>
      <c r="AJ5" s="45"/>
      <c r="AK5" s="45"/>
      <c r="AL5" s="45"/>
      <c r="AM5" s="45"/>
      <c r="AN5" s="45"/>
      <c r="AO5" s="45"/>
      <c r="AP5" s="45"/>
      <c r="AQ5" s="45"/>
      <c r="AR5" s="45" t="s">
        <v>395</v>
      </c>
      <c r="AS5" s="45" t="s">
        <v>395</v>
      </c>
      <c r="AT5" s="45" t="s">
        <v>395</v>
      </c>
      <c r="AU5" s="45" t="s">
        <v>395</v>
      </c>
      <c r="AV5" s="45" t="s">
        <v>395</v>
      </c>
      <c r="AW5" s="45" t="s">
        <v>395</v>
      </c>
      <c r="AX5" s="45" t="s">
        <v>395</v>
      </c>
      <c r="AY5" s="45" t="s">
        <v>395</v>
      </c>
      <c r="AZ5" s="45" t="s">
        <v>395</v>
      </c>
      <c r="BA5" s="45" t="s">
        <v>395</v>
      </c>
      <c r="BB5" s="45"/>
      <c r="BC5" s="45"/>
      <c r="BD5" s="45"/>
      <c r="BE5" s="45"/>
      <c r="BF5" s="45"/>
      <c r="BG5" s="45"/>
      <c r="BH5" s="45"/>
      <c r="BI5" s="45"/>
      <c r="BJ5" s="45"/>
      <c r="BK5" s="45"/>
      <c r="BL5" s="45"/>
      <c r="BM5" s="45"/>
      <c r="BN5" s="45"/>
      <c r="BO5" s="45"/>
      <c r="BP5" s="45"/>
      <c r="BQ5" s="45"/>
      <c r="BR5" s="45"/>
      <c r="BS5" s="45" t="s">
        <v>395</v>
      </c>
      <c r="BT5" s="45" t="s">
        <v>395</v>
      </c>
      <c r="BU5" s="45" t="s">
        <v>395</v>
      </c>
      <c r="BV5" s="45" t="s">
        <v>395</v>
      </c>
      <c r="BW5" s="45" t="s">
        <v>395</v>
      </c>
      <c r="BX5" s="45" t="s">
        <v>395</v>
      </c>
      <c r="BY5" s="45"/>
      <c r="BZ5" s="45"/>
      <c r="CA5" s="45"/>
      <c r="CB5" s="45"/>
      <c r="CC5" s="45"/>
      <c r="CD5" s="45"/>
      <c r="CE5" s="45"/>
      <c r="CF5" s="45"/>
      <c r="CG5" s="45"/>
      <c r="CH5" s="45"/>
      <c r="CI5" s="45"/>
      <c r="CJ5" s="45"/>
      <c r="CK5" s="45"/>
      <c r="CL5" s="45" t="s">
        <v>396</v>
      </c>
      <c r="CM5" s="45"/>
      <c r="CN5" s="45"/>
      <c r="CO5" s="45"/>
      <c r="CP5" s="45"/>
      <c r="CQ5" s="45"/>
      <c r="CR5" s="45"/>
      <c r="CS5" s="45"/>
      <c r="CT5" s="45"/>
      <c r="CU5" s="45" t="s">
        <v>396</v>
      </c>
      <c r="CV5" s="45"/>
      <c r="CW5" s="45"/>
      <c r="CX5" s="45"/>
      <c r="CY5" s="45"/>
      <c r="CZ5" s="45"/>
      <c r="DA5" s="45"/>
      <c r="DB5" s="45"/>
      <c r="DC5" s="45"/>
      <c r="DD5" s="45" t="s">
        <v>396</v>
      </c>
      <c r="DE5" s="45"/>
      <c r="DF5" s="45"/>
      <c r="DG5" s="45"/>
      <c r="DH5" s="45"/>
      <c r="DI5" s="45"/>
      <c r="DJ5" s="45"/>
      <c r="DK5" s="45"/>
      <c r="DL5" s="45"/>
      <c r="DM5" s="45" t="s">
        <v>597</v>
      </c>
      <c r="DN5" s="45" t="s">
        <v>398</v>
      </c>
      <c r="DO5" s="45" t="s">
        <v>399</v>
      </c>
      <c r="DP5" s="45" t="s">
        <v>400</v>
      </c>
      <c r="DQ5" s="45" t="s">
        <v>401</v>
      </c>
      <c r="DR5" s="45"/>
      <c r="DS5" s="45"/>
      <c r="DT5" s="45"/>
      <c r="DU5" s="45"/>
      <c r="DV5" s="45"/>
      <c r="DW5" s="45"/>
      <c r="DX5" s="45"/>
      <c r="DY5" s="45"/>
      <c r="DZ5" s="45"/>
      <c r="EA5" s="45"/>
      <c r="EB5" s="45"/>
      <c r="EC5" s="45"/>
      <c r="ED5" s="45" t="s">
        <v>597</v>
      </c>
      <c r="EE5" s="45" t="s">
        <v>398</v>
      </c>
      <c r="EF5" s="45" t="s">
        <v>399</v>
      </c>
      <c r="EG5" s="45" t="s">
        <v>400</v>
      </c>
      <c r="EH5" s="45" t="s">
        <v>401</v>
      </c>
      <c r="EI5" s="45"/>
      <c r="EJ5" s="45"/>
      <c r="EK5" s="45"/>
      <c r="EL5" s="45"/>
      <c r="EM5" s="45"/>
      <c r="EN5" s="45"/>
      <c r="EO5" s="45"/>
      <c r="EP5" s="45"/>
      <c r="EQ5" s="45"/>
      <c r="ER5" s="45"/>
      <c r="ES5" s="45"/>
      <c r="ET5" s="45"/>
      <c r="EU5" s="45" t="s">
        <v>597</v>
      </c>
      <c r="EV5" s="45" t="s">
        <v>398</v>
      </c>
      <c r="EW5" s="45" t="s">
        <v>399</v>
      </c>
      <c r="EX5" s="45" t="s">
        <v>400</v>
      </c>
      <c r="EY5" s="45" t="s">
        <v>401</v>
      </c>
      <c r="EZ5" s="45"/>
      <c r="FA5" s="45"/>
      <c r="FB5" s="45"/>
      <c r="FC5" s="45"/>
      <c r="FD5" s="45"/>
      <c r="FE5" s="45"/>
      <c r="FF5" s="45"/>
      <c r="FG5" s="45"/>
      <c r="FH5" s="45"/>
      <c r="FI5" s="45"/>
      <c r="FJ5" s="45"/>
      <c r="FK5" s="45"/>
      <c r="FL5" s="45" t="s">
        <v>597</v>
      </c>
      <c r="FM5" s="45" t="s">
        <v>398</v>
      </c>
      <c r="FN5" s="45" t="s">
        <v>399</v>
      </c>
      <c r="FO5" s="45" t="s">
        <v>400</v>
      </c>
      <c r="FP5" s="45" t="s">
        <v>401</v>
      </c>
      <c r="FQ5" s="45"/>
      <c r="FR5" s="45"/>
      <c r="FS5" s="45"/>
      <c r="FT5" s="45"/>
      <c r="FU5" s="45"/>
      <c r="FV5" s="45"/>
      <c r="FW5" s="45"/>
      <c r="FX5" s="45"/>
      <c r="FY5" s="45"/>
      <c r="FZ5" s="45"/>
      <c r="GA5" s="45"/>
      <c r="GB5" s="45"/>
      <c r="GC5" s="45" t="s">
        <v>597</v>
      </c>
      <c r="GD5" s="45" t="s">
        <v>398</v>
      </c>
      <c r="GE5" s="45" t="s">
        <v>399</v>
      </c>
      <c r="GF5" s="45" t="s">
        <v>400</v>
      </c>
      <c r="GG5" s="45" t="s">
        <v>401</v>
      </c>
      <c r="GH5" s="45"/>
      <c r="GI5" s="45"/>
      <c r="GJ5" s="45"/>
      <c r="GK5" s="45"/>
      <c r="GL5" s="45"/>
      <c r="GM5" s="45"/>
      <c r="GN5" s="45"/>
      <c r="GO5" s="45"/>
      <c r="GP5" s="45"/>
      <c r="GQ5" s="45"/>
      <c r="GR5" s="45"/>
      <c r="GS5" s="45"/>
      <c r="GT5" s="45" t="s">
        <v>597</v>
      </c>
      <c r="GU5" s="45" t="s">
        <v>398</v>
      </c>
      <c r="GV5" s="45" t="s">
        <v>399</v>
      </c>
      <c r="GW5" s="45" t="s">
        <v>400</v>
      </c>
      <c r="GX5" s="45" t="s">
        <v>401</v>
      </c>
      <c r="GY5" s="45"/>
      <c r="GZ5" s="45"/>
      <c r="HA5" s="45"/>
      <c r="HB5" s="45"/>
      <c r="HC5" s="45"/>
      <c r="HD5" s="45"/>
      <c r="HE5" s="45"/>
      <c r="HF5" s="45"/>
      <c r="HG5" s="45"/>
      <c r="HH5" s="45"/>
      <c r="HI5" s="45"/>
      <c r="HJ5" s="45"/>
      <c r="HK5" s="45" t="s">
        <v>597</v>
      </c>
      <c r="HL5" s="45" t="s">
        <v>398</v>
      </c>
      <c r="HM5" s="45" t="s">
        <v>399</v>
      </c>
      <c r="HN5" s="45" t="s">
        <v>400</v>
      </c>
      <c r="HO5" s="45" t="s">
        <v>401</v>
      </c>
      <c r="HP5" s="45"/>
      <c r="HQ5" s="45"/>
      <c r="HR5" s="45"/>
      <c r="HS5" s="45"/>
      <c r="HT5" s="45"/>
      <c r="HU5" s="45"/>
      <c r="HV5" s="45"/>
      <c r="HW5" s="45"/>
      <c r="HX5" s="45"/>
      <c r="HY5" s="45"/>
      <c r="HZ5" s="45"/>
      <c r="IA5" s="45"/>
      <c r="IB5" s="45"/>
      <c r="IC5" s="45" t="s">
        <v>402</v>
      </c>
      <c r="ID5" s="45" t="s">
        <v>403</v>
      </c>
      <c r="IE5" s="45" t="s">
        <v>399</v>
      </c>
      <c r="IF5" s="45" t="s">
        <v>404</v>
      </c>
      <c r="IG5" s="45" t="s">
        <v>405</v>
      </c>
      <c r="IH5" s="45"/>
      <c r="II5" s="45"/>
      <c r="IJ5"/>
      <c r="IK5"/>
      <c r="IL5"/>
      <c r="IM5"/>
      <c r="IN5"/>
      <c r="IO5"/>
      <c r="IP5" s="45"/>
      <c r="IQ5" s="45"/>
      <c r="IR5" s="45"/>
      <c r="IS5" s="45"/>
      <c r="IT5" s="45"/>
      <c r="IU5" s="45" t="s">
        <v>402</v>
      </c>
      <c r="IV5" s="45" t="s">
        <v>403</v>
      </c>
      <c r="IW5" s="45" t="s">
        <v>399</v>
      </c>
      <c r="IX5" s="45" t="s">
        <v>404</v>
      </c>
      <c r="IY5" s="45" t="s">
        <v>405</v>
      </c>
      <c r="IZ5" s="45"/>
      <c r="JA5" s="45"/>
      <c r="JB5"/>
      <c r="JC5"/>
      <c r="JD5"/>
      <c r="JE5"/>
      <c r="JF5"/>
      <c r="JG5"/>
      <c r="JH5" s="45"/>
      <c r="JI5" s="45"/>
      <c r="JJ5" s="45"/>
      <c r="JK5" s="45"/>
      <c r="JL5" s="45"/>
      <c r="JM5" s="45" t="s">
        <v>402</v>
      </c>
      <c r="JN5" s="45" t="s">
        <v>403</v>
      </c>
      <c r="JO5" s="45" t="s">
        <v>399</v>
      </c>
      <c r="JP5" s="45" t="s">
        <v>404</v>
      </c>
      <c r="JQ5" s="45" t="s">
        <v>405</v>
      </c>
      <c r="JR5" s="45"/>
      <c r="JS5" s="45"/>
      <c r="JT5" s="45"/>
      <c r="JU5" s="45"/>
      <c r="JV5" s="45"/>
      <c r="JW5" s="45"/>
      <c r="JX5" s="45"/>
      <c r="JY5" s="45"/>
      <c r="JZ5" s="45"/>
      <c r="KA5" s="45"/>
      <c r="KB5" s="45"/>
      <c r="KC5" s="45"/>
      <c r="KD5" s="45"/>
      <c r="KE5" s="45" t="s">
        <v>402</v>
      </c>
      <c r="KF5" s="45" t="s">
        <v>403</v>
      </c>
      <c r="KG5" s="45" t="s">
        <v>399</v>
      </c>
      <c r="KH5" s="45" t="s">
        <v>404</v>
      </c>
      <c r="KI5" s="45" t="s">
        <v>405</v>
      </c>
      <c r="KJ5" s="45"/>
      <c r="KK5" s="45"/>
      <c r="KL5" s="45"/>
      <c r="KM5" s="45"/>
      <c r="KN5" s="45"/>
      <c r="KO5" s="45"/>
      <c r="KP5" s="45"/>
      <c r="KQ5" s="45"/>
      <c r="KR5" s="45"/>
      <c r="KS5" s="45"/>
      <c r="KT5" s="45"/>
      <c r="KU5" s="45"/>
      <c r="KV5" s="45"/>
      <c r="KW5" s="45" t="s">
        <v>402</v>
      </c>
      <c r="KX5" s="45" t="s">
        <v>403</v>
      </c>
      <c r="KY5" s="45" t="s">
        <v>399</v>
      </c>
      <c r="KZ5" s="45" t="s">
        <v>404</v>
      </c>
      <c r="LA5" s="45" t="s">
        <v>405</v>
      </c>
      <c r="LB5" s="45"/>
      <c r="LC5" s="45"/>
      <c r="LD5" s="45"/>
      <c r="LE5" s="45"/>
      <c r="LF5" s="45"/>
      <c r="LG5" s="45"/>
      <c r="LH5" s="45"/>
      <c r="LI5" s="45"/>
      <c r="LJ5" s="45"/>
      <c r="LK5" s="45"/>
      <c r="LL5" s="45"/>
      <c r="LM5" s="45"/>
      <c r="LN5" s="45"/>
      <c r="LO5" s="45" t="s">
        <v>402</v>
      </c>
      <c r="LP5" s="45" t="s">
        <v>403</v>
      </c>
      <c r="LQ5" s="45" t="s">
        <v>399</v>
      </c>
      <c r="LR5" s="45" t="s">
        <v>404</v>
      </c>
      <c r="LS5" s="45" t="s">
        <v>405</v>
      </c>
      <c r="LT5" s="45"/>
      <c r="LU5" s="45"/>
      <c r="LV5" s="45"/>
      <c r="LW5" s="45"/>
      <c r="LX5" s="45"/>
      <c r="LY5" s="45"/>
      <c r="LZ5" s="45"/>
      <c r="MA5" s="45"/>
      <c r="MB5" s="45"/>
      <c r="MC5" s="45"/>
      <c r="MD5" s="45"/>
      <c r="ME5" s="45"/>
      <c r="MF5" s="45"/>
      <c r="MG5" s="45" t="s">
        <v>402</v>
      </c>
      <c r="MH5" s="45" t="s">
        <v>403</v>
      </c>
      <c r="MI5" s="45" t="s">
        <v>399</v>
      </c>
      <c r="MJ5" s="45" t="s">
        <v>404</v>
      </c>
      <c r="MK5" s="45" t="s">
        <v>405</v>
      </c>
      <c r="ML5" s="45"/>
      <c r="MM5" s="45"/>
      <c r="MN5" s="45"/>
      <c r="MO5" s="45"/>
      <c r="MP5" s="45"/>
      <c r="MQ5" s="45"/>
      <c r="MR5" s="45"/>
      <c r="MS5" s="45"/>
      <c r="MT5" s="45"/>
      <c r="MU5" s="45"/>
      <c r="MV5" s="45"/>
      <c r="MW5" s="45"/>
      <c r="MX5" s="45"/>
      <c r="MY5" s="45" t="s">
        <v>402</v>
      </c>
      <c r="MZ5" s="45" t="s">
        <v>403</v>
      </c>
      <c r="NA5" s="45" t="s">
        <v>399</v>
      </c>
      <c r="NB5" s="45" t="s">
        <v>404</v>
      </c>
      <c r="NC5" s="45" t="s">
        <v>405</v>
      </c>
      <c r="ND5" s="45"/>
      <c r="NE5" s="45"/>
      <c r="NF5" s="45"/>
      <c r="NG5" s="45"/>
      <c r="NH5" s="45"/>
      <c r="NI5" s="45"/>
      <c r="NJ5" s="45"/>
      <c r="NK5" s="45"/>
      <c r="NL5" s="45"/>
      <c r="NM5" s="45"/>
      <c r="NN5" s="45"/>
      <c r="NO5" s="45"/>
      <c r="NP5" s="45" t="s">
        <v>597</v>
      </c>
      <c r="NQ5" s="45" t="s">
        <v>398</v>
      </c>
      <c r="NR5" s="45" t="s">
        <v>399</v>
      </c>
      <c r="NS5" s="45" t="s">
        <v>400</v>
      </c>
      <c r="NT5" s="45" t="s">
        <v>401</v>
      </c>
      <c r="NU5" s="45"/>
      <c r="NV5" s="45"/>
      <c r="NW5" s="45"/>
      <c r="NX5" s="45"/>
      <c r="NY5" s="45"/>
      <c r="NZ5" s="45"/>
      <c r="OA5" s="45"/>
      <c r="OB5" s="45"/>
      <c r="OC5" s="45"/>
      <c r="OD5" s="45"/>
      <c r="OE5" s="45"/>
      <c r="OF5" s="45"/>
      <c r="OG5" s="45"/>
      <c r="OH5" s="45" t="s">
        <v>597</v>
      </c>
      <c r="OI5" s="45" t="s">
        <v>398</v>
      </c>
      <c r="OJ5" s="45" t="s">
        <v>399</v>
      </c>
      <c r="OK5" s="45" t="s">
        <v>400</v>
      </c>
      <c r="OL5" s="45" t="s">
        <v>401</v>
      </c>
      <c r="OM5" s="45"/>
      <c r="ON5" s="45"/>
      <c r="OO5" s="45"/>
      <c r="OP5" s="45"/>
      <c r="OQ5" s="45"/>
      <c r="OR5" s="45"/>
      <c r="OS5" s="45"/>
      <c r="OT5" s="45"/>
      <c r="OU5" s="45"/>
      <c r="OV5" s="45"/>
      <c r="OW5" s="45"/>
      <c r="OX5" s="45"/>
      <c r="OY5" s="45"/>
      <c r="OZ5" s="45" t="s">
        <v>597</v>
      </c>
      <c r="PA5" s="45" t="s">
        <v>398</v>
      </c>
      <c r="PB5" s="45" t="s">
        <v>399</v>
      </c>
      <c r="PC5" s="45" t="s">
        <v>400</v>
      </c>
      <c r="PD5" s="45" t="s">
        <v>401</v>
      </c>
      <c r="PE5" s="45"/>
      <c r="PF5" s="45"/>
      <c r="PG5" s="45"/>
      <c r="PH5" s="45"/>
      <c r="PI5" s="45"/>
      <c r="PJ5" s="45"/>
      <c r="PK5" s="45"/>
      <c r="PL5" s="45"/>
      <c r="PM5" s="45"/>
      <c r="PN5" s="45"/>
      <c r="PO5" s="45"/>
      <c r="PP5" s="45"/>
      <c r="PQ5" s="45"/>
      <c r="PR5" s="45" t="s">
        <v>597</v>
      </c>
      <c r="PS5" s="45" t="s">
        <v>398</v>
      </c>
      <c r="PT5" s="45" t="s">
        <v>399</v>
      </c>
      <c r="PU5" s="45" t="s">
        <v>400</v>
      </c>
      <c r="PV5" s="45" t="s">
        <v>401</v>
      </c>
      <c r="PW5" s="45"/>
      <c r="PX5" s="45"/>
      <c r="PY5" s="45"/>
      <c r="PZ5" s="45"/>
      <c r="QA5" s="45"/>
      <c r="QB5" s="45"/>
      <c r="QC5" s="45"/>
      <c r="QD5" s="45"/>
      <c r="QE5" s="45"/>
      <c r="QF5" s="45"/>
      <c r="QG5" s="45"/>
      <c r="QH5" s="45"/>
      <c r="QI5" s="45"/>
      <c r="QJ5" s="45" t="s">
        <v>597</v>
      </c>
      <c r="QK5" s="45" t="s">
        <v>398</v>
      </c>
      <c r="QL5" s="45" t="s">
        <v>399</v>
      </c>
      <c r="QM5" s="45" t="s">
        <v>400</v>
      </c>
      <c r="QN5" s="45" t="s">
        <v>401</v>
      </c>
      <c r="QO5" s="45"/>
      <c r="QP5" s="45"/>
      <c r="QQ5" s="45"/>
      <c r="QR5" s="45"/>
      <c r="QS5" s="45"/>
      <c r="QT5" s="45"/>
      <c r="QU5" s="45"/>
      <c r="QV5" s="45"/>
      <c r="QW5" s="45"/>
      <c r="QX5" s="45"/>
      <c r="QY5" s="45"/>
      <c r="QZ5" s="45"/>
      <c r="RA5" s="45"/>
      <c r="RB5" s="45" t="s">
        <v>597</v>
      </c>
      <c r="RC5" s="45" t="s">
        <v>398</v>
      </c>
      <c r="RD5" s="45" t="s">
        <v>399</v>
      </c>
      <c r="RE5" s="45" t="s">
        <v>400</v>
      </c>
      <c r="RF5" s="45" t="s">
        <v>401</v>
      </c>
      <c r="RG5" s="45"/>
      <c r="RH5" s="45"/>
      <c r="RI5" s="45"/>
      <c r="RJ5" s="45"/>
      <c r="RK5" s="45"/>
      <c r="RL5" s="45"/>
      <c r="RM5" s="45"/>
      <c r="RN5" s="45"/>
      <c r="RO5" s="45"/>
      <c r="RP5" s="45"/>
      <c r="RQ5" s="45"/>
      <c r="RR5" s="45"/>
      <c r="RS5" s="45"/>
      <c r="RT5" s="45" t="s">
        <v>597</v>
      </c>
      <c r="RU5" s="45" t="s">
        <v>398</v>
      </c>
      <c r="RV5" s="45" t="s">
        <v>399</v>
      </c>
      <c r="RW5" s="45" t="s">
        <v>400</v>
      </c>
      <c r="RX5" s="45" t="s">
        <v>401</v>
      </c>
      <c r="RY5" s="45"/>
      <c r="RZ5" s="45"/>
      <c r="SA5" s="45"/>
      <c r="SB5" s="45"/>
      <c r="SC5" s="45"/>
      <c r="SD5" s="45"/>
      <c r="SE5" s="45"/>
      <c r="SF5" s="45"/>
      <c r="SG5" s="45"/>
      <c r="SH5" s="45"/>
      <c r="SI5" s="45"/>
      <c r="SJ5" s="45"/>
      <c r="SK5" s="45"/>
      <c r="SL5" s="45" t="s">
        <v>597</v>
      </c>
      <c r="SM5" s="45" t="s">
        <v>398</v>
      </c>
      <c r="SN5" s="45" t="s">
        <v>399</v>
      </c>
      <c r="SO5" s="45" t="s">
        <v>400</v>
      </c>
      <c r="SP5" s="45" t="s">
        <v>401</v>
      </c>
      <c r="SQ5" s="45"/>
      <c r="SR5" s="45"/>
      <c r="SS5" s="45"/>
      <c r="ST5" s="45"/>
      <c r="SU5" s="45"/>
      <c r="SV5" s="45"/>
      <c r="SW5" s="45"/>
      <c r="SX5" s="45"/>
      <c r="SY5" s="45"/>
      <c r="SZ5" s="45"/>
      <c r="TA5" s="45"/>
      <c r="TB5" s="45"/>
      <c r="TC5" s="45"/>
      <c r="TD5" s="45" t="s">
        <v>597</v>
      </c>
      <c r="TE5" s="45" t="s">
        <v>398</v>
      </c>
      <c r="TF5" s="45" t="s">
        <v>399</v>
      </c>
      <c r="TG5" s="45" t="s">
        <v>400</v>
      </c>
      <c r="TH5" s="45" t="s">
        <v>401</v>
      </c>
      <c r="TI5" s="45"/>
      <c r="TJ5" s="45"/>
      <c r="TK5" s="45"/>
      <c r="TL5" s="45"/>
      <c r="TM5" s="45"/>
      <c r="TN5" s="45"/>
      <c r="TO5" s="45"/>
      <c r="TP5" s="45"/>
      <c r="TQ5" s="45"/>
      <c r="TR5" s="45"/>
      <c r="TS5" s="45"/>
      <c r="TT5" s="45"/>
      <c r="TU5" s="45"/>
      <c r="TV5" s="45" t="s">
        <v>597</v>
      </c>
      <c r="TW5" s="45" t="s">
        <v>398</v>
      </c>
      <c r="TX5" s="45" t="s">
        <v>399</v>
      </c>
      <c r="TY5" s="45" t="s">
        <v>400</v>
      </c>
      <c r="TZ5" s="45" t="s">
        <v>401</v>
      </c>
      <c r="UA5" s="45"/>
      <c r="UB5" s="45"/>
      <c r="UC5" s="45"/>
      <c r="UD5" s="45"/>
      <c r="UE5" s="45"/>
      <c r="UF5" s="45"/>
      <c r="UG5" s="45"/>
      <c r="UH5" s="45"/>
      <c r="UI5" s="45"/>
      <c r="UJ5" s="45"/>
      <c r="UK5" s="45"/>
      <c r="UL5" s="45"/>
      <c r="UM5" s="45" t="s">
        <v>396</v>
      </c>
      <c r="UN5" s="45"/>
      <c r="UO5" s="45"/>
      <c r="UP5" s="45"/>
      <c r="UQ5" s="79"/>
      <c r="UR5" s="45"/>
      <c r="US5" s="45"/>
      <c r="UT5" s="45"/>
      <c r="UU5" s="45"/>
      <c r="UV5" s="45"/>
      <c r="UW5" s="45" t="s">
        <v>395</v>
      </c>
      <c r="UX5" s="45" t="s">
        <v>395</v>
      </c>
      <c r="UY5" s="45" t="s">
        <v>395</v>
      </c>
      <c r="UZ5" s="45" t="s">
        <v>395</v>
      </c>
      <c r="VA5" s="45" t="s">
        <v>395</v>
      </c>
      <c r="VB5" s="45"/>
      <c r="VC5" s="45"/>
      <c r="VD5" s="45"/>
      <c r="VE5" s="45"/>
      <c r="VF5" s="45"/>
      <c r="VG5" s="45"/>
      <c r="VH5" s="45"/>
      <c r="VI5" s="45"/>
      <c r="VJ5" s="45"/>
      <c r="VK5" s="45"/>
      <c r="VL5" s="45"/>
      <c r="VM5" s="45"/>
      <c r="VN5" s="45" t="s">
        <v>395</v>
      </c>
      <c r="VO5" s="45" t="s">
        <v>395</v>
      </c>
      <c r="VP5" s="45" t="s">
        <v>395</v>
      </c>
      <c r="VQ5" s="45" t="s">
        <v>395</v>
      </c>
      <c r="VR5" s="45"/>
      <c r="VS5" s="45"/>
      <c r="VT5" s="45"/>
      <c r="VU5" s="45"/>
      <c r="VV5" s="45"/>
      <c r="VW5" s="45"/>
      <c r="VX5" s="45"/>
      <c r="VY5" s="45"/>
      <c r="VZ5" s="45"/>
      <c r="WA5" s="45"/>
      <c r="WB5" s="45"/>
      <c r="WC5" s="45" t="s">
        <v>415</v>
      </c>
      <c r="WD5" s="45"/>
      <c r="WE5" s="45"/>
      <c r="WF5" s="45"/>
      <c r="WG5" s="45"/>
      <c r="WH5" s="45"/>
      <c r="WI5" s="45"/>
      <c r="WJ5" s="45"/>
      <c r="WK5" s="45"/>
      <c r="WL5" s="45" t="s">
        <v>417</v>
      </c>
      <c r="WM5" s="45" t="s">
        <v>418</v>
      </c>
      <c r="WN5" s="45"/>
      <c r="WO5" s="45"/>
      <c r="WP5" s="45"/>
      <c r="WQ5" s="45"/>
      <c r="WR5" s="45"/>
      <c r="WS5" s="45"/>
      <c r="WT5" s="45"/>
      <c r="WU5" s="45"/>
      <c r="WV5" s="45"/>
      <c r="WW5" s="45" t="s">
        <v>417</v>
      </c>
      <c r="WX5" s="45" t="s">
        <v>418</v>
      </c>
      <c r="WY5" s="45"/>
      <c r="WZ5" s="45"/>
      <c r="XA5" s="45"/>
      <c r="XB5" s="45"/>
      <c r="XC5" s="45"/>
      <c r="XD5" s="45"/>
      <c r="XE5" s="45"/>
      <c r="XF5" s="45"/>
      <c r="XG5" s="45"/>
      <c r="XH5" s="45" t="s">
        <v>417</v>
      </c>
      <c r="XI5" s="45" t="s">
        <v>418</v>
      </c>
      <c r="XJ5" s="45"/>
      <c r="XK5" s="45"/>
      <c r="XL5" s="45"/>
      <c r="XM5" s="45"/>
      <c r="XN5" s="45"/>
      <c r="XO5" s="45"/>
      <c r="XP5" s="45"/>
      <c r="XQ5" s="45"/>
      <c r="XR5" s="45"/>
      <c r="XS5" s="45" t="s">
        <v>417</v>
      </c>
      <c r="XT5" s="45" t="s">
        <v>418</v>
      </c>
      <c r="XU5" s="45"/>
      <c r="XV5" s="45"/>
      <c r="XW5" s="45"/>
      <c r="XX5" s="45"/>
      <c r="XY5" s="45"/>
      <c r="XZ5" s="45"/>
      <c r="YA5" s="45"/>
      <c r="YB5" s="45"/>
      <c r="YC5" s="45"/>
      <c r="YD5" s="45" t="s">
        <v>395</v>
      </c>
      <c r="YE5" s="45" t="s">
        <v>395</v>
      </c>
      <c r="YF5" s="45"/>
      <c r="YG5" s="45"/>
      <c r="YH5" s="45"/>
      <c r="YI5" s="45"/>
      <c r="YJ5" s="45"/>
      <c r="YK5" s="45"/>
      <c r="YL5" s="45"/>
      <c r="YM5" s="45"/>
      <c r="YN5" s="45"/>
      <c r="YO5" s="45" t="s">
        <v>395</v>
      </c>
      <c r="YP5" s="45" t="s">
        <v>395</v>
      </c>
      <c r="YQ5" s="45"/>
      <c r="YR5" s="45"/>
      <c r="YS5" s="45"/>
      <c r="YT5" s="45"/>
      <c r="YU5" s="45"/>
      <c r="YV5" s="45"/>
      <c r="YW5" s="45"/>
      <c r="YX5" s="45"/>
      <c r="YY5" s="45"/>
      <c r="YZ5" s="45"/>
      <c r="ZA5" s="45" t="s">
        <v>395</v>
      </c>
      <c r="ZB5" s="45" t="s">
        <v>395</v>
      </c>
      <c r="ZC5" s="45" t="s">
        <v>395</v>
      </c>
      <c r="ZD5" s="45" t="s">
        <v>395</v>
      </c>
      <c r="ZE5" s="45" t="s">
        <v>395</v>
      </c>
      <c r="ZF5" s="45"/>
      <c r="ZG5" s="45"/>
      <c r="ZH5" s="45"/>
      <c r="ZI5" s="45"/>
      <c r="ZJ5" s="45"/>
      <c r="ZK5" s="45"/>
      <c r="ZL5" s="45"/>
      <c r="ZM5" s="45"/>
      <c r="ZN5" s="45"/>
      <c r="ZO5" s="45"/>
      <c r="ZP5" s="45"/>
      <c r="ZQ5" s="45"/>
      <c r="ZR5" s="45" t="s">
        <v>415</v>
      </c>
      <c r="ZS5" s="45"/>
      <c r="ZT5" s="45"/>
      <c r="ZU5" s="45"/>
      <c r="ZV5" s="45"/>
      <c r="ZW5" s="80" t="s">
        <v>395</v>
      </c>
      <c r="ZX5" s="80" t="s">
        <v>395</v>
      </c>
      <c r="ZY5" s="80" t="s">
        <v>395</v>
      </c>
      <c r="ZZ5" s="80" t="s">
        <v>395</v>
      </c>
      <c r="AAA5" s="80" t="s">
        <v>395</v>
      </c>
      <c r="AAB5" s="80" t="s">
        <v>395</v>
      </c>
      <c r="AAC5" s="80" t="s">
        <v>395</v>
      </c>
      <c r="AAD5" s="80" t="s">
        <v>395</v>
      </c>
      <c r="AAE5" s="80" t="s">
        <v>395</v>
      </c>
      <c r="AAF5" s="80" t="s">
        <v>395</v>
      </c>
      <c r="AAG5" s="45"/>
      <c r="AAH5" s="45"/>
      <c r="AAI5" s="45"/>
      <c r="AAJ5" s="45"/>
      <c r="AAK5" s="45"/>
      <c r="AAL5" s="45"/>
      <c r="AAM5" s="45"/>
      <c r="AAN5" s="45"/>
      <c r="AAO5" s="45"/>
      <c r="AAP5" s="45"/>
      <c r="AAQ5" s="45"/>
      <c r="AAR5" s="45"/>
      <c r="AAS5" s="45"/>
      <c r="AAT5" s="45"/>
      <c r="AAU5" s="45"/>
      <c r="AAV5" s="45"/>
      <c r="AAW5" s="45"/>
      <c r="AAX5" s="45"/>
      <c r="AAY5" s="45"/>
      <c r="AAZ5" s="45"/>
      <c r="ABA5" s="45"/>
      <c r="ABB5" s="45"/>
      <c r="ABC5" s="45"/>
      <c r="ABD5" s="45" t="s">
        <v>395</v>
      </c>
      <c r="ABE5" s="45" t="s">
        <v>395</v>
      </c>
      <c r="ABF5" s="45" t="s">
        <v>395</v>
      </c>
      <c r="ABG5" s="45" t="s">
        <v>395</v>
      </c>
      <c r="ABH5" s="45" t="s">
        <v>395</v>
      </c>
      <c r="ABI5" s="45"/>
      <c r="ABJ5" s="45"/>
      <c r="ABK5" s="45"/>
      <c r="ABL5" s="45"/>
      <c r="ABM5" s="45"/>
      <c r="ABN5" s="45"/>
      <c r="ABO5" s="45"/>
      <c r="ABP5" s="45"/>
      <c r="ABQ5" s="45"/>
      <c r="ABR5" s="45"/>
      <c r="ABS5" s="45"/>
      <c r="ABT5" s="45"/>
      <c r="ABU5" s="45" t="s">
        <v>395</v>
      </c>
      <c r="ABV5" s="45" t="s">
        <v>395</v>
      </c>
      <c r="ABW5" s="45" t="s">
        <v>395</v>
      </c>
      <c r="ABX5" s="45" t="s">
        <v>395</v>
      </c>
      <c r="ABY5" s="45" t="s">
        <v>395</v>
      </c>
      <c r="ABZ5" s="45"/>
      <c r="ACA5" s="45"/>
      <c r="ACB5" s="45"/>
      <c r="ACC5" s="45"/>
      <c r="ACD5" s="45"/>
      <c r="ACE5" s="45"/>
      <c r="ACF5" s="45"/>
      <c r="ACG5" s="45"/>
      <c r="ACH5" s="45"/>
      <c r="ACI5" s="45"/>
      <c r="ACJ5" s="45"/>
      <c r="ACK5" s="45"/>
      <c r="ACL5" s="45"/>
      <c r="ACM5" s="45" t="s">
        <v>395</v>
      </c>
      <c r="ACN5" s="45" t="s">
        <v>395</v>
      </c>
      <c r="ACO5" s="45"/>
      <c r="ACP5" s="45"/>
      <c r="ACQ5" s="45"/>
      <c r="ACR5" s="45"/>
      <c r="ACS5" s="45"/>
      <c r="ACT5" s="45"/>
      <c r="ACU5" s="45"/>
      <c r="ACV5" s="45"/>
      <c r="ACW5" s="45"/>
      <c r="ACX5" s="45"/>
      <c r="ACY5" s="45" t="s">
        <v>395</v>
      </c>
      <c r="ACZ5" s="45" t="s">
        <v>395</v>
      </c>
      <c r="ADA5" s="45" t="s">
        <v>395</v>
      </c>
      <c r="ADB5" s="45"/>
    </row>
    <row r="6" spans="1:787" s="53" customFormat="1" x14ac:dyDescent="0.25">
      <c r="A6" s="46" t="str">
        <f>IF(ISBLANK(ComparisonSelection!F2),"",ROW()-5)</f>
        <v/>
      </c>
      <c r="B6" s="53" t="s">
        <v>455</v>
      </c>
      <c r="C6" s="72">
        <v>0.47399999999999953</v>
      </c>
      <c r="D6" s="73">
        <f>RANK(E6,$E$6:$E$117,1)</f>
        <v>8</v>
      </c>
      <c r="E6" s="72">
        <f>(C6*F6)+G6</f>
        <v>2.4739999999999993</v>
      </c>
      <c r="F6" s="72">
        <f>(COUNTIF($G$6:$G$117,G6)&gt;1)*1</f>
        <v>1</v>
      </c>
      <c r="G6" s="72">
        <f>RANK(H6,$H$6:$H$117)</f>
        <v>2</v>
      </c>
      <c r="H6" s="72">
        <f>I6+(J6/1000)</f>
        <v>0</v>
      </c>
      <c r="I6" s="46" cm="1">
        <f t="array" ref="I6">ROUND(IFERROR(INDEX(ArchiveResults!$F$5:$IX$116,ComparisonData!A6,ComparisonData!$I$1),0),5)</f>
        <v>0</v>
      </c>
      <c r="J6" s="46" cm="1">
        <f t="array" ref="J6">ROUND(IFERROR(INDEX(ArchiveResults!$F$5:$IX$116,ComparisonData!A6,ComparisonData!$J$1),0),5)</f>
        <v>0</v>
      </c>
      <c r="K6" s="74">
        <v>1</v>
      </c>
      <c r="L6" s="53" t="str">
        <f>INDEX($B$6:$B$117,MATCH(K6,$D$6:$D$117,0))</f>
        <v>TOTAL</v>
      </c>
      <c r="M6" s="75">
        <f t="shared" ref="M6:M37" si="0">INDEX($I$6:$I$117,MATCH(K6,$D$6:$D$117,0))</f>
        <v>0.19353999999999999</v>
      </c>
      <c r="N6" s="75">
        <f t="shared" ref="N6:N37" si="1">INDEX($J$6:$J$117,MATCH(K6,$D$6:$D$117,0))</f>
        <v>0.80645999999999995</v>
      </c>
      <c r="O6" s="76">
        <f>MAX(M6:N6)</f>
        <v>0.80645999999999995</v>
      </c>
      <c r="P6" s="77">
        <f>RANK(Q6,$Q$6:$Q$117,1)</f>
        <v>8</v>
      </c>
      <c r="Q6" s="72">
        <f t="shared" ref="Q6:Q37" si="2">(C6*R6)+S6</f>
        <v>2.4739999999999993</v>
      </c>
      <c r="R6" s="46">
        <f>(COUNTIF($S$6:$S$117,S6)&gt;1)*1</f>
        <v>1</v>
      </c>
      <c r="S6" s="46">
        <f>RANK(T6,$T$6:$T$117)</f>
        <v>2</v>
      </c>
      <c r="T6" s="72">
        <f>U6+(V6/1000)</f>
        <v>0</v>
      </c>
      <c r="U6" s="46" cm="1">
        <f t="array" ref="U6">ROUND(IFERROR(INDEX(ArchiveResults!$F$5:$IX$116,ComparisonData!A6,ComparisonData!$U$1),0),5)</f>
        <v>0</v>
      </c>
      <c r="V6" s="46" cm="1">
        <f t="array" ref="V6">ROUND(IFERROR(INDEX(ArchiveResults!$F$5:$IX$116,ComparisonData!A6,ComparisonData!$V$1),0),5)</f>
        <v>0</v>
      </c>
      <c r="W6" s="74">
        <v>1</v>
      </c>
      <c r="X6" s="53" t="str">
        <f t="shared" ref="X6:X37" si="3">INDEX($B$6:$B$117,MATCH(W6,$P$6:$P$117,0))</f>
        <v>TOTAL</v>
      </c>
      <c r="Y6" s="75">
        <f>INDEX($U$6:$U$117,MATCH(W6,$P$6:$P$117,0))</f>
        <v>0.82584000000000002</v>
      </c>
      <c r="Z6" s="75">
        <f>INDEX($V$6:$V$117,MATCH(W6,$P$6:$P$117,0))</f>
        <v>0.17416000000000001</v>
      </c>
      <c r="AA6" s="76">
        <f>MAX(Y6:Z6)</f>
        <v>0.82584000000000002</v>
      </c>
      <c r="AB6" s="46">
        <f>RANK(AC6,$AC$6:$AC$117,1)</f>
        <v>8</v>
      </c>
      <c r="AC6" s="72">
        <f t="shared" ref="AC6:AC37" si="4">(C6*AD6)+AE6</f>
        <v>2.4739999999999993</v>
      </c>
      <c r="AD6" s="46">
        <f>(COUNTIF($AE$6:$AE$117,AE6)&gt;1)*1</f>
        <v>1</v>
      </c>
      <c r="AE6" s="46">
        <f>RANK(AF6,$AF$6:$AF$117)</f>
        <v>2</v>
      </c>
      <c r="AF6" s="46">
        <f>AG6+(AH6/100)</f>
        <v>0</v>
      </c>
      <c r="AG6" s="46" cm="1">
        <f t="array" ref="AG6">ROUND(IFERROR(INDEX(ArchiveResults!$F$5:$IX$116,ComparisonData!A6,ComparisonData!$AG$1),0),5)</f>
        <v>0</v>
      </c>
      <c r="AH6" s="46" cm="1">
        <f t="array" ref="AH6">ROUND(IFERROR(INDEX(ArchiveResults!$F$5:$IX$116,ComparisonData!A6,ComparisonData!$AH$1),0),5)</f>
        <v>0</v>
      </c>
      <c r="AI6" s="74">
        <v>1</v>
      </c>
      <c r="AJ6" s="53" t="str">
        <f t="shared" ref="AJ6:AJ37" si="5">INDEX($B$6:$B$117,MATCH(AI6,$AB$6:$AB$117,0))</f>
        <v>TOTAL</v>
      </c>
      <c r="AK6" s="60">
        <f t="shared" ref="AK6:AK37" si="6">INDEX($AG$6:$AG$117,MATCH(AI6,$AB$6:$AB$117,0))</f>
        <v>0.61368999999999996</v>
      </c>
      <c r="AL6" s="60">
        <f t="shared" ref="AL6:AL37" si="7">INDEX($AH$6:$AH$117,MATCH(AI6,$AB$6:$AB$117,0))</f>
        <v>0.38630999999999999</v>
      </c>
      <c r="AM6" s="76">
        <f>MAX(AK6:AL6)</f>
        <v>0.61368999999999996</v>
      </c>
      <c r="AN6" s="46">
        <f>RANK(AO6,$AO$6:$AO$117,1)</f>
        <v>8</v>
      </c>
      <c r="AO6" s="72">
        <f t="shared" ref="AO6:AO37" si="8">(C6*AP6)+AQ6</f>
        <v>2.4739999999999993</v>
      </c>
      <c r="AP6" s="46">
        <f>(COUNTIF($AQ$6:$AQ$117,AQ6)&gt;1)*1</f>
        <v>1</v>
      </c>
      <c r="AQ6" s="46">
        <f>RANK(AR6,$AR$6:$AR$117)</f>
        <v>2</v>
      </c>
      <c r="AR6" s="46" cm="1">
        <f t="array" ref="AR6">ROUND(IFERROR(INDEX(ArchiveResults!$F$5:$IX$116,ComparisonData!A6,ComparisonData!$AR$1),0),5)</f>
        <v>0</v>
      </c>
      <c r="AS6" s="46" cm="1">
        <f t="array" ref="AS6">ROUND(IFERROR(INDEX(ArchiveResults!$F$5:$IX$116,ComparisonData!A6,ComparisonData!$AS$1),0),5)</f>
        <v>0</v>
      </c>
      <c r="AT6" s="46" cm="1">
        <f t="array" ref="AT6">ROUND(IFERROR(INDEX(ArchiveResults!$F$5:$IX$116,ComparisonData!A6,ComparisonData!$AT$1),0),5)</f>
        <v>0</v>
      </c>
      <c r="AU6" s="46" cm="1">
        <f t="array" ref="AU6">ROUND(IFERROR(INDEX(ArchiveResults!$F$5:$IX$116,ComparisonData!A6,ComparisonData!$AU$1),0),5)</f>
        <v>0</v>
      </c>
      <c r="AV6" s="46" cm="1">
        <f t="array" ref="AV6">ROUND(IFERROR(INDEX(ArchiveResults!$F$5:$IX$116,ComparisonData!A6,ComparisonData!$AV$1),0),5)</f>
        <v>0</v>
      </c>
      <c r="AW6" s="46" cm="1">
        <f t="array" ref="AW6">ROUND(IFERROR(INDEX(ArchiveResults!$F$5:$IX$116,ComparisonData!A6,ComparisonData!$AW$1),0),5)</f>
        <v>0</v>
      </c>
      <c r="AX6" s="46" cm="1">
        <f t="array" ref="AX6">ROUND(IFERROR(INDEX(ArchiveResults!$F$5:$IX$116,ComparisonData!A6,ComparisonData!$AX$1),0),5)</f>
        <v>0</v>
      </c>
      <c r="AY6" s="46" cm="1">
        <f t="array" ref="AY6">ROUND(IFERROR(INDEX(ArchiveResults!$F$5:$IX$116,ComparisonData!A6,ComparisonData!$AY$1),0),5)</f>
        <v>0</v>
      </c>
      <c r="AZ6" s="46" cm="1">
        <f t="array" ref="AZ6">ROUND(IFERROR(INDEX(ArchiveResults!$F$5:$IX$116,ComparisonData!A6,ComparisonData!$AZ$1),0),5)</f>
        <v>0</v>
      </c>
      <c r="BA6" s="46" cm="1">
        <f t="array" ref="BA6">ROUND(IFERROR(INDEX(ArchiveResults!$F$5:$IX$116,ComparisonData!A6,ComparisonData!$BA$1),0),5)</f>
        <v>0</v>
      </c>
      <c r="BB6" s="74">
        <v>1</v>
      </c>
      <c r="BC6" s="53" t="str">
        <f t="shared" ref="BC6:BC37" si="9">INDEX($B$6:$B$117,MATCH(BB6,$AN$6:$AN$117,0))</f>
        <v>TOTAL</v>
      </c>
      <c r="BD6" s="60">
        <f>INDEX($AR$6:$AR$117,MATCH(BB6,$AN$6:$AN$117,0))</f>
        <v>0.36812</v>
      </c>
      <c r="BE6" s="60">
        <f>INDEX($AT$6:$AT$117,MATCH(BB6,$AN$6:$AN$117,0))</f>
        <v>0.27817999999999998</v>
      </c>
      <c r="BF6" s="60">
        <f>INDEX($AV$6:$AV$117,MATCH(BB6,$AN$6:$AN$117,0))</f>
        <v>0.24177000000000001</v>
      </c>
      <c r="BG6" s="60">
        <f>INDEX($AZ$6:$AZ$117,MATCH(BB6,$AN$6:$AN$117,0))</f>
        <v>0.12375</v>
      </c>
      <c r="BH6" s="60">
        <f>INDEX($AS$6:$AS$117,MATCH(BB6,$AN$6:$AN$117,0))</f>
        <v>0.1076</v>
      </c>
      <c r="BI6" s="60">
        <f>INDEX($AY$6:$AY$117,MATCH(BB6,$AN$6:$AN$117,0))</f>
        <v>0.10231</v>
      </c>
      <c r="BJ6" s="60">
        <f>INDEX($AU$6:$AU$117,MATCH(BB6,$AN$6:$AN$117,0))</f>
        <v>9.2700000000000005E-2</v>
      </c>
      <c r="BK6" s="60">
        <f>INDEX($AW$6:$AW$117,MATCH(BB6,$AN$6:$AN$117,0))</f>
        <v>6.1120000000000001E-2</v>
      </c>
      <c r="BL6" s="60">
        <f>INDEX($AX$6:$AX$117,MATCH(BB6,$AN$6:$AN$117,0))</f>
        <v>2.3099999999999999E-2</v>
      </c>
      <c r="BM6" s="60">
        <f>INDEX($BA$6:$BA$117,MATCH(BB6,$AN$6:$AN$117,0))</f>
        <v>0.11119999999999999</v>
      </c>
      <c r="BN6" s="76">
        <f>MAX(BD6:BM6)</f>
        <v>0.36812</v>
      </c>
      <c r="BO6" s="46">
        <f>RANK(BP6,$BP$6:$BP$117,1)</f>
        <v>8</v>
      </c>
      <c r="BP6" s="72">
        <f t="shared" ref="BP6:BP37" si="10">(C6*BQ6)+BR6</f>
        <v>2.4739999999999993</v>
      </c>
      <c r="BQ6" s="46">
        <f>(COUNTIF($BR$6:$BR$117,BR6)&gt;1)*1</f>
        <v>1</v>
      </c>
      <c r="BR6" s="46">
        <f>RANK(BS6,$BS$6:$BS$117)</f>
        <v>2</v>
      </c>
      <c r="BS6" s="46" cm="1">
        <f t="array" ref="BS6">ROUND(IFERROR(INDEX(ArchiveResults!$F$5:$IX$116,ComparisonData!A6,ComparisonData!$BS$1),0),5)</f>
        <v>0</v>
      </c>
      <c r="BT6" s="46" cm="1">
        <f t="array" ref="BT6">ROUND(IFERROR(INDEX(ArchiveResults!$F$5:$IX$116,ComparisonData!A6,ComparisonData!$BT$1),0),5)</f>
        <v>0</v>
      </c>
      <c r="BU6" s="46" cm="1">
        <f t="array" ref="BU6">ROUND(IFERROR(INDEX(ArchiveResults!$F$5:$IX$116,ComparisonData!A6,ComparisonData!$BU$1),0),5)</f>
        <v>0</v>
      </c>
      <c r="BV6" s="46" cm="1">
        <f t="array" ref="BV6">ROUND(IFERROR(INDEX(ArchiveResults!$F$5:$IX$116,ComparisonData!A6,ComparisonData!$BV$1),0),5)</f>
        <v>0</v>
      </c>
      <c r="BW6" s="46" cm="1">
        <f t="array" ref="BW6">ROUND(IFERROR(INDEX(ArchiveResults!$F$5:$IX$116,ComparisonData!A6,ComparisonData!$BW$1),0),5)</f>
        <v>0</v>
      </c>
      <c r="BX6" s="46" cm="1">
        <f t="array" ref="BX6">ROUND(IFERROR(INDEX(ArchiveResults!$F$5:$IX$116,ComparisonData!A6,ComparisonData!$BX$1),0),5)</f>
        <v>0</v>
      </c>
      <c r="BY6" s="74">
        <v>1</v>
      </c>
      <c r="BZ6" s="53" t="str">
        <f t="shared" ref="BZ6:BZ37" si="11">INDEX($B$6:$B$117,MATCH(BY6,$BO$6:$BO$117,0))</f>
        <v>TOTAL</v>
      </c>
      <c r="CA6" s="60">
        <f>INDEX($BS$6:$BS$117,MATCH(BY6,$BO$6:$BO$117,0))</f>
        <v>0.66725999999999996</v>
      </c>
      <c r="CB6" s="60">
        <f>INDEX($BV$6:$BV$117,MATCH(BY6,$BO$6:$BO$117,0))</f>
        <v>0.62524000000000002</v>
      </c>
      <c r="CC6" s="60">
        <f>INDEX($BU$6:$BU$117,MATCH(BY6,$BO$6:$BO$117,0))</f>
        <v>0.47197</v>
      </c>
      <c r="CD6" s="60">
        <f>INDEX($BT$6:$BT$117,MATCH(BY6,$BO$6:$BO$117,0))</f>
        <v>0.42454999999999998</v>
      </c>
      <c r="CE6" s="60">
        <f>INDEX($BW$6:$BW$117,MATCH(BY6,$BO$6:$BO$117,0))</f>
        <v>9.4619999999999996E-2</v>
      </c>
      <c r="CF6" s="60">
        <f>INDEX($BX$6:$BX$117,MATCH(BY6,$BO$6:$BO$117,0))</f>
        <v>0.12681999999999999</v>
      </c>
      <c r="CG6" s="76">
        <f>MAX(CA6:CF6)</f>
        <v>0.66725999999999996</v>
      </c>
      <c r="CH6" s="46">
        <f>RANK(CI6,$CI$6:$CI$117,1)</f>
        <v>8</v>
      </c>
      <c r="CI6" s="72">
        <f t="shared" ref="CI6:CI37" si="12">(C6*CJ6)+CK6</f>
        <v>2.4739999999999993</v>
      </c>
      <c r="CJ6" s="46">
        <f>(COUNTIF($CK$6:$CK$117,CK6)&gt;1)*1</f>
        <v>1</v>
      </c>
      <c r="CK6" s="46">
        <f>RANK(CL6,$CL$6:$CL$117)</f>
        <v>2</v>
      </c>
      <c r="CL6" s="46" cm="1">
        <f t="array" ref="CL6">ROUND(IFERROR(INDEX(ArchiveResults!$F$5:$IX$116,ComparisonData!A6,ComparisonData!$CL$1),0),5)</f>
        <v>0</v>
      </c>
      <c r="CM6" s="74">
        <v>1</v>
      </c>
      <c r="CN6" s="53" t="str">
        <f t="shared" ref="CN6:CN37" si="13">INDEX($B$6:$B$117,MATCH(CM6,$CH$6:$CH$117,0))</f>
        <v>TOTAL</v>
      </c>
      <c r="CO6" s="46">
        <f>INDEX($CL$6:$CL$117,MATCH(CM6,$CH$6:$CH$117,0))</f>
        <v>9.7321399999999993</v>
      </c>
      <c r="CP6" s="76">
        <f>MAX(CO6)</f>
        <v>9.7321399999999993</v>
      </c>
      <c r="CQ6" s="46">
        <f>RANK(CR6,$CR$6:$CR$117,1)</f>
        <v>8</v>
      </c>
      <c r="CR6" s="72">
        <f t="shared" ref="CR6:CR37" si="14">(C6*CS6)+CT6</f>
        <v>2.4739999999999993</v>
      </c>
      <c r="CS6" s="46">
        <f>(COUNTIF($CT$6:$CT$117,CT6)&gt;1)*1</f>
        <v>1</v>
      </c>
      <c r="CT6" s="46">
        <f>RANK(CU6,$CU$6:$CU$117)</f>
        <v>2</v>
      </c>
      <c r="CU6" s="46" cm="1">
        <f t="array" ref="CU6">ROUND(IFERROR(INDEX(ArchiveResults!$F$5:$IX$116,ComparisonData!A6,ComparisonData!$CU$1),0),5)</f>
        <v>0</v>
      </c>
      <c r="CV6" s="74">
        <v>1</v>
      </c>
      <c r="CW6" s="53" t="str">
        <f t="shared" ref="CW6:CW37" si="15">INDEX($B$6:$B$117,MATCH(CV6,$CQ$6:$CQ$117,0))</f>
        <v>TOTAL</v>
      </c>
      <c r="CX6" s="46">
        <f>INDEX($CU$6:$CU$117,MATCH(CV6,$CQ$6:$CQ$117,0))</f>
        <v>9.7970400000000009</v>
      </c>
      <c r="CY6" s="76">
        <f>MAX(CX6)</f>
        <v>9.7970400000000009</v>
      </c>
      <c r="CZ6" s="46">
        <f>RANK(DA6,$DA$6:$DA$117,1)</f>
        <v>8</v>
      </c>
      <c r="DA6" s="72">
        <f t="shared" ref="DA6:DA37" si="16">(C6*DB6)+DC6</f>
        <v>2.4739999999999993</v>
      </c>
      <c r="DB6" s="46">
        <f>(COUNTIF($DC$6:$DC$117,DC6)&gt;1)*1</f>
        <v>1</v>
      </c>
      <c r="DC6" s="46">
        <f>RANK(DD6,$DD$6:$DD$117)</f>
        <v>2</v>
      </c>
      <c r="DD6" s="46" cm="1">
        <f t="array" ref="DD6">ROUND(IFERROR(INDEX(ArchiveResults!$F$5:$IX$116,ComparisonData!A6,ComparisonData!$DD$1),0),5)</f>
        <v>0</v>
      </c>
      <c r="DE6" s="74">
        <v>1</v>
      </c>
      <c r="DF6" s="53" t="str">
        <f t="shared" ref="DF6:DF37" si="17">INDEX($B$6:$B$117,MATCH(DE6,$CZ$6:$CZ$117,0))</f>
        <v>TOTAL</v>
      </c>
      <c r="DG6" s="46">
        <f>INDEX($DD$6:$DD$117,MATCH(DE6,$CZ$6:$CZ$117,0))</f>
        <v>9.7543100000000003</v>
      </c>
      <c r="DH6" s="76">
        <f>MAX(DG6)</f>
        <v>9.7543100000000003</v>
      </c>
      <c r="DI6" s="46">
        <f>RANK(DJ6,$DJ$6:$DJ$117,1)</f>
        <v>8</v>
      </c>
      <c r="DJ6" s="72">
        <f t="shared" ref="DJ6:DJ37" si="18">(C6*DK6)+DL6</f>
        <v>2.4739999999999993</v>
      </c>
      <c r="DK6" s="46">
        <f>(COUNTIF($DL$6:$DL$117,DL6)&gt;1)*1</f>
        <v>1</v>
      </c>
      <c r="DL6" s="46">
        <f>RANK(DM6,$DM$6:$DM$117)</f>
        <v>2</v>
      </c>
      <c r="DM6" s="46" cm="1">
        <f t="array" ref="DM6">ROUND(IFERROR(INDEX(ArchiveResults!$F$5:$IX$116,ComparisonData!A6,ComparisonData!$DM$1),0),5)</f>
        <v>0</v>
      </c>
      <c r="DN6" s="46" cm="1">
        <f t="array" ref="DN6">ROUND(IFERROR(INDEX(ArchiveResults!$F$5:$IX$116,ComparisonData!A6,ComparisonData!$DN$1),0),5)</f>
        <v>0</v>
      </c>
      <c r="DO6" s="46" cm="1">
        <f t="array" ref="DO6">ROUND(IFERROR(INDEX(ArchiveResults!$F$5:$IX$116,ComparisonData!A6,ComparisonData!$DO$1),0),5)</f>
        <v>0</v>
      </c>
      <c r="DP6" s="46" cm="1">
        <f t="array" ref="DP6">ROUND(IFERROR(INDEX(ArchiveResults!$F$5:$IX$116,ComparisonData!A6,ComparisonData!$DP$1),0),5)</f>
        <v>0</v>
      </c>
      <c r="DQ6" s="46" cm="1">
        <f t="array" ref="DQ6">IFERROR(INDEX(ArchiveResults!$F$5:$IX$116,ComparisonData!A6,ComparisonData!$DQ$1),0)</f>
        <v>0</v>
      </c>
      <c r="DR6" s="74">
        <v>1</v>
      </c>
      <c r="DS6" s="53" t="str">
        <f t="shared" ref="DS6:DS37" si="19">INDEX($B$6:$B$117,MATCH(DR6,$DI$6:$DI$117,0))</f>
        <v>TOTAL</v>
      </c>
      <c r="DT6" s="60">
        <f>INDEX($DM$6:$DM$117,MATCH(DR6,$DI$6:$DI$117,0))</f>
        <v>0.58443999999999996</v>
      </c>
      <c r="DU6" s="60">
        <f>INDEX($DN$6:$DN$117,MATCH(DR6,$DI$6:$DI$117,0))</f>
        <v>0.31924000000000002</v>
      </c>
      <c r="DV6" s="60">
        <f>INDEX($DO$6:$DO$117,MATCH(DR6,$DI$6:$DI$117,0))</f>
        <v>3.058E-2</v>
      </c>
      <c r="DW6" s="60">
        <f>INDEX($DP$6:$DP$117,MATCH(DR6,$DI$6:$DI$117,0))</f>
        <v>5.3539999999999997E-2</v>
      </c>
      <c r="DX6" s="60">
        <f>INDEX($DQ$6:$DQ$117,MATCH(DR6,$DI$6:$DI$117,0))</f>
        <v>1.2194064317467756E-2</v>
      </c>
      <c r="DY6" s="76">
        <f>MAX(DT6:DX6)</f>
        <v>0.58443999999999996</v>
      </c>
      <c r="DZ6" s="46">
        <f>RANK(EA6,$EA$6:$EA$117,1)</f>
        <v>8</v>
      </c>
      <c r="EA6" s="72">
        <f t="shared" ref="EA6:EA37" si="20">(C6*EB6)+EC6</f>
        <v>2.4739999999999993</v>
      </c>
      <c r="EB6" s="46">
        <f>(COUNTIF($EC$6:$EC$117,EC6)&gt;1)*1</f>
        <v>1</v>
      </c>
      <c r="EC6" s="46">
        <f>RANK(ED6,$ED$6:$ED$117)</f>
        <v>2</v>
      </c>
      <c r="ED6" s="46" cm="1">
        <f t="array" ref="ED6">ROUND(IFERROR(INDEX(ArchiveResults!$F$5:$IX$116,ComparisonData!A6,ComparisonData!$ED$1),0),5)</f>
        <v>0</v>
      </c>
      <c r="EE6" s="46" cm="1">
        <f t="array" ref="EE6">ROUND(IFERROR(INDEX(ArchiveResults!$F$5:$IX$116,ComparisonData!A6,ComparisonData!$EE$1),0),5)</f>
        <v>0</v>
      </c>
      <c r="EF6" s="46" cm="1">
        <f t="array" ref="EF6">ROUND(IFERROR(INDEX(ArchiveResults!$F$5:$IX$116,ComparisonData!A6,ComparisonData!$EF$1),0),5)</f>
        <v>0</v>
      </c>
      <c r="EG6" s="46" cm="1">
        <f t="array" ref="EG6">ROUND(IFERROR(INDEX(ArchiveResults!$F$5:$IX$116,ComparisonData!A6,ComparisonData!$EG$1),0),5)</f>
        <v>0</v>
      </c>
      <c r="EH6" s="46" cm="1">
        <f t="array" ref="EH6">IFERROR(INDEX(ArchiveResults!$F$5:$IX$116,ComparisonData!A6,ComparisonData!$EH$1),0)</f>
        <v>0</v>
      </c>
      <c r="EI6" s="74">
        <v>1</v>
      </c>
      <c r="EJ6" s="53" t="str">
        <f t="shared" ref="EJ6:EJ37" si="21">INDEX($B$6:$B$117,MATCH(EI6,$DZ$6:$DZ$117,0))</f>
        <v>TOTAL</v>
      </c>
      <c r="EK6" s="60">
        <f>INDEX($ED$6:$ED$117,MATCH(EI6,$DZ$6:$DZ$117,0))</f>
        <v>0.83972000000000002</v>
      </c>
      <c r="EL6" s="60">
        <f>INDEX($EE$6:$EE$117,MATCH(EI6,$DZ$6:$DZ$117,0))</f>
        <v>0.13768</v>
      </c>
      <c r="EM6" s="60">
        <f>INDEX($EF$6:$EF$117,MATCH(EI6,$DZ$6:$DZ$117,0))</f>
        <v>1.417E-2</v>
      </c>
      <c r="EN6" s="60">
        <f>INDEX($EG$6:$EG$117,MATCH(EI6,$DZ$6:$DZ$117,0))</f>
        <v>7.6800000000000002E-3</v>
      </c>
      <c r="EO6" s="60">
        <f>INDEX($EH$6:$EH$117,MATCH(EI6,$DZ$6:$DZ$117,0))</f>
        <v>7.4641892651941088E-4</v>
      </c>
      <c r="EP6" s="76">
        <f>MAX(EK6:EO6)</f>
        <v>0.83972000000000002</v>
      </c>
      <c r="EQ6" s="46">
        <f>RANK(ER6,$ER$6:$ER$117,1)</f>
        <v>8</v>
      </c>
      <c r="ER6" s="72">
        <f t="shared" ref="ER6:ER37" si="22">(C6*ES6)+ET6</f>
        <v>2.4739999999999993</v>
      </c>
      <c r="ES6" s="46">
        <f>(COUNTIF($ET$6:$ET$117,ET6)&gt;1)*1</f>
        <v>1</v>
      </c>
      <c r="ET6" s="46">
        <f>RANK(EU6,$EU$6:$EU$117)</f>
        <v>2</v>
      </c>
      <c r="EU6" s="46" cm="1">
        <f t="array" ref="EU6">ROUND(IFERROR(INDEX(ArchiveResults!$F$5:$IX$116,ComparisonData!A6,ComparisonData!$EU$1),0),5)</f>
        <v>0</v>
      </c>
      <c r="EV6" s="46" cm="1">
        <f t="array" ref="EV6">ROUND(IFERROR(INDEX(ArchiveResults!$F$5:$IX$116,ComparisonData!A6,ComparisonData!$EV$1),0),5)</f>
        <v>0</v>
      </c>
      <c r="EW6" s="46" cm="1">
        <f t="array" ref="EW6">ROUND(IFERROR(INDEX(ArchiveResults!$F$5:$IX$116,ComparisonData!A6,ComparisonData!$EW$1),0),5)</f>
        <v>0</v>
      </c>
      <c r="EX6" s="46" cm="1">
        <f t="array" ref="EX6">ROUND(IFERROR(INDEX(ArchiveResults!$F$5:$IX$116,ComparisonData!A6,ComparisonData!$EX$1),0),5)</f>
        <v>0</v>
      </c>
      <c r="EY6" s="46" cm="1">
        <f t="array" ref="EY6">IFERROR(INDEX(ArchiveResults!$F$5:$IX$116,ComparisonData!A6,ComparisonData!$EY$1),0)</f>
        <v>0</v>
      </c>
      <c r="EZ6" s="74">
        <v>1</v>
      </c>
      <c r="FA6" s="53" t="str">
        <f t="shared" ref="FA6:FA37" si="23">INDEX($B$6:$B$117,MATCH(EZ6,$EQ$6:$EQ$117,0))</f>
        <v>TOTAL</v>
      </c>
      <c r="FB6" s="60">
        <f>INDEX($EU$6:$EU$117,MATCH(EZ6,$EQ$6:$EQ$117,0))</f>
        <v>0.80511999999999995</v>
      </c>
      <c r="FC6" s="60">
        <f>INDEX($EV$6:$EV$117,MATCH(EZ6,$EQ$6:$EQ$117,0))</f>
        <v>0.16395999999999999</v>
      </c>
      <c r="FD6" s="60">
        <f>INDEX($EW$6:$EW$117,MATCH(EZ6,$EQ$6:$EQ$117,0))</f>
        <v>2.444E-2</v>
      </c>
      <c r="FE6" s="60">
        <f>INDEX($EX$6:$EX$117,MATCH(EZ6,$EQ$6:$EQ$117,0))</f>
        <v>4.6299999999999996E-3</v>
      </c>
      <c r="FF6" s="60">
        <f>INDEX($EY$6:$EY$117,MATCH(EZ6,$EQ$6:$EQ$117,0))</f>
        <v>1.8488321120624872E-3</v>
      </c>
      <c r="FG6" s="76">
        <f>MAX(FB6:FF6)</f>
        <v>0.80511999999999995</v>
      </c>
      <c r="FH6" s="46">
        <f>RANK(FI6,$FI$6:$FI$117,1)</f>
        <v>8</v>
      </c>
      <c r="FI6" s="72">
        <f t="shared" ref="FI6:FI37" si="24">(C6*FJ6)+FK6</f>
        <v>2.4739999999999993</v>
      </c>
      <c r="FJ6" s="46">
        <f>(COUNTIF($FK$6:$FK$117,FK6)&gt;1)*1</f>
        <v>1</v>
      </c>
      <c r="FK6" s="46">
        <f>RANK(FL6,$FL$6:$FL$117)</f>
        <v>2</v>
      </c>
      <c r="FL6" s="46" cm="1">
        <f t="array" ref="FL6">ROUND(IFERROR(INDEX(ArchiveResults!$F$5:$IX$116,ComparisonData!A6,ComparisonData!$FL$1),0),5)</f>
        <v>0</v>
      </c>
      <c r="FM6" s="46" cm="1">
        <f t="array" ref="FM6">ROUND(IFERROR(INDEX(ArchiveResults!$F$5:$IX$116,ComparisonData!A6,ComparisonData!$FM$1),0),5)</f>
        <v>0</v>
      </c>
      <c r="FN6" s="46" cm="1">
        <f t="array" ref="FN6">ROUND(IFERROR(INDEX(ArchiveResults!$F$5:$IX$116,ComparisonData!A6,ComparisonData!$FN$1),0),5)</f>
        <v>0</v>
      </c>
      <c r="FO6" s="46" cm="1">
        <f t="array" ref="FO6">ROUND(IFERROR(INDEX(ArchiveResults!$F$5:$IX$116,ComparisonData!A6,ComparisonData!$FO$1),0),5)</f>
        <v>0</v>
      </c>
      <c r="FP6" s="46" cm="1">
        <f t="array" ref="FP6">IFERROR(INDEX(ArchiveResults!$F$5:$IX$116,ComparisonData!A6,ComparisonData!$FP$1),0)</f>
        <v>0</v>
      </c>
      <c r="FQ6" s="74">
        <v>1</v>
      </c>
      <c r="FR6" s="53" t="str">
        <f t="shared" ref="FR6:FR37" si="25">INDEX($B$6:$B$117,MATCH(FQ6,$FH$6:$FH$117,0))</f>
        <v>TOTAL</v>
      </c>
      <c r="FS6" s="60">
        <f>INDEX($FL$6:$FL$117,MATCH(FQ6,$FH$6:$FH$117,0))</f>
        <v>0.85409000000000002</v>
      </c>
      <c r="FT6" s="60">
        <f>INDEX($FM$6:$FM$117,MATCH(FQ6,$FH$6:$FH$117,0))</f>
        <v>0.12791</v>
      </c>
      <c r="FU6" s="60">
        <f>INDEX($FN$6:$FN$117,MATCH(FQ6,$FH$6:$FH$117,0))</f>
        <v>1.2659999999999999E-2</v>
      </c>
      <c r="FV6" s="60">
        <f>INDEX($FO$6:$FO$117,MATCH(FQ6,$FH$6:$FH$117,0))</f>
        <v>4.2399999999999998E-3</v>
      </c>
      <c r="FW6" s="60">
        <f>INDEX($FP$6:$FP$117,MATCH(FQ6,$FH$6:$FH$117,0))</f>
        <v>1.0861417337088553E-3</v>
      </c>
      <c r="FX6" s="76">
        <f>MAX(FS6:FW6)</f>
        <v>0.85409000000000002</v>
      </c>
      <c r="FY6" s="46">
        <f>RANK(FZ6,$FZ$6:$FZ$117,1)</f>
        <v>8</v>
      </c>
      <c r="FZ6" s="46">
        <f t="shared" ref="FZ6:FZ37" si="26">(C6*GA6)+GB6</f>
        <v>2.4739999999999993</v>
      </c>
      <c r="GA6" s="46">
        <f>(COUNTIF($GB$6:$GB$117,GB6)&gt;1)*1</f>
        <v>1</v>
      </c>
      <c r="GB6" s="46">
        <f>RANK(GC6,$GC$6:$GC$117)</f>
        <v>2</v>
      </c>
      <c r="GC6" s="46" cm="1">
        <f t="array" ref="GC6">ROUND(IFERROR(INDEX(ArchiveResults!$F$5:$IX$116,ComparisonData!A6,ComparisonData!$GC$1),0),5)</f>
        <v>0</v>
      </c>
      <c r="GD6" s="46" cm="1">
        <f t="array" ref="GD6">ROUND(IFERROR(INDEX(ArchiveResults!$F$5:$IX$116,ComparisonData!A6,ComparisonData!$GD$1),0),5)</f>
        <v>0</v>
      </c>
      <c r="GE6" s="46" cm="1">
        <f t="array" ref="GE6">ROUND(IFERROR(INDEX(ArchiveResults!$F$5:$IX$116,ComparisonData!A6,ComparisonData!$GE$1),0),5)</f>
        <v>0</v>
      </c>
      <c r="GF6" s="46" cm="1">
        <f t="array" ref="GF6">ROUND(IFERROR(INDEX(ArchiveResults!$F$5:$IX$116,ComparisonData!A6,ComparisonData!$GF$1),0),5)</f>
        <v>0</v>
      </c>
      <c r="GG6" s="46" cm="1">
        <f t="array" ref="GG6">IFERROR(INDEX(ArchiveResults!$F$5:$IX$116,ComparisonData!A6,ComparisonData!$GG$1),0)</f>
        <v>0</v>
      </c>
      <c r="GH6" s="74">
        <v>1</v>
      </c>
      <c r="GI6" s="53" t="str">
        <f t="shared" ref="GI6:GI37" si="27">INDEX($B$6:$B$117,MATCH(GH6,$FY$6:$FY$117,0))</f>
        <v>TOTAL</v>
      </c>
      <c r="GJ6" s="60">
        <f>INDEX($GC$6:$GC$117,MATCH(GH6,$FY$6:$FY$117,0))</f>
        <v>0.74204999999999999</v>
      </c>
      <c r="GK6" s="60">
        <f>INDEX($GD$6:$GD$117,MATCH(GH6,$FY$6:$FY$117,0))</f>
        <v>0.20868</v>
      </c>
      <c r="GL6" s="60">
        <f>INDEX($GE$6:$GE$117,MATCH(GH6,$FY$6:$FY$117,0))</f>
        <v>2.563E-2</v>
      </c>
      <c r="GM6" s="60">
        <f>INDEX($GF$6:$GF$117,MATCH(GH6,$FY$6:$FY$117,0))</f>
        <v>1.788E-2</v>
      </c>
      <c r="GN6" s="60">
        <f>INDEX($GG$6:$GG$117,MATCH(GH6,$FY$6:$FY$117,0))</f>
        <v>5.7536071305144855E-3</v>
      </c>
      <c r="GO6" s="76">
        <f>MAX(GJ6:GN6)</f>
        <v>0.74204999999999999</v>
      </c>
      <c r="GP6" s="46">
        <f>RANK(GQ6,$GQ$6:$GQ$117,1)</f>
        <v>8</v>
      </c>
      <c r="GQ6" s="46">
        <f t="shared" ref="GQ6:GQ37" si="28">(C6*GR6)+GS6</f>
        <v>2.4739999999999993</v>
      </c>
      <c r="GR6" s="46">
        <f>(COUNTIF($GS$6:$GS$117,GS6)&gt;1)*1</f>
        <v>1</v>
      </c>
      <c r="GS6" s="46">
        <f>RANK(GT6,$GT$6:$GT$117)</f>
        <v>2</v>
      </c>
      <c r="GT6" s="46" cm="1">
        <f t="array" ref="GT6">ROUND(IFERROR(INDEX(ArchiveResults!$F$5:$IX$116,ComparisonData!A6,ComparisonData!$GT$1),0),5)</f>
        <v>0</v>
      </c>
      <c r="GU6" s="46" cm="1">
        <f t="array" ref="GU6">ROUND(IFERROR(INDEX(ArchiveResults!$F$5:$IX$116,ComparisonData!A6,ComparisonData!$GU$1),0),5)</f>
        <v>0</v>
      </c>
      <c r="GV6" s="46" cm="1">
        <f t="array" ref="GV6">ROUND(IFERROR(INDEX(ArchiveResults!$F$5:$IX$116,ComparisonData!A6,ComparisonData!$GV$1),0),5)</f>
        <v>0</v>
      </c>
      <c r="GW6" s="46" cm="1">
        <f t="array" ref="GW6">ROUND(IFERROR(INDEX(ArchiveResults!$F$5:$IX$116,ComparisonData!A6,ComparisonData!$GW$1),0),5)</f>
        <v>0</v>
      </c>
      <c r="GX6" s="46" cm="1">
        <f t="array" ref="GX6">IFERROR(INDEX(ArchiveResults!$F$5:$IX$116,ComparisonData!A6,ComparisonData!$GX$1),0)</f>
        <v>0</v>
      </c>
      <c r="GY6" s="74">
        <v>1</v>
      </c>
      <c r="GZ6" s="53" t="str">
        <f t="shared" ref="GZ6:GZ37" si="29">INDEX($B$6:$B$117,MATCH(GY6,$GP$6:$GP$117,0))</f>
        <v>TOTAL</v>
      </c>
      <c r="HA6" s="60">
        <f>INDEX($GT$6:$GT$117,MATCH(GY6,$GP$6:$GP$117,0))</f>
        <v>0.84221999999999997</v>
      </c>
      <c r="HB6" s="60">
        <f>INDEX($GU$6:$GU$117,MATCH(GY6,$GP$6:$GP$117,0))</f>
        <v>0.13314000000000001</v>
      </c>
      <c r="HC6" s="60">
        <f>INDEX($GV$6:$GV$117,MATCH(GY6,$GP$6:$GP$117,0))</f>
        <v>1.77E-2</v>
      </c>
      <c r="HD6" s="60">
        <f>INDEX($GW$6:$GW$117,MATCH(GY6,$GP$6:$GP$117,0))</f>
        <v>6.8500000000000002E-3</v>
      </c>
      <c r="HE6" s="60">
        <f>INDEX($GX$6:$GX$117,MATCH(GY6,$GP$6:$GP$117,0))</f>
        <v>8.6741121813139601E-5</v>
      </c>
      <c r="HF6" s="76">
        <f>MAX(HA6:HE6)</f>
        <v>0.84221999999999997</v>
      </c>
      <c r="HG6" s="46">
        <f>RANK(HH6,$HH$6:$HH$117,1)</f>
        <v>8</v>
      </c>
      <c r="HH6" s="46">
        <f t="shared" ref="HH6:HH37" si="30">(C6*HI6)+HJ6</f>
        <v>2.4739999999999993</v>
      </c>
      <c r="HI6" s="46">
        <f>(COUNTIF($HJ$6:$HJ$117,HJ6)&gt;1)*1</f>
        <v>1</v>
      </c>
      <c r="HJ6" s="46">
        <f>RANK(HK6,$HK$6:$HK$117)</f>
        <v>2</v>
      </c>
      <c r="HK6" s="46" cm="1">
        <f t="array" ref="HK6">ROUND(IFERROR(INDEX(ArchiveResults!$F$5:$IX$116,ComparisonData!A6,ComparisonData!$HK$1),0),5)</f>
        <v>0</v>
      </c>
      <c r="HL6" s="46" cm="1">
        <f t="array" ref="HL6">ROUND(IFERROR(INDEX(ArchiveResults!$F$5:$IX$116,ComparisonData!A6,ComparisonData!$HL$1),0),5)</f>
        <v>0</v>
      </c>
      <c r="HM6" s="46" cm="1">
        <f t="array" ref="HM6">ROUND(IFERROR(INDEX(ArchiveResults!$F$5:$IX$116,ComparisonData!A6,ComparisonData!$HM$1),0),5)</f>
        <v>0</v>
      </c>
      <c r="HN6" s="46" cm="1">
        <f t="array" ref="HN6">ROUND(IFERROR(INDEX(ArchiveResults!$F$5:$IX$116,ComparisonData!A6,ComparisonData!$HN$1),0),5)</f>
        <v>0</v>
      </c>
      <c r="HO6" s="46" cm="1">
        <f t="array" ref="HO6">IFERROR(INDEX(ArchiveResults!$F$5:$IX$116,ComparisonData!A6,ComparisonData!$HO$1),0)</f>
        <v>0</v>
      </c>
      <c r="HP6" s="74">
        <v>1</v>
      </c>
      <c r="HQ6" s="53" t="str">
        <f t="shared" ref="HQ6:HQ37" si="31">INDEX($B$6:$B$117,MATCH(HP6,$HG$6:$HG$117,0))</f>
        <v>TOTAL</v>
      </c>
      <c r="HR6" s="60">
        <f t="shared" ref="HR6:HR37" si="32">INDEX($HK$6:$HK$117,MATCH(HP6,$HG$6:$HG$117,0))</f>
        <v>0.74123000000000006</v>
      </c>
      <c r="HS6" s="60">
        <f t="shared" ref="HS6:HS37" si="33">INDEX($HL$6:$HL$117,MATCH(HP6,$HG$6:$HG$117,0))</f>
        <v>0.17649000000000001</v>
      </c>
      <c r="HT6" s="60">
        <f t="shared" ref="HT6:HT37" si="34">INDEX($HM$6:$HM$117,MATCH(HP6,$HG$6:$HG$117,0))</f>
        <v>3.798E-2</v>
      </c>
      <c r="HU6" s="60">
        <f t="shared" ref="HU6:HU37" si="35">INDEX($HN$6:$HN$117,MATCH(HP6,$HG$6:$HG$117,0))</f>
        <v>3.2480000000000002E-2</v>
      </c>
      <c r="HV6" s="60">
        <f t="shared" ref="HV6:HV37" si="36">INDEX($HO$6:$HO$117,MATCH(HP6,$HG$6:$HG$117,0))</f>
        <v>1.1816717721876889E-2</v>
      </c>
      <c r="HW6" s="76">
        <f>MAX(HR6:HV6)</f>
        <v>0.74123000000000006</v>
      </c>
      <c r="HX6" s="46">
        <f>RANK(HY6,$HY$6:$HY$117,1)</f>
        <v>8</v>
      </c>
      <c r="HY6" s="46">
        <f t="shared" ref="HY6:HY37" si="37">(C6*HZ6)+IA6</f>
        <v>2.4739999999999993</v>
      </c>
      <c r="HZ6" s="46">
        <f>(COUNTIF($IA$6:$IA$117,IA6)&gt;1)*1</f>
        <v>1</v>
      </c>
      <c r="IA6" s="46">
        <f>RANK(IB6,$IB$6:$IB$117)</f>
        <v>2</v>
      </c>
      <c r="IB6" s="46">
        <f>IC6+(ID6/100)+(IE6/1000)+(IF6/10000)</f>
        <v>0</v>
      </c>
      <c r="IC6" s="46" cm="1">
        <f t="array" ref="IC6">ROUND(IFERROR(INDEX(ArchiveResults!$F$5:$IX$116,ComparisonData!A6,ComparisonData!$IC$1),0),5)</f>
        <v>0</v>
      </c>
      <c r="ID6" s="46" cm="1">
        <f t="array" ref="ID6">ROUND(IFERROR(INDEX(ArchiveResults!$F$5:$IX$116,ComparisonData!A6,ComparisonData!$ID$1),0),5)</f>
        <v>0</v>
      </c>
      <c r="IE6" s="46" cm="1">
        <f t="array" ref="IE6">ROUND(IFERROR(INDEX(ArchiveResults!$F$5:$IX$116,ComparisonData!A6,ComparisonData!$IE$1),0),5)</f>
        <v>0</v>
      </c>
      <c r="IF6" s="46" cm="1">
        <f t="array" ref="IF6">ROUND(IFERROR(INDEX(ArchiveResults!$F$5:$IX$116,ComparisonData!A6,ComparisonData!$IF$1),0),5)</f>
        <v>0</v>
      </c>
      <c r="IG6" s="46" cm="1">
        <f t="array" ref="IG6">IFERROR(INDEX(ArchiveResults!$F$5:$IX$116,ComparisonData!A6,ComparisonData!$IG$1),0)</f>
        <v>0</v>
      </c>
      <c r="IH6" s="74">
        <v>1</v>
      </c>
      <c r="II6" s="53" t="str">
        <f t="shared" ref="II6:II37" si="38">INDEX($B$6:$B$117,MATCH(IH6,$HX$6:$HX$117,0))</f>
        <v>TOTAL</v>
      </c>
      <c r="IJ6" s="60">
        <f>INDEX($IC$6:$IC$117,MATCH(IH6,$HX$6:$HX$117,0))</f>
        <v>0.81316999999999995</v>
      </c>
      <c r="IK6" s="60">
        <f>INDEX($ID$6:$ID$117,MATCH(IH6,$HX$6:$HX$117,0))</f>
        <v>0.15622</v>
      </c>
      <c r="IL6" s="60">
        <f>INDEX($IE$6:$IE$117,MATCH(IH6,$HX$6:$HX$117,0))</f>
        <v>2.3900000000000001E-2</v>
      </c>
      <c r="IM6" s="60">
        <f>INDEX($IF$6:$IF$117,MATCH(IH6,$HX$6:$HX$117,0))</f>
        <v>5.4799999999999996E-3</v>
      </c>
      <c r="IN6" s="60">
        <f>INDEX($IG$6:$IG$117,MATCH(IH6,$HX$6:$HX$117,0))</f>
        <v>1.237790383125676E-3</v>
      </c>
      <c r="IO6" s="76">
        <f>MAX(IJ6:IN6)</f>
        <v>0.81316999999999995</v>
      </c>
      <c r="IP6" s="46">
        <f>RANK(IQ6,$IQ$6:$IQ$117,1)</f>
        <v>8</v>
      </c>
      <c r="IQ6" s="46">
        <f t="shared" ref="IQ6:IQ37" si="39">(C6*IR6)+IS6</f>
        <v>2.4739999999999993</v>
      </c>
      <c r="IR6" s="46">
        <f>(COUNTIF($IS$6:$IS$117,IS6)&gt;1)*1</f>
        <v>1</v>
      </c>
      <c r="IS6" s="46">
        <f>RANK(IT6,$IT$6:$IT$117)</f>
        <v>2</v>
      </c>
      <c r="IT6" s="46">
        <f>IU6+(IV6/100)+(IW6/1000)+(IX6/10000)+(IY6/100000)</f>
        <v>0</v>
      </c>
      <c r="IU6" s="46" cm="1">
        <f t="array" ref="IU6">ROUND(IFERROR(INDEX(ArchiveResults!$F$5:$IX$116,ComparisonData!A6,ComparisonData!$IU$1),0),5)</f>
        <v>0</v>
      </c>
      <c r="IV6" s="46" cm="1">
        <f t="array" ref="IV6">ROUND(IFERROR(INDEX(ArchiveResults!$F$5:$IX$116,ComparisonData!A6,ComparisonData!$IV$1),0),5)</f>
        <v>0</v>
      </c>
      <c r="IW6" s="46" cm="1">
        <f t="array" ref="IW6">ROUND(IFERROR(INDEX(ArchiveResults!$F$5:$IX$116,ComparisonData!A6,ComparisonData!$IW$1),0),5)</f>
        <v>0</v>
      </c>
      <c r="IX6" s="46" cm="1">
        <f t="array" ref="IX6">ROUND(IFERROR(INDEX(ArchiveResults!$F$5:$IX$116,ComparisonData!A6,ComparisonData!$IX$1),0),5)</f>
        <v>0</v>
      </c>
      <c r="IY6" s="46" cm="1">
        <f t="array" ref="IY6">IFERROR(INDEX(ArchiveResults!$F$5:$IX$116,ComparisonData!A6,ComparisonData!$IY$1),0)</f>
        <v>0</v>
      </c>
      <c r="IZ6" s="74">
        <v>1</v>
      </c>
      <c r="JA6" s="53" t="str">
        <f t="shared" ref="JA6:JA37" si="40">INDEX($B$6:$B$117,MATCH(IZ6,$IP$6:$IP$117,0))</f>
        <v>TOTAL</v>
      </c>
      <c r="JB6" s="60">
        <f>INDEX($IU$6:$IU$117,MATCH(IZ6,$IP$6:$IP$117,0))</f>
        <v>0.65446000000000004</v>
      </c>
      <c r="JC6" s="60">
        <f>INDEX($IV$6:$IV$117,MATCH(IZ6,$IP$6:$IP$117,0))</f>
        <v>0.27461999999999998</v>
      </c>
      <c r="JD6" s="60">
        <f>INDEX($IW$6:$IW$117,MATCH(IZ6,$IP$6:$IP$117,0))</f>
        <v>4.5109999999999997E-2</v>
      </c>
      <c r="JE6" s="60">
        <f>INDEX($IX$6:$IX$117,MATCH(IZ6,$IP$6:$IP$117,0))</f>
        <v>2.1690000000000001E-2</v>
      </c>
      <c r="JF6" s="60">
        <f>INDEX($IY$6:$IY$117,MATCH(IZ6,$IP$6:$IP$117,0))</f>
        <v>4.1208982349612714E-3</v>
      </c>
      <c r="JG6" s="76">
        <f>MAX(JB6:JF6)</f>
        <v>0.65446000000000004</v>
      </c>
      <c r="JH6" s="46">
        <f>RANK(JI6,$JI$6:$JI$117,1)</f>
        <v>8</v>
      </c>
      <c r="JI6" s="46">
        <f t="shared" ref="JI6:JI37" si="41">(C6*JJ6)+JK6</f>
        <v>2.4739999999999993</v>
      </c>
      <c r="JJ6" s="46">
        <f>(COUNTIF($JK$6:$JK$117,JK6)&gt;1)*1</f>
        <v>1</v>
      </c>
      <c r="JK6" s="46">
        <f>RANK(JL6,$JL$6:$JL$117)</f>
        <v>2</v>
      </c>
      <c r="JL6" s="46">
        <f>JM6+(JN6/100)+(JO6/1000)+(JP6/10000)</f>
        <v>0</v>
      </c>
      <c r="JM6" s="46" cm="1">
        <f t="array" ref="JM6">ROUND(IFERROR(INDEX(ArchiveResults!$F$5:$IX$116,ComparisonData!A6,ComparisonData!$JM$1),0),5)</f>
        <v>0</v>
      </c>
      <c r="JN6" s="46" cm="1">
        <f t="array" ref="JN6">ROUND(IFERROR(INDEX(ArchiveResults!$F$5:$IX$116,ComparisonData!A6,ComparisonData!$JN$1),0),5)</f>
        <v>0</v>
      </c>
      <c r="JO6" s="46" cm="1">
        <f t="array" ref="JO6">ROUND(IFERROR(INDEX(ArchiveResults!$F$5:$IX$116,ComparisonData!A6,ComparisonData!$JO$1),0),5)</f>
        <v>0</v>
      </c>
      <c r="JP6" s="46" cm="1">
        <f t="array" ref="JP6">ROUND(IFERROR(INDEX(ArchiveResults!$F$5:$IX$116,ComparisonData!A6,ComparisonData!$JP$1),0),5)</f>
        <v>0</v>
      </c>
      <c r="JQ6" s="46" cm="1">
        <f t="array" ref="JQ6">IFERROR(INDEX(ArchiveResults!$F$5:$IX$116,ComparisonData!A6,ComparisonData!$JQ$1),0)</f>
        <v>0</v>
      </c>
      <c r="JR6" s="74">
        <v>1</v>
      </c>
      <c r="JS6" s="53" t="str">
        <f t="shared" ref="JS6:JS37" si="42">INDEX($B$6:$B$117,MATCH(JR6,$JH$6:$JH$117,0))</f>
        <v>TOTAL</v>
      </c>
      <c r="JT6" s="60">
        <f>INDEX($JM$6:$JM$117,MATCH(JR6,$JH$6:$JH$117,0))</f>
        <v>0.52966000000000002</v>
      </c>
      <c r="JU6" s="60">
        <f>INDEX($JN$6:$JN$117,MATCH(JR6,$JH$6:$JH$117,0))</f>
        <v>0.35549999999999998</v>
      </c>
      <c r="JV6" s="60">
        <f>INDEX($JO$6:$JO$117,MATCH(JR6,$JH$6:$JH$117,0))</f>
        <v>6.8959999999999994E-2</v>
      </c>
      <c r="JW6" s="60">
        <f>INDEX($JP$6:$JP$117,MATCH(JR6,$JH$6:$JH$117,0))</f>
        <v>3.5700000000000003E-2</v>
      </c>
      <c r="JX6" s="60">
        <f>INDEX($JQ$6:$JQ$117,MATCH(JR6,$JH$6:$JH$117,0))</f>
        <v>1.0174292985251038E-2</v>
      </c>
      <c r="JY6" s="76">
        <f>MAX(JT6:JX6)</f>
        <v>0.52966000000000002</v>
      </c>
      <c r="JZ6" s="46">
        <f>RANK(KA6,$KA$6:$KA$117,1)</f>
        <v>8</v>
      </c>
      <c r="KA6" s="46">
        <f t="shared" ref="KA6:KA37" si="43">(C6*KB6)+KC6</f>
        <v>2.4739999999999993</v>
      </c>
      <c r="KB6" s="46">
        <f>(COUNTIF($KC$6:$KC$117,KC6)&gt;1)*1</f>
        <v>1</v>
      </c>
      <c r="KC6" s="46">
        <f>RANK(KD6,$KD$6:$KD$117)</f>
        <v>2</v>
      </c>
      <c r="KD6" s="46">
        <f>KE6+(KF6/100)+(KG6/1000)+(KH6/10000)</f>
        <v>0</v>
      </c>
      <c r="KE6" s="46" cm="1">
        <f t="array" ref="KE6">ROUND(IFERROR(INDEX(ArchiveResults!$F$5:$IX$116,ComparisonData!A6,ComparisonData!$KE$1),0),5)</f>
        <v>0</v>
      </c>
      <c r="KF6" s="46" cm="1">
        <f t="array" ref="KF6">ROUND(IFERROR(INDEX(ArchiveResults!$F$5:$IX$116,ComparisonData!A6,ComparisonData!$KF$1),0),5)</f>
        <v>0</v>
      </c>
      <c r="KG6" s="46" cm="1">
        <f t="array" ref="KG6">ROUND(IFERROR(INDEX(ArchiveResults!$F$5:$IX$116,ComparisonData!A6,ComparisonData!$KG$1),0),5)</f>
        <v>0</v>
      </c>
      <c r="KH6" s="46" cm="1">
        <f t="array" ref="KH6">ROUND(IFERROR(INDEX(ArchiveResults!$F$5:$IX$116,ComparisonData!A6,ComparisonData!$KH$1),0),5)</f>
        <v>0</v>
      </c>
      <c r="KI6" s="46" cm="1">
        <f t="array" ref="KI6">IFERROR(INDEX(ArchiveResults!$F$5:$IX$116,ComparisonData!A6,ComparisonData!$KI$1),0)</f>
        <v>0</v>
      </c>
      <c r="KJ6" s="74">
        <v>1</v>
      </c>
      <c r="KK6" s="53" t="str">
        <f t="shared" ref="KK6:KK37" si="44">INDEX($B$6:$B$117,MATCH(KJ6,$JZ$6:$JZ$117,0))</f>
        <v>TOTAL</v>
      </c>
      <c r="KL6" s="60">
        <f>INDEX($KE$6:$KE$117,MATCH(KJ6,$JZ$6:$JZ$117,0))</f>
        <v>0.54774999999999996</v>
      </c>
      <c r="KM6" s="60">
        <f>INDEX($KF$6:$KF$117,MATCH(KJ6,$JZ$6:$JZ$117,0))</f>
        <v>0.34059</v>
      </c>
      <c r="KN6" s="60">
        <f>INDEX($KG$6:$KG$117,MATCH(KJ6,$JZ$6:$JZ$117,0))</f>
        <v>7.4560000000000001E-2</v>
      </c>
      <c r="KO6" s="60">
        <f>INDEX($KH$6:$KH$117,MATCH(KJ6,$JZ$6:$JZ$117,0))</f>
        <v>2.9329999999999998E-2</v>
      </c>
      <c r="KP6" s="60">
        <f>INDEX($KI$6:$KI$117,MATCH(KJ6,$JZ$6:$JZ$117,0))</f>
        <v>7.7751314782685621E-3</v>
      </c>
      <c r="KQ6" s="76">
        <f>MAX(KL6:KP6)</f>
        <v>0.54774999999999996</v>
      </c>
      <c r="KR6" s="46">
        <f>RANK(KS6,$KS$6:$KS$117,1)</f>
        <v>8</v>
      </c>
      <c r="KS6" s="46">
        <f t="shared" ref="KS6:KS37" si="45">(C6*KT6)+KU6</f>
        <v>2.4739999999999993</v>
      </c>
      <c r="KT6" s="46">
        <f>(COUNTIF($KU$6:$KU$117,KU6)&gt;1)*1</f>
        <v>1</v>
      </c>
      <c r="KU6" s="46">
        <f>RANK(KV6,$KV$6:$KV$1170)</f>
        <v>2</v>
      </c>
      <c r="KV6" s="46">
        <f>KW6+(KX6/100)+(KY6/1000)+(KZ6/10000)</f>
        <v>0</v>
      </c>
      <c r="KW6" s="46" cm="1">
        <f t="array" ref="KW6">ROUND(IFERROR(INDEX(ArchiveResults!$F$5:$IX$116,ComparisonData!A6,ComparisonData!$KW$1),0),5)</f>
        <v>0</v>
      </c>
      <c r="KX6" s="46" cm="1">
        <f t="array" ref="KX6">ROUND(IFERROR(INDEX(ArchiveResults!$F$5:$IX$116,ComparisonData!A6,ComparisonData!$KX$1),0),5)</f>
        <v>0</v>
      </c>
      <c r="KY6" s="46" cm="1">
        <f t="array" ref="KY6">ROUND(IFERROR(INDEX(ArchiveResults!$F$5:$IX$116,ComparisonData!A6,ComparisonData!$KY$1),0),5)</f>
        <v>0</v>
      </c>
      <c r="KZ6" s="46" cm="1">
        <f t="array" ref="KZ6">ROUND(IFERROR(INDEX(ArchiveResults!$F$5:$IX$116,ComparisonData!A6,ComparisonData!$KZ$1),0),5)</f>
        <v>0</v>
      </c>
      <c r="LA6" s="46" cm="1">
        <f t="array" ref="LA6">IFERROR(INDEX(ArchiveResults!$F$5:$IX$116,ComparisonData!A6,ComparisonData!$LA$1),0)</f>
        <v>0</v>
      </c>
      <c r="LB6" s="74">
        <v>1</v>
      </c>
      <c r="LC6" s="53" t="str">
        <f t="shared" ref="LC6:LC37" si="46">INDEX($B$6:$B$117,MATCH(LB6,$KR$6:$KR$117,0))</f>
        <v>TOTAL</v>
      </c>
      <c r="LD6" s="60">
        <f>INDEX($KW$6:$KW$117,MATCH(LB6,$KR$6:$KR$117,0))</f>
        <v>0.60001000000000004</v>
      </c>
      <c r="LE6" s="60">
        <f>INDEX($KX$6:$KX$117,MATCH(LB6,$KR$6:$KR$117,0))</f>
        <v>0.30358000000000002</v>
      </c>
      <c r="LF6" s="60">
        <f>INDEX($KY$6:$KY$117,MATCH(LB6,$KR$6:$KR$117,0))</f>
        <v>7.9560000000000006E-2</v>
      </c>
      <c r="LG6" s="60">
        <f>INDEX($KZ$6:$KZ$117,MATCH(LB6,$KR$6:$KR$117,0))</f>
        <v>1.453E-2</v>
      </c>
      <c r="LH6" s="60">
        <f>INDEX($LA$6:$LA$117,MATCH(LB6,$KR$6:$KR$117,0))</f>
        <v>2.3255468259591535E-3</v>
      </c>
      <c r="LI6" s="76">
        <f>MAX(LD6:LH6)</f>
        <v>0.60001000000000004</v>
      </c>
      <c r="LJ6" s="46">
        <f>RANK(LK6,$LK$6:$LK$117,1)</f>
        <v>8</v>
      </c>
      <c r="LK6" s="46">
        <f t="shared" ref="LK6:LK37" si="47">(C6*LL6)+LM6</f>
        <v>2.4739999999999993</v>
      </c>
      <c r="LL6" s="46">
        <f>(COUNTIF($LM$6:$LM$117,LM6)&gt;1)*1</f>
        <v>1</v>
      </c>
      <c r="LM6" s="46">
        <f>RANK(LN6,$LN$6:$LN$117)</f>
        <v>2</v>
      </c>
      <c r="LN6" s="46">
        <f>LO6+(LP6/100)+(LQ6/1000)+(LR6/10000)</f>
        <v>0</v>
      </c>
      <c r="LO6" s="46" cm="1">
        <f t="array" ref="LO6">ROUND(IFERROR(INDEX(ArchiveResults!$F$5:$IX$116,ComparisonData!A6,ComparisonData!$LO$1),0),5)</f>
        <v>0</v>
      </c>
      <c r="LP6" s="46" cm="1">
        <f t="array" ref="LP6">ROUND(IFERROR(INDEX(ArchiveResults!$F$5:$IX$116,ComparisonData!A6,ComparisonData!$LP$1),0),5)</f>
        <v>0</v>
      </c>
      <c r="LQ6" s="46" cm="1">
        <f t="array" ref="LQ6">ROUND(IFERROR(INDEX(ArchiveResults!$F$5:$IX$116,ComparisonData!A6,ComparisonData!$LQ$1),0),5)</f>
        <v>0</v>
      </c>
      <c r="LR6" s="46" cm="1">
        <f t="array" ref="LR6">ROUND(IFERROR(INDEX(ArchiveResults!$F$5:$IX$116,ComparisonData!A6,ComparisonData!$LR$1),0),5)</f>
        <v>0</v>
      </c>
      <c r="LS6" s="46" cm="1">
        <f t="array" ref="LS6">IFERROR(INDEX(ArchiveResults!$F$5:$IX$116,ComparisonData!A6,ComparisonData!$LS$1),0)</f>
        <v>0</v>
      </c>
      <c r="LT6" s="74">
        <v>1</v>
      </c>
      <c r="LU6" s="53" t="str">
        <f t="shared" ref="LU6:LU37" si="48">INDEX($B$6:$B$117,MATCH(LT6,$LJ$6:$LJ$117,0))</f>
        <v>TOTAL</v>
      </c>
      <c r="LV6" s="60">
        <f>INDEX($LO$6:$LO$117,MATCH(LT6,$LJ$6:$LJ$117,0))</f>
        <v>0.59543000000000001</v>
      </c>
      <c r="LW6" s="60">
        <f>INDEX($LP$6:$LP$117,MATCH(LT6,$LJ$6:$LJ$117,0))</f>
        <v>0.29685</v>
      </c>
      <c r="LX6" s="60">
        <f>INDEX($LQ$6:$LQ$117,MATCH(LT6,$LJ$6:$LJ$117,0))</f>
        <v>8.9990000000000001E-2</v>
      </c>
      <c r="LY6" s="60">
        <f>INDEX($LR$6:$LR$117,MATCH(LT6,$LJ$6:$LJ$117,0))</f>
        <v>1.2670000000000001E-2</v>
      </c>
      <c r="LZ6" s="60">
        <f>INDEX($LS$6:$LS$117,MATCH(LT6,$LJ$6:$LJ$117,0))</f>
        <v>5.0683003819069327E-3</v>
      </c>
      <c r="MA6" s="76">
        <f>MAX(LV6:LZ6)</f>
        <v>0.59543000000000001</v>
      </c>
      <c r="MB6" s="46">
        <f>RANK(MC6,$MC$6:$MC$117,1)</f>
        <v>8</v>
      </c>
      <c r="MC6" s="46">
        <f t="shared" ref="MC6:MC37" si="49">(C6*MD6)+ME6</f>
        <v>2.4739999999999993</v>
      </c>
      <c r="MD6" s="46">
        <f>(COUNTIF($ME$6:$ME$117,ME6)&gt;1)*1</f>
        <v>1</v>
      </c>
      <c r="ME6" s="46">
        <f>RANK(MF6,$MF$6:$MF$117)</f>
        <v>2</v>
      </c>
      <c r="MF6" s="46">
        <f>MG6+(MH6/100)+(MI6/1000)+(MJ6/10000)</f>
        <v>0</v>
      </c>
      <c r="MG6" s="46" cm="1">
        <f t="array" ref="MG6">ROUND(IFERROR(INDEX(ArchiveResults!$F$5:$IX$116,ComparisonData!A6,ComparisonData!$MG$1),0),5)</f>
        <v>0</v>
      </c>
      <c r="MH6" s="46" cm="1">
        <f t="array" ref="MH6">ROUND(IFERROR(INDEX(ArchiveResults!$F$5:$IX$116,ComparisonData!A6,ComparisonData!$MH$1),0),5)</f>
        <v>0</v>
      </c>
      <c r="MI6" s="46" cm="1">
        <f t="array" ref="MI6">ROUND(IFERROR(INDEX(ArchiveResults!$F$5:$IX$116,ComparisonData!A6,ComparisonData!$MI$1),0),5)</f>
        <v>0</v>
      </c>
      <c r="MJ6" s="46" cm="1">
        <f t="array" ref="MJ6">ROUND(IFERROR(INDEX(ArchiveResults!$F$5:$IX$116,ComparisonData!A6,ComparisonData!$MJ$1),0),5)</f>
        <v>0</v>
      </c>
      <c r="MK6" s="46" cm="1">
        <f t="array" ref="MK6">IFERROR(INDEX(ArchiveResults!$F$5:$IX$116,ComparisonData!A6,ComparisonData!$MK$1),0)</f>
        <v>0</v>
      </c>
      <c r="ML6" s="74">
        <v>1</v>
      </c>
      <c r="MM6" s="53" t="str">
        <f t="shared" ref="MM6:MM37" si="50">INDEX($B$6:$B$117,MATCH(ML6,$MB$6:$MB$117,0))</f>
        <v>TOTAL</v>
      </c>
      <c r="MN6" s="60">
        <f>INDEX($MG$6:$MG$117,MATCH(ML6,$MB$6:$MB$117,0))</f>
        <v>0.67139000000000004</v>
      </c>
      <c r="MO6" s="60">
        <f>INDEX($MH$6:$MH$117,MATCH(ML6,$MB$6:$MB$117,0))</f>
        <v>0.21332999999999999</v>
      </c>
      <c r="MP6" s="60">
        <f>INDEX($MI$6:$MI$117,MATCH(ML6,$MB$6:$MB$117,0))</f>
        <v>5.9950000000000003E-2</v>
      </c>
      <c r="MQ6" s="60">
        <f>INDEX($MJ$6:$MJ$117,MATCH(ML6,$MB$6:$MB$117,0))</f>
        <v>4.2540000000000001E-2</v>
      </c>
      <c r="MR6" s="60">
        <f>INDEX($MK$6:$MK$117,MATCH(ML6,$MB$6:$MB$117,0))</f>
        <v>1.2782677924626165E-2</v>
      </c>
      <c r="MS6" s="76">
        <f>MAX(MN6:MR6)</f>
        <v>0.67139000000000004</v>
      </c>
      <c r="MT6" s="46">
        <f>RANK(MU6,$MU$6:$MU$117,1)</f>
        <v>8</v>
      </c>
      <c r="MU6" s="46">
        <f t="shared" ref="MU6:MU37" si="51">(C6*MV6)+MW6</f>
        <v>2.4739999999999993</v>
      </c>
      <c r="MV6" s="46">
        <f>(COUNTIF($MW$6:$MW$117,MW6)&gt;1)*1</f>
        <v>1</v>
      </c>
      <c r="MW6" s="46">
        <f>RANK(MX6,$MX$6:$MX$117)</f>
        <v>2</v>
      </c>
      <c r="MX6" s="46">
        <f>MY6+(MZ6/10)+(NA6/100)+(NB6/1000)</f>
        <v>0</v>
      </c>
      <c r="MY6" s="46" cm="1">
        <f t="array" ref="MY6">ROUND(IFERROR(INDEX(ArchiveResults!$F$5:$IX$116,ComparisonData!A6,ComparisonData!$MY$1),0),5)</f>
        <v>0</v>
      </c>
      <c r="MZ6" s="46" cm="1">
        <f t="array" ref="MZ6">ROUND(IFERROR(INDEX(ArchiveResults!$F$5:$IX$116,ComparisonData!A6,ComparisonData!$MZ$1),0),5)</f>
        <v>0</v>
      </c>
      <c r="NA6" s="46" cm="1">
        <f t="array" ref="NA6">ROUND(IFERROR(INDEX(ArchiveResults!$F$5:$IX$116,ComparisonData!A6,ComparisonData!$NA$1),0),5)</f>
        <v>0</v>
      </c>
      <c r="NB6" s="46" cm="1">
        <f t="array" ref="NB6">ROUND(IFERROR(INDEX(ArchiveResults!$F$5:$IX$116,ComparisonData!A6,ComparisonData!$NB$1),0),5)</f>
        <v>0</v>
      </c>
      <c r="NC6" s="46" cm="1">
        <f t="array" ref="NC6">IFERROR(INDEX(ArchiveResults!$F$5:$IX$116,ComparisonData!A6,ComparisonData!$NC$1),0)</f>
        <v>0</v>
      </c>
      <c r="ND6" s="74">
        <v>1</v>
      </c>
      <c r="NE6" s="53" t="str">
        <f t="shared" ref="NE6:NE37" si="52">INDEX($B$6:$B$117,MATCH(ND6,$MT$6:$MT$117,0))</f>
        <v>TOTAL</v>
      </c>
      <c r="NF6" s="60">
        <f>INDEX($MY$6:$MY$117,MATCH(ND6,$MT$6:$MT$117,0))</f>
        <v>0.71304999999999996</v>
      </c>
      <c r="NG6" s="60">
        <f>INDEX($MZ$6:$MZ$117,MATCH(ND6,$MT$6:$MT$117,0))</f>
        <v>0.18931999999999999</v>
      </c>
      <c r="NH6" s="60">
        <f>INDEX($NA$6:$NA$117,MATCH(ND6,$MT$6:$MT$117,0))</f>
        <v>6.0970000000000003E-2</v>
      </c>
      <c r="NI6" s="60">
        <f>INDEX($NB$6:$NB$117,MATCH(ND6,$MT$6:$MT$117,0))</f>
        <v>3.209E-2</v>
      </c>
      <c r="NJ6" s="60">
        <f>INDEX($NC$6:$NC$117,MATCH(ND6,$MT$6:$MT$117,0))</f>
        <v>4.5694393269730595E-3</v>
      </c>
      <c r="NK6" s="76">
        <f>MAX(NF6:NJ6)</f>
        <v>0.71304999999999996</v>
      </c>
      <c r="NL6" s="46">
        <f>RANK(NM6,$NM$6:$NM$117,1)</f>
        <v>8</v>
      </c>
      <c r="NM6" s="46">
        <f t="shared" ref="NM6:NM37" si="53">(C6*NN6)+NO6</f>
        <v>2.4739999999999993</v>
      </c>
      <c r="NN6" s="46">
        <f>(COUNTIF($NO$6:$NO$117,NO6)&gt;1)*1</f>
        <v>1</v>
      </c>
      <c r="NO6" s="46">
        <f>RANK(NP6,$NP$6:$NP$117)</f>
        <v>2</v>
      </c>
      <c r="NP6" s="46" cm="1">
        <f t="array" ref="NP6">ROUND(IFERROR(INDEX(ArchiveResults!$F$5:$IX$116,ComparisonData!A6,ComparisonData!$NP$1),0),5)</f>
        <v>0</v>
      </c>
      <c r="NQ6" s="46" cm="1">
        <f t="array" ref="NQ6">ROUND(IFERROR(INDEX(ArchiveResults!$F$5:$IX$116,ComparisonData!A6,ComparisonData!$NQ$1),0),5)</f>
        <v>0</v>
      </c>
      <c r="NR6" s="46" cm="1">
        <f t="array" ref="NR6">ROUND(IFERROR(INDEX(ArchiveResults!$F$5:$IX$116,ComparisonData!A6,ComparisonData!$NR$1),0),5)</f>
        <v>0</v>
      </c>
      <c r="NS6" s="46" cm="1">
        <f t="array" ref="NS6">ROUND(IFERROR(INDEX(ArchiveResults!$F$5:$IX$116,ComparisonData!A6,ComparisonData!$NS$1),0),5)</f>
        <v>0</v>
      </c>
      <c r="NT6" s="46" cm="1">
        <f t="array" ref="NT6">IFERROR(INDEX(ArchiveResults!$F$5:$IX$116,ComparisonData!A6,ComparisonData!$NT$1),0)</f>
        <v>0</v>
      </c>
      <c r="NU6" s="74">
        <v>1</v>
      </c>
      <c r="NV6" s="53" t="str">
        <f t="shared" ref="NV6:NV37" si="54">INDEX($B$6:$B$117,MATCH(NU6,$NL$6:$NL$117,0))</f>
        <v>TOTAL</v>
      </c>
      <c r="NW6" s="60">
        <f>INDEX($NP$6:$NP$117,MATCH(NU6,$NL$6:$NL$117,0))</f>
        <v>0.89205000000000001</v>
      </c>
      <c r="NX6" s="60">
        <f>INDEX($NQ$6:$NQ$117,MATCH(NU6,$NL$6:$NL$117,0))</f>
        <v>9.5939999999999998E-2</v>
      </c>
      <c r="NY6" s="60">
        <f>INDEX($NR$6:$NR$117,MATCH(NU6,$NL$6:$NL$117,0))</f>
        <v>7.5700000000000003E-3</v>
      </c>
      <c r="NZ6" s="60">
        <f>INDEX($NS$6:$NS$117,MATCH(NU6,$NL$6:$NL$117,0))</f>
        <v>3.32E-3</v>
      </c>
      <c r="OA6" s="60">
        <f>INDEX($NT$6:$NT$117,MATCH(NU6,$NL$6:$NL$117,0))</f>
        <v>1.1268161465969239E-3</v>
      </c>
      <c r="OB6" s="76">
        <f>MAX(NW6:OA6)</f>
        <v>0.89205000000000001</v>
      </c>
      <c r="OC6" s="46">
        <f>RANK(OD6,$OD$6:$OD$117,1)</f>
        <v>8</v>
      </c>
      <c r="OD6" s="46">
        <f t="shared" ref="OD6:OD37" si="55">(C6*OE6)+OF6</f>
        <v>2.4739999999999993</v>
      </c>
      <c r="OE6" s="46">
        <f>(COUNTIF($OF$6:$OF$117,OF6)&gt;1)*1</f>
        <v>1</v>
      </c>
      <c r="OF6" s="46">
        <f>RANK(OG6,$OG$6:$OG$117)</f>
        <v>2</v>
      </c>
      <c r="OG6" s="46">
        <f>ROUND(OH6+(OI6/10)+(OJ6/100)+(OK6/1000),5)</f>
        <v>0</v>
      </c>
      <c r="OH6" s="46" cm="1">
        <f t="array" ref="OH6">ROUND(IFERROR(INDEX(ArchiveResults!$F$5:$IX$116,ComparisonData!A6,ComparisonData!$OH$1),0),5)</f>
        <v>0</v>
      </c>
      <c r="OI6" s="46" cm="1">
        <f t="array" ref="OI6">ROUND(IFERROR(INDEX(ArchiveResults!$F$5:$IX$116,ComparisonData!A6,ComparisonData!$OI$1),0),5)</f>
        <v>0</v>
      </c>
      <c r="OJ6" s="46" cm="1">
        <f t="array" ref="OJ6">ROUND(IFERROR(INDEX(ArchiveResults!$F$5:$IX$116,ComparisonData!A6,ComparisonData!$OJ$1),0),5)</f>
        <v>0</v>
      </c>
      <c r="OK6" s="46" cm="1">
        <f t="array" ref="OK6">ROUND(IFERROR(INDEX(ArchiveResults!$F$5:$IX$116,ComparisonData!A6,ComparisonData!$OK$1),0),5)</f>
        <v>0</v>
      </c>
      <c r="OL6" s="46" cm="1">
        <f t="array" ref="OL6">IFERROR(INDEX(ArchiveResults!$F$5:$IX$116,ComparisonData!A6,ComparisonData!$OL$1),0)</f>
        <v>0</v>
      </c>
      <c r="OM6" s="74">
        <v>1</v>
      </c>
      <c r="ON6" s="53" t="str">
        <f t="shared" ref="ON6:ON37" si="56">INDEX($B$6:$B$117,MATCH(OM6,$OC$6:$OC$117,0))</f>
        <v>TOTAL</v>
      </c>
      <c r="OO6" s="60">
        <f>INDEX($OH$6:$OH$117,MATCH(OM6,$OC$6:$OC$117,0))</f>
        <v>0.73585</v>
      </c>
      <c r="OP6" s="60">
        <f>INDEX($OI$6:$OI$117,MATCH(OM6,$OC$6:$OC$117,0))</f>
        <v>0.21784999999999999</v>
      </c>
      <c r="OQ6" s="60">
        <f>INDEX($OJ$6:$OJ$117,MATCH(OM6,$OC$6:$OC$117,0))</f>
        <v>3.0450000000000001E-2</v>
      </c>
      <c r="OR6" s="60">
        <f>INDEX($OK$6:$OK$117,MATCH(OM6,$OC$6:$OC$117,0))</f>
        <v>1.3849999999999999E-2</v>
      </c>
      <c r="OS6" s="60">
        <f>INDEX($OL$6:$OL$117,MATCH(OM6,$OC$6:$OC$117,0))</f>
        <v>2.0021400002681825E-3</v>
      </c>
      <c r="OT6" s="76">
        <f>MAX(OO6:OS6)</f>
        <v>0.73585</v>
      </c>
      <c r="OU6" s="46">
        <f>RANK(OV6,$OV$6:$OV$117,1)</f>
        <v>8</v>
      </c>
      <c r="OV6" s="46">
        <f t="shared" ref="OV6:OV37" si="57">(C6*OW6)+OX6</f>
        <v>2.4739999999999993</v>
      </c>
      <c r="OW6" s="46">
        <f>(COUNTIF($OX$6:$OX$117,OX6)&gt;1)*1</f>
        <v>1</v>
      </c>
      <c r="OX6" s="46">
        <f>RANK(OY6,$OY$6:$OY$117)</f>
        <v>2</v>
      </c>
      <c r="OY6" s="46">
        <f>OZ6+(PA6/10)+(PB6/100)+(PC6/1000)</f>
        <v>0</v>
      </c>
      <c r="OZ6" s="46" cm="1">
        <f t="array" ref="OZ6">ROUND(IFERROR(INDEX(ArchiveResults!$F$5:$IX$116,ComparisonData!A6,ComparisonData!$OZ$1),0),5)</f>
        <v>0</v>
      </c>
      <c r="PA6" s="46" cm="1">
        <f t="array" ref="PA6">ROUND(IFERROR(INDEX(ArchiveResults!$F$5:$IX$116,ComparisonData!A6,ComparisonData!$PA$1),0),5)</f>
        <v>0</v>
      </c>
      <c r="PB6" s="46" cm="1">
        <f t="array" ref="PB6">ROUND(IFERROR(INDEX(ArchiveResults!$F$5:$IX$116,ComparisonData!A6,ComparisonData!$PB$1),0),5)</f>
        <v>0</v>
      </c>
      <c r="PC6" s="46" cm="1">
        <f t="array" ref="PC6">ROUND(IFERROR(INDEX(ArchiveResults!$F$5:$IX$116,ComparisonData!A6,ComparisonData!$PC$1),0),5)</f>
        <v>0</v>
      </c>
      <c r="PD6" s="46" cm="1">
        <f t="array" ref="PD6">IFERROR(INDEX(ArchiveResults!$F$5:$IX$116,ComparisonData!A6,ComparisonData!$PD$1),0)</f>
        <v>0</v>
      </c>
      <c r="PE6" s="74">
        <v>1</v>
      </c>
      <c r="PF6" s="53" t="str">
        <f t="shared" ref="PF6:PF37" si="58">INDEX($B$6:$B$117,MATCH(PE6,$OU$6:$OU$117,0))</f>
        <v>TOTAL</v>
      </c>
      <c r="PG6" s="60">
        <f>INDEX($OZ$6:$OZ$117,MATCH(PE6,$OU$6:$OU$117,0))</f>
        <v>0.74673</v>
      </c>
      <c r="PH6" s="60">
        <f>INDEX($PA$6:$PA$117,MATCH(PE6,$OU$6:$OU$117,0))</f>
        <v>0.20773</v>
      </c>
      <c r="PI6" s="60">
        <f>INDEX($PB$6:$PB$117,MATCH(PE6,$OU$6:$OU$117,0))</f>
        <v>4.1270000000000001E-2</v>
      </c>
      <c r="PJ6" s="60">
        <f>INDEX($PC$6:$PC$117,MATCH(PE6,$OU$6:$OU$117,0))</f>
        <v>4.0000000000000001E-3</v>
      </c>
      <c r="PK6" s="60">
        <f>INDEX($PD$6:$PD$117,MATCH(PE6,$OU$6:$OU$117,0))</f>
        <v>2.7608512898112528E-4</v>
      </c>
      <c r="PL6" s="76">
        <f>MAX(PG6:PK6)</f>
        <v>0.74673</v>
      </c>
      <c r="PM6" s="46">
        <f>RANK(PN6,$PN$6:$PN$117,1)</f>
        <v>8</v>
      </c>
      <c r="PN6" s="46">
        <f t="shared" ref="PN6:PN37" si="59">(C6*PO6)+PP6</f>
        <v>2.4739999999999993</v>
      </c>
      <c r="PO6" s="46">
        <f>(COUNTIF($PP$6:$PP$117,PP6)&gt;1)*1</f>
        <v>1</v>
      </c>
      <c r="PP6" s="46">
        <f>RANK(PQ6,$PQ$6:$PQ$117)</f>
        <v>2</v>
      </c>
      <c r="PQ6" s="46">
        <f>PR6+(PS6/10)+(PT6/100)+(PU6/1000)</f>
        <v>0</v>
      </c>
      <c r="PR6" s="46" cm="1">
        <f t="array" ref="PR6">ROUND(IFERROR(INDEX(ArchiveResults!$F$5:$IX$116,ComparisonData!A6,ComparisonData!$PR$1),0),5)</f>
        <v>0</v>
      </c>
      <c r="PS6" s="46" cm="1">
        <f t="array" ref="PS6">ROUND(IFERROR(INDEX(ArchiveResults!$F$5:$IX$116,ComparisonData!A6,ComparisonData!$PS$1),0),5)</f>
        <v>0</v>
      </c>
      <c r="PT6" s="46" cm="1">
        <f t="array" ref="PT6">ROUND(IFERROR(INDEX(ArchiveResults!$F$5:$IX$116,ComparisonData!A6,ComparisonData!$PT$1),0),5)</f>
        <v>0</v>
      </c>
      <c r="PU6" s="46" cm="1">
        <f t="array" ref="PU6">ROUND(IFERROR(INDEX(ArchiveResults!$F$5:$IX$116,ComparisonData!A6,ComparisonData!$PU$1),0),5)</f>
        <v>0</v>
      </c>
      <c r="PV6" s="46" cm="1">
        <f t="array" ref="PV6">IFERROR(INDEX(ArchiveResults!$F$5:$IX$116,ComparisonData!A6,ComparisonData!$PV$1),0)</f>
        <v>0</v>
      </c>
      <c r="PW6" s="74">
        <v>1</v>
      </c>
      <c r="PX6" s="53" t="str">
        <f t="shared" ref="PX6:PX37" si="60">INDEX($B$6:$B$117,MATCH(PW6,$PM$6:$PM$117,0))</f>
        <v>TOTAL</v>
      </c>
      <c r="PY6" s="60">
        <f>INDEX($PR$6:$PR$117,MATCH(PW6,$PM$6:$PM$117,0))</f>
        <v>0.74504999999999999</v>
      </c>
      <c r="PZ6" s="60">
        <f>INDEX($PS$6:$PS$117,MATCH(PW6,$PM$6:$PM$117,0))</f>
        <v>0.20102999999999999</v>
      </c>
      <c r="QA6" s="60">
        <f>INDEX($PT$6:$PT$117,MATCH(PW6,$PM$6:$PM$117,0))</f>
        <v>2.741E-2</v>
      </c>
      <c r="QB6" s="60">
        <f>INDEX($PU$6:$PU$117,MATCH(PW6,$PM$6:$PM$117,0))</f>
        <v>1.72E-2</v>
      </c>
      <c r="QC6" s="60">
        <f>INDEX($PV$6:$PV$117,MATCH(PW6,$PM$6:$PM$117,0))</f>
        <v>9.316451233584596E-3</v>
      </c>
      <c r="QD6" s="76">
        <f>MAX(PY6:QC6)</f>
        <v>0.74504999999999999</v>
      </c>
      <c r="QE6" s="46">
        <f>RANK(QF6,$QF$6:$QF$117,1)</f>
        <v>8</v>
      </c>
      <c r="QF6" s="46">
        <f t="shared" ref="QF6:QF37" si="61">(C6*QG6)+QH6</f>
        <v>2.4739999999999993</v>
      </c>
      <c r="QG6" s="46">
        <f>(COUNTIF($QH$6:$QH$117,QH6)&gt;1)*1</f>
        <v>1</v>
      </c>
      <c r="QH6" s="46">
        <f>RANK(QI6,$QI$6:$QI$117)</f>
        <v>2</v>
      </c>
      <c r="QI6" s="46">
        <f>QJ6+(QK6/10)+(QL6/100)+(QM6/1000)</f>
        <v>0</v>
      </c>
      <c r="QJ6" s="46" cm="1">
        <f t="array" ref="QJ6">ROUND(IFERROR(INDEX(ArchiveResults!$F$5:$IX$116,ComparisonData!A6,ComparisonData!$QJ$1),0),5)</f>
        <v>0</v>
      </c>
      <c r="QK6" s="46" cm="1">
        <f t="array" ref="QK6">ROUND(IFERROR(INDEX(ArchiveResults!$F$5:$IX$116,ComparisonData!A6,ComparisonData!$QK$1),0),5)</f>
        <v>0</v>
      </c>
      <c r="QL6" s="46" cm="1">
        <f t="array" ref="QL6">ROUND(IFERROR(INDEX(ArchiveResults!$F$5:$IX$116,ComparisonData!A6,ComparisonData!$QL$1),0),5)</f>
        <v>0</v>
      </c>
      <c r="QM6" s="46" cm="1">
        <f t="array" ref="QM6">ROUND(IFERROR(INDEX(ArchiveResults!$F$5:$IX$116,ComparisonData!A6,ComparisonData!$QM$1),0),5)</f>
        <v>0</v>
      </c>
      <c r="QN6" s="46" cm="1">
        <f t="array" ref="QN6">IFERROR(INDEX(ArchiveResults!$F$5:$IX$116,ComparisonData!A6,ComparisonData!$QN$1),0)</f>
        <v>0</v>
      </c>
      <c r="QO6" s="74">
        <v>1</v>
      </c>
      <c r="QP6" s="53" t="str">
        <f t="shared" ref="QP6:QP37" si="62">INDEX($B$6:$B$117,MATCH(QO6,$QE$6:$QE$117,0))</f>
        <v>TOTAL</v>
      </c>
      <c r="QQ6" s="60">
        <f>INDEX($QJ$6:$QJ$117,MATCH(QO6,$QE$6:$QE$117,0))</f>
        <v>0.82020000000000004</v>
      </c>
      <c r="QR6" s="60">
        <f>INDEX($QK$6:$QK$117,MATCH(QO6,$QE$6:$QE$117,0))</f>
        <v>0.14695</v>
      </c>
      <c r="QS6" s="60">
        <f>INDEX($QL$6:$QL$117,MATCH(QO6,$QE$6:$QE$117,0))</f>
        <v>1.831E-2</v>
      </c>
      <c r="QT6" s="60">
        <f>INDEX($QM$6:$QM$117,MATCH(QO6,$QE$6:$QE$117,0))</f>
        <v>8.3700000000000007E-3</v>
      </c>
      <c r="QU6" s="60">
        <f>INDEX($QN$6:$QN$117,MATCH(QO6,$QE$6:$QE$117,0))</f>
        <v>6.1790679747836209E-3</v>
      </c>
      <c r="QV6" s="76">
        <f>MAX(QQ6:QU6)</f>
        <v>0.82020000000000004</v>
      </c>
      <c r="QW6" s="46">
        <f>RANK(QX6,$QX$6:$QX$117,1)</f>
        <v>8</v>
      </c>
      <c r="QX6" s="46">
        <f t="shared" ref="QX6:QX37" si="63">(C6*QY6)+QZ6</f>
        <v>2.4739999999999993</v>
      </c>
      <c r="QY6" s="46">
        <f>(COUNTIF($QZ$6:$QZ$117,QZ6)&gt;1)*1</f>
        <v>1</v>
      </c>
      <c r="QZ6" s="46">
        <f>RANK(RA6,$RA$6:$RA$117)</f>
        <v>2</v>
      </c>
      <c r="RA6" s="46">
        <f>RB6+(RC6/10)+(RD6/100)+(RE6/1000)</f>
        <v>0</v>
      </c>
      <c r="RB6" s="46" cm="1">
        <f t="array" ref="RB6">ROUND(IFERROR(INDEX(ArchiveResults!$F$5:$IX$116,ComparisonData!A6,ComparisonData!$RB$1),0),5)</f>
        <v>0</v>
      </c>
      <c r="RC6" s="46" cm="1">
        <f t="array" ref="RC6">ROUND(IFERROR(INDEX(ArchiveResults!$F$5:$IX$116,ComparisonData!A6,ComparisonData!$RC$1),0),5)</f>
        <v>0</v>
      </c>
      <c r="RD6" s="46" cm="1">
        <f t="array" ref="RD6">ROUND(IFERROR(INDEX(ArchiveResults!$F$5:$IX$116,ComparisonData!A6,ComparisonData!$RD$1),0),5)</f>
        <v>0</v>
      </c>
      <c r="RE6" s="46" cm="1">
        <f t="array" ref="RE6">ROUND(IFERROR(INDEX(ArchiveResults!$F$5:$IX$116,ComparisonData!A6,ComparisonData!$RE$1),0),5)</f>
        <v>0</v>
      </c>
      <c r="RF6" s="46" cm="1">
        <f t="array" ref="RF6">IFERROR(INDEX(ArchiveResults!$F$5:$IX$116,ComparisonData!A6,ComparisonData!$RF$1),0)</f>
        <v>0</v>
      </c>
      <c r="RG6" s="74">
        <v>1</v>
      </c>
      <c r="RH6" s="53" t="str">
        <f t="shared" ref="RH6:RH37" si="64">INDEX($B$6:$B$117,MATCH(RG6,$QW$6:$QW$117,0))</f>
        <v>TOTAL</v>
      </c>
      <c r="RI6" s="60">
        <f>INDEX($RB$6:$RB$117,MATCH(RG6,$QW$6:$QW$117,0))</f>
        <v>0.60207999999999995</v>
      </c>
      <c r="RJ6" s="60">
        <f>INDEX($RC$6:$RC$117,MATCH(RG6,$QW$6:$QW$117,0))</f>
        <v>0.25142999999999999</v>
      </c>
      <c r="RK6" s="60">
        <f>INDEX($RD$6:$RD$117,MATCH(RG6,$QW$6:$QW$117,0))</f>
        <v>8.7279999999999996E-2</v>
      </c>
      <c r="RL6" s="60">
        <f>INDEX($RE$6:$RE$117,MATCH(RG6,$QW$6:$QW$117,0))</f>
        <v>4.1079999999999998E-2</v>
      </c>
      <c r="RM6" s="60">
        <f>INDEX($RF$6:$RF$117,MATCH(RG6,$QW$6:$QW$117,0))</f>
        <v>1.8127144493384352E-2</v>
      </c>
      <c r="RN6" s="76">
        <f>MAX(RI6:RM6)</f>
        <v>0.60207999999999995</v>
      </c>
      <c r="RO6" s="46">
        <f>RANK(RP6,$RP$6:$RP$117,1)</f>
        <v>8</v>
      </c>
      <c r="RP6" s="46">
        <f t="shared" ref="RP6:RP37" si="65">(C6*RQ6)+RR6</f>
        <v>2.4739999999999993</v>
      </c>
      <c r="RQ6" s="46">
        <f>(COUNTIF($RR$6:$RR$117,RR6)&gt;1)*1</f>
        <v>1</v>
      </c>
      <c r="RR6" s="46">
        <f>RANK(RS6,$RS$6:$RS$117)</f>
        <v>2</v>
      </c>
      <c r="RS6" s="46">
        <f>RT6+(RU6/10)+(RV6/100)+(RW6/1000)</f>
        <v>0</v>
      </c>
      <c r="RT6" s="46" cm="1">
        <f t="array" ref="RT6">ROUND(IFERROR(INDEX(ArchiveResults!$F$5:$IX$116,ComparisonData!A6,ComparisonData!$RT$1),0),5)</f>
        <v>0</v>
      </c>
      <c r="RU6" s="46" cm="1">
        <f t="array" ref="RU6">ROUND(IFERROR(INDEX(ArchiveResults!$F$5:$IX$116,ComparisonData!A6,ComparisonData!$RU$1),0),5)</f>
        <v>0</v>
      </c>
      <c r="RV6" s="46" cm="1">
        <f t="array" ref="RV6">ROUND(IFERROR(INDEX(ArchiveResults!$F$5:$IX$116,ComparisonData!A6,ComparisonData!$RV$1),0),5)</f>
        <v>0</v>
      </c>
      <c r="RW6" s="46" cm="1">
        <f t="array" ref="RW6">ROUND(IFERROR(INDEX(ArchiveResults!$F$5:$IX$116,ComparisonData!A6,ComparisonData!$RW$1),0),5)</f>
        <v>0</v>
      </c>
      <c r="RX6" s="46" cm="1">
        <f t="array" ref="RX6">IFERROR(INDEX(ArchiveResults!$F$5:$IX$116,ComparisonData!A6,ComparisonData!$RX$1),0)</f>
        <v>0</v>
      </c>
      <c r="RY6" s="74">
        <v>1</v>
      </c>
      <c r="RZ6" s="53" t="str">
        <f t="shared" ref="RZ6:RZ37" si="66">INDEX($B$6:$B$117,MATCH(RY6,$RO$6:$RO$117,0))</f>
        <v>TOTAL</v>
      </c>
      <c r="SA6" s="60">
        <f>INDEX($RT$6:$RT$117,MATCH(RY6,$RO$6:$RO$117,0))</f>
        <v>0.68491999999999997</v>
      </c>
      <c r="SB6" s="60">
        <f>INDEX($RU$6:$RU$117,MATCH(RY6,$RO$6:$RO$117,0))</f>
        <v>0.15828</v>
      </c>
      <c r="SC6" s="60">
        <f>INDEX($RV$6:$RV$117,MATCH(RY6,$RO$6:$RO$117,0))</f>
        <v>7.5359999999999996E-2</v>
      </c>
      <c r="SD6" s="60">
        <f>INDEX($RW$6:$RW$117,MATCH(RY6,$RO$6:$RO$117,0))</f>
        <v>3.7859999999999998E-2</v>
      </c>
      <c r="SE6" s="60">
        <f>INDEX($RX$6:$RX$117,MATCH(RY6,$RO$6:$RO$117,0))</f>
        <v>4.3585958572584717E-2</v>
      </c>
      <c r="SF6" s="76">
        <f>MAX(SA6:SE6)</f>
        <v>0.68491999999999997</v>
      </c>
      <c r="SG6" s="46">
        <f>RANK(SH6,$SH$6:$SH$117,1)</f>
        <v>8</v>
      </c>
      <c r="SH6" s="46">
        <f t="shared" ref="SH6:SH37" si="67">(C6*SI6)+SJ6</f>
        <v>2.4739999999999993</v>
      </c>
      <c r="SI6" s="46">
        <f>(COUNTIF($SJ$6:$SJ$117,SJ6)&gt;1)*1</f>
        <v>1</v>
      </c>
      <c r="SJ6" s="46">
        <f>RANK(SK6,$SK$6:$SK$117)</f>
        <v>2</v>
      </c>
      <c r="SK6" s="46">
        <f>SL6+(SM6/10)+(SN6/100)+(SO6/1000)</f>
        <v>0</v>
      </c>
      <c r="SL6" s="46" cm="1">
        <f t="array" ref="SL6">ROUND(IFERROR(INDEX(ArchiveResults!$F$5:$IX$116,ComparisonData!A6,ComparisonData!$SL$1),0),5)</f>
        <v>0</v>
      </c>
      <c r="SM6" s="46" cm="1">
        <f t="array" ref="SM6">ROUND(IFERROR(INDEX(ArchiveResults!$F$5:$IX$116,ComparisonData!A6,ComparisonData!$SM$1),0),5)</f>
        <v>0</v>
      </c>
      <c r="SN6" s="46" cm="1">
        <f t="array" ref="SN6">ROUND(IFERROR(INDEX(ArchiveResults!$F$5:$IX$116,ComparisonData!A6,ComparisonData!$SN$1),0),5)</f>
        <v>0</v>
      </c>
      <c r="SO6" s="46" cm="1">
        <f t="array" ref="SO6">ROUND(IFERROR(INDEX(ArchiveResults!$F$5:$IX$116,ComparisonData!A6,ComparisonData!$SO$1),0),5)</f>
        <v>0</v>
      </c>
      <c r="SP6" s="46" cm="1">
        <f t="array" ref="SP6">IFERROR(INDEX(ArchiveResults!$F$5:$IX$116,ComparisonData!A6,ComparisonData!$SP$1),0)</f>
        <v>0</v>
      </c>
      <c r="SQ6" s="74">
        <v>1</v>
      </c>
      <c r="SR6" s="53" t="str">
        <f t="shared" ref="SR6:SR37" si="68">INDEX($B$6:$B$117,MATCH(SQ6,$SG$6:$SG$117,0))</f>
        <v>TOTAL</v>
      </c>
      <c r="SS6" s="60">
        <f>INDEX($SL$6:$SL$117,MATCH(SQ6,$SG$6:$SG$117,0))</f>
        <v>0.87960000000000005</v>
      </c>
      <c r="ST6" s="60">
        <f>INDEX($SM$6:$SM$117,MATCH(SQ6,$SG$6:$SG$117,0))</f>
        <v>7.213E-2</v>
      </c>
      <c r="SU6" s="60">
        <f>INDEX($SN$6:$SN$117,MATCH(SQ6,$SG$6:$SG$117,0))</f>
        <v>4.2569999999999997E-2</v>
      </c>
      <c r="SV6" s="60">
        <f>INDEX($SO$6:$SO$117,MATCH(SQ6,$SG$6:$SG$117,0))</f>
        <v>5.7000000000000002E-3</v>
      </c>
      <c r="SW6" s="60">
        <f>INDEX($SP$6:$SP$117,MATCH(SQ6,$SG$6:$SG$117,0))</f>
        <v>0</v>
      </c>
      <c r="SX6" s="76">
        <f>MAX(SS6:SW6)</f>
        <v>0.87960000000000005</v>
      </c>
      <c r="SY6" s="46">
        <f>RANK(SZ6,$SZ$6:$SZ$117,1)</f>
        <v>8</v>
      </c>
      <c r="SZ6" s="46">
        <f t="shared" ref="SZ6:SZ37" si="69">(C6*TA6)+TB6</f>
        <v>2.4739999999999993</v>
      </c>
      <c r="TA6" s="46">
        <f>(COUNTIF($TB$6:$TB$117,TB6)&gt;1)*1</f>
        <v>1</v>
      </c>
      <c r="TB6" s="46">
        <f>RANK(TC6,$TC$6:$TC$117)</f>
        <v>2</v>
      </c>
      <c r="TC6" s="46">
        <f>TD6+(TE6/10)+(TF6/100)+(TG6/1000)</f>
        <v>0</v>
      </c>
      <c r="TD6" s="46" cm="1">
        <f t="array" ref="TD6">ROUND(IFERROR(INDEX(ArchiveResults!$F$5:$IX$116,ComparisonData!A6,ComparisonData!$TD$1),0),5)</f>
        <v>0</v>
      </c>
      <c r="TE6" s="46" cm="1">
        <f t="array" ref="TE6">ROUND(IFERROR(INDEX(ArchiveResults!$F$5:$IX$116,ComparisonData!A6,ComparisonData!$TE$1),0),5)</f>
        <v>0</v>
      </c>
      <c r="TF6" s="46" cm="1">
        <f t="array" ref="TF6">ROUND(IFERROR(INDEX(ArchiveResults!$F$5:$IX$116,ComparisonData!A6,ComparisonData!$TF$1),0),5)</f>
        <v>0</v>
      </c>
      <c r="TG6" s="46" cm="1">
        <f t="array" ref="TG6">ROUND(IFERROR(INDEX(ArchiveResults!$F$5:$IX$116,ComparisonData!A6,ComparisonData!$TG$1),0),5)</f>
        <v>0</v>
      </c>
      <c r="TH6" s="46" cm="1">
        <f t="array" ref="TH6">IFERROR(INDEX(ArchiveResults!$F$5:$IX$116,ComparisonData!A6,ComparisonData!$TH$1),0)</f>
        <v>0</v>
      </c>
      <c r="TI6" s="74">
        <v>1</v>
      </c>
      <c r="TJ6" s="53" t="str">
        <f t="shared" ref="TJ6:TJ37" si="70">INDEX($B$6:$B$117,MATCH(TI6,$SY$6:$SY$117,0))</f>
        <v>TOTAL</v>
      </c>
      <c r="TK6" s="60">
        <f>INDEX($TD$6:$TD$117,MATCH(TI6,$SY$6:$SY$117,0))</f>
        <v>0.75073999999999996</v>
      </c>
      <c r="TL6" s="60">
        <f>INDEX($TE$6:$TE$117,MATCH(TI6,$SY$6:$SY$117,0))</f>
        <v>0.19216</v>
      </c>
      <c r="TM6" s="60">
        <f>INDEX($TF$6:$TF$117,MATCH(TI6,$SY$6:$SY$117,0))</f>
        <v>5.7090000000000002E-2</v>
      </c>
      <c r="TN6" s="60">
        <f>INDEX($TG$6:$TG$117,MATCH(TI6,$SY$6:$SY$117,0))</f>
        <v>0</v>
      </c>
      <c r="TO6" s="60">
        <f>INDEX($TH$6:$TH$117,MATCH(TI6,$SY$6:$SY$117,0))</f>
        <v>0</v>
      </c>
      <c r="TP6" s="76">
        <f>MAX(TK6:TO6)</f>
        <v>0.75073999999999996</v>
      </c>
      <c r="TQ6" s="46">
        <f>RANK(TR6,$TR$6:$TR$117,1)</f>
        <v>8</v>
      </c>
      <c r="TR6" s="46">
        <f t="shared" ref="TR6:TR37" si="71">(C6*TS6)+TT6</f>
        <v>2.4739999999999993</v>
      </c>
      <c r="TS6" s="46">
        <f>(COUNTIF($TT$6:$TT$117,TT6)&gt;1)*1</f>
        <v>1</v>
      </c>
      <c r="TT6" s="46">
        <f>RANK(TU6,$TU$6:$TU$117)</f>
        <v>2</v>
      </c>
      <c r="TU6" s="46">
        <f>TV6+(TW6/10)+(TX6/100)+(TY6/1000)</f>
        <v>0</v>
      </c>
      <c r="TV6" s="46" cm="1">
        <f t="array" ref="TV6">ROUND(IFERROR(INDEX(ArchiveResults!$F$5:$IX$116,ComparisonData!A6,ComparisonData!$TV$1),0),5)</f>
        <v>0</v>
      </c>
      <c r="TW6" s="46" cm="1">
        <f t="array" ref="TW6">ROUND(IFERROR(INDEX(ArchiveResults!$F$5:$IX$116,ComparisonData!A6,ComparisonData!$TW$1),0),5)</f>
        <v>0</v>
      </c>
      <c r="TX6" s="46" cm="1">
        <f t="array" ref="TX6">ROUND(IFERROR(INDEX(ArchiveResults!$F$5:$IX$116,ComparisonData!A6,ComparisonData!$TX$1),0),5)</f>
        <v>0</v>
      </c>
      <c r="TY6" s="46" cm="1">
        <f t="array" ref="TY6">ROUND(IFERROR(INDEX(ArchiveResults!$F$5:$IX$116,ComparisonData!A6,ComparisonData!$TY$1),0),5)</f>
        <v>0</v>
      </c>
      <c r="TZ6" s="46" cm="1">
        <f t="array" ref="TZ6">IFERROR(INDEX(ArchiveResults!$F$5:$IX$116,ComparisonData!A6,ComparisonData!$TZ$1),0)</f>
        <v>0</v>
      </c>
      <c r="UA6" s="74">
        <v>1</v>
      </c>
      <c r="UB6" s="53" t="str">
        <f t="shared" ref="UB6:UB37" si="72">INDEX($B$6:$B$117,MATCH(UA6,$TQ$6:$TQ$117,0))</f>
        <v>TOTAL</v>
      </c>
      <c r="UC6" s="60">
        <f>INDEX($TV$6:$TV$117,MATCH(UA6,$TQ$6:$TQ$117,0))</f>
        <v>0.71926999999999996</v>
      </c>
      <c r="UD6" s="60">
        <f>INDEX($TW$6:$TW$117,MATCH(UA6,$TQ$6:$TQ$117,0))</f>
        <v>0.21410999999999999</v>
      </c>
      <c r="UE6" s="60">
        <f>INDEX($TX$6:$TX$117,MATCH(UA6,$TQ$6:$TQ$117,0))</f>
        <v>6.0100000000000001E-2</v>
      </c>
      <c r="UF6" s="60">
        <f>INDEX($TY$6:$TY$117,MATCH(UA6,$TQ$6:$TQ$117,0))</f>
        <v>6.5199999999999998E-3</v>
      </c>
      <c r="UG6" s="60">
        <f>INDEX($TZ$6:$TZ$117,MATCH(UA6,$TQ$6:$TQ$117,0))</f>
        <v>0</v>
      </c>
      <c r="UH6" s="78">
        <f>MAX(UC6:UG6)</f>
        <v>0.71926999999999996</v>
      </c>
      <c r="UI6" s="46">
        <f>RANK(UJ6,$UJ$6:$UJ$117,1)</f>
        <v>8</v>
      </c>
      <c r="UJ6" s="46">
        <f t="shared" ref="UJ6:UJ37" si="73">(C6*UK6)+UL6</f>
        <v>2.4739999999999993</v>
      </c>
      <c r="UK6" s="46">
        <f>(COUNTIF($UL$6:$UL$117,UL6)&gt;1)*1</f>
        <v>1</v>
      </c>
      <c r="UL6" s="46">
        <f>RANK(UM6,$UM$6:$UM$117)</f>
        <v>2</v>
      </c>
      <c r="UM6" s="46" cm="1">
        <f t="array" ref="UM6">ROUND(IFERROR(INDEX(ArchiveResults!$F$5:$IX$116,ComparisonData!A6,ComparisonData!$UM$1),0),5)</f>
        <v>0</v>
      </c>
      <c r="UN6" s="74">
        <v>1</v>
      </c>
      <c r="UO6" s="53" t="str">
        <f t="shared" ref="UO6:UO37" si="74">INDEX($B$6:$B$117,MATCH(UN6,$UI$6:$UI$117,0))</f>
        <v>TOTAL</v>
      </c>
      <c r="UP6" s="46">
        <f>INDEX($UM$6:$UM$117,MATCH(UN6,$UI$6:$UI$117,0))</f>
        <v>9.3738700000000001</v>
      </c>
      <c r="UQ6" s="76">
        <f>MAX(UP6)</f>
        <v>9.3738700000000001</v>
      </c>
      <c r="UR6" s="46">
        <f>RANK(US6,$US$6:$US$117,1)</f>
        <v>8</v>
      </c>
      <c r="US6" s="46">
        <f t="shared" ref="US6:US37" si="75">(C6*UT6)+UU6</f>
        <v>2.4739999999999993</v>
      </c>
      <c r="UT6" s="46">
        <f>(COUNTIF($UU$6:$UU$117,UU6)&gt;1)*1</f>
        <v>1</v>
      </c>
      <c r="UU6" s="46">
        <f>RANK(UV6,$UV$6:$UV$117)</f>
        <v>2</v>
      </c>
      <c r="UV6" s="46">
        <f>UW6+(UX6/100)</f>
        <v>0</v>
      </c>
      <c r="UW6" s="46" cm="1">
        <f t="array" ref="UW6">ROUND(IFERROR(INDEX(ArchiveResults!$F$5:$IX$116,ComparisonData!A6,ComparisonData!$UW$1),0),5)</f>
        <v>0</v>
      </c>
      <c r="UX6" s="46" cm="1">
        <f t="array" ref="UX6">ROUND(IFERROR(INDEX(ArchiveResults!$F$5:$IX$116,ComparisonData!A6,ComparisonData!$UX$1),0),5)</f>
        <v>0</v>
      </c>
      <c r="UY6" s="46" cm="1">
        <f t="array" ref="UY6">ROUND(IFERROR(INDEX(ArchiveResults!$F$5:$IX$116,ComparisonData!A6,ComparisonData!$UY$1),0),5)</f>
        <v>0</v>
      </c>
      <c r="UZ6" s="46" cm="1">
        <f t="array" ref="UZ6">ROUND(IFERROR(INDEX(ArchiveResults!$F$5:$IX$116,ComparisonData!A6,ComparisonData!$UZ$1),0),5)</f>
        <v>0</v>
      </c>
      <c r="VA6" s="46" cm="1">
        <f t="array" ref="VA6">ROUND(IFERROR(INDEX(ArchiveResults!$F$5:$IX$116,ComparisonData!A6,ComparisonData!$VA$1),0),5)</f>
        <v>0</v>
      </c>
      <c r="VB6" s="74">
        <v>1</v>
      </c>
      <c r="VC6" s="53" t="str">
        <f t="shared" ref="VC6:VC37" si="76">INDEX($B$6:$B$117,MATCH(VB6,$UR$6:$UR$117,0))</f>
        <v>TOTAL</v>
      </c>
      <c r="VD6" s="60">
        <f>INDEX($UW$6:$UW$117,MATCH(VB6,$UR$6:$UR$117,0))</f>
        <v>0.42669000000000001</v>
      </c>
      <c r="VE6" s="60">
        <f>INDEX($UX$6:$UX$117,MATCH(VB6,$UR$6:$UR$117,0))</f>
        <v>0.40654000000000001</v>
      </c>
      <c r="VF6" s="60">
        <f>INDEX($UY$6:$UY$117,MATCH(VB6,$UR$6:$UR$117,0))</f>
        <v>0.12698999999999999</v>
      </c>
      <c r="VG6" s="60">
        <f>INDEX($UZ$6:$UZ$117,MATCH(VB6,$UR$6:$UR$117,0))</f>
        <v>1.5339999999999999E-2</v>
      </c>
      <c r="VH6" s="60">
        <f>INDEX($VA$6:$VA$117,MATCH(VB6,$UR$6:$UR$117,0))</f>
        <v>2.444E-2</v>
      </c>
      <c r="VI6" s="76">
        <f>MAX(VD6:VH6)</f>
        <v>0.42669000000000001</v>
      </c>
      <c r="VJ6" s="46">
        <f>RANK(VK6,$VK$6:$VK$117,1)</f>
        <v>8</v>
      </c>
      <c r="VK6" s="46">
        <f t="shared" ref="VK6:VK37" si="77">(C6*VL6)+VM6</f>
        <v>2.4739999999999993</v>
      </c>
      <c r="VL6" s="46">
        <f>(COUNTIF($VM$6:$VM$117,VM6)&gt;1)*1</f>
        <v>1</v>
      </c>
      <c r="VM6" s="46">
        <f>RANK(VN6,$VN$6:$VN$117)</f>
        <v>2</v>
      </c>
      <c r="VN6" s="46" cm="1">
        <f t="array" ref="VN6">ROUND(IFERROR(INDEX(ArchiveResults!$F$5:$IX$116,ComparisonData!A6,ComparisonData!$VN$1),0),5)</f>
        <v>0</v>
      </c>
      <c r="VO6" s="46" cm="1">
        <f t="array" ref="VO6">ROUND(IFERROR(INDEX(ArchiveResults!$F$5:$IX$116,ComparisonData!A6,ComparisonData!$VO$1),0),5)</f>
        <v>0</v>
      </c>
      <c r="VP6" s="46" cm="1">
        <f t="array" ref="VP6">ROUND(IFERROR(INDEX(ArchiveResults!$F$5:$IX$116,ComparisonData!A6,ComparisonData!$VP$1),0),5)</f>
        <v>0</v>
      </c>
      <c r="VQ6" s="46" cm="1">
        <f t="array" ref="VQ6">ROUND(IFERROR(INDEX(ArchiveResults!$F$5:$IX$116,ComparisonData!A6,ComparisonData!$VQ$1),0),5)</f>
        <v>0</v>
      </c>
      <c r="VR6" s="74">
        <v>1</v>
      </c>
      <c r="VS6" s="53" t="str">
        <f t="shared" ref="VS6:VS37" si="78">INDEX($B$6:$B$117,MATCH(VR6,$VJ$6:$VJ$117,0))</f>
        <v>TOTAL</v>
      </c>
      <c r="VT6" s="60">
        <f>INDEX($VN$6:$VN$117,MATCH(VR6,$VJ$6:$VJ$117,0))</f>
        <v>0.58757999999999999</v>
      </c>
      <c r="VU6" s="60">
        <f>INDEX($VO$6:$VO$117,MATCH(VR6,$VJ$6:$VJ$117,0))</f>
        <v>0.2311</v>
      </c>
      <c r="VV6" s="60">
        <f>INDEX($VP$6:$VP$117,MATCH(VR6,$VJ$6:$VJ$117,0))</f>
        <v>0.10961</v>
      </c>
      <c r="VW6" s="60">
        <f>INDEX($VQ$6:$VQ$117,MATCH(VR6,$VJ$6:$VJ$117,0))</f>
        <v>0.15481</v>
      </c>
      <c r="VX6" s="76">
        <f>MAX(VT6:VW6)</f>
        <v>0.58757999999999999</v>
      </c>
      <c r="VY6" s="46">
        <f>RANK(VZ6,$VZ$6:$VZ$117,1)</f>
        <v>8</v>
      </c>
      <c r="VZ6" s="46">
        <f t="shared" ref="VZ6:VZ37" si="79">(C6*WA6)+WB6</f>
        <v>2.4739999999999993</v>
      </c>
      <c r="WA6" s="46">
        <f>(COUNTIF($WB$6:$WB$117,WB6)&gt;1)*1</f>
        <v>1</v>
      </c>
      <c r="WB6" s="46">
        <f>RANK(WC6,$WC$6:$WC$117)</f>
        <v>2</v>
      </c>
      <c r="WC6" s="46" cm="1">
        <f t="array" ref="WC6">ROUND(IFERROR(INDEX(ArchiveResults!$F$5:$IX$116,ComparisonData!A6,ComparisonData!$WC$1),0),5)</f>
        <v>0</v>
      </c>
      <c r="WD6" s="74">
        <v>1</v>
      </c>
      <c r="WE6" s="53" t="str">
        <f t="shared" ref="WE6:WE37" si="80">INDEX($B$6:$B$117,MATCH(WD6,$VY$6:$VY$117,0))</f>
        <v>TOTAL</v>
      </c>
      <c r="WF6" s="46">
        <f>INDEX($WC$6:$WC$117,MATCH(WD6,$VY$6:$VY$117,0))</f>
        <v>3.65524</v>
      </c>
      <c r="WG6" s="76">
        <f>MAX(WF6)</f>
        <v>3.65524</v>
      </c>
      <c r="WH6" s="46">
        <f>RANK(WI6,$WI$6:$WI$117,1)</f>
        <v>8</v>
      </c>
      <c r="WI6" s="46">
        <f t="shared" ref="WI6:WI37" si="81">(C6*WJ6)+WK6</f>
        <v>2.4739999999999993</v>
      </c>
      <c r="WJ6" s="46">
        <f>(COUNTIF($WK$6:$WK$117,WK6)&gt;1)*1</f>
        <v>1</v>
      </c>
      <c r="WK6" s="46">
        <f>RANK(WL6,$WL$6:$WL$117)</f>
        <v>2</v>
      </c>
      <c r="WL6" s="46" cm="1">
        <f t="array" ref="WL6">ROUND(IFERROR(INDEX(ArchiveResults!$F$5:$IX$116,ComparisonData!A6,ComparisonData!$WL$1),0),5)</f>
        <v>0</v>
      </c>
      <c r="WM6" s="46" cm="1">
        <f t="array" ref="WM6">IFERROR(INDEX(ArchiveResults!$F$5:$IX$116,ComparisonData!A6,ComparisonData!$WM$1),0)</f>
        <v>0</v>
      </c>
      <c r="WN6" s="74">
        <v>1</v>
      </c>
      <c r="WO6" s="53" t="str">
        <f t="shared" ref="WO6:WO37" si="82">INDEX($B$6:$B$117,MATCH(WN6,$WH$6:$WH$117,0))</f>
        <v>TOTAL</v>
      </c>
      <c r="WP6" s="60">
        <f>INDEX($WL$6:$WL$117,MATCH(WN6,$WH$6:$WH$117,0))</f>
        <v>0.89287000000000005</v>
      </c>
      <c r="WQ6" s="60">
        <f>INDEX($WM$6:$WM$117,MATCH(WN6,$WH$6:$WH$117,0))</f>
        <v>0.10713104207991776</v>
      </c>
      <c r="WR6" s="76">
        <f>MAX(WP6:WQ6)</f>
        <v>0.89287000000000005</v>
      </c>
      <c r="WS6" s="46">
        <f>RANK(WT6,$WT$6:$WT$117,1)</f>
        <v>8</v>
      </c>
      <c r="WT6" s="46">
        <f t="shared" ref="WT6:WT37" si="83">(C6*WU6)+WV6</f>
        <v>2.4739999999999993</v>
      </c>
      <c r="WU6" s="46">
        <f>(COUNTIF($WV$6:$WV$117,WV6)&gt;1)*1</f>
        <v>1</v>
      </c>
      <c r="WV6" s="46">
        <f>RANK(WW6,$WW$6:$WW$117,0)</f>
        <v>2</v>
      </c>
      <c r="WW6" s="46" cm="1">
        <f t="array" ref="WW6">ROUND(VALUE(IFERROR(INDEX(ArchiveResults!$F$5:$IX$116,ComparisonData!A6,ComparisonData!$WW$1),0)),5)</f>
        <v>0</v>
      </c>
      <c r="WX6" s="46" cm="1">
        <f t="array" ref="WX6">ROUND(IFERROR(INDEX(ArchiveResults!$F$5:$IX$116,ComparisonData!A6,ComparisonData!$WX$1),0),5)</f>
        <v>0</v>
      </c>
      <c r="WY6" s="74">
        <v>1</v>
      </c>
      <c r="WZ6" s="53" t="str">
        <f t="shared" ref="WZ6:WZ37" si="84">INDEX($B$6:$B$117,MATCH(WY6,$WS$6:$WS$117,0))</f>
        <v>TOTAL</v>
      </c>
      <c r="XA6" s="60">
        <f t="shared" ref="XA6:XA37" si="85">INDEX($WW$6:$WW$117,MATCH(WY6,$WS$6:$WS$117,0))</f>
        <v>0.95504</v>
      </c>
      <c r="XB6" s="60">
        <f t="shared" ref="XB6:XB37" si="86">INDEX($WX$6:$WX$117,MATCH(WY6,$WS$6:$WS$117,0))</f>
        <v>4.496E-2</v>
      </c>
      <c r="XC6" s="76">
        <f>MAX(XA6:XB6)</f>
        <v>0.95504</v>
      </c>
      <c r="XD6" s="46">
        <f>RANK(XE6,$XE$6:$XE$117,1)</f>
        <v>8</v>
      </c>
      <c r="XE6" s="46">
        <f t="shared" ref="XE6:XE37" si="87">(C6*XF6)+XG6</f>
        <v>2.4739999999999993</v>
      </c>
      <c r="XF6" s="46">
        <f>(COUNTIF($XG$6:$XG$117,XG6)&gt;1)*1</f>
        <v>1</v>
      </c>
      <c r="XG6" s="46">
        <f>RANK(XH6,$XH$6:$XH$117)</f>
        <v>2</v>
      </c>
      <c r="XH6" s="46" cm="1">
        <f t="array" ref="XH6">ROUND(VALUE(IFERROR(INDEX(ArchiveResults!$F$5:$IX$116,ComparisonData!A6,ComparisonData!$XH$1),0)),5)</f>
        <v>0</v>
      </c>
      <c r="XI6" s="46" cm="1">
        <f t="array" ref="XI6">ROUND(VALUE(IFERROR(INDEX(ArchiveResults!$F$5:$IX$116,ComparisonData!A6,ComparisonData!$XI$1),0)),5)</f>
        <v>0</v>
      </c>
      <c r="XJ6" s="74">
        <v>1</v>
      </c>
      <c r="XK6" s="53" t="str">
        <f t="shared" ref="XK6:XK37" si="88">INDEX($B$6:$B$117,MATCH(XJ6,$XD$6:$XD$117,0))</f>
        <v>TOTAL</v>
      </c>
      <c r="XL6" s="60">
        <f>INDEX($XH$6:$XH$117,MATCH(XJ6,$XD$6:$XD$117,0))</f>
        <v>0.94994999999999996</v>
      </c>
      <c r="XM6" s="60">
        <f>INDEX($XI$6:$XI$117,MATCH(XJ6,$XD$6:$XD$117,0))</f>
        <v>5.0049999999999997E-2</v>
      </c>
      <c r="XN6" s="76">
        <f>MAX(XL6:XM6)</f>
        <v>0.94994999999999996</v>
      </c>
      <c r="XO6" s="46">
        <f>RANK(XP6,$XP$6:$XP$117,1)</f>
        <v>8</v>
      </c>
      <c r="XP6" s="46">
        <f t="shared" ref="XP6:XP37" si="89">(C6*XQ6)+XR6</f>
        <v>2.4739999999999993</v>
      </c>
      <c r="XQ6" s="46">
        <f>(COUNTIF($XR$6:$XR$117,XR6)&gt;1)*1</f>
        <v>1</v>
      </c>
      <c r="XR6" s="46">
        <f>RANK(XS6,$XS$6:$XS$117)</f>
        <v>2</v>
      </c>
      <c r="XS6" s="46" cm="1">
        <f t="array" ref="XS6">ROUND(VALUE(IFERROR(INDEX(ArchiveResults!$F$5:$IX$116,ComparisonData!A6,ComparisonData!$XS$1),0)),5)</f>
        <v>0</v>
      </c>
      <c r="XT6" s="46" cm="1">
        <f t="array" ref="XT6">ROUND(VALUE(IFERROR(INDEX(ArchiveResults!$F$5:$IX$116,ComparisonData!A6,ComparisonData!$XT$1),0)),5)</f>
        <v>0</v>
      </c>
      <c r="XU6" s="74">
        <v>1</v>
      </c>
      <c r="XV6" s="53" t="str">
        <f t="shared" ref="XV6:XV37" si="90">INDEX($B$6:$B$117,MATCH(XU6,$XO$6:$XO$117,0))</f>
        <v>TOTAL</v>
      </c>
      <c r="XW6" s="60">
        <f>INDEX($XS$6:$XS$117,MATCH(XU6,$XO$6:$XO$117,0))</f>
        <v>0.91598000000000002</v>
      </c>
      <c r="XX6" s="60">
        <f>INDEX($XT$6:$XT$117,MATCH(XU6,$XO$6:$XO$117,0))</f>
        <v>8.4019999999999997E-2</v>
      </c>
      <c r="XY6" s="76">
        <f>MAX(XW6:XX6)</f>
        <v>0.91598000000000002</v>
      </c>
      <c r="XZ6" s="46">
        <f>RANK(YA6,$YA$6:$YA$117,1)</f>
        <v>8</v>
      </c>
      <c r="YA6" s="46">
        <f t="shared" ref="YA6:YA37" si="91">(C6*YB6)+YC6</f>
        <v>2.4739999999999993</v>
      </c>
      <c r="YB6" s="46">
        <f>(COUNTIF($YC$6:$YC$117,YC6)&gt;1)*1</f>
        <v>1</v>
      </c>
      <c r="YC6" s="46">
        <f>RANK(YD6,$YD$6:$YD$117)</f>
        <v>2</v>
      </c>
      <c r="YD6" s="46" cm="1">
        <f t="array" ref="YD6">ROUND(VALUE(IFERROR(INDEX(ArchiveResults!$F$5:$IX$116,ComparisonData!A6,ComparisonData!$YD$1),0)),5)</f>
        <v>0</v>
      </c>
      <c r="YE6" s="46" cm="1">
        <f t="array" ref="YE6">ROUND(VALUE(IFERROR(INDEX(ArchiveResults!$F$5:$IX$116,ComparisonData!A6,ComparisonData!$YE$1),0)),5)</f>
        <v>0</v>
      </c>
      <c r="YF6" s="74">
        <v>1</v>
      </c>
      <c r="YG6" s="53" t="str">
        <f t="shared" ref="YG6:YG37" si="92">INDEX($B$6:$B$117,MATCH(YF6,$XZ$6:$XZ$117,0))</f>
        <v>TOTAL</v>
      </c>
      <c r="YH6" s="60">
        <f>INDEX($YD$6:$YD$117,MATCH(YF6,$XZ$6:$XZ$117,0))</f>
        <v>0.46636</v>
      </c>
      <c r="YI6" s="60">
        <f>INDEX($YE$6:$YE$117,MATCH(YF6,$XZ$6:$XZ$117,0))</f>
        <v>0.53364</v>
      </c>
      <c r="YJ6" s="76">
        <f>MAX(YH6:YI6)</f>
        <v>0.53364</v>
      </c>
      <c r="YK6" s="46">
        <f>RANK(YL6,$YL$6:$YL$117,1)</f>
        <v>8</v>
      </c>
      <c r="YL6" s="46">
        <f t="shared" ref="YL6:YL37" si="93">(C6*YM6)+YN6</f>
        <v>2.4739999999999993</v>
      </c>
      <c r="YM6" s="46">
        <f>(COUNTIF($YN$6:$YN$117,YN6)&gt;1)*1</f>
        <v>1</v>
      </c>
      <c r="YN6" s="46">
        <f>RANK(YO6,$YO$6:$YO$117)</f>
        <v>2</v>
      </c>
      <c r="YO6" s="46" cm="1">
        <f t="array" ref="YO6">ROUND(VALUE(IFERROR(INDEX(ArchiveResults!$F$5:$IX$116,ComparisonData!A6,ComparisonData!$YO$1),0)),5)</f>
        <v>0</v>
      </c>
      <c r="YP6" s="46" cm="1">
        <f t="array" ref="YP6">ROUND(VALUE(IFERROR(INDEX(ArchiveResults!$F$5:$IX$116,ComparisonData!A6,ComparisonData!$YP$1),0)),5)</f>
        <v>0</v>
      </c>
      <c r="YQ6" s="74">
        <v>1</v>
      </c>
      <c r="YR6" s="53" t="str">
        <f t="shared" ref="YR6:YR37" si="94">INDEX($B$6:$B$117,MATCH(YQ6,$YK$6:$YK$117,0))</f>
        <v>TOTAL</v>
      </c>
      <c r="YS6" s="60">
        <f>INDEX($YO$6:$YO$117,MATCH(YQ6,$YK$6:$YK$117,0))</f>
        <v>0.99678999999999995</v>
      </c>
      <c r="YT6" s="60">
        <f>INDEX($YP$6:$YP$117,MATCH(YQ6,$YK$6:$YK$117,0))</f>
        <v>3.2100000000000002E-3</v>
      </c>
      <c r="YU6" s="76">
        <f>MAX(YS6:YT6)</f>
        <v>0.99678999999999995</v>
      </c>
      <c r="YV6" s="46">
        <f>RANK(YW6,$YW$6:$YW$117,1)</f>
        <v>8</v>
      </c>
      <c r="YW6" s="46">
        <f t="shared" ref="YW6:YW37" si="95">(C6*YX6)+YY6</f>
        <v>2.4739999999999993</v>
      </c>
      <c r="YX6" s="46">
        <f>(COUNTIF($YY$6:$YY$117,YY6)&gt;1)*1</f>
        <v>1</v>
      </c>
      <c r="YY6" s="46">
        <f>RANK(YZ6,$YZ$6:$YZ$117)</f>
        <v>2</v>
      </c>
      <c r="YZ6" s="46">
        <f>ZA6+(ZB6/100)+(ZC6/10000)+(ZD6/1000000)</f>
        <v>0</v>
      </c>
      <c r="ZA6" s="46" cm="1">
        <f t="array" ref="ZA6">ROUNDDOWN(VALUE(IFERROR(INDEX(ArchiveResults!$F$5:$IX$116,ComparisonData!A6,ComparisonData!$ZA$1),0)),5)</f>
        <v>0</v>
      </c>
      <c r="ZB6" s="46" cm="1">
        <f t="array" ref="ZB6">ROUNDDOWN(VALUE(IFERROR(INDEX(ArchiveResults!$F$5:$IX$116,ComparisonData!A6,ComparisonData!$ZB$1),0)),5)</f>
        <v>0</v>
      </c>
      <c r="ZC6" s="46" cm="1">
        <f t="array" ref="ZC6">ROUNDDOWN(VALUE(IFERROR(INDEX(ArchiveResults!$F$5:$IX$116,ComparisonData!A6,ComparisonData!$ZC$1),0)),5)</f>
        <v>0</v>
      </c>
      <c r="ZD6" s="46" cm="1">
        <f t="array" ref="ZD6">ROUNDDOWN(VALUE(IFERROR(INDEX(ArchiveResults!$F$5:$IX$116,ComparisonData!A6,ComparisonData!$ZD$1),0)),5)</f>
        <v>0</v>
      </c>
      <c r="ZE6" s="46" cm="1">
        <f t="array" ref="ZE6">ROUNDDOWN(VALUE(IFERROR(INDEX(ArchiveResults!$F$5:$IX$116,ComparisonData!A6,ComparisonData!$ZE$1),0)),5)</f>
        <v>0</v>
      </c>
      <c r="ZF6" s="74">
        <v>1</v>
      </c>
      <c r="ZG6" s="53" t="str">
        <f t="shared" ref="ZG6:ZG37" si="96">INDEX($B$6:$B$117,MATCH(ZF6,$YV$6:$YV$117,0))</f>
        <v>TOTAL</v>
      </c>
      <c r="ZH6" s="60">
        <f>INDEX($ZA$6:$ZA$117,MATCH(ZF6,$YV$6:$YV$117,0))</f>
        <v>8.3659999999999998E-2</v>
      </c>
      <c r="ZI6" s="60">
        <f>INDEX($ZB$6:$ZB$117,MATCH(ZF6,$YV$6:$YV$117,0))</f>
        <v>0.17005000000000001</v>
      </c>
      <c r="ZJ6" s="60">
        <f>INDEX($ZC$6:$ZC$117,MATCH(ZF6,$YV$6:$YV$117,0))</f>
        <v>0.31152000000000002</v>
      </c>
      <c r="ZK6" s="60">
        <f>INDEX($ZD$6:$ZD$117,MATCH(ZF6,$YV$6:$YV$117,0))</f>
        <v>0.30287999999999998</v>
      </c>
      <c r="ZL6" s="60">
        <f>INDEX($ZE$6:$ZE$117,MATCH(ZF6,$YV$6:$YV$117,0))</f>
        <v>0.13186999999999999</v>
      </c>
      <c r="ZM6" s="76">
        <f>MAX(ZH6:ZL6)</f>
        <v>0.31152000000000002</v>
      </c>
      <c r="ZN6" s="46">
        <f>RANK(ZO6,$ZO$6:$ZO$117,1)</f>
        <v>8</v>
      </c>
      <c r="ZO6" s="46">
        <f t="shared" ref="ZO6:ZO37" si="97">(C6*ZP6)+ZQ6</f>
        <v>2.4739999999999993</v>
      </c>
      <c r="ZP6" s="46">
        <f>(COUNTIF($ZQ$6:$ZQ$117,ZQ6)&gt;1)*1</f>
        <v>1</v>
      </c>
      <c r="ZQ6" s="46">
        <f>RANK(ZR6,$ZR$6:$ZR$117)</f>
        <v>2</v>
      </c>
      <c r="ZR6" s="46" cm="1">
        <f t="array" ref="ZR6">ROUND(VALUE(IFERROR(INDEX(ArchiveResults!$F$5:$IX$116,ComparisonData!A6,ComparisonData!$ZR$1),0)),5)</f>
        <v>0</v>
      </c>
      <c r="ZS6" s="74">
        <v>1</v>
      </c>
      <c r="ZT6" s="53" t="str">
        <f t="shared" ref="ZT6:ZT37" si="98">INDEX($B$6:$B$117,MATCH(ZS6,$ZN$6:$ZN$117,0))</f>
        <v>TOTAL</v>
      </c>
      <c r="ZU6" s="46">
        <f>INDEX($ZR$6:$ZR$117,MATCH(ZS6,$ZN$6:$ZN$117,0))</f>
        <v>56.569119999999998</v>
      </c>
      <c r="ZV6" s="76">
        <f>MAX(ZU6)</f>
        <v>56.569119999999998</v>
      </c>
      <c r="ZW6" s="81" cm="1">
        <f t="array" ref="ZW6">ROUND((IFERROR(INDEX(ArchiveResults!$F$5:$IX$116,ComparisonData!A6,ComparisonData!$ZW$1),0)),5)</f>
        <v>0</v>
      </c>
      <c r="ZX6" s="81" cm="1">
        <f t="array" ref="ZX6">ROUND((IFERROR(INDEX(ArchiveResults!$F$5:$IX$116,ComparisonData!A6,ComparisonData!$ZX$1),0)),5)</f>
        <v>0</v>
      </c>
      <c r="ZY6" s="81" cm="1">
        <f t="array" ref="ZY6">ROUND((IFERROR(INDEX(ArchiveResults!$F$5:$IX$116,ComparisonData!A6,ComparisonData!$ZY$1),0)),5)</f>
        <v>0</v>
      </c>
      <c r="ZZ6" s="81" cm="1">
        <f t="array" ref="ZZ6">ROUND((IFERROR(INDEX(ArchiveResults!$F$5:$IX$116,ComparisonData!A6,ComparisonData!$ZZ$1),0)),5)</f>
        <v>0</v>
      </c>
      <c r="AAA6" s="81" cm="1">
        <f t="array" ref="AAA6">ROUND((IFERROR(INDEX(ArchiveResults!$F$5:$IX$116,ComparisonData!A6,ComparisonData!$AAA$1),0)),5)</f>
        <v>0</v>
      </c>
      <c r="AAB6" s="81" cm="1">
        <f t="array" ref="AAB6">ROUND((IFERROR(INDEX(ArchiveResults!$F$5:$IX$116,ComparisonData!A6,ComparisonData!$AAB$1),0)),5)</f>
        <v>0</v>
      </c>
      <c r="AAC6" s="81" cm="1">
        <f t="array" ref="AAC6">ROUND((IFERROR(INDEX(ArchiveResults!$F$5:$IX$116,ComparisonData!A6,ComparisonData!$AAC$1),0)),5)</f>
        <v>0</v>
      </c>
      <c r="AAD6" s="81" cm="1">
        <f t="array" ref="AAD6">ROUND((IFERROR(INDEX(ArchiveResults!$F$5:$IX$116,ComparisonData!A6,ComparisonData!$AAD$1),0)),5)</f>
        <v>0</v>
      </c>
      <c r="AAE6" s="81" cm="1">
        <f t="array" ref="AAE6">ROUND((IFERROR(INDEX(ArchiveResults!$F$5:$IX$116,ComparisonData!A6,ComparisonData!$AAE$1),0)),5)</f>
        <v>0</v>
      </c>
      <c r="AAF6" s="81" cm="1">
        <f t="array" ref="AAF6">ROUND((IFERROR(INDEX(ArchiveResults!$F$5:$IX$116,ComparisonData!A6,ComparisonData!$AAF$1),0)),5)</f>
        <v>0</v>
      </c>
      <c r="AAG6" s="46">
        <f>RANK(AAH6,$AAH$6:$AAH$117,1)</f>
        <v>8</v>
      </c>
      <c r="AAH6" s="46">
        <f t="shared" ref="AAH6:AAH37" si="99">(C6*AAI6)+AAJ6</f>
        <v>2.4739999999999993</v>
      </c>
      <c r="AAI6" s="46">
        <f>(COUNTIF($AAJ$6:$AAJ$117,AAJ6)&gt;1)*1</f>
        <v>1</v>
      </c>
      <c r="AAJ6" s="46">
        <f>RANK(AAK6,$AAK$6:$AAK$117)</f>
        <v>2</v>
      </c>
      <c r="AAK6" s="46">
        <f>AAL6+(AAM6/1000)+(AAN6/100000)+(AAO6/1000000)+(AAP6/10000000)</f>
        <v>0</v>
      </c>
      <c r="AAL6" s="46">
        <f>ROUNDDOWN(IFERROR(ZW6+ZX6,0),7)</f>
        <v>0</v>
      </c>
      <c r="AAM6" s="46">
        <f>ROUNDDOWN(IFERROR(ZY6+ZZ6,0),7)</f>
        <v>0</v>
      </c>
      <c r="AAN6" s="46">
        <f>ROUNDDOWN(IFERROR(AAA6+AAB6,0),7)</f>
        <v>0</v>
      </c>
      <c r="AAO6" s="46">
        <f>ROUNDDOWN(IFERROR(AAC6+AAD6,0),7)</f>
        <v>0</v>
      </c>
      <c r="AAP6" s="46">
        <f>ROUNDDOWN(IFERROR(AAE6+AAF6,0),7)</f>
        <v>0</v>
      </c>
      <c r="AAQ6" s="74">
        <v>1</v>
      </c>
      <c r="AAR6" s="53" t="str">
        <f t="shared" ref="AAR6:AAR37" si="100">INDEX($B$6:$B$117,MATCH(AAQ6,$AAG$6:$AAG$117,0))</f>
        <v>TOTAL</v>
      </c>
      <c r="AAS6" s="60">
        <f>INDEX($AAL$6:$AAL$117,MATCH(AAQ6,$AAG$6:$AAG$117,0))</f>
        <v>6.3210000000000002E-2</v>
      </c>
      <c r="AAT6" s="60">
        <f>INDEX($AAM$6:$AAM$117,MATCH(AAQ6,$AAG$6:$AAG$117,0))</f>
        <v>0.13089999999999999</v>
      </c>
      <c r="AAU6" s="60">
        <f>INDEX($AAN$6:$AAN$117,MATCH(AAQ6,$AAG$6:$AAG$117,0))</f>
        <v>0.22957</v>
      </c>
      <c r="AAV6" s="60">
        <f>INDEX($AAO$6:$AAO$117,MATCH(AAQ6,$AAG$6:$AAG$117,0))</f>
        <v>0.25594</v>
      </c>
      <c r="AAW6" s="60">
        <f>INDEX($AAP$6:$AAP$117,MATCH(AAQ6,$AAG$6:$AAG$117,0))</f>
        <v>0.32036999999999999</v>
      </c>
      <c r="AAX6" s="76">
        <f>MAX(AAS6:AAW6)</f>
        <v>0.32036999999999999</v>
      </c>
      <c r="AAY6" s="46">
        <f>RANK(AAZ6,$AAZ$6:$AAZ$117,1)</f>
        <v>8</v>
      </c>
      <c r="AAZ6" s="46">
        <f t="shared" ref="AAZ6:AAZ37" si="101">(C6*ABA6)+ABB6</f>
        <v>2.4739999999999993</v>
      </c>
      <c r="ABA6" s="46">
        <f>(COUNTIF($ABB$6:$ABB$117,ABB6)&gt;1)*1</f>
        <v>1</v>
      </c>
      <c r="ABB6" s="46">
        <f>RANK(ABC6,$ABC$6:$ABC$117)</f>
        <v>2</v>
      </c>
      <c r="ABC6" s="46">
        <f t="shared" ref="ABC6:ABC69" si="102">ABF6+(ABH6/100)+(ABE6/1000)+(ABG6/10000)+(ABD6/100000)</f>
        <v>0</v>
      </c>
      <c r="ABD6" s="46" cm="1">
        <f t="array" ref="ABD6">ROUND(VALUE(IFERROR(INDEX(ArchiveResults!$F$5:$IX$116,ComparisonData!A6,ComparisonData!$ABD$1),0)),5)</f>
        <v>0</v>
      </c>
      <c r="ABE6" s="46" cm="1">
        <f t="array" ref="ABE6">ROUND(VALUE(IFERROR(INDEX(ArchiveResults!$F$5:$IX$116,ComparisonData!A6,ComparisonData!$ABE$1),0)),5)</f>
        <v>0</v>
      </c>
      <c r="ABF6" s="46" cm="1">
        <f t="array" ref="ABF6">ROUND(VALUE(IFERROR(INDEX(ArchiveResults!$F$5:$IX$116,ComparisonData!A6,ComparisonData!$ABF$1),0)),5)</f>
        <v>0</v>
      </c>
      <c r="ABG6" s="46" cm="1">
        <f t="array" ref="ABG6">ROUND(VALUE(IFERROR(INDEX(ArchiveResults!$F$5:$IX$116,ComparisonData!A6,ComparisonData!$ABG$1),0)),5)</f>
        <v>0</v>
      </c>
      <c r="ABH6" s="46" cm="1">
        <f t="array" ref="ABH6">ROUND(VALUE(IFERROR(INDEX(ArchiveResults!$F$5:$IX$116,ComparisonData!A6,ComparisonData!$ABH$1),0)),5)</f>
        <v>0</v>
      </c>
      <c r="ABI6" s="74">
        <v>1</v>
      </c>
      <c r="ABJ6" s="53" t="str">
        <f t="shared" ref="ABJ6:ABJ37" si="103">INDEX($B$6:$B$117,MATCH(ABI6,$AAY$6:$AAY$117,0))</f>
        <v>TOTAL</v>
      </c>
      <c r="ABK6" s="60">
        <f>INDEX($ABF$6:$ABF$117,MATCH(ABI6,$AAY$6:$AAY$117,0))</f>
        <v>0.40045999999999998</v>
      </c>
      <c r="ABL6" s="60">
        <f>INDEX($ABH$6:$ABH$117,MATCH(ABI6,$AAY$6:$AAY$117,0))</f>
        <v>0.33523999999999998</v>
      </c>
      <c r="ABM6" s="60">
        <f>INDEX($ABE$6:$ABE$117,MATCH(ABI6,$AAY$6:$AAY$117,0))</f>
        <v>0.13241</v>
      </c>
      <c r="ABN6" s="60">
        <f>INDEX($ABG$6:$ABG$117,MATCH(ABI6,$AAY$6:$AAY$117,0))</f>
        <v>9.4920000000000004E-2</v>
      </c>
      <c r="ABO6" s="60">
        <f>INDEX($ABD$6:$ABD$117,MATCH(ABI6,$AAY$6:$AAY$117,0))</f>
        <v>3.696E-2</v>
      </c>
      <c r="ABP6" s="76">
        <f>MAX(ABK6:ABO6)</f>
        <v>0.40045999999999998</v>
      </c>
      <c r="ABQ6" s="46">
        <f>RANK(ABR6,$ABR$6:$ABR$117,1)</f>
        <v>8</v>
      </c>
      <c r="ABR6" s="46">
        <f t="shared" ref="ABR6:ABR37" si="104">(C6*ABS6)+ABT6</f>
        <v>2.4739999999999993</v>
      </c>
      <c r="ABS6" s="46">
        <f>(COUNTIF($ABT$6:$ABT$117,ABT6)&gt;1)*1</f>
        <v>1</v>
      </c>
      <c r="ABT6" s="46">
        <f>RANK(ABU6,$ABU$6:$ABU$117)</f>
        <v>2</v>
      </c>
      <c r="ABU6" s="46" cm="1">
        <f t="array" ref="ABU6">ROUND(VALUE(IFERROR(INDEX(ArchiveResults!$F$5:$IX$116,ComparisonData!A6,ComparisonData!$ABU$1),0)),5)</f>
        <v>0</v>
      </c>
      <c r="ABV6" s="46" cm="1">
        <f t="array" ref="ABV6">ROUND(VALUE(IFERROR(INDEX(ArchiveResults!$F$5:$IX$116,ComparisonData!A6,ComparisonData!$ABV$1),0)),5)</f>
        <v>0</v>
      </c>
      <c r="ABW6" s="46" cm="1">
        <f t="array" ref="ABW6">ROUND(VALUE(IFERROR(INDEX(ArchiveResults!$F$5:$IX$116,ComparisonData!A6,ComparisonData!$ABW$1),0)),5)</f>
        <v>0</v>
      </c>
      <c r="ABX6" s="46" cm="1">
        <f t="array" ref="ABX6">ROUND(VALUE(IFERROR(INDEX(ArchiveResults!$F$5:$IX$116,ComparisonData!A6,ComparisonData!$ABX$1),0)),5)</f>
        <v>0</v>
      </c>
      <c r="ABY6" s="46" cm="1">
        <f t="array" ref="ABY6">ROUND(VALUE(IFERROR(INDEX(ArchiveResults!$F$5:$IX$116,ComparisonData!A6,ComparisonData!$ABY$1),0)),5)</f>
        <v>0</v>
      </c>
      <c r="ABZ6" s="74">
        <v>1</v>
      </c>
      <c r="ACA6" s="53" t="str">
        <f t="shared" ref="ACA6:ACA37" si="105">INDEX($B$6:$B$117,MATCH(ABZ6,$ABQ$6:$ABQ$117,0))</f>
        <v>TOTAL</v>
      </c>
      <c r="ACB6" s="60">
        <f>INDEX($ABU$6:$ABU$117,MATCH(ABZ6,$ABQ$6:$ABQ$117,0))</f>
        <v>0.93405000000000005</v>
      </c>
      <c r="ACC6" s="60">
        <f>INDEX($ABV$6:$ABV$117,MATCH(ABZ6,$ABQ$6:$ABQ$117,0))</f>
        <v>2.6079999999999999E-2</v>
      </c>
      <c r="ACD6" s="60">
        <f>INDEX($ABW$6:$ABW$117,MATCH(ABZ6,$ABQ$6:$ABQ$117,0))</f>
        <v>1.653E-2</v>
      </c>
      <c r="ACE6" s="60">
        <f>INDEX($ABX$6:$ABX$117,MATCH(ABZ6,$ABQ$6:$ABQ$117,0))</f>
        <v>8.7899999999999992E-3</v>
      </c>
      <c r="ACF6" s="60">
        <f>INDEX($ABY$6:$ABY$117,MATCH(ABZ6,$ABQ$6:$ABQ$117,0))</f>
        <v>1.653E-2</v>
      </c>
      <c r="ACG6" s="76">
        <f>MAX(ACB6:ACF6)</f>
        <v>0.93405000000000005</v>
      </c>
      <c r="ACH6" s="46">
        <f>RANK(ACI6,$ACI$6:$ACI$117,1)</f>
        <v>8</v>
      </c>
      <c r="ACI6" s="46">
        <f t="shared" ref="ACI6:ACI37" si="106">(C6*ACJ6)+ACK6</f>
        <v>2.4739999999999993</v>
      </c>
      <c r="ACJ6" s="46">
        <f>(COUNTIF($ACK$6:$ACK$117,ACK6)&gt;1)*1</f>
        <v>1</v>
      </c>
      <c r="ACK6" s="46">
        <f>RANK(ACL6,$ACL$6:$ACL$117)</f>
        <v>2</v>
      </c>
      <c r="ACL6" s="46">
        <f>ACM6+(ACN6/1000)</f>
        <v>0</v>
      </c>
      <c r="ACM6" s="46" cm="1">
        <f t="array" ref="ACM6">ROUND(IFERROR(INDEX(ArchiveResults!$F$5:$IX$116,ComparisonData!A6,ComparisonData!$ACM$1),0),5)</f>
        <v>0</v>
      </c>
      <c r="ACN6" s="46" cm="1">
        <f t="array" ref="ACN6">ROUND(IFERROR(INDEX(ArchiveResults!$F$5:$IX$116,ComparisonData!A6,ComparisonData!$ACN$1),0),5)</f>
        <v>0</v>
      </c>
      <c r="ACO6" s="74">
        <v>1</v>
      </c>
      <c r="ACP6" s="53" t="str">
        <f t="shared" ref="ACP6:ACP37" si="107">INDEX($B$6:$B$117,MATCH(ACO6,$ACH$6:$ACH$117,0))</f>
        <v>TOTAL</v>
      </c>
      <c r="ACQ6" s="60">
        <f>INDEX($ACM$6:$ACM$117,MATCH(ACO6,$ACH$6:$ACH$117,0))</f>
        <v>0.12058000000000001</v>
      </c>
      <c r="ACR6" s="60">
        <f>INDEX($ACN$6:$ACN$117,MATCH(ACO6,$ACH$6:$ACH$117,0))</f>
        <v>0.87941999999999998</v>
      </c>
      <c r="ACS6" s="76">
        <f>MAX(ACQ6:ACR6)</f>
        <v>0.87941999999999998</v>
      </c>
      <c r="ACT6" s="46">
        <f>RANK(ACU6,$ACU$6:$ACU$117,1)</f>
        <v>8</v>
      </c>
      <c r="ACU6" s="46">
        <f t="shared" ref="ACU6:ACU37" si="108">(C6*ACV6)+ACW6</f>
        <v>2.4739999999999993</v>
      </c>
      <c r="ACV6" s="46">
        <f>(COUNTIF($ACW$6:$ACW$117,ACW6)&gt;1)*1</f>
        <v>1</v>
      </c>
      <c r="ACW6" s="46">
        <f>RANK(ACX6,$ACX$6:$ACX$117)</f>
        <v>2</v>
      </c>
      <c r="ACX6" s="46">
        <f>ACY6+(ACZ6/1000)+(ADA6/100000)</f>
        <v>0</v>
      </c>
      <c r="ACY6" s="46" cm="1">
        <f t="array" ref="ACY6">ROUNDDOWN(IFERROR(INDEX(ArchiveResults!$F$5:$IX$116,ComparisonData!A6,ComparisonData!$ACY$1),0),5)</f>
        <v>0</v>
      </c>
      <c r="ACZ6" s="46" cm="1">
        <f t="array" ref="ACZ6">ROUNDDOWN(IFERROR(INDEX(ArchiveResults!$F$5:$IX$116,ComparisonData!A6,ComparisonData!$ACZ$1),0),5)</f>
        <v>0</v>
      </c>
      <c r="ADA6" s="46" cm="1">
        <f t="array" ref="ADA6">ROUNDDOWN(IFERROR(INDEX(ArchiveResults!$F$5:$IX$116,ComparisonData!A6,ComparisonData!$ADA$1),0),5)</f>
        <v>0</v>
      </c>
      <c r="ADB6" s="74">
        <v>1</v>
      </c>
      <c r="ADC6" s="53" t="str">
        <f t="shared" ref="ADC6:ADC37" si="109">INDEX($B$6:$B$117,MATCH(ADB6,$ACT$6:$ACT$117,0))</f>
        <v>TOTAL</v>
      </c>
      <c r="ADD6" s="60">
        <f>INDEX($ACY$6:$ACY$117,MATCH(ADB6,$ACT$6:$ACT$117,0))</f>
        <v>9.2300000000000004E-3</v>
      </c>
      <c r="ADE6" s="60">
        <f>INDEX($ACZ$6:$ACZ$117,MATCH(ADB6,$ACT$6:$ACT$117,0))</f>
        <v>0.11876</v>
      </c>
      <c r="ADF6" s="60">
        <f>INDEX($ADA$6:$ADA$117,MATCH(ADB6,$ACT$6:$ACT$117,0))</f>
        <v>0.872</v>
      </c>
      <c r="ADG6" s="76">
        <f>MAX(ADD6:ADF6)</f>
        <v>0.872</v>
      </c>
    </row>
    <row r="7" spans="1:787" x14ac:dyDescent="0.25">
      <c r="A7" s="46" t="str">
        <f>IF(ISBLANK(ComparisonSelection!F3),"",ROW()-5)</f>
        <v/>
      </c>
      <c r="B7" s="53" t="s">
        <v>456</v>
      </c>
      <c r="C7" s="72">
        <v>0.45899999999999952</v>
      </c>
      <c r="D7" s="55">
        <f t="shared" ref="D7:D70" si="110">RANK(E7,$E$6:$E$117,1)</f>
        <v>5</v>
      </c>
      <c r="E7" s="54">
        <f t="shared" ref="E7:E70" si="111">(C7*F7)+G7</f>
        <v>2.4589999999999996</v>
      </c>
      <c r="F7" s="54">
        <f>(COUNTIF($G$6:$G$117,G7)&gt;1)*1</f>
        <v>1</v>
      </c>
      <c r="G7" s="72">
        <f t="shared" ref="G7:G70" si="112">RANK(H7,$H$6:$H$117)</f>
        <v>2</v>
      </c>
      <c r="H7" s="72">
        <f t="shared" ref="H7:H70" si="113">I7+(J7/1000)</f>
        <v>0</v>
      </c>
      <c r="I7" s="46" cm="1">
        <f t="array" ref="I7">ROUND(IFERROR(INDEX(ArchiveResults!$F$5:$IX$116,ComparisonData!A7,ComparisonData!$I$1),0),5)</f>
        <v>0</v>
      </c>
      <c r="J7" s="46" cm="1">
        <f t="array" ref="J7">ROUND(IFERROR(INDEX(ArchiveResults!$F$5:$IX$116,ComparisonData!A7,ComparisonData!$J$1),0),5)</f>
        <v>0</v>
      </c>
      <c r="K7" s="56">
        <v>2</v>
      </c>
      <c r="L7" s="53" t="str">
        <f t="shared" ref="L7:L70" si="114">INDEX($B$6:$B$117,MATCH(K7,$D$6:$D$117,0))</f>
        <v>Anglesey Archives</v>
      </c>
      <c r="M7" s="57">
        <f t="shared" si="0"/>
        <v>0</v>
      </c>
      <c r="N7" s="57">
        <f t="shared" si="1"/>
        <v>0</v>
      </c>
      <c r="O7" s="58">
        <f t="shared" ref="O7:O70" si="115">MAX(M7:N7)</f>
        <v>0</v>
      </c>
      <c r="P7" s="48">
        <f t="shared" ref="P7:P70" si="116">RANK(Q7,$Q$6:$Q$117,1)</f>
        <v>5</v>
      </c>
      <c r="Q7" s="54">
        <f t="shared" si="2"/>
        <v>2.4589999999999996</v>
      </c>
      <c r="R7" s="45">
        <f t="shared" ref="R7:R70" si="117">(COUNTIF($S$6:$S$117,S7)&gt;1)*1</f>
        <v>1</v>
      </c>
      <c r="S7" s="46">
        <f t="shared" ref="S7:S70" si="118">RANK(T7,$T$6:$T$117)</f>
        <v>2</v>
      </c>
      <c r="T7" s="72">
        <f t="shared" ref="T7:T70" si="119">U7+(V7/1000)</f>
        <v>0</v>
      </c>
      <c r="U7" s="46" cm="1">
        <f t="array" ref="U7">ROUND(IFERROR(INDEX(ArchiveResults!$F$5:$IX$116,ComparisonData!A7,ComparisonData!$U$1),0),5)</f>
        <v>0</v>
      </c>
      <c r="V7" s="46" cm="1">
        <f t="array" ref="V7">ROUND(IFERROR(INDEX(ArchiveResults!$F$5:$IX$116,ComparisonData!A7,ComparisonData!$V$1),0),5)</f>
        <v>0</v>
      </c>
      <c r="W7" s="56">
        <v>2</v>
      </c>
      <c r="X7" s="53" t="str">
        <f t="shared" si="3"/>
        <v>Anglesey Archives</v>
      </c>
      <c r="Y7" s="57">
        <f t="shared" ref="Y7:Y70" si="120">INDEX($U$6:$U$117,MATCH(W7,$P$6:$P$117,0))</f>
        <v>0</v>
      </c>
      <c r="Z7" s="57">
        <f t="shared" ref="Z7:Z70" si="121">INDEX($V$6:$V$117,MATCH(W7,$P$6:$P$117,0))</f>
        <v>0</v>
      </c>
      <c r="AA7" s="58">
        <f t="shared" ref="AA7:AA70" si="122">MAX(Y7:Z7)</f>
        <v>0</v>
      </c>
      <c r="AB7" s="45">
        <f t="shared" ref="AB7:AB70" si="123">RANK(AC7,$AC$6:$AC$117,1)</f>
        <v>5</v>
      </c>
      <c r="AC7" s="54">
        <f t="shared" si="4"/>
        <v>2.4589999999999996</v>
      </c>
      <c r="AD7" s="45">
        <f t="shared" ref="AD7:AD70" si="124">(COUNTIF($AE$6:$AE$117,AE7)&gt;1)*1</f>
        <v>1</v>
      </c>
      <c r="AE7" s="45">
        <f t="shared" ref="AE7:AE70" si="125">RANK(AF7,$AF$6:$AF$117)</f>
        <v>2</v>
      </c>
      <c r="AF7" s="45">
        <f t="shared" ref="AF7:AF60" si="126">AG7+(AH7/100)</f>
        <v>0</v>
      </c>
      <c r="AG7" s="46" cm="1">
        <f t="array" ref="AG7">ROUND(IFERROR(INDEX(ArchiveResults!$F$5:$IX$116,ComparisonData!A7,ComparisonData!$AG$1),0),5)</f>
        <v>0</v>
      </c>
      <c r="AH7" s="46" cm="1">
        <f t="array" ref="AH7">ROUND(IFERROR(INDEX(ArchiveResults!$F$5:$IX$116,ComparisonData!A7,ComparisonData!$AH$1),0),5)</f>
        <v>0</v>
      </c>
      <c r="AI7" s="56">
        <v>2</v>
      </c>
      <c r="AJ7" s="53" t="str">
        <f t="shared" si="5"/>
        <v>Anglesey Archives</v>
      </c>
      <c r="AK7" s="59">
        <f t="shared" si="6"/>
        <v>0</v>
      </c>
      <c r="AL7" s="59">
        <f t="shared" si="7"/>
        <v>0</v>
      </c>
      <c r="AM7" s="58">
        <f t="shared" ref="AM7:AM70" si="127">MAX(AK7:AL7)</f>
        <v>0</v>
      </c>
      <c r="AN7" s="45">
        <f t="shared" ref="AN7:AN70" si="128">RANK(AO7,$AO$6:$AO$117,1)</f>
        <v>5</v>
      </c>
      <c r="AO7" s="54">
        <f t="shared" si="8"/>
        <v>2.4589999999999996</v>
      </c>
      <c r="AP7" s="45">
        <f t="shared" ref="AP7:AP70" si="129">(COUNTIF($AQ$6:$AQ$117,AQ7)&gt;1)*1</f>
        <v>1</v>
      </c>
      <c r="AQ7" s="45">
        <f t="shared" ref="AQ7:AQ70" si="130">RANK(AR7,$AR$6:$AR$117)</f>
        <v>2</v>
      </c>
      <c r="AR7" s="46" cm="1">
        <f t="array" ref="AR7">ROUND(IFERROR(INDEX(ArchiveResults!$F$5:$IX$116,ComparisonData!A7,ComparisonData!$AR$1),0),5)</f>
        <v>0</v>
      </c>
      <c r="AS7" s="46" cm="1">
        <f t="array" ref="AS7">ROUND(IFERROR(INDEX(ArchiveResults!$F$5:$IX$116,ComparisonData!A7,ComparisonData!$AS$1),0),5)</f>
        <v>0</v>
      </c>
      <c r="AT7" s="46" cm="1">
        <f t="array" ref="AT7">ROUND(IFERROR(INDEX(ArchiveResults!$F$5:$IX$116,ComparisonData!A7,ComparisonData!$AT$1),0),5)</f>
        <v>0</v>
      </c>
      <c r="AU7" s="46" cm="1">
        <f t="array" ref="AU7">ROUND(IFERROR(INDEX(ArchiveResults!$F$5:$IX$116,ComparisonData!A7,ComparisonData!$AU$1),0),5)</f>
        <v>0</v>
      </c>
      <c r="AV7" s="46" cm="1">
        <f t="array" ref="AV7">ROUND(IFERROR(INDEX(ArchiveResults!$F$5:$IX$116,ComparisonData!A7,ComparisonData!$AV$1),0),5)</f>
        <v>0</v>
      </c>
      <c r="AW7" s="46" cm="1">
        <f t="array" ref="AW7">ROUND(IFERROR(INDEX(ArchiveResults!$F$5:$IX$116,ComparisonData!A7,ComparisonData!$AW$1),0),5)</f>
        <v>0</v>
      </c>
      <c r="AX7" s="46" cm="1">
        <f t="array" ref="AX7">ROUND(IFERROR(INDEX(ArchiveResults!$F$5:$IX$116,ComparisonData!A7,ComparisonData!$AX$1),0),5)</f>
        <v>0</v>
      </c>
      <c r="AY7" s="46" cm="1">
        <f t="array" ref="AY7">ROUND(IFERROR(INDEX(ArchiveResults!$F$5:$IX$116,ComparisonData!A7,ComparisonData!$AY$1),0),5)</f>
        <v>0</v>
      </c>
      <c r="AZ7" s="46" cm="1">
        <f t="array" ref="AZ7">ROUND(IFERROR(INDEX(ArchiveResults!$F$5:$IX$116,ComparisonData!A7,ComparisonData!$AZ$1),0),5)</f>
        <v>0</v>
      </c>
      <c r="BA7" s="46" cm="1">
        <f t="array" ref="BA7">ROUND(IFERROR(INDEX(ArchiveResults!$F$5:$IX$116,ComparisonData!A7,ComparisonData!$BA$1),0),5)</f>
        <v>0</v>
      </c>
      <c r="BB7" s="56">
        <v>2</v>
      </c>
      <c r="BC7" s="53" t="str">
        <f t="shared" si="9"/>
        <v>Anglesey Archives</v>
      </c>
      <c r="BD7" s="60">
        <f t="shared" ref="BD7:BD70" si="131">INDEX($AR$6:$AR$117,MATCH(BB7,$AN$6:$AN$117,0))</f>
        <v>0</v>
      </c>
      <c r="BE7" s="60">
        <f t="shared" ref="BE7:BE70" si="132">INDEX($AT$6:$AT$117,MATCH(BB7,$AN$6:$AN$117,0))</f>
        <v>0</v>
      </c>
      <c r="BF7" s="60">
        <f t="shared" ref="BF7:BF70" si="133">INDEX($AV$6:$AV$117,MATCH(BB7,$AN$6:$AN$117,0))</f>
        <v>0</v>
      </c>
      <c r="BG7" s="60">
        <f t="shared" ref="BG7:BG70" si="134">INDEX($AZ$6:$AZ$117,MATCH(BB7,$AN$6:$AN$117,0))</f>
        <v>0</v>
      </c>
      <c r="BH7" s="60">
        <f t="shared" ref="BH7:BH70" si="135">INDEX($AS$6:$AS$117,MATCH(BB7,$AN$6:$AN$117,0))</f>
        <v>0</v>
      </c>
      <c r="BI7" s="60">
        <f t="shared" ref="BI7:BI70" si="136">INDEX($AY$6:$AY$117,MATCH(BB7,$AN$6:$AN$117,0))</f>
        <v>0</v>
      </c>
      <c r="BJ7" s="60">
        <f t="shared" ref="BJ7:BJ70" si="137">INDEX($AU$6:$AU$117,MATCH(BB7,$AN$6:$AN$117,0))</f>
        <v>0</v>
      </c>
      <c r="BK7" s="60">
        <f t="shared" ref="BK7:BK70" si="138">INDEX($AW$6:$AW$117,MATCH(BB7,$AN$6:$AN$117,0))</f>
        <v>0</v>
      </c>
      <c r="BL7" s="60">
        <f t="shared" ref="BL7:BL70" si="139">INDEX($AX$6:$AX$117,MATCH(BB7,$AN$6:$AN$117,0))</f>
        <v>0</v>
      </c>
      <c r="BM7" s="59">
        <f t="shared" ref="BM7:BM70" si="140">INDEX($BA$6:$BA$117,MATCH(BB7,$AN$6:$AN$117,0))</f>
        <v>0</v>
      </c>
      <c r="BN7" s="58">
        <f t="shared" ref="BN7:BN70" si="141">MAX(BD7:BM7)</f>
        <v>0</v>
      </c>
      <c r="BO7" s="45">
        <f t="shared" ref="BO7:BO70" si="142">RANK(BP7,$BP$6:$BP$117,1)</f>
        <v>5</v>
      </c>
      <c r="BP7" s="54">
        <f t="shared" si="10"/>
        <v>2.4589999999999996</v>
      </c>
      <c r="BQ7" s="45">
        <f t="shared" ref="BQ7:BQ70" si="143">(COUNTIF($BR$6:$BR$117,BR7)&gt;1)*1</f>
        <v>1</v>
      </c>
      <c r="BR7" s="45">
        <f t="shared" ref="BR7:BR70" si="144">RANK(BS7,$BS$6:$BS$117)</f>
        <v>2</v>
      </c>
      <c r="BS7" s="46" cm="1">
        <f t="array" ref="BS7">ROUND(IFERROR(INDEX(ArchiveResults!$F$5:$IX$116,ComparisonData!A7,ComparisonData!$BS$1),0),5)</f>
        <v>0</v>
      </c>
      <c r="BT7" s="46" cm="1">
        <f t="array" ref="BT7">ROUND(IFERROR(INDEX(ArchiveResults!$F$5:$IX$116,ComparisonData!A7,ComparisonData!$BT$1),0),5)</f>
        <v>0</v>
      </c>
      <c r="BU7" s="46" cm="1">
        <f t="array" ref="BU7">ROUND(IFERROR(INDEX(ArchiveResults!$F$5:$IX$116,ComparisonData!A7,ComparisonData!$BU$1),0),5)</f>
        <v>0</v>
      </c>
      <c r="BV7" s="46" cm="1">
        <f t="array" ref="BV7">ROUND(IFERROR(INDEX(ArchiveResults!$F$5:$IX$116,ComparisonData!A7,ComparisonData!$BV$1),0),5)</f>
        <v>0</v>
      </c>
      <c r="BW7" s="46" cm="1">
        <f t="array" ref="BW7">ROUND(IFERROR(INDEX(ArchiveResults!$F$5:$IX$116,ComparisonData!A7,ComparisonData!$BW$1),0),5)</f>
        <v>0</v>
      </c>
      <c r="BX7" s="46" cm="1">
        <f t="array" ref="BX7">ROUND(IFERROR(INDEX(ArchiveResults!$F$5:$IX$116,ComparisonData!A7,ComparisonData!$BX$1),0),5)</f>
        <v>0</v>
      </c>
      <c r="BY7" s="56">
        <v>2</v>
      </c>
      <c r="BZ7" s="53" t="str">
        <f t="shared" si="11"/>
        <v>Anglesey Archives</v>
      </c>
      <c r="CA7" s="59">
        <f t="shared" ref="CA7:CA70" si="145">INDEX($BS$6:$BS$117,MATCH(BY7,$BO$6:$BO$117,0))</f>
        <v>0</v>
      </c>
      <c r="CB7" s="59">
        <f t="shared" ref="CB7:CB70" si="146">INDEX($BV$6:$BV$117,MATCH(BY7,$BO$6:$BO$117,0))</f>
        <v>0</v>
      </c>
      <c r="CC7" s="59">
        <f t="shared" ref="CC7:CC70" si="147">INDEX($BU$6:$BU$117,MATCH(BY7,$BO$6:$BO$117,0))</f>
        <v>0</v>
      </c>
      <c r="CD7" s="59">
        <f t="shared" ref="CD7:CD70" si="148">INDEX($BT$6:$BT$117,MATCH(BY7,$BO$6:$BO$117,0))</f>
        <v>0</v>
      </c>
      <c r="CE7" s="59">
        <f t="shared" ref="CE7:CE70" si="149">INDEX($BW$6:$BW$117,MATCH(BY7,$BO$6:$BO$117,0))</f>
        <v>0</v>
      </c>
      <c r="CF7" s="59">
        <f t="shared" ref="CF7:CF70" si="150">INDEX($BX$6:$BX$117,MATCH(BY7,$BO$6:$BO$117,0))</f>
        <v>0</v>
      </c>
      <c r="CG7" s="58">
        <f t="shared" ref="CG7:CG70" si="151">MAX(CA7:CF7)</f>
        <v>0</v>
      </c>
      <c r="CH7" s="45">
        <f t="shared" ref="CH7:CH70" si="152">RANK(CI7,$CI$6:$CI$117,1)</f>
        <v>5</v>
      </c>
      <c r="CI7" s="54">
        <f t="shared" si="12"/>
        <v>2.4589999999999996</v>
      </c>
      <c r="CJ7" s="45">
        <f t="shared" ref="CJ7:CJ70" si="153">(COUNTIF($CK$6:$CK$117,CK7)&gt;1)*1</f>
        <v>1</v>
      </c>
      <c r="CK7" s="45">
        <f t="shared" ref="CK7:CK70" si="154">RANK(CL7,$CL$6:$CL$117)</f>
        <v>2</v>
      </c>
      <c r="CL7" s="46" cm="1">
        <f t="array" ref="CL7">ROUND(IFERROR(INDEX(ArchiveResults!$F$5:$IX$116,ComparisonData!A7,ComparisonData!$CL$1),0),5)</f>
        <v>0</v>
      </c>
      <c r="CM7" s="56">
        <v>2</v>
      </c>
      <c r="CN7" s="53" t="str">
        <f t="shared" si="13"/>
        <v>Anglesey Archives</v>
      </c>
      <c r="CO7" s="45">
        <f t="shared" ref="CO7:CO70" si="155">INDEX($CL$6:$CL$117,MATCH(CM7,$CH$6:$CH$117,0))</f>
        <v>0</v>
      </c>
      <c r="CP7" s="58">
        <f t="shared" ref="CP7:CP70" si="156">MAX(CO7)</f>
        <v>0</v>
      </c>
      <c r="CQ7" s="45">
        <f t="shared" ref="CQ7:CQ70" si="157">RANK(CR7,$CR$6:$CR$117,1)</f>
        <v>5</v>
      </c>
      <c r="CR7" s="54">
        <f t="shared" si="14"/>
        <v>2.4589999999999996</v>
      </c>
      <c r="CS7" s="45">
        <f t="shared" ref="CS7:CS70" si="158">(COUNTIF($CT$6:$CT$117,CT7)&gt;1)*1</f>
        <v>1</v>
      </c>
      <c r="CT7" s="45">
        <f t="shared" ref="CT7:CT70" si="159">RANK(CU7,$CU$6:$CU$117)</f>
        <v>2</v>
      </c>
      <c r="CU7" s="46" cm="1">
        <f t="array" ref="CU7">ROUND(IFERROR(INDEX(ArchiveResults!$F$5:$IX$116,ComparisonData!A7,ComparisonData!$CU$1),0),5)</f>
        <v>0</v>
      </c>
      <c r="CV7" s="56">
        <v>2</v>
      </c>
      <c r="CW7" s="53" t="str">
        <f t="shared" si="15"/>
        <v>Anglesey Archives</v>
      </c>
      <c r="CX7" s="45">
        <f t="shared" ref="CX7:CX70" si="160">INDEX($CU$6:$CU$117,MATCH(CV7,$CQ$6:$CQ$117,0))</f>
        <v>0</v>
      </c>
      <c r="CY7" s="58">
        <f t="shared" ref="CY7:CY70" si="161">MAX(CX7)</f>
        <v>0</v>
      </c>
      <c r="CZ7" s="45">
        <f t="shared" ref="CZ7:CZ70" si="162">RANK(DA7,$DA$6:$DA$117,1)</f>
        <v>5</v>
      </c>
      <c r="DA7" s="54">
        <f t="shared" si="16"/>
        <v>2.4589999999999996</v>
      </c>
      <c r="DB7" s="45">
        <f t="shared" ref="DB7:DB70" si="163">(COUNTIF($DC$6:$DC$117,DC7)&gt;1)*1</f>
        <v>1</v>
      </c>
      <c r="DC7" s="45">
        <f t="shared" ref="DC7:DC70" si="164">RANK(DD7,$DD$6:$DD$117)</f>
        <v>2</v>
      </c>
      <c r="DD7" s="46" cm="1">
        <f t="array" ref="DD7">ROUND(IFERROR(INDEX(ArchiveResults!$F$5:$IX$116,ComparisonData!A7,ComparisonData!$DD$1),0),5)</f>
        <v>0</v>
      </c>
      <c r="DE7" s="56">
        <v>2</v>
      </c>
      <c r="DF7" s="53" t="str">
        <f t="shared" si="17"/>
        <v>Anglesey Archives</v>
      </c>
      <c r="DG7" s="45">
        <f t="shared" ref="DG7:DG70" si="165">INDEX($DD$6:$DD$117,MATCH(DE7,$CZ$6:$CZ$117,0))</f>
        <v>0</v>
      </c>
      <c r="DH7" s="58">
        <f t="shared" ref="DH7:DH70" si="166">MAX(DG7)</f>
        <v>0</v>
      </c>
      <c r="DI7" s="45">
        <f t="shared" ref="DI7:DI70" si="167">RANK(DJ7,$DJ$6:$DJ$117,1)</f>
        <v>5</v>
      </c>
      <c r="DJ7" s="54">
        <f t="shared" si="18"/>
        <v>2.4589999999999996</v>
      </c>
      <c r="DK7" s="45">
        <f t="shared" ref="DK7:DK70" si="168">(COUNTIF($DL$6:$DL$117,DL7)&gt;1)*1</f>
        <v>1</v>
      </c>
      <c r="DL7" s="45">
        <f t="shared" ref="DL7:DL70" si="169">RANK(DM7,$DM$6:$DM$117)</f>
        <v>2</v>
      </c>
      <c r="DM7" s="46" cm="1">
        <f t="array" ref="DM7">ROUND(IFERROR(INDEX(ArchiveResults!$F$5:$IX$116,ComparisonData!A7,ComparisonData!$DM$1),0),5)</f>
        <v>0</v>
      </c>
      <c r="DN7" s="46" cm="1">
        <f t="array" ref="DN7">ROUND(IFERROR(INDEX(ArchiveResults!$F$5:$IX$116,ComparisonData!A7,ComparisonData!$DN$1),0),5)</f>
        <v>0</v>
      </c>
      <c r="DO7" s="46" cm="1">
        <f t="array" ref="DO7">ROUND(IFERROR(INDEX(ArchiveResults!$F$5:$IX$116,ComparisonData!A7,ComparisonData!$DO$1),0),5)</f>
        <v>0</v>
      </c>
      <c r="DP7" s="46" cm="1">
        <f t="array" ref="DP7">ROUND(IFERROR(INDEX(ArchiveResults!$F$5:$IX$116,ComparisonData!A7,ComparisonData!$DP$1),0),5)</f>
        <v>0</v>
      </c>
      <c r="DQ7" s="45" cm="1">
        <f t="array" ref="DQ7">IFERROR(INDEX(ArchiveResults!$F$5:$IX$116,ComparisonData!A7,ComparisonData!$DQ$1),0)</f>
        <v>0</v>
      </c>
      <c r="DR7" s="56">
        <v>2</v>
      </c>
      <c r="DS7" s="53" t="str">
        <f t="shared" si="19"/>
        <v>Anglesey Archives</v>
      </c>
      <c r="DT7" s="59">
        <f t="shared" ref="DT7:DT70" si="170">INDEX($DM$6:$DM$117,MATCH(DR7,$DI$6:$DI$117,0))</f>
        <v>0</v>
      </c>
      <c r="DU7" s="59">
        <f t="shared" ref="DU7:DU70" si="171">INDEX($DN$6:$DN$117,MATCH(DR7,$DI$6:$DI$117,0))</f>
        <v>0</v>
      </c>
      <c r="DV7" s="59">
        <f t="shared" ref="DV7:DV70" si="172">INDEX($DO$6:$DO$117,MATCH(DR7,$DI$6:$DI$117,0))</f>
        <v>0</v>
      </c>
      <c r="DW7" s="59">
        <f t="shared" ref="DW7:DW70" si="173">INDEX($DP$6:$DP$117,MATCH(DR7,$DI$6:$DI$117,0))</f>
        <v>0</v>
      </c>
      <c r="DX7" s="59">
        <f t="shared" ref="DX7:DX70" si="174">INDEX($DQ$6:$DQ$117,MATCH(DR7,$DI$6:$DI$117,0))</f>
        <v>0</v>
      </c>
      <c r="DY7" s="58">
        <f t="shared" ref="DY7:DY70" si="175">MAX(DT7:DX7)</f>
        <v>0</v>
      </c>
      <c r="DZ7" s="45">
        <f t="shared" ref="DZ7:DZ70" si="176">RANK(EA7,$EA$6:$EA$117,1)</f>
        <v>5</v>
      </c>
      <c r="EA7" s="54">
        <f t="shared" si="20"/>
        <v>2.4589999999999996</v>
      </c>
      <c r="EB7" s="45">
        <f t="shared" ref="EB7:EB70" si="177">(COUNTIF($EC$6:$EC$117,EC7)&gt;1)*1</f>
        <v>1</v>
      </c>
      <c r="EC7" s="45">
        <f t="shared" ref="EC7:EC70" si="178">RANK(ED7,$ED$6:$ED$117)</f>
        <v>2</v>
      </c>
      <c r="ED7" s="46" cm="1">
        <f t="array" ref="ED7">ROUND(IFERROR(INDEX(ArchiveResults!$F$5:$IX$116,ComparisonData!A7,ComparisonData!$ED$1),0),5)</f>
        <v>0</v>
      </c>
      <c r="EE7" s="46" cm="1">
        <f t="array" ref="EE7">ROUND(IFERROR(INDEX(ArchiveResults!$F$5:$IX$116,ComparisonData!A7,ComparisonData!$EE$1),0),5)</f>
        <v>0</v>
      </c>
      <c r="EF7" s="46" cm="1">
        <f t="array" ref="EF7">ROUND(IFERROR(INDEX(ArchiveResults!$F$5:$IX$116,ComparisonData!A7,ComparisonData!$EF$1),0),5)</f>
        <v>0</v>
      </c>
      <c r="EG7" s="46" cm="1">
        <f t="array" ref="EG7">ROUND(IFERROR(INDEX(ArchiveResults!$F$5:$IX$116,ComparisonData!A7,ComparisonData!$EG$1),0),5)</f>
        <v>0</v>
      </c>
      <c r="EH7" s="45" cm="1">
        <f t="array" ref="EH7">IFERROR(INDEX(ArchiveResults!$F$5:$IX$116,ComparisonData!A7,ComparisonData!$EH$1),0)</f>
        <v>0</v>
      </c>
      <c r="EI7" s="56">
        <v>2</v>
      </c>
      <c r="EJ7" s="53" t="str">
        <f t="shared" si="21"/>
        <v>Anglesey Archives</v>
      </c>
      <c r="EK7" s="59">
        <f t="shared" ref="EK7:EK70" si="179">INDEX($ED$6:$ED$117,MATCH(EI7,$DZ$6:$DZ$117,0))</f>
        <v>0</v>
      </c>
      <c r="EL7" s="59">
        <f t="shared" ref="EL7:EL70" si="180">INDEX($EE$6:$EE$117,MATCH(EI7,$DZ$6:$DZ$117,0))</f>
        <v>0</v>
      </c>
      <c r="EM7" s="59">
        <f t="shared" ref="EM7:EM70" si="181">INDEX($EF$6:$EF$117,MATCH(EI7,$DZ$6:$DZ$117,0))</f>
        <v>0</v>
      </c>
      <c r="EN7" s="59">
        <f t="shared" ref="EN7:EN70" si="182">INDEX($EG$6:$EG$117,MATCH(EI7,$DZ$6:$DZ$117,0))</f>
        <v>0</v>
      </c>
      <c r="EO7" s="59">
        <f t="shared" ref="EO7:EO70" si="183">INDEX($EH$6:$EH$117,MATCH(EI7,$DZ$6:$DZ$117,0))</f>
        <v>0</v>
      </c>
      <c r="EP7" s="58">
        <f t="shared" ref="EP7:EP70" si="184">MAX(EK7:EO7)</f>
        <v>0</v>
      </c>
      <c r="EQ7" s="45">
        <f t="shared" ref="EQ7:EQ70" si="185">RANK(ER7,$ER$6:$ER$117,1)</f>
        <v>5</v>
      </c>
      <c r="ER7" s="54">
        <f t="shared" si="22"/>
        <v>2.4589999999999996</v>
      </c>
      <c r="ES7" s="45">
        <f t="shared" ref="ES7:ES70" si="186">(COUNTIF($ET$6:$ET$117,ET7)&gt;1)*1</f>
        <v>1</v>
      </c>
      <c r="ET7" s="45">
        <f t="shared" ref="ET7:ET70" si="187">RANK(EU7,$EU$6:$EU$117)</f>
        <v>2</v>
      </c>
      <c r="EU7" s="46" cm="1">
        <f t="array" ref="EU7">ROUND(IFERROR(INDEX(ArchiveResults!$F$5:$IX$116,ComparisonData!A7,ComparisonData!$EU$1),0),5)</f>
        <v>0</v>
      </c>
      <c r="EV7" s="46" cm="1">
        <f t="array" ref="EV7">ROUND(IFERROR(INDEX(ArchiveResults!$F$5:$IX$116,ComparisonData!A7,ComparisonData!$EV$1),0),5)</f>
        <v>0</v>
      </c>
      <c r="EW7" s="46" cm="1">
        <f t="array" ref="EW7">ROUND(IFERROR(INDEX(ArchiveResults!$F$5:$IX$116,ComparisonData!A7,ComparisonData!$EW$1),0),5)</f>
        <v>0</v>
      </c>
      <c r="EX7" s="46" cm="1">
        <f t="array" ref="EX7">ROUND(IFERROR(INDEX(ArchiveResults!$F$5:$IX$116,ComparisonData!A7,ComparisonData!$EX$1),0),5)</f>
        <v>0</v>
      </c>
      <c r="EY7" s="45" cm="1">
        <f t="array" ref="EY7">IFERROR(INDEX(ArchiveResults!$F$5:$IX$116,ComparisonData!A7,ComparisonData!$EY$1),0)</f>
        <v>0</v>
      </c>
      <c r="EZ7" s="56">
        <v>2</v>
      </c>
      <c r="FA7" s="53" t="str">
        <f t="shared" si="23"/>
        <v>Anglesey Archives</v>
      </c>
      <c r="FB7" s="59">
        <f t="shared" ref="FB7:FB70" si="188">INDEX($EU$6:$EU$117,MATCH(EZ7,$EQ$6:$EQ$117,0))</f>
        <v>0</v>
      </c>
      <c r="FC7" s="59">
        <f t="shared" ref="FC7:FC70" si="189">INDEX($EV$6:$EV$117,MATCH(EZ7,$EQ$6:$EQ$117,0))</f>
        <v>0</v>
      </c>
      <c r="FD7" s="59">
        <f t="shared" ref="FD7:FD70" si="190">INDEX($EW$6:$EW$117,MATCH(EZ7,$EQ$6:$EQ$117,0))</f>
        <v>0</v>
      </c>
      <c r="FE7" s="59">
        <f t="shared" ref="FE7:FE70" si="191">INDEX($EX$6:$EX$117,MATCH(EZ7,$EQ$6:$EQ$117,0))</f>
        <v>0</v>
      </c>
      <c r="FF7" s="59">
        <f t="shared" ref="FF7:FF70" si="192">INDEX($EY$6:$EY$117,MATCH(EZ7,$EQ$6:$EQ$117,0))</f>
        <v>0</v>
      </c>
      <c r="FG7" s="58">
        <f t="shared" ref="FG7:FG70" si="193">MAX(FB7:FF7)</f>
        <v>0</v>
      </c>
      <c r="FH7" s="45">
        <f t="shared" ref="FH7:FH70" si="194">RANK(FI7,$FI$6:$FI$117,1)</f>
        <v>5</v>
      </c>
      <c r="FI7" s="54">
        <f t="shared" si="24"/>
        <v>2.4589999999999996</v>
      </c>
      <c r="FJ7" s="45">
        <f t="shared" ref="FJ7:FJ70" si="195">(COUNTIF($FK$6:$FK$117,FK7)&gt;1)*1</f>
        <v>1</v>
      </c>
      <c r="FK7" s="45">
        <f t="shared" ref="FK7:FK70" si="196">RANK(FL7,$FL$6:$FL$117)</f>
        <v>2</v>
      </c>
      <c r="FL7" s="46" cm="1">
        <f t="array" ref="FL7">ROUND(IFERROR(INDEX(ArchiveResults!$F$5:$IX$116,ComparisonData!A7,ComparisonData!$FL$1),0),5)</f>
        <v>0</v>
      </c>
      <c r="FM7" s="46" cm="1">
        <f t="array" ref="FM7">ROUND(IFERROR(INDEX(ArchiveResults!$F$5:$IX$116,ComparisonData!A7,ComparisonData!$FM$1),0),5)</f>
        <v>0</v>
      </c>
      <c r="FN7" s="46" cm="1">
        <f t="array" ref="FN7">ROUND(IFERROR(INDEX(ArchiveResults!$F$5:$IX$116,ComparisonData!A7,ComparisonData!$FN$1),0),5)</f>
        <v>0</v>
      </c>
      <c r="FO7" s="46" cm="1">
        <f t="array" ref="FO7">ROUND(IFERROR(INDEX(ArchiveResults!$F$5:$IX$116,ComparisonData!A7,ComparisonData!$FO$1),0),5)</f>
        <v>0</v>
      </c>
      <c r="FP7" s="45" cm="1">
        <f t="array" ref="FP7">IFERROR(INDEX(ArchiveResults!$F$5:$IX$116,ComparisonData!A7,ComparisonData!$FP$1),0)</f>
        <v>0</v>
      </c>
      <c r="FQ7" s="56">
        <v>2</v>
      </c>
      <c r="FR7" s="53" t="str">
        <f t="shared" si="25"/>
        <v>Anglesey Archives</v>
      </c>
      <c r="FS7" s="59">
        <f t="shared" ref="FS7:FS70" si="197">INDEX($FL$6:$FL$117,MATCH(FQ7,$FH$6:$FH$117,0))</f>
        <v>0</v>
      </c>
      <c r="FT7" s="59">
        <f t="shared" ref="FT7:FT70" si="198">INDEX($FM$6:$FM$117,MATCH(FQ7,$FH$6:$FH$117,0))</f>
        <v>0</v>
      </c>
      <c r="FU7" s="59">
        <f t="shared" ref="FU7:FU70" si="199">INDEX($FN$6:$FN$117,MATCH(FQ7,$FH$6:$FH$117,0))</f>
        <v>0</v>
      </c>
      <c r="FV7" s="59">
        <f t="shared" ref="FV7:FV70" si="200">INDEX($FO$6:$FO$117,MATCH(FQ7,$FH$6:$FH$117,0))</f>
        <v>0</v>
      </c>
      <c r="FW7" s="59">
        <f t="shared" ref="FW7:FW70" si="201">INDEX($FP$6:$FP$117,MATCH(FQ7,$FH$6:$FH$117,0))</f>
        <v>0</v>
      </c>
      <c r="FX7" s="58">
        <f t="shared" ref="FX7:FX70" si="202">MAX(FS7:FW7)</f>
        <v>0</v>
      </c>
      <c r="FY7" s="45">
        <f t="shared" ref="FY7:FY70" si="203">RANK(FZ7,$FZ$6:$FZ$117,1)</f>
        <v>5</v>
      </c>
      <c r="FZ7" s="45">
        <f t="shared" si="26"/>
        <v>2.4589999999999996</v>
      </c>
      <c r="GA7" s="45">
        <f t="shared" ref="GA7:GA70" si="204">(COUNTIF($GB$6:$GB$117,GB7)&gt;1)*1</f>
        <v>1</v>
      </c>
      <c r="GB7" s="45">
        <f t="shared" ref="GB7:GB70" si="205">RANK(GC7,$GC$6:$GC$117)</f>
        <v>2</v>
      </c>
      <c r="GC7" s="46" cm="1">
        <f t="array" ref="GC7">ROUND(IFERROR(INDEX(ArchiveResults!$F$5:$IX$116,ComparisonData!A7,ComparisonData!$GC$1),0),5)</f>
        <v>0</v>
      </c>
      <c r="GD7" s="46" cm="1">
        <f t="array" ref="GD7">ROUND(IFERROR(INDEX(ArchiveResults!$F$5:$IX$116,ComparisonData!A7,ComparisonData!$GD$1),0),5)</f>
        <v>0</v>
      </c>
      <c r="GE7" s="46" cm="1">
        <f t="array" ref="GE7">ROUND(IFERROR(INDEX(ArchiveResults!$F$5:$IX$116,ComparisonData!A7,ComparisonData!$GE$1),0),5)</f>
        <v>0</v>
      </c>
      <c r="GF7" s="46" cm="1">
        <f t="array" ref="GF7">ROUND(IFERROR(INDEX(ArchiveResults!$F$5:$IX$116,ComparisonData!A7,ComparisonData!$GF$1),0),5)</f>
        <v>0</v>
      </c>
      <c r="GG7" s="45" cm="1">
        <f t="array" ref="GG7">IFERROR(INDEX(ArchiveResults!$F$5:$IX$116,ComparisonData!A7,ComparisonData!$GG$1),0)</f>
        <v>0</v>
      </c>
      <c r="GH7" s="56">
        <v>2</v>
      </c>
      <c r="GI7" s="53" t="str">
        <f t="shared" si="27"/>
        <v>Anglesey Archives</v>
      </c>
      <c r="GJ7" s="59">
        <f t="shared" ref="GJ7:GJ70" si="206">INDEX($GC$6:$GC$117,MATCH(GH7,$FY$6:$FY$117,0))</f>
        <v>0</v>
      </c>
      <c r="GK7" s="59">
        <f t="shared" ref="GK7:GK70" si="207">INDEX($GD$6:$GD$117,MATCH(GH7,$FY$6:$FY$117,0))</f>
        <v>0</v>
      </c>
      <c r="GL7" s="59">
        <f t="shared" ref="GL7:GL70" si="208">INDEX($GE$6:$GE$117,MATCH(GH7,$FY$6:$FY$117,0))</f>
        <v>0</v>
      </c>
      <c r="GM7" s="59">
        <f t="shared" ref="GM7:GM70" si="209">INDEX($GF$6:$GF$117,MATCH(GH7,$FY$6:$FY$117,0))</f>
        <v>0</v>
      </c>
      <c r="GN7" s="59">
        <f t="shared" ref="GN7:GN70" si="210">INDEX($GG$6:$GG$117,MATCH(GH7,$FY$6:$FY$117,0))</f>
        <v>0</v>
      </c>
      <c r="GO7" s="58">
        <f t="shared" ref="GO7:GO70" si="211">MAX(GJ7:GN7)</f>
        <v>0</v>
      </c>
      <c r="GP7" s="45">
        <f t="shared" ref="GP7:GP70" si="212">RANK(GQ7,$GQ$6:$GQ$117,1)</f>
        <v>5</v>
      </c>
      <c r="GQ7" s="45">
        <f t="shared" si="28"/>
        <v>2.4589999999999996</v>
      </c>
      <c r="GR7" s="45">
        <f t="shared" ref="GR7:GR70" si="213">(COUNTIF($GS$6:$GS$117,GS7)&gt;1)*1</f>
        <v>1</v>
      </c>
      <c r="GS7" s="45">
        <f t="shared" ref="GS7:GS70" si="214">RANK(GT7,$GT$6:$GT$117)</f>
        <v>2</v>
      </c>
      <c r="GT7" s="46" cm="1">
        <f t="array" ref="GT7">ROUND(IFERROR(INDEX(ArchiveResults!$F$5:$IX$116,ComparisonData!A7,ComparisonData!$GT$1),0),5)</f>
        <v>0</v>
      </c>
      <c r="GU7" s="46" cm="1">
        <f t="array" ref="GU7">ROUND(IFERROR(INDEX(ArchiveResults!$F$5:$IX$116,ComparisonData!A7,ComparisonData!$GU$1),0),5)</f>
        <v>0</v>
      </c>
      <c r="GV7" s="46" cm="1">
        <f t="array" ref="GV7">ROUND(IFERROR(INDEX(ArchiveResults!$F$5:$IX$116,ComparisonData!A7,ComparisonData!$GV$1),0),5)</f>
        <v>0</v>
      </c>
      <c r="GW7" s="46" cm="1">
        <f t="array" ref="GW7">ROUND(IFERROR(INDEX(ArchiveResults!$F$5:$IX$116,ComparisonData!A7,ComparisonData!$GW$1),0),5)</f>
        <v>0</v>
      </c>
      <c r="GX7" s="45" cm="1">
        <f t="array" ref="GX7">IFERROR(INDEX(ArchiveResults!$F$5:$IX$116,ComparisonData!A7,ComparisonData!$GX$1),0)</f>
        <v>0</v>
      </c>
      <c r="GY7" s="56">
        <v>2</v>
      </c>
      <c r="GZ7" s="53" t="str">
        <f t="shared" si="29"/>
        <v>Anglesey Archives</v>
      </c>
      <c r="HA7" s="59">
        <f t="shared" ref="HA7:HA70" si="215">INDEX($GT$6:$GT$117,MATCH(GY7,$GP$6:$GP$117,0))</f>
        <v>0</v>
      </c>
      <c r="HB7" s="59">
        <f t="shared" ref="HB7:HB70" si="216">INDEX($GU$6:$GU$117,MATCH(GY7,$GP$6:$GP$117,0))</f>
        <v>0</v>
      </c>
      <c r="HC7" s="59">
        <f t="shared" ref="HC7:HC70" si="217">INDEX($GV$6:$GV$117,MATCH(GY7,$GP$6:$GP$117,0))</f>
        <v>0</v>
      </c>
      <c r="HD7" s="59">
        <f t="shared" ref="HD7:HD70" si="218">INDEX($GW$6:$GW$117,MATCH(GY7,$GP$6:$GP$117,0))</f>
        <v>0</v>
      </c>
      <c r="HE7" s="59">
        <f t="shared" ref="HE7:HE70" si="219">INDEX($GX$6:$GX$117,MATCH(GY7,$GP$6:$GP$117,0))</f>
        <v>0</v>
      </c>
      <c r="HF7" s="58">
        <f t="shared" ref="HF7:HF70" si="220">MAX(HA7:HE7)</f>
        <v>0</v>
      </c>
      <c r="HG7" s="45">
        <f t="shared" ref="HG7:HG70" si="221">RANK(HH7,$HH$6:$HH$117,1)</f>
        <v>5</v>
      </c>
      <c r="HH7" s="45">
        <f t="shared" si="30"/>
        <v>2.4589999999999996</v>
      </c>
      <c r="HI7" s="45">
        <f t="shared" ref="HI7:HI70" si="222">(COUNTIF($HJ$6:$HJ$117,HJ7)&gt;1)*1</f>
        <v>1</v>
      </c>
      <c r="HJ7" s="45">
        <f t="shared" ref="HJ7:HJ70" si="223">RANK(HK7,$HK$6:$HK$117)</f>
        <v>2</v>
      </c>
      <c r="HK7" s="46" cm="1">
        <f t="array" ref="HK7">ROUND(IFERROR(INDEX(ArchiveResults!$F$5:$IX$116,ComparisonData!A7,ComparisonData!$HK$1),0),5)</f>
        <v>0</v>
      </c>
      <c r="HL7" s="46" cm="1">
        <f t="array" ref="HL7">ROUND(IFERROR(INDEX(ArchiveResults!$F$5:$IX$116,ComparisonData!A7,ComparisonData!$HL$1),0),5)</f>
        <v>0</v>
      </c>
      <c r="HM7" s="46" cm="1">
        <f t="array" ref="HM7">ROUND(IFERROR(INDEX(ArchiveResults!$F$5:$IX$116,ComparisonData!A7,ComparisonData!$HM$1),0),5)</f>
        <v>0</v>
      </c>
      <c r="HN7" s="46" cm="1">
        <f t="array" ref="HN7">ROUND(IFERROR(INDEX(ArchiveResults!$F$5:$IX$116,ComparisonData!A7,ComparisonData!$HN$1),0),5)</f>
        <v>0</v>
      </c>
      <c r="HO7" s="45" cm="1">
        <f t="array" ref="HO7">IFERROR(INDEX(ArchiveResults!$F$5:$IX$116,ComparisonData!A7,ComparisonData!$HO$1),0)</f>
        <v>0</v>
      </c>
      <c r="HP7" s="56">
        <v>2</v>
      </c>
      <c r="HQ7" s="53" t="str">
        <f t="shared" si="31"/>
        <v>Anglesey Archives</v>
      </c>
      <c r="HR7" s="59">
        <f t="shared" si="32"/>
        <v>0</v>
      </c>
      <c r="HS7" s="59">
        <f t="shared" si="33"/>
        <v>0</v>
      </c>
      <c r="HT7" s="59">
        <f t="shared" si="34"/>
        <v>0</v>
      </c>
      <c r="HU7" s="59">
        <f t="shared" si="35"/>
        <v>0</v>
      </c>
      <c r="HV7" s="59">
        <f t="shared" si="36"/>
        <v>0</v>
      </c>
      <c r="HW7" s="58">
        <f t="shared" ref="HW7:HW70" si="224">MAX(HR7:HV7)</f>
        <v>0</v>
      </c>
      <c r="HX7" s="45">
        <f t="shared" ref="HX7:HX70" si="225">RANK(HY7,$HY$6:$HY$117,1)</f>
        <v>5</v>
      </c>
      <c r="HY7" s="45">
        <f t="shared" si="37"/>
        <v>2.4589999999999996</v>
      </c>
      <c r="HZ7" s="45">
        <f t="shared" ref="HZ7:HZ70" si="226">(COUNTIF($IA$6:$IA$117,IA7)&gt;1)*1</f>
        <v>1</v>
      </c>
      <c r="IA7" s="45">
        <f t="shared" ref="IA7:IA70" si="227">RANK(IB7,$IB$6:$IB$117)</f>
        <v>2</v>
      </c>
      <c r="IB7" s="45">
        <f t="shared" ref="IB7:IB70" si="228">IC7+(ID7/100)+(IE7/1000)+(IF7/10000)</f>
        <v>0</v>
      </c>
      <c r="IC7" s="46" cm="1">
        <f t="array" ref="IC7">ROUND(IFERROR(INDEX(ArchiveResults!$F$5:$IX$116,ComparisonData!A7,ComparisonData!$IC$1),0),5)</f>
        <v>0</v>
      </c>
      <c r="ID7" s="46" cm="1">
        <f t="array" ref="ID7">ROUND(IFERROR(INDEX(ArchiveResults!$F$5:$IX$116,ComparisonData!A7,ComparisonData!$ID$1),0),5)</f>
        <v>0</v>
      </c>
      <c r="IE7" s="46" cm="1">
        <f t="array" ref="IE7">ROUND(IFERROR(INDEX(ArchiveResults!$F$5:$IX$116,ComparisonData!A7,ComparisonData!$IE$1),0),5)</f>
        <v>0</v>
      </c>
      <c r="IF7" s="46" cm="1">
        <f t="array" ref="IF7">ROUND(IFERROR(INDEX(ArchiveResults!$F$5:$IX$116,ComparisonData!A7,ComparisonData!$IF$1),0),5)</f>
        <v>0</v>
      </c>
      <c r="IG7" s="45" cm="1">
        <f t="array" ref="IG7">IFERROR(INDEX(ArchiveResults!$F$5:$IX$116,ComparisonData!A7,ComparisonData!$IG$1),0)</f>
        <v>0</v>
      </c>
      <c r="IH7" s="56">
        <v>2</v>
      </c>
      <c r="II7" s="53" t="str">
        <f t="shared" si="38"/>
        <v>Anglesey Archives</v>
      </c>
      <c r="IJ7" s="59">
        <f t="shared" ref="IJ7:IJ70" si="229">INDEX($IC$6:$IC$117,MATCH(IH7,$HX$6:$HX$117,0))</f>
        <v>0</v>
      </c>
      <c r="IK7" s="59">
        <f t="shared" ref="IK7:IK70" si="230">INDEX($ID$6:$ID$117,MATCH(IH7,$HX$6:$HX$117,0))</f>
        <v>0</v>
      </c>
      <c r="IL7" s="59">
        <f t="shared" ref="IL7:IL70" si="231">INDEX($IE$6:$IE$117,MATCH(IH7,$HX$6:$HX$117,0))</f>
        <v>0</v>
      </c>
      <c r="IM7" s="59">
        <f t="shared" ref="IM7:IM70" si="232">INDEX($IF$6:$IF$117,MATCH(IH7,$HX$6:$HX$117,0))</f>
        <v>0</v>
      </c>
      <c r="IN7" s="59">
        <f t="shared" ref="IN7:IN70" si="233">INDEX($IG$6:$IG$117,MATCH(IH7,$HX$6:$HX$117,0))</f>
        <v>0</v>
      </c>
      <c r="IO7" s="58">
        <f t="shared" ref="IO7:IO70" si="234">MAX(IJ7:IN7)</f>
        <v>0</v>
      </c>
      <c r="IP7" s="45">
        <f t="shared" ref="IP7:IP70" si="235">RANK(IQ7,$IQ$6:$IQ$117,1)</f>
        <v>5</v>
      </c>
      <c r="IQ7" s="45">
        <f t="shared" si="39"/>
        <v>2.4589999999999996</v>
      </c>
      <c r="IR7" s="45">
        <f t="shared" ref="IR7:IR70" si="236">(COUNTIF($IS$6:$IS$117,IS7)&gt;1)*1</f>
        <v>1</v>
      </c>
      <c r="IS7" s="45">
        <f t="shared" ref="IS7:IS70" si="237">RANK(IT7,$IT$6:$IT$117)</f>
        <v>2</v>
      </c>
      <c r="IT7" s="46">
        <f t="shared" ref="IT7:IT70" si="238">IU7+(IV7/100)+(IW7/1000)+(IX7/10000)+(IY7/100000)</f>
        <v>0</v>
      </c>
      <c r="IU7" s="46" cm="1">
        <f t="array" ref="IU7">ROUND(IFERROR(INDEX(ArchiveResults!$F$5:$IX$116,ComparisonData!A7,ComparisonData!$IU$1),0),5)</f>
        <v>0</v>
      </c>
      <c r="IV7" s="46" cm="1">
        <f t="array" ref="IV7">ROUND(IFERROR(INDEX(ArchiveResults!$F$5:$IX$116,ComparisonData!A7,ComparisonData!$IV$1),0),5)</f>
        <v>0</v>
      </c>
      <c r="IW7" s="46" cm="1">
        <f t="array" ref="IW7">ROUND(IFERROR(INDEX(ArchiveResults!$F$5:$IX$116,ComparisonData!A7,ComparisonData!$IW$1),0),5)</f>
        <v>0</v>
      </c>
      <c r="IX7" s="46" cm="1">
        <f t="array" ref="IX7">ROUND(IFERROR(INDEX(ArchiveResults!$F$5:$IX$116,ComparisonData!A7,ComparisonData!$IX$1),0),5)</f>
        <v>0</v>
      </c>
      <c r="IY7" s="45" cm="1">
        <f t="array" ref="IY7">IFERROR(INDEX(ArchiveResults!$F$5:$IX$116,ComparisonData!A7,ComparisonData!$IY$1),0)</f>
        <v>0</v>
      </c>
      <c r="IZ7" s="56">
        <v>2</v>
      </c>
      <c r="JA7" s="53" t="str">
        <f t="shared" si="40"/>
        <v>Anglesey Archives</v>
      </c>
      <c r="JB7" s="59">
        <f t="shared" ref="JB7:JB70" si="239">INDEX($IU$6:$IU$117,MATCH(IZ7,$IP$6:$IP$117,0))</f>
        <v>0</v>
      </c>
      <c r="JC7" s="59">
        <f t="shared" ref="JC7:JC70" si="240">INDEX($IV$6:$IV$117,MATCH(IZ7,$IP$6:$IP$117,0))</f>
        <v>0</v>
      </c>
      <c r="JD7" s="59">
        <f t="shared" ref="JD7:JD70" si="241">INDEX($IW$6:$IW$117,MATCH(IZ7,$IP$6:$IP$117,0))</f>
        <v>0</v>
      </c>
      <c r="JE7" s="59">
        <f t="shared" ref="JE7:JE70" si="242">INDEX($IX$6:$IX$117,MATCH(IZ7,$IP$6:$IP$117,0))</f>
        <v>0</v>
      </c>
      <c r="JF7" s="59">
        <f t="shared" ref="JF7:JF70" si="243">INDEX($IY$6:$IY$117,MATCH(IZ7,$IP$6:$IP$117,0))</f>
        <v>0</v>
      </c>
      <c r="JG7" s="58">
        <f t="shared" ref="JG7:JG70" si="244">MAX(JB7:JF7)</f>
        <v>0</v>
      </c>
      <c r="JH7" s="45">
        <f t="shared" ref="JH7:JH70" si="245">RANK(JI7,$JI$6:$JI$117,1)</f>
        <v>5</v>
      </c>
      <c r="JI7" s="45">
        <f t="shared" si="41"/>
        <v>2.4589999999999996</v>
      </c>
      <c r="JJ7" s="45">
        <f t="shared" ref="JJ7:JJ70" si="246">(COUNTIF($JK$6:$JK$117,JK7)&gt;1)*1</f>
        <v>1</v>
      </c>
      <c r="JK7" s="45">
        <f t="shared" ref="JK7:JK70" si="247">RANK(JL7,$JL$6:$JL$117)</f>
        <v>2</v>
      </c>
      <c r="JL7" s="45">
        <f t="shared" ref="JL7:JL70" si="248">JM7+(JN7/100)+(JO7/1000)+(JP7/10000)</f>
        <v>0</v>
      </c>
      <c r="JM7" s="46" cm="1">
        <f t="array" ref="JM7">ROUND(IFERROR(INDEX(ArchiveResults!$F$5:$IX$116,ComparisonData!A7,ComparisonData!$JM$1),0),5)</f>
        <v>0</v>
      </c>
      <c r="JN7" s="46" cm="1">
        <f t="array" ref="JN7">ROUND(IFERROR(INDEX(ArchiveResults!$F$5:$IX$116,ComparisonData!A7,ComparisonData!$JN$1),0),5)</f>
        <v>0</v>
      </c>
      <c r="JO7" s="46" cm="1">
        <f t="array" ref="JO7">ROUND(IFERROR(INDEX(ArchiveResults!$F$5:$IX$116,ComparisonData!A7,ComparisonData!$JO$1),0),5)</f>
        <v>0</v>
      </c>
      <c r="JP7" s="46" cm="1">
        <f t="array" ref="JP7">ROUND(IFERROR(INDEX(ArchiveResults!$F$5:$IX$116,ComparisonData!A7,ComparisonData!$JP$1),0),5)</f>
        <v>0</v>
      </c>
      <c r="JQ7" s="45" cm="1">
        <f t="array" ref="JQ7">IFERROR(INDEX(ArchiveResults!$F$5:$IX$116,ComparisonData!A7,ComparisonData!$JQ$1),0)</f>
        <v>0</v>
      </c>
      <c r="JR7" s="56">
        <v>2</v>
      </c>
      <c r="JS7" s="53" t="str">
        <f t="shared" si="42"/>
        <v>Anglesey Archives</v>
      </c>
      <c r="JT7" s="59">
        <f t="shared" ref="JT7:JT70" si="249">INDEX($JM$6:$JM$117,MATCH(JR7,$JH$6:$JH$117,0))</f>
        <v>0</v>
      </c>
      <c r="JU7" s="59">
        <f t="shared" ref="JU7:JU70" si="250">INDEX($JN$6:$JN$117,MATCH(JR7,$JH$6:$JH$117,0))</f>
        <v>0</v>
      </c>
      <c r="JV7" s="59">
        <f t="shared" ref="JV7:JV70" si="251">INDEX($JO$6:$JO$117,MATCH(JR7,$JH$6:$JH$117,0))</f>
        <v>0</v>
      </c>
      <c r="JW7" s="59">
        <f t="shared" ref="JW7:JW70" si="252">INDEX($JP$6:$JP$117,MATCH(JR7,$JH$6:$JH$117,0))</f>
        <v>0</v>
      </c>
      <c r="JX7" s="59">
        <f t="shared" ref="JX7:JX70" si="253">INDEX($JQ$6:$JQ$117,MATCH(JR7,$JH$6:$JH$117,0))</f>
        <v>0</v>
      </c>
      <c r="JY7" s="58">
        <f t="shared" ref="JY7:JY70" si="254">MAX(JT7:JX7)</f>
        <v>0</v>
      </c>
      <c r="JZ7" s="45">
        <f t="shared" ref="JZ7:JZ70" si="255">RANK(KA7,$KA$6:$KA$117,1)</f>
        <v>5</v>
      </c>
      <c r="KA7" s="45">
        <f t="shared" si="43"/>
        <v>2.4589999999999996</v>
      </c>
      <c r="KB7" s="45">
        <f t="shared" ref="KB7:KB70" si="256">(COUNTIF($KC$6:$KC$117,KC7)&gt;1)*1</f>
        <v>1</v>
      </c>
      <c r="KC7" s="45">
        <f t="shared" ref="KC7:KC70" si="257">RANK(KD7,$KD$6:$KD$117)</f>
        <v>2</v>
      </c>
      <c r="KD7" s="45">
        <f t="shared" ref="KD7:KD70" si="258">KE7+(KF7/100)+(KG7/1000)+(KH7/10000)</f>
        <v>0</v>
      </c>
      <c r="KE7" s="46" cm="1">
        <f t="array" ref="KE7">ROUND(IFERROR(INDEX(ArchiveResults!$F$5:$IX$116,ComparisonData!A7,ComparisonData!$KE$1),0),5)</f>
        <v>0</v>
      </c>
      <c r="KF7" s="46" cm="1">
        <f t="array" ref="KF7">ROUND(IFERROR(INDEX(ArchiveResults!$F$5:$IX$116,ComparisonData!A7,ComparisonData!$KF$1),0),5)</f>
        <v>0</v>
      </c>
      <c r="KG7" s="46" cm="1">
        <f t="array" ref="KG7">ROUND(IFERROR(INDEX(ArchiveResults!$F$5:$IX$116,ComparisonData!A7,ComparisonData!$KG$1),0),5)</f>
        <v>0</v>
      </c>
      <c r="KH7" s="46" cm="1">
        <f t="array" ref="KH7">ROUND(IFERROR(INDEX(ArchiveResults!$F$5:$IX$116,ComparisonData!A7,ComparisonData!$KH$1),0),5)</f>
        <v>0</v>
      </c>
      <c r="KI7" s="45" cm="1">
        <f t="array" ref="KI7">IFERROR(INDEX(ArchiveResults!$F$5:$IX$116,ComparisonData!A7,ComparisonData!$KI$1),0)</f>
        <v>0</v>
      </c>
      <c r="KJ7" s="56">
        <v>2</v>
      </c>
      <c r="KK7" s="53" t="str">
        <f t="shared" si="44"/>
        <v>Anglesey Archives</v>
      </c>
      <c r="KL7" s="59">
        <f t="shared" ref="KL7:KL70" si="259">INDEX($KE$6:$KE$117,MATCH(KJ7,$JZ$6:$JZ$117,0))</f>
        <v>0</v>
      </c>
      <c r="KM7" s="59">
        <f t="shared" ref="KM7:KM70" si="260">INDEX($KF$6:$KF$117,MATCH(KJ7,$JZ$6:$JZ$117,0))</f>
        <v>0</v>
      </c>
      <c r="KN7" s="59">
        <f t="shared" ref="KN7:KN70" si="261">INDEX($KG$6:$KG$117,MATCH(KJ7,$JZ$6:$JZ$117,0))</f>
        <v>0</v>
      </c>
      <c r="KO7" s="59">
        <f t="shared" ref="KO7:KO70" si="262">INDEX($KH$6:$KH$117,MATCH(KJ7,$JZ$6:$JZ$117,0))</f>
        <v>0</v>
      </c>
      <c r="KP7" s="59">
        <f t="shared" ref="KP7:KP70" si="263">INDEX($KI$6:$KI$117,MATCH(KJ7,$JZ$6:$JZ$117,0))</f>
        <v>0</v>
      </c>
      <c r="KQ7" s="58">
        <f t="shared" ref="KQ7:KQ70" si="264">MAX(KL7:KP7)</f>
        <v>0</v>
      </c>
      <c r="KR7" s="45">
        <f t="shared" ref="KR7:KR70" si="265">RANK(KS7,$KS$6:$KS$117,1)</f>
        <v>5</v>
      </c>
      <c r="KS7" s="45">
        <f t="shared" si="45"/>
        <v>2.4589999999999996</v>
      </c>
      <c r="KT7" s="45">
        <f t="shared" ref="KT7:KT70" si="266">(COUNTIF($KU$6:$KU$117,KU7)&gt;1)*1</f>
        <v>1</v>
      </c>
      <c r="KU7" s="45">
        <f t="shared" ref="KU7:KU70" si="267">RANK(KV7,$KV$6:$KV$1170)</f>
        <v>2</v>
      </c>
      <c r="KV7" s="45">
        <f t="shared" ref="KV7:KV70" si="268">KW7+(KX7/100)+(KY7/1000)+(KZ7/10000)</f>
        <v>0</v>
      </c>
      <c r="KW7" s="46" cm="1">
        <f t="array" ref="KW7">ROUND(IFERROR(INDEX(ArchiveResults!$F$5:$IX$116,ComparisonData!A7,ComparisonData!$KW$1),0),5)</f>
        <v>0</v>
      </c>
      <c r="KX7" s="46" cm="1">
        <f t="array" ref="KX7">ROUND(IFERROR(INDEX(ArchiveResults!$F$5:$IX$116,ComparisonData!A7,ComparisonData!$KX$1),0),5)</f>
        <v>0</v>
      </c>
      <c r="KY7" s="46" cm="1">
        <f t="array" ref="KY7">ROUND(IFERROR(INDEX(ArchiveResults!$F$5:$IX$116,ComparisonData!A7,ComparisonData!$KY$1),0),5)</f>
        <v>0</v>
      </c>
      <c r="KZ7" s="46" cm="1">
        <f t="array" ref="KZ7">ROUND(IFERROR(INDEX(ArchiveResults!$F$5:$IX$116,ComparisonData!A7,ComparisonData!$KZ$1),0),5)</f>
        <v>0</v>
      </c>
      <c r="LA7" s="45" cm="1">
        <f t="array" ref="LA7">IFERROR(INDEX(ArchiveResults!$F$5:$IX$116,ComparisonData!A7,ComparisonData!$LA$1),0)</f>
        <v>0</v>
      </c>
      <c r="LB7" s="56">
        <v>2</v>
      </c>
      <c r="LC7" s="53" t="str">
        <f t="shared" si="46"/>
        <v>Anglesey Archives</v>
      </c>
      <c r="LD7" s="59">
        <f t="shared" ref="LD7:LD70" si="269">INDEX($KW$6:$KW$117,MATCH(LB7,$KR$6:$KR$117,0))</f>
        <v>0</v>
      </c>
      <c r="LE7" s="59">
        <f t="shared" ref="LE7:LE70" si="270">INDEX($KX$6:$KX$117,MATCH(LB7,$KR$6:$KR$117,0))</f>
        <v>0</v>
      </c>
      <c r="LF7" s="59">
        <f t="shared" ref="LF7:LF70" si="271">INDEX($KY$6:$KY$117,MATCH(LB7,$KR$6:$KR$117,0))</f>
        <v>0</v>
      </c>
      <c r="LG7" s="59">
        <f t="shared" ref="LG7:LG70" si="272">INDEX($KZ$6:$KZ$117,MATCH(LB7,$KR$6:$KR$117,0))</f>
        <v>0</v>
      </c>
      <c r="LH7" s="59">
        <f t="shared" ref="LH7:LH70" si="273">INDEX($LA$6:$LA$117,MATCH(LB7,$KR$6:$KR$117,0))</f>
        <v>0</v>
      </c>
      <c r="LI7" s="58">
        <f t="shared" ref="LI7:LI70" si="274">MAX(LD7:LH7)</f>
        <v>0</v>
      </c>
      <c r="LJ7" s="45">
        <f t="shared" ref="LJ7:LJ70" si="275">RANK(LK7,$LK$6:$LK$117,1)</f>
        <v>5</v>
      </c>
      <c r="LK7" s="45">
        <f t="shared" si="47"/>
        <v>2.4589999999999996</v>
      </c>
      <c r="LL7" s="45">
        <f t="shared" ref="LL7:LL70" si="276">(COUNTIF($LM$6:$LM$117,LM7)&gt;1)*1</f>
        <v>1</v>
      </c>
      <c r="LM7" s="45">
        <f t="shared" ref="LM7:LM70" si="277">RANK(LN7,$LN$6:$LN$117)</f>
        <v>2</v>
      </c>
      <c r="LN7" s="45">
        <f t="shared" ref="LN7:LN70" si="278">LO7+(LP7/100)+(LQ7/1000)+(LR7/10000)</f>
        <v>0</v>
      </c>
      <c r="LO7" s="46" cm="1">
        <f t="array" ref="LO7">ROUND(IFERROR(INDEX(ArchiveResults!$F$5:$IX$116,ComparisonData!A7,ComparisonData!$LO$1),0),5)</f>
        <v>0</v>
      </c>
      <c r="LP7" s="46" cm="1">
        <f t="array" ref="LP7">ROUND(IFERROR(INDEX(ArchiveResults!$F$5:$IX$116,ComparisonData!A7,ComparisonData!$LP$1),0),5)</f>
        <v>0</v>
      </c>
      <c r="LQ7" s="46" cm="1">
        <f t="array" ref="LQ7">ROUND(IFERROR(INDEX(ArchiveResults!$F$5:$IX$116,ComparisonData!A7,ComparisonData!$LQ$1),0),5)</f>
        <v>0</v>
      </c>
      <c r="LR7" s="46" cm="1">
        <f t="array" ref="LR7">ROUND(IFERROR(INDEX(ArchiveResults!$F$5:$IX$116,ComparisonData!A7,ComparisonData!$LR$1),0),5)</f>
        <v>0</v>
      </c>
      <c r="LS7" s="45" cm="1">
        <f t="array" ref="LS7">IFERROR(INDEX(ArchiveResults!$F$5:$IX$116,ComparisonData!A7,ComparisonData!$LS$1),0)</f>
        <v>0</v>
      </c>
      <c r="LT7" s="56">
        <v>2</v>
      </c>
      <c r="LU7" s="53" t="str">
        <f t="shared" si="48"/>
        <v>Anglesey Archives</v>
      </c>
      <c r="LV7" s="59">
        <f t="shared" ref="LV7:LV70" si="279">INDEX($LO$6:$LO$117,MATCH(LT7,$LJ$6:$LJ$117,0))</f>
        <v>0</v>
      </c>
      <c r="LW7" s="59">
        <f t="shared" ref="LW7:LW70" si="280">INDEX($LP$6:$LP$117,MATCH(LT7,$LJ$6:$LJ$117,0))</f>
        <v>0</v>
      </c>
      <c r="LX7" s="59">
        <f t="shared" ref="LX7:LX70" si="281">INDEX($LQ$6:$LQ$117,MATCH(LT7,$LJ$6:$LJ$117,0))</f>
        <v>0</v>
      </c>
      <c r="LY7" s="59">
        <f t="shared" ref="LY7:LY70" si="282">INDEX($LR$6:$LR$117,MATCH(LT7,$LJ$6:$LJ$117,0))</f>
        <v>0</v>
      </c>
      <c r="LZ7" s="59">
        <f t="shared" ref="LZ7:LZ70" si="283">INDEX($LS$6:$LS$117,MATCH(LT7,$LJ$6:$LJ$117,0))</f>
        <v>0</v>
      </c>
      <c r="MA7" s="58">
        <f t="shared" ref="MA7:MA70" si="284">MAX(LV7:LZ7)</f>
        <v>0</v>
      </c>
      <c r="MB7" s="45">
        <f t="shared" ref="MB7:MB70" si="285">RANK(MC7,$MC$6:$MC$117,1)</f>
        <v>5</v>
      </c>
      <c r="MC7" s="45">
        <f t="shared" si="49"/>
        <v>2.4589999999999996</v>
      </c>
      <c r="MD7" s="45">
        <f t="shared" ref="MD7:MD70" si="286">(COUNTIF($ME$6:$ME$117,ME7)&gt;1)*1</f>
        <v>1</v>
      </c>
      <c r="ME7" s="45">
        <f t="shared" ref="ME7:ME70" si="287">RANK(MF7,$MF$6:$MF$117)</f>
        <v>2</v>
      </c>
      <c r="MF7" s="45">
        <f t="shared" ref="MF7:MF70" si="288">MG7+(MH7/100)+(MI7/1000)+(MJ7/10000)</f>
        <v>0</v>
      </c>
      <c r="MG7" s="46" cm="1">
        <f t="array" ref="MG7">ROUND(IFERROR(INDEX(ArchiveResults!$F$5:$IX$116,ComparisonData!A7,ComparisonData!$MG$1),0),5)</f>
        <v>0</v>
      </c>
      <c r="MH7" s="46" cm="1">
        <f t="array" ref="MH7">ROUND(IFERROR(INDEX(ArchiveResults!$F$5:$IX$116,ComparisonData!A7,ComparisonData!$MH$1),0),5)</f>
        <v>0</v>
      </c>
      <c r="MI7" s="46" cm="1">
        <f t="array" ref="MI7">ROUND(IFERROR(INDEX(ArchiveResults!$F$5:$IX$116,ComparisonData!A7,ComparisonData!$MI$1),0),5)</f>
        <v>0</v>
      </c>
      <c r="MJ7" s="46" cm="1">
        <f t="array" ref="MJ7">ROUND(IFERROR(INDEX(ArchiveResults!$F$5:$IX$116,ComparisonData!A7,ComparisonData!$MJ$1),0),5)</f>
        <v>0</v>
      </c>
      <c r="MK7" s="45" cm="1">
        <f t="array" ref="MK7">IFERROR(INDEX(ArchiveResults!$F$5:$IX$116,ComparisonData!A7,ComparisonData!$MK$1),0)</f>
        <v>0</v>
      </c>
      <c r="ML7" s="56">
        <v>2</v>
      </c>
      <c r="MM7" s="53" t="str">
        <f t="shared" si="50"/>
        <v>Anglesey Archives</v>
      </c>
      <c r="MN7" s="59">
        <f t="shared" ref="MN7:MN70" si="289">INDEX($MG$6:$MG$117,MATCH(ML7,$MB$6:$MB$117,0))</f>
        <v>0</v>
      </c>
      <c r="MO7" s="59">
        <f t="shared" ref="MO7:MO70" si="290">INDEX($MH$6:$MH$117,MATCH(ML7,$MB$6:$MB$117,0))</f>
        <v>0</v>
      </c>
      <c r="MP7" s="59">
        <f t="shared" ref="MP7:MP70" si="291">INDEX($MI$6:$MI$117,MATCH(ML7,$MB$6:$MB$117,0))</f>
        <v>0</v>
      </c>
      <c r="MQ7" s="59">
        <f t="shared" ref="MQ7:MQ70" si="292">INDEX($MJ$6:$MJ$117,MATCH(ML7,$MB$6:$MB$117,0))</f>
        <v>0</v>
      </c>
      <c r="MR7" s="59">
        <f t="shared" ref="MR7:MR70" si="293">INDEX($MK$6:$MK$117,MATCH(ML7,$MB$6:$MB$117,0))</f>
        <v>0</v>
      </c>
      <c r="MS7" s="58">
        <f t="shared" ref="MS7:MS70" si="294">MAX(MN7:MR7)</f>
        <v>0</v>
      </c>
      <c r="MT7" s="45">
        <f t="shared" ref="MT7:MT70" si="295">RANK(MU7,$MU$6:$MU$117,1)</f>
        <v>5</v>
      </c>
      <c r="MU7" s="45">
        <f t="shared" si="51"/>
        <v>2.4589999999999996</v>
      </c>
      <c r="MV7" s="45">
        <f t="shared" ref="MV7:MV70" si="296">(COUNTIF($MW$6:$MW$117,MW7)&gt;1)*1</f>
        <v>1</v>
      </c>
      <c r="MW7" s="45">
        <f t="shared" ref="MW7:MW70" si="297">RANK(MX7,$MX$6:$MX$117)</f>
        <v>2</v>
      </c>
      <c r="MX7" s="45">
        <f t="shared" ref="MX7:MX70" si="298">MY7+(MZ7/10)+(NA7/100)+(NB7/1000)</f>
        <v>0</v>
      </c>
      <c r="MY7" s="46" cm="1">
        <f t="array" ref="MY7">ROUND(IFERROR(INDEX(ArchiveResults!$F$5:$IX$116,ComparisonData!A7,ComparisonData!$MY$1),0),5)</f>
        <v>0</v>
      </c>
      <c r="MZ7" s="46" cm="1">
        <f t="array" ref="MZ7">ROUND(IFERROR(INDEX(ArchiveResults!$F$5:$IX$116,ComparisonData!A7,ComparisonData!$MZ$1),0),5)</f>
        <v>0</v>
      </c>
      <c r="NA7" s="46" cm="1">
        <f t="array" ref="NA7">ROUND(IFERROR(INDEX(ArchiveResults!$F$5:$IX$116,ComparisonData!A7,ComparisonData!$NA$1),0),5)</f>
        <v>0</v>
      </c>
      <c r="NB7" s="46" cm="1">
        <f t="array" ref="NB7">ROUND(IFERROR(INDEX(ArchiveResults!$F$5:$IX$116,ComparisonData!A7,ComparisonData!$NB$1),0),5)</f>
        <v>0</v>
      </c>
      <c r="NC7" s="45" cm="1">
        <f t="array" ref="NC7">IFERROR(INDEX(ArchiveResults!$F$5:$IX$116,ComparisonData!A7,ComparisonData!$NC$1),0)</f>
        <v>0</v>
      </c>
      <c r="ND7" s="56">
        <v>2</v>
      </c>
      <c r="NE7" s="53" t="str">
        <f t="shared" si="52"/>
        <v>Anglesey Archives</v>
      </c>
      <c r="NF7" s="59">
        <f t="shared" ref="NF7:NF70" si="299">INDEX($MY$6:$MY$117,MATCH(ND7,$MT$6:$MT$117,0))</f>
        <v>0</v>
      </c>
      <c r="NG7" s="59">
        <f t="shared" ref="NG7:NG70" si="300">INDEX($MZ$6:$MZ$117,MATCH(ND7,$MT$6:$MT$117,0))</f>
        <v>0</v>
      </c>
      <c r="NH7" s="59">
        <f t="shared" ref="NH7:NH70" si="301">INDEX($NA$6:$NA$117,MATCH(ND7,$MT$6:$MT$117,0))</f>
        <v>0</v>
      </c>
      <c r="NI7" s="59">
        <f t="shared" ref="NI7:NI70" si="302">INDEX($NB$6:$NB$117,MATCH(ND7,$MT$6:$MT$117,0))</f>
        <v>0</v>
      </c>
      <c r="NJ7" s="59">
        <f t="shared" ref="NJ7:NJ70" si="303">INDEX($NC$6:$NC$117,MATCH(ND7,$MT$6:$MT$117,0))</f>
        <v>0</v>
      </c>
      <c r="NK7" s="58">
        <f t="shared" ref="NK7:NK70" si="304">MAX(NF7:NJ7)</f>
        <v>0</v>
      </c>
      <c r="NL7" s="45">
        <f t="shared" ref="NL7:NL70" si="305">RANK(NM7,$NM$6:$NM$117,1)</f>
        <v>5</v>
      </c>
      <c r="NM7" s="45">
        <f t="shared" si="53"/>
        <v>2.4589999999999996</v>
      </c>
      <c r="NN7" s="45">
        <f t="shared" ref="NN7:NN70" si="306">(COUNTIF($NO$6:$NO$117,NO7)&gt;1)*1</f>
        <v>1</v>
      </c>
      <c r="NO7" s="45">
        <f t="shared" ref="NO7:NO70" si="307">RANK(NP7,$NP$6:$NP$117)</f>
        <v>2</v>
      </c>
      <c r="NP7" s="46" cm="1">
        <f t="array" ref="NP7">ROUND(IFERROR(INDEX(ArchiveResults!$F$5:$IX$116,ComparisonData!A7,ComparisonData!$NP$1),0),5)</f>
        <v>0</v>
      </c>
      <c r="NQ7" s="46" cm="1">
        <f t="array" ref="NQ7">ROUND(IFERROR(INDEX(ArchiveResults!$F$5:$IX$116,ComparisonData!A7,ComparisonData!$NQ$1),0),5)</f>
        <v>0</v>
      </c>
      <c r="NR7" s="46" cm="1">
        <f t="array" ref="NR7">ROUND(IFERROR(INDEX(ArchiveResults!$F$5:$IX$116,ComparisonData!A7,ComparisonData!$NR$1),0),5)</f>
        <v>0</v>
      </c>
      <c r="NS7" s="46" cm="1">
        <f t="array" ref="NS7">ROUND(IFERROR(INDEX(ArchiveResults!$F$5:$IX$116,ComparisonData!A7,ComparisonData!$NS$1),0),5)</f>
        <v>0</v>
      </c>
      <c r="NT7" s="45" cm="1">
        <f t="array" ref="NT7">IFERROR(INDEX(ArchiveResults!$F$5:$IX$116,ComparisonData!A7,ComparisonData!$NT$1),0)</f>
        <v>0</v>
      </c>
      <c r="NU7" s="56">
        <v>2</v>
      </c>
      <c r="NV7" s="53" t="str">
        <f t="shared" si="54"/>
        <v>Anglesey Archives</v>
      </c>
      <c r="NW7" s="59">
        <f t="shared" ref="NW7:NW70" si="308">INDEX($NP$6:$NP$117,MATCH(NU7,$NL$6:$NL$117,0))</f>
        <v>0</v>
      </c>
      <c r="NX7" s="59">
        <f t="shared" ref="NX7:NX70" si="309">INDEX($NQ$6:$NQ$117,MATCH(NU7,$NL$6:$NL$117,0))</f>
        <v>0</v>
      </c>
      <c r="NY7" s="59">
        <f t="shared" ref="NY7:NY70" si="310">INDEX($NR$6:$NR$117,MATCH(NU7,$NL$6:$NL$117,0))</f>
        <v>0</v>
      </c>
      <c r="NZ7" s="59">
        <f t="shared" ref="NZ7:NZ70" si="311">INDEX($NS$6:$NS$117,MATCH(NU7,$NL$6:$NL$117,0))</f>
        <v>0</v>
      </c>
      <c r="OA7" s="59">
        <f t="shared" ref="OA7:OA70" si="312">INDEX($NT$6:$NT$117,MATCH(NU7,$NL$6:$NL$117,0))</f>
        <v>0</v>
      </c>
      <c r="OB7" s="58">
        <f t="shared" ref="OB7:OB70" si="313">MAX(NW7:OA7)</f>
        <v>0</v>
      </c>
      <c r="OC7" s="45">
        <f t="shared" ref="OC7:OC70" si="314">RANK(OD7,$OD$6:$OD$117,1)</f>
        <v>5</v>
      </c>
      <c r="OD7" s="45">
        <f t="shared" si="55"/>
        <v>2.4589999999999996</v>
      </c>
      <c r="OE7" s="45">
        <f t="shared" ref="OE7:OE70" si="315">(COUNTIF($OF$6:$OF$117,OF7)&gt;1)*1</f>
        <v>1</v>
      </c>
      <c r="OF7" s="45">
        <f t="shared" ref="OF7:OF70" si="316">RANK(OG7,$OG$6:$OG$117)</f>
        <v>2</v>
      </c>
      <c r="OG7" s="46">
        <f t="shared" ref="OG7:OG70" si="317">ROUND(OH7+(OI7/10)+(OJ7/100)+(OK7/1000),5)</f>
        <v>0</v>
      </c>
      <c r="OH7" s="46" cm="1">
        <f t="array" ref="OH7">ROUND(IFERROR(INDEX(ArchiveResults!$F$5:$IX$116,ComparisonData!A7,ComparisonData!$OH$1),0),5)</f>
        <v>0</v>
      </c>
      <c r="OI7" s="46" cm="1">
        <f t="array" ref="OI7">ROUND(IFERROR(INDEX(ArchiveResults!$F$5:$IX$116,ComparisonData!A7,ComparisonData!$OI$1),0),5)</f>
        <v>0</v>
      </c>
      <c r="OJ7" s="46" cm="1">
        <f t="array" ref="OJ7">ROUND(IFERROR(INDEX(ArchiveResults!$F$5:$IX$116,ComparisonData!A7,ComparisonData!$OJ$1),0),5)</f>
        <v>0</v>
      </c>
      <c r="OK7" s="46" cm="1">
        <f t="array" ref="OK7">ROUND(IFERROR(INDEX(ArchiveResults!$F$5:$IX$116,ComparisonData!A7,ComparisonData!$OK$1),0),5)</f>
        <v>0</v>
      </c>
      <c r="OL7" s="45" cm="1">
        <f t="array" ref="OL7">IFERROR(INDEX(ArchiveResults!$F$5:$IX$116,ComparisonData!A7,ComparisonData!$OL$1),0)</f>
        <v>0</v>
      </c>
      <c r="OM7" s="56">
        <v>2</v>
      </c>
      <c r="ON7" s="53" t="str">
        <f t="shared" si="56"/>
        <v>Anglesey Archives</v>
      </c>
      <c r="OO7" s="59">
        <f t="shared" ref="OO7:OO70" si="318">INDEX($OH$6:$OH$117,MATCH(OM7,$OC$6:$OC$117,0))</f>
        <v>0</v>
      </c>
      <c r="OP7" s="59">
        <f t="shared" ref="OP7:OP70" si="319">INDEX($OI$6:$OI$117,MATCH(OM7,$OC$6:$OC$117,0))</f>
        <v>0</v>
      </c>
      <c r="OQ7" s="59">
        <f t="shared" ref="OQ7:OQ70" si="320">INDEX($OJ$6:$OJ$117,MATCH(OM7,$OC$6:$OC$117,0))</f>
        <v>0</v>
      </c>
      <c r="OR7" s="59">
        <f t="shared" ref="OR7:OR70" si="321">INDEX($OK$6:$OK$117,MATCH(OM7,$OC$6:$OC$117,0))</f>
        <v>0</v>
      </c>
      <c r="OS7" s="59">
        <f t="shared" ref="OS7:OS70" si="322">INDEX($OL$6:$OL$117,MATCH(OM7,$OC$6:$OC$117,0))</f>
        <v>0</v>
      </c>
      <c r="OT7" s="58">
        <f t="shared" ref="OT7:OT70" si="323">MAX(OO7:OS7)</f>
        <v>0</v>
      </c>
      <c r="OU7" s="45">
        <f t="shared" ref="OU7:OU70" si="324">RANK(OV7,$OV$6:$OV$117,1)</f>
        <v>5</v>
      </c>
      <c r="OV7" s="45">
        <f t="shared" si="57"/>
        <v>2.4589999999999996</v>
      </c>
      <c r="OW7" s="45">
        <f t="shared" ref="OW7:OW70" si="325">(COUNTIF($OX$6:$OX$117,OX7)&gt;1)*1</f>
        <v>1</v>
      </c>
      <c r="OX7" s="45">
        <f t="shared" ref="OX7:OX70" si="326">RANK(OY7,$OY$6:$OY$117)</f>
        <v>2</v>
      </c>
      <c r="OY7" s="45">
        <f t="shared" ref="OY7:OY70" si="327">OZ7+(PA7/10)+(PB7/100)+(PC7/1000)</f>
        <v>0</v>
      </c>
      <c r="OZ7" s="46" cm="1">
        <f t="array" ref="OZ7">ROUND(IFERROR(INDEX(ArchiveResults!$F$5:$IX$116,ComparisonData!A7,ComparisonData!$OZ$1),0),5)</f>
        <v>0</v>
      </c>
      <c r="PA7" s="46" cm="1">
        <f t="array" ref="PA7">ROUND(IFERROR(INDEX(ArchiveResults!$F$5:$IX$116,ComparisonData!A7,ComparisonData!$PA$1),0),5)</f>
        <v>0</v>
      </c>
      <c r="PB7" s="46" cm="1">
        <f t="array" ref="PB7">ROUND(IFERROR(INDEX(ArchiveResults!$F$5:$IX$116,ComparisonData!A7,ComparisonData!$PB$1),0),5)</f>
        <v>0</v>
      </c>
      <c r="PC7" s="46" cm="1">
        <f t="array" ref="PC7">ROUND(IFERROR(INDEX(ArchiveResults!$F$5:$IX$116,ComparisonData!A7,ComparisonData!$PC$1),0),5)</f>
        <v>0</v>
      </c>
      <c r="PD7" s="45" cm="1">
        <f t="array" ref="PD7">IFERROR(INDEX(ArchiveResults!$F$5:$IX$116,ComparisonData!A7,ComparisonData!$PD$1),0)</f>
        <v>0</v>
      </c>
      <c r="PE7" s="56">
        <v>2</v>
      </c>
      <c r="PF7" s="53" t="str">
        <f t="shared" si="58"/>
        <v>Anglesey Archives</v>
      </c>
      <c r="PG7" s="59">
        <f t="shared" ref="PG7:PG70" si="328">INDEX($OZ$6:$OZ$117,MATCH(PE7,$OU$6:$OU$117,0))</f>
        <v>0</v>
      </c>
      <c r="PH7" s="59">
        <f t="shared" ref="PH7:PH70" si="329">INDEX($PA$6:$PA$117,MATCH(PE7,$OU$6:$OU$117,0))</f>
        <v>0</v>
      </c>
      <c r="PI7" s="59">
        <f t="shared" ref="PI7:PI70" si="330">INDEX($PB$6:$PB$117,MATCH(PE7,$OU$6:$OU$117,0))</f>
        <v>0</v>
      </c>
      <c r="PJ7" s="59">
        <f t="shared" ref="PJ7:PJ70" si="331">INDEX($PC$6:$PC$117,MATCH(PE7,$OU$6:$OU$117,0))</f>
        <v>0</v>
      </c>
      <c r="PK7" s="59">
        <f t="shared" ref="PK7:PK70" si="332">INDEX($PD$6:$PD$117,MATCH(PE7,$OU$6:$OU$117,0))</f>
        <v>0</v>
      </c>
      <c r="PL7" s="58">
        <f t="shared" ref="PL7:PL70" si="333">MAX(PG7:PK7)</f>
        <v>0</v>
      </c>
      <c r="PM7" s="45">
        <f t="shared" ref="PM7:PM70" si="334">RANK(PN7,$PN$6:$PN$117,1)</f>
        <v>5</v>
      </c>
      <c r="PN7" s="45">
        <f t="shared" si="59"/>
        <v>2.4589999999999996</v>
      </c>
      <c r="PO7" s="45">
        <f t="shared" ref="PO7:PO70" si="335">(COUNTIF($PP$6:$PP$117,PP7)&gt;1)*1</f>
        <v>1</v>
      </c>
      <c r="PP7" s="45">
        <f t="shared" ref="PP7:PP70" si="336">RANK(PQ7,$PQ$6:$PQ$117)</f>
        <v>2</v>
      </c>
      <c r="PQ7" s="45">
        <f t="shared" ref="PQ7:PQ70" si="337">PR7+(PS7/10)+(PT7/100)+(PU7/1000)</f>
        <v>0</v>
      </c>
      <c r="PR7" s="46" cm="1">
        <f t="array" ref="PR7">ROUND(IFERROR(INDEX(ArchiveResults!$F$5:$IX$116,ComparisonData!A7,ComparisonData!$PR$1),0),5)</f>
        <v>0</v>
      </c>
      <c r="PS7" s="46" cm="1">
        <f t="array" ref="PS7">ROUND(IFERROR(INDEX(ArchiveResults!$F$5:$IX$116,ComparisonData!A7,ComparisonData!$PS$1),0),5)</f>
        <v>0</v>
      </c>
      <c r="PT7" s="46" cm="1">
        <f t="array" ref="PT7">ROUND(IFERROR(INDEX(ArchiveResults!$F$5:$IX$116,ComparisonData!A7,ComparisonData!$PT$1),0),5)</f>
        <v>0</v>
      </c>
      <c r="PU7" s="46" cm="1">
        <f t="array" ref="PU7">ROUND(IFERROR(INDEX(ArchiveResults!$F$5:$IX$116,ComparisonData!A7,ComparisonData!$PU$1),0),5)</f>
        <v>0</v>
      </c>
      <c r="PV7" s="45" cm="1">
        <f t="array" ref="PV7">IFERROR(INDEX(ArchiveResults!$F$5:$IX$116,ComparisonData!A7,ComparisonData!$PV$1),0)</f>
        <v>0</v>
      </c>
      <c r="PW7" s="56">
        <v>2</v>
      </c>
      <c r="PX7" s="53" t="str">
        <f t="shared" si="60"/>
        <v>Anglesey Archives</v>
      </c>
      <c r="PY7" s="59">
        <f t="shared" ref="PY7:PY70" si="338">INDEX($PR$6:$PR$117,MATCH(PW7,$PM$6:$PM$117,0))</f>
        <v>0</v>
      </c>
      <c r="PZ7" s="59">
        <f t="shared" ref="PZ7:PZ70" si="339">INDEX($PS$6:$PS$117,MATCH(PW7,$PM$6:$PM$117,0))</f>
        <v>0</v>
      </c>
      <c r="QA7" s="59">
        <f t="shared" ref="QA7:QA70" si="340">INDEX($PT$6:$PT$117,MATCH(PW7,$PM$6:$PM$117,0))</f>
        <v>0</v>
      </c>
      <c r="QB7" s="59">
        <f t="shared" ref="QB7:QB70" si="341">INDEX($PU$6:$PU$117,MATCH(PW7,$PM$6:$PM$117,0))</f>
        <v>0</v>
      </c>
      <c r="QC7" s="59">
        <f t="shared" ref="QC7:QC70" si="342">INDEX($PV$6:$PV$117,MATCH(PW7,$PM$6:$PM$117,0))</f>
        <v>0</v>
      </c>
      <c r="QD7" s="58">
        <f t="shared" ref="QD7:QD70" si="343">MAX(PY7:QC7)</f>
        <v>0</v>
      </c>
      <c r="QE7" s="45">
        <f t="shared" ref="QE7:QE70" si="344">RANK(QF7,$QF$6:$QF$117,1)</f>
        <v>5</v>
      </c>
      <c r="QF7" s="45">
        <f t="shared" si="61"/>
        <v>2.4589999999999996</v>
      </c>
      <c r="QG7" s="45">
        <f t="shared" ref="QG7:QG70" si="345">(COUNTIF($QH$6:$QH$117,QH7)&gt;1)*1</f>
        <v>1</v>
      </c>
      <c r="QH7" s="45">
        <f t="shared" ref="QH7:QH70" si="346">RANK(QI7,$QI$6:$QI$117)</f>
        <v>2</v>
      </c>
      <c r="QI7" s="45">
        <f t="shared" ref="QI7:QI70" si="347">QJ7+(QK7/10)+(QL7/100)+(QM7/1000)</f>
        <v>0</v>
      </c>
      <c r="QJ7" s="46" cm="1">
        <f t="array" ref="QJ7">ROUND(IFERROR(INDEX(ArchiveResults!$F$5:$IX$116,ComparisonData!A7,ComparisonData!$QJ$1),0),5)</f>
        <v>0</v>
      </c>
      <c r="QK7" s="46" cm="1">
        <f t="array" ref="QK7">ROUND(IFERROR(INDEX(ArchiveResults!$F$5:$IX$116,ComparisonData!A7,ComparisonData!$QK$1),0),5)</f>
        <v>0</v>
      </c>
      <c r="QL7" s="46" cm="1">
        <f t="array" ref="QL7">ROUND(IFERROR(INDEX(ArchiveResults!$F$5:$IX$116,ComparisonData!A7,ComparisonData!$QL$1),0),5)</f>
        <v>0</v>
      </c>
      <c r="QM7" s="46" cm="1">
        <f t="array" ref="QM7">ROUND(IFERROR(INDEX(ArchiveResults!$F$5:$IX$116,ComparisonData!A7,ComparisonData!$QM$1),0),5)</f>
        <v>0</v>
      </c>
      <c r="QN7" s="45" cm="1">
        <f t="array" ref="QN7">IFERROR(INDEX(ArchiveResults!$F$5:$IX$116,ComparisonData!A7,ComparisonData!$QN$1),0)</f>
        <v>0</v>
      </c>
      <c r="QO7" s="56">
        <v>2</v>
      </c>
      <c r="QP7" s="53" t="str">
        <f t="shared" si="62"/>
        <v>Anglesey Archives</v>
      </c>
      <c r="QQ7" s="59">
        <f t="shared" ref="QQ7:QQ70" si="348">INDEX($QJ$6:$QJ$117,MATCH(QO7,$QE$6:$QE$117,0))</f>
        <v>0</v>
      </c>
      <c r="QR7" s="59">
        <f t="shared" ref="QR7:QR70" si="349">INDEX($QK$6:$QK$117,MATCH(QO7,$QE$6:$QE$117,0))</f>
        <v>0</v>
      </c>
      <c r="QS7" s="59">
        <f t="shared" ref="QS7:QS70" si="350">INDEX($QL$6:$QL$117,MATCH(QO7,$QE$6:$QE$117,0))</f>
        <v>0</v>
      </c>
      <c r="QT7" s="59">
        <f t="shared" ref="QT7:QT70" si="351">INDEX($QM$6:$QM$117,MATCH(QO7,$QE$6:$QE$117,0))</f>
        <v>0</v>
      </c>
      <c r="QU7" s="59">
        <f t="shared" ref="QU7:QU70" si="352">INDEX($QN$6:$QN$117,MATCH(QO7,$QE$6:$QE$117,0))</f>
        <v>0</v>
      </c>
      <c r="QV7" s="58">
        <f t="shared" ref="QV7:QV70" si="353">MAX(QQ7:QU7)</f>
        <v>0</v>
      </c>
      <c r="QW7" s="45">
        <f t="shared" ref="QW7:QW70" si="354">RANK(QX7,$QX$6:$QX$117,1)</f>
        <v>5</v>
      </c>
      <c r="QX7" s="45">
        <f t="shared" si="63"/>
        <v>2.4589999999999996</v>
      </c>
      <c r="QY7" s="45">
        <f t="shared" ref="QY7:QY70" si="355">(COUNTIF($QZ$6:$QZ$117,QZ7)&gt;1)*1</f>
        <v>1</v>
      </c>
      <c r="QZ7" s="45">
        <f t="shared" ref="QZ7:QZ70" si="356">RANK(RA7,$RA$6:$RA$117)</f>
        <v>2</v>
      </c>
      <c r="RA7" s="45">
        <f t="shared" ref="RA7:RA70" si="357">RB7+(RC7/10)+(RD7/100)+(RE7/1000)</f>
        <v>0</v>
      </c>
      <c r="RB7" s="46" cm="1">
        <f t="array" ref="RB7">ROUND(IFERROR(INDEX(ArchiveResults!$F$5:$IX$116,ComparisonData!A7,ComparisonData!$RB$1),0),5)</f>
        <v>0</v>
      </c>
      <c r="RC7" s="46" cm="1">
        <f t="array" ref="RC7">ROUND(IFERROR(INDEX(ArchiveResults!$F$5:$IX$116,ComparisonData!A7,ComparisonData!$RC$1),0),5)</f>
        <v>0</v>
      </c>
      <c r="RD7" s="46" cm="1">
        <f t="array" ref="RD7">ROUND(IFERROR(INDEX(ArchiveResults!$F$5:$IX$116,ComparisonData!A7,ComparisonData!$RD$1),0),5)</f>
        <v>0</v>
      </c>
      <c r="RE7" s="46" cm="1">
        <f t="array" ref="RE7">ROUND(IFERROR(INDEX(ArchiveResults!$F$5:$IX$116,ComparisonData!A7,ComparisonData!$RE$1),0),5)</f>
        <v>0</v>
      </c>
      <c r="RF7" s="45" cm="1">
        <f t="array" ref="RF7">IFERROR(INDEX(ArchiveResults!$F$5:$IX$116,ComparisonData!A7,ComparisonData!$RF$1),0)</f>
        <v>0</v>
      </c>
      <c r="RG7" s="56">
        <v>2</v>
      </c>
      <c r="RH7" s="53" t="str">
        <f t="shared" si="64"/>
        <v>Anglesey Archives</v>
      </c>
      <c r="RI7" s="59">
        <f t="shared" ref="RI7:RI70" si="358">INDEX($RB$6:$RB$117,MATCH(RG7,$QW$6:$QW$117,0))</f>
        <v>0</v>
      </c>
      <c r="RJ7" s="59">
        <f t="shared" ref="RJ7:RJ70" si="359">INDEX($RC$6:$RC$117,MATCH(RG7,$QW$6:$QW$117,0))</f>
        <v>0</v>
      </c>
      <c r="RK7" s="59">
        <f t="shared" ref="RK7:RK70" si="360">INDEX($RD$6:$RD$117,MATCH(RG7,$QW$6:$QW$117,0))</f>
        <v>0</v>
      </c>
      <c r="RL7" s="59">
        <f t="shared" ref="RL7:RL70" si="361">INDEX($RE$6:$RE$117,MATCH(RG7,$QW$6:$QW$117,0))</f>
        <v>0</v>
      </c>
      <c r="RM7" s="59">
        <f t="shared" ref="RM7:RM70" si="362">INDEX($RF$6:$RF$117,MATCH(RG7,$QW$6:$QW$117,0))</f>
        <v>0</v>
      </c>
      <c r="RN7" s="58">
        <f t="shared" ref="RN7:RN70" si="363">MAX(RI7:RM7)</f>
        <v>0</v>
      </c>
      <c r="RO7" s="45">
        <f t="shared" ref="RO7:RO70" si="364">RANK(RP7,$RP$6:$RP$117,1)</f>
        <v>5</v>
      </c>
      <c r="RP7" s="45">
        <f t="shared" si="65"/>
        <v>2.4589999999999996</v>
      </c>
      <c r="RQ7" s="45">
        <f t="shared" ref="RQ7:RQ70" si="365">(COUNTIF($RR$6:$RR$117,RR7)&gt;1)*1</f>
        <v>1</v>
      </c>
      <c r="RR7" s="45">
        <f t="shared" ref="RR7:RR70" si="366">RANK(RS7,$RS$6:$RS$117)</f>
        <v>2</v>
      </c>
      <c r="RS7" s="45">
        <f t="shared" ref="RS7:RS70" si="367">RT7+(RU7/10)+(RV7/100)+(RW7/1000)</f>
        <v>0</v>
      </c>
      <c r="RT7" s="46" cm="1">
        <f t="array" ref="RT7">ROUND(IFERROR(INDEX(ArchiveResults!$F$5:$IX$116,ComparisonData!A7,ComparisonData!$RT$1),0),5)</f>
        <v>0</v>
      </c>
      <c r="RU7" s="46" cm="1">
        <f t="array" ref="RU7">ROUND(IFERROR(INDEX(ArchiveResults!$F$5:$IX$116,ComparisonData!A7,ComparisonData!$RU$1),0),5)</f>
        <v>0</v>
      </c>
      <c r="RV7" s="46" cm="1">
        <f t="array" ref="RV7">ROUND(IFERROR(INDEX(ArchiveResults!$F$5:$IX$116,ComparisonData!A7,ComparisonData!$RV$1),0),5)</f>
        <v>0</v>
      </c>
      <c r="RW7" s="46" cm="1">
        <f t="array" ref="RW7">ROUND(IFERROR(INDEX(ArchiveResults!$F$5:$IX$116,ComparisonData!A7,ComparisonData!$RW$1),0),5)</f>
        <v>0</v>
      </c>
      <c r="RX7" s="45" cm="1">
        <f t="array" ref="RX7">IFERROR(INDEX(ArchiveResults!$F$5:$IX$116,ComparisonData!A7,ComparisonData!$RX$1),0)</f>
        <v>0</v>
      </c>
      <c r="RY7" s="56">
        <v>2</v>
      </c>
      <c r="RZ7" s="53" t="str">
        <f t="shared" si="66"/>
        <v>Anglesey Archives</v>
      </c>
      <c r="SA7" s="59">
        <f t="shared" ref="SA7:SA70" si="368">INDEX($RT$6:$RT$117,MATCH(RY7,$RO$6:$RO$117,0))</f>
        <v>0</v>
      </c>
      <c r="SB7" s="59">
        <f t="shared" ref="SB7:SB70" si="369">INDEX($RU$6:$RU$117,MATCH(RY7,$RO$6:$RO$117,0))</f>
        <v>0</v>
      </c>
      <c r="SC7" s="59">
        <f t="shared" ref="SC7:SC70" si="370">INDEX($RV$6:$RV$117,MATCH(RY7,$RO$6:$RO$117,0))</f>
        <v>0</v>
      </c>
      <c r="SD7" s="59">
        <f t="shared" ref="SD7:SD70" si="371">INDEX($RW$6:$RW$117,MATCH(RY7,$RO$6:$RO$117,0))</f>
        <v>0</v>
      </c>
      <c r="SE7" s="59">
        <f t="shared" ref="SE7:SE70" si="372">INDEX($RX$6:$RX$117,MATCH(RY7,$RO$6:$RO$117,0))</f>
        <v>0</v>
      </c>
      <c r="SF7" s="58">
        <f t="shared" ref="SF7:SF70" si="373">MAX(SA7:SE7)</f>
        <v>0</v>
      </c>
      <c r="SG7" s="45">
        <f t="shared" ref="SG7:SG70" si="374">RANK(SH7,$SH$6:$SH$117,1)</f>
        <v>5</v>
      </c>
      <c r="SH7" s="45">
        <f t="shared" si="67"/>
        <v>2.4589999999999996</v>
      </c>
      <c r="SI7" s="45">
        <f t="shared" ref="SI7:SI70" si="375">(COUNTIF($SJ$6:$SJ$117,SJ7)&gt;1)*1</f>
        <v>1</v>
      </c>
      <c r="SJ7" s="45">
        <f t="shared" ref="SJ7:SJ70" si="376">RANK(SK7,$SK$6:$SK$117)</f>
        <v>2</v>
      </c>
      <c r="SK7" s="45">
        <f t="shared" ref="SK7:SK70" si="377">SL7+(SM7/10)+(SN7/100)+(SO7/1000)</f>
        <v>0</v>
      </c>
      <c r="SL7" s="46" cm="1">
        <f t="array" ref="SL7">ROUND(IFERROR(INDEX(ArchiveResults!$F$5:$IX$116,ComparisonData!A7,ComparisonData!$SL$1),0),5)</f>
        <v>0</v>
      </c>
      <c r="SM7" s="46" cm="1">
        <f t="array" ref="SM7">ROUND(IFERROR(INDEX(ArchiveResults!$F$5:$IX$116,ComparisonData!A7,ComparisonData!$SM$1),0),5)</f>
        <v>0</v>
      </c>
      <c r="SN7" s="46" cm="1">
        <f t="array" ref="SN7">ROUND(IFERROR(INDEX(ArchiveResults!$F$5:$IX$116,ComparisonData!A7,ComparisonData!$SN$1),0),5)</f>
        <v>0</v>
      </c>
      <c r="SO7" s="46" cm="1">
        <f t="array" ref="SO7">ROUND(IFERROR(INDEX(ArchiveResults!$F$5:$IX$116,ComparisonData!A7,ComparisonData!$SO$1),0),5)</f>
        <v>0</v>
      </c>
      <c r="SP7" s="45" cm="1">
        <f t="array" ref="SP7">IFERROR(INDEX(ArchiveResults!$F$5:$IX$116,ComparisonData!A7,ComparisonData!$SP$1),0)</f>
        <v>0</v>
      </c>
      <c r="SQ7" s="56">
        <v>2</v>
      </c>
      <c r="SR7" s="53" t="str">
        <f t="shared" si="68"/>
        <v>Anglesey Archives</v>
      </c>
      <c r="SS7" s="59">
        <f t="shared" ref="SS7:SS70" si="378">INDEX($SL$6:$SL$117,MATCH(SQ7,$SG$6:$SG$117,0))</f>
        <v>0</v>
      </c>
      <c r="ST7" s="59">
        <f t="shared" ref="ST7:ST70" si="379">INDEX($SM$6:$SM$117,MATCH(SQ7,$SG$6:$SG$117,0))</f>
        <v>0</v>
      </c>
      <c r="SU7" s="59">
        <f t="shared" ref="SU7:SU70" si="380">INDEX($SN$6:$SN$117,MATCH(SQ7,$SG$6:$SG$117,0))</f>
        <v>0</v>
      </c>
      <c r="SV7" s="59">
        <f t="shared" ref="SV7:SV70" si="381">INDEX($SO$6:$SO$117,MATCH(SQ7,$SG$6:$SG$117,0))</f>
        <v>0</v>
      </c>
      <c r="SW7" s="59">
        <f t="shared" ref="SW7:SW70" si="382">INDEX($SP$6:$SP$117,MATCH(SQ7,$SG$6:$SG$117,0))</f>
        <v>0</v>
      </c>
      <c r="SX7" s="58">
        <f t="shared" ref="SX7:SX70" si="383">MAX(SS7:SW7)</f>
        <v>0</v>
      </c>
      <c r="SY7" s="45">
        <f t="shared" ref="SY7:SY70" si="384">RANK(SZ7,$SZ$6:$SZ$117,1)</f>
        <v>5</v>
      </c>
      <c r="SZ7" s="45">
        <f t="shared" si="69"/>
        <v>2.4589999999999996</v>
      </c>
      <c r="TA7" s="45">
        <f t="shared" ref="TA7:TA70" si="385">(COUNTIF($TB$6:$TB$117,TB7)&gt;1)*1</f>
        <v>1</v>
      </c>
      <c r="TB7" s="45">
        <f t="shared" ref="TB7:TB70" si="386">RANK(TC7,$TC$6:$TC$117)</f>
        <v>2</v>
      </c>
      <c r="TC7" s="45">
        <f t="shared" ref="TC7:TC70" si="387">TD7+(TE7/10)+(TF7/100)+(TG7/1000)</f>
        <v>0</v>
      </c>
      <c r="TD7" s="46" cm="1">
        <f t="array" ref="TD7">ROUND(IFERROR(INDEX(ArchiveResults!$F$5:$IX$116,ComparisonData!A7,ComparisonData!$TD$1),0),5)</f>
        <v>0</v>
      </c>
      <c r="TE7" s="46" cm="1">
        <f t="array" ref="TE7">ROUND(IFERROR(INDEX(ArchiveResults!$F$5:$IX$116,ComparisonData!A7,ComparisonData!$TE$1),0),5)</f>
        <v>0</v>
      </c>
      <c r="TF7" s="46" cm="1">
        <f t="array" ref="TF7">ROUND(IFERROR(INDEX(ArchiveResults!$F$5:$IX$116,ComparisonData!A7,ComparisonData!$TF$1),0),5)</f>
        <v>0</v>
      </c>
      <c r="TG7" s="46" cm="1">
        <f t="array" ref="TG7">ROUND(IFERROR(INDEX(ArchiveResults!$F$5:$IX$116,ComparisonData!A7,ComparisonData!$TG$1),0),5)</f>
        <v>0</v>
      </c>
      <c r="TH7" s="45" cm="1">
        <f t="array" ref="TH7">IFERROR(INDEX(ArchiveResults!$F$5:$IX$116,ComparisonData!A7,ComparisonData!$TH$1),0)</f>
        <v>0</v>
      </c>
      <c r="TI7" s="56">
        <v>2</v>
      </c>
      <c r="TJ7" s="53" t="str">
        <f t="shared" si="70"/>
        <v>Anglesey Archives</v>
      </c>
      <c r="TK7" s="59">
        <f t="shared" ref="TK7:TK70" si="388">INDEX($TD$6:$TD$117,MATCH(TI7,$SY$6:$SY$117,0))</f>
        <v>0</v>
      </c>
      <c r="TL7" s="59">
        <f t="shared" ref="TL7:TL70" si="389">INDEX($TE$6:$TE$117,MATCH(TI7,$SY$6:$SY$117,0))</f>
        <v>0</v>
      </c>
      <c r="TM7" s="59">
        <f t="shared" ref="TM7:TM70" si="390">INDEX($TF$6:$TF$117,MATCH(TI7,$SY$6:$SY$117,0))</f>
        <v>0</v>
      </c>
      <c r="TN7" s="59">
        <f t="shared" ref="TN7:TN70" si="391">INDEX($TG$6:$TG$117,MATCH(TI7,$SY$6:$SY$117,0))</f>
        <v>0</v>
      </c>
      <c r="TO7" s="59">
        <f t="shared" ref="TO7:TO70" si="392">INDEX($TH$6:$TH$117,MATCH(TI7,$SY$6:$SY$117,0))</f>
        <v>0</v>
      </c>
      <c r="TP7" s="58">
        <f t="shared" ref="TP7:TP70" si="393">MAX(TK7:TO7)</f>
        <v>0</v>
      </c>
      <c r="TQ7" s="45">
        <f t="shared" ref="TQ7:TQ70" si="394">RANK(TR7,$TR$6:$TR$117,1)</f>
        <v>5</v>
      </c>
      <c r="TR7" s="45">
        <f t="shared" si="71"/>
        <v>2.4589999999999996</v>
      </c>
      <c r="TS7" s="45">
        <f t="shared" ref="TS7:TS70" si="395">(COUNTIF($TT$6:$TT$117,TT7)&gt;1)*1</f>
        <v>1</v>
      </c>
      <c r="TT7" s="45">
        <f t="shared" ref="TT7:TT70" si="396">RANK(TU7,$TU$6:$TU$117)</f>
        <v>2</v>
      </c>
      <c r="TU7" s="45">
        <f t="shared" ref="TU7:TU70" si="397">TV7+(TW7/10)+(TX7/100)+(TY7/1000)</f>
        <v>0</v>
      </c>
      <c r="TV7" s="46" cm="1">
        <f t="array" ref="TV7">ROUND(IFERROR(INDEX(ArchiveResults!$F$5:$IX$116,ComparisonData!A7,ComparisonData!$TV$1),0),5)</f>
        <v>0</v>
      </c>
      <c r="TW7" s="46" cm="1">
        <f t="array" ref="TW7">ROUND(IFERROR(INDEX(ArchiveResults!$F$5:$IX$116,ComparisonData!A7,ComparisonData!$TW$1),0),5)</f>
        <v>0</v>
      </c>
      <c r="TX7" s="46" cm="1">
        <f t="array" ref="TX7">ROUND(IFERROR(INDEX(ArchiveResults!$F$5:$IX$116,ComparisonData!A7,ComparisonData!$TX$1),0),5)</f>
        <v>0</v>
      </c>
      <c r="TY7" s="46" cm="1">
        <f t="array" ref="TY7">ROUND(IFERROR(INDEX(ArchiveResults!$F$5:$IX$116,ComparisonData!A7,ComparisonData!$TY$1),0),5)</f>
        <v>0</v>
      </c>
      <c r="TZ7" s="45" cm="1">
        <f t="array" ref="TZ7">IFERROR(INDEX(ArchiveResults!$F$5:$IX$116,ComparisonData!A7,ComparisonData!$TZ$1),0)</f>
        <v>0</v>
      </c>
      <c r="UA7" s="56">
        <v>2</v>
      </c>
      <c r="UB7" s="53" t="str">
        <f t="shared" si="72"/>
        <v>Anglesey Archives</v>
      </c>
      <c r="UC7" s="60">
        <f t="shared" ref="UC7:UC70" si="398">INDEX($TV$6:$TV$117,MATCH(UA7,$TQ$6:$TQ$117,0))</f>
        <v>0</v>
      </c>
      <c r="UD7" s="60">
        <f t="shared" ref="UD7:UD70" si="399">INDEX($TW$6:$TW$117,MATCH(UA7,$TQ$6:$TQ$117,0))</f>
        <v>0</v>
      </c>
      <c r="UE7" s="60">
        <f t="shared" ref="UE7:UE70" si="400">INDEX($TX$6:$TX$117,MATCH(UA7,$TQ$6:$TQ$117,0))</f>
        <v>0</v>
      </c>
      <c r="UF7" s="60">
        <f t="shared" ref="UF7:UF70" si="401">INDEX($TY$6:$TY$117,MATCH(UA7,$TQ$6:$TQ$117,0))</f>
        <v>0</v>
      </c>
      <c r="UG7" s="60">
        <f t="shared" ref="UG7:UG70" si="402">INDEX($TZ$6:$TZ$117,MATCH(UA7,$TQ$6:$TQ$117,0))</f>
        <v>0</v>
      </c>
      <c r="UH7" s="58">
        <f t="shared" ref="UH7:UH70" si="403">MAX(UC7:UG7)</f>
        <v>0</v>
      </c>
      <c r="UI7" s="46">
        <f t="shared" ref="UI7:UI70" si="404">RANK(UJ7,$UJ$6:$UJ$117,1)</f>
        <v>5</v>
      </c>
      <c r="UJ7" s="46">
        <f t="shared" si="73"/>
        <v>2.4589999999999996</v>
      </c>
      <c r="UK7" s="46">
        <f t="shared" ref="UK7:UK70" si="405">(COUNTIF($UL$6:$UL$117,UL7)&gt;1)*1</f>
        <v>1</v>
      </c>
      <c r="UL7" s="46">
        <f t="shared" ref="UL7:UL70" si="406">RANK(UM7,$UM$6:$UM$117)</f>
        <v>2</v>
      </c>
      <c r="UM7" s="46" cm="1">
        <f t="array" ref="UM7">ROUND(IFERROR(INDEX(ArchiveResults!$F$5:$IX$116,ComparisonData!A7,ComparisonData!$UM$1),0),5)</f>
        <v>0</v>
      </c>
      <c r="UN7" s="56">
        <v>2</v>
      </c>
      <c r="UO7" s="53" t="str">
        <f t="shared" si="74"/>
        <v>Anglesey Archives</v>
      </c>
      <c r="UP7" s="46">
        <f t="shared" ref="UP7:UP70" si="407">INDEX($UM$6:$UM$117,MATCH(UN7,$UI$6:$UI$117,0))</f>
        <v>0</v>
      </c>
      <c r="UQ7" s="76">
        <f t="shared" ref="UQ7:UQ70" si="408">MAX(UP7)</f>
        <v>0</v>
      </c>
      <c r="UR7" s="46">
        <f t="shared" ref="UR7:UR70" si="409">RANK(US7,$US$6:$US$117,1)</f>
        <v>5</v>
      </c>
      <c r="US7" s="46">
        <f t="shared" si="75"/>
        <v>2.4589999999999996</v>
      </c>
      <c r="UT7" s="46">
        <f t="shared" ref="UT7:UT70" si="410">(COUNTIF($UU$6:$UU$117,UU7)&gt;1)*1</f>
        <v>1</v>
      </c>
      <c r="UU7" s="46">
        <f t="shared" ref="UU7:UU70" si="411">RANK(UV7,$UV$6:$UV$117)</f>
        <v>2</v>
      </c>
      <c r="UV7" s="46">
        <f t="shared" ref="UV7:UV70" si="412">UW7+(UX7/100)</f>
        <v>0</v>
      </c>
      <c r="UW7" s="46" cm="1">
        <f t="array" ref="UW7">ROUND(IFERROR(INDEX(ArchiveResults!$F$5:$IX$116,ComparisonData!A7,ComparisonData!$UW$1),0),5)</f>
        <v>0</v>
      </c>
      <c r="UX7" s="46" cm="1">
        <f t="array" ref="UX7">ROUND(IFERROR(INDEX(ArchiveResults!$F$5:$IX$116,ComparisonData!A7,ComparisonData!$UX$1),0),5)</f>
        <v>0</v>
      </c>
      <c r="UY7" s="46" cm="1">
        <f t="array" ref="UY7">ROUND(IFERROR(INDEX(ArchiveResults!$F$5:$IX$116,ComparisonData!A7,ComparisonData!$UY$1),0),5)</f>
        <v>0</v>
      </c>
      <c r="UZ7" s="46" cm="1">
        <f t="array" ref="UZ7">ROUND(IFERROR(INDEX(ArchiveResults!$F$5:$IX$116,ComparisonData!A7,ComparisonData!$UZ$1),0),5)</f>
        <v>0</v>
      </c>
      <c r="VA7" s="46" cm="1">
        <f t="array" ref="VA7">ROUND(IFERROR(INDEX(ArchiveResults!$F$5:$IX$116,ComparisonData!A7,ComparisonData!$VA$1),0),5)</f>
        <v>0</v>
      </c>
      <c r="VB7" s="56">
        <v>2</v>
      </c>
      <c r="VC7" s="53" t="str">
        <f t="shared" si="76"/>
        <v>Anglesey Archives</v>
      </c>
      <c r="VD7" s="60">
        <f t="shared" ref="VD7:VD70" si="413">INDEX($UW$6:$UW$117,MATCH(VB7,$UR$6:$UR$117,0))</f>
        <v>0</v>
      </c>
      <c r="VE7" s="60">
        <f t="shared" ref="VE7:VE70" si="414">INDEX($UX$6:$UX$117,MATCH(VB7,$UR$6:$UR$117,0))</f>
        <v>0</v>
      </c>
      <c r="VF7" s="60">
        <f t="shared" ref="VF7:VF70" si="415">INDEX($UY$6:$UY$117,MATCH(VB7,$UR$6:$UR$117,0))</f>
        <v>0</v>
      </c>
      <c r="VG7" s="60">
        <f t="shared" ref="VG7:VG70" si="416">INDEX($UZ$6:$UZ$117,MATCH(VB7,$UR$6:$UR$117,0))</f>
        <v>0</v>
      </c>
      <c r="VH7" s="60">
        <f t="shared" ref="VH7:VH70" si="417">INDEX($VA$6:$VA$117,MATCH(VB7,$UR$6:$UR$117,0))</f>
        <v>0</v>
      </c>
      <c r="VI7" s="76">
        <f t="shared" ref="VI7:VI70" si="418">MAX(VD7:VH7)</f>
        <v>0</v>
      </c>
      <c r="VJ7" s="46">
        <f t="shared" ref="VJ7:VJ70" si="419">RANK(VK7,$VK$6:$VK$117,1)</f>
        <v>5</v>
      </c>
      <c r="VK7" s="46">
        <f t="shared" si="77"/>
        <v>2.4589999999999996</v>
      </c>
      <c r="VL7" s="46">
        <f t="shared" ref="VL7:VL70" si="420">(COUNTIF($VM$6:$VM$117,VM7)&gt;1)*1</f>
        <v>1</v>
      </c>
      <c r="VM7" s="46">
        <f t="shared" ref="VM7:VM70" si="421">RANK(VN7,$VN$6:$VN$117)</f>
        <v>2</v>
      </c>
      <c r="VN7" s="46" cm="1">
        <f t="array" ref="VN7">ROUND(IFERROR(INDEX(ArchiveResults!$F$5:$IX$116,ComparisonData!A7,ComparisonData!$VN$1),0),5)</f>
        <v>0</v>
      </c>
      <c r="VO7" s="46" cm="1">
        <f t="array" ref="VO7">ROUND(IFERROR(INDEX(ArchiveResults!$F$5:$IX$116,ComparisonData!A7,ComparisonData!$VO$1),0),5)</f>
        <v>0</v>
      </c>
      <c r="VP7" s="46" cm="1">
        <f t="array" ref="VP7">ROUND(IFERROR(INDEX(ArchiveResults!$F$5:$IX$116,ComparisonData!A7,ComparisonData!$VP$1),0),5)</f>
        <v>0</v>
      </c>
      <c r="VQ7" s="46" cm="1">
        <f t="array" ref="VQ7">ROUND(IFERROR(INDEX(ArchiveResults!$F$5:$IX$116,ComparisonData!A7,ComparisonData!$VQ$1),0),5)</f>
        <v>0</v>
      </c>
      <c r="VR7" s="56">
        <v>2</v>
      </c>
      <c r="VS7" s="53" t="str">
        <f t="shared" si="78"/>
        <v>Anglesey Archives</v>
      </c>
      <c r="VT7" s="60">
        <f t="shared" ref="VT7:VT70" si="422">INDEX($VN$6:$VN$117,MATCH(VR7,$VJ$6:$VJ$117,0))</f>
        <v>0</v>
      </c>
      <c r="VU7" s="60">
        <f t="shared" ref="VU7:VU70" si="423">INDEX($VO$6:$VO$117,MATCH(VR7,$VJ$6:$VJ$117,0))</f>
        <v>0</v>
      </c>
      <c r="VV7" s="60">
        <f t="shared" ref="VV7:VV70" si="424">INDEX($VP$6:$VP$117,MATCH(VR7,$VJ$6:$VJ$117,0))</f>
        <v>0</v>
      </c>
      <c r="VW7" s="60">
        <f t="shared" ref="VW7:VW70" si="425">INDEX($VQ$6:$VQ$117,MATCH(VR7,$VJ$6:$VJ$117,0))</f>
        <v>0</v>
      </c>
      <c r="VX7" s="76">
        <f t="shared" ref="VX7:VX70" si="426">MAX(VT7:VW7)</f>
        <v>0</v>
      </c>
      <c r="VY7" s="46">
        <f t="shared" ref="VY7:VY70" si="427">RANK(VZ7,$VZ$6:$VZ$117,1)</f>
        <v>5</v>
      </c>
      <c r="VZ7" s="46">
        <f t="shared" si="79"/>
        <v>2.4589999999999996</v>
      </c>
      <c r="WA7" s="46">
        <f t="shared" ref="WA7:WA70" si="428">(COUNTIF($WB$6:$WB$117,WB7)&gt;1)*1</f>
        <v>1</v>
      </c>
      <c r="WB7" s="46">
        <f t="shared" ref="WB7:WB70" si="429">RANK(WC7,$WC$6:$WC$117)</f>
        <v>2</v>
      </c>
      <c r="WC7" s="46" cm="1">
        <f t="array" ref="WC7">ROUND(IFERROR(INDEX(ArchiveResults!$F$5:$IX$116,ComparisonData!A7,ComparisonData!$WC$1),0),5)</f>
        <v>0</v>
      </c>
      <c r="WD7" s="56">
        <v>2</v>
      </c>
      <c r="WE7" s="53" t="str">
        <f t="shared" si="80"/>
        <v>Anglesey Archives</v>
      </c>
      <c r="WF7" s="46">
        <f t="shared" ref="WF7:WF70" si="430">INDEX($WC$6:$WC$117,MATCH(WD7,$VY$6:$VY$117,0))</f>
        <v>0</v>
      </c>
      <c r="WG7" s="76">
        <f t="shared" ref="WG7:WG70" si="431">MAX(WF7)</f>
        <v>0</v>
      </c>
      <c r="WH7" s="46">
        <f t="shared" ref="WH7:WH70" si="432">RANK(WI7,$WI$6:$WI$117,1)</f>
        <v>5</v>
      </c>
      <c r="WI7" s="46">
        <f t="shared" si="81"/>
        <v>2.4589999999999996</v>
      </c>
      <c r="WJ7" s="46">
        <f t="shared" ref="WJ7:WJ70" si="433">(COUNTIF($WK$6:$WK$117,WK7)&gt;1)*1</f>
        <v>1</v>
      </c>
      <c r="WK7" s="46">
        <f t="shared" ref="WK7:WK70" si="434">RANK(WL7,$WL$6:$WL$117)</f>
        <v>2</v>
      </c>
      <c r="WL7" s="46" cm="1">
        <f t="array" ref="WL7">ROUND(IFERROR(INDEX(ArchiveResults!$F$5:$IX$116,ComparisonData!A7,ComparisonData!$WL$1),0),5)</f>
        <v>0</v>
      </c>
      <c r="WM7" s="46" cm="1">
        <f t="array" ref="WM7">IFERROR(INDEX(ArchiveResults!$F$5:$IX$116,ComparisonData!A7,ComparisonData!$WM$1),0)</f>
        <v>0</v>
      </c>
      <c r="WN7" s="56">
        <v>2</v>
      </c>
      <c r="WO7" s="53" t="str">
        <f t="shared" si="82"/>
        <v>Anglesey Archives</v>
      </c>
      <c r="WP7" s="60">
        <f t="shared" ref="WP7:WP70" si="435">INDEX($WL$6:$WL$117,MATCH(WN7,$WH$6:$WH$117,0))</f>
        <v>0</v>
      </c>
      <c r="WQ7" s="60">
        <f t="shared" ref="WQ7:WQ70" si="436">INDEX($WM$6:$WM$117,MATCH(WN7,$WH$6:$WH$117,0))</f>
        <v>0</v>
      </c>
      <c r="WR7" s="76">
        <f t="shared" ref="WR7:WR70" si="437">MAX(WP7:WQ7)</f>
        <v>0</v>
      </c>
      <c r="WS7" s="46">
        <f t="shared" ref="WS7:WS70" si="438">RANK(WT7,$WT$6:$WT$117,1)</f>
        <v>5</v>
      </c>
      <c r="WT7" s="46">
        <f t="shared" si="83"/>
        <v>2.4589999999999996</v>
      </c>
      <c r="WU7" s="46">
        <f t="shared" ref="WU7:WU70" si="439">(COUNTIF($WV$6:$WV$117,WV7)&gt;1)*1</f>
        <v>1</v>
      </c>
      <c r="WV7" s="46">
        <f t="shared" ref="WV7:WV70" si="440">RANK(WW7,$WW$6:$WW$117,0)</f>
        <v>2</v>
      </c>
      <c r="WW7" s="46" cm="1">
        <f t="array" ref="WW7">ROUND(VALUE(IFERROR(INDEX(ArchiveResults!$F$5:$IX$116,ComparisonData!A7,ComparisonData!$WW$1),0)),5)</f>
        <v>0</v>
      </c>
      <c r="WX7" s="46" cm="1">
        <f t="array" ref="WX7">ROUND(IFERROR(INDEX(ArchiveResults!$F$5:$IX$116,ComparisonData!A7,ComparisonData!$WX$1),0),5)</f>
        <v>0</v>
      </c>
      <c r="WY7" s="56">
        <v>2</v>
      </c>
      <c r="WZ7" s="53" t="str">
        <f t="shared" si="84"/>
        <v>Anglesey Archives</v>
      </c>
      <c r="XA7" s="60">
        <f t="shared" si="85"/>
        <v>0</v>
      </c>
      <c r="XB7" s="60">
        <f t="shared" si="86"/>
        <v>0</v>
      </c>
      <c r="XC7" s="76">
        <f t="shared" ref="XC7:XC70" si="441">MAX(XA7:XB7)</f>
        <v>0</v>
      </c>
      <c r="XD7" s="46">
        <f t="shared" ref="XD7:XD70" si="442">RANK(XE7,$XE$6:$XE$117,1)</f>
        <v>5</v>
      </c>
      <c r="XE7" s="46">
        <f t="shared" si="87"/>
        <v>2.4589999999999996</v>
      </c>
      <c r="XF7" s="46">
        <f t="shared" ref="XF7:XF70" si="443">(COUNTIF($XG$6:$XG$117,XG7)&gt;1)*1</f>
        <v>1</v>
      </c>
      <c r="XG7" s="46">
        <f t="shared" ref="XG7:XG70" si="444">RANK(XH7,$XH$6:$XH$117)</f>
        <v>2</v>
      </c>
      <c r="XH7" s="46" cm="1">
        <f t="array" ref="XH7">ROUND(VALUE(IFERROR(INDEX(ArchiveResults!$F$5:$IX$116,ComparisonData!A7,ComparisonData!$XH$1),0)),5)</f>
        <v>0</v>
      </c>
      <c r="XI7" s="46" cm="1">
        <f t="array" ref="XI7">ROUND(VALUE(IFERROR(INDEX(ArchiveResults!$F$5:$IX$116,ComparisonData!A7,ComparisonData!$XI$1),0)),5)</f>
        <v>0</v>
      </c>
      <c r="XJ7" s="56">
        <v>2</v>
      </c>
      <c r="XK7" s="53" t="str">
        <f t="shared" si="88"/>
        <v>Anglesey Archives</v>
      </c>
      <c r="XL7" s="60">
        <f t="shared" ref="XL7:XL70" si="445">INDEX($XH$6:$XH$117,MATCH(XJ7,$XD$6:$XD$117,0))</f>
        <v>0</v>
      </c>
      <c r="XM7" s="60">
        <f t="shared" ref="XM7:XM70" si="446">INDEX($XI$6:$XI$117,MATCH(XJ7,$XD$6:$XD$117,0))</f>
        <v>0</v>
      </c>
      <c r="XN7" s="76">
        <f t="shared" ref="XN7:XN70" si="447">MAX(XL7:XM7)</f>
        <v>0</v>
      </c>
      <c r="XO7" s="46">
        <f t="shared" ref="XO7:XO70" si="448">RANK(XP7,$XP$6:$XP$117,1)</f>
        <v>5</v>
      </c>
      <c r="XP7" s="46">
        <f t="shared" si="89"/>
        <v>2.4589999999999996</v>
      </c>
      <c r="XQ7" s="46">
        <f t="shared" ref="XQ7:XQ70" si="449">(COUNTIF($XR$6:$XR$117,XR7)&gt;1)*1</f>
        <v>1</v>
      </c>
      <c r="XR7" s="46">
        <f t="shared" ref="XR7:XR70" si="450">RANK(XS7,$XS$6:$XS$117)</f>
        <v>2</v>
      </c>
      <c r="XS7" s="46" cm="1">
        <f t="array" ref="XS7">ROUND(VALUE(IFERROR(INDEX(ArchiveResults!$F$5:$IX$116,ComparisonData!A7,ComparisonData!$XS$1),0)),5)</f>
        <v>0</v>
      </c>
      <c r="XT7" s="46" cm="1">
        <f t="array" ref="XT7">ROUND(VALUE(IFERROR(INDEX(ArchiveResults!$F$5:$IX$116,ComparisonData!A7,ComparisonData!$XT$1),0)),5)</f>
        <v>0</v>
      </c>
      <c r="XU7" s="56">
        <v>2</v>
      </c>
      <c r="XV7" s="53" t="str">
        <f t="shared" si="90"/>
        <v>Anglesey Archives</v>
      </c>
      <c r="XW7" s="60">
        <f t="shared" ref="XW7:XW70" si="451">INDEX($XS$6:$XS$117,MATCH(XU7,$XO$6:$XO$117,0))</f>
        <v>0</v>
      </c>
      <c r="XX7" s="60">
        <f t="shared" ref="XX7:XX70" si="452">INDEX($XT$6:$XT$117,MATCH(XU7,$XO$6:$XO$117,0))</f>
        <v>0</v>
      </c>
      <c r="XY7" s="76">
        <f t="shared" ref="XY7:XY70" si="453">MAX(XW7:XX7)</f>
        <v>0</v>
      </c>
      <c r="XZ7" s="46">
        <f t="shared" ref="XZ7:XZ70" si="454">RANK(YA7,$YA$6:$YA$117,1)</f>
        <v>5</v>
      </c>
      <c r="YA7" s="46">
        <f t="shared" si="91"/>
        <v>2.4589999999999996</v>
      </c>
      <c r="YB7" s="46">
        <f t="shared" ref="YB7:YB70" si="455">(COUNTIF($YC$6:$YC$117,YC7)&gt;1)*1</f>
        <v>1</v>
      </c>
      <c r="YC7" s="46">
        <f t="shared" ref="YC7:YC70" si="456">RANK(YD7,$YD$6:$YD$117)</f>
        <v>2</v>
      </c>
      <c r="YD7" s="46" cm="1">
        <f t="array" ref="YD7">ROUND(VALUE(IFERROR(INDEX(ArchiveResults!$F$5:$IX$116,ComparisonData!A7,ComparisonData!$YD$1),0)),5)</f>
        <v>0</v>
      </c>
      <c r="YE7" s="46" cm="1">
        <f t="array" ref="YE7">ROUND(VALUE(IFERROR(INDEX(ArchiveResults!$F$5:$IX$116,ComparisonData!A7,ComparisonData!$YE$1),0)),5)</f>
        <v>0</v>
      </c>
      <c r="YF7" s="56">
        <v>2</v>
      </c>
      <c r="YG7" s="53" t="str">
        <f t="shared" si="92"/>
        <v>Anglesey Archives</v>
      </c>
      <c r="YH7" s="60">
        <f t="shared" ref="YH7:YH70" si="457">INDEX($YD$6:$YD$117,MATCH(YF7,$XZ$6:$XZ$117,0))</f>
        <v>0</v>
      </c>
      <c r="YI7" s="60">
        <f t="shared" ref="YI7:YI70" si="458">INDEX($YE$6:$YE$117,MATCH(YF7,$XZ$6:$XZ$117,0))</f>
        <v>0</v>
      </c>
      <c r="YJ7" s="76">
        <f t="shared" ref="YJ7:YJ70" si="459">MAX(YH7:YI7)</f>
        <v>0</v>
      </c>
      <c r="YK7" s="46">
        <f t="shared" ref="YK7:YK70" si="460">RANK(YL7,$YL$6:$YL$117,1)</f>
        <v>5</v>
      </c>
      <c r="YL7" s="46">
        <f t="shared" si="93"/>
        <v>2.4589999999999996</v>
      </c>
      <c r="YM7" s="46">
        <f t="shared" ref="YM7:YM70" si="461">(COUNTIF($YN$6:$YN$117,YN7)&gt;1)*1</f>
        <v>1</v>
      </c>
      <c r="YN7" s="46">
        <f t="shared" ref="YN7:YN70" si="462">RANK(YO7,$YO$6:$YO$117)</f>
        <v>2</v>
      </c>
      <c r="YO7" s="46" cm="1">
        <f t="array" ref="YO7">ROUND(VALUE(IFERROR(INDEX(ArchiveResults!$F$5:$IX$116,ComparisonData!A7,ComparisonData!$YO$1),0)),5)</f>
        <v>0</v>
      </c>
      <c r="YP7" s="46" cm="1">
        <f t="array" ref="YP7">ROUND(VALUE(IFERROR(INDEX(ArchiveResults!$F$5:$IX$116,ComparisonData!A7,ComparisonData!$YP$1),0)),5)</f>
        <v>0</v>
      </c>
      <c r="YQ7" s="56">
        <v>2</v>
      </c>
      <c r="YR7" s="53" t="str">
        <f t="shared" si="94"/>
        <v>Anglesey Archives</v>
      </c>
      <c r="YS7" s="60">
        <f t="shared" ref="YS7:YS70" si="463">INDEX($YO$6:$YO$117,MATCH(YQ7,$YK$6:$YK$117,0))</f>
        <v>0</v>
      </c>
      <c r="YT7" s="60">
        <f t="shared" ref="YT7:YT70" si="464">INDEX($YP$6:$YP$117,MATCH(YQ7,$YK$6:$YK$117,0))</f>
        <v>0</v>
      </c>
      <c r="YU7" s="76">
        <f t="shared" ref="YU7:YU70" si="465">MAX(YS7:YT7)</f>
        <v>0</v>
      </c>
      <c r="YV7" s="46">
        <f t="shared" ref="YV7:YV70" si="466">RANK(YW7,$YW$6:$YW$117,1)</f>
        <v>5</v>
      </c>
      <c r="YW7" s="46">
        <f t="shared" si="95"/>
        <v>2.4589999999999996</v>
      </c>
      <c r="YX7" s="46">
        <f t="shared" ref="YX7:YX70" si="467">(COUNTIF($YY$6:$YY$117,YY7)&gt;1)*1</f>
        <v>1</v>
      </c>
      <c r="YY7" s="46">
        <f t="shared" ref="YY7:YY70" si="468">RANK(YZ7,$YZ$6:$YZ$117)</f>
        <v>2</v>
      </c>
      <c r="YZ7" s="46">
        <f t="shared" ref="YZ7:YZ70" si="469">ZA7+(ZB7/100)+(ZC7/10000)+(ZD7/1000000)</f>
        <v>0</v>
      </c>
      <c r="ZA7" s="46" cm="1">
        <f t="array" ref="ZA7">ROUNDDOWN(VALUE(IFERROR(INDEX(ArchiveResults!$F$5:$IX$116,ComparisonData!A7,ComparisonData!$ZA$1),0)),5)</f>
        <v>0</v>
      </c>
      <c r="ZB7" s="46" cm="1">
        <f t="array" ref="ZB7">ROUNDDOWN(VALUE(IFERROR(INDEX(ArchiveResults!$F$5:$IX$116,ComparisonData!A7,ComparisonData!$ZB$1),0)),5)</f>
        <v>0</v>
      </c>
      <c r="ZC7" s="46" cm="1">
        <f t="array" ref="ZC7">ROUNDDOWN(VALUE(IFERROR(INDEX(ArchiveResults!$F$5:$IX$116,ComparisonData!A7,ComparisonData!$ZC$1),0)),5)</f>
        <v>0</v>
      </c>
      <c r="ZD7" s="46" cm="1">
        <f t="array" ref="ZD7">ROUNDDOWN(VALUE(IFERROR(INDEX(ArchiveResults!$F$5:$IX$116,ComparisonData!A7,ComparisonData!$ZD$1),0)),5)</f>
        <v>0</v>
      </c>
      <c r="ZE7" s="46" cm="1">
        <f t="array" ref="ZE7">ROUNDDOWN(VALUE(IFERROR(INDEX(ArchiveResults!$F$5:$IX$116,ComparisonData!A7,ComparisonData!$ZE$1),0)),5)</f>
        <v>0</v>
      </c>
      <c r="ZF7" s="56">
        <v>2</v>
      </c>
      <c r="ZG7" s="53" t="str">
        <f t="shared" si="96"/>
        <v>Anglesey Archives</v>
      </c>
      <c r="ZH7" s="60">
        <f t="shared" ref="ZH7:ZH70" si="470">INDEX($ZA$6:$ZA$117,MATCH(ZF7,$YV$6:$YV$117,0))</f>
        <v>0</v>
      </c>
      <c r="ZI7" s="60">
        <f t="shared" ref="ZI7:ZI70" si="471">INDEX($ZB$6:$ZB$117,MATCH(ZF7,$YV$6:$YV$117,0))</f>
        <v>0</v>
      </c>
      <c r="ZJ7" s="60">
        <f t="shared" ref="ZJ7:ZJ70" si="472">INDEX($ZC$6:$ZC$117,MATCH(ZF7,$YV$6:$YV$117,0))</f>
        <v>0</v>
      </c>
      <c r="ZK7" s="60">
        <f t="shared" ref="ZK7:ZK70" si="473">INDEX($ZD$6:$ZD$117,MATCH(ZF7,$YV$6:$YV$117,0))</f>
        <v>0</v>
      </c>
      <c r="ZL7" s="60">
        <f t="shared" ref="ZL7:ZL70" si="474">INDEX($ZE$6:$ZE$117,MATCH(ZF7,$YV$6:$YV$117,0))</f>
        <v>0</v>
      </c>
      <c r="ZM7" s="76">
        <f t="shared" ref="ZM7:ZM70" si="475">MAX(ZH7:ZL7)</f>
        <v>0</v>
      </c>
      <c r="ZN7" s="46">
        <f t="shared" ref="ZN7:ZN70" si="476">RANK(ZO7,$ZO$6:$ZO$117,1)</f>
        <v>5</v>
      </c>
      <c r="ZO7" s="46">
        <f t="shared" si="97"/>
        <v>2.4589999999999996</v>
      </c>
      <c r="ZP7" s="46">
        <f t="shared" ref="ZP7:ZP70" si="477">(COUNTIF($ZQ$6:$ZQ$117,ZQ7)&gt;1)*1</f>
        <v>1</v>
      </c>
      <c r="ZQ7" s="46">
        <f t="shared" ref="ZQ7:ZQ70" si="478">RANK(ZR7,$ZR$6:$ZR$117)</f>
        <v>2</v>
      </c>
      <c r="ZR7" s="46" cm="1">
        <f t="array" ref="ZR7">ROUND(VALUE(IFERROR(INDEX(ArchiveResults!$F$5:$IX$116,ComparisonData!A7,ComparisonData!$ZR$1),0)),5)</f>
        <v>0</v>
      </c>
      <c r="ZS7" s="56">
        <v>2</v>
      </c>
      <c r="ZT7" s="53" t="str">
        <f t="shared" si="98"/>
        <v>Anglesey Archives</v>
      </c>
      <c r="ZU7" s="46">
        <f t="shared" ref="ZU7:ZU70" si="479">INDEX($ZR$6:$ZR$117,MATCH(ZS7,$ZN$6:$ZN$117,0))</f>
        <v>0</v>
      </c>
      <c r="ZV7" s="76">
        <f t="shared" ref="ZV7:ZV70" si="480">MAX(ZU7)</f>
        <v>0</v>
      </c>
      <c r="ZW7" s="81" cm="1">
        <f t="array" ref="ZW7">ROUND((IFERROR(INDEX(ArchiveResults!$F$5:$IX$116,ComparisonData!A7,ComparisonData!$ZW$1),0)),5)</f>
        <v>0</v>
      </c>
      <c r="ZX7" s="81" cm="1">
        <f t="array" ref="ZX7">ROUND((IFERROR(INDEX(ArchiveResults!$F$5:$IX$116,ComparisonData!A7,ComparisonData!$ZX$1),0)),5)</f>
        <v>0</v>
      </c>
      <c r="ZY7" s="81" cm="1">
        <f t="array" ref="ZY7">ROUND((IFERROR(INDEX(ArchiveResults!$F$5:$IX$116,ComparisonData!A7,ComparisonData!$ZY$1),0)),5)</f>
        <v>0</v>
      </c>
      <c r="ZZ7" s="81" cm="1">
        <f t="array" ref="ZZ7">ROUND((IFERROR(INDEX(ArchiveResults!$F$5:$IX$116,ComparisonData!A7,ComparisonData!$ZZ$1),0)),5)</f>
        <v>0</v>
      </c>
      <c r="AAA7" s="81" cm="1">
        <f t="array" ref="AAA7">ROUND((IFERROR(INDEX(ArchiveResults!$F$5:$IX$116,ComparisonData!A7,ComparisonData!$AAA$1),0)),5)</f>
        <v>0</v>
      </c>
      <c r="AAB7" s="81" cm="1">
        <f t="array" ref="AAB7">ROUND((IFERROR(INDEX(ArchiveResults!$F$5:$IX$116,ComparisonData!A7,ComparisonData!$AAB$1),0)),5)</f>
        <v>0</v>
      </c>
      <c r="AAC7" s="81" cm="1">
        <f t="array" ref="AAC7">ROUND((IFERROR(INDEX(ArchiveResults!$F$5:$IX$116,ComparisonData!A7,ComparisonData!$AAC$1),0)),5)</f>
        <v>0</v>
      </c>
      <c r="AAD7" s="81" cm="1">
        <f t="array" ref="AAD7">ROUND((IFERROR(INDEX(ArchiveResults!$F$5:$IX$116,ComparisonData!A7,ComparisonData!$AAD$1),0)),5)</f>
        <v>0</v>
      </c>
      <c r="AAE7" s="81" cm="1">
        <f t="array" ref="AAE7">ROUND((IFERROR(INDEX(ArchiveResults!$F$5:$IX$116,ComparisonData!A7,ComparisonData!$AAE$1),0)),5)</f>
        <v>0</v>
      </c>
      <c r="AAF7" s="81" cm="1">
        <f t="array" ref="AAF7">ROUND((IFERROR(INDEX(ArchiveResults!$F$5:$IX$116,ComparisonData!A7,ComparisonData!$AAF$1),0)),5)</f>
        <v>0</v>
      </c>
      <c r="AAG7" s="46">
        <f t="shared" ref="AAG7:AAG70" si="481">RANK(AAH7,$AAH$6:$AAH$117,1)</f>
        <v>5</v>
      </c>
      <c r="AAH7" s="46">
        <f t="shared" si="99"/>
        <v>2.4589999999999996</v>
      </c>
      <c r="AAI7" s="46">
        <f t="shared" ref="AAI7:AAI70" si="482">(COUNTIF($AAJ$6:$AAJ$117,AAJ7)&gt;1)*1</f>
        <v>1</v>
      </c>
      <c r="AAJ7" s="46">
        <f t="shared" ref="AAJ7:AAJ70" si="483">RANK(AAK7,$AAK$6:$AAK$117)</f>
        <v>2</v>
      </c>
      <c r="AAK7" s="46">
        <f t="shared" ref="AAK7:AAK70" si="484">AAL7+(AAM7/1000)+(AAN7/100000)+(AAO7/1000000)+(AAP7/10000000)</f>
        <v>0</v>
      </c>
      <c r="AAL7" s="46">
        <f t="shared" ref="AAL7:AAL70" si="485">ROUNDDOWN(IFERROR(ZW7+ZX7,0),7)</f>
        <v>0</v>
      </c>
      <c r="AAM7" s="46">
        <f t="shared" ref="AAM7:AAM70" si="486">ROUNDDOWN(IFERROR(ZY7+ZZ7,0),7)</f>
        <v>0</v>
      </c>
      <c r="AAN7" s="46">
        <f t="shared" ref="AAN7:AAN70" si="487">ROUNDDOWN(IFERROR(AAA7+AAB7,0),7)</f>
        <v>0</v>
      </c>
      <c r="AAO7" s="46">
        <f t="shared" ref="AAO7:AAO70" si="488">ROUNDDOWN(IFERROR(AAC7+AAD7,0),7)</f>
        <v>0</v>
      </c>
      <c r="AAP7" s="46">
        <f t="shared" ref="AAP7:AAP70" si="489">ROUNDDOWN(IFERROR(AAE7+AAF7,0),7)</f>
        <v>0</v>
      </c>
      <c r="AAQ7" s="56">
        <v>2</v>
      </c>
      <c r="AAR7" s="53" t="str">
        <f t="shared" si="100"/>
        <v>Anglesey Archives</v>
      </c>
      <c r="AAS7" s="60">
        <f t="shared" ref="AAS7:AAS70" si="490">INDEX($AAL$6:$AAL$117,MATCH(AAQ7,$AAG$6:$AAG$117,0))</f>
        <v>0</v>
      </c>
      <c r="AAT7" s="60">
        <f t="shared" ref="AAT7:AAT70" si="491">INDEX($AAM$6:$AAM$117,MATCH(AAQ7,$AAG$6:$AAG$117,0))</f>
        <v>0</v>
      </c>
      <c r="AAU7" s="60">
        <f t="shared" ref="AAU7:AAU70" si="492">INDEX($AAN$6:$AAN$117,MATCH(AAQ7,$AAG$6:$AAG$117,0))</f>
        <v>0</v>
      </c>
      <c r="AAV7" s="60">
        <f t="shared" ref="AAV7:AAV70" si="493">INDEX($AAO$6:$AAO$117,MATCH(AAQ7,$AAG$6:$AAG$117,0))</f>
        <v>0</v>
      </c>
      <c r="AAW7" s="60">
        <f t="shared" ref="AAW7:AAW70" si="494">INDEX($AAP$6:$AAP$117,MATCH(AAQ7,$AAG$6:$AAG$117,0))</f>
        <v>0</v>
      </c>
      <c r="AAX7" s="76">
        <f t="shared" ref="AAX7:AAX70" si="495">MAX(AAS7:AAW7)</f>
        <v>0</v>
      </c>
      <c r="AAY7" s="46">
        <f t="shared" ref="AAY7:AAY70" si="496">RANK(AAZ7,$AAZ$6:$AAZ$117,1)</f>
        <v>5</v>
      </c>
      <c r="AAZ7" s="46">
        <f t="shared" si="101"/>
        <v>2.4589999999999996</v>
      </c>
      <c r="ABA7" s="46">
        <f t="shared" ref="ABA7:ABA70" si="497">(COUNTIF($ABB$6:$ABB$117,ABB7)&gt;1)*1</f>
        <v>1</v>
      </c>
      <c r="ABB7" s="46">
        <f t="shared" ref="ABB7:ABB70" si="498">RANK(ABC7,$ABC$6:$ABC$117)</f>
        <v>2</v>
      </c>
      <c r="ABC7" s="46">
        <f t="shared" si="102"/>
        <v>0</v>
      </c>
      <c r="ABD7" s="46" cm="1">
        <f t="array" ref="ABD7">ROUND(VALUE(IFERROR(INDEX(ArchiveResults!$F$5:$IX$116,ComparisonData!A7,ComparisonData!$ABD$1),0)),5)</f>
        <v>0</v>
      </c>
      <c r="ABE7" s="46" cm="1">
        <f t="array" ref="ABE7">ROUND(VALUE(IFERROR(INDEX(ArchiveResults!$F$5:$IX$116,ComparisonData!A7,ComparisonData!$ABE$1),0)),5)</f>
        <v>0</v>
      </c>
      <c r="ABF7" s="46" cm="1">
        <f t="array" ref="ABF7">ROUND(VALUE(IFERROR(INDEX(ArchiveResults!$F$5:$IX$116,ComparisonData!A7,ComparisonData!$ABF$1),0)),5)</f>
        <v>0</v>
      </c>
      <c r="ABG7" s="46" cm="1">
        <f t="array" ref="ABG7">ROUND(VALUE(IFERROR(INDEX(ArchiveResults!$F$5:$IX$116,ComparisonData!A7,ComparisonData!$ABG$1),0)),5)</f>
        <v>0</v>
      </c>
      <c r="ABH7" s="46" cm="1">
        <f t="array" ref="ABH7">ROUND(VALUE(IFERROR(INDEX(ArchiveResults!$F$5:$IX$116,ComparisonData!A7,ComparisonData!$ABH$1),0)),5)</f>
        <v>0</v>
      </c>
      <c r="ABI7" s="56">
        <v>2</v>
      </c>
      <c r="ABJ7" s="53" t="str">
        <f t="shared" si="103"/>
        <v>Anglesey Archives</v>
      </c>
      <c r="ABK7" s="60">
        <f t="shared" ref="ABK7:ABK70" si="499">INDEX($ABF$6:$ABF$117,MATCH(ABI7,$AAY$6:$AAY$117,0))</f>
        <v>0</v>
      </c>
      <c r="ABL7" s="60">
        <f t="shared" ref="ABL7:ABL70" si="500">INDEX($ABH$6:$ABH$117,MATCH(ABI7,$AAY$6:$AAY$117,0))</f>
        <v>0</v>
      </c>
      <c r="ABM7" s="60">
        <f t="shared" ref="ABM7:ABM70" si="501">INDEX($ABE$6:$ABE$117,MATCH(ABI7,$AAY$6:$AAY$117,0))</f>
        <v>0</v>
      </c>
      <c r="ABN7" s="60">
        <f t="shared" ref="ABN7:ABN70" si="502">INDEX($ABG$6:$ABG$117,MATCH(ABI7,$AAY$6:$AAY$117,0))</f>
        <v>0</v>
      </c>
      <c r="ABO7" s="60">
        <f t="shared" ref="ABO7:ABO70" si="503">INDEX($ABD$6:$ABD$117,MATCH(ABI7,$AAY$6:$AAY$117,0))</f>
        <v>0</v>
      </c>
      <c r="ABP7" s="76">
        <f t="shared" ref="ABP7:ABP70" si="504">MAX(ABK7:ABO7)</f>
        <v>0</v>
      </c>
      <c r="ABQ7" s="46">
        <f t="shared" ref="ABQ7:ABQ70" si="505">RANK(ABR7,$ABR$6:$ABR$117,1)</f>
        <v>5</v>
      </c>
      <c r="ABR7" s="46">
        <f t="shared" si="104"/>
        <v>2.4589999999999996</v>
      </c>
      <c r="ABS7" s="46">
        <f t="shared" ref="ABS7:ABS70" si="506">(COUNTIF($ABT$6:$ABT$117,ABT7)&gt;1)*1</f>
        <v>1</v>
      </c>
      <c r="ABT7" s="46">
        <f t="shared" ref="ABT7:ABT70" si="507">RANK(ABU7,$ABU$6:$ABU$117)</f>
        <v>2</v>
      </c>
      <c r="ABU7" s="46" cm="1">
        <f t="array" ref="ABU7">ROUND(VALUE(IFERROR(INDEX(ArchiveResults!$F$5:$IX$116,ComparisonData!A7,ComparisonData!$ABU$1),0)),5)</f>
        <v>0</v>
      </c>
      <c r="ABV7" s="46" cm="1">
        <f t="array" ref="ABV7">ROUND(VALUE(IFERROR(INDEX(ArchiveResults!$F$5:$IX$116,ComparisonData!A7,ComparisonData!$ABV$1),0)),5)</f>
        <v>0</v>
      </c>
      <c r="ABW7" s="46" cm="1">
        <f t="array" ref="ABW7">ROUND(VALUE(IFERROR(INDEX(ArchiveResults!$F$5:$IX$116,ComparisonData!A7,ComparisonData!$ABW$1),0)),5)</f>
        <v>0</v>
      </c>
      <c r="ABX7" s="46" cm="1">
        <f t="array" ref="ABX7">ROUND(VALUE(IFERROR(INDEX(ArchiveResults!$F$5:$IX$116,ComparisonData!A7,ComparisonData!$ABX$1),0)),5)</f>
        <v>0</v>
      </c>
      <c r="ABY7" s="46" cm="1">
        <f t="array" ref="ABY7">ROUND(VALUE(IFERROR(INDEX(ArchiveResults!$F$5:$IX$116,ComparisonData!A7,ComparisonData!$ABY$1),0)),5)</f>
        <v>0</v>
      </c>
      <c r="ABZ7" s="56">
        <v>2</v>
      </c>
      <c r="ACA7" s="53" t="str">
        <f t="shared" si="105"/>
        <v>Anglesey Archives</v>
      </c>
      <c r="ACB7" s="60">
        <f t="shared" ref="ACB7:ACB70" si="508">INDEX($ABU$6:$ABU$117,MATCH(ABZ7,$ABQ$6:$ABQ$117,0))</f>
        <v>0</v>
      </c>
      <c r="ACC7" s="60">
        <f t="shared" ref="ACC7:ACC70" si="509">INDEX($ABV$6:$ABV$117,MATCH(ABZ7,$ABQ$6:$ABQ$117,0))</f>
        <v>0</v>
      </c>
      <c r="ACD7" s="60">
        <f t="shared" ref="ACD7:ACD70" si="510">INDEX($ABW$6:$ABW$117,MATCH(ABZ7,$ABQ$6:$ABQ$117,0))</f>
        <v>0</v>
      </c>
      <c r="ACE7" s="60">
        <f t="shared" ref="ACE7:ACE70" si="511">INDEX($ABX$6:$ABX$117,MATCH(ABZ7,$ABQ$6:$ABQ$117,0))</f>
        <v>0</v>
      </c>
      <c r="ACF7" s="60">
        <f t="shared" ref="ACF7:ACF70" si="512">INDEX($ABY$6:$ABY$117,MATCH(ABZ7,$ABQ$6:$ABQ$117,0))</f>
        <v>0</v>
      </c>
      <c r="ACG7" s="76">
        <f t="shared" ref="ACG7:ACG70" si="513">MAX(ACB7:ACF7)</f>
        <v>0</v>
      </c>
      <c r="ACH7" s="46">
        <f t="shared" ref="ACH7:ACH70" si="514">RANK(ACI7,$ACI$6:$ACI$117,1)</f>
        <v>5</v>
      </c>
      <c r="ACI7" s="46">
        <f t="shared" si="106"/>
        <v>2.4589999999999996</v>
      </c>
      <c r="ACJ7" s="46">
        <f t="shared" ref="ACJ7:ACJ70" si="515">(COUNTIF($ACK$6:$ACK$117,ACK7)&gt;1)*1</f>
        <v>1</v>
      </c>
      <c r="ACK7" s="46">
        <f t="shared" ref="ACK7:ACK70" si="516">RANK(ACL7,$ACL$6:$ACL$117)</f>
        <v>2</v>
      </c>
      <c r="ACL7" s="46">
        <f t="shared" ref="ACL7:ACL70" si="517">ACM7+(ACN7/1000)</f>
        <v>0</v>
      </c>
      <c r="ACM7" s="46" cm="1">
        <f t="array" ref="ACM7">ROUND(IFERROR(INDEX(ArchiveResults!$F$5:$IX$116,ComparisonData!A7,ComparisonData!$ACM$1),0),5)</f>
        <v>0</v>
      </c>
      <c r="ACN7" s="46" cm="1">
        <f t="array" ref="ACN7">ROUND(IFERROR(INDEX(ArchiveResults!$F$5:$IX$116,ComparisonData!A7,ComparisonData!$ACN$1),0),5)</f>
        <v>0</v>
      </c>
      <c r="ACO7" s="56">
        <v>2</v>
      </c>
      <c r="ACP7" s="53" t="str">
        <f t="shared" si="107"/>
        <v>Anglesey Archives</v>
      </c>
      <c r="ACQ7" s="60">
        <f t="shared" ref="ACQ7:ACQ70" si="518">INDEX($ACM$6:$ACM$117,MATCH(ACO7,$ACH$6:$ACH$117,0))</f>
        <v>0</v>
      </c>
      <c r="ACR7" s="60">
        <f t="shared" ref="ACR7:ACR70" si="519">INDEX($ACN$6:$ACN$117,MATCH(ACO7,$ACH$6:$ACH$117,0))</f>
        <v>0</v>
      </c>
      <c r="ACS7" s="76">
        <f t="shared" ref="ACS7:ACS70" si="520">MAX(ACQ7:ACR7)</f>
        <v>0</v>
      </c>
      <c r="ACT7" s="46">
        <f t="shared" ref="ACT7:ACT70" si="521">RANK(ACU7,$ACU$6:$ACU$117,1)</f>
        <v>5</v>
      </c>
      <c r="ACU7" s="46">
        <f t="shared" si="108"/>
        <v>2.4589999999999996</v>
      </c>
      <c r="ACV7" s="46">
        <f t="shared" ref="ACV7:ACV70" si="522">(COUNTIF($ACW$6:$ACW$117,ACW7)&gt;1)*1</f>
        <v>1</v>
      </c>
      <c r="ACW7" s="46">
        <f t="shared" ref="ACW7:ACW70" si="523">RANK(ACX7,$ACX$6:$ACX$117)</f>
        <v>2</v>
      </c>
      <c r="ACX7" s="46">
        <f t="shared" ref="ACX7:ACX70" si="524">ACY7+(ACZ7/1000)+(ADA7/100000)</f>
        <v>0</v>
      </c>
      <c r="ACY7" s="46" cm="1">
        <f t="array" ref="ACY7">ROUNDDOWN(IFERROR(INDEX(ArchiveResults!$F$5:$IX$116,ComparisonData!A7,ComparisonData!$ACY$1),0),5)</f>
        <v>0</v>
      </c>
      <c r="ACZ7" s="46" cm="1">
        <f t="array" ref="ACZ7">ROUNDDOWN(IFERROR(INDEX(ArchiveResults!$F$5:$IX$116,ComparisonData!A7,ComparisonData!$ACZ$1),0),5)</f>
        <v>0</v>
      </c>
      <c r="ADA7" s="46" cm="1">
        <f t="array" ref="ADA7">ROUNDDOWN(IFERROR(INDEX(ArchiveResults!$F$5:$IX$116,ComparisonData!A7,ComparisonData!$ADA$1),0),5)</f>
        <v>0</v>
      </c>
      <c r="ADB7" s="56">
        <v>2</v>
      </c>
      <c r="ADC7" s="53" t="str">
        <f t="shared" si="109"/>
        <v>Anglesey Archives</v>
      </c>
      <c r="ADD7" s="60">
        <f t="shared" ref="ADD7:ADD70" si="525">INDEX($ACY$6:$ACY$117,MATCH(ADB7,$ACT$6:$ACT$117,0))</f>
        <v>0</v>
      </c>
      <c r="ADE7" s="60">
        <f t="shared" ref="ADE7:ADE70" si="526">INDEX($ACZ$6:$ACZ$117,MATCH(ADB7,$ACT$6:$ACT$117,0))</f>
        <v>0</v>
      </c>
      <c r="ADF7" s="60">
        <f t="shared" ref="ADF7:ADF70" si="527">INDEX($ADA$6:$ADA$117,MATCH(ADB7,$ACT$6:$ACT$117,0))</f>
        <v>0</v>
      </c>
      <c r="ADG7" s="76">
        <f t="shared" ref="ADG7:ADG70" si="528">MAX(ADD7:ADF7)</f>
        <v>0</v>
      </c>
    </row>
    <row r="8" spans="1:787" x14ac:dyDescent="0.25">
      <c r="A8" s="46" t="str">
        <f>IF(ISBLANK(ComparisonSelection!F4),"",ROW()-5)</f>
        <v/>
      </c>
      <c r="B8" s="53" t="s">
        <v>458</v>
      </c>
      <c r="C8" s="72">
        <v>0.93399999999999994</v>
      </c>
      <c r="D8" s="55">
        <f t="shared" si="110"/>
        <v>99</v>
      </c>
      <c r="E8" s="54">
        <f t="shared" si="111"/>
        <v>2.9340000000000002</v>
      </c>
      <c r="F8" s="54">
        <f t="shared" ref="F8:F70" si="529">(COUNTIF($G$6:$G$117,G8)&gt;1)*1</f>
        <v>1</v>
      </c>
      <c r="G8" s="72">
        <f t="shared" si="112"/>
        <v>2</v>
      </c>
      <c r="H8" s="72">
        <f t="shared" si="113"/>
        <v>0</v>
      </c>
      <c r="I8" s="46" cm="1">
        <f t="array" ref="I8">ROUND(IFERROR(INDEX(ArchiveResults!$F$5:$IX$116,ComparisonData!A8,ComparisonData!$I$1),0),5)</f>
        <v>0</v>
      </c>
      <c r="J8" s="46" cm="1">
        <f t="array" ref="J8">ROUND(IFERROR(INDEX(ArchiveResults!$F$5:$IX$116,ComparisonData!A8,ComparisonData!$J$1),0),5)</f>
        <v>0</v>
      </c>
      <c r="K8" s="56">
        <v>3</v>
      </c>
      <c r="L8" s="53" t="str">
        <f t="shared" si="114"/>
        <v>Archives &amp; Collections, Library of Birmingham</v>
      </c>
      <c r="M8" s="57">
        <f t="shared" si="0"/>
        <v>0</v>
      </c>
      <c r="N8" s="57">
        <f t="shared" si="1"/>
        <v>0</v>
      </c>
      <c r="O8" s="58">
        <f t="shared" si="115"/>
        <v>0</v>
      </c>
      <c r="P8" s="48">
        <f t="shared" si="116"/>
        <v>99</v>
      </c>
      <c r="Q8" s="54">
        <f t="shared" si="2"/>
        <v>2.9340000000000002</v>
      </c>
      <c r="R8" s="45">
        <f t="shared" si="117"/>
        <v>1</v>
      </c>
      <c r="S8" s="46">
        <f t="shared" si="118"/>
        <v>2</v>
      </c>
      <c r="T8" s="72">
        <f t="shared" si="119"/>
        <v>0</v>
      </c>
      <c r="U8" s="46" cm="1">
        <f t="array" ref="U8">ROUND(IFERROR(INDEX(ArchiveResults!$F$5:$IX$116,ComparisonData!A8,ComparisonData!$U$1),0),5)</f>
        <v>0</v>
      </c>
      <c r="V8" s="46" cm="1">
        <f t="array" ref="V8">ROUND(IFERROR(INDEX(ArchiveResults!$F$5:$IX$116,ComparisonData!A8,ComparisonData!$V$1),0),5)</f>
        <v>0</v>
      </c>
      <c r="W8" s="56">
        <v>3</v>
      </c>
      <c r="X8" s="53" t="str">
        <f t="shared" si="3"/>
        <v>Archives &amp; Collections, Library of Birmingham</v>
      </c>
      <c r="Y8" s="57">
        <f t="shared" si="120"/>
        <v>0</v>
      </c>
      <c r="Z8" s="57">
        <f t="shared" si="121"/>
        <v>0</v>
      </c>
      <c r="AA8" s="58">
        <f t="shared" si="122"/>
        <v>0</v>
      </c>
      <c r="AB8" s="45">
        <f t="shared" si="123"/>
        <v>99</v>
      </c>
      <c r="AC8" s="54">
        <f t="shared" si="4"/>
        <v>2.9340000000000002</v>
      </c>
      <c r="AD8" s="45">
        <f t="shared" si="124"/>
        <v>1</v>
      </c>
      <c r="AE8" s="45">
        <f t="shared" si="125"/>
        <v>2</v>
      </c>
      <c r="AF8" s="45">
        <f t="shared" si="126"/>
        <v>0</v>
      </c>
      <c r="AG8" s="46" cm="1">
        <f t="array" ref="AG8">ROUND(IFERROR(INDEX(ArchiveResults!$F$5:$IX$116,ComparisonData!A8,ComparisonData!$AG$1),0),5)</f>
        <v>0</v>
      </c>
      <c r="AH8" s="46" cm="1">
        <f t="array" ref="AH8">ROUND(IFERROR(INDEX(ArchiveResults!$F$5:$IX$116,ComparisonData!A8,ComparisonData!$AH$1),0),5)</f>
        <v>0</v>
      </c>
      <c r="AI8" s="56">
        <v>3</v>
      </c>
      <c r="AJ8" s="53" t="str">
        <f t="shared" si="5"/>
        <v>Archives &amp; Collections, Library of Birmingham</v>
      </c>
      <c r="AK8" s="59">
        <f t="shared" si="6"/>
        <v>0</v>
      </c>
      <c r="AL8" s="59">
        <f t="shared" si="7"/>
        <v>0</v>
      </c>
      <c r="AM8" s="58">
        <f t="shared" si="127"/>
        <v>0</v>
      </c>
      <c r="AN8" s="45">
        <f t="shared" si="128"/>
        <v>99</v>
      </c>
      <c r="AO8" s="54">
        <f t="shared" si="8"/>
        <v>2.9340000000000002</v>
      </c>
      <c r="AP8" s="45">
        <f t="shared" si="129"/>
        <v>1</v>
      </c>
      <c r="AQ8" s="45">
        <f t="shared" si="130"/>
        <v>2</v>
      </c>
      <c r="AR8" s="46" cm="1">
        <f t="array" ref="AR8">ROUND(IFERROR(INDEX(ArchiveResults!$F$5:$IX$116,ComparisonData!A8,ComparisonData!$AR$1),0),5)</f>
        <v>0</v>
      </c>
      <c r="AS8" s="46" cm="1">
        <f t="array" ref="AS8">ROUND(IFERROR(INDEX(ArchiveResults!$F$5:$IX$116,ComparisonData!A8,ComparisonData!$AS$1),0),5)</f>
        <v>0</v>
      </c>
      <c r="AT8" s="46" cm="1">
        <f t="array" ref="AT8">ROUND(IFERROR(INDEX(ArchiveResults!$F$5:$IX$116,ComparisonData!A8,ComparisonData!$AT$1),0),5)</f>
        <v>0</v>
      </c>
      <c r="AU8" s="46" cm="1">
        <f t="array" ref="AU8">ROUND(IFERROR(INDEX(ArchiveResults!$F$5:$IX$116,ComparisonData!A8,ComparisonData!$AU$1),0),5)</f>
        <v>0</v>
      </c>
      <c r="AV8" s="46" cm="1">
        <f t="array" ref="AV8">ROUND(IFERROR(INDEX(ArchiveResults!$F$5:$IX$116,ComparisonData!A8,ComparisonData!$AV$1),0),5)</f>
        <v>0</v>
      </c>
      <c r="AW8" s="46" cm="1">
        <f t="array" ref="AW8">ROUND(IFERROR(INDEX(ArchiveResults!$F$5:$IX$116,ComparisonData!A8,ComparisonData!$AW$1),0),5)</f>
        <v>0</v>
      </c>
      <c r="AX8" s="46" cm="1">
        <f t="array" ref="AX8">ROUND(IFERROR(INDEX(ArchiveResults!$F$5:$IX$116,ComparisonData!A8,ComparisonData!$AX$1),0),5)</f>
        <v>0</v>
      </c>
      <c r="AY8" s="46" cm="1">
        <f t="array" ref="AY8">ROUND(IFERROR(INDEX(ArchiveResults!$F$5:$IX$116,ComparisonData!A8,ComparisonData!$AY$1),0),5)</f>
        <v>0</v>
      </c>
      <c r="AZ8" s="46" cm="1">
        <f t="array" ref="AZ8">ROUND(IFERROR(INDEX(ArchiveResults!$F$5:$IX$116,ComparisonData!A8,ComparisonData!$AZ$1),0),5)</f>
        <v>0</v>
      </c>
      <c r="BA8" s="46" cm="1">
        <f t="array" ref="BA8">ROUND(IFERROR(INDEX(ArchiveResults!$F$5:$IX$116,ComparisonData!A8,ComparisonData!$BA$1),0),5)</f>
        <v>0</v>
      </c>
      <c r="BB8" s="56">
        <v>3</v>
      </c>
      <c r="BC8" s="53" t="str">
        <f t="shared" si="9"/>
        <v>Archives &amp; Collections, Library of Birmingham</v>
      </c>
      <c r="BD8" s="60">
        <f t="shared" si="131"/>
        <v>0</v>
      </c>
      <c r="BE8" s="60">
        <f t="shared" si="132"/>
        <v>0</v>
      </c>
      <c r="BF8" s="60">
        <f t="shared" si="133"/>
        <v>0</v>
      </c>
      <c r="BG8" s="60">
        <f t="shared" si="134"/>
        <v>0</v>
      </c>
      <c r="BH8" s="60">
        <f t="shared" si="135"/>
        <v>0</v>
      </c>
      <c r="BI8" s="60">
        <f t="shared" si="136"/>
        <v>0</v>
      </c>
      <c r="BJ8" s="60">
        <f t="shared" si="137"/>
        <v>0</v>
      </c>
      <c r="BK8" s="60">
        <f t="shared" si="138"/>
        <v>0</v>
      </c>
      <c r="BL8" s="60">
        <f t="shared" si="139"/>
        <v>0</v>
      </c>
      <c r="BM8" s="59">
        <f t="shared" si="140"/>
        <v>0</v>
      </c>
      <c r="BN8" s="58">
        <f t="shared" si="141"/>
        <v>0</v>
      </c>
      <c r="BO8" s="45">
        <f t="shared" si="142"/>
        <v>99</v>
      </c>
      <c r="BP8" s="54">
        <f t="shared" si="10"/>
        <v>2.9340000000000002</v>
      </c>
      <c r="BQ8" s="45">
        <f t="shared" si="143"/>
        <v>1</v>
      </c>
      <c r="BR8" s="45">
        <f t="shared" si="144"/>
        <v>2</v>
      </c>
      <c r="BS8" s="46" cm="1">
        <f t="array" ref="BS8">ROUND(IFERROR(INDEX(ArchiveResults!$F$5:$IX$116,ComparisonData!A8,ComparisonData!$BS$1),0),5)</f>
        <v>0</v>
      </c>
      <c r="BT8" s="46" cm="1">
        <f t="array" ref="BT8">ROUND(IFERROR(INDEX(ArchiveResults!$F$5:$IX$116,ComparisonData!A8,ComparisonData!$BT$1),0),5)</f>
        <v>0</v>
      </c>
      <c r="BU8" s="46" cm="1">
        <f t="array" ref="BU8">ROUND(IFERROR(INDEX(ArchiveResults!$F$5:$IX$116,ComparisonData!A8,ComparisonData!$BU$1),0),5)</f>
        <v>0</v>
      </c>
      <c r="BV8" s="46" cm="1">
        <f t="array" ref="BV8">ROUND(IFERROR(INDEX(ArchiveResults!$F$5:$IX$116,ComparisonData!A8,ComparisonData!$BV$1),0),5)</f>
        <v>0</v>
      </c>
      <c r="BW8" s="46" cm="1">
        <f t="array" ref="BW8">ROUND(IFERROR(INDEX(ArchiveResults!$F$5:$IX$116,ComparisonData!A8,ComparisonData!$BW$1),0),5)</f>
        <v>0</v>
      </c>
      <c r="BX8" s="46" cm="1">
        <f t="array" ref="BX8">ROUND(IFERROR(INDEX(ArchiveResults!$F$5:$IX$116,ComparisonData!A8,ComparisonData!$BX$1),0),5)</f>
        <v>0</v>
      </c>
      <c r="BY8" s="56">
        <v>3</v>
      </c>
      <c r="BZ8" s="53" t="str">
        <f t="shared" si="11"/>
        <v>Archives &amp; Collections, Library of Birmingham</v>
      </c>
      <c r="CA8" s="59">
        <f t="shared" si="145"/>
        <v>0</v>
      </c>
      <c r="CB8" s="59">
        <f t="shared" si="146"/>
        <v>0</v>
      </c>
      <c r="CC8" s="59">
        <f t="shared" si="147"/>
        <v>0</v>
      </c>
      <c r="CD8" s="59">
        <f t="shared" si="148"/>
        <v>0</v>
      </c>
      <c r="CE8" s="59">
        <f t="shared" si="149"/>
        <v>0</v>
      </c>
      <c r="CF8" s="59">
        <f t="shared" si="150"/>
        <v>0</v>
      </c>
      <c r="CG8" s="58">
        <f t="shared" si="151"/>
        <v>0</v>
      </c>
      <c r="CH8" s="45">
        <f t="shared" si="152"/>
        <v>99</v>
      </c>
      <c r="CI8" s="54">
        <f t="shared" si="12"/>
        <v>2.9340000000000002</v>
      </c>
      <c r="CJ8" s="45">
        <f t="shared" si="153"/>
        <v>1</v>
      </c>
      <c r="CK8" s="45">
        <f t="shared" si="154"/>
        <v>2</v>
      </c>
      <c r="CL8" s="46" cm="1">
        <f t="array" ref="CL8">ROUND(IFERROR(INDEX(ArchiveResults!$F$5:$IX$116,ComparisonData!A8,ComparisonData!$CL$1),0),5)</f>
        <v>0</v>
      </c>
      <c r="CM8" s="56">
        <v>3</v>
      </c>
      <c r="CN8" s="53" t="str">
        <f t="shared" si="13"/>
        <v>Archives &amp; Collections, Library of Birmingham</v>
      </c>
      <c r="CO8" s="45">
        <f t="shared" si="155"/>
        <v>0</v>
      </c>
      <c r="CP8" s="58">
        <f t="shared" si="156"/>
        <v>0</v>
      </c>
      <c r="CQ8" s="45">
        <f t="shared" si="157"/>
        <v>99</v>
      </c>
      <c r="CR8" s="54">
        <f t="shared" si="14"/>
        <v>2.9340000000000002</v>
      </c>
      <c r="CS8" s="45">
        <f t="shared" si="158"/>
        <v>1</v>
      </c>
      <c r="CT8" s="45">
        <f t="shared" si="159"/>
        <v>2</v>
      </c>
      <c r="CU8" s="46" cm="1">
        <f t="array" ref="CU8">ROUND(IFERROR(INDEX(ArchiveResults!$F$5:$IX$116,ComparisonData!A8,ComparisonData!$CU$1),0),5)</f>
        <v>0</v>
      </c>
      <c r="CV8" s="56">
        <v>3</v>
      </c>
      <c r="CW8" s="53" t="str">
        <f t="shared" si="15"/>
        <v>Archives &amp; Collections, Library of Birmingham</v>
      </c>
      <c r="CX8" s="45">
        <f t="shared" si="160"/>
        <v>0</v>
      </c>
      <c r="CY8" s="58">
        <f t="shared" si="161"/>
        <v>0</v>
      </c>
      <c r="CZ8" s="45">
        <f t="shared" si="162"/>
        <v>99</v>
      </c>
      <c r="DA8" s="54">
        <f t="shared" si="16"/>
        <v>2.9340000000000002</v>
      </c>
      <c r="DB8" s="45">
        <f t="shared" si="163"/>
        <v>1</v>
      </c>
      <c r="DC8" s="45">
        <f t="shared" si="164"/>
        <v>2</v>
      </c>
      <c r="DD8" s="46" cm="1">
        <f t="array" ref="DD8">ROUND(IFERROR(INDEX(ArchiveResults!$F$5:$IX$116,ComparisonData!A8,ComparisonData!$DD$1),0),5)</f>
        <v>0</v>
      </c>
      <c r="DE8" s="56">
        <v>3</v>
      </c>
      <c r="DF8" s="53" t="str">
        <f t="shared" si="17"/>
        <v>Archives &amp; Collections, Library of Birmingham</v>
      </c>
      <c r="DG8" s="45">
        <f t="shared" si="165"/>
        <v>0</v>
      </c>
      <c r="DH8" s="58">
        <f t="shared" si="166"/>
        <v>0</v>
      </c>
      <c r="DI8" s="45">
        <f t="shared" si="167"/>
        <v>99</v>
      </c>
      <c r="DJ8" s="54">
        <f t="shared" si="18"/>
        <v>2.9340000000000002</v>
      </c>
      <c r="DK8" s="45">
        <f t="shared" si="168"/>
        <v>1</v>
      </c>
      <c r="DL8" s="45">
        <f t="shared" si="169"/>
        <v>2</v>
      </c>
      <c r="DM8" s="46" cm="1">
        <f t="array" ref="DM8">ROUND(IFERROR(INDEX(ArchiveResults!$F$5:$IX$116,ComparisonData!A8,ComparisonData!$DM$1),0),5)</f>
        <v>0</v>
      </c>
      <c r="DN8" s="46" cm="1">
        <f t="array" ref="DN8">ROUND(IFERROR(INDEX(ArchiveResults!$F$5:$IX$116,ComparisonData!A8,ComparisonData!$DN$1),0),5)</f>
        <v>0</v>
      </c>
      <c r="DO8" s="46" cm="1">
        <f t="array" ref="DO8">ROUND(IFERROR(INDEX(ArchiveResults!$F$5:$IX$116,ComparisonData!A8,ComparisonData!$DO$1),0),5)</f>
        <v>0</v>
      </c>
      <c r="DP8" s="46" cm="1">
        <f t="array" ref="DP8">ROUND(IFERROR(INDEX(ArchiveResults!$F$5:$IX$116,ComparisonData!A8,ComparisonData!$DP$1),0),5)</f>
        <v>0</v>
      </c>
      <c r="DQ8" s="45" cm="1">
        <f t="array" ref="DQ8">IFERROR(INDEX(ArchiveResults!$F$5:$IX$116,ComparisonData!A8,ComparisonData!$DQ$1),0)</f>
        <v>0</v>
      </c>
      <c r="DR8" s="56">
        <v>3</v>
      </c>
      <c r="DS8" s="53" t="str">
        <f t="shared" si="19"/>
        <v>Archives &amp; Collections, Library of Birmingham</v>
      </c>
      <c r="DT8" s="59">
        <f t="shared" si="170"/>
        <v>0</v>
      </c>
      <c r="DU8" s="59">
        <f t="shared" si="171"/>
        <v>0</v>
      </c>
      <c r="DV8" s="59">
        <f t="shared" si="172"/>
        <v>0</v>
      </c>
      <c r="DW8" s="59">
        <f t="shared" si="173"/>
        <v>0</v>
      </c>
      <c r="DX8" s="59">
        <f t="shared" si="174"/>
        <v>0</v>
      </c>
      <c r="DY8" s="58">
        <f t="shared" si="175"/>
        <v>0</v>
      </c>
      <c r="DZ8" s="45">
        <f t="shared" si="176"/>
        <v>99</v>
      </c>
      <c r="EA8" s="54">
        <f t="shared" si="20"/>
        <v>2.9340000000000002</v>
      </c>
      <c r="EB8" s="45">
        <f t="shared" si="177"/>
        <v>1</v>
      </c>
      <c r="EC8" s="45">
        <f t="shared" si="178"/>
        <v>2</v>
      </c>
      <c r="ED8" s="46" cm="1">
        <f t="array" ref="ED8">ROUND(IFERROR(INDEX(ArchiveResults!$F$5:$IX$116,ComparisonData!A8,ComparisonData!$ED$1),0),5)</f>
        <v>0</v>
      </c>
      <c r="EE8" s="46" cm="1">
        <f t="array" ref="EE8">ROUND(IFERROR(INDEX(ArchiveResults!$F$5:$IX$116,ComparisonData!A8,ComparisonData!$EE$1),0),5)</f>
        <v>0</v>
      </c>
      <c r="EF8" s="46" cm="1">
        <f t="array" ref="EF8">ROUND(IFERROR(INDEX(ArchiveResults!$F$5:$IX$116,ComparisonData!A8,ComparisonData!$EF$1),0),5)</f>
        <v>0</v>
      </c>
      <c r="EG8" s="46" cm="1">
        <f t="array" ref="EG8">ROUND(IFERROR(INDEX(ArchiveResults!$F$5:$IX$116,ComparisonData!A8,ComparisonData!$EG$1),0),5)</f>
        <v>0</v>
      </c>
      <c r="EH8" s="45" cm="1">
        <f t="array" ref="EH8">IFERROR(INDEX(ArchiveResults!$F$5:$IX$116,ComparisonData!A8,ComparisonData!$EH$1),0)</f>
        <v>0</v>
      </c>
      <c r="EI8" s="56">
        <v>3</v>
      </c>
      <c r="EJ8" s="53" t="str">
        <f t="shared" si="21"/>
        <v>Archives &amp; Collections, Library of Birmingham</v>
      </c>
      <c r="EK8" s="59">
        <f t="shared" si="179"/>
        <v>0</v>
      </c>
      <c r="EL8" s="59">
        <f t="shared" si="180"/>
        <v>0</v>
      </c>
      <c r="EM8" s="59">
        <f t="shared" si="181"/>
        <v>0</v>
      </c>
      <c r="EN8" s="59">
        <f t="shared" si="182"/>
        <v>0</v>
      </c>
      <c r="EO8" s="59">
        <f t="shared" si="183"/>
        <v>0</v>
      </c>
      <c r="EP8" s="58">
        <f t="shared" si="184"/>
        <v>0</v>
      </c>
      <c r="EQ8" s="45">
        <f t="shared" si="185"/>
        <v>99</v>
      </c>
      <c r="ER8" s="54">
        <f t="shared" si="22"/>
        <v>2.9340000000000002</v>
      </c>
      <c r="ES8" s="45">
        <f t="shared" si="186"/>
        <v>1</v>
      </c>
      <c r="ET8" s="45">
        <f t="shared" si="187"/>
        <v>2</v>
      </c>
      <c r="EU8" s="46" cm="1">
        <f t="array" ref="EU8">ROUND(IFERROR(INDEX(ArchiveResults!$F$5:$IX$116,ComparisonData!A8,ComparisonData!$EU$1),0),5)</f>
        <v>0</v>
      </c>
      <c r="EV8" s="46" cm="1">
        <f t="array" ref="EV8">ROUND(IFERROR(INDEX(ArchiveResults!$F$5:$IX$116,ComparisonData!A8,ComparisonData!$EV$1),0),5)</f>
        <v>0</v>
      </c>
      <c r="EW8" s="46" cm="1">
        <f t="array" ref="EW8">ROUND(IFERROR(INDEX(ArchiveResults!$F$5:$IX$116,ComparisonData!A8,ComparisonData!$EW$1),0),5)</f>
        <v>0</v>
      </c>
      <c r="EX8" s="46" cm="1">
        <f t="array" ref="EX8">ROUND(IFERROR(INDEX(ArchiveResults!$F$5:$IX$116,ComparisonData!A8,ComparisonData!$EX$1),0),5)</f>
        <v>0</v>
      </c>
      <c r="EY8" s="45" cm="1">
        <f t="array" ref="EY8">IFERROR(INDEX(ArchiveResults!$F$5:$IX$116,ComparisonData!A8,ComparisonData!$EY$1),0)</f>
        <v>0</v>
      </c>
      <c r="EZ8" s="56">
        <v>3</v>
      </c>
      <c r="FA8" s="53" t="str">
        <f t="shared" si="23"/>
        <v>Archives &amp; Collections, Library of Birmingham</v>
      </c>
      <c r="FB8" s="59">
        <f t="shared" si="188"/>
        <v>0</v>
      </c>
      <c r="FC8" s="59">
        <f t="shared" si="189"/>
        <v>0</v>
      </c>
      <c r="FD8" s="59">
        <f t="shared" si="190"/>
        <v>0</v>
      </c>
      <c r="FE8" s="59">
        <f t="shared" si="191"/>
        <v>0</v>
      </c>
      <c r="FF8" s="59">
        <f t="shared" si="192"/>
        <v>0</v>
      </c>
      <c r="FG8" s="58">
        <f t="shared" si="193"/>
        <v>0</v>
      </c>
      <c r="FH8" s="45">
        <f t="shared" si="194"/>
        <v>99</v>
      </c>
      <c r="FI8" s="54">
        <f t="shared" si="24"/>
        <v>2.9340000000000002</v>
      </c>
      <c r="FJ8" s="45">
        <f t="shared" si="195"/>
        <v>1</v>
      </c>
      <c r="FK8" s="45">
        <f t="shared" si="196"/>
        <v>2</v>
      </c>
      <c r="FL8" s="46" cm="1">
        <f t="array" ref="FL8">ROUND(IFERROR(INDEX(ArchiveResults!$F$5:$IX$116,ComparisonData!A8,ComparisonData!$FL$1),0),5)</f>
        <v>0</v>
      </c>
      <c r="FM8" s="46" cm="1">
        <f t="array" ref="FM8">ROUND(IFERROR(INDEX(ArchiveResults!$F$5:$IX$116,ComparisonData!A8,ComparisonData!$FM$1),0),5)</f>
        <v>0</v>
      </c>
      <c r="FN8" s="46" cm="1">
        <f t="array" ref="FN8">ROUND(IFERROR(INDEX(ArchiveResults!$F$5:$IX$116,ComparisonData!A8,ComparisonData!$FN$1),0),5)</f>
        <v>0</v>
      </c>
      <c r="FO8" s="46" cm="1">
        <f t="array" ref="FO8">ROUND(IFERROR(INDEX(ArchiveResults!$F$5:$IX$116,ComparisonData!A8,ComparisonData!$FO$1),0),5)</f>
        <v>0</v>
      </c>
      <c r="FP8" s="45" cm="1">
        <f t="array" ref="FP8">IFERROR(INDEX(ArchiveResults!$F$5:$IX$116,ComparisonData!A8,ComparisonData!$FP$1),0)</f>
        <v>0</v>
      </c>
      <c r="FQ8" s="56">
        <v>3</v>
      </c>
      <c r="FR8" s="53" t="str">
        <f t="shared" si="25"/>
        <v>Archives &amp; Collections, Library of Birmingham</v>
      </c>
      <c r="FS8" s="59">
        <f t="shared" si="197"/>
        <v>0</v>
      </c>
      <c r="FT8" s="59">
        <f t="shared" si="198"/>
        <v>0</v>
      </c>
      <c r="FU8" s="59">
        <f t="shared" si="199"/>
        <v>0</v>
      </c>
      <c r="FV8" s="59">
        <f t="shared" si="200"/>
        <v>0</v>
      </c>
      <c r="FW8" s="59">
        <f t="shared" si="201"/>
        <v>0</v>
      </c>
      <c r="FX8" s="58">
        <f t="shared" si="202"/>
        <v>0</v>
      </c>
      <c r="FY8" s="45">
        <f t="shared" si="203"/>
        <v>99</v>
      </c>
      <c r="FZ8" s="45">
        <f t="shared" si="26"/>
        <v>2.9340000000000002</v>
      </c>
      <c r="GA8" s="45">
        <f t="shared" si="204"/>
        <v>1</v>
      </c>
      <c r="GB8" s="45">
        <f t="shared" si="205"/>
        <v>2</v>
      </c>
      <c r="GC8" s="46" cm="1">
        <f t="array" ref="GC8">ROUND(IFERROR(INDEX(ArchiveResults!$F$5:$IX$116,ComparisonData!A8,ComparisonData!$GC$1),0),5)</f>
        <v>0</v>
      </c>
      <c r="GD8" s="46" cm="1">
        <f t="array" ref="GD8">ROUND(IFERROR(INDEX(ArchiveResults!$F$5:$IX$116,ComparisonData!A8,ComparisonData!$GD$1),0),5)</f>
        <v>0</v>
      </c>
      <c r="GE8" s="46" cm="1">
        <f t="array" ref="GE8">ROUND(IFERROR(INDEX(ArchiveResults!$F$5:$IX$116,ComparisonData!A8,ComparisonData!$GE$1),0),5)</f>
        <v>0</v>
      </c>
      <c r="GF8" s="46" cm="1">
        <f t="array" ref="GF8">ROUND(IFERROR(INDEX(ArchiveResults!$F$5:$IX$116,ComparisonData!A8,ComparisonData!$GF$1),0),5)</f>
        <v>0</v>
      </c>
      <c r="GG8" s="45" cm="1">
        <f t="array" ref="GG8">IFERROR(INDEX(ArchiveResults!$F$5:$IX$116,ComparisonData!A8,ComparisonData!$GG$1),0)</f>
        <v>0</v>
      </c>
      <c r="GH8" s="56">
        <v>3</v>
      </c>
      <c r="GI8" s="53" t="str">
        <f t="shared" si="27"/>
        <v>Archives &amp; Collections, Library of Birmingham</v>
      </c>
      <c r="GJ8" s="59">
        <f t="shared" si="206"/>
        <v>0</v>
      </c>
      <c r="GK8" s="59">
        <f t="shared" si="207"/>
        <v>0</v>
      </c>
      <c r="GL8" s="59">
        <f t="shared" si="208"/>
        <v>0</v>
      </c>
      <c r="GM8" s="59">
        <f t="shared" si="209"/>
        <v>0</v>
      </c>
      <c r="GN8" s="59">
        <f t="shared" si="210"/>
        <v>0</v>
      </c>
      <c r="GO8" s="58">
        <f t="shared" si="211"/>
        <v>0</v>
      </c>
      <c r="GP8" s="45">
        <f t="shared" si="212"/>
        <v>99</v>
      </c>
      <c r="GQ8" s="45">
        <f t="shared" si="28"/>
        <v>2.9340000000000002</v>
      </c>
      <c r="GR8" s="45">
        <f t="shared" si="213"/>
        <v>1</v>
      </c>
      <c r="GS8" s="45">
        <f t="shared" si="214"/>
        <v>2</v>
      </c>
      <c r="GT8" s="46" cm="1">
        <f t="array" ref="GT8">ROUND(IFERROR(INDEX(ArchiveResults!$F$5:$IX$116,ComparisonData!A8,ComparisonData!$GT$1),0),5)</f>
        <v>0</v>
      </c>
      <c r="GU8" s="46" cm="1">
        <f t="array" ref="GU8">ROUND(IFERROR(INDEX(ArchiveResults!$F$5:$IX$116,ComparisonData!A8,ComparisonData!$GU$1),0),5)</f>
        <v>0</v>
      </c>
      <c r="GV8" s="46" cm="1">
        <f t="array" ref="GV8">ROUND(IFERROR(INDEX(ArchiveResults!$F$5:$IX$116,ComparisonData!A8,ComparisonData!$GV$1),0),5)</f>
        <v>0</v>
      </c>
      <c r="GW8" s="46" cm="1">
        <f t="array" ref="GW8">ROUND(IFERROR(INDEX(ArchiveResults!$F$5:$IX$116,ComparisonData!A8,ComparisonData!$GW$1),0),5)</f>
        <v>0</v>
      </c>
      <c r="GX8" s="45" cm="1">
        <f t="array" ref="GX8">IFERROR(INDEX(ArchiveResults!$F$5:$IX$116,ComparisonData!A8,ComparisonData!$GX$1),0)</f>
        <v>0</v>
      </c>
      <c r="GY8" s="56">
        <v>3</v>
      </c>
      <c r="GZ8" s="53" t="str">
        <f t="shared" si="29"/>
        <v>Archives &amp; Collections, Library of Birmingham</v>
      </c>
      <c r="HA8" s="59">
        <f t="shared" si="215"/>
        <v>0</v>
      </c>
      <c r="HB8" s="59">
        <f t="shared" si="216"/>
        <v>0</v>
      </c>
      <c r="HC8" s="59">
        <f t="shared" si="217"/>
        <v>0</v>
      </c>
      <c r="HD8" s="59">
        <f t="shared" si="218"/>
        <v>0</v>
      </c>
      <c r="HE8" s="59">
        <f t="shared" si="219"/>
        <v>0</v>
      </c>
      <c r="HF8" s="58">
        <f t="shared" si="220"/>
        <v>0</v>
      </c>
      <c r="HG8" s="45">
        <f t="shared" si="221"/>
        <v>99</v>
      </c>
      <c r="HH8" s="45">
        <f t="shared" si="30"/>
        <v>2.9340000000000002</v>
      </c>
      <c r="HI8" s="45">
        <f t="shared" si="222"/>
        <v>1</v>
      </c>
      <c r="HJ8" s="45">
        <f t="shared" si="223"/>
        <v>2</v>
      </c>
      <c r="HK8" s="46" cm="1">
        <f t="array" ref="HK8">ROUND(IFERROR(INDEX(ArchiveResults!$F$5:$IX$116,ComparisonData!A8,ComparisonData!$HK$1),0),5)</f>
        <v>0</v>
      </c>
      <c r="HL8" s="46" cm="1">
        <f t="array" ref="HL8">ROUND(IFERROR(INDEX(ArchiveResults!$F$5:$IX$116,ComparisonData!A8,ComparisonData!$HL$1),0),5)</f>
        <v>0</v>
      </c>
      <c r="HM8" s="46" cm="1">
        <f t="array" ref="HM8">ROUND(IFERROR(INDEX(ArchiveResults!$F$5:$IX$116,ComparisonData!A8,ComparisonData!$HM$1),0),5)</f>
        <v>0</v>
      </c>
      <c r="HN8" s="46" cm="1">
        <f t="array" ref="HN8">ROUND(IFERROR(INDEX(ArchiveResults!$F$5:$IX$116,ComparisonData!A8,ComparisonData!$HN$1),0),5)</f>
        <v>0</v>
      </c>
      <c r="HO8" s="45" cm="1">
        <f t="array" ref="HO8">IFERROR(INDEX(ArchiveResults!$F$5:$IX$116,ComparisonData!A8,ComparisonData!$HO$1),0)</f>
        <v>0</v>
      </c>
      <c r="HP8" s="56">
        <v>3</v>
      </c>
      <c r="HQ8" s="53" t="str">
        <f t="shared" si="31"/>
        <v>Archives &amp; Collections, Library of Birmingham</v>
      </c>
      <c r="HR8" s="59">
        <f t="shared" si="32"/>
        <v>0</v>
      </c>
      <c r="HS8" s="59">
        <f t="shared" si="33"/>
        <v>0</v>
      </c>
      <c r="HT8" s="59">
        <f t="shared" si="34"/>
        <v>0</v>
      </c>
      <c r="HU8" s="59">
        <f t="shared" si="35"/>
        <v>0</v>
      </c>
      <c r="HV8" s="59">
        <f t="shared" si="36"/>
        <v>0</v>
      </c>
      <c r="HW8" s="58">
        <f t="shared" si="224"/>
        <v>0</v>
      </c>
      <c r="HX8" s="45">
        <f t="shared" si="225"/>
        <v>99</v>
      </c>
      <c r="HY8" s="45">
        <f t="shared" si="37"/>
        <v>2.9340000000000002</v>
      </c>
      <c r="HZ8" s="45">
        <f t="shared" si="226"/>
        <v>1</v>
      </c>
      <c r="IA8" s="45">
        <f t="shared" si="227"/>
        <v>2</v>
      </c>
      <c r="IB8" s="45">
        <f t="shared" si="228"/>
        <v>0</v>
      </c>
      <c r="IC8" s="46" cm="1">
        <f t="array" ref="IC8">ROUND(IFERROR(INDEX(ArchiveResults!$F$5:$IX$116,ComparisonData!A8,ComparisonData!$IC$1),0),5)</f>
        <v>0</v>
      </c>
      <c r="ID8" s="46" cm="1">
        <f t="array" ref="ID8">ROUND(IFERROR(INDEX(ArchiveResults!$F$5:$IX$116,ComparisonData!A8,ComparisonData!$ID$1),0),5)</f>
        <v>0</v>
      </c>
      <c r="IE8" s="46" cm="1">
        <f t="array" ref="IE8">ROUND(IFERROR(INDEX(ArchiveResults!$F$5:$IX$116,ComparisonData!A8,ComparisonData!$IE$1),0),5)</f>
        <v>0</v>
      </c>
      <c r="IF8" s="46" cm="1">
        <f t="array" ref="IF8">ROUND(IFERROR(INDEX(ArchiveResults!$F$5:$IX$116,ComparisonData!A8,ComparisonData!$IF$1),0),5)</f>
        <v>0</v>
      </c>
      <c r="IG8" s="45" cm="1">
        <f t="array" ref="IG8">IFERROR(INDEX(ArchiveResults!$F$5:$IX$116,ComparisonData!A8,ComparisonData!$IG$1),0)</f>
        <v>0</v>
      </c>
      <c r="IH8" s="56">
        <v>3</v>
      </c>
      <c r="II8" s="53" t="str">
        <f t="shared" si="38"/>
        <v>Archives &amp; Collections, Library of Birmingham</v>
      </c>
      <c r="IJ8" s="59">
        <f t="shared" si="229"/>
        <v>0</v>
      </c>
      <c r="IK8" s="59">
        <f t="shared" si="230"/>
        <v>0</v>
      </c>
      <c r="IL8" s="59">
        <f t="shared" si="231"/>
        <v>0</v>
      </c>
      <c r="IM8" s="59">
        <f t="shared" si="232"/>
        <v>0</v>
      </c>
      <c r="IN8" s="59">
        <f t="shared" si="233"/>
        <v>0</v>
      </c>
      <c r="IO8" s="58">
        <f t="shared" si="234"/>
        <v>0</v>
      </c>
      <c r="IP8" s="45">
        <f t="shared" si="235"/>
        <v>99</v>
      </c>
      <c r="IQ8" s="45">
        <f t="shared" si="39"/>
        <v>2.9340000000000002</v>
      </c>
      <c r="IR8" s="45">
        <f t="shared" si="236"/>
        <v>1</v>
      </c>
      <c r="IS8" s="45">
        <f t="shared" si="237"/>
        <v>2</v>
      </c>
      <c r="IT8" s="46">
        <f t="shared" si="238"/>
        <v>0</v>
      </c>
      <c r="IU8" s="46" cm="1">
        <f t="array" ref="IU8">ROUND(IFERROR(INDEX(ArchiveResults!$F$5:$IX$116,ComparisonData!A8,ComparisonData!$IU$1),0),5)</f>
        <v>0</v>
      </c>
      <c r="IV8" s="46" cm="1">
        <f t="array" ref="IV8">ROUND(IFERROR(INDEX(ArchiveResults!$F$5:$IX$116,ComparisonData!A8,ComparisonData!$IV$1),0),5)</f>
        <v>0</v>
      </c>
      <c r="IW8" s="46" cm="1">
        <f t="array" ref="IW8">ROUND(IFERROR(INDEX(ArchiveResults!$F$5:$IX$116,ComparisonData!A8,ComparisonData!$IW$1),0),5)</f>
        <v>0</v>
      </c>
      <c r="IX8" s="46" cm="1">
        <f t="array" ref="IX8">ROUND(IFERROR(INDEX(ArchiveResults!$F$5:$IX$116,ComparisonData!A8,ComparisonData!$IX$1),0),5)</f>
        <v>0</v>
      </c>
      <c r="IY8" s="45" cm="1">
        <f t="array" ref="IY8">IFERROR(INDEX(ArchiveResults!$F$5:$IX$116,ComparisonData!A8,ComparisonData!$IY$1),0)</f>
        <v>0</v>
      </c>
      <c r="IZ8" s="56">
        <v>3</v>
      </c>
      <c r="JA8" s="53" t="str">
        <f t="shared" si="40"/>
        <v>Archives &amp; Collections, Library of Birmingham</v>
      </c>
      <c r="JB8" s="59">
        <f t="shared" si="239"/>
        <v>0</v>
      </c>
      <c r="JC8" s="59">
        <f t="shared" si="240"/>
        <v>0</v>
      </c>
      <c r="JD8" s="59">
        <f t="shared" si="241"/>
        <v>0</v>
      </c>
      <c r="JE8" s="59">
        <f t="shared" si="242"/>
        <v>0</v>
      </c>
      <c r="JF8" s="59">
        <f t="shared" si="243"/>
        <v>0</v>
      </c>
      <c r="JG8" s="58">
        <f t="shared" si="244"/>
        <v>0</v>
      </c>
      <c r="JH8" s="45">
        <f t="shared" si="245"/>
        <v>99</v>
      </c>
      <c r="JI8" s="45">
        <f t="shared" si="41"/>
        <v>2.9340000000000002</v>
      </c>
      <c r="JJ8" s="45">
        <f t="shared" si="246"/>
        <v>1</v>
      </c>
      <c r="JK8" s="45">
        <f t="shared" si="247"/>
        <v>2</v>
      </c>
      <c r="JL8" s="45">
        <f t="shared" si="248"/>
        <v>0</v>
      </c>
      <c r="JM8" s="46" cm="1">
        <f t="array" ref="JM8">ROUND(IFERROR(INDEX(ArchiveResults!$F$5:$IX$116,ComparisonData!A8,ComparisonData!$JM$1),0),5)</f>
        <v>0</v>
      </c>
      <c r="JN8" s="46" cm="1">
        <f t="array" ref="JN8">ROUND(IFERROR(INDEX(ArchiveResults!$F$5:$IX$116,ComparisonData!A8,ComparisonData!$JN$1),0),5)</f>
        <v>0</v>
      </c>
      <c r="JO8" s="46" cm="1">
        <f t="array" ref="JO8">ROUND(IFERROR(INDEX(ArchiveResults!$F$5:$IX$116,ComparisonData!A8,ComparisonData!$JO$1),0),5)</f>
        <v>0</v>
      </c>
      <c r="JP8" s="46" cm="1">
        <f t="array" ref="JP8">ROUND(IFERROR(INDEX(ArchiveResults!$F$5:$IX$116,ComparisonData!A8,ComparisonData!$JP$1),0),5)</f>
        <v>0</v>
      </c>
      <c r="JQ8" s="45" cm="1">
        <f t="array" ref="JQ8">IFERROR(INDEX(ArchiveResults!$F$5:$IX$116,ComparisonData!A8,ComparisonData!$JQ$1),0)</f>
        <v>0</v>
      </c>
      <c r="JR8" s="56">
        <v>3</v>
      </c>
      <c r="JS8" s="53" t="str">
        <f t="shared" si="42"/>
        <v>Archives &amp; Collections, Library of Birmingham</v>
      </c>
      <c r="JT8" s="59">
        <f t="shared" si="249"/>
        <v>0</v>
      </c>
      <c r="JU8" s="59">
        <f t="shared" si="250"/>
        <v>0</v>
      </c>
      <c r="JV8" s="59">
        <f t="shared" si="251"/>
        <v>0</v>
      </c>
      <c r="JW8" s="59">
        <f t="shared" si="252"/>
        <v>0</v>
      </c>
      <c r="JX8" s="59">
        <f t="shared" si="253"/>
        <v>0</v>
      </c>
      <c r="JY8" s="58">
        <f t="shared" si="254"/>
        <v>0</v>
      </c>
      <c r="JZ8" s="45">
        <f t="shared" si="255"/>
        <v>99</v>
      </c>
      <c r="KA8" s="45">
        <f t="shared" si="43"/>
        <v>2.9340000000000002</v>
      </c>
      <c r="KB8" s="45">
        <f t="shared" si="256"/>
        <v>1</v>
      </c>
      <c r="KC8" s="45">
        <f t="shared" si="257"/>
        <v>2</v>
      </c>
      <c r="KD8" s="45">
        <f t="shared" si="258"/>
        <v>0</v>
      </c>
      <c r="KE8" s="46" cm="1">
        <f t="array" ref="KE8">ROUND(IFERROR(INDEX(ArchiveResults!$F$5:$IX$116,ComparisonData!A8,ComparisonData!$KE$1),0),5)</f>
        <v>0</v>
      </c>
      <c r="KF8" s="46" cm="1">
        <f t="array" ref="KF8">ROUND(IFERROR(INDEX(ArchiveResults!$F$5:$IX$116,ComparisonData!A8,ComparisonData!$KF$1),0),5)</f>
        <v>0</v>
      </c>
      <c r="KG8" s="46" cm="1">
        <f t="array" ref="KG8">ROUND(IFERROR(INDEX(ArchiveResults!$F$5:$IX$116,ComparisonData!A8,ComparisonData!$KG$1),0),5)</f>
        <v>0</v>
      </c>
      <c r="KH8" s="46" cm="1">
        <f t="array" ref="KH8">ROUND(IFERROR(INDEX(ArchiveResults!$F$5:$IX$116,ComparisonData!A8,ComparisonData!$KH$1),0),5)</f>
        <v>0</v>
      </c>
      <c r="KI8" s="45" cm="1">
        <f t="array" ref="KI8">IFERROR(INDEX(ArchiveResults!$F$5:$IX$116,ComparisonData!A8,ComparisonData!$KI$1),0)</f>
        <v>0</v>
      </c>
      <c r="KJ8" s="56">
        <v>3</v>
      </c>
      <c r="KK8" s="53" t="str">
        <f t="shared" si="44"/>
        <v>Archives &amp; Collections, Library of Birmingham</v>
      </c>
      <c r="KL8" s="59">
        <f t="shared" si="259"/>
        <v>0</v>
      </c>
      <c r="KM8" s="59">
        <f t="shared" si="260"/>
        <v>0</v>
      </c>
      <c r="KN8" s="59">
        <f t="shared" si="261"/>
        <v>0</v>
      </c>
      <c r="KO8" s="59">
        <f t="shared" si="262"/>
        <v>0</v>
      </c>
      <c r="KP8" s="59">
        <f t="shared" si="263"/>
        <v>0</v>
      </c>
      <c r="KQ8" s="58">
        <f t="shared" si="264"/>
        <v>0</v>
      </c>
      <c r="KR8" s="45">
        <f t="shared" si="265"/>
        <v>99</v>
      </c>
      <c r="KS8" s="45">
        <f t="shared" si="45"/>
        <v>2.9340000000000002</v>
      </c>
      <c r="KT8" s="45">
        <f t="shared" si="266"/>
        <v>1</v>
      </c>
      <c r="KU8" s="45">
        <f t="shared" si="267"/>
        <v>2</v>
      </c>
      <c r="KV8" s="45">
        <f t="shared" si="268"/>
        <v>0</v>
      </c>
      <c r="KW8" s="46" cm="1">
        <f t="array" ref="KW8">ROUND(IFERROR(INDEX(ArchiveResults!$F$5:$IX$116,ComparisonData!A8,ComparisonData!$KW$1),0),5)</f>
        <v>0</v>
      </c>
      <c r="KX8" s="46" cm="1">
        <f t="array" ref="KX8">ROUND(IFERROR(INDEX(ArchiveResults!$F$5:$IX$116,ComparisonData!A8,ComparisonData!$KX$1),0),5)</f>
        <v>0</v>
      </c>
      <c r="KY8" s="46" cm="1">
        <f t="array" ref="KY8">ROUND(IFERROR(INDEX(ArchiveResults!$F$5:$IX$116,ComparisonData!A8,ComparisonData!$KY$1),0),5)</f>
        <v>0</v>
      </c>
      <c r="KZ8" s="46" cm="1">
        <f t="array" ref="KZ8">ROUND(IFERROR(INDEX(ArchiveResults!$F$5:$IX$116,ComparisonData!A8,ComparisonData!$KZ$1),0),5)</f>
        <v>0</v>
      </c>
      <c r="LA8" s="45" cm="1">
        <f t="array" ref="LA8">IFERROR(INDEX(ArchiveResults!$F$5:$IX$116,ComparisonData!A8,ComparisonData!$LA$1),0)</f>
        <v>0</v>
      </c>
      <c r="LB8" s="56">
        <v>3</v>
      </c>
      <c r="LC8" s="53" t="str">
        <f t="shared" si="46"/>
        <v>Archives &amp; Collections, Library of Birmingham</v>
      </c>
      <c r="LD8" s="59">
        <f t="shared" si="269"/>
        <v>0</v>
      </c>
      <c r="LE8" s="59">
        <f t="shared" si="270"/>
        <v>0</v>
      </c>
      <c r="LF8" s="59">
        <f t="shared" si="271"/>
        <v>0</v>
      </c>
      <c r="LG8" s="59">
        <f t="shared" si="272"/>
        <v>0</v>
      </c>
      <c r="LH8" s="59">
        <f t="shared" si="273"/>
        <v>0</v>
      </c>
      <c r="LI8" s="58">
        <f t="shared" si="274"/>
        <v>0</v>
      </c>
      <c r="LJ8" s="45">
        <f t="shared" si="275"/>
        <v>99</v>
      </c>
      <c r="LK8" s="45">
        <f t="shared" si="47"/>
        <v>2.9340000000000002</v>
      </c>
      <c r="LL8" s="45">
        <f t="shared" si="276"/>
        <v>1</v>
      </c>
      <c r="LM8" s="45">
        <f t="shared" si="277"/>
        <v>2</v>
      </c>
      <c r="LN8" s="45">
        <f t="shared" si="278"/>
        <v>0</v>
      </c>
      <c r="LO8" s="46" cm="1">
        <f t="array" ref="LO8">ROUND(IFERROR(INDEX(ArchiveResults!$F$5:$IX$116,ComparisonData!A8,ComparisonData!$LO$1),0),5)</f>
        <v>0</v>
      </c>
      <c r="LP8" s="46" cm="1">
        <f t="array" ref="LP8">ROUND(IFERROR(INDEX(ArchiveResults!$F$5:$IX$116,ComparisonData!A8,ComparisonData!$LP$1),0),5)</f>
        <v>0</v>
      </c>
      <c r="LQ8" s="46" cm="1">
        <f t="array" ref="LQ8">ROUND(IFERROR(INDEX(ArchiveResults!$F$5:$IX$116,ComparisonData!A8,ComparisonData!$LQ$1),0),5)</f>
        <v>0</v>
      </c>
      <c r="LR8" s="46" cm="1">
        <f t="array" ref="LR8">ROUND(IFERROR(INDEX(ArchiveResults!$F$5:$IX$116,ComparisonData!A8,ComparisonData!$LR$1),0),5)</f>
        <v>0</v>
      </c>
      <c r="LS8" s="45" cm="1">
        <f t="array" ref="LS8">IFERROR(INDEX(ArchiveResults!$F$5:$IX$116,ComparisonData!A8,ComparisonData!$LS$1),0)</f>
        <v>0</v>
      </c>
      <c r="LT8" s="56">
        <v>3</v>
      </c>
      <c r="LU8" s="53" t="str">
        <f t="shared" si="48"/>
        <v>Archives &amp; Collections, Library of Birmingham</v>
      </c>
      <c r="LV8" s="59">
        <f t="shared" si="279"/>
        <v>0</v>
      </c>
      <c r="LW8" s="59">
        <f t="shared" si="280"/>
        <v>0</v>
      </c>
      <c r="LX8" s="59">
        <f t="shared" si="281"/>
        <v>0</v>
      </c>
      <c r="LY8" s="59">
        <f t="shared" si="282"/>
        <v>0</v>
      </c>
      <c r="LZ8" s="59">
        <f t="shared" si="283"/>
        <v>0</v>
      </c>
      <c r="MA8" s="58">
        <f t="shared" si="284"/>
        <v>0</v>
      </c>
      <c r="MB8" s="45">
        <f t="shared" si="285"/>
        <v>99</v>
      </c>
      <c r="MC8" s="45">
        <f t="shared" si="49"/>
        <v>2.9340000000000002</v>
      </c>
      <c r="MD8" s="45">
        <f t="shared" si="286"/>
        <v>1</v>
      </c>
      <c r="ME8" s="45">
        <f t="shared" si="287"/>
        <v>2</v>
      </c>
      <c r="MF8" s="45">
        <f t="shared" si="288"/>
        <v>0</v>
      </c>
      <c r="MG8" s="46" cm="1">
        <f t="array" ref="MG8">ROUND(IFERROR(INDEX(ArchiveResults!$F$5:$IX$116,ComparisonData!A8,ComparisonData!$MG$1),0),5)</f>
        <v>0</v>
      </c>
      <c r="MH8" s="46" cm="1">
        <f t="array" ref="MH8">ROUND(IFERROR(INDEX(ArchiveResults!$F$5:$IX$116,ComparisonData!A8,ComparisonData!$MH$1),0),5)</f>
        <v>0</v>
      </c>
      <c r="MI8" s="46" cm="1">
        <f t="array" ref="MI8">ROUND(IFERROR(INDEX(ArchiveResults!$F$5:$IX$116,ComparisonData!A8,ComparisonData!$MI$1),0),5)</f>
        <v>0</v>
      </c>
      <c r="MJ8" s="46" cm="1">
        <f t="array" ref="MJ8">ROUND(IFERROR(INDEX(ArchiveResults!$F$5:$IX$116,ComparisonData!A8,ComparisonData!$MJ$1),0),5)</f>
        <v>0</v>
      </c>
      <c r="MK8" s="45" cm="1">
        <f t="array" ref="MK8">IFERROR(INDEX(ArchiveResults!$F$5:$IX$116,ComparisonData!A8,ComparisonData!$MK$1),0)</f>
        <v>0</v>
      </c>
      <c r="ML8" s="56">
        <v>3</v>
      </c>
      <c r="MM8" s="53" t="str">
        <f t="shared" si="50"/>
        <v>Archives &amp; Collections, Library of Birmingham</v>
      </c>
      <c r="MN8" s="59">
        <f t="shared" si="289"/>
        <v>0</v>
      </c>
      <c r="MO8" s="59">
        <f t="shared" si="290"/>
        <v>0</v>
      </c>
      <c r="MP8" s="59">
        <f t="shared" si="291"/>
        <v>0</v>
      </c>
      <c r="MQ8" s="59">
        <f t="shared" si="292"/>
        <v>0</v>
      </c>
      <c r="MR8" s="59">
        <f t="shared" si="293"/>
        <v>0</v>
      </c>
      <c r="MS8" s="58">
        <f t="shared" si="294"/>
        <v>0</v>
      </c>
      <c r="MT8" s="45">
        <f t="shared" si="295"/>
        <v>99</v>
      </c>
      <c r="MU8" s="45">
        <f t="shared" si="51"/>
        <v>2.9340000000000002</v>
      </c>
      <c r="MV8" s="45">
        <f t="shared" si="296"/>
        <v>1</v>
      </c>
      <c r="MW8" s="45">
        <f t="shared" si="297"/>
        <v>2</v>
      </c>
      <c r="MX8" s="45">
        <f t="shared" si="298"/>
        <v>0</v>
      </c>
      <c r="MY8" s="46" cm="1">
        <f t="array" ref="MY8">ROUND(IFERROR(INDEX(ArchiveResults!$F$5:$IX$116,ComparisonData!A8,ComparisonData!$MY$1),0),5)</f>
        <v>0</v>
      </c>
      <c r="MZ8" s="46" cm="1">
        <f t="array" ref="MZ8">ROUND(IFERROR(INDEX(ArchiveResults!$F$5:$IX$116,ComparisonData!A8,ComparisonData!$MZ$1),0),5)</f>
        <v>0</v>
      </c>
      <c r="NA8" s="46" cm="1">
        <f t="array" ref="NA8">ROUND(IFERROR(INDEX(ArchiveResults!$F$5:$IX$116,ComparisonData!A8,ComparisonData!$NA$1),0),5)</f>
        <v>0</v>
      </c>
      <c r="NB8" s="46" cm="1">
        <f t="array" ref="NB8">ROUND(IFERROR(INDEX(ArchiveResults!$F$5:$IX$116,ComparisonData!A8,ComparisonData!$NB$1),0),5)</f>
        <v>0</v>
      </c>
      <c r="NC8" s="45" cm="1">
        <f t="array" ref="NC8">IFERROR(INDEX(ArchiveResults!$F$5:$IX$116,ComparisonData!A8,ComparisonData!$NC$1),0)</f>
        <v>0</v>
      </c>
      <c r="ND8" s="56">
        <v>3</v>
      </c>
      <c r="NE8" s="53" t="str">
        <f t="shared" si="52"/>
        <v>Archives &amp; Collections, Library of Birmingham</v>
      </c>
      <c r="NF8" s="59">
        <f t="shared" si="299"/>
        <v>0</v>
      </c>
      <c r="NG8" s="59">
        <f t="shared" si="300"/>
        <v>0</v>
      </c>
      <c r="NH8" s="59">
        <f t="shared" si="301"/>
        <v>0</v>
      </c>
      <c r="NI8" s="59">
        <f t="shared" si="302"/>
        <v>0</v>
      </c>
      <c r="NJ8" s="59">
        <f t="shared" si="303"/>
        <v>0</v>
      </c>
      <c r="NK8" s="58">
        <f t="shared" si="304"/>
        <v>0</v>
      </c>
      <c r="NL8" s="45">
        <f t="shared" si="305"/>
        <v>99</v>
      </c>
      <c r="NM8" s="45">
        <f t="shared" si="53"/>
        <v>2.9340000000000002</v>
      </c>
      <c r="NN8" s="45">
        <f t="shared" si="306"/>
        <v>1</v>
      </c>
      <c r="NO8" s="45">
        <f t="shared" si="307"/>
        <v>2</v>
      </c>
      <c r="NP8" s="46" cm="1">
        <f t="array" ref="NP8">ROUND(IFERROR(INDEX(ArchiveResults!$F$5:$IX$116,ComparisonData!A8,ComparisonData!$NP$1),0),5)</f>
        <v>0</v>
      </c>
      <c r="NQ8" s="46" cm="1">
        <f t="array" ref="NQ8">ROUND(IFERROR(INDEX(ArchiveResults!$F$5:$IX$116,ComparisonData!A8,ComparisonData!$NQ$1),0),5)</f>
        <v>0</v>
      </c>
      <c r="NR8" s="46" cm="1">
        <f t="array" ref="NR8">ROUND(IFERROR(INDEX(ArchiveResults!$F$5:$IX$116,ComparisonData!A8,ComparisonData!$NR$1),0),5)</f>
        <v>0</v>
      </c>
      <c r="NS8" s="46" cm="1">
        <f t="array" ref="NS8">ROUND(IFERROR(INDEX(ArchiveResults!$F$5:$IX$116,ComparisonData!A8,ComparisonData!$NS$1),0),5)</f>
        <v>0</v>
      </c>
      <c r="NT8" s="45" cm="1">
        <f t="array" ref="NT8">IFERROR(INDEX(ArchiveResults!$F$5:$IX$116,ComparisonData!A8,ComparisonData!$NT$1),0)</f>
        <v>0</v>
      </c>
      <c r="NU8" s="56">
        <v>3</v>
      </c>
      <c r="NV8" s="53" t="str">
        <f t="shared" si="54"/>
        <v>Archives &amp; Collections, Library of Birmingham</v>
      </c>
      <c r="NW8" s="59">
        <f t="shared" si="308"/>
        <v>0</v>
      </c>
      <c r="NX8" s="59">
        <f t="shared" si="309"/>
        <v>0</v>
      </c>
      <c r="NY8" s="59">
        <f t="shared" si="310"/>
        <v>0</v>
      </c>
      <c r="NZ8" s="59">
        <f t="shared" si="311"/>
        <v>0</v>
      </c>
      <c r="OA8" s="59">
        <f t="shared" si="312"/>
        <v>0</v>
      </c>
      <c r="OB8" s="58">
        <f t="shared" si="313"/>
        <v>0</v>
      </c>
      <c r="OC8" s="45">
        <f t="shared" si="314"/>
        <v>99</v>
      </c>
      <c r="OD8" s="45">
        <f t="shared" si="55"/>
        <v>2.9340000000000002</v>
      </c>
      <c r="OE8" s="45">
        <f t="shared" si="315"/>
        <v>1</v>
      </c>
      <c r="OF8" s="45">
        <f t="shared" si="316"/>
        <v>2</v>
      </c>
      <c r="OG8" s="46">
        <f t="shared" si="317"/>
        <v>0</v>
      </c>
      <c r="OH8" s="46" cm="1">
        <f t="array" ref="OH8">ROUND(IFERROR(INDEX(ArchiveResults!$F$5:$IX$116,ComparisonData!A8,ComparisonData!$OH$1),0),5)</f>
        <v>0</v>
      </c>
      <c r="OI8" s="46" cm="1">
        <f t="array" ref="OI8">ROUND(IFERROR(INDEX(ArchiveResults!$F$5:$IX$116,ComparisonData!A8,ComparisonData!$OI$1),0),5)</f>
        <v>0</v>
      </c>
      <c r="OJ8" s="46" cm="1">
        <f t="array" ref="OJ8">ROUND(IFERROR(INDEX(ArchiveResults!$F$5:$IX$116,ComparisonData!A8,ComparisonData!$OJ$1),0),5)</f>
        <v>0</v>
      </c>
      <c r="OK8" s="46" cm="1">
        <f t="array" ref="OK8">ROUND(IFERROR(INDEX(ArchiveResults!$F$5:$IX$116,ComparisonData!A8,ComparisonData!$OK$1),0),5)</f>
        <v>0</v>
      </c>
      <c r="OL8" s="45" cm="1">
        <f t="array" ref="OL8">IFERROR(INDEX(ArchiveResults!$F$5:$IX$116,ComparisonData!A8,ComparisonData!$OL$1),0)</f>
        <v>0</v>
      </c>
      <c r="OM8" s="56">
        <v>3</v>
      </c>
      <c r="ON8" s="53" t="str">
        <f t="shared" si="56"/>
        <v>Archives &amp; Collections, Library of Birmingham</v>
      </c>
      <c r="OO8" s="59">
        <f t="shared" si="318"/>
        <v>0</v>
      </c>
      <c r="OP8" s="59">
        <f t="shared" si="319"/>
        <v>0</v>
      </c>
      <c r="OQ8" s="59">
        <f t="shared" si="320"/>
        <v>0</v>
      </c>
      <c r="OR8" s="59">
        <f t="shared" si="321"/>
        <v>0</v>
      </c>
      <c r="OS8" s="59">
        <f t="shared" si="322"/>
        <v>0</v>
      </c>
      <c r="OT8" s="58">
        <f t="shared" si="323"/>
        <v>0</v>
      </c>
      <c r="OU8" s="45">
        <f t="shared" si="324"/>
        <v>99</v>
      </c>
      <c r="OV8" s="45">
        <f t="shared" si="57"/>
        <v>2.9340000000000002</v>
      </c>
      <c r="OW8" s="45">
        <f t="shared" si="325"/>
        <v>1</v>
      </c>
      <c r="OX8" s="45">
        <f t="shared" si="326"/>
        <v>2</v>
      </c>
      <c r="OY8" s="45">
        <f t="shared" si="327"/>
        <v>0</v>
      </c>
      <c r="OZ8" s="46" cm="1">
        <f t="array" ref="OZ8">ROUND(IFERROR(INDEX(ArchiveResults!$F$5:$IX$116,ComparisonData!A8,ComparisonData!$OZ$1),0),5)</f>
        <v>0</v>
      </c>
      <c r="PA8" s="46" cm="1">
        <f t="array" ref="PA8">ROUND(IFERROR(INDEX(ArchiveResults!$F$5:$IX$116,ComparisonData!A8,ComparisonData!$PA$1),0),5)</f>
        <v>0</v>
      </c>
      <c r="PB8" s="46" cm="1">
        <f t="array" ref="PB8">ROUND(IFERROR(INDEX(ArchiveResults!$F$5:$IX$116,ComparisonData!A8,ComparisonData!$PB$1),0),5)</f>
        <v>0</v>
      </c>
      <c r="PC8" s="46" cm="1">
        <f t="array" ref="PC8">ROUND(IFERROR(INDEX(ArchiveResults!$F$5:$IX$116,ComparisonData!A8,ComparisonData!$PC$1),0),5)</f>
        <v>0</v>
      </c>
      <c r="PD8" s="45" cm="1">
        <f t="array" ref="PD8">IFERROR(INDEX(ArchiveResults!$F$5:$IX$116,ComparisonData!A8,ComparisonData!$PD$1),0)</f>
        <v>0</v>
      </c>
      <c r="PE8" s="56">
        <v>3</v>
      </c>
      <c r="PF8" s="53" t="str">
        <f t="shared" si="58"/>
        <v>Archives &amp; Collections, Library of Birmingham</v>
      </c>
      <c r="PG8" s="59">
        <f t="shared" si="328"/>
        <v>0</v>
      </c>
      <c r="PH8" s="59">
        <f t="shared" si="329"/>
        <v>0</v>
      </c>
      <c r="PI8" s="59">
        <f t="shared" si="330"/>
        <v>0</v>
      </c>
      <c r="PJ8" s="59">
        <f t="shared" si="331"/>
        <v>0</v>
      </c>
      <c r="PK8" s="59">
        <f t="shared" si="332"/>
        <v>0</v>
      </c>
      <c r="PL8" s="58">
        <f t="shared" si="333"/>
        <v>0</v>
      </c>
      <c r="PM8" s="45">
        <f t="shared" si="334"/>
        <v>99</v>
      </c>
      <c r="PN8" s="45">
        <f t="shared" si="59"/>
        <v>2.9340000000000002</v>
      </c>
      <c r="PO8" s="45">
        <f t="shared" si="335"/>
        <v>1</v>
      </c>
      <c r="PP8" s="45">
        <f t="shared" si="336"/>
        <v>2</v>
      </c>
      <c r="PQ8" s="45">
        <f t="shared" si="337"/>
        <v>0</v>
      </c>
      <c r="PR8" s="46" cm="1">
        <f t="array" ref="PR8">ROUND(IFERROR(INDEX(ArchiveResults!$F$5:$IX$116,ComparisonData!A8,ComparisonData!$PR$1),0),5)</f>
        <v>0</v>
      </c>
      <c r="PS8" s="46" cm="1">
        <f t="array" ref="PS8">ROUND(IFERROR(INDEX(ArchiveResults!$F$5:$IX$116,ComparisonData!A8,ComparisonData!$PS$1),0),5)</f>
        <v>0</v>
      </c>
      <c r="PT8" s="46" cm="1">
        <f t="array" ref="PT8">ROUND(IFERROR(INDEX(ArchiveResults!$F$5:$IX$116,ComparisonData!A8,ComparisonData!$PT$1),0),5)</f>
        <v>0</v>
      </c>
      <c r="PU8" s="46" cm="1">
        <f t="array" ref="PU8">ROUND(IFERROR(INDEX(ArchiveResults!$F$5:$IX$116,ComparisonData!A8,ComparisonData!$PU$1),0),5)</f>
        <v>0</v>
      </c>
      <c r="PV8" s="45" cm="1">
        <f t="array" ref="PV8">IFERROR(INDEX(ArchiveResults!$F$5:$IX$116,ComparisonData!A8,ComparisonData!$PV$1),0)</f>
        <v>0</v>
      </c>
      <c r="PW8" s="56">
        <v>3</v>
      </c>
      <c r="PX8" s="53" t="str">
        <f t="shared" si="60"/>
        <v>Archives &amp; Collections, Library of Birmingham</v>
      </c>
      <c r="PY8" s="59">
        <f t="shared" si="338"/>
        <v>0</v>
      </c>
      <c r="PZ8" s="59">
        <f t="shared" si="339"/>
        <v>0</v>
      </c>
      <c r="QA8" s="59">
        <f t="shared" si="340"/>
        <v>0</v>
      </c>
      <c r="QB8" s="59">
        <f t="shared" si="341"/>
        <v>0</v>
      </c>
      <c r="QC8" s="59">
        <f t="shared" si="342"/>
        <v>0</v>
      </c>
      <c r="QD8" s="58">
        <f t="shared" si="343"/>
        <v>0</v>
      </c>
      <c r="QE8" s="45">
        <f t="shared" si="344"/>
        <v>99</v>
      </c>
      <c r="QF8" s="45">
        <f t="shared" si="61"/>
        <v>2.9340000000000002</v>
      </c>
      <c r="QG8" s="45">
        <f t="shared" si="345"/>
        <v>1</v>
      </c>
      <c r="QH8" s="45">
        <f t="shared" si="346"/>
        <v>2</v>
      </c>
      <c r="QI8" s="45">
        <f t="shared" si="347"/>
        <v>0</v>
      </c>
      <c r="QJ8" s="46" cm="1">
        <f t="array" ref="QJ8">ROUND(IFERROR(INDEX(ArchiveResults!$F$5:$IX$116,ComparisonData!A8,ComparisonData!$QJ$1),0),5)</f>
        <v>0</v>
      </c>
      <c r="QK8" s="46" cm="1">
        <f t="array" ref="QK8">ROUND(IFERROR(INDEX(ArchiveResults!$F$5:$IX$116,ComparisonData!A8,ComparisonData!$QK$1),0),5)</f>
        <v>0</v>
      </c>
      <c r="QL8" s="46" cm="1">
        <f t="array" ref="QL8">ROUND(IFERROR(INDEX(ArchiveResults!$F$5:$IX$116,ComparisonData!A8,ComparisonData!$QL$1),0),5)</f>
        <v>0</v>
      </c>
      <c r="QM8" s="46" cm="1">
        <f t="array" ref="QM8">ROUND(IFERROR(INDEX(ArchiveResults!$F$5:$IX$116,ComparisonData!A8,ComparisonData!$QM$1),0),5)</f>
        <v>0</v>
      </c>
      <c r="QN8" s="45" cm="1">
        <f t="array" ref="QN8">IFERROR(INDEX(ArchiveResults!$F$5:$IX$116,ComparisonData!A8,ComparisonData!$QN$1),0)</f>
        <v>0</v>
      </c>
      <c r="QO8" s="56">
        <v>3</v>
      </c>
      <c r="QP8" s="53" t="str">
        <f t="shared" si="62"/>
        <v>Archives &amp; Collections, Library of Birmingham</v>
      </c>
      <c r="QQ8" s="59">
        <f t="shared" si="348"/>
        <v>0</v>
      </c>
      <c r="QR8" s="59">
        <f t="shared" si="349"/>
        <v>0</v>
      </c>
      <c r="QS8" s="59">
        <f t="shared" si="350"/>
        <v>0</v>
      </c>
      <c r="QT8" s="59">
        <f t="shared" si="351"/>
        <v>0</v>
      </c>
      <c r="QU8" s="59">
        <f t="shared" si="352"/>
        <v>0</v>
      </c>
      <c r="QV8" s="58">
        <f t="shared" si="353"/>
        <v>0</v>
      </c>
      <c r="QW8" s="45">
        <f t="shared" si="354"/>
        <v>99</v>
      </c>
      <c r="QX8" s="45">
        <f t="shared" si="63"/>
        <v>2.9340000000000002</v>
      </c>
      <c r="QY8" s="45">
        <f t="shared" si="355"/>
        <v>1</v>
      </c>
      <c r="QZ8" s="45">
        <f t="shared" si="356"/>
        <v>2</v>
      </c>
      <c r="RA8" s="45">
        <f t="shared" si="357"/>
        <v>0</v>
      </c>
      <c r="RB8" s="46" cm="1">
        <f t="array" ref="RB8">ROUND(IFERROR(INDEX(ArchiveResults!$F$5:$IX$116,ComparisonData!A8,ComparisonData!$RB$1),0),5)</f>
        <v>0</v>
      </c>
      <c r="RC8" s="46" cm="1">
        <f t="array" ref="RC8">ROUND(IFERROR(INDEX(ArchiveResults!$F$5:$IX$116,ComparisonData!A8,ComparisonData!$RC$1),0),5)</f>
        <v>0</v>
      </c>
      <c r="RD8" s="46" cm="1">
        <f t="array" ref="RD8">ROUND(IFERROR(INDEX(ArchiveResults!$F$5:$IX$116,ComparisonData!A8,ComparisonData!$RD$1),0),5)</f>
        <v>0</v>
      </c>
      <c r="RE8" s="46" cm="1">
        <f t="array" ref="RE8">ROUND(IFERROR(INDEX(ArchiveResults!$F$5:$IX$116,ComparisonData!A8,ComparisonData!$RE$1),0),5)</f>
        <v>0</v>
      </c>
      <c r="RF8" s="45" cm="1">
        <f t="array" ref="RF8">IFERROR(INDEX(ArchiveResults!$F$5:$IX$116,ComparisonData!A8,ComparisonData!$RF$1),0)</f>
        <v>0</v>
      </c>
      <c r="RG8" s="56">
        <v>3</v>
      </c>
      <c r="RH8" s="53" t="str">
        <f t="shared" si="64"/>
        <v>Archives &amp; Collections, Library of Birmingham</v>
      </c>
      <c r="RI8" s="59">
        <f t="shared" si="358"/>
        <v>0</v>
      </c>
      <c r="RJ8" s="59">
        <f t="shared" si="359"/>
        <v>0</v>
      </c>
      <c r="RK8" s="59">
        <f t="shared" si="360"/>
        <v>0</v>
      </c>
      <c r="RL8" s="59">
        <f t="shared" si="361"/>
        <v>0</v>
      </c>
      <c r="RM8" s="59">
        <f t="shared" si="362"/>
        <v>0</v>
      </c>
      <c r="RN8" s="58">
        <f t="shared" si="363"/>
        <v>0</v>
      </c>
      <c r="RO8" s="45">
        <f t="shared" si="364"/>
        <v>99</v>
      </c>
      <c r="RP8" s="45">
        <f t="shared" si="65"/>
        <v>2.9340000000000002</v>
      </c>
      <c r="RQ8" s="45">
        <f t="shared" si="365"/>
        <v>1</v>
      </c>
      <c r="RR8" s="45">
        <f t="shared" si="366"/>
        <v>2</v>
      </c>
      <c r="RS8" s="45">
        <f t="shared" si="367"/>
        <v>0</v>
      </c>
      <c r="RT8" s="46" cm="1">
        <f t="array" ref="RT8">ROUND(IFERROR(INDEX(ArchiveResults!$F$5:$IX$116,ComparisonData!A8,ComparisonData!$RT$1),0),5)</f>
        <v>0</v>
      </c>
      <c r="RU8" s="46" cm="1">
        <f t="array" ref="RU8">ROUND(IFERROR(INDEX(ArchiveResults!$F$5:$IX$116,ComparisonData!A8,ComparisonData!$RU$1),0),5)</f>
        <v>0</v>
      </c>
      <c r="RV8" s="46" cm="1">
        <f t="array" ref="RV8">ROUND(IFERROR(INDEX(ArchiveResults!$F$5:$IX$116,ComparisonData!A8,ComparisonData!$RV$1),0),5)</f>
        <v>0</v>
      </c>
      <c r="RW8" s="46" cm="1">
        <f t="array" ref="RW8">ROUND(IFERROR(INDEX(ArchiveResults!$F$5:$IX$116,ComparisonData!A8,ComparisonData!$RW$1),0),5)</f>
        <v>0</v>
      </c>
      <c r="RX8" s="45" cm="1">
        <f t="array" ref="RX8">IFERROR(INDEX(ArchiveResults!$F$5:$IX$116,ComparisonData!A8,ComparisonData!$RX$1),0)</f>
        <v>0</v>
      </c>
      <c r="RY8" s="56">
        <v>3</v>
      </c>
      <c r="RZ8" s="53" t="str">
        <f t="shared" si="66"/>
        <v>Archives &amp; Collections, Library of Birmingham</v>
      </c>
      <c r="SA8" s="59">
        <f t="shared" si="368"/>
        <v>0</v>
      </c>
      <c r="SB8" s="59">
        <f t="shared" si="369"/>
        <v>0</v>
      </c>
      <c r="SC8" s="59">
        <f t="shared" si="370"/>
        <v>0</v>
      </c>
      <c r="SD8" s="59">
        <f t="shared" si="371"/>
        <v>0</v>
      </c>
      <c r="SE8" s="59">
        <f t="shared" si="372"/>
        <v>0</v>
      </c>
      <c r="SF8" s="58">
        <f t="shared" si="373"/>
        <v>0</v>
      </c>
      <c r="SG8" s="45">
        <f t="shared" si="374"/>
        <v>99</v>
      </c>
      <c r="SH8" s="45">
        <f t="shared" si="67"/>
        <v>2.9340000000000002</v>
      </c>
      <c r="SI8" s="45">
        <f t="shared" si="375"/>
        <v>1</v>
      </c>
      <c r="SJ8" s="45">
        <f t="shared" si="376"/>
        <v>2</v>
      </c>
      <c r="SK8" s="45">
        <f t="shared" si="377"/>
        <v>0</v>
      </c>
      <c r="SL8" s="46" cm="1">
        <f t="array" ref="SL8">ROUND(IFERROR(INDEX(ArchiveResults!$F$5:$IX$116,ComparisonData!A8,ComparisonData!$SL$1),0),5)</f>
        <v>0</v>
      </c>
      <c r="SM8" s="46" cm="1">
        <f t="array" ref="SM8">ROUND(IFERROR(INDEX(ArchiveResults!$F$5:$IX$116,ComparisonData!A8,ComparisonData!$SM$1),0),5)</f>
        <v>0</v>
      </c>
      <c r="SN8" s="46" cm="1">
        <f t="array" ref="SN8">ROUND(IFERROR(INDEX(ArchiveResults!$F$5:$IX$116,ComparisonData!A8,ComparisonData!$SN$1),0),5)</f>
        <v>0</v>
      </c>
      <c r="SO8" s="46" cm="1">
        <f t="array" ref="SO8">ROUND(IFERROR(INDEX(ArchiveResults!$F$5:$IX$116,ComparisonData!A8,ComparisonData!$SO$1),0),5)</f>
        <v>0</v>
      </c>
      <c r="SP8" s="45" cm="1">
        <f t="array" ref="SP8">IFERROR(INDEX(ArchiveResults!$F$5:$IX$116,ComparisonData!A8,ComparisonData!$SP$1),0)</f>
        <v>0</v>
      </c>
      <c r="SQ8" s="56">
        <v>3</v>
      </c>
      <c r="SR8" s="53" t="str">
        <f t="shared" si="68"/>
        <v>Archives &amp; Collections, Library of Birmingham</v>
      </c>
      <c r="SS8" s="59">
        <f t="shared" si="378"/>
        <v>0</v>
      </c>
      <c r="ST8" s="59">
        <f t="shared" si="379"/>
        <v>0</v>
      </c>
      <c r="SU8" s="59">
        <f t="shared" si="380"/>
        <v>0</v>
      </c>
      <c r="SV8" s="59">
        <f t="shared" si="381"/>
        <v>0</v>
      </c>
      <c r="SW8" s="59">
        <f t="shared" si="382"/>
        <v>0</v>
      </c>
      <c r="SX8" s="58">
        <f t="shared" si="383"/>
        <v>0</v>
      </c>
      <c r="SY8" s="45">
        <f t="shared" si="384"/>
        <v>99</v>
      </c>
      <c r="SZ8" s="45">
        <f t="shared" si="69"/>
        <v>2.9340000000000002</v>
      </c>
      <c r="TA8" s="45">
        <f t="shared" si="385"/>
        <v>1</v>
      </c>
      <c r="TB8" s="45">
        <f t="shared" si="386"/>
        <v>2</v>
      </c>
      <c r="TC8" s="45">
        <f t="shared" si="387"/>
        <v>0</v>
      </c>
      <c r="TD8" s="46" cm="1">
        <f t="array" ref="TD8">ROUND(IFERROR(INDEX(ArchiveResults!$F$5:$IX$116,ComparisonData!A8,ComparisonData!$TD$1),0),5)</f>
        <v>0</v>
      </c>
      <c r="TE8" s="46" cm="1">
        <f t="array" ref="TE8">ROUND(IFERROR(INDEX(ArchiveResults!$F$5:$IX$116,ComparisonData!A8,ComparisonData!$TE$1),0),5)</f>
        <v>0</v>
      </c>
      <c r="TF8" s="46" cm="1">
        <f t="array" ref="TF8">ROUND(IFERROR(INDEX(ArchiveResults!$F$5:$IX$116,ComparisonData!A8,ComparisonData!$TF$1),0),5)</f>
        <v>0</v>
      </c>
      <c r="TG8" s="46" cm="1">
        <f t="array" ref="TG8">ROUND(IFERROR(INDEX(ArchiveResults!$F$5:$IX$116,ComparisonData!A8,ComparisonData!$TG$1),0),5)</f>
        <v>0</v>
      </c>
      <c r="TH8" s="45" cm="1">
        <f t="array" ref="TH8">IFERROR(INDEX(ArchiveResults!$F$5:$IX$116,ComparisonData!A8,ComparisonData!$TH$1),0)</f>
        <v>0</v>
      </c>
      <c r="TI8" s="56">
        <v>3</v>
      </c>
      <c r="TJ8" s="53" t="str">
        <f t="shared" si="70"/>
        <v>Archives &amp; Collections, Library of Birmingham</v>
      </c>
      <c r="TK8" s="59">
        <f t="shared" si="388"/>
        <v>0</v>
      </c>
      <c r="TL8" s="59">
        <f t="shared" si="389"/>
        <v>0</v>
      </c>
      <c r="TM8" s="59">
        <f t="shared" si="390"/>
        <v>0</v>
      </c>
      <c r="TN8" s="59">
        <f t="shared" si="391"/>
        <v>0</v>
      </c>
      <c r="TO8" s="59">
        <f t="shared" si="392"/>
        <v>0</v>
      </c>
      <c r="TP8" s="58">
        <f t="shared" si="393"/>
        <v>0</v>
      </c>
      <c r="TQ8" s="45">
        <f t="shared" si="394"/>
        <v>99</v>
      </c>
      <c r="TR8" s="45">
        <f t="shared" si="71"/>
        <v>2.9340000000000002</v>
      </c>
      <c r="TS8" s="45">
        <f t="shared" si="395"/>
        <v>1</v>
      </c>
      <c r="TT8" s="45">
        <f t="shared" si="396"/>
        <v>2</v>
      </c>
      <c r="TU8" s="45">
        <f t="shared" si="397"/>
        <v>0</v>
      </c>
      <c r="TV8" s="46" cm="1">
        <f t="array" ref="TV8">ROUND(IFERROR(INDEX(ArchiveResults!$F$5:$IX$116,ComparisonData!A8,ComparisonData!$TV$1),0),5)</f>
        <v>0</v>
      </c>
      <c r="TW8" s="46" cm="1">
        <f t="array" ref="TW8">ROUND(IFERROR(INDEX(ArchiveResults!$F$5:$IX$116,ComparisonData!A8,ComparisonData!$TW$1),0),5)</f>
        <v>0</v>
      </c>
      <c r="TX8" s="46" cm="1">
        <f t="array" ref="TX8">ROUND(IFERROR(INDEX(ArchiveResults!$F$5:$IX$116,ComparisonData!A8,ComparisonData!$TX$1),0),5)</f>
        <v>0</v>
      </c>
      <c r="TY8" s="46" cm="1">
        <f t="array" ref="TY8">ROUND(IFERROR(INDEX(ArchiveResults!$F$5:$IX$116,ComparisonData!A8,ComparisonData!$TY$1),0),5)</f>
        <v>0</v>
      </c>
      <c r="TZ8" s="45" cm="1">
        <f t="array" ref="TZ8">IFERROR(INDEX(ArchiveResults!$F$5:$IX$116,ComparisonData!A8,ComparisonData!$TZ$1),0)</f>
        <v>0</v>
      </c>
      <c r="UA8" s="56">
        <v>3</v>
      </c>
      <c r="UB8" s="53" t="str">
        <f t="shared" si="72"/>
        <v>Archives &amp; Collections, Library of Birmingham</v>
      </c>
      <c r="UC8" s="60">
        <f t="shared" si="398"/>
        <v>0</v>
      </c>
      <c r="UD8" s="60">
        <f t="shared" si="399"/>
        <v>0</v>
      </c>
      <c r="UE8" s="60">
        <f t="shared" si="400"/>
        <v>0</v>
      </c>
      <c r="UF8" s="60">
        <f t="shared" si="401"/>
        <v>0</v>
      </c>
      <c r="UG8" s="60">
        <f t="shared" si="402"/>
        <v>0</v>
      </c>
      <c r="UH8" s="58">
        <f t="shared" si="403"/>
        <v>0</v>
      </c>
      <c r="UI8" s="46">
        <f t="shared" si="404"/>
        <v>99</v>
      </c>
      <c r="UJ8" s="46">
        <f t="shared" si="73"/>
        <v>2.9340000000000002</v>
      </c>
      <c r="UK8" s="46">
        <f t="shared" si="405"/>
        <v>1</v>
      </c>
      <c r="UL8" s="46">
        <f t="shared" si="406"/>
        <v>2</v>
      </c>
      <c r="UM8" s="46" cm="1">
        <f t="array" ref="UM8">ROUND(IFERROR(INDEX(ArchiveResults!$F$5:$IX$116,ComparisonData!A8,ComparisonData!$UM$1),0),5)</f>
        <v>0</v>
      </c>
      <c r="UN8" s="56">
        <v>3</v>
      </c>
      <c r="UO8" s="53" t="str">
        <f t="shared" si="74"/>
        <v>Archives &amp; Collections, Library of Birmingham</v>
      </c>
      <c r="UP8" s="46">
        <f t="shared" si="407"/>
        <v>0</v>
      </c>
      <c r="UQ8" s="76">
        <f t="shared" si="408"/>
        <v>0</v>
      </c>
      <c r="UR8" s="46">
        <f t="shared" si="409"/>
        <v>99</v>
      </c>
      <c r="US8" s="46">
        <f t="shared" si="75"/>
        <v>2.9340000000000002</v>
      </c>
      <c r="UT8" s="46">
        <f t="shared" si="410"/>
        <v>1</v>
      </c>
      <c r="UU8" s="46">
        <f t="shared" si="411"/>
        <v>2</v>
      </c>
      <c r="UV8" s="46">
        <f t="shared" si="412"/>
        <v>0</v>
      </c>
      <c r="UW8" s="46" cm="1">
        <f t="array" ref="UW8">ROUND(IFERROR(INDEX(ArchiveResults!$F$5:$IX$116,ComparisonData!A8,ComparisonData!$UW$1),0),5)</f>
        <v>0</v>
      </c>
      <c r="UX8" s="46" cm="1">
        <f t="array" ref="UX8">ROUND(IFERROR(INDEX(ArchiveResults!$F$5:$IX$116,ComparisonData!A8,ComparisonData!$UX$1),0),5)</f>
        <v>0</v>
      </c>
      <c r="UY8" s="46" cm="1">
        <f t="array" ref="UY8">ROUND(IFERROR(INDEX(ArchiveResults!$F$5:$IX$116,ComparisonData!A8,ComparisonData!$UY$1),0),5)</f>
        <v>0</v>
      </c>
      <c r="UZ8" s="46" cm="1">
        <f t="array" ref="UZ8">ROUND(IFERROR(INDEX(ArchiveResults!$F$5:$IX$116,ComparisonData!A8,ComparisonData!$UZ$1),0),5)</f>
        <v>0</v>
      </c>
      <c r="VA8" s="46" cm="1">
        <f t="array" ref="VA8">ROUND(IFERROR(INDEX(ArchiveResults!$F$5:$IX$116,ComparisonData!A8,ComparisonData!$VA$1),0),5)</f>
        <v>0</v>
      </c>
      <c r="VB8" s="56">
        <v>3</v>
      </c>
      <c r="VC8" s="53" t="str">
        <f t="shared" si="76"/>
        <v>Archives &amp; Collections, Library of Birmingham</v>
      </c>
      <c r="VD8" s="60">
        <f t="shared" si="413"/>
        <v>0</v>
      </c>
      <c r="VE8" s="60">
        <f t="shared" si="414"/>
        <v>0</v>
      </c>
      <c r="VF8" s="60">
        <f t="shared" si="415"/>
        <v>0</v>
      </c>
      <c r="VG8" s="60">
        <f t="shared" si="416"/>
        <v>0</v>
      </c>
      <c r="VH8" s="60">
        <f t="shared" si="417"/>
        <v>0</v>
      </c>
      <c r="VI8" s="76">
        <f t="shared" si="418"/>
        <v>0</v>
      </c>
      <c r="VJ8" s="46">
        <f t="shared" si="419"/>
        <v>99</v>
      </c>
      <c r="VK8" s="46">
        <f t="shared" si="77"/>
        <v>2.9340000000000002</v>
      </c>
      <c r="VL8" s="46">
        <f t="shared" si="420"/>
        <v>1</v>
      </c>
      <c r="VM8" s="46">
        <f t="shared" si="421"/>
        <v>2</v>
      </c>
      <c r="VN8" s="46" cm="1">
        <f t="array" ref="VN8">ROUND(IFERROR(INDEX(ArchiveResults!$F$5:$IX$116,ComparisonData!A8,ComparisonData!$VN$1),0),5)</f>
        <v>0</v>
      </c>
      <c r="VO8" s="46" cm="1">
        <f t="array" ref="VO8">ROUND(IFERROR(INDEX(ArchiveResults!$F$5:$IX$116,ComparisonData!A8,ComparisonData!$VO$1),0),5)</f>
        <v>0</v>
      </c>
      <c r="VP8" s="46" cm="1">
        <f t="array" ref="VP8">ROUND(IFERROR(INDEX(ArchiveResults!$F$5:$IX$116,ComparisonData!A8,ComparisonData!$VP$1),0),5)</f>
        <v>0</v>
      </c>
      <c r="VQ8" s="46" cm="1">
        <f t="array" ref="VQ8">ROUND(IFERROR(INDEX(ArchiveResults!$F$5:$IX$116,ComparisonData!A8,ComparisonData!$VQ$1),0),5)</f>
        <v>0</v>
      </c>
      <c r="VR8" s="56">
        <v>3</v>
      </c>
      <c r="VS8" s="53" t="str">
        <f t="shared" si="78"/>
        <v>Archives &amp; Collections, Library of Birmingham</v>
      </c>
      <c r="VT8" s="60">
        <f t="shared" si="422"/>
        <v>0</v>
      </c>
      <c r="VU8" s="60">
        <f t="shared" si="423"/>
        <v>0</v>
      </c>
      <c r="VV8" s="60">
        <f t="shared" si="424"/>
        <v>0</v>
      </c>
      <c r="VW8" s="60">
        <f t="shared" si="425"/>
        <v>0</v>
      </c>
      <c r="VX8" s="76">
        <f t="shared" si="426"/>
        <v>0</v>
      </c>
      <c r="VY8" s="46">
        <f t="shared" si="427"/>
        <v>99</v>
      </c>
      <c r="VZ8" s="46">
        <f t="shared" si="79"/>
        <v>2.9340000000000002</v>
      </c>
      <c r="WA8" s="46">
        <f t="shared" si="428"/>
        <v>1</v>
      </c>
      <c r="WB8" s="46">
        <f t="shared" si="429"/>
        <v>2</v>
      </c>
      <c r="WC8" s="46" cm="1">
        <f t="array" ref="WC8">ROUND(IFERROR(INDEX(ArchiveResults!$F$5:$IX$116,ComparisonData!A8,ComparisonData!$WC$1),0),5)</f>
        <v>0</v>
      </c>
      <c r="WD8" s="56">
        <v>3</v>
      </c>
      <c r="WE8" s="53" t="str">
        <f t="shared" si="80"/>
        <v>Archives &amp; Collections, Library of Birmingham</v>
      </c>
      <c r="WF8" s="46">
        <f t="shared" si="430"/>
        <v>0</v>
      </c>
      <c r="WG8" s="76">
        <f t="shared" si="431"/>
        <v>0</v>
      </c>
      <c r="WH8" s="46">
        <f t="shared" si="432"/>
        <v>99</v>
      </c>
      <c r="WI8" s="46">
        <f t="shared" si="81"/>
        <v>2.9340000000000002</v>
      </c>
      <c r="WJ8" s="46">
        <f t="shared" si="433"/>
        <v>1</v>
      </c>
      <c r="WK8" s="46">
        <f t="shared" si="434"/>
        <v>2</v>
      </c>
      <c r="WL8" s="46" cm="1">
        <f t="array" ref="WL8">ROUND(IFERROR(INDEX(ArchiveResults!$F$5:$IX$116,ComparisonData!A8,ComparisonData!$WL$1),0),5)</f>
        <v>0</v>
      </c>
      <c r="WM8" s="46" cm="1">
        <f t="array" ref="WM8">IFERROR(INDEX(ArchiveResults!$F$5:$IX$116,ComparisonData!A8,ComparisonData!$WM$1),0)</f>
        <v>0</v>
      </c>
      <c r="WN8" s="56">
        <v>3</v>
      </c>
      <c r="WO8" s="53" t="str">
        <f t="shared" si="82"/>
        <v>Archives &amp; Collections, Library of Birmingham</v>
      </c>
      <c r="WP8" s="60">
        <f t="shared" si="435"/>
        <v>0</v>
      </c>
      <c r="WQ8" s="60">
        <f t="shared" si="436"/>
        <v>0</v>
      </c>
      <c r="WR8" s="76">
        <f t="shared" si="437"/>
        <v>0</v>
      </c>
      <c r="WS8" s="46">
        <f t="shared" si="438"/>
        <v>99</v>
      </c>
      <c r="WT8" s="46">
        <f t="shared" si="83"/>
        <v>2.9340000000000002</v>
      </c>
      <c r="WU8" s="46">
        <f t="shared" si="439"/>
        <v>1</v>
      </c>
      <c r="WV8" s="46">
        <f t="shared" si="440"/>
        <v>2</v>
      </c>
      <c r="WW8" s="46" cm="1">
        <f t="array" ref="WW8">ROUND(VALUE(IFERROR(INDEX(ArchiveResults!$F$5:$IX$116,ComparisonData!A8,ComparisonData!$WW$1),0)),5)</f>
        <v>0</v>
      </c>
      <c r="WX8" s="46" cm="1">
        <f t="array" ref="WX8">ROUND(IFERROR(INDEX(ArchiveResults!$F$5:$IX$116,ComparisonData!A8,ComparisonData!$WX$1),0),5)</f>
        <v>0</v>
      </c>
      <c r="WY8" s="56">
        <v>3</v>
      </c>
      <c r="WZ8" s="53" t="str">
        <f t="shared" si="84"/>
        <v>Archives &amp; Collections, Library of Birmingham</v>
      </c>
      <c r="XA8" s="60">
        <f t="shared" si="85"/>
        <v>0</v>
      </c>
      <c r="XB8" s="60">
        <f t="shared" si="86"/>
        <v>0</v>
      </c>
      <c r="XC8" s="76">
        <f t="shared" si="441"/>
        <v>0</v>
      </c>
      <c r="XD8" s="46">
        <f t="shared" si="442"/>
        <v>99</v>
      </c>
      <c r="XE8" s="46">
        <f t="shared" si="87"/>
        <v>2.9340000000000002</v>
      </c>
      <c r="XF8" s="46">
        <f t="shared" si="443"/>
        <v>1</v>
      </c>
      <c r="XG8" s="46">
        <f t="shared" si="444"/>
        <v>2</v>
      </c>
      <c r="XH8" s="46" cm="1">
        <f t="array" ref="XH8">ROUND(VALUE(IFERROR(INDEX(ArchiveResults!$F$5:$IX$116,ComparisonData!A8,ComparisonData!$XH$1),0)),5)</f>
        <v>0</v>
      </c>
      <c r="XI8" s="46" cm="1">
        <f t="array" ref="XI8">ROUND(VALUE(IFERROR(INDEX(ArchiveResults!$F$5:$IX$116,ComparisonData!A8,ComparisonData!$XI$1),0)),5)</f>
        <v>0</v>
      </c>
      <c r="XJ8" s="56">
        <v>3</v>
      </c>
      <c r="XK8" s="53" t="str">
        <f t="shared" si="88"/>
        <v>Archives &amp; Collections, Library of Birmingham</v>
      </c>
      <c r="XL8" s="60">
        <f t="shared" si="445"/>
        <v>0</v>
      </c>
      <c r="XM8" s="60">
        <f t="shared" si="446"/>
        <v>0</v>
      </c>
      <c r="XN8" s="76">
        <f t="shared" si="447"/>
        <v>0</v>
      </c>
      <c r="XO8" s="46">
        <f t="shared" si="448"/>
        <v>99</v>
      </c>
      <c r="XP8" s="46">
        <f t="shared" si="89"/>
        <v>2.9340000000000002</v>
      </c>
      <c r="XQ8" s="46">
        <f t="shared" si="449"/>
        <v>1</v>
      </c>
      <c r="XR8" s="46">
        <f t="shared" si="450"/>
        <v>2</v>
      </c>
      <c r="XS8" s="46" cm="1">
        <f t="array" ref="XS8">ROUND(VALUE(IFERROR(INDEX(ArchiveResults!$F$5:$IX$116,ComparisonData!A8,ComparisonData!$XS$1),0)),5)</f>
        <v>0</v>
      </c>
      <c r="XT8" s="46" cm="1">
        <f t="array" ref="XT8">ROUND(VALUE(IFERROR(INDEX(ArchiveResults!$F$5:$IX$116,ComparisonData!A8,ComparisonData!$XT$1),0)),5)</f>
        <v>0</v>
      </c>
      <c r="XU8" s="56">
        <v>3</v>
      </c>
      <c r="XV8" s="53" t="str">
        <f t="shared" si="90"/>
        <v>Archives &amp; Collections, Library of Birmingham</v>
      </c>
      <c r="XW8" s="60">
        <f t="shared" si="451"/>
        <v>0</v>
      </c>
      <c r="XX8" s="60">
        <f t="shared" si="452"/>
        <v>0</v>
      </c>
      <c r="XY8" s="76">
        <f t="shared" si="453"/>
        <v>0</v>
      </c>
      <c r="XZ8" s="46">
        <f t="shared" si="454"/>
        <v>99</v>
      </c>
      <c r="YA8" s="46">
        <f t="shared" si="91"/>
        <v>2.9340000000000002</v>
      </c>
      <c r="YB8" s="46">
        <f t="shared" si="455"/>
        <v>1</v>
      </c>
      <c r="YC8" s="46">
        <f t="shared" si="456"/>
        <v>2</v>
      </c>
      <c r="YD8" s="46" cm="1">
        <f t="array" ref="YD8">ROUND(VALUE(IFERROR(INDEX(ArchiveResults!$F$5:$IX$116,ComparisonData!A8,ComparisonData!$YD$1),0)),5)</f>
        <v>0</v>
      </c>
      <c r="YE8" s="46" cm="1">
        <f t="array" ref="YE8">ROUND(VALUE(IFERROR(INDEX(ArchiveResults!$F$5:$IX$116,ComparisonData!A8,ComparisonData!$YE$1),0)),5)</f>
        <v>0</v>
      </c>
      <c r="YF8" s="56">
        <v>3</v>
      </c>
      <c r="YG8" s="53" t="str">
        <f t="shared" si="92"/>
        <v>Archives &amp; Collections, Library of Birmingham</v>
      </c>
      <c r="YH8" s="60">
        <f t="shared" si="457"/>
        <v>0</v>
      </c>
      <c r="YI8" s="60">
        <f t="shared" si="458"/>
        <v>0</v>
      </c>
      <c r="YJ8" s="76">
        <f t="shared" si="459"/>
        <v>0</v>
      </c>
      <c r="YK8" s="46">
        <f t="shared" si="460"/>
        <v>99</v>
      </c>
      <c r="YL8" s="46">
        <f t="shared" si="93"/>
        <v>2.9340000000000002</v>
      </c>
      <c r="YM8" s="46">
        <f t="shared" si="461"/>
        <v>1</v>
      </c>
      <c r="YN8" s="46">
        <f t="shared" si="462"/>
        <v>2</v>
      </c>
      <c r="YO8" s="46" cm="1">
        <f t="array" ref="YO8">ROUND(VALUE(IFERROR(INDEX(ArchiveResults!$F$5:$IX$116,ComparisonData!A8,ComparisonData!$YO$1),0)),5)</f>
        <v>0</v>
      </c>
      <c r="YP8" s="46" cm="1">
        <f t="array" ref="YP8">ROUND(VALUE(IFERROR(INDEX(ArchiveResults!$F$5:$IX$116,ComparisonData!A8,ComparisonData!$YP$1),0)),5)</f>
        <v>0</v>
      </c>
      <c r="YQ8" s="56">
        <v>3</v>
      </c>
      <c r="YR8" s="53" t="str">
        <f t="shared" si="94"/>
        <v>Archives &amp; Collections, Library of Birmingham</v>
      </c>
      <c r="YS8" s="60">
        <f t="shared" si="463"/>
        <v>0</v>
      </c>
      <c r="YT8" s="60">
        <f t="shared" si="464"/>
        <v>0</v>
      </c>
      <c r="YU8" s="76">
        <f t="shared" si="465"/>
        <v>0</v>
      </c>
      <c r="YV8" s="46">
        <f t="shared" si="466"/>
        <v>99</v>
      </c>
      <c r="YW8" s="46">
        <f t="shared" si="95"/>
        <v>2.9340000000000002</v>
      </c>
      <c r="YX8" s="46">
        <f t="shared" si="467"/>
        <v>1</v>
      </c>
      <c r="YY8" s="46">
        <f t="shared" si="468"/>
        <v>2</v>
      </c>
      <c r="YZ8" s="46">
        <f t="shared" si="469"/>
        <v>0</v>
      </c>
      <c r="ZA8" s="46" cm="1">
        <f t="array" ref="ZA8">ROUNDDOWN(VALUE(IFERROR(INDEX(ArchiveResults!$F$5:$IX$116,ComparisonData!A8,ComparisonData!$ZA$1),0)),5)</f>
        <v>0</v>
      </c>
      <c r="ZB8" s="46" cm="1">
        <f t="array" ref="ZB8">ROUNDDOWN(VALUE(IFERROR(INDEX(ArchiveResults!$F$5:$IX$116,ComparisonData!A8,ComparisonData!$ZB$1),0)),5)</f>
        <v>0</v>
      </c>
      <c r="ZC8" s="46" cm="1">
        <f t="array" ref="ZC8">ROUNDDOWN(VALUE(IFERROR(INDEX(ArchiveResults!$F$5:$IX$116,ComparisonData!A8,ComparisonData!$ZC$1),0)),5)</f>
        <v>0</v>
      </c>
      <c r="ZD8" s="46" cm="1">
        <f t="array" ref="ZD8">ROUNDDOWN(VALUE(IFERROR(INDEX(ArchiveResults!$F$5:$IX$116,ComparisonData!A8,ComparisonData!$ZD$1),0)),5)</f>
        <v>0</v>
      </c>
      <c r="ZE8" s="46" cm="1">
        <f t="array" ref="ZE8">ROUNDDOWN(VALUE(IFERROR(INDEX(ArchiveResults!$F$5:$IX$116,ComparisonData!A8,ComparisonData!$ZE$1),0)),5)</f>
        <v>0</v>
      </c>
      <c r="ZF8" s="56">
        <v>3</v>
      </c>
      <c r="ZG8" s="53" t="str">
        <f t="shared" si="96"/>
        <v>Archives &amp; Collections, Library of Birmingham</v>
      </c>
      <c r="ZH8" s="60">
        <f t="shared" si="470"/>
        <v>0</v>
      </c>
      <c r="ZI8" s="60">
        <f t="shared" si="471"/>
        <v>0</v>
      </c>
      <c r="ZJ8" s="60">
        <f t="shared" si="472"/>
        <v>0</v>
      </c>
      <c r="ZK8" s="60">
        <f t="shared" si="473"/>
        <v>0</v>
      </c>
      <c r="ZL8" s="60">
        <f t="shared" si="474"/>
        <v>0</v>
      </c>
      <c r="ZM8" s="76">
        <f t="shared" si="475"/>
        <v>0</v>
      </c>
      <c r="ZN8" s="46">
        <f t="shared" si="476"/>
        <v>99</v>
      </c>
      <c r="ZO8" s="46">
        <f t="shared" si="97"/>
        <v>2.9340000000000002</v>
      </c>
      <c r="ZP8" s="46">
        <f t="shared" si="477"/>
        <v>1</v>
      </c>
      <c r="ZQ8" s="46">
        <f t="shared" si="478"/>
        <v>2</v>
      </c>
      <c r="ZR8" s="46" cm="1">
        <f t="array" ref="ZR8">ROUND(VALUE(IFERROR(INDEX(ArchiveResults!$F$5:$IX$116,ComparisonData!A8,ComparisonData!$ZR$1),0)),5)</f>
        <v>0</v>
      </c>
      <c r="ZS8" s="56">
        <v>3</v>
      </c>
      <c r="ZT8" s="53" t="str">
        <f t="shared" si="98"/>
        <v>Archives &amp; Collections, Library of Birmingham</v>
      </c>
      <c r="ZU8" s="46">
        <f t="shared" si="479"/>
        <v>0</v>
      </c>
      <c r="ZV8" s="76">
        <f t="shared" si="480"/>
        <v>0</v>
      </c>
      <c r="ZW8" s="81" cm="1">
        <f t="array" ref="ZW8">ROUND((IFERROR(INDEX(ArchiveResults!$F$5:$IX$116,ComparisonData!A8,ComparisonData!$ZW$1),0)),5)</f>
        <v>0</v>
      </c>
      <c r="ZX8" s="81" cm="1">
        <f t="array" ref="ZX8">ROUND((IFERROR(INDEX(ArchiveResults!$F$5:$IX$116,ComparisonData!A8,ComparisonData!$ZX$1),0)),5)</f>
        <v>0</v>
      </c>
      <c r="ZY8" s="81" cm="1">
        <f t="array" ref="ZY8">ROUND((IFERROR(INDEX(ArchiveResults!$F$5:$IX$116,ComparisonData!A8,ComparisonData!$ZY$1),0)),5)</f>
        <v>0</v>
      </c>
      <c r="ZZ8" s="81" cm="1">
        <f t="array" ref="ZZ8">ROUND((IFERROR(INDEX(ArchiveResults!$F$5:$IX$116,ComparisonData!A8,ComparisonData!$ZZ$1),0)),5)</f>
        <v>0</v>
      </c>
      <c r="AAA8" s="81" cm="1">
        <f t="array" ref="AAA8">ROUND((IFERROR(INDEX(ArchiveResults!$F$5:$IX$116,ComparisonData!A8,ComparisonData!$AAA$1),0)),5)</f>
        <v>0</v>
      </c>
      <c r="AAB8" s="81" cm="1">
        <f t="array" ref="AAB8">ROUND((IFERROR(INDEX(ArchiveResults!$F$5:$IX$116,ComparisonData!A8,ComparisonData!$AAB$1),0)),5)</f>
        <v>0</v>
      </c>
      <c r="AAC8" s="81" cm="1">
        <f t="array" ref="AAC8">ROUND((IFERROR(INDEX(ArchiveResults!$F$5:$IX$116,ComparisonData!A8,ComparisonData!$AAC$1),0)),5)</f>
        <v>0</v>
      </c>
      <c r="AAD8" s="81" cm="1">
        <f t="array" ref="AAD8">ROUND((IFERROR(INDEX(ArchiveResults!$F$5:$IX$116,ComparisonData!A8,ComparisonData!$AAD$1),0)),5)</f>
        <v>0</v>
      </c>
      <c r="AAE8" s="81" cm="1">
        <f t="array" ref="AAE8">ROUND((IFERROR(INDEX(ArchiveResults!$F$5:$IX$116,ComparisonData!A8,ComparisonData!$AAE$1),0)),5)</f>
        <v>0</v>
      </c>
      <c r="AAF8" s="81" cm="1">
        <f t="array" ref="AAF8">ROUND((IFERROR(INDEX(ArchiveResults!$F$5:$IX$116,ComparisonData!A8,ComparisonData!$AAF$1),0)),5)</f>
        <v>0</v>
      </c>
      <c r="AAG8" s="46">
        <f t="shared" si="481"/>
        <v>99</v>
      </c>
      <c r="AAH8" s="46">
        <f t="shared" si="99"/>
        <v>2.9340000000000002</v>
      </c>
      <c r="AAI8" s="46">
        <f t="shared" si="482"/>
        <v>1</v>
      </c>
      <c r="AAJ8" s="46">
        <f t="shared" si="483"/>
        <v>2</v>
      </c>
      <c r="AAK8" s="46">
        <f t="shared" si="484"/>
        <v>0</v>
      </c>
      <c r="AAL8" s="46">
        <f t="shared" si="485"/>
        <v>0</v>
      </c>
      <c r="AAM8" s="46">
        <f t="shared" si="486"/>
        <v>0</v>
      </c>
      <c r="AAN8" s="46">
        <f t="shared" si="487"/>
        <v>0</v>
      </c>
      <c r="AAO8" s="46">
        <f t="shared" si="488"/>
        <v>0</v>
      </c>
      <c r="AAP8" s="46">
        <f t="shared" si="489"/>
        <v>0</v>
      </c>
      <c r="AAQ8" s="56">
        <v>3</v>
      </c>
      <c r="AAR8" s="53" t="str">
        <f t="shared" si="100"/>
        <v>Archives &amp; Collections, Library of Birmingham</v>
      </c>
      <c r="AAS8" s="60">
        <f t="shared" si="490"/>
        <v>0</v>
      </c>
      <c r="AAT8" s="60">
        <f t="shared" si="491"/>
        <v>0</v>
      </c>
      <c r="AAU8" s="60">
        <f t="shared" si="492"/>
        <v>0</v>
      </c>
      <c r="AAV8" s="60">
        <f t="shared" si="493"/>
        <v>0</v>
      </c>
      <c r="AAW8" s="60">
        <f t="shared" si="494"/>
        <v>0</v>
      </c>
      <c r="AAX8" s="76">
        <f t="shared" si="495"/>
        <v>0</v>
      </c>
      <c r="AAY8" s="46">
        <f t="shared" si="496"/>
        <v>99</v>
      </c>
      <c r="AAZ8" s="46">
        <f t="shared" si="101"/>
        <v>2.9340000000000002</v>
      </c>
      <c r="ABA8" s="46">
        <f t="shared" si="497"/>
        <v>1</v>
      </c>
      <c r="ABB8" s="46">
        <f t="shared" si="498"/>
        <v>2</v>
      </c>
      <c r="ABC8" s="46">
        <f t="shared" si="102"/>
        <v>0</v>
      </c>
      <c r="ABD8" s="46" cm="1">
        <f t="array" ref="ABD8">ROUND(VALUE(IFERROR(INDEX(ArchiveResults!$F$5:$IX$116,ComparisonData!A8,ComparisonData!$ABD$1),0)),5)</f>
        <v>0</v>
      </c>
      <c r="ABE8" s="46" cm="1">
        <f t="array" ref="ABE8">ROUND(VALUE(IFERROR(INDEX(ArchiveResults!$F$5:$IX$116,ComparisonData!A8,ComparisonData!$ABE$1),0)),5)</f>
        <v>0</v>
      </c>
      <c r="ABF8" s="46" cm="1">
        <f t="array" ref="ABF8">ROUND(VALUE(IFERROR(INDEX(ArchiveResults!$F$5:$IX$116,ComparisonData!A8,ComparisonData!$ABF$1),0)),5)</f>
        <v>0</v>
      </c>
      <c r="ABG8" s="46" cm="1">
        <f t="array" ref="ABG8">ROUND(VALUE(IFERROR(INDEX(ArchiveResults!$F$5:$IX$116,ComparisonData!A8,ComparisonData!$ABG$1),0)),5)</f>
        <v>0</v>
      </c>
      <c r="ABH8" s="46" cm="1">
        <f t="array" ref="ABH8">ROUND(VALUE(IFERROR(INDEX(ArchiveResults!$F$5:$IX$116,ComparisonData!A8,ComparisonData!$ABH$1),0)),5)</f>
        <v>0</v>
      </c>
      <c r="ABI8" s="56">
        <v>3</v>
      </c>
      <c r="ABJ8" s="53" t="str">
        <f t="shared" si="103"/>
        <v>Archives &amp; Collections, Library of Birmingham</v>
      </c>
      <c r="ABK8" s="60">
        <f t="shared" si="499"/>
        <v>0</v>
      </c>
      <c r="ABL8" s="60">
        <f t="shared" si="500"/>
        <v>0</v>
      </c>
      <c r="ABM8" s="60">
        <f t="shared" si="501"/>
        <v>0</v>
      </c>
      <c r="ABN8" s="60">
        <f t="shared" si="502"/>
        <v>0</v>
      </c>
      <c r="ABO8" s="60">
        <f t="shared" si="503"/>
        <v>0</v>
      </c>
      <c r="ABP8" s="76">
        <f t="shared" si="504"/>
        <v>0</v>
      </c>
      <c r="ABQ8" s="46">
        <f t="shared" si="505"/>
        <v>99</v>
      </c>
      <c r="ABR8" s="46">
        <f t="shared" si="104"/>
        <v>2.9340000000000002</v>
      </c>
      <c r="ABS8" s="46">
        <f t="shared" si="506"/>
        <v>1</v>
      </c>
      <c r="ABT8" s="46">
        <f t="shared" si="507"/>
        <v>2</v>
      </c>
      <c r="ABU8" s="46" cm="1">
        <f t="array" ref="ABU8">ROUND(VALUE(IFERROR(INDEX(ArchiveResults!$F$5:$IX$116,ComparisonData!A8,ComparisonData!$ABU$1),0)),5)</f>
        <v>0</v>
      </c>
      <c r="ABV8" s="46" cm="1">
        <f t="array" ref="ABV8">ROUND(VALUE(IFERROR(INDEX(ArchiveResults!$F$5:$IX$116,ComparisonData!A8,ComparisonData!$ABV$1),0)),5)</f>
        <v>0</v>
      </c>
      <c r="ABW8" s="46" cm="1">
        <f t="array" ref="ABW8">ROUND(VALUE(IFERROR(INDEX(ArchiveResults!$F$5:$IX$116,ComparisonData!A8,ComparisonData!$ABW$1),0)),5)</f>
        <v>0</v>
      </c>
      <c r="ABX8" s="46" cm="1">
        <f t="array" ref="ABX8">ROUND(VALUE(IFERROR(INDEX(ArchiveResults!$F$5:$IX$116,ComparisonData!A8,ComparisonData!$ABX$1),0)),5)</f>
        <v>0</v>
      </c>
      <c r="ABY8" s="46" cm="1">
        <f t="array" ref="ABY8">ROUND(VALUE(IFERROR(INDEX(ArchiveResults!$F$5:$IX$116,ComparisonData!A8,ComparisonData!$ABY$1),0)),5)</f>
        <v>0</v>
      </c>
      <c r="ABZ8" s="56">
        <v>3</v>
      </c>
      <c r="ACA8" s="53" t="str">
        <f t="shared" si="105"/>
        <v>Archives &amp; Collections, Library of Birmingham</v>
      </c>
      <c r="ACB8" s="60">
        <f t="shared" si="508"/>
        <v>0</v>
      </c>
      <c r="ACC8" s="60">
        <f t="shared" si="509"/>
        <v>0</v>
      </c>
      <c r="ACD8" s="60">
        <f t="shared" si="510"/>
        <v>0</v>
      </c>
      <c r="ACE8" s="60">
        <f t="shared" si="511"/>
        <v>0</v>
      </c>
      <c r="ACF8" s="60">
        <f t="shared" si="512"/>
        <v>0</v>
      </c>
      <c r="ACG8" s="76">
        <f t="shared" si="513"/>
        <v>0</v>
      </c>
      <c r="ACH8" s="46">
        <f t="shared" si="514"/>
        <v>99</v>
      </c>
      <c r="ACI8" s="46">
        <f t="shared" si="106"/>
        <v>2.9340000000000002</v>
      </c>
      <c r="ACJ8" s="46">
        <f t="shared" si="515"/>
        <v>1</v>
      </c>
      <c r="ACK8" s="46">
        <f t="shared" si="516"/>
        <v>2</v>
      </c>
      <c r="ACL8" s="46">
        <f t="shared" si="517"/>
        <v>0</v>
      </c>
      <c r="ACM8" s="46" cm="1">
        <f t="array" ref="ACM8">ROUND(IFERROR(INDEX(ArchiveResults!$F$5:$IX$116,ComparisonData!A8,ComparisonData!$ACM$1),0),5)</f>
        <v>0</v>
      </c>
      <c r="ACN8" s="46" cm="1">
        <f t="array" ref="ACN8">ROUND(IFERROR(INDEX(ArchiveResults!$F$5:$IX$116,ComparisonData!A8,ComparisonData!$ACN$1),0),5)</f>
        <v>0</v>
      </c>
      <c r="ACO8" s="56">
        <v>3</v>
      </c>
      <c r="ACP8" s="53" t="str">
        <f t="shared" si="107"/>
        <v>Archives &amp; Collections, Library of Birmingham</v>
      </c>
      <c r="ACQ8" s="60">
        <f t="shared" si="518"/>
        <v>0</v>
      </c>
      <c r="ACR8" s="60">
        <f t="shared" si="519"/>
        <v>0</v>
      </c>
      <c r="ACS8" s="76">
        <f t="shared" si="520"/>
        <v>0</v>
      </c>
      <c r="ACT8" s="46">
        <f t="shared" si="521"/>
        <v>99</v>
      </c>
      <c r="ACU8" s="46">
        <f t="shared" si="108"/>
        <v>2.9340000000000002</v>
      </c>
      <c r="ACV8" s="46">
        <f t="shared" si="522"/>
        <v>1</v>
      </c>
      <c r="ACW8" s="46">
        <f t="shared" si="523"/>
        <v>2</v>
      </c>
      <c r="ACX8" s="46">
        <f t="shared" si="524"/>
        <v>0</v>
      </c>
      <c r="ACY8" s="46" cm="1">
        <f t="array" ref="ACY8">ROUNDDOWN(IFERROR(INDEX(ArchiveResults!$F$5:$IX$116,ComparisonData!A8,ComparisonData!$ACY$1),0),5)</f>
        <v>0</v>
      </c>
      <c r="ACZ8" s="46" cm="1">
        <f t="array" ref="ACZ8">ROUNDDOWN(IFERROR(INDEX(ArchiveResults!$F$5:$IX$116,ComparisonData!A8,ComparisonData!$ACZ$1),0),5)</f>
        <v>0</v>
      </c>
      <c r="ADA8" s="46" cm="1">
        <f t="array" ref="ADA8">ROUNDDOWN(IFERROR(INDEX(ArchiveResults!$F$5:$IX$116,ComparisonData!A8,ComparisonData!$ADA$1),0),5)</f>
        <v>0</v>
      </c>
      <c r="ADB8" s="56">
        <v>3</v>
      </c>
      <c r="ADC8" s="53" t="str">
        <f t="shared" si="109"/>
        <v>Archives &amp; Collections, Library of Birmingham</v>
      </c>
      <c r="ADD8" s="60">
        <f t="shared" si="525"/>
        <v>0</v>
      </c>
      <c r="ADE8" s="60">
        <f t="shared" si="526"/>
        <v>0</v>
      </c>
      <c r="ADF8" s="60">
        <f t="shared" si="527"/>
        <v>0</v>
      </c>
      <c r="ADG8" s="76">
        <f t="shared" si="528"/>
        <v>0</v>
      </c>
    </row>
    <row r="9" spans="1:787" x14ac:dyDescent="0.25">
      <c r="A9" s="46" t="str">
        <f>IF(ISBLANK(ComparisonSelection!F5),"",ROW()-5)</f>
        <v/>
      </c>
      <c r="B9" s="53" t="s">
        <v>459</v>
      </c>
      <c r="C9" s="72">
        <v>0.47899999999999954</v>
      </c>
      <c r="D9" s="55">
        <f t="shared" si="110"/>
        <v>9</v>
      </c>
      <c r="E9" s="54">
        <f t="shared" si="111"/>
        <v>2.4789999999999996</v>
      </c>
      <c r="F9" s="54">
        <f t="shared" si="529"/>
        <v>1</v>
      </c>
      <c r="G9" s="72">
        <f t="shared" si="112"/>
        <v>2</v>
      </c>
      <c r="H9" s="72">
        <f t="shared" si="113"/>
        <v>0</v>
      </c>
      <c r="I9" s="46" cm="1">
        <f t="array" ref="I9">ROUND(IFERROR(INDEX(ArchiveResults!$F$5:$IX$116,ComparisonData!A9,ComparisonData!$I$1),0),5)</f>
        <v>0</v>
      </c>
      <c r="J9" s="46" cm="1">
        <f t="array" ref="J9">ROUND(IFERROR(INDEX(ArchiveResults!$F$5:$IX$116,ComparisonData!A9,ComparisonData!$J$1),0),5)</f>
        <v>0</v>
      </c>
      <c r="K9" s="56">
        <v>4</v>
      </c>
      <c r="L9" s="53" t="str">
        <f t="shared" si="114"/>
        <v>Bank of England Archive</v>
      </c>
      <c r="M9" s="57">
        <f t="shared" si="0"/>
        <v>0</v>
      </c>
      <c r="N9" s="57">
        <f t="shared" si="1"/>
        <v>0</v>
      </c>
      <c r="O9" s="58">
        <f t="shared" si="115"/>
        <v>0</v>
      </c>
      <c r="P9" s="48">
        <f t="shared" si="116"/>
        <v>9</v>
      </c>
      <c r="Q9" s="54">
        <f t="shared" si="2"/>
        <v>2.4789999999999996</v>
      </c>
      <c r="R9" s="45">
        <f t="shared" si="117"/>
        <v>1</v>
      </c>
      <c r="S9" s="46">
        <f t="shared" si="118"/>
        <v>2</v>
      </c>
      <c r="T9" s="72">
        <f t="shared" si="119"/>
        <v>0</v>
      </c>
      <c r="U9" s="46" cm="1">
        <f t="array" ref="U9">ROUND(IFERROR(INDEX(ArchiveResults!$F$5:$IX$116,ComparisonData!A9,ComparisonData!$U$1),0),5)</f>
        <v>0</v>
      </c>
      <c r="V9" s="46" cm="1">
        <f t="array" ref="V9">ROUND(IFERROR(INDEX(ArchiveResults!$F$5:$IX$116,ComparisonData!A9,ComparisonData!$V$1),0),5)</f>
        <v>0</v>
      </c>
      <c r="W9" s="56">
        <v>4</v>
      </c>
      <c r="X9" s="53" t="str">
        <f t="shared" si="3"/>
        <v>Bank of England Archive</v>
      </c>
      <c r="Y9" s="57">
        <f t="shared" si="120"/>
        <v>0</v>
      </c>
      <c r="Z9" s="57">
        <f t="shared" si="121"/>
        <v>0</v>
      </c>
      <c r="AA9" s="58">
        <f t="shared" si="122"/>
        <v>0</v>
      </c>
      <c r="AB9" s="45">
        <f t="shared" si="123"/>
        <v>9</v>
      </c>
      <c r="AC9" s="54">
        <f t="shared" si="4"/>
        <v>2.4789999999999996</v>
      </c>
      <c r="AD9" s="45">
        <f t="shared" si="124"/>
        <v>1</v>
      </c>
      <c r="AE9" s="45">
        <f t="shared" si="125"/>
        <v>2</v>
      </c>
      <c r="AF9" s="45">
        <f t="shared" si="126"/>
        <v>0</v>
      </c>
      <c r="AG9" s="46" cm="1">
        <f t="array" ref="AG9">ROUND(IFERROR(INDEX(ArchiveResults!$F$5:$IX$116,ComparisonData!A9,ComparisonData!$AG$1),0),5)</f>
        <v>0</v>
      </c>
      <c r="AH9" s="46" cm="1">
        <f t="array" ref="AH9">ROUND(IFERROR(INDEX(ArchiveResults!$F$5:$IX$116,ComparisonData!A9,ComparisonData!$AH$1),0),5)</f>
        <v>0</v>
      </c>
      <c r="AI9" s="56">
        <v>4</v>
      </c>
      <c r="AJ9" s="53" t="str">
        <f t="shared" si="5"/>
        <v>Bank of England Archive</v>
      </c>
      <c r="AK9" s="59">
        <f t="shared" si="6"/>
        <v>0</v>
      </c>
      <c r="AL9" s="59">
        <f t="shared" si="7"/>
        <v>0</v>
      </c>
      <c r="AM9" s="58">
        <f>MAX(AK9:AL9)</f>
        <v>0</v>
      </c>
      <c r="AN9" s="45">
        <f t="shared" si="128"/>
        <v>9</v>
      </c>
      <c r="AO9" s="54">
        <f t="shared" si="8"/>
        <v>2.4789999999999996</v>
      </c>
      <c r="AP9" s="45">
        <f t="shared" si="129"/>
        <v>1</v>
      </c>
      <c r="AQ9" s="45">
        <f t="shared" si="130"/>
        <v>2</v>
      </c>
      <c r="AR9" s="46" cm="1">
        <f t="array" ref="AR9">ROUND(IFERROR(INDEX(ArchiveResults!$F$5:$IX$116,ComparisonData!A9,ComparisonData!$AR$1),0),5)</f>
        <v>0</v>
      </c>
      <c r="AS9" s="46" cm="1">
        <f t="array" ref="AS9">ROUND(IFERROR(INDEX(ArchiveResults!$F$5:$IX$116,ComparisonData!A9,ComparisonData!$AS$1),0),5)</f>
        <v>0</v>
      </c>
      <c r="AT9" s="46" cm="1">
        <f t="array" ref="AT9">ROUND(IFERROR(INDEX(ArchiveResults!$F$5:$IX$116,ComparisonData!A9,ComparisonData!$AT$1),0),5)</f>
        <v>0</v>
      </c>
      <c r="AU9" s="46" cm="1">
        <f t="array" ref="AU9">ROUND(IFERROR(INDEX(ArchiveResults!$F$5:$IX$116,ComparisonData!A9,ComparisonData!$AU$1),0),5)</f>
        <v>0</v>
      </c>
      <c r="AV9" s="46" cm="1">
        <f t="array" ref="AV9">ROUND(IFERROR(INDEX(ArchiveResults!$F$5:$IX$116,ComparisonData!A9,ComparisonData!$AV$1),0),5)</f>
        <v>0</v>
      </c>
      <c r="AW9" s="46" cm="1">
        <f t="array" ref="AW9">ROUND(IFERROR(INDEX(ArchiveResults!$F$5:$IX$116,ComparisonData!A9,ComparisonData!$AW$1),0),5)</f>
        <v>0</v>
      </c>
      <c r="AX9" s="46" cm="1">
        <f t="array" ref="AX9">ROUND(IFERROR(INDEX(ArchiveResults!$F$5:$IX$116,ComparisonData!A9,ComparisonData!$AX$1),0),5)</f>
        <v>0</v>
      </c>
      <c r="AY9" s="46" cm="1">
        <f t="array" ref="AY9">ROUND(IFERROR(INDEX(ArchiveResults!$F$5:$IX$116,ComparisonData!A9,ComparisonData!$AY$1),0),5)</f>
        <v>0</v>
      </c>
      <c r="AZ9" s="46" cm="1">
        <f t="array" ref="AZ9">ROUND(IFERROR(INDEX(ArchiveResults!$F$5:$IX$116,ComparisonData!A9,ComparisonData!$AZ$1),0),5)</f>
        <v>0</v>
      </c>
      <c r="BA9" s="46" cm="1">
        <f t="array" ref="BA9">ROUND(IFERROR(INDEX(ArchiveResults!$F$5:$IX$116,ComparisonData!A9,ComparisonData!$BA$1),0),5)</f>
        <v>0</v>
      </c>
      <c r="BB9" s="56">
        <v>4</v>
      </c>
      <c r="BC9" s="53" t="str">
        <f t="shared" si="9"/>
        <v>Bank of England Archive</v>
      </c>
      <c r="BD9" s="60">
        <f t="shared" si="131"/>
        <v>0</v>
      </c>
      <c r="BE9" s="60">
        <f t="shared" si="132"/>
        <v>0</v>
      </c>
      <c r="BF9" s="60">
        <f t="shared" si="133"/>
        <v>0</v>
      </c>
      <c r="BG9" s="60">
        <f t="shared" si="134"/>
        <v>0</v>
      </c>
      <c r="BH9" s="60">
        <f t="shared" si="135"/>
        <v>0</v>
      </c>
      <c r="BI9" s="60">
        <f t="shared" si="136"/>
        <v>0</v>
      </c>
      <c r="BJ9" s="60">
        <f t="shared" si="137"/>
        <v>0</v>
      </c>
      <c r="BK9" s="60">
        <f t="shared" si="138"/>
        <v>0</v>
      </c>
      <c r="BL9" s="60">
        <f t="shared" si="139"/>
        <v>0</v>
      </c>
      <c r="BM9" s="59">
        <f t="shared" si="140"/>
        <v>0</v>
      </c>
      <c r="BN9" s="58">
        <f t="shared" si="141"/>
        <v>0</v>
      </c>
      <c r="BO9" s="45">
        <f t="shared" si="142"/>
        <v>9</v>
      </c>
      <c r="BP9" s="54">
        <f t="shared" si="10"/>
        <v>2.4789999999999996</v>
      </c>
      <c r="BQ9" s="45">
        <f t="shared" si="143"/>
        <v>1</v>
      </c>
      <c r="BR9" s="45">
        <f t="shared" si="144"/>
        <v>2</v>
      </c>
      <c r="BS9" s="46" cm="1">
        <f t="array" ref="BS9">ROUND(IFERROR(INDEX(ArchiveResults!$F$5:$IX$116,ComparisonData!A9,ComparisonData!$BS$1),0),5)</f>
        <v>0</v>
      </c>
      <c r="BT9" s="46" cm="1">
        <f t="array" ref="BT9">ROUND(IFERROR(INDEX(ArchiveResults!$F$5:$IX$116,ComparisonData!A9,ComparisonData!$BT$1),0),5)</f>
        <v>0</v>
      </c>
      <c r="BU9" s="46" cm="1">
        <f t="array" ref="BU9">ROUND(IFERROR(INDEX(ArchiveResults!$F$5:$IX$116,ComparisonData!A9,ComparisonData!$BU$1),0),5)</f>
        <v>0</v>
      </c>
      <c r="BV9" s="46" cm="1">
        <f t="array" ref="BV9">ROUND(IFERROR(INDEX(ArchiveResults!$F$5:$IX$116,ComparisonData!A9,ComparisonData!$BV$1),0),5)</f>
        <v>0</v>
      </c>
      <c r="BW9" s="46" cm="1">
        <f t="array" ref="BW9">ROUND(IFERROR(INDEX(ArchiveResults!$F$5:$IX$116,ComparisonData!A9,ComparisonData!$BW$1),0),5)</f>
        <v>0</v>
      </c>
      <c r="BX9" s="46" cm="1">
        <f t="array" ref="BX9">ROUND(IFERROR(INDEX(ArchiveResults!$F$5:$IX$116,ComparisonData!A9,ComparisonData!$BX$1),0),5)</f>
        <v>0</v>
      </c>
      <c r="BY9" s="56">
        <v>4</v>
      </c>
      <c r="BZ9" s="53" t="str">
        <f t="shared" si="11"/>
        <v>Bank of England Archive</v>
      </c>
      <c r="CA9" s="59">
        <f t="shared" si="145"/>
        <v>0</v>
      </c>
      <c r="CB9" s="59">
        <f t="shared" si="146"/>
        <v>0</v>
      </c>
      <c r="CC9" s="59">
        <f t="shared" si="147"/>
        <v>0</v>
      </c>
      <c r="CD9" s="59">
        <f t="shared" si="148"/>
        <v>0</v>
      </c>
      <c r="CE9" s="59">
        <f t="shared" si="149"/>
        <v>0</v>
      </c>
      <c r="CF9" s="59">
        <f t="shared" si="150"/>
        <v>0</v>
      </c>
      <c r="CG9" s="58">
        <f t="shared" si="151"/>
        <v>0</v>
      </c>
      <c r="CH9" s="45">
        <f t="shared" si="152"/>
        <v>9</v>
      </c>
      <c r="CI9" s="54">
        <f t="shared" si="12"/>
        <v>2.4789999999999996</v>
      </c>
      <c r="CJ9" s="45">
        <f t="shared" si="153"/>
        <v>1</v>
      </c>
      <c r="CK9" s="45">
        <f t="shared" si="154"/>
        <v>2</v>
      </c>
      <c r="CL9" s="46" cm="1">
        <f t="array" ref="CL9">ROUND(IFERROR(INDEX(ArchiveResults!$F$5:$IX$116,ComparisonData!A9,ComparisonData!$CL$1),0),5)</f>
        <v>0</v>
      </c>
      <c r="CM9" s="56">
        <v>4</v>
      </c>
      <c r="CN9" s="53" t="str">
        <f t="shared" si="13"/>
        <v>Bank of England Archive</v>
      </c>
      <c r="CO9" s="45">
        <f t="shared" si="155"/>
        <v>0</v>
      </c>
      <c r="CP9" s="58">
        <f t="shared" si="156"/>
        <v>0</v>
      </c>
      <c r="CQ9" s="45">
        <f t="shared" si="157"/>
        <v>9</v>
      </c>
      <c r="CR9" s="54">
        <f t="shared" si="14"/>
        <v>2.4789999999999996</v>
      </c>
      <c r="CS9" s="45">
        <f t="shared" si="158"/>
        <v>1</v>
      </c>
      <c r="CT9" s="45">
        <f t="shared" si="159"/>
        <v>2</v>
      </c>
      <c r="CU9" s="46" cm="1">
        <f t="array" ref="CU9">ROUND(IFERROR(INDEX(ArchiveResults!$F$5:$IX$116,ComparisonData!A9,ComparisonData!$CU$1),0),5)</f>
        <v>0</v>
      </c>
      <c r="CV9" s="56">
        <v>4</v>
      </c>
      <c r="CW9" s="53" t="str">
        <f t="shared" si="15"/>
        <v>Bank of England Archive</v>
      </c>
      <c r="CX9" s="45">
        <f t="shared" si="160"/>
        <v>0</v>
      </c>
      <c r="CY9" s="58">
        <f t="shared" si="161"/>
        <v>0</v>
      </c>
      <c r="CZ9" s="45">
        <f t="shared" si="162"/>
        <v>9</v>
      </c>
      <c r="DA9" s="54">
        <f t="shared" si="16"/>
        <v>2.4789999999999996</v>
      </c>
      <c r="DB9" s="45">
        <f t="shared" si="163"/>
        <v>1</v>
      </c>
      <c r="DC9" s="45">
        <f t="shared" si="164"/>
        <v>2</v>
      </c>
      <c r="DD9" s="46" cm="1">
        <f t="array" ref="DD9">ROUND(IFERROR(INDEX(ArchiveResults!$F$5:$IX$116,ComparisonData!A9,ComparisonData!$DD$1),0),5)</f>
        <v>0</v>
      </c>
      <c r="DE9" s="56">
        <v>4</v>
      </c>
      <c r="DF9" s="53" t="str">
        <f t="shared" si="17"/>
        <v>Bank of England Archive</v>
      </c>
      <c r="DG9" s="45">
        <f t="shared" si="165"/>
        <v>0</v>
      </c>
      <c r="DH9" s="58">
        <f t="shared" si="166"/>
        <v>0</v>
      </c>
      <c r="DI9" s="45">
        <f t="shared" si="167"/>
        <v>9</v>
      </c>
      <c r="DJ9" s="54">
        <f t="shared" si="18"/>
        <v>2.4789999999999996</v>
      </c>
      <c r="DK9" s="45">
        <f t="shared" si="168"/>
        <v>1</v>
      </c>
      <c r="DL9" s="45">
        <f t="shared" si="169"/>
        <v>2</v>
      </c>
      <c r="DM9" s="46" cm="1">
        <f t="array" ref="DM9">ROUND(IFERROR(INDEX(ArchiveResults!$F$5:$IX$116,ComparisonData!A9,ComparisonData!$DM$1),0),5)</f>
        <v>0</v>
      </c>
      <c r="DN9" s="46" cm="1">
        <f t="array" ref="DN9">ROUND(IFERROR(INDEX(ArchiveResults!$F$5:$IX$116,ComparisonData!A9,ComparisonData!$DN$1),0),5)</f>
        <v>0</v>
      </c>
      <c r="DO9" s="46" cm="1">
        <f t="array" ref="DO9">ROUND(IFERROR(INDEX(ArchiveResults!$F$5:$IX$116,ComparisonData!A9,ComparisonData!$DO$1),0),5)</f>
        <v>0</v>
      </c>
      <c r="DP9" s="46" cm="1">
        <f t="array" ref="DP9">ROUND(IFERROR(INDEX(ArchiveResults!$F$5:$IX$116,ComparisonData!A9,ComparisonData!$DP$1),0),5)</f>
        <v>0</v>
      </c>
      <c r="DQ9" s="45" cm="1">
        <f t="array" ref="DQ9">IFERROR(INDEX(ArchiveResults!$F$5:$IX$116,ComparisonData!A9,ComparisonData!$DQ$1),0)</f>
        <v>0</v>
      </c>
      <c r="DR9" s="56">
        <v>4</v>
      </c>
      <c r="DS9" s="53" t="str">
        <f t="shared" si="19"/>
        <v>Bank of England Archive</v>
      </c>
      <c r="DT9" s="59">
        <f t="shared" si="170"/>
        <v>0</v>
      </c>
      <c r="DU9" s="59">
        <f t="shared" si="171"/>
        <v>0</v>
      </c>
      <c r="DV9" s="59">
        <f t="shared" si="172"/>
        <v>0</v>
      </c>
      <c r="DW9" s="59">
        <f t="shared" si="173"/>
        <v>0</v>
      </c>
      <c r="DX9" s="59">
        <f t="shared" si="174"/>
        <v>0</v>
      </c>
      <c r="DY9" s="58">
        <f t="shared" si="175"/>
        <v>0</v>
      </c>
      <c r="DZ9" s="45">
        <f t="shared" si="176"/>
        <v>9</v>
      </c>
      <c r="EA9" s="54">
        <f t="shared" si="20"/>
        <v>2.4789999999999996</v>
      </c>
      <c r="EB9" s="45">
        <f t="shared" si="177"/>
        <v>1</v>
      </c>
      <c r="EC9" s="45">
        <f t="shared" si="178"/>
        <v>2</v>
      </c>
      <c r="ED9" s="46" cm="1">
        <f t="array" ref="ED9">ROUND(IFERROR(INDEX(ArchiveResults!$F$5:$IX$116,ComparisonData!A9,ComparisonData!$ED$1),0),5)</f>
        <v>0</v>
      </c>
      <c r="EE9" s="46" cm="1">
        <f t="array" ref="EE9">ROUND(IFERROR(INDEX(ArchiveResults!$F$5:$IX$116,ComparisonData!A9,ComparisonData!$EE$1),0),5)</f>
        <v>0</v>
      </c>
      <c r="EF9" s="46" cm="1">
        <f t="array" ref="EF9">ROUND(IFERROR(INDEX(ArchiveResults!$F$5:$IX$116,ComparisonData!A9,ComparisonData!$EF$1),0),5)</f>
        <v>0</v>
      </c>
      <c r="EG9" s="46" cm="1">
        <f t="array" ref="EG9">ROUND(IFERROR(INDEX(ArchiveResults!$F$5:$IX$116,ComparisonData!A9,ComparisonData!$EG$1),0),5)</f>
        <v>0</v>
      </c>
      <c r="EH9" s="45" cm="1">
        <f t="array" ref="EH9">IFERROR(INDEX(ArchiveResults!$F$5:$IX$116,ComparisonData!A9,ComparisonData!$EH$1),0)</f>
        <v>0</v>
      </c>
      <c r="EI9" s="56">
        <v>4</v>
      </c>
      <c r="EJ9" s="53" t="str">
        <f t="shared" si="21"/>
        <v>Bank of England Archive</v>
      </c>
      <c r="EK9" s="59">
        <f t="shared" si="179"/>
        <v>0</v>
      </c>
      <c r="EL9" s="59">
        <f t="shared" si="180"/>
        <v>0</v>
      </c>
      <c r="EM9" s="59">
        <f t="shared" si="181"/>
        <v>0</v>
      </c>
      <c r="EN9" s="59">
        <f t="shared" si="182"/>
        <v>0</v>
      </c>
      <c r="EO9" s="59">
        <f t="shared" si="183"/>
        <v>0</v>
      </c>
      <c r="EP9" s="58">
        <f t="shared" si="184"/>
        <v>0</v>
      </c>
      <c r="EQ9" s="45">
        <f t="shared" si="185"/>
        <v>9</v>
      </c>
      <c r="ER9" s="54">
        <f t="shared" si="22"/>
        <v>2.4789999999999996</v>
      </c>
      <c r="ES9" s="45">
        <f t="shared" si="186"/>
        <v>1</v>
      </c>
      <c r="ET9" s="45">
        <f t="shared" si="187"/>
        <v>2</v>
      </c>
      <c r="EU9" s="46" cm="1">
        <f t="array" ref="EU9">ROUND(IFERROR(INDEX(ArchiveResults!$F$5:$IX$116,ComparisonData!A9,ComparisonData!$EU$1),0),5)</f>
        <v>0</v>
      </c>
      <c r="EV9" s="46" cm="1">
        <f t="array" ref="EV9">ROUND(IFERROR(INDEX(ArchiveResults!$F$5:$IX$116,ComparisonData!A9,ComparisonData!$EV$1),0),5)</f>
        <v>0</v>
      </c>
      <c r="EW9" s="46" cm="1">
        <f t="array" ref="EW9">ROUND(IFERROR(INDEX(ArchiveResults!$F$5:$IX$116,ComparisonData!A9,ComparisonData!$EW$1),0),5)</f>
        <v>0</v>
      </c>
      <c r="EX9" s="46" cm="1">
        <f t="array" ref="EX9">ROUND(IFERROR(INDEX(ArchiveResults!$F$5:$IX$116,ComparisonData!A9,ComparisonData!$EX$1),0),5)</f>
        <v>0</v>
      </c>
      <c r="EY9" s="45" cm="1">
        <f t="array" ref="EY9">IFERROR(INDEX(ArchiveResults!$F$5:$IX$116,ComparisonData!A9,ComparisonData!$EY$1),0)</f>
        <v>0</v>
      </c>
      <c r="EZ9" s="56">
        <v>4</v>
      </c>
      <c r="FA9" s="53" t="str">
        <f t="shared" si="23"/>
        <v>Bank of England Archive</v>
      </c>
      <c r="FB9" s="59">
        <f t="shared" si="188"/>
        <v>0</v>
      </c>
      <c r="FC9" s="59">
        <f t="shared" si="189"/>
        <v>0</v>
      </c>
      <c r="FD9" s="59">
        <f t="shared" si="190"/>
        <v>0</v>
      </c>
      <c r="FE9" s="59">
        <f t="shared" si="191"/>
        <v>0</v>
      </c>
      <c r="FF9" s="59">
        <f t="shared" si="192"/>
        <v>0</v>
      </c>
      <c r="FG9" s="58">
        <f t="shared" si="193"/>
        <v>0</v>
      </c>
      <c r="FH9" s="45">
        <f t="shared" si="194"/>
        <v>9</v>
      </c>
      <c r="FI9" s="54">
        <f t="shared" si="24"/>
        <v>2.4789999999999996</v>
      </c>
      <c r="FJ9" s="45">
        <f t="shared" si="195"/>
        <v>1</v>
      </c>
      <c r="FK9" s="45">
        <f t="shared" si="196"/>
        <v>2</v>
      </c>
      <c r="FL9" s="46" cm="1">
        <f t="array" ref="FL9">ROUND(IFERROR(INDEX(ArchiveResults!$F$5:$IX$116,ComparisonData!A9,ComparisonData!$FL$1),0),5)</f>
        <v>0</v>
      </c>
      <c r="FM9" s="46" cm="1">
        <f t="array" ref="FM9">ROUND(IFERROR(INDEX(ArchiveResults!$F$5:$IX$116,ComparisonData!A9,ComparisonData!$FM$1),0),5)</f>
        <v>0</v>
      </c>
      <c r="FN9" s="46" cm="1">
        <f t="array" ref="FN9">ROUND(IFERROR(INDEX(ArchiveResults!$F$5:$IX$116,ComparisonData!A9,ComparisonData!$FN$1),0),5)</f>
        <v>0</v>
      </c>
      <c r="FO9" s="46" cm="1">
        <f t="array" ref="FO9">ROUND(IFERROR(INDEX(ArchiveResults!$F$5:$IX$116,ComparisonData!A9,ComparisonData!$FO$1),0),5)</f>
        <v>0</v>
      </c>
      <c r="FP9" s="45" cm="1">
        <f t="array" ref="FP9">IFERROR(INDEX(ArchiveResults!$F$5:$IX$116,ComparisonData!A9,ComparisonData!$FP$1),0)</f>
        <v>0</v>
      </c>
      <c r="FQ9" s="56">
        <v>4</v>
      </c>
      <c r="FR9" s="53" t="str">
        <f t="shared" si="25"/>
        <v>Bank of England Archive</v>
      </c>
      <c r="FS9" s="59">
        <f t="shared" si="197"/>
        <v>0</v>
      </c>
      <c r="FT9" s="59">
        <f t="shared" si="198"/>
        <v>0</v>
      </c>
      <c r="FU9" s="59">
        <f t="shared" si="199"/>
        <v>0</v>
      </c>
      <c r="FV9" s="59">
        <f t="shared" si="200"/>
        <v>0</v>
      </c>
      <c r="FW9" s="59">
        <f t="shared" si="201"/>
        <v>0</v>
      </c>
      <c r="FX9" s="58">
        <f t="shared" si="202"/>
        <v>0</v>
      </c>
      <c r="FY9" s="45">
        <f t="shared" si="203"/>
        <v>9</v>
      </c>
      <c r="FZ9" s="45">
        <f t="shared" si="26"/>
        <v>2.4789999999999996</v>
      </c>
      <c r="GA9" s="45">
        <f t="shared" si="204"/>
        <v>1</v>
      </c>
      <c r="GB9" s="45">
        <f t="shared" si="205"/>
        <v>2</v>
      </c>
      <c r="GC9" s="46" cm="1">
        <f t="array" ref="GC9">ROUND(IFERROR(INDEX(ArchiveResults!$F$5:$IX$116,ComparisonData!A9,ComparisonData!$GC$1),0),5)</f>
        <v>0</v>
      </c>
      <c r="GD9" s="46" cm="1">
        <f t="array" ref="GD9">ROUND(IFERROR(INDEX(ArchiveResults!$F$5:$IX$116,ComparisonData!A9,ComparisonData!$GD$1),0),5)</f>
        <v>0</v>
      </c>
      <c r="GE9" s="46" cm="1">
        <f t="array" ref="GE9">ROUND(IFERROR(INDEX(ArchiveResults!$F$5:$IX$116,ComparisonData!A9,ComparisonData!$GE$1),0),5)</f>
        <v>0</v>
      </c>
      <c r="GF9" s="46" cm="1">
        <f t="array" ref="GF9">ROUND(IFERROR(INDEX(ArchiveResults!$F$5:$IX$116,ComparisonData!A9,ComparisonData!$GF$1),0),5)</f>
        <v>0</v>
      </c>
      <c r="GG9" s="45" cm="1">
        <f t="array" ref="GG9">IFERROR(INDEX(ArchiveResults!$F$5:$IX$116,ComparisonData!A9,ComparisonData!$GG$1),0)</f>
        <v>0</v>
      </c>
      <c r="GH9" s="56">
        <v>4</v>
      </c>
      <c r="GI9" s="53" t="str">
        <f t="shared" si="27"/>
        <v>Bank of England Archive</v>
      </c>
      <c r="GJ9" s="59">
        <f t="shared" si="206"/>
        <v>0</v>
      </c>
      <c r="GK9" s="59">
        <f t="shared" si="207"/>
        <v>0</v>
      </c>
      <c r="GL9" s="59">
        <f t="shared" si="208"/>
        <v>0</v>
      </c>
      <c r="GM9" s="59">
        <f t="shared" si="209"/>
        <v>0</v>
      </c>
      <c r="GN9" s="59">
        <f t="shared" si="210"/>
        <v>0</v>
      </c>
      <c r="GO9" s="58">
        <f t="shared" si="211"/>
        <v>0</v>
      </c>
      <c r="GP9" s="45">
        <f t="shared" si="212"/>
        <v>9</v>
      </c>
      <c r="GQ9" s="45">
        <f t="shared" si="28"/>
        <v>2.4789999999999996</v>
      </c>
      <c r="GR9" s="45">
        <f t="shared" si="213"/>
        <v>1</v>
      </c>
      <c r="GS9" s="45">
        <f t="shared" si="214"/>
        <v>2</v>
      </c>
      <c r="GT9" s="46" cm="1">
        <f t="array" ref="GT9">ROUND(IFERROR(INDEX(ArchiveResults!$F$5:$IX$116,ComparisonData!A9,ComparisonData!$GT$1),0),5)</f>
        <v>0</v>
      </c>
      <c r="GU9" s="46" cm="1">
        <f t="array" ref="GU9">ROUND(IFERROR(INDEX(ArchiveResults!$F$5:$IX$116,ComparisonData!A9,ComparisonData!$GU$1),0),5)</f>
        <v>0</v>
      </c>
      <c r="GV9" s="46" cm="1">
        <f t="array" ref="GV9">ROUND(IFERROR(INDEX(ArchiveResults!$F$5:$IX$116,ComparisonData!A9,ComparisonData!$GV$1),0),5)</f>
        <v>0</v>
      </c>
      <c r="GW9" s="46" cm="1">
        <f t="array" ref="GW9">ROUND(IFERROR(INDEX(ArchiveResults!$F$5:$IX$116,ComparisonData!A9,ComparisonData!$GW$1),0),5)</f>
        <v>0</v>
      </c>
      <c r="GX9" s="45" cm="1">
        <f t="array" ref="GX9">IFERROR(INDEX(ArchiveResults!$F$5:$IX$116,ComparisonData!A9,ComparisonData!$GX$1),0)</f>
        <v>0</v>
      </c>
      <c r="GY9" s="56">
        <v>4</v>
      </c>
      <c r="GZ9" s="53" t="str">
        <f t="shared" si="29"/>
        <v>Bank of England Archive</v>
      </c>
      <c r="HA9" s="59">
        <f t="shared" si="215"/>
        <v>0</v>
      </c>
      <c r="HB9" s="59">
        <f t="shared" si="216"/>
        <v>0</v>
      </c>
      <c r="HC9" s="59">
        <f t="shared" si="217"/>
        <v>0</v>
      </c>
      <c r="HD9" s="59">
        <f t="shared" si="218"/>
        <v>0</v>
      </c>
      <c r="HE9" s="59">
        <f t="shared" si="219"/>
        <v>0</v>
      </c>
      <c r="HF9" s="58">
        <f t="shared" si="220"/>
        <v>0</v>
      </c>
      <c r="HG9" s="45">
        <f t="shared" si="221"/>
        <v>9</v>
      </c>
      <c r="HH9" s="45">
        <f t="shared" si="30"/>
        <v>2.4789999999999996</v>
      </c>
      <c r="HI9" s="45">
        <f t="shared" si="222"/>
        <v>1</v>
      </c>
      <c r="HJ9" s="45">
        <f t="shared" si="223"/>
        <v>2</v>
      </c>
      <c r="HK9" s="46" cm="1">
        <f t="array" ref="HK9">ROUND(IFERROR(INDEX(ArchiveResults!$F$5:$IX$116,ComparisonData!A9,ComparisonData!$HK$1),0),5)</f>
        <v>0</v>
      </c>
      <c r="HL9" s="46" cm="1">
        <f t="array" ref="HL9">ROUND(IFERROR(INDEX(ArchiveResults!$F$5:$IX$116,ComparisonData!A9,ComparisonData!$HL$1),0),5)</f>
        <v>0</v>
      </c>
      <c r="HM9" s="46" cm="1">
        <f t="array" ref="HM9">ROUND(IFERROR(INDEX(ArchiveResults!$F$5:$IX$116,ComparisonData!A9,ComparisonData!$HM$1),0),5)</f>
        <v>0</v>
      </c>
      <c r="HN9" s="46" cm="1">
        <f t="array" ref="HN9">ROUND(IFERROR(INDEX(ArchiveResults!$F$5:$IX$116,ComparisonData!A9,ComparisonData!$HN$1),0),5)</f>
        <v>0</v>
      </c>
      <c r="HO9" s="45" cm="1">
        <f t="array" ref="HO9">IFERROR(INDEX(ArchiveResults!$F$5:$IX$116,ComparisonData!A9,ComparisonData!$HO$1),0)</f>
        <v>0</v>
      </c>
      <c r="HP9" s="56">
        <v>4</v>
      </c>
      <c r="HQ9" s="53" t="str">
        <f t="shared" si="31"/>
        <v>Bank of England Archive</v>
      </c>
      <c r="HR9" s="59">
        <f t="shared" si="32"/>
        <v>0</v>
      </c>
      <c r="HS9" s="59">
        <f t="shared" si="33"/>
        <v>0</v>
      </c>
      <c r="HT9" s="59">
        <f t="shared" si="34"/>
        <v>0</v>
      </c>
      <c r="HU9" s="59">
        <f t="shared" si="35"/>
        <v>0</v>
      </c>
      <c r="HV9" s="59">
        <f t="shared" si="36"/>
        <v>0</v>
      </c>
      <c r="HW9" s="58">
        <f t="shared" si="224"/>
        <v>0</v>
      </c>
      <c r="HX9" s="45">
        <f t="shared" si="225"/>
        <v>9</v>
      </c>
      <c r="HY9" s="45">
        <f t="shared" si="37"/>
        <v>2.4789999999999996</v>
      </c>
      <c r="HZ9" s="45">
        <f t="shared" si="226"/>
        <v>1</v>
      </c>
      <c r="IA9" s="45">
        <f t="shared" si="227"/>
        <v>2</v>
      </c>
      <c r="IB9" s="45">
        <f t="shared" si="228"/>
        <v>0</v>
      </c>
      <c r="IC9" s="46" cm="1">
        <f t="array" ref="IC9">ROUND(IFERROR(INDEX(ArchiveResults!$F$5:$IX$116,ComparisonData!A9,ComparisonData!$IC$1),0),5)</f>
        <v>0</v>
      </c>
      <c r="ID9" s="46" cm="1">
        <f t="array" ref="ID9">ROUND(IFERROR(INDEX(ArchiveResults!$F$5:$IX$116,ComparisonData!A9,ComparisonData!$ID$1),0),5)</f>
        <v>0</v>
      </c>
      <c r="IE9" s="46" cm="1">
        <f t="array" ref="IE9">ROUND(IFERROR(INDEX(ArchiveResults!$F$5:$IX$116,ComparisonData!A9,ComparisonData!$IE$1),0),5)</f>
        <v>0</v>
      </c>
      <c r="IF9" s="46" cm="1">
        <f t="array" ref="IF9">ROUND(IFERROR(INDEX(ArchiveResults!$F$5:$IX$116,ComparisonData!A9,ComparisonData!$IF$1),0),5)</f>
        <v>0</v>
      </c>
      <c r="IG9" s="45" cm="1">
        <f t="array" ref="IG9">IFERROR(INDEX(ArchiveResults!$F$5:$IX$116,ComparisonData!A9,ComparisonData!$IG$1),0)</f>
        <v>0</v>
      </c>
      <c r="IH9" s="56">
        <v>4</v>
      </c>
      <c r="II9" s="53" t="str">
        <f t="shared" si="38"/>
        <v>Bank of England Archive</v>
      </c>
      <c r="IJ9" s="59">
        <f t="shared" si="229"/>
        <v>0</v>
      </c>
      <c r="IK9" s="59">
        <f t="shared" si="230"/>
        <v>0</v>
      </c>
      <c r="IL9" s="59">
        <f t="shared" si="231"/>
        <v>0</v>
      </c>
      <c r="IM9" s="59">
        <f t="shared" si="232"/>
        <v>0</v>
      </c>
      <c r="IN9" s="59">
        <f t="shared" si="233"/>
        <v>0</v>
      </c>
      <c r="IO9" s="58">
        <f t="shared" si="234"/>
        <v>0</v>
      </c>
      <c r="IP9" s="45">
        <f t="shared" si="235"/>
        <v>9</v>
      </c>
      <c r="IQ9" s="45">
        <f t="shared" si="39"/>
        <v>2.4789999999999996</v>
      </c>
      <c r="IR9" s="45">
        <f t="shared" si="236"/>
        <v>1</v>
      </c>
      <c r="IS9" s="45">
        <f t="shared" si="237"/>
        <v>2</v>
      </c>
      <c r="IT9" s="46">
        <f t="shared" si="238"/>
        <v>0</v>
      </c>
      <c r="IU9" s="46" cm="1">
        <f t="array" ref="IU9">ROUND(IFERROR(INDEX(ArchiveResults!$F$5:$IX$116,ComparisonData!A9,ComparisonData!$IU$1),0),5)</f>
        <v>0</v>
      </c>
      <c r="IV9" s="46" cm="1">
        <f t="array" ref="IV9">ROUND(IFERROR(INDEX(ArchiveResults!$F$5:$IX$116,ComparisonData!A9,ComparisonData!$IV$1),0),5)</f>
        <v>0</v>
      </c>
      <c r="IW9" s="46" cm="1">
        <f t="array" ref="IW9">ROUND(IFERROR(INDEX(ArchiveResults!$F$5:$IX$116,ComparisonData!A9,ComparisonData!$IW$1),0),5)</f>
        <v>0</v>
      </c>
      <c r="IX9" s="46" cm="1">
        <f t="array" ref="IX9">ROUND(IFERROR(INDEX(ArchiveResults!$F$5:$IX$116,ComparisonData!A9,ComparisonData!$IX$1),0),5)</f>
        <v>0</v>
      </c>
      <c r="IY9" s="45" cm="1">
        <f t="array" ref="IY9">IFERROR(INDEX(ArchiveResults!$F$5:$IX$116,ComparisonData!A9,ComparisonData!$IY$1),0)</f>
        <v>0</v>
      </c>
      <c r="IZ9" s="56">
        <v>4</v>
      </c>
      <c r="JA9" s="53" t="str">
        <f t="shared" si="40"/>
        <v>Bank of England Archive</v>
      </c>
      <c r="JB9" s="59">
        <f t="shared" si="239"/>
        <v>0</v>
      </c>
      <c r="JC9" s="59">
        <f t="shared" si="240"/>
        <v>0</v>
      </c>
      <c r="JD9" s="59">
        <f t="shared" si="241"/>
        <v>0</v>
      </c>
      <c r="JE9" s="59">
        <f t="shared" si="242"/>
        <v>0</v>
      </c>
      <c r="JF9" s="59">
        <f t="shared" si="243"/>
        <v>0</v>
      </c>
      <c r="JG9" s="58">
        <f t="shared" si="244"/>
        <v>0</v>
      </c>
      <c r="JH9" s="45">
        <f t="shared" si="245"/>
        <v>9</v>
      </c>
      <c r="JI9" s="45">
        <f t="shared" si="41"/>
        <v>2.4789999999999996</v>
      </c>
      <c r="JJ9" s="45">
        <f t="shared" si="246"/>
        <v>1</v>
      </c>
      <c r="JK9" s="45">
        <f t="shared" si="247"/>
        <v>2</v>
      </c>
      <c r="JL9" s="45">
        <f t="shared" si="248"/>
        <v>0</v>
      </c>
      <c r="JM9" s="46" cm="1">
        <f t="array" ref="JM9">ROUND(IFERROR(INDEX(ArchiveResults!$F$5:$IX$116,ComparisonData!A9,ComparisonData!$JM$1),0),5)</f>
        <v>0</v>
      </c>
      <c r="JN9" s="46" cm="1">
        <f t="array" ref="JN9">ROUND(IFERROR(INDEX(ArchiveResults!$F$5:$IX$116,ComparisonData!A9,ComparisonData!$JN$1),0),5)</f>
        <v>0</v>
      </c>
      <c r="JO9" s="46" cm="1">
        <f t="array" ref="JO9">ROUND(IFERROR(INDEX(ArchiveResults!$F$5:$IX$116,ComparisonData!A9,ComparisonData!$JO$1),0),5)</f>
        <v>0</v>
      </c>
      <c r="JP9" s="46" cm="1">
        <f t="array" ref="JP9">ROUND(IFERROR(INDEX(ArchiveResults!$F$5:$IX$116,ComparisonData!A9,ComparisonData!$JP$1),0),5)</f>
        <v>0</v>
      </c>
      <c r="JQ9" s="45" cm="1">
        <f t="array" ref="JQ9">IFERROR(INDEX(ArchiveResults!$F$5:$IX$116,ComparisonData!A9,ComparisonData!$JQ$1),0)</f>
        <v>0</v>
      </c>
      <c r="JR9" s="56">
        <v>4</v>
      </c>
      <c r="JS9" s="53" t="str">
        <f t="shared" si="42"/>
        <v>Bank of England Archive</v>
      </c>
      <c r="JT9" s="59">
        <f t="shared" si="249"/>
        <v>0</v>
      </c>
      <c r="JU9" s="59">
        <f t="shared" si="250"/>
        <v>0</v>
      </c>
      <c r="JV9" s="59">
        <f t="shared" si="251"/>
        <v>0</v>
      </c>
      <c r="JW9" s="59">
        <f t="shared" si="252"/>
        <v>0</v>
      </c>
      <c r="JX9" s="59">
        <f t="shared" si="253"/>
        <v>0</v>
      </c>
      <c r="JY9" s="58">
        <f t="shared" si="254"/>
        <v>0</v>
      </c>
      <c r="JZ9" s="45">
        <f t="shared" si="255"/>
        <v>9</v>
      </c>
      <c r="KA9" s="45">
        <f t="shared" si="43"/>
        <v>2.4789999999999996</v>
      </c>
      <c r="KB9" s="45">
        <f t="shared" si="256"/>
        <v>1</v>
      </c>
      <c r="KC9" s="45">
        <f t="shared" si="257"/>
        <v>2</v>
      </c>
      <c r="KD9" s="45">
        <f t="shared" si="258"/>
        <v>0</v>
      </c>
      <c r="KE9" s="46" cm="1">
        <f t="array" ref="KE9">ROUND(IFERROR(INDEX(ArchiveResults!$F$5:$IX$116,ComparisonData!A9,ComparisonData!$KE$1),0),5)</f>
        <v>0</v>
      </c>
      <c r="KF9" s="46" cm="1">
        <f t="array" ref="KF9">ROUND(IFERROR(INDEX(ArchiveResults!$F$5:$IX$116,ComparisonData!A9,ComparisonData!$KF$1),0),5)</f>
        <v>0</v>
      </c>
      <c r="KG9" s="46" cm="1">
        <f t="array" ref="KG9">ROUND(IFERROR(INDEX(ArchiveResults!$F$5:$IX$116,ComparisonData!A9,ComparisonData!$KG$1),0),5)</f>
        <v>0</v>
      </c>
      <c r="KH9" s="46" cm="1">
        <f t="array" ref="KH9">ROUND(IFERROR(INDEX(ArchiveResults!$F$5:$IX$116,ComparisonData!A9,ComparisonData!$KH$1),0),5)</f>
        <v>0</v>
      </c>
      <c r="KI9" s="45" cm="1">
        <f t="array" ref="KI9">IFERROR(INDEX(ArchiveResults!$F$5:$IX$116,ComparisonData!A9,ComparisonData!$KI$1),0)</f>
        <v>0</v>
      </c>
      <c r="KJ9" s="56">
        <v>4</v>
      </c>
      <c r="KK9" s="53" t="str">
        <f t="shared" si="44"/>
        <v>Bank of England Archive</v>
      </c>
      <c r="KL9" s="59">
        <f t="shared" si="259"/>
        <v>0</v>
      </c>
      <c r="KM9" s="59">
        <f t="shared" si="260"/>
        <v>0</v>
      </c>
      <c r="KN9" s="59">
        <f t="shared" si="261"/>
        <v>0</v>
      </c>
      <c r="KO9" s="59">
        <f t="shared" si="262"/>
        <v>0</v>
      </c>
      <c r="KP9" s="59">
        <f t="shared" si="263"/>
        <v>0</v>
      </c>
      <c r="KQ9" s="58">
        <f t="shared" si="264"/>
        <v>0</v>
      </c>
      <c r="KR9" s="45">
        <f t="shared" si="265"/>
        <v>9</v>
      </c>
      <c r="KS9" s="45">
        <f t="shared" si="45"/>
        <v>2.4789999999999996</v>
      </c>
      <c r="KT9" s="45">
        <f t="shared" si="266"/>
        <v>1</v>
      </c>
      <c r="KU9" s="45">
        <f t="shared" si="267"/>
        <v>2</v>
      </c>
      <c r="KV9" s="45">
        <f t="shared" si="268"/>
        <v>0</v>
      </c>
      <c r="KW9" s="46" cm="1">
        <f t="array" ref="KW9">ROUND(IFERROR(INDEX(ArchiveResults!$F$5:$IX$116,ComparisonData!A9,ComparisonData!$KW$1),0),5)</f>
        <v>0</v>
      </c>
      <c r="KX9" s="46" cm="1">
        <f t="array" ref="KX9">ROUND(IFERROR(INDEX(ArchiveResults!$F$5:$IX$116,ComparisonData!A9,ComparisonData!$KX$1),0),5)</f>
        <v>0</v>
      </c>
      <c r="KY9" s="46" cm="1">
        <f t="array" ref="KY9">ROUND(IFERROR(INDEX(ArchiveResults!$F$5:$IX$116,ComparisonData!A9,ComparisonData!$KY$1),0),5)</f>
        <v>0</v>
      </c>
      <c r="KZ9" s="46" cm="1">
        <f t="array" ref="KZ9">ROUND(IFERROR(INDEX(ArchiveResults!$F$5:$IX$116,ComparisonData!A9,ComparisonData!$KZ$1),0),5)</f>
        <v>0</v>
      </c>
      <c r="LA9" s="45" cm="1">
        <f t="array" ref="LA9">IFERROR(INDEX(ArchiveResults!$F$5:$IX$116,ComparisonData!A9,ComparisonData!$LA$1),0)</f>
        <v>0</v>
      </c>
      <c r="LB9" s="56">
        <v>4</v>
      </c>
      <c r="LC9" s="53" t="str">
        <f t="shared" si="46"/>
        <v>Bank of England Archive</v>
      </c>
      <c r="LD9" s="59">
        <f t="shared" si="269"/>
        <v>0</v>
      </c>
      <c r="LE9" s="59">
        <f t="shared" si="270"/>
        <v>0</v>
      </c>
      <c r="LF9" s="59">
        <f t="shared" si="271"/>
        <v>0</v>
      </c>
      <c r="LG9" s="59">
        <f t="shared" si="272"/>
        <v>0</v>
      </c>
      <c r="LH9" s="59">
        <f t="shared" si="273"/>
        <v>0</v>
      </c>
      <c r="LI9" s="58">
        <f t="shared" si="274"/>
        <v>0</v>
      </c>
      <c r="LJ9" s="45">
        <f t="shared" si="275"/>
        <v>9</v>
      </c>
      <c r="LK9" s="45">
        <f t="shared" si="47"/>
        <v>2.4789999999999996</v>
      </c>
      <c r="LL9" s="45">
        <f t="shared" si="276"/>
        <v>1</v>
      </c>
      <c r="LM9" s="45">
        <f t="shared" si="277"/>
        <v>2</v>
      </c>
      <c r="LN9" s="45">
        <f t="shared" si="278"/>
        <v>0</v>
      </c>
      <c r="LO9" s="46" cm="1">
        <f t="array" ref="LO9">ROUND(IFERROR(INDEX(ArchiveResults!$F$5:$IX$116,ComparisonData!A9,ComparisonData!$LO$1),0),5)</f>
        <v>0</v>
      </c>
      <c r="LP9" s="46" cm="1">
        <f t="array" ref="LP9">ROUND(IFERROR(INDEX(ArchiveResults!$F$5:$IX$116,ComparisonData!A9,ComparisonData!$LP$1),0),5)</f>
        <v>0</v>
      </c>
      <c r="LQ9" s="46" cm="1">
        <f t="array" ref="LQ9">ROUND(IFERROR(INDEX(ArchiveResults!$F$5:$IX$116,ComparisonData!A9,ComparisonData!$LQ$1),0),5)</f>
        <v>0</v>
      </c>
      <c r="LR9" s="46" cm="1">
        <f t="array" ref="LR9">ROUND(IFERROR(INDEX(ArchiveResults!$F$5:$IX$116,ComparisonData!A9,ComparisonData!$LR$1),0),5)</f>
        <v>0</v>
      </c>
      <c r="LS9" s="45" cm="1">
        <f t="array" ref="LS9">IFERROR(INDEX(ArchiveResults!$F$5:$IX$116,ComparisonData!A9,ComparisonData!$LS$1),0)</f>
        <v>0</v>
      </c>
      <c r="LT9" s="56">
        <v>4</v>
      </c>
      <c r="LU9" s="53" t="str">
        <f t="shared" si="48"/>
        <v>Bank of England Archive</v>
      </c>
      <c r="LV9" s="59">
        <f t="shared" si="279"/>
        <v>0</v>
      </c>
      <c r="LW9" s="59">
        <f t="shared" si="280"/>
        <v>0</v>
      </c>
      <c r="LX9" s="59">
        <f t="shared" si="281"/>
        <v>0</v>
      </c>
      <c r="LY9" s="59">
        <f t="shared" si="282"/>
        <v>0</v>
      </c>
      <c r="LZ9" s="59">
        <f t="shared" si="283"/>
        <v>0</v>
      </c>
      <c r="MA9" s="58">
        <f t="shared" si="284"/>
        <v>0</v>
      </c>
      <c r="MB9" s="45">
        <f t="shared" si="285"/>
        <v>9</v>
      </c>
      <c r="MC9" s="45">
        <f t="shared" si="49"/>
        <v>2.4789999999999996</v>
      </c>
      <c r="MD9" s="45">
        <f t="shared" si="286"/>
        <v>1</v>
      </c>
      <c r="ME9" s="45">
        <f t="shared" si="287"/>
        <v>2</v>
      </c>
      <c r="MF9" s="45">
        <f t="shared" si="288"/>
        <v>0</v>
      </c>
      <c r="MG9" s="46" cm="1">
        <f t="array" ref="MG9">ROUND(IFERROR(INDEX(ArchiveResults!$F$5:$IX$116,ComparisonData!A9,ComparisonData!$MG$1),0),5)</f>
        <v>0</v>
      </c>
      <c r="MH9" s="46" cm="1">
        <f t="array" ref="MH9">ROUND(IFERROR(INDEX(ArchiveResults!$F$5:$IX$116,ComparisonData!A9,ComparisonData!$MH$1),0),5)</f>
        <v>0</v>
      </c>
      <c r="MI9" s="46" cm="1">
        <f t="array" ref="MI9">ROUND(IFERROR(INDEX(ArchiveResults!$F$5:$IX$116,ComparisonData!A9,ComparisonData!$MI$1),0),5)</f>
        <v>0</v>
      </c>
      <c r="MJ9" s="46" cm="1">
        <f t="array" ref="MJ9">ROUND(IFERROR(INDEX(ArchiveResults!$F$5:$IX$116,ComparisonData!A9,ComparisonData!$MJ$1),0),5)</f>
        <v>0</v>
      </c>
      <c r="MK9" s="45" cm="1">
        <f t="array" ref="MK9">IFERROR(INDEX(ArchiveResults!$F$5:$IX$116,ComparisonData!A9,ComparisonData!$MK$1),0)</f>
        <v>0</v>
      </c>
      <c r="ML9" s="56">
        <v>4</v>
      </c>
      <c r="MM9" s="53" t="str">
        <f t="shared" si="50"/>
        <v>Bank of England Archive</v>
      </c>
      <c r="MN9" s="59">
        <f t="shared" si="289"/>
        <v>0</v>
      </c>
      <c r="MO9" s="59">
        <f t="shared" si="290"/>
        <v>0</v>
      </c>
      <c r="MP9" s="59">
        <f t="shared" si="291"/>
        <v>0</v>
      </c>
      <c r="MQ9" s="59">
        <f t="shared" si="292"/>
        <v>0</v>
      </c>
      <c r="MR9" s="59">
        <f t="shared" si="293"/>
        <v>0</v>
      </c>
      <c r="MS9" s="58">
        <f t="shared" si="294"/>
        <v>0</v>
      </c>
      <c r="MT9" s="45">
        <f t="shared" si="295"/>
        <v>9</v>
      </c>
      <c r="MU9" s="45">
        <f t="shared" si="51"/>
        <v>2.4789999999999996</v>
      </c>
      <c r="MV9" s="45">
        <f t="shared" si="296"/>
        <v>1</v>
      </c>
      <c r="MW9" s="45">
        <f t="shared" si="297"/>
        <v>2</v>
      </c>
      <c r="MX9" s="45">
        <f t="shared" si="298"/>
        <v>0</v>
      </c>
      <c r="MY9" s="46" cm="1">
        <f t="array" ref="MY9">ROUND(IFERROR(INDEX(ArchiveResults!$F$5:$IX$116,ComparisonData!A9,ComparisonData!$MY$1),0),5)</f>
        <v>0</v>
      </c>
      <c r="MZ9" s="46" cm="1">
        <f t="array" ref="MZ9">ROUND(IFERROR(INDEX(ArchiveResults!$F$5:$IX$116,ComparisonData!A9,ComparisonData!$MZ$1),0),5)</f>
        <v>0</v>
      </c>
      <c r="NA9" s="46" cm="1">
        <f t="array" ref="NA9">ROUND(IFERROR(INDEX(ArchiveResults!$F$5:$IX$116,ComparisonData!A9,ComparisonData!$NA$1),0),5)</f>
        <v>0</v>
      </c>
      <c r="NB9" s="46" cm="1">
        <f t="array" ref="NB9">ROUND(IFERROR(INDEX(ArchiveResults!$F$5:$IX$116,ComparisonData!A9,ComparisonData!$NB$1),0),5)</f>
        <v>0</v>
      </c>
      <c r="NC9" s="45" cm="1">
        <f t="array" ref="NC9">IFERROR(INDEX(ArchiveResults!$F$5:$IX$116,ComparisonData!A9,ComparisonData!$NC$1),0)</f>
        <v>0</v>
      </c>
      <c r="ND9" s="56">
        <v>4</v>
      </c>
      <c r="NE9" s="53" t="str">
        <f t="shared" si="52"/>
        <v>Bank of England Archive</v>
      </c>
      <c r="NF9" s="59">
        <f t="shared" si="299"/>
        <v>0</v>
      </c>
      <c r="NG9" s="59">
        <f t="shared" si="300"/>
        <v>0</v>
      </c>
      <c r="NH9" s="59">
        <f t="shared" si="301"/>
        <v>0</v>
      </c>
      <c r="NI9" s="59">
        <f t="shared" si="302"/>
        <v>0</v>
      </c>
      <c r="NJ9" s="59">
        <f t="shared" si="303"/>
        <v>0</v>
      </c>
      <c r="NK9" s="58">
        <f t="shared" si="304"/>
        <v>0</v>
      </c>
      <c r="NL9" s="45">
        <f t="shared" si="305"/>
        <v>9</v>
      </c>
      <c r="NM9" s="45">
        <f t="shared" si="53"/>
        <v>2.4789999999999996</v>
      </c>
      <c r="NN9" s="45">
        <f t="shared" si="306"/>
        <v>1</v>
      </c>
      <c r="NO9" s="45">
        <f t="shared" si="307"/>
        <v>2</v>
      </c>
      <c r="NP9" s="46" cm="1">
        <f t="array" ref="NP9">ROUND(IFERROR(INDEX(ArchiveResults!$F$5:$IX$116,ComparisonData!A9,ComparisonData!$NP$1),0),5)</f>
        <v>0</v>
      </c>
      <c r="NQ9" s="46" cm="1">
        <f t="array" ref="NQ9">ROUND(IFERROR(INDEX(ArchiveResults!$F$5:$IX$116,ComparisonData!A9,ComparisonData!$NQ$1),0),5)</f>
        <v>0</v>
      </c>
      <c r="NR9" s="46" cm="1">
        <f t="array" ref="NR9">ROUND(IFERROR(INDEX(ArchiveResults!$F$5:$IX$116,ComparisonData!A9,ComparisonData!$NR$1),0),5)</f>
        <v>0</v>
      </c>
      <c r="NS9" s="46" cm="1">
        <f t="array" ref="NS9">ROUND(IFERROR(INDEX(ArchiveResults!$F$5:$IX$116,ComparisonData!A9,ComparisonData!$NS$1),0),5)</f>
        <v>0</v>
      </c>
      <c r="NT9" s="45" cm="1">
        <f t="array" ref="NT9">IFERROR(INDEX(ArchiveResults!$F$5:$IX$116,ComparisonData!A9,ComparisonData!$NT$1),0)</f>
        <v>0</v>
      </c>
      <c r="NU9" s="56">
        <v>4</v>
      </c>
      <c r="NV9" s="53" t="str">
        <f t="shared" si="54"/>
        <v>Bank of England Archive</v>
      </c>
      <c r="NW9" s="59">
        <f t="shared" si="308"/>
        <v>0</v>
      </c>
      <c r="NX9" s="59">
        <f t="shared" si="309"/>
        <v>0</v>
      </c>
      <c r="NY9" s="59">
        <f t="shared" si="310"/>
        <v>0</v>
      </c>
      <c r="NZ9" s="59">
        <f t="shared" si="311"/>
        <v>0</v>
      </c>
      <c r="OA9" s="59">
        <f t="shared" si="312"/>
        <v>0</v>
      </c>
      <c r="OB9" s="58">
        <f t="shared" si="313"/>
        <v>0</v>
      </c>
      <c r="OC9" s="45">
        <f t="shared" si="314"/>
        <v>9</v>
      </c>
      <c r="OD9" s="45">
        <f t="shared" si="55"/>
        <v>2.4789999999999996</v>
      </c>
      <c r="OE9" s="45">
        <f t="shared" si="315"/>
        <v>1</v>
      </c>
      <c r="OF9" s="45">
        <f t="shared" si="316"/>
        <v>2</v>
      </c>
      <c r="OG9" s="46">
        <f t="shared" si="317"/>
        <v>0</v>
      </c>
      <c r="OH9" s="46" cm="1">
        <f t="array" ref="OH9">ROUND(IFERROR(INDEX(ArchiveResults!$F$5:$IX$116,ComparisonData!A9,ComparisonData!$OH$1),0),5)</f>
        <v>0</v>
      </c>
      <c r="OI9" s="46" cm="1">
        <f t="array" ref="OI9">ROUND(IFERROR(INDEX(ArchiveResults!$F$5:$IX$116,ComparisonData!A9,ComparisonData!$OI$1),0),5)</f>
        <v>0</v>
      </c>
      <c r="OJ9" s="46" cm="1">
        <f t="array" ref="OJ9">ROUND(IFERROR(INDEX(ArchiveResults!$F$5:$IX$116,ComparisonData!A9,ComparisonData!$OJ$1),0),5)</f>
        <v>0</v>
      </c>
      <c r="OK9" s="46" cm="1">
        <f t="array" ref="OK9">ROUND(IFERROR(INDEX(ArchiveResults!$F$5:$IX$116,ComparisonData!A9,ComparisonData!$OK$1),0),5)</f>
        <v>0</v>
      </c>
      <c r="OL9" s="45" cm="1">
        <f t="array" ref="OL9">IFERROR(INDEX(ArchiveResults!$F$5:$IX$116,ComparisonData!A9,ComparisonData!$OL$1),0)</f>
        <v>0</v>
      </c>
      <c r="OM9" s="56">
        <v>4</v>
      </c>
      <c r="ON9" s="53" t="str">
        <f t="shared" si="56"/>
        <v>Bank of England Archive</v>
      </c>
      <c r="OO9" s="59">
        <f t="shared" si="318"/>
        <v>0</v>
      </c>
      <c r="OP9" s="59">
        <f t="shared" si="319"/>
        <v>0</v>
      </c>
      <c r="OQ9" s="59">
        <f t="shared" si="320"/>
        <v>0</v>
      </c>
      <c r="OR9" s="59">
        <f t="shared" si="321"/>
        <v>0</v>
      </c>
      <c r="OS9" s="59">
        <f t="shared" si="322"/>
        <v>0</v>
      </c>
      <c r="OT9" s="58">
        <f t="shared" si="323"/>
        <v>0</v>
      </c>
      <c r="OU9" s="45">
        <f t="shared" si="324"/>
        <v>9</v>
      </c>
      <c r="OV9" s="45">
        <f t="shared" si="57"/>
        <v>2.4789999999999996</v>
      </c>
      <c r="OW9" s="45">
        <f t="shared" si="325"/>
        <v>1</v>
      </c>
      <c r="OX9" s="45">
        <f t="shared" si="326"/>
        <v>2</v>
      </c>
      <c r="OY9" s="45">
        <f t="shared" si="327"/>
        <v>0</v>
      </c>
      <c r="OZ9" s="46" cm="1">
        <f t="array" ref="OZ9">ROUND(IFERROR(INDEX(ArchiveResults!$F$5:$IX$116,ComparisonData!A9,ComparisonData!$OZ$1),0),5)</f>
        <v>0</v>
      </c>
      <c r="PA9" s="46" cm="1">
        <f t="array" ref="PA9">ROUND(IFERROR(INDEX(ArchiveResults!$F$5:$IX$116,ComparisonData!A9,ComparisonData!$PA$1),0),5)</f>
        <v>0</v>
      </c>
      <c r="PB9" s="46" cm="1">
        <f t="array" ref="PB9">ROUND(IFERROR(INDEX(ArchiveResults!$F$5:$IX$116,ComparisonData!A9,ComparisonData!$PB$1),0),5)</f>
        <v>0</v>
      </c>
      <c r="PC9" s="46" cm="1">
        <f t="array" ref="PC9">ROUND(IFERROR(INDEX(ArchiveResults!$F$5:$IX$116,ComparisonData!A9,ComparisonData!$PC$1),0),5)</f>
        <v>0</v>
      </c>
      <c r="PD9" s="45" cm="1">
        <f t="array" ref="PD9">IFERROR(INDEX(ArchiveResults!$F$5:$IX$116,ComparisonData!A9,ComparisonData!$PD$1),0)</f>
        <v>0</v>
      </c>
      <c r="PE9" s="56">
        <v>4</v>
      </c>
      <c r="PF9" s="53" t="str">
        <f t="shared" si="58"/>
        <v>Bank of England Archive</v>
      </c>
      <c r="PG9" s="59">
        <f t="shared" si="328"/>
        <v>0</v>
      </c>
      <c r="PH9" s="59">
        <f t="shared" si="329"/>
        <v>0</v>
      </c>
      <c r="PI9" s="59">
        <f t="shared" si="330"/>
        <v>0</v>
      </c>
      <c r="PJ9" s="59">
        <f t="shared" si="331"/>
        <v>0</v>
      </c>
      <c r="PK9" s="59">
        <f t="shared" si="332"/>
        <v>0</v>
      </c>
      <c r="PL9" s="58">
        <f t="shared" si="333"/>
        <v>0</v>
      </c>
      <c r="PM9" s="45">
        <f t="shared" si="334"/>
        <v>9</v>
      </c>
      <c r="PN9" s="45">
        <f t="shared" si="59"/>
        <v>2.4789999999999996</v>
      </c>
      <c r="PO9" s="45">
        <f t="shared" si="335"/>
        <v>1</v>
      </c>
      <c r="PP9" s="45">
        <f t="shared" si="336"/>
        <v>2</v>
      </c>
      <c r="PQ9" s="45">
        <f t="shared" si="337"/>
        <v>0</v>
      </c>
      <c r="PR9" s="46" cm="1">
        <f t="array" ref="PR9">ROUND(IFERROR(INDEX(ArchiveResults!$F$5:$IX$116,ComparisonData!A9,ComparisonData!$PR$1),0),5)</f>
        <v>0</v>
      </c>
      <c r="PS9" s="46" cm="1">
        <f t="array" ref="PS9">ROUND(IFERROR(INDEX(ArchiveResults!$F$5:$IX$116,ComparisonData!A9,ComparisonData!$PS$1),0),5)</f>
        <v>0</v>
      </c>
      <c r="PT9" s="46" cm="1">
        <f t="array" ref="PT9">ROUND(IFERROR(INDEX(ArchiveResults!$F$5:$IX$116,ComparisonData!A9,ComparisonData!$PT$1),0),5)</f>
        <v>0</v>
      </c>
      <c r="PU9" s="46" cm="1">
        <f t="array" ref="PU9">ROUND(IFERROR(INDEX(ArchiveResults!$F$5:$IX$116,ComparisonData!A9,ComparisonData!$PU$1),0),5)</f>
        <v>0</v>
      </c>
      <c r="PV9" s="45" cm="1">
        <f t="array" ref="PV9">IFERROR(INDEX(ArchiveResults!$F$5:$IX$116,ComparisonData!A9,ComparisonData!$PV$1),0)</f>
        <v>0</v>
      </c>
      <c r="PW9" s="56">
        <v>4</v>
      </c>
      <c r="PX9" s="53" t="str">
        <f t="shared" si="60"/>
        <v>Bank of England Archive</v>
      </c>
      <c r="PY9" s="59">
        <f t="shared" si="338"/>
        <v>0</v>
      </c>
      <c r="PZ9" s="59">
        <f t="shared" si="339"/>
        <v>0</v>
      </c>
      <c r="QA9" s="59">
        <f t="shared" si="340"/>
        <v>0</v>
      </c>
      <c r="QB9" s="59">
        <f t="shared" si="341"/>
        <v>0</v>
      </c>
      <c r="QC9" s="59">
        <f t="shared" si="342"/>
        <v>0</v>
      </c>
      <c r="QD9" s="58">
        <f t="shared" si="343"/>
        <v>0</v>
      </c>
      <c r="QE9" s="45">
        <f t="shared" si="344"/>
        <v>9</v>
      </c>
      <c r="QF9" s="45">
        <f t="shared" si="61"/>
        <v>2.4789999999999996</v>
      </c>
      <c r="QG9" s="45">
        <f t="shared" si="345"/>
        <v>1</v>
      </c>
      <c r="QH9" s="45">
        <f t="shared" si="346"/>
        <v>2</v>
      </c>
      <c r="QI9" s="45">
        <f t="shared" si="347"/>
        <v>0</v>
      </c>
      <c r="QJ9" s="46" cm="1">
        <f t="array" ref="QJ9">ROUND(IFERROR(INDEX(ArchiveResults!$F$5:$IX$116,ComparisonData!A9,ComparisonData!$QJ$1),0),5)</f>
        <v>0</v>
      </c>
      <c r="QK9" s="46" cm="1">
        <f t="array" ref="QK9">ROUND(IFERROR(INDEX(ArchiveResults!$F$5:$IX$116,ComparisonData!A9,ComparisonData!$QK$1),0),5)</f>
        <v>0</v>
      </c>
      <c r="QL9" s="46" cm="1">
        <f t="array" ref="QL9">ROUND(IFERROR(INDEX(ArchiveResults!$F$5:$IX$116,ComparisonData!A9,ComparisonData!$QL$1),0),5)</f>
        <v>0</v>
      </c>
      <c r="QM9" s="46" cm="1">
        <f t="array" ref="QM9">ROUND(IFERROR(INDEX(ArchiveResults!$F$5:$IX$116,ComparisonData!A9,ComparisonData!$QM$1),0),5)</f>
        <v>0</v>
      </c>
      <c r="QN9" s="45" cm="1">
        <f t="array" ref="QN9">IFERROR(INDEX(ArchiveResults!$F$5:$IX$116,ComparisonData!A9,ComparisonData!$QN$1),0)</f>
        <v>0</v>
      </c>
      <c r="QO9" s="56">
        <v>4</v>
      </c>
      <c r="QP9" s="53" t="str">
        <f t="shared" si="62"/>
        <v>Bank of England Archive</v>
      </c>
      <c r="QQ9" s="59">
        <f t="shared" si="348"/>
        <v>0</v>
      </c>
      <c r="QR9" s="59">
        <f t="shared" si="349"/>
        <v>0</v>
      </c>
      <c r="QS9" s="59">
        <f t="shared" si="350"/>
        <v>0</v>
      </c>
      <c r="QT9" s="59">
        <f t="shared" si="351"/>
        <v>0</v>
      </c>
      <c r="QU9" s="59">
        <f t="shared" si="352"/>
        <v>0</v>
      </c>
      <c r="QV9" s="58">
        <f t="shared" si="353"/>
        <v>0</v>
      </c>
      <c r="QW9" s="45">
        <f t="shared" si="354"/>
        <v>9</v>
      </c>
      <c r="QX9" s="45">
        <f t="shared" si="63"/>
        <v>2.4789999999999996</v>
      </c>
      <c r="QY9" s="45">
        <f t="shared" si="355"/>
        <v>1</v>
      </c>
      <c r="QZ9" s="45">
        <f t="shared" si="356"/>
        <v>2</v>
      </c>
      <c r="RA9" s="45">
        <f t="shared" si="357"/>
        <v>0</v>
      </c>
      <c r="RB9" s="46" cm="1">
        <f t="array" ref="RB9">ROUND(IFERROR(INDEX(ArchiveResults!$F$5:$IX$116,ComparisonData!A9,ComparisonData!$RB$1),0),5)</f>
        <v>0</v>
      </c>
      <c r="RC9" s="46" cm="1">
        <f t="array" ref="RC9">ROUND(IFERROR(INDEX(ArchiveResults!$F$5:$IX$116,ComparisonData!A9,ComparisonData!$RC$1),0),5)</f>
        <v>0</v>
      </c>
      <c r="RD9" s="46" cm="1">
        <f t="array" ref="RD9">ROUND(IFERROR(INDEX(ArchiveResults!$F$5:$IX$116,ComparisonData!A9,ComparisonData!$RD$1),0),5)</f>
        <v>0</v>
      </c>
      <c r="RE9" s="46" cm="1">
        <f t="array" ref="RE9">ROUND(IFERROR(INDEX(ArchiveResults!$F$5:$IX$116,ComparisonData!A9,ComparisonData!$RE$1),0),5)</f>
        <v>0</v>
      </c>
      <c r="RF9" s="45" cm="1">
        <f t="array" ref="RF9">IFERROR(INDEX(ArchiveResults!$F$5:$IX$116,ComparisonData!A9,ComparisonData!$RF$1),0)</f>
        <v>0</v>
      </c>
      <c r="RG9" s="56">
        <v>4</v>
      </c>
      <c r="RH9" s="53" t="str">
        <f t="shared" si="64"/>
        <v>Bank of England Archive</v>
      </c>
      <c r="RI9" s="59">
        <f t="shared" si="358"/>
        <v>0</v>
      </c>
      <c r="RJ9" s="59">
        <f t="shared" si="359"/>
        <v>0</v>
      </c>
      <c r="RK9" s="59">
        <f t="shared" si="360"/>
        <v>0</v>
      </c>
      <c r="RL9" s="59">
        <f t="shared" si="361"/>
        <v>0</v>
      </c>
      <c r="RM9" s="59">
        <f t="shared" si="362"/>
        <v>0</v>
      </c>
      <c r="RN9" s="58">
        <f t="shared" si="363"/>
        <v>0</v>
      </c>
      <c r="RO9" s="45">
        <f t="shared" si="364"/>
        <v>9</v>
      </c>
      <c r="RP9" s="45">
        <f t="shared" si="65"/>
        <v>2.4789999999999996</v>
      </c>
      <c r="RQ9" s="45">
        <f t="shared" si="365"/>
        <v>1</v>
      </c>
      <c r="RR9" s="45">
        <f t="shared" si="366"/>
        <v>2</v>
      </c>
      <c r="RS9" s="45">
        <f t="shared" si="367"/>
        <v>0</v>
      </c>
      <c r="RT9" s="46" cm="1">
        <f t="array" ref="RT9">ROUND(IFERROR(INDEX(ArchiveResults!$F$5:$IX$116,ComparisonData!A9,ComparisonData!$RT$1),0),5)</f>
        <v>0</v>
      </c>
      <c r="RU9" s="46" cm="1">
        <f t="array" ref="RU9">ROUND(IFERROR(INDEX(ArchiveResults!$F$5:$IX$116,ComparisonData!A9,ComparisonData!$RU$1),0),5)</f>
        <v>0</v>
      </c>
      <c r="RV9" s="46" cm="1">
        <f t="array" ref="RV9">ROUND(IFERROR(INDEX(ArchiveResults!$F$5:$IX$116,ComparisonData!A9,ComparisonData!$RV$1),0),5)</f>
        <v>0</v>
      </c>
      <c r="RW9" s="46" cm="1">
        <f t="array" ref="RW9">ROUND(IFERROR(INDEX(ArchiveResults!$F$5:$IX$116,ComparisonData!A9,ComparisonData!$RW$1),0),5)</f>
        <v>0</v>
      </c>
      <c r="RX9" s="45" cm="1">
        <f t="array" ref="RX9">IFERROR(INDEX(ArchiveResults!$F$5:$IX$116,ComparisonData!A9,ComparisonData!$RX$1),0)</f>
        <v>0</v>
      </c>
      <c r="RY9" s="56">
        <v>4</v>
      </c>
      <c r="RZ9" s="53" t="str">
        <f t="shared" si="66"/>
        <v>Bank of England Archive</v>
      </c>
      <c r="SA9" s="59">
        <f t="shared" si="368"/>
        <v>0</v>
      </c>
      <c r="SB9" s="59">
        <f t="shared" si="369"/>
        <v>0</v>
      </c>
      <c r="SC9" s="59">
        <f t="shared" si="370"/>
        <v>0</v>
      </c>
      <c r="SD9" s="59">
        <f t="shared" si="371"/>
        <v>0</v>
      </c>
      <c r="SE9" s="59">
        <f t="shared" si="372"/>
        <v>0</v>
      </c>
      <c r="SF9" s="58">
        <f t="shared" si="373"/>
        <v>0</v>
      </c>
      <c r="SG9" s="45">
        <f t="shared" si="374"/>
        <v>9</v>
      </c>
      <c r="SH9" s="45">
        <f t="shared" si="67"/>
        <v>2.4789999999999996</v>
      </c>
      <c r="SI9" s="45">
        <f t="shared" si="375"/>
        <v>1</v>
      </c>
      <c r="SJ9" s="45">
        <f t="shared" si="376"/>
        <v>2</v>
      </c>
      <c r="SK9" s="45">
        <f t="shared" si="377"/>
        <v>0</v>
      </c>
      <c r="SL9" s="46" cm="1">
        <f t="array" ref="SL9">ROUND(IFERROR(INDEX(ArchiveResults!$F$5:$IX$116,ComparisonData!A9,ComparisonData!$SL$1),0),5)</f>
        <v>0</v>
      </c>
      <c r="SM9" s="46" cm="1">
        <f t="array" ref="SM9">ROUND(IFERROR(INDEX(ArchiveResults!$F$5:$IX$116,ComparisonData!A9,ComparisonData!$SM$1),0),5)</f>
        <v>0</v>
      </c>
      <c r="SN9" s="46" cm="1">
        <f t="array" ref="SN9">ROUND(IFERROR(INDEX(ArchiveResults!$F$5:$IX$116,ComparisonData!A9,ComparisonData!$SN$1),0),5)</f>
        <v>0</v>
      </c>
      <c r="SO9" s="46" cm="1">
        <f t="array" ref="SO9">ROUND(IFERROR(INDEX(ArchiveResults!$F$5:$IX$116,ComparisonData!A9,ComparisonData!$SO$1),0),5)</f>
        <v>0</v>
      </c>
      <c r="SP9" s="45" cm="1">
        <f t="array" ref="SP9">IFERROR(INDEX(ArchiveResults!$F$5:$IX$116,ComparisonData!A9,ComparisonData!$SP$1),0)</f>
        <v>0</v>
      </c>
      <c r="SQ9" s="56">
        <v>4</v>
      </c>
      <c r="SR9" s="53" t="str">
        <f t="shared" si="68"/>
        <v>Bank of England Archive</v>
      </c>
      <c r="SS9" s="59">
        <f t="shared" si="378"/>
        <v>0</v>
      </c>
      <c r="ST9" s="59">
        <f t="shared" si="379"/>
        <v>0</v>
      </c>
      <c r="SU9" s="59">
        <f t="shared" si="380"/>
        <v>0</v>
      </c>
      <c r="SV9" s="59">
        <f t="shared" si="381"/>
        <v>0</v>
      </c>
      <c r="SW9" s="59">
        <f t="shared" si="382"/>
        <v>0</v>
      </c>
      <c r="SX9" s="58">
        <f t="shared" si="383"/>
        <v>0</v>
      </c>
      <c r="SY9" s="45">
        <f t="shared" si="384"/>
        <v>9</v>
      </c>
      <c r="SZ9" s="45">
        <f t="shared" si="69"/>
        <v>2.4789999999999996</v>
      </c>
      <c r="TA9" s="45">
        <f t="shared" si="385"/>
        <v>1</v>
      </c>
      <c r="TB9" s="45">
        <f t="shared" si="386"/>
        <v>2</v>
      </c>
      <c r="TC9" s="45">
        <f t="shared" si="387"/>
        <v>0</v>
      </c>
      <c r="TD9" s="46" cm="1">
        <f t="array" ref="TD9">ROUND(IFERROR(INDEX(ArchiveResults!$F$5:$IX$116,ComparisonData!A9,ComparisonData!$TD$1),0),5)</f>
        <v>0</v>
      </c>
      <c r="TE9" s="46" cm="1">
        <f t="array" ref="TE9">ROUND(IFERROR(INDEX(ArchiveResults!$F$5:$IX$116,ComparisonData!A9,ComparisonData!$TE$1),0),5)</f>
        <v>0</v>
      </c>
      <c r="TF9" s="46" cm="1">
        <f t="array" ref="TF9">ROUND(IFERROR(INDEX(ArchiveResults!$F$5:$IX$116,ComparisonData!A9,ComparisonData!$TF$1),0),5)</f>
        <v>0</v>
      </c>
      <c r="TG9" s="46" cm="1">
        <f t="array" ref="TG9">ROUND(IFERROR(INDEX(ArchiveResults!$F$5:$IX$116,ComparisonData!A9,ComparisonData!$TG$1),0),5)</f>
        <v>0</v>
      </c>
      <c r="TH9" s="45" cm="1">
        <f t="array" ref="TH9">IFERROR(INDEX(ArchiveResults!$F$5:$IX$116,ComparisonData!A9,ComparisonData!$TH$1),0)</f>
        <v>0</v>
      </c>
      <c r="TI9" s="56">
        <v>4</v>
      </c>
      <c r="TJ9" s="53" t="str">
        <f t="shared" si="70"/>
        <v>Bank of England Archive</v>
      </c>
      <c r="TK9" s="59">
        <f t="shared" si="388"/>
        <v>0</v>
      </c>
      <c r="TL9" s="59">
        <f t="shared" si="389"/>
        <v>0</v>
      </c>
      <c r="TM9" s="59">
        <f t="shared" si="390"/>
        <v>0</v>
      </c>
      <c r="TN9" s="59">
        <f t="shared" si="391"/>
        <v>0</v>
      </c>
      <c r="TO9" s="59">
        <f t="shared" si="392"/>
        <v>0</v>
      </c>
      <c r="TP9" s="58">
        <f t="shared" si="393"/>
        <v>0</v>
      </c>
      <c r="TQ9" s="45">
        <f t="shared" si="394"/>
        <v>9</v>
      </c>
      <c r="TR9" s="45">
        <f t="shared" si="71"/>
        <v>2.4789999999999996</v>
      </c>
      <c r="TS9" s="45">
        <f t="shared" si="395"/>
        <v>1</v>
      </c>
      <c r="TT9" s="45">
        <f t="shared" si="396"/>
        <v>2</v>
      </c>
      <c r="TU9" s="45">
        <f t="shared" si="397"/>
        <v>0</v>
      </c>
      <c r="TV9" s="46" cm="1">
        <f t="array" ref="TV9">ROUND(IFERROR(INDEX(ArchiveResults!$F$5:$IX$116,ComparisonData!A9,ComparisonData!$TV$1),0),5)</f>
        <v>0</v>
      </c>
      <c r="TW9" s="46" cm="1">
        <f t="array" ref="TW9">ROUND(IFERROR(INDEX(ArchiveResults!$F$5:$IX$116,ComparisonData!A9,ComparisonData!$TW$1),0),5)</f>
        <v>0</v>
      </c>
      <c r="TX9" s="46" cm="1">
        <f t="array" ref="TX9">ROUND(IFERROR(INDEX(ArchiveResults!$F$5:$IX$116,ComparisonData!A9,ComparisonData!$TX$1),0),5)</f>
        <v>0</v>
      </c>
      <c r="TY9" s="46" cm="1">
        <f t="array" ref="TY9">ROUND(IFERROR(INDEX(ArchiveResults!$F$5:$IX$116,ComparisonData!A9,ComparisonData!$TY$1),0),5)</f>
        <v>0</v>
      </c>
      <c r="TZ9" s="45" cm="1">
        <f t="array" ref="TZ9">IFERROR(INDEX(ArchiveResults!$F$5:$IX$116,ComparisonData!A9,ComparisonData!$TZ$1),0)</f>
        <v>0</v>
      </c>
      <c r="UA9" s="56">
        <v>4</v>
      </c>
      <c r="UB9" s="53" t="str">
        <f t="shared" si="72"/>
        <v>Bank of England Archive</v>
      </c>
      <c r="UC9" s="60">
        <f t="shared" si="398"/>
        <v>0</v>
      </c>
      <c r="UD9" s="60">
        <f t="shared" si="399"/>
        <v>0</v>
      </c>
      <c r="UE9" s="60">
        <f t="shared" si="400"/>
        <v>0</v>
      </c>
      <c r="UF9" s="60">
        <f t="shared" si="401"/>
        <v>0</v>
      </c>
      <c r="UG9" s="60">
        <f t="shared" si="402"/>
        <v>0</v>
      </c>
      <c r="UH9" s="58">
        <f t="shared" si="403"/>
        <v>0</v>
      </c>
      <c r="UI9" s="46">
        <f t="shared" si="404"/>
        <v>9</v>
      </c>
      <c r="UJ9" s="46">
        <f t="shared" si="73"/>
        <v>2.4789999999999996</v>
      </c>
      <c r="UK9" s="46">
        <f t="shared" si="405"/>
        <v>1</v>
      </c>
      <c r="UL9" s="46">
        <f t="shared" si="406"/>
        <v>2</v>
      </c>
      <c r="UM9" s="46" cm="1">
        <f t="array" ref="UM9">ROUND(IFERROR(INDEX(ArchiveResults!$F$5:$IX$116,ComparisonData!A9,ComparisonData!$UM$1),0),5)</f>
        <v>0</v>
      </c>
      <c r="UN9" s="56">
        <v>4</v>
      </c>
      <c r="UO9" s="53" t="str">
        <f t="shared" si="74"/>
        <v>Bank of England Archive</v>
      </c>
      <c r="UP9" s="46">
        <f t="shared" si="407"/>
        <v>0</v>
      </c>
      <c r="UQ9" s="76">
        <f t="shared" si="408"/>
        <v>0</v>
      </c>
      <c r="UR9" s="46">
        <f t="shared" si="409"/>
        <v>9</v>
      </c>
      <c r="US9" s="46">
        <f t="shared" si="75"/>
        <v>2.4789999999999996</v>
      </c>
      <c r="UT9" s="46">
        <f t="shared" si="410"/>
        <v>1</v>
      </c>
      <c r="UU9" s="46">
        <f t="shared" si="411"/>
        <v>2</v>
      </c>
      <c r="UV9" s="46">
        <f t="shared" si="412"/>
        <v>0</v>
      </c>
      <c r="UW9" s="46" cm="1">
        <f t="array" ref="UW9">ROUND(IFERROR(INDEX(ArchiveResults!$F$5:$IX$116,ComparisonData!A9,ComparisonData!$UW$1),0),5)</f>
        <v>0</v>
      </c>
      <c r="UX9" s="46" cm="1">
        <f t="array" ref="UX9">ROUND(IFERROR(INDEX(ArchiveResults!$F$5:$IX$116,ComparisonData!A9,ComparisonData!$UX$1),0),5)</f>
        <v>0</v>
      </c>
      <c r="UY9" s="46" cm="1">
        <f t="array" ref="UY9">ROUND(IFERROR(INDEX(ArchiveResults!$F$5:$IX$116,ComparisonData!A9,ComparisonData!$UY$1),0),5)</f>
        <v>0</v>
      </c>
      <c r="UZ9" s="46" cm="1">
        <f t="array" ref="UZ9">ROUND(IFERROR(INDEX(ArchiveResults!$F$5:$IX$116,ComparisonData!A9,ComparisonData!$UZ$1),0),5)</f>
        <v>0</v>
      </c>
      <c r="VA9" s="46" cm="1">
        <f t="array" ref="VA9">ROUND(IFERROR(INDEX(ArchiveResults!$F$5:$IX$116,ComparisonData!A9,ComparisonData!$VA$1),0),5)</f>
        <v>0</v>
      </c>
      <c r="VB9" s="56">
        <v>4</v>
      </c>
      <c r="VC9" s="53" t="str">
        <f t="shared" si="76"/>
        <v>Bank of England Archive</v>
      </c>
      <c r="VD9" s="60">
        <f t="shared" si="413"/>
        <v>0</v>
      </c>
      <c r="VE9" s="60">
        <f t="shared" si="414"/>
        <v>0</v>
      </c>
      <c r="VF9" s="60">
        <f t="shared" si="415"/>
        <v>0</v>
      </c>
      <c r="VG9" s="60">
        <f t="shared" si="416"/>
        <v>0</v>
      </c>
      <c r="VH9" s="60">
        <f t="shared" si="417"/>
        <v>0</v>
      </c>
      <c r="VI9" s="76">
        <f t="shared" si="418"/>
        <v>0</v>
      </c>
      <c r="VJ9" s="46">
        <f t="shared" si="419"/>
        <v>9</v>
      </c>
      <c r="VK9" s="46">
        <f t="shared" si="77"/>
        <v>2.4789999999999996</v>
      </c>
      <c r="VL9" s="46">
        <f t="shared" si="420"/>
        <v>1</v>
      </c>
      <c r="VM9" s="46">
        <f t="shared" si="421"/>
        <v>2</v>
      </c>
      <c r="VN9" s="46" cm="1">
        <f t="array" ref="VN9">ROUND(IFERROR(INDEX(ArchiveResults!$F$5:$IX$116,ComparisonData!A9,ComparisonData!$VN$1),0),5)</f>
        <v>0</v>
      </c>
      <c r="VO9" s="46" cm="1">
        <f t="array" ref="VO9">ROUND(IFERROR(INDEX(ArchiveResults!$F$5:$IX$116,ComparisonData!A9,ComparisonData!$VO$1),0),5)</f>
        <v>0</v>
      </c>
      <c r="VP9" s="46" cm="1">
        <f t="array" ref="VP9">ROUND(IFERROR(INDEX(ArchiveResults!$F$5:$IX$116,ComparisonData!A9,ComparisonData!$VP$1),0),5)</f>
        <v>0</v>
      </c>
      <c r="VQ9" s="46" cm="1">
        <f t="array" ref="VQ9">ROUND(IFERROR(INDEX(ArchiveResults!$F$5:$IX$116,ComparisonData!A9,ComparisonData!$VQ$1),0),5)</f>
        <v>0</v>
      </c>
      <c r="VR9" s="56">
        <v>4</v>
      </c>
      <c r="VS9" s="53" t="str">
        <f t="shared" si="78"/>
        <v>Bank of England Archive</v>
      </c>
      <c r="VT9" s="60">
        <f t="shared" si="422"/>
        <v>0</v>
      </c>
      <c r="VU9" s="60">
        <f t="shared" si="423"/>
        <v>0</v>
      </c>
      <c r="VV9" s="60">
        <f t="shared" si="424"/>
        <v>0</v>
      </c>
      <c r="VW9" s="60">
        <f t="shared" si="425"/>
        <v>0</v>
      </c>
      <c r="VX9" s="76">
        <f t="shared" si="426"/>
        <v>0</v>
      </c>
      <c r="VY9" s="46">
        <f t="shared" si="427"/>
        <v>9</v>
      </c>
      <c r="VZ9" s="46">
        <f t="shared" si="79"/>
        <v>2.4789999999999996</v>
      </c>
      <c r="WA9" s="46">
        <f t="shared" si="428"/>
        <v>1</v>
      </c>
      <c r="WB9" s="46">
        <f t="shared" si="429"/>
        <v>2</v>
      </c>
      <c r="WC9" s="46" cm="1">
        <f t="array" ref="WC9">ROUND(IFERROR(INDEX(ArchiveResults!$F$5:$IX$116,ComparisonData!A9,ComparisonData!$WC$1),0),5)</f>
        <v>0</v>
      </c>
      <c r="WD9" s="56">
        <v>4</v>
      </c>
      <c r="WE9" s="53" t="str">
        <f t="shared" si="80"/>
        <v>Bank of England Archive</v>
      </c>
      <c r="WF9" s="46">
        <f t="shared" si="430"/>
        <v>0</v>
      </c>
      <c r="WG9" s="76">
        <f t="shared" si="431"/>
        <v>0</v>
      </c>
      <c r="WH9" s="46">
        <f t="shared" si="432"/>
        <v>9</v>
      </c>
      <c r="WI9" s="46">
        <f t="shared" si="81"/>
        <v>2.4789999999999996</v>
      </c>
      <c r="WJ9" s="46">
        <f t="shared" si="433"/>
        <v>1</v>
      </c>
      <c r="WK9" s="46">
        <f t="shared" si="434"/>
        <v>2</v>
      </c>
      <c r="WL9" s="46" cm="1">
        <f t="array" ref="WL9">ROUND(IFERROR(INDEX(ArchiveResults!$F$5:$IX$116,ComparisonData!A9,ComparisonData!$WL$1),0),5)</f>
        <v>0</v>
      </c>
      <c r="WM9" s="46" cm="1">
        <f t="array" ref="WM9">IFERROR(INDEX(ArchiveResults!$F$5:$IX$116,ComparisonData!A9,ComparisonData!$WM$1),0)</f>
        <v>0</v>
      </c>
      <c r="WN9" s="56">
        <v>4</v>
      </c>
      <c r="WO9" s="53" t="str">
        <f t="shared" si="82"/>
        <v>Bank of England Archive</v>
      </c>
      <c r="WP9" s="60">
        <f t="shared" si="435"/>
        <v>0</v>
      </c>
      <c r="WQ9" s="60">
        <f t="shared" si="436"/>
        <v>0</v>
      </c>
      <c r="WR9" s="76">
        <f t="shared" si="437"/>
        <v>0</v>
      </c>
      <c r="WS9" s="46">
        <f t="shared" si="438"/>
        <v>9</v>
      </c>
      <c r="WT9" s="46">
        <f t="shared" si="83"/>
        <v>2.4789999999999996</v>
      </c>
      <c r="WU9" s="46">
        <f t="shared" si="439"/>
        <v>1</v>
      </c>
      <c r="WV9" s="46">
        <f t="shared" si="440"/>
        <v>2</v>
      </c>
      <c r="WW9" s="46" cm="1">
        <f t="array" ref="WW9">ROUND(VALUE(IFERROR(INDEX(ArchiveResults!$F$5:$IX$116,ComparisonData!A9,ComparisonData!$WW$1),0)),5)</f>
        <v>0</v>
      </c>
      <c r="WX9" s="46" cm="1">
        <f t="array" ref="WX9">ROUND(IFERROR(INDEX(ArchiveResults!$F$5:$IX$116,ComparisonData!A9,ComparisonData!$WX$1),0),5)</f>
        <v>0</v>
      </c>
      <c r="WY9" s="56">
        <v>4</v>
      </c>
      <c r="WZ9" s="53" t="str">
        <f t="shared" si="84"/>
        <v>Bank of England Archive</v>
      </c>
      <c r="XA9" s="60">
        <f t="shared" si="85"/>
        <v>0</v>
      </c>
      <c r="XB9" s="60">
        <f t="shared" si="86"/>
        <v>0</v>
      </c>
      <c r="XC9" s="76">
        <f t="shared" si="441"/>
        <v>0</v>
      </c>
      <c r="XD9" s="46">
        <f t="shared" si="442"/>
        <v>9</v>
      </c>
      <c r="XE9" s="46">
        <f t="shared" si="87"/>
        <v>2.4789999999999996</v>
      </c>
      <c r="XF9" s="46">
        <f t="shared" si="443"/>
        <v>1</v>
      </c>
      <c r="XG9" s="46">
        <f t="shared" si="444"/>
        <v>2</v>
      </c>
      <c r="XH9" s="46" cm="1">
        <f t="array" ref="XH9">ROUND(VALUE(IFERROR(INDEX(ArchiveResults!$F$5:$IX$116,ComparisonData!A9,ComparisonData!$XH$1),0)),5)</f>
        <v>0</v>
      </c>
      <c r="XI9" s="46" cm="1">
        <f t="array" ref="XI9">ROUND(VALUE(IFERROR(INDEX(ArchiveResults!$F$5:$IX$116,ComparisonData!A9,ComparisonData!$XI$1),0)),5)</f>
        <v>0</v>
      </c>
      <c r="XJ9" s="56">
        <v>4</v>
      </c>
      <c r="XK9" s="53" t="str">
        <f t="shared" si="88"/>
        <v>Bank of England Archive</v>
      </c>
      <c r="XL9" s="60">
        <f t="shared" si="445"/>
        <v>0</v>
      </c>
      <c r="XM9" s="60">
        <f t="shared" si="446"/>
        <v>0</v>
      </c>
      <c r="XN9" s="76">
        <f t="shared" si="447"/>
        <v>0</v>
      </c>
      <c r="XO9" s="46">
        <f t="shared" si="448"/>
        <v>9</v>
      </c>
      <c r="XP9" s="46">
        <f t="shared" si="89"/>
        <v>2.4789999999999996</v>
      </c>
      <c r="XQ9" s="46">
        <f t="shared" si="449"/>
        <v>1</v>
      </c>
      <c r="XR9" s="46">
        <f t="shared" si="450"/>
        <v>2</v>
      </c>
      <c r="XS9" s="46" cm="1">
        <f t="array" ref="XS9">ROUND(VALUE(IFERROR(INDEX(ArchiveResults!$F$5:$IX$116,ComparisonData!A9,ComparisonData!$XS$1),0)),5)</f>
        <v>0</v>
      </c>
      <c r="XT9" s="46" cm="1">
        <f t="array" ref="XT9">ROUND(VALUE(IFERROR(INDEX(ArchiveResults!$F$5:$IX$116,ComparisonData!A9,ComparisonData!$XT$1),0)),5)</f>
        <v>0</v>
      </c>
      <c r="XU9" s="56">
        <v>4</v>
      </c>
      <c r="XV9" s="53" t="str">
        <f t="shared" si="90"/>
        <v>Bank of England Archive</v>
      </c>
      <c r="XW9" s="60">
        <f t="shared" si="451"/>
        <v>0</v>
      </c>
      <c r="XX9" s="60">
        <f t="shared" si="452"/>
        <v>0</v>
      </c>
      <c r="XY9" s="76">
        <f t="shared" si="453"/>
        <v>0</v>
      </c>
      <c r="XZ9" s="46">
        <f t="shared" si="454"/>
        <v>9</v>
      </c>
      <c r="YA9" s="46">
        <f t="shared" si="91"/>
        <v>2.4789999999999996</v>
      </c>
      <c r="YB9" s="46">
        <f t="shared" si="455"/>
        <v>1</v>
      </c>
      <c r="YC9" s="46">
        <f t="shared" si="456"/>
        <v>2</v>
      </c>
      <c r="YD9" s="46" cm="1">
        <f t="array" ref="YD9">ROUND(VALUE(IFERROR(INDEX(ArchiveResults!$F$5:$IX$116,ComparisonData!A9,ComparisonData!$YD$1),0)),5)</f>
        <v>0</v>
      </c>
      <c r="YE9" s="46" cm="1">
        <f t="array" ref="YE9">ROUND(VALUE(IFERROR(INDEX(ArchiveResults!$F$5:$IX$116,ComparisonData!A9,ComparisonData!$YE$1),0)),5)</f>
        <v>0</v>
      </c>
      <c r="YF9" s="56">
        <v>4</v>
      </c>
      <c r="YG9" s="53" t="str">
        <f t="shared" si="92"/>
        <v>Bank of England Archive</v>
      </c>
      <c r="YH9" s="60">
        <f t="shared" si="457"/>
        <v>0</v>
      </c>
      <c r="YI9" s="60">
        <f t="shared" si="458"/>
        <v>0</v>
      </c>
      <c r="YJ9" s="76">
        <f t="shared" si="459"/>
        <v>0</v>
      </c>
      <c r="YK9" s="46">
        <f t="shared" si="460"/>
        <v>9</v>
      </c>
      <c r="YL9" s="46">
        <f t="shared" si="93"/>
        <v>2.4789999999999996</v>
      </c>
      <c r="YM9" s="46">
        <f t="shared" si="461"/>
        <v>1</v>
      </c>
      <c r="YN9" s="46">
        <f t="shared" si="462"/>
        <v>2</v>
      </c>
      <c r="YO9" s="46" cm="1">
        <f t="array" ref="YO9">ROUND(VALUE(IFERROR(INDEX(ArchiveResults!$F$5:$IX$116,ComparisonData!A9,ComparisonData!$YO$1),0)),5)</f>
        <v>0</v>
      </c>
      <c r="YP9" s="46" cm="1">
        <f t="array" ref="YP9">ROUND(VALUE(IFERROR(INDEX(ArchiveResults!$F$5:$IX$116,ComparisonData!A9,ComparisonData!$YP$1),0)),5)</f>
        <v>0</v>
      </c>
      <c r="YQ9" s="56">
        <v>4</v>
      </c>
      <c r="YR9" s="53" t="str">
        <f t="shared" si="94"/>
        <v>Bank of England Archive</v>
      </c>
      <c r="YS9" s="60">
        <f t="shared" si="463"/>
        <v>0</v>
      </c>
      <c r="YT9" s="60">
        <f t="shared" si="464"/>
        <v>0</v>
      </c>
      <c r="YU9" s="76">
        <f t="shared" si="465"/>
        <v>0</v>
      </c>
      <c r="YV9" s="46">
        <f t="shared" si="466"/>
        <v>9</v>
      </c>
      <c r="YW9" s="46">
        <f t="shared" si="95"/>
        <v>2.4789999999999996</v>
      </c>
      <c r="YX9" s="46">
        <f t="shared" si="467"/>
        <v>1</v>
      </c>
      <c r="YY9" s="46">
        <f t="shared" si="468"/>
        <v>2</v>
      </c>
      <c r="YZ9" s="46">
        <f t="shared" si="469"/>
        <v>0</v>
      </c>
      <c r="ZA9" s="46" cm="1">
        <f t="array" ref="ZA9">ROUNDDOWN(VALUE(IFERROR(INDEX(ArchiveResults!$F$5:$IX$116,ComparisonData!A9,ComparisonData!$ZA$1),0)),5)</f>
        <v>0</v>
      </c>
      <c r="ZB9" s="46" cm="1">
        <f t="array" ref="ZB9">ROUNDDOWN(VALUE(IFERROR(INDEX(ArchiveResults!$F$5:$IX$116,ComparisonData!A9,ComparisonData!$ZB$1),0)),5)</f>
        <v>0</v>
      </c>
      <c r="ZC9" s="46" cm="1">
        <f t="array" ref="ZC9">ROUNDDOWN(VALUE(IFERROR(INDEX(ArchiveResults!$F$5:$IX$116,ComparisonData!A9,ComparisonData!$ZC$1),0)),5)</f>
        <v>0</v>
      </c>
      <c r="ZD9" s="46" cm="1">
        <f t="array" ref="ZD9">ROUNDDOWN(VALUE(IFERROR(INDEX(ArchiveResults!$F$5:$IX$116,ComparisonData!A9,ComparisonData!$ZD$1),0)),5)</f>
        <v>0</v>
      </c>
      <c r="ZE9" s="46" cm="1">
        <f t="array" ref="ZE9">ROUNDDOWN(VALUE(IFERROR(INDEX(ArchiveResults!$F$5:$IX$116,ComparisonData!A9,ComparisonData!$ZE$1),0)),5)</f>
        <v>0</v>
      </c>
      <c r="ZF9" s="56">
        <v>4</v>
      </c>
      <c r="ZG9" s="53" t="str">
        <f t="shared" si="96"/>
        <v>Bank of England Archive</v>
      </c>
      <c r="ZH9" s="60">
        <f t="shared" si="470"/>
        <v>0</v>
      </c>
      <c r="ZI9" s="60">
        <f t="shared" si="471"/>
        <v>0</v>
      </c>
      <c r="ZJ9" s="60">
        <f t="shared" si="472"/>
        <v>0</v>
      </c>
      <c r="ZK9" s="60">
        <f t="shared" si="473"/>
        <v>0</v>
      </c>
      <c r="ZL9" s="60">
        <f t="shared" si="474"/>
        <v>0</v>
      </c>
      <c r="ZM9" s="76">
        <f t="shared" si="475"/>
        <v>0</v>
      </c>
      <c r="ZN9" s="46">
        <f t="shared" si="476"/>
        <v>9</v>
      </c>
      <c r="ZO9" s="46">
        <f t="shared" si="97"/>
        <v>2.4789999999999996</v>
      </c>
      <c r="ZP9" s="46">
        <f t="shared" si="477"/>
        <v>1</v>
      </c>
      <c r="ZQ9" s="46">
        <f t="shared" si="478"/>
        <v>2</v>
      </c>
      <c r="ZR9" s="46" cm="1">
        <f t="array" ref="ZR9">ROUND(VALUE(IFERROR(INDEX(ArchiveResults!$F$5:$IX$116,ComparisonData!A9,ComparisonData!$ZR$1),0)),5)</f>
        <v>0</v>
      </c>
      <c r="ZS9" s="56">
        <v>4</v>
      </c>
      <c r="ZT9" s="53" t="str">
        <f t="shared" si="98"/>
        <v>Bank of England Archive</v>
      </c>
      <c r="ZU9" s="46">
        <f t="shared" si="479"/>
        <v>0</v>
      </c>
      <c r="ZV9" s="76">
        <f t="shared" si="480"/>
        <v>0</v>
      </c>
      <c r="ZW9" s="81" cm="1">
        <f t="array" ref="ZW9">ROUND((IFERROR(INDEX(ArchiveResults!$F$5:$IX$116,ComparisonData!A9,ComparisonData!$ZW$1),0)),5)</f>
        <v>0</v>
      </c>
      <c r="ZX9" s="81" cm="1">
        <f t="array" ref="ZX9">ROUND((IFERROR(INDEX(ArchiveResults!$F$5:$IX$116,ComparisonData!A9,ComparisonData!$ZX$1),0)),5)</f>
        <v>0</v>
      </c>
      <c r="ZY9" s="81" cm="1">
        <f t="array" ref="ZY9">ROUND((IFERROR(INDEX(ArchiveResults!$F$5:$IX$116,ComparisonData!A9,ComparisonData!$ZY$1),0)),5)</f>
        <v>0</v>
      </c>
      <c r="ZZ9" s="81" cm="1">
        <f t="array" ref="ZZ9">ROUND((IFERROR(INDEX(ArchiveResults!$F$5:$IX$116,ComparisonData!A9,ComparisonData!$ZZ$1),0)),5)</f>
        <v>0</v>
      </c>
      <c r="AAA9" s="81" cm="1">
        <f t="array" ref="AAA9">ROUND((IFERROR(INDEX(ArchiveResults!$F$5:$IX$116,ComparisonData!A9,ComparisonData!$AAA$1),0)),5)</f>
        <v>0</v>
      </c>
      <c r="AAB9" s="81" cm="1">
        <f t="array" ref="AAB9">ROUND((IFERROR(INDEX(ArchiveResults!$F$5:$IX$116,ComparisonData!A9,ComparisonData!$AAB$1),0)),5)</f>
        <v>0</v>
      </c>
      <c r="AAC9" s="81" cm="1">
        <f t="array" ref="AAC9">ROUND((IFERROR(INDEX(ArchiveResults!$F$5:$IX$116,ComparisonData!A9,ComparisonData!$AAC$1),0)),5)</f>
        <v>0</v>
      </c>
      <c r="AAD9" s="81" cm="1">
        <f t="array" ref="AAD9">ROUND((IFERROR(INDEX(ArchiveResults!$F$5:$IX$116,ComparisonData!A9,ComparisonData!$AAD$1),0)),5)</f>
        <v>0</v>
      </c>
      <c r="AAE9" s="81" cm="1">
        <f t="array" ref="AAE9">ROUND((IFERROR(INDEX(ArchiveResults!$F$5:$IX$116,ComparisonData!A9,ComparisonData!$AAE$1),0)),5)</f>
        <v>0</v>
      </c>
      <c r="AAF9" s="81" cm="1">
        <f t="array" ref="AAF9">ROUND((IFERROR(INDEX(ArchiveResults!$F$5:$IX$116,ComparisonData!A9,ComparisonData!$AAF$1),0)),5)</f>
        <v>0</v>
      </c>
      <c r="AAG9" s="46">
        <f t="shared" si="481"/>
        <v>9</v>
      </c>
      <c r="AAH9" s="46">
        <f t="shared" si="99"/>
        <v>2.4789999999999996</v>
      </c>
      <c r="AAI9" s="46">
        <f t="shared" si="482"/>
        <v>1</v>
      </c>
      <c r="AAJ9" s="46">
        <f t="shared" si="483"/>
        <v>2</v>
      </c>
      <c r="AAK9" s="46">
        <f t="shared" si="484"/>
        <v>0</v>
      </c>
      <c r="AAL9" s="46">
        <f t="shared" si="485"/>
        <v>0</v>
      </c>
      <c r="AAM9" s="46">
        <f t="shared" si="486"/>
        <v>0</v>
      </c>
      <c r="AAN9" s="46">
        <f t="shared" si="487"/>
        <v>0</v>
      </c>
      <c r="AAO9" s="46">
        <f t="shared" si="488"/>
        <v>0</v>
      </c>
      <c r="AAP9" s="46">
        <f t="shared" si="489"/>
        <v>0</v>
      </c>
      <c r="AAQ9" s="56">
        <v>4</v>
      </c>
      <c r="AAR9" s="53" t="str">
        <f t="shared" si="100"/>
        <v>Bank of England Archive</v>
      </c>
      <c r="AAS9" s="60">
        <f t="shared" si="490"/>
        <v>0</v>
      </c>
      <c r="AAT9" s="60">
        <f t="shared" si="491"/>
        <v>0</v>
      </c>
      <c r="AAU9" s="60">
        <f t="shared" si="492"/>
        <v>0</v>
      </c>
      <c r="AAV9" s="60">
        <f t="shared" si="493"/>
        <v>0</v>
      </c>
      <c r="AAW9" s="60">
        <f t="shared" si="494"/>
        <v>0</v>
      </c>
      <c r="AAX9" s="76">
        <f t="shared" si="495"/>
        <v>0</v>
      </c>
      <c r="AAY9" s="46">
        <f t="shared" si="496"/>
        <v>9</v>
      </c>
      <c r="AAZ9" s="46">
        <f t="shared" si="101"/>
        <v>2.4789999999999996</v>
      </c>
      <c r="ABA9" s="46">
        <f t="shared" si="497"/>
        <v>1</v>
      </c>
      <c r="ABB9" s="46">
        <f t="shared" si="498"/>
        <v>2</v>
      </c>
      <c r="ABC9" s="46">
        <f t="shared" si="102"/>
        <v>0</v>
      </c>
      <c r="ABD9" s="46" cm="1">
        <f t="array" ref="ABD9">ROUND(VALUE(IFERROR(INDEX(ArchiveResults!$F$5:$IX$116,ComparisonData!A9,ComparisonData!$ABD$1),0)),5)</f>
        <v>0</v>
      </c>
      <c r="ABE9" s="46" cm="1">
        <f t="array" ref="ABE9">ROUND(VALUE(IFERROR(INDEX(ArchiveResults!$F$5:$IX$116,ComparisonData!A9,ComparisonData!$ABE$1),0)),5)</f>
        <v>0</v>
      </c>
      <c r="ABF9" s="46" cm="1">
        <f t="array" ref="ABF9">ROUND(VALUE(IFERROR(INDEX(ArchiveResults!$F$5:$IX$116,ComparisonData!A9,ComparisonData!$ABF$1),0)),5)</f>
        <v>0</v>
      </c>
      <c r="ABG9" s="46" cm="1">
        <f t="array" ref="ABG9">ROUND(VALUE(IFERROR(INDEX(ArchiveResults!$F$5:$IX$116,ComparisonData!A9,ComparisonData!$ABG$1),0)),5)</f>
        <v>0</v>
      </c>
      <c r="ABH9" s="46" cm="1">
        <f t="array" ref="ABH9">ROUND(VALUE(IFERROR(INDEX(ArchiveResults!$F$5:$IX$116,ComparisonData!A9,ComparisonData!$ABH$1),0)),5)</f>
        <v>0</v>
      </c>
      <c r="ABI9" s="56">
        <v>4</v>
      </c>
      <c r="ABJ9" s="53" t="str">
        <f t="shared" si="103"/>
        <v>Bank of England Archive</v>
      </c>
      <c r="ABK9" s="60">
        <f t="shared" si="499"/>
        <v>0</v>
      </c>
      <c r="ABL9" s="60">
        <f t="shared" si="500"/>
        <v>0</v>
      </c>
      <c r="ABM9" s="60">
        <f t="shared" si="501"/>
        <v>0</v>
      </c>
      <c r="ABN9" s="60">
        <f t="shared" si="502"/>
        <v>0</v>
      </c>
      <c r="ABO9" s="60">
        <f t="shared" si="503"/>
        <v>0</v>
      </c>
      <c r="ABP9" s="76">
        <f t="shared" si="504"/>
        <v>0</v>
      </c>
      <c r="ABQ9" s="46">
        <f t="shared" si="505"/>
        <v>9</v>
      </c>
      <c r="ABR9" s="46">
        <f t="shared" si="104"/>
        <v>2.4789999999999996</v>
      </c>
      <c r="ABS9" s="46">
        <f t="shared" si="506"/>
        <v>1</v>
      </c>
      <c r="ABT9" s="46">
        <f t="shared" si="507"/>
        <v>2</v>
      </c>
      <c r="ABU9" s="46" cm="1">
        <f t="array" ref="ABU9">ROUND(VALUE(IFERROR(INDEX(ArchiveResults!$F$5:$IX$116,ComparisonData!A9,ComparisonData!$ABU$1),0)),5)</f>
        <v>0</v>
      </c>
      <c r="ABV9" s="46" cm="1">
        <f t="array" ref="ABV9">ROUND(VALUE(IFERROR(INDEX(ArchiveResults!$F$5:$IX$116,ComparisonData!A9,ComparisonData!$ABV$1),0)),5)</f>
        <v>0</v>
      </c>
      <c r="ABW9" s="46" cm="1">
        <f t="array" ref="ABW9">ROUND(VALUE(IFERROR(INDEX(ArchiveResults!$F$5:$IX$116,ComparisonData!A9,ComparisonData!$ABW$1),0)),5)</f>
        <v>0</v>
      </c>
      <c r="ABX9" s="46" cm="1">
        <f t="array" ref="ABX9">ROUND(VALUE(IFERROR(INDEX(ArchiveResults!$F$5:$IX$116,ComparisonData!A9,ComparisonData!$ABX$1),0)),5)</f>
        <v>0</v>
      </c>
      <c r="ABY9" s="46" cm="1">
        <f t="array" ref="ABY9">ROUND(VALUE(IFERROR(INDEX(ArchiveResults!$F$5:$IX$116,ComparisonData!A9,ComparisonData!$ABY$1),0)),5)</f>
        <v>0</v>
      </c>
      <c r="ABZ9" s="56">
        <v>4</v>
      </c>
      <c r="ACA9" s="53" t="str">
        <f t="shared" si="105"/>
        <v>Bank of England Archive</v>
      </c>
      <c r="ACB9" s="60">
        <f t="shared" si="508"/>
        <v>0</v>
      </c>
      <c r="ACC9" s="60">
        <f t="shared" si="509"/>
        <v>0</v>
      </c>
      <c r="ACD9" s="60">
        <f t="shared" si="510"/>
        <v>0</v>
      </c>
      <c r="ACE9" s="60">
        <f t="shared" si="511"/>
        <v>0</v>
      </c>
      <c r="ACF9" s="60">
        <f t="shared" si="512"/>
        <v>0</v>
      </c>
      <c r="ACG9" s="76">
        <f t="shared" si="513"/>
        <v>0</v>
      </c>
      <c r="ACH9" s="46">
        <f t="shared" si="514"/>
        <v>9</v>
      </c>
      <c r="ACI9" s="46">
        <f t="shared" si="106"/>
        <v>2.4789999999999996</v>
      </c>
      <c r="ACJ9" s="46">
        <f t="shared" si="515"/>
        <v>1</v>
      </c>
      <c r="ACK9" s="46">
        <f t="shared" si="516"/>
        <v>2</v>
      </c>
      <c r="ACL9" s="46">
        <f t="shared" si="517"/>
        <v>0</v>
      </c>
      <c r="ACM9" s="46" cm="1">
        <f t="array" ref="ACM9">ROUND(IFERROR(INDEX(ArchiveResults!$F$5:$IX$116,ComparisonData!A9,ComparisonData!$ACM$1),0),5)</f>
        <v>0</v>
      </c>
      <c r="ACN9" s="46" cm="1">
        <f t="array" ref="ACN9">ROUND(IFERROR(INDEX(ArchiveResults!$F$5:$IX$116,ComparisonData!A9,ComparisonData!$ACN$1),0),5)</f>
        <v>0</v>
      </c>
      <c r="ACO9" s="56">
        <v>4</v>
      </c>
      <c r="ACP9" s="53" t="str">
        <f t="shared" si="107"/>
        <v>Bank of England Archive</v>
      </c>
      <c r="ACQ9" s="60">
        <f t="shared" si="518"/>
        <v>0</v>
      </c>
      <c r="ACR9" s="60">
        <f t="shared" si="519"/>
        <v>0</v>
      </c>
      <c r="ACS9" s="76">
        <f t="shared" si="520"/>
        <v>0</v>
      </c>
      <c r="ACT9" s="46">
        <f t="shared" si="521"/>
        <v>9</v>
      </c>
      <c r="ACU9" s="46">
        <f t="shared" si="108"/>
        <v>2.4789999999999996</v>
      </c>
      <c r="ACV9" s="46">
        <f t="shared" si="522"/>
        <v>1</v>
      </c>
      <c r="ACW9" s="46">
        <f t="shared" si="523"/>
        <v>2</v>
      </c>
      <c r="ACX9" s="46">
        <f t="shared" si="524"/>
        <v>0</v>
      </c>
      <c r="ACY9" s="46" cm="1">
        <f t="array" ref="ACY9">ROUNDDOWN(IFERROR(INDEX(ArchiveResults!$F$5:$IX$116,ComparisonData!A9,ComparisonData!$ACY$1),0),5)</f>
        <v>0</v>
      </c>
      <c r="ACZ9" s="46" cm="1">
        <f t="array" ref="ACZ9">ROUNDDOWN(IFERROR(INDEX(ArchiveResults!$F$5:$IX$116,ComparisonData!A9,ComparisonData!$ACZ$1),0),5)</f>
        <v>0</v>
      </c>
      <c r="ADA9" s="46" cm="1">
        <f t="array" ref="ADA9">ROUNDDOWN(IFERROR(INDEX(ArchiveResults!$F$5:$IX$116,ComparisonData!A9,ComparisonData!$ADA$1),0),5)</f>
        <v>0</v>
      </c>
      <c r="ADB9" s="56">
        <v>4</v>
      </c>
      <c r="ADC9" s="53" t="str">
        <f t="shared" si="109"/>
        <v>Bank of England Archive</v>
      </c>
      <c r="ADD9" s="60">
        <f t="shared" si="525"/>
        <v>0</v>
      </c>
      <c r="ADE9" s="60">
        <f t="shared" si="526"/>
        <v>0</v>
      </c>
      <c r="ADF9" s="60">
        <f t="shared" si="527"/>
        <v>0</v>
      </c>
      <c r="ADG9" s="76">
        <f t="shared" si="528"/>
        <v>0</v>
      </c>
    </row>
    <row r="10" spans="1:787" x14ac:dyDescent="0.25">
      <c r="A10" s="46" t="str">
        <f>IF(ISBLANK(ComparisonSelection!F6),"",ROW()-5)</f>
        <v/>
      </c>
      <c r="B10" s="53" t="s">
        <v>460</v>
      </c>
      <c r="C10" s="72">
        <v>0.49399999999999955</v>
      </c>
      <c r="D10" s="55">
        <f t="shared" si="110"/>
        <v>12</v>
      </c>
      <c r="E10" s="54">
        <f t="shared" si="111"/>
        <v>2.4939999999999998</v>
      </c>
      <c r="F10" s="54">
        <f t="shared" si="529"/>
        <v>1</v>
      </c>
      <c r="G10" s="72">
        <f t="shared" si="112"/>
        <v>2</v>
      </c>
      <c r="H10" s="72">
        <f t="shared" si="113"/>
        <v>0</v>
      </c>
      <c r="I10" s="46" cm="1">
        <f t="array" ref="I10">ROUND(IFERROR(INDEX(ArchiveResults!$F$5:$IX$116,ComparisonData!A10,ComparisonData!$I$1),0),5)</f>
        <v>0</v>
      </c>
      <c r="J10" s="46" cm="1">
        <f t="array" ref="J10">ROUND(IFERROR(INDEX(ArchiveResults!$F$5:$IX$116,ComparisonData!A10,ComparisonData!$J$1),0),5)</f>
        <v>0</v>
      </c>
      <c r="K10" s="56">
        <v>5</v>
      </c>
      <c r="L10" s="53" t="str">
        <f t="shared" si="114"/>
        <v>Berkshire Record Office</v>
      </c>
      <c r="M10" s="57">
        <f t="shared" si="0"/>
        <v>0</v>
      </c>
      <c r="N10" s="57">
        <f t="shared" si="1"/>
        <v>0</v>
      </c>
      <c r="O10" s="58">
        <f t="shared" si="115"/>
        <v>0</v>
      </c>
      <c r="P10" s="48">
        <f t="shared" si="116"/>
        <v>12</v>
      </c>
      <c r="Q10" s="54">
        <f t="shared" si="2"/>
        <v>2.4939999999999998</v>
      </c>
      <c r="R10" s="45">
        <f t="shared" si="117"/>
        <v>1</v>
      </c>
      <c r="S10" s="46">
        <f t="shared" si="118"/>
        <v>2</v>
      </c>
      <c r="T10" s="72">
        <f t="shared" si="119"/>
        <v>0</v>
      </c>
      <c r="U10" s="46" cm="1">
        <f t="array" ref="U10">ROUND(IFERROR(INDEX(ArchiveResults!$F$5:$IX$116,ComparisonData!A10,ComparisonData!$U$1),0),5)</f>
        <v>0</v>
      </c>
      <c r="V10" s="46" cm="1">
        <f t="array" ref="V10">ROUND(IFERROR(INDEX(ArchiveResults!$F$5:$IX$116,ComparisonData!A10,ComparisonData!$V$1),0),5)</f>
        <v>0</v>
      </c>
      <c r="W10" s="56">
        <v>5</v>
      </c>
      <c r="X10" s="53" t="str">
        <f t="shared" si="3"/>
        <v>Berkshire Record Office</v>
      </c>
      <c r="Y10" s="57">
        <f t="shared" si="120"/>
        <v>0</v>
      </c>
      <c r="Z10" s="57">
        <f t="shared" si="121"/>
        <v>0</v>
      </c>
      <c r="AA10" s="58">
        <f t="shared" si="122"/>
        <v>0</v>
      </c>
      <c r="AB10" s="45">
        <f t="shared" si="123"/>
        <v>12</v>
      </c>
      <c r="AC10" s="54">
        <f t="shared" si="4"/>
        <v>2.4939999999999998</v>
      </c>
      <c r="AD10" s="45">
        <f t="shared" si="124"/>
        <v>1</v>
      </c>
      <c r="AE10" s="45">
        <f t="shared" si="125"/>
        <v>2</v>
      </c>
      <c r="AF10" s="45">
        <f t="shared" si="126"/>
        <v>0</v>
      </c>
      <c r="AG10" s="46" cm="1">
        <f t="array" ref="AG10">ROUND(IFERROR(INDEX(ArchiveResults!$F$5:$IX$116,ComparisonData!A10,ComparisonData!$AG$1),0),5)</f>
        <v>0</v>
      </c>
      <c r="AH10" s="46" cm="1">
        <f t="array" ref="AH10">ROUND(IFERROR(INDEX(ArchiveResults!$F$5:$IX$116,ComparisonData!A10,ComparisonData!$AH$1),0),5)</f>
        <v>0</v>
      </c>
      <c r="AI10" s="56">
        <v>5</v>
      </c>
      <c r="AJ10" s="53" t="str">
        <f t="shared" si="5"/>
        <v>Berkshire Record Office</v>
      </c>
      <c r="AK10" s="59">
        <f t="shared" si="6"/>
        <v>0</v>
      </c>
      <c r="AL10" s="59">
        <f t="shared" si="7"/>
        <v>0</v>
      </c>
      <c r="AM10" s="58">
        <f t="shared" si="127"/>
        <v>0</v>
      </c>
      <c r="AN10" s="45">
        <f t="shared" si="128"/>
        <v>12</v>
      </c>
      <c r="AO10" s="54">
        <f t="shared" si="8"/>
        <v>2.4939999999999998</v>
      </c>
      <c r="AP10" s="45">
        <f t="shared" si="129"/>
        <v>1</v>
      </c>
      <c r="AQ10" s="45">
        <f t="shared" si="130"/>
        <v>2</v>
      </c>
      <c r="AR10" s="46" cm="1">
        <f t="array" ref="AR10">ROUND(IFERROR(INDEX(ArchiveResults!$F$5:$IX$116,ComparisonData!A10,ComparisonData!$AR$1),0),5)</f>
        <v>0</v>
      </c>
      <c r="AS10" s="46" cm="1">
        <f t="array" ref="AS10">ROUND(IFERROR(INDEX(ArchiveResults!$F$5:$IX$116,ComparisonData!A10,ComparisonData!$AS$1),0),5)</f>
        <v>0</v>
      </c>
      <c r="AT10" s="46" cm="1">
        <f t="array" ref="AT10">ROUND(IFERROR(INDEX(ArchiveResults!$F$5:$IX$116,ComparisonData!A10,ComparisonData!$AT$1),0),5)</f>
        <v>0</v>
      </c>
      <c r="AU10" s="46" cm="1">
        <f t="array" ref="AU10">ROUND(IFERROR(INDEX(ArchiveResults!$F$5:$IX$116,ComparisonData!A10,ComparisonData!$AU$1),0),5)</f>
        <v>0</v>
      </c>
      <c r="AV10" s="46" cm="1">
        <f t="array" ref="AV10">ROUND(IFERROR(INDEX(ArchiveResults!$F$5:$IX$116,ComparisonData!A10,ComparisonData!$AV$1),0),5)</f>
        <v>0</v>
      </c>
      <c r="AW10" s="46" cm="1">
        <f t="array" ref="AW10">ROUND(IFERROR(INDEX(ArchiveResults!$F$5:$IX$116,ComparisonData!A10,ComparisonData!$AW$1),0),5)</f>
        <v>0</v>
      </c>
      <c r="AX10" s="46" cm="1">
        <f t="array" ref="AX10">ROUND(IFERROR(INDEX(ArchiveResults!$F$5:$IX$116,ComparisonData!A10,ComparisonData!$AX$1),0),5)</f>
        <v>0</v>
      </c>
      <c r="AY10" s="46" cm="1">
        <f t="array" ref="AY10">ROUND(IFERROR(INDEX(ArchiveResults!$F$5:$IX$116,ComparisonData!A10,ComparisonData!$AY$1),0),5)</f>
        <v>0</v>
      </c>
      <c r="AZ10" s="46" cm="1">
        <f t="array" ref="AZ10">ROUND(IFERROR(INDEX(ArchiveResults!$F$5:$IX$116,ComparisonData!A10,ComparisonData!$AZ$1),0),5)</f>
        <v>0</v>
      </c>
      <c r="BA10" s="46" cm="1">
        <f t="array" ref="BA10">ROUND(IFERROR(INDEX(ArchiveResults!$F$5:$IX$116,ComparisonData!A10,ComparisonData!$BA$1),0),5)</f>
        <v>0</v>
      </c>
      <c r="BB10" s="56">
        <v>5</v>
      </c>
      <c r="BC10" s="53" t="str">
        <f t="shared" si="9"/>
        <v>Berkshire Record Office</v>
      </c>
      <c r="BD10" s="60">
        <f t="shared" si="131"/>
        <v>0</v>
      </c>
      <c r="BE10" s="60">
        <f t="shared" si="132"/>
        <v>0</v>
      </c>
      <c r="BF10" s="60">
        <f t="shared" si="133"/>
        <v>0</v>
      </c>
      <c r="BG10" s="60">
        <f t="shared" si="134"/>
        <v>0</v>
      </c>
      <c r="BH10" s="60">
        <f t="shared" si="135"/>
        <v>0</v>
      </c>
      <c r="BI10" s="60">
        <f t="shared" si="136"/>
        <v>0</v>
      </c>
      <c r="BJ10" s="60">
        <f t="shared" si="137"/>
        <v>0</v>
      </c>
      <c r="BK10" s="60">
        <f t="shared" si="138"/>
        <v>0</v>
      </c>
      <c r="BL10" s="60">
        <f t="shared" si="139"/>
        <v>0</v>
      </c>
      <c r="BM10" s="59">
        <f t="shared" si="140"/>
        <v>0</v>
      </c>
      <c r="BN10" s="58">
        <f t="shared" si="141"/>
        <v>0</v>
      </c>
      <c r="BO10" s="45">
        <f t="shared" si="142"/>
        <v>12</v>
      </c>
      <c r="BP10" s="54">
        <f t="shared" si="10"/>
        <v>2.4939999999999998</v>
      </c>
      <c r="BQ10" s="45">
        <f t="shared" si="143"/>
        <v>1</v>
      </c>
      <c r="BR10" s="45">
        <f t="shared" si="144"/>
        <v>2</v>
      </c>
      <c r="BS10" s="46" cm="1">
        <f t="array" ref="BS10">ROUND(IFERROR(INDEX(ArchiveResults!$F$5:$IX$116,ComparisonData!A10,ComparisonData!$BS$1),0),5)</f>
        <v>0</v>
      </c>
      <c r="BT10" s="46" cm="1">
        <f t="array" ref="BT10">ROUND(IFERROR(INDEX(ArchiveResults!$F$5:$IX$116,ComparisonData!A10,ComparisonData!$BT$1),0),5)</f>
        <v>0</v>
      </c>
      <c r="BU10" s="46" cm="1">
        <f t="array" ref="BU10">ROUND(IFERROR(INDEX(ArchiveResults!$F$5:$IX$116,ComparisonData!A10,ComparisonData!$BU$1),0),5)</f>
        <v>0</v>
      </c>
      <c r="BV10" s="46" cm="1">
        <f t="array" ref="BV10">ROUND(IFERROR(INDEX(ArchiveResults!$F$5:$IX$116,ComparisonData!A10,ComparisonData!$BV$1),0),5)</f>
        <v>0</v>
      </c>
      <c r="BW10" s="46" cm="1">
        <f t="array" ref="BW10">ROUND(IFERROR(INDEX(ArchiveResults!$F$5:$IX$116,ComparisonData!A10,ComparisonData!$BW$1),0),5)</f>
        <v>0</v>
      </c>
      <c r="BX10" s="46" cm="1">
        <f t="array" ref="BX10">ROUND(IFERROR(INDEX(ArchiveResults!$F$5:$IX$116,ComparisonData!A10,ComparisonData!$BX$1),0),5)</f>
        <v>0</v>
      </c>
      <c r="BY10" s="56">
        <v>5</v>
      </c>
      <c r="BZ10" s="53" t="str">
        <f t="shared" si="11"/>
        <v>Berkshire Record Office</v>
      </c>
      <c r="CA10" s="59">
        <f t="shared" si="145"/>
        <v>0</v>
      </c>
      <c r="CB10" s="59">
        <f t="shared" si="146"/>
        <v>0</v>
      </c>
      <c r="CC10" s="59">
        <f t="shared" si="147"/>
        <v>0</v>
      </c>
      <c r="CD10" s="59">
        <f t="shared" si="148"/>
        <v>0</v>
      </c>
      <c r="CE10" s="59">
        <f t="shared" si="149"/>
        <v>0</v>
      </c>
      <c r="CF10" s="59">
        <f t="shared" si="150"/>
        <v>0</v>
      </c>
      <c r="CG10" s="58">
        <f t="shared" si="151"/>
        <v>0</v>
      </c>
      <c r="CH10" s="45">
        <f t="shared" si="152"/>
        <v>12</v>
      </c>
      <c r="CI10" s="54">
        <f t="shared" si="12"/>
        <v>2.4939999999999998</v>
      </c>
      <c r="CJ10" s="45">
        <f t="shared" si="153"/>
        <v>1</v>
      </c>
      <c r="CK10" s="45">
        <f t="shared" si="154"/>
        <v>2</v>
      </c>
      <c r="CL10" s="46" cm="1">
        <f t="array" ref="CL10">ROUND(IFERROR(INDEX(ArchiveResults!$F$5:$IX$116,ComparisonData!A10,ComparisonData!$CL$1),0),5)</f>
        <v>0</v>
      </c>
      <c r="CM10" s="56">
        <v>5</v>
      </c>
      <c r="CN10" s="53" t="str">
        <f t="shared" si="13"/>
        <v>Berkshire Record Office</v>
      </c>
      <c r="CO10" s="45">
        <f t="shared" si="155"/>
        <v>0</v>
      </c>
      <c r="CP10" s="58">
        <f t="shared" si="156"/>
        <v>0</v>
      </c>
      <c r="CQ10" s="45">
        <f t="shared" si="157"/>
        <v>12</v>
      </c>
      <c r="CR10" s="54">
        <f t="shared" si="14"/>
        <v>2.4939999999999998</v>
      </c>
      <c r="CS10" s="45">
        <f t="shared" si="158"/>
        <v>1</v>
      </c>
      <c r="CT10" s="45">
        <f t="shared" si="159"/>
        <v>2</v>
      </c>
      <c r="CU10" s="46" cm="1">
        <f t="array" ref="CU10">ROUND(IFERROR(INDEX(ArchiveResults!$F$5:$IX$116,ComparisonData!A10,ComparisonData!$CU$1),0),5)</f>
        <v>0</v>
      </c>
      <c r="CV10" s="56">
        <v>5</v>
      </c>
      <c r="CW10" s="53" t="str">
        <f t="shared" si="15"/>
        <v>Berkshire Record Office</v>
      </c>
      <c r="CX10" s="45">
        <f t="shared" si="160"/>
        <v>0</v>
      </c>
      <c r="CY10" s="58">
        <f t="shared" si="161"/>
        <v>0</v>
      </c>
      <c r="CZ10" s="45">
        <f t="shared" si="162"/>
        <v>12</v>
      </c>
      <c r="DA10" s="54">
        <f t="shared" si="16"/>
        <v>2.4939999999999998</v>
      </c>
      <c r="DB10" s="45">
        <f t="shared" si="163"/>
        <v>1</v>
      </c>
      <c r="DC10" s="45">
        <f t="shared" si="164"/>
        <v>2</v>
      </c>
      <c r="DD10" s="46" cm="1">
        <f t="array" ref="DD10">ROUND(IFERROR(INDEX(ArchiveResults!$F$5:$IX$116,ComparisonData!A10,ComparisonData!$DD$1),0),5)</f>
        <v>0</v>
      </c>
      <c r="DE10" s="56">
        <v>5</v>
      </c>
      <c r="DF10" s="53" t="str">
        <f t="shared" si="17"/>
        <v>Berkshire Record Office</v>
      </c>
      <c r="DG10" s="45">
        <f t="shared" si="165"/>
        <v>0</v>
      </c>
      <c r="DH10" s="58">
        <f t="shared" si="166"/>
        <v>0</v>
      </c>
      <c r="DI10" s="45">
        <f t="shared" si="167"/>
        <v>12</v>
      </c>
      <c r="DJ10" s="54">
        <f t="shared" si="18"/>
        <v>2.4939999999999998</v>
      </c>
      <c r="DK10" s="45">
        <f t="shared" si="168"/>
        <v>1</v>
      </c>
      <c r="DL10" s="45">
        <f t="shared" si="169"/>
        <v>2</v>
      </c>
      <c r="DM10" s="46" cm="1">
        <f t="array" ref="DM10">ROUND(IFERROR(INDEX(ArchiveResults!$F$5:$IX$116,ComparisonData!A10,ComparisonData!$DM$1),0),5)</f>
        <v>0</v>
      </c>
      <c r="DN10" s="46" cm="1">
        <f t="array" ref="DN10">ROUND(IFERROR(INDEX(ArchiveResults!$F$5:$IX$116,ComparisonData!A10,ComparisonData!$DN$1),0),5)</f>
        <v>0</v>
      </c>
      <c r="DO10" s="46" cm="1">
        <f t="array" ref="DO10">ROUND(IFERROR(INDEX(ArchiveResults!$F$5:$IX$116,ComparisonData!A10,ComparisonData!$DO$1),0),5)</f>
        <v>0</v>
      </c>
      <c r="DP10" s="46" cm="1">
        <f t="array" ref="DP10">ROUND(IFERROR(INDEX(ArchiveResults!$F$5:$IX$116,ComparisonData!A10,ComparisonData!$DP$1),0),5)</f>
        <v>0</v>
      </c>
      <c r="DQ10" s="45" cm="1">
        <f t="array" ref="DQ10">IFERROR(INDEX(ArchiveResults!$F$5:$IX$116,ComparisonData!A10,ComparisonData!$DQ$1),0)</f>
        <v>0</v>
      </c>
      <c r="DR10" s="56">
        <v>5</v>
      </c>
      <c r="DS10" s="53" t="str">
        <f t="shared" si="19"/>
        <v>Berkshire Record Office</v>
      </c>
      <c r="DT10" s="59">
        <f t="shared" si="170"/>
        <v>0</v>
      </c>
      <c r="DU10" s="59">
        <f t="shared" si="171"/>
        <v>0</v>
      </c>
      <c r="DV10" s="59">
        <f t="shared" si="172"/>
        <v>0</v>
      </c>
      <c r="DW10" s="59">
        <f t="shared" si="173"/>
        <v>0</v>
      </c>
      <c r="DX10" s="59">
        <f t="shared" si="174"/>
        <v>0</v>
      </c>
      <c r="DY10" s="58">
        <f t="shared" si="175"/>
        <v>0</v>
      </c>
      <c r="DZ10" s="45">
        <f t="shared" si="176"/>
        <v>12</v>
      </c>
      <c r="EA10" s="54">
        <f t="shared" si="20"/>
        <v>2.4939999999999998</v>
      </c>
      <c r="EB10" s="45">
        <f t="shared" si="177"/>
        <v>1</v>
      </c>
      <c r="EC10" s="45">
        <f t="shared" si="178"/>
        <v>2</v>
      </c>
      <c r="ED10" s="46" cm="1">
        <f t="array" ref="ED10">ROUND(IFERROR(INDEX(ArchiveResults!$F$5:$IX$116,ComparisonData!A10,ComparisonData!$ED$1),0),5)</f>
        <v>0</v>
      </c>
      <c r="EE10" s="46" cm="1">
        <f t="array" ref="EE10">ROUND(IFERROR(INDEX(ArchiveResults!$F$5:$IX$116,ComparisonData!A10,ComparisonData!$EE$1),0),5)</f>
        <v>0</v>
      </c>
      <c r="EF10" s="46" cm="1">
        <f t="array" ref="EF10">ROUND(IFERROR(INDEX(ArchiveResults!$F$5:$IX$116,ComparisonData!A10,ComparisonData!$EF$1),0),5)</f>
        <v>0</v>
      </c>
      <c r="EG10" s="46" cm="1">
        <f t="array" ref="EG10">ROUND(IFERROR(INDEX(ArchiveResults!$F$5:$IX$116,ComparisonData!A10,ComparisonData!$EG$1),0),5)</f>
        <v>0</v>
      </c>
      <c r="EH10" s="45" cm="1">
        <f t="array" ref="EH10">IFERROR(INDEX(ArchiveResults!$F$5:$IX$116,ComparisonData!A10,ComparisonData!$EH$1),0)</f>
        <v>0</v>
      </c>
      <c r="EI10" s="56">
        <v>5</v>
      </c>
      <c r="EJ10" s="53" t="str">
        <f t="shared" si="21"/>
        <v>Berkshire Record Office</v>
      </c>
      <c r="EK10" s="59">
        <f t="shared" si="179"/>
        <v>0</v>
      </c>
      <c r="EL10" s="59">
        <f t="shared" si="180"/>
        <v>0</v>
      </c>
      <c r="EM10" s="59">
        <f t="shared" si="181"/>
        <v>0</v>
      </c>
      <c r="EN10" s="59">
        <f t="shared" si="182"/>
        <v>0</v>
      </c>
      <c r="EO10" s="59">
        <f t="shared" si="183"/>
        <v>0</v>
      </c>
      <c r="EP10" s="58">
        <f t="shared" si="184"/>
        <v>0</v>
      </c>
      <c r="EQ10" s="45">
        <f t="shared" si="185"/>
        <v>12</v>
      </c>
      <c r="ER10" s="54">
        <f t="shared" si="22"/>
        <v>2.4939999999999998</v>
      </c>
      <c r="ES10" s="45">
        <f t="shared" si="186"/>
        <v>1</v>
      </c>
      <c r="ET10" s="45">
        <f t="shared" si="187"/>
        <v>2</v>
      </c>
      <c r="EU10" s="46" cm="1">
        <f t="array" ref="EU10">ROUND(IFERROR(INDEX(ArchiveResults!$F$5:$IX$116,ComparisonData!A10,ComparisonData!$EU$1),0),5)</f>
        <v>0</v>
      </c>
      <c r="EV10" s="46" cm="1">
        <f t="array" ref="EV10">ROUND(IFERROR(INDEX(ArchiveResults!$F$5:$IX$116,ComparisonData!A10,ComparisonData!$EV$1),0),5)</f>
        <v>0</v>
      </c>
      <c r="EW10" s="46" cm="1">
        <f t="array" ref="EW10">ROUND(IFERROR(INDEX(ArchiveResults!$F$5:$IX$116,ComparisonData!A10,ComparisonData!$EW$1),0),5)</f>
        <v>0</v>
      </c>
      <c r="EX10" s="46" cm="1">
        <f t="array" ref="EX10">ROUND(IFERROR(INDEX(ArchiveResults!$F$5:$IX$116,ComparisonData!A10,ComparisonData!$EX$1),0),5)</f>
        <v>0</v>
      </c>
      <c r="EY10" s="45" cm="1">
        <f t="array" ref="EY10">IFERROR(INDEX(ArchiveResults!$F$5:$IX$116,ComparisonData!A10,ComparisonData!$EY$1),0)</f>
        <v>0</v>
      </c>
      <c r="EZ10" s="56">
        <v>5</v>
      </c>
      <c r="FA10" s="53" t="str">
        <f t="shared" si="23"/>
        <v>Berkshire Record Office</v>
      </c>
      <c r="FB10" s="59">
        <f t="shared" si="188"/>
        <v>0</v>
      </c>
      <c r="FC10" s="59">
        <f t="shared" si="189"/>
        <v>0</v>
      </c>
      <c r="FD10" s="59">
        <f t="shared" si="190"/>
        <v>0</v>
      </c>
      <c r="FE10" s="59">
        <f t="shared" si="191"/>
        <v>0</v>
      </c>
      <c r="FF10" s="59">
        <f t="shared" si="192"/>
        <v>0</v>
      </c>
      <c r="FG10" s="58">
        <f t="shared" si="193"/>
        <v>0</v>
      </c>
      <c r="FH10" s="45">
        <f t="shared" si="194"/>
        <v>12</v>
      </c>
      <c r="FI10" s="54">
        <f t="shared" si="24"/>
        <v>2.4939999999999998</v>
      </c>
      <c r="FJ10" s="45">
        <f t="shared" si="195"/>
        <v>1</v>
      </c>
      <c r="FK10" s="45">
        <f t="shared" si="196"/>
        <v>2</v>
      </c>
      <c r="FL10" s="46" cm="1">
        <f t="array" ref="FL10">ROUND(IFERROR(INDEX(ArchiveResults!$F$5:$IX$116,ComparisonData!A10,ComparisonData!$FL$1),0),5)</f>
        <v>0</v>
      </c>
      <c r="FM10" s="46" cm="1">
        <f t="array" ref="FM10">ROUND(IFERROR(INDEX(ArchiveResults!$F$5:$IX$116,ComparisonData!A10,ComparisonData!$FM$1),0),5)</f>
        <v>0</v>
      </c>
      <c r="FN10" s="46" cm="1">
        <f t="array" ref="FN10">ROUND(IFERROR(INDEX(ArchiveResults!$F$5:$IX$116,ComparisonData!A10,ComparisonData!$FN$1),0),5)</f>
        <v>0</v>
      </c>
      <c r="FO10" s="46" cm="1">
        <f t="array" ref="FO10">ROUND(IFERROR(INDEX(ArchiveResults!$F$5:$IX$116,ComparisonData!A10,ComparisonData!$FO$1),0),5)</f>
        <v>0</v>
      </c>
      <c r="FP10" s="45" cm="1">
        <f t="array" ref="FP10">IFERROR(INDEX(ArchiveResults!$F$5:$IX$116,ComparisonData!A10,ComparisonData!$FP$1),0)</f>
        <v>0</v>
      </c>
      <c r="FQ10" s="56">
        <v>5</v>
      </c>
      <c r="FR10" s="53" t="str">
        <f t="shared" si="25"/>
        <v>Berkshire Record Office</v>
      </c>
      <c r="FS10" s="59">
        <f t="shared" si="197"/>
        <v>0</v>
      </c>
      <c r="FT10" s="59">
        <f t="shared" si="198"/>
        <v>0</v>
      </c>
      <c r="FU10" s="59">
        <f t="shared" si="199"/>
        <v>0</v>
      </c>
      <c r="FV10" s="59">
        <f t="shared" si="200"/>
        <v>0</v>
      </c>
      <c r="FW10" s="59">
        <f t="shared" si="201"/>
        <v>0</v>
      </c>
      <c r="FX10" s="58">
        <f t="shared" si="202"/>
        <v>0</v>
      </c>
      <c r="FY10" s="45">
        <f t="shared" si="203"/>
        <v>12</v>
      </c>
      <c r="FZ10" s="45">
        <f t="shared" si="26"/>
        <v>2.4939999999999998</v>
      </c>
      <c r="GA10" s="45">
        <f t="shared" si="204"/>
        <v>1</v>
      </c>
      <c r="GB10" s="45">
        <f t="shared" si="205"/>
        <v>2</v>
      </c>
      <c r="GC10" s="46" cm="1">
        <f t="array" ref="GC10">ROUND(IFERROR(INDEX(ArchiveResults!$F$5:$IX$116,ComparisonData!A10,ComparisonData!$GC$1),0),5)</f>
        <v>0</v>
      </c>
      <c r="GD10" s="46" cm="1">
        <f t="array" ref="GD10">ROUND(IFERROR(INDEX(ArchiveResults!$F$5:$IX$116,ComparisonData!A10,ComparisonData!$GD$1),0),5)</f>
        <v>0</v>
      </c>
      <c r="GE10" s="46" cm="1">
        <f t="array" ref="GE10">ROUND(IFERROR(INDEX(ArchiveResults!$F$5:$IX$116,ComparisonData!A10,ComparisonData!$GE$1),0),5)</f>
        <v>0</v>
      </c>
      <c r="GF10" s="46" cm="1">
        <f t="array" ref="GF10">ROUND(IFERROR(INDEX(ArchiveResults!$F$5:$IX$116,ComparisonData!A10,ComparisonData!$GF$1),0),5)</f>
        <v>0</v>
      </c>
      <c r="GG10" s="45" cm="1">
        <f t="array" ref="GG10">IFERROR(INDEX(ArchiveResults!$F$5:$IX$116,ComparisonData!A10,ComparisonData!$GG$1),0)</f>
        <v>0</v>
      </c>
      <c r="GH10" s="56">
        <v>5</v>
      </c>
      <c r="GI10" s="53" t="str">
        <f t="shared" si="27"/>
        <v>Berkshire Record Office</v>
      </c>
      <c r="GJ10" s="59">
        <f t="shared" si="206"/>
        <v>0</v>
      </c>
      <c r="GK10" s="59">
        <f t="shared" si="207"/>
        <v>0</v>
      </c>
      <c r="GL10" s="59">
        <f t="shared" si="208"/>
        <v>0</v>
      </c>
      <c r="GM10" s="59">
        <f t="shared" si="209"/>
        <v>0</v>
      </c>
      <c r="GN10" s="59">
        <f t="shared" si="210"/>
        <v>0</v>
      </c>
      <c r="GO10" s="58">
        <f t="shared" si="211"/>
        <v>0</v>
      </c>
      <c r="GP10" s="45">
        <f t="shared" si="212"/>
        <v>12</v>
      </c>
      <c r="GQ10" s="45">
        <f t="shared" si="28"/>
        <v>2.4939999999999998</v>
      </c>
      <c r="GR10" s="45">
        <f t="shared" si="213"/>
        <v>1</v>
      </c>
      <c r="GS10" s="45">
        <f t="shared" si="214"/>
        <v>2</v>
      </c>
      <c r="GT10" s="46" cm="1">
        <f t="array" ref="GT10">ROUND(IFERROR(INDEX(ArchiveResults!$F$5:$IX$116,ComparisonData!A10,ComparisonData!$GT$1),0),5)</f>
        <v>0</v>
      </c>
      <c r="GU10" s="46" cm="1">
        <f t="array" ref="GU10">ROUND(IFERROR(INDEX(ArchiveResults!$F$5:$IX$116,ComparisonData!A10,ComparisonData!$GU$1),0),5)</f>
        <v>0</v>
      </c>
      <c r="GV10" s="46" cm="1">
        <f t="array" ref="GV10">ROUND(IFERROR(INDEX(ArchiveResults!$F$5:$IX$116,ComparisonData!A10,ComparisonData!$GV$1),0),5)</f>
        <v>0</v>
      </c>
      <c r="GW10" s="46" cm="1">
        <f t="array" ref="GW10">ROUND(IFERROR(INDEX(ArchiveResults!$F$5:$IX$116,ComparisonData!A10,ComparisonData!$GW$1),0),5)</f>
        <v>0</v>
      </c>
      <c r="GX10" s="45" cm="1">
        <f t="array" ref="GX10">IFERROR(INDEX(ArchiveResults!$F$5:$IX$116,ComparisonData!A10,ComparisonData!$GX$1),0)</f>
        <v>0</v>
      </c>
      <c r="GY10" s="56">
        <v>5</v>
      </c>
      <c r="GZ10" s="53" t="str">
        <f t="shared" si="29"/>
        <v>Berkshire Record Office</v>
      </c>
      <c r="HA10" s="59">
        <f t="shared" si="215"/>
        <v>0</v>
      </c>
      <c r="HB10" s="59">
        <f t="shared" si="216"/>
        <v>0</v>
      </c>
      <c r="HC10" s="59">
        <f t="shared" si="217"/>
        <v>0</v>
      </c>
      <c r="HD10" s="59">
        <f t="shared" si="218"/>
        <v>0</v>
      </c>
      <c r="HE10" s="59">
        <f t="shared" si="219"/>
        <v>0</v>
      </c>
      <c r="HF10" s="58">
        <f t="shared" si="220"/>
        <v>0</v>
      </c>
      <c r="HG10" s="45">
        <f t="shared" si="221"/>
        <v>12</v>
      </c>
      <c r="HH10" s="45">
        <f t="shared" si="30"/>
        <v>2.4939999999999998</v>
      </c>
      <c r="HI10" s="45">
        <f t="shared" si="222"/>
        <v>1</v>
      </c>
      <c r="HJ10" s="45">
        <f t="shared" si="223"/>
        <v>2</v>
      </c>
      <c r="HK10" s="46" cm="1">
        <f t="array" ref="HK10">ROUND(IFERROR(INDEX(ArchiveResults!$F$5:$IX$116,ComparisonData!A10,ComparisonData!$HK$1),0),5)</f>
        <v>0</v>
      </c>
      <c r="HL10" s="46" cm="1">
        <f t="array" ref="HL10">ROUND(IFERROR(INDEX(ArchiveResults!$F$5:$IX$116,ComparisonData!A10,ComparisonData!$HL$1),0),5)</f>
        <v>0</v>
      </c>
      <c r="HM10" s="46" cm="1">
        <f t="array" ref="HM10">ROUND(IFERROR(INDEX(ArchiveResults!$F$5:$IX$116,ComparisonData!A10,ComparisonData!$HM$1),0),5)</f>
        <v>0</v>
      </c>
      <c r="HN10" s="46" cm="1">
        <f t="array" ref="HN10">ROUND(IFERROR(INDEX(ArchiveResults!$F$5:$IX$116,ComparisonData!A10,ComparisonData!$HN$1),0),5)</f>
        <v>0</v>
      </c>
      <c r="HO10" s="45" cm="1">
        <f t="array" ref="HO10">IFERROR(INDEX(ArchiveResults!$F$5:$IX$116,ComparisonData!A10,ComparisonData!$HO$1),0)</f>
        <v>0</v>
      </c>
      <c r="HP10" s="56">
        <v>5</v>
      </c>
      <c r="HQ10" s="53" t="str">
        <f t="shared" si="31"/>
        <v>Berkshire Record Office</v>
      </c>
      <c r="HR10" s="59">
        <f t="shared" si="32"/>
        <v>0</v>
      </c>
      <c r="HS10" s="59">
        <f t="shared" si="33"/>
        <v>0</v>
      </c>
      <c r="HT10" s="59">
        <f t="shared" si="34"/>
        <v>0</v>
      </c>
      <c r="HU10" s="59">
        <f t="shared" si="35"/>
        <v>0</v>
      </c>
      <c r="HV10" s="59">
        <f t="shared" si="36"/>
        <v>0</v>
      </c>
      <c r="HW10" s="58">
        <f t="shared" si="224"/>
        <v>0</v>
      </c>
      <c r="HX10" s="45">
        <f t="shared" si="225"/>
        <v>12</v>
      </c>
      <c r="HY10" s="45">
        <f t="shared" si="37"/>
        <v>2.4939999999999998</v>
      </c>
      <c r="HZ10" s="45">
        <f t="shared" si="226"/>
        <v>1</v>
      </c>
      <c r="IA10" s="45">
        <f t="shared" si="227"/>
        <v>2</v>
      </c>
      <c r="IB10" s="45">
        <f t="shared" si="228"/>
        <v>0</v>
      </c>
      <c r="IC10" s="46" cm="1">
        <f t="array" ref="IC10">ROUND(IFERROR(INDEX(ArchiveResults!$F$5:$IX$116,ComparisonData!A10,ComparisonData!$IC$1),0),5)</f>
        <v>0</v>
      </c>
      <c r="ID10" s="46" cm="1">
        <f t="array" ref="ID10">ROUND(IFERROR(INDEX(ArchiveResults!$F$5:$IX$116,ComparisonData!A10,ComparisonData!$ID$1),0),5)</f>
        <v>0</v>
      </c>
      <c r="IE10" s="46" cm="1">
        <f t="array" ref="IE10">ROUND(IFERROR(INDEX(ArchiveResults!$F$5:$IX$116,ComparisonData!A10,ComparisonData!$IE$1),0),5)</f>
        <v>0</v>
      </c>
      <c r="IF10" s="46" cm="1">
        <f t="array" ref="IF10">ROUND(IFERROR(INDEX(ArchiveResults!$F$5:$IX$116,ComparisonData!A10,ComparisonData!$IF$1),0),5)</f>
        <v>0</v>
      </c>
      <c r="IG10" s="45" cm="1">
        <f t="array" ref="IG10">IFERROR(INDEX(ArchiveResults!$F$5:$IX$116,ComparisonData!A10,ComparisonData!$IG$1),0)</f>
        <v>0</v>
      </c>
      <c r="IH10" s="56">
        <v>5</v>
      </c>
      <c r="II10" s="53" t="str">
        <f t="shared" si="38"/>
        <v>Berkshire Record Office</v>
      </c>
      <c r="IJ10" s="59">
        <f t="shared" si="229"/>
        <v>0</v>
      </c>
      <c r="IK10" s="59">
        <f t="shared" si="230"/>
        <v>0</v>
      </c>
      <c r="IL10" s="59">
        <f t="shared" si="231"/>
        <v>0</v>
      </c>
      <c r="IM10" s="59">
        <f t="shared" si="232"/>
        <v>0</v>
      </c>
      <c r="IN10" s="59">
        <f t="shared" si="233"/>
        <v>0</v>
      </c>
      <c r="IO10" s="58">
        <f t="shared" si="234"/>
        <v>0</v>
      </c>
      <c r="IP10" s="45">
        <f t="shared" si="235"/>
        <v>12</v>
      </c>
      <c r="IQ10" s="45">
        <f t="shared" si="39"/>
        <v>2.4939999999999998</v>
      </c>
      <c r="IR10" s="45">
        <f t="shared" si="236"/>
        <v>1</v>
      </c>
      <c r="IS10" s="45">
        <f t="shared" si="237"/>
        <v>2</v>
      </c>
      <c r="IT10" s="46">
        <f t="shared" si="238"/>
        <v>0</v>
      </c>
      <c r="IU10" s="46" cm="1">
        <f t="array" ref="IU10">ROUND(IFERROR(INDEX(ArchiveResults!$F$5:$IX$116,ComparisonData!A10,ComparisonData!$IU$1),0),5)</f>
        <v>0</v>
      </c>
      <c r="IV10" s="46" cm="1">
        <f t="array" ref="IV10">ROUND(IFERROR(INDEX(ArchiveResults!$F$5:$IX$116,ComparisonData!A10,ComparisonData!$IV$1),0),5)</f>
        <v>0</v>
      </c>
      <c r="IW10" s="46" cm="1">
        <f t="array" ref="IW10">ROUND(IFERROR(INDEX(ArchiveResults!$F$5:$IX$116,ComparisonData!A10,ComparisonData!$IW$1),0),5)</f>
        <v>0</v>
      </c>
      <c r="IX10" s="46" cm="1">
        <f t="array" ref="IX10">ROUND(IFERROR(INDEX(ArchiveResults!$F$5:$IX$116,ComparisonData!A10,ComparisonData!$IX$1),0),5)</f>
        <v>0</v>
      </c>
      <c r="IY10" s="45" cm="1">
        <f t="array" ref="IY10">IFERROR(INDEX(ArchiveResults!$F$5:$IX$116,ComparisonData!A10,ComparisonData!$IY$1),0)</f>
        <v>0</v>
      </c>
      <c r="IZ10" s="56">
        <v>5</v>
      </c>
      <c r="JA10" s="53" t="str">
        <f t="shared" si="40"/>
        <v>Berkshire Record Office</v>
      </c>
      <c r="JB10" s="59">
        <f t="shared" si="239"/>
        <v>0</v>
      </c>
      <c r="JC10" s="59">
        <f t="shared" si="240"/>
        <v>0</v>
      </c>
      <c r="JD10" s="59">
        <f t="shared" si="241"/>
        <v>0</v>
      </c>
      <c r="JE10" s="59">
        <f t="shared" si="242"/>
        <v>0</v>
      </c>
      <c r="JF10" s="59">
        <f t="shared" si="243"/>
        <v>0</v>
      </c>
      <c r="JG10" s="58">
        <f t="shared" si="244"/>
        <v>0</v>
      </c>
      <c r="JH10" s="45">
        <f t="shared" si="245"/>
        <v>12</v>
      </c>
      <c r="JI10" s="45">
        <f t="shared" si="41"/>
        <v>2.4939999999999998</v>
      </c>
      <c r="JJ10" s="45">
        <f t="shared" si="246"/>
        <v>1</v>
      </c>
      <c r="JK10" s="45">
        <f t="shared" si="247"/>
        <v>2</v>
      </c>
      <c r="JL10" s="45">
        <f t="shared" si="248"/>
        <v>0</v>
      </c>
      <c r="JM10" s="46" cm="1">
        <f t="array" ref="JM10">ROUND(IFERROR(INDEX(ArchiveResults!$F$5:$IX$116,ComparisonData!A10,ComparisonData!$JM$1),0),5)</f>
        <v>0</v>
      </c>
      <c r="JN10" s="46" cm="1">
        <f t="array" ref="JN10">ROUND(IFERROR(INDEX(ArchiveResults!$F$5:$IX$116,ComparisonData!A10,ComparisonData!$JN$1),0),5)</f>
        <v>0</v>
      </c>
      <c r="JO10" s="46" cm="1">
        <f t="array" ref="JO10">ROUND(IFERROR(INDEX(ArchiveResults!$F$5:$IX$116,ComparisonData!A10,ComparisonData!$JO$1),0),5)</f>
        <v>0</v>
      </c>
      <c r="JP10" s="46" cm="1">
        <f t="array" ref="JP10">ROUND(IFERROR(INDEX(ArchiveResults!$F$5:$IX$116,ComparisonData!A10,ComparisonData!$JP$1),0),5)</f>
        <v>0</v>
      </c>
      <c r="JQ10" s="45" cm="1">
        <f t="array" ref="JQ10">IFERROR(INDEX(ArchiveResults!$F$5:$IX$116,ComparisonData!A10,ComparisonData!$JQ$1),0)</f>
        <v>0</v>
      </c>
      <c r="JR10" s="56">
        <v>5</v>
      </c>
      <c r="JS10" s="53" t="str">
        <f t="shared" si="42"/>
        <v>Berkshire Record Office</v>
      </c>
      <c r="JT10" s="59">
        <f t="shared" si="249"/>
        <v>0</v>
      </c>
      <c r="JU10" s="59">
        <f t="shared" si="250"/>
        <v>0</v>
      </c>
      <c r="JV10" s="59">
        <f t="shared" si="251"/>
        <v>0</v>
      </c>
      <c r="JW10" s="59">
        <f t="shared" si="252"/>
        <v>0</v>
      </c>
      <c r="JX10" s="59">
        <f t="shared" si="253"/>
        <v>0</v>
      </c>
      <c r="JY10" s="58">
        <f t="shared" si="254"/>
        <v>0</v>
      </c>
      <c r="JZ10" s="45">
        <f t="shared" si="255"/>
        <v>12</v>
      </c>
      <c r="KA10" s="45">
        <f t="shared" si="43"/>
        <v>2.4939999999999998</v>
      </c>
      <c r="KB10" s="45">
        <f t="shared" si="256"/>
        <v>1</v>
      </c>
      <c r="KC10" s="45">
        <f t="shared" si="257"/>
        <v>2</v>
      </c>
      <c r="KD10" s="45">
        <f t="shared" si="258"/>
        <v>0</v>
      </c>
      <c r="KE10" s="46" cm="1">
        <f t="array" ref="KE10">ROUND(IFERROR(INDEX(ArchiveResults!$F$5:$IX$116,ComparisonData!A10,ComparisonData!$KE$1),0),5)</f>
        <v>0</v>
      </c>
      <c r="KF10" s="46" cm="1">
        <f t="array" ref="KF10">ROUND(IFERROR(INDEX(ArchiveResults!$F$5:$IX$116,ComparisonData!A10,ComparisonData!$KF$1),0),5)</f>
        <v>0</v>
      </c>
      <c r="KG10" s="46" cm="1">
        <f t="array" ref="KG10">ROUND(IFERROR(INDEX(ArchiveResults!$F$5:$IX$116,ComparisonData!A10,ComparisonData!$KG$1),0),5)</f>
        <v>0</v>
      </c>
      <c r="KH10" s="46" cm="1">
        <f t="array" ref="KH10">ROUND(IFERROR(INDEX(ArchiveResults!$F$5:$IX$116,ComparisonData!A10,ComparisonData!$KH$1),0),5)</f>
        <v>0</v>
      </c>
      <c r="KI10" s="45" cm="1">
        <f t="array" ref="KI10">IFERROR(INDEX(ArchiveResults!$F$5:$IX$116,ComparisonData!A10,ComparisonData!$KI$1),0)</f>
        <v>0</v>
      </c>
      <c r="KJ10" s="56">
        <v>5</v>
      </c>
      <c r="KK10" s="53" t="str">
        <f t="shared" si="44"/>
        <v>Berkshire Record Office</v>
      </c>
      <c r="KL10" s="59">
        <f t="shared" si="259"/>
        <v>0</v>
      </c>
      <c r="KM10" s="59">
        <f t="shared" si="260"/>
        <v>0</v>
      </c>
      <c r="KN10" s="59">
        <f t="shared" si="261"/>
        <v>0</v>
      </c>
      <c r="KO10" s="59">
        <f t="shared" si="262"/>
        <v>0</v>
      </c>
      <c r="KP10" s="59">
        <f t="shared" si="263"/>
        <v>0</v>
      </c>
      <c r="KQ10" s="58">
        <f t="shared" si="264"/>
        <v>0</v>
      </c>
      <c r="KR10" s="45">
        <f t="shared" si="265"/>
        <v>12</v>
      </c>
      <c r="KS10" s="45">
        <f t="shared" si="45"/>
        <v>2.4939999999999998</v>
      </c>
      <c r="KT10" s="45">
        <f t="shared" si="266"/>
        <v>1</v>
      </c>
      <c r="KU10" s="45">
        <f t="shared" si="267"/>
        <v>2</v>
      </c>
      <c r="KV10" s="45">
        <f t="shared" si="268"/>
        <v>0</v>
      </c>
      <c r="KW10" s="46" cm="1">
        <f t="array" ref="KW10">ROUND(IFERROR(INDEX(ArchiveResults!$F$5:$IX$116,ComparisonData!A10,ComparisonData!$KW$1),0),5)</f>
        <v>0</v>
      </c>
      <c r="KX10" s="46" cm="1">
        <f t="array" ref="KX10">ROUND(IFERROR(INDEX(ArchiveResults!$F$5:$IX$116,ComparisonData!A10,ComparisonData!$KX$1),0),5)</f>
        <v>0</v>
      </c>
      <c r="KY10" s="46" cm="1">
        <f t="array" ref="KY10">ROUND(IFERROR(INDEX(ArchiveResults!$F$5:$IX$116,ComparisonData!A10,ComparisonData!$KY$1),0),5)</f>
        <v>0</v>
      </c>
      <c r="KZ10" s="46" cm="1">
        <f t="array" ref="KZ10">ROUND(IFERROR(INDEX(ArchiveResults!$F$5:$IX$116,ComparisonData!A10,ComparisonData!$KZ$1),0),5)</f>
        <v>0</v>
      </c>
      <c r="LA10" s="45" cm="1">
        <f t="array" ref="LA10">IFERROR(INDEX(ArchiveResults!$F$5:$IX$116,ComparisonData!A10,ComparisonData!$LA$1),0)</f>
        <v>0</v>
      </c>
      <c r="LB10" s="56">
        <v>5</v>
      </c>
      <c r="LC10" s="53" t="str">
        <f t="shared" si="46"/>
        <v>Berkshire Record Office</v>
      </c>
      <c r="LD10" s="59">
        <f t="shared" si="269"/>
        <v>0</v>
      </c>
      <c r="LE10" s="59">
        <f t="shared" si="270"/>
        <v>0</v>
      </c>
      <c r="LF10" s="59">
        <f t="shared" si="271"/>
        <v>0</v>
      </c>
      <c r="LG10" s="59">
        <f t="shared" si="272"/>
        <v>0</v>
      </c>
      <c r="LH10" s="59">
        <f t="shared" si="273"/>
        <v>0</v>
      </c>
      <c r="LI10" s="58">
        <f t="shared" si="274"/>
        <v>0</v>
      </c>
      <c r="LJ10" s="45">
        <f t="shared" si="275"/>
        <v>12</v>
      </c>
      <c r="LK10" s="45">
        <f t="shared" si="47"/>
        <v>2.4939999999999998</v>
      </c>
      <c r="LL10" s="45">
        <f t="shared" si="276"/>
        <v>1</v>
      </c>
      <c r="LM10" s="45">
        <f t="shared" si="277"/>
        <v>2</v>
      </c>
      <c r="LN10" s="45">
        <f t="shared" si="278"/>
        <v>0</v>
      </c>
      <c r="LO10" s="46" cm="1">
        <f t="array" ref="LO10">ROUND(IFERROR(INDEX(ArchiveResults!$F$5:$IX$116,ComparisonData!A10,ComparisonData!$LO$1),0),5)</f>
        <v>0</v>
      </c>
      <c r="LP10" s="46" cm="1">
        <f t="array" ref="LP10">ROUND(IFERROR(INDEX(ArchiveResults!$F$5:$IX$116,ComparisonData!A10,ComparisonData!$LP$1),0),5)</f>
        <v>0</v>
      </c>
      <c r="LQ10" s="46" cm="1">
        <f t="array" ref="LQ10">ROUND(IFERROR(INDEX(ArchiveResults!$F$5:$IX$116,ComparisonData!A10,ComparisonData!$LQ$1),0),5)</f>
        <v>0</v>
      </c>
      <c r="LR10" s="46" cm="1">
        <f t="array" ref="LR10">ROUND(IFERROR(INDEX(ArchiveResults!$F$5:$IX$116,ComparisonData!A10,ComparisonData!$LR$1),0),5)</f>
        <v>0</v>
      </c>
      <c r="LS10" s="45" cm="1">
        <f t="array" ref="LS10">IFERROR(INDEX(ArchiveResults!$F$5:$IX$116,ComparisonData!A10,ComparisonData!$LS$1),0)</f>
        <v>0</v>
      </c>
      <c r="LT10" s="56">
        <v>5</v>
      </c>
      <c r="LU10" s="53" t="str">
        <f t="shared" si="48"/>
        <v>Berkshire Record Office</v>
      </c>
      <c r="LV10" s="59">
        <f t="shared" si="279"/>
        <v>0</v>
      </c>
      <c r="LW10" s="59">
        <f t="shared" si="280"/>
        <v>0</v>
      </c>
      <c r="LX10" s="59">
        <f t="shared" si="281"/>
        <v>0</v>
      </c>
      <c r="LY10" s="59">
        <f t="shared" si="282"/>
        <v>0</v>
      </c>
      <c r="LZ10" s="59">
        <f t="shared" si="283"/>
        <v>0</v>
      </c>
      <c r="MA10" s="58">
        <f t="shared" si="284"/>
        <v>0</v>
      </c>
      <c r="MB10" s="45">
        <f t="shared" si="285"/>
        <v>12</v>
      </c>
      <c r="MC10" s="45">
        <f t="shared" si="49"/>
        <v>2.4939999999999998</v>
      </c>
      <c r="MD10" s="45">
        <f t="shared" si="286"/>
        <v>1</v>
      </c>
      <c r="ME10" s="45">
        <f t="shared" si="287"/>
        <v>2</v>
      </c>
      <c r="MF10" s="45">
        <f t="shared" si="288"/>
        <v>0</v>
      </c>
      <c r="MG10" s="46" cm="1">
        <f t="array" ref="MG10">ROUND(IFERROR(INDEX(ArchiveResults!$F$5:$IX$116,ComparisonData!A10,ComparisonData!$MG$1),0),5)</f>
        <v>0</v>
      </c>
      <c r="MH10" s="46" cm="1">
        <f t="array" ref="MH10">ROUND(IFERROR(INDEX(ArchiveResults!$F$5:$IX$116,ComparisonData!A10,ComparisonData!$MH$1),0),5)</f>
        <v>0</v>
      </c>
      <c r="MI10" s="46" cm="1">
        <f t="array" ref="MI10">ROUND(IFERROR(INDEX(ArchiveResults!$F$5:$IX$116,ComparisonData!A10,ComparisonData!$MI$1),0),5)</f>
        <v>0</v>
      </c>
      <c r="MJ10" s="46" cm="1">
        <f t="array" ref="MJ10">ROUND(IFERROR(INDEX(ArchiveResults!$F$5:$IX$116,ComparisonData!A10,ComparisonData!$MJ$1),0),5)</f>
        <v>0</v>
      </c>
      <c r="MK10" s="45" cm="1">
        <f t="array" ref="MK10">IFERROR(INDEX(ArchiveResults!$F$5:$IX$116,ComparisonData!A10,ComparisonData!$MK$1),0)</f>
        <v>0</v>
      </c>
      <c r="ML10" s="56">
        <v>5</v>
      </c>
      <c r="MM10" s="53" t="str">
        <f t="shared" si="50"/>
        <v>Berkshire Record Office</v>
      </c>
      <c r="MN10" s="59">
        <f t="shared" si="289"/>
        <v>0</v>
      </c>
      <c r="MO10" s="59">
        <f t="shared" si="290"/>
        <v>0</v>
      </c>
      <c r="MP10" s="59">
        <f t="shared" si="291"/>
        <v>0</v>
      </c>
      <c r="MQ10" s="59">
        <f t="shared" si="292"/>
        <v>0</v>
      </c>
      <c r="MR10" s="59">
        <f t="shared" si="293"/>
        <v>0</v>
      </c>
      <c r="MS10" s="58">
        <f t="shared" si="294"/>
        <v>0</v>
      </c>
      <c r="MT10" s="45">
        <f t="shared" si="295"/>
        <v>12</v>
      </c>
      <c r="MU10" s="45">
        <f t="shared" si="51"/>
        <v>2.4939999999999998</v>
      </c>
      <c r="MV10" s="45">
        <f t="shared" si="296"/>
        <v>1</v>
      </c>
      <c r="MW10" s="45">
        <f t="shared" si="297"/>
        <v>2</v>
      </c>
      <c r="MX10" s="45">
        <f t="shared" si="298"/>
        <v>0</v>
      </c>
      <c r="MY10" s="46" cm="1">
        <f t="array" ref="MY10">ROUND(IFERROR(INDEX(ArchiveResults!$F$5:$IX$116,ComparisonData!A10,ComparisonData!$MY$1),0),5)</f>
        <v>0</v>
      </c>
      <c r="MZ10" s="46" cm="1">
        <f t="array" ref="MZ10">ROUND(IFERROR(INDEX(ArchiveResults!$F$5:$IX$116,ComparisonData!A10,ComparisonData!$MZ$1),0),5)</f>
        <v>0</v>
      </c>
      <c r="NA10" s="46" cm="1">
        <f t="array" ref="NA10">ROUND(IFERROR(INDEX(ArchiveResults!$F$5:$IX$116,ComparisonData!A10,ComparisonData!$NA$1),0),5)</f>
        <v>0</v>
      </c>
      <c r="NB10" s="46" cm="1">
        <f t="array" ref="NB10">ROUND(IFERROR(INDEX(ArchiveResults!$F$5:$IX$116,ComparisonData!A10,ComparisonData!$NB$1),0),5)</f>
        <v>0</v>
      </c>
      <c r="NC10" s="45" cm="1">
        <f t="array" ref="NC10">IFERROR(INDEX(ArchiveResults!$F$5:$IX$116,ComparisonData!A10,ComparisonData!$NC$1),0)</f>
        <v>0</v>
      </c>
      <c r="ND10" s="56">
        <v>5</v>
      </c>
      <c r="NE10" s="53" t="str">
        <f t="shared" si="52"/>
        <v>Berkshire Record Office</v>
      </c>
      <c r="NF10" s="59">
        <f t="shared" si="299"/>
        <v>0</v>
      </c>
      <c r="NG10" s="59">
        <f t="shared" si="300"/>
        <v>0</v>
      </c>
      <c r="NH10" s="59">
        <f t="shared" si="301"/>
        <v>0</v>
      </c>
      <c r="NI10" s="59">
        <f t="shared" si="302"/>
        <v>0</v>
      </c>
      <c r="NJ10" s="59">
        <f t="shared" si="303"/>
        <v>0</v>
      </c>
      <c r="NK10" s="58">
        <f t="shared" si="304"/>
        <v>0</v>
      </c>
      <c r="NL10" s="45">
        <f t="shared" si="305"/>
        <v>12</v>
      </c>
      <c r="NM10" s="45">
        <f t="shared" si="53"/>
        <v>2.4939999999999998</v>
      </c>
      <c r="NN10" s="45">
        <f t="shared" si="306"/>
        <v>1</v>
      </c>
      <c r="NO10" s="45">
        <f t="shared" si="307"/>
        <v>2</v>
      </c>
      <c r="NP10" s="46" cm="1">
        <f t="array" ref="NP10">ROUND(IFERROR(INDEX(ArchiveResults!$F$5:$IX$116,ComparisonData!A10,ComparisonData!$NP$1),0),5)</f>
        <v>0</v>
      </c>
      <c r="NQ10" s="46" cm="1">
        <f t="array" ref="NQ10">ROUND(IFERROR(INDEX(ArchiveResults!$F$5:$IX$116,ComparisonData!A10,ComparisonData!$NQ$1),0),5)</f>
        <v>0</v>
      </c>
      <c r="NR10" s="46" cm="1">
        <f t="array" ref="NR10">ROUND(IFERROR(INDEX(ArchiveResults!$F$5:$IX$116,ComparisonData!A10,ComparisonData!$NR$1),0),5)</f>
        <v>0</v>
      </c>
      <c r="NS10" s="46" cm="1">
        <f t="array" ref="NS10">ROUND(IFERROR(INDEX(ArchiveResults!$F$5:$IX$116,ComparisonData!A10,ComparisonData!$NS$1),0),5)</f>
        <v>0</v>
      </c>
      <c r="NT10" s="45" cm="1">
        <f t="array" ref="NT10">IFERROR(INDEX(ArchiveResults!$F$5:$IX$116,ComparisonData!A10,ComparisonData!$NT$1),0)</f>
        <v>0</v>
      </c>
      <c r="NU10" s="56">
        <v>5</v>
      </c>
      <c r="NV10" s="53" t="str">
        <f t="shared" si="54"/>
        <v>Berkshire Record Office</v>
      </c>
      <c r="NW10" s="59">
        <f t="shared" si="308"/>
        <v>0</v>
      </c>
      <c r="NX10" s="59">
        <f t="shared" si="309"/>
        <v>0</v>
      </c>
      <c r="NY10" s="59">
        <f t="shared" si="310"/>
        <v>0</v>
      </c>
      <c r="NZ10" s="59">
        <f t="shared" si="311"/>
        <v>0</v>
      </c>
      <c r="OA10" s="59">
        <f t="shared" si="312"/>
        <v>0</v>
      </c>
      <c r="OB10" s="58">
        <f t="shared" si="313"/>
        <v>0</v>
      </c>
      <c r="OC10" s="45">
        <f t="shared" si="314"/>
        <v>12</v>
      </c>
      <c r="OD10" s="45">
        <f t="shared" si="55"/>
        <v>2.4939999999999998</v>
      </c>
      <c r="OE10" s="45">
        <f t="shared" si="315"/>
        <v>1</v>
      </c>
      <c r="OF10" s="45">
        <f t="shared" si="316"/>
        <v>2</v>
      </c>
      <c r="OG10" s="46">
        <f t="shared" si="317"/>
        <v>0</v>
      </c>
      <c r="OH10" s="46" cm="1">
        <f t="array" ref="OH10">ROUND(IFERROR(INDEX(ArchiveResults!$F$5:$IX$116,ComparisonData!A10,ComparisonData!$OH$1),0),5)</f>
        <v>0</v>
      </c>
      <c r="OI10" s="46" cm="1">
        <f t="array" ref="OI10">ROUND(IFERROR(INDEX(ArchiveResults!$F$5:$IX$116,ComparisonData!A10,ComparisonData!$OI$1),0),5)</f>
        <v>0</v>
      </c>
      <c r="OJ10" s="46" cm="1">
        <f t="array" ref="OJ10">ROUND(IFERROR(INDEX(ArchiveResults!$F$5:$IX$116,ComparisonData!A10,ComparisonData!$OJ$1),0),5)</f>
        <v>0</v>
      </c>
      <c r="OK10" s="46" cm="1">
        <f t="array" ref="OK10">ROUND(IFERROR(INDEX(ArchiveResults!$F$5:$IX$116,ComparisonData!A10,ComparisonData!$OK$1),0),5)</f>
        <v>0</v>
      </c>
      <c r="OL10" s="45" cm="1">
        <f t="array" ref="OL10">IFERROR(INDEX(ArchiveResults!$F$5:$IX$116,ComparisonData!A10,ComparisonData!$OL$1),0)</f>
        <v>0</v>
      </c>
      <c r="OM10" s="56">
        <v>5</v>
      </c>
      <c r="ON10" s="53" t="str">
        <f t="shared" si="56"/>
        <v>Berkshire Record Office</v>
      </c>
      <c r="OO10" s="59">
        <f t="shared" si="318"/>
        <v>0</v>
      </c>
      <c r="OP10" s="59">
        <f t="shared" si="319"/>
        <v>0</v>
      </c>
      <c r="OQ10" s="59">
        <f t="shared" si="320"/>
        <v>0</v>
      </c>
      <c r="OR10" s="59">
        <f t="shared" si="321"/>
        <v>0</v>
      </c>
      <c r="OS10" s="59">
        <f t="shared" si="322"/>
        <v>0</v>
      </c>
      <c r="OT10" s="58">
        <f t="shared" si="323"/>
        <v>0</v>
      </c>
      <c r="OU10" s="45">
        <f t="shared" si="324"/>
        <v>12</v>
      </c>
      <c r="OV10" s="45">
        <f t="shared" si="57"/>
        <v>2.4939999999999998</v>
      </c>
      <c r="OW10" s="45">
        <f t="shared" si="325"/>
        <v>1</v>
      </c>
      <c r="OX10" s="45">
        <f t="shared" si="326"/>
        <v>2</v>
      </c>
      <c r="OY10" s="45">
        <f t="shared" si="327"/>
        <v>0</v>
      </c>
      <c r="OZ10" s="46" cm="1">
        <f t="array" ref="OZ10">ROUND(IFERROR(INDEX(ArchiveResults!$F$5:$IX$116,ComparisonData!A10,ComparisonData!$OZ$1),0),5)</f>
        <v>0</v>
      </c>
      <c r="PA10" s="46" cm="1">
        <f t="array" ref="PA10">ROUND(IFERROR(INDEX(ArchiveResults!$F$5:$IX$116,ComparisonData!A10,ComparisonData!$PA$1),0),5)</f>
        <v>0</v>
      </c>
      <c r="PB10" s="46" cm="1">
        <f t="array" ref="PB10">ROUND(IFERROR(INDEX(ArchiveResults!$F$5:$IX$116,ComparisonData!A10,ComparisonData!$PB$1),0),5)</f>
        <v>0</v>
      </c>
      <c r="PC10" s="46" cm="1">
        <f t="array" ref="PC10">ROUND(IFERROR(INDEX(ArchiveResults!$F$5:$IX$116,ComparisonData!A10,ComparisonData!$PC$1),0),5)</f>
        <v>0</v>
      </c>
      <c r="PD10" s="45" cm="1">
        <f t="array" ref="PD10">IFERROR(INDEX(ArchiveResults!$F$5:$IX$116,ComparisonData!A10,ComparisonData!$PD$1),0)</f>
        <v>0</v>
      </c>
      <c r="PE10" s="56">
        <v>5</v>
      </c>
      <c r="PF10" s="53" t="str">
        <f t="shared" si="58"/>
        <v>Berkshire Record Office</v>
      </c>
      <c r="PG10" s="59">
        <f t="shared" si="328"/>
        <v>0</v>
      </c>
      <c r="PH10" s="59">
        <f t="shared" si="329"/>
        <v>0</v>
      </c>
      <c r="PI10" s="59">
        <f t="shared" si="330"/>
        <v>0</v>
      </c>
      <c r="PJ10" s="59">
        <f t="shared" si="331"/>
        <v>0</v>
      </c>
      <c r="PK10" s="59">
        <f t="shared" si="332"/>
        <v>0</v>
      </c>
      <c r="PL10" s="58">
        <f t="shared" si="333"/>
        <v>0</v>
      </c>
      <c r="PM10" s="45">
        <f t="shared" si="334"/>
        <v>12</v>
      </c>
      <c r="PN10" s="45">
        <f t="shared" si="59"/>
        <v>2.4939999999999998</v>
      </c>
      <c r="PO10" s="45">
        <f t="shared" si="335"/>
        <v>1</v>
      </c>
      <c r="PP10" s="45">
        <f t="shared" si="336"/>
        <v>2</v>
      </c>
      <c r="PQ10" s="45">
        <f t="shared" si="337"/>
        <v>0</v>
      </c>
      <c r="PR10" s="46" cm="1">
        <f t="array" ref="PR10">ROUND(IFERROR(INDEX(ArchiveResults!$F$5:$IX$116,ComparisonData!A10,ComparisonData!$PR$1),0),5)</f>
        <v>0</v>
      </c>
      <c r="PS10" s="46" cm="1">
        <f t="array" ref="PS10">ROUND(IFERROR(INDEX(ArchiveResults!$F$5:$IX$116,ComparisonData!A10,ComparisonData!$PS$1),0),5)</f>
        <v>0</v>
      </c>
      <c r="PT10" s="46" cm="1">
        <f t="array" ref="PT10">ROUND(IFERROR(INDEX(ArchiveResults!$F$5:$IX$116,ComparisonData!A10,ComparisonData!$PT$1),0),5)</f>
        <v>0</v>
      </c>
      <c r="PU10" s="46" cm="1">
        <f t="array" ref="PU10">ROUND(IFERROR(INDEX(ArchiveResults!$F$5:$IX$116,ComparisonData!A10,ComparisonData!$PU$1),0),5)</f>
        <v>0</v>
      </c>
      <c r="PV10" s="45" cm="1">
        <f t="array" ref="PV10">IFERROR(INDEX(ArchiveResults!$F$5:$IX$116,ComparisonData!A10,ComparisonData!$PV$1),0)</f>
        <v>0</v>
      </c>
      <c r="PW10" s="56">
        <v>5</v>
      </c>
      <c r="PX10" s="53" t="str">
        <f t="shared" si="60"/>
        <v>Berkshire Record Office</v>
      </c>
      <c r="PY10" s="59">
        <f t="shared" si="338"/>
        <v>0</v>
      </c>
      <c r="PZ10" s="59">
        <f t="shared" si="339"/>
        <v>0</v>
      </c>
      <c r="QA10" s="59">
        <f t="shared" si="340"/>
        <v>0</v>
      </c>
      <c r="QB10" s="59">
        <f t="shared" si="341"/>
        <v>0</v>
      </c>
      <c r="QC10" s="59">
        <f t="shared" si="342"/>
        <v>0</v>
      </c>
      <c r="QD10" s="58">
        <f t="shared" si="343"/>
        <v>0</v>
      </c>
      <c r="QE10" s="45">
        <f t="shared" si="344"/>
        <v>12</v>
      </c>
      <c r="QF10" s="45">
        <f t="shared" si="61"/>
        <v>2.4939999999999998</v>
      </c>
      <c r="QG10" s="45">
        <f t="shared" si="345"/>
        <v>1</v>
      </c>
      <c r="QH10" s="45">
        <f t="shared" si="346"/>
        <v>2</v>
      </c>
      <c r="QI10" s="45">
        <f t="shared" si="347"/>
        <v>0</v>
      </c>
      <c r="QJ10" s="46" cm="1">
        <f t="array" ref="QJ10">ROUND(IFERROR(INDEX(ArchiveResults!$F$5:$IX$116,ComparisonData!A10,ComparisonData!$QJ$1),0),5)</f>
        <v>0</v>
      </c>
      <c r="QK10" s="46" cm="1">
        <f t="array" ref="QK10">ROUND(IFERROR(INDEX(ArchiveResults!$F$5:$IX$116,ComparisonData!A10,ComparisonData!$QK$1),0),5)</f>
        <v>0</v>
      </c>
      <c r="QL10" s="46" cm="1">
        <f t="array" ref="QL10">ROUND(IFERROR(INDEX(ArchiveResults!$F$5:$IX$116,ComparisonData!A10,ComparisonData!$QL$1),0),5)</f>
        <v>0</v>
      </c>
      <c r="QM10" s="46" cm="1">
        <f t="array" ref="QM10">ROUND(IFERROR(INDEX(ArchiveResults!$F$5:$IX$116,ComparisonData!A10,ComparisonData!$QM$1),0),5)</f>
        <v>0</v>
      </c>
      <c r="QN10" s="45" cm="1">
        <f t="array" ref="QN10">IFERROR(INDEX(ArchiveResults!$F$5:$IX$116,ComparisonData!A10,ComparisonData!$QN$1),0)</f>
        <v>0</v>
      </c>
      <c r="QO10" s="56">
        <v>5</v>
      </c>
      <c r="QP10" s="53" t="str">
        <f t="shared" si="62"/>
        <v>Berkshire Record Office</v>
      </c>
      <c r="QQ10" s="59">
        <f t="shared" si="348"/>
        <v>0</v>
      </c>
      <c r="QR10" s="59">
        <f t="shared" si="349"/>
        <v>0</v>
      </c>
      <c r="QS10" s="59">
        <f t="shared" si="350"/>
        <v>0</v>
      </c>
      <c r="QT10" s="59">
        <f t="shared" si="351"/>
        <v>0</v>
      </c>
      <c r="QU10" s="59">
        <f t="shared" si="352"/>
        <v>0</v>
      </c>
      <c r="QV10" s="58">
        <f t="shared" si="353"/>
        <v>0</v>
      </c>
      <c r="QW10" s="45">
        <f t="shared" si="354"/>
        <v>12</v>
      </c>
      <c r="QX10" s="45">
        <f t="shared" si="63"/>
        <v>2.4939999999999998</v>
      </c>
      <c r="QY10" s="45">
        <f t="shared" si="355"/>
        <v>1</v>
      </c>
      <c r="QZ10" s="45">
        <f t="shared" si="356"/>
        <v>2</v>
      </c>
      <c r="RA10" s="45">
        <f t="shared" si="357"/>
        <v>0</v>
      </c>
      <c r="RB10" s="46" cm="1">
        <f t="array" ref="RB10">ROUND(IFERROR(INDEX(ArchiveResults!$F$5:$IX$116,ComparisonData!A10,ComparisonData!$RB$1),0),5)</f>
        <v>0</v>
      </c>
      <c r="RC10" s="46" cm="1">
        <f t="array" ref="RC10">ROUND(IFERROR(INDEX(ArchiveResults!$F$5:$IX$116,ComparisonData!A10,ComparisonData!$RC$1),0),5)</f>
        <v>0</v>
      </c>
      <c r="RD10" s="46" cm="1">
        <f t="array" ref="RD10">ROUND(IFERROR(INDEX(ArchiveResults!$F$5:$IX$116,ComparisonData!A10,ComparisonData!$RD$1),0),5)</f>
        <v>0</v>
      </c>
      <c r="RE10" s="46" cm="1">
        <f t="array" ref="RE10">ROUND(IFERROR(INDEX(ArchiveResults!$F$5:$IX$116,ComparisonData!A10,ComparisonData!$RE$1),0),5)</f>
        <v>0</v>
      </c>
      <c r="RF10" s="45" cm="1">
        <f t="array" ref="RF10">IFERROR(INDEX(ArchiveResults!$F$5:$IX$116,ComparisonData!A10,ComparisonData!$RF$1),0)</f>
        <v>0</v>
      </c>
      <c r="RG10" s="56">
        <v>5</v>
      </c>
      <c r="RH10" s="53" t="str">
        <f t="shared" si="64"/>
        <v>Berkshire Record Office</v>
      </c>
      <c r="RI10" s="59">
        <f t="shared" si="358"/>
        <v>0</v>
      </c>
      <c r="RJ10" s="59">
        <f t="shared" si="359"/>
        <v>0</v>
      </c>
      <c r="RK10" s="59">
        <f t="shared" si="360"/>
        <v>0</v>
      </c>
      <c r="RL10" s="59">
        <f t="shared" si="361"/>
        <v>0</v>
      </c>
      <c r="RM10" s="59">
        <f t="shared" si="362"/>
        <v>0</v>
      </c>
      <c r="RN10" s="58">
        <f t="shared" si="363"/>
        <v>0</v>
      </c>
      <c r="RO10" s="45">
        <f t="shared" si="364"/>
        <v>12</v>
      </c>
      <c r="RP10" s="45">
        <f t="shared" si="65"/>
        <v>2.4939999999999998</v>
      </c>
      <c r="RQ10" s="45">
        <f t="shared" si="365"/>
        <v>1</v>
      </c>
      <c r="RR10" s="45">
        <f t="shared" si="366"/>
        <v>2</v>
      </c>
      <c r="RS10" s="45">
        <f t="shared" si="367"/>
        <v>0</v>
      </c>
      <c r="RT10" s="46" cm="1">
        <f t="array" ref="RT10">ROUND(IFERROR(INDEX(ArchiveResults!$F$5:$IX$116,ComparisonData!A10,ComparisonData!$RT$1),0),5)</f>
        <v>0</v>
      </c>
      <c r="RU10" s="46" cm="1">
        <f t="array" ref="RU10">ROUND(IFERROR(INDEX(ArchiveResults!$F$5:$IX$116,ComparisonData!A10,ComparisonData!$RU$1),0),5)</f>
        <v>0</v>
      </c>
      <c r="RV10" s="46" cm="1">
        <f t="array" ref="RV10">ROUND(IFERROR(INDEX(ArchiveResults!$F$5:$IX$116,ComparisonData!A10,ComparisonData!$RV$1),0),5)</f>
        <v>0</v>
      </c>
      <c r="RW10" s="46" cm="1">
        <f t="array" ref="RW10">ROUND(IFERROR(INDEX(ArchiveResults!$F$5:$IX$116,ComparisonData!A10,ComparisonData!$RW$1),0),5)</f>
        <v>0</v>
      </c>
      <c r="RX10" s="45" cm="1">
        <f t="array" ref="RX10">IFERROR(INDEX(ArchiveResults!$F$5:$IX$116,ComparisonData!A10,ComparisonData!$RX$1),0)</f>
        <v>0</v>
      </c>
      <c r="RY10" s="56">
        <v>5</v>
      </c>
      <c r="RZ10" s="53" t="str">
        <f t="shared" si="66"/>
        <v>Berkshire Record Office</v>
      </c>
      <c r="SA10" s="59">
        <f t="shared" si="368"/>
        <v>0</v>
      </c>
      <c r="SB10" s="59">
        <f t="shared" si="369"/>
        <v>0</v>
      </c>
      <c r="SC10" s="59">
        <f t="shared" si="370"/>
        <v>0</v>
      </c>
      <c r="SD10" s="59">
        <f t="shared" si="371"/>
        <v>0</v>
      </c>
      <c r="SE10" s="59">
        <f t="shared" si="372"/>
        <v>0</v>
      </c>
      <c r="SF10" s="58">
        <f t="shared" si="373"/>
        <v>0</v>
      </c>
      <c r="SG10" s="45">
        <f t="shared" si="374"/>
        <v>12</v>
      </c>
      <c r="SH10" s="45">
        <f t="shared" si="67"/>
        <v>2.4939999999999998</v>
      </c>
      <c r="SI10" s="45">
        <f t="shared" si="375"/>
        <v>1</v>
      </c>
      <c r="SJ10" s="45">
        <f t="shared" si="376"/>
        <v>2</v>
      </c>
      <c r="SK10" s="45">
        <f t="shared" si="377"/>
        <v>0</v>
      </c>
      <c r="SL10" s="46" cm="1">
        <f t="array" ref="SL10">ROUND(IFERROR(INDEX(ArchiveResults!$F$5:$IX$116,ComparisonData!A10,ComparisonData!$SL$1),0),5)</f>
        <v>0</v>
      </c>
      <c r="SM10" s="46" cm="1">
        <f t="array" ref="SM10">ROUND(IFERROR(INDEX(ArchiveResults!$F$5:$IX$116,ComparisonData!A10,ComparisonData!$SM$1),0),5)</f>
        <v>0</v>
      </c>
      <c r="SN10" s="46" cm="1">
        <f t="array" ref="SN10">ROUND(IFERROR(INDEX(ArchiveResults!$F$5:$IX$116,ComparisonData!A10,ComparisonData!$SN$1),0),5)</f>
        <v>0</v>
      </c>
      <c r="SO10" s="46" cm="1">
        <f t="array" ref="SO10">ROUND(IFERROR(INDEX(ArchiveResults!$F$5:$IX$116,ComparisonData!A10,ComparisonData!$SO$1),0),5)</f>
        <v>0</v>
      </c>
      <c r="SP10" s="45" cm="1">
        <f t="array" ref="SP10">IFERROR(INDEX(ArchiveResults!$F$5:$IX$116,ComparisonData!A10,ComparisonData!$SP$1),0)</f>
        <v>0</v>
      </c>
      <c r="SQ10" s="56">
        <v>5</v>
      </c>
      <c r="SR10" s="53" t="str">
        <f t="shared" si="68"/>
        <v>Berkshire Record Office</v>
      </c>
      <c r="SS10" s="59">
        <f t="shared" si="378"/>
        <v>0</v>
      </c>
      <c r="ST10" s="59">
        <f t="shared" si="379"/>
        <v>0</v>
      </c>
      <c r="SU10" s="59">
        <f t="shared" si="380"/>
        <v>0</v>
      </c>
      <c r="SV10" s="59">
        <f t="shared" si="381"/>
        <v>0</v>
      </c>
      <c r="SW10" s="59">
        <f t="shared" si="382"/>
        <v>0</v>
      </c>
      <c r="SX10" s="58">
        <f t="shared" si="383"/>
        <v>0</v>
      </c>
      <c r="SY10" s="45">
        <f t="shared" si="384"/>
        <v>12</v>
      </c>
      <c r="SZ10" s="45">
        <f t="shared" si="69"/>
        <v>2.4939999999999998</v>
      </c>
      <c r="TA10" s="45">
        <f t="shared" si="385"/>
        <v>1</v>
      </c>
      <c r="TB10" s="45">
        <f t="shared" si="386"/>
        <v>2</v>
      </c>
      <c r="TC10" s="45">
        <f t="shared" si="387"/>
        <v>0</v>
      </c>
      <c r="TD10" s="46" cm="1">
        <f t="array" ref="TD10">ROUND(IFERROR(INDEX(ArchiveResults!$F$5:$IX$116,ComparisonData!A10,ComparisonData!$TD$1),0),5)</f>
        <v>0</v>
      </c>
      <c r="TE10" s="46" cm="1">
        <f t="array" ref="TE10">ROUND(IFERROR(INDEX(ArchiveResults!$F$5:$IX$116,ComparisonData!A10,ComparisonData!$TE$1),0),5)</f>
        <v>0</v>
      </c>
      <c r="TF10" s="46" cm="1">
        <f t="array" ref="TF10">ROUND(IFERROR(INDEX(ArchiveResults!$F$5:$IX$116,ComparisonData!A10,ComparisonData!$TF$1),0),5)</f>
        <v>0</v>
      </c>
      <c r="TG10" s="46" cm="1">
        <f t="array" ref="TG10">ROUND(IFERROR(INDEX(ArchiveResults!$F$5:$IX$116,ComparisonData!A10,ComparisonData!$TG$1),0),5)</f>
        <v>0</v>
      </c>
      <c r="TH10" s="45" cm="1">
        <f t="array" ref="TH10">IFERROR(INDEX(ArchiveResults!$F$5:$IX$116,ComparisonData!A10,ComparisonData!$TH$1),0)</f>
        <v>0</v>
      </c>
      <c r="TI10" s="56">
        <v>5</v>
      </c>
      <c r="TJ10" s="53" t="str">
        <f t="shared" si="70"/>
        <v>Berkshire Record Office</v>
      </c>
      <c r="TK10" s="59">
        <f t="shared" si="388"/>
        <v>0</v>
      </c>
      <c r="TL10" s="59">
        <f t="shared" si="389"/>
        <v>0</v>
      </c>
      <c r="TM10" s="59">
        <f t="shared" si="390"/>
        <v>0</v>
      </c>
      <c r="TN10" s="59">
        <f t="shared" si="391"/>
        <v>0</v>
      </c>
      <c r="TO10" s="59">
        <f t="shared" si="392"/>
        <v>0</v>
      </c>
      <c r="TP10" s="58">
        <f t="shared" si="393"/>
        <v>0</v>
      </c>
      <c r="TQ10" s="45">
        <f t="shared" si="394"/>
        <v>12</v>
      </c>
      <c r="TR10" s="45">
        <f t="shared" si="71"/>
        <v>2.4939999999999998</v>
      </c>
      <c r="TS10" s="45">
        <f t="shared" si="395"/>
        <v>1</v>
      </c>
      <c r="TT10" s="45">
        <f t="shared" si="396"/>
        <v>2</v>
      </c>
      <c r="TU10" s="45">
        <f t="shared" si="397"/>
        <v>0</v>
      </c>
      <c r="TV10" s="46" cm="1">
        <f t="array" ref="TV10">ROUND(IFERROR(INDEX(ArchiveResults!$F$5:$IX$116,ComparisonData!A10,ComparisonData!$TV$1),0),5)</f>
        <v>0</v>
      </c>
      <c r="TW10" s="46" cm="1">
        <f t="array" ref="TW10">ROUND(IFERROR(INDEX(ArchiveResults!$F$5:$IX$116,ComparisonData!A10,ComparisonData!$TW$1),0),5)</f>
        <v>0</v>
      </c>
      <c r="TX10" s="46" cm="1">
        <f t="array" ref="TX10">ROUND(IFERROR(INDEX(ArchiveResults!$F$5:$IX$116,ComparisonData!A10,ComparisonData!$TX$1),0),5)</f>
        <v>0</v>
      </c>
      <c r="TY10" s="46" cm="1">
        <f t="array" ref="TY10">ROUND(IFERROR(INDEX(ArchiveResults!$F$5:$IX$116,ComparisonData!A10,ComparisonData!$TY$1),0),5)</f>
        <v>0</v>
      </c>
      <c r="TZ10" s="45" cm="1">
        <f t="array" ref="TZ10">IFERROR(INDEX(ArchiveResults!$F$5:$IX$116,ComparisonData!A10,ComparisonData!$TZ$1),0)</f>
        <v>0</v>
      </c>
      <c r="UA10" s="56">
        <v>5</v>
      </c>
      <c r="UB10" s="53" t="str">
        <f t="shared" si="72"/>
        <v>Berkshire Record Office</v>
      </c>
      <c r="UC10" s="60">
        <f t="shared" si="398"/>
        <v>0</v>
      </c>
      <c r="UD10" s="60">
        <f t="shared" si="399"/>
        <v>0</v>
      </c>
      <c r="UE10" s="60">
        <f t="shared" si="400"/>
        <v>0</v>
      </c>
      <c r="UF10" s="60">
        <f t="shared" si="401"/>
        <v>0</v>
      </c>
      <c r="UG10" s="60">
        <f t="shared" si="402"/>
        <v>0</v>
      </c>
      <c r="UH10" s="58">
        <f t="shared" si="403"/>
        <v>0</v>
      </c>
      <c r="UI10" s="46">
        <f t="shared" si="404"/>
        <v>12</v>
      </c>
      <c r="UJ10" s="46">
        <f t="shared" si="73"/>
        <v>2.4939999999999998</v>
      </c>
      <c r="UK10" s="46">
        <f t="shared" si="405"/>
        <v>1</v>
      </c>
      <c r="UL10" s="46">
        <f t="shared" si="406"/>
        <v>2</v>
      </c>
      <c r="UM10" s="46" cm="1">
        <f t="array" ref="UM10">ROUND(IFERROR(INDEX(ArchiveResults!$F$5:$IX$116,ComparisonData!A10,ComparisonData!$UM$1),0),5)</f>
        <v>0</v>
      </c>
      <c r="UN10" s="56">
        <v>5</v>
      </c>
      <c r="UO10" s="53" t="str">
        <f t="shared" si="74"/>
        <v>Berkshire Record Office</v>
      </c>
      <c r="UP10" s="46">
        <f t="shared" si="407"/>
        <v>0</v>
      </c>
      <c r="UQ10" s="76">
        <f t="shared" si="408"/>
        <v>0</v>
      </c>
      <c r="UR10" s="46">
        <f t="shared" si="409"/>
        <v>12</v>
      </c>
      <c r="US10" s="46">
        <f t="shared" si="75"/>
        <v>2.4939999999999998</v>
      </c>
      <c r="UT10" s="46">
        <f t="shared" si="410"/>
        <v>1</v>
      </c>
      <c r="UU10" s="46">
        <f t="shared" si="411"/>
        <v>2</v>
      </c>
      <c r="UV10" s="46">
        <f t="shared" si="412"/>
        <v>0</v>
      </c>
      <c r="UW10" s="46" cm="1">
        <f t="array" ref="UW10">ROUND(IFERROR(INDEX(ArchiveResults!$F$5:$IX$116,ComparisonData!A10,ComparisonData!$UW$1),0),5)</f>
        <v>0</v>
      </c>
      <c r="UX10" s="46" cm="1">
        <f t="array" ref="UX10">ROUND(IFERROR(INDEX(ArchiveResults!$F$5:$IX$116,ComparisonData!A10,ComparisonData!$UX$1),0),5)</f>
        <v>0</v>
      </c>
      <c r="UY10" s="46" cm="1">
        <f t="array" ref="UY10">ROUND(IFERROR(INDEX(ArchiveResults!$F$5:$IX$116,ComparisonData!A10,ComparisonData!$UY$1),0),5)</f>
        <v>0</v>
      </c>
      <c r="UZ10" s="46" cm="1">
        <f t="array" ref="UZ10">ROUND(IFERROR(INDEX(ArchiveResults!$F$5:$IX$116,ComparisonData!A10,ComparisonData!$UZ$1),0),5)</f>
        <v>0</v>
      </c>
      <c r="VA10" s="46" cm="1">
        <f t="array" ref="VA10">ROUND(IFERROR(INDEX(ArchiveResults!$F$5:$IX$116,ComparisonData!A10,ComparisonData!$VA$1),0),5)</f>
        <v>0</v>
      </c>
      <c r="VB10" s="56">
        <v>5</v>
      </c>
      <c r="VC10" s="53" t="str">
        <f t="shared" si="76"/>
        <v>Berkshire Record Office</v>
      </c>
      <c r="VD10" s="60">
        <f t="shared" si="413"/>
        <v>0</v>
      </c>
      <c r="VE10" s="60">
        <f t="shared" si="414"/>
        <v>0</v>
      </c>
      <c r="VF10" s="60">
        <f t="shared" si="415"/>
        <v>0</v>
      </c>
      <c r="VG10" s="60">
        <f t="shared" si="416"/>
        <v>0</v>
      </c>
      <c r="VH10" s="60">
        <f t="shared" si="417"/>
        <v>0</v>
      </c>
      <c r="VI10" s="76">
        <f t="shared" si="418"/>
        <v>0</v>
      </c>
      <c r="VJ10" s="46">
        <f t="shared" si="419"/>
        <v>12</v>
      </c>
      <c r="VK10" s="46">
        <f t="shared" si="77"/>
        <v>2.4939999999999998</v>
      </c>
      <c r="VL10" s="46">
        <f t="shared" si="420"/>
        <v>1</v>
      </c>
      <c r="VM10" s="46">
        <f t="shared" si="421"/>
        <v>2</v>
      </c>
      <c r="VN10" s="46" cm="1">
        <f t="array" ref="VN10">ROUND(IFERROR(INDEX(ArchiveResults!$F$5:$IX$116,ComparisonData!A10,ComparisonData!$VN$1),0),5)</f>
        <v>0</v>
      </c>
      <c r="VO10" s="46" cm="1">
        <f t="array" ref="VO10">ROUND(IFERROR(INDEX(ArchiveResults!$F$5:$IX$116,ComparisonData!A10,ComparisonData!$VO$1),0),5)</f>
        <v>0</v>
      </c>
      <c r="VP10" s="46" cm="1">
        <f t="array" ref="VP10">ROUND(IFERROR(INDEX(ArchiveResults!$F$5:$IX$116,ComparisonData!A10,ComparisonData!$VP$1),0),5)</f>
        <v>0</v>
      </c>
      <c r="VQ10" s="46" cm="1">
        <f t="array" ref="VQ10">ROUND(IFERROR(INDEX(ArchiveResults!$F$5:$IX$116,ComparisonData!A10,ComparisonData!$VQ$1),0),5)</f>
        <v>0</v>
      </c>
      <c r="VR10" s="56">
        <v>5</v>
      </c>
      <c r="VS10" s="53" t="str">
        <f t="shared" si="78"/>
        <v>Berkshire Record Office</v>
      </c>
      <c r="VT10" s="60">
        <f t="shared" si="422"/>
        <v>0</v>
      </c>
      <c r="VU10" s="60">
        <f t="shared" si="423"/>
        <v>0</v>
      </c>
      <c r="VV10" s="60">
        <f t="shared" si="424"/>
        <v>0</v>
      </c>
      <c r="VW10" s="60">
        <f t="shared" si="425"/>
        <v>0</v>
      </c>
      <c r="VX10" s="76">
        <f t="shared" si="426"/>
        <v>0</v>
      </c>
      <c r="VY10" s="46">
        <f t="shared" si="427"/>
        <v>12</v>
      </c>
      <c r="VZ10" s="46">
        <f t="shared" si="79"/>
        <v>2.4939999999999998</v>
      </c>
      <c r="WA10" s="46">
        <f t="shared" si="428"/>
        <v>1</v>
      </c>
      <c r="WB10" s="46">
        <f t="shared" si="429"/>
        <v>2</v>
      </c>
      <c r="WC10" s="46" cm="1">
        <f t="array" ref="WC10">ROUND(IFERROR(INDEX(ArchiveResults!$F$5:$IX$116,ComparisonData!A10,ComparisonData!$WC$1),0),5)</f>
        <v>0</v>
      </c>
      <c r="WD10" s="56">
        <v>5</v>
      </c>
      <c r="WE10" s="53" t="str">
        <f t="shared" si="80"/>
        <v>Berkshire Record Office</v>
      </c>
      <c r="WF10" s="46">
        <f t="shared" si="430"/>
        <v>0</v>
      </c>
      <c r="WG10" s="76">
        <f t="shared" si="431"/>
        <v>0</v>
      </c>
      <c r="WH10" s="46">
        <f t="shared" si="432"/>
        <v>12</v>
      </c>
      <c r="WI10" s="46">
        <f t="shared" si="81"/>
        <v>2.4939999999999998</v>
      </c>
      <c r="WJ10" s="46">
        <f t="shared" si="433"/>
        <v>1</v>
      </c>
      <c r="WK10" s="46">
        <f t="shared" si="434"/>
        <v>2</v>
      </c>
      <c r="WL10" s="46" cm="1">
        <f t="array" ref="WL10">ROUND(IFERROR(INDEX(ArchiveResults!$F$5:$IX$116,ComparisonData!A10,ComparisonData!$WL$1),0),5)</f>
        <v>0</v>
      </c>
      <c r="WM10" s="46" cm="1">
        <f t="array" ref="WM10">IFERROR(INDEX(ArchiveResults!$F$5:$IX$116,ComparisonData!A10,ComparisonData!$WM$1),0)</f>
        <v>0</v>
      </c>
      <c r="WN10" s="56">
        <v>5</v>
      </c>
      <c r="WO10" s="53" t="str">
        <f t="shared" si="82"/>
        <v>Berkshire Record Office</v>
      </c>
      <c r="WP10" s="60">
        <f t="shared" si="435"/>
        <v>0</v>
      </c>
      <c r="WQ10" s="60">
        <f t="shared" si="436"/>
        <v>0</v>
      </c>
      <c r="WR10" s="76">
        <f t="shared" si="437"/>
        <v>0</v>
      </c>
      <c r="WS10" s="46">
        <f t="shared" si="438"/>
        <v>12</v>
      </c>
      <c r="WT10" s="46">
        <f t="shared" si="83"/>
        <v>2.4939999999999998</v>
      </c>
      <c r="WU10" s="46">
        <f t="shared" si="439"/>
        <v>1</v>
      </c>
      <c r="WV10" s="46">
        <f t="shared" si="440"/>
        <v>2</v>
      </c>
      <c r="WW10" s="46" cm="1">
        <f t="array" ref="WW10">ROUND(VALUE(IFERROR(INDEX(ArchiveResults!$F$5:$IX$116,ComparisonData!A10,ComparisonData!$WW$1),0)),5)</f>
        <v>0</v>
      </c>
      <c r="WX10" s="46" cm="1">
        <f t="array" ref="WX10">ROUND(IFERROR(INDEX(ArchiveResults!$F$5:$IX$116,ComparisonData!A10,ComparisonData!$WX$1),0),5)</f>
        <v>0</v>
      </c>
      <c r="WY10" s="56">
        <v>5</v>
      </c>
      <c r="WZ10" s="53" t="str">
        <f t="shared" si="84"/>
        <v>Berkshire Record Office</v>
      </c>
      <c r="XA10" s="60">
        <f t="shared" si="85"/>
        <v>0</v>
      </c>
      <c r="XB10" s="60">
        <f t="shared" si="86"/>
        <v>0</v>
      </c>
      <c r="XC10" s="76">
        <f t="shared" si="441"/>
        <v>0</v>
      </c>
      <c r="XD10" s="46">
        <f t="shared" si="442"/>
        <v>12</v>
      </c>
      <c r="XE10" s="46">
        <f t="shared" si="87"/>
        <v>2.4939999999999998</v>
      </c>
      <c r="XF10" s="46">
        <f t="shared" si="443"/>
        <v>1</v>
      </c>
      <c r="XG10" s="46">
        <f t="shared" si="444"/>
        <v>2</v>
      </c>
      <c r="XH10" s="46" cm="1">
        <f t="array" ref="XH10">ROUND(VALUE(IFERROR(INDEX(ArchiveResults!$F$5:$IX$116,ComparisonData!A10,ComparisonData!$XH$1),0)),5)</f>
        <v>0</v>
      </c>
      <c r="XI10" s="46" cm="1">
        <f t="array" ref="XI10">ROUND(VALUE(IFERROR(INDEX(ArchiveResults!$F$5:$IX$116,ComparisonData!A10,ComparisonData!$XI$1),0)),5)</f>
        <v>0</v>
      </c>
      <c r="XJ10" s="56">
        <v>5</v>
      </c>
      <c r="XK10" s="53" t="str">
        <f t="shared" si="88"/>
        <v>Berkshire Record Office</v>
      </c>
      <c r="XL10" s="60">
        <f t="shared" si="445"/>
        <v>0</v>
      </c>
      <c r="XM10" s="60">
        <f t="shared" si="446"/>
        <v>0</v>
      </c>
      <c r="XN10" s="76">
        <f t="shared" si="447"/>
        <v>0</v>
      </c>
      <c r="XO10" s="46">
        <f t="shared" si="448"/>
        <v>12</v>
      </c>
      <c r="XP10" s="46">
        <f t="shared" si="89"/>
        <v>2.4939999999999998</v>
      </c>
      <c r="XQ10" s="46">
        <f t="shared" si="449"/>
        <v>1</v>
      </c>
      <c r="XR10" s="46">
        <f t="shared" si="450"/>
        <v>2</v>
      </c>
      <c r="XS10" s="46" cm="1">
        <f t="array" ref="XS10">ROUND(VALUE(IFERROR(INDEX(ArchiveResults!$F$5:$IX$116,ComparisonData!A10,ComparisonData!$XS$1),0)),5)</f>
        <v>0</v>
      </c>
      <c r="XT10" s="46" cm="1">
        <f t="array" ref="XT10">ROUND(VALUE(IFERROR(INDEX(ArchiveResults!$F$5:$IX$116,ComparisonData!A10,ComparisonData!$XT$1),0)),5)</f>
        <v>0</v>
      </c>
      <c r="XU10" s="56">
        <v>5</v>
      </c>
      <c r="XV10" s="53" t="str">
        <f t="shared" si="90"/>
        <v>Berkshire Record Office</v>
      </c>
      <c r="XW10" s="60">
        <f t="shared" si="451"/>
        <v>0</v>
      </c>
      <c r="XX10" s="60">
        <f t="shared" si="452"/>
        <v>0</v>
      </c>
      <c r="XY10" s="76">
        <f t="shared" si="453"/>
        <v>0</v>
      </c>
      <c r="XZ10" s="46">
        <f t="shared" si="454"/>
        <v>12</v>
      </c>
      <c r="YA10" s="46">
        <f t="shared" si="91"/>
        <v>2.4939999999999998</v>
      </c>
      <c r="YB10" s="46">
        <f t="shared" si="455"/>
        <v>1</v>
      </c>
      <c r="YC10" s="46">
        <f t="shared" si="456"/>
        <v>2</v>
      </c>
      <c r="YD10" s="46" cm="1">
        <f t="array" ref="YD10">ROUND(VALUE(IFERROR(INDEX(ArchiveResults!$F$5:$IX$116,ComparisonData!A10,ComparisonData!$YD$1),0)),5)</f>
        <v>0</v>
      </c>
      <c r="YE10" s="46" cm="1">
        <f t="array" ref="YE10">ROUND(VALUE(IFERROR(INDEX(ArchiveResults!$F$5:$IX$116,ComparisonData!A10,ComparisonData!$YE$1),0)),5)</f>
        <v>0</v>
      </c>
      <c r="YF10" s="56">
        <v>5</v>
      </c>
      <c r="YG10" s="53" t="str">
        <f t="shared" si="92"/>
        <v>Berkshire Record Office</v>
      </c>
      <c r="YH10" s="60">
        <f t="shared" si="457"/>
        <v>0</v>
      </c>
      <c r="YI10" s="60">
        <f t="shared" si="458"/>
        <v>0</v>
      </c>
      <c r="YJ10" s="76">
        <f t="shared" si="459"/>
        <v>0</v>
      </c>
      <c r="YK10" s="46">
        <f t="shared" si="460"/>
        <v>12</v>
      </c>
      <c r="YL10" s="46">
        <f t="shared" si="93"/>
        <v>2.4939999999999998</v>
      </c>
      <c r="YM10" s="46">
        <f t="shared" si="461"/>
        <v>1</v>
      </c>
      <c r="YN10" s="46">
        <f t="shared" si="462"/>
        <v>2</v>
      </c>
      <c r="YO10" s="46" cm="1">
        <f t="array" ref="YO10">ROUND(VALUE(IFERROR(INDEX(ArchiveResults!$F$5:$IX$116,ComparisonData!A10,ComparisonData!$YO$1),0)),5)</f>
        <v>0</v>
      </c>
      <c r="YP10" s="46" cm="1">
        <f t="array" ref="YP10">ROUND(VALUE(IFERROR(INDEX(ArchiveResults!$F$5:$IX$116,ComparisonData!A10,ComparisonData!$YP$1),0)),5)</f>
        <v>0</v>
      </c>
      <c r="YQ10" s="56">
        <v>5</v>
      </c>
      <c r="YR10" s="53" t="str">
        <f t="shared" si="94"/>
        <v>Berkshire Record Office</v>
      </c>
      <c r="YS10" s="60">
        <f t="shared" si="463"/>
        <v>0</v>
      </c>
      <c r="YT10" s="60">
        <f t="shared" si="464"/>
        <v>0</v>
      </c>
      <c r="YU10" s="76">
        <f t="shared" si="465"/>
        <v>0</v>
      </c>
      <c r="YV10" s="46">
        <f t="shared" si="466"/>
        <v>12</v>
      </c>
      <c r="YW10" s="46">
        <f t="shared" si="95"/>
        <v>2.4939999999999998</v>
      </c>
      <c r="YX10" s="46">
        <f t="shared" si="467"/>
        <v>1</v>
      </c>
      <c r="YY10" s="46">
        <f t="shared" si="468"/>
        <v>2</v>
      </c>
      <c r="YZ10" s="46">
        <f t="shared" si="469"/>
        <v>0</v>
      </c>
      <c r="ZA10" s="46" cm="1">
        <f t="array" ref="ZA10">ROUNDDOWN(VALUE(IFERROR(INDEX(ArchiveResults!$F$5:$IX$116,ComparisonData!A10,ComparisonData!$ZA$1),0)),5)</f>
        <v>0</v>
      </c>
      <c r="ZB10" s="46" cm="1">
        <f t="array" ref="ZB10">ROUNDDOWN(VALUE(IFERROR(INDEX(ArchiveResults!$F$5:$IX$116,ComparisonData!A10,ComparisonData!$ZB$1),0)),5)</f>
        <v>0</v>
      </c>
      <c r="ZC10" s="46" cm="1">
        <f t="array" ref="ZC10">ROUNDDOWN(VALUE(IFERROR(INDEX(ArchiveResults!$F$5:$IX$116,ComparisonData!A10,ComparisonData!$ZC$1),0)),5)</f>
        <v>0</v>
      </c>
      <c r="ZD10" s="46" cm="1">
        <f t="array" ref="ZD10">ROUNDDOWN(VALUE(IFERROR(INDEX(ArchiveResults!$F$5:$IX$116,ComparisonData!A10,ComparisonData!$ZD$1),0)),5)</f>
        <v>0</v>
      </c>
      <c r="ZE10" s="46" cm="1">
        <f t="array" ref="ZE10">ROUNDDOWN(VALUE(IFERROR(INDEX(ArchiveResults!$F$5:$IX$116,ComparisonData!A10,ComparisonData!$ZE$1),0)),5)</f>
        <v>0</v>
      </c>
      <c r="ZF10" s="56">
        <v>5</v>
      </c>
      <c r="ZG10" s="53" t="str">
        <f t="shared" si="96"/>
        <v>Berkshire Record Office</v>
      </c>
      <c r="ZH10" s="60">
        <f t="shared" si="470"/>
        <v>0</v>
      </c>
      <c r="ZI10" s="60">
        <f t="shared" si="471"/>
        <v>0</v>
      </c>
      <c r="ZJ10" s="60">
        <f t="shared" si="472"/>
        <v>0</v>
      </c>
      <c r="ZK10" s="60">
        <f t="shared" si="473"/>
        <v>0</v>
      </c>
      <c r="ZL10" s="60">
        <f t="shared" si="474"/>
        <v>0</v>
      </c>
      <c r="ZM10" s="76">
        <f t="shared" si="475"/>
        <v>0</v>
      </c>
      <c r="ZN10" s="46">
        <f t="shared" si="476"/>
        <v>12</v>
      </c>
      <c r="ZO10" s="46">
        <f t="shared" si="97"/>
        <v>2.4939999999999998</v>
      </c>
      <c r="ZP10" s="46">
        <f t="shared" si="477"/>
        <v>1</v>
      </c>
      <c r="ZQ10" s="46">
        <f t="shared" si="478"/>
        <v>2</v>
      </c>
      <c r="ZR10" s="46" cm="1">
        <f t="array" ref="ZR10">ROUND(VALUE(IFERROR(INDEX(ArchiveResults!$F$5:$IX$116,ComparisonData!A10,ComparisonData!$ZR$1),0)),5)</f>
        <v>0</v>
      </c>
      <c r="ZS10" s="56">
        <v>5</v>
      </c>
      <c r="ZT10" s="53" t="str">
        <f t="shared" si="98"/>
        <v>Berkshire Record Office</v>
      </c>
      <c r="ZU10" s="46">
        <f t="shared" si="479"/>
        <v>0</v>
      </c>
      <c r="ZV10" s="76">
        <f t="shared" si="480"/>
        <v>0</v>
      </c>
      <c r="ZW10" s="81" cm="1">
        <f t="array" ref="ZW10">ROUND((IFERROR(INDEX(ArchiveResults!$F$5:$IX$116,ComparisonData!A10,ComparisonData!$ZW$1),0)),5)</f>
        <v>0</v>
      </c>
      <c r="ZX10" s="81" cm="1">
        <f t="array" ref="ZX10">ROUND((IFERROR(INDEX(ArchiveResults!$F$5:$IX$116,ComparisonData!A10,ComparisonData!$ZX$1),0)),5)</f>
        <v>0</v>
      </c>
      <c r="ZY10" s="81" cm="1">
        <f t="array" ref="ZY10">ROUND((IFERROR(INDEX(ArchiveResults!$F$5:$IX$116,ComparisonData!A10,ComparisonData!$ZY$1),0)),5)</f>
        <v>0</v>
      </c>
      <c r="ZZ10" s="81" cm="1">
        <f t="array" ref="ZZ10">ROUND((IFERROR(INDEX(ArchiveResults!$F$5:$IX$116,ComparisonData!A10,ComparisonData!$ZZ$1),0)),5)</f>
        <v>0</v>
      </c>
      <c r="AAA10" s="81" cm="1">
        <f t="array" ref="AAA10">ROUND((IFERROR(INDEX(ArchiveResults!$F$5:$IX$116,ComparisonData!A10,ComparisonData!$AAA$1),0)),5)</f>
        <v>0</v>
      </c>
      <c r="AAB10" s="81" cm="1">
        <f t="array" ref="AAB10">ROUND((IFERROR(INDEX(ArchiveResults!$F$5:$IX$116,ComparisonData!A10,ComparisonData!$AAB$1),0)),5)</f>
        <v>0</v>
      </c>
      <c r="AAC10" s="81" cm="1">
        <f t="array" ref="AAC10">ROUND((IFERROR(INDEX(ArchiveResults!$F$5:$IX$116,ComparisonData!A10,ComparisonData!$AAC$1),0)),5)</f>
        <v>0</v>
      </c>
      <c r="AAD10" s="81" cm="1">
        <f t="array" ref="AAD10">ROUND((IFERROR(INDEX(ArchiveResults!$F$5:$IX$116,ComparisonData!A10,ComparisonData!$AAD$1),0)),5)</f>
        <v>0</v>
      </c>
      <c r="AAE10" s="81" cm="1">
        <f t="array" ref="AAE10">ROUND((IFERROR(INDEX(ArchiveResults!$F$5:$IX$116,ComparisonData!A10,ComparisonData!$AAE$1),0)),5)</f>
        <v>0</v>
      </c>
      <c r="AAF10" s="81" cm="1">
        <f t="array" ref="AAF10">ROUND((IFERROR(INDEX(ArchiveResults!$F$5:$IX$116,ComparisonData!A10,ComparisonData!$AAF$1),0)),5)</f>
        <v>0</v>
      </c>
      <c r="AAG10" s="46">
        <f t="shared" si="481"/>
        <v>12</v>
      </c>
      <c r="AAH10" s="46">
        <f t="shared" si="99"/>
        <v>2.4939999999999998</v>
      </c>
      <c r="AAI10" s="46">
        <f t="shared" si="482"/>
        <v>1</v>
      </c>
      <c r="AAJ10" s="46">
        <f t="shared" si="483"/>
        <v>2</v>
      </c>
      <c r="AAK10" s="46">
        <f t="shared" si="484"/>
        <v>0</v>
      </c>
      <c r="AAL10" s="46">
        <f t="shared" si="485"/>
        <v>0</v>
      </c>
      <c r="AAM10" s="46">
        <f t="shared" si="486"/>
        <v>0</v>
      </c>
      <c r="AAN10" s="46">
        <f t="shared" si="487"/>
        <v>0</v>
      </c>
      <c r="AAO10" s="46">
        <f t="shared" si="488"/>
        <v>0</v>
      </c>
      <c r="AAP10" s="46">
        <f t="shared" si="489"/>
        <v>0</v>
      </c>
      <c r="AAQ10" s="56">
        <v>5</v>
      </c>
      <c r="AAR10" s="53" t="str">
        <f t="shared" si="100"/>
        <v>Berkshire Record Office</v>
      </c>
      <c r="AAS10" s="60">
        <f t="shared" si="490"/>
        <v>0</v>
      </c>
      <c r="AAT10" s="60">
        <f t="shared" si="491"/>
        <v>0</v>
      </c>
      <c r="AAU10" s="60">
        <f t="shared" si="492"/>
        <v>0</v>
      </c>
      <c r="AAV10" s="60">
        <f t="shared" si="493"/>
        <v>0</v>
      </c>
      <c r="AAW10" s="60">
        <f t="shared" si="494"/>
        <v>0</v>
      </c>
      <c r="AAX10" s="76">
        <f t="shared" si="495"/>
        <v>0</v>
      </c>
      <c r="AAY10" s="46">
        <f t="shared" si="496"/>
        <v>12</v>
      </c>
      <c r="AAZ10" s="46">
        <f t="shared" si="101"/>
        <v>2.4939999999999998</v>
      </c>
      <c r="ABA10" s="46">
        <f t="shared" si="497"/>
        <v>1</v>
      </c>
      <c r="ABB10" s="46">
        <f t="shared" si="498"/>
        <v>2</v>
      </c>
      <c r="ABC10" s="46">
        <f t="shared" si="102"/>
        <v>0</v>
      </c>
      <c r="ABD10" s="46" cm="1">
        <f t="array" ref="ABD10">ROUND(VALUE(IFERROR(INDEX(ArchiveResults!$F$5:$IX$116,ComparisonData!A10,ComparisonData!$ABD$1),0)),5)</f>
        <v>0</v>
      </c>
      <c r="ABE10" s="46" cm="1">
        <f t="array" ref="ABE10">ROUND(VALUE(IFERROR(INDEX(ArchiveResults!$F$5:$IX$116,ComparisonData!A10,ComparisonData!$ABE$1),0)),5)</f>
        <v>0</v>
      </c>
      <c r="ABF10" s="46" cm="1">
        <f t="array" ref="ABF10">ROUND(VALUE(IFERROR(INDEX(ArchiveResults!$F$5:$IX$116,ComparisonData!A10,ComparisonData!$ABF$1),0)),5)</f>
        <v>0</v>
      </c>
      <c r="ABG10" s="46" cm="1">
        <f t="array" ref="ABG10">ROUND(VALUE(IFERROR(INDEX(ArchiveResults!$F$5:$IX$116,ComparisonData!A10,ComparisonData!$ABG$1),0)),5)</f>
        <v>0</v>
      </c>
      <c r="ABH10" s="46" cm="1">
        <f t="array" ref="ABH10">ROUND(VALUE(IFERROR(INDEX(ArchiveResults!$F$5:$IX$116,ComparisonData!A10,ComparisonData!$ABH$1),0)),5)</f>
        <v>0</v>
      </c>
      <c r="ABI10" s="56">
        <v>5</v>
      </c>
      <c r="ABJ10" s="53" t="str">
        <f t="shared" si="103"/>
        <v>Berkshire Record Office</v>
      </c>
      <c r="ABK10" s="60">
        <f t="shared" si="499"/>
        <v>0</v>
      </c>
      <c r="ABL10" s="60">
        <f t="shared" si="500"/>
        <v>0</v>
      </c>
      <c r="ABM10" s="60">
        <f t="shared" si="501"/>
        <v>0</v>
      </c>
      <c r="ABN10" s="60">
        <f t="shared" si="502"/>
        <v>0</v>
      </c>
      <c r="ABO10" s="60">
        <f t="shared" si="503"/>
        <v>0</v>
      </c>
      <c r="ABP10" s="76">
        <f t="shared" si="504"/>
        <v>0</v>
      </c>
      <c r="ABQ10" s="46">
        <f t="shared" si="505"/>
        <v>12</v>
      </c>
      <c r="ABR10" s="46">
        <f t="shared" si="104"/>
        <v>2.4939999999999998</v>
      </c>
      <c r="ABS10" s="46">
        <f t="shared" si="506"/>
        <v>1</v>
      </c>
      <c r="ABT10" s="46">
        <f t="shared" si="507"/>
        <v>2</v>
      </c>
      <c r="ABU10" s="46" cm="1">
        <f t="array" ref="ABU10">ROUND(VALUE(IFERROR(INDEX(ArchiveResults!$F$5:$IX$116,ComparisonData!A10,ComparisonData!$ABU$1),0)),5)</f>
        <v>0</v>
      </c>
      <c r="ABV10" s="46" cm="1">
        <f t="array" ref="ABV10">ROUND(VALUE(IFERROR(INDEX(ArchiveResults!$F$5:$IX$116,ComparisonData!A10,ComparisonData!$ABV$1),0)),5)</f>
        <v>0</v>
      </c>
      <c r="ABW10" s="46" cm="1">
        <f t="array" ref="ABW10">ROUND(VALUE(IFERROR(INDEX(ArchiveResults!$F$5:$IX$116,ComparisonData!A10,ComparisonData!$ABW$1),0)),5)</f>
        <v>0</v>
      </c>
      <c r="ABX10" s="46" cm="1">
        <f t="array" ref="ABX10">ROUND(VALUE(IFERROR(INDEX(ArchiveResults!$F$5:$IX$116,ComparisonData!A10,ComparisonData!$ABX$1),0)),5)</f>
        <v>0</v>
      </c>
      <c r="ABY10" s="46" cm="1">
        <f t="array" ref="ABY10">ROUND(VALUE(IFERROR(INDEX(ArchiveResults!$F$5:$IX$116,ComparisonData!A10,ComparisonData!$ABY$1),0)),5)</f>
        <v>0</v>
      </c>
      <c r="ABZ10" s="56">
        <v>5</v>
      </c>
      <c r="ACA10" s="53" t="str">
        <f t="shared" si="105"/>
        <v>Berkshire Record Office</v>
      </c>
      <c r="ACB10" s="60">
        <f t="shared" si="508"/>
        <v>0</v>
      </c>
      <c r="ACC10" s="60">
        <f t="shared" si="509"/>
        <v>0</v>
      </c>
      <c r="ACD10" s="60">
        <f t="shared" si="510"/>
        <v>0</v>
      </c>
      <c r="ACE10" s="60">
        <f t="shared" si="511"/>
        <v>0</v>
      </c>
      <c r="ACF10" s="60">
        <f t="shared" si="512"/>
        <v>0</v>
      </c>
      <c r="ACG10" s="76">
        <f t="shared" si="513"/>
        <v>0</v>
      </c>
      <c r="ACH10" s="46">
        <f t="shared" si="514"/>
        <v>12</v>
      </c>
      <c r="ACI10" s="46">
        <f t="shared" si="106"/>
        <v>2.4939999999999998</v>
      </c>
      <c r="ACJ10" s="46">
        <f t="shared" si="515"/>
        <v>1</v>
      </c>
      <c r="ACK10" s="46">
        <f t="shared" si="516"/>
        <v>2</v>
      </c>
      <c r="ACL10" s="46">
        <f t="shared" si="517"/>
        <v>0</v>
      </c>
      <c r="ACM10" s="46" cm="1">
        <f t="array" ref="ACM10">ROUND(IFERROR(INDEX(ArchiveResults!$F$5:$IX$116,ComparisonData!A10,ComparisonData!$ACM$1),0),5)</f>
        <v>0</v>
      </c>
      <c r="ACN10" s="46" cm="1">
        <f t="array" ref="ACN10">ROUND(IFERROR(INDEX(ArchiveResults!$F$5:$IX$116,ComparisonData!A10,ComparisonData!$ACN$1),0),5)</f>
        <v>0</v>
      </c>
      <c r="ACO10" s="56">
        <v>5</v>
      </c>
      <c r="ACP10" s="53" t="str">
        <f t="shared" si="107"/>
        <v>Berkshire Record Office</v>
      </c>
      <c r="ACQ10" s="60">
        <f t="shared" si="518"/>
        <v>0</v>
      </c>
      <c r="ACR10" s="60">
        <f t="shared" si="519"/>
        <v>0</v>
      </c>
      <c r="ACS10" s="76">
        <f t="shared" si="520"/>
        <v>0</v>
      </c>
      <c r="ACT10" s="46">
        <f t="shared" si="521"/>
        <v>12</v>
      </c>
      <c r="ACU10" s="46">
        <f t="shared" si="108"/>
        <v>2.4939999999999998</v>
      </c>
      <c r="ACV10" s="46">
        <f t="shared" si="522"/>
        <v>1</v>
      </c>
      <c r="ACW10" s="46">
        <f t="shared" si="523"/>
        <v>2</v>
      </c>
      <c r="ACX10" s="46">
        <f t="shared" si="524"/>
        <v>0</v>
      </c>
      <c r="ACY10" s="46" cm="1">
        <f t="array" ref="ACY10">ROUNDDOWN(IFERROR(INDEX(ArchiveResults!$F$5:$IX$116,ComparisonData!A10,ComparisonData!$ACY$1),0),5)</f>
        <v>0</v>
      </c>
      <c r="ACZ10" s="46" cm="1">
        <f t="array" ref="ACZ10">ROUNDDOWN(IFERROR(INDEX(ArchiveResults!$F$5:$IX$116,ComparisonData!A10,ComparisonData!$ACZ$1),0),5)</f>
        <v>0</v>
      </c>
      <c r="ADA10" s="46" cm="1">
        <f t="array" ref="ADA10">ROUNDDOWN(IFERROR(INDEX(ArchiveResults!$F$5:$IX$116,ComparisonData!A10,ComparisonData!$ADA$1),0),5)</f>
        <v>0</v>
      </c>
      <c r="ADB10" s="56">
        <v>5</v>
      </c>
      <c r="ADC10" s="53" t="str">
        <f t="shared" si="109"/>
        <v>Berkshire Record Office</v>
      </c>
      <c r="ADD10" s="60">
        <f t="shared" si="525"/>
        <v>0</v>
      </c>
      <c r="ADE10" s="60">
        <f t="shared" si="526"/>
        <v>0</v>
      </c>
      <c r="ADF10" s="60">
        <f t="shared" si="527"/>
        <v>0</v>
      </c>
      <c r="ADG10" s="76">
        <f t="shared" si="528"/>
        <v>0</v>
      </c>
    </row>
    <row r="11" spans="1:787" x14ac:dyDescent="0.25">
      <c r="A11" s="46" t="str">
        <f>IF(ISBLANK(ComparisonSelection!F7),"",ROW()-5)</f>
        <v/>
      </c>
      <c r="B11" s="53" t="s">
        <v>461</v>
      </c>
      <c r="C11" s="72">
        <v>0.64399999999999968</v>
      </c>
      <c r="D11" s="55">
        <f t="shared" si="110"/>
        <v>42</v>
      </c>
      <c r="E11" s="54">
        <f t="shared" si="111"/>
        <v>2.6439999999999997</v>
      </c>
      <c r="F11" s="54">
        <f t="shared" si="529"/>
        <v>1</v>
      </c>
      <c r="G11" s="72">
        <f t="shared" si="112"/>
        <v>2</v>
      </c>
      <c r="H11" s="72">
        <f t="shared" si="113"/>
        <v>0</v>
      </c>
      <c r="I11" s="46" cm="1">
        <f t="array" ref="I11">ROUND(IFERROR(INDEX(ArchiveResults!$F$5:$IX$116,ComparisonData!A11,ComparisonData!$I$1),0),5)</f>
        <v>0</v>
      </c>
      <c r="J11" s="46" cm="1">
        <f t="array" ref="J11">ROUND(IFERROR(INDEX(ArchiveResults!$F$5:$IX$116,ComparisonData!A11,ComparisonData!$J$1),0),5)</f>
        <v>0</v>
      </c>
      <c r="K11" s="56">
        <v>6</v>
      </c>
      <c r="L11" s="53" t="str">
        <f t="shared" si="114"/>
        <v>Bexley Local Studies and Archive Centre</v>
      </c>
      <c r="M11" s="57">
        <f t="shared" si="0"/>
        <v>0</v>
      </c>
      <c r="N11" s="57">
        <f t="shared" si="1"/>
        <v>0</v>
      </c>
      <c r="O11" s="58">
        <f t="shared" si="115"/>
        <v>0</v>
      </c>
      <c r="P11" s="48">
        <f t="shared" si="116"/>
        <v>42</v>
      </c>
      <c r="Q11" s="54">
        <f t="shared" si="2"/>
        <v>2.6439999999999997</v>
      </c>
      <c r="R11" s="45">
        <f t="shared" si="117"/>
        <v>1</v>
      </c>
      <c r="S11" s="46">
        <f t="shared" si="118"/>
        <v>2</v>
      </c>
      <c r="T11" s="72">
        <f t="shared" si="119"/>
        <v>0</v>
      </c>
      <c r="U11" s="46" cm="1">
        <f t="array" ref="U11">ROUND(IFERROR(INDEX(ArchiveResults!$F$5:$IX$116,ComparisonData!A11,ComparisonData!$U$1),0),5)</f>
        <v>0</v>
      </c>
      <c r="V11" s="46" cm="1">
        <f t="array" ref="V11">ROUND(IFERROR(INDEX(ArchiveResults!$F$5:$IX$116,ComparisonData!A11,ComparisonData!$V$1),0),5)</f>
        <v>0</v>
      </c>
      <c r="W11" s="56">
        <v>6</v>
      </c>
      <c r="X11" s="53" t="str">
        <f t="shared" si="3"/>
        <v>Bexley Local Studies and Archive Centre</v>
      </c>
      <c r="Y11" s="57">
        <f t="shared" si="120"/>
        <v>0</v>
      </c>
      <c r="Z11" s="57">
        <f t="shared" si="121"/>
        <v>0</v>
      </c>
      <c r="AA11" s="58">
        <f t="shared" si="122"/>
        <v>0</v>
      </c>
      <c r="AB11" s="45">
        <f t="shared" si="123"/>
        <v>42</v>
      </c>
      <c r="AC11" s="54">
        <f t="shared" si="4"/>
        <v>2.6439999999999997</v>
      </c>
      <c r="AD11" s="45">
        <f t="shared" si="124"/>
        <v>1</v>
      </c>
      <c r="AE11" s="45">
        <f t="shared" si="125"/>
        <v>2</v>
      </c>
      <c r="AF11" s="45">
        <f t="shared" si="126"/>
        <v>0</v>
      </c>
      <c r="AG11" s="46" cm="1">
        <f t="array" ref="AG11">ROUND(IFERROR(INDEX(ArchiveResults!$F$5:$IX$116,ComparisonData!A11,ComparisonData!$AG$1),0),5)</f>
        <v>0</v>
      </c>
      <c r="AH11" s="46" cm="1">
        <f t="array" ref="AH11">ROUND(IFERROR(INDEX(ArchiveResults!$F$5:$IX$116,ComparisonData!A11,ComparisonData!$AH$1),0),5)</f>
        <v>0</v>
      </c>
      <c r="AI11" s="56">
        <v>6</v>
      </c>
      <c r="AJ11" s="53" t="str">
        <f t="shared" si="5"/>
        <v>Bexley Local Studies and Archive Centre</v>
      </c>
      <c r="AK11" s="59">
        <f t="shared" si="6"/>
        <v>0</v>
      </c>
      <c r="AL11" s="59">
        <f t="shared" si="7"/>
        <v>0</v>
      </c>
      <c r="AM11" s="58">
        <f t="shared" si="127"/>
        <v>0</v>
      </c>
      <c r="AN11" s="45">
        <f t="shared" si="128"/>
        <v>42</v>
      </c>
      <c r="AO11" s="54">
        <f t="shared" si="8"/>
        <v>2.6439999999999997</v>
      </c>
      <c r="AP11" s="45">
        <f t="shared" si="129"/>
        <v>1</v>
      </c>
      <c r="AQ11" s="45">
        <f t="shared" si="130"/>
        <v>2</v>
      </c>
      <c r="AR11" s="46" cm="1">
        <f t="array" ref="AR11">ROUND(IFERROR(INDEX(ArchiveResults!$F$5:$IX$116,ComparisonData!A11,ComparisonData!$AR$1),0),5)</f>
        <v>0</v>
      </c>
      <c r="AS11" s="46" cm="1">
        <f t="array" ref="AS11">ROUND(IFERROR(INDEX(ArchiveResults!$F$5:$IX$116,ComparisonData!A11,ComparisonData!$AS$1),0),5)</f>
        <v>0</v>
      </c>
      <c r="AT11" s="46" cm="1">
        <f t="array" ref="AT11">ROUND(IFERROR(INDEX(ArchiveResults!$F$5:$IX$116,ComparisonData!A11,ComparisonData!$AT$1),0),5)</f>
        <v>0</v>
      </c>
      <c r="AU11" s="46" cm="1">
        <f t="array" ref="AU11">ROUND(IFERROR(INDEX(ArchiveResults!$F$5:$IX$116,ComparisonData!A11,ComparisonData!$AU$1),0),5)</f>
        <v>0</v>
      </c>
      <c r="AV11" s="46" cm="1">
        <f t="array" ref="AV11">ROUND(IFERROR(INDEX(ArchiveResults!$F$5:$IX$116,ComparisonData!A11,ComparisonData!$AV$1),0),5)</f>
        <v>0</v>
      </c>
      <c r="AW11" s="46" cm="1">
        <f t="array" ref="AW11">ROUND(IFERROR(INDEX(ArchiveResults!$F$5:$IX$116,ComparisonData!A11,ComparisonData!$AW$1),0),5)</f>
        <v>0</v>
      </c>
      <c r="AX11" s="46" cm="1">
        <f t="array" ref="AX11">ROUND(IFERROR(INDEX(ArchiveResults!$F$5:$IX$116,ComparisonData!A11,ComparisonData!$AX$1),0),5)</f>
        <v>0</v>
      </c>
      <c r="AY11" s="46" cm="1">
        <f t="array" ref="AY11">ROUND(IFERROR(INDEX(ArchiveResults!$F$5:$IX$116,ComparisonData!A11,ComparisonData!$AY$1),0),5)</f>
        <v>0</v>
      </c>
      <c r="AZ11" s="46" cm="1">
        <f t="array" ref="AZ11">ROUND(IFERROR(INDEX(ArchiveResults!$F$5:$IX$116,ComparisonData!A11,ComparisonData!$AZ$1),0),5)</f>
        <v>0</v>
      </c>
      <c r="BA11" s="46" cm="1">
        <f t="array" ref="BA11">ROUND(IFERROR(INDEX(ArchiveResults!$F$5:$IX$116,ComparisonData!A11,ComparisonData!$BA$1),0),5)</f>
        <v>0</v>
      </c>
      <c r="BB11" s="56">
        <v>6</v>
      </c>
      <c r="BC11" s="53" t="str">
        <f t="shared" si="9"/>
        <v>Bexley Local Studies and Archive Centre</v>
      </c>
      <c r="BD11" s="60">
        <f t="shared" si="131"/>
        <v>0</v>
      </c>
      <c r="BE11" s="60">
        <f t="shared" si="132"/>
        <v>0</v>
      </c>
      <c r="BF11" s="60">
        <f t="shared" si="133"/>
        <v>0</v>
      </c>
      <c r="BG11" s="60">
        <f t="shared" si="134"/>
        <v>0</v>
      </c>
      <c r="BH11" s="60">
        <f t="shared" si="135"/>
        <v>0</v>
      </c>
      <c r="BI11" s="60">
        <f t="shared" si="136"/>
        <v>0</v>
      </c>
      <c r="BJ11" s="60">
        <f t="shared" si="137"/>
        <v>0</v>
      </c>
      <c r="BK11" s="60">
        <f t="shared" si="138"/>
        <v>0</v>
      </c>
      <c r="BL11" s="60">
        <f t="shared" si="139"/>
        <v>0</v>
      </c>
      <c r="BM11" s="59">
        <f t="shared" si="140"/>
        <v>0</v>
      </c>
      <c r="BN11" s="58">
        <f t="shared" si="141"/>
        <v>0</v>
      </c>
      <c r="BO11" s="45">
        <f t="shared" si="142"/>
        <v>42</v>
      </c>
      <c r="BP11" s="54">
        <f t="shared" si="10"/>
        <v>2.6439999999999997</v>
      </c>
      <c r="BQ11" s="45">
        <f t="shared" si="143"/>
        <v>1</v>
      </c>
      <c r="BR11" s="45">
        <f t="shared" si="144"/>
        <v>2</v>
      </c>
      <c r="BS11" s="46" cm="1">
        <f t="array" ref="BS11">ROUND(IFERROR(INDEX(ArchiveResults!$F$5:$IX$116,ComparisonData!A11,ComparisonData!$BS$1),0),5)</f>
        <v>0</v>
      </c>
      <c r="BT11" s="46" cm="1">
        <f t="array" ref="BT11">ROUND(IFERROR(INDEX(ArchiveResults!$F$5:$IX$116,ComparisonData!A11,ComparisonData!$BT$1),0),5)</f>
        <v>0</v>
      </c>
      <c r="BU11" s="46" cm="1">
        <f t="array" ref="BU11">ROUND(IFERROR(INDEX(ArchiveResults!$F$5:$IX$116,ComparisonData!A11,ComparisonData!$BU$1),0),5)</f>
        <v>0</v>
      </c>
      <c r="BV11" s="46" cm="1">
        <f t="array" ref="BV11">ROUND(IFERROR(INDEX(ArchiveResults!$F$5:$IX$116,ComparisonData!A11,ComparisonData!$BV$1),0),5)</f>
        <v>0</v>
      </c>
      <c r="BW11" s="46" cm="1">
        <f t="array" ref="BW11">ROUND(IFERROR(INDEX(ArchiveResults!$F$5:$IX$116,ComparisonData!A11,ComparisonData!$BW$1),0),5)</f>
        <v>0</v>
      </c>
      <c r="BX11" s="46" cm="1">
        <f t="array" ref="BX11">ROUND(IFERROR(INDEX(ArchiveResults!$F$5:$IX$116,ComparisonData!A11,ComparisonData!$BX$1),0),5)</f>
        <v>0</v>
      </c>
      <c r="BY11" s="56">
        <v>6</v>
      </c>
      <c r="BZ11" s="53" t="str">
        <f t="shared" si="11"/>
        <v>Bexley Local Studies and Archive Centre</v>
      </c>
      <c r="CA11" s="59">
        <f t="shared" si="145"/>
        <v>0</v>
      </c>
      <c r="CB11" s="59">
        <f t="shared" si="146"/>
        <v>0</v>
      </c>
      <c r="CC11" s="59">
        <f t="shared" si="147"/>
        <v>0</v>
      </c>
      <c r="CD11" s="59">
        <f t="shared" si="148"/>
        <v>0</v>
      </c>
      <c r="CE11" s="59">
        <f t="shared" si="149"/>
        <v>0</v>
      </c>
      <c r="CF11" s="59">
        <f t="shared" si="150"/>
        <v>0</v>
      </c>
      <c r="CG11" s="58">
        <f t="shared" si="151"/>
        <v>0</v>
      </c>
      <c r="CH11" s="45">
        <f t="shared" si="152"/>
        <v>42</v>
      </c>
      <c r="CI11" s="54">
        <f t="shared" si="12"/>
        <v>2.6439999999999997</v>
      </c>
      <c r="CJ11" s="45">
        <f t="shared" si="153"/>
        <v>1</v>
      </c>
      <c r="CK11" s="45">
        <f t="shared" si="154"/>
        <v>2</v>
      </c>
      <c r="CL11" s="46" cm="1">
        <f t="array" ref="CL11">ROUND(IFERROR(INDEX(ArchiveResults!$F$5:$IX$116,ComparisonData!A11,ComparisonData!$CL$1),0),5)</f>
        <v>0</v>
      </c>
      <c r="CM11" s="56">
        <v>6</v>
      </c>
      <c r="CN11" s="53" t="str">
        <f t="shared" si="13"/>
        <v>Bexley Local Studies and Archive Centre</v>
      </c>
      <c r="CO11" s="45">
        <f t="shared" si="155"/>
        <v>0</v>
      </c>
      <c r="CP11" s="58">
        <f t="shared" si="156"/>
        <v>0</v>
      </c>
      <c r="CQ11" s="45">
        <f t="shared" si="157"/>
        <v>42</v>
      </c>
      <c r="CR11" s="54">
        <f t="shared" si="14"/>
        <v>2.6439999999999997</v>
      </c>
      <c r="CS11" s="45">
        <f t="shared" si="158"/>
        <v>1</v>
      </c>
      <c r="CT11" s="45">
        <f t="shared" si="159"/>
        <v>2</v>
      </c>
      <c r="CU11" s="46" cm="1">
        <f t="array" ref="CU11">ROUND(IFERROR(INDEX(ArchiveResults!$F$5:$IX$116,ComparisonData!A11,ComparisonData!$CU$1),0),5)</f>
        <v>0</v>
      </c>
      <c r="CV11" s="56">
        <v>6</v>
      </c>
      <c r="CW11" s="53" t="str">
        <f t="shared" si="15"/>
        <v>Bexley Local Studies and Archive Centre</v>
      </c>
      <c r="CX11" s="45">
        <f t="shared" si="160"/>
        <v>0</v>
      </c>
      <c r="CY11" s="58">
        <f t="shared" si="161"/>
        <v>0</v>
      </c>
      <c r="CZ11" s="45">
        <f t="shared" si="162"/>
        <v>42</v>
      </c>
      <c r="DA11" s="54">
        <f t="shared" si="16"/>
        <v>2.6439999999999997</v>
      </c>
      <c r="DB11" s="45">
        <f t="shared" si="163"/>
        <v>1</v>
      </c>
      <c r="DC11" s="45">
        <f t="shared" si="164"/>
        <v>2</v>
      </c>
      <c r="DD11" s="46" cm="1">
        <f t="array" ref="DD11">ROUND(IFERROR(INDEX(ArchiveResults!$F$5:$IX$116,ComparisonData!A11,ComparisonData!$DD$1),0),5)</f>
        <v>0</v>
      </c>
      <c r="DE11" s="56">
        <v>6</v>
      </c>
      <c r="DF11" s="53" t="str">
        <f t="shared" si="17"/>
        <v>Bexley Local Studies and Archive Centre</v>
      </c>
      <c r="DG11" s="45">
        <f t="shared" si="165"/>
        <v>0</v>
      </c>
      <c r="DH11" s="58">
        <f t="shared" si="166"/>
        <v>0</v>
      </c>
      <c r="DI11" s="45">
        <f t="shared" si="167"/>
        <v>42</v>
      </c>
      <c r="DJ11" s="54">
        <f t="shared" si="18"/>
        <v>2.6439999999999997</v>
      </c>
      <c r="DK11" s="45">
        <f t="shared" si="168"/>
        <v>1</v>
      </c>
      <c r="DL11" s="45">
        <f t="shared" si="169"/>
        <v>2</v>
      </c>
      <c r="DM11" s="46" cm="1">
        <f t="array" ref="DM11">ROUND(IFERROR(INDEX(ArchiveResults!$F$5:$IX$116,ComparisonData!A11,ComparisonData!$DM$1),0),5)</f>
        <v>0</v>
      </c>
      <c r="DN11" s="46" cm="1">
        <f t="array" ref="DN11">ROUND(IFERROR(INDEX(ArchiveResults!$F$5:$IX$116,ComparisonData!A11,ComparisonData!$DN$1),0),5)</f>
        <v>0</v>
      </c>
      <c r="DO11" s="46" cm="1">
        <f t="array" ref="DO11">ROUND(IFERROR(INDEX(ArchiveResults!$F$5:$IX$116,ComparisonData!A11,ComparisonData!$DO$1),0),5)</f>
        <v>0</v>
      </c>
      <c r="DP11" s="46" cm="1">
        <f t="array" ref="DP11">ROUND(IFERROR(INDEX(ArchiveResults!$F$5:$IX$116,ComparisonData!A11,ComparisonData!$DP$1),0),5)</f>
        <v>0</v>
      </c>
      <c r="DQ11" s="45" cm="1">
        <f t="array" ref="DQ11">IFERROR(INDEX(ArchiveResults!$F$5:$IX$116,ComparisonData!A11,ComparisonData!$DQ$1),0)</f>
        <v>0</v>
      </c>
      <c r="DR11" s="56">
        <v>6</v>
      </c>
      <c r="DS11" s="53" t="str">
        <f t="shared" si="19"/>
        <v>Bexley Local Studies and Archive Centre</v>
      </c>
      <c r="DT11" s="59">
        <f t="shared" si="170"/>
        <v>0</v>
      </c>
      <c r="DU11" s="59">
        <f t="shared" si="171"/>
        <v>0</v>
      </c>
      <c r="DV11" s="59">
        <f t="shared" si="172"/>
        <v>0</v>
      </c>
      <c r="DW11" s="59">
        <f t="shared" si="173"/>
        <v>0</v>
      </c>
      <c r="DX11" s="59">
        <f t="shared" si="174"/>
        <v>0</v>
      </c>
      <c r="DY11" s="58">
        <f t="shared" si="175"/>
        <v>0</v>
      </c>
      <c r="DZ11" s="45">
        <f t="shared" si="176"/>
        <v>42</v>
      </c>
      <c r="EA11" s="54">
        <f t="shared" si="20"/>
        <v>2.6439999999999997</v>
      </c>
      <c r="EB11" s="45">
        <f t="shared" si="177"/>
        <v>1</v>
      </c>
      <c r="EC11" s="45">
        <f t="shared" si="178"/>
        <v>2</v>
      </c>
      <c r="ED11" s="46" cm="1">
        <f t="array" ref="ED11">ROUND(IFERROR(INDEX(ArchiveResults!$F$5:$IX$116,ComparisonData!A11,ComparisonData!$ED$1),0),5)</f>
        <v>0</v>
      </c>
      <c r="EE11" s="46" cm="1">
        <f t="array" ref="EE11">ROUND(IFERROR(INDEX(ArchiveResults!$F$5:$IX$116,ComparisonData!A11,ComparisonData!$EE$1),0),5)</f>
        <v>0</v>
      </c>
      <c r="EF11" s="46" cm="1">
        <f t="array" ref="EF11">ROUND(IFERROR(INDEX(ArchiveResults!$F$5:$IX$116,ComparisonData!A11,ComparisonData!$EF$1),0),5)</f>
        <v>0</v>
      </c>
      <c r="EG11" s="46" cm="1">
        <f t="array" ref="EG11">ROUND(IFERROR(INDEX(ArchiveResults!$F$5:$IX$116,ComparisonData!A11,ComparisonData!$EG$1),0),5)</f>
        <v>0</v>
      </c>
      <c r="EH11" s="45" cm="1">
        <f t="array" ref="EH11">IFERROR(INDEX(ArchiveResults!$F$5:$IX$116,ComparisonData!A11,ComparisonData!$EH$1),0)</f>
        <v>0</v>
      </c>
      <c r="EI11" s="56">
        <v>6</v>
      </c>
      <c r="EJ11" s="53" t="str">
        <f t="shared" si="21"/>
        <v>Bexley Local Studies and Archive Centre</v>
      </c>
      <c r="EK11" s="59">
        <f t="shared" si="179"/>
        <v>0</v>
      </c>
      <c r="EL11" s="59">
        <f t="shared" si="180"/>
        <v>0</v>
      </c>
      <c r="EM11" s="59">
        <f t="shared" si="181"/>
        <v>0</v>
      </c>
      <c r="EN11" s="59">
        <f t="shared" si="182"/>
        <v>0</v>
      </c>
      <c r="EO11" s="59">
        <f t="shared" si="183"/>
        <v>0</v>
      </c>
      <c r="EP11" s="58">
        <f t="shared" si="184"/>
        <v>0</v>
      </c>
      <c r="EQ11" s="45">
        <f t="shared" si="185"/>
        <v>42</v>
      </c>
      <c r="ER11" s="54">
        <f t="shared" si="22"/>
        <v>2.6439999999999997</v>
      </c>
      <c r="ES11" s="45">
        <f t="shared" si="186"/>
        <v>1</v>
      </c>
      <c r="ET11" s="45">
        <f t="shared" si="187"/>
        <v>2</v>
      </c>
      <c r="EU11" s="46" cm="1">
        <f t="array" ref="EU11">ROUND(IFERROR(INDEX(ArchiveResults!$F$5:$IX$116,ComparisonData!A11,ComparisonData!$EU$1),0),5)</f>
        <v>0</v>
      </c>
      <c r="EV11" s="46" cm="1">
        <f t="array" ref="EV11">ROUND(IFERROR(INDEX(ArchiveResults!$F$5:$IX$116,ComparisonData!A11,ComparisonData!$EV$1),0),5)</f>
        <v>0</v>
      </c>
      <c r="EW11" s="46" cm="1">
        <f t="array" ref="EW11">ROUND(IFERROR(INDEX(ArchiveResults!$F$5:$IX$116,ComparisonData!A11,ComparisonData!$EW$1),0),5)</f>
        <v>0</v>
      </c>
      <c r="EX11" s="46" cm="1">
        <f t="array" ref="EX11">ROUND(IFERROR(INDEX(ArchiveResults!$F$5:$IX$116,ComparisonData!A11,ComparisonData!$EX$1),0),5)</f>
        <v>0</v>
      </c>
      <c r="EY11" s="45" cm="1">
        <f t="array" ref="EY11">IFERROR(INDEX(ArchiveResults!$F$5:$IX$116,ComparisonData!A11,ComparisonData!$EY$1),0)</f>
        <v>0</v>
      </c>
      <c r="EZ11" s="56">
        <v>6</v>
      </c>
      <c r="FA11" s="53" t="str">
        <f t="shared" si="23"/>
        <v>Bexley Local Studies and Archive Centre</v>
      </c>
      <c r="FB11" s="59">
        <f t="shared" si="188"/>
        <v>0</v>
      </c>
      <c r="FC11" s="59">
        <f t="shared" si="189"/>
        <v>0</v>
      </c>
      <c r="FD11" s="59">
        <f t="shared" si="190"/>
        <v>0</v>
      </c>
      <c r="FE11" s="59">
        <f t="shared" si="191"/>
        <v>0</v>
      </c>
      <c r="FF11" s="59">
        <f t="shared" si="192"/>
        <v>0</v>
      </c>
      <c r="FG11" s="58">
        <f t="shared" si="193"/>
        <v>0</v>
      </c>
      <c r="FH11" s="45">
        <f t="shared" si="194"/>
        <v>42</v>
      </c>
      <c r="FI11" s="54">
        <f t="shared" si="24"/>
        <v>2.6439999999999997</v>
      </c>
      <c r="FJ11" s="45">
        <f t="shared" si="195"/>
        <v>1</v>
      </c>
      <c r="FK11" s="45">
        <f t="shared" si="196"/>
        <v>2</v>
      </c>
      <c r="FL11" s="46" cm="1">
        <f t="array" ref="FL11">ROUND(IFERROR(INDEX(ArchiveResults!$F$5:$IX$116,ComparisonData!A11,ComparisonData!$FL$1),0),5)</f>
        <v>0</v>
      </c>
      <c r="FM11" s="46" cm="1">
        <f t="array" ref="FM11">ROUND(IFERROR(INDEX(ArchiveResults!$F$5:$IX$116,ComparisonData!A11,ComparisonData!$FM$1),0),5)</f>
        <v>0</v>
      </c>
      <c r="FN11" s="46" cm="1">
        <f t="array" ref="FN11">ROUND(IFERROR(INDEX(ArchiveResults!$F$5:$IX$116,ComparisonData!A11,ComparisonData!$FN$1),0),5)</f>
        <v>0</v>
      </c>
      <c r="FO11" s="46" cm="1">
        <f t="array" ref="FO11">ROUND(IFERROR(INDEX(ArchiveResults!$F$5:$IX$116,ComparisonData!A11,ComparisonData!$FO$1),0),5)</f>
        <v>0</v>
      </c>
      <c r="FP11" s="45" cm="1">
        <f t="array" ref="FP11">IFERROR(INDEX(ArchiveResults!$F$5:$IX$116,ComparisonData!A11,ComparisonData!$FP$1),0)</f>
        <v>0</v>
      </c>
      <c r="FQ11" s="56">
        <v>6</v>
      </c>
      <c r="FR11" s="53" t="str">
        <f t="shared" si="25"/>
        <v>Bexley Local Studies and Archive Centre</v>
      </c>
      <c r="FS11" s="59">
        <f t="shared" si="197"/>
        <v>0</v>
      </c>
      <c r="FT11" s="59">
        <f t="shared" si="198"/>
        <v>0</v>
      </c>
      <c r="FU11" s="59">
        <f t="shared" si="199"/>
        <v>0</v>
      </c>
      <c r="FV11" s="59">
        <f t="shared" si="200"/>
        <v>0</v>
      </c>
      <c r="FW11" s="59">
        <f t="shared" si="201"/>
        <v>0</v>
      </c>
      <c r="FX11" s="58">
        <f t="shared" si="202"/>
        <v>0</v>
      </c>
      <c r="FY11" s="45">
        <f t="shared" si="203"/>
        <v>42</v>
      </c>
      <c r="FZ11" s="45">
        <f t="shared" si="26"/>
        <v>2.6439999999999997</v>
      </c>
      <c r="GA11" s="45">
        <f t="shared" si="204"/>
        <v>1</v>
      </c>
      <c r="GB11" s="45">
        <f t="shared" si="205"/>
        <v>2</v>
      </c>
      <c r="GC11" s="46" cm="1">
        <f t="array" ref="GC11">ROUND(IFERROR(INDEX(ArchiveResults!$F$5:$IX$116,ComparisonData!A11,ComparisonData!$GC$1),0),5)</f>
        <v>0</v>
      </c>
      <c r="GD11" s="46" cm="1">
        <f t="array" ref="GD11">ROUND(IFERROR(INDEX(ArchiveResults!$F$5:$IX$116,ComparisonData!A11,ComparisonData!$GD$1),0),5)</f>
        <v>0</v>
      </c>
      <c r="GE11" s="46" cm="1">
        <f t="array" ref="GE11">ROUND(IFERROR(INDEX(ArchiveResults!$F$5:$IX$116,ComparisonData!A11,ComparisonData!$GE$1),0),5)</f>
        <v>0</v>
      </c>
      <c r="GF11" s="46" cm="1">
        <f t="array" ref="GF11">ROUND(IFERROR(INDEX(ArchiveResults!$F$5:$IX$116,ComparisonData!A11,ComparisonData!$GF$1),0),5)</f>
        <v>0</v>
      </c>
      <c r="GG11" s="45" cm="1">
        <f t="array" ref="GG11">IFERROR(INDEX(ArchiveResults!$F$5:$IX$116,ComparisonData!A11,ComparisonData!$GG$1),0)</f>
        <v>0</v>
      </c>
      <c r="GH11" s="56">
        <v>6</v>
      </c>
      <c r="GI11" s="53" t="str">
        <f t="shared" si="27"/>
        <v>Bexley Local Studies and Archive Centre</v>
      </c>
      <c r="GJ11" s="59">
        <f t="shared" si="206"/>
        <v>0</v>
      </c>
      <c r="GK11" s="59">
        <f t="shared" si="207"/>
        <v>0</v>
      </c>
      <c r="GL11" s="59">
        <f t="shared" si="208"/>
        <v>0</v>
      </c>
      <c r="GM11" s="59">
        <f t="shared" si="209"/>
        <v>0</v>
      </c>
      <c r="GN11" s="59">
        <f t="shared" si="210"/>
        <v>0</v>
      </c>
      <c r="GO11" s="58">
        <f t="shared" si="211"/>
        <v>0</v>
      </c>
      <c r="GP11" s="45">
        <f t="shared" si="212"/>
        <v>42</v>
      </c>
      <c r="GQ11" s="45">
        <f t="shared" si="28"/>
        <v>2.6439999999999997</v>
      </c>
      <c r="GR11" s="45">
        <f t="shared" si="213"/>
        <v>1</v>
      </c>
      <c r="GS11" s="45">
        <f t="shared" si="214"/>
        <v>2</v>
      </c>
      <c r="GT11" s="46" cm="1">
        <f t="array" ref="GT11">ROUND(IFERROR(INDEX(ArchiveResults!$F$5:$IX$116,ComparisonData!A11,ComparisonData!$GT$1),0),5)</f>
        <v>0</v>
      </c>
      <c r="GU11" s="46" cm="1">
        <f t="array" ref="GU11">ROUND(IFERROR(INDEX(ArchiveResults!$F$5:$IX$116,ComparisonData!A11,ComparisonData!$GU$1),0),5)</f>
        <v>0</v>
      </c>
      <c r="GV11" s="46" cm="1">
        <f t="array" ref="GV11">ROUND(IFERROR(INDEX(ArchiveResults!$F$5:$IX$116,ComparisonData!A11,ComparisonData!$GV$1),0),5)</f>
        <v>0</v>
      </c>
      <c r="GW11" s="46" cm="1">
        <f t="array" ref="GW11">ROUND(IFERROR(INDEX(ArchiveResults!$F$5:$IX$116,ComparisonData!A11,ComparisonData!$GW$1),0),5)</f>
        <v>0</v>
      </c>
      <c r="GX11" s="45" cm="1">
        <f t="array" ref="GX11">IFERROR(INDEX(ArchiveResults!$F$5:$IX$116,ComparisonData!A11,ComparisonData!$GX$1),0)</f>
        <v>0</v>
      </c>
      <c r="GY11" s="56">
        <v>6</v>
      </c>
      <c r="GZ11" s="53" t="str">
        <f t="shared" si="29"/>
        <v>Bexley Local Studies and Archive Centre</v>
      </c>
      <c r="HA11" s="59">
        <f t="shared" si="215"/>
        <v>0</v>
      </c>
      <c r="HB11" s="59">
        <f t="shared" si="216"/>
        <v>0</v>
      </c>
      <c r="HC11" s="59">
        <f t="shared" si="217"/>
        <v>0</v>
      </c>
      <c r="HD11" s="59">
        <f t="shared" si="218"/>
        <v>0</v>
      </c>
      <c r="HE11" s="59">
        <f t="shared" si="219"/>
        <v>0</v>
      </c>
      <c r="HF11" s="58">
        <f t="shared" si="220"/>
        <v>0</v>
      </c>
      <c r="HG11" s="45">
        <f t="shared" si="221"/>
        <v>42</v>
      </c>
      <c r="HH11" s="45">
        <f t="shared" si="30"/>
        <v>2.6439999999999997</v>
      </c>
      <c r="HI11" s="45">
        <f t="shared" si="222"/>
        <v>1</v>
      </c>
      <c r="HJ11" s="45">
        <f t="shared" si="223"/>
        <v>2</v>
      </c>
      <c r="HK11" s="46" cm="1">
        <f t="array" ref="HK11">ROUND(IFERROR(INDEX(ArchiveResults!$F$5:$IX$116,ComparisonData!A11,ComparisonData!$HK$1),0),5)</f>
        <v>0</v>
      </c>
      <c r="HL11" s="46" cm="1">
        <f t="array" ref="HL11">ROUND(IFERROR(INDEX(ArchiveResults!$F$5:$IX$116,ComparisonData!A11,ComparisonData!$HL$1),0),5)</f>
        <v>0</v>
      </c>
      <c r="HM11" s="46" cm="1">
        <f t="array" ref="HM11">ROUND(IFERROR(INDEX(ArchiveResults!$F$5:$IX$116,ComparisonData!A11,ComparisonData!$HM$1),0),5)</f>
        <v>0</v>
      </c>
      <c r="HN11" s="46" cm="1">
        <f t="array" ref="HN11">ROUND(IFERROR(INDEX(ArchiveResults!$F$5:$IX$116,ComparisonData!A11,ComparisonData!$HN$1),0),5)</f>
        <v>0</v>
      </c>
      <c r="HO11" s="45" cm="1">
        <f t="array" ref="HO11">IFERROR(INDEX(ArchiveResults!$F$5:$IX$116,ComparisonData!A11,ComparisonData!$HO$1),0)</f>
        <v>0</v>
      </c>
      <c r="HP11" s="56">
        <v>6</v>
      </c>
      <c r="HQ11" s="53" t="str">
        <f t="shared" si="31"/>
        <v>Bexley Local Studies and Archive Centre</v>
      </c>
      <c r="HR11" s="59">
        <f t="shared" si="32"/>
        <v>0</v>
      </c>
      <c r="HS11" s="59">
        <f t="shared" si="33"/>
        <v>0</v>
      </c>
      <c r="HT11" s="59">
        <f t="shared" si="34"/>
        <v>0</v>
      </c>
      <c r="HU11" s="59">
        <f t="shared" si="35"/>
        <v>0</v>
      </c>
      <c r="HV11" s="59">
        <f t="shared" si="36"/>
        <v>0</v>
      </c>
      <c r="HW11" s="58">
        <f t="shared" si="224"/>
        <v>0</v>
      </c>
      <c r="HX11" s="45">
        <f t="shared" si="225"/>
        <v>42</v>
      </c>
      <c r="HY11" s="45">
        <f t="shared" si="37"/>
        <v>2.6439999999999997</v>
      </c>
      <c r="HZ11" s="45">
        <f t="shared" si="226"/>
        <v>1</v>
      </c>
      <c r="IA11" s="45">
        <f t="shared" si="227"/>
        <v>2</v>
      </c>
      <c r="IB11" s="45">
        <f t="shared" si="228"/>
        <v>0</v>
      </c>
      <c r="IC11" s="46" cm="1">
        <f t="array" ref="IC11">ROUND(IFERROR(INDEX(ArchiveResults!$F$5:$IX$116,ComparisonData!A11,ComparisonData!$IC$1),0),5)</f>
        <v>0</v>
      </c>
      <c r="ID11" s="46" cm="1">
        <f t="array" ref="ID11">ROUND(IFERROR(INDEX(ArchiveResults!$F$5:$IX$116,ComparisonData!A11,ComparisonData!$ID$1),0),5)</f>
        <v>0</v>
      </c>
      <c r="IE11" s="46" cm="1">
        <f t="array" ref="IE11">ROUND(IFERROR(INDEX(ArchiveResults!$F$5:$IX$116,ComparisonData!A11,ComparisonData!$IE$1),0),5)</f>
        <v>0</v>
      </c>
      <c r="IF11" s="46" cm="1">
        <f t="array" ref="IF11">ROUND(IFERROR(INDEX(ArchiveResults!$F$5:$IX$116,ComparisonData!A11,ComparisonData!$IF$1),0),5)</f>
        <v>0</v>
      </c>
      <c r="IG11" s="45" cm="1">
        <f t="array" ref="IG11">IFERROR(INDEX(ArchiveResults!$F$5:$IX$116,ComparisonData!A11,ComparisonData!$IG$1),0)</f>
        <v>0</v>
      </c>
      <c r="IH11" s="56">
        <v>6</v>
      </c>
      <c r="II11" s="53" t="str">
        <f t="shared" si="38"/>
        <v>Bexley Local Studies and Archive Centre</v>
      </c>
      <c r="IJ11" s="59">
        <f t="shared" si="229"/>
        <v>0</v>
      </c>
      <c r="IK11" s="59">
        <f t="shared" si="230"/>
        <v>0</v>
      </c>
      <c r="IL11" s="59">
        <f t="shared" si="231"/>
        <v>0</v>
      </c>
      <c r="IM11" s="59">
        <f t="shared" si="232"/>
        <v>0</v>
      </c>
      <c r="IN11" s="59">
        <f t="shared" si="233"/>
        <v>0</v>
      </c>
      <c r="IO11" s="58">
        <f t="shared" si="234"/>
        <v>0</v>
      </c>
      <c r="IP11" s="45">
        <f t="shared" si="235"/>
        <v>42</v>
      </c>
      <c r="IQ11" s="45">
        <f t="shared" si="39"/>
        <v>2.6439999999999997</v>
      </c>
      <c r="IR11" s="45">
        <f t="shared" si="236"/>
        <v>1</v>
      </c>
      <c r="IS11" s="45">
        <f t="shared" si="237"/>
        <v>2</v>
      </c>
      <c r="IT11" s="46">
        <f t="shared" si="238"/>
        <v>0</v>
      </c>
      <c r="IU11" s="46" cm="1">
        <f t="array" ref="IU11">ROUND(IFERROR(INDEX(ArchiveResults!$F$5:$IX$116,ComparisonData!A11,ComparisonData!$IU$1),0),5)</f>
        <v>0</v>
      </c>
      <c r="IV11" s="46" cm="1">
        <f t="array" ref="IV11">ROUND(IFERROR(INDEX(ArchiveResults!$F$5:$IX$116,ComparisonData!A11,ComparisonData!$IV$1),0),5)</f>
        <v>0</v>
      </c>
      <c r="IW11" s="46" cm="1">
        <f t="array" ref="IW11">ROUND(IFERROR(INDEX(ArchiveResults!$F$5:$IX$116,ComparisonData!A11,ComparisonData!$IW$1),0),5)</f>
        <v>0</v>
      </c>
      <c r="IX11" s="46" cm="1">
        <f t="array" ref="IX11">ROUND(IFERROR(INDEX(ArchiveResults!$F$5:$IX$116,ComparisonData!A11,ComparisonData!$IX$1),0),5)</f>
        <v>0</v>
      </c>
      <c r="IY11" s="45" cm="1">
        <f t="array" ref="IY11">IFERROR(INDEX(ArchiveResults!$F$5:$IX$116,ComparisonData!A11,ComparisonData!$IY$1),0)</f>
        <v>0</v>
      </c>
      <c r="IZ11" s="56">
        <v>6</v>
      </c>
      <c r="JA11" s="53" t="str">
        <f t="shared" si="40"/>
        <v>Bexley Local Studies and Archive Centre</v>
      </c>
      <c r="JB11" s="59">
        <f t="shared" si="239"/>
        <v>0</v>
      </c>
      <c r="JC11" s="59">
        <f t="shared" si="240"/>
        <v>0</v>
      </c>
      <c r="JD11" s="59">
        <f t="shared" si="241"/>
        <v>0</v>
      </c>
      <c r="JE11" s="59">
        <f t="shared" si="242"/>
        <v>0</v>
      </c>
      <c r="JF11" s="59">
        <f t="shared" si="243"/>
        <v>0</v>
      </c>
      <c r="JG11" s="58">
        <f t="shared" si="244"/>
        <v>0</v>
      </c>
      <c r="JH11" s="45">
        <f t="shared" si="245"/>
        <v>42</v>
      </c>
      <c r="JI11" s="45">
        <f t="shared" si="41"/>
        <v>2.6439999999999997</v>
      </c>
      <c r="JJ11" s="45">
        <f t="shared" si="246"/>
        <v>1</v>
      </c>
      <c r="JK11" s="45">
        <f t="shared" si="247"/>
        <v>2</v>
      </c>
      <c r="JL11" s="45">
        <f t="shared" si="248"/>
        <v>0</v>
      </c>
      <c r="JM11" s="46" cm="1">
        <f t="array" ref="JM11">ROUND(IFERROR(INDEX(ArchiveResults!$F$5:$IX$116,ComparisonData!A11,ComparisonData!$JM$1),0),5)</f>
        <v>0</v>
      </c>
      <c r="JN11" s="46" cm="1">
        <f t="array" ref="JN11">ROUND(IFERROR(INDEX(ArchiveResults!$F$5:$IX$116,ComparisonData!A11,ComparisonData!$JN$1),0),5)</f>
        <v>0</v>
      </c>
      <c r="JO11" s="46" cm="1">
        <f t="array" ref="JO11">ROUND(IFERROR(INDEX(ArchiveResults!$F$5:$IX$116,ComparisonData!A11,ComparisonData!$JO$1),0),5)</f>
        <v>0</v>
      </c>
      <c r="JP11" s="46" cm="1">
        <f t="array" ref="JP11">ROUND(IFERROR(INDEX(ArchiveResults!$F$5:$IX$116,ComparisonData!A11,ComparisonData!$JP$1),0),5)</f>
        <v>0</v>
      </c>
      <c r="JQ11" s="45" cm="1">
        <f t="array" ref="JQ11">IFERROR(INDEX(ArchiveResults!$F$5:$IX$116,ComparisonData!A11,ComparisonData!$JQ$1),0)</f>
        <v>0</v>
      </c>
      <c r="JR11" s="56">
        <v>6</v>
      </c>
      <c r="JS11" s="53" t="str">
        <f t="shared" si="42"/>
        <v>Bexley Local Studies and Archive Centre</v>
      </c>
      <c r="JT11" s="59">
        <f t="shared" si="249"/>
        <v>0</v>
      </c>
      <c r="JU11" s="59">
        <f t="shared" si="250"/>
        <v>0</v>
      </c>
      <c r="JV11" s="59">
        <f t="shared" si="251"/>
        <v>0</v>
      </c>
      <c r="JW11" s="59">
        <f t="shared" si="252"/>
        <v>0</v>
      </c>
      <c r="JX11" s="59">
        <f t="shared" si="253"/>
        <v>0</v>
      </c>
      <c r="JY11" s="58">
        <f t="shared" si="254"/>
        <v>0</v>
      </c>
      <c r="JZ11" s="45">
        <f t="shared" si="255"/>
        <v>42</v>
      </c>
      <c r="KA11" s="45">
        <f t="shared" si="43"/>
        <v>2.6439999999999997</v>
      </c>
      <c r="KB11" s="45">
        <f t="shared" si="256"/>
        <v>1</v>
      </c>
      <c r="KC11" s="45">
        <f t="shared" si="257"/>
        <v>2</v>
      </c>
      <c r="KD11" s="45">
        <f t="shared" si="258"/>
        <v>0</v>
      </c>
      <c r="KE11" s="46" cm="1">
        <f t="array" ref="KE11">ROUND(IFERROR(INDEX(ArchiveResults!$F$5:$IX$116,ComparisonData!A11,ComparisonData!$KE$1),0),5)</f>
        <v>0</v>
      </c>
      <c r="KF11" s="46" cm="1">
        <f t="array" ref="KF11">ROUND(IFERROR(INDEX(ArchiveResults!$F$5:$IX$116,ComparisonData!A11,ComparisonData!$KF$1),0),5)</f>
        <v>0</v>
      </c>
      <c r="KG11" s="46" cm="1">
        <f t="array" ref="KG11">ROUND(IFERROR(INDEX(ArchiveResults!$F$5:$IX$116,ComparisonData!A11,ComparisonData!$KG$1),0),5)</f>
        <v>0</v>
      </c>
      <c r="KH11" s="46" cm="1">
        <f t="array" ref="KH11">ROUND(IFERROR(INDEX(ArchiveResults!$F$5:$IX$116,ComparisonData!A11,ComparisonData!$KH$1),0),5)</f>
        <v>0</v>
      </c>
      <c r="KI11" s="45" cm="1">
        <f t="array" ref="KI11">IFERROR(INDEX(ArchiveResults!$F$5:$IX$116,ComparisonData!A11,ComparisonData!$KI$1),0)</f>
        <v>0</v>
      </c>
      <c r="KJ11" s="56">
        <v>6</v>
      </c>
      <c r="KK11" s="53" t="str">
        <f t="shared" si="44"/>
        <v>Bexley Local Studies and Archive Centre</v>
      </c>
      <c r="KL11" s="59">
        <f t="shared" si="259"/>
        <v>0</v>
      </c>
      <c r="KM11" s="59">
        <f t="shared" si="260"/>
        <v>0</v>
      </c>
      <c r="KN11" s="59">
        <f t="shared" si="261"/>
        <v>0</v>
      </c>
      <c r="KO11" s="59">
        <f t="shared" si="262"/>
        <v>0</v>
      </c>
      <c r="KP11" s="59">
        <f t="shared" si="263"/>
        <v>0</v>
      </c>
      <c r="KQ11" s="58">
        <f t="shared" si="264"/>
        <v>0</v>
      </c>
      <c r="KR11" s="45">
        <f t="shared" si="265"/>
        <v>42</v>
      </c>
      <c r="KS11" s="45">
        <f t="shared" si="45"/>
        <v>2.6439999999999997</v>
      </c>
      <c r="KT11" s="45">
        <f t="shared" si="266"/>
        <v>1</v>
      </c>
      <c r="KU11" s="45">
        <f t="shared" si="267"/>
        <v>2</v>
      </c>
      <c r="KV11" s="45">
        <f t="shared" si="268"/>
        <v>0</v>
      </c>
      <c r="KW11" s="46" cm="1">
        <f t="array" ref="KW11">ROUND(IFERROR(INDEX(ArchiveResults!$F$5:$IX$116,ComparisonData!A11,ComparisonData!$KW$1),0),5)</f>
        <v>0</v>
      </c>
      <c r="KX11" s="46" cm="1">
        <f t="array" ref="KX11">ROUND(IFERROR(INDEX(ArchiveResults!$F$5:$IX$116,ComparisonData!A11,ComparisonData!$KX$1),0),5)</f>
        <v>0</v>
      </c>
      <c r="KY11" s="46" cm="1">
        <f t="array" ref="KY11">ROUND(IFERROR(INDEX(ArchiveResults!$F$5:$IX$116,ComparisonData!A11,ComparisonData!$KY$1),0),5)</f>
        <v>0</v>
      </c>
      <c r="KZ11" s="46" cm="1">
        <f t="array" ref="KZ11">ROUND(IFERROR(INDEX(ArchiveResults!$F$5:$IX$116,ComparisonData!A11,ComparisonData!$KZ$1),0),5)</f>
        <v>0</v>
      </c>
      <c r="LA11" s="45" cm="1">
        <f t="array" ref="LA11">IFERROR(INDEX(ArchiveResults!$F$5:$IX$116,ComparisonData!A11,ComparisonData!$LA$1),0)</f>
        <v>0</v>
      </c>
      <c r="LB11" s="56">
        <v>6</v>
      </c>
      <c r="LC11" s="53" t="str">
        <f t="shared" si="46"/>
        <v>Bexley Local Studies and Archive Centre</v>
      </c>
      <c r="LD11" s="59">
        <f t="shared" si="269"/>
        <v>0</v>
      </c>
      <c r="LE11" s="59">
        <f t="shared" si="270"/>
        <v>0</v>
      </c>
      <c r="LF11" s="59">
        <f t="shared" si="271"/>
        <v>0</v>
      </c>
      <c r="LG11" s="59">
        <f t="shared" si="272"/>
        <v>0</v>
      </c>
      <c r="LH11" s="59">
        <f t="shared" si="273"/>
        <v>0</v>
      </c>
      <c r="LI11" s="58">
        <f t="shared" si="274"/>
        <v>0</v>
      </c>
      <c r="LJ11" s="45">
        <f t="shared" si="275"/>
        <v>42</v>
      </c>
      <c r="LK11" s="45">
        <f t="shared" si="47"/>
        <v>2.6439999999999997</v>
      </c>
      <c r="LL11" s="45">
        <f t="shared" si="276"/>
        <v>1</v>
      </c>
      <c r="LM11" s="45">
        <f t="shared" si="277"/>
        <v>2</v>
      </c>
      <c r="LN11" s="45">
        <f t="shared" si="278"/>
        <v>0</v>
      </c>
      <c r="LO11" s="46" cm="1">
        <f t="array" ref="LO11">ROUND(IFERROR(INDEX(ArchiveResults!$F$5:$IX$116,ComparisonData!A11,ComparisonData!$LO$1),0),5)</f>
        <v>0</v>
      </c>
      <c r="LP11" s="46" cm="1">
        <f t="array" ref="LP11">ROUND(IFERROR(INDEX(ArchiveResults!$F$5:$IX$116,ComparisonData!A11,ComparisonData!$LP$1),0),5)</f>
        <v>0</v>
      </c>
      <c r="LQ11" s="46" cm="1">
        <f t="array" ref="LQ11">ROUND(IFERROR(INDEX(ArchiveResults!$F$5:$IX$116,ComparisonData!A11,ComparisonData!$LQ$1),0),5)</f>
        <v>0</v>
      </c>
      <c r="LR11" s="46" cm="1">
        <f t="array" ref="LR11">ROUND(IFERROR(INDEX(ArchiveResults!$F$5:$IX$116,ComparisonData!A11,ComparisonData!$LR$1),0),5)</f>
        <v>0</v>
      </c>
      <c r="LS11" s="45" cm="1">
        <f t="array" ref="LS11">IFERROR(INDEX(ArchiveResults!$F$5:$IX$116,ComparisonData!A11,ComparisonData!$LS$1),0)</f>
        <v>0</v>
      </c>
      <c r="LT11" s="56">
        <v>6</v>
      </c>
      <c r="LU11" s="53" t="str">
        <f t="shared" si="48"/>
        <v>Bexley Local Studies and Archive Centre</v>
      </c>
      <c r="LV11" s="59">
        <f t="shared" si="279"/>
        <v>0</v>
      </c>
      <c r="LW11" s="59">
        <f t="shared" si="280"/>
        <v>0</v>
      </c>
      <c r="LX11" s="59">
        <f t="shared" si="281"/>
        <v>0</v>
      </c>
      <c r="LY11" s="59">
        <f t="shared" si="282"/>
        <v>0</v>
      </c>
      <c r="LZ11" s="59">
        <f t="shared" si="283"/>
        <v>0</v>
      </c>
      <c r="MA11" s="58">
        <f t="shared" si="284"/>
        <v>0</v>
      </c>
      <c r="MB11" s="45">
        <f t="shared" si="285"/>
        <v>42</v>
      </c>
      <c r="MC11" s="45">
        <f t="shared" si="49"/>
        <v>2.6439999999999997</v>
      </c>
      <c r="MD11" s="45">
        <f t="shared" si="286"/>
        <v>1</v>
      </c>
      <c r="ME11" s="45">
        <f t="shared" si="287"/>
        <v>2</v>
      </c>
      <c r="MF11" s="45">
        <f t="shared" si="288"/>
        <v>0</v>
      </c>
      <c r="MG11" s="46" cm="1">
        <f t="array" ref="MG11">ROUND(IFERROR(INDEX(ArchiveResults!$F$5:$IX$116,ComparisonData!A11,ComparisonData!$MG$1),0),5)</f>
        <v>0</v>
      </c>
      <c r="MH11" s="46" cm="1">
        <f t="array" ref="MH11">ROUND(IFERROR(INDEX(ArchiveResults!$F$5:$IX$116,ComparisonData!A11,ComparisonData!$MH$1),0),5)</f>
        <v>0</v>
      </c>
      <c r="MI11" s="46" cm="1">
        <f t="array" ref="MI11">ROUND(IFERROR(INDEX(ArchiveResults!$F$5:$IX$116,ComparisonData!A11,ComparisonData!$MI$1),0),5)</f>
        <v>0</v>
      </c>
      <c r="MJ11" s="46" cm="1">
        <f t="array" ref="MJ11">ROUND(IFERROR(INDEX(ArchiveResults!$F$5:$IX$116,ComparisonData!A11,ComparisonData!$MJ$1),0),5)</f>
        <v>0</v>
      </c>
      <c r="MK11" s="45" cm="1">
        <f t="array" ref="MK11">IFERROR(INDEX(ArchiveResults!$F$5:$IX$116,ComparisonData!A11,ComparisonData!$MK$1),0)</f>
        <v>0</v>
      </c>
      <c r="ML11" s="56">
        <v>6</v>
      </c>
      <c r="MM11" s="53" t="str">
        <f t="shared" si="50"/>
        <v>Bexley Local Studies and Archive Centre</v>
      </c>
      <c r="MN11" s="59">
        <f t="shared" si="289"/>
        <v>0</v>
      </c>
      <c r="MO11" s="59">
        <f t="shared" si="290"/>
        <v>0</v>
      </c>
      <c r="MP11" s="59">
        <f t="shared" si="291"/>
        <v>0</v>
      </c>
      <c r="MQ11" s="59">
        <f t="shared" si="292"/>
        <v>0</v>
      </c>
      <c r="MR11" s="59">
        <f t="shared" si="293"/>
        <v>0</v>
      </c>
      <c r="MS11" s="58">
        <f t="shared" si="294"/>
        <v>0</v>
      </c>
      <c r="MT11" s="45">
        <f t="shared" si="295"/>
        <v>42</v>
      </c>
      <c r="MU11" s="45">
        <f t="shared" si="51"/>
        <v>2.6439999999999997</v>
      </c>
      <c r="MV11" s="45">
        <f t="shared" si="296"/>
        <v>1</v>
      </c>
      <c r="MW11" s="45">
        <f t="shared" si="297"/>
        <v>2</v>
      </c>
      <c r="MX11" s="45">
        <f t="shared" si="298"/>
        <v>0</v>
      </c>
      <c r="MY11" s="46" cm="1">
        <f t="array" ref="MY11">ROUND(IFERROR(INDEX(ArchiveResults!$F$5:$IX$116,ComparisonData!A11,ComparisonData!$MY$1),0),5)</f>
        <v>0</v>
      </c>
      <c r="MZ11" s="46" cm="1">
        <f t="array" ref="MZ11">ROUND(IFERROR(INDEX(ArchiveResults!$F$5:$IX$116,ComparisonData!A11,ComparisonData!$MZ$1),0),5)</f>
        <v>0</v>
      </c>
      <c r="NA11" s="46" cm="1">
        <f t="array" ref="NA11">ROUND(IFERROR(INDEX(ArchiveResults!$F$5:$IX$116,ComparisonData!A11,ComparisonData!$NA$1),0),5)</f>
        <v>0</v>
      </c>
      <c r="NB11" s="46" cm="1">
        <f t="array" ref="NB11">ROUND(IFERROR(INDEX(ArchiveResults!$F$5:$IX$116,ComparisonData!A11,ComparisonData!$NB$1),0),5)</f>
        <v>0</v>
      </c>
      <c r="NC11" s="45" cm="1">
        <f t="array" ref="NC11">IFERROR(INDEX(ArchiveResults!$F$5:$IX$116,ComparisonData!A11,ComparisonData!$NC$1),0)</f>
        <v>0</v>
      </c>
      <c r="ND11" s="56">
        <v>6</v>
      </c>
      <c r="NE11" s="53" t="str">
        <f t="shared" si="52"/>
        <v>Bexley Local Studies and Archive Centre</v>
      </c>
      <c r="NF11" s="59">
        <f t="shared" si="299"/>
        <v>0</v>
      </c>
      <c r="NG11" s="59">
        <f t="shared" si="300"/>
        <v>0</v>
      </c>
      <c r="NH11" s="59">
        <f t="shared" si="301"/>
        <v>0</v>
      </c>
      <c r="NI11" s="59">
        <f t="shared" si="302"/>
        <v>0</v>
      </c>
      <c r="NJ11" s="59">
        <f t="shared" si="303"/>
        <v>0</v>
      </c>
      <c r="NK11" s="58">
        <f t="shared" si="304"/>
        <v>0</v>
      </c>
      <c r="NL11" s="45">
        <f t="shared" si="305"/>
        <v>42</v>
      </c>
      <c r="NM11" s="45">
        <f t="shared" si="53"/>
        <v>2.6439999999999997</v>
      </c>
      <c r="NN11" s="45">
        <f t="shared" si="306"/>
        <v>1</v>
      </c>
      <c r="NO11" s="45">
        <f t="shared" si="307"/>
        <v>2</v>
      </c>
      <c r="NP11" s="46" cm="1">
        <f t="array" ref="NP11">ROUND(IFERROR(INDEX(ArchiveResults!$F$5:$IX$116,ComparisonData!A11,ComparisonData!$NP$1),0),5)</f>
        <v>0</v>
      </c>
      <c r="NQ11" s="46" cm="1">
        <f t="array" ref="NQ11">ROUND(IFERROR(INDEX(ArchiveResults!$F$5:$IX$116,ComparisonData!A11,ComparisonData!$NQ$1),0),5)</f>
        <v>0</v>
      </c>
      <c r="NR11" s="46" cm="1">
        <f t="array" ref="NR11">ROUND(IFERROR(INDEX(ArchiveResults!$F$5:$IX$116,ComparisonData!A11,ComparisonData!$NR$1),0),5)</f>
        <v>0</v>
      </c>
      <c r="NS11" s="46" cm="1">
        <f t="array" ref="NS11">ROUND(IFERROR(INDEX(ArchiveResults!$F$5:$IX$116,ComparisonData!A11,ComparisonData!$NS$1),0),5)</f>
        <v>0</v>
      </c>
      <c r="NT11" s="45" cm="1">
        <f t="array" ref="NT11">IFERROR(INDEX(ArchiveResults!$F$5:$IX$116,ComparisonData!A11,ComparisonData!$NT$1),0)</f>
        <v>0</v>
      </c>
      <c r="NU11" s="56">
        <v>6</v>
      </c>
      <c r="NV11" s="53" t="str">
        <f t="shared" si="54"/>
        <v>Bexley Local Studies and Archive Centre</v>
      </c>
      <c r="NW11" s="59">
        <f t="shared" si="308"/>
        <v>0</v>
      </c>
      <c r="NX11" s="59">
        <f t="shared" si="309"/>
        <v>0</v>
      </c>
      <c r="NY11" s="59">
        <f t="shared" si="310"/>
        <v>0</v>
      </c>
      <c r="NZ11" s="59">
        <f t="shared" si="311"/>
        <v>0</v>
      </c>
      <c r="OA11" s="59">
        <f t="shared" si="312"/>
        <v>0</v>
      </c>
      <c r="OB11" s="58">
        <f t="shared" si="313"/>
        <v>0</v>
      </c>
      <c r="OC11" s="45">
        <f t="shared" si="314"/>
        <v>42</v>
      </c>
      <c r="OD11" s="45">
        <f t="shared" si="55"/>
        <v>2.6439999999999997</v>
      </c>
      <c r="OE11" s="45">
        <f t="shared" si="315"/>
        <v>1</v>
      </c>
      <c r="OF11" s="45">
        <f t="shared" si="316"/>
        <v>2</v>
      </c>
      <c r="OG11" s="46">
        <f t="shared" si="317"/>
        <v>0</v>
      </c>
      <c r="OH11" s="46" cm="1">
        <f t="array" ref="OH11">ROUND(IFERROR(INDEX(ArchiveResults!$F$5:$IX$116,ComparisonData!A11,ComparisonData!$OH$1),0),5)</f>
        <v>0</v>
      </c>
      <c r="OI11" s="46" cm="1">
        <f t="array" ref="OI11">ROUND(IFERROR(INDEX(ArchiveResults!$F$5:$IX$116,ComparisonData!A11,ComparisonData!$OI$1),0),5)</f>
        <v>0</v>
      </c>
      <c r="OJ11" s="46" cm="1">
        <f t="array" ref="OJ11">ROUND(IFERROR(INDEX(ArchiveResults!$F$5:$IX$116,ComparisonData!A11,ComparisonData!$OJ$1),0),5)</f>
        <v>0</v>
      </c>
      <c r="OK11" s="46" cm="1">
        <f t="array" ref="OK11">ROUND(IFERROR(INDEX(ArchiveResults!$F$5:$IX$116,ComparisonData!A11,ComparisonData!$OK$1),0),5)</f>
        <v>0</v>
      </c>
      <c r="OL11" s="45" cm="1">
        <f t="array" ref="OL11">IFERROR(INDEX(ArchiveResults!$F$5:$IX$116,ComparisonData!A11,ComparisonData!$OL$1),0)</f>
        <v>0</v>
      </c>
      <c r="OM11" s="56">
        <v>6</v>
      </c>
      <c r="ON11" s="53" t="str">
        <f t="shared" si="56"/>
        <v>Bexley Local Studies and Archive Centre</v>
      </c>
      <c r="OO11" s="59">
        <f t="shared" si="318"/>
        <v>0</v>
      </c>
      <c r="OP11" s="59">
        <f t="shared" si="319"/>
        <v>0</v>
      </c>
      <c r="OQ11" s="59">
        <f t="shared" si="320"/>
        <v>0</v>
      </c>
      <c r="OR11" s="59">
        <f t="shared" si="321"/>
        <v>0</v>
      </c>
      <c r="OS11" s="59">
        <f t="shared" si="322"/>
        <v>0</v>
      </c>
      <c r="OT11" s="58">
        <f t="shared" si="323"/>
        <v>0</v>
      </c>
      <c r="OU11" s="45">
        <f t="shared" si="324"/>
        <v>42</v>
      </c>
      <c r="OV11" s="45">
        <f t="shared" si="57"/>
        <v>2.6439999999999997</v>
      </c>
      <c r="OW11" s="45">
        <f t="shared" si="325"/>
        <v>1</v>
      </c>
      <c r="OX11" s="45">
        <f t="shared" si="326"/>
        <v>2</v>
      </c>
      <c r="OY11" s="45">
        <f t="shared" si="327"/>
        <v>0</v>
      </c>
      <c r="OZ11" s="46" cm="1">
        <f t="array" ref="OZ11">ROUND(IFERROR(INDEX(ArchiveResults!$F$5:$IX$116,ComparisonData!A11,ComparisonData!$OZ$1),0),5)</f>
        <v>0</v>
      </c>
      <c r="PA11" s="46" cm="1">
        <f t="array" ref="PA11">ROUND(IFERROR(INDEX(ArchiveResults!$F$5:$IX$116,ComparisonData!A11,ComparisonData!$PA$1),0),5)</f>
        <v>0</v>
      </c>
      <c r="PB11" s="46" cm="1">
        <f t="array" ref="PB11">ROUND(IFERROR(INDEX(ArchiveResults!$F$5:$IX$116,ComparisonData!A11,ComparisonData!$PB$1),0),5)</f>
        <v>0</v>
      </c>
      <c r="PC11" s="46" cm="1">
        <f t="array" ref="PC11">ROUND(IFERROR(INDEX(ArchiveResults!$F$5:$IX$116,ComparisonData!A11,ComparisonData!$PC$1),0),5)</f>
        <v>0</v>
      </c>
      <c r="PD11" s="45" cm="1">
        <f t="array" ref="PD11">IFERROR(INDEX(ArchiveResults!$F$5:$IX$116,ComparisonData!A11,ComparisonData!$PD$1),0)</f>
        <v>0</v>
      </c>
      <c r="PE11" s="56">
        <v>6</v>
      </c>
      <c r="PF11" s="53" t="str">
        <f t="shared" si="58"/>
        <v>Bexley Local Studies and Archive Centre</v>
      </c>
      <c r="PG11" s="59">
        <f t="shared" si="328"/>
        <v>0</v>
      </c>
      <c r="PH11" s="59">
        <f t="shared" si="329"/>
        <v>0</v>
      </c>
      <c r="PI11" s="59">
        <f t="shared" si="330"/>
        <v>0</v>
      </c>
      <c r="PJ11" s="59">
        <f t="shared" si="331"/>
        <v>0</v>
      </c>
      <c r="PK11" s="59">
        <f t="shared" si="332"/>
        <v>0</v>
      </c>
      <c r="PL11" s="58">
        <f t="shared" si="333"/>
        <v>0</v>
      </c>
      <c r="PM11" s="45">
        <f t="shared" si="334"/>
        <v>42</v>
      </c>
      <c r="PN11" s="45">
        <f t="shared" si="59"/>
        <v>2.6439999999999997</v>
      </c>
      <c r="PO11" s="45">
        <f t="shared" si="335"/>
        <v>1</v>
      </c>
      <c r="PP11" s="45">
        <f t="shared" si="336"/>
        <v>2</v>
      </c>
      <c r="PQ11" s="45">
        <f t="shared" si="337"/>
        <v>0</v>
      </c>
      <c r="PR11" s="46" cm="1">
        <f t="array" ref="PR11">ROUND(IFERROR(INDEX(ArchiveResults!$F$5:$IX$116,ComparisonData!A11,ComparisonData!$PR$1),0),5)</f>
        <v>0</v>
      </c>
      <c r="PS11" s="46" cm="1">
        <f t="array" ref="PS11">ROUND(IFERROR(INDEX(ArchiveResults!$F$5:$IX$116,ComparisonData!A11,ComparisonData!$PS$1),0),5)</f>
        <v>0</v>
      </c>
      <c r="PT11" s="46" cm="1">
        <f t="array" ref="PT11">ROUND(IFERROR(INDEX(ArchiveResults!$F$5:$IX$116,ComparisonData!A11,ComparisonData!$PT$1),0),5)</f>
        <v>0</v>
      </c>
      <c r="PU11" s="46" cm="1">
        <f t="array" ref="PU11">ROUND(IFERROR(INDEX(ArchiveResults!$F$5:$IX$116,ComparisonData!A11,ComparisonData!$PU$1),0),5)</f>
        <v>0</v>
      </c>
      <c r="PV11" s="45" cm="1">
        <f t="array" ref="PV11">IFERROR(INDEX(ArchiveResults!$F$5:$IX$116,ComparisonData!A11,ComparisonData!$PV$1),0)</f>
        <v>0</v>
      </c>
      <c r="PW11" s="56">
        <v>6</v>
      </c>
      <c r="PX11" s="53" t="str">
        <f t="shared" si="60"/>
        <v>Bexley Local Studies and Archive Centre</v>
      </c>
      <c r="PY11" s="59">
        <f t="shared" si="338"/>
        <v>0</v>
      </c>
      <c r="PZ11" s="59">
        <f t="shared" si="339"/>
        <v>0</v>
      </c>
      <c r="QA11" s="59">
        <f t="shared" si="340"/>
        <v>0</v>
      </c>
      <c r="QB11" s="59">
        <f t="shared" si="341"/>
        <v>0</v>
      </c>
      <c r="QC11" s="59">
        <f t="shared" si="342"/>
        <v>0</v>
      </c>
      <c r="QD11" s="58">
        <f t="shared" si="343"/>
        <v>0</v>
      </c>
      <c r="QE11" s="45">
        <f t="shared" si="344"/>
        <v>42</v>
      </c>
      <c r="QF11" s="45">
        <f t="shared" si="61"/>
        <v>2.6439999999999997</v>
      </c>
      <c r="QG11" s="45">
        <f t="shared" si="345"/>
        <v>1</v>
      </c>
      <c r="QH11" s="45">
        <f t="shared" si="346"/>
        <v>2</v>
      </c>
      <c r="QI11" s="45">
        <f t="shared" si="347"/>
        <v>0</v>
      </c>
      <c r="QJ11" s="46" cm="1">
        <f t="array" ref="QJ11">ROUND(IFERROR(INDEX(ArchiveResults!$F$5:$IX$116,ComparisonData!A11,ComparisonData!$QJ$1),0),5)</f>
        <v>0</v>
      </c>
      <c r="QK11" s="46" cm="1">
        <f t="array" ref="QK11">ROUND(IFERROR(INDEX(ArchiveResults!$F$5:$IX$116,ComparisonData!A11,ComparisonData!$QK$1),0),5)</f>
        <v>0</v>
      </c>
      <c r="QL11" s="46" cm="1">
        <f t="array" ref="QL11">ROUND(IFERROR(INDEX(ArchiveResults!$F$5:$IX$116,ComparisonData!A11,ComparisonData!$QL$1),0),5)</f>
        <v>0</v>
      </c>
      <c r="QM11" s="46" cm="1">
        <f t="array" ref="QM11">ROUND(IFERROR(INDEX(ArchiveResults!$F$5:$IX$116,ComparisonData!A11,ComparisonData!$QM$1),0),5)</f>
        <v>0</v>
      </c>
      <c r="QN11" s="45" cm="1">
        <f t="array" ref="QN11">IFERROR(INDEX(ArchiveResults!$F$5:$IX$116,ComparisonData!A11,ComparisonData!$QN$1),0)</f>
        <v>0</v>
      </c>
      <c r="QO11" s="56">
        <v>6</v>
      </c>
      <c r="QP11" s="53" t="str">
        <f t="shared" si="62"/>
        <v>Bexley Local Studies and Archive Centre</v>
      </c>
      <c r="QQ11" s="59">
        <f t="shared" si="348"/>
        <v>0</v>
      </c>
      <c r="QR11" s="59">
        <f t="shared" si="349"/>
        <v>0</v>
      </c>
      <c r="QS11" s="59">
        <f t="shared" si="350"/>
        <v>0</v>
      </c>
      <c r="QT11" s="59">
        <f t="shared" si="351"/>
        <v>0</v>
      </c>
      <c r="QU11" s="59">
        <f t="shared" si="352"/>
        <v>0</v>
      </c>
      <c r="QV11" s="58">
        <f t="shared" si="353"/>
        <v>0</v>
      </c>
      <c r="QW11" s="45">
        <f t="shared" si="354"/>
        <v>42</v>
      </c>
      <c r="QX11" s="45">
        <f t="shared" si="63"/>
        <v>2.6439999999999997</v>
      </c>
      <c r="QY11" s="45">
        <f t="shared" si="355"/>
        <v>1</v>
      </c>
      <c r="QZ11" s="45">
        <f t="shared" si="356"/>
        <v>2</v>
      </c>
      <c r="RA11" s="45">
        <f t="shared" si="357"/>
        <v>0</v>
      </c>
      <c r="RB11" s="46" cm="1">
        <f t="array" ref="RB11">ROUND(IFERROR(INDEX(ArchiveResults!$F$5:$IX$116,ComparisonData!A11,ComparisonData!$RB$1),0),5)</f>
        <v>0</v>
      </c>
      <c r="RC11" s="46" cm="1">
        <f t="array" ref="RC11">ROUND(IFERROR(INDEX(ArchiveResults!$F$5:$IX$116,ComparisonData!A11,ComparisonData!$RC$1),0),5)</f>
        <v>0</v>
      </c>
      <c r="RD11" s="46" cm="1">
        <f t="array" ref="RD11">ROUND(IFERROR(INDEX(ArchiveResults!$F$5:$IX$116,ComparisonData!A11,ComparisonData!$RD$1),0),5)</f>
        <v>0</v>
      </c>
      <c r="RE11" s="46" cm="1">
        <f t="array" ref="RE11">ROUND(IFERROR(INDEX(ArchiveResults!$F$5:$IX$116,ComparisonData!A11,ComparisonData!$RE$1),0),5)</f>
        <v>0</v>
      </c>
      <c r="RF11" s="45" cm="1">
        <f t="array" ref="RF11">IFERROR(INDEX(ArchiveResults!$F$5:$IX$116,ComparisonData!A11,ComparisonData!$RF$1),0)</f>
        <v>0</v>
      </c>
      <c r="RG11" s="56">
        <v>6</v>
      </c>
      <c r="RH11" s="53" t="str">
        <f t="shared" si="64"/>
        <v>Bexley Local Studies and Archive Centre</v>
      </c>
      <c r="RI11" s="59">
        <f t="shared" si="358"/>
        <v>0</v>
      </c>
      <c r="RJ11" s="59">
        <f t="shared" si="359"/>
        <v>0</v>
      </c>
      <c r="RK11" s="59">
        <f t="shared" si="360"/>
        <v>0</v>
      </c>
      <c r="RL11" s="59">
        <f t="shared" si="361"/>
        <v>0</v>
      </c>
      <c r="RM11" s="59">
        <f t="shared" si="362"/>
        <v>0</v>
      </c>
      <c r="RN11" s="58">
        <f t="shared" si="363"/>
        <v>0</v>
      </c>
      <c r="RO11" s="45">
        <f t="shared" si="364"/>
        <v>42</v>
      </c>
      <c r="RP11" s="45">
        <f t="shared" si="65"/>
        <v>2.6439999999999997</v>
      </c>
      <c r="RQ11" s="45">
        <f t="shared" si="365"/>
        <v>1</v>
      </c>
      <c r="RR11" s="45">
        <f t="shared" si="366"/>
        <v>2</v>
      </c>
      <c r="RS11" s="45">
        <f t="shared" si="367"/>
        <v>0</v>
      </c>
      <c r="RT11" s="46" cm="1">
        <f t="array" ref="RT11">ROUND(IFERROR(INDEX(ArchiveResults!$F$5:$IX$116,ComparisonData!A11,ComparisonData!$RT$1),0),5)</f>
        <v>0</v>
      </c>
      <c r="RU11" s="46" cm="1">
        <f t="array" ref="RU11">ROUND(IFERROR(INDEX(ArchiveResults!$F$5:$IX$116,ComparisonData!A11,ComparisonData!$RU$1),0),5)</f>
        <v>0</v>
      </c>
      <c r="RV11" s="46" cm="1">
        <f t="array" ref="RV11">ROUND(IFERROR(INDEX(ArchiveResults!$F$5:$IX$116,ComparisonData!A11,ComparisonData!$RV$1),0),5)</f>
        <v>0</v>
      </c>
      <c r="RW11" s="46" cm="1">
        <f t="array" ref="RW11">ROUND(IFERROR(INDEX(ArchiveResults!$F$5:$IX$116,ComparisonData!A11,ComparisonData!$RW$1),0),5)</f>
        <v>0</v>
      </c>
      <c r="RX11" s="45" cm="1">
        <f t="array" ref="RX11">IFERROR(INDEX(ArchiveResults!$F$5:$IX$116,ComparisonData!A11,ComparisonData!$RX$1),0)</f>
        <v>0</v>
      </c>
      <c r="RY11" s="56">
        <v>6</v>
      </c>
      <c r="RZ11" s="53" t="str">
        <f t="shared" si="66"/>
        <v>Bexley Local Studies and Archive Centre</v>
      </c>
      <c r="SA11" s="59">
        <f t="shared" si="368"/>
        <v>0</v>
      </c>
      <c r="SB11" s="59">
        <f t="shared" si="369"/>
        <v>0</v>
      </c>
      <c r="SC11" s="59">
        <f t="shared" si="370"/>
        <v>0</v>
      </c>
      <c r="SD11" s="59">
        <f t="shared" si="371"/>
        <v>0</v>
      </c>
      <c r="SE11" s="59">
        <f t="shared" si="372"/>
        <v>0</v>
      </c>
      <c r="SF11" s="58">
        <f t="shared" si="373"/>
        <v>0</v>
      </c>
      <c r="SG11" s="45">
        <f t="shared" si="374"/>
        <v>42</v>
      </c>
      <c r="SH11" s="45">
        <f t="shared" si="67"/>
        <v>2.6439999999999997</v>
      </c>
      <c r="SI11" s="45">
        <f t="shared" si="375"/>
        <v>1</v>
      </c>
      <c r="SJ11" s="45">
        <f t="shared" si="376"/>
        <v>2</v>
      </c>
      <c r="SK11" s="45">
        <f t="shared" si="377"/>
        <v>0</v>
      </c>
      <c r="SL11" s="46" cm="1">
        <f t="array" ref="SL11">ROUND(IFERROR(INDEX(ArchiveResults!$F$5:$IX$116,ComparisonData!A11,ComparisonData!$SL$1),0),5)</f>
        <v>0</v>
      </c>
      <c r="SM11" s="46" cm="1">
        <f t="array" ref="SM11">ROUND(IFERROR(INDEX(ArchiveResults!$F$5:$IX$116,ComparisonData!A11,ComparisonData!$SM$1),0),5)</f>
        <v>0</v>
      </c>
      <c r="SN11" s="46" cm="1">
        <f t="array" ref="SN11">ROUND(IFERROR(INDEX(ArchiveResults!$F$5:$IX$116,ComparisonData!A11,ComparisonData!$SN$1),0),5)</f>
        <v>0</v>
      </c>
      <c r="SO11" s="46" cm="1">
        <f t="array" ref="SO11">ROUND(IFERROR(INDEX(ArchiveResults!$F$5:$IX$116,ComparisonData!A11,ComparisonData!$SO$1),0),5)</f>
        <v>0</v>
      </c>
      <c r="SP11" s="45" cm="1">
        <f t="array" ref="SP11">IFERROR(INDEX(ArchiveResults!$F$5:$IX$116,ComparisonData!A11,ComparisonData!$SP$1),0)</f>
        <v>0</v>
      </c>
      <c r="SQ11" s="56">
        <v>6</v>
      </c>
      <c r="SR11" s="53" t="str">
        <f t="shared" si="68"/>
        <v>Bexley Local Studies and Archive Centre</v>
      </c>
      <c r="SS11" s="59">
        <f t="shared" si="378"/>
        <v>0</v>
      </c>
      <c r="ST11" s="59">
        <f t="shared" si="379"/>
        <v>0</v>
      </c>
      <c r="SU11" s="59">
        <f t="shared" si="380"/>
        <v>0</v>
      </c>
      <c r="SV11" s="59">
        <f t="shared" si="381"/>
        <v>0</v>
      </c>
      <c r="SW11" s="59">
        <f t="shared" si="382"/>
        <v>0</v>
      </c>
      <c r="SX11" s="58">
        <f t="shared" si="383"/>
        <v>0</v>
      </c>
      <c r="SY11" s="45">
        <f t="shared" si="384"/>
        <v>42</v>
      </c>
      <c r="SZ11" s="45">
        <f t="shared" si="69"/>
        <v>2.6439999999999997</v>
      </c>
      <c r="TA11" s="45">
        <f t="shared" si="385"/>
        <v>1</v>
      </c>
      <c r="TB11" s="45">
        <f t="shared" si="386"/>
        <v>2</v>
      </c>
      <c r="TC11" s="45">
        <f t="shared" si="387"/>
        <v>0</v>
      </c>
      <c r="TD11" s="46" cm="1">
        <f t="array" ref="TD11">ROUND(IFERROR(INDEX(ArchiveResults!$F$5:$IX$116,ComparisonData!A11,ComparisonData!$TD$1),0),5)</f>
        <v>0</v>
      </c>
      <c r="TE11" s="46" cm="1">
        <f t="array" ref="TE11">ROUND(IFERROR(INDEX(ArchiveResults!$F$5:$IX$116,ComparisonData!A11,ComparisonData!$TE$1),0),5)</f>
        <v>0</v>
      </c>
      <c r="TF11" s="46" cm="1">
        <f t="array" ref="TF11">ROUND(IFERROR(INDEX(ArchiveResults!$F$5:$IX$116,ComparisonData!A11,ComparisonData!$TF$1),0),5)</f>
        <v>0</v>
      </c>
      <c r="TG11" s="46" cm="1">
        <f t="array" ref="TG11">ROUND(IFERROR(INDEX(ArchiveResults!$F$5:$IX$116,ComparisonData!A11,ComparisonData!$TG$1),0),5)</f>
        <v>0</v>
      </c>
      <c r="TH11" s="45" cm="1">
        <f t="array" ref="TH11">IFERROR(INDEX(ArchiveResults!$F$5:$IX$116,ComparisonData!A11,ComparisonData!$TH$1),0)</f>
        <v>0</v>
      </c>
      <c r="TI11" s="56">
        <v>6</v>
      </c>
      <c r="TJ11" s="53" t="str">
        <f t="shared" si="70"/>
        <v>Bexley Local Studies and Archive Centre</v>
      </c>
      <c r="TK11" s="59">
        <f t="shared" si="388"/>
        <v>0</v>
      </c>
      <c r="TL11" s="59">
        <f t="shared" si="389"/>
        <v>0</v>
      </c>
      <c r="TM11" s="59">
        <f t="shared" si="390"/>
        <v>0</v>
      </c>
      <c r="TN11" s="59">
        <f t="shared" si="391"/>
        <v>0</v>
      </c>
      <c r="TO11" s="59">
        <f t="shared" si="392"/>
        <v>0</v>
      </c>
      <c r="TP11" s="58">
        <f t="shared" si="393"/>
        <v>0</v>
      </c>
      <c r="TQ11" s="45">
        <f t="shared" si="394"/>
        <v>42</v>
      </c>
      <c r="TR11" s="45">
        <f t="shared" si="71"/>
        <v>2.6439999999999997</v>
      </c>
      <c r="TS11" s="45">
        <f t="shared" si="395"/>
        <v>1</v>
      </c>
      <c r="TT11" s="45">
        <f t="shared" si="396"/>
        <v>2</v>
      </c>
      <c r="TU11" s="45">
        <f t="shared" si="397"/>
        <v>0</v>
      </c>
      <c r="TV11" s="46" cm="1">
        <f t="array" ref="TV11">ROUND(IFERROR(INDEX(ArchiveResults!$F$5:$IX$116,ComparisonData!A11,ComparisonData!$TV$1),0),5)</f>
        <v>0</v>
      </c>
      <c r="TW11" s="46" cm="1">
        <f t="array" ref="TW11">ROUND(IFERROR(INDEX(ArchiveResults!$F$5:$IX$116,ComparisonData!A11,ComparisonData!$TW$1),0),5)</f>
        <v>0</v>
      </c>
      <c r="TX11" s="46" cm="1">
        <f t="array" ref="TX11">ROUND(IFERROR(INDEX(ArchiveResults!$F$5:$IX$116,ComparisonData!A11,ComparisonData!$TX$1),0),5)</f>
        <v>0</v>
      </c>
      <c r="TY11" s="46" cm="1">
        <f t="array" ref="TY11">ROUND(IFERROR(INDEX(ArchiveResults!$F$5:$IX$116,ComparisonData!A11,ComparisonData!$TY$1),0),5)</f>
        <v>0</v>
      </c>
      <c r="TZ11" s="45" cm="1">
        <f t="array" ref="TZ11">IFERROR(INDEX(ArchiveResults!$F$5:$IX$116,ComparisonData!A11,ComparisonData!$TZ$1),0)</f>
        <v>0</v>
      </c>
      <c r="UA11" s="56">
        <v>6</v>
      </c>
      <c r="UB11" s="53" t="str">
        <f t="shared" si="72"/>
        <v>Bexley Local Studies and Archive Centre</v>
      </c>
      <c r="UC11" s="60">
        <f t="shared" si="398"/>
        <v>0</v>
      </c>
      <c r="UD11" s="60">
        <f t="shared" si="399"/>
        <v>0</v>
      </c>
      <c r="UE11" s="60">
        <f t="shared" si="400"/>
        <v>0</v>
      </c>
      <c r="UF11" s="60">
        <f t="shared" si="401"/>
        <v>0</v>
      </c>
      <c r="UG11" s="60">
        <f t="shared" si="402"/>
        <v>0</v>
      </c>
      <c r="UH11" s="58">
        <f t="shared" si="403"/>
        <v>0</v>
      </c>
      <c r="UI11" s="46">
        <f t="shared" si="404"/>
        <v>42</v>
      </c>
      <c r="UJ11" s="46">
        <f t="shared" si="73"/>
        <v>2.6439999999999997</v>
      </c>
      <c r="UK11" s="46">
        <f t="shared" si="405"/>
        <v>1</v>
      </c>
      <c r="UL11" s="46">
        <f t="shared" si="406"/>
        <v>2</v>
      </c>
      <c r="UM11" s="46" cm="1">
        <f t="array" ref="UM11">ROUND(IFERROR(INDEX(ArchiveResults!$F$5:$IX$116,ComparisonData!A11,ComparisonData!$UM$1),0),5)</f>
        <v>0</v>
      </c>
      <c r="UN11" s="56">
        <v>6</v>
      </c>
      <c r="UO11" s="53" t="str">
        <f t="shared" si="74"/>
        <v>Bexley Local Studies and Archive Centre</v>
      </c>
      <c r="UP11" s="46">
        <f t="shared" si="407"/>
        <v>0</v>
      </c>
      <c r="UQ11" s="76">
        <f t="shared" si="408"/>
        <v>0</v>
      </c>
      <c r="UR11" s="46">
        <f t="shared" si="409"/>
        <v>42</v>
      </c>
      <c r="US11" s="46">
        <f t="shared" si="75"/>
        <v>2.6439999999999997</v>
      </c>
      <c r="UT11" s="46">
        <f t="shared" si="410"/>
        <v>1</v>
      </c>
      <c r="UU11" s="46">
        <f t="shared" si="411"/>
        <v>2</v>
      </c>
      <c r="UV11" s="46">
        <f t="shared" si="412"/>
        <v>0</v>
      </c>
      <c r="UW11" s="46" cm="1">
        <f t="array" ref="UW11">ROUND(IFERROR(INDEX(ArchiveResults!$F$5:$IX$116,ComparisonData!A11,ComparisonData!$UW$1),0),5)</f>
        <v>0</v>
      </c>
      <c r="UX11" s="46" cm="1">
        <f t="array" ref="UX11">ROUND(IFERROR(INDEX(ArchiveResults!$F$5:$IX$116,ComparisonData!A11,ComparisonData!$UX$1),0),5)</f>
        <v>0</v>
      </c>
      <c r="UY11" s="46" cm="1">
        <f t="array" ref="UY11">ROUND(IFERROR(INDEX(ArchiveResults!$F$5:$IX$116,ComparisonData!A11,ComparisonData!$UY$1),0),5)</f>
        <v>0</v>
      </c>
      <c r="UZ11" s="46" cm="1">
        <f t="array" ref="UZ11">ROUND(IFERROR(INDEX(ArchiveResults!$F$5:$IX$116,ComparisonData!A11,ComparisonData!$UZ$1),0),5)</f>
        <v>0</v>
      </c>
      <c r="VA11" s="46" cm="1">
        <f t="array" ref="VA11">ROUND(IFERROR(INDEX(ArchiveResults!$F$5:$IX$116,ComparisonData!A11,ComparisonData!$VA$1),0),5)</f>
        <v>0</v>
      </c>
      <c r="VB11" s="56">
        <v>6</v>
      </c>
      <c r="VC11" s="53" t="str">
        <f t="shared" si="76"/>
        <v>Bexley Local Studies and Archive Centre</v>
      </c>
      <c r="VD11" s="60">
        <f t="shared" si="413"/>
        <v>0</v>
      </c>
      <c r="VE11" s="60">
        <f t="shared" si="414"/>
        <v>0</v>
      </c>
      <c r="VF11" s="60">
        <f t="shared" si="415"/>
        <v>0</v>
      </c>
      <c r="VG11" s="60">
        <f t="shared" si="416"/>
        <v>0</v>
      </c>
      <c r="VH11" s="60">
        <f t="shared" si="417"/>
        <v>0</v>
      </c>
      <c r="VI11" s="76">
        <f t="shared" si="418"/>
        <v>0</v>
      </c>
      <c r="VJ11" s="46">
        <f t="shared" si="419"/>
        <v>42</v>
      </c>
      <c r="VK11" s="46">
        <f t="shared" si="77"/>
        <v>2.6439999999999997</v>
      </c>
      <c r="VL11" s="46">
        <f t="shared" si="420"/>
        <v>1</v>
      </c>
      <c r="VM11" s="46">
        <f t="shared" si="421"/>
        <v>2</v>
      </c>
      <c r="VN11" s="46" cm="1">
        <f t="array" ref="VN11">ROUND(IFERROR(INDEX(ArchiveResults!$F$5:$IX$116,ComparisonData!A11,ComparisonData!$VN$1),0),5)</f>
        <v>0</v>
      </c>
      <c r="VO11" s="46" cm="1">
        <f t="array" ref="VO11">ROUND(IFERROR(INDEX(ArchiveResults!$F$5:$IX$116,ComparisonData!A11,ComparisonData!$VO$1),0),5)</f>
        <v>0</v>
      </c>
      <c r="VP11" s="46" cm="1">
        <f t="array" ref="VP11">ROUND(IFERROR(INDEX(ArchiveResults!$F$5:$IX$116,ComparisonData!A11,ComparisonData!$VP$1),0),5)</f>
        <v>0</v>
      </c>
      <c r="VQ11" s="46" cm="1">
        <f t="array" ref="VQ11">ROUND(IFERROR(INDEX(ArchiveResults!$F$5:$IX$116,ComparisonData!A11,ComparisonData!$VQ$1),0),5)</f>
        <v>0</v>
      </c>
      <c r="VR11" s="56">
        <v>6</v>
      </c>
      <c r="VS11" s="53" t="str">
        <f t="shared" si="78"/>
        <v>Bexley Local Studies and Archive Centre</v>
      </c>
      <c r="VT11" s="60">
        <f t="shared" si="422"/>
        <v>0</v>
      </c>
      <c r="VU11" s="60">
        <f t="shared" si="423"/>
        <v>0</v>
      </c>
      <c r="VV11" s="60">
        <f t="shared" si="424"/>
        <v>0</v>
      </c>
      <c r="VW11" s="60">
        <f t="shared" si="425"/>
        <v>0</v>
      </c>
      <c r="VX11" s="76">
        <f t="shared" si="426"/>
        <v>0</v>
      </c>
      <c r="VY11" s="46">
        <f t="shared" si="427"/>
        <v>42</v>
      </c>
      <c r="VZ11" s="46">
        <f t="shared" si="79"/>
        <v>2.6439999999999997</v>
      </c>
      <c r="WA11" s="46">
        <f t="shared" si="428"/>
        <v>1</v>
      </c>
      <c r="WB11" s="46">
        <f t="shared" si="429"/>
        <v>2</v>
      </c>
      <c r="WC11" s="46" cm="1">
        <f t="array" ref="WC11">ROUND(IFERROR(INDEX(ArchiveResults!$F$5:$IX$116,ComparisonData!A11,ComparisonData!$WC$1),0),5)</f>
        <v>0</v>
      </c>
      <c r="WD11" s="56">
        <v>6</v>
      </c>
      <c r="WE11" s="53" t="str">
        <f t="shared" si="80"/>
        <v>Bexley Local Studies and Archive Centre</v>
      </c>
      <c r="WF11" s="46">
        <f t="shared" si="430"/>
        <v>0</v>
      </c>
      <c r="WG11" s="76">
        <f t="shared" si="431"/>
        <v>0</v>
      </c>
      <c r="WH11" s="46">
        <f t="shared" si="432"/>
        <v>42</v>
      </c>
      <c r="WI11" s="46">
        <f t="shared" si="81"/>
        <v>2.6439999999999997</v>
      </c>
      <c r="WJ11" s="46">
        <f t="shared" si="433"/>
        <v>1</v>
      </c>
      <c r="WK11" s="46">
        <f t="shared" si="434"/>
        <v>2</v>
      </c>
      <c r="WL11" s="46" cm="1">
        <f t="array" ref="WL11">ROUND(IFERROR(INDEX(ArchiveResults!$F$5:$IX$116,ComparisonData!A11,ComparisonData!$WL$1),0),5)</f>
        <v>0</v>
      </c>
      <c r="WM11" s="46" cm="1">
        <f t="array" ref="WM11">IFERROR(INDEX(ArchiveResults!$F$5:$IX$116,ComparisonData!A11,ComparisonData!$WM$1),0)</f>
        <v>0</v>
      </c>
      <c r="WN11" s="56">
        <v>6</v>
      </c>
      <c r="WO11" s="53" t="str">
        <f t="shared" si="82"/>
        <v>Bexley Local Studies and Archive Centre</v>
      </c>
      <c r="WP11" s="60">
        <f t="shared" si="435"/>
        <v>0</v>
      </c>
      <c r="WQ11" s="60">
        <f t="shared" si="436"/>
        <v>0</v>
      </c>
      <c r="WR11" s="76">
        <f t="shared" si="437"/>
        <v>0</v>
      </c>
      <c r="WS11" s="46">
        <f t="shared" si="438"/>
        <v>42</v>
      </c>
      <c r="WT11" s="46">
        <f t="shared" si="83"/>
        <v>2.6439999999999997</v>
      </c>
      <c r="WU11" s="46">
        <f t="shared" si="439"/>
        <v>1</v>
      </c>
      <c r="WV11" s="46">
        <f t="shared" si="440"/>
        <v>2</v>
      </c>
      <c r="WW11" s="46" cm="1">
        <f t="array" ref="WW11">ROUND(VALUE(IFERROR(INDEX(ArchiveResults!$F$5:$IX$116,ComparisonData!A11,ComparisonData!$WW$1),0)),5)</f>
        <v>0</v>
      </c>
      <c r="WX11" s="46" cm="1">
        <f t="array" ref="WX11">ROUND(IFERROR(INDEX(ArchiveResults!$F$5:$IX$116,ComparisonData!A11,ComparisonData!$WX$1),0),5)</f>
        <v>0</v>
      </c>
      <c r="WY11" s="56">
        <v>6</v>
      </c>
      <c r="WZ11" s="53" t="str">
        <f t="shared" si="84"/>
        <v>Bexley Local Studies and Archive Centre</v>
      </c>
      <c r="XA11" s="60">
        <f t="shared" si="85"/>
        <v>0</v>
      </c>
      <c r="XB11" s="60">
        <f t="shared" si="86"/>
        <v>0</v>
      </c>
      <c r="XC11" s="76">
        <f t="shared" si="441"/>
        <v>0</v>
      </c>
      <c r="XD11" s="46">
        <f t="shared" si="442"/>
        <v>42</v>
      </c>
      <c r="XE11" s="46">
        <f t="shared" si="87"/>
        <v>2.6439999999999997</v>
      </c>
      <c r="XF11" s="46">
        <f t="shared" si="443"/>
        <v>1</v>
      </c>
      <c r="XG11" s="46">
        <f t="shared" si="444"/>
        <v>2</v>
      </c>
      <c r="XH11" s="46" cm="1">
        <f t="array" ref="XH11">ROUND(VALUE(IFERROR(INDEX(ArchiveResults!$F$5:$IX$116,ComparisonData!A11,ComparisonData!$XH$1),0)),5)</f>
        <v>0</v>
      </c>
      <c r="XI11" s="46" cm="1">
        <f t="array" ref="XI11">ROUND(VALUE(IFERROR(INDEX(ArchiveResults!$F$5:$IX$116,ComparisonData!A11,ComparisonData!$XI$1),0)),5)</f>
        <v>0</v>
      </c>
      <c r="XJ11" s="56">
        <v>6</v>
      </c>
      <c r="XK11" s="53" t="str">
        <f t="shared" si="88"/>
        <v>Bexley Local Studies and Archive Centre</v>
      </c>
      <c r="XL11" s="60">
        <f t="shared" si="445"/>
        <v>0</v>
      </c>
      <c r="XM11" s="60">
        <f t="shared" si="446"/>
        <v>0</v>
      </c>
      <c r="XN11" s="76">
        <f t="shared" si="447"/>
        <v>0</v>
      </c>
      <c r="XO11" s="46">
        <f t="shared" si="448"/>
        <v>42</v>
      </c>
      <c r="XP11" s="46">
        <f t="shared" si="89"/>
        <v>2.6439999999999997</v>
      </c>
      <c r="XQ11" s="46">
        <f t="shared" si="449"/>
        <v>1</v>
      </c>
      <c r="XR11" s="46">
        <f t="shared" si="450"/>
        <v>2</v>
      </c>
      <c r="XS11" s="46" cm="1">
        <f t="array" ref="XS11">ROUND(VALUE(IFERROR(INDEX(ArchiveResults!$F$5:$IX$116,ComparisonData!A11,ComparisonData!$XS$1),0)),5)</f>
        <v>0</v>
      </c>
      <c r="XT11" s="46" cm="1">
        <f t="array" ref="XT11">ROUND(VALUE(IFERROR(INDEX(ArchiveResults!$F$5:$IX$116,ComparisonData!A11,ComparisonData!$XT$1),0)),5)</f>
        <v>0</v>
      </c>
      <c r="XU11" s="56">
        <v>6</v>
      </c>
      <c r="XV11" s="53" t="str">
        <f t="shared" si="90"/>
        <v>Bexley Local Studies and Archive Centre</v>
      </c>
      <c r="XW11" s="60">
        <f t="shared" si="451"/>
        <v>0</v>
      </c>
      <c r="XX11" s="60">
        <f t="shared" si="452"/>
        <v>0</v>
      </c>
      <c r="XY11" s="76">
        <f t="shared" si="453"/>
        <v>0</v>
      </c>
      <c r="XZ11" s="46">
        <f t="shared" si="454"/>
        <v>42</v>
      </c>
      <c r="YA11" s="46">
        <f t="shared" si="91"/>
        <v>2.6439999999999997</v>
      </c>
      <c r="YB11" s="46">
        <f t="shared" si="455"/>
        <v>1</v>
      </c>
      <c r="YC11" s="46">
        <f t="shared" si="456"/>
        <v>2</v>
      </c>
      <c r="YD11" s="46" cm="1">
        <f t="array" ref="YD11">ROUND(VALUE(IFERROR(INDEX(ArchiveResults!$F$5:$IX$116,ComparisonData!A11,ComparisonData!$YD$1),0)),5)</f>
        <v>0</v>
      </c>
      <c r="YE11" s="46" cm="1">
        <f t="array" ref="YE11">ROUND(VALUE(IFERROR(INDEX(ArchiveResults!$F$5:$IX$116,ComparisonData!A11,ComparisonData!$YE$1),0)),5)</f>
        <v>0</v>
      </c>
      <c r="YF11" s="56">
        <v>6</v>
      </c>
      <c r="YG11" s="53" t="str">
        <f t="shared" si="92"/>
        <v>Bexley Local Studies and Archive Centre</v>
      </c>
      <c r="YH11" s="60">
        <f t="shared" si="457"/>
        <v>0</v>
      </c>
      <c r="YI11" s="60">
        <f t="shared" si="458"/>
        <v>0</v>
      </c>
      <c r="YJ11" s="76">
        <f t="shared" si="459"/>
        <v>0</v>
      </c>
      <c r="YK11" s="46">
        <f t="shared" si="460"/>
        <v>42</v>
      </c>
      <c r="YL11" s="46">
        <f t="shared" si="93"/>
        <v>2.6439999999999997</v>
      </c>
      <c r="YM11" s="46">
        <f t="shared" si="461"/>
        <v>1</v>
      </c>
      <c r="YN11" s="46">
        <f t="shared" si="462"/>
        <v>2</v>
      </c>
      <c r="YO11" s="46" cm="1">
        <f t="array" ref="YO11">ROUND(VALUE(IFERROR(INDEX(ArchiveResults!$F$5:$IX$116,ComparisonData!A11,ComparisonData!$YO$1),0)),5)</f>
        <v>0</v>
      </c>
      <c r="YP11" s="46" cm="1">
        <f t="array" ref="YP11">ROUND(VALUE(IFERROR(INDEX(ArchiveResults!$F$5:$IX$116,ComparisonData!A11,ComparisonData!$YP$1),0)),5)</f>
        <v>0</v>
      </c>
      <c r="YQ11" s="56">
        <v>6</v>
      </c>
      <c r="YR11" s="53" t="str">
        <f t="shared" si="94"/>
        <v>Bexley Local Studies and Archive Centre</v>
      </c>
      <c r="YS11" s="60">
        <f t="shared" si="463"/>
        <v>0</v>
      </c>
      <c r="YT11" s="60">
        <f t="shared" si="464"/>
        <v>0</v>
      </c>
      <c r="YU11" s="76">
        <f t="shared" si="465"/>
        <v>0</v>
      </c>
      <c r="YV11" s="46">
        <f t="shared" si="466"/>
        <v>42</v>
      </c>
      <c r="YW11" s="46">
        <f t="shared" si="95"/>
        <v>2.6439999999999997</v>
      </c>
      <c r="YX11" s="46">
        <f t="shared" si="467"/>
        <v>1</v>
      </c>
      <c r="YY11" s="46">
        <f t="shared" si="468"/>
        <v>2</v>
      </c>
      <c r="YZ11" s="46">
        <f t="shared" si="469"/>
        <v>0</v>
      </c>
      <c r="ZA11" s="46" cm="1">
        <f t="array" ref="ZA11">ROUNDDOWN(VALUE(IFERROR(INDEX(ArchiveResults!$F$5:$IX$116,ComparisonData!A11,ComparisonData!$ZA$1),0)),5)</f>
        <v>0</v>
      </c>
      <c r="ZB11" s="46" cm="1">
        <f t="array" ref="ZB11">ROUNDDOWN(VALUE(IFERROR(INDEX(ArchiveResults!$F$5:$IX$116,ComparisonData!A11,ComparisonData!$ZB$1),0)),5)</f>
        <v>0</v>
      </c>
      <c r="ZC11" s="46" cm="1">
        <f t="array" ref="ZC11">ROUNDDOWN(VALUE(IFERROR(INDEX(ArchiveResults!$F$5:$IX$116,ComparisonData!A11,ComparisonData!$ZC$1),0)),5)</f>
        <v>0</v>
      </c>
      <c r="ZD11" s="46" cm="1">
        <f t="array" ref="ZD11">ROUNDDOWN(VALUE(IFERROR(INDEX(ArchiveResults!$F$5:$IX$116,ComparisonData!A11,ComparisonData!$ZD$1),0)),5)</f>
        <v>0</v>
      </c>
      <c r="ZE11" s="46" cm="1">
        <f t="array" ref="ZE11">ROUNDDOWN(VALUE(IFERROR(INDEX(ArchiveResults!$F$5:$IX$116,ComparisonData!A11,ComparisonData!$ZE$1),0)),5)</f>
        <v>0</v>
      </c>
      <c r="ZF11" s="56">
        <v>6</v>
      </c>
      <c r="ZG11" s="53" t="str">
        <f t="shared" si="96"/>
        <v>Bexley Local Studies and Archive Centre</v>
      </c>
      <c r="ZH11" s="60">
        <f t="shared" si="470"/>
        <v>0</v>
      </c>
      <c r="ZI11" s="60">
        <f t="shared" si="471"/>
        <v>0</v>
      </c>
      <c r="ZJ11" s="60">
        <f t="shared" si="472"/>
        <v>0</v>
      </c>
      <c r="ZK11" s="60">
        <f t="shared" si="473"/>
        <v>0</v>
      </c>
      <c r="ZL11" s="60">
        <f t="shared" si="474"/>
        <v>0</v>
      </c>
      <c r="ZM11" s="76">
        <f t="shared" si="475"/>
        <v>0</v>
      </c>
      <c r="ZN11" s="46">
        <f t="shared" si="476"/>
        <v>42</v>
      </c>
      <c r="ZO11" s="46">
        <f t="shared" si="97"/>
        <v>2.6439999999999997</v>
      </c>
      <c r="ZP11" s="46">
        <f t="shared" si="477"/>
        <v>1</v>
      </c>
      <c r="ZQ11" s="46">
        <f t="shared" si="478"/>
        <v>2</v>
      </c>
      <c r="ZR11" s="46" cm="1">
        <f t="array" ref="ZR11">ROUND(VALUE(IFERROR(INDEX(ArchiveResults!$F$5:$IX$116,ComparisonData!A11,ComparisonData!$ZR$1),0)),5)</f>
        <v>0</v>
      </c>
      <c r="ZS11" s="56">
        <v>6</v>
      </c>
      <c r="ZT11" s="53" t="str">
        <f t="shared" si="98"/>
        <v>Bexley Local Studies and Archive Centre</v>
      </c>
      <c r="ZU11" s="46">
        <f t="shared" si="479"/>
        <v>0</v>
      </c>
      <c r="ZV11" s="76">
        <f t="shared" si="480"/>
        <v>0</v>
      </c>
      <c r="ZW11" s="81" cm="1">
        <f t="array" ref="ZW11">ROUND((IFERROR(INDEX(ArchiveResults!$F$5:$IX$116,ComparisonData!A11,ComparisonData!$ZW$1),0)),5)</f>
        <v>0</v>
      </c>
      <c r="ZX11" s="81" cm="1">
        <f t="array" ref="ZX11">ROUND((IFERROR(INDEX(ArchiveResults!$F$5:$IX$116,ComparisonData!A11,ComparisonData!$ZX$1),0)),5)</f>
        <v>0</v>
      </c>
      <c r="ZY11" s="81" cm="1">
        <f t="array" ref="ZY11">ROUND((IFERROR(INDEX(ArchiveResults!$F$5:$IX$116,ComparisonData!A11,ComparisonData!$ZY$1),0)),5)</f>
        <v>0</v>
      </c>
      <c r="ZZ11" s="81" cm="1">
        <f t="array" ref="ZZ11">ROUND((IFERROR(INDEX(ArchiveResults!$F$5:$IX$116,ComparisonData!A11,ComparisonData!$ZZ$1),0)),5)</f>
        <v>0</v>
      </c>
      <c r="AAA11" s="81" cm="1">
        <f t="array" ref="AAA11">ROUND((IFERROR(INDEX(ArchiveResults!$F$5:$IX$116,ComparisonData!A11,ComparisonData!$AAA$1),0)),5)</f>
        <v>0</v>
      </c>
      <c r="AAB11" s="81" cm="1">
        <f t="array" ref="AAB11">ROUND((IFERROR(INDEX(ArchiveResults!$F$5:$IX$116,ComparisonData!A11,ComparisonData!$AAB$1),0)),5)</f>
        <v>0</v>
      </c>
      <c r="AAC11" s="81" cm="1">
        <f t="array" ref="AAC11">ROUND((IFERROR(INDEX(ArchiveResults!$F$5:$IX$116,ComparisonData!A11,ComparisonData!$AAC$1),0)),5)</f>
        <v>0</v>
      </c>
      <c r="AAD11" s="81" cm="1">
        <f t="array" ref="AAD11">ROUND((IFERROR(INDEX(ArchiveResults!$F$5:$IX$116,ComparisonData!A11,ComparisonData!$AAD$1),0)),5)</f>
        <v>0</v>
      </c>
      <c r="AAE11" s="81" cm="1">
        <f t="array" ref="AAE11">ROUND((IFERROR(INDEX(ArchiveResults!$F$5:$IX$116,ComparisonData!A11,ComparisonData!$AAE$1),0)),5)</f>
        <v>0</v>
      </c>
      <c r="AAF11" s="81" cm="1">
        <f t="array" ref="AAF11">ROUND((IFERROR(INDEX(ArchiveResults!$F$5:$IX$116,ComparisonData!A11,ComparisonData!$AAF$1),0)),5)</f>
        <v>0</v>
      </c>
      <c r="AAG11" s="46">
        <f t="shared" si="481"/>
        <v>42</v>
      </c>
      <c r="AAH11" s="46">
        <f t="shared" si="99"/>
        <v>2.6439999999999997</v>
      </c>
      <c r="AAI11" s="46">
        <f t="shared" si="482"/>
        <v>1</v>
      </c>
      <c r="AAJ11" s="46">
        <f t="shared" si="483"/>
        <v>2</v>
      </c>
      <c r="AAK11" s="46">
        <f t="shared" si="484"/>
        <v>0</v>
      </c>
      <c r="AAL11" s="46">
        <f t="shared" si="485"/>
        <v>0</v>
      </c>
      <c r="AAM11" s="46">
        <f t="shared" si="486"/>
        <v>0</v>
      </c>
      <c r="AAN11" s="46">
        <f t="shared" si="487"/>
        <v>0</v>
      </c>
      <c r="AAO11" s="46">
        <f t="shared" si="488"/>
        <v>0</v>
      </c>
      <c r="AAP11" s="46">
        <f t="shared" si="489"/>
        <v>0</v>
      </c>
      <c r="AAQ11" s="56">
        <v>6</v>
      </c>
      <c r="AAR11" s="53" t="str">
        <f t="shared" si="100"/>
        <v>Bexley Local Studies and Archive Centre</v>
      </c>
      <c r="AAS11" s="60">
        <f t="shared" si="490"/>
        <v>0</v>
      </c>
      <c r="AAT11" s="60">
        <f t="shared" si="491"/>
        <v>0</v>
      </c>
      <c r="AAU11" s="60">
        <f t="shared" si="492"/>
        <v>0</v>
      </c>
      <c r="AAV11" s="60">
        <f t="shared" si="493"/>
        <v>0</v>
      </c>
      <c r="AAW11" s="60">
        <f t="shared" si="494"/>
        <v>0</v>
      </c>
      <c r="AAX11" s="76">
        <f t="shared" si="495"/>
        <v>0</v>
      </c>
      <c r="AAY11" s="46">
        <f t="shared" si="496"/>
        <v>42</v>
      </c>
      <c r="AAZ11" s="46">
        <f t="shared" si="101"/>
        <v>2.6439999999999997</v>
      </c>
      <c r="ABA11" s="46">
        <f t="shared" si="497"/>
        <v>1</v>
      </c>
      <c r="ABB11" s="46">
        <f t="shared" si="498"/>
        <v>2</v>
      </c>
      <c r="ABC11" s="46">
        <f t="shared" si="102"/>
        <v>0</v>
      </c>
      <c r="ABD11" s="46" cm="1">
        <f t="array" ref="ABD11">ROUND(VALUE(IFERROR(INDEX(ArchiveResults!$F$5:$IX$116,ComparisonData!A11,ComparisonData!$ABD$1),0)),5)</f>
        <v>0</v>
      </c>
      <c r="ABE11" s="46" cm="1">
        <f t="array" ref="ABE11">ROUND(VALUE(IFERROR(INDEX(ArchiveResults!$F$5:$IX$116,ComparisonData!A11,ComparisonData!$ABE$1),0)),5)</f>
        <v>0</v>
      </c>
      <c r="ABF11" s="46" cm="1">
        <f t="array" ref="ABF11">ROUND(VALUE(IFERROR(INDEX(ArchiveResults!$F$5:$IX$116,ComparisonData!A11,ComparisonData!$ABF$1),0)),5)</f>
        <v>0</v>
      </c>
      <c r="ABG11" s="46" cm="1">
        <f t="array" ref="ABG11">ROUND(VALUE(IFERROR(INDEX(ArchiveResults!$F$5:$IX$116,ComparisonData!A11,ComparisonData!$ABG$1),0)),5)</f>
        <v>0</v>
      </c>
      <c r="ABH11" s="46" cm="1">
        <f t="array" ref="ABH11">ROUND(VALUE(IFERROR(INDEX(ArchiveResults!$F$5:$IX$116,ComparisonData!A11,ComparisonData!$ABH$1),0)),5)</f>
        <v>0</v>
      </c>
      <c r="ABI11" s="56">
        <v>6</v>
      </c>
      <c r="ABJ11" s="53" t="str">
        <f t="shared" si="103"/>
        <v>Bexley Local Studies and Archive Centre</v>
      </c>
      <c r="ABK11" s="60">
        <f t="shared" si="499"/>
        <v>0</v>
      </c>
      <c r="ABL11" s="60">
        <f t="shared" si="500"/>
        <v>0</v>
      </c>
      <c r="ABM11" s="60">
        <f t="shared" si="501"/>
        <v>0</v>
      </c>
      <c r="ABN11" s="60">
        <f t="shared" si="502"/>
        <v>0</v>
      </c>
      <c r="ABO11" s="60">
        <f t="shared" si="503"/>
        <v>0</v>
      </c>
      <c r="ABP11" s="76">
        <f t="shared" si="504"/>
        <v>0</v>
      </c>
      <c r="ABQ11" s="46">
        <f t="shared" si="505"/>
        <v>42</v>
      </c>
      <c r="ABR11" s="46">
        <f t="shared" si="104"/>
        <v>2.6439999999999997</v>
      </c>
      <c r="ABS11" s="46">
        <f t="shared" si="506"/>
        <v>1</v>
      </c>
      <c r="ABT11" s="46">
        <f t="shared" si="507"/>
        <v>2</v>
      </c>
      <c r="ABU11" s="46" cm="1">
        <f t="array" ref="ABU11">ROUND(VALUE(IFERROR(INDEX(ArchiveResults!$F$5:$IX$116,ComparisonData!A11,ComparisonData!$ABU$1),0)),5)</f>
        <v>0</v>
      </c>
      <c r="ABV11" s="46" cm="1">
        <f t="array" ref="ABV11">ROUND(VALUE(IFERROR(INDEX(ArchiveResults!$F$5:$IX$116,ComparisonData!A11,ComparisonData!$ABV$1),0)),5)</f>
        <v>0</v>
      </c>
      <c r="ABW11" s="46" cm="1">
        <f t="array" ref="ABW11">ROUND(VALUE(IFERROR(INDEX(ArchiveResults!$F$5:$IX$116,ComparisonData!A11,ComparisonData!$ABW$1),0)),5)</f>
        <v>0</v>
      </c>
      <c r="ABX11" s="46" cm="1">
        <f t="array" ref="ABX11">ROUND(VALUE(IFERROR(INDEX(ArchiveResults!$F$5:$IX$116,ComparisonData!A11,ComparisonData!$ABX$1),0)),5)</f>
        <v>0</v>
      </c>
      <c r="ABY11" s="46" cm="1">
        <f t="array" ref="ABY11">ROUND(VALUE(IFERROR(INDEX(ArchiveResults!$F$5:$IX$116,ComparisonData!A11,ComparisonData!$ABY$1),0)),5)</f>
        <v>0</v>
      </c>
      <c r="ABZ11" s="56">
        <v>6</v>
      </c>
      <c r="ACA11" s="53" t="str">
        <f t="shared" si="105"/>
        <v>Bexley Local Studies and Archive Centre</v>
      </c>
      <c r="ACB11" s="60">
        <f t="shared" si="508"/>
        <v>0</v>
      </c>
      <c r="ACC11" s="60">
        <f t="shared" si="509"/>
        <v>0</v>
      </c>
      <c r="ACD11" s="60">
        <f t="shared" si="510"/>
        <v>0</v>
      </c>
      <c r="ACE11" s="60">
        <f t="shared" si="511"/>
        <v>0</v>
      </c>
      <c r="ACF11" s="60">
        <f t="shared" si="512"/>
        <v>0</v>
      </c>
      <c r="ACG11" s="76">
        <f t="shared" si="513"/>
        <v>0</v>
      </c>
      <c r="ACH11" s="46">
        <f t="shared" si="514"/>
        <v>42</v>
      </c>
      <c r="ACI11" s="46">
        <f t="shared" si="106"/>
        <v>2.6439999999999997</v>
      </c>
      <c r="ACJ11" s="46">
        <f t="shared" si="515"/>
        <v>1</v>
      </c>
      <c r="ACK11" s="46">
        <f t="shared" si="516"/>
        <v>2</v>
      </c>
      <c r="ACL11" s="46">
        <f t="shared" si="517"/>
        <v>0</v>
      </c>
      <c r="ACM11" s="46" cm="1">
        <f t="array" ref="ACM11">ROUND(IFERROR(INDEX(ArchiveResults!$F$5:$IX$116,ComparisonData!A11,ComparisonData!$ACM$1),0),5)</f>
        <v>0</v>
      </c>
      <c r="ACN11" s="46" cm="1">
        <f t="array" ref="ACN11">ROUND(IFERROR(INDEX(ArchiveResults!$F$5:$IX$116,ComparisonData!A11,ComparisonData!$ACN$1),0),5)</f>
        <v>0</v>
      </c>
      <c r="ACO11" s="56">
        <v>6</v>
      </c>
      <c r="ACP11" s="53" t="str">
        <f t="shared" si="107"/>
        <v>Bexley Local Studies and Archive Centre</v>
      </c>
      <c r="ACQ11" s="60">
        <f t="shared" si="518"/>
        <v>0</v>
      </c>
      <c r="ACR11" s="60">
        <f t="shared" si="519"/>
        <v>0</v>
      </c>
      <c r="ACS11" s="76">
        <f t="shared" si="520"/>
        <v>0</v>
      </c>
      <c r="ACT11" s="46">
        <f t="shared" si="521"/>
        <v>42</v>
      </c>
      <c r="ACU11" s="46">
        <f t="shared" si="108"/>
        <v>2.6439999999999997</v>
      </c>
      <c r="ACV11" s="46">
        <f t="shared" si="522"/>
        <v>1</v>
      </c>
      <c r="ACW11" s="46">
        <f t="shared" si="523"/>
        <v>2</v>
      </c>
      <c r="ACX11" s="46">
        <f t="shared" si="524"/>
        <v>0</v>
      </c>
      <c r="ACY11" s="46" cm="1">
        <f t="array" ref="ACY11">ROUNDDOWN(IFERROR(INDEX(ArchiveResults!$F$5:$IX$116,ComparisonData!A11,ComparisonData!$ACY$1),0),5)</f>
        <v>0</v>
      </c>
      <c r="ACZ11" s="46" cm="1">
        <f t="array" ref="ACZ11">ROUNDDOWN(IFERROR(INDEX(ArchiveResults!$F$5:$IX$116,ComparisonData!A11,ComparisonData!$ACZ$1),0),5)</f>
        <v>0</v>
      </c>
      <c r="ADA11" s="46" cm="1">
        <f t="array" ref="ADA11">ROUNDDOWN(IFERROR(INDEX(ArchiveResults!$F$5:$IX$116,ComparisonData!A11,ComparisonData!$ADA$1),0),5)</f>
        <v>0</v>
      </c>
      <c r="ADB11" s="56">
        <v>6</v>
      </c>
      <c r="ADC11" s="53" t="str">
        <f t="shared" si="109"/>
        <v>Bexley Local Studies and Archive Centre</v>
      </c>
      <c r="ADD11" s="60">
        <f t="shared" si="525"/>
        <v>0</v>
      </c>
      <c r="ADE11" s="60">
        <f t="shared" si="526"/>
        <v>0</v>
      </c>
      <c r="ADF11" s="60">
        <f t="shared" si="527"/>
        <v>0</v>
      </c>
      <c r="ADG11" s="76">
        <f t="shared" si="528"/>
        <v>0</v>
      </c>
    </row>
    <row r="12" spans="1:787" x14ac:dyDescent="0.25">
      <c r="A12" s="46" t="str">
        <f>IF(ISBLANK(ComparisonSelection!F8),"",ROW()-5)</f>
        <v/>
      </c>
      <c r="B12" s="53" t="s">
        <v>462</v>
      </c>
      <c r="C12" s="72">
        <v>0.51399999999999957</v>
      </c>
      <c r="D12" s="55">
        <f t="shared" si="110"/>
        <v>16</v>
      </c>
      <c r="E12" s="54">
        <f t="shared" si="111"/>
        <v>2.5139999999999993</v>
      </c>
      <c r="F12" s="54">
        <f t="shared" si="529"/>
        <v>1</v>
      </c>
      <c r="G12" s="72">
        <f t="shared" si="112"/>
        <v>2</v>
      </c>
      <c r="H12" s="72">
        <f t="shared" si="113"/>
        <v>0</v>
      </c>
      <c r="I12" s="46" cm="1">
        <f t="array" ref="I12">ROUND(IFERROR(INDEX(ArchiveResults!$F$5:$IX$116,ComparisonData!A12,ComparisonData!$I$1),0),5)</f>
        <v>0</v>
      </c>
      <c r="J12" s="46" cm="1">
        <f t="array" ref="J12">ROUND(IFERROR(INDEX(ArchiveResults!$F$5:$IX$116,ComparisonData!A12,ComparisonData!$J$1),0),5)</f>
        <v>0</v>
      </c>
      <c r="K12" s="56">
        <v>7</v>
      </c>
      <c r="L12" s="53" t="str">
        <f t="shared" si="114"/>
        <v>Borthwick Institute for Archives</v>
      </c>
      <c r="M12" s="57">
        <f t="shared" si="0"/>
        <v>0</v>
      </c>
      <c r="N12" s="57">
        <f t="shared" si="1"/>
        <v>0</v>
      </c>
      <c r="O12" s="58">
        <f t="shared" si="115"/>
        <v>0</v>
      </c>
      <c r="P12" s="48">
        <f t="shared" si="116"/>
        <v>16</v>
      </c>
      <c r="Q12" s="54">
        <f t="shared" si="2"/>
        <v>2.5139999999999993</v>
      </c>
      <c r="R12" s="45">
        <f t="shared" si="117"/>
        <v>1</v>
      </c>
      <c r="S12" s="46">
        <f t="shared" si="118"/>
        <v>2</v>
      </c>
      <c r="T12" s="72">
        <f t="shared" si="119"/>
        <v>0</v>
      </c>
      <c r="U12" s="46" cm="1">
        <f t="array" ref="U12">ROUND(IFERROR(INDEX(ArchiveResults!$F$5:$IX$116,ComparisonData!A12,ComparisonData!$U$1),0),5)</f>
        <v>0</v>
      </c>
      <c r="V12" s="46" cm="1">
        <f t="array" ref="V12">ROUND(IFERROR(INDEX(ArchiveResults!$F$5:$IX$116,ComparisonData!A12,ComparisonData!$V$1),0),5)</f>
        <v>0</v>
      </c>
      <c r="W12" s="56">
        <v>7</v>
      </c>
      <c r="X12" s="53" t="str">
        <f t="shared" si="3"/>
        <v>Borthwick Institute for Archives</v>
      </c>
      <c r="Y12" s="57">
        <f t="shared" si="120"/>
        <v>0</v>
      </c>
      <c r="Z12" s="57">
        <f t="shared" si="121"/>
        <v>0</v>
      </c>
      <c r="AA12" s="58">
        <f t="shared" si="122"/>
        <v>0</v>
      </c>
      <c r="AB12" s="45">
        <f t="shared" si="123"/>
        <v>16</v>
      </c>
      <c r="AC12" s="54">
        <f t="shared" si="4"/>
        <v>2.5139999999999993</v>
      </c>
      <c r="AD12" s="45">
        <f t="shared" si="124"/>
        <v>1</v>
      </c>
      <c r="AE12" s="45">
        <f t="shared" si="125"/>
        <v>2</v>
      </c>
      <c r="AF12" s="45">
        <f t="shared" si="126"/>
        <v>0</v>
      </c>
      <c r="AG12" s="46" cm="1">
        <f t="array" ref="AG12">ROUND(IFERROR(INDEX(ArchiveResults!$F$5:$IX$116,ComparisonData!A12,ComparisonData!$AG$1),0),5)</f>
        <v>0</v>
      </c>
      <c r="AH12" s="46" cm="1">
        <f t="array" ref="AH12">ROUND(IFERROR(INDEX(ArchiveResults!$F$5:$IX$116,ComparisonData!A12,ComparisonData!$AH$1),0),5)</f>
        <v>0</v>
      </c>
      <c r="AI12" s="56">
        <v>7</v>
      </c>
      <c r="AJ12" s="53" t="str">
        <f t="shared" si="5"/>
        <v>Borthwick Institute for Archives</v>
      </c>
      <c r="AK12" s="59">
        <f t="shared" si="6"/>
        <v>0</v>
      </c>
      <c r="AL12" s="59">
        <f t="shared" si="7"/>
        <v>0</v>
      </c>
      <c r="AM12" s="58">
        <f t="shared" si="127"/>
        <v>0</v>
      </c>
      <c r="AN12" s="45">
        <f t="shared" si="128"/>
        <v>16</v>
      </c>
      <c r="AO12" s="54">
        <f t="shared" si="8"/>
        <v>2.5139999999999993</v>
      </c>
      <c r="AP12" s="45">
        <f t="shared" si="129"/>
        <v>1</v>
      </c>
      <c r="AQ12" s="45">
        <f t="shared" si="130"/>
        <v>2</v>
      </c>
      <c r="AR12" s="46" cm="1">
        <f t="array" ref="AR12">ROUND(IFERROR(INDEX(ArchiveResults!$F$5:$IX$116,ComparisonData!A12,ComparisonData!$AR$1),0),5)</f>
        <v>0</v>
      </c>
      <c r="AS12" s="46" cm="1">
        <f t="array" ref="AS12">ROUND(IFERROR(INDEX(ArchiveResults!$F$5:$IX$116,ComparisonData!A12,ComparisonData!$AS$1),0),5)</f>
        <v>0</v>
      </c>
      <c r="AT12" s="46" cm="1">
        <f t="array" ref="AT12">ROUND(IFERROR(INDEX(ArchiveResults!$F$5:$IX$116,ComparisonData!A12,ComparisonData!$AT$1),0),5)</f>
        <v>0</v>
      </c>
      <c r="AU12" s="46" cm="1">
        <f t="array" ref="AU12">ROUND(IFERROR(INDEX(ArchiveResults!$F$5:$IX$116,ComparisonData!A12,ComparisonData!$AU$1),0),5)</f>
        <v>0</v>
      </c>
      <c r="AV12" s="46" cm="1">
        <f t="array" ref="AV12">ROUND(IFERROR(INDEX(ArchiveResults!$F$5:$IX$116,ComparisonData!A12,ComparisonData!$AV$1),0),5)</f>
        <v>0</v>
      </c>
      <c r="AW12" s="46" cm="1">
        <f t="array" ref="AW12">ROUND(IFERROR(INDEX(ArchiveResults!$F$5:$IX$116,ComparisonData!A12,ComparisonData!$AW$1),0),5)</f>
        <v>0</v>
      </c>
      <c r="AX12" s="46" cm="1">
        <f t="array" ref="AX12">ROUND(IFERROR(INDEX(ArchiveResults!$F$5:$IX$116,ComparisonData!A12,ComparisonData!$AX$1),0),5)</f>
        <v>0</v>
      </c>
      <c r="AY12" s="46" cm="1">
        <f t="array" ref="AY12">ROUND(IFERROR(INDEX(ArchiveResults!$F$5:$IX$116,ComparisonData!A12,ComparisonData!$AY$1),0),5)</f>
        <v>0</v>
      </c>
      <c r="AZ12" s="46" cm="1">
        <f t="array" ref="AZ12">ROUND(IFERROR(INDEX(ArchiveResults!$F$5:$IX$116,ComparisonData!A12,ComparisonData!$AZ$1),0),5)</f>
        <v>0</v>
      </c>
      <c r="BA12" s="46" cm="1">
        <f t="array" ref="BA12">ROUND(IFERROR(INDEX(ArchiveResults!$F$5:$IX$116,ComparisonData!A12,ComparisonData!$BA$1),0),5)</f>
        <v>0</v>
      </c>
      <c r="BB12" s="56">
        <v>7</v>
      </c>
      <c r="BC12" s="53" t="str">
        <f t="shared" si="9"/>
        <v>Borthwick Institute for Archives</v>
      </c>
      <c r="BD12" s="60">
        <f t="shared" si="131"/>
        <v>0</v>
      </c>
      <c r="BE12" s="60">
        <f t="shared" si="132"/>
        <v>0</v>
      </c>
      <c r="BF12" s="60">
        <f t="shared" si="133"/>
        <v>0</v>
      </c>
      <c r="BG12" s="60">
        <f t="shared" si="134"/>
        <v>0</v>
      </c>
      <c r="BH12" s="60">
        <f t="shared" si="135"/>
        <v>0</v>
      </c>
      <c r="BI12" s="60">
        <f t="shared" si="136"/>
        <v>0</v>
      </c>
      <c r="BJ12" s="60">
        <f t="shared" si="137"/>
        <v>0</v>
      </c>
      <c r="BK12" s="60">
        <f t="shared" si="138"/>
        <v>0</v>
      </c>
      <c r="BL12" s="60">
        <f t="shared" si="139"/>
        <v>0</v>
      </c>
      <c r="BM12" s="59">
        <f t="shared" si="140"/>
        <v>0</v>
      </c>
      <c r="BN12" s="58">
        <f t="shared" si="141"/>
        <v>0</v>
      </c>
      <c r="BO12" s="45">
        <f t="shared" si="142"/>
        <v>16</v>
      </c>
      <c r="BP12" s="54">
        <f t="shared" si="10"/>
        <v>2.5139999999999993</v>
      </c>
      <c r="BQ12" s="45">
        <f t="shared" si="143"/>
        <v>1</v>
      </c>
      <c r="BR12" s="45">
        <f t="shared" si="144"/>
        <v>2</v>
      </c>
      <c r="BS12" s="46" cm="1">
        <f t="array" ref="BS12">ROUND(IFERROR(INDEX(ArchiveResults!$F$5:$IX$116,ComparisonData!A12,ComparisonData!$BS$1),0),5)</f>
        <v>0</v>
      </c>
      <c r="BT12" s="46" cm="1">
        <f t="array" ref="BT12">ROUND(IFERROR(INDEX(ArchiveResults!$F$5:$IX$116,ComparisonData!A12,ComparisonData!$BT$1),0),5)</f>
        <v>0</v>
      </c>
      <c r="BU12" s="46" cm="1">
        <f t="array" ref="BU12">ROUND(IFERROR(INDEX(ArchiveResults!$F$5:$IX$116,ComparisonData!A12,ComparisonData!$BU$1),0),5)</f>
        <v>0</v>
      </c>
      <c r="BV12" s="46" cm="1">
        <f t="array" ref="BV12">ROUND(IFERROR(INDEX(ArchiveResults!$F$5:$IX$116,ComparisonData!A12,ComparisonData!$BV$1),0),5)</f>
        <v>0</v>
      </c>
      <c r="BW12" s="46" cm="1">
        <f t="array" ref="BW12">ROUND(IFERROR(INDEX(ArchiveResults!$F$5:$IX$116,ComparisonData!A12,ComparisonData!$BW$1),0),5)</f>
        <v>0</v>
      </c>
      <c r="BX12" s="46" cm="1">
        <f t="array" ref="BX12">ROUND(IFERROR(INDEX(ArchiveResults!$F$5:$IX$116,ComparisonData!A12,ComparisonData!$BX$1),0),5)</f>
        <v>0</v>
      </c>
      <c r="BY12" s="56">
        <v>7</v>
      </c>
      <c r="BZ12" s="53" t="str">
        <f t="shared" si="11"/>
        <v>Borthwick Institute for Archives</v>
      </c>
      <c r="CA12" s="59">
        <f t="shared" si="145"/>
        <v>0</v>
      </c>
      <c r="CB12" s="59">
        <f t="shared" si="146"/>
        <v>0</v>
      </c>
      <c r="CC12" s="59">
        <f t="shared" si="147"/>
        <v>0</v>
      </c>
      <c r="CD12" s="59">
        <f t="shared" si="148"/>
        <v>0</v>
      </c>
      <c r="CE12" s="59">
        <f t="shared" si="149"/>
        <v>0</v>
      </c>
      <c r="CF12" s="59">
        <f t="shared" si="150"/>
        <v>0</v>
      </c>
      <c r="CG12" s="58">
        <f t="shared" si="151"/>
        <v>0</v>
      </c>
      <c r="CH12" s="45">
        <f t="shared" si="152"/>
        <v>16</v>
      </c>
      <c r="CI12" s="54">
        <f t="shared" si="12"/>
        <v>2.5139999999999993</v>
      </c>
      <c r="CJ12" s="45">
        <f t="shared" si="153"/>
        <v>1</v>
      </c>
      <c r="CK12" s="45">
        <f t="shared" si="154"/>
        <v>2</v>
      </c>
      <c r="CL12" s="46" cm="1">
        <f t="array" ref="CL12">ROUND(IFERROR(INDEX(ArchiveResults!$F$5:$IX$116,ComparisonData!A12,ComparisonData!$CL$1),0),5)</f>
        <v>0</v>
      </c>
      <c r="CM12" s="56">
        <v>7</v>
      </c>
      <c r="CN12" s="53" t="str">
        <f t="shared" si="13"/>
        <v>Borthwick Institute for Archives</v>
      </c>
      <c r="CO12" s="45">
        <f t="shared" si="155"/>
        <v>0</v>
      </c>
      <c r="CP12" s="58">
        <f t="shared" si="156"/>
        <v>0</v>
      </c>
      <c r="CQ12" s="45">
        <f t="shared" si="157"/>
        <v>16</v>
      </c>
      <c r="CR12" s="54">
        <f t="shared" si="14"/>
        <v>2.5139999999999993</v>
      </c>
      <c r="CS12" s="45">
        <f t="shared" si="158"/>
        <v>1</v>
      </c>
      <c r="CT12" s="45">
        <f t="shared" si="159"/>
        <v>2</v>
      </c>
      <c r="CU12" s="46" cm="1">
        <f t="array" ref="CU12">ROUND(IFERROR(INDEX(ArchiveResults!$F$5:$IX$116,ComparisonData!A12,ComparisonData!$CU$1),0),5)</f>
        <v>0</v>
      </c>
      <c r="CV12" s="56">
        <v>7</v>
      </c>
      <c r="CW12" s="53" t="str">
        <f t="shared" si="15"/>
        <v>Borthwick Institute for Archives</v>
      </c>
      <c r="CX12" s="45">
        <f t="shared" si="160"/>
        <v>0</v>
      </c>
      <c r="CY12" s="58">
        <f t="shared" si="161"/>
        <v>0</v>
      </c>
      <c r="CZ12" s="45">
        <f t="shared" si="162"/>
        <v>16</v>
      </c>
      <c r="DA12" s="54">
        <f t="shared" si="16"/>
        <v>2.5139999999999993</v>
      </c>
      <c r="DB12" s="45">
        <f t="shared" si="163"/>
        <v>1</v>
      </c>
      <c r="DC12" s="45">
        <f t="shared" si="164"/>
        <v>2</v>
      </c>
      <c r="DD12" s="46" cm="1">
        <f t="array" ref="DD12">ROUND(IFERROR(INDEX(ArchiveResults!$F$5:$IX$116,ComparisonData!A12,ComparisonData!$DD$1),0),5)</f>
        <v>0</v>
      </c>
      <c r="DE12" s="56">
        <v>7</v>
      </c>
      <c r="DF12" s="53" t="str">
        <f t="shared" si="17"/>
        <v>Borthwick Institute for Archives</v>
      </c>
      <c r="DG12" s="45">
        <f t="shared" si="165"/>
        <v>0</v>
      </c>
      <c r="DH12" s="58">
        <f t="shared" si="166"/>
        <v>0</v>
      </c>
      <c r="DI12" s="45">
        <f t="shared" si="167"/>
        <v>16</v>
      </c>
      <c r="DJ12" s="54">
        <f t="shared" si="18"/>
        <v>2.5139999999999993</v>
      </c>
      <c r="DK12" s="45">
        <f t="shared" si="168"/>
        <v>1</v>
      </c>
      <c r="DL12" s="45">
        <f t="shared" si="169"/>
        <v>2</v>
      </c>
      <c r="DM12" s="46" cm="1">
        <f t="array" ref="DM12">ROUND(IFERROR(INDEX(ArchiveResults!$F$5:$IX$116,ComparisonData!A12,ComparisonData!$DM$1),0),5)</f>
        <v>0</v>
      </c>
      <c r="DN12" s="46" cm="1">
        <f t="array" ref="DN12">ROUND(IFERROR(INDEX(ArchiveResults!$F$5:$IX$116,ComparisonData!A12,ComparisonData!$DN$1),0),5)</f>
        <v>0</v>
      </c>
      <c r="DO12" s="46" cm="1">
        <f t="array" ref="DO12">ROUND(IFERROR(INDEX(ArchiveResults!$F$5:$IX$116,ComparisonData!A12,ComparisonData!$DO$1),0),5)</f>
        <v>0</v>
      </c>
      <c r="DP12" s="46" cm="1">
        <f t="array" ref="DP12">ROUND(IFERROR(INDEX(ArchiveResults!$F$5:$IX$116,ComparisonData!A12,ComparisonData!$DP$1),0),5)</f>
        <v>0</v>
      </c>
      <c r="DQ12" s="45" cm="1">
        <f t="array" ref="DQ12">IFERROR(INDEX(ArchiveResults!$F$5:$IX$116,ComparisonData!A12,ComparisonData!$DQ$1),0)</f>
        <v>0</v>
      </c>
      <c r="DR12" s="56">
        <v>7</v>
      </c>
      <c r="DS12" s="53" t="str">
        <f t="shared" si="19"/>
        <v>Borthwick Institute for Archives</v>
      </c>
      <c r="DT12" s="59">
        <f t="shared" si="170"/>
        <v>0</v>
      </c>
      <c r="DU12" s="59">
        <f t="shared" si="171"/>
        <v>0</v>
      </c>
      <c r="DV12" s="59">
        <f t="shared" si="172"/>
        <v>0</v>
      </c>
      <c r="DW12" s="59">
        <f t="shared" si="173"/>
        <v>0</v>
      </c>
      <c r="DX12" s="59">
        <f t="shared" si="174"/>
        <v>0</v>
      </c>
      <c r="DY12" s="58">
        <f t="shared" si="175"/>
        <v>0</v>
      </c>
      <c r="DZ12" s="45">
        <f t="shared" si="176"/>
        <v>16</v>
      </c>
      <c r="EA12" s="54">
        <f t="shared" si="20"/>
        <v>2.5139999999999993</v>
      </c>
      <c r="EB12" s="45">
        <f t="shared" si="177"/>
        <v>1</v>
      </c>
      <c r="EC12" s="45">
        <f t="shared" si="178"/>
        <v>2</v>
      </c>
      <c r="ED12" s="46" cm="1">
        <f t="array" ref="ED12">ROUND(IFERROR(INDEX(ArchiveResults!$F$5:$IX$116,ComparisonData!A12,ComparisonData!$ED$1),0),5)</f>
        <v>0</v>
      </c>
      <c r="EE12" s="46" cm="1">
        <f t="array" ref="EE12">ROUND(IFERROR(INDEX(ArchiveResults!$F$5:$IX$116,ComparisonData!A12,ComparisonData!$EE$1),0),5)</f>
        <v>0</v>
      </c>
      <c r="EF12" s="46" cm="1">
        <f t="array" ref="EF12">ROUND(IFERROR(INDEX(ArchiveResults!$F$5:$IX$116,ComparisonData!A12,ComparisonData!$EF$1),0),5)</f>
        <v>0</v>
      </c>
      <c r="EG12" s="46" cm="1">
        <f t="array" ref="EG12">ROUND(IFERROR(INDEX(ArchiveResults!$F$5:$IX$116,ComparisonData!A12,ComparisonData!$EG$1),0),5)</f>
        <v>0</v>
      </c>
      <c r="EH12" s="45" cm="1">
        <f t="array" ref="EH12">IFERROR(INDEX(ArchiveResults!$F$5:$IX$116,ComparisonData!A12,ComparisonData!$EH$1),0)</f>
        <v>0</v>
      </c>
      <c r="EI12" s="56">
        <v>7</v>
      </c>
      <c r="EJ12" s="53" t="str">
        <f t="shared" si="21"/>
        <v>Borthwick Institute for Archives</v>
      </c>
      <c r="EK12" s="59">
        <f t="shared" si="179"/>
        <v>0</v>
      </c>
      <c r="EL12" s="59">
        <f t="shared" si="180"/>
        <v>0</v>
      </c>
      <c r="EM12" s="59">
        <f t="shared" si="181"/>
        <v>0</v>
      </c>
      <c r="EN12" s="59">
        <f t="shared" si="182"/>
        <v>0</v>
      </c>
      <c r="EO12" s="59">
        <f t="shared" si="183"/>
        <v>0</v>
      </c>
      <c r="EP12" s="58">
        <f t="shared" si="184"/>
        <v>0</v>
      </c>
      <c r="EQ12" s="45">
        <f t="shared" si="185"/>
        <v>16</v>
      </c>
      <c r="ER12" s="54">
        <f t="shared" si="22"/>
        <v>2.5139999999999993</v>
      </c>
      <c r="ES12" s="45">
        <f t="shared" si="186"/>
        <v>1</v>
      </c>
      <c r="ET12" s="45">
        <f t="shared" si="187"/>
        <v>2</v>
      </c>
      <c r="EU12" s="46" cm="1">
        <f t="array" ref="EU12">ROUND(IFERROR(INDEX(ArchiveResults!$F$5:$IX$116,ComparisonData!A12,ComparisonData!$EU$1),0),5)</f>
        <v>0</v>
      </c>
      <c r="EV12" s="46" cm="1">
        <f t="array" ref="EV12">ROUND(IFERROR(INDEX(ArchiveResults!$F$5:$IX$116,ComparisonData!A12,ComparisonData!$EV$1),0),5)</f>
        <v>0</v>
      </c>
      <c r="EW12" s="46" cm="1">
        <f t="array" ref="EW12">ROUND(IFERROR(INDEX(ArchiveResults!$F$5:$IX$116,ComparisonData!A12,ComparisonData!$EW$1),0),5)</f>
        <v>0</v>
      </c>
      <c r="EX12" s="46" cm="1">
        <f t="array" ref="EX12">ROUND(IFERROR(INDEX(ArchiveResults!$F$5:$IX$116,ComparisonData!A12,ComparisonData!$EX$1),0),5)</f>
        <v>0</v>
      </c>
      <c r="EY12" s="45" cm="1">
        <f t="array" ref="EY12">IFERROR(INDEX(ArchiveResults!$F$5:$IX$116,ComparisonData!A12,ComparisonData!$EY$1),0)</f>
        <v>0</v>
      </c>
      <c r="EZ12" s="56">
        <v>7</v>
      </c>
      <c r="FA12" s="53" t="str">
        <f t="shared" si="23"/>
        <v>Borthwick Institute for Archives</v>
      </c>
      <c r="FB12" s="59">
        <f t="shared" si="188"/>
        <v>0</v>
      </c>
      <c r="FC12" s="59">
        <f t="shared" si="189"/>
        <v>0</v>
      </c>
      <c r="FD12" s="59">
        <f t="shared" si="190"/>
        <v>0</v>
      </c>
      <c r="FE12" s="59">
        <f t="shared" si="191"/>
        <v>0</v>
      </c>
      <c r="FF12" s="59">
        <f t="shared" si="192"/>
        <v>0</v>
      </c>
      <c r="FG12" s="58">
        <f t="shared" si="193"/>
        <v>0</v>
      </c>
      <c r="FH12" s="45">
        <f t="shared" si="194"/>
        <v>16</v>
      </c>
      <c r="FI12" s="54">
        <f t="shared" si="24"/>
        <v>2.5139999999999993</v>
      </c>
      <c r="FJ12" s="45">
        <f t="shared" si="195"/>
        <v>1</v>
      </c>
      <c r="FK12" s="45">
        <f t="shared" si="196"/>
        <v>2</v>
      </c>
      <c r="FL12" s="46" cm="1">
        <f t="array" ref="FL12">ROUND(IFERROR(INDEX(ArchiveResults!$F$5:$IX$116,ComparisonData!A12,ComparisonData!$FL$1),0),5)</f>
        <v>0</v>
      </c>
      <c r="FM12" s="46" cm="1">
        <f t="array" ref="FM12">ROUND(IFERROR(INDEX(ArchiveResults!$F$5:$IX$116,ComparisonData!A12,ComparisonData!$FM$1),0),5)</f>
        <v>0</v>
      </c>
      <c r="FN12" s="46" cm="1">
        <f t="array" ref="FN12">ROUND(IFERROR(INDEX(ArchiveResults!$F$5:$IX$116,ComparisonData!A12,ComparisonData!$FN$1),0),5)</f>
        <v>0</v>
      </c>
      <c r="FO12" s="46" cm="1">
        <f t="array" ref="FO12">ROUND(IFERROR(INDEX(ArchiveResults!$F$5:$IX$116,ComparisonData!A12,ComparisonData!$FO$1),0),5)</f>
        <v>0</v>
      </c>
      <c r="FP12" s="45" cm="1">
        <f t="array" ref="FP12">IFERROR(INDEX(ArchiveResults!$F$5:$IX$116,ComparisonData!A12,ComparisonData!$FP$1),0)</f>
        <v>0</v>
      </c>
      <c r="FQ12" s="56">
        <v>7</v>
      </c>
      <c r="FR12" s="53" t="str">
        <f t="shared" si="25"/>
        <v>Borthwick Institute for Archives</v>
      </c>
      <c r="FS12" s="59">
        <f t="shared" si="197"/>
        <v>0</v>
      </c>
      <c r="FT12" s="59">
        <f t="shared" si="198"/>
        <v>0</v>
      </c>
      <c r="FU12" s="59">
        <f t="shared" si="199"/>
        <v>0</v>
      </c>
      <c r="FV12" s="59">
        <f t="shared" si="200"/>
        <v>0</v>
      </c>
      <c r="FW12" s="59">
        <f t="shared" si="201"/>
        <v>0</v>
      </c>
      <c r="FX12" s="58">
        <f t="shared" si="202"/>
        <v>0</v>
      </c>
      <c r="FY12" s="45">
        <f t="shared" si="203"/>
        <v>16</v>
      </c>
      <c r="FZ12" s="45">
        <f t="shared" si="26"/>
        <v>2.5139999999999993</v>
      </c>
      <c r="GA12" s="45">
        <f t="shared" si="204"/>
        <v>1</v>
      </c>
      <c r="GB12" s="45">
        <f t="shared" si="205"/>
        <v>2</v>
      </c>
      <c r="GC12" s="46" cm="1">
        <f t="array" ref="GC12">ROUND(IFERROR(INDEX(ArchiveResults!$F$5:$IX$116,ComparisonData!A12,ComparisonData!$GC$1),0),5)</f>
        <v>0</v>
      </c>
      <c r="GD12" s="46" cm="1">
        <f t="array" ref="GD12">ROUND(IFERROR(INDEX(ArchiveResults!$F$5:$IX$116,ComparisonData!A12,ComparisonData!$GD$1),0),5)</f>
        <v>0</v>
      </c>
      <c r="GE12" s="46" cm="1">
        <f t="array" ref="GE12">ROUND(IFERROR(INDEX(ArchiveResults!$F$5:$IX$116,ComparisonData!A12,ComparisonData!$GE$1),0),5)</f>
        <v>0</v>
      </c>
      <c r="GF12" s="46" cm="1">
        <f t="array" ref="GF12">ROUND(IFERROR(INDEX(ArchiveResults!$F$5:$IX$116,ComparisonData!A12,ComparisonData!$GF$1),0),5)</f>
        <v>0</v>
      </c>
      <c r="GG12" s="45" cm="1">
        <f t="array" ref="GG12">IFERROR(INDEX(ArchiveResults!$F$5:$IX$116,ComparisonData!A12,ComparisonData!$GG$1),0)</f>
        <v>0</v>
      </c>
      <c r="GH12" s="56">
        <v>7</v>
      </c>
      <c r="GI12" s="53" t="str">
        <f t="shared" si="27"/>
        <v>Borthwick Institute for Archives</v>
      </c>
      <c r="GJ12" s="59">
        <f t="shared" si="206"/>
        <v>0</v>
      </c>
      <c r="GK12" s="59">
        <f t="shared" si="207"/>
        <v>0</v>
      </c>
      <c r="GL12" s="59">
        <f t="shared" si="208"/>
        <v>0</v>
      </c>
      <c r="GM12" s="59">
        <f t="shared" si="209"/>
        <v>0</v>
      </c>
      <c r="GN12" s="59">
        <f t="shared" si="210"/>
        <v>0</v>
      </c>
      <c r="GO12" s="58">
        <f t="shared" si="211"/>
        <v>0</v>
      </c>
      <c r="GP12" s="45">
        <f t="shared" si="212"/>
        <v>16</v>
      </c>
      <c r="GQ12" s="45">
        <f t="shared" si="28"/>
        <v>2.5139999999999993</v>
      </c>
      <c r="GR12" s="45">
        <f t="shared" si="213"/>
        <v>1</v>
      </c>
      <c r="GS12" s="45">
        <f t="shared" si="214"/>
        <v>2</v>
      </c>
      <c r="GT12" s="46" cm="1">
        <f t="array" ref="GT12">ROUND(IFERROR(INDEX(ArchiveResults!$F$5:$IX$116,ComparisonData!A12,ComparisonData!$GT$1),0),5)</f>
        <v>0</v>
      </c>
      <c r="GU12" s="46" cm="1">
        <f t="array" ref="GU12">ROUND(IFERROR(INDEX(ArchiveResults!$F$5:$IX$116,ComparisonData!A12,ComparisonData!$GU$1),0),5)</f>
        <v>0</v>
      </c>
      <c r="GV12" s="46" cm="1">
        <f t="array" ref="GV12">ROUND(IFERROR(INDEX(ArchiveResults!$F$5:$IX$116,ComparisonData!A12,ComparisonData!$GV$1),0),5)</f>
        <v>0</v>
      </c>
      <c r="GW12" s="46" cm="1">
        <f t="array" ref="GW12">ROUND(IFERROR(INDEX(ArchiveResults!$F$5:$IX$116,ComparisonData!A12,ComparisonData!$GW$1),0),5)</f>
        <v>0</v>
      </c>
      <c r="GX12" s="45" cm="1">
        <f t="array" ref="GX12">IFERROR(INDEX(ArchiveResults!$F$5:$IX$116,ComparisonData!A12,ComparisonData!$GX$1),0)</f>
        <v>0</v>
      </c>
      <c r="GY12" s="56">
        <v>7</v>
      </c>
      <c r="GZ12" s="53" t="str">
        <f t="shared" si="29"/>
        <v>Borthwick Institute for Archives</v>
      </c>
      <c r="HA12" s="59">
        <f t="shared" si="215"/>
        <v>0</v>
      </c>
      <c r="HB12" s="59">
        <f t="shared" si="216"/>
        <v>0</v>
      </c>
      <c r="HC12" s="59">
        <f t="shared" si="217"/>
        <v>0</v>
      </c>
      <c r="HD12" s="59">
        <f t="shared" si="218"/>
        <v>0</v>
      </c>
      <c r="HE12" s="59">
        <f t="shared" si="219"/>
        <v>0</v>
      </c>
      <c r="HF12" s="58">
        <f t="shared" si="220"/>
        <v>0</v>
      </c>
      <c r="HG12" s="45">
        <f t="shared" si="221"/>
        <v>16</v>
      </c>
      <c r="HH12" s="45">
        <f t="shared" si="30"/>
        <v>2.5139999999999993</v>
      </c>
      <c r="HI12" s="45">
        <f t="shared" si="222"/>
        <v>1</v>
      </c>
      <c r="HJ12" s="45">
        <f t="shared" si="223"/>
        <v>2</v>
      </c>
      <c r="HK12" s="46" cm="1">
        <f t="array" ref="HK12">ROUND(IFERROR(INDEX(ArchiveResults!$F$5:$IX$116,ComparisonData!A12,ComparisonData!$HK$1),0),5)</f>
        <v>0</v>
      </c>
      <c r="HL12" s="46" cm="1">
        <f t="array" ref="HL12">ROUND(IFERROR(INDEX(ArchiveResults!$F$5:$IX$116,ComparisonData!A12,ComparisonData!$HL$1),0),5)</f>
        <v>0</v>
      </c>
      <c r="HM12" s="46" cm="1">
        <f t="array" ref="HM12">ROUND(IFERROR(INDEX(ArchiveResults!$F$5:$IX$116,ComparisonData!A12,ComparisonData!$HM$1),0),5)</f>
        <v>0</v>
      </c>
      <c r="HN12" s="46" cm="1">
        <f t="array" ref="HN12">ROUND(IFERROR(INDEX(ArchiveResults!$F$5:$IX$116,ComparisonData!A12,ComparisonData!$HN$1),0),5)</f>
        <v>0</v>
      </c>
      <c r="HO12" s="45" cm="1">
        <f t="array" ref="HO12">IFERROR(INDEX(ArchiveResults!$F$5:$IX$116,ComparisonData!A12,ComparisonData!$HO$1),0)</f>
        <v>0</v>
      </c>
      <c r="HP12" s="56">
        <v>7</v>
      </c>
      <c r="HQ12" s="53" t="str">
        <f t="shared" si="31"/>
        <v>Borthwick Institute for Archives</v>
      </c>
      <c r="HR12" s="59">
        <f t="shared" si="32"/>
        <v>0</v>
      </c>
      <c r="HS12" s="59">
        <f t="shared" si="33"/>
        <v>0</v>
      </c>
      <c r="HT12" s="59">
        <f t="shared" si="34"/>
        <v>0</v>
      </c>
      <c r="HU12" s="59">
        <f t="shared" si="35"/>
        <v>0</v>
      </c>
      <c r="HV12" s="59">
        <f t="shared" si="36"/>
        <v>0</v>
      </c>
      <c r="HW12" s="58">
        <f t="shared" si="224"/>
        <v>0</v>
      </c>
      <c r="HX12" s="45">
        <f t="shared" si="225"/>
        <v>16</v>
      </c>
      <c r="HY12" s="45">
        <f t="shared" si="37"/>
        <v>2.5139999999999993</v>
      </c>
      <c r="HZ12" s="45">
        <f t="shared" si="226"/>
        <v>1</v>
      </c>
      <c r="IA12" s="45">
        <f t="shared" si="227"/>
        <v>2</v>
      </c>
      <c r="IB12" s="45">
        <f t="shared" si="228"/>
        <v>0</v>
      </c>
      <c r="IC12" s="46" cm="1">
        <f t="array" ref="IC12">ROUND(IFERROR(INDEX(ArchiveResults!$F$5:$IX$116,ComparisonData!A12,ComparisonData!$IC$1),0),5)</f>
        <v>0</v>
      </c>
      <c r="ID12" s="46" cm="1">
        <f t="array" ref="ID12">ROUND(IFERROR(INDEX(ArchiveResults!$F$5:$IX$116,ComparisonData!A12,ComparisonData!$ID$1),0),5)</f>
        <v>0</v>
      </c>
      <c r="IE12" s="46" cm="1">
        <f t="array" ref="IE12">ROUND(IFERROR(INDEX(ArchiveResults!$F$5:$IX$116,ComparisonData!A12,ComparisonData!$IE$1),0),5)</f>
        <v>0</v>
      </c>
      <c r="IF12" s="46" cm="1">
        <f t="array" ref="IF12">ROUND(IFERROR(INDEX(ArchiveResults!$F$5:$IX$116,ComparisonData!A12,ComparisonData!$IF$1),0),5)</f>
        <v>0</v>
      </c>
      <c r="IG12" s="45" cm="1">
        <f t="array" ref="IG12">IFERROR(INDEX(ArchiveResults!$F$5:$IX$116,ComparisonData!A12,ComparisonData!$IG$1),0)</f>
        <v>0</v>
      </c>
      <c r="IH12" s="56">
        <v>7</v>
      </c>
      <c r="II12" s="53" t="str">
        <f t="shared" si="38"/>
        <v>Borthwick Institute for Archives</v>
      </c>
      <c r="IJ12" s="59">
        <f t="shared" si="229"/>
        <v>0</v>
      </c>
      <c r="IK12" s="59">
        <f t="shared" si="230"/>
        <v>0</v>
      </c>
      <c r="IL12" s="59">
        <f t="shared" si="231"/>
        <v>0</v>
      </c>
      <c r="IM12" s="59">
        <f t="shared" si="232"/>
        <v>0</v>
      </c>
      <c r="IN12" s="59">
        <f t="shared" si="233"/>
        <v>0</v>
      </c>
      <c r="IO12" s="58">
        <f t="shared" si="234"/>
        <v>0</v>
      </c>
      <c r="IP12" s="45">
        <f t="shared" si="235"/>
        <v>16</v>
      </c>
      <c r="IQ12" s="45">
        <f t="shared" si="39"/>
        <v>2.5139999999999993</v>
      </c>
      <c r="IR12" s="45">
        <f t="shared" si="236"/>
        <v>1</v>
      </c>
      <c r="IS12" s="45">
        <f t="shared" si="237"/>
        <v>2</v>
      </c>
      <c r="IT12" s="46">
        <f t="shared" si="238"/>
        <v>0</v>
      </c>
      <c r="IU12" s="46" cm="1">
        <f t="array" ref="IU12">ROUND(IFERROR(INDEX(ArchiveResults!$F$5:$IX$116,ComparisonData!A12,ComparisonData!$IU$1),0),5)</f>
        <v>0</v>
      </c>
      <c r="IV12" s="46" cm="1">
        <f t="array" ref="IV12">ROUND(IFERROR(INDEX(ArchiveResults!$F$5:$IX$116,ComparisonData!A12,ComparisonData!$IV$1),0),5)</f>
        <v>0</v>
      </c>
      <c r="IW12" s="46" cm="1">
        <f t="array" ref="IW12">ROUND(IFERROR(INDEX(ArchiveResults!$F$5:$IX$116,ComparisonData!A12,ComparisonData!$IW$1),0),5)</f>
        <v>0</v>
      </c>
      <c r="IX12" s="46" cm="1">
        <f t="array" ref="IX12">ROUND(IFERROR(INDEX(ArchiveResults!$F$5:$IX$116,ComparisonData!A12,ComparisonData!$IX$1),0),5)</f>
        <v>0</v>
      </c>
      <c r="IY12" s="45" cm="1">
        <f t="array" ref="IY12">IFERROR(INDEX(ArchiveResults!$F$5:$IX$116,ComparisonData!A12,ComparisonData!$IY$1),0)</f>
        <v>0</v>
      </c>
      <c r="IZ12" s="56">
        <v>7</v>
      </c>
      <c r="JA12" s="53" t="str">
        <f t="shared" si="40"/>
        <v>Borthwick Institute for Archives</v>
      </c>
      <c r="JB12" s="59">
        <f t="shared" si="239"/>
        <v>0</v>
      </c>
      <c r="JC12" s="59">
        <f t="shared" si="240"/>
        <v>0</v>
      </c>
      <c r="JD12" s="59">
        <f t="shared" si="241"/>
        <v>0</v>
      </c>
      <c r="JE12" s="59">
        <f t="shared" si="242"/>
        <v>0</v>
      </c>
      <c r="JF12" s="59">
        <f t="shared" si="243"/>
        <v>0</v>
      </c>
      <c r="JG12" s="58">
        <f t="shared" si="244"/>
        <v>0</v>
      </c>
      <c r="JH12" s="45">
        <f t="shared" si="245"/>
        <v>16</v>
      </c>
      <c r="JI12" s="45">
        <f t="shared" si="41"/>
        <v>2.5139999999999993</v>
      </c>
      <c r="JJ12" s="45">
        <f t="shared" si="246"/>
        <v>1</v>
      </c>
      <c r="JK12" s="45">
        <f t="shared" si="247"/>
        <v>2</v>
      </c>
      <c r="JL12" s="45">
        <f t="shared" si="248"/>
        <v>0</v>
      </c>
      <c r="JM12" s="46" cm="1">
        <f t="array" ref="JM12">ROUND(IFERROR(INDEX(ArchiveResults!$F$5:$IX$116,ComparisonData!A12,ComparisonData!$JM$1),0),5)</f>
        <v>0</v>
      </c>
      <c r="JN12" s="46" cm="1">
        <f t="array" ref="JN12">ROUND(IFERROR(INDEX(ArchiveResults!$F$5:$IX$116,ComparisonData!A12,ComparisonData!$JN$1),0),5)</f>
        <v>0</v>
      </c>
      <c r="JO12" s="46" cm="1">
        <f t="array" ref="JO12">ROUND(IFERROR(INDEX(ArchiveResults!$F$5:$IX$116,ComparisonData!A12,ComparisonData!$JO$1),0),5)</f>
        <v>0</v>
      </c>
      <c r="JP12" s="46" cm="1">
        <f t="array" ref="JP12">ROUND(IFERROR(INDEX(ArchiveResults!$F$5:$IX$116,ComparisonData!A12,ComparisonData!$JP$1),0),5)</f>
        <v>0</v>
      </c>
      <c r="JQ12" s="45" cm="1">
        <f t="array" ref="JQ12">IFERROR(INDEX(ArchiveResults!$F$5:$IX$116,ComparisonData!A12,ComparisonData!$JQ$1),0)</f>
        <v>0</v>
      </c>
      <c r="JR12" s="56">
        <v>7</v>
      </c>
      <c r="JS12" s="53" t="str">
        <f t="shared" si="42"/>
        <v>Borthwick Institute for Archives</v>
      </c>
      <c r="JT12" s="59">
        <f t="shared" si="249"/>
        <v>0</v>
      </c>
      <c r="JU12" s="59">
        <f t="shared" si="250"/>
        <v>0</v>
      </c>
      <c r="JV12" s="59">
        <f t="shared" si="251"/>
        <v>0</v>
      </c>
      <c r="JW12" s="59">
        <f t="shared" si="252"/>
        <v>0</v>
      </c>
      <c r="JX12" s="59">
        <f t="shared" si="253"/>
        <v>0</v>
      </c>
      <c r="JY12" s="58">
        <f t="shared" si="254"/>
        <v>0</v>
      </c>
      <c r="JZ12" s="45">
        <f t="shared" si="255"/>
        <v>16</v>
      </c>
      <c r="KA12" s="45">
        <f t="shared" si="43"/>
        <v>2.5139999999999993</v>
      </c>
      <c r="KB12" s="45">
        <f t="shared" si="256"/>
        <v>1</v>
      </c>
      <c r="KC12" s="45">
        <f t="shared" si="257"/>
        <v>2</v>
      </c>
      <c r="KD12" s="45">
        <f t="shared" si="258"/>
        <v>0</v>
      </c>
      <c r="KE12" s="46" cm="1">
        <f t="array" ref="KE12">ROUND(IFERROR(INDEX(ArchiveResults!$F$5:$IX$116,ComparisonData!A12,ComparisonData!$KE$1),0),5)</f>
        <v>0</v>
      </c>
      <c r="KF12" s="46" cm="1">
        <f t="array" ref="KF12">ROUND(IFERROR(INDEX(ArchiveResults!$F$5:$IX$116,ComparisonData!A12,ComparisonData!$KF$1),0),5)</f>
        <v>0</v>
      </c>
      <c r="KG12" s="46" cm="1">
        <f t="array" ref="KG12">ROUND(IFERROR(INDEX(ArchiveResults!$F$5:$IX$116,ComparisonData!A12,ComparisonData!$KG$1),0),5)</f>
        <v>0</v>
      </c>
      <c r="KH12" s="46" cm="1">
        <f t="array" ref="KH12">ROUND(IFERROR(INDEX(ArchiveResults!$F$5:$IX$116,ComparisonData!A12,ComparisonData!$KH$1),0),5)</f>
        <v>0</v>
      </c>
      <c r="KI12" s="45" cm="1">
        <f t="array" ref="KI12">IFERROR(INDEX(ArchiveResults!$F$5:$IX$116,ComparisonData!A12,ComparisonData!$KI$1),0)</f>
        <v>0</v>
      </c>
      <c r="KJ12" s="56">
        <v>7</v>
      </c>
      <c r="KK12" s="53" t="str">
        <f t="shared" si="44"/>
        <v>Borthwick Institute for Archives</v>
      </c>
      <c r="KL12" s="59">
        <f t="shared" si="259"/>
        <v>0</v>
      </c>
      <c r="KM12" s="59">
        <f t="shared" si="260"/>
        <v>0</v>
      </c>
      <c r="KN12" s="59">
        <f t="shared" si="261"/>
        <v>0</v>
      </c>
      <c r="KO12" s="59">
        <f t="shared" si="262"/>
        <v>0</v>
      </c>
      <c r="KP12" s="59">
        <f t="shared" si="263"/>
        <v>0</v>
      </c>
      <c r="KQ12" s="58">
        <f t="shared" si="264"/>
        <v>0</v>
      </c>
      <c r="KR12" s="45">
        <f t="shared" si="265"/>
        <v>16</v>
      </c>
      <c r="KS12" s="45">
        <f t="shared" si="45"/>
        <v>2.5139999999999993</v>
      </c>
      <c r="KT12" s="45">
        <f t="shared" si="266"/>
        <v>1</v>
      </c>
      <c r="KU12" s="45">
        <f t="shared" si="267"/>
        <v>2</v>
      </c>
      <c r="KV12" s="45">
        <f t="shared" si="268"/>
        <v>0</v>
      </c>
      <c r="KW12" s="46" cm="1">
        <f t="array" ref="KW12">ROUND(IFERROR(INDEX(ArchiveResults!$F$5:$IX$116,ComparisonData!A12,ComparisonData!$KW$1),0),5)</f>
        <v>0</v>
      </c>
      <c r="KX12" s="46" cm="1">
        <f t="array" ref="KX12">ROUND(IFERROR(INDEX(ArchiveResults!$F$5:$IX$116,ComparisonData!A12,ComparisonData!$KX$1),0),5)</f>
        <v>0</v>
      </c>
      <c r="KY12" s="46" cm="1">
        <f t="array" ref="KY12">ROUND(IFERROR(INDEX(ArchiveResults!$F$5:$IX$116,ComparisonData!A12,ComparisonData!$KY$1),0),5)</f>
        <v>0</v>
      </c>
      <c r="KZ12" s="46" cm="1">
        <f t="array" ref="KZ12">ROUND(IFERROR(INDEX(ArchiveResults!$F$5:$IX$116,ComparisonData!A12,ComparisonData!$KZ$1),0),5)</f>
        <v>0</v>
      </c>
      <c r="LA12" s="45" cm="1">
        <f t="array" ref="LA12">IFERROR(INDEX(ArchiveResults!$F$5:$IX$116,ComparisonData!A12,ComparisonData!$LA$1),0)</f>
        <v>0</v>
      </c>
      <c r="LB12" s="56">
        <v>7</v>
      </c>
      <c r="LC12" s="53" t="str">
        <f t="shared" si="46"/>
        <v>Borthwick Institute for Archives</v>
      </c>
      <c r="LD12" s="59">
        <f t="shared" si="269"/>
        <v>0</v>
      </c>
      <c r="LE12" s="59">
        <f t="shared" si="270"/>
        <v>0</v>
      </c>
      <c r="LF12" s="59">
        <f t="shared" si="271"/>
        <v>0</v>
      </c>
      <c r="LG12" s="59">
        <f t="shared" si="272"/>
        <v>0</v>
      </c>
      <c r="LH12" s="59">
        <f t="shared" si="273"/>
        <v>0</v>
      </c>
      <c r="LI12" s="58">
        <f t="shared" si="274"/>
        <v>0</v>
      </c>
      <c r="LJ12" s="45">
        <f t="shared" si="275"/>
        <v>16</v>
      </c>
      <c r="LK12" s="45">
        <f t="shared" si="47"/>
        <v>2.5139999999999993</v>
      </c>
      <c r="LL12" s="45">
        <f t="shared" si="276"/>
        <v>1</v>
      </c>
      <c r="LM12" s="45">
        <f t="shared" si="277"/>
        <v>2</v>
      </c>
      <c r="LN12" s="45">
        <f t="shared" si="278"/>
        <v>0</v>
      </c>
      <c r="LO12" s="46" cm="1">
        <f t="array" ref="LO12">ROUND(IFERROR(INDEX(ArchiveResults!$F$5:$IX$116,ComparisonData!A12,ComparisonData!$LO$1),0),5)</f>
        <v>0</v>
      </c>
      <c r="LP12" s="46" cm="1">
        <f t="array" ref="LP12">ROUND(IFERROR(INDEX(ArchiveResults!$F$5:$IX$116,ComparisonData!A12,ComparisonData!$LP$1),0),5)</f>
        <v>0</v>
      </c>
      <c r="LQ12" s="46" cm="1">
        <f t="array" ref="LQ12">ROUND(IFERROR(INDEX(ArchiveResults!$F$5:$IX$116,ComparisonData!A12,ComparisonData!$LQ$1),0),5)</f>
        <v>0</v>
      </c>
      <c r="LR12" s="46" cm="1">
        <f t="array" ref="LR12">ROUND(IFERROR(INDEX(ArchiveResults!$F$5:$IX$116,ComparisonData!A12,ComparisonData!$LR$1),0),5)</f>
        <v>0</v>
      </c>
      <c r="LS12" s="45" cm="1">
        <f t="array" ref="LS12">IFERROR(INDEX(ArchiveResults!$F$5:$IX$116,ComparisonData!A12,ComparisonData!$LS$1),0)</f>
        <v>0</v>
      </c>
      <c r="LT12" s="56">
        <v>7</v>
      </c>
      <c r="LU12" s="53" t="str">
        <f t="shared" si="48"/>
        <v>Borthwick Institute for Archives</v>
      </c>
      <c r="LV12" s="59">
        <f t="shared" si="279"/>
        <v>0</v>
      </c>
      <c r="LW12" s="59">
        <f t="shared" si="280"/>
        <v>0</v>
      </c>
      <c r="LX12" s="59">
        <f t="shared" si="281"/>
        <v>0</v>
      </c>
      <c r="LY12" s="59">
        <f t="shared" si="282"/>
        <v>0</v>
      </c>
      <c r="LZ12" s="59">
        <f t="shared" si="283"/>
        <v>0</v>
      </c>
      <c r="MA12" s="58">
        <f t="shared" si="284"/>
        <v>0</v>
      </c>
      <c r="MB12" s="45">
        <f t="shared" si="285"/>
        <v>16</v>
      </c>
      <c r="MC12" s="45">
        <f t="shared" si="49"/>
        <v>2.5139999999999993</v>
      </c>
      <c r="MD12" s="45">
        <f t="shared" si="286"/>
        <v>1</v>
      </c>
      <c r="ME12" s="45">
        <f t="shared" si="287"/>
        <v>2</v>
      </c>
      <c r="MF12" s="45">
        <f t="shared" si="288"/>
        <v>0</v>
      </c>
      <c r="MG12" s="46" cm="1">
        <f t="array" ref="MG12">ROUND(IFERROR(INDEX(ArchiveResults!$F$5:$IX$116,ComparisonData!A12,ComparisonData!$MG$1),0),5)</f>
        <v>0</v>
      </c>
      <c r="MH12" s="46" cm="1">
        <f t="array" ref="MH12">ROUND(IFERROR(INDEX(ArchiveResults!$F$5:$IX$116,ComparisonData!A12,ComparisonData!$MH$1),0),5)</f>
        <v>0</v>
      </c>
      <c r="MI12" s="46" cm="1">
        <f t="array" ref="MI12">ROUND(IFERROR(INDEX(ArchiveResults!$F$5:$IX$116,ComparisonData!A12,ComparisonData!$MI$1),0),5)</f>
        <v>0</v>
      </c>
      <c r="MJ12" s="46" cm="1">
        <f t="array" ref="MJ12">ROUND(IFERROR(INDEX(ArchiveResults!$F$5:$IX$116,ComparisonData!A12,ComparisonData!$MJ$1),0),5)</f>
        <v>0</v>
      </c>
      <c r="MK12" s="45" cm="1">
        <f t="array" ref="MK12">IFERROR(INDEX(ArchiveResults!$F$5:$IX$116,ComparisonData!A12,ComparisonData!$MK$1),0)</f>
        <v>0</v>
      </c>
      <c r="ML12" s="56">
        <v>7</v>
      </c>
      <c r="MM12" s="53" t="str">
        <f t="shared" si="50"/>
        <v>Borthwick Institute for Archives</v>
      </c>
      <c r="MN12" s="59">
        <f t="shared" si="289"/>
        <v>0</v>
      </c>
      <c r="MO12" s="59">
        <f t="shared" si="290"/>
        <v>0</v>
      </c>
      <c r="MP12" s="59">
        <f t="shared" si="291"/>
        <v>0</v>
      </c>
      <c r="MQ12" s="59">
        <f t="shared" si="292"/>
        <v>0</v>
      </c>
      <c r="MR12" s="59">
        <f t="shared" si="293"/>
        <v>0</v>
      </c>
      <c r="MS12" s="58">
        <f t="shared" si="294"/>
        <v>0</v>
      </c>
      <c r="MT12" s="45">
        <f t="shared" si="295"/>
        <v>16</v>
      </c>
      <c r="MU12" s="45">
        <f t="shared" si="51"/>
        <v>2.5139999999999993</v>
      </c>
      <c r="MV12" s="45">
        <f t="shared" si="296"/>
        <v>1</v>
      </c>
      <c r="MW12" s="45">
        <f t="shared" si="297"/>
        <v>2</v>
      </c>
      <c r="MX12" s="45">
        <f t="shared" si="298"/>
        <v>0</v>
      </c>
      <c r="MY12" s="46" cm="1">
        <f t="array" ref="MY12">ROUND(IFERROR(INDEX(ArchiveResults!$F$5:$IX$116,ComparisonData!A12,ComparisonData!$MY$1),0),5)</f>
        <v>0</v>
      </c>
      <c r="MZ12" s="46" cm="1">
        <f t="array" ref="MZ12">ROUND(IFERROR(INDEX(ArchiveResults!$F$5:$IX$116,ComparisonData!A12,ComparisonData!$MZ$1),0),5)</f>
        <v>0</v>
      </c>
      <c r="NA12" s="46" cm="1">
        <f t="array" ref="NA12">ROUND(IFERROR(INDEX(ArchiveResults!$F$5:$IX$116,ComparisonData!A12,ComparisonData!$NA$1),0),5)</f>
        <v>0</v>
      </c>
      <c r="NB12" s="46" cm="1">
        <f t="array" ref="NB12">ROUND(IFERROR(INDEX(ArchiveResults!$F$5:$IX$116,ComparisonData!A12,ComparisonData!$NB$1),0),5)</f>
        <v>0</v>
      </c>
      <c r="NC12" s="45" cm="1">
        <f t="array" ref="NC12">IFERROR(INDEX(ArchiveResults!$F$5:$IX$116,ComparisonData!A12,ComparisonData!$NC$1),0)</f>
        <v>0</v>
      </c>
      <c r="ND12" s="56">
        <v>7</v>
      </c>
      <c r="NE12" s="53" t="str">
        <f t="shared" si="52"/>
        <v>Borthwick Institute for Archives</v>
      </c>
      <c r="NF12" s="59">
        <f t="shared" si="299"/>
        <v>0</v>
      </c>
      <c r="NG12" s="59">
        <f t="shared" si="300"/>
        <v>0</v>
      </c>
      <c r="NH12" s="59">
        <f t="shared" si="301"/>
        <v>0</v>
      </c>
      <c r="NI12" s="59">
        <f t="shared" si="302"/>
        <v>0</v>
      </c>
      <c r="NJ12" s="59">
        <f t="shared" si="303"/>
        <v>0</v>
      </c>
      <c r="NK12" s="58">
        <f t="shared" si="304"/>
        <v>0</v>
      </c>
      <c r="NL12" s="45">
        <f t="shared" si="305"/>
        <v>16</v>
      </c>
      <c r="NM12" s="45">
        <f t="shared" si="53"/>
        <v>2.5139999999999993</v>
      </c>
      <c r="NN12" s="45">
        <f t="shared" si="306"/>
        <v>1</v>
      </c>
      <c r="NO12" s="45">
        <f t="shared" si="307"/>
        <v>2</v>
      </c>
      <c r="NP12" s="46" cm="1">
        <f t="array" ref="NP12">ROUND(IFERROR(INDEX(ArchiveResults!$F$5:$IX$116,ComparisonData!A12,ComparisonData!$NP$1),0),5)</f>
        <v>0</v>
      </c>
      <c r="NQ12" s="46" cm="1">
        <f t="array" ref="NQ12">ROUND(IFERROR(INDEX(ArchiveResults!$F$5:$IX$116,ComparisonData!A12,ComparisonData!$NQ$1),0),5)</f>
        <v>0</v>
      </c>
      <c r="NR12" s="46" cm="1">
        <f t="array" ref="NR12">ROUND(IFERROR(INDEX(ArchiveResults!$F$5:$IX$116,ComparisonData!A12,ComparisonData!$NR$1),0),5)</f>
        <v>0</v>
      </c>
      <c r="NS12" s="46" cm="1">
        <f t="array" ref="NS12">ROUND(IFERROR(INDEX(ArchiveResults!$F$5:$IX$116,ComparisonData!A12,ComparisonData!$NS$1),0),5)</f>
        <v>0</v>
      </c>
      <c r="NT12" s="45" cm="1">
        <f t="array" ref="NT12">IFERROR(INDEX(ArchiveResults!$F$5:$IX$116,ComparisonData!A12,ComparisonData!$NT$1),0)</f>
        <v>0</v>
      </c>
      <c r="NU12" s="56">
        <v>7</v>
      </c>
      <c r="NV12" s="53" t="str">
        <f t="shared" si="54"/>
        <v>Borthwick Institute for Archives</v>
      </c>
      <c r="NW12" s="59">
        <f t="shared" si="308"/>
        <v>0</v>
      </c>
      <c r="NX12" s="59">
        <f t="shared" si="309"/>
        <v>0</v>
      </c>
      <c r="NY12" s="59">
        <f t="shared" si="310"/>
        <v>0</v>
      </c>
      <c r="NZ12" s="59">
        <f t="shared" si="311"/>
        <v>0</v>
      </c>
      <c r="OA12" s="59">
        <f t="shared" si="312"/>
        <v>0</v>
      </c>
      <c r="OB12" s="58">
        <f t="shared" si="313"/>
        <v>0</v>
      </c>
      <c r="OC12" s="45">
        <f t="shared" si="314"/>
        <v>16</v>
      </c>
      <c r="OD12" s="45">
        <f t="shared" si="55"/>
        <v>2.5139999999999993</v>
      </c>
      <c r="OE12" s="45">
        <f t="shared" si="315"/>
        <v>1</v>
      </c>
      <c r="OF12" s="45">
        <f t="shared" si="316"/>
        <v>2</v>
      </c>
      <c r="OG12" s="46">
        <f t="shared" si="317"/>
        <v>0</v>
      </c>
      <c r="OH12" s="46" cm="1">
        <f t="array" ref="OH12">ROUND(IFERROR(INDEX(ArchiveResults!$F$5:$IX$116,ComparisonData!A12,ComparisonData!$OH$1),0),5)</f>
        <v>0</v>
      </c>
      <c r="OI12" s="46" cm="1">
        <f t="array" ref="OI12">ROUND(IFERROR(INDEX(ArchiveResults!$F$5:$IX$116,ComparisonData!A12,ComparisonData!$OI$1),0),5)</f>
        <v>0</v>
      </c>
      <c r="OJ12" s="46" cm="1">
        <f t="array" ref="OJ12">ROUND(IFERROR(INDEX(ArchiveResults!$F$5:$IX$116,ComparisonData!A12,ComparisonData!$OJ$1),0),5)</f>
        <v>0</v>
      </c>
      <c r="OK12" s="46" cm="1">
        <f t="array" ref="OK12">ROUND(IFERROR(INDEX(ArchiveResults!$F$5:$IX$116,ComparisonData!A12,ComparisonData!$OK$1),0),5)</f>
        <v>0</v>
      </c>
      <c r="OL12" s="45" cm="1">
        <f t="array" ref="OL12">IFERROR(INDEX(ArchiveResults!$F$5:$IX$116,ComparisonData!A12,ComparisonData!$OL$1),0)</f>
        <v>0</v>
      </c>
      <c r="OM12" s="56">
        <v>7</v>
      </c>
      <c r="ON12" s="53" t="str">
        <f t="shared" si="56"/>
        <v>Borthwick Institute for Archives</v>
      </c>
      <c r="OO12" s="59">
        <f t="shared" si="318"/>
        <v>0</v>
      </c>
      <c r="OP12" s="59">
        <f t="shared" si="319"/>
        <v>0</v>
      </c>
      <c r="OQ12" s="59">
        <f t="shared" si="320"/>
        <v>0</v>
      </c>
      <c r="OR12" s="59">
        <f t="shared" si="321"/>
        <v>0</v>
      </c>
      <c r="OS12" s="59">
        <f t="shared" si="322"/>
        <v>0</v>
      </c>
      <c r="OT12" s="58">
        <f t="shared" si="323"/>
        <v>0</v>
      </c>
      <c r="OU12" s="45">
        <f t="shared" si="324"/>
        <v>16</v>
      </c>
      <c r="OV12" s="45">
        <f t="shared" si="57"/>
        <v>2.5139999999999993</v>
      </c>
      <c r="OW12" s="45">
        <f t="shared" si="325"/>
        <v>1</v>
      </c>
      <c r="OX12" s="45">
        <f t="shared" si="326"/>
        <v>2</v>
      </c>
      <c r="OY12" s="45">
        <f t="shared" si="327"/>
        <v>0</v>
      </c>
      <c r="OZ12" s="46" cm="1">
        <f t="array" ref="OZ12">ROUND(IFERROR(INDEX(ArchiveResults!$F$5:$IX$116,ComparisonData!A12,ComparisonData!$OZ$1),0),5)</f>
        <v>0</v>
      </c>
      <c r="PA12" s="46" cm="1">
        <f t="array" ref="PA12">ROUND(IFERROR(INDEX(ArchiveResults!$F$5:$IX$116,ComparisonData!A12,ComparisonData!$PA$1),0),5)</f>
        <v>0</v>
      </c>
      <c r="PB12" s="46" cm="1">
        <f t="array" ref="PB12">ROUND(IFERROR(INDEX(ArchiveResults!$F$5:$IX$116,ComparisonData!A12,ComparisonData!$PB$1),0),5)</f>
        <v>0</v>
      </c>
      <c r="PC12" s="46" cm="1">
        <f t="array" ref="PC12">ROUND(IFERROR(INDEX(ArchiveResults!$F$5:$IX$116,ComparisonData!A12,ComparisonData!$PC$1),0),5)</f>
        <v>0</v>
      </c>
      <c r="PD12" s="45" cm="1">
        <f t="array" ref="PD12">IFERROR(INDEX(ArchiveResults!$F$5:$IX$116,ComparisonData!A12,ComparisonData!$PD$1),0)</f>
        <v>0</v>
      </c>
      <c r="PE12" s="56">
        <v>7</v>
      </c>
      <c r="PF12" s="53" t="str">
        <f t="shared" si="58"/>
        <v>Borthwick Institute for Archives</v>
      </c>
      <c r="PG12" s="59">
        <f t="shared" si="328"/>
        <v>0</v>
      </c>
      <c r="PH12" s="59">
        <f t="shared" si="329"/>
        <v>0</v>
      </c>
      <c r="PI12" s="59">
        <f t="shared" si="330"/>
        <v>0</v>
      </c>
      <c r="PJ12" s="59">
        <f t="shared" si="331"/>
        <v>0</v>
      </c>
      <c r="PK12" s="59">
        <f t="shared" si="332"/>
        <v>0</v>
      </c>
      <c r="PL12" s="58">
        <f t="shared" si="333"/>
        <v>0</v>
      </c>
      <c r="PM12" s="45">
        <f t="shared" si="334"/>
        <v>16</v>
      </c>
      <c r="PN12" s="45">
        <f t="shared" si="59"/>
        <v>2.5139999999999993</v>
      </c>
      <c r="PO12" s="45">
        <f t="shared" si="335"/>
        <v>1</v>
      </c>
      <c r="PP12" s="45">
        <f t="shared" si="336"/>
        <v>2</v>
      </c>
      <c r="PQ12" s="45">
        <f t="shared" si="337"/>
        <v>0</v>
      </c>
      <c r="PR12" s="46" cm="1">
        <f t="array" ref="PR12">ROUND(IFERROR(INDEX(ArchiveResults!$F$5:$IX$116,ComparisonData!A12,ComparisonData!$PR$1),0),5)</f>
        <v>0</v>
      </c>
      <c r="PS12" s="46" cm="1">
        <f t="array" ref="PS12">ROUND(IFERROR(INDEX(ArchiveResults!$F$5:$IX$116,ComparisonData!A12,ComparisonData!$PS$1),0),5)</f>
        <v>0</v>
      </c>
      <c r="PT12" s="46" cm="1">
        <f t="array" ref="PT12">ROUND(IFERROR(INDEX(ArchiveResults!$F$5:$IX$116,ComparisonData!A12,ComparisonData!$PT$1),0),5)</f>
        <v>0</v>
      </c>
      <c r="PU12" s="46" cm="1">
        <f t="array" ref="PU12">ROUND(IFERROR(INDEX(ArchiveResults!$F$5:$IX$116,ComparisonData!A12,ComparisonData!$PU$1),0),5)</f>
        <v>0</v>
      </c>
      <c r="PV12" s="45" cm="1">
        <f t="array" ref="PV12">IFERROR(INDEX(ArchiveResults!$F$5:$IX$116,ComparisonData!A12,ComparisonData!$PV$1),0)</f>
        <v>0</v>
      </c>
      <c r="PW12" s="56">
        <v>7</v>
      </c>
      <c r="PX12" s="53" t="str">
        <f t="shared" si="60"/>
        <v>Borthwick Institute for Archives</v>
      </c>
      <c r="PY12" s="59">
        <f t="shared" si="338"/>
        <v>0</v>
      </c>
      <c r="PZ12" s="59">
        <f t="shared" si="339"/>
        <v>0</v>
      </c>
      <c r="QA12" s="59">
        <f t="shared" si="340"/>
        <v>0</v>
      </c>
      <c r="QB12" s="59">
        <f t="shared" si="341"/>
        <v>0</v>
      </c>
      <c r="QC12" s="59">
        <f t="shared" si="342"/>
        <v>0</v>
      </c>
      <c r="QD12" s="58">
        <f t="shared" si="343"/>
        <v>0</v>
      </c>
      <c r="QE12" s="45">
        <f t="shared" si="344"/>
        <v>16</v>
      </c>
      <c r="QF12" s="45">
        <f t="shared" si="61"/>
        <v>2.5139999999999993</v>
      </c>
      <c r="QG12" s="45">
        <f t="shared" si="345"/>
        <v>1</v>
      </c>
      <c r="QH12" s="45">
        <f t="shared" si="346"/>
        <v>2</v>
      </c>
      <c r="QI12" s="45">
        <f t="shared" si="347"/>
        <v>0</v>
      </c>
      <c r="QJ12" s="46" cm="1">
        <f t="array" ref="QJ12">ROUND(IFERROR(INDEX(ArchiveResults!$F$5:$IX$116,ComparisonData!A12,ComparisonData!$QJ$1),0),5)</f>
        <v>0</v>
      </c>
      <c r="QK12" s="46" cm="1">
        <f t="array" ref="QK12">ROUND(IFERROR(INDEX(ArchiveResults!$F$5:$IX$116,ComparisonData!A12,ComparisonData!$QK$1),0),5)</f>
        <v>0</v>
      </c>
      <c r="QL12" s="46" cm="1">
        <f t="array" ref="QL12">ROUND(IFERROR(INDEX(ArchiveResults!$F$5:$IX$116,ComparisonData!A12,ComparisonData!$QL$1),0),5)</f>
        <v>0</v>
      </c>
      <c r="QM12" s="46" cm="1">
        <f t="array" ref="QM12">ROUND(IFERROR(INDEX(ArchiveResults!$F$5:$IX$116,ComparisonData!A12,ComparisonData!$QM$1),0),5)</f>
        <v>0</v>
      </c>
      <c r="QN12" s="45" cm="1">
        <f t="array" ref="QN12">IFERROR(INDEX(ArchiveResults!$F$5:$IX$116,ComparisonData!A12,ComparisonData!$QN$1),0)</f>
        <v>0</v>
      </c>
      <c r="QO12" s="56">
        <v>7</v>
      </c>
      <c r="QP12" s="53" t="str">
        <f t="shared" si="62"/>
        <v>Borthwick Institute for Archives</v>
      </c>
      <c r="QQ12" s="59">
        <f t="shared" si="348"/>
        <v>0</v>
      </c>
      <c r="QR12" s="59">
        <f t="shared" si="349"/>
        <v>0</v>
      </c>
      <c r="QS12" s="59">
        <f t="shared" si="350"/>
        <v>0</v>
      </c>
      <c r="QT12" s="59">
        <f t="shared" si="351"/>
        <v>0</v>
      </c>
      <c r="QU12" s="59">
        <f t="shared" si="352"/>
        <v>0</v>
      </c>
      <c r="QV12" s="58">
        <f t="shared" si="353"/>
        <v>0</v>
      </c>
      <c r="QW12" s="45">
        <f t="shared" si="354"/>
        <v>16</v>
      </c>
      <c r="QX12" s="45">
        <f t="shared" si="63"/>
        <v>2.5139999999999993</v>
      </c>
      <c r="QY12" s="45">
        <f t="shared" si="355"/>
        <v>1</v>
      </c>
      <c r="QZ12" s="45">
        <f t="shared" si="356"/>
        <v>2</v>
      </c>
      <c r="RA12" s="45">
        <f t="shared" si="357"/>
        <v>0</v>
      </c>
      <c r="RB12" s="46" cm="1">
        <f t="array" ref="RB12">ROUND(IFERROR(INDEX(ArchiveResults!$F$5:$IX$116,ComparisonData!A12,ComparisonData!$RB$1),0),5)</f>
        <v>0</v>
      </c>
      <c r="RC12" s="46" cm="1">
        <f t="array" ref="RC12">ROUND(IFERROR(INDEX(ArchiveResults!$F$5:$IX$116,ComparisonData!A12,ComparisonData!$RC$1),0),5)</f>
        <v>0</v>
      </c>
      <c r="RD12" s="46" cm="1">
        <f t="array" ref="RD12">ROUND(IFERROR(INDEX(ArchiveResults!$F$5:$IX$116,ComparisonData!A12,ComparisonData!$RD$1),0),5)</f>
        <v>0</v>
      </c>
      <c r="RE12" s="46" cm="1">
        <f t="array" ref="RE12">ROUND(IFERROR(INDEX(ArchiveResults!$F$5:$IX$116,ComparisonData!A12,ComparisonData!$RE$1),0),5)</f>
        <v>0</v>
      </c>
      <c r="RF12" s="45" cm="1">
        <f t="array" ref="RF12">IFERROR(INDEX(ArchiveResults!$F$5:$IX$116,ComparisonData!A12,ComparisonData!$RF$1),0)</f>
        <v>0</v>
      </c>
      <c r="RG12" s="56">
        <v>7</v>
      </c>
      <c r="RH12" s="53" t="str">
        <f t="shared" si="64"/>
        <v>Borthwick Institute for Archives</v>
      </c>
      <c r="RI12" s="59">
        <f t="shared" si="358"/>
        <v>0</v>
      </c>
      <c r="RJ12" s="59">
        <f t="shared" si="359"/>
        <v>0</v>
      </c>
      <c r="RK12" s="59">
        <f t="shared" si="360"/>
        <v>0</v>
      </c>
      <c r="RL12" s="59">
        <f t="shared" si="361"/>
        <v>0</v>
      </c>
      <c r="RM12" s="59">
        <f t="shared" si="362"/>
        <v>0</v>
      </c>
      <c r="RN12" s="58">
        <f t="shared" si="363"/>
        <v>0</v>
      </c>
      <c r="RO12" s="45">
        <f t="shared" si="364"/>
        <v>16</v>
      </c>
      <c r="RP12" s="45">
        <f t="shared" si="65"/>
        <v>2.5139999999999993</v>
      </c>
      <c r="RQ12" s="45">
        <f t="shared" si="365"/>
        <v>1</v>
      </c>
      <c r="RR12" s="45">
        <f t="shared" si="366"/>
        <v>2</v>
      </c>
      <c r="RS12" s="45">
        <f t="shared" si="367"/>
        <v>0</v>
      </c>
      <c r="RT12" s="46" cm="1">
        <f t="array" ref="RT12">ROUND(IFERROR(INDEX(ArchiveResults!$F$5:$IX$116,ComparisonData!A12,ComparisonData!$RT$1),0),5)</f>
        <v>0</v>
      </c>
      <c r="RU12" s="46" cm="1">
        <f t="array" ref="RU12">ROUND(IFERROR(INDEX(ArchiveResults!$F$5:$IX$116,ComparisonData!A12,ComparisonData!$RU$1),0),5)</f>
        <v>0</v>
      </c>
      <c r="RV12" s="46" cm="1">
        <f t="array" ref="RV12">ROUND(IFERROR(INDEX(ArchiveResults!$F$5:$IX$116,ComparisonData!A12,ComparisonData!$RV$1),0),5)</f>
        <v>0</v>
      </c>
      <c r="RW12" s="46" cm="1">
        <f t="array" ref="RW12">ROUND(IFERROR(INDEX(ArchiveResults!$F$5:$IX$116,ComparisonData!A12,ComparisonData!$RW$1),0),5)</f>
        <v>0</v>
      </c>
      <c r="RX12" s="45" cm="1">
        <f t="array" ref="RX12">IFERROR(INDEX(ArchiveResults!$F$5:$IX$116,ComparisonData!A12,ComparisonData!$RX$1),0)</f>
        <v>0</v>
      </c>
      <c r="RY12" s="56">
        <v>7</v>
      </c>
      <c r="RZ12" s="53" t="str">
        <f t="shared" si="66"/>
        <v>Borthwick Institute for Archives</v>
      </c>
      <c r="SA12" s="59">
        <f t="shared" si="368"/>
        <v>0</v>
      </c>
      <c r="SB12" s="59">
        <f t="shared" si="369"/>
        <v>0</v>
      </c>
      <c r="SC12" s="59">
        <f t="shared" si="370"/>
        <v>0</v>
      </c>
      <c r="SD12" s="59">
        <f t="shared" si="371"/>
        <v>0</v>
      </c>
      <c r="SE12" s="59">
        <f t="shared" si="372"/>
        <v>0</v>
      </c>
      <c r="SF12" s="58">
        <f t="shared" si="373"/>
        <v>0</v>
      </c>
      <c r="SG12" s="45">
        <f t="shared" si="374"/>
        <v>16</v>
      </c>
      <c r="SH12" s="45">
        <f t="shared" si="67"/>
        <v>2.5139999999999993</v>
      </c>
      <c r="SI12" s="45">
        <f t="shared" si="375"/>
        <v>1</v>
      </c>
      <c r="SJ12" s="45">
        <f t="shared" si="376"/>
        <v>2</v>
      </c>
      <c r="SK12" s="45">
        <f t="shared" si="377"/>
        <v>0</v>
      </c>
      <c r="SL12" s="46" cm="1">
        <f t="array" ref="SL12">ROUND(IFERROR(INDEX(ArchiveResults!$F$5:$IX$116,ComparisonData!A12,ComparisonData!$SL$1),0),5)</f>
        <v>0</v>
      </c>
      <c r="SM12" s="46" cm="1">
        <f t="array" ref="SM12">ROUND(IFERROR(INDEX(ArchiveResults!$F$5:$IX$116,ComparisonData!A12,ComparisonData!$SM$1),0),5)</f>
        <v>0</v>
      </c>
      <c r="SN12" s="46" cm="1">
        <f t="array" ref="SN12">ROUND(IFERROR(INDEX(ArchiveResults!$F$5:$IX$116,ComparisonData!A12,ComparisonData!$SN$1),0),5)</f>
        <v>0</v>
      </c>
      <c r="SO12" s="46" cm="1">
        <f t="array" ref="SO12">ROUND(IFERROR(INDEX(ArchiveResults!$F$5:$IX$116,ComparisonData!A12,ComparisonData!$SO$1),0),5)</f>
        <v>0</v>
      </c>
      <c r="SP12" s="45" cm="1">
        <f t="array" ref="SP12">IFERROR(INDEX(ArchiveResults!$F$5:$IX$116,ComparisonData!A12,ComparisonData!$SP$1),0)</f>
        <v>0</v>
      </c>
      <c r="SQ12" s="56">
        <v>7</v>
      </c>
      <c r="SR12" s="53" t="str">
        <f t="shared" si="68"/>
        <v>Borthwick Institute for Archives</v>
      </c>
      <c r="SS12" s="59">
        <f t="shared" si="378"/>
        <v>0</v>
      </c>
      <c r="ST12" s="59">
        <f t="shared" si="379"/>
        <v>0</v>
      </c>
      <c r="SU12" s="59">
        <f t="shared" si="380"/>
        <v>0</v>
      </c>
      <c r="SV12" s="59">
        <f t="shared" si="381"/>
        <v>0</v>
      </c>
      <c r="SW12" s="59">
        <f t="shared" si="382"/>
        <v>0</v>
      </c>
      <c r="SX12" s="58">
        <f t="shared" si="383"/>
        <v>0</v>
      </c>
      <c r="SY12" s="45">
        <f t="shared" si="384"/>
        <v>16</v>
      </c>
      <c r="SZ12" s="45">
        <f t="shared" si="69"/>
        <v>2.5139999999999993</v>
      </c>
      <c r="TA12" s="45">
        <f t="shared" si="385"/>
        <v>1</v>
      </c>
      <c r="TB12" s="45">
        <f t="shared" si="386"/>
        <v>2</v>
      </c>
      <c r="TC12" s="45">
        <f t="shared" si="387"/>
        <v>0</v>
      </c>
      <c r="TD12" s="46" cm="1">
        <f t="array" ref="TD12">ROUND(IFERROR(INDEX(ArchiveResults!$F$5:$IX$116,ComparisonData!A12,ComparisonData!$TD$1),0),5)</f>
        <v>0</v>
      </c>
      <c r="TE12" s="46" cm="1">
        <f t="array" ref="TE12">ROUND(IFERROR(INDEX(ArchiveResults!$F$5:$IX$116,ComparisonData!A12,ComparisonData!$TE$1),0),5)</f>
        <v>0</v>
      </c>
      <c r="TF12" s="46" cm="1">
        <f t="array" ref="TF12">ROUND(IFERROR(INDEX(ArchiveResults!$F$5:$IX$116,ComparisonData!A12,ComparisonData!$TF$1),0),5)</f>
        <v>0</v>
      </c>
      <c r="TG12" s="46" cm="1">
        <f t="array" ref="TG12">ROUND(IFERROR(INDEX(ArchiveResults!$F$5:$IX$116,ComparisonData!A12,ComparisonData!$TG$1),0),5)</f>
        <v>0</v>
      </c>
      <c r="TH12" s="45" cm="1">
        <f t="array" ref="TH12">IFERROR(INDEX(ArchiveResults!$F$5:$IX$116,ComparisonData!A12,ComparisonData!$TH$1),0)</f>
        <v>0</v>
      </c>
      <c r="TI12" s="56">
        <v>7</v>
      </c>
      <c r="TJ12" s="53" t="str">
        <f t="shared" si="70"/>
        <v>Borthwick Institute for Archives</v>
      </c>
      <c r="TK12" s="59">
        <f t="shared" si="388"/>
        <v>0</v>
      </c>
      <c r="TL12" s="59">
        <f t="shared" si="389"/>
        <v>0</v>
      </c>
      <c r="TM12" s="59">
        <f t="shared" si="390"/>
        <v>0</v>
      </c>
      <c r="TN12" s="59">
        <f t="shared" si="391"/>
        <v>0</v>
      </c>
      <c r="TO12" s="59">
        <f t="shared" si="392"/>
        <v>0</v>
      </c>
      <c r="TP12" s="58">
        <f t="shared" si="393"/>
        <v>0</v>
      </c>
      <c r="TQ12" s="45">
        <f t="shared" si="394"/>
        <v>16</v>
      </c>
      <c r="TR12" s="45">
        <f t="shared" si="71"/>
        <v>2.5139999999999993</v>
      </c>
      <c r="TS12" s="45">
        <f t="shared" si="395"/>
        <v>1</v>
      </c>
      <c r="TT12" s="45">
        <f t="shared" si="396"/>
        <v>2</v>
      </c>
      <c r="TU12" s="45">
        <f t="shared" si="397"/>
        <v>0</v>
      </c>
      <c r="TV12" s="46" cm="1">
        <f t="array" ref="TV12">ROUND(IFERROR(INDEX(ArchiveResults!$F$5:$IX$116,ComparisonData!A12,ComparisonData!$TV$1),0),5)</f>
        <v>0</v>
      </c>
      <c r="TW12" s="46" cm="1">
        <f t="array" ref="TW12">ROUND(IFERROR(INDEX(ArchiveResults!$F$5:$IX$116,ComparisonData!A12,ComparisonData!$TW$1),0),5)</f>
        <v>0</v>
      </c>
      <c r="TX12" s="46" cm="1">
        <f t="array" ref="TX12">ROUND(IFERROR(INDEX(ArchiveResults!$F$5:$IX$116,ComparisonData!A12,ComparisonData!$TX$1),0),5)</f>
        <v>0</v>
      </c>
      <c r="TY12" s="46" cm="1">
        <f t="array" ref="TY12">ROUND(IFERROR(INDEX(ArchiveResults!$F$5:$IX$116,ComparisonData!A12,ComparisonData!$TY$1),0),5)</f>
        <v>0</v>
      </c>
      <c r="TZ12" s="45" cm="1">
        <f t="array" ref="TZ12">IFERROR(INDEX(ArchiveResults!$F$5:$IX$116,ComparisonData!A12,ComparisonData!$TZ$1),0)</f>
        <v>0</v>
      </c>
      <c r="UA12" s="56">
        <v>7</v>
      </c>
      <c r="UB12" s="53" t="str">
        <f t="shared" si="72"/>
        <v>Borthwick Institute for Archives</v>
      </c>
      <c r="UC12" s="60">
        <f t="shared" si="398"/>
        <v>0</v>
      </c>
      <c r="UD12" s="60">
        <f t="shared" si="399"/>
        <v>0</v>
      </c>
      <c r="UE12" s="60">
        <f t="shared" si="400"/>
        <v>0</v>
      </c>
      <c r="UF12" s="60">
        <f t="shared" si="401"/>
        <v>0</v>
      </c>
      <c r="UG12" s="60">
        <f t="shared" si="402"/>
        <v>0</v>
      </c>
      <c r="UH12" s="58">
        <f t="shared" si="403"/>
        <v>0</v>
      </c>
      <c r="UI12" s="46">
        <f t="shared" si="404"/>
        <v>16</v>
      </c>
      <c r="UJ12" s="46">
        <f t="shared" si="73"/>
        <v>2.5139999999999993</v>
      </c>
      <c r="UK12" s="46">
        <f t="shared" si="405"/>
        <v>1</v>
      </c>
      <c r="UL12" s="46">
        <f t="shared" si="406"/>
        <v>2</v>
      </c>
      <c r="UM12" s="46" cm="1">
        <f t="array" ref="UM12">ROUND(IFERROR(INDEX(ArchiveResults!$F$5:$IX$116,ComparisonData!A12,ComparisonData!$UM$1),0),5)</f>
        <v>0</v>
      </c>
      <c r="UN12" s="56">
        <v>7</v>
      </c>
      <c r="UO12" s="53" t="str">
        <f t="shared" si="74"/>
        <v>Borthwick Institute for Archives</v>
      </c>
      <c r="UP12" s="46">
        <f t="shared" si="407"/>
        <v>0</v>
      </c>
      <c r="UQ12" s="76">
        <f t="shared" si="408"/>
        <v>0</v>
      </c>
      <c r="UR12" s="46">
        <f t="shared" si="409"/>
        <v>16</v>
      </c>
      <c r="US12" s="46">
        <f t="shared" si="75"/>
        <v>2.5139999999999993</v>
      </c>
      <c r="UT12" s="46">
        <f t="shared" si="410"/>
        <v>1</v>
      </c>
      <c r="UU12" s="46">
        <f t="shared" si="411"/>
        <v>2</v>
      </c>
      <c r="UV12" s="46">
        <f t="shared" si="412"/>
        <v>0</v>
      </c>
      <c r="UW12" s="46" cm="1">
        <f t="array" ref="UW12">ROUND(IFERROR(INDEX(ArchiveResults!$F$5:$IX$116,ComparisonData!A12,ComparisonData!$UW$1),0),5)</f>
        <v>0</v>
      </c>
      <c r="UX12" s="46" cm="1">
        <f t="array" ref="UX12">ROUND(IFERROR(INDEX(ArchiveResults!$F$5:$IX$116,ComparisonData!A12,ComparisonData!$UX$1),0),5)</f>
        <v>0</v>
      </c>
      <c r="UY12" s="46" cm="1">
        <f t="array" ref="UY12">ROUND(IFERROR(INDEX(ArchiveResults!$F$5:$IX$116,ComparisonData!A12,ComparisonData!$UY$1),0),5)</f>
        <v>0</v>
      </c>
      <c r="UZ12" s="46" cm="1">
        <f t="array" ref="UZ12">ROUND(IFERROR(INDEX(ArchiveResults!$F$5:$IX$116,ComparisonData!A12,ComparisonData!$UZ$1),0),5)</f>
        <v>0</v>
      </c>
      <c r="VA12" s="46" cm="1">
        <f t="array" ref="VA12">ROUND(IFERROR(INDEX(ArchiveResults!$F$5:$IX$116,ComparisonData!A12,ComparisonData!$VA$1),0),5)</f>
        <v>0</v>
      </c>
      <c r="VB12" s="56">
        <v>7</v>
      </c>
      <c r="VC12" s="53" t="str">
        <f t="shared" si="76"/>
        <v>Borthwick Institute for Archives</v>
      </c>
      <c r="VD12" s="60">
        <f t="shared" si="413"/>
        <v>0</v>
      </c>
      <c r="VE12" s="60">
        <f t="shared" si="414"/>
        <v>0</v>
      </c>
      <c r="VF12" s="60">
        <f t="shared" si="415"/>
        <v>0</v>
      </c>
      <c r="VG12" s="60">
        <f t="shared" si="416"/>
        <v>0</v>
      </c>
      <c r="VH12" s="60">
        <f t="shared" si="417"/>
        <v>0</v>
      </c>
      <c r="VI12" s="76">
        <f t="shared" si="418"/>
        <v>0</v>
      </c>
      <c r="VJ12" s="46">
        <f t="shared" si="419"/>
        <v>16</v>
      </c>
      <c r="VK12" s="46">
        <f t="shared" si="77"/>
        <v>2.5139999999999993</v>
      </c>
      <c r="VL12" s="46">
        <f t="shared" si="420"/>
        <v>1</v>
      </c>
      <c r="VM12" s="46">
        <f t="shared" si="421"/>
        <v>2</v>
      </c>
      <c r="VN12" s="46" cm="1">
        <f t="array" ref="VN12">ROUND(IFERROR(INDEX(ArchiveResults!$F$5:$IX$116,ComparisonData!A12,ComparisonData!$VN$1),0),5)</f>
        <v>0</v>
      </c>
      <c r="VO12" s="46" cm="1">
        <f t="array" ref="VO12">ROUND(IFERROR(INDEX(ArchiveResults!$F$5:$IX$116,ComparisonData!A12,ComparisonData!$VO$1),0),5)</f>
        <v>0</v>
      </c>
      <c r="VP12" s="46" cm="1">
        <f t="array" ref="VP12">ROUND(IFERROR(INDEX(ArchiveResults!$F$5:$IX$116,ComparisonData!A12,ComparisonData!$VP$1),0),5)</f>
        <v>0</v>
      </c>
      <c r="VQ12" s="46" cm="1">
        <f t="array" ref="VQ12">ROUND(IFERROR(INDEX(ArchiveResults!$F$5:$IX$116,ComparisonData!A12,ComparisonData!$VQ$1),0),5)</f>
        <v>0</v>
      </c>
      <c r="VR12" s="56">
        <v>7</v>
      </c>
      <c r="VS12" s="53" t="str">
        <f t="shared" si="78"/>
        <v>Borthwick Institute for Archives</v>
      </c>
      <c r="VT12" s="60">
        <f t="shared" si="422"/>
        <v>0</v>
      </c>
      <c r="VU12" s="60">
        <f t="shared" si="423"/>
        <v>0</v>
      </c>
      <c r="VV12" s="60">
        <f t="shared" si="424"/>
        <v>0</v>
      </c>
      <c r="VW12" s="60">
        <f t="shared" si="425"/>
        <v>0</v>
      </c>
      <c r="VX12" s="76">
        <f t="shared" si="426"/>
        <v>0</v>
      </c>
      <c r="VY12" s="46">
        <f t="shared" si="427"/>
        <v>16</v>
      </c>
      <c r="VZ12" s="46">
        <f t="shared" si="79"/>
        <v>2.5139999999999993</v>
      </c>
      <c r="WA12" s="46">
        <f t="shared" si="428"/>
        <v>1</v>
      </c>
      <c r="WB12" s="46">
        <f t="shared" si="429"/>
        <v>2</v>
      </c>
      <c r="WC12" s="46" cm="1">
        <f t="array" ref="WC12">ROUND(IFERROR(INDEX(ArchiveResults!$F$5:$IX$116,ComparisonData!A12,ComparisonData!$WC$1),0),5)</f>
        <v>0</v>
      </c>
      <c r="WD12" s="56">
        <v>7</v>
      </c>
      <c r="WE12" s="53" t="str">
        <f t="shared" si="80"/>
        <v>Borthwick Institute for Archives</v>
      </c>
      <c r="WF12" s="46">
        <f t="shared" si="430"/>
        <v>0</v>
      </c>
      <c r="WG12" s="76">
        <f t="shared" si="431"/>
        <v>0</v>
      </c>
      <c r="WH12" s="46">
        <f t="shared" si="432"/>
        <v>16</v>
      </c>
      <c r="WI12" s="46">
        <f t="shared" si="81"/>
        <v>2.5139999999999993</v>
      </c>
      <c r="WJ12" s="46">
        <f t="shared" si="433"/>
        <v>1</v>
      </c>
      <c r="WK12" s="46">
        <f t="shared" si="434"/>
        <v>2</v>
      </c>
      <c r="WL12" s="46" cm="1">
        <f t="array" ref="WL12">ROUND(IFERROR(INDEX(ArchiveResults!$F$5:$IX$116,ComparisonData!A12,ComparisonData!$WL$1),0),5)</f>
        <v>0</v>
      </c>
      <c r="WM12" s="46" cm="1">
        <f t="array" ref="WM12">IFERROR(INDEX(ArchiveResults!$F$5:$IX$116,ComparisonData!A12,ComparisonData!$WM$1),0)</f>
        <v>0</v>
      </c>
      <c r="WN12" s="56">
        <v>7</v>
      </c>
      <c r="WO12" s="53" t="str">
        <f t="shared" si="82"/>
        <v>Borthwick Institute for Archives</v>
      </c>
      <c r="WP12" s="60">
        <f t="shared" si="435"/>
        <v>0</v>
      </c>
      <c r="WQ12" s="60">
        <f t="shared" si="436"/>
        <v>0</v>
      </c>
      <c r="WR12" s="76">
        <f t="shared" si="437"/>
        <v>0</v>
      </c>
      <c r="WS12" s="46">
        <f t="shared" si="438"/>
        <v>16</v>
      </c>
      <c r="WT12" s="46">
        <f t="shared" si="83"/>
        <v>2.5139999999999993</v>
      </c>
      <c r="WU12" s="46">
        <f t="shared" si="439"/>
        <v>1</v>
      </c>
      <c r="WV12" s="46">
        <f t="shared" si="440"/>
        <v>2</v>
      </c>
      <c r="WW12" s="46" cm="1">
        <f t="array" ref="WW12">ROUND(VALUE(IFERROR(INDEX(ArchiveResults!$F$5:$IX$116,ComparisonData!A12,ComparisonData!$WW$1),0)),5)</f>
        <v>0</v>
      </c>
      <c r="WX12" s="46" cm="1">
        <f t="array" ref="WX12">ROUND(IFERROR(INDEX(ArchiveResults!$F$5:$IX$116,ComparisonData!A12,ComparisonData!$WX$1),0),5)</f>
        <v>0</v>
      </c>
      <c r="WY12" s="56">
        <v>7</v>
      </c>
      <c r="WZ12" s="53" t="str">
        <f t="shared" si="84"/>
        <v>Borthwick Institute for Archives</v>
      </c>
      <c r="XA12" s="60">
        <f t="shared" si="85"/>
        <v>0</v>
      </c>
      <c r="XB12" s="60">
        <f t="shared" si="86"/>
        <v>0</v>
      </c>
      <c r="XC12" s="76">
        <f t="shared" si="441"/>
        <v>0</v>
      </c>
      <c r="XD12" s="46">
        <f t="shared" si="442"/>
        <v>16</v>
      </c>
      <c r="XE12" s="46">
        <f t="shared" si="87"/>
        <v>2.5139999999999993</v>
      </c>
      <c r="XF12" s="46">
        <f t="shared" si="443"/>
        <v>1</v>
      </c>
      <c r="XG12" s="46">
        <f t="shared" si="444"/>
        <v>2</v>
      </c>
      <c r="XH12" s="46" cm="1">
        <f t="array" ref="XH12">ROUND(VALUE(IFERROR(INDEX(ArchiveResults!$F$5:$IX$116,ComparisonData!A12,ComparisonData!$XH$1),0)),5)</f>
        <v>0</v>
      </c>
      <c r="XI12" s="46" cm="1">
        <f t="array" ref="XI12">ROUND(VALUE(IFERROR(INDEX(ArchiveResults!$F$5:$IX$116,ComparisonData!A12,ComparisonData!$XI$1),0)),5)</f>
        <v>0</v>
      </c>
      <c r="XJ12" s="56">
        <v>7</v>
      </c>
      <c r="XK12" s="53" t="str">
        <f t="shared" si="88"/>
        <v>Borthwick Institute for Archives</v>
      </c>
      <c r="XL12" s="60">
        <f t="shared" si="445"/>
        <v>0</v>
      </c>
      <c r="XM12" s="60">
        <f t="shared" si="446"/>
        <v>0</v>
      </c>
      <c r="XN12" s="76">
        <f t="shared" si="447"/>
        <v>0</v>
      </c>
      <c r="XO12" s="46">
        <f t="shared" si="448"/>
        <v>16</v>
      </c>
      <c r="XP12" s="46">
        <f t="shared" si="89"/>
        <v>2.5139999999999993</v>
      </c>
      <c r="XQ12" s="46">
        <f t="shared" si="449"/>
        <v>1</v>
      </c>
      <c r="XR12" s="46">
        <f t="shared" si="450"/>
        <v>2</v>
      </c>
      <c r="XS12" s="46" cm="1">
        <f t="array" ref="XS12">ROUND(VALUE(IFERROR(INDEX(ArchiveResults!$F$5:$IX$116,ComparisonData!A12,ComparisonData!$XS$1),0)),5)</f>
        <v>0</v>
      </c>
      <c r="XT12" s="46" cm="1">
        <f t="array" ref="XT12">ROUND(VALUE(IFERROR(INDEX(ArchiveResults!$F$5:$IX$116,ComparisonData!A12,ComparisonData!$XT$1),0)),5)</f>
        <v>0</v>
      </c>
      <c r="XU12" s="56">
        <v>7</v>
      </c>
      <c r="XV12" s="53" t="str">
        <f t="shared" si="90"/>
        <v>Borthwick Institute for Archives</v>
      </c>
      <c r="XW12" s="60">
        <f t="shared" si="451"/>
        <v>0</v>
      </c>
      <c r="XX12" s="60">
        <f t="shared" si="452"/>
        <v>0</v>
      </c>
      <c r="XY12" s="76">
        <f t="shared" si="453"/>
        <v>0</v>
      </c>
      <c r="XZ12" s="46">
        <f t="shared" si="454"/>
        <v>16</v>
      </c>
      <c r="YA12" s="46">
        <f t="shared" si="91"/>
        <v>2.5139999999999993</v>
      </c>
      <c r="YB12" s="46">
        <f t="shared" si="455"/>
        <v>1</v>
      </c>
      <c r="YC12" s="46">
        <f t="shared" si="456"/>
        <v>2</v>
      </c>
      <c r="YD12" s="46" cm="1">
        <f t="array" ref="YD12">ROUND(VALUE(IFERROR(INDEX(ArchiveResults!$F$5:$IX$116,ComparisonData!A12,ComparisonData!$YD$1),0)),5)</f>
        <v>0</v>
      </c>
      <c r="YE12" s="46" cm="1">
        <f t="array" ref="YE12">ROUND(VALUE(IFERROR(INDEX(ArchiveResults!$F$5:$IX$116,ComparisonData!A12,ComparisonData!$YE$1),0)),5)</f>
        <v>0</v>
      </c>
      <c r="YF12" s="56">
        <v>7</v>
      </c>
      <c r="YG12" s="53" t="str">
        <f t="shared" si="92"/>
        <v>Borthwick Institute for Archives</v>
      </c>
      <c r="YH12" s="60">
        <f t="shared" si="457"/>
        <v>0</v>
      </c>
      <c r="YI12" s="60">
        <f t="shared" si="458"/>
        <v>0</v>
      </c>
      <c r="YJ12" s="76">
        <f t="shared" si="459"/>
        <v>0</v>
      </c>
      <c r="YK12" s="46">
        <f t="shared" si="460"/>
        <v>16</v>
      </c>
      <c r="YL12" s="46">
        <f t="shared" si="93"/>
        <v>2.5139999999999993</v>
      </c>
      <c r="YM12" s="46">
        <f t="shared" si="461"/>
        <v>1</v>
      </c>
      <c r="YN12" s="46">
        <f t="shared" si="462"/>
        <v>2</v>
      </c>
      <c r="YO12" s="46" cm="1">
        <f t="array" ref="YO12">ROUND(VALUE(IFERROR(INDEX(ArchiveResults!$F$5:$IX$116,ComparisonData!A12,ComparisonData!$YO$1),0)),5)</f>
        <v>0</v>
      </c>
      <c r="YP12" s="46" cm="1">
        <f t="array" ref="YP12">ROUND(VALUE(IFERROR(INDEX(ArchiveResults!$F$5:$IX$116,ComparisonData!A12,ComparisonData!$YP$1),0)),5)</f>
        <v>0</v>
      </c>
      <c r="YQ12" s="56">
        <v>7</v>
      </c>
      <c r="YR12" s="53" t="str">
        <f t="shared" si="94"/>
        <v>Borthwick Institute for Archives</v>
      </c>
      <c r="YS12" s="60">
        <f t="shared" si="463"/>
        <v>0</v>
      </c>
      <c r="YT12" s="60">
        <f t="shared" si="464"/>
        <v>0</v>
      </c>
      <c r="YU12" s="76">
        <f t="shared" si="465"/>
        <v>0</v>
      </c>
      <c r="YV12" s="46">
        <f t="shared" si="466"/>
        <v>16</v>
      </c>
      <c r="YW12" s="46">
        <f t="shared" si="95"/>
        <v>2.5139999999999993</v>
      </c>
      <c r="YX12" s="46">
        <f t="shared" si="467"/>
        <v>1</v>
      </c>
      <c r="YY12" s="46">
        <f t="shared" si="468"/>
        <v>2</v>
      </c>
      <c r="YZ12" s="46">
        <f t="shared" si="469"/>
        <v>0</v>
      </c>
      <c r="ZA12" s="46" cm="1">
        <f t="array" ref="ZA12">ROUNDDOWN(VALUE(IFERROR(INDEX(ArchiveResults!$F$5:$IX$116,ComparisonData!A12,ComparisonData!$ZA$1),0)),5)</f>
        <v>0</v>
      </c>
      <c r="ZB12" s="46" cm="1">
        <f t="array" ref="ZB12">ROUNDDOWN(VALUE(IFERROR(INDEX(ArchiveResults!$F$5:$IX$116,ComparisonData!A12,ComparisonData!$ZB$1),0)),5)</f>
        <v>0</v>
      </c>
      <c r="ZC12" s="46" cm="1">
        <f t="array" ref="ZC12">ROUNDDOWN(VALUE(IFERROR(INDEX(ArchiveResults!$F$5:$IX$116,ComparisonData!A12,ComparisonData!$ZC$1),0)),5)</f>
        <v>0</v>
      </c>
      <c r="ZD12" s="46" cm="1">
        <f t="array" ref="ZD12">ROUNDDOWN(VALUE(IFERROR(INDEX(ArchiveResults!$F$5:$IX$116,ComparisonData!A12,ComparisonData!$ZD$1),0)),5)</f>
        <v>0</v>
      </c>
      <c r="ZE12" s="46" cm="1">
        <f t="array" ref="ZE12">ROUNDDOWN(VALUE(IFERROR(INDEX(ArchiveResults!$F$5:$IX$116,ComparisonData!A12,ComparisonData!$ZE$1),0)),5)</f>
        <v>0</v>
      </c>
      <c r="ZF12" s="56">
        <v>7</v>
      </c>
      <c r="ZG12" s="53" t="str">
        <f t="shared" si="96"/>
        <v>Borthwick Institute for Archives</v>
      </c>
      <c r="ZH12" s="60">
        <f t="shared" si="470"/>
        <v>0</v>
      </c>
      <c r="ZI12" s="60">
        <f t="shared" si="471"/>
        <v>0</v>
      </c>
      <c r="ZJ12" s="60">
        <f t="shared" si="472"/>
        <v>0</v>
      </c>
      <c r="ZK12" s="60">
        <f t="shared" si="473"/>
        <v>0</v>
      </c>
      <c r="ZL12" s="60">
        <f t="shared" si="474"/>
        <v>0</v>
      </c>
      <c r="ZM12" s="76">
        <f t="shared" si="475"/>
        <v>0</v>
      </c>
      <c r="ZN12" s="46">
        <f t="shared" si="476"/>
        <v>16</v>
      </c>
      <c r="ZO12" s="46">
        <f t="shared" si="97"/>
        <v>2.5139999999999993</v>
      </c>
      <c r="ZP12" s="46">
        <f t="shared" si="477"/>
        <v>1</v>
      </c>
      <c r="ZQ12" s="46">
        <f t="shared" si="478"/>
        <v>2</v>
      </c>
      <c r="ZR12" s="46" cm="1">
        <f t="array" ref="ZR12">ROUND(VALUE(IFERROR(INDEX(ArchiveResults!$F$5:$IX$116,ComparisonData!A12,ComparisonData!$ZR$1),0)),5)</f>
        <v>0</v>
      </c>
      <c r="ZS12" s="56">
        <v>7</v>
      </c>
      <c r="ZT12" s="53" t="str">
        <f t="shared" si="98"/>
        <v>Borthwick Institute for Archives</v>
      </c>
      <c r="ZU12" s="46">
        <f t="shared" si="479"/>
        <v>0</v>
      </c>
      <c r="ZV12" s="76">
        <f t="shared" si="480"/>
        <v>0</v>
      </c>
      <c r="ZW12" s="81" cm="1">
        <f t="array" ref="ZW12">ROUND((IFERROR(INDEX(ArchiveResults!$F$5:$IX$116,ComparisonData!A12,ComparisonData!$ZW$1),0)),5)</f>
        <v>0</v>
      </c>
      <c r="ZX12" s="81" cm="1">
        <f t="array" ref="ZX12">ROUND((IFERROR(INDEX(ArchiveResults!$F$5:$IX$116,ComparisonData!A12,ComparisonData!$ZX$1),0)),5)</f>
        <v>0</v>
      </c>
      <c r="ZY12" s="81" cm="1">
        <f t="array" ref="ZY12">ROUND((IFERROR(INDEX(ArchiveResults!$F$5:$IX$116,ComparisonData!A12,ComparisonData!$ZY$1),0)),5)</f>
        <v>0</v>
      </c>
      <c r="ZZ12" s="81" cm="1">
        <f t="array" ref="ZZ12">ROUND((IFERROR(INDEX(ArchiveResults!$F$5:$IX$116,ComparisonData!A12,ComparisonData!$ZZ$1),0)),5)</f>
        <v>0</v>
      </c>
      <c r="AAA12" s="81" cm="1">
        <f t="array" ref="AAA12">ROUND((IFERROR(INDEX(ArchiveResults!$F$5:$IX$116,ComparisonData!A12,ComparisonData!$AAA$1),0)),5)</f>
        <v>0</v>
      </c>
      <c r="AAB12" s="81" cm="1">
        <f t="array" ref="AAB12">ROUND((IFERROR(INDEX(ArchiveResults!$F$5:$IX$116,ComparisonData!A12,ComparisonData!$AAB$1),0)),5)</f>
        <v>0</v>
      </c>
      <c r="AAC12" s="81" cm="1">
        <f t="array" ref="AAC12">ROUND((IFERROR(INDEX(ArchiveResults!$F$5:$IX$116,ComparisonData!A12,ComparisonData!$AAC$1),0)),5)</f>
        <v>0</v>
      </c>
      <c r="AAD12" s="81" cm="1">
        <f t="array" ref="AAD12">ROUND((IFERROR(INDEX(ArchiveResults!$F$5:$IX$116,ComparisonData!A12,ComparisonData!$AAD$1),0)),5)</f>
        <v>0</v>
      </c>
      <c r="AAE12" s="81" cm="1">
        <f t="array" ref="AAE12">ROUND((IFERROR(INDEX(ArchiveResults!$F$5:$IX$116,ComparisonData!A12,ComparisonData!$AAE$1),0)),5)</f>
        <v>0</v>
      </c>
      <c r="AAF12" s="81" cm="1">
        <f t="array" ref="AAF12">ROUND((IFERROR(INDEX(ArchiveResults!$F$5:$IX$116,ComparisonData!A12,ComparisonData!$AAF$1),0)),5)</f>
        <v>0</v>
      </c>
      <c r="AAG12" s="46">
        <f t="shared" si="481"/>
        <v>16</v>
      </c>
      <c r="AAH12" s="46">
        <f t="shared" si="99"/>
        <v>2.5139999999999993</v>
      </c>
      <c r="AAI12" s="46">
        <f t="shared" si="482"/>
        <v>1</v>
      </c>
      <c r="AAJ12" s="46">
        <f t="shared" si="483"/>
        <v>2</v>
      </c>
      <c r="AAK12" s="46">
        <f t="shared" si="484"/>
        <v>0</v>
      </c>
      <c r="AAL12" s="46">
        <f t="shared" si="485"/>
        <v>0</v>
      </c>
      <c r="AAM12" s="46">
        <f t="shared" si="486"/>
        <v>0</v>
      </c>
      <c r="AAN12" s="46">
        <f t="shared" si="487"/>
        <v>0</v>
      </c>
      <c r="AAO12" s="46">
        <f t="shared" si="488"/>
        <v>0</v>
      </c>
      <c r="AAP12" s="46">
        <f t="shared" si="489"/>
        <v>0</v>
      </c>
      <c r="AAQ12" s="56">
        <v>7</v>
      </c>
      <c r="AAR12" s="53" t="str">
        <f t="shared" si="100"/>
        <v>Borthwick Institute for Archives</v>
      </c>
      <c r="AAS12" s="60">
        <f t="shared" si="490"/>
        <v>0</v>
      </c>
      <c r="AAT12" s="60">
        <f t="shared" si="491"/>
        <v>0</v>
      </c>
      <c r="AAU12" s="60">
        <f t="shared" si="492"/>
        <v>0</v>
      </c>
      <c r="AAV12" s="60">
        <f t="shared" si="493"/>
        <v>0</v>
      </c>
      <c r="AAW12" s="60">
        <f t="shared" si="494"/>
        <v>0</v>
      </c>
      <c r="AAX12" s="76">
        <f t="shared" si="495"/>
        <v>0</v>
      </c>
      <c r="AAY12" s="46">
        <f t="shared" si="496"/>
        <v>16</v>
      </c>
      <c r="AAZ12" s="46">
        <f t="shared" si="101"/>
        <v>2.5139999999999993</v>
      </c>
      <c r="ABA12" s="46">
        <f t="shared" si="497"/>
        <v>1</v>
      </c>
      <c r="ABB12" s="46">
        <f t="shared" si="498"/>
        <v>2</v>
      </c>
      <c r="ABC12" s="46">
        <f t="shared" si="102"/>
        <v>0</v>
      </c>
      <c r="ABD12" s="46" cm="1">
        <f t="array" ref="ABD12">ROUND(VALUE(IFERROR(INDEX(ArchiveResults!$F$5:$IX$116,ComparisonData!A12,ComparisonData!$ABD$1),0)),5)</f>
        <v>0</v>
      </c>
      <c r="ABE12" s="46" cm="1">
        <f t="array" ref="ABE12">ROUND(VALUE(IFERROR(INDEX(ArchiveResults!$F$5:$IX$116,ComparisonData!A12,ComparisonData!$ABE$1),0)),5)</f>
        <v>0</v>
      </c>
      <c r="ABF12" s="46" cm="1">
        <f t="array" ref="ABF12">ROUND(VALUE(IFERROR(INDEX(ArchiveResults!$F$5:$IX$116,ComparisonData!A12,ComparisonData!$ABF$1),0)),5)</f>
        <v>0</v>
      </c>
      <c r="ABG12" s="46" cm="1">
        <f t="array" ref="ABG12">ROUND(VALUE(IFERROR(INDEX(ArchiveResults!$F$5:$IX$116,ComparisonData!A12,ComparisonData!$ABG$1),0)),5)</f>
        <v>0</v>
      </c>
      <c r="ABH12" s="46" cm="1">
        <f t="array" ref="ABH12">ROUND(VALUE(IFERROR(INDEX(ArchiveResults!$F$5:$IX$116,ComparisonData!A12,ComparisonData!$ABH$1),0)),5)</f>
        <v>0</v>
      </c>
      <c r="ABI12" s="56">
        <v>7</v>
      </c>
      <c r="ABJ12" s="53" t="str">
        <f t="shared" si="103"/>
        <v>Borthwick Institute for Archives</v>
      </c>
      <c r="ABK12" s="60">
        <f t="shared" si="499"/>
        <v>0</v>
      </c>
      <c r="ABL12" s="60">
        <f t="shared" si="500"/>
        <v>0</v>
      </c>
      <c r="ABM12" s="60">
        <f t="shared" si="501"/>
        <v>0</v>
      </c>
      <c r="ABN12" s="60">
        <f t="shared" si="502"/>
        <v>0</v>
      </c>
      <c r="ABO12" s="60">
        <f t="shared" si="503"/>
        <v>0</v>
      </c>
      <c r="ABP12" s="76">
        <f t="shared" si="504"/>
        <v>0</v>
      </c>
      <c r="ABQ12" s="46">
        <f t="shared" si="505"/>
        <v>16</v>
      </c>
      <c r="ABR12" s="46">
        <f t="shared" si="104"/>
        <v>2.5139999999999993</v>
      </c>
      <c r="ABS12" s="46">
        <f t="shared" si="506"/>
        <v>1</v>
      </c>
      <c r="ABT12" s="46">
        <f t="shared" si="507"/>
        <v>2</v>
      </c>
      <c r="ABU12" s="46" cm="1">
        <f t="array" ref="ABU12">ROUND(VALUE(IFERROR(INDEX(ArchiveResults!$F$5:$IX$116,ComparisonData!A12,ComparisonData!$ABU$1),0)),5)</f>
        <v>0</v>
      </c>
      <c r="ABV12" s="46" cm="1">
        <f t="array" ref="ABV12">ROUND(VALUE(IFERROR(INDEX(ArchiveResults!$F$5:$IX$116,ComparisonData!A12,ComparisonData!$ABV$1),0)),5)</f>
        <v>0</v>
      </c>
      <c r="ABW12" s="46" cm="1">
        <f t="array" ref="ABW12">ROUND(VALUE(IFERROR(INDEX(ArchiveResults!$F$5:$IX$116,ComparisonData!A12,ComparisonData!$ABW$1),0)),5)</f>
        <v>0</v>
      </c>
      <c r="ABX12" s="46" cm="1">
        <f t="array" ref="ABX12">ROUND(VALUE(IFERROR(INDEX(ArchiveResults!$F$5:$IX$116,ComparisonData!A12,ComparisonData!$ABX$1),0)),5)</f>
        <v>0</v>
      </c>
      <c r="ABY12" s="46" cm="1">
        <f t="array" ref="ABY12">ROUND(VALUE(IFERROR(INDEX(ArchiveResults!$F$5:$IX$116,ComparisonData!A12,ComparisonData!$ABY$1),0)),5)</f>
        <v>0</v>
      </c>
      <c r="ABZ12" s="56">
        <v>7</v>
      </c>
      <c r="ACA12" s="53" t="str">
        <f t="shared" si="105"/>
        <v>Borthwick Institute for Archives</v>
      </c>
      <c r="ACB12" s="60">
        <f t="shared" si="508"/>
        <v>0</v>
      </c>
      <c r="ACC12" s="60">
        <f t="shared" si="509"/>
        <v>0</v>
      </c>
      <c r="ACD12" s="60">
        <f t="shared" si="510"/>
        <v>0</v>
      </c>
      <c r="ACE12" s="60">
        <f t="shared" si="511"/>
        <v>0</v>
      </c>
      <c r="ACF12" s="60">
        <f t="shared" si="512"/>
        <v>0</v>
      </c>
      <c r="ACG12" s="76">
        <f t="shared" si="513"/>
        <v>0</v>
      </c>
      <c r="ACH12" s="46">
        <f t="shared" si="514"/>
        <v>16</v>
      </c>
      <c r="ACI12" s="46">
        <f t="shared" si="106"/>
        <v>2.5139999999999993</v>
      </c>
      <c r="ACJ12" s="46">
        <f t="shared" si="515"/>
        <v>1</v>
      </c>
      <c r="ACK12" s="46">
        <f t="shared" si="516"/>
        <v>2</v>
      </c>
      <c r="ACL12" s="46">
        <f t="shared" si="517"/>
        <v>0</v>
      </c>
      <c r="ACM12" s="46" cm="1">
        <f t="array" ref="ACM12">ROUND(IFERROR(INDEX(ArchiveResults!$F$5:$IX$116,ComparisonData!A12,ComparisonData!$ACM$1),0),5)</f>
        <v>0</v>
      </c>
      <c r="ACN12" s="46" cm="1">
        <f t="array" ref="ACN12">ROUND(IFERROR(INDEX(ArchiveResults!$F$5:$IX$116,ComparisonData!A12,ComparisonData!$ACN$1),0),5)</f>
        <v>0</v>
      </c>
      <c r="ACO12" s="56">
        <v>7</v>
      </c>
      <c r="ACP12" s="53" t="str">
        <f t="shared" si="107"/>
        <v>Borthwick Institute for Archives</v>
      </c>
      <c r="ACQ12" s="60">
        <f t="shared" si="518"/>
        <v>0</v>
      </c>
      <c r="ACR12" s="60">
        <f t="shared" si="519"/>
        <v>0</v>
      </c>
      <c r="ACS12" s="76">
        <f t="shared" si="520"/>
        <v>0</v>
      </c>
      <c r="ACT12" s="46">
        <f t="shared" si="521"/>
        <v>16</v>
      </c>
      <c r="ACU12" s="46">
        <f t="shared" si="108"/>
        <v>2.5139999999999993</v>
      </c>
      <c r="ACV12" s="46">
        <f t="shared" si="522"/>
        <v>1</v>
      </c>
      <c r="ACW12" s="46">
        <f t="shared" si="523"/>
        <v>2</v>
      </c>
      <c r="ACX12" s="46">
        <f t="shared" si="524"/>
        <v>0</v>
      </c>
      <c r="ACY12" s="46" cm="1">
        <f t="array" ref="ACY12">ROUNDDOWN(IFERROR(INDEX(ArchiveResults!$F$5:$IX$116,ComparisonData!A12,ComparisonData!$ACY$1),0),5)</f>
        <v>0</v>
      </c>
      <c r="ACZ12" s="46" cm="1">
        <f t="array" ref="ACZ12">ROUNDDOWN(IFERROR(INDEX(ArchiveResults!$F$5:$IX$116,ComparisonData!A12,ComparisonData!$ACZ$1),0),5)</f>
        <v>0</v>
      </c>
      <c r="ADA12" s="46" cm="1">
        <f t="array" ref="ADA12">ROUNDDOWN(IFERROR(INDEX(ArchiveResults!$F$5:$IX$116,ComparisonData!A12,ComparisonData!$ADA$1),0),5)</f>
        <v>0</v>
      </c>
      <c r="ADB12" s="56">
        <v>7</v>
      </c>
      <c r="ADC12" s="53" t="str">
        <f t="shared" si="109"/>
        <v>Borthwick Institute for Archives</v>
      </c>
      <c r="ADD12" s="60">
        <f t="shared" si="525"/>
        <v>0</v>
      </c>
      <c r="ADE12" s="60">
        <f t="shared" si="526"/>
        <v>0</v>
      </c>
      <c r="ADF12" s="60">
        <f t="shared" si="527"/>
        <v>0</v>
      </c>
      <c r="ADG12" s="76">
        <f t="shared" si="528"/>
        <v>0</v>
      </c>
    </row>
    <row r="13" spans="1:787" x14ac:dyDescent="0.25">
      <c r="A13" s="46" t="str">
        <f>IF(ISBLANK(ComparisonSelection!F9),"",ROW()-5)</f>
        <v/>
      </c>
      <c r="B13" s="53" t="s">
        <v>463</v>
      </c>
      <c r="C13" s="72">
        <v>0.95899999999999996</v>
      </c>
      <c r="D13" s="55">
        <f t="shared" si="110"/>
        <v>104</v>
      </c>
      <c r="E13" s="54">
        <f t="shared" si="111"/>
        <v>2.9590000000000001</v>
      </c>
      <c r="F13" s="54">
        <f t="shared" si="529"/>
        <v>1</v>
      </c>
      <c r="G13" s="72">
        <f t="shared" si="112"/>
        <v>2</v>
      </c>
      <c r="H13" s="72">
        <f t="shared" si="113"/>
        <v>0</v>
      </c>
      <c r="I13" s="46" cm="1">
        <f t="array" ref="I13">ROUND(IFERROR(INDEX(ArchiveResults!$F$5:$IX$116,ComparisonData!A13,ComparisonData!$I$1),0),5)</f>
        <v>0</v>
      </c>
      <c r="J13" s="46" cm="1">
        <f t="array" ref="J13">ROUND(IFERROR(INDEX(ArchiveResults!$F$5:$IX$116,ComparisonData!A13,ComparisonData!$J$1),0),5)</f>
        <v>0</v>
      </c>
      <c r="K13" s="56">
        <v>8</v>
      </c>
      <c r="L13" s="53" t="str">
        <f t="shared" si="114"/>
        <v>Bristol Archives</v>
      </c>
      <c r="M13" s="57">
        <f t="shared" si="0"/>
        <v>0</v>
      </c>
      <c r="N13" s="57">
        <f t="shared" si="1"/>
        <v>0</v>
      </c>
      <c r="O13" s="58">
        <f t="shared" si="115"/>
        <v>0</v>
      </c>
      <c r="P13" s="48">
        <f t="shared" si="116"/>
        <v>104</v>
      </c>
      <c r="Q13" s="54">
        <f t="shared" si="2"/>
        <v>2.9590000000000001</v>
      </c>
      <c r="R13" s="45">
        <f t="shared" si="117"/>
        <v>1</v>
      </c>
      <c r="S13" s="46">
        <f t="shared" si="118"/>
        <v>2</v>
      </c>
      <c r="T13" s="72">
        <f t="shared" si="119"/>
        <v>0</v>
      </c>
      <c r="U13" s="46" cm="1">
        <f t="array" ref="U13">ROUND(IFERROR(INDEX(ArchiveResults!$F$5:$IX$116,ComparisonData!A13,ComparisonData!$U$1),0),5)</f>
        <v>0</v>
      </c>
      <c r="V13" s="46" cm="1">
        <f t="array" ref="V13">ROUND(IFERROR(INDEX(ArchiveResults!$F$5:$IX$116,ComparisonData!A13,ComparisonData!$V$1),0),5)</f>
        <v>0</v>
      </c>
      <c r="W13" s="56">
        <v>8</v>
      </c>
      <c r="X13" s="53" t="str">
        <f t="shared" si="3"/>
        <v>Bristol Archives</v>
      </c>
      <c r="Y13" s="57">
        <f t="shared" si="120"/>
        <v>0</v>
      </c>
      <c r="Z13" s="57">
        <f t="shared" si="121"/>
        <v>0</v>
      </c>
      <c r="AA13" s="58">
        <f t="shared" si="122"/>
        <v>0</v>
      </c>
      <c r="AB13" s="45">
        <f t="shared" si="123"/>
        <v>104</v>
      </c>
      <c r="AC13" s="54">
        <f t="shared" si="4"/>
        <v>2.9590000000000001</v>
      </c>
      <c r="AD13" s="45">
        <f t="shared" si="124"/>
        <v>1</v>
      </c>
      <c r="AE13" s="45">
        <f t="shared" si="125"/>
        <v>2</v>
      </c>
      <c r="AF13" s="45">
        <f t="shared" si="126"/>
        <v>0</v>
      </c>
      <c r="AG13" s="46" cm="1">
        <f t="array" ref="AG13">ROUND(IFERROR(INDEX(ArchiveResults!$F$5:$IX$116,ComparisonData!A13,ComparisonData!$AG$1),0),5)</f>
        <v>0</v>
      </c>
      <c r="AH13" s="46" cm="1">
        <f t="array" ref="AH13">ROUND(IFERROR(INDEX(ArchiveResults!$F$5:$IX$116,ComparisonData!A13,ComparisonData!$AH$1),0),5)</f>
        <v>0</v>
      </c>
      <c r="AI13" s="56">
        <v>8</v>
      </c>
      <c r="AJ13" s="53" t="str">
        <f t="shared" si="5"/>
        <v>Bristol Archives</v>
      </c>
      <c r="AK13" s="59">
        <f t="shared" si="6"/>
        <v>0</v>
      </c>
      <c r="AL13" s="59">
        <f t="shared" si="7"/>
        <v>0</v>
      </c>
      <c r="AM13" s="58">
        <f t="shared" si="127"/>
        <v>0</v>
      </c>
      <c r="AN13" s="45">
        <f t="shared" si="128"/>
        <v>104</v>
      </c>
      <c r="AO13" s="54">
        <f t="shared" si="8"/>
        <v>2.9590000000000001</v>
      </c>
      <c r="AP13" s="45">
        <f t="shared" si="129"/>
        <v>1</v>
      </c>
      <c r="AQ13" s="45">
        <f t="shared" si="130"/>
        <v>2</v>
      </c>
      <c r="AR13" s="46" cm="1">
        <f t="array" ref="AR13">ROUND(IFERROR(INDEX(ArchiveResults!$F$5:$IX$116,ComparisonData!A13,ComparisonData!$AR$1),0),5)</f>
        <v>0</v>
      </c>
      <c r="AS13" s="46" cm="1">
        <f t="array" ref="AS13">ROUND(IFERROR(INDEX(ArchiveResults!$F$5:$IX$116,ComparisonData!A13,ComparisonData!$AS$1),0),5)</f>
        <v>0</v>
      </c>
      <c r="AT13" s="46" cm="1">
        <f t="array" ref="AT13">ROUND(IFERROR(INDEX(ArchiveResults!$F$5:$IX$116,ComparisonData!A13,ComparisonData!$AT$1),0),5)</f>
        <v>0</v>
      </c>
      <c r="AU13" s="46" cm="1">
        <f t="array" ref="AU13">ROUND(IFERROR(INDEX(ArchiveResults!$F$5:$IX$116,ComparisonData!A13,ComparisonData!$AU$1),0),5)</f>
        <v>0</v>
      </c>
      <c r="AV13" s="46" cm="1">
        <f t="array" ref="AV13">ROUND(IFERROR(INDEX(ArchiveResults!$F$5:$IX$116,ComparisonData!A13,ComparisonData!$AV$1),0),5)</f>
        <v>0</v>
      </c>
      <c r="AW13" s="46" cm="1">
        <f t="array" ref="AW13">ROUND(IFERROR(INDEX(ArchiveResults!$F$5:$IX$116,ComparisonData!A13,ComparisonData!$AW$1),0),5)</f>
        <v>0</v>
      </c>
      <c r="AX13" s="46" cm="1">
        <f t="array" ref="AX13">ROUND(IFERROR(INDEX(ArchiveResults!$F$5:$IX$116,ComparisonData!A13,ComparisonData!$AX$1),0),5)</f>
        <v>0</v>
      </c>
      <c r="AY13" s="46" cm="1">
        <f t="array" ref="AY13">ROUND(IFERROR(INDEX(ArchiveResults!$F$5:$IX$116,ComparisonData!A13,ComparisonData!$AY$1),0),5)</f>
        <v>0</v>
      </c>
      <c r="AZ13" s="46" cm="1">
        <f t="array" ref="AZ13">ROUND(IFERROR(INDEX(ArchiveResults!$F$5:$IX$116,ComparisonData!A13,ComparisonData!$AZ$1),0),5)</f>
        <v>0</v>
      </c>
      <c r="BA13" s="46" cm="1">
        <f t="array" ref="BA13">ROUND(IFERROR(INDEX(ArchiveResults!$F$5:$IX$116,ComparisonData!A13,ComparisonData!$BA$1),0),5)</f>
        <v>0</v>
      </c>
      <c r="BB13" s="56">
        <v>8</v>
      </c>
      <c r="BC13" s="53" t="str">
        <f t="shared" si="9"/>
        <v>Bristol Archives</v>
      </c>
      <c r="BD13" s="60">
        <f t="shared" si="131"/>
        <v>0</v>
      </c>
      <c r="BE13" s="60">
        <f t="shared" si="132"/>
        <v>0</v>
      </c>
      <c r="BF13" s="60">
        <f t="shared" si="133"/>
        <v>0</v>
      </c>
      <c r="BG13" s="60">
        <f t="shared" si="134"/>
        <v>0</v>
      </c>
      <c r="BH13" s="60">
        <f t="shared" si="135"/>
        <v>0</v>
      </c>
      <c r="BI13" s="60">
        <f t="shared" si="136"/>
        <v>0</v>
      </c>
      <c r="BJ13" s="60">
        <f t="shared" si="137"/>
        <v>0</v>
      </c>
      <c r="BK13" s="60">
        <f t="shared" si="138"/>
        <v>0</v>
      </c>
      <c r="BL13" s="60">
        <f t="shared" si="139"/>
        <v>0</v>
      </c>
      <c r="BM13" s="59">
        <f t="shared" si="140"/>
        <v>0</v>
      </c>
      <c r="BN13" s="58">
        <f t="shared" si="141"/>
        <v>0</v>
      </c>
      <c r="BO13" s="45">
        <f t="shared" si="142"/>
        <v>104</v>
      </c>
      <c r="BP13" s="54">
        <f t="shared" si="10"/>
        <v>2.9590000000000001</v>
      </c>
      <c r="BQ13" s="45">
        <f t="shared" si="143"/>
        <v>1</v>
      </c>
      <c r="BR13" s="45">
        <f t="shared" si="144"/>
        <v>2</v>
      </c>
      <c r="BS13" s="46" cm="1">
        <f t="array" ref="BS13">ROUND(IFERROR(INDEX(ArchiveResults!$F$5:$IX$116,ComparisonData!A13,ComparisonData!$BS$1),0),5)</f>
        <v>0</v>
      </c>
      <c r="BT13" s="46" cm="1">
        <f t="array" ref="BT13">ROUND(IFERROR(INDEX(ArchiveResults!$F$5:$IX$116,ComparisonData!A13,ComparisonData!$BT$1),0),5)</f>
        <v>0</v>
      </c>
      <c r="BU13" s="46" cm="1">
        <f t="array" ref="BU13">ROUND(IFERROR(INDEX(ArchiveResults!$F$5:$IX$116,ComparisonData!A13,ComparisonData!$BU$1),0),5)</f>
        <v>0</v>
      </c>
      <c r="BV13" s="46" cm="1">
        <f t="array" ref="BV13">ROUND(IFERROR(INDEX(ArchiveResults!$F$5:$IX$116,ComparisonData!A13,ComparisonData!$BV$1),0),5)</f>
        <v>0</v>
      </c>
      <c r="BW13" s="46" cm="1">
        <f t="array" ref="BW13">ROUND(IFERROR(INDEX(ArchiveResults!$F$5:$IX$116,ComparisonData!A13,ComparisonData!$BW$1),0),5)</f>
        <v>0</v>
      </c>
      <c r="BX13" s="46" cm="1">
        <f t="array" ref="BX13">ROUND(IFERROR(INDEX(ArchiveResults!$F$5:$IX$116,ComparisonData!A13,ComparisonData!$BX$1),0),5)</f>
        <v>0</v>
      </c>
      <c r="BY13" s="56">
        <v>8</v>
      </c>
      <c r="BZ13" s="53" t="str">
        <f t="shared" si="11"/>
        <v>Bristol Archives</v>
      </c>
      <c r="CA13" s="59">
        <f t="shared" si="145"/>
        <v>0</v>
      </c>
      <c r="CB13" s="59">
        <f t="shared" si="146"/>
        <v>0</v>
      </c>
      <c r="CC13" s="59">
        <f t="shared" si="147"/>
        <v>0</v>
      </c>
      <c r="CD13" s="59">
        <f t="shared" si="148"/>
        <v>0</v>
      </c>
      <c r="CE13" s="59">
        <f t="shared" si="149"/>
        <v>0</v>
      </c>
      <c r="CF13" s="59">
        <f t="shared" si="150"/>
        <v>0</v>
      </c>
      <c r="CG13" s="58">
        <f t="shared" si="151"/>
        <v>0</v>
      </c>
      <c r="CH13" s="45">
        <f t="shared" si="152"/>
        <v>104</v>
      </c>
      <c r="CI13" s="54">
        <f t="shared" si="12"/>
        <v>2.9590000000000001</v>
      </c>
      <c r="CJ13" s="45">
        <f t="shared" si="153"/>
        <v>1</v>
      </c>
      <c r="CK13" s="45">
        <f t="shared" si="154"/>
        <v>2</v>
      </c>
      <c r="CL13" s="46" cm="1">
        <f t="array" ref="CL13">ROUND(IFERROR(INDEX(ArchiveResults!$F$5:$IX$116,ComparisonData!A13,ComparisonData!$CL$1),0),5)</f>
        <v>0</v>
      </c>
      <c r="CM13" s="56">
        <v>8</v>
      </c>
      <c r="CN13" s="53" t="str">
        <f t="shared" si="13"/>
        <v>Bristol Archives</v>
      </c>
      <c r="CO13" s="45">
        <f t="shared" si="155"/>
        <v>0</v>
      </c>
      <c r="CP13" s="58">
        <f t="shared" si="156"/>
        <v>0</v>
      </c>
      <c r="CQ13" s="45">
        <f t="shared" si="157"/>
        <v>104</v>
      </c>
      <c r="CR13" s="54">
        <f t="shared" si="14"/>
        <v>2.9590000000000001</v>
      </c>
      <c r="CS13" s="45">
        <f t="shared" si="158"/>
        <v>1</v>
      </c>
      <c r="CT13" s="45">
        <f t="shared" si="159"/>
        <v>2</v>
      </c>
      <c r="CU13" s="46" cm="1">
        <f t="array" ref="CU13">ROUND(IFERROR(INDEX(ArchiveResults!$F$5:$IX$116,ComparisonData!A13,ComparisonData!$CU$1),0),5)</f>
        <v>0</v>
      </c>
      <c r="CV13" s="56">
        <v>8</v>
      </c>
      <c r="CW13" s="53" t="str">
        <f t="shared" si="15"/>
        <v>Bristol Archives</v>
      </c>
      <c r="CX13" s="45">
        <f t="shared" si="160"/>
        <v>0</v>
      </c>
      <c r="CY13" s="58">
        <f t="shared" si="161"/>
        <v>0</v>
      </c>
      <c r="CZ13" s="45">
        <f t="shared" si="162"/>
        <v>104</v>
      </c>
      <c r="DA13" s="54">
        <f t="shared" si="16"/>
        <v>2.9590000000000001</v>
      </c>
      <c r="DB13" s="45">
        <f t="shared" si="163"/>
        <v>1</v>
      </c>
      <c r="DC13" s="45">
        <f t="shared" si="164"/>
        <v>2</v>
      </c>
      <c r="DD13" s="46" cm="1">
        <f t="array" ref="DD13">ROUND(IFERROR(INDEX(ArchiveResults!$F$5:$IX$116,ComparisonData!A13,ComparisonData!$DD$1),0),5)</f>
        <v>0</v>
      </c>
      <c r="DE13" s="56">
        <v>8</v>
      </c>
      <c r="DF13" s="53" t="str">
        <f t="shared" si="17"/>
        <v>Bristol Archives</v>
      </c>
      <c r="DG13" s="45">
        <f t="shared" si="165"/>
        <v>0</v>
      </c>
      <c r="DH13" s="58">
        <f t="shared" si="166"/>
        <v>0</v>
      </c>
      <c r="DI13" s="45">
        <f t="shared" si="167"/>
        <v>104</v>
      </c>
      <c r="DJ13" s="54">
        <f t="shared" si="18"/>
        <v>2.9590000000000001</v>
      </c>
      <c r="DK13" s="45">
        <f t="shared" si="168"/>
        <v>1</v>
      </c>
      <c r="DL13" s="45">
        <f t="shared" si="169"/>
        <v>2</v>
      </c>
      <c r="DM13" s="46" cm="1">
        <f t="array" ref="DM13">ROUND(IFERROR(INDEX(ArchiveResults!$F$5:$IX$116,ComparisonData!A13,ComparisonData!$DM$1),0),5)</f>
        <v>0</v>
      </c>
      <c r="DN13" s="46" cm="1">
        <f t="array" ref="DN13">ROUND(IFERROR(INDEX(ArchiveResults!$F$5:$IX$116,ComparisonData!A13,ComparisonData!$DN$1),0),5)</f>
        <v>0</v>
      </c>
      <c r="DO13" s="46" cm="1">
        <f t="array" ref="DO13">ROUND(IFERROR(INDEX(ArchiveResults!$F$5:$IX$116,ComparisonData!A13,ComparisonData!$DO$1),0),5)</f>
        <v>0</v>
      </c>
      <c r="DP13" s="46" cm="1">
        <f t="array" ref="DP13">ROUND(IFERROR(INDEX(ArchiveResults!$F$5:$IX$116,ComparisonData!A13,ComparisonData!$DP$1),0),5)</f>
        <v>0</v>
      </c>
      <c r="DQ13" s="45" cm="1">
        <f t="array" ref="DQ13">IFERROR(INDEX(ArchiveResults!$F$5:$IX$116,ComparisonData!A13,ComparisonData!$DQ$1),0)</f>
        <v>0</v>
      </c>
      <c r="DR13" s="56">
        <v>8</v>
      </c>
      <c r="DS13" s="53" t="str">
        <f t="shared" si="19"/>
        <v>Bristol Archives</v>
      </c>
      <c r="DT13" s="59">
        <f t="shared" si="170"/>
        <v>0</v>
      </c>
      <c r="DU13" s="59">
        <f t="shared" si="171"/>
        <v>0</v>
      </c>
      <c r="DV13" s="59">
        <f t="shared" si="172"/>
        <v>0</v>
      </c>
      <c r="DW13" s="59">
        <f t="shared" si="173"/>
        <v>0</v>
      </c>
      <c r="DX13" s="59">
        <f t="shared" si="174"/>
        <v>0</v>
      </c>
      <c r="DY13" s="58">
        <f t="shared" si="175"/>
        <v>0</v>
      </c>
      <c r="DZ13" s="45">
        <f t="shared" si="176"/>
        <v>104</v>
      </c>
      <c r="EA13" s="54">
        <f t="shared" si="20"/>
        <v>2.9590000000000001</v>
      </c>
      <c r="EB13" s="45">
        <f t="shared" si="177"/>
        <v>1</v>
      </c>
      <c r="EC13" s="45">
        <f t="shared" si="178"/>
        <v>2</v>
      </c>
      <c r="ED13" s="46" cm="1">
        <f t="array" ref="ED13">ROUND(IFERROR(INDEX(ArchiveResults!$F$5:$IX$116,ComparisonData!A13,ComparisonData!$ED$1),0),5)</f>
        <v>0</v>
      </c>
      <c r="EE13" s="46" cm="1">
        <f t="array" ref="EE13">ROUND(IFERROR(INDEX(ArchiveResults!$F$5:$IX$116,ComparisonData!A13,ComparisonData!$EE$1),0),5)</f>
        <v>0</v>
      </c>
      <c r="EF13" s="46" cm="1">
        <f t="array" ref="EF13">ROUND(IFERROR(INDEX(ArchiveResults!$F$5:$IX$116,ComparisonData!A13,ComparisonData!$EF$1),0),5)</f>
        <v>0</v>
      </c>
      <c r="EG13" s="46" cm="1">
        <f t="array" ref="EG13">ROUND(IFERROR(INDEX(ArchiveResults!$F$5:$IX$116,ComparisonData!A13,ComparisonData!$EG$1),0),5)</f>
        <v>0</v>
      </c>
      <c r="EH13" s="45" cm="1">
        <f t="array" ref="EH13">IFERROR(INDEX(ArchiveResults!$F$5:$IX$116,ComparisonData!A13,ComparisonData!$EH$1),0)</f>
        <v>0</v>
      </c>
      <c r="EI13" s="56">
        <v>8</v>
      </c>
      <c r="EJ13" s="53" t="str">
        <f t="shared" si="21"/>
        <v>Bristol Archives</v>
      </c>
      <c r="EK13" s="59">
        <f t="shared" si="179"/>
        <v>0</v>
      </c>
      <c r="EL13" s="59">
        <f t="shared" si="180"/>
        <v>0</v>
      </c>
      <c r="EM13" s="59">
        <f t="shared" si="181"/>
        <v>0</v>
      </c>
      <c r="EN13" s="59">
        <f t="shared" si="182"/>
        <v>0</v>
      </c>
      <c r="EO13" s="59">
        <f t="shared" si="183"/>
        <v>0</v>
      </c>
      <c r="EP13" s="58">
        <f t="shared" si="184"/>
        <v>0</v>
      </c>
      <c r="EQ13" s="45">
        <f t="shared" si="185"/>
        <v>104</v>
      </c>
      <c r="ER13" s="54">
        <f t="shared" si="22"/>
        <v>2.9590000000000001</v>
      </c>
      <c r="ES13" s="45">
        <f t="shared" si="186"/>
        <v>1</v>
      </c>
      <c r="ET13" s="45">
        <f t="shared" si="187"/>
        <v>2</v>
      </c>
      <c r="EU13" s="46" cm="1">
        <f t="array" ref="EU13">ROUND(IFERROR(INDEX(ArchiveResults!$F$5:$IX$116,ComparisonData!A13,ComparisonData!$EU$1),0),5)</f>
        <v>0</v>
      </c>
      <c r="EV13" s="46" cm="1">
        <f t="array" ref="EV13">ROUND(IFERROR(INDEX(ArchiveResults!$F$5:$IX$116,ComparisonData!A13,ComparisonData!$EV$1),0),5)</f>
        <v>0</v>
      </c>
      <c r="EW13" s="46" cm="1">
        <f t="array" ref="EW13">ROUND(IFERROR(INDEX(ArchiveResults!$F$5:$IX$116,ComparisonData!A13,ComparisonData!$EW$1),0),5)</f>
        <v>0</v>
      </c>
      <c r="EX13" s="46" cm="1">
        <f t="array" ref="EX13">ROUND(IFERROR(INDEX(ArchiveResults!$F$5:$IX$116,ComparisonData!A13,ComparisonData!$EX$1),0),5)</f>
        <v>0</v>
      </c>
      <c r="EY13" s="45" cm="1">
        <f t="array" ref="EY13">IFERROR(INDEX(ArchiveResults!$F$5:$IX$116,ComparisonData!A13,ComparisonData!$EY$1),0)</f>
        <v>0</v>
      </c>
      <c r="EZ13" s="56">
        <v>8</v>
      </c>
      <c r="FA13" s="53" t="str">
        <f t="shared" si="23"/>
        <v>Bristol Archives</v>
      </c>
      <c r="FB13" s="59">
        <f t="shared" si="188"/>
        <v>0</v>
      </c>
      <c r="FC13" s="59">
        <f t="shared" si="189"/>
        <v>0</v>
      </c>
      <c r="FD13" s="59">
        <f t="shared" si="190"/>
        <v>0</v>
      </c>
      <c r="FE13" s="59">
        <f t="shared" si="191"/>
        <v>0</v>
      </c>
      <c r="FF13" s="59">
        <f t="shared" si="192"/>
        <v>0</v>
      </c>
      <c r="FG13" s="58">
        <f t="shared" si="193"/>
        <v>0</v>
      </c>
      <c r="FH13" s="45">
        <f t="shared" si="194"/>
        <v>104</v>
      </c>
      <c r="FI13" s="54">
        <f t="shared" si="24"/>
        <v>2.9590000000000001</v>
      </c>
      <c r="FJ13" s="45">
        <f t="shared" si="195"/>
        <v>1</v>
      </c>
      <c r="FK13" s="45">
        <f t="shared" si="196"/>
        <v>2</v>
      </c>
      <c r="FL13" s="46" cm="1">
        <f t="array" ref="FL13">ROUND(IFERROR(INDEX(ArchiveResults!$F$5:$IX$116,ComparisonData!A13,ComparisonData!$FL$1),0),5)</f>
        <v>0</v>
      </c>
      <c r="FM13" s="46" cm="1">
        <f t="array" ref="FM13">ROUND(IFERROR(INDEX(ArchiveResults!$F$5:$IX$116,ComparisonData!A13,ComparisonData!$FM$1),0),5)</f>
        <v>0</v>
      </c>
      <c r="FN13" s="46" cm="1">
        <f t="array" ref="FN13">ROUND(IFERROR(INDEX(ArchiveResults!$F$5:$IX$116,ComparisonData!A13,ComparisonData!$FN$1),0),5)</f>
        <v>0</v>
      </c>
      <c r="FO13" s="46" cm="1">
        <f t="array" ref="FO13">ROUND(IFERROR(INDEX(ArchiveResults!$F$5:$IX$116,ComparisonData!A13,ComparisonData!$FO$1),0),5)</f>
        <v>0</v>
      </c>
      <c r="FP13" s="45" cm="1">
        <f t="array" ref="FP13">IFERROR(INDEX(ArchiveResults!$F$5:$IX$116,ComparisonData!A13,ComparisonData!$FP$1),0)</f>
        <v>0</v>
      </c>
      <c r="FQ13" s="56">
        <v>8</v>
      </c>
      <c r="FR13" s="53" t="str">
        <f t="shared" si="25"/>
        <v>Bristol Archives</v>
      </c>
      <c r="FS13" s="59">
        <f t="shared" si="197"/>
        <v>0</v>
      </c>
      <c r="FT13" s="59">
        <f t="shared" si="198"/>
        <v>0</v>
      </c>
      <c r="FU13" s="59">
        <f t="shared" si="199"/>
        <v>0</v>
      </c>
      <c r="FV13" s="59">
        <f t="shared" si="200"/>
        <v>0</v>
      </c>
      <c r="FW13" s="59">
        <f t="shared" si="201"/>
        <v>0</v>
      </c>
      <c r="FX13" s="58">
        <f t="shared" si="202"/>
        <v>0</v>
      </c>
      <c r="FY13" s="45">
        <f t="shared" si="203"/>
        <v>104</v>
      </c>
      <c r="FZ13" s="45">
        <f t="shared" si="26"/>
        <v>2.9590000000000001</v>
      </c>
      <c r="GA13" s="45">
        <f t="shared" si="204"/>
        <v>1</v>
      </c>
      <c r="GB13" s="45">
        <f t="shared" si="205"/>
        <v>2</v>
      </c>
      <c r="GC13" s="46" cm="1">
        <f t="array" ref="GC13">ROUND(IFERROR(INDEX(ArchiveResults!$F$5:$IX$116,ComparisonData!A13,ComparisonData!$GC$1),0),5)</f>
        <v>0</v>
      </c>
      <c r="GD13" s="46" cm="1">
        <f t="array" ref="GD13">ROUND(IFERROR(INDEX(ArchiveResults!$F$5:$IX$116,ComparisonData!A13,ComparisonData!$GD$1),0),5)</f>
        <v>0</v>
      </c>
      <c r="GE13" s="46" cm="1">
        <f t="array" ref="GE13">ROUND(IFERROR(INDEX(ArchiveResults!$F$5:$IX$116,ComparisonData!A13,ComparisonData!$GE$1),0),5)</f>
        <v>0</v>
      </c>
      <c r="GF13" s="46" cm="1">
        <f t="array" ref="GF13">ROUND(IFERROR(INDEX(ArchiveResults!$F$5:$IX$116,ComparisonData!A13,ComparisonData!$GF$1),0),5)</f>
        <v>0</v>
      </c>
      <c r="GG13" s="45" cm="1">
        <f t="array" ref="GG13">IFERROR(INDEX(ArchiveResults!$F$5:$IX$116,ComparisonData!A13,ComparisonData!$GG$1),0)</f>
        <v>0</v>
      </c>
      <c r="GH13" s="56">
        <v>8</v>
      </c>
      <c r="GI13" s="53" t="str">
        <f t="shared" si="27"/>
        <v>Bristol Archives</v>
      </c>
      <c r="GJ13" s="59">
        <f t="shared" si="206"/>
        <v>0</v>
      </c>
      <c r="GK13" s="59">
        <f t="shared" si="207"/>
        <v>0</v>
      </c>
      <c r="GL13" s="59">
        <f t="shared" si="208"/>
        <v>0</v>
      </c>
      <c r="GM13" s="59">
        <f t="shared" si="209"/>
        <v>0</v>
      </c>
      <c r="GN13" s="59">
        <f t="shared" si="210"/>
        <v>0</v>
      </c>
      <c r="GO13" s="58">
        <f t="shared" si="211"/>
        <v>0</v>
      </c>
      <c r="GP13" s="45">
        <f t="shared" si="212"/>
        <v>104</v>
      </c>
      <c r="GQ13" s="45">
        <f t="shared" si="28"/>
        <v>2.9590000000000001</v>
      </c>
      <c r="GR13" s="45">
        <f t="shared" si="213"/>
        <v>1</v>
      </c>
      <c r="GS13" s="45">
        <f t="shared" si="214"/>
        <v>2</v>
      </c>
      <c r="GT13" s="46" cm="1">
        <f t="array" ref="GT13">ROUND(IFERROR(INDEX(ArchiveResults!$F$5:$IX$116,ComparisonData!A13,ComparisonData!$GT$1),0),5)</f>
        <v>0</v>
      </c>
      <c r="GU13" s="46" cm="1">
        <f t="array" ref="GU13">ROUND(IFERROR(INDEX(ArchiveResults!$F$5:$IX$116,ComparisonData!A13,ComparisonData!$GU$1),0),5)</f>
        <v>0</v>
      </c>
      <c r="GV13" s="46" cm="1">
        <f t="array" ref="GV13">ROUND(IFERROR(INDEX(ArchiveResults!$F$5:$IX$116,ComparisonData!A13,ComparisonData!$GV$1),0),5)</f>
        <v>0</v>
      </c>
      <c r="GW13" s="46" cm="1">
        <f t="array" ref="GW13">ROUND(IFERROR(INDEX(ArchiveResults!$F$5:$IX$116,ComparisonData!A13,ComparisonData!$GW$1),0),5)</f>
        <v>0</v>
      </c>
      <c r="GX13" s="45" cm="1">
        <f t="array" ref="GX13">IFERROR(INDEX(ArchiveResults!$F$5:$IX$116,ComparisonData!A13,ComparisonData!$GX$1),0)</f>
        <v>0</v>
      </c>
      <c r="GY13" s="56">
        <v>8</v>
      </c>
      <c r="GZ13" s="53" t="str">
        <f t="shared" si="29"/>
        <v>Bristol Archives</v>
      </c>
      <c r="HA13" s="59">
        <f t="shared" si="215"/>
        <v>0</v>
      </c>
      <c r="HB13" s="59">
        <f t="shared" si="216"/>
        <v>0</v>
      </c>
      <c r="HC13" s="59">
        <f t="shared" si="217"/>
        <v>0</v>
      </c>
      <c r="HD13" s="59">
        <f t="shared" si="218"/>
        <v>0</v>
      </c>
      <c r="HE13" s="59">
        <f t="shared" si="219"/>
        <v>0</v>
      </c>
      <c r="HF13" s="58">
        <f t="shared" si="220"/>
        <v>0</v>
      </c>
      <c r="HG13" s="45">
        <f t="shared" si="221"/>
        <v>104</v>
      </c>
      <c r="HH13" s="45">
        <f t="shared" si="30"/>
        <v>2.9590000000000001</v>
      </c>
      <c r="HI13" s="45">
        <f t="shared" si="222"/>
        <v>1</v>
      </c>
      <c r="HJ13" s="45">
        <f t="shared" si="223"/>
        <v>2</v>
      </c>
      <c r="HK13" s="46" cm="1">
        <f t="array" ref="HK13">ROUND(IFERROR(INDEX(ArchiveResults!$F$5:$IX$116,ComparisonData!A13,ComparisonData!$HK$1),0),5)</f>
        <v>0</v>
      </c>
      <c r="HL13" s="46" cm="1">
        <f t="array" ref="HL13">ROUND(IFERROR(INDEX(ArchiveResults!$F$5:$IX$116,ComparisonData!A13,ComparisonData!$HL$1),0),5)</f>
        <v>0</v>
      </c>
      <c r="HM13" s="46" cm="1">
        <f t="array" ref="HM13">ROUND(IFERROR(INDEX(ArchiveResults!$F$5:$IX$116,ComparisonData!A13,ComparisonData!$HM$1),0),5)</f>
        <v>0</v>
      </c>
      <c r="HN13" s="46" cm="1">
        <f t="array" ref="HN13">ROUND(IFERROR(INDEX(ArchiveResults!$F$5:$IX$116,ComparisonData!A13,ComparisonData!$HN$1),0),5)</f>
        <v>0</v>
      </c>
      <c r="HO13" s="45" cm="1">
        <f t="array" ref="HO13">IFERROR(INDEX(ArchiveResults!$F$5:$IX$116,ComparisonData!A13,ComparisonData!$HO$1),0)</f>
        <v>0</v>
      </c>
      <c r="HP13" s="56">
        <v>8</v>
      </c>
      <c r="HQ13" s="53" t="str">
        <f t="shared" si="31"/>
        <v>Bristol Archives</v>
      </c>
      <c r="HR13" s="59">
        <f t="shared" si="32"/>
        <v>0</v>
      </c>
      <c r="HS13" s="59">
        <f t="shared" si="33"/>
        <v>0</v>
      </c>
      <c r="HT13" s="59">
        <f t="shared" si="34"/>
        <v>0</v>
      </c>
      <c r="HU13" s="59">
        <f t="shared" si="35"/>
        <v>0</v>
      </c>
      <c r="HV13" s="59">
        <f t="shared" si="36"/>
        <v>0</v>
      </c>
      <c r="HW13" s="58">
        <f t="shared" si="224"/>
        <v>0</v>
      </c>
      <c r="HX13" s="45">
        <f t="shared" si="225"/>
        <v>104</v>
      </c>
      <c r="HY13" s="45">
        <f t="shared" si="37"/>
        <v>2.9590000000000001</v>
      </c>
      <c r="HZ13" s="45">
        <f t="shared" si="226"/>
        <v>1</v>
      </c>
      <c r="IA13" s="45">
        <f t="shared" si="227"/>
        <v>2</v>
      </c>
      <c r="IB13" s="45">
        <f t="shared" si="228"/>
        <v>0</v>
      </c>
      <c r="IC13" s="46" cm="1">
        <f t="array" ref="IC13">ROUND(IFERROR(INDEX(ArchiveResults!$F$5:$IX$116,ComparisonData!A13,ComparisonData!$IC$1),0),5)</f>
        <v>0</v>
      </c>
      <c r="ID13" s="46" cm="1">
        <f t="array" ref="ID13">ROUND(IFERROR(INDEX(ArchiveResults!$F$5:$IX$116,ComparisonData!A13,ComparisonData!$ID$1),0),5)</f>
        <v>0</v>
      </c>
      <c r="IE13" s="46" cm="1">
        <f t="array" ref="IE13">ROUND(IFERROR(INDEX(ArchiveResults!$F$5:$IX$116,ComparisonData!A13,ComparisonData!$IE$1),0),5)</f>
        <v>0</v>
      </c>
      <c r="IF13" s="46" cm="1">
        <f t="array" ref="IF13">ROUND(IFERROR(INDEX(ArchiveResults!$F$5:$IX$116,ComparisonData!A13,ComparisonData!$IF$1),0),5)</f>
        <v>0</v>
      </c>
      <c r="IG13" s="45" cm="1">
        <f t="array" ref="IG13">IFERROR(INDEX(ArchiveResults!$F$5:$IX$116,ComparisonData!A13,ComparisonData!$IG$1),0)</f>
        <v>0</v>
      </c>
      <c r="IH13" s="56">
        <v>8</v>
      </c>
      <c r="II13" s="53" t="str">
        <f t="shared" si="38"/>
        <v>Bristol Archives</v>
      </c>
      <c r="IJ13" s="59">
        <f t="shared" si="229"/>
        <v>0</v>
      </c>
      <c r="IK13" s="59">
        <f t="shared" si="230"/>
        <v>0</v>
      </c>
      <c r="IL13" s="59">
        <f t="shared" si="231"/>
        <v>0</v>
      </c>
      <c r="IM13" s="59">
        <f t="shared" si="232"/>
        <v>0</v>
      </c>
      <c r="IN13" s="59">
        <f t="shared" si="233"/>
        <v>0</v>
      </c>
      <c r="IO13" s="58">
        <f t="shared" si="234"/>
        <v>0</v>
      </c>
      <c r="IP13" s="45">
        <f t="shared" si="235"/>
        <v>104</v>
      </c>
      <c r="IQ13" s="45">
        <f t="shared" si="39"/>
        <v>2.9590000000000001</v>
      </c>
      <c r="IR13" s="45">
        <f t="shared" si="236"/>
        <v>1</v>
      </c>
      <c r="IS13" s="45">
        <f t="shared" si="237"/>
        <v>2</v>
      </c>
      <c r="IT13" s="46">
        <f t="shared" si="238"/>
        <v>0</v>
      </c>
      <c r="IU13" s="46" cm="1">
        <f t="array" ref="IU13">ROUND(IFERROR(INDEX(ArchiveResults!$F$5:$IX$116,ComparisonData!A13,ComparisonData!$IU$1),0),5)</f>
        <v>0</v>
      </c>
      <c r="IV13" s="46" cm="1">
        <f t="array" ref="IV13">ROUND(IFERROR(INDEX(ArchiveResults!$F$5:$IX$116,ComparisonData!A13,ComparisonData!$IV$1),0),5)</f>
        <v>0</v>
      </c>
      <c r="IW13" s="46" cm="1">
        <f t="array" ref="IW13">ROUND(IFERROR(INDEX(ArchiveResults!$F$5:$IX$116,ComparisonData!A13,ComparisonData!$IW$1),0),5)</f>
        <v>0</v>
      </c>
      <c r="IX13" s="46" cm="1">
        <f t="array" ref="IX13">ROUND(IFERROR(INDEX(ArchiveResults!$F$5:$IX$116,ComparisonData!A13,ComparisonData!$IX$1),0),5)</f>
        <v>0</v>
      </c>
      <c r="IY13" s="45" cm="1">
        <f t="array" ref="IY13">IFERROR(INDEX(ArchiveResults!$F$5:$IX$116,ComparisonData!A13,ComparisonData!$IY$1),0)</f>
        <v>0</v>
      </c>
      <c r="IZ13" s="56">
        <v>8</v>
      </c>
      <c r="JA13" s="53" t="str">
        <f t="shared" si="40"/>
        <v>Bristol Archives</v>
      </c>
      <c r="JB13" s="59">
        <f t="shared" si="239"/>
        <v>0</v>
      </c>
      <c r="JC13" s="59">
        <f t="shared" si="240"/>
        <v>0</v>
      </c>
      <c r="JD13" s="59">
        <f t="shared" si="241"/>
        <v>0</v>
      </c>
      <c r="JE13" s="59">
        <f t="shared" si="242"/>
        <v>0</v>
      </c>
      <c r="JF13" s="59">
        <f t="shared" si="243"/>
        <v>0</v>
      </c>
      <c r="JG13" s="58">
        <f t="shared" si="244"/>
        <v>0</v>
      </c>
      <c r="JH13" s="45">
        <f t="shared" si="245"/>
        <v>104</v>
      </c>
      <c r="JI13" s="45">
        <f t="shared" si="41"/>
        <v>2.9590000000000001</v>
      </c>
      <c r="JJ13" s="45">
        <f t="shared" si="246"/>
        <v>1</v>
      </c>
      <c r="JK13" s="45">
        <f t="shared" si="247"/>
        <v>2</v>
      </c>
      <c r="JL13" s="45">
        <f t="shared" si="248"/>
        <v>0</v>
      </c>
      <c r="JM13" s="46" cm="1">
        <f t="array" ref="JM13">ROUND(IFERROR(INDEX(ArchiveResults!$F$5:$IX$116,ComparisonData!A13,ComparisonData!$JM$1),0),5)</f>
        <v>0</v>
      </c>
      <c r="JN13" s="46" cm="1">
        <f t="array" ref="JN13">ROUND(IFERROR(INDEX(ArchiveResults!$F$5:$IX$116,ComparisonData!A13,ComparisonData!$JN$1),0),5)</f>
        <v>0</v>
      </c>
      <c r="JO13" s="46" cm="1">
        <f t="array" ref="JO13">ROUND(IFERROR(INDEX(ArchiveResults!$F$5:$IX$116,ComparisonData!A13,ComparisonData!$JO$1),0),5)</f>
        <v>0</v>
      </c>
      <c r="JP13" s="46" cm="1">
        <f t="array" ref="JP13">ROUND(IFERROR(INDEX(ArchiveResults!$F$5:$IX$116,ComparisonData!A13,ComparisonData!$JP$1),0),5)</f>
        <v>0</v>
      </c>
      <c r="JQ13" s="45" cm="1">
        <f t="array" ref="JQ13">IFERROR(INDEX(ArchiveResults!$F$5:$IX$116,ComparisonData!A13,ComparisonData!$JQ$1),0)</f>
        <v>0</v>
      </c>
      <c r="JR13" s="56">
        <v>8</v>
      </c>
      <c r="JS13" s="53" t="str">
        <f t="shared" si="42"/>
        <v>Bristol Archives</v>
      </c>
      <c r="JT13" s="59">
        <f t="shared" si="249"/>
        <v>0</v>
      </c>
      <c r="JU13" s="59">
        <f t="shared" si="250"/>
        <v>0</v>
      </c>
      <c r="JV13" s="59">
        <f t="shared" si="251"/>
        <v>0</v>
      </c>
      <c r="JW13" s="59">
        <f t="shared" si="252"/>
        <v>0</v>
      </c>
      <c r="JX13" s="59">
        <f t="shared" si="253"/>
        <v>0</v>
      </c>
      <c r="JY13" s="58">
        <f t="shared" si="254"/>
        <v>0</v>
      </c>
      <c r="JZ13" s="45">
        <f t="shared" si="255"/>
        <v>104</v>
      </c>
      <c r="KA13" s="45">
        <f t="shared" si="43"/>
        <v>2.9590000000000001</v>
      </c>
      <c r="KB13" s="45">
        <f t="shared" si="256"/>
        <v>1</v>
      </c>
      <c r="KC13" s="45">
        <f t="shared" si="257"/>
        <v>2</v>
      </c>
      <c r="KD13" s="45">
        <f t="shared" si="258"/>
        <v>0</v>
      </c>
      <c r="KE13" s="46" cm="1">
        <f t="array" ref="KE13">ROUND(IFERROR(INDEX(ArchiveResults!$F$5:$IX$116,ComparisonData!A13,ComparisonData!$KE$1),0),5)</f>
        <v>0</v>
      </c>
      <c r="KF13" s="46" cm="1">
        <f t="array" ref="KF13">ROUND(IFERROR(INDEX(ArchiveResults!$F$5:$IX$116,ComparisonData!A13,ComparisonData!$KF$1),0),5)</f>
        <v>0</v>
      </c>
      <c r="KG13" s="46" cm="1">
        <f t="array" ref="KG13">ROUND(IFERROR(INDEX(ArchiveResults!$F$5:$IX$116,ComparisonData!A13,ComparisonData!$KG$1),0),5)</f>
        <v>0</v>
      </c>
      <c r="KH13" s="46" cm="1">
        <f t="array" ref="KH13">ROUND(IFERROR(INDEX(ArchiveResults!$F$5:$IX$116,ComparisonData!A13,ComparisonData!$KH$1),0),5)</f>
        <v>0</v>
      </c>
      <c r="KI13" s="45" cm="1">
        <f t="array" ref="KI13">IFERROR(INDEX(ArchiveResults!$F$5:$IX$116,ComparisonData!A13,ComparisonData!$KI$1),0)</f>
        <v>0</v>
      </c>
      <c r="KJ13" s="56">
        <v>8</v>
      </c>
      <c r="KK13" s="53" t="str">
        <f t="shared" si="44"/>
        <v>Bristol Archives</v>
      </c>
      <c r="KL13" s="59">
        <f t="shared" si="259"/>
        <v>0</v>
      </c>
      <c r="KM13" s="59">
        <f t="shared" si="260"/>
        <v>0</v>
      </c>
      <c r="KN13" s="59">
        <f t="shared" si="261"/>
        <v>0</v>
      </c>
      <c r="KO13" s="59">
        <f t="shared" si="262"/>
        <v>0</v>
      </c>
      <c r="KP13" s="59">
        <f t="shared" si="263"/>
        <v>0</v>
      </c>
      <c r="KQ13" s="58">
        <f t="shared" si="264"/>
        <v>0</v>
      </c>
      <c r="KR13" s="45">
        <f t="shared" si="265"/>
        <v>104</v>
      </c>
      <c r="KS13" s="45">
        <f t="shared" si="45"/>
        <v>2.9590000000000001</v>
      </c>
      <c r="KT13" s="45">
        <f t="shared" si="266"/>
        <v>1</v>
      </c>
      <c r="KU13" s="45">
        <f t="shared" si="267"/>
        <v>2</v>
      </c>
      <c r="KV13" s="45">
        <f t="shared" si="268"/>
        <v>0</v>
      </c>
      <c r="KW13" s="46" cm="1">
        <f t="array" ref="KW13">ROUND(IFERROR(INDEX(ArchiveResults!$F$5:$IX$116,ComparisonData!A13,ComparisonData!$KW$1),0),5)</f>
        <v>0</v>
      </c>
      <c r="KX13" s="46" cm="1">
        <f t="array" ref="KX13">ROUND(IFERROR(INDEX(ArchiveResults!$F$5:$IX$116,ComparisonData!A13,ComparisonData!$KX$1),0),5)</f>
        <v>0</v>
      </c>
      <c r="KY13" s="46" cm="1">
        <f t="array" ref="KY13">ROUND(IFERROR(INDEX(ArchiveResults!$F$5:$IX$116,ComparisonData!A13,ComparisonData!$KY$1),0),5)</f>
        <v>0</v>
      </c>
      <c r="KZ13" s="46" cm="1">
        <f t="array" ref="KZ13">ROUND(IFERROR(INDEX(ArchiveResults!$F$5:$IX$116,ComparisonData!A13,ComparisonData!$KZ$1),0),5)</f>
        <v>0</v>
      </c>
      <c r="LA13" s="45" cm="1">
        <f t="array" ref="LA13">IFERROR(INDEX(ArchiveResults!$F$5:$IX$116,ComparisonData!A13,ComparisonData!$LA$1),0)</f>
        <v>0</v>
      </c>
      <c r="LB13" s="56">
        <v>8</v>
      </c>
      <c r="LC13" s="53" t="str">
        <f t="shared" si="46"/>
        <v>Bristol Archives</v>
      </c>
      <c r="LD13" s="59">
        <f t="shared" si="269"/>
        <v>0</v>
      </c>
      <c r="LE13" s="59">
        <f t="shared" si="270"/>
        <v>0</v>
      </c>
      <c r="LF13" s="59">
        <f t="shared" si="271"/>
        <v>0</v>
      </c>
      <c r="LG13" s="59">
        <f t="shared" si="272"/>
        <v>0</v>
      </c>
      <c r="LH13" s="59">
        <f t="shared" si="273"/>
        <v>0</v>
      </c>
      <c r="LI13" s="58">
        <f t="shared" si="274"/>
        <v>0</v>
      </c>
      <c r="LJ13" s="45">
        <f t="shared" si="275"/>
        <v>104</v>
      </c>
      <c r="LK13" s="45">
        <f t="shared" si="47"/>
        <v>2.9590000000000001</v>
      </c>
      <c r="LL13" s="45">
        <f t="shared" si="276"/>
        <v>1</v>
      </c>
      <c r="LM13" s="45">
        <f t="shared" si="277"/>
        <v>2</v>
      </c>
      <c r="LN13" s="45">
        <f t="shared" si="278"/>
        <v>0</v>
      </c>
      <c r="LO13" s="46" cm="1">
        <f t="array" ref="LO13">ROUND(IFERROR(INDEX(ArchiveResults!$F$5:$IX$116,ComparisonData!A13,ComparisonData!$LO$1),0),5)</f>
        <v>0</v>
      </c>
      <c r="LP13" s="46" cm="1">
        <f t="array" ref="LP13">ROUND(IFERROR(INDEX(ArchiveResults!$F$5:$IX$116,ComparisonData!A13,ComparisonData!$LP$1),0),5)</f>
        <v>0</v>
      </c>
      <c r="LQ13" s="46" cm="1">
        <f t="array" ref="LQ13">ROUND(IFERROR(INDEX(ArchiveResults!$F$5:$IX$116,ComparisonData!A13,ComparisonData!$LQ$1),0),5)</f>
        <v>0</v>
      </c>
      <c r="LR13" s="46" cm="1">
        <f t="array" ref="LR13">ROUND(IFERROR(INDEX(ArchiveResults!$F$5:$IX$116,ComparisonData!A13,ComparisonData!$LR$1),0),5)</f>
        <v>0</v>
      </c>
      <c r="LS13" s="45" cm="1">
        <f t="array" ref="LS13">IFERROR(INDEX(ArchiveResults!$F$5:$IX$116,ComparisonData!A13,ComparisonData!$LS$1),0)</f>
        <v>0</v>
      </c>
      <c r="LT13" s="56">
        <v>8</v>
      </c>
      <c r="LU13" s="53" t="str">
        <f t="shared" si="48"/>
        <v>Bristol Archives</v>
      </c>
      <c r="LV13" s="59">
        <f t="shared" si="279"/>
        <v>0</v>
      </c>
      <c r="LW13" s="59">
        <f t="shared" si="280"/>
        <v>0</v>
      </c>
      <c r="LX13" s="59">
        <f t="shared" si="281"/>
        <v>0</v>
      </c>
      <c r="LY13" s="59">
        <f t="shared" si="282"/>
        <v>0</v>
      </c>
      <c r="LZ13" s="59">
        <f t="shared" si="283"/>
        <v>0</v>
      </c>
      <c r="MA13" s="58">
        <f t="shared" si="284"/>
        <v>0</v>
      </c>
      <c r="MB13" s="45">
        <f t="shared" si="285"/>
        <v>104</v>
      </c>
      <c r="MC13" s="45">
        <f t="shared" si="49"/>
        <v>2.9590000000000001</v>
      </c>
      <c r="MD13" s="45">
        <f t="shared" si="286"/>
        <v>1</v>
      </c>
      <c r="ME13" s="45">
        <f t="shared" si="287"/>
        <v>2</v>
      </c>
      <c r="MF13" s="45">
        <f t="shared" si="288"/>
        <v>0</v>
      </c>
      <c r="MG13" s="46" cm="1">
        <f t="array" ref="MG13">ROUND(IFERROR(INDEX(ArchiveResults!$F$5:$IX$116,ComparisonData!A13,ComparisonData!$MG$1),0),5)</f>
        <v>0</v>
      </c>
      <c r="MH13" s="46" cm="1">
        <f t="array" ref="MH13">ROUND(IFERROR(INDEX(ArchiveResults!$F$5:$IX$116,ComparisonData!A13,ComparisonData!$MH$1),0),5)</f>
        <v>0</v>
      </c>
      <c r="MI13" s="46" cm="1">
        <f t="array" ref="MI13">ROUND(IFERROR(INDEX(ArchiveResults!$F$5:$IX$116,ComparisonData!A13,ComparisonData!$MI$1),0),5)</f>
        <v>0</v>
      </c>
      <c r="MJ13" s="46" cm="1">
        <f t="array" ref="MJ13">ROUND(IFERROR(INDEX(ArchiveResults!$F$5:$IX$116,ComparisonData!A13,ComparisonData!$MJ$1),0),5)</f>
        <v>0</v>
      </c>
      <c r="MK13" s="45" cm="1">
        <f t="array" ref="MK13">IFERROR(INDEX(ArchiveResults!$F$5:$IX$116,ComparisonData!A13,ComparisonData!$MK$1),0)</f>
        <v>0</v>
      </c>
      <c r="ML13" s="56">
        <v>8</v>
      </c>
      <c r="MM13" s="53" t="str">
        <f t="shared" si="50"/>
        <v>Bristol Archives</v>
      </c>
      <c r="MN13" s="59">
        <f t="shared" si="289"/>
        <v>0</v>
      </c>
      <c r="MO13" s="59">
        <f t="shared" si="290"/>
        <v>0</v>
      </c>
      <c r="MP13" s="59">
        <f t="shared" si="291"/>
        <v>0</v>
      </c>
      <c r="MQ13" s="59">
        <f t="shared" si="292"/>
        <v>0</v>
      </c>
      <c r="MR13" s="59">
        <f t="shared" si="293"/>
        <v>0</v>
      </c>
      <c r="MS13" s="58">
        <f t="shared" si="294"/>
        <v>0</v>
      </c>
      <c r="MT13" s="45">
        <f t="shared" si="295"/>
        <v>104</v>
      </c>
      <c r="MU13" s="45">
        <f t="shared" si="51"/>
        <v>2.9590000000000001</v>
      </c>
      <c r="MV13" s="45">
        <f t="shared" si="296"/>
        <v>1</v>
      </c>
      <c r="MW13" s="45">
        <f t="shared" si="297"/>
        <v>2</v>
      </c>
      <c r="MX13" s="45">
        <f t="shared" si="298"/>
        <v>0</v>
      </c>
      <c r="MY13" s="46" cm="1">
        <f t="array" ref="MY13">ROUND(IFERROR(INDEX(ArchiveResults!$F$5:$IX$116,ComparisonData!A13,ComparisonData!$MY$1),0),5)</f>
        <v>0</v>
      </c>
      <c r="MZ13" s="46" cm="1">
        <f t="array" ref="MZ13">ROUND(IFERROR(INDEX(ArchiveResults!$F$5:$IX$116,ComparisonData!A13,ComparisonData!$MZ$1),0),5)</f>
        <v>0</v>
      </c>
      <c r="NA13" s="46" cm="1">
        <f t="array" ref="NA13">ROUND(IFERROR(INDEX(ArchiveResults!$F$5:$IX$116,ComparisonData!A13,ComparisonData!$NA$1),0),5)</f>
        <v>0</v>
      </c>
      <c r="NB13" s="46" cm="1">
        <f t="array" ref="NB13">ROUND(IFERROR(INDEX(ArchiveResults!$F$5:$IX$116,ComparisonData!A13,ComparisonData!$NB$1),0),5)</f>
        <v>0</v>
      </c>
      <c r="NC13" s="45" cm="1">
        <f t="array" ref="NC13">IFERROR(INDEX(ArchiveResults!$F$5:$IX$116,ComparisonData!A13,ComparisonData!$NC$1),0)</f>
        <v>0</v>
      </c>
      <c r="ND13" s="56">
        <v>8</v>
      </c>
      <c r="NE13" s="53" t="str">
        <f t="shared" si="52"/>
        <v>Bristol Archives</v>
      </c>
      <c r="NF13" s="59">
        <f t="shared" si="299"/>
        <v>0</v>
      </c>
      <c r="NG13" s="59">
        <f t="shared" si="300"/>
        <v>0</v>
      </c>
      <c r="NH13" s="59">
        <f t="shared" si="301"/>
        <v>0</v>
      </c>
      <c r="NI13" s="59">
        <f t="shared" si="302"/>
        <v>0</v>
      </c>
      <c r="NJ13" s="59">
        <f t="shared" si="303"/>
        <v>0</v>
      </c>
      <c r="NK13" s="58">
        <f t="shared" si="304"/>
        <v>0</v>
      </c>
      <c r="NL13" s="45">
        <f t="shared" si="305"/>
        <v>104</v>
      </c>
      <c r="NM13" s="45">
        <f t="shared" si="53"/>
        <v>2.9590000000000001</v>
      </c>
      <c r="NN13" s="45">
        <f t="shared" si="306"/>
        <v>1</v>
      </c>
      <c r="NO13" s="45">
        <f t="shared" si="307"/>
        <v>2</v>
      </c>
      <c r="NP13" s="46" cm="1">
        <f t="array" ref="NP13">ROUND(IFERROR(INDEX(ArchiveResults!$F$5:$IX$116,ComparisonData!A13,ComparisonData!$NP$1),0),5)</f>
        <v>0</v>
      </c>
      <c r="NQ13" s="46" cm="1">
        <f t="array" ref="NQ13">ROUND(IFERROR(INDEX(ArchiveResults!$F$5:$IX$116,ComparisonData!A13,ComparisonData!$NQ$1),0),5)</f>
        <v>0</v>
      </c>
      <c r="NR13" s="46" cm="1">
        <f t="array" ref="NR13">ROUND(IFERROR(INDEX(ArchiveResults!$F$5:$IX$116,ComparisonData!A13,ComparisonData!$NR$1),0),5)</f>
        <v>0</v>
      </c>
      <c r="NS13" s="46" cm="1">
        <f t="array" ref="NS13">ROUND(IFERROR(INDEX(ArchiveResults!$F$5:$IX$116,ComparisonData!A13,ComparisonData!$NS$1),0),5)</f>
        <v>0</v>
      </c>
      <c r="NT13" s="45" cm="1">
        <f t="array" ref="NT13">IFERROR(INDEX(ArchiveResults!$F$5:$IX$116,ComparisonData!A13,ComparisonData!$NT$1),0)</f>
        <v>0</v>
      </c>
      <c r="NU13" s="56">
        <v>8</v>
      </c>
      <c r="NV13" s="53" t="str">
        <f t="shared" si="54"/>
        <v>Bristol Archives</v>
      </c>
      <c r="NW13" s="59">
        <f t="shared" si="308"/>
        <v>0</v>
      </c>
      <c r="NX13" s="59">
        <f t="shared" si="309"/>
        <v>0</v>
      </c>
      <c r="NY13" s="59">
        <f t="shared" si="310"/>
        <v>0</v>
      </c>
      <c r="NZ13" s="59">
        <f t="shared" si="311"/>
        <v>0</v>
      </c>
      <c r="OA13" s="59">
        <f t="shared" si="312"/>
        <v>0</v>
      </c>
      <c r="OB13" s="58">
        <f t="shared" si="313"/>
        <v>0</v>
      </c>
      <c r="OC13" s="45">
        <f t="shared" si="314"/>
        <v>104</v>
      </c>
      <c r="OD13" s="45">
        <f t="shared" si="55"/>
        <v>2.9590000000000001</v>
      </c>
      <c r="OE13" s="45">
        <f t="shared" si="315"/>
        <v>1</v>
      </c>
      <c r="OF13" s="45">
        <f t="shared" si="316"/>
        <v>2</v>
      </c>
      <c r="OG13" s="46">
        <f t="shared" si="317"/>
        <v>0</v>
      </c>
      <c r="OH13" s="46" cm="1">
        <f t="array" ref="OH13">ROUND(IFERROR(INDEX(ArchiveResults!$F$5:$IX$116,ComparisonData!A13,ComparisonData!$OH$1),0),5)</f>
        <v>0</v>
      </c>
      <c r="OI13" s="46" cm="1">
        <f t="array" ref="OI13">ROUND(IFERROR(INDEX(ArchiveResults!$F$5:$IX$116,ComparisonData!A13,ComparisonData!$OI$1),0),5)</f>
        <v>0</v>
      </c>
      <c r="OJ13" s="46" cm="1">
        <f t="array" ref="OJ13">ROUND(IFERROR(INDEX(ArchiveResults!$F$5:$IX$116,ComparisonData!A13,ComparisonData!$OJ$1),0),5)</f>
        <v>0</v>
      </c>
      <c r="OK13" s="46" cm="1">
        <f t="array" ref="OK13">ROUND(IFERROR(INDEX(ArchiveResults!$F$5:$IX$116,ComparisonData!A13,ComparisonData!$OK$1),0),5)</f>
        <v>0</v>
      </c>
      <c r="OL13" s="45" cm="1">
        <f t="array" ref="OL13">IFERROR(INDEX(ArchiveResults!$F$5:$IX$116,ComparisonData!A13,ComparisonData!$OL$1),0)</f>
        <v>0</v>
      </c>
      <c r="OM13" s="56">
        <v>8</v>
      </c>
      <c r="ON13" s="53" t="str">
        <f t="shared" si="56"/>
        <v>Bristol Archives</v>
      </c>
      <c r="OO13" s="59">
        <f t="shared" si="318"/>
        <v>0</v>
      </c>
      <c r="OP13" s="59">
        <f t="shared" si="319"/>
        <v>0</v>
      </c>
      <c r="OQ13" s="59">
        <f t="shared" si="320"/>
        <v>0</v>
      </c>
      <c r="OR13" s="59">
        <f t="shared" si="321"/>
        <v>0</v>
      </c>
      <c r="OS13" s="59">
        <f t="shared" si="322"/>
        <v>0</v>
      </c>
      <c r="OT13" s="58">
        <f t="shared" si="323"/>
        <v>0</v>
      </c>
      <c r="OU13" s="45">
        <f t="shared" si="324"/>
        <v>104</v>
      </c>
      <c r="OV13" s="45">
        <f t="shared" si="57"/>
        <v>2.9590000000000001</v>
      </c>
      <c r="OW13" s="45">
        <f t="shared" si="325"/>
        <v>1</v>
      </c>
      <c r="OX13" s="45">
        <f t="shared" si="326"/>
        <v>2</v>
      </c>
      <c r="OY13" s="45">
        <f t="shared" si="327"/>
        <v>0</v>
      </c>
      <c r="OZ13" s="46" cm="1">
        <f t="array" ref="OZ13">ROUND(IFERROR(INDEX(ArchiveResults!$F$5:$IX$116,ComparisonData!A13,ComparisonData!$OZ$1),0),5)</f>
        <v>0</v>
      </c>
      <c r="PA13" s="46" cm="1">
        <f t="array" ref="PA13">ROUND(IFERROR(INDEX(ArchiveResults!$F$5:$IX$116,ComparisonData!A13,ComparisonData!$PA$1),0),5)</f>
        <v>0</v>
      </c>
      <c r="PB13" s="46" cm="1">
        <f t="array" ref="PB13">ROUND(IFERROR(INDEX(ArchiveResults!$F$5:$IX$116,ComparisonData!A13,ComparisonData!$PB$1),0),5)</f>
        <v>0</v>
      </c>
      <c r="PC13" s="46" cm="1">
        <f t="array" ref="PC13">ROUND(IFERROR(INDEX(ArchiveResults!$F$5:$IX$116,ComparisonData!A13,ComparisonData!$PC$1),0),5)</f>
        <v>0</v>
      </c>
      <c r="PD13" s="45" cm="1">
        <f t="array" ref="PD13">IFERROR(INDEX(ArchiveResults!$F$5:$IX$116,ComparisonData!A13,ComparisonData!$PD$1),0)</f>
        <v>0</v>
      </c>
      <c r="PE13" s="56">
        <v>8</v>
      </c>
      <c r="PF13" s="53" t="str">
        <f t="shared" si="58"/>
        <v>Bristol Archives</v>
      </c>
      <c r="PG13" s="59">
        <f t="shared" si="328"/>
        <v>0</v>
      </c>
      <c r="PH13" s="59">
        <f t="shared" si="329"/>
        <v>0</v>
      </c>
      <c r="PI13" s="59">
        <f t="shared" si="330"/>
        <v>0</v>
      </c>
      <c r="PJ13" s="59">
        <f t="shared" si="331"/>
        <v>0</v>
      </c>
      <c r="PK13" s="59">
        <f t="shared" si="332"/>
        <v>0</v>
      </c>
      <c r="PL13" s="58">
        <f t="shared" si="333"/>
        <v>0</v>
      </c>
      <c r="PM13" s="45">
        <f t="shared" si="334"/>
        <v>104</v>
      </c>
      <c r="PN13" s="45">
        <f t="shared" si="59"/>
        <v>2.9590000000000001</v>
      </c>
      <c r="PO13" s="45">
        <f t="shared" si="335"/>
        <v>1</v>
      </c>
      <c r="PP13" s="45">
        <f t="shared" si="336"/>
        <v>2</v>
      </c>
      <c r="PQ13" s="45">
        <f t="shared" si="337"/>
        <v>0</v>
      </c>
      <c r="PR13" s="46" cm="1">
        <f t="array" ref="PR13">ROUND(IFERROR(INDEX(ArchiveResults!$F$5:$IX$116,ComparisonData!A13,ComparisonData!$PR$1),0),5)</f>
        <v>0</v>
      </c>
      <c r="PS13" s="46" cm="1">
        <f t="array" ref="PS13">ROUND(IFERROR(INDEX(ArchiveResults!$F$5:$IX$116,ComparisonData!A13,ComparisonData!$PS$1),0),5)</f>
        <v>0</v>
      </c>
      <c r="PT13" s="46" cm="1">
        <f t="array" ref="PT13">ROUND(IFERROR(INDEX(ArchiveResults!$F$5:$IX$116,ComparisonData!A13,ComparisonData!$PT$1),0),5)</f>
        <v>0</v>
      </c>
      <c r="PU13" s="46" cm="1">
        <f t="array" ref="PU13">ROUND(IFERROR(INDEX(ArchiveResults!$F$5:$IX$116,ComparisonData!A13,ComparisonData!$PU$1),0),5)</f>
        <v>0</v>
      </c>
      <c r="PV13" s="45" cm="1">
        <f t="array" ref="PV13">IFERROR(INDEX(ArchiveResults!$F$5:$IX$116,ComparisonData!A13,ComparisonData!$PV$1),0)</f>
        <v>0</v>
      </c>
      <c r="PW13" s="56">
        <v>8</v>
      </c>
      <c r="PX13" s="53" t="str">
        <f t="shared" si="60"/>
        <v>Bristol Archives</v>
      </c>
      <c r="PY13" s="59">
        <f t="shared" si="338"/>
        <v>0</v>
      </c>
      <c r="PZ13" s="59">
        <f t="shared" si="339"/>
        <v>0</v>
      </c>
      <c r="QA13" s="59">
        <f t="shared" si="340"/>
        <v>0</v>
      </c>
      <c r="QB13" s="59">
        <f t="shared" si="341"/>
        <v>0</v>
      </c>
      <c r="QC13" s="59">
        <f t="shared" si="342"/>
        <v>0</v>
      </c>
      <c r="QD13" s="58">
        <f t="shared" si="343"/>
        <v>0</v>
      </c>
      <c r="QE13" s="45">
        <f t="shared" si="344"/>
        <v>104</v>
      </c>
      <c r="QF13" s="45">
        <f t="shared" si="61"/>
        <v>2.9590000000000001</v>
      </c>
      <c r="QG13" s="45">
        <f t="shared" si="345"/>
        <v>1</v>
      </c>
      <c r="QH13" s="45">
        <f t="shared" si="346"/>
        <v>2</v>
      </c>
      <c r="QI13" s="45">
        <f t="shared" si="347"/>
        <v>0</v>
      </c>
      <c r="QJ13" s="46" cm="1">
        <f t="array" ref="QJ13">ROUND(IFERROR(INDEX(ArchiveResults!$F$5:$IX$116,ComparisonData!A13,ComparisonData!$QJ$1),0),5)</f>
        <v>0</v>
      </c>
      <c r="QK13" s="46" cm="1">
        <f t="array" ref="QK13">ROUND(IFERROR(INDEX(ArchiveResults!$F$5:$IX$116,ComparisonData!A13,ComparisonData!$QK$1),0),5)</f>
        <v>0</v>
      </c>
      <c r="QL13" s="46" cm="1">
        <f t="array" ref="QL13">ROUND(IFERROR(INDEX(ArchiveResults!$F$5:$IX$116,ComparisonData!A13,ComparisonData!$QL$1),0),5)</f>
        <v>0</v>
      </c>
      <c r="QM13" s="46" cm="1">
        <f t="array" ref="QM13">ROUND(IFERROR(INDEX(ArchiveResults!$F$5:$IX$116,ComparisonData!A13,ComparisonData!$QM$1),0),5)</f>
        <v>0</v>
      </c>
      <c r="QN13" s="45" cm="1">
        <f t="array" ref="QN13">IFERROR(INDEX(ArchiveResults!$F$5:$IX$116,ComparisonData!A13,ComparisonData!$QN$1),0)</f>
        <v>0</v>
      </c>
      <c r="QO13" s="56">
        <v>8</v>
      </c>
      <c r="QP13" s="53" t="str">
        <f t="shared" si="62"/>
        <v>Bristol Archives</v>
      </c>
      <c r="QQ13" s="59">
        <f t="shared" si="348"/>
        <v>0</v>
      </c>
      <c r="QR13" s="59">
        <f t="shared" si="349"/>
        <v>0</v>
      </c>
      <c r="QS13" s="59">
        <f t="shared" si="350"/>
        <v>0</v>
      </c>
      <c r="QT13" s="59">
        <f t="shared" si="351"/>
        <v>0</v>
      </c>
      <c r="QU13" s="59">
        <f t="shared" si="352"/>
        <v>0</v>
      </c>
      <c r="QV13" s="58">
        <f t="shared" si="353"/>
        <v>0</v>
      </c>
      <c r="QW13" s="45">
        <f t="shared" si="354"/>
        <v>104</v>
      </c>
      <c r="QX13" s="45">
        <f t="shared" si="63"/>
        <v>2.9590000000000001</v>
      </c>
      <c r="QY13" s="45">
        <f t="shared" si="355"/>
        <v>1</v>
      </c>
      <c r="QZ13" s="45">
        <f t="shared" si="356"/>
        <v>2</v>
      </c>
      <c r="RA13" s="45">
        <f t="shared" si="357"/>
        <v>0</v>
      </c>
      <c r="RB13" s="46" cm="1">
        <f t="array" ref="RB13">ROUND(IFERROR(INDEX(ArchiveResults!$F$5:$IX$116,ComparisonData!A13,ComparisonData!$RB$1),0),5)</f>
        <v>0</v>
      </c>
      <c r="RC13" s="46" cm="1">
        <f t="array" ref="RC13">ROUND(IFERROR(INDEX(ArchiveResults!$F$5:$IX$116,ComparisonData!A13,ComparisonData!$RC$1),0),5)</f>
        <v>0</v>
      </c>
      <c r="RD13" s="46" cm="1">
        <f t="array" ref="RD13">ROUND(IFERROR(INDEX(ArchiveResults!$F$5:$IX$116,ComparisonData!A13,ComparisonData!$RD$1),0),5)</f>
        <v>0</v>
      </c>
      <c r="RE13" s="46" cm="1">
        <f t="array" ref="RE13">ROUND(IFERROR(INDEX(ArchiveResults!$F$5:$IX$116,ComparisonData!A13,ComparisonData!$RE$1),0),5)</f>
        <v>0</v>
      </c>
      <c r="RF13" s="45" cm="1">
        <f t="array" ref="RF13">IFERROR(INDEX(ArchiveResults!$F$5:$IX$116,ComparisonData!A13,ComparisonData!$RF$1),0)</f>
        <v>0</v>
      </c>
      <c r="RG13" s="56">
        <v>8</v>
      </c>
      <c r="RH13" s="53" t="str">
        <f t="shared" si="64"/>
        <v>Bristol Archives</v>
      </c>
      <c r="RI13" s="59">
        <f t="shared" si="358"/>
        <v>0</v>
      </c>
      <c r="RJ13" s="59">
        <f t="shared" si="359"/>
        <v>0</v>
      </c>
      <c r="RK13" s="59">
        <f t="shared" si="360"/>
        <v>0</v>
      </c>
      <c r="RL13" s="59">
        <f t="shared" si="361"/>
        <v>0</v>
      </c>
      <c r="RM13" s="59">
        <f t="shared" si="362"/>
        <v>0</v>
      </c>
      <c r="RN13" s="58">
        <f t="shared" si="363"/>
        <v>0</v>
      </c>
      <c r="RO13" s="45">
        <f t="shared" si="364"/>
        <v>104</v>
      </c>
      <c r="RP13" s="45">
        <f t="shared" si="65"/>
        <v>2.9590000000000001</v>
      </c>
      <c r="RQ13" s="45">
        <f t="shared" si="365"/>
        <v>1</v>
      </c>
      <c r="RR13" s="45">
        <f t="shared" si="366"/>
        <v>2</v>
      </c>
      <c r="RS13" s="45">
        <f t="shared" si="367"/>
        <v>0</v>
      </c>
      <c r="RT13" s="46" cm="1">
        <f t="array" ref="RT13">ROUND(IFERROR(INDEX(ArchiveResults!$F$5:$IX$116,ComparisonData!A13,ComparisonData!$RT$1),0),5)</f>
        <v>0</v>
      </c>
      <c r="RU13" s="46" cm="1">
        <f t="array" ref="RU13">ROUND(IFERROR(INDEX(ArchiveResults!$F$5:$IX$116,ComparisonData!A13,ComparisonData!$RU$1),0),5)</f>
        <v>0</v>
      </c>
      <c r="RV13" s="46" cm="1">
        <f t="array" ref="RV13">ROUND(IFERROR(INDEX(ArchiveResults!$F$5:$IX$116,ComparisonData!A13,ComparisonData!$RV$1),0),5)</f>
        <v>0</v>
      </c>
      <c r="RW13" s="46" cm="1">
        <f t="array" ref="RW13">ROUND(IFERROR(INDEX(ArchiveResults!$F$5:$IX$116,ComparisonData!A13,ComparisonData!$RW$1),0),5)</f>
        <v>0</v>
      </c>
      <c r="RX13" s="45" cm="1">
        <f t="array" ref="RX13">IFERROR(INDEX(ArchiveResults!$F$5:$IX$116,ComparisonData!A13,ComparisonData!$RX$1),0)</f>
        <v>0</v>
      </c>
      <c r="RY13" s="56">
        <v>8</v>
      </c>
      <c r="RZ13" s="53" t="str">
        <f t="shared" si="66"/>
        <v>Bristol Archives</v>
      </c>
      <c r="SA13" s="59">
        <f t="shared" si="368"/>
        <v>0</v>
      </c>
      <c r="SB13" s="59">
        <f t="shared" si="369"/>
        <v>0</v>
      </c>
      <c r="SC13" s="59">
        <f t="shared" si="370"/>
        <v>0</v>
      </c>
      <c r="SD13" s="59">
        <f t="shared" si="371"/>
        <v>0</v>
      </c>
      <c r="SE13" s="59">
        <f t="shared" si="372"/>
        <v>0</v>
      </c>
      <c r="SF13" s="58">
        <f t="shared" si="373"/>
        <v>0</v>
      </c>
      <c r="SG13" s="45">
        <f t="shared" si="374"/>
        <v>104</v>
      </c>
      <c r="SH13" s="45">
        <f t="shared" si="67"/>
        <v>2.9590000000000001</v>
      </c>
      <c r="SI13" s="45">
        <f t="shared" si="375"/>
        <v>1</v>
      </c>
      <c r="SJ13" s="45">
        <f t="shared" si="376"/>
        <v>2</v>
      </c>
      <c r="SK13" s="45">
        <f t="shared" si="377"/>
        <v>0</v>
      </c>
      <c r="SL13" s="46" cm="1">
        <f t="array" ref="SL13">ROUND(IFERROR(INDEX(ArchiveResults!$F$5:$IX$116,ComparisonData!A13,ComparisonData!$SL$1),0),5)</f>
        <v>0</v>
      </c>
      <c r="SM13" s="46" cm="1">
        <f t="array" ref="SM13">ROUND(IFERROR(INDEX(ArchiveResults!$F$5:$IX$116,ComparisonData!A13,ComparisonData!$SM$1),0),5)</f>
        <v>0</v>
      </c>
      <c r="SN13" s="46" cm="1">
        <f t="array" ref="SN13">ROUND(IFERROR(INDEX(ArchiveResults!$F$5:$IX$116,ComparisonData!A13,ComparisonData!$SN$1),0),5)</f>
        <v>0</v>
      </c>
      <c r="SO13" s="46" cm="1">
        <f t="array" ref="SO13">ROUND(IFERROR(INDEX(ArchiveResults!$F$5:$IX$116,ComparisonData!A13,ComparisonData!$SO$1),0),5)</f>
        <v>0</v>
      </c>
      <c r="SP13" s="45" cm="1">
        <f t="array" ref="SP13">IFERROR(INDEX(ArchiveResults!$F$5:$IX$116,ComparisonData!A13,ComparisonData!$SP$1),0)</f>
        <v>0</v>
      </c>
      <c r="SQ13" s="56">
        <v>8</v>
      </c>
      <c r="SR13" s="53" t="str">
        <f t="shared" si="68"/>
        <v>Bristol Archives</v>
      </c>
      <c r="SS13" s="59">
        <f t="shared" si="378"/>
        <v>0</v>
      </c>
      <c r="ST13" s="59">
        <f t="shared" si="379"/>
        <v>0</v>
      </c>
      <c r="SU13" s="59">
        <f t="shared" si="380"/>
        <v>0</v>
      </c>
      <c r="SV13" s="59">
        <f t="shared" si="381"/>
        <v>0</v>
      </c>
      <c r="SW13" s="59">
        <f t="shared" si="382"/>
        <v>0</v>
      </c>
      <c r="SX13" s="58">
        <f t="shared" si="383"/>
        <v>0</v>
      </c>
      <c r="SY13" s="45">
        <f t="shared" si="384"/>
        <v>104</v>
      </c>
      <c r="SZ13" s="45">
        <f t="shared" si="69"/>
        <v>2.9590000000000001</v>
      </c>
      <c r="TA13" s="45">
        <f t="shared" si="385"/>
        <v>1</v>
      </c>
      <c r="TB13" s="45">
        <f t="shared" si="386"/>
        <v>2</v>
      </c>
      <c r="TC13" s="45">
        <f t="shared" si="387"/>
        <v>0</v>
      </c>
      <c r="TD13" s="46" cm="1">
        <f t="array" ref="TD13">ROUND(IFERROR(INDEX(ArchiveResults!$F$5:$IX$116,ComparisonData!A13,ComparisonData!$TD$1),0),5)</f>
        <v>0</v>
      </c>
      <c r="TE13" s="46" cm="1">
        <f t="array" ref="TE13">ROUND(IFERROR(INDEX(ArchiveResults!$F$5:$IX$116,ComparisonData!A13,ComparisonData!$TE$1),0),5)</f>
        <v>0</v>
      </c>
      <c r="TF13" s="46" cm="1">
        <f t="array" ref="TF13">ROUND(IFERROR(INDEX(ArchiveResults!$F$5:$IX$116,ComparisonData!A13,ComparisonData!$TF$1),0),5)</f>
        <v>0</v>
      </c>
      <c r="TG13" s="46" cm="1">
        <f t="array" ref="TG13">ROUND(IFERROR(INDEX(ArchiveResults!$F$5:$IX$116,ComparisonData!A13,ComparisonData!$TG$1),0),5)</f>
        <v>0</v>
      </c>
      <c r="TH13" s="45" cm="1">
        <f t="array" ref="TH13">IFERROR(INDEX(ArchiveResults!$F$5:$IX$116,ComparisonData!A13,ComparisonData!$TH$1),0)</f>
        <v>0</v>
      </c>
      <c r="TI13" s="56">
        <v>8</v>
      </c>
      <c r="TJ13" s="53" t="str">
        <f t="shared" si="70"/>
        <v>Bristol Archives</v>
      </c>
      <c r="TK13" s="59">
        <f t="shared" si="388"/>
        <v>0</v>
      </c>
      <c r="TL13" s="59">
        <f t="shared" si="389"/>
        <v>0</v>
      </c>
      <c r="TM13" s="59">
        <f t="shared" si="390"/>
        <v>0</v>
      </c>
      <c r="TN13" s="59">
        <f t="shared" si="391"/>
        <v>0</v>
      </c>
      <c r="TO13" s="59">
        <f t="shared" si="392"/>
        <v>0</v>
      </c>
      <c r="TP13" s="58">
        <f t="shared" si="393"/>
        <v>0</v>
      </c>
      <c r="TQ13" s="45">
        <f t="shared" si="394"/>
        <v>104</v>
      </c>
      <c r="TR13" s="45">
        <f t="shared" si="71"/>
        <v>2.9590000000000001</v>
      </c>
      <c r="TS13" s="45">
        <f t="shared" si="395"/>
        <v>1</v>
      </c>
      <c r="TT13" s="45">
        <f t="shared" si="396"/>
        <v>2</v>
      </c>
      <c r="TU13" s="45">
        <f t="shared" si="397"/>
        <v>0</v>
      </c>
      <c r="TV13" s="46" cm="1">
        <f t="array" ref="TV13">ROUND(IFERROR(INDEX(ArchiveResults!$F$5:$IX$116,ComparisonData!A13,ComparisonData!$TV$1),0),5)</f>
        <v>0</v>
      </c>
      <c r="TW13" s="46" cm="1">
        <f t="array" ref="TW13">ROUND(IFERROR(INDEX(ArchiveResults!$F$5:$IX$116,ComparisonData!A13,ComparisonData!$TW$1),0),5)</f>
        <v>0</v>
      </c>
      <c r="TX13" s="46" cm="1">
        <f t="array" ref="TX13">ROUND(IFERROR(INDEX(ArchiveResults!$F$5:$IX$116,ComparisonData!A13,ComparisonData!$TX$1),0),5)</f>
        <v>0</v>
      </c>
      <c r="TY13" s="46" cm="1">
        <f t="array" ref="TY13">ROUND(IFERROR(INDEX(ArchiveResults!$F$5:$IX$116,ComparisonData!A13,ComparisonData!$TY$1),0),5)</f>
        <v>0</v>
      </c>
      <c r="TZ13" s="45" cm="1">
        <f t="array" ref="TZ13">IFERROR(INDEX(ArchiveResults!$F$5:$IX$116,ComparisonData!A13,ComparisonData!$TZ$1),0)</f>
        <v>0</v>
      </c>
      <c r="UA13" s="56">
        <v>8</v>
      </c>
      <c r="UB13" s="53" t="str">
        <f t="shared" si="72"/>
        <v>Bristol Archives</v>
      </c>
      <c r="UC13" s="60">
        <f t="shared" si="398"/>
        <v>0</v>
      </c>
      <c r="UD13" s="60">
        <f t="shared" si="399"/>
        <v>0</v>
      </c>
      <c r="UE13" s="60">
        <f t="shared" si="400"/>
        <v>0</v>
      </c>
      <c r="UF13" s="60">
        <f t="shared" si="401"/>
        <v>0</v>
      </c>
      <c r="UG13" s="60">
        <f t="shared" si="402"/>
        <v>0</v>
      </c>
      <c r="UH13" s="58">
        <f t="shared" si="403"/>
        <v>0</v>
      </c>
      <c r="UI13" s="46">
        <f t="shared" si="404"/>
        <v>104</v>
      </c>
      <c r="UJ13" s="46">
        <f t="shared" si="73"/>
        <v>2.9590000000000001</v>
      </c>
      <c r="UK13" s="46">
        <f t="shared" si="405"/>
        <v>1</v>
      </c>
      <c r="UL13" s="46">
        <f t="shared" si="406"/>
        <v>2</v>
      </c>
      <c r="UM13" s="46" cm="1">
        <f t="array" ref="UM13">ROUND(IFERROR(INDEX(ArchiveResults!$F$5:$IX$116,ComparisonData!A13,ComparisonData!$UM$1),0),5)</f>
        <v>0</v>
      </c>
      <c r="UN13" s="56">
        <v>8</v>
      </c>
      <c r="UO13" s="53" t="str">
        <f t="shared" si="74"/>
        <v>Bristol Archives</v>
      </c>
      <c r="UP13" s="46">
        <f t="shared" si="407"/>
        <v>0</v>
      </c>
      <c r="UQ13" s="76">
        <f t="shared" si="408"/>
        <v>0</v>
      </c>
      <c r="UR13" s="46">
        <f t="shared" si="409"/>
        <v>104</v>
      </c>
      <c r="US13" s="46">
        <f t="shared" si="75"/>
        <v>2.9590000000000001</v>
      </c>
      <c r="UT13" s="46">
        <f t="shared" si="410"/>
        <v>1</v>
      </c>
      <c r="UU13" s="46">
        <f t="shared" si="411"/>
        <v>2</v>
      </c>
      <c r="UV13" s="46">
        <f t="shared" si="412"/>
        <v>0</v>
      </c>
      <c r="UW13" s="46" cm="1">
        <f t="array" ref="UW13">ROUND(IFERROR(INDEX(ArchiveResults!$F$5:$IX$116,ComparisonData!A13,ComparisonData!$UW$1),0),5)</f>
        <v>0</v>
      </c>
      <c r="UX13" s="46" cm="1">
        <f t="array" ref="UX13">ROUND(IFERROR(INDEX(ArchiveResults!$F$5:$IX$116,ComparisonData!A13,ComparisonData!$UX$1),0),5)</f>
        <v>0</v>
      </c>
      <c r="UY13" s="46" cm="1">
        <f t="array" ref="UY13">ROUND(IFERROR(INDEX(ArchiveResults!$F$5:$IX$116,ComparisonData!A13,ComparisonData!$UY$1),0),5)</f>
        <v>0</v>
      </c>
      <c r="UZ13" s="46" cm="1">
        <f t="array" ref="UZ13">ROUND(IFERROR(INDEX(ArchiveResults!$F$5:$IX$116,ComparisonData!A13,ComparisonData!$UZ$1),0),5)</f>
        <v>0</v>
      </c>
      <c r="VA13" s="46" cm="1">
        <f t="array" ref="VA13">ROUND(IFERROR(INDEX(ArchiveResults!$F$5:$IX$116,ComparisonData!A13,ComparisonData!$VA$1),0),5)</f>
        <v>0</v>
      </c>
      <c r="VB13" s="56">
        <v>8</v>
      </c>
      <c r="VC13" s="53" t="str">
        <f t="shared" si="76"/>
        <v>Bristol Archives</v>
      </c>
      <c r="VD13" s="60">
        <f t="shared" si="413"/>
        <v>0</v>
      </c>
      <c r="VE13" s="60">
        <f t="shared" si="414"/>
        <v>0</v>
      </c>
      <c r="VF13" s="60">
        <f t="shared" si="415"/>
        <v>0</v>
      </c>
      <c r="VG13" s="60">
        <f t="shared" si="416"/>
        <v>0</v>
      </c>
      <c r="VH13" s="60">
        <f t="shared" si="417"/>
        <v>0</v>
      </c>
      <c r="VI13" s="76">
        <f t="shared" si="418"/>
        <v>0</v>
      </c>
      <c r="VJ13" s="46">
        <f t="shared" si="419"/>
        <v>104</v>
      </c>
      <c r="VK13" s="46">
        <f t="shared" si="77"/>
        <v>2.9590000000000001</v>
      </c>
      <c r="VL13" s="46">
        <f t="shared" si="420"/>
        <v>1</v>
      </c>
      <c r="VM13" s="46">
        <f t="shared" si="421"/>
        <v>2</v>
      </c>
      <c r="VN13" s="46" cm="1">
        <f t="array" ref="VN13">ROUND(IFERROR(INDEX(ArchiveResults!$F$5:$IX$116,ComparisonData!A13,ComparisonData!$VN$1),0),5)</f>
        <v>0</v>
      </c>
      <c r="VO13" s="46" cm="1">
        <f t="array" ref="VO13">ROUND(IFERROR(INDEX(ArchiveResults!$F$5:$IX$116,ComparisonData!A13,ComparisonData!$VO$1),0),5)</f>
        <v>0</v>
      </c>
      <c r="VP13" s="46" cm="1">
        <f t="array" ref="VP13">ROUND(IFERROR(INDEX(ArchiveResults!$F$5:$IX$116,ComparisonData!A13,ComparisonData!$VP$1),0),5)</f>
        <v>0</v>
      </c>
      <c r="VQ13" s="46" cm="1">
        <f t="array" ref="VQ13">ROUND(IFERROR(INDEX(ArchiveResults!$F$5:$IX$116,ComparisonData!A13,ComparisonData!$VQ$1),0),5)</f>
        <v>0</v>
      </c>
      <c r="VR13" s="56">
        <v>8</v>
      </c>
      <c r="VS13" s="53" t="str">
        <f t="shared" si="78"/>
        <v>Bristol Archives</v>
      </c>
      <c r="VT13" s="60">
        <f t="shared" si="422"/>
        <v>0</v>
      </c>
      <c r="VU13" s="60">
        <f t="shared" si="423"/>
        <v>0</v>
      </c>
      <c r="VV13" s="60">
        <f t="shared" si="424"/>
        <v>0</v>
      </c>
      <c r="VW13" s="60">
        <f t="shared" si="425"/>
        <v>0</v>
      </c>
      <c r="VX13" s="76">
        <f t="shared" si="426"/>
        <v>0</v>
      </c>
      <c r="VY13" s="46">
        <f t="shared" si="427"/>
        <v>104</v>
      </c>
      <c r="VZ13" s="46">
        <f t="shared" si="79"/>
        <v>2.9590000000000001</v>
      </c>
      <c r="WA13" s="46">
        <f t="shared" si="428"/>
        <v>1</v>
      </c>
      <c r="WB13" s="46">
        <f t="shared" si="429"/>
        <v>2</v>
      </c>
      <c r="WC13" s="46" cm="1">
        <f t="array" ref="WC13">ROUND(IFERROR(INDEX(ArchiveResults!$F$5:$IX$116,ComparisonData!A13,ComparisonData!$WC$1),0),5)</f>
        <v>0</v>
      </c>
      <c r="WD13" s="56">
        <v>8</v>
      </c>
      <c r="WE13" s="53" t="str">
        <f t="shared" si="80"/>
        <v>Bristol Archives</v>
      </c>
      <c r="WF13" s="46">
        <f t="shared" si="430"/>
        <v>0</v>
      </c>
      <c r="WG13" s="76">
        <f t="shared" si="431"/>
        <v>0</v>
      </c>
      <c r="WH13" s="46">
        <f t="shared" si="432"/>
        <v>104</v>
      </c>
      <c r="WI13" s="46">
        <f t="shared" si="81"/>
        <v>2.9590000000000001</v>
      </c>
      <c r="WJ13" s="46">
        <f t="shared" si="433"/>
        <v>1</v>
      </c>
      <c r="WK13" s="46">
        <f t="shared" si="434"/>
        <v>2</v>
      </c>
      <c r="WL13" s="46" cm="1">
        <f t="array" ref="WL13">ROUND(IFERROR(INDEX(ArchiveResults!$F$5:$IX$116,ComparisonData!A13,ComparisonData!$WL$1),0),5)</f>
        <v>0</v>
      </c>
      <c r="WM13" s="46" cm="1">
        <f t="array" ref="WM13">IFERROR(INDEX(ArchiveResults!$F$5:$IX$116,ComparisonData!A13,ComparisonData!$WM$1),0)</f>
        <v>0</v>
      </c>
      <c r="WN13" s="56">
        <v>8</v>
      </c>
      <c r="WO13" s="53" t="str">
        <f t="shared" si="82"/>
        <v>Bristol Archives</v>
      </c>
      <c r="WP13" s="60">
        <f t="shared" si="435"/>
        <v>0</v>
      </c>
      <c r="WQ13" s="60">
        <f t="shared" si="436"/>
        <v>0</v>
      </c>
      <c r="WR13" s="76">
        <f t="shared" si="437"/>
        <v>0</v>
      </c>
      <c r="WS13" s="46">
        <f t="shared" si="438"/>
        <v>104</v>
      </c>
      <c r="WT13" s="46">
        <f t="shared" si="83"/>
        <v>2.9590000000000001</v>
      </c>
      <c r="WU13" s="46">
        <f t="shared" si="439"/>
        <v>1</v>
      </c>
      <c r="WV13" s="46">
        <f t="shared" si="440"/>
        <v>2</v>
      </c>
      <c r="WW13" s="46" cm="1">
        <f t="array" ref="WW13">ROUND(VALUE(IFERROR(INDEX(ArchiveResults!$F$5:$IX$116,ComparisonData!A13,ComparisonData!$WW$1),0)),5)</f>
        <v>0</v>
      </c>
      <c r="WX13" s="46" cm="1">
        <f t="array" ref="WX13">ROUND(IFERROR(INDEX(ArchiveResults!$F$5:$IX$116,ComparisonData!A13,ComparisonData!$WX$1),0),5)</f>
        <v>0</v>
      </c>
      <c r="WY13" s="56">
        <v>8</v>
      </c>
      <c r="WZ13" s="53" t="str">
        <f t="shared" si="84"/>
        <v>Bristol Archives</v>
      </c>
      <c r="XA13" s="60">
        <f t="shared" si="85"/>
        <v>0</v>
      </c>
      <c r="XB13" s="60">
        <f t="shared" si="86"/>
        <v>0</v>
      </c>
      <c r="XC13" s="76">
        <f t="shared" si="441"/>
        <v>0</v>
      </c>
      <c r="XD13" s="46">
        <f t="shared" si="442"/>
        <v>104</v>
      </c>
      <c r="XE13" s="46">
        <f t="shared" si="87"/>
        <v>2.9590000000000001</v>
      </c>
      <c r="XF13" s="46">
        <f t="shared" si="443"/>
        <v>1</v>
      </c>
      <c r="XG13" s="46">
        <f t="shared" si="444"/>
        <v>2</v>
      </c>
      <c r="XH13" s="46" cm="1">
        <f t="array" ref="XH13">ROUND(VALUE(IFERROR(INDEX(ArchiveResults!$F$5:$IX$116,ComparisonData!A13,ComparisonData!$XH$1),0)),5)</f>
        <v>0</v>
      </c>
      <c r="XI13" s="46" cm="1">
        <f t="array" ref="XI13">ROUND(VALUE(IFERROR(INDEX(ArchiveResults!$F$5:$IX$116,ComparisonData!A13,ComparisonData!$XI$1),0)),5)</f>
        <v>0</v>
      </c>
      <c r="XJ13" s="56">
        <v>8</v>
      </c>
      <c r="XK13" s="53" t="str">
        <f t="shared" si="88"/>
        <v>Bristol Archives</v>
      </c>
      <c r="XL13" s="60">
        <f t="shared" si="445"/>
        <v>0</v>
      </c>
      <c r="XM13" s="60">
        <f t="shared" si="446"/>
        <v>0</v>
      </c>
      <c r="XN13" s="76">
        <f t="shared" si="447"/>
        <v>0</v>
      </c>
      <c r="XO13" s="46">
        <f t="shared" si="448"/>
        <v>104</v>
      </c>
      <c r="XP13" s="46">
        <f t="shared" si="89"/>
        <v>2.9590000000000001</v>
      </c>
      <c r="XQ13" s="46">
        <f t="shared" si="449"/>
        <v>1</v>
      </c>
      <c r="XR13" s="46">
        <f t="shared" si="450"/>
        <v>2</v>
      </c>
      <c r="XS13" s="46" cm="1">
        <f t="array" ref="XS13">ROUND(VALUE(IFERROR(INDEX(ArchiveResults!$F$5:$IX$116,ComparisonData!A13,ComparisonData!$XS$1),0)),5)</f>
        <v>0</v>
      </c>
      <c r="XT13" s="46" cm="1">
        <f t="array" ref="XT13">ROUND(VALUE(IFERROR(INDEX(ArchiveResults!$F$5:$IX$116,ComparisonData!A13,ComparisonData!$XT$1),0)),5)</f>
        <v>0</v>
      </c>
      <c r="XU13" s="56">
        <v>8</v>
      </c>
      <c r="XV13" s="53" t="str">
        <f t="shared" si="90"/>
        <v>Bristol Archives</v>
      </c>
      <c r="XW13" s="60">
        <f t="shared" si="451"/>
        <v>0</v>
      </c>
      <c r="XX13" s="60">
        <f t="shared" si="452"/>
        <v>0</v>
      </c>
      <c r="XY13" s="76">
        <f t="shared" si="453"/>
        <v>0</v>
      </c>
      <c r="XZ13" s="46">
        <f t="shared" si="454"/>
        <v>104</v>
      </c>
      <c r="YA13" s="46">
        <f t="shared" si="91"/>
        <v>2.9590000000000001</v>
      </c>
      <c r="YB13" s="46">
        <f t="shared" si="455"/>
        <v>1</v>
      </c>
      <c r="YC13" s="46">
        <f t="shared" si="456"/>
        <v>2</v>
      </c>
      <c r="YD13" s="46" cm="1">
        <f t="array" ref="YD13">ROUND(VALUE(IFERROR(INDEX(ArchiveResults!$F$5:$IX$116,ComparisonData!A13,ComparisonData!$YD$1),0)),5)</f>
        <v>0</v>
      </c>
      <c r="YE13" s="46" cm="1">
        <f t="array" ref="YE13">ROUND(VALUE(IFERROR(INDEX(ArchiveResults!$F$5:$IX$116,ComparisonData!A13,ComparisonData!$YE$1),0)),5)</f>
        <v>0</v>
      </c>
      <c r="YF13" s="56">
        <v>8</v>
      </c>
      <c r="YG13" s="53" t="str">
        <f t="shared" si="92"/>
        <v>Bristol Archives</v>
      </c>
      <c r="YH13" s="60">
        <f t="shared" si="457"/>
        <v>0</v>
      </c>
      <c r="YI13" s="60">
        <f t="shared" si="458"/>
        <v>0</v>
      </c>
      <c r="YJ13" s="76">
        <f t="shared" si="459"/>
        <v>0</v>
      </c>
      <c r="YK13" s="46">
        <f t="shared" si="460"/>
        <v>104</v>
      </c>
      <c r="YL13" s="46">
        <f t="shared" si="93"/>
        <v>2.9590000000000001</v>
      </c>
      <c r="YM13" s="46">
        <f t="shared" si="461"/>
        <v>1</v>
      </c>
      <c r="YN13" s="46">
        <f t="shared" si="462"/>
        <v>2</v>
      </c>
      <c r="YO13" s="46" cm="1">
        <f t="array" ref="YO13">ROUND(VALUE(IFERROR(INDEX(ArchiveResults!$F$5:$IX$116,ComparisonData!A13,ComparisonData!$YO$1),0)),5)</f>
        <v>0</v>
      </c>
      <c r="YP13" s="46" cm="1">
        <f t="array" ref="YP13">ROUND(VALUE(IFERROR(INDEX(ArchiveResults!$F$5:$IX$116,ComparisonData!A13,ComparisonData!$YP$1),0)),5)</f>
        <v>0</v>
      </c>
      <c r="YQ13" s="56">
        <v>8</v>
      </c>
      <c r="YR13" s="53" t="str">
        <f t="shared" si="94"/>
        <v>Bristol Archives</v>
      </c>
      <c r="YS13" s="60">
        <f t="shared" si="463"/>
        <v>0</v>
      </c>
      <c r="YT13" s="60">
        <f t="shared" si="464"/>
        <v>0</v>
      </c>
      <c r="YU13" s="76">
        <f t="shared" si="465"/>
        <v>0</v>
      </c>
      <c r="YV13" s="46">
        <f t="shared" si="466"/>
        <v>104</v>
      </c>
      <c r="YW13" s="46">
        <f t="shared" si="95"/>
        <v>2.9590000000000001</v>
      </c>
      <c r="YX13" s="46">
        <f t="shared" si="467"/>
        <v>1</v>
      </c>
      <c r="YY13" s="46">
        <f t="shared" si="468"/>
        <v>2</v>
      </c>
      <c r="YZ13" s="46">
        <f t="shared" si="469"/>
        <v>0</v>
      </c>
      <c r="ZA13" s="46" cm="1">
        <f t="array" ref="ZA13">ROUNDDOWN(VALUE(IFERROR(INDEX(ArchiveResults!$F$5:$IX$116,ComparisonData!A13,ComparisonData!$ZA$1),0)),5)</f>
        <v>0</v>
      </c>
      <c r="ZB13" s="46" cm="1">
        <f t="array" ref="ZB13">ROUNDDOWN(VALUE(IFERROR(INDEX(ArchiveResults!$F$5:$IX$116,ComparisonData!A13,ComparisonData!$ZB$1),0)),5)</f>
        <v>0</v>
      </c>
      <c r="ZC13" s="46" cm="1">
        <f t="array" ref="ZC13">ROUNDDOWN(VALUE(IFERROR(INDEX(ArchiveResults!$F$5:$IX$116,ComparisonData!A13,ComparisonData!$ZC$1),0)),5)</f>
        <v>0</v>
      </c>
      <c r="ZD13" s="46" cm="1">
        <f t="array" ref="ZD13">ROUNDDOWN(VALUE(IFERROR(INDEX(ArchiveResults!$F$5:$IX$116,ComparisonData!A13,ComparisonData!$ZD$1),0)),5)</f>
        <v>0</v>
      </c>
      <c r="ZE13" s="46" cm="1">
        <f t="array" ref="ZE13">ROUNDDOWN(VALUE(IFERROR(INDEX(ArchiveResults!$F$5:$IX$116,ComparisonData!A13,ComparisonData!$ZE$1),0)),5)</f>
        <v>0</v>
      </c>
      <c r="ZF13" s="56">
        <v>8</v>
      </c>
      <c r="ZG13" s="53" t="str">
        <f t="shared" si="96"/>
        <v>Bristol Archives</v>
      </c>
      <c r="ZH13" s="60">
        <f t="shared" si="470"/>
        <v>0</v>
      </c>
      <c r="ZI13" s="60">
        <f t="shared" si="471"/>
        <v>0</v>
      </c>
      <c r="ZJ13" s="60">
        <f t="shared" si="472"/>
        <v>0</v>
      </c>
      <c r="ZK13" s="60">
        <f t="shared" si="473"/>
        <v>0</v>
      </c>
      <c r="ZL13" s="60">
        <f t="shared" si="474"/>
        <v>0</v>
      </c>
      <c r="ZM13" s="76">
        <f t="shared" si="475"/>
        <v>0</v>
      </c>
      <c r="ZN13" s="46">
        <f t="shared" si="476"/>
        <v>104</v>
      </c>
      <c r="ZO13" s="46">
        <f t="shared" si="97"/>
        <v>2.9590000000000001</v>
      </c>
      <c r="ZP13" s="46">
        <f t="shared" si="477"/>
        <v>1</v>
      </c>
      <c r="ZQ13" s="46">
        <f t="shared" si="478"/>
        <v>2</v>
      </c>
      <c r="ZR13" s="46" cm="1">
        <f t="array" ref="ZR13">ROUND(VALUE(IFERROR(INDEX(ArchiveResults!$F$5:$IX$116,ComparisonData!A13,ComparisonData!$ZR$1),0)),5)</f>
        <v>0</v>
      </c>
      <c r="ZS13" s="56">
        <v>8</v>
      </c>
      <c r="ZT13" s="53" t="str">
        <f t="shared" si="98"/>
        <v>Bristol Archives</v>
      </c>
      <c r="ZU13" s="46">
        <f t="shared" si="479"/>
        <v>0</v>
      </c>
      <c r="ZV13" s="76">
        <f t="shared" si="480"/>
        <v>0</v>
      </c>
      <c r="ZW13" s="81" cm="1">
        <f t="array" ref="ZW13">ROUND((IFERROR(INDEX(ArchiveResults!$F$5:$IX$116,ComparisonData!A13,ComparisonData!$ZW$1),0)),5)</f>
        <v>0</v>
      </c>
      <c r="ZX13" s="81" cm="1">
        <f t="array" ref="ZX13">ROUND((IFERROR(INDEX(ArchiveResults!$F$5:$IX$116,ComparisonData!A13,ComparisonData!$ZX$1),0)),5)</f>
        <v>0</v>
      </c>
      <c r="ZY13" s="81" cm="1">
        <f t="array" ref="ZY13">ROUND((IFERROR(INDEX(ArchiveResults!$F$5:$IX$116,ComparisonData!A13,ComparisonData!$ZY$1),0)),5)</f>
        <v>0</v>
      </c>
      <c r="ZZ13" s="81" cm="1">
        <f t="array" ref="ZZ13">ROUND((IFERROR(INDEX(ArchiveResults!$F$5:$IX$116,ComparisonData!A13,ComparisonData!$ZZ$1),0)),5)</f>
        <v>0</v>
      </c>
      <c r="AAA13" s="81" cm="1">
        <f t="array" ref="AAA13">ROUND((IFERROR(INDEX(ArchiveResults!$F$5:$IX$116,ComparisonData!A13,ComparisonData!$AAA$1),0)),5)</f>
        <v>0</v>
      </c>
      <c r="AAB13" s="81" cm="1">
        <f t="array" ref="AAB13">ROUND((IFERROR(INDEX(ArchiveResults!$F$5:$IX$116,ComparisonData!A13,ComparisonData!$AAB$1),0)),5)</f>
        <v>0</v>
      </c>
      <c r="AAC13" s="81" cm="1">
        <f t="array" ref="AAC13">ROUND((IFERROR(INDEX(ArchiveResults!$F$5:$IX$116,ComparisonData!A13,ComparisonData!$AAC$1),0)),5)</f>
        <v>0</v>
      </c>
      <c r="AAD13" s="81" cm="1">
        <f t="array" ref="AAD13">ROUND((IFERROR(INDEX(ArchiveResults!$F$5:$IX$116,ComparisonData!A13,ComparisonData!$AAD$1),0)),5)</f>
        <v>0</v>
      </c>
      <c r="AAE13" s="81" cm="1">
        <f t="array" ref="AAE13">ROUND((IFERROR(INDEX(ArchiveResults!$F$5:$IX$116,ComparisonData!A13,ComparisonData!$AAE$1),0)),5)</f>
        <v>0</v>
      </c>
      <c r="AAF13" s="81" cm="1">
        <f t="array" ref="AAF13">ROUND((IFERROR(INDEX(ArchiveResults!$F$5:$IX$116,ComparisonData!A13,ComparisonData!$AAF$1),0)),5)</f>
        <v>0</v>
      </c>
      <c r="AAG13" s="46">
        <f t="shared" si="481"/>
        <v>104</v>
      </c>
      <c r="AAH13" s="46">
        <f t="shared" si="99"/>
        <v>2.9590000000000001</v>
      </c>
      <c r="AAI13" s="46">
        <f t="shared" si="482"/>
        <v>1</v>
      </c>
      <c r="AAJ13" s="46">
        <f t="shared" si="483"/>
        <v>2</v>
      </c>
      <c r="AAK13" s="46">
        <f t="shared" si="484"/>
        <v>0</v>
      </c>
      <c r="AAL13" s="46">
        <f t="shared" si="485"/>
        <v>0</v>
      </c>
      <c r="AAM13" s="46">
        <f t="shared" si="486"/>
        <v>0</v>
      </c>
      <c r="AAN13" s="46">
        <f t="shared" si="487"/>
        <v>0</v>
      </c>
      <c r="AAO13" s="46">
        <f t="shared" si="488"/>
        <v>0</v>
      </c>
      <c r="AAP13" s="46">
        <f t="shared" si="489"/>
        <v>0</v>
      </c>
      <c r="AAQ13" s="56">
        <v>8</v>
      </c>
      <c r="AAR13" s="53" t="str">
        <f t="shared" si="100"/>
        <v>Bristol Archives</v>
      </c>
      <c r="AAS13" s="60">
        <f t="shared" si="490"/>
        <v>0</v>
      </c>
      <c r="AAT13" s="60">
        <f t="shared" si="491"/>
        <v>0</v>
      </c>
      <c r="AAU13" s="60">
        <f t="shared" si="492"/>
        <v>0</v>
      </c>
      <c r="AAV13" s="60">
        <f t="shared" si="493"/>
        <v>0</v>
      </c>
      <c r="AAW13" s="60">
        <f t="shared" si="494"/>
        <v>0</v>
      </c>
      <c r="AAX13" s="76">
        <f t="shared" si="495"/>
        <v>0</v>
      </c>
      <c r="AAY13" s="46">
        <f t="shared" si="496"/>
        <v>104</v>
      </c>
      <c r="AAZ13" s="46">
        <f t="shared" si="101"/>
        <v>2.9590000000000001</v>
      </c>
      <c r="ABA13" s="46">
        <f t="shared" si="497"/>
        <v>1</v>
      </c>
      <c r="ABB13" s="46">
        <f t="shared" si="498"/>
        <v>2</v>
      </c>
      <c r="ABC13" s="46">
        <f t="shared" si="102"/>
        <v>0</v>
      </c>
      <c r="ABD13" s="46" cm="1">
        <f t="array" ref="ABD13">ROUND(VALUE(IFERROR(INDEX(ArchiveResults!$F$5:$IX$116,ComparisonData!A13,ComparisonData!$ABD$1),0)),5)</f>
        <v>0</v>
      </c>
      <c r="ABE13" s="46" cm="1">
        <f t="array" ref="ABE13">ROUND(VALUE(IFERROR(INDEX(ArchiveResults!$F$5:$IX$116,ComparisonData!A13,ComparisonData!$ABE$1),0)),5)</f>
        <v>0</v>
      </c>
      <c r="ABF13" s="46" cm="1">
        <f t="array" ref="ABF13">ROUND(VALUE(IFERROR(INDEX(ArchiveResults!$F$5:$IX$116,ComparisonData!A13,ComparisonData!$ABF$1),0)),5)</f>
        <v>0</v>
      </c>
      <c r="ABG13" s="46" cm="1">
        <f t="array" ref="ABG13">ROUND(VALUE(IFERROR(INDEX(ArchiveResults!$F$5:$IX$116,ComparisonData!A13,ComparisonData!$ABG$1),0)),5)</f>
        <v>0</v>
      </c>
      <c r="ABH13" s="46" cm="1">
        <f t="array" ref="ABH13">ROUND(VALUE(IFERROR(INDEX(ArchiveResults!$F$5:$IX$116,ComparisonData!A13,ComparisonData!$ABH$1),0)),5)</f>
        <v>0</v>
      </c>
      <c r="ABI13" s="56">
        <v>8</v>
      </c>
      <c r="ABJ13" s="53" t="str">
        <f t="shared" si="103"/>
        <v>Bristol Archives</v>
      </c>
      <c r="ABK13" s="60">
        <f t="shared" si="499"/>
        <v>0</v>
      </c>
      <c r="ABL13" s="60">
        <f t="shared" si="500"/>
        <v>0</v>
      </c>
      <c r="ABM13" s="60">
        <f t="shared" si="501"/>
        <v>0</v>
      </c>
      <c r="ABN13" s="60">
        <f t="shared" si="502"/>
        <v>0</v>
      </c>
      <c r="ABO13" s="60">
        <f t="shared" si="503"/>
        <v>0</v>
      </c>
      <c r="ABP13" s="76">
        <f t="shared" si="504"/>
        <v>0</v>
      </c>
      <c r="ABQ13" s="46">
        <f t="shared" si="505"/>
        <v>104</v>
      </c>
      <c r="ABR13" s="46">
        <f t="shared" si="104"/>
        <v>2.9590000000000001</v>
      </c>
      <c r="ABS13" s="46">
        <f t="shared" si="506"/>
        <v>1</v>
      </c>
      <c r="ABT13" s="46">
        <f t="shared" si="507"/>
        <v>2</v>
      </c>
      <c r="ABU13" s="46" cm="1">
        <f t="array" ref="ABU13">ROUND(VALUE(IFERROR(INDEX(ArchiveResults!$F$5:$IX$116,ComparisonData!A13,ComparisonData!$ABU$1),0)),5)</f>
        <v>0</v>
      </c>
      <c r="ABV13" s="46" cm="1">
        <f t="array" ref="ABV13">ROUND(VALUE(IFERROR(INDEX(ArchiveResults!$F$5:$IX$116,ComparisonData!A13,ComparisonData!$ABV$1),0)),5)</f>
        <v>0</v>
      </c>
      <c r="ABW13" s="46" cm="1">
        <f t="array" ref="ABW13">ROUND(VALUE(IFERROR(INDEX(ArchiveResults!$F$5:$IX$116,ComparisonData!A13,ComparisonData!$ABW$1),0)),5)</f>
        <v>0</v>
      </c>
      <c r="ABX13" s="46" cm="1">
        <f t="array" ref="ABX13">ROUND(VALUE(IFERROR(INDEX(ArchiveResults!$F$5:$IX$116,ComparisonData!A13,ComparisonData!$ABX$1),0)),5)</f>
        <v>0</v>
      </c>
      <c r="ABY13" s="46" cm="1">
        <f t="array" ref="ABY13">ROUND(VALUE(IFERROR(INDEX(ArchiveResults!$F$5:$IX$116,ComparisonData!A13,ComparisonData!$ABY$1),0)),5)</f>
        <v>0</v>
      </c>
      <c r="ABZ13" s="56">
        <v>8</v>
      </c>
      <c r="ACA13" s="53" t="str">
        <f t="shared" si="105"/>
        <v>Bristol Archives</v>
      </c>
      <c r="ACB13" s="60">
        <f t="shared" si="508"/>
        <v>0</v>
      </c>
      <c r="ACC13" s="60">
        <f t="shared" si="509"/>
        <v>0</v>
      </c>
      <c r="ACD13" s="60">
        <f t="shared" si="510"/>
        <v>0</v>
      </c>
      <c r="ACE13" s="60">
        <f t="shared" si="511"/>
        <v>0</v>
      </c>
      <c r="ACF13" s="60">
        <f t="shared" si="512"/>
        <v>0</v>
      </c>
      <c r="ACG13" s="76">
        <f t="shared" si="513"/>
        <v>0</v>
      </c>
      <c r="ACH13" s="46">
        <f t="shared" si="514"/>
        <v>104</v>
      </c>
      <c r="ACI13" s="46">
        <f t="shared" si="106"/>
        <v>2.9590000000000001</v>
      </c>
      <c r="ACJ13" s="46">
        <f t="shared" si="515"/>
        <v>1</v>
      </c>
      <c r="ACK13" s="46">
        <f t="shared" si="516"/>
        <v>2</v>
      </c>
      <c r="ACL13" s="46">
        <f t="shared" si="517"/>
        <v>0</v>
      </c>
      <c r="ACM13" s="46" cm="1">
        <f t="array" ref="ACM13">ROUND(IFERROR(INDEX(ArchiveResults!$F$5:$IX$116,ComparisonData!A13,ComparisonData!$ACM$1),0),5)</f>
        <v>0</v>
      </c>
      <c r="ACN13" s="46" cm="1">
        <f t="array" ref="ACN13">ROUND(IFERROR(INDEX(ArchiveResults!$F$5:$IX$116,ComparisonData!A13,ComparisonData!$ACN$1),0),5)</f>
        <v>0</v>
      </c>
      <c r="ACO13" s="56">
        <v>8</v>
      </c>
      <c r="ACP13" s="53" t="str">
        <f t="shared" si="107"/>
        <v>Bristol Archives</v>
      </c>
      <c r="ACQ13" s="60">
        <f t="shared" si="518"/>
        <v>0</v>
      </c>
      <c r="ACR13" s="60">
        <f t="shared" si="519"/>
        <v>0</v>
      </c>
      <c r="ACS13" s="76">
        <f t="shared" si="520"/>
        <v>0</v>
      </c>
      <c r="ACT13" s="46">
        <f t="shared" si="521"/>
        <v>104</v>
      </c>
      <c r="ACU13" s="46">
        <f t="shared" si="108"/>
        <v>2.9590000000000001</v>
      </c>
      <c r="ACV13" s="46">
        <f t="shared" si="522"/>
        <v>1</v>
      </c>
      <c r="ACW13" s="46">
        <f t="shared" si="523"/>
        <v>2</v>
      </c>
      <c r="ACX13" s="46">
        <f t="shared" si="524"/>
        <v>0</v>
      </c>
      <c r="ACY13" s="46" cm="1">
        <f t="array" ref="ACY13">ROUNDDOWN(IFERROR(INDEX(ArchiveResults!$F$5:$IX$116,ComparisonData!A13,ComparisonData!$ACY$1),0),5)</f>
        <v>0</v>
      </c>
      <c r="ACZ13" s="46" cm="1">
        <f t="array" ref="ACZ13">ROUNDDOWN(IFERROR(INDEX(ArchiveResults!$F$5:$IX$116,ComparisonData!A13,ComparisonData!$ACZ$1),0),5)</f>
        <v>0</v>
      </c>
      <c r="ADA13" s="46" cm="1">
        <f t="array" ref="ADA13">ROUNDDOWN(IFERROR(INDEX(ArchiveResults!$F$5:$IX$116,ComparisonData!A13,ComparisonData!$ADA$1),0),5)</f>
        <v>0</v>
      </c>
      <c r="ADB13" s="56">
        <v>8</v>
      </c>
      <c r="ADC13" s="53" t="str">
        <f t="shared" si="109"/>
        <v>Bristol Archives</v>
      </c>
      <c r="ADD13" s="60">
        <f t="shared" si="525"/>
        <v>0</v>
      </c>
      <c r="ADE13" s="60">
        <f t="shared" si="526"/>
        <v>0</v>
      </c>
      <c r="ADF13" s="60">
        <f t="shared" si="527"/>
        <v>0</v>
      </c>
      <c r="ADG13" s="76">
        <f t="shared" si="528"/>
        <v>0</v>
      </c>
    </row>
    <row r="14" spans="1:787" x14ac:dyDescent="0.25">
      <c r="A14" s="46" t="str">
        <f>IF(ISBLANK(ComparisonSelection!F10),"",ROW()-5)</f>
        <v/>
      </c>
      <c r="B14" s="53" t="s">
        <v>464</v>
      </c>
      <c r="C14" s="72">
        <v>0.66899999999999971</v>
      </c>
      <c r="D14" s="55">
        <f t="shared" si="110"/>
        <v>47</v>
      </c>
      <c r="E14" s="54">
        <f t="shared" si="111"/>
        <v>2.6689999999999996</v>
      </c>
      <c r="F14" s="54">
        <f t="shared" si="529"/>
        <v>1</v>
      </c>
      <c r="G14" s="72">
        <f t="shared" si="112"/>
        <v>2</v>
      </c>
      <c r="H14" s="72">
        <f t="shared" si="113"/>
        <v>0</v>
      </c>
      <c r="I14" s="46" cm="1">
        <f t="array" ref="I14">ROUND(IFERROR(INDEX(ArchiveResults!$F$5:$IX$116,ComparisonData!A14,ComparisonData!$I$1),0),5)</f>
        <v>0</v>
      </c>
      <c r="J14" s="46" cm="1">
        <f t="array" ref="J14">ROUND(IFERROR(INDEX(ArchiveResults!$F$5:$IX$116,ComparisonData!A14,ComparisonData!$J$1),0),5)</f>
        <v>0</v>
      </c>
      <c r="K14" s="56">
        <v>9</v>
      </c>
      <c r="L14" s="53" t="str">
        <f t="shared" si="114"/>
        <v>Buckinghamshire Archives</v>
      </c>
      <c r="M14" s="57">
        <f t="shared" si="0"/>
        <v>0</v>
      </c>
      <c r="N14" s="57">
        <f t="shared" si="1"/>
        <v>0</v>
      </c>
      <c r="O14" s="58">
        <f t="shared" si="115"/>
        <v>0</v>
      </c>
      <c r="P14" s="48">
        <f t="shared" si="116"/>
        <v>47</v>
      </c>
      <c r="Q14" s="54">
        <f t="shared" si="2"/>
        <v>2.6689999999999996</v>
      </c>
      <c r="R14" s="45">
        <f t="shared" si="117"/>
        <v>1</v>
      </c>
      <c r="S14" s="46">
        <f t="shared" si="118"/>
        <v>2</v>
      </c>
      <c r="T14" s="72">
        <f t="shared" si="119"/>
        <v>0</v>
      </c>
      <c r="U14" s="46" cm="1">
        <f t="array" ref="U14">ROUND(IFERROR(INDEX(ArchiveResults!$F$5:$IX$116,ComparisonData!A14,ComparisonData!$U$1),0),5)</f>
        <v>0</v>
      </c>
      <c r="V14" s="46" cm="1">
        <f t="array" ref="V14">ROUND(IFERROR(INDEX(ArchiveResults!$F$5:$IX$116,ComparisonData!A14,ComparisonData!$V$1),0),5)</f>
        <v>0</v>
      </c>
      <c r="W14" s="56">
        <v>9</v>
      </c>
      <c r="X14" s="53" t="str">
        <f t="shared" si="3"/>
        <v>Buckinghamshire Archives</v>
      </c>
      <c r="Y14" s="57">
        <f t="shared" si="120"/>
        <v>0</v>
      </c>
      <c r="Z14" s="57">
        <f t="shared" si="121"/>
        <v>0</v>
      </c>
      <c r="AA14" s="58">
        <f t="shared" si="122"/>
        <v>0</v>
      </c>
      <c r="AB14" s="45">
        <f t="shared" si="123"/>
        <v>47</v>
      </c>
      <c r="AC14" s="54">
        <f t="shared" si="4"/>
        <v>2.6689999999999996</v>
      </c>
      <c r="AD14" s="45">
        <f t="shared" si="124"/>
        <v>1</v>
      </c>
      <c r="AE14" s="45">
        <f t="shared" si="125"/>
        <v>2</v>
      </c>
      <c r="AF14" s="45">
        <f t="shared" si="126"/>
        <v>0</v>
      </c>
      <c r="AG14" s="46" cm="1">
        <f t="array" ref="AG14">ROUND(IFERROR(INDEX(ArchiveResults!$F$5:$IX$116,ComparisonData!A14,ComparisonData!$AG$1),0),5)</f>
        <v>0</v>
      </c>
      <c r="AH14" s="46" cm="1">
        <f t="array" ref="AH14">ROUND(IFERROR(INDEX(ArchiveResults!$F$5:$IX$116,ComparisonData!A14,ComparisonData!$AH$1),0),5)</f>
        <v>0</v>
      </c>
      <c r="AI14" s="56">
        <v>9</v>
      </c>
      <c r="AJ14" s="53" t="str">
        <f t="shared" si="5"/>
        <v>Buckinghamshire Archives</v>
      </c>
      <c r="AK14" s="59">
        <f t="shared" si="6"/>
        <v>0</v>
      </c>
      <c r="AL14" s="59">
        <f t="shared" si="7"/>
        <v>0</v>
      </c>
      <c r="AM14" s="58">
        <f t="shared" si="127"/>
        <v>0</v>
      </c>
      <c r="AN14" s="45">
        <f t="shared" si="128"/>
        <v>47</v>
      </c>
      <c r="AO14" s="54">
        <f t="shared" si="8"/>
        <v>2.6689999999999996</v>
      </c>
      <c r="AP14" s="45">
        <f t="shared" si="129"/>
        <v>1</v>
      </c>
      <c r="AQ14" s="45">
        <f t="shared" si="130"/>
        <v>2</v>
      </c>
      <c r="AR14" s="46" cm="1">
        <f t="array" ref="AR14">ROUND(IFERROR(INDEX(ArchiveResults!$F$5:$IX$116,ComparisonData!A14,ComparisonData!$AR$1),0),5)</f>
        <v>0</v>
      </c>
      <c r="AS14" s="46" cm="1">
        <f t="array" ref="AS14">ROUND(IFERROR(INDEX(ArchiveResults!$F$5:$IX$116,ComparisonData!A14,ComparisonData!$AS$1),0),5)</f>
        <v>0</v>
      </c>
      <c r="AT14" s="46" cm="1">
        <f t="array" ref="AT14">ROUND(IFERROR(INDEX(ArchiveResults!$F$5:$IX$116,ComparisonData!A14,ComparisonData!$AT$1),0),5)</f>
        <v>0</v>
      </c>
      <c r="AU14" s="46" cm="1">
        <f t="array" ref="AU14">ROUND(IFERROR(INDEX(ArchiveResults!$F$5:$IX$116,ComparisonData!A14,ComparisonData!$AU$1),0),5)</f>
        <v>0</v>
      </c>
      <c r="AV14" s="46" cm="1">
        <f t="array" ref="AV14">ROUND(IFERROR(INDEX(ArchiveResults!$F$5:$IX$116,ComparisonData!A14,ComparisonData!$AV$1),0),5)</f>
        <v>0</v>
      </c>
      <c r="AW14" s="46" cm="1">
        <f t="array" ref="AW14">ROUND(IFERROR(INDEX(ArchiveResults!$F$5:$IX$116,ComparisonData!A14,ComparisonData!$AW$1),0),5)</f>
        <v>0</v>
      </c>
      <c r="AX14" s="46" cm="1">
        <f t="array" ref="AX14">ROUND(IFERROR(INDEX(ArchiveResults!$F$5:$IX$116,ComparisonData!A14,ComparisonData!$AX$1),0),5)</f>
        <v>0</v>
      </c>
      <c r="AY14" s="46" cm="1">
        <f t="array" ref="AY14">ROUND(IFERROR(INDEX(ArchiveResults!$F$5:$IX$116,ComparisonData!A14,ComparisonData!$AY$1),0),5)</f>
        <v>0</v>
      </c>
      <c r="AZ14" s="46" cm="1">
        <f t="array" ref="AZ14">ROUND(IFERROR(INDEX(ArchiveResults!$F$5:$IX$116,ComparisonData!A14,ComparisonData!$AZ$1),0),5)</f>
        <v>0</v>
      </c>
      <c r="BA14" s="46" cm="1">
        <f t="array" ref="BA14">ROUND(IFERROR(INDEX(ArchiveResults!$F$5:$IX$116,ComparisonData!A14,ComparisonData!$BA$1),0),5)</f>
        <v>0</v>
      </c>
      <c r="BB14" s="56">
        <v>9</v>
      </c>
      <c r="BC14" s="53" t="str">
        <f t="shared" si="9"/>
        <v>Buckinghamshire Archives</v>
      </c>
      <c r="BD14" s="60">
        <f t="shared" si="131"/>
        <v>0</v>
      </c>
      <c r="BE14" s="60">
        <f t="shared" si="132"/>
        <v>0</v>
      </c>
      <c r="BF14" s="60">
        <f t="shared" si="133"/>
        <v>0</v>
      </c>
      <c r="BG14" s="60">
        <f t="shared" si="134"/>
        <v>0</v>
      </c>
      <c r="BH14" s="60">
        <f t="shared" si="135"/>
        <v>0</v>
      </c>
      <c r="BI14" s="60">
        <f t="shared" si="136"/>
        <v>0</v>
      </c>
      <c r="BJ14" s="60">
        <f t="shared" si="137"/>
        <v>0</v>
      </c>
      <c r="BK14" s="60">
        <f t="shared" si="138"/>
        <v>0</v>
      </c>
      <c r="BL14" s="60">
        <f t="shared" si="139"/>
        <v>0</v>
      </c>
      <c r="BM14" s="59">
        <f t="shared" si="140"/>
        <v>0</v>
      </c>
      <c r="BN14" s="58">
        <f t="shared" si="141"/>
        <v>0</v>
      </c>
      <c r="BO14" s="45">
        <f t="shared" si="142"/>
        <v>47</v>
      </c>
      <c r="BP14" s="54">
        <f t="shared" si="10"/>
        <v>2.6689999999999996</v>
      </c>
      <c r="BQ14" s="45">
        <f t="shared" si="143"/>
        <v>1</v>
      </c>
      <c r="BR14" s="45">
        <f t="shared" si="144"/>
        <v>2</v>
      </c>
      <c r="BS14" s="46" cm="1">
        <f t="array" ref="BS14">ROUND(IFERROR(INDEX(ArchiveResults!$F$5:$IX$116,ComparisonData!A14,ComparisonData!$BS$1),0),5)</f>
        <v>0</v>
      </c>
      <c r="BT14" s="46" cm="1">
        <f t="array" ref="BT14">ROUND(IFERROR(INDEX(ArchiveResults!$F$5:$IX$116,ComparisonData!A14,ComparisonData!$BT$1),0),5)</f>
        <v>0</v>
      </c>
      <c r="BU14" s="46" cm="1">
        <f t="array" ref="BU14">ROUND(IFERROR(INDEX(ArchiveResults!$F$5:$IX$116,ComparisonData!A14,ComparisonData!$BU$1),0),5)</f>
        <v>0</v>
      </c>
      <c r="BV14" s="46" cm="1">
        <f t="array" ref="BV14">ROUND(IFERROR(INDEX(ArchiveResults!$F$5:$IX$116,ComparisonData!A14,ComparisonData!$BV$1),0),5)</f>
        <v>0</v>
      </c>
      <c r="BW14" s="46" cm="1">
        <f t="array" ref="BW14">ROUND(IFERROR(INDEX(ArchiveResults!$F$5:$IX$116,ComparisonData!A14,ComparisonData!$BW$1),0),5)</f>
        <v>0</v>
      </c>
      <c r="BX14" s="46" cm="1">
        <f t="array" ref="BX14">ROUND(IFERROR(INDEX(ArchiveResults!$F$5:$IX$116,ComparisonData!A14,ComparisonData!$BX$1),0),5)</f>
        <v>0</v>
      </c>
      <c r="BY14" s="56">
        <v>9</v>
      </c>
      <c r="BZ14" s="53" t="str">
        <f t="shared" si="11"/>
        <v>Buckinghamshire Archives</v>
      </c>
      <c r="CA14" s="59">
        <f t="shared" si="145"/>
        <v>0</v>
      </c>
      <c r="CB14" s="59">
        <f t="shared" si="146"/>
        <v>0</v>
      </c>
      <c r="CC14" s="59">
        <f t="shared" si="147"/>
        <v>0</v>
      </c>
      <c r="CD14" s="59">
        <f t="shared" si="148"/>
        <v>0</v>
      </c>
      <c r="CE14" s="59">
        <f t="shared" si="149"/>
        <v>0</v>
      </c>
      <c r="CF14" s="59">
        <f t="shared" si="150"/>
        <v>0</v>
      </c>
      <c r="CG14" s="58">
        <f t="shared" si="151"/>
        <v>0</v>
      </c>
      <c r="CH14" s="45">
        <f t="shared" si="152"/>
        <v>47</v>
      </c>
      <c r="CI14" s="54">
        <f t="shared" si="12"/>
        <v>2.6689999999999996</v>
      </c>
      <c r="CJ14" s="45">
        <f t="shared" si="153"/>
        <v>1</v>
      </c>
      <c r="CK14" s="45">
        <f t="shared" si="154"/>
        <v>2</v>
      </c>
      <c r="CL14" s="46" cm="1">
        <f t="array" ref="CL14">ROUND(IFERROR(INDEX(ArchiveResults!$F$5:$IX$116,ComparisonData!A14,ComparisonData!$CL$1),0),5)</f>
        <v>0</v>
      </c>
      <c r="CM14" s="56">
        <v>9</v>
      </c>
      <c r="CN14" s="53" t="str">
        <f t="shared" si="13"/>
        <v>Buckinghamshire Archives</v>
      </c>
      <c r="CO14" s="45">
        <f t="shared" si="155"/>
        <v>0</v>
      </c>
      <c r="CP14" s="58">
        <f t="shared" si="156"/>
        <v>0</v>
      </c>
      <c r="CQ14" s="45">
        <f t="shared" si="157"/>
        <v>47</v>
      </c>
      <c r="CR14" s="54">
        <f t="shared" si="14"/>
        <v>2.6689999999999996</v>
      </c>
      <c r="CS14" s="45">
        <f t="shared" si="158"/>
        <v>1</v>
      </c>
      <c r="CT14" s="45">
        <f t="shared" si="159"/>
        <v>2</v>
      </c>
      <c r="CU14" s="46" cm="1">
        <f t="array" ref="CU14">ROUND(IFERROR(INDEX(ArchiveResults!$F$5:$IX$116,ComparisonData!A14,ComparisonData!$CU$1),0),5)</f>
        <v>0</v>
      </c>
      <c r="CV14" s="56">
        <v>9</v>
      </c>
      <c r="CW14" s="53" t="str">
        <f t="shared" si="15"/>
        <v>Buckinghamshire Archives</v>
      </c>
      <c r="CX14" s="45">
        <f t="shared" si="160"/>
        <v>0</v>
      </c>
      <c r="CY14" s="58">
        <f t="shared" si="161"/>
        <v>0</v>
      </c>
      <c r="CZ14" s="45">
        <f t="shared" si="162"/>
        <v>47</v>
      </c>
      <c r="DA14" s="54">
        <f t="shared" si="16"/>
        <v>2.6689999999999996</v>
      </c>
      <c r="DB14" s="45">
        <f t="shared" si="163"/>
        <v>1</v>
      </c>
      <c r="DC14" s="45">
        <f t="shared" si="164"/>
        <v>2</v>
      </c>
      <c r="DD14" s="46" cm="1">
        <f t="array" ref="DD14">ROUND(IFERROR(INDEX(ArchiveResults!$F$5:$IX$116,ComparisonData!A14,ComparisonData!$DD$1),0),5)</f>
        <v>0</v>
      </c>
      <c r="DE14" s="56">
        <v>9</v>
      </c>
      <c r="DF14" s="53" t="str">
        <f t="shared" si="17"/>
        <v>Buckinghamshire Archives</v>
      </c>
      <c r="DG14" s="45">
        <f t="shared" si="165"/>
        <v>0</v>
      </c>
      <c r="DH14" s="58">
        <f t="shared" si="166"/>
        <v>0</v>
      </c>
      <c r="DI14" s="45">
        <f t="shared" si="167"/>
        <v>47</v>
      </c>
      <c r="DJ14" s="54">
        <f t="shared" si="18"/>
        <v>2.6689999999999996</v>
      </c>
      <c r="DK14" s="45">
        <f t="shared" si="168"/>
        <v>1</v>
      </c>
      <c r="DL14" s="45">
        <f t="shared" si="169"/>
        <v>2</v>
      </c>
      <c r="DM14" s="46" cm="1">
        <f t="array" ref="DM14">ROUND(IFERROR(INDEX(ArchiveResults!$F$5:$IX$116,ComparisonData!A14,ComparisonData!$DM$1),0),5)</f>
        <v>0</v>
      </c>
      <c r="DN14" s="46" cm="1">
        <f t="array" ref="DN14">ROUND(IFERROR(INDEX(ArchiveResults!$F$5:$IX$116,ComparisonData!A14,ComparisonData!$DN$1),0),5)</f>
        <v>0</v>
      </c>
      <c r="DO14" s="46" cm="1">
        <f t="array" ref="DO14">ROUND(IFERROR(INDEX(ArchiveResults!$F$5:$IX$116,ComparisonData!A14,ComparisonData!$DO$1),0),5)</f>
        <v>0</v>
      </c>
      <c r="DP14" s="46" cm="1">
        <f t="array" ref="DP14">ROUND(IFERROR(INDEX(ArchiveResults!$F$5:$IX$116,ComparisonData!A14,ComparisonData!$DP$1),0),5)</f>
        <v>0</v>
      </c>
      <c r="DQ14" s="45" cm="1">
        <f t="array" ref="DQ14">IFERROR(INDEX(ArchiveResults!$F$5:$IX$116,ComparisonData!A14,ComparisonData!$DQ$1),0)</f>
        <v>0</v>
      </c>
      <c r="DR14" s="56">
        <v>9</v>
      </c>
      <c r="DS14" s="53" t="str">
        <f t="shared" si="19"/>
        <v>Buckinghamshire Archives</v>
      </c>
      <c r="DT14" s="59">
        <f t="shared" si="170"/>
        <v>0</v>
      </c>
      <c r="DU14" s="59">
        <f t="shared" si="171"/>
        <v>0</v>
      </c>
      <c r="DV14" s="59">
        <f t="shared" si="172"/>
        <v>0</v>
      </c>
      <c r="DW14" s="59">
        <f t="shared" si="173"/>
        <v>0</v>
      </c>
      <c r="DX14" s="59">
        <f t="shared" si="174"/>
        <v>0</v>
      </c>
      <c r="DY14" s="58">
        <f t="shared" si="175"/>
        <v>0</v>
      </c>
      <c r="DZ14" s="45">
        <f t="shared" si="176"/>
        <v>47</v>
      </c>
      <c r="EA14" s="54">
        <f t="shared" si="20"/>
        <v>2.6689999999999996</v>
      </c>
      <c r="EB14" s="45">
        <f t="shared" si="177"/>
        <v>1</v>
      </c>
      <c r="EC14" s="45">
        <f t="shared" si="178"/>
        <v>2</v>
      </c>
      <c r="ED14" s="46" cm="1">
        <f t="array" ref="ED14">ROUND(IFERROR(INDEX(ArchiveResults!$F$5:$IX$116,ComparisonData!A14,ComparisonData!$ED$1),0),5)</f>
        <v>0</v>
      </c>
      <c r="EE14" s="46" cm="1">
        <f t="array" ref="EE14">ROUND(IFERROR(INDEX(ArchiveResults!$F$5:$IX$116,ComparisonData!A14,ComparisonData!$EE$1),0),5)</f>
        <v>0</v>
      </c>
      <c r="EF14" s="46" cm="1">
        <f t="array" ref="EF14">ROUND(IFERROR(INDEX(ArchiveResults!$F$5:$IX$116,ComparisonData!A14,ComparisonData!$EF$1),0),5)</f>
        <v>0</v>
      </c>
      <c r="EG14" s="46" cm="1">
        <f t="array" ref="EG14">ROUND(IFERROR(INDEX(ArchiveResults!$F$5:$IX$116,ComparisonData!A14,ComparisonData!$EG$1),0),5)</f>
        <v>0</v>
      </c>
      <c r="EH14" s="45" cm="1">
        <f t="array" ref="EH14">IFERROR(INDEX(ArchiveResults!$F$5:$IX$116,ComparisonData!A14,ComparisonData!$EH$1),0)</f>
        <v>0</v>
      </c>
      <c r="EI14" s="56">
        <v>9</v>
      </c>
      <c r="EJ14" s="53" t="str">
        <f t="shared" si="21"/>
        <v>Buckinghamshire Archives</v>
      </c>
      <c r="EK14" s="59">
        <f t="shared" si="179"/>
        <v>0</v>
      </c>
      <c r="EL14" s="59">
        <f t="shared" si="180"/>
        <v>0</v>
      </c>
      <c r="EM14" s="59">
        <f t="shared" si="181"/>
        <v>0</v>
      </c>
      <c r="EN14" s="59">
        <f t="shared" si="182"/>
        <v>0</v>
      </c>
      <c r="EO14" s="59">
        <f t="shared" si="183"/>
        <v>0</v>
      </c>
      <c r="EP14" s="58">
        <f t="shared" si="184"/>
        <v>0</v>
      </c>
      <c r="EQ14" s="45">
        <f t="shared" si="185"/>
        <v>47</v>
      </c>
      <c r="ER14" s="54">
        <f t="shared" si="22"/>
        <v>2.6689999999999996</v>
      </c>
      <c r="ES14" s="45">
        <f t="shared" si="186"/>
        <v>1</v>
      </c>
      <c r="ET14" s="45">
        <f t="shared" si="187"/>
        <v>2</v>
      </c>
      <c r="EU14" s="46" cm="1">
        <f t="array" ref="EU14">ROUND(IFERROR(INDEX(ArchiveResults!$F$5:$IX$116,ComparisonData!A14,ComparisonData!$EU$1),0),5)</f>
        <v>0</v>
      </c>
      <c r="EV14" s="46" cm="1">
        <f t="array" ref="EV14">ROUND(IFERROR(INDEX(ArchiveResults!$F$5:$IX$116,ComparisonData!A14,ComparisonData!$EV$1),0),5)</f>
        <v>0</v>
      </c>
      <c r="EW14" s="46" cm="1">
        <f t="array" ref="EW14">ROUND(IFERROR(INDEX(ArchiveResults!$F$5:$IX$116,ComparisonData!A14,ComparisonData!$EW$1),0),5)</f>
        <v>0</v>
      </c>
      <c r="EX14" s="46" cm="1">
        <f t="array" ref="EX14">ROUND(IFERROR(INDEX(ArchiveResults!$F$5:$IX$116,ComparisonData!A14,ComparisonData!$EX$1),0),5)</f>
        <v>0</v>
      </c>
      <c r="EY14" s="45" cm="1">
        <f t="array" ref="EY14">IFERROR(INDEX(ArchiveResults!$F$5:$IX$116,ComparisonData!A14,ComparisonData!$EY$1),0)</f>
        <v>0</v>
      </c>
      <c r="EZ14" s="56">
        <v>9</v>
      </c>
      <c r="FA14" s="53" t="str">
        <f t="shared" si="23"/>
        <v>Buckinghamshire Archives</v>
      </c>
      <c r="FB14" s="59">
        <f t="shared" si="188"/>
        <v>0</v>
      </c>
      <c r="FC14" s="59">
        <f t="shared" si="189"/>
        <v>0</v>
      </c>
      <c r="FD14" s="59">
        <f t="shared" si="190"/>
        <v>0</v>
      </c>
      <c r="FE14" s="59">
        <f t="shared" si="191"/>
        <v>0</v>
      </c>
      <c r="FF14" s="59">
        <f t="shared" si="192"/>
        <v>0</v>
      </c>
      <c r="FG14" s="58">
        <f t="shared" si="193"/>
        <v>0</v>
      </c>
      <c r="FH14" s="45">
        <f t="shared" si="194"/>
        <v>47</v>
      </c>
      <c r="FI14" s="54">
        <f t="shared" si="24"/>
        <v>2.6689999999999996</v>
      </c>
      <c r="FJ14" s="45">
        <f t="shared" si="195"/>
        <v>1</v>
      </c>
      <c r="FK14" s="45">
        <f t="shared" si="196"/>
        <v>2</v>
      </c>
      <c r="FL14" s="46" cm="1">
        <f t="array" ref="FL14">ROUND(IFERROR(INDEX(ArchiveResults!$F$5:$IX$116,ComparisonData!A14,ComparisonData!$FL$1),0),5)</f>
        <v>0</v>
      </c>
      <c r="FM14" s="46" cm="1">
        <f t="array" ref="FM14">ROUND(IFERROR(INDEX(ArchiveResults!$F$5:$IX$116,ComparisonData!A14,ComparisonData!$FM$1),0),5)</f>
        <v>0</v>
      </c>
      <c r="FN14" s="46" cm="1">
        <f t="array" ref="FN14">ROUND(IFERROR(INDEX(ArchiveResults!$F$5:$IX$116,ComparisonData!A14,ComparisonData!$FN$1),0),5)</f>
        <v>0</v>
      </c>
      <c r="FO14" s="46" cm="1">
        <f t="array" ref="FO14">ROUND(IFERROR(INDEX(ArchiveResults!$F$5:$IX$116,ComparisonData!A14,ComparisonData!$FO$1),0),5)</f>
        <v>0</v>
      </c>
      <c r="FP14" s="45" cm="1">
        <f t="array" ref="FP14">IFERROR(INDEX(ArchiveResults!$F$5:$IX$116,ComparisonData!A14,ComparisonData!$FP$1),0)</f>
        <v>0</v>
      </c>
      <c r="FQ14" s="56">
        <v>9</v>
      </c>
      <c r="FR14" s="53" t="str">
        <f t="shared" si="25"/>
        <v>Buckinghamshire Archives</v>
      </c>
      <c r="FS14" s="59">
        <f t="shared" si="197"/>
        <v>0</v>
      </c>
      <c r="FT14" s="59">
        <f t="shared" si="198"/>
        <v>0</v>
      </c>
      <c r="FU14" s="59">
        <f t="shared" si="199"/>
        <v>0</v>
      </c>
      <c r="FV14" s="59">
        <f t="shared" si="200"/>
        <v>0</v>
      </c>
      <c r="FW14" s="59">
        <f t="shared" si="201"/>
        <v>0</v>
      </c>
      <c r="FX14" s="58">
        <f t="shared" si="202"/>
        <v>0</v>
      </c>
      <c r="FY14" s="45">
        <f t="shared" si="203"/>
        <v>47</v>
      </c>
      <c r="FZ14" s="45">
        <f t="shared" si="26"/>
        <v>2.6689999999999996</v>
      </c>
      <c r="GA14" s="45">
        <f t="shared" si="204"/>
        <v>1</v>
      </c>
      <c r="GB14" s="45">
        <f t="shared" si="205"/>
        <v>2</v>
      </c>
      <c r="GC14" s="46" cm="1">
        <f t="array" ref="GC14">ROUND(IFERROR(INDEX(ArchiveResults!$F$5:$IX$116,ComparisonData!A14,ComparisonData!$GC$1),0),5)</f>
        <v>0</v>
      </c>
      <c r="GD14" s="46" cm="1">
        <f t="array" ref="GD14">ROUND(IFERROR(INDEX(ArchiveResults!$F$5:$IX$116,ComparisonData!A14,ComparisonData!$GD$1),0),5)</f>
        <v>0</v>
      </c>
      <c r="GE14" s="46" cm="1">
        <f t="array" ref="GE14">ROUND(IFERROR(INDEX(ArchiveResults!$F$5:$IX$116,ComparisonData!A14,ComparisonData!$GE$1),0),5)</f>
        <v>0</v>
      </c>
      <c r="GF14" s="46" cm="1">
        <f t="array" ref="GF14">ROUND(IFERROR(INDEX(ArchiveResults!$F$5:$IX$116,ComparisonData!A14,ComparisonData!$GF$1),0),5)</f>
        <v>0</v>
      </c>
      <c r="GG14" s="45" cm="1">
        <f t="array" ref="GG14">IFERROR(INDEX(ArchiveResults!$F$5:$IX$116,ComparisonData!A14,ComparisonData!$GG$1),0)</f>
        <v>0</v>
      </c>
      <c r="GH14" s="56">
        <v>9</v>
      </c>
      <c r="GI14" s="53" t="str">
        <f t="shared" si="27"/>
        <v>Buckinghamshire Archives</v>
      </c>
      <c r="GJ14" s="59">
        <f t="shared" si="206"/>
        <v>0</v>
      </c>
      <c r="GK14" s="59">
        <f t="shared" si="207"/>
        <v>0</v>
      </c>
      <c r="GL14" s="59">
        <f t="shared" si="208"/>
        <v>0</v>
      </c>
      <c r="GM14" s="59">
        <f t="shared" si="209"/>
        <v>0</v>
      </c>
      <c r="GN14" s="59">
        <f t="shared" si="210"/>
        <v>0</v>
      </c>
      <c r="GO14" s="58">
        <f t="shared" si="211"/>
        <v>0</v>
      </c>
      <c r="GP14" s="45">
        <f t="shared" si="212"/>
        <v>47</v>
      </c>
      <c r="GQ14" s="45">
        <f t="shared" si="28"/>
        <v>2.6689999999999996</v>
      </c>
      <c r="GR14" s="45">
        <f t="shared" si="213"/>
        <v>1</v>
      </c>
      <c r="GS14" s="45">
        <f t="shared" si="214"/>
        <v>2</v>
      </c>
      <c r="GT14" s="46" cm="1">
        <f t="array" ref="GT14">ROUND(IFERROR(INDEX(ArchiveResults!$F$5:$IX$116,ComparisonData!A14,ComparisonData!$GT$1),0),5)</f>
        <v>0</v>
      </c>
      <c r="GU14" s="46" cm="1">
        <f t="array" ref="GU14">ROUND(IFERROR(INDEX(ArchiveResults!$F$5:$IX$116,ComparisonData!A14,ComparisonData!$GU$1),0),5)</f>
        <v>0</v>
      </c>
      <c r="GV14" s="46" cm="1">
        <f t="array" ref="GV14">ROUND(IFERROR(INDEX(ArchiveResults!$F$5:$IX$116,ComparisonData!A14,ComparisonData!$GV$1),0),5)</f>
        <v>0</v>
      </c>
      <c r="GW14" s="46" cm="1">
        <f t="array" ref="GW14">ROUND(IFERROR(INDEX(ArchiveResults!$F$5:$IX$116,ComparisonData!A14,ComparisonData!$GW$1),0),5)</f>
        <v>0</v>
      </c>
      <c r="GX14" s="45" cm="1">
        <f t="array" ref="GX14">IFERROR(INDEX(ArchiveResults!$F$5:$IX$116,ComparisonData!A14,ComparisonData!$GX$1),0)</f>
        <v>0</v>
      </c>
      <c r="GY14" s="56">
        <v>9</v>
      </c>
      <c r="GZ14" s="53" t="str">
        <f t="shared" si="29"/>
        <v>Buckinghamshire Archives</v>
      </c>
      <c r="HA14" s="59">
        <f t="shared" si="215"/>
        <v>0</v>
      </c>
      <c r="HB14" s="59">
        <f t="shared" si="216"/>
        <v>0</v>
      </c>
      <c r="HC14" s="59">
        <f t="shared" si="217"/>
        <v>0</v>
      </c>
      <c r="HD14" s="59">
        <f t="shared" si="218"/>
        <v>0</v>
      </c>
      <c r="HE14" s="59">
        <f t="shared" si="219"/>
        <v>0</v>
      </c>
      <c r="HF14" s="58">
        <f t="shared" si="220"/>
        <v>0</v>
      </c>
      <c r="HG14" s="45">
        <f t="shared" si="221"/>
        <v>47</v>
      </c>
      <c r="HH14" s="45">
        <f t="shared" si="30"/>
        <v>2.6689999999999996</v>
      </c>
      <c r="HI14" s="45">
        <f t="shared" si="222"/>
        <v>1</v>
      </c>
      <c r="HJ14" s="45">
        <f t="shared" si="223"/>
        <v>2</v>
      </c>
      <c r="HK14" s="46" cm="1">
        <f t="array" ref="HK14">ROUND(IFERROR(INDEX(ArchiveResults!$F$5:$IX$116,ComparisonData!A14,ComparisonData!$HK$1),0),5)</f>
        <v>0</v>
      </c>
      <c r="HL14" s="46" cm="1">
        <f t="array" ref="HL14">ROUND(IFERROR(INDEX(ArchiveResults!$F$5:$IX$116,ComparisonData!A14,ComparisonData!$HL$1),0),5)</f>
        <v>0</v>
      </c>
      <c r="HM14" s="46" cm="1">
        <f t="array" ref="HM14">ROUND(IFERROR(INDEX(ArchiveResults!$F$5:$IX$116,ComparisonData!A14,ComparisonData!$HM$1),0),5)</f>
        <v>0</v>
      </c>
      <c r="HN14" s="46" cm="1">
        <f t="array" ref="HN14">ROUND(IFERROR(INDEX(ArchiveResults!$F$5:$IX$116,ComparisonData!A14,ComparisonData!$HN$1),0),5)</f>
        <v>0</v>
      </c>
      <c r="HO14" s="45" cm="1">
        <f t="array" ref="HO14">IFERROR(INDEX(ArchiveResults!$F$5:$IX$116,ComparisonData!A14,ComparisonData!$HO$1),0)</f>
        <v>0</v>
      </c>
      <c r="HP14" s="56">
        <v>9</v>
      </c>
      <c r="HQ14" s="53" t="str">
        <f t="shared" si="31"/>
        <v>Buckinghamshire Archives</v>
      </c>
      <c r="HR14" s="59">
        <f t="shared" si="32"/>
        <v>0</v>
      </c>
      <c r="HS14" s="59">
        <f t="shared" si="33"/>
        <v>0</v>
      </c>
      <c r="HT14" s="59">
        <f t="shared" si="34"/>
        <v>0</v>
      </c>
      <c r="HU14" s="59">
        <f t="shared" si="35"/>
        <v>0</v>
      </c>
      <c r="HV14" s="59">
        <f t="shared" si="36"/>
        <v>0</v>
      </c>
      <c r="HW14" s="58">
        <f t="shared" si="224"/>
        <v>0</v>
      </c>
      <c r="HX14" s="45">
        <f t="shared" si="225"/>
        <v>47</v>
      </c>
      <c r="HY14" s="45">
        <f t="shared" si="37"/>
        <v>2.6689999999999996</v>
      </c>
      <c r="HZ14" s="45">
        <f t="shared" si="226"/>
        <v>1</v>
      </c>
      <c r="IA14" s="45">
        <f t="shared" si="227"/>
        <v>2</v>
      </c>
      <c r="IB14" s="45">
        <f t="shared" si="228"/>
        <v>0</v>
      </c>
      <c r="IC14" s="46" cm="1">
        <f t="array" ref="IC14">ROUND(IFERROR(INDEX(ArchiveResults!$F$5:$IX$116,ComparisonData!A14,ComparisonData!$IC$1),0),5)</f>
        <v>0</v>
      </c>
      <c r="ID14" s="46" cm="1">
        <f t="array" ref="ID14">ROUND(IFERROR(INDEX(ArchiveResults!$F$5:$IX$116,ComparisonData!A14,ComparisonData!$ID$1),0),5)</f>
        <v>0</v>
      </c>
      <c r="IE14" s="46" cm="1">
        <f t="array" ref="IE14">ROUND(IFERROR(INDEX(ArchiveResults!$F$5:$IX$116,ComparisonData!A14,ComparisonData!$IE$1),0),5)</f>
        <v>0</v>
      </c>
      <c r="IF14" s="46" cm="1">
        <f t="array" ref="IF14">ROUND(IFERROR(INDEX(ArchiveResults!$F$5:$IX$116,ComparisonData!A14,ComparisonData!$IF$1),0),5)</f>
        <v>0</v>
      </c>
      <c r="IG14" s="45" cm="1">
        <f t="array" ref="IG14">IFERROR(INDEX(ArchiveResults!$F$5:$IX$116,ComparisonData!A14,ComparisonData!$IG$1),0)</f>
        <v>0</v>
      </c>
      <c r="IH14" s="56">
        <v>9</v>
      </c>
      <c r="II14" s="53" t="str">
        <f t="shared" si="38"/>
        <v>Buckinghamshire Archives</v>
      </c>
      <c r="IJ14" s="59">
        <f t="shared" si="229"/>
        <v>0</v>
      </c>
      <c r="IK14" s="59">
        <f t="shared" si="230"/>
        <v>0</v>
      </c>
      <c r="IL14" s="59">
        <f t="shared" si="231"/>
        <v>0</v>
      </c>
      <c r="IM14" s="59">
        <f t="shared" si="232"/>
        <v>0</v>
      </c>
      <c r="IN14" s="59">
        <f t="shared" si="233"/>
        <v>0</v>
      </c>
      <c r="IO14" s="58">
        <f t="shared" si="234"/>
        <v>0</v>
      </c>
      <c r="IP14" s="45">
        <f t="shared" si="235"/>
        <v>47</v>
      </c>
      <c r="IQ14" s="45">
        <f t="shared" si="39"/>
        <v>2.6689999999999996</v>
      </c>
      <c r="IR14" s="45">
        <f t="shared" si="236"/>
        <v>1</v>
      </c>
      <c r="IS14" s="45">
        <f t="shared" si="237"/>
        <v>2</v>
      </c>
      <c r="IT14" s="46">
        <f t="shared" si="238"/>
        <v>0</v>
      </c>
      <c r="IU14" s="46" cm="1">
        <f t="array" ref="IU14">ROUND(IFERROR(INDEX(ArchiveResults!$F$5:$IX$116,ComparisonData!A14,ComparisonData!$IU$1),0),5)</f>
        <v>0</v>
      </c>
      <c r="IV14" s="46" cm="1">
        <f t="array" ref="IV14">ROUND(IFERROR(INDEX(ArchiveResults!$F$5:$IX$116,ComparisonData!A14,ComparisonData!$IV$1),0),5)</f>
        <v>0</v>
      </c>
      <c r="IW14" s="46" cm="1">
        <f t="array" ref="IW14">ROUND(IFERROR(INDEX(ArchiveResults!$F$5:$IX$116,ComparisonData!A14,ComparisonData!$IW$1),0),5)</f>
        <v>0</v>
      </c>
      <c r="IX14" s="46" cm="1">
        <f t="array" ref="IX14">ROUND(IFERROR(INDEX(ArchiveResults!$F$5:$IX$116,ComparisonData!A14,ComparisonData!$IX$1),0),5)</f>
        <v>0</v>
      </c>
      <c r="IY14" s="45" cm="1">
        <f t="array" ref="IY14">IFERROR(INDEX(ArchiveResults!$F$5:$IX$116,ComparisonData!A14,ComparisonData!$IY$1),0)</f>
        <v>0</v>
      </c>
      <c r="IZ14" s="56">
        <v>9</v>
      </c>
      <c r="JA14" s="53" t="str">
        <f t="shared" si="40"/>
        <v>Buckinghamshire Archives</v>
      </c>
      <c r="JB14" s="59">
        <f t="shared" si="239"/>
        <v>0</v>
      </c>
      <c r="JC14" s="59">
        <f t="shared" si="240"/>
        <v>0</v>
      </c>
      <c r="JD14" s="59">
        <f t="shared" si="241"/>
        <v>0</v>
      </c>
      <c r="JE14" s="59">
        <f t="shared" si="242"/>
        <v>0</v>
      </c>
      <c r="JF14" s="59">
        <f t="shared" si="243"/>
        <v>0</v>
      </c>
      <c r="JG14" s="58">
        <f t="shared" si="244"/>
        <v>0</v>
      </c>
      <c r="JH14" s="45">
        <f t="shared" si="245"/>
        <v>47</v>
      </c>
      <c r="JI14" s="45">
        <f t="shared" si="41"/>
        <v>2.6689999999999996</v>
      </c>
      <c r="JJ14" s="45">
        <f t="shared" si="246"/>
        <v>1</v>
      </c>
      <c r="JK14" s="45">
        <f t="shared" si="247"/>
        <v>2</v>
      </c>
      <c r="JL14" s="45">
        <f t="shared" si="248"/>
        <v>0</v>
      </c>
      <c r="JM14" s="46" cm="1">
        <f t="array" ref="JM14">ROUND(IFERROR(INDEX(ArchiveResults!$F$5:$IX$116,ComparisonData!A14,ComparisonData!$JM$1),0),5)</f>
        <v>0</v>
      </c>
      <c r="JN14" s="46" cm="1">
        <f t="array" ref="JN14">ROUND(IFERROR(INDEX(ArchiveResults!$F$5:$IX$116,ComparisonData!A14,ComparisonData!$JN$1),0),5)</f>
        <v>0</v>
      </c>
      <c r="JO14" s="46" cm="1">
        <f t="array" ref="JO14">ROUND(IFERROR(INDEX(ArchiveResults!$F$5:$IX$116,ComparisonData!A14,ComparisonData!$JO$1),0),5)</f>
        <v>0</v>
      </c>
      <c r="JP14" s="46" cm="1">
        <f t="array" ref="JP14">ROUND(IFERROR(INDEX(ArchiveResults!$F$5:$IX$116,ComparisonData!A14,ComparisonData!$JP$1),0),5)</f>
        <v>0</v>
      </c>
      <c r="JQ14" s="45" cm="1">
        <f t="array" ref="JQ14">IFERROR(INDEX(ArchiveResults!$F$5:$IX$116,ComparisonData!A14,ComparisonData!$JQ$1),0)</f>
        <v>0</v>
      </c>
      <c r="JR14" s="56">
        <v>9</v>
      </c>
      <c r="JS14" s="53" t="str">
        <f t="shared" si="42"/>
        <v>Buckinghamshire Archives</v>
      </c>
      <c r="JT14" s="59">
        <f t="shared" si="249"/>
        <v>0</v>
      </c>
      <c r="JU14" s="59">
        <f t="shared" si="250"/>
        <v>0</v>
      </c>
      <c r="JV14" s="59">
        <f t="shared" si="251"/>
        <v>0</v>
      </c>
      <c r="JW14" s="59">
        <f t="shared" si="252"/>
        <v>0</v>
      </c>
      <c r="JX14" s="59">
        <f t="shared" si="253"/>
        <v>0</v>
      </c>
      <c r="JY14" s="58">
        <f t="shared" si="254"/>
        <v>0</v>
      </c>
      <c r="JZ14" s="45">
        <f t="shared" si="255"/>
        <v>47</v>
      </c>
      <c r="KA14" s="45">
        <f t="shared" si="43"/>
        <v>2.6689999999999996</v>
      </c>
      <c r="KB14" s="45">
        <f t="shared" si="256"/>
        <v>1</v>
      </c>
      <c r="KC14" s="45">
        <f t="shared" si="257"/>
        <v>2</v>
      </c>
      <c r="KD14" s="45">
        <f t="shared" si="258"/>
        <v>0</v>
      </c>
      <c r="KE14" s="46" cm="1">
        <f t="array" ref="KE14">ROUND(IFERROR(INDEX(ArchiveResults!$F$5:$IX$116,ComparisonData!A14,ComparisonData!$KE$1),0),5)</f>
        <v>0</v>
      </c>
      <c r="KF14" s="46" cm="1">
        <f t="array" ref="KF14">ROUND(IFERROR(INDEX(ArchiveResults!$F$5:$IX$116,ComparisonData!A14,ComparisonData!$KF$1),0),5)</f>
        <v>0</v>
      </c>
      <c r="KG14" s="46" cm="1">
        <f t="array" ref="KG14">ROUND(IFERROR(INDEX(ArchiveResults!$F$5:$IX$116,ComparisonData!A14,ComparisonData!$KG$1),0),5)</f>
        <v>0</v>
      </c>
      <c r="KH14" s="46" cm="1">
        <f t="array" ref="KH14">ROUND(IFERROR(INDEX(ArchiveResults!$F$5:$IX$116,ComparisonData!A14,ComparisonData!$KH$1),0),5)</f>
        <v>0</v>
      </c>
      <c r="KI14" s="45" cm="1">
        <f t="array" ref="KI14">IFERROR(INDEX(ArchiveResults!$F$5:$IX$116,ComparisonData!A14,ComparisonData!$KI$1),0)</f>
        <v>0</v>
      </c>
      <c r="KJ14" s="56">
        <v>9</v>
      </c>
      <c r="KK14" s="53" t="str">
        <f t="shared" si="44"/>
        <v>Buckinghamshire Archives</v>
      </c>
      <c r="KL14" s="59">
        <f t="shared" si="259"/>
        <v>0</v>
      </c>
      <c r="KM14" s="59">
        <f t="shared" si="260"/>
        <v>0</v>
      </c>
      <c r="KN14" s="59">
        <f t="shared" si="261"/>
        <v>0</v>
      </c>
      <c r="KO14" s="59">
        <f t="shared" si="262"/>
        <v>0</v>
      </c>
      <c r="KP14" s="59">
        <f t="shared" si="263"/>
        <v>0</v>
      </c>
      <c r="KQ14" s="58">
        <f t="shared" si="264"/>
        <v>0</v>
      </c>
      <c r="KR14" s="45">
        <f t="shared" si="265"/>
        <v>47</v>
      </c>
      <c r="KS14" s="45">
        <f t="shared" si="45"/>
        <v>2.6689999999999996</v>
      </c>
      <c r="KT14" s="45">
        <f t="shared" si="266"/>
        <v>1</v>
      </c>
      <c r="KU14" s="45">
        <f t="shared" si="267"/>
        <v>2</v>
      </c>
      <c r="KV14" s="45">
        <f t="shared" si="268"/>
        <v>0</v>
      </c>
      <c r="KW14" s="46" cm="1">
        <f t="array" ref="KW14">ROUND(IFERROR(INDEX(ArchiveResults!$F$5:$IX$116,ComparisonData!A14,ComparisonData!$KW$1),0),5)</f>
        <v>0</v>
      </c>
      <c r="KX14" s="46" cm="1">
        <f t="array" ref="KX14">ROUND(IFERROR(INDEX(ArchiveResults!$F$5:$IX$116,ComparisonData!A14,ComparisonData!$KX$1),0),5)</f>
        <v>0</v>
      </c>
      <c r="KY14" s="46" cm="1">
        <f t="array" ref="KY14">ROUND(IFERROR(INDEX(ArchiveResults!$F$5:$IX$116,ComparisonData!A14,ComparisonData!$KY$1),0),5)</f>
        <v>0</v>
      </c>
      <c r="KZ14" s="46" cm="1">
        <f t="array" ref="KZ14">ROUND(IFERROR(INDEX(ArchiveResults!$F$5:$IX$116,ComparisonData!A14,ComparisonData!$KZ$1),0),5)</f>
        <v>0</v>
      </c>
      <c r="LA14" s="45" cm="1">
        <f t="array" ref="LA14">IFERROR(INDEX(ArchiveResults!$F$5:$IX$116,ComparisonData!A14,ComparisonData!$LA$1),0)</f>
        <v>0</v>
      </c>
      <c r="LB14" s="56">
        <v>9</v>
      </c>
      <c r="LC14" s="53" t="str">
        <f t="shared" si="46"/>
        <v>Buckinghamshire Archives</v>
      </c>
      <c r="LD14" s="59">
        <f t="shared" si="269"/>
        <v>0</v>
      </c>
      <c r="LE14" s="59">
        <f t="shared" si="270"/>
        <v>0</v>
      </c>
      <c r="LF14" s="59">
        <f t="shared" si="271"/>
        <v>0</v>
      </c>
      <c r="LG14" s="59">
        <f t="shared" si="272"/>
        <v>0</v>
      </c>
      <c r="LH14" s="59">
        <f t="shared" si="273"/>
        <v>0</v>
      </c>
      <c r="LI14" s="58">
        <f t="shared" si="274"/>
        <v>0</v>
      </c>
      <c r="LJ14" s="45">
        <f t="shared" si="275"/>
        <v>47</v>
      </c>
      <c r="LK14" s="45">
        <f t="shared" si="47"/>
        <v>2.6689999999999996</v>
      </c>
      <c r="LL14" s="45">
        <f t="shared" si="276"/>
        <v>1</v>
      </c>
      <c r="LM14" s="45">
        <f t="shared" si="277"/>
        <v>2</v>
      </c>
      <c r="LN14" s="45">
        <f t="shared" si="278"/>
        <v>0</v>
      </c>
      <c r="LO14" s="46" cm="1">
        <f t="array" ref="LO14">ROUND(IFERROR(INDEX(ArchiveResults!$F$5:$IX$116,ComparisonData!A14,ComparisonData!$LO$1),0),5)</f>
        <v>0</v>
      </c>
      <c r="LP14" s="46" cm="1">
        <f t="array" ref="LP14">ROUND(IFERROR(INDEX(ArchiveResults!$F$5:$IX$116,ComparisonData!A14,ComparisonData!$LP$1),0),5)</f>
        <v>0</v>
      </c>
      <c r="LQ14" s="46" cm="1">
        <f t="array" ref="LQ14">ROUND(IFERROR(INDEX(ArchiveResults!$F$5:$IX$116,ComparisonData!A14,ComparisonData!$LQ$1),0),5)</f>
        <v>0</v>
      </c>
      <c r="LR14" s="46" cm="1">
        <f t="array" ref="LR14">ROUND(IFERROR(INDEX(ArchiveResults!$F$5:$IX$116,ComparisonData!A14,ComparisonData!$LR$1),0),5)</f>
        <v>0</v>
      </c>
      <c r="LS14" s="45" cm="1">
        <f t="array" ref="LS14">IFERROR(INDEX(ArchiveResults!$F$5:$IX$116,ComparisonData!A14,ComparisonData!$LS$1),0)</f>
        <v>0</v>
      </c>
      <c r="LT14" s="56">
        <v>9</v>
      </c>
      <c r="LU14" s="53" t="str">
        <f t="shared" si="48"/>
        <v>Buckinghamshire Archives</v>
      </c>
      <c r="LV14" s="59">
        <f t="shared" si="279"/>
        <v>0</v>
      </c>
      <c r="LW14" s="59">
        <f t="shared" si="280"/>
        <v>0</v>
      </c>
      <c r="LX14" s="59">
        <f t="shared" si="281"/>
        <v>0</v>
      </c>
      <c r="LY14" s="59">
        <f t="shared" si="282"/>
        <v>0</v>
      </c>
      <c r="LZ14" s="59">
        <f t="shared" si="283"/>
        <v>0</v>
      </c>
      <c r="MA14" s="58">
        <f t="shared" si="284"/>
        <v>0</v>
      </c>
      <c r="MB14" s="45">
        <f t="shared" si="285"/>
        <v>47</v>
      </c>
      <c r="MC14" s="45">
        <f t="shared" si="49"/>
        <v>2.6689999999999996</v>
      </c>
      <c r="MD14" s="45">
        <f t="shared" si="286"/>
        <v>1</v>
      </c>
      <c r="ME14" s="45">
        <f t="shared" si="287"/>
        <v>2</v>
      </c>
      <c r="MF14" s="45">
        <f t="shared" si="288"/>
        <v>0</v>
      </c>
      <c r="MG14" s="46" cm="1">
        <f t="array" ref="MG14">ROUND(IFERROR(INDEX(ArchiveResults!$F$5:$IX$116,ComparisonData!A14,ComparisonData!$MG$1),0),5)</f>
        <v>0</v>
      </c>
      <c r="MH14" s="46" cm="1">
        <f t="array" ref="MH14">ROUND(IFERROR(INDEX(ArchiveResults!$F$5:$IX$116,ComparisonData!A14,ComparisonData!$MH$1),0),5)</f>
        <v>0</v>
      </c>
      <c r="MI14" s="46" cm="1">
        <f t="array" ref="MI14">ROUND(IFERROR(INDEX(ArchiveResults!$F$5:$IX$116,ComparisonData!A14,ComparisonData!$MI$1),0),5)</f>
        <v>0</v>
      </c>
      <c r="MJ14" s="46" cm="1">
        <f t="array" ref="MJ14">ROUND(IFERROR(INDEX(ArchiveResults!$F$5:$IX$116,ComparisonData!A14,ComparisonData!$MJ$1),0),5)</f>
        <v>0</v>
      </c>
      <c r="MK14" s="45" cm="1">
        <f t="array" ref="MK14">IFERROR(INDEX(ArchiveResults!$F$5:$IX$116,ComparisonData!A14,ComparisonData!$MK$1),0)</f>
        <v>0</v>
      </c>
      <c r="ML14" s="56">
        <v>9</v>
      </c>
      <c r="MM14" s="53" t="str">
        <f t="shared" si="50"/>
        <v>Buckinghamshire Archives</v>
      </c>
      <c r="MN14" s="59">
        <f t="shared" si="289"/>
        <v>0</v>
      </c>
      <c r="MO14" s="59">
        <f t="shared" si="290"/>
        <v>0</v>
      </c>
      <c r="MP14" s="59">
        <f t="shared" si="291"/>
        <v>0</v>
      </c>
      <c r="MQ14" s="59">
        <f t="shared" si="292"/>
        <v>0</v>
      </c>
      <c r="MR14" s="59">
        <f t="shared" si="293"/>
        <v>0</v>
      </c>
      <c r="MS14" s="58">
        <f t="shared" si="294"/>
        <v>0</v>
      </c>
      <c r="MT14" s="45">
        <f t="shared" si="295"/>
        <v>47</v>
      </c>
      <c r="MU14" s="45">
        <f t="shared" si="51"/>
        <v>2.6689999999999996</v>
      </c>
      <c r="MV14" s="45">
        <f t="shared" si="296"/>
        <v>1</v>
      </c>
      <c r="MW14" s="45">
        <f t="shared" si="297"/>
        <v>2</v>
      </c>
      <c r="MX14" s="45">
        <f t="shared" si="298"/>
        <v>0</v>
      </c>
      <c r="MY14" s="46" cm="1">
        <f t="array" ref="MY14">ROUND(IFERROR(INDEX(ArchiveResults!$F$5:$IX$116,ComparisonData!A14,ComparisonData!$MY$1),0),5)</f>
        <v>0</v>
      </c>
      <c r="MZ14" s="46" cm="1">
        <f t="array" ref="MZ14">ROUND(IFERROR(INDEX(ArchiveResults!$F$5:$IX$116,ComparisonData!A14,ComparisonData!$MZ$1),0),5)</f>
        <v>0</v>
      </c>
      <c r="NA14" s="46" cm="1">
        <f t="array" ref="NA14">ROUND(IFERROR(INDEX(ArchiveResults!$F$5:$IX$116,ComparisonData!A14,ComparisonData!$NA$1),0),5)</f>
        <v>0</v>
      </c>
      <c r="NB14" s="46" cm="1">
        <f t="array" ref="NB14">ROUND(IFERROR(INDEX(ArchiveResults!$F$5:$IX$116,ComparisonData!A14,ComparisonData!$NB$1),0),5)</f>
        <v>0</v>
      </c>
      <c r="NC14" s="45" cm="1">
        <f t="array" ref="NC14">IFERROR(INDEX(ArchiveResults!$F$5:$IX$116,ComparisonData!A14,ComparisonData!$NC$1),0)</f>
        <v>0</v>
      </c>
      <c r="ND14" s="56">
        <v>9</v>
      </c>
      <c r="NE14" s="53" t="str">
        <f t="shared" si="52"/>
        <v>Buckinghamshire Archives</v>
      </c>
      <c r="NF14" s="59">
        <f t="shared" si="299"/>
        <v>0</v>
      </c>
      <c r="NG14" s="59">
        <f t="shared" si="300"/>
        <v>0</v>
      </c>
      <c r="NH14" s="59">
        <f t="shared" si="301"/>
        <v>0</v>
      </c>
      <c r="NI14" s="59">
        <f t="shared" si="302"/>
        <v>0</v>
      </c>
      <c r="NJ14" s="59">
        <f t="shared" si="303"/>
        <v>0</v>
      </c>
      <c r="NK14" s="58">
        <f t="shared" si="304"/>
        <v>0</v>
      </c>
      <c r="NL14" s="45">
        <f t="shared" si="305"/>
        <v>47</v>
      </c>
      <c r="NM14" s="45">
        <f t="shared" si="53"/>
        <v>2.6689999999999996</v>
      </c>
      <c r="NN14" s="45">
        <f t="shared" si="306"/>
        <v>1</v>
      </c>
      <c r="NO14" s="45">
        <f t="shared" si="307"/>
        <v>2</v>
      </c>
      <c r="NP14" s="46" cm="1">
        <f t="array" ref="NP14">ROUND(IFERROR(INDEX(ArchiveResults!$F$5:$IX$116,ComparisonData!A14,ComparisonData!$NP$1),0),5)</f>
        <v>0</v>
      </c>
      <c r="NQ14" s="46" cm="1">
        <f t="array" ref="NQ14">ROUND(IFERROR(INDEX(ArchiveResults!$F$5:$IX$116,ComparisonData!A14,ComparisonData!$NQ$1),0),5)</f>
        <v>0</v>
      </c>
      <c r="NR14" s="46" cm="1">
        <f t="array" ref="NR14">ROUND(IFERROR(INDEX(ArchiveResults!$F$5:$IX$116,ComparisonData!A14,ComparisonData!$NR$1),0),5)</f>
        <v>0</v>
      </c>
      <c r="NS14" s="46" cm="1">
        <f t="array" ref="NS14">ROUND(IFERROR(INDEX(ArchiveResults!$F$5:$IX$116,ComparisonData!A14,ComparisonData!$NS$1),0),5)</f>
        <v>0</v>
      </c>
      <c r="NT14" s="45" cm="1">
        <f t="array" ref="NT14">IFERROR(INDEX(ArchiveResults!$F$5:$IX$116,ComparisonData!A14,ComparisonData!$NT$1),0)</f>
        <v>0</v>
      </c>
      <c r="NU14" s="56">
        <v>9</v>
      </c>
      <c r="NV14" s="53" t="str">
        <f t="shared" si="54"/>
        <v>Buckinghamshire Archives</v>
      </c>
      <c r="NW14" s="59">
        <f t="shared" si="308"/>
        <v>0</v>
      </c>
      <c r="NX14" s="59">
        <f t="shared" si="309"/>
        <v>0</v>
      </c>
      <c r="NY14" s="59">
        <f t="shared" si="310"/>
        <v>0</v>
      </c>
      <c r="NZ14" s="59">
        <f t="shared" si="311"/>
        <v>0</v>
      </c>
      <c r="OA14" s="59">
        <f t="shared" si="312"/>
        <v>0</v>
      </c>
      <c r="OB14" s="58">
        <f t="shared" si="313"/>
        <v>0</v>
      </c>
      <c r="OC14" s="45">
        <f t="shared" si="314"/>
        <v>47</v>
      </c>
      <c r="OD14" s="45">
        <f t="shared" si="55"/>
        <v>2.6689999999999996</v>
      </c>
      <c r="OE14" s="45">
        <f t="shared" si="315"/>
        <v>1</v>
      </c>
      <c r="OF14" s="45">
        <f t="shared" si="316"/>
        <v>2</v>
      </c>
      <c r="OG14" s="46">
        <f t="shared" si="317"/>
        <v>0</v>
      </c>
      <c r="OH14" s="46" cm="1">
        <f t="array" ref="OH14">ROUND(IFERROR(INDEX(ArchiveResults!$F$5:$IX$116,ComparisonData!A14,ComparisonData!$OH$1),0),5)</f>
        <v>0</v>
      </c>
      <c r="OI14" s="46" cm="1">
        <f t="array" ref="OI14">ROUND(IFERROR(INDEX(ArchiveResults!$F$5:$IX$116,ComparisonData!A14,ComparisonData!$OI$1),0),5)</f>
        <v>0</v>
      </c>
      <c r="OJ14" s="46" cm="1">
        <f t="array" ref="OJ14">ROUND(IFERROR(INDEX(ArchiveResults!$F$5:$IX$116,ComparisonData!A14,ComparisonData!$OJ$1),0),5)</f>
        <v>0</v>
      </c>
      <c r="OK14" s="46" cm="1">
        <f t="array" ref="OK14">ROUND(IFERROR(INDEX(ArchiveResults!$F$5:$IX$116,ComparisonData!A14,ComparisonData!$OK$1),0),5)</f>
        <v>0</v>
      </c>
      <c r="OL14" s="45" cm="1">
        <f t="array" ref="OL14">IFERROR(INDEX(ArchiveResults!$F$5:$IX$116,ComparisonData!A14,ComparisonData!$OL$1),0)</f>
        <v>0</v>
      </c>
      <c r="OM14" s="56">
        <v>9</v>
      </c>
      <c r="ON14" s="53" t="str">
        <f t="shared" si="56"/>
        <v>Buckinghamshire Archives</v>
      </c>
      <c r="OO14" s="59">
        <f t="shared" si="318"/>
        <v>0</v>
      </c>
      <c r="OP14" s="59">
        <f t="shared" si="319"/>
        <v>0</v>
      </c>
      <c r="OQ14" s="59">
        <f t="shared" si="320"/>
        <v>0</v>
      </c>
      <c r="OR14" s="59">
        <f t="shared" si="321"/>
        <v>0</v>
      </c>
      <c r="OS14" s="59">
        <f t="shared" si="322"/>
        <v>0</v>
      </c>
      <c r="OT14" s="58">
        <f t="shared" si="323"/>
        <v>0</v>
      </c>
      <c r="OU14" s="45">
        <f t="shared" si="324"/>
        <v>47</v>
      </c>
      <c r="OV14" s="45">
        <f t="shared" si="57"/>
        <v>2.6689999999999996</v>
      </c>
      <c r="OW14" s="45">
        <f t="shared" si="325"/>
        <v>1</v>
      </c>
      <c r="OX14" s="45">
        <f t="shared" si="326"/>
        <v>2</v>
      </c>
      <c r="OY14" s="45">
        <f t="shared" si="327"/>
        <v>0</v>
      </c>
      <c r="OZ14" s="46" cm="1">
        <f t="array" ref="OZ14">ROUND(IFERROR(INDEX(ArchiveResults!$F$5:$IX$116,ComparisonData!A14,ComparisonData!$OZ$1),0),5)</f>
        <v>0</v>
      </c>
      <c r="PA14" s="46" cm="1">
        <f t="array" ref="PA14">ROUND(IFERROR(INDEX(ArchiveResults!$F$5:$IX$116,ComparisonData!A14,ComparisonData!$PA$1),0),5)</f>
        <v>0</v>
      </c>
      <c r="PB14" s="46" cm="1">
        <f t="array" ref="PB14">ROUND(IFERROR(INDEX(ArchiveResults!$F$5:$IX$116,ComparisonData!A14,ComparisonData!$PB$1),0),5)</f>
        <v>0</v>
      </c>
      <c r="PC14" s="46" cm="1">
        <f t="array" ref="PC14">ROUND(IFERROR(INDEX(ArchiveResults!$F$5:$IX$116,ComparisonData!A14,ComparisonData!$PC$1),0),5)</f>
        <v>0</v>
      </c>
      <c r="PD14" s="45" cm="1">
        <f t="array" ref="PD14">IFERROR(INDEX(ArchiveResults!$F$5:$IX$116,ComparisonData!A14,ComparisonData!$PD$1),0)</f>
        <v>0</v>
      </c>
      <c r="PE14" s="56">
        <v>9</v>
      </c>
      <c r="PF14" s="53" t="str">
        <f t="shared" si="58"/>
        <v>Buckinghamshire Archives</v>
      </c>
      <c r="PG14" s="59">
        <f t="shared" si="328"/>
        <v>0</v>
      </c>
      <c r="PH14" s="59">
        <f t="shared" si="329"/>
        <v>0</v>
      </c>
      <c r="PI14" s="59">
        <f t="shared" si="330"/>
        <v>0</v>
      </c>
      <c r="PJ14" s="59">
        <f t="shared" si="331"/>
        <v>0</v>
      </c>
      <c r="PK14" s="59">
        <f t="shared" si="332"/>
        <v>0</v>
      </c>
      <c r="PL14" s="58">
        <f t="shared" si="333"/>
        <v>0</v>
      </c>
      <c r="PM14" s="45">
        <f t="shared" si="334"/>
        <v>47</v>
      </c>
      <c r="PN14" s="45">
        <f t="shared" si="59"/>
        <v>2.6689999999999996</v>
      </c>
      <c r="PO14" s="45">
        <f t="shared" si="335"/>
        <v>1</v>
      </c>
      <c r="PP14" s="45">
        <f t="shared" si="336"/>
        <v>2</v>
      </c>
      <c r="PQ14" s="45">
        <f t="shared" si="337"/>
        <v>0</v>
      </c>
      <c r="PR14" s="46" cm="1">
        <f t="array" ref="PR14">ROUND(IFERROR(INDEX(ArchiveResults!$F$5:$IX$116,ComparisonData!A14,ComparisonData!$PR$1),0),5)</f>
        <v>0</v>
      </c>
      <c r="PS14" s="46" cm="1">
        <f t="array" ref="PS14">ROUND(IFERROR(INDEX(ArchiveResults!$F$5:$IX$116,ComparisonData!A14,ComparisonData!$PS$1),0),5)</f>
        <v>0</v>
      </c>
      <c r="PT14" s="46" cm="1">
        <f t="array" ref="PT14">ROUND(IFERROR(INDEX(ArchiveResults!$F$5:$IX$116,ComparisonData!A14,ComparisonData!$PT$1),0),5)</f>
        <v>0</v>
      </c>
      <c r="PU14" s="46" cm="1">
        <f t="array" ref="PU14">ROUND(IFERROR(INDEX(ArchiveResults!$F$5:$IX$116,ComparisonData!A14,ComparisonData!$PU$1),0),5)</f>
        <v>0</v>
      </c>
      <c r="PV14" s="45" cm="1">
        <f t="array" ref="PV14">IFERROR(INDEX(ArchiveResults!$F$5:$IX$116,ComparisonData!A14,ComparisonData!$PV$1),0)</f>
        <v>0</v>
      </c>
      <c r="PW14" s="56">
        <v>9</v>
      </c>
      <c r="PX14" s="53" t="str">
        <f t="shared" si="60"/>
        <v>Buckinghamshire Archives</v>
      </c>
      <c r="PY14" s="59">
        <f t="shared" si="338"/>
        <v>0</v>
      </c>
      <c r="PZ14" s="59">
        <f t="shared" si="339"/>
        <v>0</v>
      </c>
      <c r="QA14" s="59">
        <f t="shared" si="340"/>
        <v>0</v>
      </c>
      <c r="QB14" s="59">
        <f t="shared" si="341"/>
        <v>0</v>
      </c>
      <c r="QC14" s="59">
        <f t="shared" si="342"/>
        <v>0</v>
      </c>
      <c r="QD14" s="58">
        <f t="shared" si="343"/>
        <v>0</v>
      </c>
      <c r="QE14" s="45">
        <f t="shared" si="344"/>
        <v>47</v>
      </c>
      <c r="QF14" s="45">
        <f t="shared" si="61"/>
        <v>2.6689999999999996</v>
      </c>
      <c r="QG14" s="45">
        <f t="shared" si="345"/>
        <v>1</v>
      </c>
      <c r="QH14" s="45">
        <f t="shared" si="346"/>
        <v>2</v>
      </c>
      <c r="QI14" s="45">
        <f t="shared" si="347"/>
        <v>0</v>
      </c>
      <c r="QJ14" s="46" cm="1">
        <f t="array" ref="QJ14">ROUND(IFERROR(INDEX(ArchiveResults!$F$5:$IX$116,ComparisonData!A14,ComparisonData!$QJ$1),0),5)</f>
        <v>0</v>
      </c>
      <c r="QK14" s="46" cm="1">
        <f t="array" ref="QK14">ROUND(IFERROR(INDEX(ArchiveResults!$F$5:$IX$116,ComparisonData!A14,ComparisonData!$QK$1),0),5)</f>
        <v>0</v>
      </c>
      <c r="QL14" s="46" cm="1">
        <f t="array" ref="QL14">ROUND(IFERROR(INDEX(ArchiveResults!$F$5:$IX$116,ComparisonData!A14,ComparisonData!$QL$1),0),5)</f>
        <v>0</v>
      </c>
      <c r="QM14" s="46" cm="1">
        <f t="array" ref="QM14">ROUND(IFERROR(INDEX(ArchiveResults!$F$5:$IX$116,ComparisonData!A14,ComparisonData!$QM$1),0),5)</f>
        <v>0</v>
      </c>
      <c r="QN14" s="45" cm="1">
        <f t="array" ref="QN14">IFERROR(INDEX(ArchiveResults!$F$5:$IX$116,ComparisonData!A14,ComparisonData!$QN$1),0)</f>
        <v>0</v>
      </c>
      <c r="QO14" s="56">
        <v>9</v>
      </c>
      <c r="QP14" s="53" t="str">
        <f t="shared" si="62"/>
        <v>Buckinghamshire Archives</v>
      </c>
      <c r="QQ14" s="59">
        <f t="shared" si="348"/>
        <v>0</v>
      </c>
      <c r="QR14" s="59">
        <f t="shared" si="349"/>
        <v>0</v>
      </c>
      <c r="QS14" s="59">
        <f t="shared" si="350"/>
        <v>0</v>
      </c>
      <c r="QT14" s="59">
        <f t="shared" si="351"/>
        <v>0</v>
      </c>
      <c r="QU14" s="59">
        <f t="shared" si="352"/>
        <v>0</v>
      </c>
      <c r="QV14" s="58">
        <f t="shared" si="353"/>
        <v>0</v>
      </c>
      <c r="QW14" s="45">
        <f t="shared" si="354"/>
        <v>47</v>
      </c>
      <c r="QX14" s="45">
        <f t="shared" si="63"/>
        <v>2.6689999999999996</v>
      </c>
      <c r="QY14" s="45">
        <f t="shared" si="355"/>
        <v>1</v>
      </c>
      <c r="QZ14" s="45">
        <f t="shared" si="356"/>
        <v>2</v>
      </c>
      <c r="RA14" s="45">
        <f t="shared" si="357"/>
        <v>0</v>
      </c>
      <c r="RB14" s="46" cm="1">
        <f t="array" ref="RB14">ROUND(IFERROR(INDEX(ArchiveResults!$F$5:$IX$116,ComparisonData!A14,ComparisonData!$RB$1),0),5)</f>
        <v>0</v>
      </c>
      <c r="RC14" s="46" cm="1">
        <f t="array" ref="RC14">ROUND(IFERROR(INDEX(ArchiveResults!$F$5:$IX$116,ComparisonData!A14,ComparisonData!$RC$1),0),5)</f>
        <v>0</v>
      </c>
      <c r="RD14" s="46" cm="1">
        <f t="array" ref="RD14">ROUND(IFERROR(INDEX(ArchiveResults!$F$5:$IX$116,ComparisonData!A14,ComparisonData!$RD$1),0),5)</f>
        <v>0</v>
      </c>
      <c r="RE14" s="46" cm="1">
        <f t="array" ref="RE14">ROUND(IFERROR(INDEX(ArchiveResults!$F$5:$IX$116,ComparisonData!A14,ComparisonData!$RE$1),0),5)</f>
        <v>0</v>
      </c>
      <c r="RF14" s="45" cm="1">
        <f t="array" ref="RF14">IFERROR(INDEX(ArchiveResults!$F$5:$IX$116,ComparisonData!A14,ComparisonData!$RF$1),0)</f>
        <v>0</v>
      </c>
      <c r="RG14" s="56">
        <v>9</v>
      </c>
      <c r="RH14" s="53" t="str">
        <f t="shared" si="64"/>
        <v>Buckinghamshire Archives</v>
      </c>
      <c r="RI14" s="59">
        <f t="shared" si="358"/>
        <v>0</v>
      </c>
      <c r="RJ14" s="59">
        <f t="shared" si="359"/>
        <v>0</v>
      </c>
      <c r="RK14" s="59">
        <f t="shared" si="360"/>
        <v>0</v>
      </c>
      <c r="RL14" s="59">
        <f t="shared" si="361"/>
        <v>0</v>
      </c>
      <c r="RM14" s="59">
        <f t="shared" si="362"/>
        <v>0</v>
      </c>
      <c r="RN14" s="58">
        <f t="shared" si="363"/>
        <v>0</v>
      </c>
      <c r="RO14" s="45">
        <f t="shared" si="364"/>
        <v>47</v>
      </c>
      <c r="RP14" s="45">
        <f t="shared" si="65"/>
        <v>2.6689999999999996</v>
      </c>
      <c r="RQ14" s="45">
        <f t="shared" si="365"/>
        <v>1</v>
      </c>
      <c r="RR14" s="45">
        <f t="shared" si="366"/>
        <v>2</v>
      </c>
      <c r="RS14" s="45">
        <f t="shared" si="367"/>
        <v>0</v>
      </c>
      <c r="RT14" s="46" cm="1">
        <f t="array" ref="RT14">ROUND(IFERROR(INDEX(ArchiveResults!$F$5:$IX$116,ComparisonData!A14,ComparisonData!$RT$1),0),5)</f>
        <v>0</v>
      </c>
      <c r="RU14" s="46" cm="1">
        <f t="array" ref="RU14">ROUND(IFERROR(INDEX(ArchiveResults!$F$5:$IX$116,ComparisonData!A14,ComparisonData!$RU$1),0),5)</f>
        <v>0</v>
      </c>
      <c r="RV14" s="46" cm="1">
        <f t="array" ref="RV14">ROUND(IFERROR(INDEX(ArchiveResults!$F$5:$IX$116,ComparisonData!A14,ComparisonData!$RV$1),0),5)</f>
        <v>0</v>
      </c>
      <c r="RW14" s="46" cm="1">
        <f t="array" ref="RW14">ROUND(IFERROR(INDEX(ArchiveResults!$F$5:$IX$116,ComparisonData!A14,ComparisonData!$RW$1),0),5)</f>
        <v>0</v>
      </c>
      <c r="RX14" s="45" cm="1">
        <f t="array" ref="RX14">IFERROR(INDEX(ArchiveResults!$F$5:$IX$116,ComparisonData!A14,ComparisonData!$RX$1),0)</f>
        <v>0</v>
      </c>
      <c r="RY14" s="56">
        <v>9</v>
      </c>
      <c r="RZ14" s="53" t="str">
        <f t="shared" si="66"/>
        <v>Buckinghamshire Archives</v>
      </c>
      <c r="SA14" s="59">
        <f t="shared" si="368"/>
        <v>0</v>
      </c>
      <c r="SB14" s="59">
        <f t="shared" si="369"/>
        <v>0</v>
      </c>
      <c r="SC14" s="59">
        <f t="shared" si="370"/>
        <v>0</v>
      </c>
      <c r="SD14" s="59">
        <f t="shared" si="371"/>
        <v>0</v>
      </c>
      <c r="SE14" s="59">
        <f t="shared" si="372"/>
        <v>0</v>
      </c>
      <c r="SF14" s="58">
        <f t="shared" si="373"/>
        <v>0</v>
      </c>
      <c r="SG14" s="45">
        <f t="shared" si="374"/>
        <v>47</v>
      </c>
      <c r="SH14" s="45">
        <f t="shared" si="67"/>
        <v>2.6689999999999996</v>
      </c>
      <c r="SI14" s="45">
        <f t="shared" si="375"/>
        <v>1</v>
      </c>
      <c r="SJ14" s="45">
        <f t="shared" si="376"/>
        <v>2</v>
      </c>
      <c r="SK14" s="45">
        <f t="shared" si="377"/>
        <v>0</v>
      </c>
      <c r="SL14" s="46" cm="1">
        <f t="array" ref="SL14">ROUND(IFERROR(INDEX(ArchiveResults!$F$5:$IX$116,ComparisonData!A14,ComparisonData!$SL$1),0),5)</f>
        <v>0</v>
      </c>
      <c r="SM14" s="46" cm="1">
        <f t="array" ref="SM14">ROUND(IFERROR(INDEX(ArchiveResults!$F$5:$IX$116,ComparisonData!A14,ComparisonData!$SM$1),0),5)</f>
        <v>0</v>
      </c>
      <c r="SN14" s="46" cm="1">
        <f t="array" ref="SN14">ROUND(IFERROR(INDEX(ArchiveResults!$F$5:$IX$116,ComparisonData!A14,ComparisonData!$SN$1),0),5)</f>
        <v>0</v>
      </c>
      <c r="SO14" s="46" cm="1">
        <f t="array" ref="SO14">ROUND(IFERROR(INDEX(ArchiveResults!$F$5:$IX$116,ComparisonData!A14,ComparisonData!$SO$1),0),5)</f>
        <v>0</v>
      </c>
      <c r="SP14" s="45" cm="1">
        <f t="array" ref="SP14">IFERROR(INDEX(ArchiveResults!$F$5:$IX$116,ComparisonData!A14,ComparisonData!$SP$1),0)</f>
        <v>0</v>
      </c>
      <c r="SQ14" s="56">
        <v>9</v>
      </c>
      <c r="SR14" s="53" t="str">
        <f t="shared" si="68"/>
        <v>Buckinghamshire Archives</v>
      </c>
      <c r="SS14" s="59">
        <f t="shared" si="378"/>
        <v>0</v>
      </c>
      <c r="ST14" s="59">
        <f t="shared" si="379"/>
        <v>0</v>
      </c>
      <c r="SU14" s="59">
        <f t="shared" si="380"/>
        <v>0</v>
      </c>
      <c r="SV14" s="59">
        <f t="shared" si="381"/>
        <v>0</v>
      </c>
      <c r="SW14" s="59">
        <f t="shared" si="382"/>
        <v>0</v>
      </c>
      <c r="SX14" s="58">
        <f t="shared" si="383"/>
        <v>0</v>
      </c>
      <c r="SY14" s="45">
        <f t="shared" si="384"/>
        <v>47</v>
      </c>
      <c r="SZ14" s="45">
        <f t="shared" si="69"/>
        <v>2.6689999999999996</v>
      </c>
      <c r="TA14" s="45">
        <f t="shared" si="385"/>
        <v>1</v>
      </c>
      <c r="TB14" s="45">
        <f t="shared" si="386"/>
        <v>2</v>
      </c>
      <c r="TC14" s="45">
        <f t="shared" si="387"/>
        <v>0</v>
      </c>
      <c r="TD14" s="46" cm="1">
        <f t="array" ref="TD14">ROUND(IFERROR(INDEX(ArchiveResults!$F$5:$IX$116,ComparisonData!A14,ComparisonData!$TD$1),0),5)</f>
        <v>0</v>
      </c>
      <c r="TE14" s="46" cm="1">
        <f t="array" ref="TE14">ROUND(IFERROR(INDEX(ArchiveResults!$F$5:$IX$116,ComparisonData!A14,ComparisonData!$TE$1),0),5)</f>
        <v>0</v>
      </c>
      <c r="TF14" s="46" cm="1">
        <f t="array" ref="TF14">ROUND(IFERROR(INDEX(ArchiveResults!$F$5:$IX$116,ComparisonData!A14,ComparisonData!$TF$1),0),5)</f>
        <v>0</v>
      </c>
      <c r="TG14" s="46" cm="1">
        <f t="array" ref="TG14">ROUND(IFERROR(INDEX(ArchiveResults!$F$5:$IX$116,ComparisonData!A14,ComparisonData!$TG$1),0),5)</f>
        <v>0</v>
      </c>
      <c r="TH14" s="45" cm="1">
        <f t="array" ref="TH14">IFERROR(INDEX(ArchiveResults!$F$5:$IX$116,ComparisonData!A14,ComparisonData!$TH$1),0)</f>
        <v>0</v>
      </c>
      <c r="TI14" s="56">
        <v>9</v>
      </c>
      <c r="TJ14" s="53" t="str">
        <f t="shared" si="70"/>
        <v>Buckinghamshire Archives</v>
      </c>
      <c r="TK14" s="59">
        <f t="shared" si="388"/>
        <v>0</v>
      </c>
      <c r="TL14" s="59">
        <f t="shared" si="389"/>
        <v>0</v>
      </c>
      <c r="TM14" s="59">
        <f t="shared" si="390"/>
        <v>0</v>
      </c>
      <c r="TN14" s="59">
        <f t="shared" si="391"/>
        <v>0</v>
      </c>
      <c r="TO14" s="59">
        <f t="shared" si="392"/>
        <v>0</v>
      </c>
      <c r="TP14" s="58">
        <f t="shared" si="393"/>
        <v>0</v>
      </c>
      <c r="TQ14" s="45">
        <f t="shared" si="394"/>
        <v>47</v>
      </c>
      <c r="TR14" s="45">
        <f t="shared" si="71"/>
        <v>2.6689999999999996</v>
      </c>
      <c r="TS14" s="45">
        <f t="shared" si="395"/>
        <v>1</v>
      </c>
      <c r="TT14" s="45">
        <f t="shared" si="396"/>
        <v>2</v>
      </c>
      <c r="TU14" s="45">
        <f t="shared" si="397"/>
        <v>0</v>
      </c>
      <c r="TV14" s="46" cm="1">
        <f t="array" ref="TV14">ROUND(IFERROR(INDEX(ArchiveResults!$F$5:$IX$116,ComparisonData!A14,ComparisonData!$TV$1),0),5)</f>
        <v>0</v>
      </c>
      <c r="TW14" s="46" cm="1">
        <f t="array" ref="TW14">ROUND(IFERROR(INDEX(ArchiveResults!$F$5:$IX$116,ComparisonData!A14,ComparisonData!$TW$1),0),5)</f>
        <v>0</v>
      </c>
      <c r="TX14" s="46" cm="1">
        <f t="array" ref="TX14">ROUND(IFERROR(INDEX(ArchiveResults!$F$5:$IX$116,ComparisonData!A14,ComparisonData!$TX$1),0),5)</f>
        <v>0</v>
      </c>
      <c r="TY14" s="46" cm="1">
        <f t="array" ref="TY14">ROUND(IFERROR(INDEX(ArchiveResults!$F$5:$IX$116,ComparisonData!A14,ComparisonData!$TY$1),0),5)</f>
        <v>0</v>
      </c>
      <c r="TZ14" s="45" cm="1">
        <f t="array" ref="TZ14">IFERROR(INDEX(ArchiveResults!$F$5:$IX$116,ComparisonData!A14,ComparisonData!$TZ$1),0)</f>
        <v>0</v>
      </c>
      <c r="UA14" s="56">
        <v>9</v>
      </c>
      <c r="UB14" s="53" t="str">
        <f t="shared" si="72"/>
        <v>Buckinghamshire Archives</v>
      </c>
      <c r="UC14" s="60">
        <f t="shared" si="398"/>
        <v>0</v>
      </c>
      <c r="UD14" s="60">
        <f t="shared" si="399"/>
        <v>0</v>
      </c>
      <c r="UE14" s="60">
        <f t="shared" si="400"/>
        <v>0</v>
      </c>
      <c r="UF14" s="60">
        <f t="shared" si="401"/>
        <v>0</v>
      </c>
      <c r="UG14" s="60">
        <f t="shared" si="402"/>
        <v>0</v>
      </c>
      <c r="UH14" s="58">
        <f t="shared" si="403"/>
        <v>0</v>
      </c>
      <c r="UI14" s="46">
        <f t="shared" si="404"/>
        <v>47</v>
      </c>
      <c r="UJ14" s="46">
        <f t="shared" si="73"/>
        <v>2.6689999999999996</v>
      </c>
      <c r="UK14" s="46">
        <f t="shared" si="405"/>
        <v>1</v>
      </c>
      <c r="UL14" s="46">
        <f t="shared" si="406"/>
        <v>2</v>
      </c>
      <c r="UM14" s="46" cm="1">
        <f t="array" ref="UM14">ROUND(IFERROR(INDEX(ArchiveResults!$F$5:$IX$116,ComparisonData!A14,ComparisonData!$UM$1),0),5)</f>
        <v>0</v>
      </c>
      <c r="UN14" s="56">
        <v>9</v>
      </c>
      <c r="UO14" s="53" t="str">
        <f t="shared" si="74"/>
        <v>Buckinghamshire Archives</v>
      </c>
      <c r="UP14" s="46">
        <f t="shared" si="407"/>
        <v>0</v>
      </c>
      <c r="UQ14" s="76">
        <f t="shared" si="408"/>
        <v>0</v>
      </c>
      <c r="UR14" s="46">
        <f t="shared" si="409"/>
        <v>47</v>
      </c>
      <c r="US14" s="46">
        <f t="shared" si="75"/>
        <v>2.6689999999999996</v>
      </c>
      <c r="UT14" s="46">
        <f t="shared" si="410"/>
        <v>1</v>
      </c>
      <c r="UU14" s="46">
        <f t="shared" si="411"/>
        <v>2</v>
      </c>
      <c r="UV14" s="46">
        <f t="shared" si="412"/>
        <v>0</v>
      </c>
      <c r="UW14" s="46" cm="1">
        <f t="array" ref="UW14">ROUND(IFERROR(INDEX(ArchiveResults!$F$5:$IX$116,ComparisonData!A14,ComparisonData!$UW$1),0),5)</f>
        <v>0</v>
      </c>
      <c r="UX14" s="46" cm="1">
        <f t="array" ref="UX14">ROUND(IFERROR(INDEX(ArchiveResults!$F$5:$IX$116,ComparisonData!A14,ComparisonData!$UX$1),0),5)</f>
        <v>0</v>
      </c>
      <c r="UY14" s="46" cm="1">
        <f t="array" ref="UY14">ROUND(IFERROR(INDEX(ArchiveResults!$F$5:$IX$116,ComparisonData!A14,ComparisonData!$UY$1),0),5)</f>
        <v>0</v>
      </c>
      <c r="UZ14" s="46" cm="1">
        <f t="array" ref="UZ14">ROUND(IFERROR(INDEX(ArchiveResults!$F$5:$IX$116,ComparisonData!A14,ComparisonData!$UZ$1),0),5)</f>
        <v>0</v>
      </c>
      <c r="VA14" s="46" cm="1">
        <f t="array" ref="VA14">ROUND(IFERROR(INDEX(ArchiveResults!$F$5:$IX$116,ComparisonData!A14,ComparisonData!$VA$1),0),5)</f>
        <v>0</v>
      </c>
      <c r="VB14" s="56">
        <v>9</v>
      </c>
      <c r="VC14" s="53" t="str">
        <f t="shared" si="76"/>
        <v>Buckinghamshire Archives</v>
      </c>
      <c r="VD14" s="60">
        <f t="shared" si="413"/>
        <v>0</v>
      </c>
      <c r="VE14" s="60">
        <f t="shared" si="414"/>
        <v>0</v>
      </c>
      <c r="VF14" s="60">
        <f t="shared" si="415"/>
        <v>0</v>
      </c>
      <c r="VG14" s="60">
        <f t="shared" si="416"/>
        <v>0</v>
      </c>
      <c r="VH14" s="60">
        <f t="shared" si="417"/>
        <v>0</v>
      </c>
      <c r="VI14" s="76">
        <f t="shared" si="418"/>
        <v>0</v>
      </c>
      <c r="VJ14" s="46">
        <f t="shared" si="419"/>
        <v>47</v>
      </c>
      <c r="VK14" s="46">
        <f t="shared" si="77"/>
        <v>2.6689999999999996</v>
      </c>
      <c r="VL14" s="46">
        <f t="shared" si="420"/>
        <v>1</v>
      </c>
      <c r="VM14" s="46">
        <f t="shared" si="421"/>
        <v>2</v>
      </c>
      <c r="VN14" s="46" cm="1">
        <f t="array" ref="VN14">ROUND(IFERROR(INDEX(ArchiveResults!$F$5:$IX$116,ComparisonData!A14,ComparisonData!$VN$1),0),5)</f>
        <v>0</v>
      </c>
      <c r="VO14" s="46" cm="1">
        <f t="array" ref="VO14">ROUND(IFERROR(INDEX(ArchiveResults!$F$5:$IX$116,ComparisonData!A14,ComparisonData!$VO$1),0),5)</f>
        <v>0</v>
      </c>
      <c r="VP14" s="46" cm="1">
        <f t="array" ref="VP14">ROUND(IFERROR(INDEX(ArchiveResults!$F$5:$IX$116,ComparisonData!A14,ComparisonData!$VP$1),0),5)</f>
        <v>0</v>
      </c>
      <c r="VQ14" s="46" cm="1">
        <f t="array" ref="VQ14">ROUND(IFERROR(INDEX(ArchiveResults!$F$5:$IX$116,ComparisonData!A14,ComparisonData!$VQ$1),0),5)</f>
        <v>0</v>
      </c>
      <c r="VR14" s="56">
        <v>9</v>
      </c>
      <c r="VS14" s="53" t="str">
        <f t="shared" si="78"/>
        <v>Buckinghamshire Archives</v>
      </c>
      <c r="VT14" s="60">
        <f t="shared" si="422"/>
        <v>0</v>
      </c>
      <c r="VU14" s="60">
        <f t="shared" si="423"/>
        <v>0</v>
      </c>
      <c r="VV14" s="60">
        <f t="shared" si="424"/>
        <v>0</v>
      </c>
      <c r="VW14" s="60">
        <f t="shared" si="425"/>
        <v>0</v>
      </c>
      <c r="VX14" s="76">
        <f t="shared" si="426"/>
        <v>0</v>
      </c>
      <c r="VY14" s="46">
        <f t="shared" si="427"/>
        <v>47</v>
      </c>
      <c r="VZ14" s="46">
        <f t="shared" si="79"/>
        <v>2.6689999999999996</v>
      </c>
      <c r="WA14" s="46">
        <f t="shared" si="428"/>
        <v>1</v>
      </c>
      <c r="WB14" s="46">
        <f t="shared" si="429"/>
        <v>2</v>
      </c>
      <c r="WC14" s="46" cm="1">
        <f t="array" ref="WC14">ROUND(IFERROR(INDEX(ArchiveResults!$F$5:$IX$116,ComparisonData!A14,ComparisonData!$WC$1),0),5)</f>
        <v>0</v>
      </c>
      <c r="WD14" s="56">
        <v>9</v>
      </c>
      <c r="WE14" s="53" t="str">
        <f t="shared" si="80"/>
        <v>Buckinghamshire Archives</v>
      </c>
      <c r="WF14" s="46">
        <f t="shared" si="430"/>
        <v>0</v>
      </c>
      <c r="WG14" s="76">
        <f t="shared" si="431"/>
        <v>0</v>
      </c>
      <c r="WH14" s="46">
        <f t="shared" si="432"/>
        <v>47</v>
      </c>
      <c r="WI14" s="46">
        <f t="shared" si="81"/>
        <v>2.6689999999999996</v>
      </c>
      <c r="WJ14" s="46">
        <f t="shared" si="433"/>
        <v>1</v>
      </c>
      <c r="WK14" s="46">
        <f t="shared" si="434"/>
        <v>2</v>
      </c>
      <c r="WL14" s="46" cm="1">
        <f t="array" ref="WL14">ROUND(IFERROR(INDEX(ArchiveResults!$F$5:$IX$116,ComparisonData!A14,ComparisonData!$WL$1),0),5)</f>
        <v>0</v>
      </c>
      <c r="WM14" s="46" cm="1">
        <f t="array" ref="WM14">IFERROR(INDEX(ArchiveResults!$F$5:$IX$116,ComparisonData!A14,ComparisonData!$WM$1),0)</f>
        <v>0</v>
      </c>
      <c r="WN14" s="56">
        <v>9</v>
      </c>
      <c r="WO14" s="53" t="str">
        <f t="shared" si="82"/>
        <v>Buckinghamshire Archives</v>
      </c>
      <c r="WP14" s="60">
        <f t="shared" si="435"/>
        <v>0</v>
      </c>
      <c r="WQ14" s="60">
        <f t="shared" si="436"/>
        <v>0</v>
      </c>
      <c r="WR14" s="76">
        <f t="shared" si="437"/>
        <v>0</v>
      </c>
      <c r="WS14" s="46">
        <f t="shared" si="438"/>
        <v>47</v>
      </c>
      <c r="WT14" s="46">
        <f t="shared" si="83"/>
        <v>2.6689999999999996</v>
      </c>
      <c r="WU14" s="46">
        <f t="shared" si="439"/>
        <v>1</v>
      </c>
      <c r="WV14" s="46">
        <f t="shared" si="440"/>
        <v>2</v>
      </c>
      <c r="WW14" s="46" cm="1">
        <f t="array" ref="WW14">ROUND(VALUE(IFERROR(INDEX(ArchiveResults!$F$5:$IX$116,ComparisonData!A14,ComparisonData!$WW$1),0)),5)</f>
        <v>0</v>
      </c>
      <c r="WX14" s="46" cm="1">
        <f t="array" ref="WX14">ROUND(IFERROR(INDEX(ArchiveResults!$F$5:$IX$116,ComparisonData!A14,ComparisonData!$WX$1),0),5)</f>
        <v>0</v>
      </c>
      <c r="WY14" s="56">
        <v>9</v>
      </c>
      <c r="WZ14" s="53" t="str">
        <f t="shared" si="84"/>
        <v>Buckinghamshire Archives</v>
      </c>
      <c r="XA14" s="60">
        <f t="shared" si="85"/>
        <v>0</v>
      </c>
      <c r="XB14" s="60">
        <f t="shared" si="86"/>
        <v>0</v>
      </c>
      <c r="XC14" s="76">
        <f t="shared" si="441"/>
        <v>0</v>
      </c>
      <c r="XD14" s="46">
        <f t="shared" si="442"/>
        <v>47</v>
      </c>
      <c r="XE14" s="46">
        <f t="shared" si="87"/>
        <v>2.6689999999999996</v>
      </c>
      <c r="XF14" s="46">
        <f t="shared" si="443"/>
        <v>1</v>
      </c>
      <c r="XG14" s="46">
        <f t="shared" si="444"/>
        <v>2</v>
      </c>
      <c r="XH14" s="46" cm="1">
        <f t="array" ref="XH14">ROUND(VALUE(IFERROR(INDEX(ArchiveResults!$F$5:$IX$116,ComparisonData!A14,ComparisonData!$XH$1),0)),5)</f>
        <v>0</v>
      </c>
      <c r="XI14" s="46" cm="1">
        <f t="array" ref="XI14">ROUND(VALUE(IFERROR(INDEX(ArchiveResults!$F$5:$IX$116,ComparisonData!A14,ComparisonData!$XI$1),0)),5)</f>
        <v>0</v>
      </c>
      <c r="XJ14" s="56">
        <v>9</v>
      </c>
      <c r="XK14" s="53" t="str">
        <f t="shared" si="88"/>
        <v>Buckinghamshire Archives</v>
      </c>
      <c r="XL14" s="60">
        <f t="shared" si="445"/>
        <v>0</v>
      </c>
      <c r="XM14" s="60">
        <f t="shared" si="446"/>
        <v>0</v>
      </c>
      <c r="XN14" s="76">
        <f t="shared" si="447"/>
        <v>0</v>
      </c>
      <c r="XO14" s="46">
        <f t="shared" si="448"/>
        <v>47</v>
      </c>
      <c r="XP14" s="46">
        <f t="shared" si="89"/>
        <v>2.6689999999999996</v>
      </c>
      <c r="XQ14" s="46">
        <f t="shared" si="449"/>
        <v>1</v>
      </c>
      <c r="XR14" s="46">
        <f t="shared" si="450"/>
        <v>2</v>
      </c>
      <c r="XS14" s="46" cm="1">
        <f t="array" ref="XS14">ROUND(VALUE(IFERROR(INDEX(ArchiveResults!$F$5:$IX$116,ComparisonData!A14,ComparisonData!$XS$1),0)),5)</f>
        <v>0</v>
      </c>
      <c r="XT14" s="46" cm="1">
        <f t="array" ref="XT14">ROUND(VALUE(IFERROR(INDEX(ArchiveResults!$F$5:$IX$116,ComparisonData!A14,ComparisonData!$XT$1),0)),5)</f>
        <v>0</v>
      </c>
      <c r="XU14" s="56">
        <v>9</v>
      </c>
      <c r="XV14" s="53" t="str">
        <f t="shared" si="90"/>
        <v>Buckinghamshire Archives</v>
      </c>
      <c r="XW14" s="60">
        <f t="shared" si="451"/>
        <v>0</v>
      </c>
      <c r="XX14" s="60">
        <f t="shared" si="452"/>
        <v>0</v>
      </c>
      <c r="XY14" s="76">
        <f t="shared" si="453"/>
        <v>0</v>
      </c>
      <c r="XZ14" s="46">
        <f t="shared" si="454"/>
        <v>47</v>
      </c>
      <c r="YA14" s="46">
        <f t="shared" si="91"/>
        <v>2.6689999999999996</v>
      </c>
      <c r="YB14" s="46">
        <f t="shared" si="455"/>
        <v>1</v>
      </c>
      <c r="YC14" s="46">
        <f t="shared" si="456"/>
        <v>2</v>
      </c>
      <c r="YD14" s="46" cm="1">
        <f t="array" ref="YD14">ROUND(VALUE(IFERROR(INDEX(ArchiveResults!$F$5:$IX$116,ComparisonData!A14,ComparisonData!$YD$1),0)),5)</f>
        <v>0</v>
      </c>
      <c r="YE14" s="46" cm="1">
        <f t="array" ref="YE14">ROUND(VALUE(IFERROR(INDEX(ArchiveResults!$F$5:$IX$116,ComparisonData!A14,ComparisonData!$YE$1),0)),5)</f>
        <v>0</v>
      </c>
      <c r="YF14" s="56">
        <v>9</v>
      </c>
      <c r="YG14" s="53" t="str">
        <f t="shared" si="92"/>
        <v>Buckinghamshire Archives</v>
      </c>
      <c r="YH14" s="60">
        <f t="shared" si="457"/>
        <v>0</v>
      </c>
      <c r="YI14" s="60">
        <f t="shared" si="458"/>
        <v>0</v>
      </c>
      <c r="YJ14" s="76">
        <f t="shared" si="459"/>
        <v>0</v>
      </c>
      <c r="YK14" s="46">
        <f t="shared" si="460"/>
        <v>47</v>
      </c>
      <c r="YL14" s="46">
        <f t="shared" si="93"/>
        <v>2.6689999999999996</v>
      </c>
      <c r="YM14" s="46">
        <f t="shared" si="461"/>
        <v>1</v>
      </c>
      <c r="YN14" s="46">
        <f t="shared" si="462"/>
        <v>2</v>
      </c>
      <c r="YO14" s="46" cm="1">
        <f t="array" ref="YO14">ROUND(VALUE(IFERROR(INDEX(ArchiveResults!$F$5:$IX$116,ComparisonData!A14,ComparisonData!$YO$1),0)),5)</f>
        <v>0</v>
      </c>
      <c r="YP14" s="46" cm="1">
        <f t="array" ref="YP14">ROUND(VALUE(IFERROR(INDEX(ArchiveResults!$F$5:$IX$116,ComparisonData!A14,ComparisonData!$YP$1),0)),5)</f>
        <v>0</v>
      </c>
      <c r="YQ14" s="56">
        <v>9</v>
      </c>
      <c r="YR14" s="53" t="str">
        <f t="shared" si="94"/>
        <v>Buckinghamshire Archives</v>
      </c>
      <c r="YS14" s="60">
        <f t="shared" si="463"/>
        <v>0</v>
      </c>
      <c r="YT14" s="60">
        <f t="shared" si="464"/>
        <v>0</v>
      </c>
      <c r="YU14" s="76">
        <f t="shared" si="465"/>
        <v>0</v>
      </c>
      <c r="YV14" s="46">
        <f t="shared" si="466"/>
        <v>47</v>
      </c>
      <c r="YW14" s="46">
        <f t="shared" si="95"/>
        <v>2.6689999999999996</v>
      </c>
      <c r="YX14" s="46">
        <f t="shared" si="467"/>
        <v>1</v>
      </c>
      <c r="YY14" s="46">
        <f t="shared" si="468"/>
        <v>2</v>
      </c>
      <c r="YZ14" s="46">
        <f t="shared" si="469"/>
        <v>0</v>
      </c>
      <c r="ZA14" s="46" cm="1">
        <f t="array" ref="ZA14">ROUNDDOWN(VALUE(IFERROR(INDEX(ArchiveResults!$F$5:$IX$116,ComparisonData!A14,ComparisonData!$ZA$1),0)),5)</f>
        <v>0</v>
      </c>
      <c r="ZB14" s="46" cm="1">
        <f t="array" ref="ZB14">ROUNDDOWN(VALUE(IFERROR(INDEX(ArchiveResults!$F$5:$IX$116,ComparisonData!A14,ComparisonData!$ZB$1),0)),5)</f>
        <v>0</v>
      </c>
      <c r="ZC14" s="46" cm="1">
        <f t="array" ref="ZC14">ROUNDDOWN(VALUE(IFERROR(INDEX(ArchiveResults!$F$5:$IX$116,ComparisonData!A14,ComparisonData!$ZC$1),0)),5)</f>
        <v>0</v>
      </c>
      <c r="ZD14" s="46" cm="1">
        <f t="array" ref="ZD14">ROUNDDOWN(VALUE(IFERROR(INDEX(ArchiveResults!$F$5:$IX$116,ComparisonData!A14,ComparisonData!$ZD$1),0)),5)</f>
        <v>0</v>
      </c>
      <c r="ZE14" s="46" cm="1">
        <f t="array" ref="ZE14">ROUNDDOWN(VALUE(IFERROR(INDEX(ArchiveResults!$F$5:$IX$116,ComparisonData!A14,ComparisonData!$ZE$1),0)),5)</f>
        <v>0</v>
      </c>
      <c r="ZF14" s="56">
        <v>9</v>
      </c>
      <c r="ZG14" s="53" t="str">
        <f t="shared" si="96"/>
        <v>Buckinghamshire Archives</v>
      </c>
      <c r="ZH14" s="60">
        <f t="shared" si="470"/>
        <v>0</v>
      </c>
      <c r="ZI14" s="60">
        <f t="shared" si="471"/>
        <v>0</v>
      </c>
      <c r="ZJ14" s="60">
        <f t="shared" si="472"/>
        <v>0</v>
      </c>
      <c r="ZK14" s="60">
        <f t="shared" si="473"/>
        <v>0</v>
      </c>
      <c r="ZL14" s="60">
        <f t="shared" si="474"/>
        <v>0</v>
      </c>
      <c r="ZM14" s="76">
        <f t="shared" si="475"/>
        <v>0</v>
      </c>
      <c r="ZN14" s="46">
        <f t="shared" si="476"/>
        <v>47</v>
      </c>
      <c r="ZO14" s="46">
        <f t="shared" si="97"/>
        <v>2.6689999999999996</v>
      </c>
      <c r="ZP14" s="46">
        <f t="shared" si="477"/>
        <v>1</v>
      </c>
      <c r="ZQ14" s="46">
        <f t="shared" si="478"/>
        <v>2</v>
      </c>
      <c r="ZR14" s="46" cm="1">
        <f t="array" ref="ZR14">ROUND(VALUE(IFERROR(INDEX(ArchiveResults!$F$5:$IX$116,ComparisonData!A14,ComparisonData!$ZR$1),0)),5)</f>
        <v>0</v>
      </c>
      <c r="ZS14" s="56">
        <v>9</v>
      </c>
      <c r="ZT14" s="53" t="str">
        <f t="shared" si="98"/>
        <v>Buckinghamshire Archives</v>
      </c>
      <c r="ZU14" s="46">
        <f t="shared" si="479"/>
        <v>0</v>
      </c>
      <c r="ZV14" s="76">
        <f t="shared" si="480"/>
        <v>0</v>
      </c>
      <c r="ZW14" s="81" cm="1">
        <f t="array" ref="ZW14">ROUND((IFERROR(INDEX(ArchiveResults!$F$5:$IX$116,ComparisonData!A14,ComparisonData!$ZW$1),0)),5)</f>
        <v>0</v>
      </c>
      <c r="ZX14" s="81" cm="1">
        <f t="array" ref="ZX14">ROUND((IFERROR(INDEX(ArchiveResults!$F$5:$IX$116,ComparisonData!A14,ComparisonData!$ZX$1),0)),5)</f>
        <v>0</v>
      </c>
      <c r="ZY14" s="81" cm="1">
        <f t="array" ref="ZY14">ROUND((IFERROR(INDEX(ArchiveResults!$F$5:$IX$116,ComparisonData!A14,ComparisonData!$ZY$1),0)),5)</f>
        <v>0</v>
      </c>
      <c r="ZZ14" s="81" cm="1">
        <f t="array" ref="ZZ14">ROUND((IFERROR(INDEX(ArchiveResults!$F$5:$IX$116,ComparisonData!A14,ComparisonData!$ZZ$1),0)),5)</f>
        <v>0</v>
      </c>
      <c r="AAA14" s="81" cm="1">
        <f t="array" ref="AAA14">ROUND((IFERROR(INDEX(ArchiveResults!$F$5:$IX$116,ComparisonData!A14,ComparisonData!$AAA$1),0)),5)</f>
        <v>0</v>
      </c>
      <c r="AAB14" s="81" cm="1">
        <f t="array" ref="AAB14">ROUND((IFERROR(INDEX(ArchiveResults!$F$5:$IX$116,ComparisonData!A14,ComparisonData!$AAB$1),0)),5)</f>
        <v>0</v>
      </c>
      <c r="AAC14" s="81" cm="1">
        <f t="array" ref="AAC14">ROUND((IFERROR(INDEX(ArchiveResults!$F$5:$IX$116,ComparisonData!A14,ComparisonData!$AAC$1),0)),5)</f>
        <v>0</v>
      </c>
      <c r="AAD14" s="81" cm="1">
        <f t="array" ref="AAD14">ROUND((IFERROR(INDEX(ArchiveResults!$F$5:$IX$116,ComparisonData!A14,ComparisonData!$AAD$1),0)),5)</f>
        <v>0</v>
      </c>
      <c r="AAE14" s="81" cm="1">
        <f t="array" ref="AAE14">ROUND((IFERROR(INDEX(ArchiveResults!$F$5:$IX$116,ComparisonData!A14,ComparisonData!$AAE$1),0)),5)</f>
        <v>0</v>
      </c>
      <c r="AAF14" s="81" cm="1">
        <f t="array" ref="AAF14">ROUND((IFERROR(INDEX(ArchiveResults!$F$5:$IX$116,ComparisonData!A14,ComparisonData!$AAF$1),0)),5)</f>
        <v>0</v>
      </c>
      <c r="AAG14" s="46">
        <f t="shared" si="481"/>
        <v>47</v>
      </c>
      <c r="AAH14" s="46">
        <f t="shared" si="99"/>
        <v>2.6689999999999996</v>
      </c>
      <c r="AAI14" s="46">
        <f t="shared" si="482"/>
        <v>1</v>
      </c>
      <c r="AAJ14" s="46">
        <f t="shared" si="483"/>
        <v>2</v>
      </c>
      <c r="AAK14" s="46">
        <f t="shared" si="484"/>
        <v>0</v>
      </c>
      <c r="AAL14" s="46">
        <f t="shared" si="485"/>
        <v>0</v>
      </c>
      <c r="AAM14" s="46">
        <f t="shared" si="486"/>
        <v>0</v>
      </c>
      <c r="AAN14" s="46">
        <f t="shared" si="487"/>
        <v>0</v>
      </c>
      <c r="AAO14" s="46">
        <f t="shared" si="488"/>
        <v>0</v>
      </c>
      <c r="AAP14" s="46">
        <f t="shared" si="489"/>
        <v>0</v>
      </c>
      <c r="AAQ14" s="56">
        <v>9</v>
      </c>
      <c r="AAR14" s="53" t="str">
        <f t="shared" si="100"/>
        <v>Buckinghamshire Archives</v>
      </c>
      <c r="AAS14" s="60">
        <f t="shared" si="490"/>
        <v>0</v>
      </c>
      <c r="AAT14" s="60">
        <f t="shared" si="491"/>
        <v>0</v>
      </c>
      <c r="AAU14" s="60">
        <f t="shared" si="492"/>
        <v>0</v>
      </c>
      <c r="AAV14" s="60">
        <f t="shared" si="493"/>
        <v>0</v>
      </c>
      <c r="AAW14" s="60">
        <f t="shared" si="494"/>
        <v>0</v>
      </c>
      <c r="AAX14" s="76">
        <f t="shared" si="495"/>
        <v>0</v>
      </c>
      <c r="AAY14" s="46">
        <f t="shared" si="496"/>
        <v>47</v>
      </c>
      <c r="AAZ14" s="46">
        <f t="shared" si="101"/>
        <v>2.6689999999999996</v>
      </c>
      <c r="ABA14" s="46">
        <f t="shared" si="497"/>
        <v>1</v>
      </c>
      <c r="ABB14" s="46">
        <f t="shared" si="498"/>
        <v>2</v>
      </c>
      <c r="ABC14" s="46">
        <f t="shared" si="102"/>
        <v>0</v>
      </c>
      <c r="ABD14" s="46" cm="1">
        <f t="array" ref="ABD14">ROUND(VALUE(IFERROR(INDEX(ArchiveResults!$F$5:$IX$116,ComparisonData!A14,ComparisonData!$ABD$1),0)),5)</f>
        <v>0</v>
      </c>
      <c r="ABE14" s="46" cm="1">
        <f t="array" ref="ABE14">ROUND(VALUE(IFERROR(INDEX(ArchiveResults!$F$5:$IX$116,ComparisonData!A14,ComparisonData!$ABE$1),0)),5)</f>
        <v>0</v>
      </c>
      <c r="ABF14" s="46" cm="1">
        <f t="array" ref="ABF14">ROUND(VALUE(IFERROR(INDEX(ArchiveResults!$F$5:$IX$116,ComparisonData!A14,ComparisonData!$ABF$1),0)),5)</f>
        <v>0</v>
      </c>
      <c r="ABG14" s="46" cm="1">
        <f t="array" ref="ABG14">ROUND(VALUE(IFERROR(INDEX(ArchiveResults!$F$5:$IX$116,ComparisonData!A14,ComparisonData!$ABG$1),0)),5)</f>
        <v>0</v>
      </c>
      <c r="ABH14" s="46" cm="1">
        <f t="array" ref="ABH14">ROUND(VALUE(IFERROR(INDEX(ArchiveResults!$F$5:$IX$116,ComparisonData!A14,ComparisonData!$ABH$1),0)),5)</f>
        <v>0</v>
      </c>
      <c r="ABI14" s="56">
        <v>9</v>
      </c>
      <c r="ABJ14" s="53" t="str">
        <f t="shared" si="103"/>
        <v>Buckinghamshire Archives</v>
      </c>
      <c r="ABK14" s="60">
        <f t="shared" si="499"/>
        <v>0</v>
      </c>
      <c r="ABL14" s="60">
        <f t="shared" si="500"/>
        <v>0</v>
      </c>
      <c r="ABM14" s="60">
        <f t="shared" si="501"/>
        <v>0</v>
      </c>
      <c r="ABN14" s="60">
        <f t="shared" si="502"/>
        <v>0</v>
      </c>
      <c r="ABO14" s="60">
        <f t="shared" si="503"/>
        <v>0</v>
      </c>
      <c r="ABP14" s="76">
        <f t="shared" si="504"/>
        <v>0</v>
      </c>
      <c r="ABQ14" s="46">
        <f t="shared" si="505"/>
        <v>47</v>
      </c>
      <c r="ABR14" s="46">
        <f t="shared" si="104"/>
        <v>2.6689999999999996</v>
      </c>
      <c r="ABS14" s="46">
        <f t="shared" si="506"/>
        <v>1</v>
      </c>
      <c r="ABT14" s="46">
        <f t="shared" si="507"/>
        <v>2</v>
      </c>
      <c r="ABU14" s="46" cm="1">
        <f t="array" ref="ABU14">ROUND(VALUE(IFERROR(INDEX(ArchiveResults!$F$5:$IX$116,ComparisonData!A14,ComparisonData!$ABU$1),0)),5)</f>
        <v>0</v>
      </c>
      <c r="ABV14" s="46" cm="1">
        <f t="array" ref="ABV14">ROUND(VALUE(IFERROR(INDEX(ArchiveResults!$F$5:$IX$116,ComparisonData!A14,ComparisonData!$ABV$1),0)),5)</f>
        <v>0</v>
      </c>
      <c r="ABW14" s="46" cm="1">
        <f t="array" ref="ABW14">ROUND(VALUE(IFERROR(INDEX(ArchiveResults!$F$5:$IX$116,ComparisonData!A14,ComparisonData!$ABW$1),0)),5)</f>
        <v>0</v>
      </c>
      <c r="ABX14" s="46" cm="1">
        <f t="array" ref="ABX14">ROUND(VALUE(IFERROR(INDEX(ArchiveResults!$F$5:$IX$116,ComparisonData!A14,ComparisonData!$ABX$1),0)),5)</f>
        <v>0</v>
      </c>
      <c r="ABY14" s="46" cm="1">
        <f t="array" ref="ABY14">ROUND(VALUE(IFERROR(INDEX(ArchiveResults!$F$5:$IX$116,ComparisonData!A14,ComparisonData!$ABY$1),0)),5)</f>
        <v>0</v>
      </c>
      <c r="ABZ14" s="56">
        <v>9</v>
      </c>
      <c r="ACA14" s="53" t="str">
        <f t="shared" si="105"/>
        <v>Buckinghamshire Archives</v>
      </c>
      <c r="ACB14" s="60">
        <f t="shared" si="508"/>
        <v>0</v>
      </c>
      <c r="ACC14" s="60">
        <f t="shared" si="509"/>
        <v>0</v>
      </c>
      <c r="ACD14" s="60">
        <f t="shared" si="510"/>
        <v>0</v>
      </c>
      <c r="ACE14" s="60">
        <f t="shared" si="511"/>
        <v>0</v>
      </c>
      <c r="ACF14" s="60">
        <f t="shared" si="512"/>
        <v>0</v>
      </c>
      <c r="ACG14" s="76">
        <f t="shared" si="513"/>
        <v>0</v>
      </c>
      <c r="ACH14" s="46">
        <f t="shared" si="514"/>
        <v>47</v>
      </c>
      <c r="ACI14" s="46">
        <f t="shared" si="106"/>
        <v>2.6689999999999996</v>
      </c>
      <c r="ACJ14" s="46">
        <f t="shared" si="515"/>
        <v>1</v>
      </c>
      <c r="ACK14" s="46">
        <f t="shared" si="516"/>
        <v>2</v>
      </c>
      <c r="ACL14" s="46">
        <f t="shared" si="517"/>
        <v>0</v>
      </c>
      <c r="ACM14" s="46" cm="1">
        <f t="array" ref="ACM14">ROUND(IFERROR(INDEX(ArchiveResults!$F$5:$IX$116,ComparisonData!A14,ComparisonData!$ACM$1),0),5)</f>
        <v>0</v>
      </c>
      <c r="ACN14" s="46" cm="1">
        <f t="array" ref="ACN14">ROUND(IFERROR(INDEX(ArchiveResults!$F$5:$IX$116,ComparisonData!A14,ComparisonData!$ACN$1),0),5)</f>
        <v>0</v>
      </c>
      <c r="ACO14" s="56">
        <v>9</v>
      </c>
      <c r="ACP14" s="53" t="str">
        <f t="shared" si="107"/>
        <v>Buckinghamshire Archives</v>
      </c>
      <c r="ACQ14" s="60">
        <f t="shared" si="518"/>
        <v>0</v>
      </c>
      <c r="ACR14" s="60">
        <f t="shared" si="519"/>
        <v>0</v>
      </c>
      <c r="ACS14" s="76">
        <f t="shared" si="520"/>
        <v>0</v>
      </c>
      <c r="ACT14" s="46">
        <f t="shared" si="521"/>
        <v>47</v>
      </c>
      <c r="ACU14" s="46">
        <f t="shared" si="108"/>
        <v>2.6689999999999996</v>
      </c>
      <c r="ACV14" s="46">
        <f t="shared" si="522"/>
        <v>1</v>
      </c>
      <c r="ACW14" s="46">
        <f t="shared" si="523"/>
        <v>2</v>
      </c>
      <c r="ACX14" s="46">
        <f t="shared" si="524"/>
        <v>0</v>
      </c>
      <c r="ACY14" s="46" cm="1">
        <f t="array" ref="ACY14">ROUNDDOWN(IFERROR(INDEX(ArchiveResults!$F$5:$IX$116,ComparisonData!A14,ComparisonData!$ACY$1),0),5)</f>
        <v>0</v>
      </c>
      <c r="ACZ14" s="46" cm="1">
        <f t="array" ref="ACZ14">ROUNDDOWN(IFERROR(INDEX(ArchiveResults!$F$5:$IX$116,ComparisonData!A14,ComparisonData!$ACZ$1),0),5)</f>
        <v>0</v>
      </c>
      <c r="ADA14" s="46" cm="1">
        <f t="array" ref="ADA14">ROUNDDOWN(IFERROR(INDEX(ArchiveResults!$F$5:$IX$116,ComparisonData!A14,ComparisonData!$ADA$1),0),5)</f>
        <v>0</v>
      </c>
      <c r="ADB14" s="56">
        <v>9</v>
      </c>
      <c r="ADC14" s="53" t="str">
        <f t="shared" si="109"/>
        <v>Buckinghamshire Archives</v>
      </c>
      <c r="ADD14" s="60">
        <f t="shared" si="525"/>
        <v>0</v>
      </c>
      <c r="ADE14" s="60">
        <f t="shared" si="526"/>
        <v>0</v>
      </c>
      <c r="ADF14" s="60">
        <f t="shared" si="527"/>
        <v>0</v>
      </c>
      <c r="ADG14" s="76">
        <f t="shared" si="528"/>
        <v>0</v>
      </c>
    </row>
    <row r="15" spans="1:787" x14ac:dyDescent="0.25">
      <c r="A15" s="46" t="str">
        <f>IF(ISBLANK(ComparisonSelection!F11),"",ROW()-5)</f>
        <v/>
      </c>
      <c r="B15" s="53" t="s">
        <v>465</v>
      </c>
      <c r="C15" s="72">
        <v>0.52899999999999958</v>
      </c>
      <c r="D15" s="55">
        <f t="shared" si="110"/>
        <v>19</v>
      </c>
      <c r="E15" s="54">
        <f t="shared" si="111"/>
        <v>2.5289999999999995</v>
      </c>
      <c r="F15" s="54">
        <f t="shared" si="529"/>
        <v>1</v>
      </c>
      <c r="G15" s="72">
        <f t="shared" si="112"/>
        <v>2</v>
      </c>
      <c r="H15" s="72">
        <f t="shared" si="113"/>
        <v>0</v>
      </c>
      <c r="I15" s="46" cm="1">
        <f t="array" ref="I15">ROUND(IFERROR(INDEX(ArchiveResults!$F$5:$IX$116,ComparisonData!A15,ComparisonData!$I$1),0),5)</f>
        <v>0</v>
      </c>
      <c r="J15" s="46" cm="1">
        <f t="array" ref="J15">ROUND(IFERROR(INDEX(ArchiveResults!$F$5:$IX$116,ComparisonData!A15,ComparisonData!$J$1),0),5)</f>
        <v>0</v>
      </c>
      <c r="K15" s="56">
        <v>10</v>
      </c>
      <c r="L15" s="53" t="str">
        <f t="shared" si="114"/>
        <v>Bury Archives</v>
      </c>
      <c r="M15" s="57">
        <f t="shared" si="0"/>
        <v>0</v>
      </c>
      <c r="N15" s="57">
        <f t="shared" si="1"/>
        <v>0</v>
      </c>
      <c r="O15" s="58">
        <f t="shared" si="115"/>
        <v>0</v>
      </c>
      <c r="P15" s="48">
        <f t="shared" si="116"/>
        <v>19</v>
      </c>
      <c r="Q15" s="54">
        <f t="shared" si="2"/>
        <v>2.5289999999999995</v>
      </c>
      <c r="R15" s="45">
        <f t="shared" si="117"/>
        <v>1</v>
      </c>
      <c r="S15" s="46">
        <f t="shared" si="118"/>
        <v>2</v>
      </c>
      <c r="T15" s="72">
        <f t="shared" si="119"/>
        <v>0</v>
      </c>
      <c r="U15" s="46" cm="1">
        <f t="array" ref="U15">ROUND(IFERROR(INDEX(ArchiveResults!$F$5:$IX$116,ComparisonData!A15,ComparisonData!$U$1),0),5)</f>
        <v>0</v>
      </c>
      <c r="V15" s="46" cm="1">
        <f t="array" ref="V15">ROUND(IFERROR(INDEX(ArchiveResults!$F$5:$IX$116,ComparisonData!A15,ComparisonData!$V$1),0),5)</f>
        <v>0</v>
      </c>
      <c r="W15" s="56">
        <v>10</v>
      </c>
      <c r="X15" s="53" t="str">
        <f t="shared" si="3"/>
        <v>Bury Archives</v>
      </c>
      <c r="Y15" s="57">
        <f t="shared" si="120"/>
        <v>0</v>
      </c>
      <c r="Z15" s="57">
        <f t="shared" si="121"/>
        <v>0</v>
      </c>
      <c r="AA15" s="58">
        <f t="shared" si="122"/>
        <v>0</v>
      </c>
      <c r="AB15" s="45">
        <f t="shared" si="123"/>
        <v>19</v>
      </c>
      <c r="AC15" s="54">
        <f t="shared" si="4"/>
        <v>2.5289999999999995</v>
      </c>
      <c r="AD15" s="45">
        <f t="shared" si="124"/>
        <v>1</v>
      </c>
      <c r="AE15" s="45">
        <f t="shared" si="125"/>
        <v>2</v>
      </c>
      <c r="AF15" s="45">
        <f t="shared" si="126"/>
        <v>0</v>
      </c>
      <c r="AG15" s="46" cm="1">
        <f t="array" ref="AG15">ROUND(IFERROR(INDEX(ArchiveResults!$F$5:$IX$116,ComparisonData!A15,ComparisonData!$AG$1),0),5)</f>
        <v>0</v>
      </c>
      <c r="AH15" s="46" cm="1">
        <f t="array" ref="AH15">ROUND(IFERROR(INDEX(ArchiveResults!$F$5:$IX$116,ComparisonData!A15,ComparisonData!$AH$1),0),5)</f>
        <v>0</v>
      </c>
      <c r="AI15" s="56">
        <v>10</v>
      </c>
      <c r="AJ15" s="53" t="str">
        <f t="shared" si="5"/>
        <v>Bury Archives</v>
      </c>
      <c r="AK15" s="59">
        <f t="shared" si="6"/>
        <v>0</v>
      </c>
      <c r="AL15" s="59">
        <f t="shared" si="7"/>
        <v>0</v>
      </c>
      <c r="AM15" s="58">
        <f t="shared" si="127"/>
        <v>0</v>
      </c>
      <c r="AN15" s="45">
        <f t="shared" si="128"/>
        <v>19</v>
      </c>
      <c r="AO15" s="54">
        <f t="shared" si="8"/>
        <v>2.5289999999999995</v>
      </c>
      <c r="AP15" s="45">
        <f t="shared" si="129"/>
        <v>1</v>
      </c>
      <c r="AQ15" s="45">
        <f t="shared" si="130"/>
        <v>2</v>
      </c>
      <c r="AR15" s="46" cm="1">
        <f t="array" ref="AR15">ROUND(IFERROR(INDEX(ArchiveResults!$F$5:$IX$116,ComparisonData!A15,ComparisonData!$AR$1),0),5)</f>
        <v>0</v>
      </c>
      <c r="AS15" s="46" cm="1">
        <f t="array" ref="AS15">ROUND(IFERROR(INDEX(ArchiveResults!$F$5:$IX$116,ComparisonData!A15,ComparisonData!$AS$1),0),5)</f>
        <v>0</v>
      </c>
      <c r="AT15" s="46" cm="1">
        <f t="array" ref="AT15">ROUND(IFERROR(INDEX(ArchiveResults!$F$5:$IX$116,ComparisonData!A15,ComparisonData!$AT$1),0),5)</f>
        <v>0</v>
      </c>
      <c r="AU15" s="46" cm="1">
        <f t="array" ref="AU15">ROUND(IFERROR(INDEX(ArchiveResults!$F$5:$IX$116,ComparisonData!A15,ComparisonData!$AU$1),0),5)</f>
        <v>0</v>
      </c>
      <c r="AV15" s="46" cm="1">
        <f t="array" ref="AV15">ROUND(IFERROR(INDEX(ArchiveResults!$F$5:$IX$116,ComparisonData!A15,ComparisonData!$AV$1),0),5)</f>
        <v>0</v>
      </c>
      <c r="AW15" s="46" cm="1">
        <f t="array" ref="AW15">ROUND(IFERROR(INDEX(ArchiveResults!$F$5:$IX$116,ComparisonData!A15,ComparisonData!$AW$1),0),5)</f>
        <v>0</v>
      </c>
      <c r="AX15" s="46" cm="1">
        <f t="array" ref="AX15">ROUND(IFERROR(INDEX(ArchiveResults!$F$5:$IX$116,ComparisonData!A15,ComparisonData!$AX$1),0),5)</f>
        <v>0</v>
      </c>
      <c r="AY15" s="46" cm="1">
        <f t="array" ref="AY15">ROUND(IFERROR(INDEX(ArchiveResults!$F$5:$IX$116,ComparisonData!A15,ComparisonData!$AY$1),0),5)</f>
        <v>0</v>
      </c>
      <c r="AZ15" s="46" cm="1">
        <f t="array" ref="AZ15">ROUND(IFERROR(INDEX(ArchiveResults!$F$5:$IX$116,ComparisonData!A15,ComparisonData!$AZ$1),0),5)</f>
        <v>0</v>
      </c>
      <c r="BA15" s="46" cm="1">
        <f t="array" ref="BA15">ROUND(IFERROR(INDEX(ArchiveResults!$F$5:$IX$116,ComparisonData!A15,ComparisonData!$BA$1),0),5)</f>
        <v>0</v>
      </c>
      <c r="BB15" s="56">
        <v>10</v>
      </c>
      <c r="BC15" s="53" t="str">
        <f t="shared" si="9"/>
        <v>Bury Archives</v>
      </c>
      <c r="BD15" s="60">
        <f t="shared" si="131"/>
        <v>0</v>
      </c>
      <c r="BE15" s="60">
        <f t="shared" si="132"/>
        <v>0</v>
      </c>
      <c r="BF15" s="60">
        <f t="shared" si="133"/>
        <v>0</v>
      </c>
      <c r="BG15" s="60">
        <f t="shared" si="134"/>
        <v>0</v>
      </c>
      <c r="BH15" s="60">
        <f t="shared" si="135"/>
        <v>0</v>
      </c>
      <c r="BI15" s="60">
        <f t="shared" si="136"/>
        <v>0</v>
      </c>
      <c r="BJ15" s="60">
        <f t="shared" si="137"/>
        <v>0</v>
      </c>
      <c r="BK15" s="60">
        <f t="shared" si="138"/>
        <v>0</v>
      </c>
      <c r="BL15" s="60">
        <f t="shared" si="139"/>
        <v>0</v>
      </c>
      <c r="BM15" s="59">
        <f t="shared" si="140"/>
        <v>0</v>
      </c>
      <c r="BN15" s="58">
        <f t="shared" si="141"/>
        <v>0</v>
      </c>
      <c r="BO15" s="45">
        <f t="shared" si="142"/>
        <v>19</v>
      </c>
      <c r="BP15" s="54">
        <f t="shared" si="10"/>
        <v>2.5289999999999995</v>
      </c>
      <c r="BQ15" s="45">
        <f t="shared" si="143"/>
        <v>1</v>
      </c>
      <c r="BR15" s="45">
        <f t="shared" si="144"/>
        <v>2</v>
      </c>
      <c r="BS15" s="46" cm="1">
        <f t="array" ref="BS15">ROUND(IFERROR(INDEX(ArchiveResults!$F$5:$IX$116,ComparisonData!A15,ComparisonData!$BS$1),0),5)</f>
        <v>0</v>
      </c>
      <c r="BT15" s="46" cm="1">
        <f t="array" ref="BT15">ROUND(IFERROR(INDEX(ArchiveResults!$F$5:$IX$116,ComparisonData!A15,ComparisonData!$BT$1),0),5)</f>
        <v>0</v>
      </c>
      <c r="BU15" s="46" cm="1">
        <f t="array" ref="BU15">ROUND(IFERROR(INDEX(ArchiveResults!$F$5:$IX$116,ComparisonData!A15,ComparisonData!$BU$1),0),5)</f>
        <v>0</v>
      </c>
      <c r="BV15" s="46" cm="1">
        <f t="array" ref="BV15">ROUND(IFERROR(INDEX(ArchiveResults!$F$5:$IX$116,ComparisonData!A15,ComparisonData!$BV$1),0),5)</f>
        <v>0</v>
      </c>
      <c r="BW15" s="46" cm="1">
        <f t="array" ref="BW15">ROUND(IFERROR(INDEX(ArchiveResults!$F$5:$IX$116,ComparisonData!A15,ComparisonData!$BW$1),0),5)</f>
        <v>0</v>
      </c>
      <c r="BX15" s="46" cm="1">
        <f t="array" ref="BX15">ROUND(IFERROR(INDEX(ArchiveResults!$F$5:$IX$116,ComparisonData!A15,ComparisonData!$BX$1),0),5)</f>
        <v>0</v>
      </c>
      <c r="BY15" s="56">
        <v>10</v>
      </c>
      <c r="BZ15" s="53" t="str">
        <f t="shared" si="11"/>
        <v>Bury Archives</v>
      </c>
      <c r="CA15" s="59">
        <f t="shared" si="145"/>
        <v>0</v>
      </c>
      <c r="CB15" s="59">
        <f t="shared" si="146"/>
        <v>0</v>
      </c>
      <c r="CC15" s="59">
        <f t="shared" si="147"/>
        <v>0</v>
      </c>
      <c r="CD15" s="59">
        <f t="shared" si="148"/>
        <v>0</v>
      </c>
      <c r="CE15" s="59">
        <f t="shared" si="149"/>
        <v>0</v>
      </c>
      <c r="CF15" s="59">
        <f t="shared" si="150"/>
        <v>0</v>
      </c>
      <c r="CG15" s="58">
        <f t="shared" si="151"/>
        <v>0</v>
      </c>
      <c r="CH15" s="45">
        <f t="shared" si="152"/>
        <v>19</v>
      </c>
      <c r="CI15" s="54">
        <f t="shared" si="12"/>
        <v>2.5289999999999995</v>
      </c>
      <c r="CJ15" s="45">
        <f t="shared" si="153"/>
        <v>1</v>
      </c>
      <c r="CK15" s="45">
        <f t="shared" si="154"/>
        <v>2</v>
      </c>
      <c r="CL15" s="46" cm="1">
        <f t="array" ref="CL15">ROUND(IFERROR(INDEX(ArchiveResults!$F$5:$IX$116,ComparisonData!A15,ComparisonData!$CL$1),0),5)</f>
        <v>0</v>
      </c>
      <c r="CM15" s="56">
        <v>10</v>
      </c>
      <c r="CN15" s="53" t="str">
        <f t="shared" si="13"/>
        <v>Bury Archives</v>
      </c>
      <c r="CO15" s="45">
        <f t="shared" si="155"/>
        <v>0</v>
      </c>
      <c r="CP15" s="58">
        <f t="shared" si="156"/>
        <v>0</v>
      </c>
      <c r="CQ15" s="45">
        <f t="shared" si="157"/>
        <v>19</v>
      </c>
      <c r="CR15" s="54">
        <f t="shared" si="14"/>
        <v>2.5289999999999995</v>
      </c>
      <c r="CS15" s="45">
        <f t="shared" si="158"/>
        <v>1</v>
      </c>
      <c r="CT15" s="45">
        <f t="shared" si="159"/>
        <v>2</v>
      </c>
      <c r="CU15" s="46" cm="1">
        <f t="array" ref="CU15">ROUND(IFERROR(INDEX(ArchiveResults!$F$5:$IX$116,ComparisonData!A15,ComparisonData!$CU$1),0),5)</f>
        <v>0</v>
      </c>
      <c r="CV15" s="56">
        <v>10</v>
      </c>
      <c r="CW15" s="53" t="str">
        <f t="shared" si="15"/>
        <v>Bury Archives</v>
      </c>
      <c r="CX15" s="45">
        <f t="shared" si="160"/>
        <v>0</v>
      </c>
      <c r="CY15" s="58">
        <f t="shared" si="161"/>
        <v>0</v>
      </c>
      <c r="CZ15" s="45">
        <f t="shared" si="162"/>
        <v>19</v>
      </c>
      <c r="DA15" s="54">
        <f t="shared" si="16"/>
        <v>2.5289999999999995</v>
      </c>
      <c r="DB15" s="45">
        <f t="shared" si="163"/>
        <v>1</v>
      </c>
      <c r="DC15" s="45">
        <f t="shared" si="164"/>
        <v>2</v>
      </c>
      <c r="DD15" s="46" cm="1">
        <f t="array" ref="DD15">ROUND(IFERROR(INDEX(ArchiveResults!$F$5:$IX$116,ComparisonData!A15,ComparisonData!$DD$1),0),5)</f>
        <v>0</v>
      </c>
      <c r="DE15" s="56">
        <v>10</v>
      </c>
      <c r="DF15" s="53" t="str">
        <f t="shared" si="17"/>
        <v>Bury Archives</v>
      </c>
      <c r="DG15" s="45">
        <f t="shared" si="165"/>
        <v>0</v>
      </c>
      <c r="DH15" s="58">
        <f t="shared" si="166"/>
        <v>0</v>
      </c>
      <c r="DI15" s="45">
        <f t="shared" si="167"/>
        <v>19</v>
      </c>
      <c r="DJ15" s="54">
        <f t="shared" si="18"/>
        <v>2.5289999999999995</v>
      </c>
      <c r="DK15" s="45">
        <f t="shared" si="168"/>
        <v>1</v>
      </c>
      <c r="DL15" s="45">
        <f t="shared" si="169"/>
        <v>2</v>
      </c>
      <c r="DM15" s="46" cm="1">
        <f t="array" ref="DM15">ROUND(IFERROR(INDEX(ArchiveResults!$F$5:$IX$116,ComparisonData!A15,ComparisonData!$DM$1),0),5)</f>
        <v>0</v>
      </c>
      <c r="DN15" s="46" cm="1">
        <f t="array" ref="DN15">ROUND(IFERROR(INDEX(ArchiveResults!$F$5:$IX$116,ComparisonData!A15,ComparisonData!$DN$1),0),5)</f>
        <v>0</v>
      </c>
      <c r="DO15" s="46" cm="1">
        <f t="array" ref="DO15">ROUND(IFERROR(INDEX(ArchiveResults!$F$5:$IX$116,ComparisonData!A15,ComparisonData!$DO$1),0),5)</f>
        <v>0</v>
      </c>
      <c r="DP15" s="46" cm="1">
        <f t="array" ref="DP15">ROUND(IFERROR(INDEX(ArchiveResults!$F$5:$IX$116,ComparisonData!A15,ComparisonData!$DP$1),0),5)</f>
        <v>0</v>
      </c>
      <c r="DQ15" s="45" cm="1">
        <f t="array" ref="DQ15">IFERROR(INDEX(ArchiveResults!$F$5:$IX$116,ComparisonData!A15,ComparisonData!$DQ$1),0)</f>
        <v>0</v>
      </c>
      <c r="DR15" s="56">
        <v>10</v>
      </c>
      <c r="DS15" s="53" t="str">
        <f t="shared" si="19"/>
        <v>Bury Archives</v>
      </c>
      <c r="DT15" s="59">
        <f t="shared" si="170"/>
        <v>0</v>
      </c>
      <c r="DU15" s="59">
        <f t="shared" si="171"/>
        <v>0</v>
      </c>
      <c r="DV15" s="59">
        <f t="shared" si="172"/>
        <v>0</v>
      </c>
      <c r="DW15" s="59">
        <f t="shared" si="173"/>
        <v>0</v>
      </c>
      <c r="DX15" s="59">
        <f t="shared" si="174"/>
        <v>0</v>
      </c>
      <c r="DY15" s="58">
        <f t="shared" si="175"/>
        <v>0</v>
      </c>
      <c r="DZ15" s="45">
        <f t="shared" si="176"/>
        <v>19</v>
      </c>
      <c r="EA15" s="54">
        <f t="shared" si="20"/>
        <v>2.5289999999999995</v>
      </c>
      <c r="EB15" s="45">
        <f t="shared" si="177"/>
        <v>1</v>
      </c>
      <c r="EC15" s="45">
        <f t="shared" si="178"/>
        <v>2</v>
      </c>
      <c r="ED15" s="46" cm="1">
        <f t="array" ref="ED15">ROUND(IFERROR(INDEX(ArchiveResults!$F$5:$IX$116,ComparisonData!A15,ComparisonData!$ED$1),0),5)</f>
        <v>0</v>
      </c>
      <c r="EE15" s="46" cm="1">
        <f t="array" ref="EE15">ROUND(IFERROR(INDEX(ArchiveResults!$F$5:$IX$116,ComparisonData!A15,ComparisonData!$EE$1),0),5)</f>
        <v>0</v>
      </c>
      <c r="EF15" s="46" cm="1">
        <f t="array" ref="EF15">ROUND(IFERROR(INDEX(ArchiveResults!$F$5:$IX$116,ComparisonData!A15,ComparisonData!$EF$1),0),5)</f>
        <v>0</v>
      </c>
      <c r="EG15" s="46" cm="1">
        <f t="array" ref="EG15">ROUND(IFERROR(INDEX(ArchiveResults!$F$5:$IX$116,ComparisonData!A15,ComparisonData!$EG$1),0),5)</f>
        <v>0</v>
      </c>
      <c r="EH15" s="45" cm="1">
        <f t="array" ref="EH15">IFERROR(INDEX(ArchiveResults!$F$5:$IX$116,ComparisonData!A15,ComparisonData!$EH$1),0)</f>
        <v>0</v>
      </c>
      <c r="EI15" s="56">
        <v>10</v>
      </c>
      <c r="EJ15" s="53" t="str">
        <f t="shared" si="21"/>
        <v>Bury Archives</v>
      </c>
      <c r="EK15" s="59">
        <f t="shared" si="179"/>
        <v>0</v>
      </c>
      <c r="EL15" s="59">
        <f t="shared" si="180"/>
        <v>0</v>
      </c>
      <c r="EM15" s="59">
        <f t="shared" si="181"/>
        <v>0</v>
      </c>
      <c r="EN15" s="59">
        <f t="shared" si="182"/>
        <v>0</v>
      </c>
      <c r="EO15" s="59">
        <f t="shared" si="183"/>
        <v>0</v>
      </c>
      <c r="EP15" s="58">
        <f t="shared" si="184"/>
        <v>0</v>
      </c>
      <c r="EQ15" s="45">
        <f t="shared" si="185"/>
        <v>19</v>
      </c>
      <c r="ER15" s="54">
        <f t="shared" si="22"/>
        <v>2.5289999999999995</v>
      </c>
      <c r="ES15" s="45">
        <f t="shared" si="186"/>
        <v>1</v>
      </c>
      <c r="ET15" s="45">
        <f t="shared" si="187"/>
        <v>2</v>
      </c>
      <c r="EU15" s="46" cm="1">
        <f t="array" ref="EU15">ROUND(IFERROR(INDEX(ArchiveResults!$F$5:$IX$116,ComparisonData!A15,ComparisonData!$EU$1),0),5)</f>
        <v>0</v>
      </c>
      <c r="EV15" s="46" cm="1">
        <f t="array" ref="EV15">ROUND(IFERROR(INDEX(ArchiveResults!$F$5:$IX$116,ComparisonData!A15,ComparisonData!$EV$1),0),5)</f>
        <v>0</v>
      </c>
      <c r="EW15" s="46" cm="1">
        <f t="array" ref="EW15">ROUND(IFERROR(INDEX(ArchiveResults!$F$5:$IX$116,ComparisonData!A15,ComparisonData!$EW$1),0),5)</f>
        <v>0</v>
      </c>
      <c r="EX15" s="46" cm="1">
        <f t="array" ref="EX15">ROUND(IFERROR(INDEX(ArchiveResults!$F$5:$IX$116,ComparisonData!A15,ComparisonData!$EX$1),0),5)</f>
        <v>0</v>
      </c>
      <c r="EY15" s="45" cm="1">
        <f t="array" ref="EY15">IFERROR(INDEX(ArchiveResults!$F$5:$IX$116,ComparisonData!A15,ComparisonData!$EY$1),0)</f>
        <v>0</v>
      </c>
      <c r="EZ15" s="56">
        <v>10</v>
      </c>
      <c r="FA15" s="53" t="str">
        <f t="shared" si="23"/>
        <v>Bury Archives</v>
      </c>
      <c r="FB15" s="59">
        <f t="shared" si="188"/>
        <v>0</v>
      </c>
      <c r="FC15" s="59">
        <f t="shared" si="189"/>
        <v>0</v>
      </c>
      <c r="FD15" s="59">
        <f t="shared" si="190"/>
        <v>0</v>
      </c>
      <c r="FE15" s="59">
        <f t="shared" si="191"/>
        <v>0</v>
      </c>
      <c r="FF15" s="59">
        <f t="shared" si="192"/>
        <v>0</v>
      </c>
      <c r="FG15" s="58">
        <f t="shared" si="193"/>
        <v>0</v>
      </c>
      <c r="FH15" s="45">
        <f t="shared" si="194"/>
        <v>19</v>
      </c>
      <c r="FI15" s="54">
        <f t="shared" si="24"/>
        <v>2.5289999999999995</v>
      </c>
      <c r="FJ15" s="45">
        <f t="shared" si="195"/>
        <v>1</v>
      </c>
      <c r="FK15" s="45">
        <f t="shared" si="196"/>
        <v>2</v>
      </c>
      <c r="FL15" s="46" cm="1">
        <f t="array" ref="FL15">ROUND(IFERROR(INDEX(ArchiveResults!$F$5:$IX$116,ComparisonData!A15,ComparisonData!$FL$1),0),5)</f>
        <v>0</v>
      </c>
      <c r="FM15" s="46" cm="1">
        <f t="array" ref="FM15">ROUND(IFERROR(INDEX(ArchiveResults!$F$5:$IX$116,ComparisonData!A15,ComparisonData!$FM$1),0),5)</f>
        <v>0</v>
      </c>
      <c r="FN15" s="46" cm="1">
        <f t="array" ref="FN15">ROUND(IFERROR(INDEX(ArchiveResults!$F$5:$IX$116,ComparisonData!A15,ComparisonData!$FN$1),0),5)</f>
        <v>0</v>
      </c>
      <c r="FO15" s="46" cm="1">
        <f t="array" ref="FO15">ROUND(IFERROR(INDEX(ArchiveResults!$F$5:$IX$116,ComparisonData!A15,ComparisonData!$FO$1),0),5)</f>
        <v>0</v>
      </c>
      <c r="FP15" s="45" cm="1">
        <f t="array" ref="FP15">IFERROR(INDEX(ArchiveResults!$F$5:$IX$116,ComparisonData!A15,ComparisonData!$FP$1),0)</f>
        <v>0</v>
      </c>
      <c r="FQ15" s="56">
        <v>10</v>
      </c>
      <c r="FR15" s="53" t="str">
        <f t="shared" si="25"/>
        <v>Bury Archives</v>
      </c>
      <c r="FS15" s="59">
        <f t="shared" si="197"/>
        <v>0</v>
      </c>
      <c r="FT15" s="59">
        <f t="shared" si="198"/>
        <v>0</v>
      </c>
      <c r="FU15" s="59">
        <f t="shared" si="199"/>
        <v>0</v>
      </c>
      <c r="FV15" s="59">
        <f t="shared" si="200"/>
        <v>0</v>
      </c>
      <c r="FW15" s="59">
        <f t="shared" si="201"/>
        <v>0</v>
      </c>
      <c r="FX15" s="58">
        <f t="shared" si="202"/>
        <v>0</v>
      </c>
      <c r="FY15" s="45">
        <f t="shared" si="203"/>
        <v>19</v>
      </c>
      <c r="FZ15" s="45">
        <f t="shared" si="26"/>
        <v>2.5289999999999995</v>
      </c>
      <c r="GA15" s="45">
        <f t="shared" si="204"/>
        <v>1</v>
      </c>
      <c r="GB15" s="45">
        <f t="shared" si="205"/>
        <v>2</v>
      </c>
      <c r="GC15" s="46" cm="1">
        <f t="array" ref="GC15">ROUND(IFERROR(INDEX(ArchiveResults!$F$5:$IX$116,ComparisonData!A15,ComparisonData!$GC$1),0),5)</f>
        <v>0</v>
      </c>
      <c r="GD15" s="46" cm="1">
        <f t="array" ref="GD15">ROUND(IFERROR(INDEX(ArchiveResults!$F$5:$IX$116,ComparisonData!A15,ComparisonData!$GD$1),0),5)</f>
        <v>0</v>
      </c>
      <c r="GE15" s="46" cm="1">
        <f t="array" ref="GE15">ROUND(IFERROR(INDEX(ArchiveResults!$F$5:$IX$116,ComparisonData!A15,ComparisonData!$GE$1),0),5)</f>
        <v>0</v>
      </c>
      <c r="GF15" s="46" cm="1">
        <f t="array" ref="GF15">ROUND(IFERROR(INDEX(ArchiveResults!$F$5:$IX$116,ComparisonData!A15,ComparisonData!$GF$1),0),5)</f>
        <v>0</v>
      </c>
      <c r="GG15" s="45" cm="1">
        <f t="array" ref="GG15">IFERROR(INDEX(ArchiveResults!$F$5:$IX$116,ComparisonData!A15,ComparisonData!$GG$1),0)</f>
        <v>0</v>
      </c>
      <c r="GH15" s="56">
        <v>10</v>
      </c>
      <c r="GI15" s="53" t="str">
        <f t="shared" si="27"/>
        <v>Bury Archives</v>
      </c>
      <c r="GJ15" s="59">
        <f t="shared" si="206"/>
        <v>0</v>
      </c>
      <c r="GK15" s="59">
        <f t="shared" si="207"/>
        <v>0</v>
      </c>
      <c r="GL15" s="59">
        <f t="shared" si="208"/>
        <v>0</v>
      </c>
      <c r="GM15" s="59">
        <f t="shared" si="209"/>
        <v>0</v>
      </c>
      <c r="GN15" s="59">
        <f t="shared" si="210"/>
        <v>0</v>
      </c>
      <c r="GO15" s="58">
        <f t="shared" si="211"/>
        <v>0</v>
      </c>
      <c r="GP15" s="45">
        <f t="shared" si="212"/>
        <v>19</v>
      </c>
      <c r="GQ15" s="45">
        <f t="shared" si="28"/>
        <v>2.5289999999999995</v>
      </c>
      <c r="GR15" s="45">
        <f t="shared" si="213"/>
        <v>1</v>
      </c>
      <c r="GS15" s="45">
        <f t="shared" si="214"/>
        <v>2</v>
      </c>
      <c r="GT15" s="46" cm="1">
        <f t="array" ref="GT15">ROUND(IFERROR(INDEX(ArchiveResults!$F$5:$IX$116,ComparisonData!A15,ComparisonData!$GT$1),0),5)</f>
        <v>0</v>
      </c>
      <c r="GU15" s="46" cm="1">
        <f t="array" ref="GU15">ROUND(IFERROR(INDEX(ArchiveResults!$F$5:$IX$116,ComparisonData!A15,ComparisonData!$GU$1),0),5)</f>
        <v>0</v>
      </c>
      <c r="GV15" s="46" cm="1">
        <f t="array" ref="GV15">ROUND(IFERROR(INDEX(ArchiveResults!$F$5:$IX$116,ComparisonData!A15,ComparisonData!$GV$1),0),5)</f>
        <v>0</v>
      </c>
      <c r="GW15" s="46" cm="1">
        <f t="array" ref="GW15">ROUND(IFERROR(INDEX(ArchiveResults!$F$5:$IX$116,ComparisonData!A15,ComparisonData!$GW$1),0),5)</f>
        <v>0</v>
      </c>
      <c r="GX15" s="45" cm="1">
        <f t="array" ref="GX15">IFERROR(INDEX(ArchiveResults!$F$5:$IX$116,ComparisonData!A15,ComparisonData!$GX$1),0)</f>
        <v>0</v>
      </c>
      <c r="GY15" s="56">
        <v>10</v>
      </c>
      <c r="GZ15" s="53" t="str">
        <f t="shared" si="29"/>
        <v>Bury Archives</v>
      </c>
      <c r="HA15" s="59">
        <f t="shared" si="215"/>
        <v>0</v>
      </c>
      <c r="HB15" s="59">
        <f t="shared" si="216"/>
        <v>0</v>
      </c>
      <c r="HC15" s="59">
        <f t="shared" si="217"/>
        <v>0</v>
      </c>
      <c r="HD15" s="59">
        <f t="shared" si="218"/>
        <v>0</v>
      </c>
      <c r="HE15" s="59">
        <f t="shared" si="219"/>
        <v>0</v>
      </c>
      <c r="HF15" s="58">
        <f t="shared" si="220"/>
        <v>0</v>
      </c>
      <c r="HG15" s="45">
        <f t="shared" si="221"/>
        <v>19</v>
      </c>
      <c r="HH15" s="45">
        <f t="shared" si="30"/>
        <v>2.5289999999999995</v>
      </c>
      <c r="HI15" s="45">
        <f t="shared" si="222"/>
        <v>1</v>
      </c>
      <c r="HJ15" s="45">
        <f t="shared" si="223"/>
        <v>2</v>
      </c>
      <c r="HK15" s="46" cm="1">
        <f t="array" ref="HK15">ROUND(IFERROR(INDEX(ArchiveResults!$F$5:$IX$116,ComparisonData!A15,ComparisonData!$HK$1),0),5)</f>
        <v>0</v>
      </c>
      <c r="HL15" s="46" cm="1">
        <f t="array" ref="HL15">ROUND(IFERROR(INDEX(ArchiveResults!$F$5:$IX$116,ComparisonData!A15,ComparisonData!$HL$1),0),5)</f>
        <v>0</v>
      </c>
      <c r="HM15" s="46" cm="1">
        <f t="array" ref="HM15">ROUND(IFERROR(INDEX(ArchiveResults!$F$5:$IX$116,ComparisonData!A15,ComparisonData!$HM$1),0),5)</f>
        <v>0</v>
      </c>
      <c r="HN15" s="46" cm="1">
        <f t="array" ref="HN15">ROUND(IFERROR(INDEX(ArchiveResults!$F$5:$IX$116,ComparisonData!A15,ComparisonData!$HN$1),0),5)</f>
        <v>0</v>
      </c>
      <c r="HO15" s="45" cm="1">
        <f t="array" ref="HO15">IFERROR(INDEX(ArchiveResults!$F$5:$IX$116,ComparisonData!A15,ComparisonData!$HO$1),0)</f>
        <v>0</v>
      </c>
      <c r="HP15" s="56">
        <v>10</v>
      </c>
      <c r="HQ15" s="53" t="str">
        <f t="shared" si="31"/>
        <v>Bury Archives</v>
      </c>
      <c r="HR15" s="59">
        <f t="shared" si="32"/>
        <v>0</v>
      </c>
      <c r="HS15" s="59">
        <f t="shared" si="33"/>
        <v>0</v>
      </c>
      <c r="HT15" s="59">
        <f t="shared" si="34"/>
        <v>0</v>
      </c>
      <c r="HU15" s="59">
        <f t="shared" si="35"/>
        <v>0</v>
      </c>
      <c r="HV15" s="59">
        <f t="shared" si="36"/>
        <v>0</v>
      </c>
      <c r="HW15" s="58">
        <f t="shared" si="224"/>
        <v>0</v>
      </c>
      <c r="HX15" s="45">
        <f t="shared" si="225"/>
        <v>19</v>
      </c>
      <c r="HY15" s="45">
        <f t="shared" si="37"/>
        <v>2.5289999999999995</v>
      </c>
      <c r="HZ15" s="45">
        <f t="shared" si="226"/>
        <v>1</v>
      </c>
      <c r="IA15" s="45">
        <f t="shared" si="227"/>
        <v>2</v>
      </c>
      <c r="IB15" s="45">
        <f t="shared" si="228"/>
        <v>0</v>
      </c>
      <c r="IC15" s="46" cm="1">
        <f t="array" ref="IC15">ROUND(IFERROR(INDEX(ArchiveResults!$F$5:$IX$116,ComparisonData!A15,ComparisonData!$IC$1),0),5)</f>
        <v>0</v>
      </c>
      <c r="ID15" s="46" cm="1">
        <f t="array" ref="ID15">ROUND(IFERROR(INDEX(ArchiveResults!$F$5:$IX$116,ComparisonData!A15,ComparisonData!$ID$1),0),5)</f>
        <v>0</v>
      </c>
      <c r="IE15" s="46" cm="1">
        <f t="array" ref="IE15">ROUND(IFERROR(INDEX(ArchiveResults!$F$5:$IX$116,ComparisonData!A15,ComparisonData!$IE$1),0),5)</f>
        <v>0</v>
      </c>
      <c r="IF15" s="46" cm="1">
        <f t="array" ref="IF15">ROUND(IFERROR(INDEX(ArchiveResults!$F$5:$IX$116,ComparisonData!A15,ComparisonData!$IF$1),0),5)</f>
        <v>0</v>
      </c>
      <c r="IG15" s="45" cm="1">
        <f t="array" ref="IG15">IFERROR(INDEX(ArchiveResults!$F$5:$IX$116,ComparisonData!A15,ComparisonData!$IG$1),0)</f>
        <v>0</v>
      </c>
      <c r="IH15" s="56">
        <v>10</v>
      </c>
      <c r="II15" s="53" t="str">
        <f t="shared" si="38"/>
        <v>Bury Archives</v>
      </c>
      <c r="IJ15" s="59">
        <f t="shared" si="229"/>
        <v>0</v>
      </c>
      <c r="IK15" s="59">
        <f t="shared" si="230"/>
        <v>0</v>
      </c>
      <c r="IL15" s="59">
        <f t="shared" si="231"/>
        <v>0</v>
      </c>
      <c r="IM15" s="59">
        <f t="shared" si="232"/>
        <v>0</v>
      </c>
      <c r="IN15" s="59">
        <f t="shared" si="233"/>
        <v>0</v>
      </c>
      <c r="IO15" s="58">
        <f t="shared" si="234"/>
        <v>0</v>
      </c>
      <c r="IP15" s="45">
        <f t="shared" si="235"/>
        <v>19</v>
      </c>
      <c r="IQ15" s="45">
        <f t="shared" si="39"/>
        <v>2.5289999999999995</v>
      </c>
      <c r="IR15" s="45">
        <f t="shared" si="236"/>
        <v>1</v>
      </c>
      <c r="IS15" s="45">
        <f t="shared" si="237"/>
        <v>2</v>
      </c>
      <c r="IT15" s="46">
        <f t="shared" si="238"/>
        <v>0</v>
      </c>
      <c r="IU15" s="46" cm="1">
        <f t="array" ref="IU15">ROUND(IFERROR(INDEX(ArchiveResults!$F$5:$IX$116,ComparisonData!A15,ComparisonData!$IU$1),0),5)</f>
        <v>0</v>
      </c>
      <c r="IV15" s="46" cm="1">
        <f t="array" ref="IV15">ROUND(IFERROR(INDEX(ArchiveResults!$F$5:$IX$116,ComparisonData!A15,ComparisonData!$IV$1),0),5)</f>
        <v>0</v>
      </c>
      <c r="IW15" s="46" cm="1">
        <f t="array" ref="IW15">ROUND(IFERROR(INDEX(ArchiveResults!$F$5:$IX$116,ComparisonData!A15,ComparisonData!$IW$1),0),5)</f>
        <v>0</v>
      </c>
      <c r="IX15" s="46" cm="1">
        <f t="array" ref="IX15">ROUND(IFERROR(INDEX(ArchiveResults!$F$5:$IX$116,ComparisonData!A15,ComparisonData!$IX$1),0),5)</f>
        <v>0</v>
      </c>
      <c r="IY15" s="45" cm="1">
        <f t="array" ref="IY15">IFERROR(INDEX(ArchiveResults!$F$5:$IX$116,ComparisonData!A15,ComparisonData!$IY$1),0)</f>
        <v>0</v>
      </c>
      <c r="IZ15" s="56">
        <v>10</v>
      </c>
      <c r="JA15" s="53" t="str">
        <f t="shared" si="40"/>
        <v>Bury Archives</v>
      </c>
      <c r="JB15" s="59">
        <f t="shared" si="239"/>
        <v>0</v>
      </c>
      <c r="JC15" s="59">
        <f t="shared" si="240"/>
        <v>0</v>
      </c>
      <c r="JD15" s="59">
        <f t="shared" si="241"/>
        <v>0</v>
      </c>
      <c r="JE15" s="59">
        <f t="shared" si="242"/>
        <v>0</v>
      </c>
      <c r="JF15" s="59">
        <f t="shared" si="243"/>
        <v>0</v>
      </c>
      <c r="JG15" s="58">
        <f t="shared" si="244"/>
        <v>0</v>
      </c>
      <c r="JH15" s="45">
        <f t="shared" si="245"/>
        <v>19</v>
      </c>
      <c r="JI15" s="45">
        <f t="shared" si="41"/>
        <v>2.5289999999999995</v>
      </c>
      <c r="JJ15" s="45">
        <f t="shared" si="246"/>
        <v>1</v>
      </c>
      <c r="JK15" s="45">
        <f t="shared" si="247"/>
        <v>2</v>
      </c>
      <c r="JL15" s="45">
        <f t="shared" si="248"/>
        <v>0</v>
      </c>
      <c r="JM15" s="46" cm="1">
        <f t="array" ref="JM15">ROUND(IFERROR(INDEX(ArchiveResults!$F$5:$IX$116,ComparisonData!A15,ComparisonData!$JM$1),0),5)</f>
        <v>0</v>
      </c>
      <c r="JN15" s="46" cm="1">
        <f t="array" ref="JN15">ROUND(IFERROR(INDEX(ArchiveResults!$F$5:$IX$116,ComparisonData!A15,ComparisonData!$JN$1),0),5)</f>
        <v>0</v>
      </c>
      <c r="JO15" s="46" cm="1">
        <f t="array" ref="JO15">ROUND(IFERROR(INDEX(ArchiveResults!$F$5:$IX$116,ComparisonData!A15,ComparisonData!$JO$1),0),5)</f>
        <v>0</v>
      </c>
      <c r="JP15" s="46" cm="1">
        <f t="array" ref="JP15">ROUND(IFERROR(INDEX(ArchiveResults!$F$5:$IX$116,ComparisonData!A15,ComparisonData!$JP$1),0),5)</f>
        <v>0</v>
      </c>
      <c r="JQ15" s="45" cm="1">
        <f t="array" ref="JQ15">IFERROR(INDEX(ArchiveResults!$F$5:$IX$116,ComparisonData!A15,ComparisonData!$JQ$1),0)</f>
        <v>0</v>
      </c>
      <c r="JR15" s="56">
        <v>10</v>
      </c>
      <c r="JS15" s="53" t="str">
        <f t="shared" si="42"/>
        <v>Bury Archives</v>
      </c>
      <c r="JT15" s="59">
        <f t="shared" si="249"/>
        <v>0</v>
      </c>
      <c r="JU15" s="59">
        <f t="shared" si="250"/>
        <v>0</v>
      </c>
      <c r="JV15" s="59">
        <f t="shared" si="251"/>
        <v>0</v>
      </c>
      <c r="JW15" s="59">
        <f t="shared" si="252"/>
        <v>0</v>
      </c>
      <c r="JX15" s="59">
        <f t="shared" si="253"/>
        <v>0</v>
      </c>
      <c r="JY15" s="58">
        <f t="shared" si="254"/>
        <v>0</v>
      </c>
      <c r="JZ15" s="45">
        <f t="shared" si="255"/>
        <v>19</v>
      </c>
      <c r="KA15" s="45">
        <f t="shared" si="43"/>
        <v>2.5289999999999995</v>
      </c>
      <c r="KB15" s="45">
        <f t="shared" si="256"/>
        <v>1</v>
      </c>
      <c r="KC15" s="45">
        <f t="shared" si="257"/>
        <v>2</v>
      </c>
      <c r="KD15" s="45">
        <f t="shared" si="258"/>
        <v>0</v>
      </c>
      <c r="KE15" s="46" cm="1">
        <f t="array" ref="KE15">ROUND(IFERROR(INDEX(ArchiveResults!$F$5:$IX$116,ComparisonData!A15,ComparisonData!$KE$1),0),5)</f>
        <v>0</v>
      </c>
      <c r="KF15" s="46" cm="1">
        <f t="array" ref="KF15">ROUND(IFERROR(INDEX(ArchiveResults!$F$5:$IX$116,ComparisonData!A15,ComparisonData!$KF$1),0),5)</f>
        <v>0</v>
      </c>
      <c r="KG15" s="46" cm="1">
        <f t="array" ref="KG15">ROUND(IFERROR(INDEX(ArchiveResults!$F$5:$IX$116,ComparisonData!A15,ComparisonData!$KG$1),0),5)</f>
        <v>0</v>
      </c>
      <c r="KH15" s="46" cm="1">
        <f t="array" ref="KH15">ROUND(IFERROR(INDEX(ArchiveResults!$F$5:$IX$116,ComparisonData!A15,ComparisonData!$KH$1),0),5)</f>
        <v>0</v>
      </c>
      <c r="KI15" s="45" cm="1">
        <f t="array" ref="KI15">IFERROR(INDEX(ArchiveResults!$F$5:$IX$116,ComparisonData!A15,ComparisonData!$KI$1),0)</f>
        <v>0</v>
      </c>
      <c r="KJ15" s="56">
        <v>10</v>
      </c>
      <c r="KK15" s="53" t="str">
        <f t="shared" si="44"/>
        <v>Bury Archives</v>
      </c>
      <c r="KL15" s="59">
        <f t="shared" si="259"/>
        <v>0</v>
      </c>
      <c r="KM15" s="59">
        <f t="shared" si="260"/>
        <v>0</v>
      </c>
      <c r="KN15" s="59">
        <f t="shared" si="261"/>
        <v>0</v>
      </c>
      <c r="KO15" s="59">
        <f t="shared" si="262"/>
        <v>0</v>
      </c>
      <c r="KP15" s="59">
        <f t="shared" si="263"/>
        <v>0</v>
      </c>
      <c r="KQ15" s="58">
        <f t="shared" si="264"/>
        <v>0</v>
      </c>
      <c r="KR15" s="45">
        <f t="shared" si="265"/>
        <v>19</v>
      </c>
      <c r="KS15" s="45">
        <f t="shared" si="45"/>
        <v>2.5289999999999995</v>
      </c>
      <c r="KT15" s="45">
        <f t="shared" si="266"/>
        <v>1</v>
      </c>
      <c r="KU15" s="45">
        <f t="shared" si="267"/>
        <v>2</v>
      </c>
      <c r="KV15" s="45">
        <f t="shared" si="268"/>
        <v>0</v>
      </c>
      <c r="KW15" s="46" cm="1">
        <f t="array" ref="KW15">ROUND(IFERROR(INDEX(ArchiveResults!$F$5:$IX$116,ComparisonData!A15,ComparisonData!$KW$1),0),5)</f>
        <v>0</v>
      </c>
      <c r="KX15" s="46" cm="1">
        <f t="array" ref="KX15">ROUND(IFERROR(INDEX(ArchiveResults!$F$5:$IX$116,ComparisonData!A15,ComparisonData!$KX$1),0),5)</f>
        <v>0</v>
      </c>
      <c r="KY15" s="46" cm="1">
        <f t="array" ref="KY15">ROUND(IFERROR(INDEX(ArchiveResults!$F$5:$IX$116,ComparisonData!A15,ComparisonData!$KY$1),0),5)</f>
        <v>0</v>
      </c>
      <c r="KZ15" s="46" cm="1">
        <f t="array" ref="KZ15">ROUND(IFERROR(INDEX(ArchiveResults!$F$5:$IX$116,ComparisonData!A15,ComparisonData!$KZ$1),0),5)</f>
        <v>0</v>
      </c>
      <c r="LA15" s="45" cm="1">
        <f t="array" ref="LA15">IFERROR(INDEX(ArchiveResults!$F$5:$IX$116,ComparisonData!A15,ComparisonData!$LA$1),0)</f>
        <v>0</v>
      </c>
      <c r="LB15" s="56">
        <v>10</v>
      </c>
      <c r="LC15" s="53" t="str">
        <f t="shared" si="46"/>
        <v>Bury Archives</v>
      </c>
      <c r="LD15" s="59">
        <f t="shared" si="269"/>
        <v>0</v>
      </c>
      <c r="LE15" s="59">
        <f t="shared" si="270"/>
        <v>0</v>
      </c>
      <c r="LF15" s="59">
        <f t="shared" si="271"/>
        <v>0</v>
      </c>
      <c r="LG15" s="59">
        <f t="shared" si="272"/>
        <v>0</v>
      </c>
      <c r="LH15" s="59">
        <f t="shared" si="273"/>
        <v>0</v>
      </c>
      <c r="LI15" s="58">
        <f t="shared" si="274"/>
        <v>0</v>
      </c>
      <c r="LJ15" s="45">
        <f t="shared" si="275"/>
        <v>19</v>
      </c>
      <c r="LK15" s="45">
        <f t="shared" si="47"/>
        <v>2.5289999999999995</v>
      </c>
      <c r="LL15" s="45">
        <f t="shared" si="276"/>
        <v>1</v>
      </c>
      <c r="LM15" s="45">
        <f t="shared" si="277"/>
        <v>2</v>
      </c>
      <c r="LN15" s="45">
        <f t="shared" si="278"/>
        <v>0</v>
      </c>
      <c r="LO15" s="46" cm="1">
        <f t="array" ref="LO15">ROUND(IFERROR(INDEX(ArchiveResults!$F$5:$IX$116,ComparisonData!A15,ComparisonData!$LO$1),0),5)</f>
        <v>0</v>
      </c>
      <c r="LP15" s="46" cm="1">
        <f t="array" ref="LP15">ROUND(IFERROR(INDEX(ArchiveResults!$F$5:$IX$116,ComparisonData!A15,ComparisonData!$LP$1),0),5)</f>
        <v>0</v>
      </c>
      <c r="LQ15" s="46" cm="1">
        <f t="array" ref="LQ15">ROUND(IFERROR(INDEX(ArchiveResults!$F$5:$IX$116,ComparisonData!A15,ComparisonData!$LQ$1),0),5)</f>
        <v>0</v>
      </c>
      <c r="LR15" s="46" cm="1">
        <f t="array" ref="LR15">ROUND(IFERROR(INDEX(ArchiveResults!$F$5:$IX$116,ComparisonData!A15,ComparisonData!$LR$1),0),5)</f>
        <v>0</v>
      </c>
      <c r="LS15" s="45" cm="1">
        <f t="array" ref="LS15">IFERROR(INDEX(ArchiveResults!$F$5:$IX$116,ComparisonData!A15,ComparisonData!$LS$1),0)</f>
        <v>0</v>
      </c>
      <c r="LT15" s="56">
        <v>10</v>
      </c>
      <c r="LU15" s="53" t="str">
        <f t="shared" si="48"/>
        <v>Bury Archives</v>
      </c>
      <c r="LV15" s="59">
        <f t="shared" si="279"/>
        <v>0</v>
      </c>
      <c r="LW15" s="59">
        <f t="shared" si="280"/>
        <v>0</v>
      </c>
      <c r="LX15" s="59">
        <f t="shared" si="281"/>
        <v>0</v>
      </c>
      <c r="LY15" s="59">
        <f t="shared" si="282"/>
        <v>0</v>
      </c>
      <c r="LZ15" s="59">
        <f t="shared" si="283"/>
        <v>0</v>
      </c>
      <c r="MA15" s="58">
        <f t="shared" si="284"/>
        <v>0</v>
      </c>
      <c r="MB15" s="45">
        <f t="shared" si="285"/>
        <v>19</v>
      </c>
      <c r="MC15" s="45">
        <f t="shared" si="49"/>
        <v>2.5289999999999995</v>
      </c>
      <c r="MD15" s="45">
        <f t="shared" si="286"/>
        <v>1</v>
      </c>
      <c r="ME15" s="45">
        <f t="shared" si="287"/>
        <v>2</v>
      </c>
      <c r="MF15" s="45">
        <f t="shared" si="288"/>
        <v>0</v>
      </c>
      <c r="MG15" s="46" cm="1">
        <f t="array" ref="MG15">ROUND(IFERROR(INDEX(ArchiveResults!$F$5:$IX$116,ComparisonData!A15,ComparisonData!$MG$1),0),5)</f>
        <v>0</v>
      </c>
      <c r="MH15" s="46" cm="1">
        <f t="array" ref="MH15">ROUND(IFERROR(INDEX(ArchiveResults!$F$5:$IX$116,ComparisonData!A15,ComparisonData!$MH$1),0),5)</f>
        <v>0</v>
      </c>
      <c r="MI15" s="46" cm="1">
        <f t="array" ref="MI15">ROUND(IFERROR(INDEX(ArchiveResults!$F$5:$IX$116,ComparisonData!A15,ComparisonData!$MI$1),0),5)</f>
        <v>0</v>
      </c>
      <c r="MJ15" s="46" cm="1">
        <f t="array" ref="MJ15">ROUND(IFERROR(INDEX(ArchiveResults!$F$5:$IX$116,ComparisonData!A15,ComparisonData!$MJ$1),0),5)</f>
        <v>0</v>
      </c>
      <c r="MK15" s="45" cm="1">
        <f t="array" ref="MK15">IFERROR(INDEX(ArchiveResults!$F$5:$IX$116,ComparisonData!A15,ComparisonData!$MK$1),0)</f>
        <v>0</v>
      </c>
      <c r="ML15" s="56">
        <v>10</v>
      </c>
      <c r="MM15" s="53" t="str">
        <f t="shared" si="50"/>
        <v>Bury Archives</v>
      </c>
      <c r="MN15" s="59">
        <f t="shared" si="289"/>
        <v>0</v>
      </c>
      <c r="MO15" s="59">
        <f t="shared" si="290"/>
        <v>0</v>
      </c>
      <c r="MP15" s="59">
        <f t="shared" si="291"/>
        <v>0</v>
      </c>
      <c r="MQ15" s="59">
        <f t="shared" si="292"/>
        <v>0</v>
      </c>
      <c r="MR15" s="59">
        <f t="shared" si="293"/>
        <v>0</v>
      </c>
      <c r="MS15" s="58">
        <f t="shared" si="294"/>
        <v>0</v>
      </c>
      <c r="MT15" s="45">
        <f t="shared" si="295"/>
        <v>19</v>
      </c>
      <c r="MU15" s="45">
        <f t="shared" si="51"/>
        <v>2.5289999999999995</v>
      </c>
      <c r="MV15" s="45">
        <f t="shared" si="296"/>
        <v>1</v>
      </c>
      <c r="MW15" s="45">
        <f t="shared" si="297"/>
        <v>2</v>
      </c>
      <c r="MX15" s="45">
        <f t="shared" si="298"/>
        <v>0</v>
      </c>
      <c r="MY15" s="46" cm="1">
        <f t="array" ref="MY15">ROUND(IFERROR(INDEX(ArchiveResults!$F$5:$IX$116,ComparisonData!A15,ComparisonData!$MY$1),0),5)</f>
        <v>0</v>
      </c>
      <c r="MZ15" s="46" cm="1">
        <f t="array" ref="MZ15">ROUND(IFERROR(INDEX(ArchiveResults!$F$5:$IX$116,ComparisonData!A15,ComparisonData!$MZ$1),0),5)</f>
        <v>0</v>
      </c>
      <c r="NA15" s="46" cm="1">
        <f t="array" ref="NA15">ROUND(IFERROR(INDEX(ArchiveResults!$F$5:$IX$116,ComparisonData!A15,ComparisonData!$NA$1),0),5)</f>
        <v>0</v>
      </c>
      <c r="NB15" s="46" cm="1">
        <f t="array" ref="NB15">ROUND(IFERROR(INDEX(ArchiveResults!$F$5:$IX$116,ComparisonData!A15,ComparisonData!$NB$1),0),5)</f>
        <v>0</v>
      </c>
      <c r="NC15" s="45" cm="1">
        <f t="array" ref="NC15">IFERROR(INDEX(ArchiveResults!$F$5:$IX$116,ComparisonData!A15,ComparisonData!$NC$1),0)</f>
        <v>0</v>
      </c>
      <c r="ND15" s="56">
        <v>10</v>
      </c>
      <c r="NE15" s="53" t="str">
        <f t="shared" si="52"/>
        <v>Bury Archives</v>
      </c>
      <c r="NF15" s="59">
        <f t="shared" si="299"/>
        <v>0</v>
      </c>
      <c r="NG15" s="59">
        <f t="shared" si="300"/>
        <v>0</v>
      </c>
      <c r="NH15" s="59">
        <f t="shared" si="301"/>
        <v>0</v>
      </c>
      <c r="NI15" s="59">
        <f t="shared" si="302"/>
        <v>0</v>
      </c>
      <c r="NJ15" s="59">
        <f t="shared" si="303"/>
        <v>0</v>
      </c>
      <c r="NK15" s="58">
        <f t="shared" si="304"/>
        <v>0</v>
      </c>
      <c r="NL15" s="45">
        <f t="shared" si="305"/>
        <v>19</v>
      </c>
      <c r="NM15" s="45">
        <f t="shared" si="53"/>
        <v>2.5289999999999995</v>
      </c>
      <c r="NN15" s="45">
        <f t="shared" si="306"/>
        <v>1</v>
      </c>
      <c r="NO15" s="45">
        <f t="shared" si="307"/>
        <v>2</v>
      </c>
      <c r="NP15" s="46" cm="1">
        <f t="array" ref="NP15">ROUND(IFERROR(INDEX(ArchiveResults!$F$5:$IX$116,ComparisonData!A15,ComparisonData!$NP$1),0),5)</f>
        <v>0</v>
      </c>
      <c r="NQ15" s="46" cm="1">
        <f t="array" ref="NQ15">ROUND(IFERROR(INDEX(ArchiveResults!$F$5:$IX$116,ComparisonData!A15,ComparisonData!$NQ$1),0),5)</f>
        <v>0</v>
      </c>
      <c r="NR15" s="46" cm="1">
        <f t="array" ref="NR15">ROUND(IFERROR(INDEX(ArchiveResults!$F$5:$IX$116,ComparisonData!A15,ComparisonData!$NR$1),0),5)</f>
        <v>0</v>
      </c>
      <c r="NS15" s="46" cm="1">
        <f t="array" ref="NS15">ROUND(IFERROR(INDEX(ArchiveResults!$F$5:$IX$116,ComparisonData!A15,ComparisonData!$NS$1),0),5)</f>
        <v>0</v>
      </c>
      <c r="NT15" s="45" cm="1">
        <f t="array" ref="NT15">IFERROR(INDEX(ArchiveResults!$F$5:$IX$116,ComparisonData!A15,ComparisonData!$NT$1),0)</f>
        <v>0</v>
      </c>
      <c r="NU15" s="56">
        <v>10</v>
      </c>
      <c r="NV15" s="53" t="str">
        <f t="shared" si="54"/>
        <v>Bury Archives</v>
      </c>
      <c r="NW15" s="59">
        <f t="shared" si="308"/>
        <v>0</v>
      </c>
      <c r="NX15" s="59">
        <f t="shared" si="309"/>
        <v>0</v>
      </c>
      <c r="NY15" s="59">
        <f t="shared" si="310"/>
        <v>0</v>
      </c>
      <c r="NZ15" s="59">
        <f t="shared" si="311"/>
        <v>0</v>
      </c>
      <c r="OA15" s="59">
        <f t="shared" si="312"/>
        <v>0</v>
      </c>
      <c r="OB15" s="58">
        <f t="shared" si="313"/>
        <v>0</v>
      </c>
      <c r="OC15" s="45">
        <f t="shared" si="314"/>
        <v>19</v>
      </c>
      <c r="OD15" s="45">
        <f t="shared" si="55"/>
        <v>2.5289999999999995</v>
      </c>
      <c r="OE15" s="45">
        <f t="shared" si="315"/>
        <v>1</v>
      </c>
      <c r="OF15" s="45">
        <f t="shared" si="316"/>
        <v>2</v>
      </c>
      <c r="OG15" s="46">
        <f t="shared" si="317"/>
        <v>0</v>
      </c>
      <c r="OH15" s="46" cm="1">
        <f t="array" ref="OH15">ROUND(IFERROR(INDEX(ArchiveResults!$F$5:$IX$116,ComparisonData!A15,ComparisonData!$OH$1),0),5)</f>
        <v>0</v>
      </c>
      <c r="OI15" s="46" cm="1">
        <f t="array" ref="OI15">ROUND(IFERROR(INDEX(ArchiveResults!$F$5:$IX$116,ComparisonData!A15,ComparisonData!$OI$1),0),5)</f>
        <v>0</v>
      </c>
      <c r="OJ15" s="46" cm="1">
        <f t="array" ref="OJ15">ROUND(IFERROR(INDEX(ArchiveResults!$F$5:$IX$116,ComparisonData!A15,ComparisonData!$OJ$1),0),5)</f>
        <v>0</v>
      </c>
      <c r="OK15" s="46" cm="1">
        <f t="array" ref="OK15">ROUND(IFERROR(INDEX(ArchiveResults!$F$5:$IX$116,ComparisonData!A15,ComparisonData!$OK$1),0),5)</f>
        <v>0</v>
      </c>
      <c r="OL15" s="45" cm="1">
        <f t="array" ref="OL15">IFERROR(INDEX(ArchiveResults!$F$5:$IX$116,ComparisonData!A15,ComparisonData!$OL$1),0)</f>
        <v>0</v>
      </c>
      <c r="OM15" s="56">
        <v>10</v>
      </c>
      <c r="ON15" s="53" t="str">
        <f t="shared" si="56"/>
        <v>Bury Archives</v>
      </c>
      <c r="OO15" s="59">
        <f t="shared" si="318"/>
        <v>0</v>
      </c>
      <c r="OP15" s="59">
        <f t="shared" si="319"/>
        <v>0</v>
      </c>
      <c r="OQ15" s="59">
        <f t="shared" si="320"/>
        <v>0</v>
      </c>
      <c r="OR15" s="59">
        <f t="shared" si="321"/>
        <v>0</v>
      </c>
      <c r="OS15" s="59">
        <f t="shared" si="322"/>
        <v>0</v>
      </c>
      <c r="OT15" s="58">
        <f t="shared" si="323"/>
        <v>0</v>
      </c>
      <c r="OU15" s="45">
        <f t="shared" si="324"/>
        <v>19</v>
      </c>
      <c r="OV15" s="45">
        <f t="shared" si="57"/>
        <v>2.5289999999999995</v>
      </c>
      <c r="OW15" s="45">
        <f t="shared" si="325"/>
        <v>1</v>
      </c>
      <c r="OX15" s="45">
        <f t="shared" si="326"/>
        <v>2</v>
      </c>
      <c r="OY15" s="45">
        <f t="shared" si="327"/>
        <v>0</v>
      </c>
      <c r="OZ15" s="46" cm="1">
        <f t="array" ref="OZ15">ROUND(IFERROR(INDEX(ArchiveResults!$F$5:$IX$116,ComparisonData!A15,ComparisonData!$OZ$1),0),5)</f>
        <v>0</v>
      </c>
      <c r="PA15" s="46" cm="1">
        <f t="array" ref="PA15">ROUND(IFERROR(INDEX(ArchiveResults!$F$5:$IX$116,ComparisonData!A15,ComparisonData!$PA$1),0),5)</f>
        <v>0</v>
      </c>
      <c r="PB15" s="46" cm="1">
        <f t="array" ref="PB15">ROUND(IFERROR(INDEX(ArchiveResults!$F$5:$IX$116,ComparisonData!A15,ComparisonData!$PB$1),0),5)</f>
        <v>0</v>
      </c>
      <c r="PC15" s="46" cm="1">
        <f t="array" ref="PC15">ROUND(IFERROR(INDEX(ArchiveResults!$F$5:$IX$116,ComparisonData!A15,ComparisonData!$PC$1),0),5)</f>
        <v>0</v>
      </c>
      <c r="PD15" s="45" cm="1">
        <f t="array" ref="PD15">IFERROR(INDEX(ArchiveResults!$F$5:$IX$116,ComparisonData!A15,ComparisonData!$PD$1),0)</f>
        <v>0</v>
      </c>
      <c r="PE15" s="56">
        <v>10</v>
      </c>
      <c r="PF15" s="53" t="str">
        <f t="shared" si="58"/>
        <v>Bury Archives</v>
      </c>
      <c r="PG15" s="59">
        <f t="shared" si="328"/>
        <v>0</v>
      </c>
      <c r="PH15" s="59">
        <f t="shared" si="329"/>
        <v>0</v>
      </c>
      <c r="PI15" s="59">
        <f t="shared" si="330"/>
        <v>0</v>
      </c>
      <c r="PJ15" s="59">
        <f t="shared" si="331"/>
        <v>0</v>
      </c>
      <c r="PK15" s="59">
        <f t="shared" si="332"/>
        <v>0</v>
      </c>
      <c r="PL15" s="58">
        <f t="shared" si="333"/>
        <v>0</v>
      </c>
      <c r="PM15" s="45">
        <f t="shared" si="334"/>
        <v>19</v>
      </c>
      <c r="PN15" s="45">
        <f t="shared" si="59"/>
        <v>2.5289999999999995</v>
      </c>
      <c r="PO15" s="45">
        <f t="shared" si="335"/>
        <v>1</v>
      </c>
      <c r="PP15" s="45">
        <f t="shared" si="336"/>
        <v>2</v>
      </c>
      <c r="PQ15" s="45">
        <f t="shared" si="337"/>
        <v>0</v>
      </c>
      <c r="PR15" s="46" cm="1">
        <f t="array" ref="PR15">ROUND(IFERROR(INDEX(ArchiveResults!$F$5:$IX$116,ComparisonData!A15,ComparisonData!$PR$1),0),5)</f>
        <v>0</v>
      </c>
      <c r="PS15" s="46" cm="1">
        <f t="array" ref="PS15">ROUND(IFERROR(INDEX(ArchiveResults!$F$5:$IX$116,ComparisonData!A15,ComparisonData!$PS$1),0),5)</f>
        <v>0</v>
      </c>
      <c r="PT15" s="46" cm="1">
        <f t="array" ref="PT15">ROUND(IFERROR(INDEX(ArchiveResults!$F$5:$IX$116,ComparisonData!A15,ComparisonData!$PT$1),0),5)</f>
        <v>0</v>
      </c>
      <c r="PU15" s="46" cm="1">
        <f t="array" ref="PU15">ROUND(IFERROR(INDEX(ArchiveResults!$F$5:$IX$116,ComparisonData!A15,ComparisonData!$PU$1),0),5)</f>
        <v>0</v>
      </c>
      <c r="PV15" s="45" cm="1">
        <f t="array" ref="PV15">IFERROR(INDEX(ArchiveResults!$F$5:$IX$116,ComparisonData!A15,ComparisonData!$PV$1),0)</f>
        <v>0</v>
      </c>
      <c r="PW15" s="56">
        <v>10</v>
      </c>
      <c r="PX15" s="53" t="str">
        <f t="shared" si="60"/>
        <v>Bury Archives</v>
      </c>
      <c r="PY15" s="59">
        <f t="shared" si="338"/>
        <v>0</v>
      </c>
      <c r="PZ15" s="59">
        <f t="shared" si="339"/>
        <v>0</v>
      </c>
      <c r="QA15" s="59">
        <f t="shared" si="340"/>
        <v>0</v>
      </c>
      <c r="QB15" s="59">
        <f t="shared" si="341"/>
        <v>0</v>
      </c>
      <c r="QC15" s="59">
        <f t="shared" si="342"/>
        <v>0</v>
      </c>
      <c r="QD15" s="58">
        <f t="shared" si="343"/>
        <v>0</v>
      </c>
      <c r="QE15" s="45">
        <f t="shared" si="344"/>
        <v>19</v>
      </c>
      <c r="QF15" s="45">
        <f t="shared" si="61"/>
        <v>2.5289999999999995</v>
      </c>
      <c r="QG15" s="45">
        <f t="shared" si="345"/>
        <v>1</v>
      </c>
      <c r="QH15" s="45">
        <f t="shared" si="346"/>
        <v>2</v>
      </c>
      <c r="QI15" s="45">
        <f t="shared" si="347"/>
        <v>0</v>
      </c>
      <c r="QJ15" s="46" cm="1">
        <f t="array" ref="QJ15">ROUND(IFERROR(INDEX(ArchiveResults!$F$5:$IX$116,ComparisonData!A15,ComparisonData!$QJ$1),0),5)</f>
        <v>0</v>
      </c>
      <c r="QK15" s="46" cm="1">
        <f t="array" ref="QK15">ROUND(IFERROR(INDEX(ArchiveResults!$F$5:$IX$116,ComparisonData!A15,ComparisonData!$QK$1),0),5)</f>
        <v>0</v>
      </c>
      <c r="QL15" s="46" cm="1">
        <f t="array" ref="QL15">ROUND(IFERROR(INDEX(ArchiveResults!$F$5:$IX$116,ComparisonData!A15,ComparisonData!$QL$1),0),5)</f>
        <v>0</v>
      </c>
      <c r="QM15" s="46" cm="1">
        <f t="array" ref="QM15">ROUND(IFERROR(INDEX(ArchiveResults!$F$5:$IX$116,ComparisonData!A15,ComparisonData!$QM$1),0),5)</f>
        <v>0</v>
      </c>
      <c r="QN15" s="45" cm="1">
        <f t="array" ref="QN15">IFERROR(INDEX(ArchiveResults!$F$5:$IX$116,ComparisonData!A15,ComparisonData!$QN$1),0)</f>
        <v>0</v>
      </c>
      <c r="QO15" s="56">
        <v>10</v>
      </c>
      <c r="QP15" s="53" t="str">
        <f t="shared" si="62"/>
        <v>Bury Archives</v>
      </c>
      <c r="QQ15" s="59">
        <f t="shared" si="348"/>
        <v>0</v>
      </c>
      <c r="QR15" s="59">
        <f t="shared" si="349"/>
        <v>0</v>
      </c>
      <c r="QS15" s="59">
        <f t="shared" si="350"/>
        <v>0</v>
      </c>
      <c r="QT15" s="59">
        <f t="shared" si="351"/>
        <v>0</v>
      </c>
      <c r="QU15" s="59">
        <f t="shared" si="352"/>
        <v>0</v>
      </c>
      <c r="QV15" s="58">
        <f t="shared" si="353"/>
        <v>0</v>
      </c>
      <c r="QW15" s="45">
        <f t="shared" si="354"/>
        <v>19</v>
      </c>
      <c r="QX15" s="45">
        <f t="shared" si="63"/>
        <v>2.5289999999999995</v>
      </c>
      <c r="QY15" s="45">
        <f t="shared" si="355"/>
        <v>1</v>
      </c>
      <c r="QZ15" s="45">
        <f t="shared" si="356"/>
        <v>2</v>
      </c>
      <c r="RA15" s="45">
        <f t="shared" si="357"/>
        <v>0</v>
      </c>
      <c r="RB15" s="46" cm="1">
        <f t="array" ref="RB15">ROUND(IFERROR(INDEX(ArchiveResults!$F$5:$IX$116,ComparisonData!A15,ComparisonData!$RB$1),0),5)</f>
        <v>0</v>
      </c>
      <c r="RC15" s="46" cm="1">
        <f t="array" ref="RC15">ROUND(IFERROR(INDEX(ArchiveResults!$F$5:$IX$116,ComparisonData!A15,ComparisonData!$RC$1),0),5)</f>
        <v>0</v>
      </c>
      <c r="RD15" s="46" cm="1">
        <f t="array" ref="RD15">ROUND(IFERROR(INDEX(ArchiveResults!$F$5:$IX$116,ComparisonData!A15,ComparisonData!$RD$1),0),5)</f>
        <v>0</v>
      </c>
      <c r="RE15" s="46" cm="1">
        <f t="array" ref="RE15">ROUND(IFERROR(INDEX(ArchiveResults!$F$5:$IX$116,ComparisonData!A15,ComparisonData!$RE$1),0),5)</f>
        <v>0</v>
      </c>
      <c r="RF15" s="45" cm="1">
        <f t="array" ref="RF15">IFERROR(INDEX(ArchiveResults!$F$5:$IX$116,ComparisonData!A15,ComparisonData!$RF$1),0)</f>
        <v>0</v>
      </c>
      <c r="RG15" s="56">
        <v>10</v>
      </c>
      <c r="RH15" s="53" t="str">
        <f t="shared" si="64"/>
        <v>Bury Archives</v>
      </c>
      <c r="RI15" s="59">
        <f t="shared" si="358"/>
        <v>0</v>
      </c>
      <c r="RJ15" s="59">
        <f t="shared" si="359"/>
        <v>0</v>
      </c>
      <c r="RK15" s="59">
        <f t="shared" si="360"/>
        <v>0</v>
      </c>
      <c r="RL15" s="59">
        <f t="shared" si="361"/>
        <v>0</v>
      </c>
      <c r="RM15" s="59">
        <f t="shared" si="362"/>
        <v>0</v>
      </c>
      <c r="RN15" s="58">
        <f t="shared" si="363"/>
        <v>0</v>
      </c>
      <c r="RO15" s="45">
        <f t="shared" si="364"/>
        <v>19</v>
      </c>
      <c r="RP15" s="45">
        <f t="shared" si="65"/>
        <v>2.5289999999999995</v>
      </c>
      <c r="RQ15" s="45">
        <f t="shared" si="365"/>
        <v>1</v>
      </c>
      <c r="RR15" s="45">
        <f t="shared" si="366"/>
        <v>2</v>
      </c>
      <c r="RS15" s="45">
        <f t="shared" si="367"/>
        <v>0</v>
      </c>
      <c r="RT15" s="46" cm="1">
        <f t="array" ref="RT15">ROUND(IFERROR(INDEX(ArchiveResults!$F$5:$IX$116,ComparisonData!A15,ComparisonData!$RT$1),0),5)</f>
        <v>0</v>
      </c>
      <c r="RU15" s="46" cm="1">
        <f t="array" ref="RU15">ROUND(IFERROR(INDEX(ArchiveResults!$F$5:$IX$116,ComparisonData!A15,ComparisonData!$RU$1),0),5)</f>
        <v>0</v>
      </c>
      <c r="RV15" s="46" cm="1">
        <f t="array" ref="RV15">ROUND(IFERROR(INDEX(ArchiveResults!$F$5:$IX$116,ComparisonData!A15,ComparisonData!$RV$1),0),5)</f>
        <v>0</v>
      </c>
      <c r="RW15" s="46" cm="1">
        <f t="array" ref="RW15">ROUND(IFERROR(INDEX(ArchiveResults!$F$5:$IX$116,ComparisonData!A15,ComparisonData!$RW$1),0),5)</f>
        <v>0</v>
      </c>
      <c r="RX15" s="45" cm="1">
        <f t="array" ref="RX15">IFERROR(INDEX(ArchiveResults!$F$5:$IX$116,ComparisonData!A15,ComparisonData!$RX$1),0)</f>
        <v>0</v>
      </c>
      <c r="RY15" s="56">
        <v>10</v>
      </c>
      <c r="RZ15" s="53" t="str">
        <f t="shared" si="66"/>
        <v>Bury Archives</v>
      </c>
      <c r="SA15" s="59">
        <f t="shared" si="368"/>
        <v>0</v>
      </c>
      <c r="SB15" s="59">
        <f t="shared" si="369"/>
        <v>0</v>
      </c>
      <c r="SC15" s="59">
        <f t="shared" si="370"/>
        <v>0</v>
      </c>
      <c r="SD15" s="59">
        <f t="shared" si="371"/>
        <v>0</v>
      </c>
      <c r="SE15" s="59">
        <f t="shared" si="372"/>
        <v>0</v>
      </c>
      <c r="SF15" s="58">
        <f t="shared" si="373"/>
        <v>0</v>
      </c>
      <c r="SG15" s="45">
        <f t="shared" si="374"/>
        <v>19</v>
      </c>
      <c r="SH15" s="45">
        <f t="shared" si="67"/>
        <v>2.5289999999999995</v>
      </c>
      <c r="SI15" s="45">
        <f t="shared" si="375"/>
        <v>1</v>
      </c>
      <c r="SJ15" s="45">
        <f t="shared" si="376"/>
        <v>2</v>
      </c>
      <c r="SK15" s="45">
        <f t="shared" si="377"/>
        <v>0</v>
      </c>
      <c r="SL15" s="46" cm="1">
        <f t="array" ref="SL15">ROUND(IFERROR(INDEX(ArchiveResults!$F$5:$IX$116,ComparisonData!A15,ComparisonData!$SL$1),0),5)</f>
        <v>0</v>
      </c>
      <c r="SM15" s="46" cm="1">
        <f t="array" ref="SM15">ROUND(IFERROR(INDEX(ArchiveResults!$F$5:$IX$116,ComparisonData!A15,ComparisonData!$SM$1),0),5)</f>
        <v>0</v>
      </c>
      <c r="SN15" s="46" cm="1">
        <f t="array" ref="SN15">ROUND(IFERROR(INDEX(ArchiveResults!$F$5:$IX$116,ComparisonData!A15,ComparisonData!$SN$1),0),5)</f>
        <v>0</v>
      </c>
      <c r="SO15" s="46" cm="1">
        <f t="array" ref="SO15">ROUND(IFERROR(INDEX(ArchiveResults!$F$5:$IX$116,ComparisonData!A15,ComparisonData!$SO$1),0),5)</f>
        <v>0</v>
      </c>
      <c r="SP15" s="45" cm="1">
        <f t="array" ref="SP15">IFERROR(INDEX(ArchiveResults!$F$5:$IX$116,ComparisonData!A15,ComparisonData!$SP$1),0)</f>
        <v>0</v>
      </c>
      <c r="SQ15" s="56">
        <v>10</v>
      </c>
      <c r="SR15" s="53" t="str">
        <f t="shared" si="68"/>
        <v>Bury Archives</v>
      </c>
      <c r="SS15" s="59">
        <f t="shared" si="378"/>
        <v>0</v>
      </c>
      <c r="ST15" s="59">
        <f t="shared" si="379"/>
        <v>0</v>
      </c>
      <c r="SU15" s="59">
        <f t="shared" si="380"/>
        <v>0</v>
      </c>
      <c r="SV15" s="59">
        <f t="shared" si="381"/>
        <v>0</v>
      </c>
      <c r="SW15" s="59">
        <f t="shared" si="382"/>
        <v>0</v>
      </c>
      <c r="SX15" s="58">
        <f t="shared" si="383"/>
        <v>0</v>
      </c>
      <c r="SY15" s="45">
        <f t="shared" si="384"/>
        <v>19</v>
      </c>
      <c r="SZ15" s="45">
        <f t="shared" si="69"/>
        <v>2.5289999999999995</v>
      </c>
      <c r="TA15" s="45">
        <f t="shared" si="385"/>
        <v>1</v>
      </c>
      <c r="TB15" s="45">
        <f t="shared" si="386"/>
        <v>2</v>
      </c>
      <c r="TC15" s="45">
        <f t="shared" si="387"/>
        <v>0</v>
      </c>
      <c r="TD15" s="46" cm="1">
        <f t="array" ref="TD15">ROUND(IFERROR(INDEX(ArchiveResults!$F$5:$IX$116,ComparisonData!A15,ComparisonData!$TD$1),0),5)</f>
        <v>0</v>
      </c>
      <c r="TE15" s="46" cm="1">
        <f t="array" ref="TE15">ROUND(IFERROR(INDEX(ArchiveResults!$F$5:$IX$116,ComparisonData!A15,ComparisonData!$TE$1),0),5)</f>
        <v>0</v>
      </c>
      <c r="TF15" s="46" cm="1">
        <f t="array" ref="TF15">ROUND(IFERROR(INDEX(ArchiveResults!$F$5:$IX$116,ComparisonData!A15,ComparisonData!$TF$1),0),5)</f>
        <v>0</v>
      </c>
      <c r="TG15" s="46" cm="1">
        <f t="array" ref="TG15">ROUND(IFERROR(INDEX(ArchiveResults!$F$5:$IX$116,ComparisonData!A15,ComparisonData!$TG$1),0),5)</f>
        <v>0</v>
      </c>
      <c r="TH15" s="45" cm="1">
        <f t="array" ref="TH15">IFERROR(INDEX(ArchiveResults!$F$5:$IX$116,ComparisonData!A15,ComparisonData!$TH$1),0)</f>
        <v>0</v>
      </c>
      <c r="TI15" s="56">
        <v>10</v>
      </c>
      <c r="TJ15" s="53" t="str">
        <f t="shared" si="70"/>
        <v>Bury Archives</v>
      </c>
      <c r="TK15" s="59">
        <f t="shared" si="388"/>
        <v>0</v>
      </c>
      <c r="TL15" s="59">
        <f t="shared" si="389"/>
        <v>0</v>
      </c>
      <c r="TM15" s="59">
        <f t="shared" si="390"/>
        <v>0</v>
      </c>
      <c r="TN15" s="59">
        <f t="shared" si="391"/>
        <v>0</v>
      </c>
      <c r="TO15" s="59">
        <f t="shared" si="392"/>
        <v>0</v>
      </c>
      <c r="TP15" s="58">
        <f t="shared" si="393"/>
        <v>0</v>
      </c>
      <c r="TQ15" s="45">
        <f t="shared" si="394"/>
        <v>19</v>
      </c>
      <c r="TR15" s="45">
        <f t="shared" si="71"/>
        <v>2.5289999999999995</v>
      </c>
      <c r="TS15" s="45">
        <f t="shared" si="395"/>
        <v>1</v>
      </c>
      <c r="TT15" s="45">
        <f t="shared" si="396"/>
        <v>2</v>
      </c>
      <c r="TU15" s="45">
        <f t="shared" si="397"/>
        <v>0</v>
      </c>
      <c r="TV15" s="46" cm="1">
        <f t="array" ref="TV15">ROUND(IFERROR(INDEX(ArchiveResults!$F$5:$IX$116,ComparisonData!A15,ComparisonData!$TV$1),0),5)</f>
        <v>0</v>
      </c>
      <c r="TW15" s="46" cm="1">
        <f t="array" ref="TW15">ROUND(IFERROR(INDEX(ArchiveResults!$F$5:$IX$116,ComparisonData!A15,ComparisonData!$TW$1),0),5)</f>
        <v>0</v>
      </c>
      <c r="TX15" s="46" cm="1">
        <f t="array" ref="TX15">ROUND(IFERROR(INDEX(ArchiveResults!$F$5:$IX$116,ComparisonData!A15,ComparisonData!$TX$1),0),5)</f>
        <v>0</v>
      </c>
      <c r="TY15" s="46" cm="1">
        <f t="array" ref="TY15">ROUND(IFERROR(INDEX(ArchiveResults!$F$5:$IX$116,ComparisonData!A15,ComparisonData!$TY$1),0),5)</f>
        <v>0</v>
      </c>
      <c r="TZ15" s="45" cm="1">
        <f t="array" ref="TZ15">IFERROR(INDEX(ArchiveResults!$F$5:$IX$116,ComparisonData!A15,ComparisonData!$TZ$1),0)</f>
        <v>0</v>
      </c>
      <c r="UA15" s="56">
        <v>10</v>
      </c>
      <c r="UB15" s="53" t="str">
        <f t="shared" si="72"/>
        <v>Bury Archives</v>
      </c>
      <c r="UC15" s="60">
        <f t="shared" si="398"/>
        <v>0</v>
      </c>
      <c r="UD15" s="60">
        <f t="shared" si="399"/>
        <v>0</v>
      </c>
      <c r="UE15" s="60">
        <f t="shared" si="400"/>
        <v>0</v>
      </c>
      <c r="UF15" s="60">
        <f t="shared" si="401"/>
        <v>0</v>
      </c>
      <c r="UG15" s="60">
        <f t="shared" si="402"/>
        <v>0</v>
      </c>
      <c r="UH15" s="58">
        <f t="shared" si="403"/>
        <v>0</v>
      </c>
      <c r="UI15" s="46">
        <f t="shared" si="404"/>
        <v>19</v>
      </c>
      <c r="UJ15" s="46">
        <f t="shared" si="73"/>
        <v>2.5289999999999995</v>
      </c>
      <c r="UK15" s="46">
        <f t="shared" si="405"/>
        <v>1</v>
      </c>
      <c r="UL15" s="46">
        <f t="shared" si="406"/>
        <v>2</v>
      </c>
      <c r="UM15" s="46" cm="1">
        <f t="array" ref="UM15">ROUND(IFERROR(INDEX(ArchiveResults!$F$5:$IX$116,ComparisonData!A15,ComparisonData!$UM$1),0),5)</f>
        <v>0</v>
      </c>
      <c r="UN15" s="56">
        <v>10</v>
      </c>
      <c r="UO15" s="53" t="str">
        <f t="shared" si="74"/>
        <v>Bury Archives</v>
      </c>
      <c r="UP15" s="46">
        <f t="shared" si="407"/>
        <v>0</v>
      </c>
      <c r="UQ15" s="76">
        <f t="shared" si="408"/>
        <v>0</v>
      </c>
      <c r="UR15" s="46">
        <f t="shared" si="409"/>
        <v>19</v>
      </c>
      <c r="US15" s="46">
        <f t="shared" si="75"/>
        <v>2.5289999999999995</v>
      </c>
      <c r="UT15" s="46">
        <f t="shared" si="410"/>
        <v>1</v>
      </c>
      <c r="UU15" s="46">
        <f t="shared" si="411"/>
        <v>2</v>
      </c>
      <c r="UV15" s="46">
        <f t="shared" si="412"/>
        <v>0</v>
      </c>
      <c r="UW15" s="46" cm="1">
        <f t="array" ref="UW15">ROUND(IFERROR(INDEX(ArchiveResults!$F$5:$IX$116,ComparisonData!A15,ComparisonData!$UW$1),0),5)</f>
        <v>0</v>
      </c>
      <c r="UX15" s="46" cm="1">
        <f t="array" ref="UX15">ROUND(IFERROR(INDEX(ArchiveResults!$F$5:$IX$116,ComparisonData!A15,ComparisonData!$UX$1),0),5)</f>
        <v>0</v>
      </c>
      <c r="UY15" s="46" cm="1">
        <f t="array" ref="UY15">ROUND(IFERROR(INDEX(ArchiveResults!$F$5:$IX$116,ComparisonData!A15,ComparisonData!$UY$1),0),5)</f>
        <v>0</v>
      </c>
      <c r="UZ15" s="46" cm="1">
        <f t="array" ref="UZ15">ROUND(IFERROR(INDEX(ArchiveResults!$F$5:$IX$116,ComparisonData!A15,ComparisonData!$UZ$1),0),5)</f>
        <v>0</v>
      </c>
      <c r="VA15" s="46" cm="1">
        <f t="array" ref="VA15">ROUND(IFERROR(INDEX(ArchiveResults!$F$5:$IX$116,ComparisonData!A15,ComparisonData!$VA$1),0),5)</f>
        <v>0</v>
      </c>
      <c r="VB15" s="56">
        <v>10</v>
      </c>
      <c r="VC15" s="53" t="str">
        <f t="shared" si="76"/>
        <v>Bury Archives</v>
      </c>
      <c r="VD15" s="60">
        <f t="shared" si="413"/>
        <v>0</v>
      </c>
      <c r="VE15" s="60">
        <f t="shared" si="414"/>
        <v>0</v>
      </c>
      <c r="VF15" s="60">
        <f t="shared" si="415"/>
        <v>0</v>
      </c>
      <c r="VG15" s="60">
        <f t="shared" si="416"/>
        <v>0</v>
      </c>
      <c r="VH15" s="60">
        <f t="shared" si="417"/>
        <v>0</v>
      </c>
      <c r="VI15" s="76">
        <f t="shared" si="418"/>
        <v>0</v>
      </c>
      <c r="VJ15" s="46">
        <f t="shared" si="419"/>
        <v>19</v>
      </c>
      <c r="VK15" s="46">
        <f t="shared" si="77"/>
        <v>2.5289999999999995</v>
      </c>
      <c r="VL15" s="46">
        <f t="shared" si="420"/>
        <v>1</v>
      </c>
      <c r="VM15" s="46">
        <f t="shared" si="421"/>
        <v>2</v>
      </c>
      <c r="VN15" s="46" cm="1">
        <f t="array" ref="VN15">ROUND(IFERROR(INDEX(ArchiveResults!$F$5:$IX$116,ComparisonData!A15,ComparisonData!$VN$1),0),5)</f>
        <v>0</v>
      </c>
      <c r="VO15" s="46" cm="1">
        <f t="array" ref="VO15">ROUND(IFERROR(INDEX(ArchiveResults!$F$5:$IX$116,ComparisonData!A15,ComparisonData!$VO$1),0),5)</f>
        <v>0</v>
      </c>
      <c r="VP15" s="46" cm="1">
        <f t="array" ref="VP15">ROUND(IFERROR(INDEX(ArchiveResults!$F$5:$IX$116,ComparisonData!A15,ComparisonData!$VP$1),0),5)</f>
        <v>0</v>
      </c>
      <c r="VQ15" s="46" cm="1">
        <f t="array" ref="VQ15">ROUND(IFERROR(INDEX(ArchiveResults!$F$5:$IX$116,ComparisonData!A15,ComparisonData!$VQ$1),0),5)</f>
        <v>0</v>
      </c>
      <c r="VR15" s="56">
        <v>10</v>
      </c>
      <c r="VS15" s="53" t="str">
        <f t="shared" si="78"/>
        <v>Bury Archives</v>
      </c>
      <c r="VT15" s="60">
        <f t="shared" si="422"/>
        <v>0</v>
      </c>
      <c r="VU15" s="60">
        <f t="shared" si="423"/>
        <v>0</v>
      </c>
      <c r="VV15" s="60">
        <f t="shared" si="424"/>
        <v>0</v>
      </c>
      <c r="VW15" s="60">
        <f t="shared" si="425"/>
        <v>0</v>
      </c>
      <c r="VX15" s="76">
        <f t="shared" si="426"/>
        <v>0</v>
      </c>
      <c r="VY15" s="46">
        <f t="shared" si="427"/>
        <v>19</v>
      </c>
      <c r="VZ15" s="46">
        <f t="shared" si="79"/>
        <v>2.5289999999999995</v>
      </c>
      <c r="WA15" s="46">
        <f t="shared" si="428"/>
        <v>1</v>
      </c>
      <c r="WB15" s="46">
        <f t="shared" si="429"/>
        <v>2</v>
      </c>
      <c r="WC15" s="46" cm="1">
        <f t="array" ref="WC15">ROUND(IFERROR(INDEX(ArchiveResults!$F$5:$IX$116,ComparisonData!A15,ComparisonData!$WC$1),0),5)</f>
        <v>0</v>
      </c>
      <c r="WD15" s="56">
        <v>10</v>
      </c>
      <c r="WE15" s="53" t="str">
        <f t="shared" si="80"/>
        <v>Bury Archives</v>
      </c>
      <c r="WF15" s="46">
        <f t="shared" si="430"/>
        <v>0</v>
      </c>
      <c r="WG15" s="76">
        <f t="shared" si="431"/>
        <v>0</v>
      </c>
      <c r="WH15" s="46">
        <f t="shared" si="432"/>
        <v>19</v>
      </c>
      <c r="WI15" s="46">
        <f t="shared" si="81"/>
        <v>2.5289999999999995</v>
      </c>
      <c r="WJ15" s="46">
        <f t="shared" si="433"/>
        <v>1</v>
      </c>
      <c r="WK15" s="46">
        <f t="shared" si="434"/>
        <v>2</v>
      </c>
      <c r="WL15" s="46" cm="1">
        <f t="array" ref="WL15">ROUND(IFERROR(INDEX(ArchiveResults!$F$5:$IX$116,ComparisonData!A15,ComparisonData!$WL$1),0),5)</f>
        <v>0</v>
      </c>
      <c r="WM15" s="46" cm="1">
        <f t="array" ref="WM15">IFERROR(INDEX(ArchiveResults!$F$5:$IX$116,ComparisonData!A15,ComparisonData!$WM$1),0)</f>
        <v>0</v>
      </c>
      <c r="WN15" s="56">
        <v>10</v>
      </c>
      <c r="WO15" s="53" t="str">
        <f t="shared" si="82"/>
        <v>Bury Archives</v>
      </c>
      <c r="WP15" s="60">
        <f t="shared" si="435"/>
        <v>0</v>
      </c>
      <c r="WQ15" s="60">
        <f t="shared" si="436"/>
        <v>0</v>
      </c>
      <c r="WR15" s="76">
        <f t="shared" si="437"/>
        <v>0</v>
      </c>
      <c r="WS15" s="46">
        <f t="shared" si="438"/>
        <v>19</v>
      </c>
      <c r="WT15" s="46">
        <f t="shared" si="83"/>
        <v>2.5289999999999995</v>
      </c>
      <c r="WU15" s="46">
        <f t="shared" si="439"/>
        <v>1</v>
      </c>
      <c r="WV15" s="46">
        <f t="shared" si="440"/>
        <v>2</v>
      </c>
      <c r="WW15" s="46" cm="1">
        <f t="array" ref="WW15">ROUND(VALUE(IFERROR(INDEX(ArchiveResults!$F$5:$IX$116,ComparisonData!A15,ComparisonData!$WW$1),0)),5)</f>
        <v>0</v>
      </c>
      <c r="WX15" s="46" cm="1">
        <f t="array" ref="WX15">ROUND(IFERROR(INDEX(ArchiveResults!$F$5:$IX$116,ComparisonData!A15,ComparisonData!$WX$1),0),5)</f>
        <v>0</v>
      </c>
      <c r="WY15" s="56">
        <v>10</v>
      </c>
      <c r="WZ15" s="53" t="str">
        <f t="shared" si="84"/>
        <v>Bury Archives</v>
      </c>
      <c r="XA15" s="60">
        <f t="shared" si="85"/>
        <v>0</v>
      </c>
      <c r="XB15" s="60">
        <f t="shared" si="86"/>
        <v>0</v>
      </c>
      <c r="XC15" s="76">
        <f t="shared" si="441"/>
        <v>0</v>
      </c>
      <c r="XD15" s="46">
        <f t="shared" si="442"/>
        <v>19</v>
      </c>
      <c r="XE15" s="46">
        <f t="shared" si="87"/>
        <v>2.5289999999999995</v>
      </c>
      <c r="XF15" s="46">
        <f t="shared" si="443"/>
        <v>1</v>
      </c>
      <c r="XG15" s="46">
        <f t="shared" si="444"/>
        <v>2</v>
      </c>
      <c r="XH15" s="46" cm="1">
        <f t="array" ref="XH15">ROUND(VALUE(IFERROR(INDEX(ArchiveResults!$F$5:$IX$116,ComparisonData!A15,ComparisonData!$XH$1),0)),5)</f>
        <v>0</v>
      </c>
      <c r="XI15" s="46" cm="1">
        <f t="array" ref="XI15">ROUND(VALUE(IFERROR(INDEX(ArchiveResults!$F$5:$IX$116,ComparisonData!A15,ComparisonData!$XI$1),0)),5)</f>
        <v>0</v>
      </c>
      <c r="XJ15" s="56">
        <v>10</v>
      </c>
      <c r="XK15" s="53" t="str">
        <f t="shared" si="88"/>
        <v>Bury Archives</v>
      </c>
      <c r="XL15" s="60">
        <f t="shared" si="445"/>
        <v>0</v>
      </c>
      <c r="XM15" s="60">
        <f t="shared" si="446"/>
        <v>0</v>
      </c>
      <c r="XN15" s="76">
        <f t="shared" si="447"/>
        <v>0</v>
      </c>
      <c r="XO15" s="46">
        <f t="shared" si="448"/>
        <v>19</v>
      </c>
      <c r="XP15" s="46">
        <f t="shared" si="89"/>
        <v>2.5289999999999995</v>
      </c>
      <c r="XQ15" s="46">
        <f t="shared" si="449"/>
        <v>1</v>
      </c>
      <c r="XR15" s="46">
        <f t="shared" si="450"/>
        <v>2</v>
      </c>
      <c r="XS15" s="46" cm="1">
        <f t="array" ref="XS15">ROUND(VALUE(IFERROR(INDEX(ArchiveResults!$F$5:$IX$116,ComparisonData!A15,ComparisonData!$XS$1),0)),5)</f>
        <v>0</v>
      </c>
      <c r="XT15" s="46" cm="1">
        <f t="array" ref="XT15">ROUND(VALUE(IFERROR(INDEX(ArchiveResults!$F$5:$IX$116,ComparisonData!A15,ComparisonData!$XT$1),0)),5)</f>
        <v>0</v>
      </c>
      <c r="XU15" s="56">
        <v>10</v>
      </c>
      <c r="XV15" s="53" t="str">
        <f t="shared" si="90"/>
        <v>Bury Archives</v>
      </c>
      <c r="XW15" s="60">
        <f t="shared" si="451"/>
        <v>0</v>
      </c>
      <c r="XX15" s="60">
        <f t="shared" si="452"/>
        <v>0</v>
      </c>
      <c r="XY15" s="76">
        <f t="shared" si="453"/>
        <v>0</v>
      </c>
      <c r="XZ15" s="46">
        <f t="shared" si="454"/>
        <v>19</v>
      </c>
      <c r="YA15" s="46">
        <f t="shared" si="91"/>
        <v>2.5289999999999995</v>
      </c>
      <c r="YB15" s="46">
        <f t="shared" si="455"/>
        <v>1</v>
      </c>
      <c r="YC15" s="46">
        <f t="shared" si="456"/>
        <v>2</v>
      </c>
      <c r="YD15" s="46" cm="1">
        <f t="array" ref="YD15">ROUND(VALUE(IFERROR(INDEX(ArchiveResults!$F$5:$IX$116,ComparisonData!A15,ComparisonData!$YD$1),0)),5)</f>
        <v>0</v>
      </c>
      <c r="YE15" s="46" cm="1">
        <f t="array" ref="YE15">ROUND(VALUE(IFERROR(INDEX(ArchiveResults!$F$5:$IX$116,ComparisonData!A15,ComparisonData!$YE$1),0)),5)</f>
        <v>0</v>
      </c>
      <c r="YF15" s="56">
        <v>10</v>
      </c>
      <c r="YG15" s="53" t="str">
        <f t="shared" si="92"/>
        <v>Bury Archives</v>
      </c>
      <c r="YH15" s="60">
        <f t="shared" si="457"/>
        <v>0</v>
      </c>
      <c r="YI15" s="60">
        <f t="shared" si="458"/>
        <v>0</v>
      </c>
      <c r="YJ15" s="76">
        <f t="shared" si="459"/>
        <v>0</v>
      </c>
      <c r="YK15" s="46">
        <f t="shared" si="460"/>
        <v>19</v>
      </c>
      <c r="YL15" s="46">
        <f t="shared" si="93"/>
        <v>2.5289999999999995</v>
      </c>
      <c r="YM15" s="46">
        <f t="shared" si="461"/>
        <v>1</v>
      </c>
      <c r="YN15" s="46">
        <f t="shared" si="462"/>
        <v>2</v>
      </c>
      <c r="YO15" s="46" cm="1">
        <f t="array" ref="YO15">ROUND(VALUE(IFERROR(INDEX(ArchiveResults!$F$5:$IX$116,ComparisonData!A15,ComparisonData!$YO$1),0)),5)</f>
        <v>0</v>
      </c>
      <c r="YP15" s="46" cm="1">
        <f t="array" ref="YP15">ROUND(VALUE(IFERROR(INDEX(ArchiveResults!$F$5:$IX$116,ComparisonData!A15,ComparisonData!$YP$1),0)),5)</f>
        <v>0</v>
      </c>
      <c r="YQ15" s="56">
        <v>10</v>
      </c>
      <c r="YR15" s="53" t="str">
        <f t="shared" si="94"/>
        <v>Bury Archives</v>
      </c>
      <c r="YS15" s="60">
        <f t="shared" si="463"/>
        <v>0</v>
      </c>
      <c r="YT15" s="60">
        <f t="shared" si="464"/>
        <v>0</v>
      </c>
      <c r="YU15" s="76">
        <f t="shared" si="465"/>
        <v>0</v>
      </c>
      <c r="YV15" s="46">
        <f t="shared" si="466"/>
        <v>19</v>
      </c>
      <c r="YW15" s="46">
        <f t="shared" si="95"/>
        <v>2.5289999999999995</v>
      </c>
      <c r="YX15" s="46">
        <f t="shared" si="467"/>
        <v>1</v>
      </c>
      <c r="YY15" s="46">
        <f t="shared" si="468"/>
        <v>2</v>
      </c>
      <c r="YZ15" s="46">
        <f t="shared" si="469"/>
        <v>0</v>
      </c>
      <c r="ZA15" s="46" cm="1">
        <f t="array" ref="ZA15">ROUNDDOWN(VALUE(IFERROR(INDEX(ArchiveResults!$F$5:$IX$116,ComparisonData!A15,ComparisonData!$ZA$1),0)),5)</f>
        <v>0</v>
      </c>
      <c r="ZB15" s="46" cm="1">
        <f t="array" ref="ZB15">ROUNDDOWN(VALUE(IFERROR(INDEX(ArchiveResults!$F$5:$IX$116,ComparisonData!A15,ComparisonData!$ZB$1),0)),5)</f>
        <v>0</v>
      </c>
      <c r="ZC15" s="46" cm="1">
        <f t="array" ref="ZC15">ROUNDDOWN(VALUE(IFERROR(INDEX(ArchiveResults!$F$5:$IX$116,ComparisonData!A15,ComparisonData!$ZC$1),0)),5)</f>
        <v>0</v>
      </c>
      <c r="ZD15" s="46" cm="1">
        <f t="array" ref="ZD15">ROUNDDOWN(VALUE(IFERROR(INDEX(ArchiveResults!$F$5:$IX$116,ComparisonData!A15,ComparisonData!$ZD$1),0)),5)</f>
        <v>0</v>
      </c>
      <c r="ZE15" s="46" cm="1">
        <f t="array" ref="ZE15">ROUNDDOWN(VALUE(IFERROR(INDEX(ArchiveResults!$F$5:$IX$116,ComparisonData!A15,ComparisonData!$ZE$1),0)),5)</f>
        <v>0</v>
      </c>
      <c r="ZF15" s="56">
        <v>10</v>
      </c>
      <c r="ZG15" s="53" t="str">
        <f t="shared" si="96"/>
        <v>Bury Archives</v>
      </c>
      <c r="ZH15" s="60">
        <f t="shared" si="470"/>
        <v>0</v>
      </c>
      <c r="ZI15" s="60">
        <f t="shared" si="471"/>
        <v>0</v>
      </c>
      <c r="ZJ15" s="60">
        <f t="shared" si="472"/>
        <v>0</v>
      </c>
      <c r="ZK15" s="60">
        <f t="shared" si="473"/>
        <v>0</v>
      </c>
      <c r="ZL15" s="60">
        <f t="shared" si="474"/>
        <v>0</v>
      </c>
      <c r="ZM15" s="76">
        <f t="shared" si="475"/>
        <v>0</v>
      </c>
      <c r="ZN15" s="46">
        <f t="shared" si="476"/>
        <v>19</v>
      </c>
      <c r="ZO15" s="46">
        <f t="shared" si="97"/>
        <v>2.5289999999999995</v>
      </c>
      <c r="ZP15" s="46">
        <f t="shared" si="477"/>
        <v>1</v>
      </c>
      <c r="ZQ15" s="46">
        <f t="shared" si="478"/>
        <v>2</v>
      </c>
      <c r="ZR15" s="46" cm="1">
        <f t="array" ref="ZR15">ROUND(VALUE(IFERROR(INDEX(ArchiveResults!$F$5:$IX$116,ComparisonData!A15,ComparisonData!$ZR$1),0)),5)</f>
        <v>0</v>
      </c>
      <c r="ZS15" s="56">
        <v>10</v>
      </c>
      <c r="ZT15" s="53" t="str">
        <f t="shared" si="98"/>
        <v>Bury Archives</v>
      </c>
      <c r="ZU15" s="46">
        <f t="shared" si="479"/>
        <v>0</v>
      </c>
      <c r="ZV15" s="76">
        <f t="shared" si="480"/>
        <v>0</v>
      </c>
      <c r="ZW15" s="81" cm="1">
        <f t="array" ref="ZW15">ROUND((IFERROR(INDEX(ArchiveResults!$F$5:$IX$116,ComparisonData!A15,ComparisonData!$ZW$1),0)),5)</f>
        <v>0</v>
      </c>
      <c r="ZX15" s="81" cm="1">
        <f t="array" ref="ZX15">ROUND((IFERROR(INDEX(ArchiveResults!$F$5:$IX$116,ComparisonData!A15,ComparisonData!$ZX$1),0)),5)</f>
        <v>0</v>
      </c>
      <c r="ZY15" s="81" cm="1">
        <f t="array" ref="ZY15">ROUND((IFERROR(INDEX(ArchiveResults!$F$5:$IX$116,ComparisonData!A15,ComparisonData!$ZY$1),0)),5)</f>
        <v>0</v>
      </c>
      <c r="ZZ15" s="81" cm="1">
        <f t="array" ref="ZZ15">ROUND((IFERROR(INDEX(ArchiveResults!$F$5:$IX$116,ComparisonData!A15,ComparisonData!$ZZ$1),0)),5)</f>
        <v>0</v>
      </c>
      <c r="AAA15" s="81" cm="1">
        <f t="array" ref="AAA15">ROUND((IFERROR(INDEX(ArchiveResults!$F$5:$IX$116,ComparisonData!A15,ComparisonData!$AAA$1),0)),5)</f>
        <v>0</v>
      </c>
      <c r="AAB15" s="81" cm="1">
        <f t="array" ref="AAB15">ROUND((IFERROR(INDEX(ArchiveResults!$F$5:$IX$116,ComparisonData!A15,ComparisonData!$AAB$1),0)),5)</f>
        <v>0</v>
      </c>
      <c r="AAC15" s="81" cm="1">
        <f t="array" ref="AAC15">ROUND((IFERROR(INDEX(ArchiveResults!$F$5:$IX$116,ComparisonData!A15,ComparisonData!$AAC$1),0)),5)</f>
        <v>0</v>
      </c>
      <c r="AAD15" s="81" cm="1">
        <f t="array" ref="AAD15">ROUND((IFERROR(INDEX(ArchiveResults!$F$5:$IX$116,ComparisonData!A15,ComparisonData!$AAD$1),0)),5)</f>
        <v>0</v>
      </c>
      <c r="AAE15" s="81" cm="1">
        <f t="array" ref="AAE15">ROUND((IFERROR(INDEX(ArchiveResults!$F$5:$IX$116,ComparisonData!A15,ComparisonData!$AAE$1),0)),5)</f>
        <v>0</v>
      </c>
      <c r="AAF15" s="81" cm="1">
        <f t="array" ref="AAF15">ROUND((IFERROR(INDEX(ArchiveResults!$F$5:$IX$116,ComparisonData!A15,ComparisonData!$AAF$1),0)),5)</f>
        <v>0</v>
      </c>
      <c r="AAG15" s="46">
        <f t="shared" si="481"/>
        <v>19</v>
      </c>
      <c r="AAH15" s="46">
        <f t="shared" si="99"/>
        <v>2.5289999999999995</v>
      </c>
      <c r="AAI15" s="46">
        <f t="shared" si="482"/>
        <v>1</v>
      </c>
      <c r="AAJ15" s="46">
        <f t="shared" si="483"/>
        <v>2</v>
      </c>
      <c r="AAK15" s="46">
        <f t="shared" si="484"/>
        <v>0</v>
      </c>
      <c r="AAL15" s="46">
        <f t="shared" si="485"/>
        <v>0</v>
      </c>
      <c r="AAM15" s="46">
        <f t="shared" si="486"/>
        <v>0</v>
      </c>
      <c r="AAN15" s="46">
        <f t="shared" si="487"/>
        <v>0</v>
      </c>
      <c r="AAO15" s="46">
        <f t="shared" si="488"/>
        <v>0</v>
      </c>
      <c r="AAP15" s="46">
        <f t="shared" si="489"/>
        <v>0</v>
      </c>
      <c r="AAQ15" s="56">
        <v>10</v>
      </c>
      <c r="AAR15" s="53" t="str">
        <f t="shared" si="100"/>
        <v>Bury Archives</v>
      </c>
      <c r="AAS15" s="60">
        <f t="shared" si="490"/>
        <v>0</v>
      </c>
      <c r="AAT15" s="60">
        <f t="shared" si="491"/>
        <v>0</v>
      </c>
      <c r="AAU15" s="60">
        <f t="shared" si="492"/>
        <v>0</v>
      </c>
      <c r="AAV15" s="60">
        <f t="shared" si="493"/>
        <v>0</v>
      </c>
      <c r="AAW15" s="60">
        <f t="shared" si="494"/>
        <v>0</v>
      </c>
      <c r="AAX15" s="76">
        <f t="shared" si="495"/>
        <v>0</v>
      </c>
      <c r="AAY15" s="46">
        <f t="shared" si="496"/>
        <v>19</v>
      </c>
      <c r="AAZ15" s="46">
        <f t="shared" si="101"/>
        <v>2.5289999999999995</v>
      </c>
      <c r="ABA15" s="46">
        <f t="shared" si="497"/>
        <v>1</v>
      </c>
      <c r="ABB15" s="46">
        <f t="shared" si="498"/>
        <v>2</v>
      </c>
      <c r="ABC15" s="46">
        <f t="shared" si="102"/>
        <v>0</v>
      </c>
      <c r="ABD15" s="46" cm="1">
        <f t="array" ref="ABD15">ROUND(VALUE(IFERROR(INDEX(ArchiveResults!$F$5:$IX$116,ComparisonData!A15,ComparisonData!$ABD$1),0)),5)</f>
        <v>0</v>
      </c>
      <c r="ABE15" s="46" cm="1">
        <f t="array" ref="ABE15">ROUND(VALUE(IFERROR(INDEX(ArchiveResults!$F$5:$IX$116,ComparisonData!A15,ComparisonData!$ABE$1),0)),5)</f>
        <v>0</v>
      </c>
      <c r="ABF15" s="46" cm="1">
        <f t="array" ref="ABF15">ROUND(VALUE(IFERROR(INDEX(ArchiveResults!$F$5:$IX$116,ComparisonData!A15,ComparisonData!$ABF$1),0)),5)</f>
        <v>0</v>
      </c>
      <c r="ABG15" s="46" cm="1">
        <f t="array" ref="ABG15">ROUND(VALUE(IFERROR(INDEX(ArchiveResults!$F$5:$IX$116,ComparisonData!A15,ComparisonData!$ABG$1),0)),5)</f>
        <v>0</v>
      </c>
      <c r="ABH15" s="46" cm="1">
        <f t="array" ref="ABH15">ROUND(VALUE(IFERROR(INDEX(ArchiveResults!$F$5:$IX$116,ComparisonData!A15,ComparisonData!$ABH$1),0)),5)</f>
        <v>0</v>
      </c>
      <c r="ABI15" s="56">
        <v>10</v>
      </c>
      <c r="ABJ15" s="53" t="str">
        <f t="shared" si="103"/>
        <v>Bury Archives</v>
      </c>
      <c r="ABK15" s="60">
        <f t="shared" si="499"/>
        <v>0</v>
      </c>
      <c r="ABL15" s="60">
        <f t="shared" si="500"/>
        <v>0</v>
      </c>
      <c r="ABM15" s="60">
        <f t="shared" si="501"/>
        <v>0</v>
      </c>
      <c r="ABN15" s="60">
        <f t="shared" si="502"/>
        <v>0</v>
      </c>
      <c r="ABO15" s="60">
        <f t="shared" si="503"/>
        <v>0</v>
      </c>
      <c r="ABP15" s="76">
        <f t="shared" si="504"/>
        <v>0</v>
      </c>
      <c r="ABQ15" s="46">
        <f t="shared" si="505"/>
        <v>19</v>
      </c>
      <c r="ABR15" s="46">
        <f t="shared" si="104"/>
        <v>2.5289999999999995</v>
      </c>
      <c r="ABS15" s="46">
        <f t="shared" si="506"/>
        <v>1</v>
      </c>
      <c r="ABT15" s="46">
        <f t="shared" si="507"/>
        <v>2</v>
      </c>
      <c r="ABU15" s="46" cm="1">
        <f t="array" ref="ABU15">ROUND(VALUE(IFERROR(INDEX(ArchiveResults!$F$5:$IX$116,ComparisonData!A15,ComparisonData!$ABU$1),0)),5)</f>
        <v>0</v>
      </c>
      <c r="ABV15" s="46" cm="1">
        <f t="array" ref="ABV15">ROUND(VALUE(IFERROR(INDEX(ArchiveResults!$F$5:$IX$116,ComparisonData!A15,ComparisonData!$ABV$1),0)),5)</f>
        <v>0</v>
      </c>
      <c r="ABW15" s="46" cm="1">
        <f t="array" ref="ABW15">ROUND(VALUE(IFERROR(INDEX(ArchiveResults!$F$5:$IX$116,ComparisonData!A15,ComparisonData!$ABW$1),0)),5)</f>
        <v>0</v>
      </c>
      <c r="ABX15" s="46" cm="1">
        <f t="array" ref="ABX15">ROUND(VALUE(IFERROR(INDEX(ArchiveResults!$F$5:$IX$116,ComparisonData!A15,ComparisonData!$ABX$1),0)),5)</f>
        <v>0</v>
      </c>
      <c r="ABY15" s="46" cm="1">
        <f t="array" ref="ABY15">ROUND(VALUE(IFERROR(INDEX(ArchiveResults!$F$5:$IX$116,ComparisonData!A15,ComparisonData!$ABY$1),0)),5)</f>
        <v>0</v>
      </c>
      <c r="ABZ15" s="56">
        <v>10</v>
      </c>
      <c r="ACA15" s="53" t="str">
        <f t="shared" si="105"/>
        <v>Bury Archives</v>
      </c>
      <c r="ACB15" s="60">
        <f t="shared" si="508"/>
        <v>0</v>
      </c>
      <c r="ACC15" s="60">
        <f t="shared" si="509"/>
        <v>0</v>
      </c>
      <c r="ACD15" s="60">
        <f t="shared" si="510"/>
        <v>0</v>
      </c>
      <c r="ACE15" s="60">
        <f t="shared" si="511"/>
        <v>0</v>
      </c>
      <c r="ACF15" s="60">
        <f t="shared" si="512"/>
        <v>0</v>
      </c>
      <c r="ACG15" s="76">
        <f t="shared" si="513"/>
        <v>0</v>
      </c>
      <c r="ACH15" s="46">
        <f t="shared" si="514"/>
        <v>19</v>
      </c>
      <c r="ACI15" s="46">
        <f t="shared" si="106"/>
        <v>2.5289999999999995</v>
      </c>
      <c r="ACJ15" s="46">
        <f t="shared" si="515"/>
        <v>1</v>
      </c>
      <c r="ACK15" s="46">
        <f t="shared" si="516"/>
        <v>2</v>
      </c>
      <c r="ACL15" s="46">
        <f t="shared" si="517"/>
        <v>0</v>
      </c>
      <c r="ACM15" s="46" cm="1">
        <f t="array" ref="ACM15">ROUND(IFERROR(INDEX(ArchiveResults!$F$5:$IX$116,ComparisonData!A15,ComparisonData!$ACM$1),0),5)</f>
        <v>0</v>
      </c>
      <c r="ACN15" s="46" cm="1">
        <f t="array" ref="ACN15">ROUND(IFERROR(INDEX(ArchiveResults!$F$5:$IX$116,ComparisonData!A15,ComparisonData!$ACN$1),0),5)</f>
        <v>0</v>
      </c>
      <c r="ACO15" s="56">
        <v>10</v>
      </c>
      <c r="ACP15" s="53" t="str">
        <f t="shared" si="107"/>
        <v>Bury Archives</v>
      </c>
      <c r="ACQ15" s="60">
        <f t="shared" si="518"/>
        <v>0</v>
      </c>
      <c r="ACR15" s="60">
        <f t="shared" si="519"/>
        <v>0</v>
      </c>
      <c r="ACS15" s="76">
        <f t="shared" si="520"/>
        <v>0</v>
      </c>
      <c r="ACT15" s="46">
        <f t="shared" si="521"/>
        <v>19</v>
      </c>
      <c r="ACU15" s="46">
        <f t="shared" si="108"/>
        <v>2.5289999999999995</v>
      </c>
      <c r="ACV15" s="46">
        <f t="shared" si="522"/>
        <v>1</v>
      </c>
      <c r="ACW15" s="46">
        <f t="shared" si="523"/>
        <v>2</v>
      </c>
      <c r="ACX15" s="46">
        <f t="shared" si="524"/>
        <v>0</v>
      </c>
      <c r="ACY15" s="46" cm="1">
        <f t="array" ref="ACY15">ROUNDDOWN(IFERROR(INDEX(ArchiveResults!$F$5:$IX$116,ComparisonData!A15,ComparisonData!$ACY$1),0),5)</f>
        <v>0</v>
      </c>
      <c r="ACZ15" s="46" cm="1">
        <f t="array" ref="ACZ15">ROUNDDOWN(IFERROR(INDEX(ArchiveResults!$F$5:$IX$116,ComparisonData!A15,ComparisonData!$ACZ$1),0),5)</f>
        <v>0</v>
      </c>
      <c r="ADA15" s="46" cm="1">
        <f t="array" ref="ADA15">ROUNDDOWN(IFERROR(INDEX(ArchiveResults!$F$5:$IX$116,ComparisonData!A15,ComparisonData!$ADA$1),0),5)</f>
        <v>0</v>
      </c>
      <c r="ADB15" s="56">
        <v>10</v>
      </c>
      <c r="ADC15" s="53" t="str">
        <f t="shared" si="109"/>
        <v>Bury Archives</v>
      </c>
      <c r="ADD15" s="60">
        <f t="shared" si="525"/>
        <v>0</v>
      </c>
      <c r="ADE15" s="60">
        <f t="shared" si="526"/>
        <v>0</v>
      </c>
      <c r="ADF15" s="60">
        <f t="shared" si="527"/>
        <v>0</v>
      </c>
      <c r="ADG15" s="76">
        <f t="shared" si="528"/>
        <v>0</v>
      </c>
    </row>
    <row r="16" spans="1:787" x14ac:dyDescent="0.25">
      <c r="A16" s="46" t="str">
        <f>IF(ISBLANK(ComparisonSelection!F12),"",ROW()-5)</f>
        <v/>
      </c>
      <c r="B16" s="53" t="s">
        <v>466</v>
      </c>
      <c r="C16" s="72">
        <v>0.53399999999999959</v>
      </c>
      <c r="D16" s="55">
        <f t="shared" si="110"/>
        <v>20</v>
      </c>
      <c r="E16" s="54">
        <f t="shared" si="111"/>
        <v>2.5339999999999998</v>
      </c>
      <c r="F16" s="54">
        <f t="shared" si="529"/>
        <v>1</v>
      </c>
      <c r="G16" s="72">
        <f t="shared" si="112"/>
        <v>2</v>
      </c>
      <c r="H16" s="72">
        <f t="shared" si="113"/>
        <v>0</v>
      </c>
      <c r="I16" s="46" cm="1">
        <f t="array" ref="I16">ROUND(IFERROR(INDEX(ArchiveResults!$F$5:$IX$116,ComparisonData!A16,ComparisonData!$I$1),0),5)</f>
        <v>0</v>
      </c>
      <c r="J16" s="46" cm="1">
        <f t="array" ref="J16">ROUND(IFERROR(INDEX(ArchiveResults!$F$5:$IX$116,ComparisonData!A16,ComparisonData!$J$1),0),5)</f>
        <v>0</v>
      </c>
      <c r="K16" s="56">
        <v>11</v>
      </c>
      <c r="L16" s="53" t="str">
        <f t="shared" si="114"/>
        <v>Cadbury Research Library, University of Birmingham</v>
      </c>
      <c r="M16" s="57">
        <f t="shared" si="0"/>
        <v>0</v>
      </c>
      <c r="N16" s="57">
        <f t="shared" si="1"/>
        <v>0</v>
      </c>
      <c r="O16" s="58">
        <f t="shared" si="115"/>
        <v>0</v>
      </c>
      <c r="P16" s="48">
        <f t="shared" si="116"/>
        <v>20</v>
      </c>
      <c r="Q16" s="54">
        <f t="shared" si="2"/>
        <v>2.5339999999999998</v>
      </c>
      <c r="R16" s="45">
        <f t="shared" si="117"/>
        <v>1</v>
      </c>
      <c r="S16" s="46">
        <f t="shared" si="118"/>
        <v>2</v>
      </c>
      <c r="T16" s="72">
        <f t="shared" si="119"/>
        <v>0</v>
      </c>
      <c r="U16" s="46" cm="1">
        <f t="array" ref="U16">ROUND(IFERROR(INDEX(ArchiveResults!$F$5:$IX$116,ComparisonData!A16,ComparisonData!$U$1),0),5)</f>
        <v>0</v>
      </c>
      <c r="V16" s="46" cm="1">
        <f t="array" ref="V16">ROUND(IFERROR(INDEX(ArchiveResults!$F$5:$IX$116,ComparisonData!A16,ComparisonData!$V$1),0),5)</f>
        <v>0</v>
      </c>
      <c r="W16" s="56">
        <v>11</v>
      </c>
      <c r="X16" s="53" t="str">
        <f t="shared" si="3"/>
        <v>Cadbury Research Library, University of Birmingham</v>
      </c>
      <c r="Y16" s="57">
        <f t="shared" si="120"/>
        <v>0</v>
      </c>
      <c r="Z16" s="57">
        <f t="shared" si="121"/>
        <v>0</v>
      </c>
      <c r="AA16" s="58">
        <f t="shared" si="122"/>
        <v>0</v>
      </c>
      <c r="AB16" s="45">
        <f t="shared" si="123"/>
        <v>20</v>
      </c>
      <c r="AC16" s="54">
        <f t="shared" si="4"/>
        <v>2.5339999999999998</v>
      </c>
      <c r="AD16" s="45">
        <f t="shared" si="124"/>
        <v>1</v>
      </c>
      <c r="AE16" s="45">
        <f t="shared" si="125"/>
        <v>2</v>
      </c>
      <c r="AF16" s="45">
        <f t="shared" si="126"/>
        <v>0</v>
      </c>
      <c r="AG16" s="46" cm="1">
        <f t="array" ref="AG16">ROUND(IFERROR(INDEX(ArchiveResults!$F$5:$IX$116,ComparisonData!A16,ComparisonData!$AG$1),0),5)</f>
        <v>0</v>
      </c>
      <c r="AH16" s="46" cm="1">
        <f t="array" ref="AH16">ROUND(IFERROR(INDEX(ArchiveResults!$F$5:$IX$116,ComparisonData!A16,ComparisonData!$AH$1),0),5)</f>
        <v>0</v>
      </c>
      <c r="AI16" s="56">
        <v>11</v>
      </c>
      <c r="AJ16" s="53" t="str">
        <f t="shared" si="5"/>
        <v>Cadbury Research Library, University of Birmingham</v>
      </c>
      <c r="AK16" s="59">
        <f t="shared" si="6"/>
        <v>0</v>
      </c>
      <c r="AL16" s="59">
        <f t="shared" si="7"/>
        <v>0</v>
      </c>
      <c r="AM16" s="58">
        <f t="shared" si="127"/>
        <v>0</v>
      </c>
      <c r="AN16" s="45">
        <f t="shared" si="128"/>
        <v>20</v>
      </c>
      <c r="AO16" s="54">
        <f t="shared" si="8"/>
        <v>2.5339999999999998</v>
      </c>
      <c r="AP16" s="45">
        <f t="shared" si="129"/>
        <v>1</v>
      </c>
      <c r="AQ16" s="45">
        <f t="shared" si="130"/>
        <v>2</v>
      </c>
      <c r="AR16" s="46" cm="1">
        <f t="array" ref="AR16">ROUND(IFERROR(INDEX(ArchiveResults!$F$5:$IX$116,ComparisonData!A16,ComparisonData!$AR$1),0),5)</f>
        <v>0</v>
      </c>
      <c r="AS16" s="46" cm="1">
        <f t="array" ref="AS16">ROUND(IFERROR(INDEX(ArchiveResults!$F$5:$IX$116,ComparisonData!A16,ComparisonData!$AS$1),0),5)</f>
        <v>0</v>
      </c>
      <c r="AT16" s="46" cm="1">
        <f t="array" ref="AT16">ROUND(IFERROR(INDEX(ArchiveResults!$F$5:$IX$116,ComparisonData!A16,ComparisonData!$AT$1),0),5)</f>
        <v>0</v>
      </c>
      <c r="AU16" s="46" cm="1">
        <f t="array" ref="AU16">ROUND(IFERROR(INDEX(ArchiveResults!$F$5:$IX$116,ComparisonData!A16,ComparisonData!$AU$1),0),5)</f>
        <v>0</v>
      </c>
      <c r="AV16" s="46" cm="1">
        <f t="array" ref="AV16">ROUND(IFERROR(INDEX(ArchiveResults!$F$5:$IX$116,ComparisonData!A16,ComparisonData!$AV$1),0),5)</f>
        <v>0</v>
      </c>
      <c r="AW16" s="46" cm="1">
        <f t="array" ref="AW16">ROUND(IFERROR(INDEX(ArchiveResults!$F$5:$IX$116,ComparisonData!A16,ComparisonData!$AW$1),0),5)</f>
        <v>0</v>
      </c>
      <c r="AX16" s="46" cm="1">
        <f t="array" ref="AX16">ROUND(IFERROR(INDEX(ArchiveResults!$F$5:$IX$116,ComparisonData!A16,ComparisonData!$AX$1),0),5)</f>
        <v>0</v>
      </c>
      <c r="AY16" s="46" cm="1">
        <f t="array" ref="AY16">ROUND(IFERROR(INDEX(ArchiveResults!$F$5:$IX$116,ComparisonData!A16,ComparisonData!$AY$1),0),5)</f>
        <v>0</v>
      </c>
      <c r="AZ16" s="46" cm="1">
        <f t="array" ref="AZ16">ROUND(IFERROR(INDEX(ArchiveResults!$F$5:$IX$116,ComparisonData!A16,ComparisonData!$AZ$1),0),5)</f>
        <v>0</v>
      </c>
      <c r="BA16" s="46" cm="1">
        <f t="array" ref="BA16">ROUND(IFERROR(INDEX(ArchiveResults!$F$5:$IX$116,ComparisonData!A16,ComparisonData!$BA$1),0),5)</f>
        <v>0</v>
      </c>
      <c r="BB16" s="56">
        <v>11</v>
      </c>
      <c r="BC16" s="53" t="str">
        <f t="shared" si="9"/>
        <v>Cadbury Research Library, University of Birmingham</v>
      </c>
      <c r="BD16" s="60">
        <f t="shared" si="131"/>
        <v>0</v>
      </c>
      <c r="BE16" s="60">
        <f t="shared" si="132"/>
        <v>0</v>
      </c>
      <c r="BF16" s="60">
        <f t="shared" si="133"/>
        <v>0</v>
      </c>
      <c r="BG16" s="60">
        <f t="shared" si="134"/>
        <v>0</v>
      </c>
      <c r="BH16" s="60">
        <f t="shared" si="135"/>
        <v>0</v>
      </c>
      <c r="BI16" s="60">
        <f t="shared" si="136"/>
        <v>0</v>
      </c>
      <c r="BJ16" s="60">
        <f t="shared" si="137"/>
        <v>0</v>
      </c>
      <c r="BK16" s="60">
        <f t="shared" si="138"/>
        <v>0</v>
      </c>
      <c r="BL16" s="60">
        <f t="shared" si="139"/>
        <v>0</v>
      </c>
      <c r="BM16" s="59">
        <f t="shared" si="140"/>
        <v>0</v>
      </c>
      <c r="BN16" s="58">
        <f t="shared" si="141"/>
        <v>0</v>
      </c>
      <c r="BO16" s="45">
        <f t="shared" si="142"/>
        <v>20</v>
      </c>
      <c r="BP16" s="54">
        <f t="shared" si="10"/>
        <v>2.5339999999999998</v>
      </c>
      <c r="BQ16" s="45">
        <f t="shared" si="143"/>
        <v>1</v>
      </c>
      <c r="BR16" s="45">
        <f t="shared" si="144"/>
        <v>2</v>
      </c>
      <c r="BS16" s="46" cm="1">
        <f t="array" ref="BS16">ROUND(IFERROR(INDEX(ArchiveResults!$F$5:$IX$116,ComparisonData!A16,ComparisonData!$BS$1),0),5)</f>
        <v>0</v>
      </c>
      <c r="BT16" s="46" cm="1">
        <f t="array" ref="BT16">ROUND(IFERROR(INDEX(ArchiveResults!$F$5:$IX$116,ComparisonData!A16,ComparisonData!$BT$1),0),5)</f>
        <v>0</v>
      </c>
      <c r="BU16" s="46" cm="1">
        <f t="array" ref="BU16">ROUND(IFERROR(INDEX(ArchiveResults!$F$5:$IX$116,ComparisonData!A16,ComparisonData!$BU$1),0),5)</f>
        <v>0</v>
      </c>
      <c r="BV16" s="46" cm="1">
        <f t="array" ref="BV16">ROUND(IFERROR(INDEX(ArchiveResults!$F$5:$IX$116,ComparisonData!A16,ComparisonData!$BV$1),0),5)</f>
        <v>0</v>
      </c>
      <c r="BW16" s="46" cm="1">
        <f t="array" ref="BW16">ROUND(IFERROR(INDEX(ArchiveResults!$F$5:$IX$116,ComparisonData!A16,ComparisonData!$BW$1),0),5)</f>
        <v>0</v>
      </c>
      <c r="BX16" s="46" cm="1">
        <f t="array" ref="BX16">ROUND(IFERROR(INDEX(ArchiveResults!$F$5:$IX$116,ComparisonData!A16,ComparisonData!$BX$1),0),5)</f>
        <v>0</v>
      </c>
      <c r="BY16" s="56">
        <v>11</v>
      </c>
      <c r="BZ16" s="53" t="str">
        <f t="shared" si="11"/>
        <v>Cadbury Research Library, University of Birmingham</v>
      </c>
      <c r="CA16" s="59">
        <f t="shared" si="145"/>
        <v>0</v>
      </c>
      <c r="CB16" s="59">
        <f t="shared" si="146"/>
        <v>0</v>
      </c>
      <c r="CC16" s="59">
        <f t="shared" si="147"/>
        <v>0</v>
      </c>
      <c r="CD16" s="59">
        <f t="shared" si="148"/>
        <v>0</v>
      </c>
      <c r="CE16" s="59">
        <f t="shared" si="149"/>
        <v>0</v>
      </c>
      <c r="CF16" s="59">
        <f t="shared" si="150"/>
        <v>0</v>
      </c>
      <c r="CG16" s="58">
        <f t="shared" si="151"/>
        <v>0</v>
      </c>
      <c r="CH16" s="45">
        <f t="shared" si="152"/>
        <v>20</v>
      </c>
      <c r="CI16" s="54">
        <f t="shared" si="12"/>
        <v>2.5339999999999998</v>
      </c>
      <c r="CJ16" s="45">
        <f t="shared" si="153"/>
        <v>1</v>
      </c>
      <c r="CK16" s="45">
        <f t="shared" si="154"/>
        <v>2</v>
      </c>
      <c r="CL16" s="46" cm="1">
        <f t="array" ref="CL16">ROUND(IFERROR(INDEX(ArchiveResults!$F$5:$IX$116,ComparisonData!A16,ComparisonData!$CL$1),0),5)</f>
        <v>0</v>
      </c>
      <c r="CM16" s="56">
        <v>11</v>
      </c>
      <c r="CN16" s="53" t="str">
        <f t="shared" si="13"/>
        <v>Cadbury Research Library, University of Birmingham</v>
      </c>
      <c r="CO16" s="45">
        <f t="shared" si="155"/>
        <v>0</v>
      </c>
      <c r="CP16" s="58">
        <f t="shared" si="156"/>
        <v>0</v>
      </c>
      <c r="CQ16" s="45">
        <f t="shared" si="157"/>
        <v>20</v>
      </c>
      <c r="CR16" s="54">
        <f t="shared" si="14"/>
        <v>2.5339999999999998</v>
      </c>
      <c r="CS16" s="45">
        <f t="shared" si="158"/>
        <v>1</v>
      </c>
      <c r="CT16" s="45">
        <f t="shared" si="159"/>
        <v>2</v>
      </c>
      <c r="CU16" s="46" cm="1">
        <f t="array" ref="CU16">ROUND(IFERROR(INDEX(ArchiveResults!$F$5:$IX$116,ComparisonData!A16,ComparisonData!$CU$1),0),5)</f>
        <v>0</v>
      </c>
      <c r="CV16" s="56">
        <v>11</v>
      </c>
      <c r="CW16" s="53" t="str">
        <f t="shared" si="15"/>
        <v>Cadbury Research Library, University of Birmingham</v>
      </c>
      <c r="CX16" s="45">
        <f t="shared" si="160"/>
        <v>0</v>
      </c>
      <c r="CY16" s="58">
        <f t="shared" si="161"/>
        <v>0</v>
      </c>
      <c r="CZ16" s="45">
        <f t="shared" si="162"/>
        <v>20</v>
      </c>
      <c r="DA16" s="54">
        <f t="shared" si="16"/>
        <v>2.5339999999999998</v>
      </c>
      <c r="DB16" s="45">
        <f t="shared" si="163"/>
        <v>1</v>
      </c>
      <c r="DC16" s="45">
        <f t="shared" si="164"/>
        <v>2</v>
      </c>
      <c r="DD16" s="46" cm="1">
        <f t="array" ref="DD16">ROUND(IFERROR(INDEX(ArchiveResults!$F$5:$IX$116,ComparisonData!A16,ComparisonData!$DD$1),0),5)</f>
        <v>0</v>
      </c>
      <c r="DE16" s="56">
        <v>11</v>
      </c>
      <c r="DF16" s="53" t="str">
        <f t="shared" si="17"/>
        <v>Cadbury Research Library, University of Birmingham</v>
      </c>
      <c r="DG16" s="45">
        <f t="shared" si="165"/>
        <v>0</v>
      </c>
      <c r="DH16" s="58">
        <f t="shared" si="166"/>
        <v>0</v>
      </c>
      <c r="DI16" s="45">
        <f t="shared" si="167"/>
        <v>20</v>
      </c>
      <c r="DJ16" s="54">
        <f t="shared" si="18"/>
        <v>2.5339999999999998</v>
      </c>
      <c r="DK16" s="45">
        <f t="shared" si="168"/>
        <v>1</v>
      </c>
      <c r="DL16" s="45">
        <f t="shared" si="169"/>
        <v>2</v>
      </c>
      <c r="DM16" s="46" cm="1">
        <f t="array" ref="DM16">ROUND(IFERROR(INDEX(ArchiveResults!$F$5:$IX$116,ComparisonData!A16,ComparisonData!$DM$1),0),5)</f>
        <v>0</v>
      </c>
      <c r="DN16" s="46" cm="1">
        <f t="array" ref="DN16">ROUND(IFERROR(INDEX(ArchiveResults!$F$5:$IX$116,ComparisonData!A16,ComparisonData!$DN$1),0),5)</f>
        <v>0</v>
      </c>
      <c r="DO16" s="46" cm="1">
        <f t="array" ref="DO16">ROUND(IFERROR(INDEX(ArchiveResults!$F$5:$IX$116,ComparisonData!A16,ComparisonData!$DO$1),0),5)</f>
        <v>0</v>
      </c>
      <c r="DP16" s="46" cm="1">
        <f t="array" ref="DP16">ROUND(IFERROR(INDEX(ArchiveResults!$F$5:$IX$116,ComparisonData!A16,ComparisonData!$DP$1),0),5)</f>
        <v>0</v>
      </c>
      <c r="DQ16" s="45" cm="1">
        <f t="array" ref="DQ16">IFERROR(INDEX(ArchiveResults!$F$5:$IX$116,ComparisonData!A16,ComparisonData!$DQ$1),0)</f>
        <v>0</v>
      </c>
      <c r="DR16" s="56">
        <v>11</v>
      </c>
      <c r="DS16" s="53" t="str">
        <f t="shared" si="19"/>
        <v>Cadbury Research Library, University of Birmingham</v>
      </c>
      <c r="DT16" s="59">
        <f t="shared" si="170"/>
        <v>0</v>
      </c>
      <c r="DU16" s="59">
        <f t="shared" si="171"/>
        <v>0</v>
      </c>
      <c r="DV16" s="59">
        <f t="shared" si="172"/>
        <v>0</v>
      </c>
      <c r="DW16" s="59">
        <f t="shared" si="173"/>
        <v>0</v>
      </c>
      <c r="DX16" s="59">
        <f t="shared" si="174"/>
        <v>0</v>
      </c>
      <c r="DY16" s="58">
        <f t="shared" si="175"/>
        <v>0</v>
      </c>
      <c r="DZ16" s="45">
        <f t="shared" si="176"/>
        <v>20</v>
      </c>
      <c r="EA16" s="54">
        <f t="shared" si="20"/>
        <v>2.5339999999999998</v>
      </c>
      <c r="EB16" s="45">
        <f t="shared" si="177"/>
        <v>1</v>
      </c>
      <c r="EC16" s="45">
        <f t="shared" si="178"/>
        <v>2</v>
      </c>
      <c r="ED16" s="46" cm="1">
        <f t="array" ref="ED16">ROUND(IFERROR(INDEX(ArchiveResults!$F$5:$IX$116,ComparisonData!A16,ComparisonData!$ED$1),0),5)</f>
        <v>0</v>
      </c>
      <c r="EE16" s="46" cm="1">
        <f t="array" ref="EE16">ROUND(IFERROR(INDEX(ArchiveResults!$F$5:$IX$116,ComparisonData!A16,ComparisonData!$EE$1),0),5)</f>
        <v>0</v>
      </c>
      <c r="EF16" s="46" cm="1">
        <f t="array" ref="EF16">ROUND(IFERROR(INDEX(ArchiveResults!$F$5:$IX$116,ComparisonData!A16,ComparisonData!$EF$1),0),5)</f>
        <v>0</v>
      </c>
      <c r="EG16" s="46" cm="1">
        <f t="array" ref="EG16">ROUND(IFERROR(INDEX(ArchiveResults!$F$5:$IX$116,ComparisonData!A16,ComparisonData!$EG$1),0),5)</f>
        <v>0</v>
      </c>
      <c r="EH16" s="45" cm="1">
        <f t="array" ref="EH16">IFERROR(INDEX(ArchiveResults!$F$5:$IX$116,ComparisonData!A16,ComparisonData!$EH$1),0)</f>
        <v>0</v>
      </c>
      <c r="EI16" s="56">
        <v>11</v>
      </c>
      <c r="EJ16" s="53" t="str">
        <f t="shared" si="21"/>
        <v>Cadbury Research Library, University of Birmingham</v>
      </c>
      <c r="EK16" s="59">
        <f t="shared" si="179"/>
        <v>0</v>
      </c>
      <c r="EL16" s="59">
        <f t="shared" si="180"/>
        <v>0</v>
      </c>
      <c r="EM16" s="59">
        <f t="shared" si="181"/>
        <v>0</v>
      </c>
      <c r="EN16" s="59">
        <f t="shared" si="182"/>
        <v>0</v>
      </c>
      <c r="EO16" s="59">
        <f t="shared" si="183"/>
        <v>0</v>
      </c>
      <c r="EP16" s="58">
        <f t="shared" si="184"/>
        <v>0</v>
      </c>
      <c r="EQ16" s="45">
        <f t="shared" si="185"/>
        <v>20</v>
      </c>
      <c r="ER16" s="54">
        <f t="shared" si="22"/>
        <v>2.5339999999999998</v>
      </c>
      <c r="ES16" s="45">
        <f t="shared" si="186"/>
        <v>1</v>
      </c>
      <c r="ET16" s="45">
        <f t="shared" si="187"/>
        <v>2</v>
      </c>
      <c r="EU16" s="46" cm="1">
        <f t="array" ref="EU16">ROUND(IFERROR(INDEX(ArchiveResults!$F$5:$IX$116,ComparisonData!A16,ComparisonData!$EU$1),0),5)</f>
        <v>0</v>
      </c>
      <c r="EV16" s="46" cm="1">
        <f t="array" ref="EV16">ROUND(IFERROR(INDEX(ArchiveResults!$F$5:$IX$116,ComparisonData!A16,ComparisonData!$EV$1),0),5)</f>
        <v>0</v>
      </c>
      <c r="EW16" s="46" cm="1">
        <f t="array" ref="EW16">ROUND(IFERROR(INDEX(ArchiveResults!$F$5:$IX$116,ComparisonData!A16,ComparisonData!$EW$1),0),5)</f>
        <v>0</v>
      </c>
      <c r="EX16" s="46" cm="1">
        <f t="array" ref="EX16">ROUND(IFERROR(INDEX(ArchiveResults!$F$5:$IX$116,ComparisonData!A16,ComparisonData!$EX$1),0),5)</f>
        <v>0</v>
      </c>
      <c r="EY16" s="45" cm="1">
        <f t="array" ref="EY16">IFERROR(INDEX(ArchiveResults!$F$5:$IX$116,ComparisonData!A16,ComparisonData!$EY$1),0)</f>
        <v>0</v>
      </c>
      <c r="EZ16" s="56">
        <v>11</v>
      </c>
      <c r="FA16" s="53" t="str">
        <f t="shared" si="23"/>
        <v>Cadbury Research Library, University of Birmingham</v>
      </c>
      <c r="FB16" s="59">
        <f t="shared" si="188"/>
        <v>0</v>
      </c>
      <c r="FC16" s="59">
        <f t="shared" si="189"/>
        <v>0</v>
      </c>
      <c r="FD16" s="59">
        <f t="shared" si="190"/>
        <v>0</v>
      </c>
      <c r="FE16" s="59">
        <f t="shared" si="191"/>
        <v>0</v>
      </c>
      <c r="FF16" s="59">
        <f t="shared" si="192"/>
        <v>0</v>
      </c>
      <c r="FG16" s="58">
        <f t="shared" si="193"/>
        <v>0</v>
      </c>
      <c r="FH16" s="45">
        <f t="shared" si="194"/>
        <v>20</v>
      </c>
      <c r="FI16" s="54">
        <f t="shared" si="24"/>
        <v>2.5339999999999998</v>
      </c>
      <c r="FJ16" s="45">
        <f t="shared" si="195"/>
        <v>1</v>
      </c>
      <c r="FK16" s="45">
        <f t="shared" si="196"/>
        <v>2</v>
      </c>
      <c r="FL16" s="46" cm="1">
        <f t="array" ref="FL16">ROUND(IFERROR(INDEX(ArchiveResults!$F$5:$IX$116,ComparisonData!A16,ComparisonData!$FL$1),0),5)</f>
        <v>0</v>
      </c>
      <c r="FM16" s="46" cm="1">
        <f t="array" ref="FM16">ROUND(IFERROR(INDEX(ArchiveResults!$F$5:$IX$116,ComparisonData!A16,ComparisonData!$FM$1),0),5)</f>
        <v>0</v>
      </c>
      <c r="FN16" s="46" cm="1">
        <f t="array" ref="FN16">ROUND(IFERROR(INDEX(ArchiveResults!$F$5:$IX$116,ComparisonData!A16,ComparisonData!$FN$1),0),5)</f>
        <v>0</v>
      </c>
      <c r="FO16" s="46" cm="1">
        <f t="array" ref="FO16">ROUND(IFERROR(INDEX(ArchiveResults!$F$5:$IX$116,ComparisonData!A16,ComparisonData!$FO$1),0),5)</f>
        <v>0</v>
      </c>
      <c r="FP16" s="45" cm="1">
        <f t="array" ref="FP16">IFERROR(INDEX(ArchiveResults!$F$5:$IX$116,ComparisonData!A16,ComparisonData!$FP$1),0)</f>
        <v>0</v>
      </c>
      <c r="FQ16" s="56">
        <v>11</v>
      </c>
      <c r="FR16" s="53" t="str">
        <f t="shared" si="25"/>
        <v>Cadbury Research Library, University of Birmingham</v>
      </c>
      <c r="FS16" s="59">
        <f t="shared" si="197"/>
        <v>0</v>
      </c>
      <c r="FT16" s="59">
        <f t="shared" si="198"/>
        <v>0</v>
      </c>
      <c r="FU16" s="59">
        <f t="shared" si="199"/>
        <v>0</v>
      </c>
      <c r="FV16" s="59">
        <f t="shared" si="200"/>
        <v>0</v>
      </c>
      <c r="FW16" s="59">
        <f t="shared" si="201"/>
        <v>0</v>
      </c>
      <c r="FX16" s="58">
        <f t="shared" si="202"/>
        <v>0</v>
      </c>
      <c r="FY16" s="45">
        <f t="shared" si="203"/>
        <v>20</v>
      </c>
      <c r="FZ16" s="45">
        <f t="shared" si="26"/>
        <v>2.5339999999999998</v>
      </c>
      <c r="GA16" s="45">
        <f t="shared" si="204"/>
        <v>1</v>
      </c>
      <c r="GB16" s="45">
        <f t="shared" si="205"/>
        <v>2</v>
      </c>
      <c r="GC16" s="46" cm="1">
        <f t="array" ref="GC16">ROUND(IFERROR(INDEX(ArchiveResults!$F$5:$IX$116,ComparisonData!A16,ComparisonData!$GC$1),0),5)</f>
        <v>0</v>
      </c>
      <c r="GD16" s="46" cm="1">
        <f t="array" ref="GD16">ROUND(IFERROR(INDEX(ArchiveResults!$F$5:$IX$116,ComparisonData!A16,ComparisonData!$GD$1),0),5)</f>
        <v>0</v>
      </c>
      <c r="GE16" s="46" cm="1">
        <f t="array" ref="GE16">ROUND(IFERROR(INDEX(ArchiveResults!$F$5:$IX$116,ComparisonData!A16,ComparisonData!$GE$1),0),5)</f>
        <v>0</v>
      </c>
      <c r="GF16" s="46" cm="1">
        <f t="array" ref="GF16">ROUND(IFERROR(INDEX(ArchiveResults!$F$5:$IX$116,ComparisonData!A16,ComparisonData!$GF$1),0),5)</f>
        <v>0</v>
      </c>
      <c r="GG16" s="45" cm="1">
        <f t="array" ref="GG16">IFERROR(INDEX(ArchiveResults!$F$5:$IX$116,ComparisonData!A16,ComparisonData!$GG$1),0)</f>
        <v>0</v>
      </c>
      <c r="GH16" s="56">
        <v>11</v>
      </c>
      <c r="GI16" s="53" t="str">
        <f t="shared" si="27"/>
        <v>Cadbury Research Library, University of Birmingham</v>
      </c>
      <c r="GJ16" s="59">
        <f t="shared" si="206"/>
        <v>0</v>
      </c>
      <c r="GK16" s="59">
        <f t="shared" si="207"/>
        <v>0</v>
      </c>
      <c r="GL16" s="59">
        <f t="shared" si="208"/>
        <v>0</v>
      </c>
      <c r="GM16" s="59">
        <f t="shared" si="209"/>
        <v>0</v>
      </c>
      <c r="GN16" s="59">
        <f t="shared" si="210"/>
        <v>0</v>
      </c>
      <c r="GO16" s="58">
        <f t="shared" si="211"/>
        <v>0</v>
      </c>
      <c r="GP16" s="45">
        <f t="shared" si="212"/>
        <v>20</v>
      </c>
      <c r="GQ16" s="45">
        <f t="shared" si="28"/>
        <v>2.5339999999999998</v>
      </c>
      <c r="GR16" s="45">
        <f t="shared" si="213"/>
        <v>1</v>
      </c>
      <c r="GS16" s="45">
        <f t="shared" si="214"/>
        <v>2</v>
      </c>
      <c r="GT16" s="46" cm="1">
        <f t="array" ref="GT16">ROUND(IFERROR(INDEX(ArchiveResults!$F$5:$IX$116,ComparisonData!A16,ComparisonData!$GT$1),0),5)</f>
        <v>0</v>
      </c>
      <c r="GU16" s="46" cm="1">
        <f t="array" ref="GU16">ROUND(IFERROR(INDEX(ArchiveResults!$F$5:$IX$116,ComparisonData!A16,ComparisonData!$GU$1),0),5)</f>
        <v>0</v>
      </c>
      <c r="GV16" s="46" cm="1">
        <f t="array" ref="GV16">ROUND(IFERROR(INDEX(ArchiveResults!$F$5:$IX$116,ComparisonData!A16,ComparisonData!$GV$1),0),5)</f>
        <v>0</v>
      </c>
      <c r="GW16" s="46" cm="1">
        <f t="array" ref="GW16">ROUND(IFERROR(INDEX(ArchiveResults!$F$5:$IX$116,ComparisonData!A16,ComparisonData!$GW$1),0),5)</f>
        <v>0</v>
      </c>
      <c r="GX16" s="45" cm="1">
        <f t="array" ref="GX16">IFERROR(INDEX(ArchiveResults!$F$5:$IX$116,ComparisonData!A16,ComparisonData!$GX$1),0)</f>
        <v>0</v>
      </c>
      <c r="GY16" s="56">
        <v>11</v>
      </c>
      <c r="GZ16" s="53" t="str">
        <f t="shared" si="29"/>
        <v>Cadbury Research Library, University of Birmingham</v>
      </c>
      <c r="HA16" s="59">
        <f t="shared" si="215"/>
        <v>0</v>
      </c>
      <c r="HB16" s="59">
        <f t="shared" si="216"/>
        <v>0</v>
      </c>
      <c r="HC16" s="59">
        <f t="shared" si="217"/>
        <v>0</v>
      </c>
      <c r="HD16" s="59">
        <f t="shared" si="218"/>
        <v>0</v>
      </c>
      <c r="HE16" s="59">
        <f t="shared" si="219"/>
        <v>0</v>
      </c>
      <c r="HF16" s="58">
        <f t="shared" si="220"/>
        <v>0</v>
      </c>
      <c r="HG16" s="45">
        <f t="shared" si="221"/>
        <v>20</v>
      </c>
      <c r="HH16" s="45">
        <f t="shared" si="30"/>
        <v>2.5339999999999998</v>
      </c>
      <c r="HI16" s="45">
        <f t="shared" si="222"/>
        <v>1</v>
      </c>
      <c r="HJ16" s="45">
        <f t="shared" si="223"/>
        <v>2</v>
      </c>
      <c r="HK16" s="46" cm="1">
        <f t="array" ref="HK16">ROUND(IFERROR(INDEX(ArchiveResults!$F$5:$IX$116,ComparisonData!A16,ComparisonData!$HK$1),0),5)</f>
        <v>0</v>
      </c>
      <c r="HL16" s="46" cm="1">
        <f t="array" ref="HL16">ROUND(IFERROR(INDEX(ArchiveResults!$F$5:$IX$116,ComparisonData!A16,ComparisonData!$HL$1),0),5)</f>
        <v>0</v>
      </c>
      <c r="HM16" s="46" cm="1">
        <f t="array" ref="HM16">ROUND(IFERROR(INDEX(ArchiveResults!$F$5:$IX$116,ComparisonData!A16,ComparisonData!$HM$1),0),5)</f>
        <v>0</v>
      </c>
      <c r="HN16" s="46" cm="1">
        <f t="array" ref="HN16">ROUND(IFERROR(INDEX(ArchiveResults!$F$5:$IX$116,ComparisonData!A16,ComparisonData!$HN$1),0),5)</f>
        <v>0</v>
      </c>
      <c r="HO16" s="45" cm="1">
        <f t="array" ref="HO16">IFERROR(INDEX(ArchiveResults!$F$5:$IX$116,ComparisonData!A16,ComparisonData!$HO$1),0)</f>
        <v>0</v>
      </c>
      <c r="HP16" s="56">
        <v>11</v>
      </c>
      <c r="HQ16" s="53" t="str">
        <f t="shared" si="31"/>
        <v>Cadbury Research Library, University of Birmingham</v>
      </c>
      <c r="HR16" s="59">
        <f t="shared" si="32"/>
        <v>0</v>
      </c>
      <c r="HS16" s="59">
        <f t="shared" si="33"/>
        <v>0</v>
      </c>
      <c r="HT16" s="59">
        <f t="shared" si="34"/>
        <v>0</v>
      </c>
      <c r="HU16" s="59">
        <f t="shared" si="35"/>
        <v>0</v>
      </c>
      <c r="HV16" s="59">
        <f t="shared" si="36"/>
        <v>0</v>
      </c>
      <c r="HW16" s="58">
        <f t="shared" si="224"/>
        <v>0</v>
      </c>
      <c r="HX16" s="45">
        <f t="shared" si="225"/>
        <v>20</v>
      </c>
      <c r="HY16" s="45">
        <f t="shared" si="37"/>
        <v>2.5339999999999998</v>
      </c>
      <c r="HZ16" s="45">
        <f t="shared" si="226"/>
        <v>1</v>
      </c>
      <c r="IA16" s="45">
        <f t="shared" si="227"/>
        <v>2</v>
      </c>
      <c r="IB16" s="45">
        <f t="shared" si="228"/>
        <v>0</v>
      </c>
      <c r="IC16" s="46" cm="1">
        <f t="array" ref="IC16">ROUND(IFERROR(INDEX(ArchiveResults!$F$5:$IX$116,ComparisonData!A16,ComparisonData!$IC$1),0),5)</f>
        <v>0</v>
      </c>
      <c r="ID16" s="46" cm="1">
        <f t="array" ref="ID16">ROUND(IFERROR(INDEX(ArchiveResults!$F$5:$IX$116,ComparisonData!A16,ComparisonData!$ID$1),0),5)</f>
        <v>0</v>
      </c>
      <c r="IE16" s="46" cm="1">
        <f t="array" ref="IE16">ROUND(IFERROR(INDEX(ArchiveResults!$F$5:$IX$116,ComparisonData!A16,ComparisonData!$IE$1),0),5)</f>
        <v>0</v>
      </c>
      <c r="IF16" s="46" cm="1">
        <f t="array" ref="IF16">ROUND(IFERROR(INDEX(ArchiveResults!$F$5:$IX$116,ComparisonData!A16,ComparisonData!$IF$1),0),5)</f>
        <v>0</v>
      </c>
      <c r="IG16" s="45" cm="1">
        <f t="array" ref="IG16">IFERROR(INDEX(ArchiveResults!$F$5:$IX$116,ComparisonData!A16,ComparisonData!$IG$1),0)</f>
        <v>0</v>
      </c>
      <c r="IH16" s="56">
        <v>11</v>
      </c>
      <c r="II16" s="53" t="str">
        <f t="shared" si="38"/>
        <v>Cadbury Research Library, University of Birmingham</v>
      </c>
      <c r="IJ16" s="59">
        <f t="shared" si="229"/>
        <v>0</v>
      </c>
      <c r="IK16" s="59">
        <f t="shared" si="230"/>
        <v>0</v>
      </c>
      <c r="IL16" s="59">
        <f t="shared" si="231"/>
        <v>0</v>
      </c>
      <c r="IM16" s="59">
        <f t="shared" si="232"/>
        <v>0</v>
      </c>
      <c r="IN16" s="59">
        <f t="shared" si="233"/>
        <v>0</v>
      </c>
      <c r="IO16" s="58">
        <f t="shared" si="234"/>
        <v>0</v>
      </c>
      <c r="IP16" s="45">
        <f t="shared" si="235"/>
        <v>20</v>
      </c>
      <c r="IQ16" s="45">
        <f t="shared" si="39"/>
        <v>2.5339999999999998</v>
      </c>
      <c r="IR16" s="45">
        <f t="shared" si="236"/>
        <v>1</v>
      </c>
      <c r="IS16" s="45">
        <f t="shared" si="237"/>
        <v>2</v>
      </c>
      <c r="IT16" s="46">
        <f t="shared" si="238"/>
        <v>0</v>
      </c>
      <c r="IU16" s="46" cm="1">
        <f t="array" ref="IU16">ROUND(IFERROR(INDEX(ArchiveResults!$F$5:$IX$116,ComparisonData!A16,ComparisonData!$IU$1),0),5)</f>
        <v>0</v>
      </c>
      <c r="IV16" s="46" cm="1">
        <f t="array" ref="IV16">ROUND(IFERROR(INDEX(ArchiveResults!$F$5:$IX$116,ComparisonData!A16,ComparisonData!$IV$1),0),5)</f>
        <v>0</v>
      </c>
      <c r="IW16" s="46" cm="1">
        <f t="array" ref="IW16">ROUND(IFERROR(INDEX(ArchiveResults!$F$5:$IX$116,ComparisonData!A16,ComparisonData!$IW$1),0),5)</f>
        <v>0</v>
      </c>
      <c r="IX16" s="46" cm="1">
        <f t="array" ref="IX16">ROUND(IFERROR(INDEX(ArchiveResults!$F$5:$IX$116,ComparisonData!A16,ComparisonData!$IX$1),0),5)</f>
        <v>0</v>
      </c>
      <c r="IY16" s="45" cm="1">
        <f t="array" ref="IY16">IFERROR(INDEX(ArchiveResults!$F$5:$IX$116,ComparisonData!A16,ComparisonData!$IY$1),0)</f>
        <v>0</v>
      </c>
      <c r="IZ16" s="56">
        <v>11</v>
      </c>
      <c r="JA16" s="53" t="str">
        <f t="shared" si="40"/>
        <v>Cadbury Research Library, University of Birmingham</v>
      </c>
      <c r="JB16" s="59">
        <f t="shared" si="239"/>
        <v>0</v>
      </c>
      <c r="JC16" s="59">
        <f t="shared" si="240"/>
        <v>0</v>
      </c>
      <c r="JD16" s="59">
        <f t="shared" si="241"/>
        <v>0</v>
      </c>
      <c r="JE16" s="59">
        <f t="shared" si="242"/>
        <v>0</v>
      </c>
      <c r="JF16" s="59">
        <f t="shared" si="243"/>
        <v>0</v>
      </c>
      <c r="JG16" s="58">
        <f t="shared" si="244"/>
        <v>0</v>
      </c>
      <c r="JH16" s="45">
        <f t="shared" si="245"/>
        <v>20</v>
      </c>
      <c r="JI16" s="45">
        <f t="shared" si="41"/>
        <v>2.5339999999999998</v>
      </c>
      <c r="JJ16" s="45">
        <f t="shared" si="246"/>
        <v>1</v>
      </c>
      <c r="JK16" s="45">
        <f t="shared" si="247"/>
        <v>2</v>
      </c>
      <c r="JL16" s="45">
        <f t="shared" si="248"/>
        <v>0</v>
      </c>
      <c r="JM16" s="46" cm="1">
        <f t="array" ref="JM16">ROUND(IFERROR(INDEX(ArchiveResults!$F$5:$IX$116,ComparisonData!A16,ComparisonData!$JM$1),0),5)</f>
        <v>0</v>
      </c>
      <c r="JN16" s="46" cm="1">
        <f t="array" ref="JN16">ROUND(IFERROR(INDEX(ArchiveResults!$F$5:$IX$116,ComparisonData!A16,ComparisonData!$JN$1),0),5)</f>
        <v>0</v>
      </c>
      <c r="JO16" s="46" cm="1">
        <f t="array" ref="JO16">ROUND(IFERROR(INDEX(ArchiveResults!$F$5:$IX$116,ComparisonData!A16,ComparisonData!$JO$1),0),5)</f>
        <v>0</v>
      </c>
      <c r="JP16" s="46" cm="1">
        <f t="array" ref="JP16">ROUND(IFERROR(INDEX(ArchiveResults!$F$5:$IX$116,ComparisonData!A16,ComparisonData!$JP$1),0),5)</f>
        <v>0</v>
      </c>
      <c r="JQ16" s="45" cm="1">
        <f t="array" ref="JQ16">IFERROR(INDEX(ArchiveResults!$F$5:$IX$116,ComparisonData!A16,ComparisonData!$JQ$1),0)</f>
        <v>0</v>
      </c>
      <c r="JR16" s="56">
        <v>11</v>
      </c>
      <c r="JS16" s="53" t="str">
        <f t="shared" si="42"/>
        <v>Cadbury Research Library, University of Birmingham</v>
      </c>
      <c r="JT16" s="59">
        <f t="shared" si="249"/>
        <v>0</v>
      </c>
      <c r="JU16" s="59">
        <f t="shared" si="250"/>
        <v>0</v>
      </c>
      <c r="JV16" s="59">
        <f t="shared" si="251"/>
        <v>0</v>
      </c>
      <c r="JW16" s="59">
        <f t="shared" si="252"/>
        <v>0</v>
      </c>
      <c r="JX16" s="59">
        <f t="shared" si="253"/>
        <v>0</v>
      </c>
      <c r="JY16" s="58">
        <f t="shared" si="254"/>
        <v>0</v>
      </c>
      <c r="JZ16" s="45">
        <f t="shared" si="255"/>
        <v>20</v>
      </c>
      <c r="KA16" s="45">
        <f t="shared" si="43"/>
        <v>2.5339999999999998</v>
      </c>
      <c r="KB16" s="45">
        <f t="shared" si="256"/>
        <v>1</v>
      </c>
      <c r="KC16" s="45">
        <f t="shared" si="257"/>
        <v>2</v>
      </c>
      <c r="KD16" s="45">
        <f t="shared" si="258"/>
        <v>0</v>
      </c>
      <c r="KE16" s="46" cm="1">
        <f t="array" ref="KE16">ROUND(IFERROR(INDEX(ArchiveResults!$F$5:$IX$116,ComparisonData!A16,ComparisonData!$KE$1),0),5)</f>
        <v>0</v>
      </c>
      <c r="KF16" s="46" cm="1">
        <f t="array" ref="KF16">ROUND(IFERROR(INDEX(ArchiveResults!$F$5:$IX$116,ComparisonData!A16,ComparisonData!$KF$1),0),5)</f>
        <v>0</v>
      </c>
      <c r="KG16" s="46" cm="1">
        <f t="array" ref="KG16">ROUND(IFERROR(INDEX(ArchiveResults!$F$5:$IX$116,ComparisonData!A16,ComparisonData!$KG$1),0),5)</f>
        <v>0</v>
      </c>
      <c r="KH16" s="46" cm="1">
        <f t="array" ref="KH16">ROUND(IFERROR(INDEX(ArchiveResults!$F$5:$IX$116,ComparisonData!A16,ComparisonData!$KH$1),0),5)</f>
        <v>0</v>
      </c>
      <c r="KI16" s="45" cm="1">
        <f t="array" ref="KI16">IFERROR(INDEX(ArchiveResults!$F$5:$IX$116,ComparisonData!A16,ComparisonData!$KI$1),0)</f>
        <v>0</v>
      </c>
      <c r="KJ16" s="56">
        <v>11</v>
      </c>
      <c r="KK16" s="53" t="str">
        <f t="shared" si="44"/>
        <v>Cadbury Research Library, University of Birmingham</v>
      </c>
      <c r="KL16" s="59">
        <f t="shared" si="259"/>
        <v>0</v>
      </c>
      <c r="KM16" s="59">
        <f t="shared" si="260"/>
        <v>0</v>
      </c>
      <c r="KN16" s="59">
        <f t="shared" si="261"/>
        <v>0</v>
      </c>
      <c r="KO16" s="59">
        <f t="shared" si="262"/>
        <v>0</v>
      </c>
      <c r="KP16" s="59">
        <f t="shared" si="263"/>
        <v>0</v>
      </c>
      <c r="KQ16" s="58">
        <f t="shared" si="264"/>
        <v>0</v>
      </c>
      <c r="KR16" s="45">
        <f t="shared" si="265"/>
        <v>20</v>
      </c>
      <c r="KS16" s="45">
        <f t="shared" si="45"/>
        <v>2.5339999999999998</v>
      </c>
      <c r="KT16" s="45">
        <f t="shared" si="266"/>
        <v>1</v>
      </c>
      <c r="KU16" s="45">
        <f t="shared" si="267"/>
        <v>2</v>
      </c>
      <c r="KV16" s="45">
        <f t="shared" si="268"/>
        <v>0</v>
      </c>
      <c r="KW16" s="46" cm="1">
        <f t="array" ref="KW16">ROUND(IFERROR(INDEX(ArchiveResults!$F$5:$IX$116,ComparisonData!A16,ComparisonData!$KW$1),0),5)</f>
        <v>0</v>
      </c>
      <c r="KX16" s="46" cm="1">
        <f t="array" ref="KX16">ROUND(IFERROR(INDEX(ArchiveResults!$F$5:$IX$116,ComparisonData!A16,ComparisonData!$KX$1),0),5)</f>
        <v>0</v>
      </c>
      <c r="KY16" s="46" cm="1">
        <f t="array" ref="KY16">ROUND(IFERROR(INDEX(ArchiveResults!$F$5:$IX$116,ComparisonData!A16,ComparisonData!$KY$1),0),5)</f>
        <v>0</v>
      </c>
      <c r="KZ16" s="46" cm="1">
        <f t="array" ref="KZ16">ROUND(IFERROR(INDEX(ArchiveResults!$F$5:$IX$116,ComparisonData!A16,ComparisonData!$KZ$1),0),5)</f>
        <v>0</v>
      </c>
      <c r="LA16" s="45" cm="1">
        <f t="array" ref="LA16">IFERROR(INDEX(ArchiveResults!$F$5:$IX$116,ComparisonData!A16,ComparisonData!$LA$1),0)</f>
        <v>0</v>
      </c>
      <c r="LB16" s="56">
        <v>11</v>
      </c>
      <c r="LC16" s="53" t="str">
        <f t="shared" si="46"/>
        <v>Cadbury Research Library, University of Birmingham</v>
      </c>
      <c r="LD16" s="59">
        <f t="shared" si="269"/>
        <v>0</v>
      </c>
      <c r="LE16" s="59">
        <f t="shared" si="270"/>
        <v>0</v>
      </c>
      <c r="LF16" s="59">
        <f t="shared" si="271"/>
        <v>0</v>
      </c>
      <c r="LG16" s="59">
        <f t="shared" si="272"/>
        <v>0</v>
      </c>
      <c r="LH16" s="59">
        <f t="shared" si="273"/>
        <v>0</v>
      </c>
      <c r="LI16" s="58">
        <f t="shared" si="274"/>
        <v>0</v>
      </c>
      <c r="LJ16" s="45">
        <f t="shared" si="275"/>
        <v>20</v>
      </c>
      <c r="LK16" s="45">
        <f t="shared" si="47"/>
        <v>2.5339999999999998</v>
      </c>
      <c r="LL16" s="45">
        <f t="shared" si="276"/>
        <v>1</v>
      </c>
      <c r="LM16" s="45">
        <f t="shared" si="277"/>
        <v>2</v>
      </c>
      <c r="LN16" s="45">
        <f t="shared" si="278"/>
        <v>0</v>
      </c>
      <c r="LO16" s="46" cm="1">
        <f t="array" ref="LO16">ROUND(IFERROR(INDEX(ArchiveResults!$F$5:$IX$116,ComparisonData!A16,ComparisonData!$LO$1),0),5)</f>
        <v>0</v>
      </c>
      <c r="LP16" s="46" cm="1">
        <f t="array" ref="LP16">ROUND(IFERROR(INDEX(ArchiveResults!$F$5:$IX$116,ComparisonData!A16,ComparisonData!$LP$1),0),5)</f>
        <v>0</v>
      </c>
      <c r="LQ16" s="46" cm="1">
        <f t="array" ref="LQ16">ROUND(IFERROR(INDEX(ArchiveResults!$F$5:$IX$116,ComparisonData!A16,ComparisonData!$LQ$1),0),5)</f>
        <v>0</v>
      </c>
      <c r="LR16" s="46" cm="1">
        <f t="array" ref="LR16">ROUND(IFERROR(INDEX(ArchiveResults!$F$5:$IX$116,ComparisonData!A16,ComparisonData!$LR$1),0),5)</f>
        <v>0</v>
      </c>
      <c r="LS16" s="45" cm="1">
        <f t="array" ref="LS16">IFERROR(INDEX(ArchiveResults!$F$5:$IX$116,ComparisonData!A16,ComparisonData!$LS$1),0)</f>
        <v>0</v>
      </c>
      <c r="LT16" s="56">
        <v>11</v>
      </c>
      <c r="LU16" s="53" t="str">
        <f t="shared" si="48"/>
        <v>Cadbury Research Library, University of Birmingham</v>
      </c>
      <c r="LV16" s="59">
        <f t="shared" si="279"/>
        <v>0</v>
      </c>
      <c r="LW16" s="59">
        <f t="shared" si="280"/>
        <v>0</v>
      </c>
      <c r="LX16" s="59">
        <f t="shared" si="281"/>
        <v>0</v>
      </c>
      <c r="LY16" s="59">
        <f t="shared" si="282"/>
        <v>0</v>
      </c>
      <c r="LZ16" s="59">
        <f t="shared" si="283"/>
        <v>0</v>
      </c>
      <c r="MA16" s="58">
        <f t="shared" si="284"/>
        <v>0</v>
      </c>
      <c r="MB16" s="45">
        <f t="shared" si="285"/>
        <v>20</v>
      </c>
      <c r="MC16" s="45">
        <f t="shared" si="49"/>
        <v>2.5339999999999998</v>
      </c>
      <c r="MD16" s="45">
        <f t="shared" si="286"/>
        <v>1</v>
      </c>
      <c r="ME16" s="45">
        <f t="shared" si="287"/>
        <v>2</v>
      </c>
      <c r="MF16" s="45">
        <f t="shared" si="288"/>
        <v>0</v>
      </c>
      <c r="MG16" s="46" cm="1">
        <f t="array" ref="MG16">ROUND(IFERROR(INDEX(ArchiveResults!$F$5:$IX$116,ComparisonData!A16,ComparisonData!$MG$1),0),5)</f>
        <v>0</v>
      </c>
      <c r="MH16" s="46" cm="1">
        <f t="array" ref="MH16">ROUND(IFERROR(INDEX(ArchiveResults!$F$5:$IX$116,ComparisonData!A16,ComparisonData!$MH$1),0),5)</f>
        <v>0</v>
      </c>
      <c r="MI16" s="46" cm="1">
        <f t="array" ref="MI16">ROUND(IFERROR(INDEX(ArchiveResults!$F$5:$IX$116,ComparisonData!A16,ComparisonData!$MI$1),0),5)</f>
        <v>0</v>
      </c>
      <c r="MJ16" s="46" cm="1">
        <f t="array" ref="MJ16">ROUND(IFERROR(INDEX(ArchiveResults!$F$5:$IX$116,ComparisonData!A16,ComparisonData!$MJ$1),0),5)</f>
        <v>0</v>
      </c>
      <c r="MK16" s="45" cm="1">
        <f t="array" ref="MK16">IFERROR(INDEX(ArchiveResults!$F$5:$IX$116,ComparisonData!A16,ComparisonData!$MK$1),0)</f>
        <v>0</v>
      </c>
      <c r="ML16" s="56">
        <v>11</v>
      </c>
      <c r="MM16" s="53" t="str">
        <f t="shared" si="50"/>
        <v>Cadbury Research Library, University of Birmingham</v>
      </c>
      <c r="MN16" s="59">
        <f t="shared" si="289"/>
        <v>0</v>
      </c>
      <c r="MO16" s="59">
        <f t="shared" si="290"/>
        <v>0</v>
      </c>
      <c r="MP16" s="59">
        <f t="shared" si="291"/>
        <v>0</v>
      </c>
      <c r="MQ16" s="59">
        <f t="shared" si="292"/>
        <v>0</v>
      </c>
      <c r="MR16" s="59">
        <f t="shared" si="293"/>
        <v>0</v>
      </c>
      <c r="MS16" s="58">
        <f t="shared" si="294"/>
        <v>0</v>
      </c>
      <c r="MT16" s="45">
        <f t="shared" si="295"/>
        <v>20</v>
      </c>
      <c r="MU16" s="45">
        <f t="shared" si="51"/>
        <v>2.5339999999999998</v>
      </c>
      <c r="MV16" s="45">
        <f t="shared" si="296"/>
        <v>1</v>
      </c>
      <c r="MW16" s="45">
        <f t="shared" si="297"/>
        <v>2</v>
      </c>
      <c r="MX16" s="45">
        <f t="shared" si="298"/>
        <v>0</v>
      </c>
      <c r="MY16" s="46" cm="1">
        <f t="array" ref="MY16">ROUND(IFERROR(INDEX(ArchiveResults!$F$5:$IX$116,ComparisonData!A16,ComparisonData!$MY$1),0),5)</f>
        <v>0</v>
      </c>
      <c r="MZ16" s="46" cm="1">
        <f t="array" ref="MZ16">ROUND(IFERROR(INDEX(ArchiveResults!$F$5:$IX$116,ComparisonData!A16,ComparisonData!$MZ$1),0),5)</f>
        <v>0</v>
      </c>
      <c r="NA16" s="46" cm="1">
        <f t="array" ref="NA16">ROUND(IFERROR(INDEX(ArchiveResults!$F$5:$IX$116,ComparisonData!A16,ComparisonData!$NA$1),0),5)</f>
        <v>0</v>
      </c>
      <c r="NB16" s="46" cm="1">
        <f t="array" ref="NB16">ROUND(IFERROR(INDEX(ArchiveResults!$F$5:$IX$116,ComparisonData!A16,ComparisonData!$NB$1),0),5)</f>
        <v>0</v>
      </c>
      <c r="NC16" s="45" cm="1">
        <f t="array" ref="NC16">IFERROR(INDEX(ArchiveResults!$F$5:$IX$116,ComparisonData!A16,ComparisonData!$NC$1),0)</f>
        <v>0</v>
      </c>
      <c r="ND16" s="56">
        <v>11</v>
      </c>
      <c r="NE16" s="53" t="str">
        <f t="shared" si="52"/>
        <v>Cadbury Research Library, University of Birmingham</v>
      </c>
      <c r="NF16" s="59">
        <f t="shared" si="299"/>
        <v>0</v>
      </c>
      <c r="NG16" s="59">
        <f t="shared" si="300"/>
        <v>0</v>
      </c>
      <c r="NH16" s="59">
        <f t="shared" si="301"/>
        <v>0</v>
      </c>
      <c r="NI16" s="59">
        <f t="shared" si="302"/>
        <v>0</v>
      </c>
      <c r="NJ16" s="59">
        <f t="shared" si="303"/>
        <v>0</v>
      </c>
      <c r="NK16" s="58">
        <f t="shared" si="304"/>
        <v>0</v>
      </c>
      <c r="NL16" s="45">
        <f t="shared" si="305"/>
        <v>20</v>
      </c>
      <c r="NM16" s="45">
        <f t="shared" si="53"/>
        <v>2.5339999999999998</v>
      </c>
      <c r="NN16" s="45">
        <f t="shared" si="306"/>
        <v>1</v>
      </c>
      <c r="NO16" s="45">
        <f t="shared" si="307"/>
        <v>2</v>
      </c>
      <c r="NP16" s="46" cm="1">
        <f t="array" ref="NP16">ROUND(IFERROR(INDEX(ArchiveResults!$F$5:$IX$116,ComparisonData!A16,ComparisonData!$NP$1),0),5)</f>
        <v>0</v>
      </c>
      <c r="NQ16" s="46" cm="1">
        <f t="array" ref="NQ16">ROUND(IFERROR(INDEX(ArchiveResults!$F$5:$IX$116,ComparisonData!A16,ComparisonData!$NQ$1),0),5)</f>
        <v>0</v>
      </c>
      <c r="NR16" s="46" cm="1">
        <f t="array" ref="NR16">ROUND(IFERROR(INDEX(ArchiveResults!$F$5:$IX$116,ComparisonData!A16,ComparisonData!$NR$1),0),5)</f>
        <v>0</v>
      </c>
      <c r="NS16" s="46" cm="1">
        <f t="array" ref="NS16">ROUND(IFERROR(INDEX(ArchiveResults!$F$5:$IX$116,ComparisonData!A16,ComparisonData!$NS$1),0),5)</f>
        <v>0</v>
      </c>
      <c r="NT16" s="45" cm="1">
        <f t="array" ref="NT16">IFERROR(INDEX(ArchiveResults!$F$5:$IX$116,ComparisonData!A16,ComparisonData!$NT$1),0)</f>
        <v>0</v>
      </c>
      <c r="NU16" s="56">
        <v>11</v>
      </c>
      <c r="NV16" s="53" t="str">
        <f t="shared" si="54"/>
        <v>Cadbury Research Library, University of Birmingham</v>
      </c>
      <c r="NW16" s="59">
        <f t="shared" si="308"/>
        <v>0</v>
      </c>
      <c r="NX16" s="59">
        <f t="shared" si="309"/>
        <v>0</v>
      </c>
      <c r="NY16" s="59">
        <f t="shared" si="310"/>
        <v>0</v>
      </c>
      <c r="NZ16" s="59">
        <f t="shared" si="311"/>
        <v>0</v>
      </c>
      <c r="OA16" s="59">
        <f t="shared" si="312"/>
        <v>0</v>
      </c>
      <c r="OB16" s="58">
        <f t="shared" si="313"/>
        <v>0</v>
      </c>
      <c r="OC16" s="45">
        <f t="shared" si="314"/>
        <v>20</v>
      </c>
      <c r="OD16" s="45">
        <f t="shared" si="55"/>
        <v>2.5339999999999998</v>
      </c>
      <c r="OE16" s="45">
        <f t="shared" si="315"/>
        <v>1</v>
      </c>
      <c r="OF16" s="45">
        <f t="shared" si="316"/>
        <v>2</v>
      </c>
      <c r="OG16" s="46">
        <f t="shared" si="317"/>
        <v>0</v>
      </c>
      <c r="OH16" s="46" cm="1">
        <f t="array" ref="OH16">ROUND(IFERROR(INDEX(ArchiveResults!$F$5:$IX$116,ComparisonData!A16,ComparisonData!$OH$1),0),5)</f>
        <v>0</v>
      </c>
      <c r="OI16" s="46" cm="1">
        <f t="array" ref="OI16">ROUND(IFERROR(INDEX(ArchiveResults!$F$5:$IX$116,ComparisonData!A16,ComparisonData!$OI$1),0),5)</f>
        <v>0</v>
      </c>
      <c r="OJ16" s="46" cm="1">
        <f t="array" ref="OJ16">ROUND(IFERROR(INDEX(ArchiveResults!$F$5:$IX$116,ComparisonData!A16,ComparisonData!$OJ$1),0),5)</f>
        <v>0</v>
      </c>
      <c r="OK16" s="46" cm="1">
        <f t="array" ref="OK16">ROUND(IFERROR(INDEX(ArchiveResults!$F$5:$IX$116,ComparisonData!A16,ComparisonData!$OK$1),0),5)</f>
        <v>0</v>
      </c>
      <c r="OL16" s="45" cm="1">
        <f t="array" ref="OL16">IFERROR(INDEX(ArchiveResults!$F$5:$IX$116,ComparisonData!A16,ComparisonData!$OL$1),0)</f>
        <v>0</v>
      </c>
      <c r="OM16" s="56">
        <v>11</v>
      </c>
      <c r="ON16" s="53" t="str">
        <f t="shared" si="56"/>
        <v>Cadbury Research Library, University of Birmingham</v>
      </c>
      <c r="OO16" s="59">
        <f t="shared" si="318"/>
        <v>0</v>
      </c>
      <c r="OP16" s="59">
        <f t="shared" si="319"/>
        <v>0</v>
      </c>
      <c r="OQ16" s="59">
        <f t="shared" si="320"/>
        <v>0</v>
      </c>
      <c r="OR16" s="59">
        <f t="shared" si="321"/>
        <v>0</v>
      </c>
      <c r="OS16" s="59">
        <f t="shared" si="322"/>
        <v>0</v>
      </c>
      <c r="OT16" s="58">
        <f t="shared" si="323"/>
        <v>0</v>
      </c>
      <c r="OU16" s="45">
        <f t="shared" si="324"/>
        <v>20</v>
      </c>
      <c r="OV16" s="45">
        <f t="shared" si="57"/>
        <v>2.5339999999999998</v>
      </c>
      <c r="OW16" s="45">
        <f t="shared" si="325"/>
        <v>1</v>
      </c>
      <c r="OX16" s="45">
        <f t="shared" si="326"/>
        <v>2</v>
      </c>
      <c r="OY16" s="45">
        <f t="shared" si="327"/>
        <v>0</v>
      </c>
      <c r="OZ16" s="46" cm="1">
        <f t="array" ref="OZ16">ROUND(IFERROR(INDEX(ArchiveResults!$F$5:$IX$116,ComparisonData!A16,ComparisonData!$OZ$1),0),5)</f>
        <v>0</v>
      </c>
      <c r="PA16" s="46" cm="1">
        <f t="array" ref="PA16">ROUND(IFERROR(INDEX(ArchiveResults!$F$5:$IX$116,ComparisonData!A16,ComparisonData!$PA$1),0),5)</f>
        <v>0</v>
      </c>
      <c r="PB16" s="46" cm="1">
        <f t="array" ref="PB16">ROUND(IFERROR(INDEX(ArchiveResults!$F$5:$IX$116,ComparisonData!A16,ComparisonData!$PB$1),0),5)</f>
        <v>0</v>
      </c>
      <c r="PC16" s="46" cm="1">
        <f t="array" ref="PC16">ROUND(IFERROR(INDEX(ArchiveResults!$F$5:$IX$116,ComparisonData!A16,ComparisonData!$PC$1),0),5)</f>
        <v>0</v>
      </c>
      <c r="PD16" s="45" cm="1">
        <f t="array" ref="PD16">IFERROR(INDEX(ArchiveResults!$F$5:$IX$116,ComparisonData!A16,ComparisonData!$PD$1),0)</f>
        <v>0</v>
      </c>
      <c r="PE16" s="56">
        <v>11</v>
      </c>
      <c r="PF16" s="53" t="str">
        <f t="shared" si="58"/>
        <v>Cadbury Research Library, University of Birmingham</v>
      </c>
      <c r="PG16" s="59">
        <f t="shared" si="328"/>
        <v>0</v>
      </c>
      <c r="PH16" s="59">
        <f t="shared" si="329"/>
        <v>0</v>
      </c>
      <c r="PI16" s="59">
        <f t="shared" si="330"/>
        <v>0</v>
      </c>
      <c r="PJ16" s="59">
        <f t="shared" si="331"/>
        <v>0</v>
      </c>
      <c r="PK16" s="59">
        <f t="shared" si="332"/>
        <v>0</v>
      </c>
      <c r="PL16" s="58">
        <f t="shared" si="333"/>
        <v>0</v>
      </c>
      <c r="PM16" s="45">
        <f t="shared" si="334"/>
        <v>20</v>
      </c>
      <c r="PN16" s="45">
        <f t="shared" si="59"/>
        <v>2.5339999999999998</v>
      </c>
      <c r="PO16" s="45">
        <f t="shared" si="335"/>
        <v>1</v>
      </c>
      <c r="PP16" s="45">
        <f t="shared" si="336"/>
        <v>2</v>
      </c>
      <c r="PQ16" s="45">
        <f t="shared" si="337"/>
        <v>0</v>
      </c>
      <c r="PR16" s="46" cm="1">
        <f t="array" ref="PR16">ROUND(IFERROR(INDEX(ArchiveResults!$F$5:$IX$116,ComparisonData!A16,ComparisonData!$PR$1),0),5)</f>
        <v>0</v>
      </c>
      <c r="PS16" s="46" cm="1">
        <f t="array" ref="PS16">ROUND(IFERROR(INDEX(ArchiveResults!$F$5:$IX$116,ComparisonData!A16,ComparisonData!$PS$1),0),5)</f>
        <v>0</v>
      </c>
      <c r="PT16" s="46" cm="1">
        <f t="array" ref="PT16">ROUND(IFERROR(INDEX(ArchiveResults!$F$5:$IX$116,ComparisonData!A16,ComparisonData!$PT$1),0),5)</f>
        <v>0</v>
      </c>
      <c r="PU16" s="46" cm="1">
        <f t="array" ref="PU16">ROUND(IFERROR(INDEX(ArchiveResults!$F$5:$IX$116,ComparisonData!A16,ComparisonData!$PU$1),0),5)</f>
        <v>0</v>
      </c>
      <c r="PV16" s="45" cm="1">
        <f t="array" ref="PV16">IFERROR(INDEX(ArchiveResults!$F$5:$IX$116,ComparisonData!A16,ComparisonData!$PV$1),0)</f>
        <v>0</v>
      </c>
      <c r="PW16" s="56">
        <v>11</v>
      </c>
      <c r="PX16" s="53" t="str">
        <f t="shared" si="60"/>
        <v>Cadbury Research Library, University of Birmingham</v>
      </c>
      <c r="PY16" s="59">
        <f t="shared" si="338"/>
        <v>0</v>
      </c>
      <c r="PZ16" s="59">
        <f t="shared" si="339"/>
        <v>0</v>
      </c>
      <c r="QA16" s="59">
        <f t="shared" si="340"/>
        <v>0</v>
      </c>
      <c r="QB16" s="59">
        <f t="shared" si="341"/>
        <v>0</v>
      </c>
      <c r="QC16" s="59">
        <f t="shared" si="342"/>
        <v>0</v>
      </c>
      <c r="QD16" s="58">
        <f t="shared" si="343"/>
        <v>0</v>
      </c>
      <c r="QE16" s="45">
        <f t="shared" si="344"/>
        <v>20</v>
      </c>
      <c r="QF16" s="45">
        <f t="shared" si="61"/>
        <v>2.5339999999999998</v>
      </c>
      <c r="QG16" s="45">
        <f t="shared" si="345"/>
        <v>1</v>
      </c>
      <c r="QH16" s="45">
        <f t="shared" si="346"/>
        <v>2</v>
      </c>
      <c r="QI16" s="45">
        <f t="shared" si="347"/>
        <v>0</v>
      </c>
      <c r="QJ16" s="46" cm="1">
        <f t="array" ref="QJ16">ROUND(IFERROR(INDEX(ArchiveResults!$F$5:$IX$116,ComparisonData!A16,ComparisonData!$QJ$1),0),5)</f>
        <v>0</v>
      </c>
      <c r="QK16" s="46" cm="1">
        <f t="array" ref="QK16">ROUND(IFERROR(INDEX(ArchiveResults!$F$5:$IX$116,ComparisonData!A16,ComparisonData!$QK$1),0),5)</f>
        <v>0</v>
      </c>
      <c r="QL16" s="46" cm="1">
        <f t="array" ref="QL16">ROUND(IFERROR(INDEX(ArchiveResults!$F$5:$IX$116,ComparisonData!A16,ComparisonData!$QL$1),0),5)</f>
        <v>0</v>
      </c>
      <c r="QM16" s="46" cm="1">
        <f t="array" ref="QM16">ROUND(IFERROR(INDEX(ArchiveResults!$F$5:$IX$116,ComparisonData!A16,ComparisonData!$QM$1),0),5)</f>
        <v>0</v>
      </c>
      <c r="QN16" s="45" cm="1">
        <f t="array" ref="QN16">IFERROR(INDEX(ArchiveResults!$F$5:$IX$116,ComparisonData!A16,ComparisonData!$QN$1),0)</f>
        <v>0</v>
      </c>
      <c r="QO16" s="56">
        <v>11</v>
      </c>
      <c r="QP16" s="53" t="str">
        <f t="shared" si="62"/>
        <v>Cadbury Research Library, University of Birmingham</v>
      </c>
      <c r="QQ16" s="59">
        <f t="shared" si="348"/>
        <v>0</v>
      </c>
      <c r="QR16" s="59">
        <f t="shared" si="349"/>
        <v>0</v>
      </c>
      <c r="QS16" s="59">
        <f t="shared" si="350"/>
        <v>0</v>
      </c>
      <c r="QT16" s="59">
        <f t="shared" si="351"/>
        <v>0</v>
      </c>
      <c r="QU16" s="59">
        <f t="shared" si="352"/>
        <v>0</v>
      </c>
      <c r="QV16" s="58">
        <f t="shared" si="353"/>
        <v>0</v>
      </c>
      <c r="QW16" s="45">
        <f t="shared" si="354"/>
        <v>20</v>
      </c>
      <c r="QX16" s="45">
        <f t="shared" si="63"/>
        <v>2.5339999999999998</v>
      </c>
      <c r="QY16" s="45">
        <f t="shared" si="355"/>
        <v>1</v>
      </c>
      <c r="QZ16" s="45">
        <f t="shared" si="356"/>
        <v>2</v>
      </c>
      <c r="RA16" s="45">
        <f t="shared" si="357"/>
        <v>0</v>
      </c>
      <c r="RB16" s="46" cm="1">
        <f t="array" ref="RB16">ROUND(IFERROR(INDEX(ArchiveResults!$F$5:$IX$116,ComparisonData!A16,ComparisonData!$RB$1),0),5)</f>
        <v>0</v>
      </c>
      <c r="RC16" s="46" cm="1">
        <f t="array" ref="RC16">ROUND(IFERROR(INDEX(ArchiveResults!$F$5:$IX$116,ComparisonData!A16,ComparisonData!$RC$1),0),5)</f>
        <v>0</v>
      </c>
      <c r="RD16" s="46" cm="1">
        <f t="array" ref="RD16">ROUND(IFERROR(INDEX(ArchiveResults!$F$5:$IX$116,ComparisonData!A16,ComparisonData!$RD$1),0),5)</f>
        <v>0</v>
      </c>
      <c r="RE16" s="46" cm="1">
        <f t="array" ref="RE16">ROUND(IFERROR(INDEX(ArchiveResults!$F$5:$IX$116,ComparisonData!A16,ComparisonData!$RE$1),0),5)</f>
        <v>0</v>
      </c>
      <c r="RF16" s="45" cm="1">
        <f t="array" ref="RF16">IFERROR(INDEX(ArchiveResults!$F$5:$IX$116,ComparisonData!A16,ComparisonData!$RF$1),0)</f>
        <v>0</v>
      </c>
      <c r="RG16" s="56">
        <v>11</v>
      </c>
      <c r="RH16" s="53" t="str">
        <f t="shared" si="64"/>
        <v>Cadbury Research Library, University of Birmingham</v>
      </c>
      <c r="RI16" s="59">
        <f t="shared" si="358"/>
        <v>0</v>
      </c>
      <c r="RJ16" s="59">
        <f t="shared" si="359"/>
        <v>0</v>
      </c>
      <c r="RK16" s="59">
        <f t="shared" si="360"/>
        <v>0</v>
      </c>
      <c r="RL16" s="59">
        <f t="shared" si="361"/>
        <v>0</v>
      </c>
      <c r="RM16" s="59">
        <f t="shared" si="362"/>
        <v>0</v>
      </c>
      <c r="RN16" s="58">
        <f t="shared" si="363"/>
        <v>0</v>
      </c>
      <c r="RO16" s="45">
        <f t="shared" si="364"/>
        <v>20</v>
      </c>
      <c r="RP16" s="45">
        <f t="shared" si="65"/>
        <v>2.5339999999999998</v>
      </c>
      <c r="RQ16" s="45">
        <f t="shared" si="365"/>
        <v>1</v>
      </c>
      <c r="RR16" s="45">
        <f t="shared" si="366"/>
        <v>2</v>
      </c>
      <c r="RS16" s="45">
        <f t="shared" si="367"/>
        <v>0</v>
      </c>
      <c r="RT16" s="46" cm="1">
        <f t="array" ref="RT16">ROUND(IFERROR(INDEX(ArchiveResults!$F$5:$IX$116,ComparisonData!A16,ComparisonData!$RT$1),0),5)</f>
        <v>0</v>
      </c>
      <c r="RU16" s="46" cm="1">
        <f t="array" ref="RU16">ROUND(IFERROR(INDEX(ArchiveResults!$F$5:$IX$116,ComparisonData!A16,ComparisonData!$RU$1),0),5)</f>
        <v>0</v>
      </c>
      <c r="RV16" s="46" cm="1">
        <f t="array" ref="RV16">ROUND(IFERROR(INDEX(ArchiveResults!$F$5:$IX$116,ComparisonData!A16,ComparisonData!$RV$1),0),5)</f>
        <v>0</v>
      </c>
      <c r="RW16" s="46" cm="1">
        <f t="array" ref="RW16">ROUND(IFERROR(INDEX(ArchiveResults!$F$5:$IX$116,ComparisonData!A16,ComparisonData!$RW$1),0),5)</f>
        <v>0</v>
      </c>
      <c r="RX16" s="45" cm="1">
        <f t="array" ref="RX16">IFERROR(INDEX(ArchiveResults!$F$5:$IX$116,ComparisonData!A16,ComparisonData!$RX$1),0)</f>
        <v>0</v>
      </c>
      <c r="RY16" s="56">
        <v>11</v>
      </c>
      <c r="RZ16" s="53" t="str">
        <f t="shared" si="66"/>
        <v>Cadbury Research Library, University of Birmingham</v>
      </c>
      <c r="SA16" s="59">
        <f t="shared" si="368"/>
        <v>0</v>
      </c>
      <c r="SB16" s="59">
        <f t="shared" si="369"/>
        <v>0</v>
      </c>
      <c r="SC16" s="59">
        <f t="shared" si="370"/>
        <v>0</v>
      </c>
      <c r="SD16" s="59">
        <f t="shared" si="371"/>
        <v>0</v>
      </c>
      <c r="SE16" s="59">
        <f t="shared" si="372"/>
        <v>0</v>
      </c>
      <c r="SF16" s="58">
        <f t="shared" si="373"/>
        <v>0</v>
      </c>
      <c r="SG16" s="45">
        <f t="shared" si="374"/>
        <v>20</v>
      </c>
      <c r="SH16" s="45">
        <f t="shared" si="67"/>
        <v>2.5339999999999998</v>
      </c>
      <c r="SI16" s="45">
        <f t="shared" si="375"/>
        <v>1</v>
      </c>
      <c r="SJ16" s="45">
        <f t="shared" si="376"/>
        <v>2</v>
      </c>
      <c r="SK16" s="45">
        <f t="shared" si="377"/>
        <v>0</v>
      </c>
      <c r="SL16" s="46" cm="1">
        <f t="array" ref="SL16">ROUND(IFERROR(INDEX(ArchiveResults!$F$5:$IX$116,ComparisonData!A16,ComparisonData!$SL$1),0),5)</f>
        <v>0</v>
      </c>
      <c r="SM16" s="46" cm="1">
        <f t="array" ref="SM16">ROUND(IFERROR(INDEX(ArchiveResults!$F$5:$IX$116,ComparisonData!A16,ComparisonData!$SM$1),0),5)</f>
        <v>0</v>
      </c>
      <c r="SN16" s="46" cm="1">
        <f t="array" ref="SN16">ROUND(IFERROR(INDEX(ArchiveResults!$F$5:$IX$116,ComparisonData!A16,ComparisonData!$SN$1),0),5)</f>
        <v>0</v>
      </c>
      <c r="SO16" s="46" cm="1">
        <f t="array" ref="SO16">ROUND(IFERROR(INDEX(ArchiveResults!$F$5:$IX$116,ComparisonData!A16,ComparisonData!$SO$1),0),5)</f>
        <v>0</v>
      </c>
      <c r="SP16" s="45" cm="1">
        <f t="array" ref="SP16">IFERROR(INDEX(ArchiveResults!$F$5:$IX$116,ComparisonData!A16,ComparisonData!$SP$1),0)</f>
        <v>0</v>
      </c>
      <c r="SQ16" s="56">
        <v>11</v>
      </c>
      <c r="SR16" s="53" t="str">
        <f t="shared" si="68"/>
        <v>Cadbury Research Library, University of Birmingham</v>
      </c>
      <c r="SS16" s="59">
        <f t="shared" si="378"/>
        <v>0</v>
      </c>
      <c r="ST16" s="59">
        <f t="shared" si="379"/>
        <v>0</v>
      </c>
      <c r="SU16" s="59">
        <f t="shared" si="380"/>
        <v>0</v>
      </c>
      <c r="SV16" s="59">
        <f t="shared" si="381"/>
        <v>0</v>
      </c>
      <c r="SW16" s="59">
        <f t="shared" si="382"/>
        <v>0</v>
      </c>
      <c r="SX16" s="58">
        <f t="shared" si="383"/>
        <v>0</v>
      </c>
      <c r="SY16" s="45">
        <f t="shared" si="384"/>
        <v>20</v>
      </c>
      <c r="SZ16" s="45">
        <f t="shared" si="69"/>
        <v>2.5339999999999998</v>
      </c>
      <c r="TA16" s="45">
        <f t="shared" si="385"/>
        <v>1</v>
      </c>
      <c r="TB16" s="45">
        <f t="shared" si="386"/>
        <v>2</v>
      </c>
      <c r="TC16" s="45">
        <f t="shared" si="387"/>
        <v>0</v>
      </c>
      <c r="TD16" s="46" cm="1">
        <f t="array" ref="TD16">ROUND(IFERROR(INDEX(ArchiveResults!$F$5:$IX$116,ComparisonData!A16,ComparisonData!$TD$1),0),5)</f>
        <v>0</v>
      </c>
      <c r="TE16" s="46" cm="1">
        <f t="array" ref="TE16">ROUND(IFERROR(INDEX(ArchiveResults!$F$5:$IX$116,ComparisonData!A16,ComparisonData!$TE$1),0),5)</f>
        <v>0</v>
      </c>
      <c r="TF16" s="46" cm="1">
        <f t="array" ref="TF16">ROUND(IFERROR(INDEX(ArchiveResults!$F$5:$IX$116,ComparisonData!A16,ComparisonData!$TF$1),0),5)</f>
        <v>0</v>
      </c>
      <c r="TG16" s="46" cm="1">
        <f t="array" ref="TG16">ROUND(IFERROR(INDEX(ArchiveResults!$F$5:$IX$116,ComparisonData!A16,ComparisonData!$TG$1),0),5)</f>
        <v>0</v>
      </c>
      <c r="TH16" s="45" cm="1">
        <f t="array" ref="TH16">IFERROR(INDEX(ArchiveResults!$F$5:$IX$116,ComparisonData!A16,ComparisonData!$TH$1),0)</f>
        <v>0</v>
      </c>
      <c r="TI16" s="56">
        <v>11</v>
      </c>
      <c r="TJ16" s="53" t="str">
        <f t="shared" si="70"/>
        <v>Cadbury Research Library, University of Birmingham</v>
      </c>
      <c r="TK16" s="59">
        <f t="shared" si="388"/>
        <v>0</v>
      </c>
      <c r="TL16" s="59">
        <f t="shared" si="389"/>
        <v>0</v>
      </c>
      <c r="TM16" s="59">
        <f t="shared" si="390"/>
        <v>0</v>
      </c>
      <c r="TN16" s="59">
        <f t="shared" si="391"/>
        <v>0</v>
      </c>
      <c r="TO16" s="59">
        <f t="shared" si="392"/>
        <v>0</v>
      </c>
      <c r="TP16" s="58">
        <f t="shared" si="393"/>
        <v>0</v>
      </c>
      <c r="TQ16" s="45">
        <f t="shared" si="394"/>
        <v>20</v>
      </c>
      <c r="TR16" s="45">
        <f t="shared" si="71"/>
        <v>2.5339999999999998</v>
      </c>
      <c r="TS16" s="45">
        <f t="shared" si="395"/>
        <v>1</v>
      </c>
      <c r="TT16" s="45">
        <f t="shared" si="396"/>
        <v>2</v>
      </c>
      <c r="TU16" s="45">
        <f t="shared" si="397"/>
        <v>0</v>
      </c>
      <c r="TV16" s="46" cm="1">
        <f t="array" ref="TV16">ROUND(IFERROR(INDEX(ArchiveResults!$F$5:$IX$116,ComparisonData!A16,ComparisonData!$TV$1),0),5)</f>
        <v>0</v>
      </c>
      <c r="TW16" s="46" cm="1">
        <f t="array" ref="TW16">ROUND(IFERROR(INDEX(ArchiveResults!$F$5:$IX$116,ComparisonData!A16,ComparisonData!$TW$1),0),5)</f>
        <v>0</v>
      </c>
      <c r="TX16" s="46" cm="1">
        <f t="array" ref="TX16">ROUND(IFERROR(INDEX(ArchiveResults!$F$5:$IX$116,ComparisonData!A16,ComparisonData!$TX$1),0),5)</f>
        <v>0</v>
      </c>
      <c r="TY16" s="46" cm="1">
        <f t="array" ref="TY16">ROUND(IFERROR(INDEX(ArchiveResults!$F$5:$IX$116,ComparisonData!A16,ComparisonData!$TY$1),0),5)</f>
        <v>0</v>
      </c>
      <c r="TZ16" s="45" cm="1">
        <f t="array" ref="TZ16">IFERROR(INDEX(ArchiveResults!$F$5:$IX$116,ComparisonData!A16,ComparisonData!$TZ$1),0)</f>
        <v>0</v>
      </c>
      <c r="UA16" s="56">
        <v>11</v>
      </c>
      <c r="UB16" s="53" t="str">
        <f t="shared" si="72"/>
        <v>Cadbury Research Library, University of Birmingham</v>
      </c>
      <c r="UC16" s="60">
        <f t="shared" si="398"/>
        <v>0</v>
      </c>
      <c r="UD16" s="60">
        <f t="shared" si="399"/>
        <v>0</v>
      </c>
      <c r="UE16" s="60">
        <f t="shared" si="400"/>
        <v>0</v>
      </c>
      <c r="UF16" s="60">
        <f t="shared" si="401"/>
        <v>0</v>
      </c>
      <c r="UG16" s="60">
        <f t="shared" si="402"/>
        <v>0</v>
      </c>
      <c r="UH16" s="58">
        <f t="shared" si="403"/>
        <v>0</v>
      </c>
      <c r="UI16" s="46">
        <f t="shared" si="404"/>
        <v>20</v>
      </c>
      <c r="UJ16" s="46">
        <f t="shared" si="73"/>
        <v>2.5339999999999998</v>
      </c>
      <c r="UK16" s="46">
        <f t="shared" si="405"/>
        <v>1</v>
      </c>
      <c r="UL16" s="46">
        <f t="shared" si="406"/>
        <v>2</v>
      </c>
      <c r="UM16" s="46" cm="1">
        <f t="array" ref="UM16">ROUND(IFERROR(INDEX(ArchiveResults!$F$5:$IX$116,ComparisonData!A16,ComparisonData!$UM$1),0),5)</f>
        <v>0</v>
      </c>
      <c r="UN16" s="56">
        <v>11</v>
      </c>
      <c r="UO16" s="53" t="str">
        <f t="shared" si="74"/>
        <v>Cadbury Research Library, University of Birmingham</v>
      </c>
      <c r="UP16" s="46">
        <f t="shared" si="407"/>
        <v>0</v>
      </c>
      <c r="UQ16" s="76">
        <f t="shared" si="408"/>
        <v>0</v>
      </c>
      <c r="UR16" s="46">
        <f t="shared" si="409"/>
        <v>20</v>
      </c>
      <c r="US16" s="46">
        <f t="shared" si="75"/>
        <v>2.5339999999999998</v>
      </c>
      <c r="UT16" s="46">
        <f t="shared" si="410"/>
        <v>1</v>
      </c>
      <c r="UU16" s="46">
        <f t="shared" si="411"/>
        <v>2</v>
      </c>
      <c r="UV16" s="46">
        <f t="shared" si="412"/>
        <v>0</v>
      </c>
      <c r="UW16" s="46" cm="1">
        <f t="array" ref="UW16">ROUND(IFERROR(INDEX(ArchiveResults!$F$5:$IX$116,ComparisonData!A16,ComparisonData!$UW$1),0),5)</f>
        <v>0</v>
      </c>
      <c r="UX16" s="46" cm="1">
        <f t="array" ref="UX16">ROUND(IFERROR(INDEX(ArchiveResults!$F$5:$IX$116,ComparisonData!A16,ComparisonData!$UX$1),0),5)</f>
        <v>0</v>
      </c>
      <c r="UY16" s="46" cm="1">
        <f t="array" ref="UY16">ROUND(IFERROR(INDEX(ArchiveResults!$F$5:$IX$116,ComparisonData!A16,ComparisonData!$UY$1),0),5)</f>
        <v>0</v>
      </c>
      <c r="UZ16" s="46" cm="1">
        <f t="array" ref="UZ16">ROUND(IFERROR(INDEX(ArchiveResults!$F$5:$IX$116,ComparisonData!A16,ComparisonData!$UZ$1),0),5)</f>
        <v>0</v>
      </c>
      <c r="VA16" s="46" cm="1">
        <f t="array" ref="VA16">ROUND(IFERROR(INDEX(ArchiveResults!$F$5:$IX$116,ComparisonData!A16,ComparisonData!$VA$1),0),5)</f>
        <v>0</v>
      </c>
      <c r="VB16" s="56">
        <v>11</v>
      </c>
      <c r="VC16" s="53" t="str">
        <f t="shared" si="76"/>
        <v>Cadbury Research Library, University of Birmingham</v>
      </c>
      <c r="VD16" s="60">
        <f t="shared" si="413"/>
        <v>0</v>
      </c>
      <c r="VE16" s="60">
        <f t="shared" si="414"/>
        <v>0</v>
      </c>
      <c r="VF16" s="60">
        <f t="shared" si="415"/>
        <v>0</v>
      </c>
      <c r="VG16" s="60">
        <f t="shared" si="416"/>
        <v>0</v>
      </c>
      <c r="VH16" s="60">
        <f t="shared" si="417"/>
        <v>0</v>
      </c>
      <c r="VI16" s="76">
        <f t="shared" si="418"/>
        <v>0</v>
      </c>
      <c r="VJ16" s="46">
        <f t="shared" si="419"/>
        <v>20</v>
      </c>
      <c r="VK16" s="46">
        <f t="shared" si="77"/>
        <v>2.5339999999999998</v>
      </c>
      <c r="VL16" s="46">
        <f t="shared" si="420"/>
        <v>1</v>
      </c>
      <c r="VM16" s="46">
        <f t="shared" si="421"/>
        <v>2</v>
      </c>
      <c r="VN16" s="46" cm="1">
        <f t="array" ref="VN16">ROUND(IFERROR(INDEX(ArchiveResults!$F$5:$IX$116,ComparisonData!A16,ComparisonData!$VN$1),0),5)</f>
        <v>0</v>
      </c>
      <c r="VO16" s="46" cm="1">
        <f t="array" ref="VO16">ROUND(IFERROR(INDEX(ArchiveResults!$F$5:$IX$116,ComparisonData!A16,ComparisonData!$VO$1),0),5)</f>
        <v>0</v>
      </c>
      <c r="VP16" s="46" cm="1">
        <f t="array" ref="VP16">ROUND(IFERROR(INDEX(ArchiveResults!$F$5:$IX$116,ComparisonData!A16,ComparisonData!$VP$1),0),5)</f>
        <v>0</v>
      </c>
      <c r="VQ16" s="46" cm="1">
        <f t="array" ref="VQ16">ROUND(IFERROR(INDEX(ArchiveResults!$F$5:$IX$116,ComparisonData!A16,ComparisonData!$VQ$1),0),5)</f>
        <v>0</v>
      </c>
      <c r="VR16" s="56">
        <v>11</v>
      </c>
      <c r="VS16" s="53" t="str">
        <f t="shared" si="78"/>
        <v>Cadbury Research Library, University of Birmingham</v>
      </c>
      <c r="VT16" s="60">
        <f t="shared" si="422"/>
        <v>0</v>
      </c>
      <c r="VU16" s="60">
        <f t="shared" si="423"/>
        <v>0</v>
      </c>
      <c r="VV16" s="60">
        <f t="shared" si="424"/>
        <v>0</v>
      </c>
      <c r="VW16" s="60">
        <f t="shared" si="425"/>
        <v>0</v>
      </c>
      <c r="VX16" s="76">
        <f t="shared" si="426"/>
        <v>0</v>
      </c>
      <c r="VY16" s="46">
        <f t="shared" si="427"/>
        <v>20</v>
      </c>
      <c r="VZ16" s="46">
        <f t="shared" si="79"/>
        <v>2.5339999999999998</v>
      </c>
      <c r="WA16" s="46">
        <f t="shared" si="428"/>
        <v>1</v>
      </c>
      <c r="WB16" s="46">
        <f t="shared" si="429"/>
        <v>2</v>
      </c>
      <c r="WC16" s="46" cm="1">
        <f t="array" ref="WC16">ROUND(IFERROR(INDEX(ArchiveResults!$F$5:$IX$116,ComparisonData!A16,ComparisonData!$WC$1),0),5)</f>
        <v>0</v>
      </c>
      <c r="WD16" s="56">
        <v>11</v>
      </c>
      <c r="WE16" s="53" t="str">
        <f t="shared" si="80"/>
        <v>Cadbury Research Library, University of Birmingham</v>
      </c>
      <c r="WF16" s="46">
        <f t="shared" si="430"/>
        <v>0</v>
      </c>
      <c r="WG16" s="76">
        <f t="shared" si="431"/>
        <v>0</v>
      </c>
      <c r="WH16" s="46">
        <f t="shared" si="432"/>
        <v>20</v>
      </c>
      <c r="WI16" s="46">
        <f t="shared" si="81"/>
        <v>2.5339999999999998</v>
      </c>
      <c r="WJ16" s="46">
        <f t="shared" si="433"/>
        <v>1</v>
      </c>
      <c r="WK16" s="46">
        <f t="shared" si="434"/>
        <v>2</v>
      </c>
      <c r="WL16" s="46" cm="1">
        <f t="array" ref="WL16">ROUND(IFERROR(INDEX(ArchiveResults!$F$5:$IX$116,ComparisonData!A16,ComparisonData!$WL$1),0),5)</f>
        <v>0</v>
      </c>
      <c r="WM16" s="46" cm="1">
        <f t="array" ref="WM16">IFERROR(INDEX(ArchiveResults!$F$5:$IX$116,ComparisonData!A16,ComparisonData!$WM$1),0)</f>
        <v>0</v>
      </c>
      <c r="WN16" s="56">
        <v>11</v>
      </c>
      <c r="WO16" s="53" t="str">
        <f t="shared" si="82"/>
        <v>Cadbury Research Library, University of Birmingham</v>
      </c>
      <c r="WP16" s="60">
        <f t="shared" si="435"/>
        <v>0</v>
      </c>
      <c r="WQ16" s="60">
        <f t="shared" si="436"/>
        <v>0</v>
      </c>
      <c r="WR16" s="76">
        <f t="shared" si="437"/>
        <v>0</v>
      </c>
      <c r="WS16" s="46">
        <f t="shared" si="438"/>
        <v>20</v>
      </c>
      <c r="WT16" s="46">
        <f t="shared" si="83"/>
        <v>2.5339999999999998</v>
      </c>
      <c r="WU16" s="46">
        <f t="shared" si="439"/>
        <v>1</v>
      </c>
      <c r="WV16" s="46">
        <f t="shared" si="440"/>
        <v>2</v>
      </c>
      <c r="WW16" s="46" cm="1">
        <f t="array" ref="WW16">ROUND(VALUE(IFERROR(INDEX(ArchiveResults!$F$5:$IX$116,ComparisonData!A16,ComparisonData!$WW$1),0)),5)</f>
        <v>0</v>
      </c>
      <c r="WX16" s="46" cm="1">
        <f t="array" ref="WX16">ROUND(IFERROR(INDEX(ArchiveResults!$F$5:$IX$116,ComparisonData!A16,ComparisonData!$WX$1),0),5)</f>
        <v>0</v>
      </c>
      <c r="WY16" s="56">
        <v>11</v>
      </c>
      <c r="WZ16" s="53" t="str">
        <f t="shared" si="84"/>
        <v>Cadbury Research Library, University of Birmingham</v>
      </c>
      <c r="XA16" s="60">
        <f t="shared" si="85"/>
        <v>0</v>
      </c>
      <c r="XB16" s="60">
        <f t="shared" si="86"/>
        <v>0</v>
      </c>
      <c r="XC16" s="76">
        <f t="shared" si="441"/>
        <v>0</v>
      </c>
      <c r="XD16" s="46">
        <f t="shared" si="442"/>
        <v>20</v>
      </c>
      <c r="XE16" s="46">
        <f t="shared" si="87"/>
        <v>2.5339999999999998</v>
      </c>
      <c r="XF16" s="46">
        <f t="shared" si="443"/>
        <v>1</v>
      </c>
      <c r="XG16" s="46">
        <f t="shared" si="444"/>
        <v>2</v>
      </c>
      <c r="XH16" s="46" cm="1">
        <f t="array" ref="XH16">ROUND(VALUE(IFERROR(INDEX(ArchiveResults!$F$5:$IX$116,ComparisonData!A16,ComparisonData!$XH$1),0)),5)</f>
        <v>0</v>
      </c>
      <c r="XI16" s="46" cm="1">
        <f t="array" ref="XI16">ROUND(VALUE(IFERROR(INDEX(ArchiveResults!$F$5:$IX$116,ComparisonData!A16,ComparisonData!$XI$1),0)),5)</f>
        <v>0</v>
      </c>
      <c r="XJ16" s="56">
        <v>11</v>
      </c>
      <c r="XK16" s="53" t="str">
        <f t="shared" si="88"/>
        <v>Cadbury Research Library, University of Birmingham</v>
      </c>
      <c r="XL16" s="60">
        <f t="shared" si="445"/>
        <v>0</v>
      </c>
      <c r="XM16" s="60">
        <f t="shared" si="446"/>
        <v>0</v>
      </c>
      <c r="XN16" s="76">
        <f t="shared" si="447"/>
        <v>0</v>
      </c>
      <c r="XO16" s="46">
        <f t="shared" si="448"/>
        <v>20</v>
      </c>
      <c r="XP16" s="46">
        <f t="shared" si="89"/>
        <v>2.5339999999999998</v>
      </c>
      <c r="XQ16" s="46">
        <f t="shared" si="449"/>
        <v>1</v>
      </c>
      <c r="XR16" s="46">
        <f t="shared" si="450"/>
        <v>2</v>
      </c>
      <c r="XS16" s="46" cm="1">
        <f t="array" ref="XS16">ROUND(VALUE(IFERROR(INDEX(ArchiveResults!$F$5:$IX$116,ComparisonData!A16,ComparisonData!$XS$1),0)),5)</f>
        <v>0</v>
      </c>
      <c r="XT16" s="46" cm="1">
        <f t="array" ref="XT16">ROUND(VALUE(IFERROR(INDEX(ArchiveResults!$F$5:$IX$116,ComparisonData!A16,ComparisonData!$XT$1),0)),5)</f>
        <v>0</v>
      </c>
      <c r="XU16" s="56">
        <v>11</v>
      </c>
      <c r="XV16" s="53" t="str">
        <f t="shared" si="90"/>
        <v>Cadbury Research Library, University of Birmingham</v>
      </c>
      <c r="XW16" s="60">
        <f t="shared" si="451"/>
        <v>0</v>
      </c>
      <c r="XX16" s="60">
        <f t="shared" si="452"/>
        <v>0</v>
      </c>
      <c r="XY16" s="76">
        <f t="shared" si="453"/>
        <v>0</v>
      </c>
      <c r="XZ16" s="46">
        <f t="shared" si="454"/>
        <v>20</v>
      </c>
      <c r="YA16" s="46">
        <f t="shared" si="91"/>
        <v>2.5339999999999998</v>
      </c>
      <c r="YB16" s="46">
        <f t="shared" si="455"/>
        <v>1</v>
      </c>
      <c r="YC16" s="46">
        <f t="shared" si="456"/>
        <v>2</v>
      </c>
      <c r="YD16" s="46" cm="1">
        <f t="array" ref="YD16">ROUND(VALUE(IFERROR(INDEX(ArchiveResults!$F$5:$IX$116,ComparisonData!A16,ComparisonData!$YD$1),0)),5)</f>
        <v>0</v>
      </c>
      <c r="YE16" s="46" cm="1">
        <f t="array" ref="YE16">ROUND(VALUE(IFERROR(INDEX(ArchiveResults!$F$5:$IX$116,ComparisonData!A16,ComparisonData!$YE$1),0)),5)</f>
        <v>0</v>
      </c>
      <c r="YF16" s="56">
        <v>11</v>
      </c>
      <c r="YG16" s="53" t="str">
        <f t="shared" si="92"/>
        <v>Cadbury Research Library, University of Birmingham</v>
      </c>
      <c r="YH16" s="60">
        <f t="shared" si="457"/>
        <v>0</v>
      </c>
      <c r="YI16" s="60">
        <f t="shared" si="458"/>
        <v>0</v>
      </c>
      <c r="YJ16" s="76">
        <f t="shared" si="459"/>
        <v>0</v>
      </c>
      <c r="YK16" s="46">
        <f t="shared" si="460"/>
        <v>20</v>
      </c>
      <c r="YL16" s="46">
        <f t="shared" si="93"/>
        <v>2.5339999999999998</v>
      </c>
      <c r="YM16" s="46">
        <f t="shared" si="461"/>
        <v>1</v>
      </c>
      <c r="YN16" s="46">
        <f t="shared" si="462"/>
        <v>2</v>
      </c>
      <c r="YO16" s="46" cm="1">
        <f t="array" ref="YO16">ROUND(VALUE(IFERROR(INDEX(ArchiveResults!$F$5:$IX$116,ComparisonData!A16,ComparisonData!$YO$1),0)),5)</f>
        <v>0</v>
      </c>
      <c r="YP16" s="46" cm="1">
        <f t="array" ref="YP16">ROUND(VALUE(IFERROR(INDEX(ArchiveResults!$F$5:$IX$116,ComparisonData!A16,ComparisonData!$YP$1),0)),5)</f>
        <v>0</v>
      </c>
      <c r="YQ16" s="56">
        <v>11</v>
      </c>
      <c r="YR16" s="53" t="str">
        <f t="shared" si="94"/>
        <v>Cadbury Research Library, University of Birmingham</v>
      </c>
      <c r="YS16" s="60">
        <f t="shared" si="463"/>
        <v>0</v>
      </c>
      <c r="YT16" s="60">
        <f t="shared" si="464"/>
        <v>0</v>
      </c>
      <c r="YU16" s="76">
        <f t="shared" si="465"/>
        <v>0</v>
      </c>
      <c r="YV16" s="46">
        <f t="shared" si="466"/>
        <v>20</v>
      </c>
      <c r="YW16" s="46">
        <f t="shared" si="95"/>
        <v>2.5339999999999998</v>
      </c>
      <c r="YX16" s="46">
        <f t="shared" si="467"/>
        <v>1</v>
      </c>
      <c r="YY16" s="46">
        <f t="shared" si="468"/>
        <v>2</v>
      </c>
      <c r="YZ16" s="46">
        <f t="shared" si="469"/>
        <v>0</v>
      </c>
      <c r="ZA16" s="46" cm="1">
        <f t="array" ref="ZA16">ROUNDDOWN(VALUE(IFERROR(INDEX(ArchiveResults!$F$5:$IX$116,ComparisonData!A16,ComparisonData!$ZA$1),0)),5)</f>
        <v>0</v>
      </c>
      <c r="ZB16" s="46" cm="1">
        <f t="array" ref="ZB16">ROUNDDOWN(VALUE(IFERROR(INDEX(ArchiveResults!$F$5:$IX$116,ComparisonData!A16,ComparisonData!$ZB$1),0)),5)</f>
        <v>0</v>
      </c>
      <c r="ZC16" s="46" cm="1">
        <f t="array" ref="ZC16">ROUNDDOWN(VALUE(IFERROR(INDEX(ArchiveResults!$F$5:$IX$116,ComparisonData!A16,ComparisonData!$ZC$1),0)),5)</f>
        <v>0</v>
      </c>
      <c r="ZD16" s="46" cm="1">
        <f t="array" ref="ZD16">ROUNDDOWN(VALUE(IFERROR(INDEX(ArchiveResults!$F$5:$IX$116,ComparisonData!A16,ComparisonData!$ZD$1),0)),5)</f>
        <v>0</v>
      </c>
      <c r="ZE16" s="46" cm="1">
        <f t="array" ref="ZE16">ROUNDDOWN(VALUE(IFERROR(INDEX(ArchiveResults!$F$5:$IX$116,ComparisonData!A16,ComparisonData!$ZE$1),0)),5)</f>
        <v>0</v>
      </c>
      <c r="ZF16" s="56">
        <v>11</v>
      </c>
      <c r="ZG16" s="53" t="str">
        <f t="shared" si="96"/>
        <v>Cadbury Research Library, University of Birmingham</v>
      </c>
      <c r="ZH16" s="60">
        <f t="shared" si="470"/>
        <v>0</v>
      </c>
      <c r="ZI16" s="60">
        <f t="shared" si="471"/>
        <v>0</v>
      </c>
      <c r="ZJ16" s="60">
        <f t="shared" si="472"/>
        <v>0</v>
      </c>
      <c r="ZK16" s="60">
        <f t="shared" si="473"/>
        <v>0</v>
      </c>
      <c r="ZL16" s="60">
        <f t="shared" si="474"/>
        <v>0</v>
      </c>
      <c r="ZM16" s="76">
        <f t="shared" si="475"/>
        <v>0</v>
      </c>
      <c r="ZN16" s="46">
        <f t="shared" si="476"/>
        <v>20</v>
      </c>
      <c r="ZO16" s="46">
        <f t="shared" si="97"/>
        <v>2.5339999999999998</v>
      </c>
      <c r="ZP16" s="46">
        <f t="shared" si="477"/>
        <v>1</v>
      </c>
      <c r="ZQ16" s="46">
        <f t="shared" si="478"/>
        <v>2</v>
      </c>
      <c r="ZR16" s="46" cm="1">
        <f t="array" ref="ZR16">ROUND(VALUE(IFERROR(INDEX(ArchiveResults!$F$5:$IX$116,ComparisonData!A16,ComparisonData!$ZR$1),0)),5)</f>
        <v>0</v>
      </c>
      <c r="ZS16" s="56">
        <v>11</v>
      </c>
      <c r="ZT16" s="53" t="str">
        <f t="shared" si="98"/>
        <v>Cadbury Research Library, University of Birmingham</v>
      </c>
      <c r="ZU16" s="46">
        <f t="shared" si="479"/>
        <v>0</v>
      </c>
      <c r="ZV16" s="76">
        <f t="shared" si="480"/>
        <v>0</v>
      </c>
      <c r="ZW16" s="81" cm="1">
        <f t="array" ref="ZW16">ROUND((IFERROR(INDEX(ArchiveResults!$F$5:$IX$116,ComparisonData!A16,ComparisonData!$ZW$1),0)),5)</f>
        <v>0</v>
      </c>
      <c r="ZX16" s="81" cm="1">
        <f t="array" ref="ZX16">ROUND((IFERROR(INDEX(ArchiveResults!$F$5:$IX$116,ComparisonData!A16,ComparisonData!$ZX$1),0)),5)</f>
        <v>0</v>
      </c>
      <c r="ZY16" s="81" cm="1">
        <f t="array" ref="ZY16">ROUND((IFERROR(INDEX(ArchiveResults!$F$5:$IX$116,ComparisonData!A16,ComparisonData!$ZY$1),0)),5)</f>
        <v>0</v>
      </c>
      <c r="ZZ16" s="81" cm="1">
        <f t="array" ref="ZZ16">ROUND((IFERROR(INDEX(ArchiveResults!$F$5:$IX$116,ComparisonData!A16,ComparisonData!$ZZ$1),0)),5)</f>
        <v>0</v>
      </c>
      <c r="AAA16" s="81" cm="1">
        <f t="array" ref="AAA16">ROUND((IFERROR(INDEX(ArchiveResults!$F$5:$IX$116,ComparisonData!A16,ComparisonData!$AAA$1),0)),5)</f>
        <v>0</v>
      </c>
      <c r="AAB16" s="81" cm="1">
        <f t="array" ref="AAB16">ROUND((IFERROR(INDEX(ArchiveResults!$F$5:$IX$116,ComparisonData!A16,ComparisonData!$AAB$1),0)),5)</f>
        <v>0</v>
      </c>
      <c r="AAC16" s="81" cm="1">
        <f t="array" ref="AAC16">ROUND((IFERROR(INDEX(ArchiveResults!$F$5:$IX$116,ComparisonData!A16,ComparisonData!$AAC$1),0)),5)</f>
        <v>0</v>
      </c>
      <c r="AAD16" s="81" cm="1">
        <f t="array" ref="AAD16">ROUND((IFERROR(INDEX(ArchiveResults!$F$5:$IX$116,ComparisonData!A16,ComparisonData!$AAD$1),0)),5)</f>
        <v>0</v>
      </c>
      <c r="AAE16" s="81" cm="1">
        <f t="array" ref="AAE16">ROUND((IFERROR(INDEX(ArchiveResults!$F$5:$IX$116,ComparisonData!A16,ComparisonData!$AAE$1),0)),5)</f>
        <v>0</v>
      </c>
      <c r="AAF16" s="81" cm="1">
        <f t="array" ref="AAF16">ROUND((IFERROR(INDEX(ArchiveResults!$F$5:$IX$116,ComparisonData!A16,ComparisonData!$AAF$1),0)),5)</f>
        <v>0</v>
      </c>
      <c r="AAG16" s="46">
        <f t="shared" si="481"/>
        <v>20</v>
      </c>
      <c r="AAH16" s="46">
        <f t="shared" si="99"/>
        <v>2.5339999999999998</v>
      </c>
      <c r="AAI16" s="46">
        <f t="shared" si="482"/>
        <v>1</v>
      </c>
      <c r="AAJ16" s="46">
        <f t="shared" si="483"/>
        <v>2</v>
      </c>
      <c r="AAK16" s="46">
        <f t="shared" si="484"/>
        <v>0</v>
      </c>
      <c r="AAL16" s="46">
        <f t="shared" si="485"/>
        <v>0</v>
      </c>
      <c r="AAM16" s="46">
        <f t="shared" si="486"/>
        <v>0</v>
      </c>
      <c r="AAN16" s="46">
        <f t="shared" si="487"/>
        <v>0</v>
      </c>
      <c r="AAO16" s="46">
        <f t="shared" si="488"/>
        <v>0</v>
      </c>
      <c r="AAP16" s="46">
        <f t="shared" si="489"/>
        <v>0</v>
      </c>
      <c r="AAQ16" s="56">
        <v>11</v>
      </c>
      <c r="AAR16" s="53" t="str">
        <f t="shared" si="100"/>
        <v>Cadbury Research Library, University of Birmingham</v>
      </c>
      <c r="AAS16" s="60">
        <f t="shared" si="490"/>
        <v>0</v>
      </c>
      <c r="AAT16" s="60">
        <f t="shared" si="491"/>
        <v>0</v>
      </c>
      <c r="AAU16" s="60">
        <f t="shared" si="492"/>
        <v>0</v>
      </c>
      <c r="AAV16" s="60">
        <f t="shared" si="493"/>
        <v>0</v>
      </c>
      <c r="AAW16" s="60">
        <f t="shared" si="494"/>
        <v>0</v>
      </c>
      <c r="AAX16" s="76">
        <f t="shared" si="495"/>
        <v>0</v>
      </c>
      <c r="AAY16" s="46">
        <f t="shared" si="496"/>
        <v>20</v>
      </c>
      <c r="AAZ16" s="46">
        <f t="shared" si="101"/>
        <v>2.5339999999999998</v>
      </c>
      <c r="ABA16" s="46">
        <f t="shared" si="497"/>
        <v>1</v>
      </c>
      <c r="ABB16" s="46">
        <f t="shared" si="498"/>
        <v>2</v>
      </c>
      <c r="ABC16" s="46">
        <f t="shared" si="102"/>
        <v>0</v>
      </c>
      <c r="ABD16" s="46" cm="1">
        <f t="array" ref="ABD16">ROUND(VALUE(IFERROR(INDEX(ArchiveResults!$F$5:$IX$116,ComparisonData!A16,ComparisonData!$ABD$1),0)),5)</f>
        <v>0</v>
      </c>
      <c r="ABE16" s="46" cm="1">
        <f t="array" ref="ABE16">ROUND(VALUE(IFERROR(INDEX(ArchiveResults!$F$5:$IX$116,ComparisonData!A16,ComparisonData!$ABE$1),0)),5)</f>
        <v>0</v>
      </c>
      <c r="ABF16" s="46" cm="1">
        <f t="array" ref="ABF16">ROUND(VALUE(IFERROR(INDEX(ArchiveResults!$F$5:$IX$116,ComparisonData!A16,ComparisonData!$ABF$1),0)),5)</f>
        <v>0</v>
      </c>
      <c r="ABG16" s="46" cm="1">
        <f t="array" ref="ABG16">ROUND(VALUE(IFERROR(INDEX(ArchiveResults!$F$5:$IX$116,ComparisonData!A16,ComparisonData!$ABG$1),0)),5)</f>
        <v>0</v>
      </c>
      <c r="ABH16" s="46" cm="1">
        <f t="array" ref="ABH16">ROUND(VALUE(IFERROR(INDEX(ArchiveResults!$F$5:$IX$116,ComparisonData!A16,ComparisonData!$ABH$1),0)),5)</f>
        <v>0</v>
      </c>
      <c r="ABI16" s="56">
        <v>11</v>
      </c>
      <c r="ABJ16" s="53" t="str">
        <f t="shared" si="103"/>
        <v>Cadbury Research Library, University of Birmingham</v>
      </c>
      <c r="ABK16" s="60">
        <f t="shared" si="499"/>
        <v>0</v>
      </c>
      <c r="ABL16" s="60">
        <f t="shared" si="500"/>
        <v>0</v>
      </c>
      <c r="ABM16" s="60">
        <f t="shared" si="501"/>
        <v>0</v>
      </c>
      <c r="ABN16" s="60">
        <f t="shared" si="502"/>
        <v>0</v>
      </c>
      <c r="ABO16" s="60">
        <f t="shared" si="503"/>
        <v>0</v>
      </c>
      <c r="ABP16" s="76">
        <f t="shared" si="504"/>
        <v>0</v>
      </c>
      <c r="ABQ16" s="46">
        <f t="shared" si="505"/>
        <v>20</v>
      </c>
      <c r="ABR16" s="46">
        <f t="shared" si="104"/>
        <v>2.5339999999999998</v>
      </c>
      <c r="ABS16" s="46">
        <f t="shared" si="506"/>
        <v>1</v>
      </c>
      <c r="ABT16" s="46">
        <f t="shared" si="507"/>
        <v>2</v>
      </c>
      <c r="ABU16" s="46" cm="1">
        <f t="array" ref="ABU16">ROUND(VALUE(IFERROR(INDEX(ArchiveResults!$F$5:$IX$116,ComparisonData!A16,ComparisonData!$ABU$1),0)),5)</f>
        <v>0</v>
      </c>
      <c r="ABV16" s="46" cm="1">
        <f t="array" ref="ABV16">ROUND(VALUE(IFERROR(INDEX(ArchiveResults!$F$5:$IX$116,ComparisonData!A16,ComparisonData!$ABV$1),0)),5)</f>
        <v>0</v>
      </c>
      <c r="ABW16" s="46" cm="1">
        <f t="array" ref="ABW16">ROUND(VALUE(IFERROR(INDEX(ArchiveResults!$F$5:$IX$116,ComparisonData!A16,ComparisonData!$ABW$1),0)),5)</f>
        <v>0</v>
      </c>
      <c r="ABX16" s="46" cm="1">
        <f t="array" ref="ABX16">ROUND(VALUE(IFERROR(INDEX(ArchiveResults!$F$5:$IX$116,ComparisonData!A16,ComparisonData!$ABX$1),0)),5)</f>
        <v>0</v>
      </c>
      <c r="ABY16" s="46" cm="1">
        <f t="array" ref="ABY16">ROUND(VALUE(IFERROR(INDEX(ArchiveResults!$F$5:$IX$116,ComparisonData!A16,ComparisonData!$ABY$1),0)),5)</f>
        <v>0</v>
      </c>
      <c r="ABZ16" s="56">
        <v>11</v>
      </c>
      <c r="ACA16" s="53" t="str">
        <f t="shared" si="105"/>
        <v>Cadbury Research Library, University of Birmingham</v>
      </c>
      <c r="ACB16" s="60">
        <f t="shared" si="508"/>
        <v>0</v>
      </c>
      <c r="ACC16" s="60">
        <f t="shared" si="509"/>
        <v>0</v>
      </c>
      <c r="ACD16" s="60">
        <f t="shared" si="510"/>
        <v>0</v>
      </c>
      <c r="ACE16" s="60">
        <f t="shared" si="511"/>
        <v>0</v>
      </c>
      <c r="ACF16" s="60">
        <f t="shared" si="512"/>
        <v>0</v>
      </c>
      <c r="ACG16" s="76">
        <f t="shared" si="513"/>
        <v>0</v>
      </c>
      <c r="ACH16" s="46">
        <f t="shared" si="514"/>
        <v>20</v>
      </c>
      <c r="ACI16" s="46">
        <f t="shared" si="106"/>
        <v>2.5339999999999998</v>
      </c>
      <c r="ACJ16" s="46">
        <f t="shared" si="515"/>
        <v>1</v>
      </c>
      <c r="ACK16" s="46">
        <f t="shared" si="516"/>
        <v>2</v>
      </c>
      <c r="ACL16" s="46">
        <f t="shared" si="517"/>
        <v>0</v>
      </c>
      <c r="ACM16" s="46" cm="1">
        <f t="array" ref="ACM16">ROUND(IFERROR(INDEX(ArchiveResults!$F$5:$IX$116,ComparisonData!A16,ComparisonData!$ACM$1),0),5)</f>
        <v>0</v>
      </c>
      <c r="ACN16" s="46" cm="1">
        <f t="array" ref="ACN16">ROUND(IFERROR(INDEX(ArchiveResults!$F$5:$IX$116,ComparisonData!A16,ComparisonData!$ACN$1),0),5)</f>
        <v>0</v>
      </c>
      <c r="ACO16" s="56">
        <v>11</v>
      </c>
      <c r="ACP16" s="53" t="str">
        <f t="shared" si="107"/>
        <v>Cadbury Research Library, University of Birmingham</v>
      </c>
      <c r="ACQ16" s="60">
        <f t="shared" si="518"/>
        <v>0</v>
      </c>
      <c r="ACR16" s="60">
        <f t="shared" si="519"/>
        <v>0</v>
      </c>
      <c r="ACS16" s="76">
        <f t="shared" si="520"/>
        <v>0</v>
      </c>
      <c r="ACT16" s="46">
        <f t="shared" si="521"/>
        <v>20</v>
      </c>
      <c r="ACU16" s="46">
        <f t="shared" si="108"/>
        <v>2.5339999999999998</v>
      </c>
      <c r="ACV16" s="46">
        <f t="shared" si="522"/>
        <v>1</v>
      </c>
      <c r="ACW16" s="46">
        <f t="shared" si="523"/>
        <v>2</v>
      </c>
      <c r="ACX16" s="46">
        <f t="shared" si="524"/>
        <v>0</v>
      </c>
      <c r="ACY16" s="46" cm="1">
        <f t="array" ref="ACY16">ROUNDDOWN(IFERROR(INDEX(ArchiveResults!$F$5:$IX$116,ComparisonData!A16,ComparisonData!$ACY$1),0),5)</f>
        <v>0</v>
      </c>
      <c r="ACZ16" s="46" cm="1">
        <f t="array" ref="ACZ16">ROUNDDOWN(IFERROR(INDEX(ArchiveResults!$F$5:$IX$116,ComparisonData!A16,ComparisonData!$ACZ$1),0),5)</f>
        <v>0</v>
      </c>
      <c r="ADA16" s="46" cm="1">
        <f t="array" ref="ADA16">ROUNDDOWN(IFERROR(INDEX(ArchiveResults!$F$5:$IX$116,ComparisonData!A16,ComparisonData!$ADA$1),0),5)</f>
        <v>0</v>
      </c>
      <c r="ADB16" s="56">
        <v>11</v>
      </c>
      <c r="ADC16" s="53" t="str">
        <f t="shared" si="109"/>
        <v>Cadbury Research Library, University of Birmingham</v>
      </c>
      <c r="ADD16" s="60">
        <f t="shared" si="525"/>
        <v>0</v>
      </c>
      <c r="ADE16" s="60">
        <f t="shared" si="526"/>
        <v>0</v>
      </c>
      <c r="ADF16" s="60">
        <f t="shared" si="527"/>
        <v>0</v>
      </c>
      <c r="ADG16" s="76">
        <f t="shared" si="528"/>
        <v>0</v>
      </c>
    </row>
    <row r="17" spans="1:787" x14ac:dyDescent="0.25">
      <c r="A17" s="46" t="str">
        <f>IF(ISBLANK(ComparisonSelection!F13),"",ROW()-5)</f>
        <v/>
      </c>
      <c r="B17" s="53" t="s">
        <v>467</v>
      </c>
      <c r="C17" s="72">
        <v>0.52399999999999958</v>
      </c>
      <c r="D17" s="55">
        <f t="shared" si="110"/>
        <v>18</v>
      </c>
      <c r="E17" s="54">
        <f t="shared" si="111"/>
        <v>2.5239999999999996</v>
      </c>
      <c r="F17" s="54">
        <f t="shared" si="529"/>
        <v>1</v>
      </c>
      <c r="G17" s="72">
        <f t="shared" si="112"/>
        <v>2</v>
      </c>
      <c r="H17" s="72">
        <f t="shared" si="113"/>
        <v>0</v>
      </c>
      <c r="I17" s="46" cm="1">
        <f t="array" ref="I17">ROUND(IFERROR(INDEX(ArchiveResults!$F$5:$IX$116,ComparisonData!A17,ComparisonData!$I$1),0),5)</f>
        <v>0</v>
      </c>
      <c r="J17" s="46" cm="1">
        <f t="array" ref="J17">ROUND(IFERROR(INDEX(ArchiveResults!$F$5:$IX$116,ComparisonData!A17,ComparisonData!$J$1),0),5)</f>
        <v>0</v>
      </c>
      <c r="K17" s="56">
        <v>12</v>
      </c>
      <c r="L17" s="53" t="str">
        <f t="shared" si="114"/>
        <v>Cambridgeshire Archives</v>
      </c>
      <c r="M17" s="57">
        <f t="shared" si="0"/>
        <v>0</v>
      </c>
      <c r="N17" s="57">
        <f t="shared" si="1"/>
        <v>0</v>
      </c>
      <c r="O17" s="58">
        <f t="shared" si="115"/>
        <v>0</v>
      </c>
      <c r="P17" s="48">
        <f t="shared" si="116"/>
        <v>18</v>
      </c>
      <c r="Q17" s="54">
        <f t="shared" si="2"/>
        <v>2.5239999999999996</v>
      </c>
      <c r="R17" s="45">
        <f t="shared" si="117"/>
        <v>1</v>
      </c>
      <c r="S17" s="46">
        <f t="shared" si="118"/>
        <v>2</v>
      </c>
      <c r="T17" s="72">
        <f t="shared" si="119"/>
        <v>0</v>
      </c>
      <c r="U17" s="46" cm="1">
        <f t="array" ref="U17">ROUND(IFERROR(INDEX(ArchiveResults!$F$5:$IX$116,ComparisonData!A17,ComparisonData!$U$1),0),5)</f>
        <v>0</v>
      </c>
      <c r="V17" s="46" cm="1">
        <f t="array" ref="V17">ROUND(IFERROR(INDEX(ArchiveResults!$F$5:$IX$116,ComparisonData!A17,ComparisonData!$V$1),0),5)</f>
        <v>0</v>
      </c>
      <c r="W17" s="56">
        <v>12</v>
      </c>
      <c r="X17" s="53" t="str">
        <f t="shared" si="3"/>
        <v>Cambridgeshire Archives</v>
      </c>
      <c r="Y17" s="57">
        <f t="shared" si="120"/>
        <v>0</v>
      </c>
      <c r="Z17" s="57">
        <f t="shared" si="121"/>
        <v>0</v>
      </c>
      <c r="AA17" s="58">
        <f t="shared" si="122"/>
        <v>0</v>
      </c>
      <c r="AB17" s="45">
        <f t="shared" si="123"/>
        <v>18</v>
      </c>
      <c r="AC17" s="54">
        <f t="shared" si="4"/>
        <v>2.5239999999999996</v>
      </c>
      <c r="AD17" s="45">
        <f t="shared" si="124"/>
        <v>1</v>
      </c>
      <c r="AE17" s="45">
        <f t="shared" si="125"/>
        <v>2</v>
      </c>
      <c r="AF17" s="45">
        <f t="shared" si="126"/>
        <v>0</v>
      </c>
      <c r="AG17" s="46" cm="1">
        <f t="array" ref="AG17">ROUND(IFERROR(INDEX(ArchiveResults!$F$5:$IX$116,ComparisonData!A17,ComparisonData!$AG$1),0),5)</f>
        <v>0</v>
      </c>
      <c r="AH17" s="46" cm="1">
        <f t="array" ref="AH17">ROUND(IFERROR(INDEX(ArchiveResults!$F$5:$IX$116,ComparisonData!A17,ComparisonData!$AH$1),0),5)</f>
        <v>0</v>
      </c>
      <c r="AI17" s="56">
        <v>12</v>
      </c>
      <c r="AJ17" s="53" t="str">
        <f t="shared" si="5"/>
        <v>Cambridgeshire Archives</v>
      </c>
      <c r="AK17" s="59">
        <f t="shared" si="6"/>
        <v>0</v>
      </c>
      <c r="AL17" s="59">
        <f t="shared" si="7"/>
        <v>0</v>
      </c>
      <c r="AM17" s="58">
        <f t="shared" si="127"/>
        <v>0</v>
      </c>
      <c r="AN17" s="45">
        <f t="shared" si="128"/>
        <v>18</v>
      </c>
      <c r="AO17" s="54">
        <f t="shared" si="8"/>
        <v>2.5239999999999996</v>
      </c>
      <c r="AP17" s="45">
        <f t="shared" si="129"/>
        <v>1</v>
      </c>
      <c r="AQ17" s="45">
        <f t="shared" si="130"/>
        <v>2</v>
      </c>
      <c r="AR17" s="46" cm="1">
        <f t="array" ref="AR17">ROUND(IFERROR(INDEX(ArchiveResults!$F$5:$IX$116,ComparisonData!A17,ComparisonData!$AR$1),0),5)</f>
        <v>0</v>
      </c>
      <c r="AS17" s="46" cm="1">
        <f t="array" ref="AS17">ROUND(IFERROR(INDEX(ArchiveResults!$F$5:$IX$116,ComparisonData!A17,ComparisonData!$AS$1),0),5)</f>
        <v>0</v>
      </c>
      <c r="AT17" s="46" cm="1">
        <f t="array" ref="AT17">ROUND(IFERROR(INDEX(ArchiveResults!$F$5:$IX$116,ComparisonData!A17,ComparisonData!$AT$1),0),5)</f>
        <v>0</v>
      </c>
      <c r="AU17" s="46" cm="1">
        <f t="array" ref="AU17">ROUND(IFERROR(INDEX(ArchiveResults!$F$5:$IX$116,ComparisonData!A17,ComparisonData!$AU$1),0),5)</f>
        <v>0</v>
      </c>
      <c r="AV17" s="46" cm="1">
        <f t="array" ref="AV17">ROUND(IFERROR(INDEX(ArchiveResults!$F$5:$IX$116,ComparisonData!A17,ComparisonData!$AV$1),0),5)</f>
        <v>0</v>
      </c>
      <c r="AW17" s="46" cm="1">
        <f t="array" ref="AW17">ROUND(IFERROR(INDEX(ArchiveResults!$F$5:$IX$116,ComparisonData!A17,ComparisonData!$AW$1),0),5)</f>
        <v>0</v>
      </c>
      <c r="AX17" s="46" cm="1">
        <f t="array" ref="AX17">ROUND(IFERROR(INDEX(ArchiveResults!$F$5:$IX$116,ComparisonData!A17,ComparisonData!$AX$1),0),5)</f>
        <v>0</v>
      </c>
      <c r="AY17" s="46" cm="1">
        <f t="array" ref="AY17">ROUND(IFERROR(INDEX(ArchiveResults!$F$5:$IX$116,ComparisonData!A17,ComparisonData!$AY$1),0),5)</f>
        <v>0</v>
      </c>
      <c r="AZ17" s="46" cm="1">
        <f t="array" ref="AZ17">ROUND(IFERROR(INDEX(ArchiveResults!$F$5:$IX$116,ComparisonData!A17,ComparisonData!$AZ$1),0),5)</f>
        <v>0</v>
      </c>
      <c r="BA17" s="46" cm="1">
        <f t="array" ref="BA17">ROUND(IFERROR(INDEX(ArchiveResults!$F$5:$IX$116,ComparisonData!A17,ComparisonData!$BA$1),0),5)</f>
        <v>0</v>
      </c>
      <c r="BB17" s="56">
        <v>12</v>
      </c>
      <c r="BC17" s="53" t="str">
        <f t="shared" si="9"/>
        <v>Cambridgeshire Archives</v>
      </c>
      <c r="BD17" s="60">
        <f t="shared" si="131"/>
        <v>0</v>
      </c>
      <c r="BE17" s="60">
        <f t="shared" si="132"/>
        <v>0</v>
      </c>
      <c r="BF17" s="60">
        <f t="shared" si="133"/>
        <v>0</v>
      </c>
      <c r="BG17" s="60">
        <f t="shared" si="134"/>
        <v>0</v>
      </c>
      <c r="BH17" s="60">
        <f t="shared" si="135"/>
        <v>0</v>
      </c>
      <c r="BI17" s="60">
        <f t="shared" si="136"/>
        <v>0</v>
      </c>
      <c r="BJ17" s="60">
        <f t="shared" si="137"/>
        <v>0</v>
      </c>
      <c r="BK17" s="60">
        <f t="shared" si="138"/>
        <v>0</v>
      </c>
      <c r="BL17" s="60">
        <f t="shared" si="139"/>
        <v>0</v>
      </c>
      <c r="BM17" s="59">
        <f t="shared" si="140"/>
        <v>0</v>
      </c>
      <c r="BN17" s="58">
        <f t="shared" si="141"/>
        <v>0</v>
      </c>
      <c r="BO17" s="45">
        <f t="shared" si="142"/>
        <v>18</v>
      </c>
      <c r="BP17" s="54">
        <f t="shared" si="10"/>
        <v>2.5239999999999996</v>
      </c>
      <c r="BQ17" s="45">
        <f t="shared" si="143"/>
        <v>1</v>
      </c>
      <c r="BR17" s="45">
        <f t="shared" si="144"/>
        <v>2</v>
      </c>
      <c r="BS17" s="46" cm="1">
        <f t="array" ref="BS17">ROUND(IFERROR(INDEX(ArchiveResults!$F$5:$IX$116,ComparisonData!A17,ComparisonData!$BS$1),0),5)</f>
        <v>0</v>
      </c>
      <c r="BT17" s="46" cm="1">
        <f t="array" ref="BT17">ROUND(IFERROR(INDEX(ArchiveResults!$F$5:$IX$116,ComparisonData!A17,ComparisonData!$BT$1),0),5)</f>
        <v>0</v>
      </c>
      <c r="BU17" s="46" cm="1">
        <f t="array" ref="BU17">ROUND(IFERROR(INDEX(ArchiveResults!$F$5:$IX$116,ComparisonData!A17,ComparisonData!$BU$1),0),5)</f>
        <v>0</v>
      </c>
      <c r="BV17" s="46" cm="1">
        <f t="array" ref="BV17">ROUND(IFERROR(INDEX(ArchiveResults!$F$5:$IX$116,ComparisonData!A17,ComparisonData!$BV$1),0),5)</f>
        <v>0</v>
      </c>
      <c r="BW17" s="46" cm="1">
        <f t="array" ref="BW17">ROUND(IFERROR(INDEX(ArchiveResults!$F$5:$IX$116,ComparisonData!A17,ComparisonData!$BW$1),0),5)</f>
        <v>0</v>
      </c>
      <c r="BX17" s="46" cm="1">
        <f t="array" ref="BX17">ROUND(IFERROR(INDEX(ArchiveResults!$F$5:$IX$116,ComparisonData!A17,ComparisonData!$BX$1),0),5)</f>
        <v>0</v>
      </c>
      <c r="BY17" s="56">
        <v>12</v>
      </c>
      <c r="BZ17" s="53" t="str">
        <f t="shared" si="11"/>
        <v>Cambridgeshire Archives</v>
      </c>
      <c r="CA17" s="59">
        <f t="shared" si="145"/>
        <v>0</v>
      </c>
      <c r="CB17" s="59">
        <f t="shared" si="146"/>
        <v>0</v>
      </c>
      <c r="CC17" s="59">
        <f t="shared" si="147"/>
        <v>0</v>
      </c>
      <c r="CD17" s="59">
        <f t="shared" si="148"/>
        <v>0</v>
      </c>
      <c r="CE17" s="59">
        <f t="shared" si="149"/>
        <v>0</v>
      </c>
      <c r="CF17" s="59">
        <f t="shared" si="150"/>
        <v>0</v>
      </c>
      <c r="CG17" s="58">
        <f t="shared" si="151"/>
        <v>0</v>
      </c>
      <c r="CH17" s="45">
        <f t="shared" si="152"/>
        <v>18</v>
      </c>
      <c r="CI17" s="54">
        <f t="shared" si="12"/>
        <v>2.5239999999999996</v>
      </c>
      <c r="CJ17" s="45">
        <f t="shared" si="153"/>
        <v>1</v>
      </c>
      <c r="CK17" s="45">
        <f t="shared" si="154"/>
        <v>2</v>
      </c>
      <c r="CL17" s="46" cm="1">
        <f t="array" ref="CL17">ROUND(IFERROR(INDEX(ArchiveResults!$F$5:$IX$116,ComparisonData!A17,ComparisonData!$CL$1),0),5)</f>
        <v>0</v>
      </c>
      <c r="CM17" s="56">
        <v>12</v>
      </c>
      <c r="CN17" s="53" t="str">
        <f t="shared" si="13"/>
        <v>Cambridgeshire Archives</v>
      </c>
      <c r="CO17" s="45">
        <f t="shared" si="155"/>
        <v>0</v>
      </c>
      <c r="CP17" s="58">
        <f t="shared" si="156"/>
        <v>0</v>
      </c>
      <c r="CQ17" s="45">
        <f t="shared" si="157"/>
        <v>18</v>
      </c>
      <c r="CR17" s="54">
        <f t="shared" si="14"/>
        <v>2.5239999999999996</v>
      </c>
      <c r="CS17" s="45">
        <f t="shared" si="158"/>
        <v>1</v>
      </c>
      <c r="CT17" s="45">
        <f t="shared" si="159"/>
        <v>2</v>
      </c>
      <c r="CU17" s="46" cm="1">
        <f t="array" ref="CU17">ROUND(IFERROR(INDEX(ArchiveResults!$F$5:$IX$116,ComparisonData!A17,ComparisonData!$CU$1),0),5)</f>
        <v>0</v>
      </c>
      <c r="CV17" s="56">
        <v>12</v>
      </c>
      <c r="CW17" s="53" t="str">
        <f t="shared" si="15"/>
        <v>Cambridgeshire Archives</v>
      </c>
      <c r="CX17" s="45">
        <f t="shared" si="160"/>
        <v>0</v>
      </c>
      <c r="CY17" s="58">
        <f t="shared" si="161"/>
        <v>0</v>
      </c>
      <c r="CZ17" s="45">
        <f t="shared" si="162"/>
        <v>18</v>
      </c>
      <c r="DA17" s="54">
        <f t="shared" si="16"/>
        <v>2.5239999999999996</v>
      </c>
      <c r="DB17" s="45">
        <f t="shared" si="163"/>
        <v>1</v>
      </c>
      <c r="DC17" s="45">
        <f t="shared" si="164"/>
        <v>2</v>
      </c>
      <c r="DD17" s="46" cm="1">
        <f t="array" ref="DD17">ROUND(IFERROR(INDEX(ArchiveResults!$F$5:$IX$116,ComparisonData!A17,ComparisonData!$DD$1),0),5)</f>
        <v>0</v>
      </c>
      <c r="DE17" s="56">
        <v>12</v>
      </c>
      <c r="DF17" s="53" t="str">
        <f t="shared" si="17"/>
        <v>Cambridgeshire Archives</v>
      </c>
      <c r="DG17" s="45">
        <f t="shared" si="165"/>
        <v>0</v>
      </c>
      <c r="DH17" s="58">
        <f t="shared" si="166"/>
        <v>0</v>
      </c>
      <c r="DI17" s="45">
        <f t="shared" si="167"/>
        <v>18</v>
      </c>
      <c r="DJ17" s="54">
        <f t="shared" si="18"/>
        <v>2.5239999999999996</v>
      </c>
      <c r="DK17" s="45">
        <f t="shared" si="168"/>
        <v>1</v>
      </c>
      <c r="DL17" s="45">
        <f t="shared" si="169"/>
        <v>2</v>
      </c>
      <c r="DM17" s="46" cm="1">
        <f t="array" ref="DM17">ROUND(IFERROR(INDEX(ArchiveResults!$F$5:$IX$116,ComparisonData!A17,ComparisonData!$DM$1),0),5)</f>
        <v>0</v>
      </c>
      <c r="DN17" s="46" cm="1">
        <f t="array" ref="DN17">ROUND(IFERROR(INDEX(ArchiveResults!$F$5:$IX$116,ComparisonData!A17,ComparisonData!$DN$1),0),5)</f>
        <v>0</v>
      </c>
      <c r="DO17" s="46" cm="1">
        <f t="array" ref="DO17">ROUND(IFERROR(INDEX(ArchiveResults!$F$5:$IX$116,ComparisonData!A17,ComparisonData!$DO$1),0),5)</f>
        <v>0</v>
      </c>
      <c r="DP17" s="46" cm="1">
        <f t="array" ref="DP17">ROUND(IFERROR(INDEX(ArchiveResults!$F$5:$IX$116,ComparisonData!A17,ComparisonData!$DP$1),0),5)</f>
        <v>0</v>
      </c>
      <c r="DQ17" s="45" cm="1">
        <f t="array" ref="DQ17">IFERROR(INDEX(ArchiveResults!$F$5:$IX$116,ComparisonData!A17,ComparisonData!$DQ$1),0)</f>
        <v>0</v>
      </c>
      <c r="DR17" s="56">
        <v>12</v>
      </c>
      <c r="DS17" s="53" t="str">
        <f t="shared" si="19"/>
        <v>Cambridgeshire Archives</v>
      </c>
      <c r="DT17" s="59">
        <f t="shared" si="170"/>
        <v>0</v>
      </c>
      <c r="DU17" s="59">
        <f t="shared" si="171"/>
        <v>0</v>
      </c>
      <c r="DV17" s="59">
        <f t="shared" si="172"/>
        <v>0</v>
      </c>
      <c r="DW17" s="59">
        <f t="shared" si="173"/>
        <v>0</v>
      </c>
      <c r="DX17" s="59">
        <f t="shared" si="174"/>
        <v>0</v>
      </c>
      <c r="DY17" s="58">
        <f t="shared" si="175"/>
        <v>0</v>
      </c>
      <c r="DZ17" s="45">
        <f t="shared" si="176"/>
        <v>18</v>
      </c>
      <c r="EA17" s="54">
        <f t="shared" si="20"/>
        <v>2.5239999999999996</v>
      </c>
      <c r="EB17" s="45">
        <f t="shared" si="177"/>
        <v>1</v>
      </c>
      <c r="EC17" s="45">
        <f t="shared" si="178"/>
        <v>2</v>
      </c>
      <c r="ED17" s="46" cm="1">
        <f t="array" ref="ED17">ROUND(IFERROR(INDEX(ArchiveResults!$F$5:$IX$116,ComparisonData!A17,ComparisonData!$ED$1),0),5)</f>
        <v>0</v>
      </c>
      <c r="EE17" s="46" cm="1">
        <f t="array" ref="EE17">ROUND(IFERROR(INDEX(ArchiveResults!$F$5:$IX$116,ComparisonData!A17,ComparisonData!$EE$1),0),5)</f>
        <v>0</v>
      </c>
      <c r="EF17" s="46" cm="1">
        <f t="array" ref="EF17">ROUND(IFERROR(INDEX(ArchiveResults!$F$5:$IX$116,ComparisonData!A17,ComparisonData!$EF$1),0),5)</f>
        <v>0</v>
      </c>
      <c r="EG17" s="46" cm="1">
        <f t="array" ref="EG17">ROUND(IFERROR(INDEX(ArchiveResults!$F$5:$IX$116,ComparisonData!A17,ComparisonData!$EG$1),0),5)</f>
        <v>0</v>
      </c>
      <c r="EH17" s="45" cm="1">
        <f t="array" ref="EH17">IFERROR(INDEX(ArchiveResults!$F$5:$IX$116,ComparisonData!A17,ComparisonData!$EH$1),0)</f>
        <v>0</v>
      </c>
      <c r="EI17" s="56">
        <v>12</v>
      </c>
      <c r="EJ17" s="53" t="str">
        <f t="shared" si="21"/>
        <v>Cambridgeshire Archives</v>
      </c>
      <c r="EK17" s="59">
        <f t="shared" si="179"/>
        <v>0</v>
      </c>
      <c r="EL17" s="59">
        <f t="shared" si="180"/>
        <v>0</v>
      </c>
      <c r="EM17" s="59">
        <f t="shared" si="181"/>
        <v>0</v>
      </c>
      <c r="EN17" s="59">
        <f t="shared" si="182"/>
        <v>0</v>
      </c>
      <c r="EO17" s="59">
        <f t="shared" si="183"/>
        <v>0</v>
      </c>
      <c r="EP17" s="58">
        <f t="shared" si="184"/>
        <v>0</v>
      </c>
      <c r="EQ17" s="45">
        <f t="shared" si="185"/>
        <v>18</v>
      </c>
      <c r="ER17" s="54">
        <f t="shared" si="22"/>
        <v>2.5239999999999996</v>
      </c>
      <c r="ES17" s="45">
        <f t="shared" si="186"/>
        <v>1</v>
      </c>
      <c r="ET17" s="45">
        <f t="shared" si="187"/>
        <v>2</v>
      </c>
      <c r="EU17" s="46" cm="1">
        <f t="array" ref="EU17">ROUND(IFERROR(INDEX(ArchiveResults!$F$5:$IX$116,ComparisonData!A17,ComparisonData!$EU$1),0),5)</f>
        <v>0</v>
      </c>
      <c r="EV17" s="46" cm="1">
        <f t="array" ref="EV17">ROUND(IFERROR(INDEX(ArchiveResults!$F$5:$IX$116,ComparisonData!A17,ComparisonData!$EV$1),0),5)</f>
        <v>0</v>
      </c>
      <c r="EW17" s="46" cm="1">
        <f t="array" ref="EW17">ROUND(IFERROR(INDEX(ArchiveResults!$F$5:$IX$116,ComparisonData!A17,ComparisonData!$EW$1),0),5)</f>
        <v>0</v>
      </c>
      <c r="EX17" s="46" cm="1">
        <f t="array" ref="EX17">ROUND(IFERROR(INDEX(ArchiveResults!$F$5:$IX$116,ComparisonData!A17,ComparisonData!$EX$1),0),5)</f>
        <v>0</v>
      </c>
      <c r="EY17" s="45" cm="1">
        <f t="array" ref="EY17">IFERROR(INDEX(ArchiveResults!$F$5:$IX$116,ComparisonData!A17,ComparisonData!$EY$1),0)</f>
        <v>0</v>
      </c>
      <c r="EZ17" s="56">
        <v>12</v>
      </c>
      <c r="FA17" s="53" t="str">
        <f t="shared" si="23"/>
        <v>Cambridgeshire Archives</v>
      </c>
      <c r="FB17" s="59">
        <f t="shared" si="188"/>
        <v>0</v>
      </c>
      <c r="FC17" s="59">
        <f t="shared" si="189"/>
        <v>0</v>
      </c>
      <c r="FD17" s="59">
        <f t="shared" si="190"/>
        <v>0</v>
      </c>
      <c r="FE17" s="59">
        <f t="shared" si="191"/>
        <v>0</v>
      </c>
      <c r="FF17" s="59">
        <f t="shared" si="192"/>
        <v>0</v>
      </c>
      <c r="FG17" s="58">
        <f t="shared" si="193"/>
        <v>0</v>
      </c>
      <c r="FH17" s="45">
        <f t="shared" si="194"/>
        <v>18</v>
      </c>
      <c r="FI17" s="54">
        <f t="shared" si="24"/>
        <v>2.5239999999999996</v>
      </c>
      <c r="FJ17" s="45">
        <f t="shared" si="195"/>
        <v>1</v>
      </c>
      <c r="FK17" s="45">
        <f t="shared" si="196"/>
        <v>2</v>
      </c>
      <c r="FL17" s="46" cm="1">
        <f t="array" ref="FL17">ROUND(IFERROR(INDEX(ArchiveResults!$F$5:$IX$116,ComparisonData!A17,ComparisonData!$FL$1),0),5)</f>
        <v>0</v>
      </c>
      <c r="FM17" s="46" cm="1">
        <f t="array" ref="FM17">ROUND(IFERROR(INDEX(ArchiveResults!$F$5:$IX$116,ComparisonData!A17,ComparisonData!$FM$1),0),5)</f>
        <v>0</v>
      </c>
      <c r="FN17" s="46" cm="1">
        <f t="array" ref="FN17">ROUND(IFERROR(INDEX(ArchiveResults!$F$5:$IX$116,ComparisonData!A17,ComparisonData!$FN$1),0),5)</f>
        <v>0</v>
      </c>
      <c r="FO17" s="46" cm="1">
        <f t="array" ref="FO17">ROUND(IFERROR(INDEX(ArchiveResults!$F$5:$IX$116,ComparisonData!A17,ComparisonData!$FO$1),0),5)</f>
        <v>0</v>
      </c>
      <c r="FP17" s="45" cm="1">
        <f t="array" ref="FP17">IFERROR(INDEX(ArchiveResults!$F$5:$IX$116,ComparisonData!A17,ComparisonData!$FP$1),0)</f>
        <v>0</v>
      </c>
      <c r="FQ17" s="56">
        <v>12</v>
      </c>
      <c r="FR17" s="53" t="str">
        <f t="shared" si="25"/>
        <v>Cambridgeshire Archives</v>
      </c>
      <c r="FS17" s="59">
        <f t="shared" si="197"/>
        <v>0</v>
      </c>
      <c r="FT17" s="59">
        <f t="shared" si="198"/>
        <v>0</v>
      </c>
      <c r="FU17" s="59">
        <f t="shared" si="199"/>
        <v>0</v>
      </c>
      <c r="FV17" s="59">
        <f t="shared" si="200"/>
        <v>0</v>
      </c>
      <c r="FW17" s="59">
        <f t="shared" si="201"/>
        <v>0</v>
      </c>
      <c r="FX17" s="58">
        <f t="shared" si="202"/>
        <v>0</v>
      </c>
      <c r="FY17" s="45">
        <f t="shared" si="203"/>
        <v>18</v>
      </c>
      <c r="FZ17" s="45">
        <f t="shared" si="26"/>
        <v>2.5239999999999996</v>
      </c>
      <c r="GA17" s="45">
        <f t="shared" si="204"/>
        <v>1</v>
      </c>
      <c r="GB17" s="45">
        <f t="shared" si="205"/>
        <v>2</v>
      </c>
      <c r="GC17" s="46" cm="1">
        <f t="array" ref="GC17">ROUND(IFERROR(INDEX(ArchiveResults!$F$5:$IX$116,ComparisonData!A17,ComparisonData!$GC$1),0),5)</f>
        <v>0</v>
      </c>
      <c r="GD17" s="46" cm="1">
        <f t="array" ref="GD17">ROUND(IFERROR(INDEX(ArchiveResults!$F$5:$IX$116,ComparisonData!A17,ComparisonData!$GD$1),0),5)</f>
        <v>0</v>
      </c>
      <c r="GE17" s="46" cm="1">
        <f t="array" ref="GE17">ROUND(IFERROR(INDEX(ArchiveResults!$F$5:$IX$116,ComparisonData!A17,ComparisonData!$GE$1),0),5)</f>
        <v>0</v>
      </c>
      <c r="GF17" s="46" cm="1">
        <f t="array" ref="GF17">ROUND(IFERROR(INDEX(ArchiveResults!$F$5:$IX$116,ComparisonData!A17,ComparisonData!$GF$1),0),5)</f>
        <v>0</v>
      </c>
      <c r="GG17" s="45" cm="1">
        <f t="array" ref="GG17">IFERROR(INDEX(ArchiveResults!$F$5:$IX$116,ComparisonData!A17,ComparisonData!$GG$1),0)</f>
        <v>0</v>
      </c>
      <c r="GH17" s="56">
        <v>12</v>
      </c>
      <c r="GI17" s="53" t="str">
        <f t="shared" si="27"/>
        <v>Cambridgeshire Archives</v>
      </c>
      <c r="GJ17" s="59">
        <f t="shared" si="206"/>
        <v>0</v>
      </c>
      <c r="GK17" s="59">
        <f t="shared" si="207"/>
        <v>0</v>
      </c>
      <c r="GL17" s="59">
        <f t="shared" si="208"/>
        <v>0</v>
      </c>
      <c r="GM17" s="59">
        <f t="shared" si="209"/>
        <v>0</v>
      </c>
      <c r="GN17" s="59">
        <f t="shared" si="210"/>
        <v>0</v>
      </c>
      <c r="GO17" s="58">
        <f t="shared" si="211"/>
        <v>0</v>
      </c>
      <c r="GP17" s="45">
        <f t="shared" si="212"/>
        <v>18</v>
      </c>
      <c r="GQ17" s="45">
        <f t="shared" si="28"/>
        <v>2.5239999999999996</v>
      </c>
      <c r="GR17" s="45">
        <f t="shared" si="213"/>
        <v>1</v>
      </c>
      <c r="GS17" s="45">
        <f t="shared" si="214"/>
        <v>2</v>
      </c>
      <c r="GT17" s="46" cm="1">
        <f t="array" ref="GT17">ROUND(IFERROR(INDEX(ArchiveResults!$F$5:$IX$116,ComparisonData!A17,ComparisonData!$GT$1),0),5)</f>
        <v>0</v>
      </c>
      <c r="GU17" s="46" cm="1">
        <f t="array" ref="GU17">ROUND(IFERROR(INDEX(ArchiveResults!$F$5:$IX$116,ComparisonData!A17,ComparisonData!$GU$1),0),5)</f>
        <v>0</v>
      </c>
      <c r="GV17" s="46" cm="1">
        <f t="array" ref="GV17">ROUND(IFERROR(INDEX(ArchiveResults!$F$5:$IX$116,ComparisonData!A17,ComparisonData!$GV$1),0),5)</f>
        <v>0</v>
      </c>
      <c r="GW17" s="46" cm="1">
        <f t="array" ref="GW17">ROUND(IFERROR(INDEX(ArchiveResults!$F$5:$IX$116,ComparisonData!A17,ComparisonData!$GW$1),0),5)</f>
        <v>0</v>
      </c>
      <c r="GX17" s="45" cm="1">
        <f t="array" ref="GX17">IFERROR(INDEX(ArchiveResults!$F$5:$IX$116,ComparisonData!A17,ComparisonData!$GX$1),0)</f>
        <v>0</v>
      </c>
      <c r="GY17" s="56">
        <v>12</v>
      </c>
      <c r="GZ17" s="53" t="str">
        <f t="shared" si="29"/>
        <v>Cambridgeshire Archives</v>
      </c>
      <c r="HA17" s="59">
        <f t="shared" si="215"/>
        <v>0</v>
      </c>
      <c r="HB17" s="59">
        <f t="shared" si="216"/>
        <v>0</v>
      </c>
      <c r="HC17" s="59">
        <f t="shared" si="217"/>
        <v>0</v>
      </c>
      <c r="HD17" s="59">
        <f t="shared" si="218"/>
        <v>0</v>
      </c>
      <c r="HE17" s="59">
        <f t="shared" si="219"/>
        <v>0</v>
      </c>
      <c r="HF17" s="58">
        <f t="shared" si="220"/>
        <v>0</v>
      </c>
      <c r="HG17" s="45">
        <f t="shared" si="221"/>
        <v>18</v>
      </c>
      <c r="HH17" s="45">
        <f t="shared" si="30"/>
        <v>2.5239999999999996</v>
      </c>
      <c r="HI17" s="45">
        <f t="shared" si="222"/>
        <v>1</v>
      </c>
      <c r="HJ17" s="45">
        <f t="shared" si="223"/>
        <v>2</v>
      </c>
      <c r="HK17" s="46" cm="1">
        <f t="array" ref="HK17">ROUND(IFERROR(INDEX(ArchiveResults!$F$5:$IX$116,ComparisonData!A17,ComparisonData!$HK$1),0),5)</f>
        <v>0</v>
      </c>
      <c r="HL17" s="46" cm="1">
        <f t="array" ref="HL17">ROUND(IFERROR(INDEX(ArchiveResults!$F$5:$IX$116,ComparisonData!A17,ComparisonData!$HL$1),0),5)</f>
        <v>0</v>
      </c>
      <c r="HM17" s="46" cm="1">
        <f t="array" ref="HM17">ROUND(IFERROR(INDEX(ArchiveResults!$F$5:$IX$116,ComparisonData!A17,ComparisonData!$HM$1),0),5)</f>
        <v>0</v>
      </c>
      <c r="HN17" s="46" cm="1">
        <f t="array" ref="HN17">ROUND(IFERROR(INDEX(ArchiveResults!$F$5:$IX$116,ComparisonData!A17,ComparisonData!$HN$1),0),5)</f>
        <v>0</v>
      </c>
      <c r="HO17" s="45" cm="1">
        <f t="array" ref="HO17">IFERROR(INDEX(ArchiveResults!$F$5:$IX$116,ComparisonData!A17,ComparisonData!$HO$1),0)</f>
        <v>0</v>
      </c>
      <c r="HP17" s="56">
        <v>12</v>
      </c>
      <c r="HQ17" s="53" t="str">
        <f t="shared" si="31"/>
        <v>Cambridgeshire Archives</v>
      </c>
      <c r="HR17" s="59">
        <f t="shared" si="32"/>
        <v>0</v>
      </c>
      <c r="HS17" s="59">
        <f t="shared" si="33"/>
        <v>0</v>
      </c>
      <c r="HT17" s="59">
        <f t="shared" si="34"/>
        <v>0</v>
      </c>
      <c r="HU17" s="59">
        <f t="shared" si="35"/>
        <v>0</v>
      </c>
      <c r="HV17" s="59">
        <f t="shared" si="36"/>
        <v>0</v>
      </c>
      <c r="HW17" s="58">
        <f t="shared" si="224"/>
        <v>0</v>
      </c>
      <c r="HX17" s="45">
        <f t="shared" si="225"/>
        <v>18</v>
      </c>
      <c r="HY17" s="45">
        <f t="shared" si="37"/>
        <v>2.5239999999999996</v>
      </c>
      <c r="HZ17" s="45">
        <f t="shared" si="226"/>
        <v>1</v>
      </c>
      <c r="IA17" s="45">
        <f t="shared" si="227"/>
        <v>2</v>
      </c>
      <c r="IB17" s="45">
        <f t="shared" si="228"/>
        <v>0</v>
      </c>
      <c r="IC17" s="46" cm="1">
        <f t="array" ref="IC17">ROUND(IFERROR(INDEX(ArchiveResults!$F$5:$IX$116,ComparisonData!A17,ComparisonData!$IC$1),0),5)</f>
        <v>0</v>
      </c>
      <c r="ID17" s="46" cm="1">
        <f t="array" ref="ID17">ROUND(IFERROR(INDEX(ArchiveResults!$F$5:$IX$116,ComparisonData!A17,ComparisonData!$ID$1),0),5)</f>
        <v>0</v>
      </c>
      <c r="IE17" s="46" cm="1">
        <f t="array" ref="IE17">ROUND(IFERROR(INDEX(ArchiveResults!$F$5:$IX$116,ComparisonData!A17,ComparisonData!$IE$1),0),5)</f>
        <v>0</v>
      </c>
      <c r="IF17" s="46" cm="1">
        <f t="array" ref="IF17">ROUND(IFERROR(INDEX(ArchiveResults!$F$5:$IX$116,ComparisonData!A17,ComparisonData!$IF$1),0),5)</f>
        <v>0</v>
      </c>
      <c r="IG17" s="45" cm="1">
        <f t="array" ref="IG17">IFERROR(INDEX(ArchiveResults!$F$5:$IX$116,ComparisonData!A17,ComparisonData!$IG$1),0)</f>
        <v>0</v>
      </c>
      <c r="IH17" s="56">
        <v>12</v>
      </c>
      <c r="II17" s="53" t="str">
        <f t="shared" si="38"/>
        <v>Cambridgeshire Archives</v>
      </c>
      <c r="IJ17" s="59">
        <f t="shared" si="229"/>
        <v>0</v>
      </c>
      <c r="IK17" s="59">
        <f t="shared" si="230"/>
        <v>0</v>
      </c>
      <c r="IL17" s="59">
        <f t="shared" si="231"/>
        <v>0</v>
      </c>
      <c r="IM17" s="59">
        <f t="shared" si="232"/>
        <v>0</v>
      </c>
      <c r="IN17" s="59">
        <f t="shared" si="233"/>
        <v>0</v>
      </c>
      <c r="IO17" s="58">
        <f t="shared" si="234"/>
        <v>0</v>
      </c>
      <c r="IP17" s="45">
        <f t="shared" si="235"/>
        <v>18</v>
      </c>
      <c r="IQ17" s="45">
        <f t="shared" si="39"/>
        <v>2.5239999999999996</v>
      </c>
      <c r="IR17" s="45">
        <f t="shared" si="236"/>
        <v>1</v>
      </c>
      <c r="IS17" s="45">
        <f t="shared" si="237"/>
        <v>2</v>
      </c>
      <c r="IT17" s="46">
        <f t="shared" si="238"/>
        <v>0</v>
      </c>
      <c r="IU17" s="46" cm="1">
        <f t="array" ref="IU17">ROUND(IFERROR(INDEX(ArchiveResults!$F$5:$IX$116,ComparisonData!A17,ComparisonData!$IU$1),0),5)</f>
        <v>0</v>
      </c>
      <c r="IV17" s="46" cm="1">
        <f t="array" ref="IV17">ROUND(IFERROR(INDEX(ArchiveResults!$F$5:$IX$116,ComparisonData!A17,ComparisonData!$IV$1),0),5)</f>
        <v>0</v>
      </c>
      <c r="IW17" s="46" cm="1">
        <f t="array" ref="IW17">ROUND(IFERROR(INDEX(ArchiveResults!$F$5:$IX$116,ComparisonData!A17,ComparisonData!$IW$1),0),5)</f>
        <v>0</v>
      </c>
      <c r="IX17" s="46" cm="1">
        <f t="array" ref="IX17">ROUND(IFERROR(INDEX(ArchiveResults!$F$5:$IX$116,ComparisonData!A17,ComparisonData!$IX$1),0),5)</f>
        <v>0</v>
      </c>
      <c r="IY17" s="45" cm="1">
        <f t="array" ref="IY17">IFERROR(INDEX(ArchiveResults!$F$5:$IX$116,ComparisonData!A17,ComparisonData!$IY$1),0)</f>
        <v>0</v>
      </c>
      <c r="IZ17" s="56">
        <v>12</v>
      </c>
      <c r="JA17" s="53" t="str">
        <f t="shared" si="40"/>
        <v>Cambridgeshire Archives</v>
      </c>
      <c r="JB17" s="59">
        <f t="shared" si="239"/>
        <v>0</v>
      </c>
      <c r="JC17" s="59">
        <f t="shared" si="240"/>
        <v>0</v>
      </c>
      <c r="JD17" s="59">
        <f t="shared" si="241"/>
        <v>0</v>
      </c>
      <c r="JE17" s="59">
        <f t="shared" si="242"/>
        <v>0</v>
      </c>
      <c r="JF17" s="59">
        <f t="shared" si="243"/>
        <v>0</v>
      </c>
      <c r="JG17" s="58">
        <f t="shared" si="244"/>
        <v>0</v>
      </c>
      <c r="JH17" s="45">
        <f t="shared" si="245"/>
        <v>18</v>
      </c>
      <c r="JI17" s="45">
        <f t="shared" si="41"/>
        <v>2.5239999999999996</v>
      </c>
      <c r="JJ17" s="45">
        <f t="shared" si="246"/>
        <v>1</v>
      </c>
      <c r="JK17" s="45">
        <f t="shared" si="247"/>
        <v>2</v>
      </c>
      <c r="JL17" s="45">
        <f t="shared" si="248"/>
        <v>0</v>
      </c>
      <c r="JM17" s="46" cm="1">
        <f t="array" ref="JM17">ROUND(IFERROR(INDEX(ArchiveResults!$F$5:$IX$116,ComparisonData!A17,ComparisonData!$JM$1),0),5)</f>
        <v>0</v>
      </c>
      <c r="JN17" s="46" cm="1">
        <f t="array" ref="JN17">ROUND(IFERROR(INDEX(ArchiveResults!$F$5:$IX$116,ComparisonData!A17,ComparisonData!$JN$1),0),5)</f>
        <v>0</v>
      </c>
      <c r="JO17" s="46" cm="1">
        <f t="array" ref="JO17">ROUND(IFERROR(INDEX(ArchiveResults!$F$5:$IX$116,ComparisonData!A17,ComparisonData!$JO$1),0),5)</f>
        <v>0</v>
      </c>
      <c r="JP17" s="46" cm="1">
        <f t="array" ref="JP17">ROUND(IFERROR(INDEX(ArchiveResults!$F$5:$IX$116,ComparisonData!A17,ComparisonData!$JP$1),0),5)</f>
        <v>0</v>
      </c>
      <c r="JQ17" s="45" cm="1">
        <f t="array" ref="JQ17">IFERROR(INDEX(ArchiveResults!$F$5:$IX$116,ComparisonData!A17,ComparisonData!$JQ$1),0)</f>
        <v>0</v>
      </c>
      <c r="JR17" s="56">
        <v>12</v>
      </c>
      <c r="JS17" s="53" t="str">
        <f t="shared" si="42"/>
        <v>Cambridgeshire Archives</v>
      </c>
      <c r="JT17" s="59">
        <f t="shared" si="249"/>
        <v>0</v>
      </c>
      <c r="JU17" s="59">
        <f t="shared" si="250"/>
        <v>0</v>
      </c>
      <c r="JV17" s="59">
        <f t="shared" si="251"/>
        <v>0</v>
      </c>
      <c r="JW17" s="59">
        <f t="shared" si="252"/>
        <v>0</v>
      </c>
      <c r="JX17" s="59">
        <f t="shared" si="253"/>
        <v>0</v>
      </c>
      <c r="JY17" s="58">
        <f t="shared" si="254"/>
        <v>0</v>
      </c>
      <c r="JZ17" s="45">
        <f t="shared" si="255"/>
        <v>18</v>
      </c>
      <c r="KA17" s="45">
        <f t="shared" si="43"/>
        <v>2.5239999999999996</v>
      </c>
      <c r="KB17" s="45">
        <f t="shared" si="256"/>
        <v>1</v>
      </c>
      <c r="KC17" s="45">
        <f t="shared" si="257"/>
        <v>2</v>
      </c>
      <c r="KD17" s="45">
        <f t="shared" si="258"/>
        <v>0</v>
      </c>
      <c r="KE17" s="46" cm="1">
        <f t="array" ref="KE17">ROUND(IFERROR(INDEX(ArchiveResults!$F$5:$IX$116,ComparisonData!A17,ComparisonData!$KE$1),0),5)</f>
        <v>0</v>
      </c>
      <c r="KF17" s="46" cm="1">
        <f t="array" ref="KF17">ROUND(IFERROR(INDEX(ArchiveResults!$F$5:$IX$116,ComparisonData!A17,ComparisonData!$KF$1),0),5)</f>
        <v>0</v>
      </c>
      <c r="KG17" s="46" cm="1">
        <f t="array" ref="KG17">ROUND(IFERROR(INDEX(ArchiveResults!$F$5:$IX$116,ComparisonData!A17,ComparisonData!$KG$1),0),5)</f>
        <v>0</v>
      </c>
      <c r="KH17" s="46" cm="1">
        <f t="array" ref="KH17">ROUND(IFERROR(INDEX(ArchiveResults!$F$5:$IX$116,ComparisonData!A17,ComparisonData!$KH$1),0),5)</f>
        <v>0</v>
      </c>
      <c r="KI17" s="45" cm="1">
        <f t="array" ref="KI17">IFERROR(INDEX(ArchiveResults!$F$5:$IX$116,ComparisonData!A17,ComparisonData!$KI$1),0)</f>
        <v>0</v>
      </c>
      <c r="KJ17" s="56">
        <v>12</v>
      </c>
      <c r="KK17" s="53" t="str">
        <f t="shared" si="44"/>
        <v>Cambridgeshire Archives</v>
      </c>
      <c r="KL17" s="59">
        <f t="shared" si="259"/>
        <v>0</v>
      </c>
      <c r="KM17" s="59">
        <f t="shared" si="260"/>
        <v>0</v>
      </c>
      <c r="KN17" s="59">
        <f t="shared" si="261"/>
        <v>0</v>
      </c>
      <c r="KO17" s="59">
        <f t="shared" si="262"/>
        <v>0</v>
      </c>
      <c r="KP17" s="59">
        <f t="shared" si="263"/>
        <v>0</v>
      </c>
      <c r="KQ17" s="58">
        <f t="shared" si="264"/>
        <v>0</v>
      </c>
      <c r="KR17" s="45">
        <f t="shared" si="265"/>
        <v>18</v>
      </c>
      <c r="KS17" s="45">
        <f t="shared" si="45"/>
        <v>2.5239999999999996</v>
      </c>
      <c r="KT17" s="45">
        <f t="shared" si="266"/>
        <v>1</v>
      </c>
      <c r="KU17" s="45">
        <f t="shared" si="267"/>
        <v>2</v>
      </c>
      <c r="KV17" s="45">
        <f t="shared" si="268"/>
        <v>0</v>
      </c>
      <c r="KW17" s="46" cm="1">
        <f t="array" ref="KW17">ROUND(IFERROR(INDEX(ArchiveResults!$F$5:$IX$116,ComparisonData!A17,ComparisonData!$KW$1),0),5)</f>
        <v>0</v>
      </c>
      <c r="KX17" s="46" cm="1">
        <f t="array" ref="KX17">ROUND(IFERROR(INDEX(ArchiveResults!$F$5:$IX$116,ComparisonData!A17,ComparisonData!$KX$1),0),5)</f>
        <v>0</v>
      </c>
      <c r="KY17" s="46" cm="1">
        <f t="array" ref="KY17">ROUND(IFERROR(INDEX(ArchiveResults!$F$5:$IX$116,ComparisonData!A17,ComparisonData!$KY$1),0),5)</f>
        <v>0</v>
      </c>
      <c r="KZ17" s="46" cm="1">
        <f t="array" ref="KZ17">ROUND(IFERROR(INDEX(ArchiveResults!$F$5:$IX$116,ComparisonData!A17,ComparisonData!$KZ$1),0),5)</f>
        <v>0</v>
      </c>
      <c r="LA17" s="45" cm="1">
        <f t="array" ref="LA17">IFERROR(INDEX(ArchiveResults!$F$5:$IX$116,ComparisonData!A17,ComparisonData!$LA$1),0)</f>
        <v>0</v>
      </c>
      <c r="LB17" s="56">
        <v>12</v>
      </c>
      <c r="LC17" s="53" t="str">
        <f t="shared" si="46"/>
        <v>Cambridgeshire Archives</v>
      </c>
      <c r="LD17" s="59">
        <f t="shared" si="269"/>
        <v>0</v>
      </c>
      <c r="LE17" s="59">
        <f t="shared" si="270"/>
        <v>0</v>
      </c>
      <c r="LF17" s="59">
        <f t="shared" si="271"/>
        <v>0</v>
      </c>
      <c r="LG17" s="59">
        <f t="shared" si="272"/>
        <v>0</v>
      </c>
      <c r="LH17" s="59">
        <f t="shared" si="273"/>
        <v>0</v>
      </c>
      <c r="LI17" s="58">
        <f t="shared" si="274"/>
        <v>0</v>
      </c>
      <c r="LJ17" s="45">
        <f t="shared" si="275"/>
        <v>18</v>
      </c>
      <c r="LK17" s="45">
        <f t="shared" si="47"/>
        <v>2.5239999999999996</v>
      </c>
      <c r="LL17" s="45">
        <f t="shared" si="276"/>
        <v>1</v>
      </c>
      <c r="LM17" s="45">
        <f t="shared" si="277"/>
        <v>2</v>
      </c>
      <c r="LN17" s="45">
        <f t="shared" si="278"/>
        <v>0</v>
      </c>
      <c r="LO17" s="46" cm="1">
        <f t="array" ref="LO17">ROUND(IFERROR(INDEX(ArchiveResults!$F$5:$IX$116,ComparisonData!A17,ComparisonData!$LO$1),0),5)</f>
        <v>0</v>
      </c>
      <c r="LP17" s="46" cm="1">
        <f t="array" ref="LP17">ROUND(IFERROR(INDEX(ArchiveResults!$F$5:$IX$116,ComparisonData!A17,ComparisonData!$LP$1),0),5)</f>
        <v>0</v>
      </c>
      <c r="LQ17" s="46" cm="1">
        <f t="array" ref="LQ17">ROUND(IFERROR(INDEX(ArchiveResults!$F$5:$IX$116,ComparisonData!A17,ComparisonData!$LQ$1),0),5)</f>
        <v>0</v>
      </c>
      <c r="LR17" s="46" cm="1">
        <f t="array" ref="LR17">ROUND(IFERROR(INDEX(ArchiveResults!$F$5:$IX$116,ComparisonData!A17,ComparisonData!$LR$1),0),5)</f>
        <v>0</v>
      </c>
      <c r="LS17" s="45" cm="1">
        <f t="array" ref="LS17">IFERROR(INDEX(ArchiveResults!$F$5:$IX$116,ComparisonData!A17,ComparisonData!$LS$1),0)</f>
        <v>0</v>
      </c>
      <c r="LT17" s="56">
        <v>12</v>
      </c>
      <c r="LU17" s="53" t="str">
        <f t="shared" si="48"/>
        <v>Cambridgeshire Archives</v>
      </c>
      <c r="LV17" s="59">
        <f t="shared" si="279"/>
        <v>0</v>
      </c>
      <c r="LW17" s="59">
        <f t="shared" si="280"/>
        <v>0</v>
      </c>
      <c r="LX17" s="59">
        <f t="shared" si="281"/>
        <v>0</v>
      </c>
      <c r="LY17" s="59">
        <f t="shared" si="282"/>
        <v>0</v>
      </c>
      <c r="LZ17" s="59">
        <f t="shared" si="283"/>
        <v>0</v>
      </c>
      <c r="MA17" s="58">
        <f t="shared" si="284"/>
        <v>0</v>
      </c>
      <c r="MB17" s="45">
        <f t="shared" si="285"/>
        <v>18</v>
      </c>
      <c r="MC17" s="45">
        <f t="shared" si="49"/>
        <v>2.5239999999999996</v>
      </c>
      <c r="MD17" s="45">
        <f t="shared" si="286"/>
        <v>1</v>
      </c>
      <c r="ME17" s="45">
        <f t="shared" si="287"/>
        <v>2</v>
      </c>
      <c r="MF17" s="45">
        <f t="shared" si="288"/>
        <v>0</v>
      </c>
      <c r="MG17" s="46" cm="1">
        <f t="array" ref="MG17">ROUND(IFERROR(INDEX(ArchiveResults!$F$5:$IX$116,ComparisonData!A17,ComparisonData!$MG$1),0),5)</f>
        <v>0</v>
      </c>
      <c r="MH17" s="46" cm="1">
        <f t="array" ref="MH17">ROUND(IFERROR(INDEX(ArchiveResults!$F$5:$IX$116,ComparisonData!A17,ComparisonData!$MH$1),0),5)</f>
        <v>0</v>
      </c>
      <c r="MI17" s="46" cm="1">
        <f t="array" ref="MI17">ROUND(IFERROR(INDEX(ArchiveResults!$F$5:$IX$116,ComparisonData!A17,ComparisonData!$MI$1),0),5)</f>
        <v>0</v>
      </c>
      <c r="MJ17" s="46" cm="1">
        <f t="array" ref="MJ17">ROUND(IFERROR(INDEX(ArchiveResults!$F$5:$IX$116,ComparisonData!A17,ComparisonData!$MJ$1),0),5)</f>
        <v>0</v>
      </c>
      <c r="MK17" s="45" cm="1">
        <f t="array" ref="MK17">IFERROR(INDEX(ArchiveResults!$F$5:$IX$116,ComparisonData!A17,ComparisonData!$MK$1),0)</f>
        <v>0</v>
      </c>
      <c r="ML17" s="56">
        <v>12</v>
      </c>
      <c r="MM17" s="53" t="str">
        <f t="shared" si="50"/>
        <v>Cambridgeshire Archives</v>
      </c>
      <c r="MN17" s="59">
        <f t="shared" si="289"/>
        <v>0</v>
      </c>
      <c r="MO17" s="59">
        <f t="shared" si="290"/>
        <v>0</v>
      </c>
      <c r="MP17" s="59">
        <f t="shared" si="291"/>
        <v>0</v>
      </c>
      <c r="MQ17" s="59">
        <f t="shared" si="292"/>
        <v>0</v>
      </c>
      <c r="MR17" s="59">
        <f t="shared" si="293"/>
        <v>0</v>
      </c>
      <c r="MS17" s="58">
        <f t="shared" si="294"/>
        <v>0</v>
      </c>
      <c r="MT17" s="45">
        <f t="shared" si="295"/>
        <v>18</v>
      </c>
      <c r="MU17" s="45">
        <f t="shared" si="51"/>
        <v>2.5239999999999996</v>
      </c>
      <c r="MV17" s="45">
        <f t="shared" si="296"/>
        <v>1</v>
      </c>
      <c r="MW17" s="45">
        <f t="shared" si="297"/>
        <v>2</v>
      </c>
      <c r="MX17" s="45">
        <f t="shared" si="298"/>
        <v>0</v>
      </c>
      <c r="MY17" s="46" cm="1">
        <f t="array" ref="MY17">ROUND(IFERROR(INDEX(ArchiveResults!$F$5:$IX$116,ComparisonData!A17,ComparisonData!$MY$1),0),5)</f>
        <v>0</v>
      </c>
      <c r="MZ17" s="46" cm="1">
        <f t="array" ref="MZ17">ROUND(IFERROR(INDEX(ArchiveResults!$F$5:$IX$116,ComparisonData!A17,ComparisonData!$MZ$1),0),5)</f>
        <v>0</v>
      </c>
      <c r="NA17" s="46" cm="1">
        <f t="array" ref="NA17">ROUND(IFERROR(INDEX(ArchiveResults!$F$5:$IX$116,ComparisonData!A17,ComparisonData!$NA$1),0),5)</f>
        <v>0</v>
      </c>
      <c r="NB17" s="46" cm="1">
        <f t="array" ref="NB17">ROUND(IFERROR(INDEX(ArchiveResults!$F$5:$IX$116,ComparisonData!A17,ComparisonData!$NB$1),0),5)</f>
        <v>0</v>
      </c>
      <c r="NC17" s="45" cm="1">
        <f t="array" ref="NC17">IFERROR(INDEX(ArchiveResults!$F$5:$IX$116,ComparisonData!A17,ComparisonData!$NC$1),0)</f>
        <v>0</v>
      </c>
      <c r="ND17" s="56">
        <v>12</v>
      </c>
      <c r="NE17" s="53" t="str">
        <f t="shared" si="52"/>
        <v>Cambridgeshire Archives</v>
      </c>
      <c r="NF17" s="59">
        <f t="shared" si="299"/>
        <v>0</v>
      </c>
      <c r="NG17" s="59">
        <f t="shared" si="300"/>
        <v>0</v>
      </c>
      <c r="NH17" s="59">
        <f t="shared" si="301"/>
        <v>0</v>
      </c>
      <c r="NI17" s="59">
        <f t="shared" si="302"/>
        <v>0</v>
      </c>
      <c r="NJ17" s="59">
        <f t="shared" si="303"/>
        <v>0</v>
      </c>
      <c r="NK17" s="58">
        <f t="shared" si="304"/>
        <v>0</v>
      </c>
      <c r="NL17" s="45">
        <f t="shared" si="305"/>
        <v>18</v>
      </c>
      <c r="NM17" s="45">
        <f t="shared" si="53"/>
        <v>2.5239999999999996</v>
      </c>
      <c r="NN17" s="45">
        <f t="shared" si="306"/>
        <v>1</v>
      </c>
      <c r="NO17" s="45">
        <f t="shared" si="307"/>
        <v>2</v>
      </c>
      <c r="NP17" s="46" cm="1">
        <f t="array" ref="NP17">ROUND(IFERROR(INDEX(ArchiveResults!$F$5:$IX$116,ComparisonData!A17,ComparisonData!$NP$1),0),5)</f>
        <v>0</v>
      </c>
      <c r="NQ17" s="46" cm="1">
        <f t="array" ref="NQ17">ROUND(IFERROR(INDEX(ArchiveResults!$F$5:$IX$116,ComparisonData!A17,ComparisonData!$NQ$1),0),5)</f>
        <v>0</v>
      </c>
      <c r="NR17" s="46" cm="1">
        <f t="array" ref="NR17">ROUND(IFERROR(INDEX(ArchiveResults!$F$5:$IX$116,ComparisonData!A17,ComparisonData!$NR$1),0),5)</f>
        <v>0</v>
      </c>
      <c r="NS17" s="46" cm="1">
        <f t="array" ref="NS17">ROUND(IFERROR(INDEX(ArchiveResults!$F$5:$IX$116,ComparisonData!A17,ComparisonData!$NS$1),0),5)</f>
        <v>0</v>
      </c>
      <c r="NT17" s="45" cm="1">
        <f t="array" ref="NT17">IFERROR(INDEX(ArchiveResults!$F$5:$IX$116,ComparisonData!A17,ComparisonData!$NT$1),0)</f>
        <v>0</v>
      </c>
      <c r="NU17" s="56">
        <v>12</v>
      </c>
      <c r="NV17" s="53" t="str">
        <f t="shared" si="54"/>
        <v>Cambridgeshire Archives</v>
      </c>
      <c r="NW17" s="59">
        <f t="shared" si="308"/>
        <v>0</v>
      </c>
      <c r="NX17" s="59">
        <f t="shared" si="309"/>
        <v>0</v>
      </c>
      <c r="NY17" s="59">
        <f t="shared" si="310"/>
        <v>0</v>
      </c>
      <c r="NZ17" s="59">
        <f t="shared" si="311"/>
        <v>0</v>
      </c>
      <c r="OA17" s="59">
        <f t="shared" si="312"/>
        <v>0</v>
      </c>
      <c r="OB17" s="58">
        <f t="shared" si="313"/>
        <v>0</v>
      </c>
      <c r="OC17" s="45">
        <f t="shared" si="314"/>
        <v>18</v>
      </c>
      <c r="OD17" s="45">
        <f t="shared" si="55"/>
        <v>2.5239999999999996</v>
      </c>
      <c r="OE17" s="45">
        <f t="shared" si="315"/>
        <v>1</v>
      </c>
      <c r="OF17" s="45">
        <f t="shared" si="316"/>
        <v>2</v>
      </c>
      <c r="OG17" s="46">
        <f t="shared" si="317"/>
        <v>0</v>
      </c>
      <c r="OH17" s="46" cm="1">
        <f t="array" ref="OH17">ROUND(IFERROR(INDEX(ArchiveResults!$F$5:$IX$116,ComparisonData!A17,ComparisonData!$OH$1),0),5)</f>
        <v>0</v>
      </c>
      <c r="OI17" s="46" cm="1">
        <f t="array" ref="OI17">ROUND(IFERROR(INDEX(ArchiveResults!$F$5:$IX$116,ComparisonData!A17,ComparisonData!$OI$1),0),5)</f>
        <v>0</v>
      </c>
      <c r="OJ17" s="46" cm="1">
        <f t="array" ref="OJ17">ROUND(IFERROR(INDEX(ArchiveResults!$F$5:$IX$116,ComparisonData!A17,ComparisonData!$OJ$1),0),5)</f>
        <v>0</v>
      </c>
      <c r="OK17" s="46" cm="1">
        <f t="array" ref="OK17">ROUND(IFERROR(INDEX(ArchiveResults!$F$5:$IX$116,ComparisonData!A17,ComparisonData!$OK$1),0),5)</f>
        <v>0</v>
      </c>
      <c r="OL17" s="45" cm="1">
        <f t="array" ref="OL17">IFERROR(INDEX(ArchiveResults!$F$5:$IX$116,ComparisonData!A17,ComparisonData!$OL$1),0)</f>
        <v>0</v>
      </c>
      <c r="OM17" s="56">
        <v>12</v>
      </c>
      <c r="ON17" s="53" t="str">
        <f t="shared" si="56"/>
        <v>Cambridgeshire Archives</v>
      </c>
      <c r="OO17" s="59">
        <f t="shared" si="318"/>
        <v>0</v>
      </c>
      <c r="OP17" s="59">
        <f t="shared" si="319"/>
        <v>0</v>
      </c>
      <c r="OQ17" s="59">
        <f t="shared" si="320"/>
        <v>0</v>
      </c>
      <c r="OR17" s="59">
        <f t="shared" si="321"/>
        <v>0</v>
      </c>
      <c r="OS17" s="59">
        <f t="shared" si="322"/>
        <v>0</v>
      </c>
      <c r="OT17" s="58">
        <f t="shared" si="323"/>
        <v>0</v>
      </c>
      <c r="OU17" s="45">
        <f t="shared" si="324"/>
        <v>18</v>
      </c>
      <c r="OV17" s="45">
        <f t="shared" si="57"/>
        <v>2.5239999999999996</v>
      </c>
      <c r="OW17" s="45">
        <f t="shared" si="325"/>
        <v>1</v>
      </c>
      <c r="OX17" s="45">
        <f t="shared" si="326"/>
        <v>2</v>
      </c>
      <c r="OY17" s="45">
        <f t="shared" si="327"/>
        <v>0</v>
      </c>
      <c r="OZ17" s="46" cm="1">
        <f t="array" ref="OZ17">ROUND(IFERROR(INDEX(ArchiveResults!$F$5:$IX$116,ComparisonData!A17,ComparisonData!$OZ$1),0),5)</f>
        <v>0</v>
      </c>
      <c r="PA17" s="46" cm="1">
        <f t="array" ref="PA17">ROUND(IFERROR(INDEX(ArchiveResults!$F$5:$IX$116,ComparisonData!A17,ComparisonData!$PA$1),0),5)</f>
        <v>0</v>
      </c>
      <c r="PB17" s="46" cm="1">
        <f t="array" ref="PB17">ROUND(IFERROR(INDEX(ArchiveResults!$F$5:$IX$116,ComparisonData!A17,ComparisonData!$PB$1),0),5)</f>
        <v>0</v>
      </c>
      <c r="PC17" s="46" cm="1">
        <f t="array" ref="PC17">ROUND(IFERROR(INDEX(ArchiveResults!$F$5:$IX$116,ComparisonData!A17,ComparisonData!$PC$1),0),5)</f>
        <v>0</v>
      </c>
      <c r="PD17" s="45" cm="1">
        <f t="array" ref="PD17">IFERROR(INDEX(ArchiveResults!$F$5:$IX$116,ComparisonData!A17,ComparisonData!$PD$1),0)</f>
        <v>0</v>
      </c>
      <c r="PE17" s="56">
        <v>12</v>
      </c>
      <c r="PF17" s="53" t="str">
        <f t="shared" si="58"/>
        <v>Cambridgeshire Archives</v>
      </c>
      <c r="PG17" s="59">
        <f t="shared" si="328"/>
        <v>0</v>
      </c>
      <c r="PH17" s="59">
        <f t="shared" si="329"/>
        <v>0</v>
      </c>
      <c r="PI17" s="59">
        <f t="shared" si="330"/>
        <v>0</v>
      </c>
      <c r="PJ17" s="59">
        <f t="shared" si="331"/>
        <v>0</v>
      </c>
      <c r="PK17" s="59">
        <f t="shared" si="332"/>
        <v>0</v>
      </c>
      <c r="PL17" s="58">
        <f t="shared" si="333"/>
        <v>0</v>
      </c>
      <c r="PM17" s="45">
        <f t="shared" si="334"/>
        <v>18</v>
      </c>
      <c r="PN17" s="45">
        <f t="shared" si="59"/>
        <v>2.5239999999999996</v>
      </c>
      <c r="PO17" s="45">
        <f t="shared" si="335"/>
        <v>1</v>
      </c>
      <c r="PP17" s="45">
        <f t="shared" si="336"/>
        <v>2</v>
      </c>
      <c r="PQ17" s="45">
        <f t="shared" si="337"/>
        <v>0</v>
      </c>
      <c r="PR17" s="46" cm="1">
        <f t="array" ref="PR17">ROUND(IFERROR(INDEX(ArchiveResults!$F$5:$IX$116,ComparisonData!A17,ComparisonData!$PR$1),0),5)</f>
        <v>0</v>
      </c>
      <c r="PS17" s="46" cm="1">
        <f t="array" ref="PS17">ROUND(IFERROR(INDEX(ArchiveResults!$F$5:$IX$116,ComparisonData!A17,ComparisonData!$PS$1),0),5)</f>
        <v>0</v>
      </c>
      <c r="PT17" s="46" cm="1">
        <f t="array" ref="PT17">ROUND(IFERROR(INDEX(ArchiveResults!$F$5:$IX$116,ComparisonData!A17,ComparisonData!$PT$1),0),5)</f>
        <v>0</v>
      </c>
      <c r="PU17" s="46" cm="1">
        <f t="array" ref="PU17">ROUND(IFERROR(INDEX(ArchiveResults!$F$5:$IX$116,ComparisonData!A17,ComparisonData!$PU$1),0),5)</f>
        <v>0</v>
      </c>
      <c r="PV17" s="45" cm="1">
        <f t="array" ref="PV17">IFERROR(INDEX(ArchiveResults!$F$5:$IX$116,ComparisonData!A17,ComparisonData!$PV$1),0)</f>
        <v>0</v>
      </c>
      <c r="PW17" s="56">
        <v>12</v>
      </c>
      <c r="PX17" s="53" t="str">
        <f t="shared" si="60"/>
        <v>Cambridgeshire Archives</v>
      </c>
      <c r="PY17" s="59">
        <f t="shared" si="338"/>
        <v>0</v>
      </c>
      <c r="PZ17" s="59">
        <f t="shared" si="339"/>
        <v>0</v>
      </c>
      <c r="QA17" s="59">
        <f t="shared" si="340"/>
        <v>0</v>
      </c>
      <c r="QB17" s="59">
        <f t="shared" si="341"/>
        <v>0</v>
      </c>
      <c r="QC17" s="59">
        <f t="shared" si="342"/>
        <v>0</v>
      </c>
      <c r="QD17" s="58">
        <f t="shared" si="343"/>
        <v>0</v>
      </c>
      <c r="QE17" s="45">
        <f t="shared" si="344"/>
        <v>18</v>
      </c>
      <c r="QF17" s="45">
        <f t="shared" si="61"/>
        <v>2.5239999999999996</v>
      </c>
      <c r="QG17" s="45">
        <f t="shared" si="345"/>
        <v>1</v>
      </c>
      <c r="QH17" s="45">
        <f t="shared" si="346"/>
        <v>2</v>
      </c>
      <c r="QI17" s="45">
        <f t="shared" si="347"/>
        <v>0</v>
      </c>
      <c r="QJ17" s="46" cm="1">
        <f t="array" ref="QJ17">ROUND(IFERROR(INDEX(ArchiveResults!$F$5:$IX$116,ComparisonData!A17,ComparisonData!$QJ$1),0),5)</f>
        <v>0</v>
      </c>
      <c r="QK17" s="46" cm="1">
        <f t="array" ref="QK17">ROUND(IFERROR(INDEX(ArchiveResults!$F$5:$IX$116,ComparisonData!A17,ComparisonData!$QK$1),0),5)</f>
        <v>0</v>
      </c>
      <c r="QL17" s="46" cm="1">
        <f t="array" ref="QL17">ROUND(IFERROR(INDEX(ArchiveResults!$F$5:$IX$116,ComparisonData!A17,ComparisonData!$QL$1),0),5)</f>
        <v>0</v>
      </c>
      <c r="QM17" s="46" cm="1">
        <f t="array" ref="QM17">ROUND(IFERROR(INDEX(ArchiveResults!$F$5:$IX$116,ComparisonData!A17,ComparisonData!$QM$1),0),5)</f>
        <v>0</v>
      </c>
      <c r="QN17" s="45" cm="1">
        <f t="array" ref="QN17">IFERROR(INDEX(ArchiveResults!$F$5:$IX$116,ComparisonData!A17,ComparisonData!$QN$1),0)</f>
        <v>0</v>
      </c>
      <c r="QO17" s="56">
        <v>12</v>
      </c>
      <c r="QP17" s="53" t="str">
        <f t="shared" si="62"/>
        <v>Cambridgeshire Archives</v>
      </c>
      <c r="QQ17" s="59">
        <f t="shared" si="348"/>
        <v>0</v>
      </c>
      <c r="QR17" s="59">
        <f t="shared" si="349"/>
        <v>0</v>
      </c>
      <c r="QS17" s="59">
        <f t="shared" si="350"/>
        <v>0</v>
      </c>
      <c r="QT17" s="59">
        <f t="shared" si="351"/>
        <v>0</v>
      </c>
      <c r="QU17" s="59">
        <f t="shared" si="352"/>
        <v>0</v>
      </c>
      <c r="QV17" s="58">
        <f t="shared" si="353"/>
        <v>0</v>
      </c>
      <c r="QW17" s="45">
        <f t="shared" si="354"/>
        <v>18</v>
      </c>
      <c r="QX17" s="45">
        <f t="shared" si="63"/>
        <v>2.5239999999999996</v>
      </c>
      <c r="QY17" s="45">
        <f t="shared" si="355"/>
        <v>1</v>
      </c>
      <c r="QZ17" s="45">
        <f t="shared" si="356"/>
        <v>2</v>
      </c>
      <c r="RA17" s="45">
        <f t="shared" si="357"/>
        <v>0</v>
      </c>
      <c r="RB17" s="46" cm="1">
        <f t="array" ref="RB17">ROUND(IFERROR(INDEX(ArchiveResults!$F$5:$IX$116,ComparisonData!A17,ComparisonData!$RB$1),0),5)</f>
        <v>0</v>
      </c>
      <c r="RC17" s="46" cm="1">
        <f t="array" ref="RC17">ROUND(IFERROR(INDEX(ArchiveResults!$F$5:$IX$116,ComparisonData!A17,ComparisonData!$RC$1),0),5)</f>
        <v>0</v>
      </c>
      <c r="RD17" s="46" cm="1">
        <f t="array" ref="RD17">ROUND(IFERROR(INDEX(ArchiveResults!$F$5:$IX$116,ComparisonData!A17,ComparisonData!$RD$1),0),5)</f>
        <v>0</v>
      </c>
      <c r="RE17" s="46" cm="1">
        <f t="array" ref="RE17">ROUND(IFERROR(INDEX(ArchiveResults!$F$5:$IX$116,ComparisonData!A17,ComparisonData!$RE$1),0),5)</f>
        <v>0</v>
      </c>
      <c r="RF17" s="45" cm="1">
        <f t="array" ref="RF17">IFERROR(INDEX(ArchiveResults!$F$5:$IX$116,ComparisonData!A17,ComparisonData!$RF$1),0)</f>
        <v>0</v>
      </c>
      <c r="RG17" s="56">
        <v>12</v>
      </c>
      <c r="RH17" s="53" t="str">
        <f t="shared" si="64"/>
        <v>Cambridgeshire Archives</v>
      </c>
      <c r="RI17" s="59">
        <f t="shared" si="358"/>
        <v>0</v>
      </c>
      <c r="RJ17" s="59">
        <f t="shared" si="359"/>
        <v>0</v>
      </c>
      <c r="RK17" s="59">
        <f t="shared" si="360"/>
        <v>0</v>
      </c>
      <c r="RL17" s="59">
        <f t="shared" si="361"/>
        <v>0</v>
      </c>
      <c r="RM17" s="59">
        <f t="shared" si="362"/>
        <v>0</v>
      </c>
      <c r="RN17" s="58">
        <f t="shared" si="363"/>
        <v>0</v>
      </c>
      <c r="RO17" s="45">
        <f t="shared" si="364"/>
        <v>18</v>
      </c>
      <c r="RP17" s="45">
        <f t="shared" si="65"/>
        <v>2.5239999999999996</v>
      </c>
      <c r="RQ17" s="45">
        <f t="shared" si="365"/>
        <v>1</v>
      </c>
      <c r="RR17" s="45">
        <f t="shared" si="366"/>
        <v>2</v>
      </c>
      <c r="RS17" s="45">
        <f t="shared" si="367"/>
        <v>0</v>
      </c>
      <c r="RT17" s="46" cm="1">
        <f t="array" ref="RT17">ROUND(IFERROR(INDEX(ArchiveResults!$F$5:$IX$116,ComparisonData!A17,ComparisonData!$RT$1),0),5)</f>
        <v>0</v>
      </c>
      <c r="RU17" s="46" cm="1">
        <f t="array" ref="RU17">ROUND(IFERROR(INDEX(ArchiveResults!$F$5:$IX$116,ComparisonData!A17,ComparisonData!$RU$1),0),5)</f>
        <v>0</v>
      </c>
      <c r="RV17" s="46" cm="1">
        <f t="array" ref="RV17">ROUND(IFERROR(INDEX(ArchiveResults!$F$5:$IX$116,ComparisonData!A17,ComparisonData!$RV$1),0),5)</f>
        <v>0</v>
      </c>
      <c r="RW17" s="46" cm="1">
        <f t="array" ref="RW17">ROUND(IFERROR(INDEX(ArchiveResults!$F$5:$IX$116,ComparisonData!A17,ComparisonData!$RW$1),0),5)</f>
        <v>0</v>
      </c>
      <c r="RX17" s="45" cm="1">
        <f t="array" ref="RX17">IFERROR(INDEX(ArchiveResults!$F$5:$IX$116,ComparisonData!A17,ComparisonData!$RX$1),0)</f>
        <v>0</v>
      </c>
      <c r="RY17" s="56">
        <v>12</v>
      </c>
      <c r="RZ17" s="53" t="str">
        <f t="shared" si="66"/>
        <v>Cambridgeshire Archives</v>
      </c>
      <c r="SA17" s="59">
        <f t="shared" si="368"/>
        <v>0</v>
      </c>
      <c r="SB17" s="59">
        <f t="shared" si="369"/>
        <v>0</v>
      </c>
      <c r="SC17" s="59">
        <f t="shared" si="370"/>
        <v>0</v>
      </c>
      <c r="SD17" s="59">
        <f t="shared" si="371"/>
        <v>0</v>
      </c>
      <c r="SE17" s="59">
        <f t="shared" si="372"/>
        <v>0</v>
      </c>
      <c r="SF17" s="58">
        <f t="shared" si="373"/>
        <v>0</v>
      </c>
      <c r="SG17" s="45">
        <f t="shared" si="374"/>
        <v>18</v>
      </c>
      <c r="SH17" s="45">
        <f t="shared" si="67"/>
        <v>2.5239999999999996</v>
      </c>
      <c r="SI17" s="45">
        <f t="shared" si="375"/>
        <v>1</v>
      </c>
      <c r="SJ17" s="45">
        <f t="shared" si="376"/>
        <v>2</v>
      </c>
      <c r="SK17" s="45">
        <f t="shared" si="377"/>
        <v>0</v>
      </c>
      <c r="SL17" s="46" cm="1">
        <f t="array" ref="SL17">ROUND(IFERROR(INDEX(ArchiveResults!$F$5:$IX$116,ComparisonData!A17,ComparisonData!$SL$1),0),5)</f>
        <v>0</v>
      </c>
      <c r="SM17" s="46" cm="1">
        <f t="array" ref="SM17">ROUND(IFERROR(INDEX(ArchiveResults!$F$5:$IX$116,ComparisonData!A17,ComparisonData!$SM$1),0),5)</f>
        <v>0</v>
      </c>
      <c r="SN17" s="46" cm="1">
        <f t="array" ref="SN17">ROUND(IFERROR(INDEX(ArchiveResults!$F$5:$IX$116,ComparisonData!A17,ComparisonData!$SN$1),0),5)</f>
        <v>0</v>
      </c>
      <c r="SO17" s="46" cm="1">
        <f t="array" ref="SO17">ROUND(IFERROR(INDEX(ArchiveResults!$F$5:$IX$116,ComparisonData!A17,ComparisonData!$SO$1),0),5)</f>
        <v>0</v>
      </c>
      <c r="SP17" s="45" cm="1">
        <f t="array" ref="SP17">IFERROR(INDEX(ArchiveResults!$F$5:$IX$116,ComparisonData!A17,ComparisonData!$SP$1),0)</f>
        <v>0</v>
      </c>
      <c r="SQ17" s="56">
        <v>12</v>
      </c>
      <c r="SR17" s="53" t="str">
        <f t="shared" si="68"/>
        <v>Cambridgeshire Archives</v>
      </c>
      <c r="SS17" s="59">
        <f t="shared" si="378"/>
        <v>0</v>
      </c>
      <c r="ST17" s="59">
        <f t="shared" si="379"/>
        <v>0</v>
      </c>
      <c r="SU17" s="59">
        <f t="shared" si="380"/>
        <v>0</v>
      </c>
      <c r="SV17" s="59">
        <f t="shared" si="381"/>
        <v>0</v>
      </c>
      <c r="SW17" s="59">
        <f t="shared" si="382"/>
        <v>0</v>
      </c>
      <c r="SX17" s="58">
        <f t="shared" si="383"/>
        <v>0</v>
      </c>
      <c r="SY17" s="45">
        <f t="shared" si="384"/>
        <v>18</v>
      </c>
      <c r="SZ17" s="45">
        <f t="shared" si="69"/>
        <v>2.5239999999999996</v>
      </c>
      <c r="TA17" s="45">
        <f t="shared" si="385"/>
        <v>1</v>
      </c>
      <c r="TB17" s="45">
        <f t="shared" si="386"/>
        <v>2</v>
      </c>
      <c r="TC17" s="45">
        <f t="shared" si="387"/>
        <v>0</v>
      </c>
      <c r="TD17" s="46" cm="1">
        <f t="array" ref="TD17">ROUND(IFERROR(INDEX(ArchiveResults!$F$5:$IX$116,ComparisonData!A17,ComparisonData!$TD$1),0),5)</f>
        <v>0</v>
      </c>
      <c r="TE17" s="46" cm="1">
        <f t="array" ref="TE17">ROUND(IFERROR(INDEX(ArchiveResults!$F$5:$IX$116,ComparisonData!A17,ComparisonData!$TE$1),0),5)</f>
        <v>0</v>
      </c>
      <c r="TF17" s="46" cm="1">
        <f t="array" ref="TF17">ROUND(IFERROR(INDEX(ArchiveResults!$F$5:$IX$116,ComparisonData!A17,ComparisonData!$TF$1),0),5)</f>
        <v>0</v>
      </c>
      <c r="TG17" s="46" cm="1">
        <f t="array" ref="TG17">ROUND(IFERROR(INDEX(ArchiveResults!$F$5:$IX$116,ComparisonData!A17,ComparisonData!$TG$1),0),5)</f>
        <v>0</v>
      </c>
      <c r="TH17" s="45" cm="1">
        <f t="array" ref="TH17">IFERROR(INDEX(ArchiveResults!$F$5:$IX$116,ComparisonData!A17,ComparisonData!$TH$1),0)</f>
        <v>0</v>
      </c>
      <c r="TI17" s="56">
        <v>12</v>
      </c>
      <c r="TJ17" s="53" t="str">
        <f t="shared" si="70"/>
        <v>Cambridgeshire Archives</v>
      </c>
      <c r="TK17" s="59">
        <f t="shared" si="388"/>
        <v>0</v>
      </c>
      <c r="TL17" s="59">
        <f t="shared" si="389"/>
        <v>0</v>
      </c>
      <c r="TM17" s="59">
        <f t="shared" si="390"/>
        <v>0</v>
      </c>
      <c r="TN17" s="59">
        <f t="shared" si="391"/>
        <v>0</v>
      </c>
      <c r="TO17" s="59">
        <f t="shared" si="392"/>
        <v>0</v>
      </c>
      <c r="TP17" s="58">
        <f t="shared" si="393"/>
        <v>0</v>
      </c>
      <c r="TQ17" s="45">
        <f t="shared" si="394"/>
        <v>18</v>
      </c>
      <c r="TR17" s="45">
        <f t="shared" si="71"/>
        <v>2.5239999999999996</v>
      </c>
      <c r="TS17" s="45">
        <f t="shared" si="395"/>
        <v>1</v>
      </c>
      <c r="TT17" s="45">
        <f t="shared" si="396"/>
        <v>2</v>
      </c>
      <c r="TU17" s="45">
        <f t="shared" si="397"/>
        <v>0</v>
      </c>
      <c r="TV17" s="46" cm="1">
        <f t="array" ref="TV17">ROUND(IFERROR(INDEX(ArchiveResults!$F$5:$IX$116,ComparisonData!A17,ComparisonData!$TV$1),0),5)</f>
        <v>0</v>
      </c>
      <c r="TW17" s="46" cm="1">
        <f t="array" ref="TW17">ROUND(IFERROR(INDEX(ArchiveResults!$F$5:$IX$116,ComparisonData!A17,ComparisonData!$TW$1),0),5)</f>
        <v>0</v>
      </c>
      <c r="TX17" s="46" cm="1">
        <f t="array" ref="TX17">ROUND(IFERROR(INDEX(ArchiveResults!$F$5:$IX$116,ComparisonData!A17,ComparisonData!$TX$1),0),5)</f>
        <v>0</v>
      </c>
      <c r="TY17" s="46" cm="1">
        <f t="array" ref="TY17">ROUND(IFERROR(INDEX(ArchiveResults!$F$5:$IX$116,ComparisonData!A17,ComparisonData!$TY$1),0),5)</f>
        <v>0</v>
      </c>
      <c r="TZ17" s="45" cm="1">
        <f t="array" ref="TZ17">IFERROR(INDEX(ArchiveResults!$F$5:$IX$116,ComparisonData!A17,ComparisonData!$TZ$1),0)</f>
        <v>0</v>
      </c>
      <c r="UA17" s="56">
        <v>12</v>
      </c>
      <c r="UB17" s="53" t="str">
        <f t="shared" si="72"/>
        <v>Cambridgeshire Archives</v>
      </c>
      <c r="UC17" s="60">
        <f t="shared" si="398"/>
        <v>0</v>
      </c>
      <c r="UD17" s="60">
        <f t="shared" si="399"/>
        <v>0</v>
      </c>
      <c r="UE17" s="60">
        <f t="shared" si="400"/>
        <v>0</v>
      </c>
      <c r="UF17" s="60">
        <f t="shared" si="401"/>
        <v>0</v>
      </c>
      <c r="UG17" s="60">
        <f t="shared" si="402"/>
        <v>0</v>
      </c>
      <c r="UH17" s="58">
        <f t="shared" si="403"/>
        <v>0</v>
      </c>
      <c r="UI17" s="46">
        <f t="shared" si="404"/>
        <v>18</v>
      </c>
      <c r="UJ17" s="46">
        <f t="shared" si="73"/>
        <v>2.5239999999999996</v>
      </c>
      <c r="UK17" s="46">
        <f t="shared" si="405"/>
        <v>1</v>
      </c>
      <c r="UL17" s="46">
        <f t="shared" si="406"/>
        <v>2</v>
      </c>
      <c r="UM17" s="46" cm="1">
        <f t="array" ref="UM17">ROUND(IFERROR(INDEX(ArchiveResults!$F$5:$IX$116,ComparisonData!A17,ComparisonData!$UM$1),0),5)</f>
        <v>0</v>
      </c>
      <c r="UN17" s="56">
        <v>12</v>
      </c>
      <c r="UO17" s="53" t="str">
        <f t="shared" si="74"/>
        <v>Cambridgeshire Archives</v>
      </c>
      <c r="UP17" s="46">
        <f t="shared" si="407"/>
        <v>0</v>
      </c>
      <c r="UQ17" s="76">
        <f t="shared" si="408"/>
        <v>0</v>
      </c>
      <c r="UR17" s="46">
        <f t="shared" si="409"/>
        <v>18</v>
      </c>
      <c r="US17" s="46">
        <f t="shared" si="75"/>
        <v>2.5239999999999996</v>
      </c>
      <c r="UT17" s="46">
        <f t="shared" si="410"/>
        <v>1</v>
      </c>
      <c r="UU17" s="46">
        <f t="shared" si="411"/>
        <v>2</v>
      </c>
      <c r="UV17" s="46">
        <f t="shared" si="412"/>
        <v>0</v>
      </c>
      <c r="UW17" s="46" cm="1">
        <f t="array" ref="UW17">ROUND(IFERROR(INDEX(ArchiveResults!$F$5:$IX$116,ComparisonData!A17,ComparisonData!$UW$1),0),5)</f>
        <v>0</v>
      </c>
      <c r="UX17" s="46" cm="1">
        <f t="array" ref="UX17">ROUND(IFERROR(INDEX(ArchiveResults!$F$5:$IX$116,ComparisonData!A17,ComparisonData!$UX$1),0),5)</f>
        <v>0</v>
      </c>
      <c r="UY17" s="46" cm="1">
        <f t="array" ref="UY17">ROUND(IFERROR(INDEX(ArchiveResults!$F$5:$IX$116,ComparisonData!A17,ComparisonData!$UY$1),0),5)</f>
        <v>0</v>
      </c>
      <c r="UZ17" s="46" cm="1">
        <f t="array" ref="UZ17">ROUND(IFERROR(INDEX(ArchiveResults!$F$5:$IX$116,ComparisonData!A17,ComparisonData!$UZ$1),0),5)</f>
        <v>0</v>
      </c>
      <c r="VA17" s="46" cm="1">
        <f t="array" ref="VA17">ROUND(IFERROR(INDEX(ArchiveResults!$F$5:$IX$116,ComparisonData!A17,ComparisonData!$VA$1),0),5)</f>
        <v>0</v>
      </c>
      <c r="VB17" s="56">
        <v>12</v>
      </c>
      <c r="VC17" s="53" t="str">
        <f t="shared" si="76"/>
        <v>Cambridgeshire Archives</v>
      </c>
      <c r="VD17" s="60">
        <f t="shared" si="413"/>
        <v>0</v>
      </c>
      <c r="VE17" s="60">
        <f t="shared" si="414"/>
        <v>0</v>
      </c>
      <c r="VF17" s="60">
        <f t="shared" si="415"/>
        <v>0</v>
      </c>
      <c r="VG17" s="60">
        <f t="shared" si="416"/>
        <v>0</v>
      </c>
      <c r="VH17" s="60">
        <f t="shared" si="417"/>
        <v>0</v>
      </c>
      <c r="VI17" s="76">
        <f t="shared" si="418"/>
        <v>0</v>
      </c>
      <c r="VJ17" s="46">
        <f t="shared" si="419"/>
        <v>18</v>
      </c>
      <c r="VK17" s="46">
        <f t="shared" si="77"/>
        <v>2.5239999999999996</v>
      </c>
      <c r="VL17" s="46">
        <f t="shared" si="420"/>
        <v>1</v>
      </c>
      <c r="VM17" s="46">
        <f t="shared" si="421"/>
        <v>2</v>
      </c>
      <c r="VN17" s="46" cm="1">
        <f t="array" ref="VN17">ROUND(IFERROR(INDEX(ArchiveResults!$F$5:$IX$116,ComparisonData!A17,ComparisonData!$VN$1),0),5)</f>
        <v>0</v>
      </c>
      <c r="VO17" s="46" cm="1">
        <f t="array" ref="VO17">ROUND(IFERROR(INDEX(ArchiveResults!$F$5:$IX$116,ComparisonData!A17,ComparisonData!$VO$1),0),5)</f>
        <v>0</v>
      </c>
      <c r="VP17" s="46" cm="1">
        <f t="array" ref="VP17">ROUND(IFERROR(INDEX(ArchiveResults!$F$5:$IX$116,ComparisonData!A17,ComparisonData!$VP$1),0),5)</f>
        <v>0</v>
      </c>
      <c r="VQ17" s="46" cm="1">
        <f t="array" ref="VQ17">ROUND(IFERROR(INDEX(ArchiveResults!$F$5:$IX$116,ComparisonData!A17,ComparisonData!$VQ$1),0),5)</f>
        <v>0</v>
      </c>
      <c r="VR17" s="56">
        <v>12</v>
      </c>
      <c r="VS17" s="53" t="str">
        <f t="shared" si="78"/>
        <v>Cambridgeshire Archives</v>
      </c>
      <c r="VT17" s="60">
        <f t="shared" si="422"/>
        <v>0</v>
      </c>
      <c r="VU17" s="60">
        <f t="shared" si="423"/>
        <v>0</v>
      </c>
      <c r="VV17" s="60">
        <f t="shared" si="424"/>
        <v>0</v>
      </c>
      <c r="VW17" s="60">
        <f t="shared" si="425"/>
        <v>0</v>
      </c>
      <c r="VX17" s="76">
        <f t="shared" si="426"/>
        <v>0</v>
      </c>
      <c r="VY17" s="46">
        <f t="shared" si="427"/>
        <v>18</v>
      </c>
      <c r="VZ17" s="46">
        <f t="shared" si="79"/>
        <v>2.5239999999999996</v>
      </c>
      <c r="WA17" s="46">
        <f t="shared" si="428"/>
        <v>1</v>
      </c>
      <c r="WB17" s="46">
        <f t="shared" si="429"/>
        <v>2</v>
      </c>
      <c r="WC17" s="46" cm="1">
        <f t="array" ref="WC17">ROUND(IFERROR(INDEX(ArchiveResults!$F$5:$IX$116,ComparisonData!A17,ComparisonData!$WC$1),0),5)</f>
        <v>0</v>
      </c>
      <c r="WD17" s="56">
        <v>12</v>
      </c>
      <c r="WE17" s="53" t="str">
        <f t="shared" si="80"/>
        <v>Cambridgeshire Archives</v>
      </c>
      <c r="WF17" s="46">
        <f t="shared" si="430"/>
        <v>0</v>
      </c>
      <c r="WG17" s="76">
        <f t="shared" si="431"/>
        <v>0</v>
      </c>
      <c r="WH17" s="46">
        <f t="shared" si="432"/>
        <v>18</v>
      </c>
      <c r="WI17" s="46">
        <f t="shared" si="81"/>
        <v>2.5239999999999996</v>
      </c>
      <c r="WJ17" s="46">
        <f t="shared" si="433"/>
        <v>1</v>
      </c>
      <c r="WK17" s="46">
        <f t="shared" si="434"/>
        <v>2</v>
      </c>
      <c r="WL17" s="46" cm="1">
        <f t="array" ref="WL17">ROUND(IFERROR(INDEX(ArchiveResults!$F$5:$IX$116,ComparisonData!A17,ComparisonData!$WL$1),0),5)</f>
        <v>0</v>
      </c>
      <c r="WM17" s="46" cm="1">
        <f t="array" ref="WM17">IFERROR(INDEX(ArchiveResults!$F$5:$IX$116,ComparisonData!A17,ComparisonData!$WM$1),0)</f>
        <v>0</v>
      </c>
      <c r="WN17" s="56">
        <v>12</v>
      </c>
      <c r="WO17" s="53" t="str">
        <f t="shared" si="82"/>
        <v>Cambridgeshire Archives</v>
      </c>
      <c r="WP17" s="60">
        <f t="shared" si="435"/>
        <v>0</v>
      </c>
      <c r="WQ17" s="60">
        <f t="shared" si="436"/>
        <v>0</v>
      </c>
      <c r="WR17" s="76">
        <f t="shared" si="437"/>
        <v>0</v>
      </c>
      <c r="WS17" s="46">
        <f t="shared" si="438"/>
        <v>18</v>
      </c>
      <c r="WT17" s="46">
        <f t="shared" si="83"/>
        <v>2.5239999999999996</v>
      </c>
      <c r="WU17" s="46">
        <f t="shared" si="439"/>
        <v>1</v>
      </c>
      <c r="WV17" s="46">
        <f t="shared" si="440"/>
        <v>2</v>
      </c>
      <c r="WW17" s="46" cm="1">
        <f t="array" ref="WW17">ROUND(VALUE(IFERROR(INDEX(ArchiveResults!$F$5:$IX$116,ComparisonData!A17,ComparisonData!$WW$1),0)),5)</f>
        <v>0</v>
      </c>
      <c r="WX17" s="46" cm="1">
        <f t="array" ref="WX17">ROUND(IFERROR(INDEX(ArchiveResults!$F$5:$IX$116,ComparisonData!A17,ComparisonData!$WX$1),0),5)</f>
        <v>0</v>
      </c>
      <c r="WY17" s="56">
        <v>12</v>
      </c>
      <c r="WZ17" s="53" t="str">
        <f t="shared" si="84"/>
        <v>Cambridgeshire Archives</v>
      </c>
      <c r="XA17" s="60">
        <f t="shared" si="85"/>
        <v>0</v>
      </c>
      <c r="XB17" s="60">
        <f t="shared" si="86"/>
        <v>0</v>
      </c>
      <c r="XC17" s="76">
        <f t="shared" si="441"/>
        <v>0</v>
      </c>
      <c r="XD17" s="46">
        <f t="shared" si="442"/>
        <v>18</v>
      </c>
      <c r="XE17" s="46">
        <f t="shared" si="87"/>
        <v>2.5239999999999996</v>
      </c>
      <c r="XF17" s="46">
        <f t="shared" si="443"/>
        <v>1</v>
      </c>
      <c r="XG17" s="46">
        <f t="shared" si="444"/>
        <v>2</v>
      </c>
      <c r="XH17" s="46" cm="1">
        <f t="array" ref="XH17">ROUND(VALUE(IFERROR(INDEX(ArchiveResults!$F$5:$IX$116,ComparisonData!A17,ComparisonData!$XH$1),0)),5)</f>
        <v>0</v>
      </c>
      <c r="XI17" s="46" cm="1">
        <f t="array" ref="XI17">ROUND(VALUE(IFERROR(INDEX(ArchiveResults!$F$5:$IX$116,ComparisonData!A17,ComparisonData!$XI$1),0)),5)</f>
        <v>0</v>
      </c>
      <c r="XJ17" s="56">
        <v>12</v>
      </c>
      <c r="XK17" s="53" t="str">
        <f t="shared" si="88"/>
        <v>Cambridgeshire Archives</v>
      </c>
      <c r="XL17" s="60">
        <f t="shared" si="445"/>
        <v>0</v>
      </c>
      <c r="XM17" s="60">
        <f t="shared" si="446"/>
        <v>0</v>
      </c>
      <c r="XN17" s="76">
        <f t="shared" si="447"/>
        <v>0</v>
      </c>
      <c r="XO17" s="46">
        <f t="shared" si="448"/>
        <v>18</v>
      </c>
      <c r="XP17" s="46">
        <f t="shared" si="89"/>
        <v>2.5239999999999996</v>
      </c>
      <c r="XQ17" s="46">
        <f t="shared" si="449"/>
        <v>1</v>
      </c>
      <c r="XR17" s="46">
        <f t="shared" si="450"/>
        <v>2</v>
      </c>
      <c r="XS17" s="46" cm="1">
        <f t="array" ref="XS17">ROUND(VALUE(IFERROR(INDEX(ArchiveResults!$F$5:$IX$116,ComparisonData!A17,ComparisonData!$XS$1),0)),5)</f>
        <v>0</v>
      </c>
      <c r="XT17" s="46" cm="1">
        <f t="array" ref="XT17">ROUND(VALUE(IFERROR(INDEX(ArchiveResults!$F$5:$IX$116,ComparisonData!A17,ComparisonData!$XT$1),0)),5)</f>
        <v>0</v>
      </c>
      <c r="XU17" s="56">
        <v>12</v>
      </c>
      <c r="XV17" s="53" t="str">
        <f t="shared" si="90"/>
        <v>Cambridgeshire Archives</v>
      </c>
      <c r="XW17" s="60">
        <f t="shared" si="451"/>
        <v>0</v>
      </c>
      <c r="XX17" s="60">
        <f t="shared" si="452"/>
        <v>0</v>
      </c>
      <c r="XY17" s="76">
        <f t="shared" si="453"/>
        <v>0</v>
      </c>
      <c r="XZ17" s="46">
        <f t="shared" si="454"/>
        <v>18</v>
      </c>
      <c r="YA17" s="46">
        <f t="shared" si="91"/>
        <v>2.5239999999999996</v>
      </c>
      <c r="YB17" s="46">
        <f t="shared" si="455"/>
        <v>1</v>
      </c>
      <c r="YC17" s="46">
        <f t="shared" si="456"/>
        <v>2</v>
      </c>
      <c r="YD17" s="46" cm="1">
        <f t="array" ref="YD17">ROUND(VALUE(IFERROR(INDEX(ArchiveResults!$F$5:$IX$116,ComparisonData!A17,ComparisonData!$YD$1),0)),5)</f>
        <v>0</v>
      </c>
      <c r="YE17" s="46" cm="1">
        <f t="array" ref="YE17">ROUND(VALUE(IFERROR(INDEX(ArchiveResults!$F$5:$IX$116,ComparisonData!A17,ComparisonData!$YE$1),0)),5)</f>
        <v>0</v>
      </c>
      <c r="YF17" s="56">
        <v>12</v>
      </c>
      <c r="YG17" s="53" t="str">
        <f t="shared" si="92"/>
        <v>Cambridgeshire Archives</v>
      </c>
      <c r="YH17" s="60">
        <f t="shared" si="457"/>
        <v>0</v>
      </c>
      <c r="YI17" s="60">
        <f t="shared" si="458"/>
        <v>0</v>
      </c>
      <c r="YJ17" s="76">
        <f t="shared" si="459"/>
        <v>0</v>
      </c>
      <c r="YK17" s="46">
        <f t="shared" si="460"/>
        <v>18</v>
      </c>
      <c r="YL17" s="46">
        <f t="shared" si="93"/>
        <v>2.5239999999999996</v>
      </c>
      <c r="YM17" s="46">
        <f t="shared" si="461"/>
        <v>1</v>
      </c>
      <c r="YN17" s="46">
        <f t="shared" si="462"/>
        <v>2</v>
      </c>
      <c r="YO17" s="46" cm="1">
        <f t="array" ref="YO17">ROUND(VALUE(IFERROR(INDEX(ArchiveResults!$F$5:$IX$116,ComparisonData!A17,ComparisonData!$YO$1),0)),5)</f>
        <v>0</v>
      </c>
      <c r="YP17" s="46" cm="1">
        <f t="array" ref="YP17">ROUND(VALUE(IFERROR(INDEX(ArchiveResults!$F$5:$IX$116,ComparisonData!A17,ComparisonData!$YP$1),0)),5)</f>
        <v>0</v>
      </c>
      <c r="YQ17" s="56">
        <v>12</v>
      </c>
      <c r="YR17" s="53" t="str">
        <f t="shared" si="94"/>
        <v>Cambridgeshire Archives</v>
      </c>
      <c r="YS17" s="60">
        <f t="shared" si="463"/>
        <v>0</v>
      </c>
      <c r="YT17" s="60">
        <f t="shared" si="464"/>
        <v>0</v>
      </c>
      <c r="YU17" s="76">
        <f t="shared" si="465"/>
        <v>0</v>
      </c>
      <c r="YV17" s="46">
        <f t="shared" si="466"/>
        <v>18</v>
      </c>
      <c r="YW17" s="46">
        <f t="shared" si="95"/>
        <v>2.5239999999999996</v>
      </c>
      <c r="YX17" s="46">
        <f t="shared" si="467"/>
        <v>1</v>
      </c>
      <c r="YY17" s="46">
        <f t="shared" si="468"/>
        <v>2</v>
      </c>
      <c r="YZ17" s="46">
        <f t="shared" si="469"/>
        <v>0</v>
      </c>
      <c r="ZA17" s="46" cm="1">
        <f t="array" ref="ZA17">ROUNDDOWN(VALUE(IFERROR(INDEX(ArchiveResults!$F$5:$IX$116,ComparisonData!A17,ComparisonData!$ZA$1),0)),5)</f>
        <v>0</v>
      </c>
      <c r="ZB17" s="46" cm="1">
        <f t="array" ref="ZB17">ROUNDDOWN(VALUE(IFERROR(INDEX(ArchiveResults!$F$5:$IX$116,ComparisonData!A17,ComparisonData!$ZB$1),0)),5)</f>
        <v>0</v>
      </c>
      <c r="ZC17" s="46" cm="1">
        <f t="array" ref="ZC17">ROUNDDOWN(VALUE(IFERROR(INDEX(ArchiveResults!$F$5:$IX$116,ComparisonData!A17,ComparisonData!$ZC$1),0)),5)</f>
        <v>0</v>
      </c>
      <c r="ZD17" s="46" cm="1">
        <f t="array" ref="ZD17">ROUNDDOWN(VALUE(IFERROR(INDEX(ArchiveResults!$F$5:$IX$116,ComparisonData!A17,ComparisonData!$ZD$1),0)),5)</f>
        <v>0</v>
      </c>
      <c r="ZE17" s="46" cm="1">
        <f t="array" ref="ZE17">ROUNDDOWN(VALUE(IFERROR(INDEX(ArchiveResults!$F$5:$IX$116,ComparisonData!A17,ComparisonData!$ZE$1),0)),5)</f>
        <v>0</v>
      </c>
      <c r="ZF17" s="56">
        <v>12</v>
      </c>
      <c r="ZG17" s="53" t="str">
        <f t="shared" si="96"/>
        <v>Cambridgeshire Archives</v>
      </c>
      <c r="ZH17" s="60">
        <f t="shared" si="470"/>
        <v>0</v>
      </c>
      <c r="ZI17" s="60">
        <f t="shared" si="471"/>
        <v>0</v>
      </c>
      <c r="ZJ17" s="60">
        <f t="shared" si="472"/>
        <v>0</v>
      </c>
      <c r="ZK17" s="60">
        <f t="shared" si="473"/>
        <v>0</v>
      </c>
      <c r="ZL17" s="60">
        <f t="shared" si="474"/>
        <v>0</v>
      </c>
      <c r="ZM17" s="76">
        <f t="shared" si="475"/>
        <v>0</v>
      </c>
      <c r="ZN17" s="46">
        <f t="shared" si="476"/>
        <v>18</v>
      </c>
      <c r="ZO17" s="46">
        <f t="shared" si="97"/>
        <v>2.5239999999999996</v>
      </c>
      <c r="ZP17" s="46">
        <f t="shared" si="477"/>
        <v>1</v>
      </c>
      <c r="ZQ17" s="46">
        <f t="shared" si="478"/>
        <v>2</v>
      </c>
      <c r="ZR17" s="46" cm="1">
        <f t="array" ref="ZR17">ROUND(VALUE(IFERROR(INDEX(ArchiveResults!$F$5:$IX$116,ComparisonData!A17,ComparisonData!$ZR$1),0)),5)</f>
        <v>0</v>
      </c>
      <c r="ZS17" s="56">
        <v>12</v>
      </c>
      <c r="ZT17" s="53" t="str">
        <f t="shared" si="98"/>
        <v>Cambridgeshire Archives</v>
      </c>
      <c r="ZU17" s="46">
        <f t="shared" si="479"/>
        <v>0</v>
      </c>
      <c r="ZV17" s="76">
        <f t="shared" si="480"/>
        <v>0</v>
      </c>
      <c r="ZW17" s="81" cm="1">
        <f t="array" ref="ZW17">ROUND((IFERROR(INDEX(ArchiveResults!$F$5:$IX$116,ComparisonData!A17,ComparisonData!$ZW$1),0)),5)</f>
        <v>0</v>
      </c>
      <c r="ZX17" s="81" cm="1">
        <f t="array" ref="ZX17">ROUND((IFERROR(INDEX(ArchiveResults!$F$5:$IX$116,ComparisonData!A17,ComparisonData!$ZX$1),0)),5)</f>
        <v>0</v>
      </c>
      <c r="ZY17" s="81" cm="1">
        <f t="array" ref="ZY17">ROUND((IFERROR(INDEX(ArchiveResults!$F$5:$IX$116,ComparisonData!A17,ComparisonData!$ZY$1),0)),5)</f>
        <v>0</v>
      </c>
      <c r="ZZ17" s="81" cm="1">
        <f t="array" ref="ZZ17">ROUND((IFERROR(INDEX(ArchiveResults!$F$5:$IX$116,ComparisonData!A17,ComparisonData!$ZZ$1),0)),5)</f>
        <v>0</v>
      </c>
      <c r="AAA17" s="81" cm="1">
        <f t="array" ref="AAA17">ROUND((IFERROR(INDEX(ArchiveResults!$F$5:$IX$116,ComparisonData!A17,ComparisonData!$AAA$1),0)),5)</f>
        <v>0</v>
      </c>
      <c r="AAB17" s="81" cm="1">
        <f t="array" ref="AAB17">ROUND((IFERROR(INDEX(ArchiveResults!$F$5:$IX$116,ComparisonData!A17,ComparisonData!$AAB$1),0)),5)</f>
        <v>0</v>
      </c>
      <c r="AAC17" s="81" cm="1">
        <f t="array" ref="AAC17">ROUND((IFERROR(INDEX(ArchiveResults!$F$5:$IX$116,ComparisonData!A17,ComparisonData!$AAC$1),0)),5)</f>
        <v>0</v>
      </c>
      <c r="AAD17" s="81" cm="1">
        <f t="array" ref="AAD17">ROUND((IFERROR(INDEX(ArchiveResults!$F$5:$IX$116,ComparisonData!A17,ComparisonData!$AAD$1),0)),5)</f>
        <v>0</v>
      </c>
      <c r="AAE17" s="81" cm="1">
        <f t="array" ref="AAE17">ROUND((IFERROR(INDEX(ArchiveResults!$F$5:$IX$116,ComparisonData!A17,ComparisonData!$AAE$1),0)),5)</f>
        <v>0</v>
      </c>
      <c r="AAF17" s="81" cm="1">
        <f t="array" ref="AAF17">ROUND((IFERROR(INDEX(ArchiveResults!$F$5:$IX$116,ComparisonData!A17,ComparisonData!$AAF$1),0)),5)</f>
        <v>0</v>
      </c>
      <c r="AAG17" s="46">
        <f t="shared" si="481"/>
        <v>18</v>
      </c>
      <c r="AAH17" s="46">
        <f t="shared" si="99"/>
        <v>2.5239999999999996</v>
      </c>
      <c r="AAI17" s="46">
        <f t="shared" si="482"/>
        <v>1</v>
      </c>
      <c r="AAJ17" s="46">
        <f t="shared" si="483"/>
        <v>2</v>
      </c>
      <c r="AAK17" s="46">
        <f t="shared" si="484"/>
        <v>0</v>
      </c>
      <c r="AAL17" s="46">
        <f t="shared" si="485"/>
        <v>0</v>
      </c>
      <c r="AAM17" s="46">
        <f t="shared" si="486"/>
        <v>0</v>
      </c>
      <c r="AAN17" s="46">
        <f t="shared" si="487"/>
        <v>0</v>
      </c>
      <c r="AAO17" s="46">
        <f t="shared" si="488"/>
        <v>0</v>
      </c>
      <c r="AAP17" s="46">
        <f t="shared" si="489"/>
        <v>0</v>
      </c>
      <c r="AAQ17" s="56">
        <v>12</v>
      </c>
      <c r="AAR17" s="53" t="str">
        <f t="shared" si="100"/>
        <v>Cambridgeshire Archives</v>
      </c>
      <c r="AAS17" s="60">
        <f t="shared" si="490"/>
        <v>0</v>
      </c>
      <c r="AAT17" s="60">
        <f t="shared" si="491"/>
        <v>0</v>
      </c>
      <c r="AAU17" s="60">
        <f t="shared" si="492"/>
        <v>0</v>
      </c>
      <c r="AAV17" s="60">
        <f t="shared" si="493"/>
        <v>0</v>
      </c>
      <c r="AAW17" s="60">
        <f t="shared" si="494"/>
        <v>0</v>
      </c>
      <c r="AAX17" s="76">
        <f t="shared" si="495"/>
        <v>0</v>
      </c>
      <c r="AAY17" s="46">
        <f t="shared" si="496"/>
        <v>18</v>
      </c>
      <c r="AAZ17" s="46">
        <f t="shared" si="101"/>
        <v>2.5239999999999996</v>
      </c>
      <c r="ABA17" s="46">
        <f t="shared" si="497"/>
        <v>1</v>
      </c>
      <c r="ABB17" s="46">
        <f t="shared" si="498"/>
        <v>2</v>
      </c>
      <c r="ABC17" s="46">
        <f t="shared" si="102"/>
        <v>0</v>
      </c>
      <c r="ABD17" s="46" cm="1">
        <f t="array" ref="ABD17">ROUND(VALUE(IFERROR(INDEX(ArchiveResults!$F$5:$IX$116,ComparisonData!A17,ComparisonData!$ABD$1),0)),5)</f>
        <v>0</v>
      </c>
      <c r="ABE17" s="46" cm="1">
        <f t="array" ref="ABE17">ROUND(VALUE(IFERROR(INDEX(ArchiveResults!$F$5:$IX$116,ComparisonData!A17,ComparisonData!$ABE$1),0)),5)</f>
        <v>0</v>
      </c>
      <c r="ABF17" s="46" cm="1">
        <f t="array" ref="ABF17">ROUND(VALUE(IFERROR(INDEX(ArchiveResults!$F$5:$IX$116,ComparisonData!A17,ComparisonData!$ABF$1),0)),5)</f>
        <v>0</v>
      </c>
      <c r="ABG17" s="46" cm="1">
        <f t="array" ref="ABG17">ROUND(VALUE(IFERROR(INDEX(ArchiveResults!$F$5:$IX$116,ComparisonData!A17,ComparisonData!$ABG$1),0)),5)</f>
        <v>0</v>
      </c>
      <c r="ABH17" s="46" cm="1">
        <f t="array" ref="ABH17">ROUND(VALUE(IFERROR(INDEX(ArchiveResults!$F$5:$IX$116,ComparisonData!A17,ComparisonData!$ABH$1),0)),5)</f>
        <v>0</v>
      </c>
      <c r="ABI17" s="56">
        <v>12</v>
      </c>
      <c r="ABJ17" s="53" t="str">
        <f t="shared" si="103"/>
        <v>Cambridgeshire Archives</v>
      </c>
      <c r="ABK17" s="60">
        <f t="shared" si="499"/>
        <v>0</v>
      </c>
      <c r="ABL17" s="60">
        <f t="shared" si="500"/>
        <v>0</v>
      </c>
      <c r="ABM17" s="60">
        <f t="shared" si="501"/>
        <v>0</v>
      </c>
      <c r="ABN17" s="60">
        <f t="shared" si="502"/>
        <v>0</v>
      </c>
      <c r="ABO17" s="60">
        <f t="shared" si="503"/>
        <v>0</v>
      </c>
      <c r="ABP17" s="76">
        <f t="shared" si="504"/>
        <v>0</v>
      </c>
      <c r="ABQ17" s="46">
        <f t="shared" si="505"/>
        <v>18</v>
      </c>
      <c r="ABR17" s="46">
        <f t="shared" si="104"/>
        <v>2.5239999999999996</v>
      </c>
      <c r="ABS17" s="46">
        <f t="shared" si="506"/>
        <v>1</v>
      </c>
      <c r="ABT17" s="46">
        <f t="shared" si="507"/>
        <v>2</v>
      </c>
      <c r="ABU17" s="46" cm="1">
        <f t="array" ref="ABU17">ROUND(VALUE(IFERROR(INDEX(ArchiveResults!$F$5:$IX$116,ComparisonData!A17,ComparisonData!$ABU$1),0)),5)</f>
        <v>0</v>
      </c>
      <c r="ABV17" s="46" cm="1">
        <f t="array" ref="ABV17">ROUND(VALUE(IFERROR(INDEX(ArchiveResults!$F$5:$IX$116,ComparisonData!A17,ComparisonData!$ABV$1),0)),5)</f>
        <v>0</v>
      </c>
      <c r="ABW17" s="46" cm="1">
        <f t="array" ref="ABW17">ROUND(VALUE(IFERROR(INDEX(ArchiveResults!$F$5:$IX$116,ComparisonData!A17,ComparisonData!$ABW$1),0)),5)</f>
        <v>0</v>
      </c>
      <c r="ABX17" s="46" cm="1">
        <f t="array" ref="ABX17">ROUND(VALUE(IFERROR(INDEX(ArchiveResults!$F$5:$IX$116,ComparisonData!A17,ComparisonData!$ABX$1),0)),5)</f>
        <v>0</v>
      </c>
      <c r="ABY17" s="46" cm="1">
        <f t="array" ref="ABY17">ROUND(VALUE(IFERROR(INDEX(ArchiveResults!$F$5:$IX$116,ComparisonData!A17,ComparisonData!$ABY$1),0)),5)</f>
        <v>0</v>
      </c>
      <c r="ABZ17" s="56">
        <v>12</v>
      </c>
      <c r="ACA17" s="53" t="str">
        <f t="shared" si="105"/>
        <v>Cambridgeshire Archives</v>
      </c>
      <c r="ACB17" s="60">
        <f t="shared" si="508"/>
        <v>0</v>
      </c>
      <c r="ACC17" s="60">
        <f t="shared" si="509"/>
        <v>0</v>
      </c>
      <c r="ACD17" s="60">
        <f t="shared" si="510"/>
        <v>0</v>
      </c>
      <c r="ACE17" s="60">
        <f t="shared" si="511"/>
        <v>0</v>
      </c>
      <c r="ACF17" s="60">
        <f t="shared" si="512"/>
        <v>0</v>
      </c>
      <c r="ACG17" s="76">
        <f t="shared" si="513"/>
        <v>0</v>
      </c>
      <c r="ACH17" s="46">
        <f t="shared" si="514"/>
        <v>18</v>
      </c>
      <c r="ACI17" s="46">
        <f t="shared" si="106"/>
        <v>2.5239999999999996</v>
      </c>
      <c r="ACJ17" s="46">
        <f t="shared" si="515"/>
        <v>1</v>
      </c>
      <c r="ACK17" s="46">
        <f t="shared" si="516"/>
        <v>2</v>
      </c>
      <c r="ACL17" s="46">
        <f t="shared" si="517"/>
        <v>0</v>
      </c>
      <c r="ACM17" s="46" cm="1">
        <f t="array" ref="ACM17">ROUND(IFERROR(INDEX(ArchiveResults!$F$5:$IX$116,ComparisonData!A17,ComparisonData!$ACM$1),0),5)</f>
        <v>0</v>
      </c>
      <c r="ACN17" s="46" cm="1">
        <f t="array" ref="ACN17">ROUND(IFERROR(INDEX(ArchiveResults!$F$5:$IX$116,ComparisonData!A17,ComparisonData!$ACN$1),0),5)</f>
        <v>0</v>
      </c>
      <c r="ACO17" s="56">
        <v>12</v>
      </c>
      <c r="ACP17" s="53" t="str">
        <f t="shared" si="107"/>
        <v>Cambridgeshire Archives</v>
      </c>
      <c r="ACQ17" s="60">
        <f t="shared" si="518"/>
        <v>0</v>
      </c>
      <c r="ACR17" s="60">
        <f t="shared" si="519"/>
        <v>0</v>
      </c>
      <c r="ACS17" s="76">
        <f t="shared" si="520"/>
        <v>0</v>
      </c>
      <c r="ACT17" s="46">
        <f t="shared" si="521"/>
        <v>18</v>
      </c>
      <c r="ACU17" s="46">
        <f t="shared" si="108"/>
        <v>2.5239999999999996</v>
      </c>
      <c r="ACV17" s="46">
        <f t="shared" si="522"/>
        <v>1</v>
      </c>
      <c r="ACW17" s="46">
        <f t="shared" si="523"/>
        <v>2</v>
      </c>
      <c r="ACX17" s="46">
        <f t="shared" si="524"/>
        <v>0</v>
      </c>
      <c r="ACY17" s="46" cm="1">
        <f t="array" ref="ACY17">ROUNDDOWN(IFERROR(INDEX(ArchiveResults!$F$5:$IX$116,ComparisonData!A17,ComparisonData!$ACY$1),0),5)</f>
        <v>0</v>
      </c>
      <c r="ACZ17" s="46" cm="1">
        <f t="array" ref="ACZ17">ROUNDDOWN(IFERROR(INDEX(ArchiveResults!$F$5:$IX$116,ComparisonData!A17,ComparisonData!$ACZ$1),0),5)</f>
        <v>0</v>
      </c>
      <c r="ADA17" s="46" cm="1">
        <f t="array" ref="ADA17">ROUNDDOWN(IFERROR(INDEX(ArchiveResults!$F$5:$IX$116,ComparisonData!A17,ComparisonData!$ADA$1),0),5)</f>
        <v>0</v>
      </c>
      <c r="ADB17" s="56">
        <v>12</v>
      </c>
      <c r="ADC17" s="53" t="str">
        <f t="shared" si="109"/>
        <v>Cambridgeshire Archives</v>
      </c>
      <c r="ADD17" s="60">
        <f t="shared" si="525"/>
        <v>0</v>
      </c>
      <c r="ADE17" s="60">
        <f t="shared" si="526"/>
        <v>0</v>
      </c>
      <c r="ADF17" s="60">
        <f t="shared" si="527"/>
        <v>0</v>
      </c>
      <c r="ADG17" s="76">
        <f t="shared" si="528"/>
        <v>0</v>
      </c>
    </row>
    <row r="18" spans="1:787" x14ac:dyDescent="0.25">
      <c r="A18" s="46" t="str">
        <f>IF(ISBLANK(ComparisonSelection!F14),"",ROW()-5)</f>
        <v/>
      </c>
      <c r="B18" s="53" t="s">
        <v>468</v>
      </c>
      <c r="C18" s="72">
        <v>0.54399999999999959</v>
      </c>
      <c r="D18" s="55">
        <f t="shared" si="110"/>
        <v>22</v>
      </c>
      <c r="E18" s="54">
        <f t="shared" si="111"/>
        <v>2.5439999999999996</v>
      </c>
      <c r="F18" s="54">
        <f t="shared" si="529"/>
        <v>1</v>
      </c>
      <c r="G18" s="72">
        <f t="shared" si="112"/>
        <v>2</v>
      </c>
      <c r="H18" s="72">
        <f t="shared" si="113"/>
        <v>0</v>
      </c>
      <c r="I18" s="46" cm="1">
        <f t="array" ref="I18">ROUND(IFERROR(INDEX(ArchiveResults!$F$5:$IX$116,ComparisonData!A18,ComparisonData!$I$1),0),5)</f>
        <v>0</v>
      </c>
      <c r="J18" s="46" cm="1">
        <f t="array" ref="J18">ROUND(IFERROR(INDEX(ArchiveResults!$F$5:$IX$116,ComparisonData!A18,ComparisonData!$J$1),0),5)</f>
        <v>0</v>
      </c>
      <c r="K18" s="56">
        <v>13</v>
      </c>
      <c r="L18" s="53" t="str">
        <f t="shared" si="114"/>
        <v>Cardiff University, Special Collections and Archives</v>
      </c>
      <c r="M18" s="57">
        <f t="shared" si="0"/>
        <v>0</v>
      </c>
      <c r="N18" s="57">
        <f t="shared" si="1"/>
        <v>0</v>
      </c>
      <c r="O18" s="58">
        <f t="shared" si="115"/>
        <v>0</v>
      </c>
      <c r="P18" s="48">
        <f t="shared" si="116"/>
        <v>22</v>
      </c>
      <c r="Q18" s="54">
        <f t="shared" si="2"/>
        <v>2.5439999999999996</v>
      </c>
      <c r="R18" s="45">
        <f t="shared" si="117"/>
        <v>1</v>
      </c>
      <c r="S18" s="46">
        <f t="shared" si="118"/>
        <v>2</v>
      </c>
      <c r="T18" s="72">
        <f t="shared" si="119"/>
        <v>0</v>
      </c>
      <c r="U18" s="46" cm="1">
        <f t="array" ref="U18">ROUND(IFERROR(INDEX(ArchiveResults!$F$5:$IX$116,ComparisonData!A18,ComparisonData!$U$1),0),5)</f>
        <v>0</v>
      </c>
      <c r="V18" s="46" cm="1">
        <f t="array" ref="V18">ROUND(IFERROR(INDEX(ArchiveResults!$F$5:$IX$116,ComparisonData!A18,ComparisonData!$V$1),0),5)</f>
        <v>0</v>
      </c>
      <c r="W18" s="56">
        <v>13</v>
      </c>
      <c r="X18" s="53" t="str">
        <f t="shared" si="3"/>
        <v>Cardiff University, Special Collections and Archives</v>
      </c>
      <c r="Y18" s="57">
        <f t="shared" si="120"/>
        <v>0</v>
      </c>
      <c r="Z18" s="57">
        <f t="shared" si="121"/>
        <v>0</v>
      </c>
      <c r="AA18" s="58">
        <f t="shared" si="122"/>
        <v>0</v>
      </c>
      <c r="AB18" s="45">
        <f t="shared" si="123"/>
        <v>22</v>
      </c>
      <c r="AC18" s="54">
        <f t="shared" si="4"/>
        <v>2.5439999999999996</v>
      </c>
      <c r="AD18" s="45">
        <f t="shared" si="124"/>
        <v>1</v>
      </c>
      <c r="AE18" s="45">
        <f t="shared" si="125"/>
        <v>2</v>
      </c>
      <c r="AF18" s="45">
        <f t="shared" si="126"/>
        <v>0</v>
      </c>
      <c r="AG18" s="46" cm="1">
        <f t="array" ref="AG18">ROUND(IFERROR(INDEX(ArchiveResults!$F$5:$IX$116,ComparisonData!A18,ComparisonData!$AG$1),0),5)</f>
        <v>0</v>
      </c>
      <c r="AH18" s="46" cm="1">
        <f t="array" ref="AH18">ROUND(IFERROR(INDEX(ArchiveResults!$F$5:$IX$116,ComparisonData!A18,ComparisonData!$AH$1),0),5)</f>
        <v>0</v>
      </c>
      <c r="AI18" s="56">
        <v>13</v>
      </c>
      <c r="AJ18" s="53" t="str">
        <f t="shared" si="5"/>
        <v>Cardiff University, Special Collections and Archives</v>
      </c>
      <c r="AK18" s="59">
        <f t="shared" si="6"/>
        <v>0</v>
      </c>
      <c r="AL18" s="59">
        <f t="shared" si="7"/>
        <v>0</v>
      </c>
      <c r="AM18" s="58">
        <f t="shared" si="127"/>
        <v>0</v>
      </c>
      <c r="AN18" s="45">
        <f t="shared" si="128"/>
        <v>22</v>
      </c>
      <c r="AO18" s="54">
        <f t="shared" si="8"/>
        <v>2.5439999999999996</v>
      </c>
      <c r="AP18" s="45">
        <f t="shared" si="129"/>
        <v>1</v>
      </c>
      <c r="AQ18" s="45">
        <f t="shared" si="130"/>
        <v>2</v>
      </c>
      <c r="AR18" s="46" cm="1">
        <f t="array" ref="AR18">ROUND(IFERROR(INDEX(ArchiveResults!$F$5:$IX$116,ComparisonData!A18,ComparisonData!$AR$1),0),5)</f>
        <v>0</v>
      </c>
      <c r="AS18" s="46" cm="1">
        <f t="array" ref="AS18">ROUND(IFERROR(INDEX(ArchiveResults!$F$5:$IX$116,ComparisonData!A18,ComparisonData!$AS$1),0),5)</f>
        <v>0</v>
      </c>
      <c r="AT18" s="46" cm="1">
        <f t="array" ref="AT18">ROUND(IFERROR(INDEX(ArchiveResults!$F$5:$IX$116,ComparisonData!A18,ComparisonData!$AT$1),0),5)</f>
        <v>0</v>
      </c>
      <c r="AU18" s="46" cm="1">
        <f t="array" ref="AU18">ROUND(IFERROR(INDEX(ArchiveResults!$F$5:$IX$116,ComparisonData!A18,ComparisonData!$AU$1),0),5)</f>
        <v>0</v>
      </c>
      <c r="AV18" s="46" cm="1">
        <f t="array" ref="AV18">ROUND(IFERROR(INDEX(ArchiveResults!$F$5:$IX$116,ComparisonData!A18,ComparisonData!$AV$1),0),5)</f>
        <v>0</v>
      </c>
      <c r="AW18" s="46" cm="1">
        <f t="array" ref="AW18">ROUND(IFERROR(INDEX(ArchiveResults!$F$5:$IX$116,ComparisonData!A18,ComparisonData!$AW$1),0),5)</f>
        <v>0</v>
      </c>
      <c r="AX18" s="46" cm="1">
        <f t="array" ref="AX18">ROUND(IFERROR(INDEX(ArchiveResults!$F$5:$IX$116,ComparisonData!A18,ComparisonData!$AX$1),0),5)</f>
        <v>0</v>
      </c>
      <c r="AY18" s="46" cm="1">
        <f t="array" ref="AY18">ROUND(IFERROR(INDEX(ArchiveResults!$F$5:$IX$116,ComparisonData!A18,ComparisonData!$AY$1),0),5)</f>
        <v>0</v>
      </c>
      <c r="AZ18" s="46" cm="1">
        <f t="array" ref="AZ18">ROUND(IFERROR(INDEX(ArchiveResults!$F$5:$IX$116,ComparisonData!A18,ComparisonData!$AZ$1),0),5)</f>
        <v>0</v>
      </c>
      <c r="BA18" s="46" cm="1">
        <f t="array" ref="BA18">ROUND(IFERROR(INDEX(ArchiveResults!$F$5:$IX$116,ComparisonData!A18,ComparisonData!$BA$1),0),5)</f>
        <v>0</v>
      </c>
      <c r="BB18" s="56">
        <v>13</v>
      </c>
      <c r="BC18" s="53" t="str">
        <f t="shared" si="9"/>
        <v>Cardiff University, Special Collections and Archives</v>
      </c>
      <c r="BD18" s="60">
        <f t="shared" si="131"/>
        <v>0</v>
      </c>
      <c r="BE18" s="60">
        <f t="shared" si="132"/>
        <v>0</v>
      </c>
      <c r="BF18" s="60">
        <f t="shared" si="133"/>
        <v>0</v>
      </c>
      <c r="BG18" s="60">
        <f t="shared" si="134"/>
        <v>0</v>
      </c>
      <c r="BH18" s="60">
        <f t="shared" si="135"/>
        <v>0</v>
      </c>
      <c r="BI18" s="60">
        <f t="shared" si="136"/>
        <v>0</v>
      </c>
      <c r="BJ18" s="60">
        <f t="shared" si="137"/>
        <v>0</v>
      </c>
      <c r="BK18" s="60">
        <f t="shared" si="138"/>
        <v>0</v>
      </c>
      <c r="BL18" s="60">
        <f t="shared" si="139"/>
        <v>0</v>
      </c>
      <c r="BM18" s="59">
        <f t="shared" si="140"/>
        <v>0</v>
      </c>
      <c r="BN18" s="58">
        <f t="shared" si="141"/>
        <v>0</v>
      </c>
      <c r="BO18" s="45">
        <f t="shared" si="142"/>
        <v>22</v>
      </c>
      <c r="BP18" s="54">
        <f t="shared" si="10"/>
        <v>2.5439999999999996</v>
      </c>
      <c r="BQ18" s="45">
        <f t="shared" si="143"/>
        <v>1</v>
      </c>
      <c r="BR18" s="45">
        <f t="shared" si="144"/>
        <v>2</v>
      </c>
      <c r="BS18" s="46" cm="1">
        <f t="array" ref="BS18">ROUND(IFERROR(INDEX(ArchiveResults!$F$5:$IX$116,ComparisonData!A18,ComparisonData!$BS$1),0),5)</f>
        <v>0</v>
      </c>
      <c r="BT18" s="46" cm="1">
        <f t="array" ref="BT18">ROUND(IFERROR(INDEX(ArchiveResults!$F$5:$IX$116,ComparisonData!A18,ComparisonData!$BT$1),0),5)</f>
        <v>0</v>
      </c>
      <c r="BU18" s="46" cm="1">
        <f t="array" ref="BU18">ROUND(IFERROR(INDEX(ArchiveResults!$F$5:$IX$116,ComparisonData!A18,ComparisonData!$BU$1),0),5)</f>
        <v>0</v>
      </c>
      <c r="BV18" s="46" cm="1">
        <f t="array" ref="BV18">ROUND(IFERROR(INDEX(ArchiveResults!$F$5:$IX$116,ComparisonData!A18,ComparisonData!$BV$1),0),5)</f>
        <v>0</v>
      </c>
      <c r="BW18" s="46" cm="1">
        <f t="array" ref="BW18">ROUND(IFERROR(INDEX(ArchiveResults!$F$5:$IX$116,ComparisonData!A18,ComparisonData!$BW$1),0),5)</f>
        <v>0</v>
      </c>
      <c r="BX18" s="46" cm="1">
        <f t="array" ref="BX18">ROUND(IFERROR(INDEX(ArchiveResults!$F$5:$IX$116,ComparisonData!A18,ComparisonData!$BX$1),0),5)</f>
        <v>0</v>
      </c>
      <c r="BY18" s="56">
        <v>13</v>
      </c>
      <c r="BZ18" s="53" t="str">
        <f t="shared" si="11"/>
        <v>Cardiff University, Special Collections and Archives</v>
      </c>
      <c r="CA18" s="59">
        <f t="shared" si="145"/>
        <v>0</v>
      </c>
      <c r="CB18" s="59">
        <f t="shared" si="146"/>
        <v>0</v>
      </c>
      <c r="CC18" s="59">
        <f t="shared" si="147"/>
        <v>0</v>
      </c>
      <c r="CD18" s="59">
        <f t="shared" si="148"/>
        <v>0</v>
      </c>
      <c r="CE18" s="59">
        <f t="shared" si="149"/>
        <v>0</v>
      </c>
      <c r="CF18" s="59">
        <f t="shared" si="150"/>
        <v>0</v>
      </c>
      <c r="CG18" s="58">
        <f t="shared" si="151"/>
        <v>0</v>
      </c>
      <c r="CH18" s="45">
        <f t="shared" si="152"/>
        <v>22</v>
      </c>
      <c r="CI18" s="54">
        <f t="shared" si="12"/>
        <v>2.5439999999999996</v>
      </c>
      <c r="CJ18" s="45">
        <f t="shared" si="153"/>
        <v>1</v>
      </c>
      <c r="CK18" s="45">
        <f t="shared" si="154"/>
        <v>2</v>
      </c>
      <c r="CL18" s="46" cm="1">
        <f t="array" ref="CL18">ROUND(IFERROR(INDEX(ArchiveResults!$F$5:$IX$116,ComparisonData!A18,ComparisonData!$CL$1),0),5)</f>
        <v>0</v>
      </c>
      <c r="CM18" s="56">
        <v>13</v>
      </c>
      <c r="CN18" s="53" t="str">
        <f t="shared" si="13"/>
        <v>Cardiff University, Special Collections and Archives</v>
      </c>
      <c r="CO18" s="45">
        <f t="shared" si="155"/>
        <v>0</v>
      </c>
      <c r="CP18" s="58">
        <f t="shared" si="156"/>
        <v>0</v>
      </c>
      <c r="CQ18" s="45">
        <f t="shared" si="157"/>
        <v>22</v>
      </c>
      <c r="CR18" s="54">
        <f t="shared" si="14"/>
        <v>2.5439999999999996</v>
      </c>
      <c r="CS18" s="45">
        <f t="shared" si="158"/>
        <v>1</v>
      </c>
      <c r="CT18" s="45">
        <f t="shared" si="159"/>
        <v>2</v>
      </c>
      <c r="CU18" s="46" cm="1">
        <f t="array" ref="CU18">ROUND(IFERROR(INDEX(ArchiveResults!$F$5:$IX$116,ComparisonData!A18,ComparisonData!$CU$1),0),5)</f>
        <v>0</v>
      </c>
      <c r="CV18" s="56">
        <v>13</v>
      </c>
      <c r="CW18" s="53" t="str">
        <f t="shared" si="15"/>
        <v>Cardiff University, Special Collections and Archives</v>
      </c>
      <c r="CX18" s="45">
        <f t="shared" si="160"/>
        <v>0</v>
      </c>
      <c r="CY18" s="58">
        <f t="shared" si="161"/>
        <v>0</v>
      </c>
      <c r="CZ18" s="45">
        <f t="shared" si="162"/>
        <v>22</v>
      </c>
      <c r="DA18" s="54">
        <f t="shared" si="16"/>
        <v>2.5439999999999996</v>
      </c>
      <c r="DB18" s="45">
        <f t="shared" si="163"/>
        <v>1</v>
      </c>
      <c r="DC18" s="45">
        <f t="shared" si="164"/>
        <v>2</v>
      </c>
      <c r="DD18" s="46" cm="1">
        <f t="array" ref="DD18">ROUND(IFERROR(INDEX(ArchiveResults!$F$5:$IX$116,ComparisonData!A18,ComparisonData!$DD$1),0),5)</f>
        <v>0</v>
      </c>
      <c r="DE18" s="56">
        <v>13</v>
      </c>
      <c r="DF18" s="53" t="str">
        <f t="shared" si="17"/>
        <v>Cardiff University, Special Collections and Archives</v>
      </c>
      <c r="DG18" s="45">
        <f t="shared" si="165"/>
        <v>0</v>
      </c>
      <c r="DH18" s="58">
        <f t="shared" si="166"/>
        <v>0</v>
      </c>
      <c r="DI18" s="45">
        <f t="shared" si="167"/>
        <v>22</v>
      </c>
      <c r="DJ18" s="54">
        <f t="shared" si="18"/>
        <v>2.5439999999999996</v>
      </c>
      <c r="DK18" s="45">
        <f t="shared" si="168"/>
        <v>1</v>
      </c>
      <c r="DL18" s="45">
        <f t="shared" si="169"/>
        <v>2</v>
      </c>
      <c r="DM18" s="46" cm="1">
        <f t="array" ref="DM18">ROUND(IFERROR(INDEX(ArchiveResults!$F$5:$IX$116,ComparisonData!A18,ComparisonData!$DM$1),0),5)</f>
        <v>0</v>
      </c>
      <c r="DN18" s="46" cm="1">
        <f t="array" ref="DN18">ROUND(IFERROR(INDEX(ArchiveResults!$F$5:$IX$116,ComparisonData!A18,ComparisonData!$DN$1),0),5)</f>
        <v>0</v>
      </c>
      <c r="DO18" s="46" cm="1">
        <f t="array" ref="DO18">ROUND(IFERROR(INDEX(ArchiveResults!$F$5:$IX$116,ComparisonData!A18,ComparisonData!$DO$1),0),5)</f>
        <v>0</v>
      </c>
      <c r="DP18" s="46" cm="1">
        <f t="array" ref="DP18">ROUND(IFERROR(INDEX(ArchiveResults!$F$5:$IX$116,ComparisonData!A18,ComparisonData!$DP$1),0),5)</f>
        <v>0</v>
      </c>
      <c r="DQ18" s="45" cm="1">
        <f t="array" ref="DQ18">IFERROR(INDEX(ArchiveResults!$F$5:$IX$116,ComparisonData!A18,ComparisonData!$DQ$1),0)</f>
        <v>0</v>
      </c>
      <c r="DR18" s="56">
        <v>13</v>
      </c>
      <c r="DS18" s="53" t="str">
        <f t="shared" si="19"/>
        <v>Cardiff University, Special Collections and Archives</v>
      </c>
      <c r="DT18" s="59">
        <f t="shared" si="170"/>
        <v>0</v>
      </c>
      <c r="DU18" s="59">
        <f t="shared" si="171"/>
        <v>0</v>
      </c>
      <c r="DV18" s="59">
        <f t="shared" si="172"/>
        <v>0</v>
      </c>
      <c r="DW18" s="59">
        <f t="shared" si="173"/>
        <v>0</v>
      </c>
      <c r="DX18" s="59">
        <f t="shared" si="174"/>
        <v>0</v>
      </c>
      <c r="DY18" s="58">
        <f t="shared" si="175"/>
        <v>0</v>
      </c>
      <c r="DZ18" s="45">
        <f t="shared" si="176"/>
        <v>22</v>
      </c>
      <c r="EA18" s="54">
        <f t="shared" si="20"/>
        <v>2.5439999999999996</v>
      </c>
      <c r="EB18" s="45">
        <f t="shared" si="177"/>
        <v>1</v>
      </c>
      <c r="EC18" s="45">
        <f t="shared" si="178"/>
        <v>2</v>
      </c>
      <c r="ED18" s="46" cm="1">
        <f t="array" ref="ED18">ROUND(IFERROR(INDEX(ArchiveResults!$F$5:$IX$116,ComparisonData!A18,ComparisonData!$ED$1),0),5)</f>
        <v>0</v>
      </c>
      <c r="EE18" s="46" cm="1">
        <f t="array" ref="EE18">ROUND(IFERROR(INDEX(ArchiveResults!$F$5:$IX$116,ComparisonData!A18,ComparisonData!$EE$1),0),5)</f>
        <v>0</v>
      </c>
      <c r="EF18" s="46" cm="1">
        <f t="array" ref="EF18">ROUND(IFERROR(INDEX(ArchiveResults!$F$5:$IX$116,ComparisonData!A18,ComparisonData!$EF$1),0),5)</f>
        <v>0</v>
      </c>
      <c r="EG18" s="46" cm="1">
        <f t="array" ref="EG18">ROUND(IFERROR(INDEX(ArchiveResults!$F$5:$IX$116,ComparisonData!A18,ComparisonData!$EG$1),0),5)</f>
        <v>0</v>
      </c>
      <c r="EH18" s="45" cm="1">
        <f t="array" ref="EH18">IFERROR(INDEX(ArchiveResults!$F$5:$IX$116,ComparisonData!A18,ComparisonData!$EH$1),0)</f>
        <v>0</v>
      </c>
      <c r="EI18" s="56">
        <v>13</v>
      </c>
      <c r="EJ18" s="53" t="str">
        <f t="shared" si="21"/>
        <v>Cardiff University, Special Collections and Archives</v>
      </c>
      <c r="EK18" s="59">
        <f t="shared" si="179"/>
        <v>0</v>
      </c>
      <c r="EL18" s="59">
        <f t="shared" si="180"/>
        <v>0</v>
      </c>
      <c r="EM18" s="59">
        <f t="shared" si="181"/>
        <v>0</v>
      </c>
      <c r="EN18" s="59">
        <f t="shared" si="182"/>
        <v>0</v>
      </c>
      <c r="EO18" s="59">
        <f t="shared" si="183"/>
        <v>0</v>
      </c>
      <c r="EP18" s="58">
        <f t="shared" si="184"/>
        <v>0</v>
      </c>
      <c r="EQ18" s="45">
        <f t="shared" si="185"/>
        <v>22</v>
      </c>
      <c r="ER18" s="54">
        <f t="shared" si="22"/>
        <v>2.5439999999999996</v>
      </c>
      <c r="ES18" s="45">
        <f t="shared" si="186"/>
        <v>1</v>
      </c>
      <c r="ET18" s="45">
        <f t="shared" si="187"/>
        <v>2</v>
      </c>
      <c r="EU18" s="46" cm="1">
        <f t="array" ref="EU18">ROUND(IFERROR(INDEX(ArchiveResults!$F$5:$IX$116,ComparisonData!A18,ComparisonData!$EU$1),0),5)</f>
        <v>0</v>
      </c>
      <c r="EV18" s="46" cm="1">
        <f t="array" ref="EV18">ROUND(IFERROR(INDEX(ArchiveResults!$F$5:$IX$116,ComparisonData!A18,ComparisonData!$EV$1),0),5)</f>
        <v>0</v>
      </c>
      <c r="EW18" s="46" cm="1">
        <f t="array" ref="EW18">ROUND(IFERROR(INDEX(ArchiveResults!$F$5:$IX$116,ComparisonData!A18,ComparisonData!$EW$1),0),5)</f>
        <v>0</v>
      </c>
      <c r="EX18" s="46" cm="1">
        <f t="array" ref="EX18">ROUND(IFERROR(INDEX(ArchiveResults!$F$5:$IX$116,ComparisonData!A18,ComparisonData!$EX$1),0),5)</f>
        <v>0</v>
      </c>
      <c r="EY18" s="45" cm="1">
        <f t="array" ref="EY18">IFERROR(INDEX(ArchiveResults!$F$5:$IX$116,ComparisonData!A18,ComparisonData!$EY$1),0)</f>
        <v>0</v>
      </c>
      <c r="EZ18" s="56">
        <v>13</v>
      </c>
      <c r="FA18" s="53" t="str">
        <f t="shared" si="23"/>
        <v>Cardiff University, Special Collections and Archives</v>
      </c>
      <c r="FB18" s="59">
        <f t="shared" si="188"/>
        <v>0</v>
      </c>
      <c r="FC18" s="59">
        <f t="shared" si="189"/>
        <v>0</v>
      </c>
      <c r="FD18" s="59">
        <f t="shared" si="190"/>
        <v>0</v>
      </c>
      <c r="FE18" s="59">
        <f t="shared" si="191"/>
        <v>0</v>
      </c>
      <c r="FF18" s="59">
        <f t="shared" si="192"/>
        <v>0</v>
      </c>
      <c r="FG18" s="58">
        <f t="shared" si="193"/>
        <v>0</v>
      </c>
      <c r="FH18" s="45">
        <f t="shared" si="194"/>
        <v>22</v>
      </c>
      <c r="FI18" s="54">
        <f t="shared" si="24"/>
        <v>2.5439999999999996</v>
      </c>
      <c r="FJ18" s="45">
        <f t="shared" si="195"/>
        <v>1</v>
      </c>
      <c r="FK18" s="45">
        <f t="shared" si="196"/>
        <v>2</v>
      </c>
      <c r="FL18" s="46" cm="1">
        <f t="array" ref="FL18">ROUND(IFERROR(INDEX(ArchiveResults!$F$5:$IX$116,ComparisonData!A18,ComparisonData!$FL$1),0),5)</f>
        <v>0</v>
      </c>
      <c r="FM18" s="46" cm="1">
        <f t="array" ref="FM18">ROUND(IFERROR(INDEX(ArchiveResults!$F$5:$IX$116,ComparisonData!A18,ComparisonData!$FM$1),0),5)</f>
        <v>0</v>
      </c>
      <c r="FN18" s="46" cm="1">
        <f t="array" ref="FN18">ROUND(IFERROR(INDEX(ArchiveResults!$F$5:$IX$116,ComparisonData!A18,ComparisonData!$FN$1),0),5)</f>
        <v>0</v>
      </c>
      <c r="FO18" s="46" cm="1">
        <f t="array" ref="FO18">ROUND(IFERROR(INDEX(ArchiveResults!$F$5:$IX$116,ComparisonData!A18,ComparisonData!$FO$1),0),5)</f>
        <v>0</v>
      </c>
      <c r="FP18" s="45" cm="1">
        <f t="array" ref="FP18">IFERROR(INDEX(ArchiveResults!$F$5:$IX$116,ComparisonData!A18,ComparisonData!$FP$1),0)</f>
        <v>0</v>
      </c>
      <c r="FQ18" s="56">
        <v>13</v>
      </c>
      <c r="FR18" s="53" t="str">
        <f t="shared" si="25"/>
        <v>Cardiff University, Special Collections and Archives</v>
      </c>
      <c r="FS18" s="59">
        <f t="shared" si="197"/>
        <v>0</v>
      </c>
      <c r="FT18" s="59">
        <f t="shared" si="198"/>
        <v>0</v>
      </c>
      <c r="FU18" s="59">
        <f t="shared" si="199"/>
        <v>0</v>
      </c>
      <c r="FV18" s="59">
        <f t="shared" si="200"/>
        <v>0</v>
      </c>
      <c r="FW18" s="59">
        <f t="shared" si="201"/>
        <v>0</v>
      </c>
      <c r="FX18" s="58">
        <f t="shared" si="202"/>
        <v>0</v>
      </c>
      <c r="FY18" s="45">
        <f t="shared" si="203"/>
        <v>22</v>
      </c>
      <c r="FZ18" s="45">
        <f t="shared" si="26"/>
        <v>2.5439999999999996</v>
      </c>
      <c r="GA18" s="45">
        <f t="shared" si="204"/>
        <v>1</v>
      </c>
      <c r="GB18" s="45">
        <f t="shared" si="205"/>
        <v>2</v>
      </c>
      <c r="GC18" s="46" cm="1">
        <f t="array" ref="GC18">ROUND(IFERROR(INDEX(ArchiveResults!$F$5:$IX$116,ComparisonData!A18,ComparisonData!$GC$1),0),5)</f>
        <v>0</v>
      </c>
      <c r="GD18" s="46" cm="1">
        <f t="array" ref="GD18">ROUND(IFERROR(INDEX(ArchiveResults!$F$5:$IX$116,ComparisonData!A18,ComparisonData!$GD$1),0),5)</f>
        <v>0</v>
      </c>
      <c r="GE18" s="46" cm="1">
        <f t="array" ref="GE18">ROUND(IFERROR(INDEX(ArchiveResults!$F$5:$IX$116,ComparisonData!A18,ComparisonData!$GE$1),0),5)</f>
        <v>0</v>
      </c>
      <c r="GF18" s="46" cm="1">
        <f t="array" ref="GF18">ROUND(IFERROR(INDEX(ArchiveResults!$F$5:$IX$116,ComparisonData!A18,ComparisonData!$GF$1),0),5)</f>
        <v>0</v>
      </c>
      <c r="GG18" s="45" cm="1">
        <f t="array" ref="GG18">IFERROR(INDEX(ArchiveResults!$F$5:$IX$116,ComparisonData!A18,ComparisonData!$GG$1),0)</f>
        <v>0</v>
      </c>
      <c r="GH18" s="56">
        <v>13</v>
      </c>
      <c r="GI18" s="53" t="str">
        <f t="shared" si="27"/>
        <v>Cardiff University, Special Collections and Archives</v>
      </c>
      <c r="GJ18" s="59">
        <f t="shared" si="206"/>
        <v>0</v>
      </c>
      <c r="GK18" s="59">
        <f t="shared" si="207"/>
        <v>0</v>
      </c>
      <c r="GL18" s="59">
        <f t="shared" si="208"/>
        <v>0</v>
      </c>
      <c r="GM18" s="59">
        <f t="shared" si="209"/>
        <v>0</v>
      </c>
      <c r="GN18" s="59">
        <f t="shared" si="210"/>
        <v>0</v>
      </c>
      <c r="GO18" s="58">
        <f t="shared" si="211"/>
        <v>0</v>
      </c>
      <c r="GP18" s="45">
        <f t="shared" si="212"/>
        <v>22</v>
      </c>
      <c r="GQ18" s="45">
        <f t="shared" si="28"/>
        <v>2.5439999999999996</v>
      </c>
      <c r="GR18" s="45">
        <f t="shared" si="213"/>
        <v>1</v>
      </c>
      <c r="GS18" s="45">
        <f t="shared" si="214"/>
        <v>2</v>
      </c>
      <c r="GT18" s="46" cm="1">
        <f t="array" ref="GT18">ROUND(IFERROR(INDEX(ArchiveResults!$F$5:$IX$116,ComparisonData!A18,ComparisonData!$GT$1),0),5)</f>
        <v>0</v>
      </c>
      <c r="GU18" s="46" cm="1">
        <f t="array" ref="GU18">ROUND(IFERROR(INDEX(ArchiveResults!$F$5:$IX$116,ComparisonData!A18,ComparisonData!$GU$1),0),5)</f>
        <v>0</v>
      </c>
      <c r="GV18" s="46" cm="1">
        <f t="array" ref="GV18">ROUND(IFERROR(INDEX(ArchiveResults!$F$5:$IX$116,ComparisonData!A18,ComparisonData!$GV$1),0),5)</f>
        <v>0</v>
      </c>
      <c r="GW18" s="46" cm="1">
        <f t="array" ref="GW18">ROUND(IFERROR(INDEX(ArchiveResults!$F$5:$IX$116,ComparisonData!A18,ComparisonData!$GW$1),0),5)</f>
        <v>0</v>
      </c>
      <c r="GX18" s="45" cm="1">
        <f t="array" ref="GX18">IFERROR(INDEX(ArchiveResults!$F$5:$IX$116,ComparisonData!A18,ComparisonData!$GX$1),0)</f>
        <v>0</v>
      </c>
      <c r="GY18" s="56">
        <v>13</v>
      </c>
      <c r="GZ18" s="53" t="str">
        <f t="shared" si="29"/>
        <v>Cardiff University, Special Collections and Archives</v>
      </c>
      <c r="HA18" s="59">
        <f t="shared" si="215"/>
        <v>0</v>
      </c>
      <c r="HB18" s="59">
        <f t="shared" si="216"/>
        <v>0</v>
      </c>
      <c r="HC18" s="59">
        <f t="shared" si="217"/>
        <v>0</v>
      </c>
      <c r="HD18" s="59">
        <f t="shared" si="218"/>
        <v>0</v>
      </c>
      <c r="HE18" s="59">
        <f t="shared" si="219"/>
        <v>0</v>
      </c>
      <c r="HF18" s="58">
        <f t="shared" si="220"/>
        <v>0</v>
      </c>
      <c r="HG18" s="45">
        <f t="shared" si="221"/>
        <v>22</v>
      </c>
      <c r="HH18" s="45">
        <f t="shared" si="30"/>
        <v>2.5439999999999996</v>
      </c>
      <c r="HI18" s="45">
        <f t="shared" si="222"/>
        <v>1</v>
      </c>
      <c r="HJ18" s="45">
        <f t="shared" si="223"/>
        <v>2</v>
      </c>
      <c r="HK18" s="46" cm="1">
        <f t="array" ref="HK18">ROUND(IFERROR(INDEX(ArchiveResults!$F$5:$IX$116,ComparisonData!A18,ComparisonData!$HK$1),0),5)</f>
        <v>0</v>
      </c>
      <c r="HL18" s="46" cm="1">
        <f t="array" ref="HL18">ROUND(IFERROR(INDEX(ArchiveResults!$F$5:$IX$116,ComparisonData!A18,ComparisonData!$HL$1),0),5)</f>
        <v>0</v>
      </c>
      <c r="HM18" s="46" cm="1">
        <f t="array" ref="HM18">ROUND(IFERROR(INDEX(ArchiveResults!$F$5:$IX$116,ComparisonData!A18,ComparisonData!$HM$1),0),5)</f>
        <v>0</v>
      </c>
      <c r="HN18" s="46" cm="1">
        <f t="array" ref="HN18">ROUND(IFERROR(INDEX(ArchiveResults!$F$5:$IX$116,ComparisonData!A18,ComparisonData!$HN$1),0),5)</f>
        <v>0</v>
      </c>
      <c r="HO18" s="45" cm="1">
        <f t="array" ref="HO18">IFERROR(INDEX(ArchiveResults!$F$5:$IX$116,ComparisonData!A18,ComparisonData!$HO$1),0)</f>
        <v>0</v>
      </c>
      <c r="HP18" s="56">
        <v>13</v>
      </c>
      <c r="HQ18" s="53" t="str">
        <f t="shared" si="31"/>
        <v>Cardiff University, Special Collections and Archives</v>
      </c>
      <c r="HR18" s="59">
        <f t="shared" si="32"/>
        <v>0</v>
      </c>
      <c r="HS18" s="59">
        <f t="shared" si="33"/>
        <v>0</v>
      </c>
      <c r="HT18" s="59">
        <f t="shared" si="34"/>
        <v>0</v>
      </c>
      <c r="HU18" s="59">
        <f t="shared" si="35"/>
        <v>0</v>
      </c>
      <c r="HV18" s="59">
        <f t="shared" si="36"/>
        <v>0</v>
      </c>
      <c r="HW18" s="58">
        <f t="shared" si="224"/>
        <v>0</v>
      </c>
      <c r="HX18" s="45">
        <f t="shared" si="225"/>
        <v>22</v>
      </c>
      <c r="HY18" s="45">
        <f t="shared" si="37"/>
        <v>2.5439999999999996</v>
      </c>
      <c r="HZ18" s="45">
        <f t="shared" si="226"/>
        <v>1</v>
      </c>
      <c r="IA18" s="45">
        <f t="shared" si="227"/>
        <v>2</v>
      </c>
      <c r="IB18" s="45">
        <f t="shared" si="228"/>
        <v>0</v>
      </c>
      <c r="IC18" s="46" cm="1">
        <f t="array" ref="IC18">ROUND(IFERROR(INDEX(ArchiveResults!$F$5:$IX$116,ComparisonData!A18,ComparisonData!$IC$1),0),5)</f>
        <v>0</v>
      </c>
      <c r="ID18" s="46" cm="1">
        <f t="array" ref="ID18">ROUND(IFERROR(INDEX(ArchiveResults!$F$5:$IX$116,ComparisonData!A18,ComparisonData!$ID$1),0),5)</f>
        <v>0</v>
      </c>
      <c r="IE18" s="46" cm="1">
        <f t="array" ref="IE18">ROUND(IFERROR(INDEX(ArchiveResults!$F$5:$IX$116,ComparisonData!A18,ComparisonData!$IE$1),0),5)</f>
        <v>0</v>
      </c>
      <c r="IF18" s="46" cm="1">
        <f t="array" ref="IF18">ROUND(IFERROR(INDEX(ArchiveResults!$F$5:$IX$116,ComparisonData!A18,ComparisonData!$IF$1),0),5)</f>
        <v>0</v>
      </c>
      <c r="IG18" s="45" cm="1">
        <f t="array" ref="IG18">IFERROR(INDEX(ArchiveResults!$F$5:$IX$116,ComparisonData!A18,ComparisonData!$IG$1),0)</f>
        <v>0</v>
      </c>
      <c r="IH18" s="56">
        <v>13</v>
      </c>
      <c r="II18" s="53" t="str">
        <f t="shared" si="38"/>
        <v>Cardiff University, Special Collections and Archives</v>
      </c>
      <c r="IJ18" s="59">
        <f t="shared" si="229"/>
        <v>0</v>
      </c>
      <c r="IK18" s="59">
        <f t="shared" si="230"/>
        <v>0</v>
      </c>
      <c r="IL18" s="59">
        <f t="shared" si="231"/>
        <v>0</v>
      </c>
      <c r="IM18" s="59">
        <f t="shared" si="232"/>
        <v>0</v>
      </c>
      <c r="IN18" s="59">
        <f t="shared" si="233"/>
        <v>0</v>
      </c>
      <c r="IO18" s="58">
        <f t="shared" si="234"/>
        <v>0</v>
      </c>
      <c r="IP18" s="45">
        <f t="shared" si="235"/>
        <v>22</v>
      </c>
      <c r="IQ18" s="45">
        <f t="shared" si="39"/>
        <v>2.5439999999999996</v>
      </c>
      <c r="IR18" s="45">
        <f t="shared" si="236"/>
        <v>1</v>
      </c>
      <c r="IS18" s="45">
        <f t="shared" si="237"/>
        <v>2</v>
      </c>
      <c r="IT18" s="46">
        <f t="shared" si="238"/>
        <v>0</v>
      </c>
      <c r="IU18" s="46" cm="1">
        <f t="array" ref="IU18">ROUND(IFERROR(INDEX(ArchiveResults!$F$5:$IX$116,ComparisonData!A18,ComparisonData!$IU$1),0),5)</f>
        <v>0</v>
      </c>
      <c r="IV18" s="46" cm="1">
        <f t="array" ref="IV18">ROUND(IFERROR(INDEX(ArchiveResults!$F$5:$IX$116,ComparisonData!A18,ComparisonData!$IV$1),0),5)</f>
        <v>0</v>
      </c>
      <c r="IW18" s="46" cm="1">
        <f t="array" ref="IW18">ROUND(IFERROR(INDEX(ArchiveResults!$F$5:$IX$116,ComparisonData!A18,ComparisonData!$IW$1),0),5)</f>
        <v>0</v>
      </c>
      <c r="IX18" s="46" cm="1">
        <f t="array" ref="IX18">ROUND(IFERROR(INDEX(ArchiveResults!$F$5:$IX$116,ComparisonData!A18,ComparisonData!$IX$1),0),5)</f>
        <v>0</v>
      </c>
      <c r="IY18" s="45" cm="1">
        <f t="array" ref="IY18">IFERROR(INDEX(ArchiveResults!$F$5:$IX$116,ComparisonData!A18,ComparisonData!$IY$1),0)</f>
        <v>0</v>
      </c>
      <c r="IZ18" s="56">
        <v>13</v>
      </c>
      <c r="JA18" s="53" t="str">
        <f t="shared" si="40"/>
        <v>Cardiff University, Special Collections and Archives</v>
      </c>
      <c r="JB18" s="59">
        <f t="shared" si="239"/>
        <v>0</v>
      </c>
      <c r="JC18" s="59">
        <f t="shared" si="240"/>
        <v>0</v>
      </c>
      <c r="JD18" s="59">
        <f t="shared" si="241"/>
        <v>0</v>
      </c>
      <c r="JE18" s="59">
        <f t="shared" si="242"/>
        <v>0</v>
      </c>
      <c r="JF18" s="59">
        <f t="shared" si="243"/>
        <v>0</v>
      </c>
      <c r="JG18" s="58">
        <f t="shared" si="244"/>
        <v>0</v>
      </c>
      <c r="JH18" s="45">
        <f t="shared" si="245"/>
        <v>22</v>
      </c>
      <c r="JI18" s="45">
        <f t="shared" si="41"/>
        <v>2.5439999999999996</v>
      </c>
      <c r="JJ18" s="45">
        <f t="shared" si="246"/>
        <v>1</v>
      </c>
      <c r="JK18" s="45">
        <f t="shared" si="247"/>
        <v>2</v>
      </c>
      <c r="JL18" s="45">
        <f t="shared" si="248"/>
        <v>0</v>
      </c>
      <c r="JM18" s="46" cm="1">
        <f t="array" ref="JM18">ROUND(IFERROR(INDEX(ArchiveResults!$F$5:$IX$116,ComparisonData!A18,ComparisonData!$JM$1),0),5)</f>
        <v>0</v>
      </c>
      <c r="JN18" s="46" cm="1">
        <f t="array" ref="JN18">ROUND(IFERROR(INDEX(ArchiveResults!$F$5:$IX$116,ComparisonData!A18,ComparisonData!$JN$1),0),5)</f>
        <v>0</v>
      </c>
      <c r="JO18" s="46" cm="1">
        <f t="array" ref="JO18">ROUND(IFERROR(INDEX(ArchiveResults!$F$5:$IX$116,ComparisonData!A18,ComparisonData!$JO$1),0),5)</f>
        <v>0</v>
      </c>
      <c r="JP18" s="46" cm="1">
        <f t="array" ref="JP18">ROUND(IFERROR(INDEX(ArchiveResults!$F$5:$IX$116,ComparisonData!A18,ComparisonData!$JP$1),0),5)</f>
        <v>0</v>
      </c>
      <c r="JQ18" s="45" cm="1">
        <f t="array" ref="JQ18">IFERROR(INDEX(ArchiveResults!$F$5:$IX$116,ComparisonData!A18,ComparisonData!$JQ$1),0)</f>
        <v>0</v>
      </c>
      <c r="JR18" s="56">
        <v>13</v>
      </c>
      <c r="JS18" s="53" t="str">
        <f t="shared" si="42"/>
        <v>Cardiff University, Special Collections and Archives</v>
      </c>
      <c r="JT18" s="59">
        <f t="shared" si="249"/>
        <v>0</v>
      </c>
      <c r="JU18" s="59">
        <f t="shared" si="250"/>
        <v>0</v>
      </c>
      <c r="JV18" s="59">
        <f t="shared" si="251"/>
        <v>0</v>
      </c>
      <c r="JW18" s="59">
        <f t="shared" si="252"/>
        <v>0</v>
      </c>
      <c r="JX18" s="59">
        <f t="shared" si="253"/>
        <v>0</v>
      </c>
      <c r="JY18" s="58">
        <f t="shared" si="254"/>
        <v>0</v>
      </c>
      <c r="JZ18" s="45">
        <f t="shared" si="255"/>
        <v>22</v>
      </c>
      <c r="KA18" s="45">
        <f t="shared" si="43"/>
        <v>2.5439999999999996</v>
      </c>
      <c r="KB18" s="45">
        <f t="shared" si="256"/>
        <v>1</v>
      </c>
      <c r="KC18" s="45">
        <f t="shared" si="257"/>
        <v>2</v>
      </c>
      <c r="KD18" s="45">
        <f t="shared" si="258"/>
        <v>0</v>
      </c>
      <c r="KE18" s="46" cm="1">
        <f t="array" ref="KE18">ROUND(IFERROR(INDEX(ArchiveResults!$F$5:$IX$116,ComparisonData!A18,ComparisonData!$KE$1),0),5)</f>
        <v>0</v>
      </c>
      <c r="KF18" s="46" cm="1">
        <f t="array" ref="KF18">ROUND(IFERROR(INDEX(ArchiveResults!$F$5:$IX$116,ComparisonData!A18,ComparisonData!$KF$1),0),5)</f>
        <v>0</v>
      </c>
      <c r="KG18" s="46" cm="1">
        <f t="array" ref="KG18">ROUND(IFERROR(INDEX(ArchiveResults!$F$5:$IX$116,ComparisonData!A18,ComparisonData!$KG$1),0),5)</f>
        <v>0</v>
      </c>
      <c r="KH18" s="46" cm="1">
        <f t="array" ref="KH18">ROUND(IFERROR(INDEX(ArchiveResults!$F$5:$IX$116,ComparisonData!A18,ComparisonData!$KH$1),0),5)</f>
        <v>0</v>
      </c>
      <c r="KI18" s="45" cm="1">
        <f t="array" ref="KI18">IFERROR(INDEX(ArchiveResults!$F$5:$IX$116,ComparisonData!A18,ComparisonData!$KI$1),0)</f>
        <v>0</v>
      </c>
      <c r="KJ18" s="56">
        <v>13</v>
      </c>
      <c r="KK18" s="53" t="str">
        <f t="shared" si="44"/>
        <v>Cardiff University, Special Collections and Archives</v>
      </c>
      <c r="KL18" s="59">
        <f t="shared" si="259"/>
        <v>0</v>
      </c>
      <c r="KM18" s="59">
        <f t="shared" si="260"/>
        <v>0</v>
      </c>
      <c r="KN18" s="59">
        <f t="shared" si="261"/>
        <v>0</v>
      </c>
      <c r="KO18" s="59">
        <f t="shared" si="262"/>
        <v>0</v>
      </c>
      <c r="KP18" s="59">
        <f t="shared" si="263"/>
        <v>0</v>
      </c>
      <c r="KQ18" s="58">
        <f t="shared" si="264"/>
        <v>0</v>
      </c>
      <c r="KR18" s="45">
        <f t="shared" si="265"/>
        <v>22</v>
      </c>
      <c r="KS18" s="45">
        <f t="shared" si="45"/>
        <v>2.5439999999999996</v>
      </c>
      <c r="KT18" s="45">
        <f t="shared" si="266"/>
        <v>1</v>
      </c>
      <c r="KU18" s="45">
        <f t="shared" si="267"/>
        <v>2</v>
      </c>
      <c r="KV18" s="45">
        <f t="shared" si="268"/>
        <v>0</v>
      </c>
      <c r="KW18" s="46" cm="1">
        <f t="array" ref="KW18">ROUND(IFERROR(INDEX(ArchiveResults!$F$5:$IX$116,ComparisonData!A18,ComparisonData!$KW$1),0),5)</f>
        <v>0</v>
      </c>
      <c r="KX18" s="46" cm="1">
        <f t="array" ref="KX18">ROUND(IFERROR(INDEX(ArchiveResults!$F$5:$IX$116,ComparisonData!A18,ComparisonData!$KX$1),0),5)</f>
        <v>0</v>
      </c>
      <c r="KY18" s="46" cm="1">
        <f t="array" ref="KY18">ROUND(IFERROR(INDEX(ArchiveResults!$F$5:$IX$116,ComparisonData!A18,ComparisonData!$KY$1),0),5)</f>
        <v>0</v>
      </c>
      <c r="KZ18" s="46" cm="1">
        <f t="array" ref="KZ18">ROUND(IFERROR(INDEX(ArchiveResults!$F$5:$IX$116,ComparisonData!A18,ComparisonData!$KZ$1),0),5)</f>
        <v>0</v>
      </c>
      <c r="LA18" s="45" cm="1">
        <f t="array" ref="LA18">IFERROR(INDEX(ArchiveResults!$F$5:$IX$116,ComparisonData!A18,ComparisonData!$LA$1),0)</f>
        <v>0</v>
      </c>
      <c r="LB18" s="56">
        <v>13</v>
      </c>
      <c r="LC18" s="53" t="str">
        <f t="shared" si="46"/>
        <v>Cardiff University, Special Collections and Archives</v>
      </c>
      <c r="LD18" s="59">
        <f t="shared" si="269"/>
        <v>0</v>
      </c>
      <c r="LE18" s="59">
        <f t="shared" si="270"/>
        <v>0</v>
      </c>
      <c r="LF18" s="59">
        <f t="shared" si="271"/>
        <v>0</v>
      </c>
      <c r="LG18" s="59">
        <f t="shared" si="272"/>
        <v>0</v>
      </c>
      <c r="LH18" s="59">
        <f t="shared" si="273"/>
        <v>0</v>
      </c>
      <c r="LI18" s="58">
        <f t="shared" si="274"/>
        <v>0</v>
      </c>
      <c r="LJ18" s="45">
        <f t="shared" si="275"/>
        <v>22</v>
      </c>
      <c r="LK18" s="45">
        <f t="shared" si="47"/>
        <v>2.5439999999999996</v>
      </c>
      <c r="LL18" s="45">
        <f t="shared" si="276"/>
        <v>1</v>
      </c>
      <c r="LM18" s="45">
        <f t="shared" si="277"/>
        <v>2</v>
      </c>
      <c r="LN18" s="45">
        <f t="shared" si="278"/>
        <v>0</v>
      </c>
      <c r="LO18" s="46" cm="1">
        <f t="array" ref="LO18">ROUND(IFERROR(INDEX(ArchiveResults!$F$5:$IX$116,ComparisonData!A18,ComparisonData!$LO$1),0),5)</f>
        <v>0</v>
      </c>
      <c r="LP18" s="46" cm="1">
        <f t="array" ref="LP18">ROUND(IFERROR(INDEX(ArchiveResults!$F$5:$IX$116,ComparisonData!A18,ComparisonData!$LP$1),0),5)</f>
        <v>0</v>
      </c>
      <c r="LQ18" s="46" cm="1">
        <f t="array" ref="LQ18">ROUND(IFERROR(INDEX(ArchiveResults!$F$5:$IX$116,ComparisonData!A18,ComparisonData!$LQ$1),0),5)</f>
        <v>0</v>
      </c>
      <c r="LR18" s="46" cm="1">
        <f t="array" ref="LR18">ROUND(IFERROR(INDEX(ArchiveResults!$F$5:$IX$116,ComparisonData!A18,ComparisonData!$LR$1),0),5)</f>
        <v>0</v>
      </c>
      <c r="LS18" s="45" cm="1">
        <f t="array" ref="LS18">IFERROR(INDEX(ArchiveResults!$F$5:$IX$116,ComparisonData!A18,ComparisonData!$LS$1),0)</f>
        <v>0</v>
      </c>
      <c r="LT18" s="56">
        <v>13</v>
      </c>
      <c r="LU18" s="53" t="str">
        <f t="shared" si="48"/>
        <v>Cardiff University, Special Collections and Archives</v>
      </c>
      <c r="LV18" s="59">
        <f t="shared" si="279"/>
        <v>0</v>
      </c>
      <c r="LW18" s="59">
        <f t="shared" si="280"/>
        <v>0</v>
      </c>
      <c r="LX18" s="59">
        <f t="shared" si="281"/>
        <v>0</v>
      </c>
      <c r="LY18" s="59">
        <f t="shared" si="282"/>
        <v>0</v>
      </c>
      <c r="LZ18" s="59">
        <f t="shared" si="283"/>
        <v>0</v>
      </c>
      <c r="MA18" s="58">
        <f t="shared" si="284"/>
        <v>0</v>
      </c>
      <c r="MB18" s="45">
        <f t="shared" si="285"/>
        <v>22</v>
      </c>
      <c r="MC18" s="45">
        <f t="shared" si="49"/>
        <v>2.5439999999999996</v>
      </c>
      <c r="MD18" s="45">
        <f t="shared" si="286"/>
        <v>1</v>
      </c>
      <c r="ME18" s="45">
        <f t="shared" si="287"/>
        <v>2</v>
      </c>
      <c r="MF18" s="45">
        <f t="shared" si="288"/>
        <v>0</v>
      </c>
      <c r="MG18" s="46" cm="1">
        <f t="array" ref="MG18">ROUND(IFERROR(INDEX(ArchiveResults!$F$5:$IX$116,ComparisonData!A18,ComparisonData!$MG$1),0),5)</f>
        <v>0</v>
      </c>
      <c r="MH18" s="46" cm="1">
        <f t="array" ref="MH18">ROUND(IFERROR(INDEX(ArchiveResults!$F$5:$IX$116,ComparisonData!A18,ComparisonData!$MH$1),0),5)</f>
        <v>0</v>
      </c>
      <c r="MI18" s="46" cm="1">
        <f t="array" ref="MI18">ROUND(IFERROR(INDEX(ArchiveResults!$F$5:$IX$116,ComparisonData!A18,ComparisonData!$MI$1),0),5)</f>
        <v>0</v>
      </c>
      <c r="MJ18" s="46" cm="1">
        <f t="array" ref="MJ18">ROUND(IFERROR(INDEX(ArchiveResults!$F$5:$IX$116,ComparisonData!A18,ComparisonData!$MJ$1),0),5)</f>
        <v>0</v>
      </c>
      <c r="MK18" s="45" cm="1">
        <f t="array" ref="MK18">IFERROR(INDEX(ArchiveResults!$F$5:$IX$116,ComparisonData!A18,ComparisonData!$MK$1),0)</f>
        <v>0</v>
      </c>
      <c r="ML18" s="56">
        <v>13</v>
      </c>
      <c r="MM18" s="53" t="str">
        <f t="shared" si="50"/>
        <v>Cardiff University, Special Collections and Archives</v>
      </c>
      <c r="MN18" s="59">
        <f t="shared" si="289"/>
        <v>0</v>
      </c>
      <c r="MO18" s="59">
        <f t="shared" si="290"/>
        <v>0</v>
      </c>
      <c r="MP18" s="59">
        <f t="shared" si="291"/>
        <v>0</v>
      </c>
      <c r="MQ18" s="59">
        <f t="shared" si="292"/>
        <v>0</v>
      </c>
      <c r="MR18" s="59">
        <f t="shared" si="293"/>
        <v>0</v>
      </c>
      <c r="MS18" s="58">
        <f t="shared" si="294"/>
        <v>0</v>
      </c>
      <c r="MT18" s="45">
        <f t="shared" si="295"/>
        <v>22</v>
      </c>
      <c r="MU18" s="45">
        <f t="shared" si="51"/>
        <v>2.5439999999999996</v>
      </c>
      <c r="MV18" s="45">
        <f t="shared" si="296"/>
        <v>1</v>
      </c>
      <c r="MW18" s="45">
        <f t="shared" si="297"/>
        <v>2</v>
      </c>
      <c r="MX18" s="45">
        <f t="shared" si="298"/>
        <v>0</v>
      </c>
      <c r="MY18" s="46" cm="1">
        <f t="array" ref="MY18">ROUND(IFERROR(INDEX(ArchiveResults!$F$5:$IX$116,ComparisonData!A18,ComparisonData!$MY$1),0),5)</f>
        <v>0</v>
      </c>
      <c r="MZ18" s="46" cm="1">
        <f t="array" ref="MZ18">ROUND(IFERROR(INDEX(ArchiveResults!$F$5:$IX$116,ComparisonData!A18,ComparisonData!$MZ$1),0),5)</f>
        <v>0</v>
      </c>
      <c r="NA18" s="46" cm="1">
        <f t="array" ref="NA18">ROUND(IFERROR(INDEX(ArchiveResults!$F$5:$IX$116,ComparisonData!A18,ComparisonData!$NA$1),0),5)</f>
        <v>0</v>
      </c>
      <c r="NB18" s="46" cm="1">
        <f t="array" ref="NB18">ROUND(IFERROR(INDEX(ArchiveResults!$F$5:$IX$116,ComparisonData!A18,ComparisonData!$NB$1),0),5)</f>
        <v>0</v>
      </c>
      <c r="NC18" s="45" cm="1">
        <f t="array" ref="NC18">IFERROR(INDEX(ArchiveResults!$F$5:$IX$116,ComparisonData!A18,ComparisonData!$NC$1),0)</f>
        <v>0</v>
      </c>
      <c r="ND18" s="56">
        <v>13</v>
      </c>
      <c r="NE18" s="53" t="str">
        <f t="shared" si="52"/>
        <v>Cardiff University, Special Collections and Archives</v>
      </c>
      <c r="NF18" s="59">
        <f t="shared" si="299"/>
        <v>0</v>
      </c>
      <c r="NG18" s="59">
        <f t="shared" si="300"/>
        <v>0</v>
      </c>
      <c r="NH18" s="59">
        <f t="shared" si="301"/>
        <v>0</v>
      </c>
      <c r="NI18" s="59">
        <f t="shared" si="302"/>
        <v>0</v>
      </c>
      <c r="NJ18" s="59">
        <f t="shared" si="303"/>
        <v>0</v>
      </c>
      <c r="NK18" s="58">
        <f t="shared" si="304"/>
        <v>0</v>
      </c>
      <c r="NL18" s="45">
        <f t="shared" si="305"/>
        <v>22</v>
      </c>
      <c r="NM18" s="45">
        <f t="shared" si="53"/>
        <v>2.5439999999999996</v>
      </c>
      <c r="NN18" s="45">
        <f t="shared" si="306"/>
        <v>1</v>
      </c>
      <c r="NO18" s="45">
        <f t="shared" si="307"/>
        <v>2</v>
      </c>
      <c r="NP18" s="46" cm="1">
        <f t="array" ref="NP18">ROUND(IFERROR(INDEX(ArchiveResults!$F$5:$IX$116,ComparisonData!A18,ComparisonData!$NP$1),0),5)</f>
        <v>0</v>
      </c>
      <c r="NQ18" s="46" cm="1">
        <f t="array" ref="NQ18">ROUND(IFERROR(INDEX(ArchiveResults!$F$5:$IX$116,ComparisonData!A18,ComparisonData!$NQ$1),0),5)</f>
        <v>0</v>
      </c>
      <c r="NR18" s="46" cm="1">
        <f t="array" ref="NR18">ROUND(IFERROR(INDEX(ArchiveResults!$F$5:$IX$116,ComparisonData!A18,ComparisonData!$NR$1),0),5)</f>
        <v>0</v>
      </c>
      <c r="NS18" s="46" cm="1">
        <f t="array" ref="NS18">ROUND(IFERROR(INDEX(ArchiveResults!$F$5:$IX$116,ComparisonData!A18,ComparisonData!$NS$1),0),5)</f>
        <v>0</v>
      </c>
      <c r="NT18" s="45" cm="1">
        <f t="array" ref="NT18">IFERROR(INDEX(ArchiveResults!$F$5:$IX$116,ComparisonData!A18,ComparisonData!$NT$1),0)</f>
        <v>0</v>
      </c>
      <c r="NU18" s="56">
        <v>13</v>
      </c>
      <c r="NV18" s="53" t="str">
        <f t="shared" si="54"/>
        <v>Cardiff University, Special Collections and Archives</v>
      </c>
      <c r="NW18" s="59">
        <f t="shared" si="308"/>
        <v>0</v>
      </c>
      <c r="NX18" s="59">
        <f t="shared" si="309"/>
        <v>0</v>
      </c>
      <c r="NY18" s="59">
        <f t="shared" si="310"/>
        <v>0</v>
      </c>
      <c r="NZ18" s="59">
        <f t="shared" si="311"/>
        <v>0</v>
      </c>
      <c r="OA18" s="59">
        <f t="shared" si="312"/>
        <v>0</v>
      </c>
      <c r="OB18" s="58">
        <f t="shared" si="313"/>
        <v>0</v>
      </c>
      <c r="OC18" s="45">
        <f t="shared" si="314"/>
        <v>22</v>
      </c>
      <c r="OD18" s="45">
        <f t="shared" si="55"/>
        <v>2.5439999999999996</v>
      </c>
      <c r="OE18" s="45">
        <f t="shared" si="315"/>
        <v>1</v>
      </c>
      <c r="OF18" s="45">
        <f t="shared" si="316"/>
        <v>2</v>
      </c>
      <c r="OG18" s="46">
        <f t="shared" si="317"/>
        <v>0</v>
      </c>
      <c r="OH18" s="46" cm="1">
        <f t="array" ref="OH18">ROUND(IFERROR(INDEX(ArchiveResults!$F$5:$IX$116,ComparisonData!A18,ComparisonData!$OH$1),0),5)</f>
        <v>0</v>
      </c>
      <c r="OI18" s="46" cm="1">
        <f t="array" ref="OI18">ROUND(IFERROR(INDEX(ArchiveResults!$F$5:$IX$116,ComparisonData!A18,ComparisonData!$OI$1),0),5)</f>
        <v>0</v>
      </c>
      <c r="OJ18" s="46" cm="1">
        <f t="array" ref="OJ18">ROUND(IFERROR(INDEX(ArchiveResults!$F$5:$IX$116,ComparisonData!A18,ComparisonData!$OJ$1),0),5)</f>
        <v>0</v>
      </c>
      <c r="OK18" s="46" cm="1">
        <f t="array" ref="OK18">ROUND(IFERROR(INDEX(ArchiveResults!$F$5:$IX$116,ComparisonData!A18,ComparisonData!$OK$1),0),5)</f>
        <v>0</v>
      </c>
      <c r="OL18" s="45" cm="1">
        <f t="array" ref="OL18">IFERROR(INDEX(ArchiveResults!$F$5:$IX$116,ComparisonData!A18,ComparisonData!$OL$1),0)</f>
        <v>0</v>
      </c>
      <c r="OM18" s="56">
        <v>13</v>
      </c>
      <c r="ON18" s="53" t="str">
        <f t="shared" si="56"/>
        <v>Cardiff University, Special Collections and Archives</v>
      </c>
      <c r="OO18" s="59">
        <f t="shared" si="318"/>
        <v>0</v>
      </c>
      <c r="OP18" s="59">
        <f t="shared" si="319"/>
        <v>0</v>
      </c>
      <c r="OQ18" s="59">
        <f t="shared" si="320"/>
        <v>0</v>
      </c>
      <c r="OR18" s="59">
        <f t="shared" si="321"/>
        <v>0</v>
      </c>
      <c r="OS18" s="59">
        <f t="shared" si="322"/>
        <v>0</v>
      </c>
      <c r="OT18" s="58">
        <f t="shared" si="323"/>
        <v>0</v>
      </c>
      <c r="OU18" s="45">
        <f t="shared" si="324"/>
        <v>22</v>
      </c>
      <c r="OV18" s="45">
        <f t="shared" si="57"/>
        <v>2.5439999999999996</v>
      </c>
      <c r="OW18" s="45">
        <f t="shared" si="325"/>
        <v>1</v>
      </c>
      <c r="OX18" s="45">
        <f t="shared" si="326"/>
        <v>2</v>
      </c>
      <c r="OY18" s="45">
        <f t="shared" si="327"/>
        <v>0</v>
      </c>
      <c r="OZ18" s="46" cm="1">
        <f t="array" ref="OZ18">ROUND(IFERROR(INDEX(ArchiveResults!$F$5:$IX$116,ComparisonData!A18,ComparisonData!$OZ$1),0),5)</f>
        <v>0</v>
      </c>
      <c r="PA18" s="46" cm="1">
        <f t="array" ref="PA18">ROUND(IFERROR(INDEX(ArchiveResults!$F$5:$IX$116,ComparisonData!A18,ComparisonData!$PA$1),0),5)</f>
        <v>0</v>
      </c>
      <c r="PB18" s="46" cm="1">
        <f t="array" ref="PB18">ROUND(IFERROR(INDEX(ArchiveResults!$F$5:$IX$116,ComparisonData!A18,ComparisonData!$PB$1),0),5)</f>
        <v>0</v>
      </c>
      <c r="PC18" s="46" cm="1">
        <f t="array" ref="PC18">ROUND(IFERROR(INDEX(ArchiveResults!$F$5:$IX$116,ComparisonData!A18,ComparisonData!$PC$1),0),5)</f>
        <v>0</v>
      </c>
      <c r="PD18" s="45" cm="1">
        <f t="array" ref="PD18">IFERROR(INDEX(ArchiveResults!$F$5:$IX$116,ComparisonData!A18,ComparisonData!$PD$1),0)</f>
        <v>0</v>
      </c>
      <c r="PE18" s="56">
        <v>13</v>
      </c>
      <c r="PF18" s="53" t="str">
        <f t="shared" si="58"/>
        <v>Cardiff University, Special Collections and Archives</v>
      </c>
      <c r="PG18" s="59">
        <f t="shared" si="328"/>
        <v>0</v>
      </c>
      <c r="PH18" s="59">
        <f t="shared" si="329"/>
        <v>0</v>
      </c>
      <c r="PI18" s="59">
        <f t="shared" si="330"/>
        <v>0</v>
      </c>
      <c r="PJ18" s="59">
        <f t="shared" si="331"/>
        <v>0</v>
      </c>
      <c r="PK18" s="59">
        <f t="shared" si="332"/>
        <v>0</v>
      </c>
      <c r="PL18" s="58">
        <f t="shared" si="333"/>
        <v>0</v>
      </c>
      <c r="PM18" s="45">
        <f t="shared" si="334"/>
        <v>22</v>
      </c>
      <c r="PN18" s="45">
        <f t="shared" si="59"/>
        <v>2.5439999999999996</v>
      </c>
      <c r="PO18" s="45">
        <f t="shared" si="335"/>
        <v>1</v>
      </c>
      <c r="PP18" s="45">
        <f t="shared" si="336"/>
        <v>2</v>
      </c>
      <c r="PQ18" s="45">
        <f t="shared" si="337"/>
        <v>0</v>
      </c>
      <c r="PR18" s="46" cm="1">
        <f t="array" ref="PR18">ROUND(IFERROR(INDEX(ArchiveResults!$F$5:$IX$116,ComparisonData!A18,ComparisonData!$PR$1),0),5)</f>
        <v>0</v>
      </c>
      <c r="PS18" s="46" cm="1">
        <f t="array" ref="PS18">ROUND(IFERROR(INDEX(ArchiveResults!$F$5:$IX$116,ComparisonData!A18,ComparisonData!$PS$1),0),5)</f>
        <v>0</v>
      </c>
      <c r="PT18" s="46" cm="1">
        <f t="array" ref="PT18">ROUND(IFERROR(INDEX(ArchiveResults!$F$5:$IX$116,ComparisonData!A18,ComparisonData!$PT$1),0),5)</f>
        <v>0</v>
      </c>
      <c r="PU18" s="46" cm="1">
        <f t="array" ref="PU18">ROUND(IFERROR(INDEX(ArchiveResults!$F$5:$IX$116,ComparisonData!A18,ComparisonData!$PU$1),0),5)</f>
        <v>0</v>
      </c>
      <c r="PV18" s="45" cm="1">
        <f t="array" ref="PV18">IFERROR(INDEX(ArchiveResults!$F$5:$IX$116,ComparisonData!A18,ComparisonData!$PV$1),0)</f>
        <v>0</v>
      </c>
      <c r="PW18" s="56">
        <v>13</v>
      </c>
      <c r="PX18" s="53" t="str">
        <f t="shared" si="60"/>
        <v>Cardiff University, Special Collections and Archives</v>
      </c>
      <c r="PY18" s="59">
        <f t="shared" si="338"/>
        <v>0</v>
      </c>
      <c r="PZ18" s="59">
        <f t="shared" si="339"/>
        <v>0</v>
      </c>
      <c r="QA18" s="59">
        <f t="shared" si="340"/>
        <v>0</v>
      </c>
      <c r="QB18" s="59">
        <f t="shared" si="341"/>
        <v>0</v>
      </c>
      <c r="QC18" s="59">
        <f t="shared" si="342"/>
        <v>0</v>
      </c>
      <c r="QD18" s="58">
        <f t="shared" si="343"/>
        <v>0</v>
      </c>
      <c r="QE18" s="45">
        <f t="shared" si="344"/>
        <v>22</v>
      </c>
      <c r="QF18" s="45">
        <f t="shared" si="61"/>
        <v>2.5439999999999996</v>
      </c>
      <c r="QG18" s="45">
        <f t="shared" si="345"/>
        <v>1</v>
      </c>
      <c r="QH18" s="45">
        <f t="shared" si="346"/>
        <v>2</v>
      </c>
      <c r="QI18" s="45">
        <f t="shared" si="347"/>
        <v>0</v>
      </c>
      <c r="QJ18" s="46" cm="1">
        <f t="array" ref="QJ18">ROUND(IFERROR(INDEX(ArchiveResults!$F$5:$IX$116,ComparisonData!A18,ComparisonData!$QJ$1),0),5)</f>
        <v>0</v>
      </c>
      <c r="QK18" s="46" cm="1">
        <f t="array" ref="QK18">ROUND(IFERROR(INDEX(ArchiveResults!$F$5:$IX$116,ComparisonData!A18,ComparisonData!$QK$1),0),5)</f>
        <v>0</v>
      </c>
      <c r="QL18" s="46" cm="1">
        <f t="array" ref="QL18">ROUND(IFERROR(INDEX(ArchiveResults!$F$5:$IX$116,ComparisonData!A18,ComparisonData!$QL$1),0),5)</f>
        <v>0</v>
      </c>
      <c r="QM18" s="46" cm="1">
        <f t="array" ref="QM18">ROUND(IFERROR(INDEX(ArchiveResults!$F$5:$IX$116,ComparisonData!A18,ComparisonData!$QM$1),0),5)</f>
        <v>0</v>
      </c>
      <c r="QN18" s="45" cm="1">
        <f t="array" ref="QN18">IFERROR(INDEX(ArchiveResults!$F$5:$IX$116,ComparisonData!A18,ComparisonData!$QN$1),0)</f>
        <v>0</v>
      </c>
      <c r="QO18" s="56">
        <v>13</v>
      </c>
      <c r="QP18" s="53" t="str">
        <f t="shared" si="62"/>
        <v>Cardiff University, Special Collections and Archives</v>
      </c>
      <c r="QQ18" s="59">
        <f t="shared" si="348"/>
        <v>0</v>
      </c>
      <c r="QR18" s="59">
        <f t="shared" si="349"/>
        <v>0</v>
      </c>
      <c r="QS18" s="59">
        <f t="shared" si="350"/>
        <v>0</v>
      </c>
      <c r="QT18" s="59">
        <f t="shared" si="351"/>
        <v>0</v>
      </c>
      <c r="QU18" s="59">
        <f t="shared" si="352"/>
        <v>0</v>
      </c>
      <c r="QV18" s="58">
        <f t="shared" si="353"/>
        <v>0</v>
      </c>
      <c r="QW18" s="45">
        <f t="shared" si="354"/>
        <v>22</v>
      </c>
      <c r="QX18" s="45">
        <f t="shared" si="63"/>
        <v>2.5439999999999996</v>
      </c>
      <c r="QY18" s="45">
        <f t="shared" si="355"/>
        <v>1</v>
      </c>
      <c r="QZ18" s="45">
        <f t="shared" si="356"/>
        <v>2</v>
      </c>
      <c r="RA18" s="45">
        <f t="shared" si="357"/>
        <v>0</v>
      </c>
      <c r="RB18" s="46" cm="1">
        <f t="array" ref="RB18">ROUND(IFERROR(INDEX(ArchiveResults!$F$5:$IX$116,ComparisonData!A18,ComparisonData!$RB$1),0),5)</f>
        <v>0</v>
      </c>
      <c r="RC18" s="46" cm="1">
        <f t="array" ref="RC18">ROUND(IFERROR(INDEX(ArchiveResults!$F$5:$IX$116,ComparisonData!A18,ComparisonData!$RC$1),0),5)</f>
        <v>0</v>
      </c>
      <c r="RD18" s="46" cm="1">
        <f t="array" ref="RD18">ROUND(IFERROR(INDEX(ArchiveResults!$F$5:$IX$116,ComparisonData!A18,ComparisonData!$RD$1),0),5)</f>
        <v>0</v>
      </c>
      <c r="RE18" s="46" cm="1">
        <f t="array" ref="RE18">ROUND(IFERROR(INDEX(ArchiveResults!$F$5:$IX$116,ComparisonData!A18,ComparisonData!$RE$1),0),5)</f>
        <v>0</v>
      </c>
      <c r="RF18" s="45" cm="1">
        <f t="array" ref="RF18">IFERROR(INDEX(ArchiveResults!$F$5:$IX$116,ComparisonData!A18,ComparisonData!$RF$1),0)</f>
        <v>0</v>
      </c>
      <c r="RG18" s="56">
        <v>13</v>
      </c>
      <c r="RH18" s="53" t="str">
        <f t="shared" si="64"/>
        <v>Cardiff University, Special Collections and Archives</v>
      </c>
      <c r="RI18" s="59">
        <f t="shared" si="358"/>
        <v>0</v>
      </c>
      <c r="RJ18" s="59">
        <f t="shared" si="359"/>
        <v>0</v>
      </c>
      <c r="RK18" s="59">
        <f t="shared" si="360"/>
        <v>0</v>
      </c>
      <c r="RL18" s="59">
        <f t="shared" si="361"/>
        <v>0</v>
      </c>
      <c r="RM18" s="59">
        <f t="shared" si="362"/>
        <v>0</v>
      </c>
      <c r="RN18" s="58">
        <f t="shared" si="363"/>
        <v>0</v>
      </c>
      <c r="RO18" s="45">
        <f t="shared" si="364"/>
        <v>22</v>
      </c>
      <c r="RP18" s="45">
        <f t="shared" si="65"/>
        <v>2.5439999999999996</v>
      </c>
      <c r="RQ18" s="45">
        <f t="shared" si="365"/>
        <v>1</v>
      </c>
      <c r="RR18" s="45">
        <f t="shared" si="366"/>
        <v>2</v>
      </c>
      <c r="RS18" s="45">
        <f t="shared" si="367"/>
        <v>0</v>
      </c>
      <c r="RT18" s="46" cm="1">
        <f t="array" ref="RT18">ROUND(IFERROR(INDEX(ArchiveResults!$F$5:$IX$116,ComparisonData!A18,ComparisonData!$RT$1),0),5)</f>
        <v>0</v>
      </c>
      <c r="RU18" s="46" cm="1">
        <f t="array" ref="RU18">ROUND(IFERROR(INDEX(ArchiveResults!$F$5:$IX$116,ComparisonData!A18,ComparisonData!$RU$1),0),5)</f>
        <v>0</v>
      </c>
      <c r="RV18" s="46" cm="1">
        <f t="array" ref="RV18">ROUND(IFERROR(INDEX(ArchiveResults!$F$5:$IX$116,ComparisonData!A18,ComparisonData!$RV$1),0),5)</f>
        <v>0</v>
      </c>
      <c r="RW18" s="46" cm="1">
        <f t="array" ref="RW18">ROUND(IFERROR(INDEX(ArchiveResults!$F$5:$IX$116,ComparisonData!A18,ComparisonData!$RW$1),0),5)</f>
        <v>0</v>
      </c>
      <c r="RX18" s="45" cm="1">
        <f t="array" ref="RX18">IFERROR(INDEX(ArchiveResults!$F$5:$IX$116,ComparisonData!A18,ComparisonData!$RX$1),0)</f>
        <v>0</v>
      </c>
      <c r="RY18" s="56">
        <v>13</v>
      </c>
      <c r="RZ18" s="53" t="str">
        <f t="shared" si="66"/>
        <v>Cardiff University, Special Collections and Archives</v>
      </c>
      <c r="SA18" s="59">
        <f t="shared" si="368"/>
        <v>0</v>
      </c>
      <c r="SB18" s="59">
        <f t="shared" si="369"/>
        <v>0</v>
      </c>
      <c r="SC18" s="59">
        <f t="shared" si="370"/>
        <v>0</v>
      </c>
      <c r="SD18" s="59">
        <f t="shared" si="371"/>
        <v>0</v>
      </c>
      <c r="SE18" s="59">
        <f t="shared" si="372"/>
        <v>0</v>
      </c>
      <c r="SF18" s="58">
        <f t="shared" si="373"/>
        <v>0</v>
      </c>
      <c r="SG18" s="45">
        <f t="shared" si="374"/>
        <v>22</v>
      </c>
      <c r="SH18" s="45">
        <f t="shared" si="67"/>
        <v>2.5439999999999996</v>
      </c>
      <c r="SI18" s="45">
        <f t="shared" si="375"/>
        <v>1</v>
      </c>
      <c r="SJ18" s="45">
        <f t="shared" si="376"/>
        <v>2</v>
      </c>
      <c r="SK18" s="45">
        <f t="shared" si="377"/>
        <v>0</v>
      </c>
      <c r="SL18" s="46" cm="1">
        <f t="array" ref="SL18">ROUND(IFERROR(INDEX(ArchiveResults!$F$5:$IX$116,ComparisonData!A18,ComparisonData!$SL$1),0),5)</f>
        <v>0</v>
      </c>
      <c r="SM18" s="46" cm="1">
        <f t="array" ref="SM18">ROUND(IFERROR(INDEX(ArchiveResults!$F$5:$IX$116,ComparisonData!A18,ComparisonData!$SM$1),0),5)</f>
        <v>0</v>
      </c>
      <c r="SN18" s="46" cm="1">
        <f t="array" ref="SN18">ROUND(IFERROR(INDEX(ArchiveResults!$F$5:$IX$116,ComparisonData!A18,ComparisonData!$SN$1),0),5)</f>
        <v>0</v>
      </c>
      <c r="SO18" s="46" cm="1">
        <f t="array" ref="SO18">ROUND(IFERROR(INDEX(ArchiveResults!$F$5:$IX$116,ComparisonData!A18,ComparisonData!$SO$1),0),5)</f>
        <v>0</v>
      </c>
      <c r="SP18" s="45" cm="1">
        <f t="array" ref="SP18">IFERROR(INDEX(ArchiveResults!$F$5:$IX$116,ComparisonData!A18,ComparisonData!$SP$1),0)</f>
        <v>0</v>
      </c>
      <c r="SQ18" s="56">
        <v>13</v>
      </c>
      <c r="SR18" s="53" t="str">
        <f t="shared" si="68"/>
        <v>Cardiff University, Special Collections and Archives</v>
      </c>
      <c r="SS18" s="59">
        <f t="shared" si="378"/>
        <v>0</v>
      </c>
      <c r="ST18" s="59">
        <f t="shared" si="379"/>
        <v>0</v>
      </c>
      <c r="SU18" s="59">
        <f t="shared" si="380"/>
        <v>0</v>
      </c>
      <c r="SV18" s="59">
        <f t="shared" si="381"/>
        <v>0</v>
      </c>
      <c r="SW18" s="59">
        <f t="shared" si="382"/>
        <v>0</v>
      </c>
      <c r="SX18" s="58">
        <f t="shared" si="383"/>
        <v>0</v>
      </c>
      <c r="SY18" s="45">
        <f t="shared" si="384"/>
        <v>22</v>
      </c>
      <c r="SZ18" s="45">
        <f t="shared" si="69"/>
        <v>2.5439999999999996</v>
      </c>
      <c r="TA18" s="45">
        <f t="shared" si="385"/>
        <v>1</v>
      </c>
      <c r="TB18" s="45">
        <f t="shared" si="386"/>
        <v>2</v>
      </c>
      <c r="TC18" s="45">
        <f t="shared" si="387"/>
        <v>0</v>
      </c>
      <c r="TD18" s="46" cm="1">
        <f t="array" ref="TD18">ROUND(IFERROR(INDEX(ArchiveResults!$F$5:$IX$116,ComparisonData!A18,ComparisonData!$TD$1),0),5)</f>
        <v>0</v>
      </c>
      <c r="TE18" s="46" cm="1">
        <f t="array" ref="TE18">ROUND(IFERROR(INDEX(ArchiveResults!$F$5:$IX$116,ComparisonData!A18,ComparisonData!$TE$1),0),5)</f>
        <v>0</v>
      </c>
      <c r="TF18" s="46" cm="1">
        <f t="array" ref="TF18">ROUND(IFERROR(INDEX(ArchiveResults!$F$5:$IX$116,ComparisonData!A18,ComparisonData!$TF$1),0),5)</f>
        <v>0</v>
      </c>
      <c r="TG18" s="46" cm="1">
        <f t="array" ref="TG18">ROUND(IFERROR(INDEX(ArchiveResults!$F$5:$IX$116,ComparisonData!A18,ComparisonData!$TG$1),0),5)</f>
        <v>0</v>
      </c>
      <c r="TH18" s="45" cm="1">
        <f t="array" ref="TH18">IFERROR(INDEX(ArchiveResults!$F$5:$IX$116,ComparisonData!A18,ComparisonData!$TH$1),0)</f>
        <v>0</v>
      </c>
      <c r="TI18" s="56">
        <v>13</v>
      </c>
      <c r="TJ18" s="53" t="str">
        <f t="shared" si="70"/>
        <v>Cardiff University, Special Collections and Archives</v>
      </c>
      <c r="TK18" s="59">
        <f t="shared" si="388"/>
        <v>0</v>
      </c>
      <c r="TL18" s="59">
        <f t="shared" si="389"/>
        <v>0</v>
      </c>
      <c r="TM18" s="59">
        <f t="shared" si="390"/>
        <v>0</v>
      </c>
      <c r="TN18" s="59">
        <f t="shared" si="391"/>
        <v>0</v>
      </c>
      <c r="TO18" s="59">
        <f t="shared" si="392"/>
        <v>0</v>
      </c>
      <c r="TP18" s="58">
        <f t="shared" si="393"/>
        <v>0</v>
      </c>
      <c r="TQ18" s="45">
        <f t="shared" si="394"/>
        <v>22</v>
      </c>
      <c r="TR18" s="45">
        <f t="shared" si="71"/>
        <v>2.5439999999999996</v>
      </c>
      <c r="TS18" s="45">
        <f t="shared" si="395"/>
        <v>1</v>
      </c>
      <c r="TT18" s="45">
        <f t="shared" si="396"/>
        <v>2</v>
      </c>
      <c r="TU18" s="45">
        <f t="shared" si="397"/>
        <v>0</v>
      </c>
      <c r="TV18" s="46" cm="1">
        <f t="array" ref="TV18">ROUND(IFERROR(INDEX(ArchiveResults!$F$5:$IX$116,ComparisonData!A18,ComparisonData!$TV$1),0),5)</f>
        <v>0</v>
      </c>
      <c r="TW18" s="46" cm="1">
        <f t="array" ref="TW18">ROUND(IFERROR(INDEX(ArchiveResults!$F$5:$IX$116,ComparisonData!A18,ComparisonData!$TW$1),0),5)</f>
        <v>0</v>
      </c>
      <c r="TX18" s="46" cm="1">
        <f t="array" ref="TX18">ROUND(IFERROR(INDEX(ArchiveResults!$F$5:$IX$116,ComparisonData!A18,ComparisonData!$TX$1),0),5)</f>
        <v>0</v>
      </c>
      <c r="TY18" s="46" cm="1">
        <f t="array" ref="TY18">ROUND(IFERROR(INDEX(ArchiveResults!$F$5:$IX$116,ComparisonData!A18,ComparisonData!$TY$1),0),5)</f>
        <v>0</v>
      </c>
      <c r="TZ18" s="45" cm="1">
        <f t="array" ref="TZ18">IFERROR(INDEX(ArchiveResults!$F$5:$IX$116,ComparisonData!A18,ComparisonData!$TZ$1),0)</f>
        <v>0</v>
      </c>
      <c r="UA18" s="56">
        <v>13</v>
      </c>
      <c r="UB18" s="53" t="str">
        <f t="shared" si="72"/>
        <v>Cardiff University, Special Collections and Archives</v>
      </c>
      <c r="UC18" s="60">
        <f t="shared" si="398"/>
        <v>0</v>
      </c>
      <c r="UD18" s="60">
        <f t="shared" si="399"/>
        <v>0</v>
      </c>
      <c r="UE18" s="60">
        <f t="shared" si="400"/>
        <v>0</v>
      </c>
      <c r="UF18" s="60">
        <f t="shared" si="401"/>
        <v>0</v>
      </c>
      <c r="UG18" s="60">
        <f t="shared" si="402"/>
        <v>0</v>
      </c>
      <c r="UH18" s="58">
        <f t="shared" si="403"/>
        <v>0</v>
      </c>
      <c r="UI18" s="46">
        <f t="shared" si="404"/>
        <v>22</v>
      </c>
      <c r="UJ18" s="46">
        <f t="shared" si="73"/>
        <v>2.5439999999999996</v>
      </c>
      <c r="UK18" s="46">
        <f t="shared" si="405"/>
        <v>1</v>
      </c>
      <c r="UL18" s="46">
        <f t="shared" si="406"/>
        <v>2</v>
      </c>
      <c r="UM18" s="46" cm="1">
        <f t="array" ref="UM18">ROUND(IFERROR(INDEX(ArchiveResults!$F$5:$IX$116,ComparisonData!A18,ComparisonData!$UM$1),0),5)</f>
        <v>0</v>
      </c>
      <c r="UN18" s="56">
        <v>13</v>
      </c>
      <c r="UO18" s="53" t="str">
        <f t="shared" si="74"/>
        <v>Cardiff University, Special Collections and Archives</v>
      </c>
      <c r="UP18" s="46">
        <f t="shared" si="407"/>
        <v>0</v>
      </c>
      <c r="UQ18" s="76">
        <f t="shared" si="408"/>
        <v>0</v>
      </c>
      <c r="UR18" s="46">
        <f t="shared" si="409"/>
        <v>22</v>
      </c>
      <c r="US18" s="46">
        <f t="shared" si="75"/>
        <v>2.5439999999999996</v>
      </c>
      <c r="UT18" s="46">
        <f t="shared" si="410"/>
        <v>1</v>
      </c>
      <c r="UU18" s="46">
        <f t="shared" si="411"/>
        <v>2</v>
      </c>
      <c r="UV18" s="46">
        <f t="shared" si="412"/>
        <v>0</v>
      </c>
      <c r="UW18" s="46" cm="1">
        <f t="array" ref="UW18">ROUND(IFERROR(INDEX(ArchiveResults!$F$5:$IX$116,ComparisonData!A18,ComparisonData!$UW$1),0),5)</f>
        <v>0</v>
      </c>
      <c r="UX18" s="46" cm="1">
        <f t="array" ref="UX18">ROUND(IFERROR(INDEX(ArchiveResults!$F$5:$IX$116,ComparisonData!A18,ComparisonData!$UX$1),0),5)</f>
        <v>0</v>
      </c>
      <c r="UY18" s="46" cm="1">
        <f t="array" ref="UY18">ROUND(IFERROR(INDEX(ArchiveResults!$F$5:$IX$116,ComparisonData!A18,ComparisonData!$UY$1),0),5)</f>
        <v>0</v>
      </c>
      <c r="UZ18" s="46" cm="1">
        <f t="array" ref="UZ18">ROUND(IFERROR(INDEX(ArchiveResults!$F$5:$IX$116,ComparisonData!A18,ComparisonData!$UZ$1),0),5)</f>
        <v>0</v>
      </c>
      <c r="VA18" s="46" cm="1">
        <f t="array" ref="VA18">ROUND(IFERROR(INDEX(ArchiveResults!$F$5:$IX$116,ComparisonData!A18,ComparisonData!$VA$1),0),5)</f>
        <v>0</v>
      </c>
      <c r="VB18" s="56">
        <v>13</v>
      </c>
      <c r="VC18" s="53" t="str">
        <f t="shared" si="76"/>
        <v>Cardiff University, Special Collections and Archives</v>
      </c>
      <c r="VD18" s="60">
        <f t="shared" si="413"/>
        <v>0</v>
      </c>
      <c r="VE18" s="60">
        <f t="shared" si="414"/>
        <v>0</v>
      </c>
      <c r="VF18" s="60">
        <f t="shared" si="415"/>
        <v>0</v>
      </c>
      <c r="VG18" s="60">
        <f t="shared" si="416"/>
        <v>0</v>
      </c>
      <c r="VH18" s="60">
        <f t="shared" si="417"/>
        <v>0</v>
      </c>
      <c r="VI18" s="76">
        <f t="shared" si="418"/>
        <v>0</v>
      </c>
      <c r="VJ18" s="46">
        <f t="shared" si="419"/>
        <v>22</v>
      </c>
      <c r="VK18" s="46">
        <f t="shared" si="77"/>
        <v>2.5439999999999996</v>
      </c>
      <c r="VL18" s="46">
        <f t="shared" si="420"/>
        <v>1</v>
      </c>
      <c r="VM18" s="46">
        <f t="shared" si="421"/>
        <v>2</v>
      </c>
      <c r="VN18" s="46" cm="1">
        <f t="array" ref="VN18">ROUND(IFERROR(INDEX(ArchiveResults!$F$5:$IX$116,ComparisonData!A18,ComparisonData!$VN$1),0),5)</f>
        <v>0</v>
      </c>
      <c r="VO18" s="46" cm="1">
        <f t="array" ref="VO18">ROUND(IFERROR(INDEX(ArchiveResults!$F$5:$IX$116,ComparisonData!A18,ComparisonData!$VO$1),0),5)</f>
        <v>0</v>
      </c>
      <c r="VP18" s="46" cm="1">
        <f t="array" ref="VP18">ROUND(IFERROR(INDEX(ArchiveResults!$F$5:$IX$116,ComparisonData!A18,ComparisonData!$VP$1),0),5)</f>
        <v>0</v>
      </c>
      <c r="VQ18" s="46" cm="1">
        <f t="array" ref="VQ18">ROUND(IFERROR(INDEX(ArchiveResults!$F$5:$IX$116,ComparisonData!A18,ComparisonData!$VQ$1),0),5)</f>
        <v>0</v>
      </c>
      <c r="VR18" s="56">
        <v>13</v>
      </c>
      <c r="VS18" s="53" t="str">
        <f t="shared" si="78"/>
        <v>Cardiff University, Special Collections and Archives</v>
      </c>
      <c r="VT18" s="60">
        <f t="shared" si="422"/>
        <v>0</v>
      </c>
      <c r="VU18" s="60">
        <f t="shared" si="423"/>
        <v>0</v>
      </c>
      <c r="VV18" s="60">
        <f t="shared" si="424"/>
        <v>0</v>
      </c>
      <c r="VW18" s="60">
        <f t="shared" si="425"/>
        <v>0</v>
      </c>
      <c r="VX18" s="76">
        <f t="shared" si="426"/>
        <v>0</v>
      </c>
      <c r="VY18" s="46">
        <f t="shared" si="427"/>
        <v>22</v>
      </c>
      <c r="VZ18" s="46">
        <f t="shared" si="79"/>
        <v>2.5439999999999996</v>
      </c>
      <c r="WA18" s="46">
        <f t="shared" si="428"/>
        <v>1</v>
      </c>
      <c r="WB18" s="46">
        <f t="shared" si="429"/>
        <v>2</v>
      </c>
      <c r="WC18" s="46" cm="1">
        <f t="array" ref="WC18">ROUND(IFERROR(INDEX(ArchiveResults!$F$5:$IX$116,ComparisonData!A18,ComparisonData!$WC$1),0),5)</f>
        <v>0</v>
      </c>
      <c r="WD18" s="56">
        <v>13</v>
      </c>
      <c r="WE18" s="53" t="str">
        <f t="shared" si="80"/>
        <v>Cardiff University, Special Collections and Archives</v>
      </c>
      <c r="WF18" s="46">
        <f t="shared" si="430"/>
        <v>0</v>
      </c>
      <c r="WG18" s="76">
        <f t="shared" si="431"/>
        <v>0</v>
      </c>
      <c r="WH18" s="46">
        <f t="shared" si="432"/>
        <v>22</v>
      </c>
      <c r="WI18" s="46">
        <f t="shared" si="81"/>
        <v>2.5439999999999996</v>
      </c>
      <c r="WJ18" s="46">
        <f t="shared" si="433"/>
        <v>1</v>
      </c>
      <c r="WK18" s="46">
        <f t="shared" si="434"/>
        <v>2</v>
      </c>
      <c r="WL18" s="46" cm="1">
        <f t="array" ref="WL18">ROUND(IFERROR(INDEX(ArchiveResults!$F$5:$IX$116,ComparisonData!A18,ComparisonData!$WL$1),0),5)</f>
        <v>0</v>
      </c>
      <c r="WM18" s="46" cm="1">
        <f t="array" ref="WM18">IFERROR(INDEX(ArchiveResults!$F$5:$IX$116,ComparisonData!A18,ComparisonData!$WM$1),0)</f>
        <v>0</v>
      </c>
      <c r="WN18" s="56">
        <v>13</v>
      </c>
      <c r="WO18" s="53" t="str">
        <f t="shared" si="82"/>
        <v>Cardiff University, Special Collections and Archives</v>
      </c>
      <c r="WP18" s="60">
        <f t="shared" si="435"/>
        <v>0</v>
      </c>
      <c r="WQ18" s="60">
        <f t="shared" si="436"/>
        <v>0</v>
      </c>
      <c r="WR18" s="76">
        <f t="shared" si="437"/>
        <v>0</v>
      </c>
      <c r="WS18" s="46">
        <f t="shared" si="438"/>
        <v>22</v>
      </c>
      <c r="WT18" s="46">
        <f t="shared" si="83"/>
        <v>2.5439999999999996</v>
      </c>
      <c r="WU18" s="46">
        <f t="shared" si="439"/>
        <v>1</v>
      </c>
      <c r="WV18" s="46">
        <f t="shared" si="440"/>
        <v>2</v>
      </c>
      <c r="WW18" s="46" cm="1">
        <f t="array" ref="WW18">ROUND(VALUE(IFERROR(INDEX(ArchiveResults!$F$5:$IX$116,ComparisonData!A18,ComparisonData!$WW$1),0)),5)</f>
        <v>0</v>
      </c>
      <c r="WX18" s="46" cm="1">
        <f t="array" ref="WX18">ROUND(IFERROR(INDEX(ArchiveResults!$F$5:$IX$116,ComparisonData!A18,ComparisonData!$WX$1),0),5)</f>
        <v>0</v>
      </c>
      <c r="WY18" s="56">
        <v>13</v>
      </c>
      <c r="WZ18" s="53" t="str">
        <f t="shared" si="84"/>
        <v>Cardiff University, Special Collections and Archives</v>
      </c>
      <c r="XA18" s="60">
        <f t="shared" si="85"/>
        <v>0</v>
      </c>
      <c r="XB18" s="60">
        <f t="shared" si="86"/>
        <v>0</v>
      </c>
      <c r="XC18" s="76">
        <f t="shared" si="441"/>
        <v>0</v>
      </c>
      <c r="XD18" s="46">
        <f t="shared" si="442"/>
        <v>22</v>
      </c>
      <c r="XE18" s="46">
        <f t="shared" si="87"/>
        <v>2.5439999999999996</v>
      </c>
      <c r="XF18" s="46">
        <f t="shared" si="443"/>
        <v>1</v>
      </c>
      <c r="XG18" s="46">
        <f t="shared" si="444"/>
        <v>2</v>
      </c>
      <c r="XH18" s="46" cm="1">
        <f t="array" ref="XH18">ROUND(VALUE(IFERROR(INDEX(ArchiveResults!$F$5:$IX$116,ComparisonData!A18,ComparisonData!$XH$1),0)),5)</f>
        <v>0</v>
      </c>
      <c r="XI18" s="46" cm="1">
        <f t="array" ref="XI18">ROUND(VALUE(IFERROR(INDEX(ArchiveResults!$F$5:$IX$116,ComparisonData!A18,ComparisonData!$XI$1),0)),5)</f>
        <v>0</v>
      </c>
      <c r="XJ18" s="56">
        <v>13</v>
      </c>
      <c r="XK18" s="53" t="str">
        <f t="shared" si="88"/>
        <v>Cardiff University, Special Collections and Archives</v>
      </c>
      <c r="XL18" s="60">
        <f t="shared" si="445"/>
        <v>0</v>
      </c>
      <c r="XM18" s="60">
        <f t="shared" si="446"/>
        <v>0</v>
      </c>
      <c r="XN18" s="76">
        <f t="shared" si="447"/>
        <v>0</v>
      </c>
      <c r="XO18" s="46">
        <f t="shared" si="448"/>
        <v>22</v>
      </c>
      <c r="XP18" s="46">
        <f t="shared" si="89"/>
        <v>2.5439999999999996</v>
      </c>
      <c r="XQ18" s="46">
        <f t="shared" si="449"/>
        <v>1</v>
      </c>
      <c r="XR18" s="46">
        <f t="shared" si="450"/>
        <v>2</v>
      </c>
      <c r="XS18" s="46" cm="1">
        <f t="array" ref="XS18">ROUND(VALUE(IFERROR(INDEX(ArchiveResults!$F$5:$IX$116,ComparisonData!A18,ComparisonData!$XS$1),0)),5)</f>
        <v>0</v>
      </c>
      <c r="XT18" s="46" cm="1">
        <f t="array" ref="XT18">ROUND(VALUE(IFERROR(INDEX(ArchiveResults!$F$5:$IX$116,ComparisonData!A18,ComparisonData!$XT$1),0)),5)</f>
        <v>0</v>
      </c>
      <c r="XU18" s="56">
        <v>13</v>
      </c>
      <c r="XV18" s="53" t="str">
        <f t="shared" si="90"/>
        <v>Cardiff University, Special Collections and Archives</v>
      </c>
      <c r="XW18" s="60">
        <f t="shared" si="451"/>
        <v>0</v>
      </c>
      <c r="XX18" s="60">
        <f t="shared" si="452"/>
        <v>0</v>
      </c>
      <c r="XY18" s="76">
        <f t="shared" si="453"/>
        <v>0</v>
      </c>
      <c r="XZ18" s="46">
        <f t="shared" si="454"/>
        <v>22</v>
      </c>
      <c r="YA18" s="46">
        <f t="shared" si="91"/>
        <v>2.5439999999999996</v>
      </c>
      <c r="YB18" s="46">
        <f t="shared" si="455"/>
        <v>1</v>
      </c>
      <c r="YC18" s="46">
        <f t="shared" si="456"/>
        <v>2</v>
      </c>
      <c r="YD18" s="46" cm="1">
        <f t="array" ref="YD18">ROUND(VALUE(IFERROR(INDEX(ArchiveResults!$F$5:$IX$116,ComparisonData!A18,ComparisonData!$YD$1),0)),5)</f>
        <v>0</v>
      </c>
      <c r="YE18" s="46" cm="1">
        <f t="array" ref="YE18">ROUND(VALUE(IFERROR(INDEX(ArchiveResults!$F$5:$IX$116,ComparisonData!A18,ComparisonData!$YE$1),0)),5)</f>
        <v>0</v>
      </c>
      <c r="YF18" s="56">
        <v>13</v>
      </c>
      <c r="YG18" s="53" t="str">
        <f t="shared" si="92"/>
        <v>Cardiff University, Special Collections and Archives</v>
      </c>
      <c r="YH18" s="60">
        <f t="shared" si="457"/>
        <v>0</v>
      </c>
      <c r="YI18" s="60">
        <f t="shared" si="458"/>
        <v>0</v>
      </c>
      <c r="YJ18" s="76">
        <f t="shared" si="459"/>
        <v>0</v>
      </c>
      <c r="YK18" s="46">
        <f t="shared" si="460"/>
        <v>22</v>
      </c>
      <c r="YL18" s="46">
        <f t="shared" si="93"/>
        <v>2.5439999999999996</v>
      </c>
      <c r="YM18" s="46">
        <f t="shared" si="461"/>
        <v>1</v>
      </c>
      <c r="YN18" s="46">
        <f t="shared" si="462"/>
        <v>2</v>
      </c>
      <c r="YO18" s="46" cm="1">
        <f t="array" ref="YO18">ROUND(VALUE(IFERROR(INDEX(ArchiveResults!$F$5:$IX$116,ComparisonData!A18,ComparisonData!$YO$1),0)),5)</f>
        <v>0</v>
      </c>
      <c r="YP18" s="46" cm="1">
        <f t="array" ref="YP18">ROUND(VALUE(IFERROR(INDEX(ArchiveResults!$F$5:$IX$116,ComparisonData!A18,ComparisonData!$YP$1),0)),5)</f>
        <v>0</v>
      </c>
      <c r="YQ18" s="56">
        <v>13</v>
      </c>
      <c r="YR18" s="53" t="str">
        <f t="shared" si="94"/>
        <v>Cardiff University, Special Collections and Archives</v>
      </c>
      <c r="YS18" s="60">
        <f t="shared" si="463"/>
        <v>0</v>
      </c>
      <c r="YT18" s="60">
        <f t="shared" si="464"/>
        <v>0</v>
      </c>
      <c r="YU18" s="76">
        <f t="shared" si="465"/>
        <v>0</v>
      </c>
      <c r="YV18" s="46">
        <f t="shared" si="466"/>
        <v>22</v>
      </c>
      <c r="YW18" s="46">
        <f t="shared" si="95"/>
        <v>2.5439999999999996</v>
      </c>
      <c r="YX18" s="46">
        <f t="shared" si="467"/>
        <v>1</v>
      </c>
      <c r="YY18" s="46">
        <f t="shared" si="468"/>
        <v>2</v>
      </c>
      <c r="YZ18" s="46">
        <f t="shared" si="469"/>
        <v>0</v>
      </c>
      <c r="ZA18" s="46" cm="1">
        <f t="array" ref="ZA18">ROUNDDOWN(VALUE(IFERROR(INDEX(ArchiveResults!$F$5:$IX$116,ComparisonData!A18,ComparisonData!$ZA$1),0)),5)</f>
        <v>0</v>
      </c>
      <c r="ZB18" s="46" cm="1">
        <f t="array" ref="ZB18">ROUNDDOWN(VALUE(IFERROR(INDEX(ArchiveResults!$F$5:$IX$116,ComparisonData!A18,ComparisonData!$ZB$1),0)),5)</f>
        <v>0</v>
      </c>
      <c r="ZC18" s="46" cm="1">
        <f t="array" ref="ZC18">ROUNDDOWN(VALUE(IFERROR(INDEX(ArchiveResults!$F$5:$IX$116,ComparisonData!A18,ComparisonData!$ZC$1),0)),5)</f>
        <v>0</v>
      </c>
      <c r="ZD18" s="46" cm="1">
        <f t="array" ref="ZD18">ROUNDDOWN(VALUE(IFERROR(INDEX(ArchiveResults!$F$5:$IX$116,ComparisonData!A18,ComparisonData!$ZD$1),0)),5)</f>
        <v>0</v>
      </c>
      <c r="ZE18" s="46" cm="1">
        <f t="array" ref="ZE18">ROUNDDOWN(VALUE(IFERROR(INDEX(ArchiveResults!$F$5:$IX$116,ComparisonData!A18,ComparisonData!$ZE$1),0)),5)</f>
        <v>0</v>
      </c>
      <c r="ZF18" s="56">
        <v>13</v>
      </c>
      <c r="ZG18" s="53" t="str">
        <f t="shared" si="96"/>
        <v>Cardiff University, Special Collections and Archives</v>
      </c>
      <c r="ZH18" s="60">
        <f t="shared" si="470"/>
        <v>0</v>
      </c>
      <c r="ZI18" s="60">
        <f t="shared" si="471"/>
        <v>0</v>
      </c>
      <c r="ZJ18" s="60">
        <f t="shared" si="472"/>
        <v>0</v>
      </c>
      <c r="ZK18" s="60">
        <f t="shared" si="473"/>
        <v>0</v>
      </c>
      <c r="ZL18" s="60">
        <f t="shared" si="474"/>
        <v>0</v>
      </c>
      <c r="ZM18" s="76">
        <f t="shared" si="475"/>
        <v>0</v>
      </c>
      <c r="ZN18" s="46">
        <f t="shared" si="476"/>
        <v>22</v>
      </c>
      <c r="ZO18" s="46">
        <f t="shared" si="97"/>
        <v>2.5439999999999996</v>
      </c>
      <c r="ZP18" s="46">
        <f t="shared" si="477"/>
        <v>1</v>
      </c>
      <c r="ZQ18" s="46">
        <f t="shared" si="478"/>
        <v>2</v>
      </c>
      <c r="ZR18" s="46" cm="1">
        <f t="array" ref="ZR18">ROUND(VALUE(IFERROR(INDEX(ArchiveResults!$F$5:$IX$116,ComparisonData!A18,ComparisonData!$ZR$1),0)),5)</f>
        <v>0</v>
      </c>
      <c r="ZS18" s="56">
        <v>13</v>
      </c>
      <c r="ZT18" s="53" t="str">
        <f t="shared" si="98"/>
        <v>Cardiff University, Special Collections and Archives</v>
      </c>
      <c r="ZU18" s="46">
        <f t="shared" si="479"/>
        <v>0</v>
      </c>
      <c r="ZV18" s="76">
        <f t="shared" si="480"/>
        <v>0</v>
      </c>
      <c r="ZW18" s="81" cm="1">
        <f t="array" ref="ZW18">ROUND((IFERROR(INDEX(ArchiveResults!$F$5:$IX$116,ComparisonData!A18,ComparisonData!$ZW$1),0)),5)</f>
        <v>0</v>
      </c>
      <c r="ZX18" s="81" cm="1">
        <f t="array" ref="ZX18">ROUND((IFERROR(INDEX(ArchiveResults!$F$5:$IX$116,ComparisonData!A18,ComparisonData!$ZX$1),0)),5)</f>
        <v>0</v>
      </c>
      <c r="ZY18" s="81" cm="1">
        <f t="array" ref="ZY18">ROUND((IFERROR(INDEX(ArchiveResults!$F$5:$IX$116,ComparisonData!A18,ComparisonData!$ZY$1),0)),5)</f>
        <v>0</v>
      </c>
      <c r="ZZ18" s="81" cm="1">
        <f t="array" ref="ZZ18">ROUND((IFERROR(INDEX(ArchiveResults!$F$5:$IX$116,ComparisonData!A18,ComparisonData!$ZZ$1),0)),5)</f>
        <v>0</v>
      </c>
      <c r="AAA18" s="81" cm="1">
        <f t="array" ref="AAA18">ROUND((IFERROR(INDEX(ArchiveResults!$F$5:$IX$116,ComparisonData!A18,ComparisonData!$AAA$1),0)),5)</f>
        <v>0</v>
      </c>
      <c r="AAB18" s="81" cm="1">
        <f t="array" ref="AAB18">ROUND((IFERROR(INDEX(ArchiveResults!$F$5:$IX$116,ComparisonData!A18,ComparisonData!$AAB$1),0)),5)</f>
        <v>0</v>
      </c>
      <c r="AAC18" s="81" cm="1">
        <f t="array" ref="AAC18">ROUND((IFERROR(INDEX(ArchiveResults!$F$5:$IX$116,ComparisonData!A18,ComparisonData!$AAC$1),0)),5)</f>
        <v>0</v>
      </c>
      <c r="AAD18" s="81" cm="1">
        <f t="array" ref="AAD18">ROUND((IFERROR(INDEX(ArchiveResults!$F$5:$IX$116,ComparisonData!A18,ComparisonData!$AAD$1),0)),5)</f>
        <v>0</v>
      </c>
      <c r="AAE18" s="81" cm="1">
        <f t="array" ref="AAE18">ROUND((IFERROR(INDEX(ArchiveResults!$F$5:$IX$116,ComparisonData!A18,ComparisonData!$AAE$1),0)),5)</f>
        <v>0</v>
      </c>
      <c r="AAF18" s="81" cm="1">
        <f t="array" ref="AAF18">ROUND((IFERROR(INDEX(ArchiveResults!$F$5:$IX$116,ComparisonData!A18,ComparisonData!$AAF$1),0)),5)</f>
        <v>0</v>
      </c>
      <c r="AAG18" s="46">
        <f t="shared" si="481"/>
        <v>22</v>
      </c>
      <c r="AAH18" s="46">
        <f t="shared" si="99"/>
        <v>2.5439999999999996</v>
      </c>
      <c r="AAI18" s="46">
        <f t="shared" si="482"/>
        <v>1</v>
      </c>
      <c r="AAJ18" s="46">
        <f t="shared" si="483"/>
        <v>2</v>
      </c>
      <c r="AAK18" s="46">
        <f t="shared" si="484"/>
        <v>0</v>
      </c>
      <c r="AAL18" s="46">
        <f t="shared" si="485"/>
        <v>0</v>
      </c>
      <c r="AAM18" s="46">
        <f t="shared" si="486"/>
        <v>0</v>
      </c>
      <c r="AAN18" s="46">
        <f t="shared" si="487"/>
        <v>0</v>
      </c>
      <c r="AAO18" s="46">
        <f t="shared" si="488"/>
        <v>0</v>
      </c>
      <c r="AAP18" s="46">
        <f t="shared" si="489"/>
        <v>0</v>
      </c>
      <c r="AAQ18" s="56">
        <v>13</v>
      </c>
      <c r="AAR18" s="53" t="str">
        <f t="shared" si="100"/>
        <v>Cardiff University, Special Collections and Archives</v>
      </c>
      <c r="AAS18" s="60">
        <f t="shared" si="490"/>
        <v>0</v>
      </c>
      <c r="AAT18" s="60">
        <f t="shared" si="491"/>
        <v>0</v>
      </c>
      <c r="AAU18" s="60">
        <f t="shared" si="492"/>
        <v>0</v>
      </c>
      <c r="AAV18" s="60">
        <f t="shared" si="493"/>
        <v>0</v>
      </c>
      <c r="AAW18" s="60">
        <f t="shared" si="494"/>
        <v>0</v>
      </c>
      <c r="AAX18" s="76">
        <f t="shared" si="495"/>
        <v>0</v>
      </c>
      <c r="AAY18" s="46">
        <f t="shared" si="496"/>
        <v>22</v>
      </c>
      <c r="AAZ18" s="46">
        <f t="shared" si="101"/>
        <v>2.5439999999999996</v>
      </c>
      <c r="ABA18" s="46">
        <f t="shared" si="497"/>
        <v>1</v>
      </c>
      <c r="ABB18" s="46">
        <f t="shared" si="498"/>
        <v>2</v>
      </c>
      <c r="ABC18" s="46">
        <f t="shared" si="102"/>
        <v>0</v>
      </c>
      <c r="ABD18" s="46" cm="1">
        <f t="array" ref="ABD18">ROUND(VALUE(IFERROR(INDEX(ArchiveResults!$F$5:$IX$116,ComparisonData!A18,ComparisonData!$ABD$1),0)),5)</f>
        <v>0</v>
      </c>
      <c r="ABE18" s="46" cm="1">
        <f t="array" ref="ABE18">ROUND(VALUE(IFERROR(INDEX(ArchiveResults!$F$5:$IX$116,ComparisonData!A18,ComparisonData!$ABE$1),0)),5)</f>
        <v>0</v>
      </c>
      <c r="ABF18" s="46" cm="1">
        <f t="array" ref="ABF18">ROUND(VALUE(IFERROR(INDEX(ArchiveResults!$F$5:$IX$116,ComparisonData!A18,ComparisonData!$ABF$1),0)),5)</f>
        <v>0</v>
      </c>
      <c r="ABG18" s="46" cm="1">
        <f t="array" ref="ABG18">ROUND(VALUE(IFERROR(INDEX(ArchiveResults!$F$5:$IX$116,ComparisonData!A18,ComparisonData!$ABG$1),0)),5)</f>
        <v>0</v>
      </c>
      <c r="ABH18" s="46" cm="1">
        <f t="array" ref="ABH18">ROUND(VALUE(IFERROR(INDEX(ArchiveResults!$F$5:$IX$116,ComparisonData!A18,ComparisonData!$ABH$1),0)),5)</f>
        <v>0</v>
      </c>
      <c r="ABI18" s="56">
        <v>13</v>
      </c>
      <c r="ABJ18" s="53" t="str">
        <f t="shared" si="103"/>
        <v>Cardiff University, Special Collections and Archives</v>
      </c>
      <c r="ABK18" s="60">
        <f t="shared" si="499"/>
        <v>0</v>
      </c>
      <c r="ABL18" s="60">
        <f t="shared" si="500"/>
        <v>0</v>
      </c>
      <c r="ABM18" s="60">
        <f t="shared" si="501"/>
        <v>0</v>
      </c>
      <c r="ABN18" s="60">
        <f t="shared" si="502"/>
        <v>0</v>
      </c>
      <c r="ABO18" s="60">
        <f t="shared" si="503"/>
        <v>0</v>
      </c>
      <c r="ABP18" s="76">
        <f t="shared" si="504"/>
        <v>0</v>
      </c>
      <c r="ABQ18" s="46">
        <f t="shared" si="505"/>
        <v>22</v>
      </c>
      <c r="ABR18" s="46">
        <f t="shared" si="104"/>
        <v>2.5439999999999996</v>
      </c>
      <c r="ABS18" s="46">
        <f t="shared" si="506"/>
        <v>1</v>
      </c>
      <c r="ABT18" s="46">
        <f t="shared" si="507"/>
        <v>2</v>
      </c>
      <c r="ABU18" s="46" cm="1">
        <f t="array" ref="ABU18">ROUND(VALUE(IFERROR(INDEX(ArchiveResults!$F$5:$IX$116,ComparisonData!A18,ComparisonData!$ABU$1),0)),5)</f>
        <v>0</v>
      </c>
      <c r="ABV18" s="46" cm="1">
        <f t="array" ref="ABV18">ROUND(VALUE(IFERROR(INDEX(ArchiveResults!$F$5:$IX$116,ComparisonData!A18,ComparisonData!$ABV$1),0)),5)</f>
        <v>0</v>
      </c>
      <c r="ABW18" s="46" cm="1">
        <f t="array" ref="ABW18">ROUND(VALUE(IFERROR(INDEX(ArchiveResults!$F$5:$IX$116,ComparisonData!A18,ComparisonData!$ABW$1),0)),5)</f>
        <v>0</v>
      </c>
      <c r="ABX18" s="46" cm="1">
        <f t="array" ref="ABX18">ROUND(VALUE(IFERROR(INDEX(ArchiveResults!$F$5:$IX$116,ComparisonData!A18,ComparisonData!$ABX$1),0)),5)</f>
        <v>0</v>
      </c>
      <c r="ABY18" s="46" cm="1">
        <f t="array" ref="ABY18">ROUND(VALUE(IFERROR(INDEX(ArchiveResults!$F$5:$IX$116,ComparisonData!A18,ComparisonData!$ABY$1),0)),5)</f>
        <v>0</v>
      </c>
      <c r="ABZ18" s="56">
        <v>13</v>
      </c>
      <c r="ACA18" s="53" t="str">
        <f t="shared" si="105"/>
        <v>Cardiff University, Special Collections and Archives</v>
      </c>
      <c r="ACB18" s="60">
        <f t="shared" si="508"/>
        <v>0</v>
      </c>
      <c r="ACC18" s="60">
        <f t="shared" si="509"/>
        <v>0</v>
      </c>
      <c r="ACD18" s="60">
        <f t="shared" si="510"/>
        <v>0</v>
      </c>
      <c r="ACE18" s="60">
        <f t="shared" si="511"/>
        <v>0</v>
      </c>
      <c r="ACF18" s="60">
        <f t="shared" si="512"/>
        <v>0</v>
      </c>
      <c r="ACG18" s="76">
        <f t="shared" si="513"/>
        <v>0</v>
      </c>
      <c r="ACH18" s="46">
        <f t="shared" si="514"/>
        <v>22</v>
      </c>
      <c r="ACI18" s="46">
        <f t="shared" si="106"/>
        <v>2.5439999999999996</v>
      </c>
      <c r="ACJ18" s="46">
        <f t="shared" si="515"/>
        <v>1</v>
      </c>
      <c r="ACK18" s="46">
        <f t="shared" si="516"/>
        <v>2</v>
      </c>
      <c r="ACL18" s="46">
        <f t="shared" si="517"/>
        <v>0</v>
      </c>
      <c r="ACM18" s="46" cm="1">
        <f t="array" ref="ACM18">ROUND(IFERROR(INDEX(ArchiveResults!$F$5:$IX$116,ComparisonData!A18,ComparisonData!$ACM$1),0),5)</f>
        <v>0</v>
      </c>
      <c r="ACN18" s="46" cm="1">
        <f t="array" ref="ACN18">ROUND(IFERROR(INDEX(ArchiveResults!$F$5:$IX$116,ComparisonData!A18,ComparisonData!$ACN$1),0),5)</f>
        <v>0</v>
      </c>
      <c r="ACO18" s="56">
        <v>13</v>
      </c>
      <c r="ACP18" s="53" t="str">
        <f t="shared" si="107"/>
        <v>Cardiff University, Special Collections and Archives</v>
      </c>
      <c r="ACQ18" s="60">
        <f t="shared" si="518"/>
        <v>0</v>
      </c>
      <c r="ACR18" s="60">
        <f t="shared" si="519"/>
        <v>0</v>
      </c>
      <c r="ACS18" s="76">
        <f t="shared" si="520"/>
        <v>0</v>
      </c>
      <c r="ACT18" s="46">
        <f t="shared" si="521"/>
        <v>22</v>
      </c>
      <c r="ACU18" s="46">
        <f t="shared" si="108"/>
        <v>2.5439999999999996</v>
      </c>
      <c r="ACV18" s="46">
        <f t="shared" si="522"/>
        <v>1</v>
      </c>
      <c r="ACW18" s="46">
        <f t="shared" si="523"/>
        <v>2</v>
      </c>
      <c r="ACX18" s="46">
        <f t="shared" si="524"/>
        <v>0</v>
      </c>
      <c r="ACY18" s="46" cm="1">
        <f t="array" ref="ACY18">ROUNDDOWN(IFERROR(INDEX(ArchiveResults!$F$5:$IX$116,ComparisonData!A18,ComparisonData!$ACY$1),0),5)</f>
        <v>0</v>
      </c>
      <c r="ACZ18" s="46" cm="1">
        <f t="array" ref="ACZ18">ROUNDDOWN(IFERROR(INDEX(ArchiveResults!$F$5:$IX$116,ComparisonData!A18,ComparisonData!$ACZ$1),0),5)</f>
        <v>0</v>
      </c>
      <c r="ADA18" s="46" cm="1">
        <f t="array" ref="ADA18">ROUNDDOWN(IFERROR(INDEX(ArchiveResults!$F$5:$IX$116,ComparisonData!A18,ComparisonData!$ADA$1),0),5)</f>
        <v>0</v>
      </c>
      <c r="ADB18" s="56">
        <v>13</v>
      </c>
      <c r="ADC18" s="53" t="str">
        <f t="shared" si="109"/>
        <v>Cardiff University, Special Collections and Archives</v>
      </c>
      <c r="ADD18" s="60">
        <f t="shared" si="525"/>
        <v>0</v>
      </c>
      <c r="ADE18" s="60">
        <f t="shared" si="526"/>
        <v>0</v>
      </c>
      <c r="ADF18" s="60">
        <f t="shared" si="527"/>
        <v>0</v>
      </c>
      <c r="ADG18" s="76">
        <f t="shared" si="528"/>
        <v>0</v>
      </c>
    </row>
    <row r="19" spans="1:787" x14ac:dyDescent="0.25">
      <c r="A19" s="46" t="str">
        <f>IF(ISBLANK(ComparisonSelection!F15),"",ROW()-5)</f>
        <v/>
      </c>
      <c r="B19" s="53" t="s">
        <v>469</v>
      </c>
      <c r="C19" s="72">
        <v>0.81899999999999984</v>
      </c>
      <c r="D19" s="55">
        <f t="shared" si="110"/>
        <v>77</v>
      </c>
      <c r="E19" s="54">
        <f t="shared" si="111"/>
        <v>2.819</v>
      </c>
      <c r="F19" s="54">
        <f t="shared" si="529"/>
        <v>1</v>
      </c>
      <c r="G19" s="72">
        <f t="shared" si="112"/>
        <v>2</v>
      </c>
      <c r="H19" s="72">
        <f t="shared" si="113"/>
        <v>0</v>
      </c>
      <c r="I19" s="46" cm="1">
        <f t="array" ref="I19">ROUND(IFERROR(INDEX(ArchiveResults!$F$5:$IX$116,ComparisonData!A19,ComparisonData!$I$1),0),5)</f>
        <v>0</v>
      </c>
      <c r="J19" s="46" cm="1">
        <f t="array" ref="J19">ROUND(IFERROR(INDEX(ArchiveResults!$F$5:$IX$116,ComparisonData!A19,ComparisonData!$J$1),0),5)</f>
        <v>0</v>
      </c>
      <c r="K19" s="56">
        <v>14</v>
      </c>
      <c r="L19" s="53" t="str">
        <f t="shared" si="114"/>
        <v>Carmarthenshire Archives</v>
      </c>
      <c r="M19" s="57">
        <f t="shared" si="0"/>
        <v>0</v>
      </c>
      <c r="N19" s="57">
        <f t="shared" si="1"/>
        <v>0</v>
      </c>
      <c r="O19" s="58">
        <f t="shared" si="115"/>
        <v>0</v>
      </c>
      <c r="P19" s="48">
        <f t="shared" si="116"/>
        <v>77</v>
      </c>
      <c r="Q19" s="54">
        <f t="shared" si="2"/>
        <v>2.819</v>
      </c>
      <c r="R19" s="45">
        <f t="shared" si="117"/>
        <v>1</v>
      </c>
      <c r="S19" s="46">
        <f t="shared" si="118"/>
        <v>2</v>
      </c>
      <c r="T19" s="72">
        <f t="shared" si="119"/>
        <v>0</v>
      </c>
      <c r="U19" s="46" cm="1">
        <f t="array" ref="U19">ROUND(IFERROR(INDEX(ArchiveResults!$F$5:$IX$116,ComparisonData!A19,ComparisonData!$U$1),0),5)</f>
        <v>0</v>
      </c>
      <c r="V19" s="46" cm="1">
        <f t="array" ref="V19">ROUND(IFERROR(INDEX(ArchiveResults!$F$5:$IX$116,ComparisonData!A19,ComparisonData!$V$1),0),5)</f>
        <v>0</v>
      </c>
      <c r="W19" s="56">
        <v>14</v>
      </c>
      <c r="X19" s="53" t="str">
        <f t="shared" si="3"/>
        <v>Carmarthenshire Archives</v>
      </c>
      <c r="Y19" s="57">
        <f t="shared" si="120"/>
        <v>0</v>
      </c>
      <c r="Z19" s="57">
        <f t="shared" si="121"/>
        <v>0</v>
      </c>
      <c r="AA19" s="58">
        <f t="shared" si="122"/>
        <v>0</v>
      </c>
      <c r="AB19" s="45">
        <f t="shared" si="123"/>
        <v>77</v>
      </c>
      <c r="AC19" s="54">
        <f t="shared" si="4"/>
        <v>2.819</v>
      </c>
      <c r="AD19" s="45">
        <f t="shared" si="124"/>
        <v>1</v>
      </c>
      <c r="AE19" s="45">
        <f t="shared" si="125"/>
        <v>2</v>
      </c>
      <c r="AF19" s="45">
        <f t="shared" si="126"/>
        <v>0</v>
      </c>
      <c r="AG19" s="46" cm="1">
        <f t="array" ref="AG19">ROUND(IFERROR(INDEX(ArchiveResults!$F$5:$IX$116,ComparisonData!A19,ComparisonData!$AG$1),0),5)</f>
        <v>0</v>
      </c>
      <c r="AH19" s="46" cm="1">
        <f t="array" ref="AH19">ROUND(IFERROR(INDEX(ArchiveResults!$F$5:$IX$116,ComparisonData!A19,ComparisonData!$AH$1),0),5)</f>
        <v>0</v>
      </c>
      <c r="AI19" s="56">
        <v>14</v>
      </c>
      <c r="AJ19" s="53" t="str">
        <f t="shared" si="5"/>
        <v>Carmarthenshire Archives</v>
      </c>
      <c r="AK19" s="59">
        <f t="shared" si="6"/>
        <v>0</v>
      </c>
      <c r="AL19" s="59">
        <f t="shared" si="7"/>
        <v>0</v>
      </c>
      <c r="AM19" s="58">
        <f t="shared" si="127"/>
        <v>0</v>
      </c>
      <c r="AN19" s="45">
        <f t="shared" si="128"/>
        <v>77</v>
      </c>
      <c r="AO19" s="54">
        <f t="shared" si="8"/>
        <v>2.819</v>
      </c>
      <c r="AP19" s="45">
        <f t="shared" si="129"/>
        <v>1</v>
      </c>
      <c r="AQ19" s="45">
        <f t="shared" si="130"/>
        <v>2</v>
      </c>
      <c r="AR19" s="46" cm="1">
        <f t="array" ref="AR19">ROUND(IFERROR(INDEX(ArchiveResults!$F$5:$IX$116,ComparisonData!A19,ComparisonData!$AR$1),0),5)</f>
        <v>0</v>
      </c>
      <c r="AS19" s="46" cm="1">
        <f t="array" ref="AS19">ROUND(IFERROR(INDEX(ArchiveResults!$F$5:$IX$116,ComparisonData!A19,ComparisonData!$AS$1),0),5)</f>
        <v>0</v>
      </c>
      <c r="AT19" s="46" cm="1">
        <f t="array" ref="AT19">ROUND(IFERROR(INDEX(ArchiveResults!$F$5:$IX$116,ComparisonData!A19,ComparisonData!$AT$1),0),5)</f>
        <v>0</v>
      </c>
      <c r="AU19" s="46" cm="1">
        <f t="array" ref="AU19">ROUND(IFERROR(INDEX(ArchiveResults!$F$5:$IX$116,ComparisonData!A19,ComparisonData!$AU$1),0),5)</f>
        <v>0</v>
      </c>
      <c r="AV19" s="46" cm="1">
        <f t="array" ref="AV19">ROUND(IFERROR(INDEX(ArchiveResults!$F$5:$IX$116,ComparisonData!A19,ComparisonData!$AV$1),0),5)</f>
        <v>0</v>
      </c>
      <c r="AW19" s="46" cm="1">
        <f t="array" ref="AW19">ROUND(IFERROR(INDEX(ArchiveResults!$F$5:$IX$116,ComparisonData!A19,ComparisonData!$AW$1),0),5)</f>
        <v>0</v>
      </c>
      <c r="AX19" s="46" cm="1">
        <f t="array" ref="AX19">ROUND(IFERROR(INDEX(ArchiveResults!$F$5:$IX$116,ComparisonData!A19,ComparisonData!$AX$1),0),5)</f>
        <v>0</v>
      </c>
      <c r="AY19" s="46" cm="1">
        <f t="array" ref="AY19">ROUND(IFERROR(INDEX(ArchiveResults!$F$5:$IX$116,ComparisonData!A19,ComparisonData!$AY$1),0),5)</f>
        <v>0</v>
      </c>
      <c r="AZ19" s="46" cm="1">
        <f t="array" ref="AZ19">ROUND(IFERROR(INDEX(ArchiveResults!$F$5:$IX$116,ComparisonData!A19,ComparisonData!$AZ$1),0),5)</f>
        <v>0</v>
      </c>
      <c r="BA19" s="46" cm="1">
        <f t="array" ref="BA19">ROUND(IFERROR(INDEX(ArchiveResults!$F$5:$IX$116,ComparisonData!A19,ComparisonData!$BA$1),0),5)</f>
        <v>0</v>
      </c>
      <c r="BB19" s="56">
        <v>14</v>
      </c>
      <c r="BC19" s="53" t="str">
        <f t="shared" si="9"/>
        <v>Carmarthenshire Archives</v>
      </c>
      <c r="BD19" s="60">
        <f t="shared" si="131"/>
        <v>0</v>
      </c>
      <c r="BE19" s="60">
        <f t="shared" si="132"/>
        <v>0</v>
      </c>
      <c r="BF19" s="60">
        <f t="shared" si="133"/>
        <v>0</v>
      </c>
      <c r="BG19" s="60">
        <f t="shared" si="134"/>
        <v>0</v>
      </c>
      <c r="BH19" s="60">
        <f t="shared" si="135"/>
        <v>0</v>
      </c>
      <c r="BI19" s="60">
        <f t="shared" si="136"/>
        <v>0</v>
      </c>
      <c r="BJ19" s="60">
        <f t="shared" si="137"/>
        <v>0</v>
      </c>
      <c r="BK19" s="60">
        <f t="shared" si="138"/>
        <v>0</v>
      </c>
      <c r="BL19" s="60">
        <f t="shared" si="139"/>
        <v>0</v>
      </c>
      <c r="BM19" s="59">
        <f t="shared" si="140"/>
        <v>0</v>
      </c>
      <c r="BN19" s="58">
        <f t="shared" si="141"/>
        <v>0</v>
      </c>
      <c r="BO19" s="45">
        <f t="shared" si="142"/>
        <v>77</v>
      </c>
      <c r="BP19" s="54">
        <f t="shared" si="10"/>
        <v>2.819</v>
      </c>
      <c r="BQ19" s="45">
        <f t="shared" si="143"/>
        <v>1</v>
      </c>
      <c r="BR19" s="45">
        <f t="shared" si="144"/>
        <v>2</v>
      </c>
      <c r="BS19" s="46" cm="1">
        <f t="array" ref="BS19">ROUND(IFERROR(INDEX(ArchiveResults!$F$5:$IX$116,ComparisonData!A19,ComparisonData!$BS$1),0),5)</f>
        <v>0</v>
      </c>
      <c r="BT19" s="46" cm="1">
        <f t="array" ref="BT19">ROUND(IFERROR(INDEX(ArchiveResults!$F$5:$IX$116,ComparisonData!A19,ComparisonData!$BT$1),0),5)</f>
        <v>0</v>
      </c>
      <c r="BU19" s="46" cm="1">
        <f t="array" ref="BU19">ROUND(IFERROR(INDEX(ArchiveResults!$F$5:$IX$116,ComparisonData!A19,ComparisonData!$BU$1),0),5)</f>
        <v>0</v>
      </c>
      <c r="BV19" s="46" cm="1">
        <f t="array" ref="BV19">ROUND(IFERROR(INDEX(ArchiveResults!$F$5:$IX$116,ComparisonData!A19,ComparisonData!$BV$1),0),5)</f>
        <v>0</v>
      </c>
      <c r="BW19" s="46" cm="1">
        <f t="array" ref="BW19">ROUND(IFERROR(INDEX(ArchiveResults!$F$5:$IX$116,ComparisonData!A19,ComparisonData!$BW$1),0),5)</f>
        <v>0</v>
      </c>
      <c r="BX19" s="46" cm="1">
        <f t="array" ref="BX19">ROUND(IFERROR(INDEX(ArchiveResults!$F$5:$IX$116,ComparisonData!A19,ComparisonData!$BX$1),0),5)</f>
        <v>0</v>
      </c>
      <c r="BY19" s="56">
        <v>14</v>
      </c>
      <c r="BZ19" s="53" t="str">
        <f t="shared" si="11"/>
        <v>Carmarthenshire Archives</v>
      </c>
      <c r="CA19" s="59">
        <f t="shared" si="145"/>
        <v>0</v>
      </c>
      <c r="CB19" s="59">
        <f t="shared" si="146"/>
        <v>0</v>
      </c>
      <c r="CC19" s="59">
        <f t="shared" si="147"/>
        <v>0</v>
      </c>
      <c r="CD19" s="59">
        <f t="shared" si="148"/>
        <v>0</v>
      </c>
      <c r="CE19" s="59">
        <f t="shared" si="149"/>
        <v>0</v>
      </c>
      <c r="CF19" s="59">
        <f t="shared" si="150"/>
        <v>0</v>
      </c>
      <c r="CG19" s="58">
        <f t="shared" si="151"/>
        <v>0</v>
      </c>
      <c r="CH19" s="45">
        <f t="shared" si="152"/>
        <v>77</v>
      </c>
      <c r="CI19" s="54">
        <f t="shared" si="12"/>
        <v>2.819</v>
      </c>
      <c r="CJ19" s="45">
        <f t="shared" si="153"/>
        <v>1</v>
      </c>
      <c r="CK19" s="45">
        <f t="shared" si="154"/>
        <v>2</v>
      </c>
      <c r="CL19" s="46" cm="1">
        <f t="array" ref="CL19">ROUND(IFERROR(INDEX(ArchiveResults!$F$5:$IX$116,ComparisonData!A19,ComparisonData!$CL$1),0),5)</f>
        <v>0</v>
      </c>
      <c r="CM19" s="56">
        <v>14</v>
      </c>
      <c r="CN19" s="53" t="str">
        <f t="shared" si="13"/>
        <v>Carmarthenshire Archives</v>
      </c>
      <c r="CO19" s="45">
        <f t="shared" si="155"/>
        <v>0</v>
      </c>
      <c r="CP19" s="58">
        <f t="shared" si="156"/>
        <v>0</v>
      </c>
      <c r="CQ19" s="45">
        <f t="shared" si="157"/>
        <v>77</v>
      </c>
      <c r="CR19" s="54">
        <f t="shared" si="14"/>
        <v>2.819</v>
      </c>
      <c r="CS19" s="45">
        <f t="shared" si="158"/>
        <v>1</v>
      </c>
      <c r="CT19" s="45">
        <f t="shared" si="159"/>
        <v>2</v>
      </c>
      <c r="CU19" s="46" cm="1">
        <f t="array" ref="CU19">ROUND(IFERROR(INDEX(ArchiveResults!$F$5:$IX$116,ComparisonData!A19,ComparisonData!$CU$1),0),5)</f>
        <v>0</v>
      </c>
      <c r="CV19" s="56">
        <v>14</v>
      </c>
      <c r="CW19" s="53" t="str">
        <f t="shared" si="15"/>
        <v>Carmarthenshire Archives</v>
      </c>
      <c r="CX19" s="45">
        <f t="shared" si="160"/>
        <v>0</v>
      </c>
      <c r="CY19" s="58">
        <f t="shared" si="161"/>
        <v>0</v>
      </c>
      <c r="CZ19" s="45">
        <f t="shared" si="162"/>
        <v>77</v>
      </c>
      <c r="DA19" s="54">
        <f t="shared" si="16"/>
        <v>2.819</v>
      </c>
      <c r="DB19" s="45">
        <f t="shared" si="163"/>
        <v>1</v>
      </c>
      <c r="DC19" s="45">
        <f t="shared" si="164"/>
        <v>2</v>
      </c>
      <c r="DD19" s="46" cm="1">
        <f t="array" ref="DD19">ROUND(IFERROR(INDEX(ArchiveResults!$F$5:$IX$116,ComparisonData!A19,ComparisonData!$DD$1),0),5)</f>
        <v>0</v>
      </c>
      <c r="DE19" s="56">
        <v>14</v>
      </c>
      <c r="DF19" s="53" t="str">
        <f t="shared" si="17"/>
        <v>Carmarthenshire Archives</v>
      </c>
      <c r="DG19" s="45">
        <f t="shared" si="165"/>
        <v>0</v>
      </c>
      <c r="DH19" s="58">
        <f t="shared" si="166"/>
        <v>0</v>
      </c>
      <c r="DI19" s="45">
        <f t="shared" si="167"/>
        <v>77</v>
      </c>
      <c r="DJ19" s="54">
        <f t="shared" si="18"/>
        <v>2.819</v>
      </c>
      <c r="DK19" s="45">
        <f t="shared" si="168"/>
        <v>1</v>
      </c>
      <c r="DL19" s="45">
        <f t="shared" si="169"/>
        <v>2</v>
      </c>
      <c r="DM19" s="46" cm="1">
        <f t="array" ref="DM19">ROUND(IFERROR(INDEX(ArchiveResults!$F$5:$IX$116,ComparisonData!A19,ComparisonData!$DM$1),0),5)</f>
        <v>0</v>
      </c>
      <c r="DN19" s="46" cm="1">
        <f t="array" ref="DN19">ROUND(IFERROR(INDEX(ArchiveResults!$F$5:$IX$116,ComparisonData!A19,ComparisonData!$DN$1),0),5)</f>
        <v>0</v>
      </c>
      <c r="DO19" s="46" cm="1">
        <f t="array" ref="DO19">ROUND(IFERROR(INDEX(ArchiveResults!$F$5:$IX$116,ComparisonData!A19,ComparisonData!$DO$1),0),5)</f>
        <v>0</v>
      </c>
      <c r="DP19" s="46" cm="1">
        <f t="array" ref="DP19">ROUND(IFERROR(INDEX(ArchiveResults!$F$5:$IX$116,ComparisonData!A19,ComparisonData!$DP$1),0),5)</f>
        <v>0</v>
      </c>
      <c r="DQ19" s="45" cm="1">
        <f t="array" ref="DQ19">IFERROR(INDEX(ArchiveResults!$F$5:$IX$116,ComparisonData!A19,ComparisonData!$DQ$1),0)</f>
        <v>0</v>
      </c>
      <c r="DR19" s="56">
        <v>14</v>
      </c>
      <c r="DS19" s="53" t="str">
        <f t="shared" si="19"/>
        <v>Carmarthenshire Archives</v>
      </c>
      <c r="DT19" s="59">
        <f t="shared" si="170"/>
        <v>0</v>
      </c>
      <c r="DU19" s="59">
        <f t="shared" si="171"/>
        <v>0</v>
      </c>
      <c r="DV19" s="59">
        <f t="shared" si="172"/>
        <v>0</v>
      </c>
      <c r="DW19" s="59">
        <f t="shared" si="173"/>
        <v>0</v>
      </c>
      <c r="DX19" s="59">
        <f t="shared" si="174"/>
        <v>0</v>
      </c>
      <c r="DY19" s="58">
        <f t="shared" si="175"/>
        <v>0</v>
      </c>
      <c r="DZ19" s="45">
        <f t="shared" si="176"/>
        <v>77</v>
      </c>
      <c r="EA19" s="54">
        <f t="shared" si="20"/>
        <v>2.819</v>
      </c>
      <c r="EB19" s="45">
        <f t="shared" si="177"/>
        <v>1</v>
      </c>
      <c r="EC19" s="45">
        <f t="shared" si="178"/>
        <v>2</v>
      </c>
      <c r="ED19" s="46" cm="1">
        <f t="array" ref="ED19">ROUND(IFERROR(INDEX(ArchiveResults!$F$5:$IX$116,ComparisonData!A19,ComparisonData!$ED$1),0),5)</f>
        <v>0</v>
      </c>
      <c r="EE19" s="46" cm="1">
        <f t="array" ref="EE19">ROUND(IFERROR(INDEX(ArchiveResults!$F$5:$IX$116,ComparisonData!A19,ComparisonData!$EE$1),0),5)</f>
        <v>0</v>
      </c>
      <c r="EF19" s="46" cm="1">
        <f t="array" ref="EF19">ROUND(IFERROR(INDEX(ArchiveResults!$F$5:$IX$116,ComparisonData!A19,ComparisonData!$EF$1),0),5)</f>
        <v>0</v>
      </c>
      <c r="EG19" s="46" cm="1">
        <f t="array" ref="EG19">ROUND(IFERROR(INDEX(ArchiveResults!$F$5:$IX$116,ComparisonData!A19,ComparisonData!$EG$1),0),5)</f>
        <v>0</v>
      </c>
      <c r="EH19" s="45" cm="1">
        <f t="array" ref="EH19">IFERROR(INDEX(ArchiveResults!$F$5:$IX$116,ComparisonData!A19,ComparisonData!$EH$1),0)</f>
        <v>0</v>
      </c>
      <c r="EI19" s="56">
        <v>14</v>
      </c>
      <c r="EJ19" s="53" t="str">
        <f t="shared" si="21"/>
        <v>Carmarthenshire Archives</v>
      </c>
      <c r="EK19" s="59">
        <f t="shared" si="179"/>
        <v>0</v>
      </c>
      <c r="EL19" s="59">
        <f t="shared" si="180"/>
        <v>0</v>
      </c>
      <c r="EM19" s="59">
        <f t="shared" si="181"/>
        <v>0</v>
      </c>
      <c r="EN19" s="59">
        <f t="shared" si="182"/>
        <v>0</v>
      </c>
      <c r="EO19" s="59">
        <f t="shared" si="183"/>
        <v>0</v>
      </c>
      <c r="EP19" s="58">
        <f t="shared" si="184"/>
        <v>0</v>
      </c>
      <c r="EQ19" s="45">
        <f t="shared" si="185"/>
        <v>77</v>
      </c>
      <c r="ER19" s="54">
        <f t="shared" si="22"/>
        <v>2.819</v>
      </c>
      <c r="ES19" s="45">
        <f t="shared" si="186"/>
        <v>1</v>
      </c>
      <c r="ET19" s="45">
        <f t="shared" si="187"/>
        <v>2</v>
      </c>
      <c r="EU19" s="46" cm="1">
        <f t="array" ref="EU19">ROUND(IFERROR(INDEX(ArchiveResults!$F$5:$IX$116,ComparisonData!A19,ComparisonData!$EU$1),0),5)</f>
        <v>0</v>
      </c>
      <c r="EV19" s="46" cm="1">
        <f t="array" ref="EV19">ROUND(IFERROR(INDEX(ArchiveResults!$F$5:$IX$116,ComparisonData!A19,ComparisonData!$EV$1),0),5)</f>
        <v>0</v>
      </c>
      <c r="EW19" s="46" cm="1">
        <f t="array" ref="EW19">ROUND(IFERROR(INDEX(ArchiveResults!$F$5:$IX$116,ComparisonData!A19,ComparisonData!$EW$1),0),5)</f>
        <v>0</v>
      </c>
      <c r="EX19" s="46" cm="1">
        <f t="array" ref="EX19">ROUND(IFERROR(INDEX(ArchiveResults!$F$5:$IX$116,ComparisonData!A19,ComparisonData!$EX$1),0),5)</f>
        <v>0</v>
      </c>
      <c r="EY19" s="45" cm="1">
        <f t="array" ref="EY19">IFERROR(INDEX(ArchiveResults!$F$5:$IX$116,ComparisonData!A19,ComparisonData!$EY$1),0)</f>
        <v>0</v>
      </c>
      <c r="EZ19" s="56">
        <v>14</v>
      </c>
      <c r="FA19" s="53" t="str">
        <f t="shared" si="23"/>
        <v>Carmarthenshire Archives</v>
      </c>
      <c r="FB19" s="59">
        <f t="shared" si="188"/>
        <v>0</v>
      </c>
      <c r="FC19" s="59">
        <f t="shared" si="189"/>
        <v>0</v>
      </c>
      <c r="FD19" s="59">
        <f t="shared" si="190"/>
        <v>0</v>
      </c>
      <c r="FE19" s="59">
        <f t="shared" si="191"/>
        <v>0</v>
      </c>
      <c r="FF19" s="59">
        <f t="shared" si="192"/>
        <v>0</v>
      </c>
      <c r="FG19" s="58">
        <f t="shared" si="193"/>
        <v>0</v>
      </c>
      <c r="FH19" s="45">
        <f t="shared" si="194"/>
        <v>77</v>
      </c>
      <c r="FI19" s="54">
        <f t="shared" si="24"/>
        <v>2.819</v>
      </c>
      <c r="FJ19" s="45">
        <f t="shared" si="195"/>
        <v>1</v>
      </c>
      <c r="FK19" s="45">
        <f t="shared" si="196"/>
        <v>2</v>
      </c>
      <c r="FL19" s="46" cm="1">
        <f t="array" ref="FL19">ROUND(IFERROR(INDEX(ArchiveResults!$F$5:$IX$116,ComparisonData!A19,ComparisonData!$FL$1),0),5)</f>
        <v>0</v>
      </c>
      <c r="FM19" s="46" cm="1">
        <f t="array" ref="FM19">ROUND(IFERROR(INDEX(ArchiveResults!$F$5:$IX$116,ComparisonData!A19,ComparisonData!$FM$1),0),5)</f>
        <v>0</v>
      </c>
      <c r="FN19" s="46" cm="1">
        <f t="array" ref="FN19">ROUND(IFERROR(INDEX(ArchiveResults!$F$5:$IX$116,ComparisonData!A19,ComparisonData!$FN$1),0),5)</f>
        <v>0</v>
      </c>
      <c r="FO19" s="46" cm="1">
        <f t="array" ref="FO19">ROUND(IFERROR(INDEX(ArchiveResults!$F$5:$IX$116,ComparisonData!A19,ComparisonData!$FO$1),0),5)</f>
        <v>0</v>
      </c>
      <c r="FP19" s="45" cm="1">
        <f t="array" ref="FP19">IFERROR(INDEX(ArchiveResults!$F$5:$IX$116,ComparisonData!A19,ComparisonData!$FP$1),0)</f>
        <v>0</v>
      </c>
      <c r="FQ19" s="56">
        <v>14</v>
      </c>
      <c r="FR19" s="53" t="str">
        <f t="shared" si="25"/>
        <v>Carmarthenshire Archives</v>
      </c>
      <c r="FS19" s="59">
        <f t="shared" si="197"/>
        <v>0</v>
      </c>
      <c r="FT19" s="59">
        <f t="shared" si="198"/>
        <v>0</v>
      </c>
      <c r="FU19" s="59">
        <f t="shared" si="199"/>
        <v>0</v>
      </c>
      <c r="FV19" s="59">
        <f t="shared" si="200"/>
        <v>0</v>
      </c>
      <c r="FW19" s="59">
        <f t="shared" si="201"/>
        <v>0</v>
      </c>
      <c r="FX19" s="58">
        <f t="shared" si="202"/>
        <v>0</v>
      </c>
      <c r="FY19" s="45">
        <f t="shared" si="203"/>
        <v>77</v>
      </c>
      <c r="FZ19" s="45">
        <f t="shared" si="26"/>
        <v>2.819</v>
      </c>
      <c r="GA19" s="45">
        <f t="shared" si="204"/>
        <v>1</v>
      </c>
      <c r="GB19" s="45">
        <f t="shared" si="205"/>
        <v>2</v>
      </c>
      <c r="GC19" s="46" cm="1">
        <f t="array" ref="GC19">ROUND(IFERROR(INDEX(ArchiveResults!$F$5:$IX$116,ComparisonData!A19,ComparisonData!$GC$1),0),5)</f>
        <v>0</v>
      </c>
      <c r="GD19" s="46" cm="1">
        <f t="array" ref="GD19">ROUND(IFERROR(INDEX(ArchiveResults!$F$5:$IX$116,ComparisonData!A19,ComparisonData!$GD$1),0),5)</f>
        <v>0</v>
      </c>
      <c r="GE19" s="46" cm="1">
        <f t="array" ref="GE19">ROUND(IFERROR(INDEX(ArchiveResults!$F$5:$IX$116,ComparisonData!A19,ComparisonData!$GE$1),0),5)</f>
        <v>0</v>
      </c>
      <c r="GF19" s="46" cm="1">
        <f t="array" ref="GF19">ROUND(IFERROR(INDEX(ArchiveResults!$F$5:$IX$116,ComparisonData!A19,ComparisonData!$GF$1),0),5)</f>
        <v>0</v>
      </c>
      <c r="GG19" s="45" cm="1">
        <f t="array" ref="GG19">IFERROR(INDEX(ArchiveResults!$F$5:$IX$116,ComparisonData!A19,ComparisonData!$GG$1),0)</f>
        <v>0</v>
      </c>
      <c r="GH19" s="56">
        <v>14</v>
      </c>
      <c r="GI19" s="53" t="str">
        <f t="shared" si="27"/>
        <v>Carmarthenshire Archives</v>
      </c>
      <c r="GJ19" s="59">
        <f t="shared" si="206"/>
        <v>0</v>
      </c>
      <c r="GK19" s="59">
        <f t="shared" si="207"/>
        <v>0</v>
      </c>
      <c r="GL19" s="59">
        <f t="shared" si="208"/>
        <v>0</v>
      </c>
      <c r="GM19" s="59">
        <f t="shared" si="209"/>
        <v>0</v>
      </c>
      <c r="GN19" s="59">
        <f t="shared" si="210"/>
        <v>0</v>
      </c>
      <c r="GO19" s="58">
        <f t="shared" si="211"/>
        <v>0</v>
      </c>
      <c r="GP19" s="45">
        <f t="shared" si="212"/>
        <v>77</v>
      </c>
      <c r="GQ19" s="45">
        <f t="shared" si="28"/>
        <v>2.819</v>
      </c>
      <c r="GR19" s="45">
        <f t="shared" si="213"/>
        <v>1</v>
      </c>
      <c r="GS19" s="45">
        <f t="shared" si="214"/>
        <v>2</v>
      </c>
      <c r="GT19" s="46" cm="1">
        <f t="array" ref="GT19">ROUND(IFERROR(INDEX(ArchiveResults!$F$5:$IX$116,ComparisonData!A19,ComparisonData!$GT$1),0),5)</f>
        <v>0</v>
      </c>
      <c r="GU19" s="46" cm="1">
        <f t="array" ref="GU19">ROUND(IFERROR(INDEX(ArchiveResults!$F$5:$IX$116,ComparisonData!A19,ComparisonData!$GU$1),0),5)</f>
        <v>0</v>
      </c>
      <c r="GV19" s="46" cm="1">
        <f t="array" ref="GV19">ROUND(IFERROR(INDEX(ArchiveResults!$F$5:$IX$116,ComparisonData!A19,ComparisonData!$GV$1),0),5)</f>
        <v>0</v>
      </c>
      <c r="GW19" s="46" cm="1">
        <f t="array" ref="GW19">ROUND(IFERROR(INDEX(ArchiveResults!$F$5:$IX$116,ComparisonData!A19,ComparisonData!$GW$1),0),5)</f>
        <v>0</v>
      </c>
      <c r="GX19" s="45" cm="1">
        <f t="array" ref="GX19">IFERROR(INDEX(ArchiveResults!$F$5:$IX$116,ComparisonData!A19,ComparisonData!$GX$1),0)</f>
        <v>0</v>
      </c>
      <c r="GY19" s="56">
        <v>14</v>
      </c>
      <c r="GZ19" s="53" t="str">
        <f t="shared" si="29"/>
        <v>Carmarthenshire Archives</v>
      </c>
      <c r="HA19" s="59">
        <f t="shared" si="215"/>
        <v>0</v>
      </c>
      <c r="HB19" s="59">
        <f t="shared" si="216"/>
        <v>0</v>
      </c>
      <c r="HC19" s="59">
        <f t="shared" si="217"/>
        <v>0</v>
      </c>
      <c r="HD19" s="59">
        <f t="shared" si="218"/>
        <v>0</v>
      </c>
      <c r="HE19" s="59">
        <f t="shared" si="219"/>
        <v>0</v>
      </c>
      <c r="HF19" s="58">
        <f t="shared" si="220"/>
        <v>0</v>
      </c>
      <c r="HG19" s="45">
        <f t="shared" si="221"/>
        <v>77</v>
      </c>
      <c r="HH19" s="45">
        <f t="shared" si="30"/>
        <v>2.819</v>
      </c>
      <c r="HI19" s="45">
        <f t="shared" si="222"/>
        <v>1</v>
      </c>
      <c r="HJ19" s="45">
        <f t="shared" si="223"/>
        <v>2</v>
      </c>
      <c r="HK19" s="46" cm="1">
        <f t="array" ref="HK19">ROUND(IFERROR(INDEX(ArchiveResults!$F$5:$IX$116,ComparisonData!A19,ComparisonData!$HK$1),0),5)</f>
        <v>0</v>
      </c>
      <c r="HL19" s="46" cm="1">
        <f t="array" ref="HL19">ROUND(IFERROR(INDEX(ArchiveResults!$F$5:$IX$116,ComparisonData!A19,ComparisonData!$HL$1),0),5)</f>
        <v>0</v>
      </c>
      <c r="HM19" s="46" cm="1">
        <f t="array" ref="HM19">ROUND(IFERROR(INDEX(ArchiveResults!$F$5:$IX$116,ComparisonData!A19,ComparisonData!$HM$1),0),5)</f>
        <v>0</v>
      </c>
      <c r="HN19" s="46" cm="1">
        <f t="array" ref="HN19">ROUND(IFERROR(INDEX(ArchiveResults!$F$5:$IX$116,ComparisonData!A19,ComparisonData!$HN$1),0),5)</f>
        <v>0</v>
      </c>
      <c r="HO19" s="45" cm="1">
        <f t="array" ref="HO19">IFERROR(INDEX(ArchiveResults!$F$5:$IX$116,ComparisonData!A19,ComparisonData!$HO$1),0)</f>
        <v>0</v>
      </c>
      <c r="HP19" s="56">
        <v>14</v>
      </c>
      <c r="HQ19" s="53" t="str">
        <f t="shared" si="31"/>
        <v>Carmarthenshire Archives</v>
      </c>
      <c r="HR19" s="59">
        <f t="shared" si="32"/>
        <v>0</v>
      </c>
      <c r="HS19" s="59">
        <f t="shared" si="33"/>
        <v>0</v>
      </c>
      <c r="HT19" s="59">
        <f t="shared" si="34"/>
        <v>0</v>
      </c>
      <c r="HU19" s="59">
        <f t="shared" si="35"/>
        <v>0</v>
      </c>
      <c r="HV19" s="59">
        <f t="shared" si="36"/>
        <v>0</v>
      </c>
      <c r="HW19" s="58">
        <f t="shared" si="224"/>
        <v>0</v>
      </c>
      <c r="HX19" s="45">
        <f t="shared" si="225"/>
        <v>77</v>
      </c>
      <c r="HY19" s="45">
        <f t="shared" si="37"/>
        <v>2.819</v>
      </c>
      <c r="HZ19" s="45">
        <f t="shared" si="226"/>
        <v>1</v>
      </c>
      <c r="IA19" s="45">
        <f t="shared" si="227"/>
        <v>2</v>
      </c>
      <c r="IB19" s="45">
        <f t="shared" si="228"/>
        <v>0</v>
      </c>
      <c r="IC19" s="46" cm="1">
        <f t="array" ref="IC19">ROUND(IFERROR(INDEX(ArchiveResults!$F$5:$IX$116,ComparisonData!A19,ComparisonData!$IC$1),0),5)</f>
        <v>0</v>
      </c>
      <c r="ID19" s="46" cm="1">
        <f t="array" ref="ID19">ROUND(IFERROR(INDEX(ArchiveResults!$F$5:$IX$116,ComparisonData!A19,ComparisonData!$ID$1),0),5)</f>
        <v>0</v>
      </c>
      <c r="IE19" s="46" cm="1">
        <f t="array" ref="IE19">ROUND(IFERROR(INDEX(ArchiveResults!$F$5:$IX$116,ComparisonData!A19,ComparisonData!$IE$1),0),5)</f>
        <v>0</v>
      </c>
      <c r="IF19" s="46" cm="1">
        <f t="array" ref="IF19">ROUND(IFERROR(INDEX(ArchiveResults!$F$5:$IX$116,ComparisonData!A19,ComparisonData!$IF$1),0),5)</f>
        <v>0</v>
      </c>
      <c r="IG19" s="45" cm="1">
        <f t="array" ref="IG19">IFERROR(INDEX(ArchiveResults!$F$5:$IX$116,ComparisonData!A19,ComparisonData!$IG$1),0)</f>
        <v>0</v>
      </c>
      <c r="IH19" s="56">
        <v>14</v>
      </c>
      <c r="II19" s="53" t="str">
        <f t="shared" si="38"/>
        <v>Carmarthenshire Archives</v>
      </c>
      <c r="IJ19" s="59">
        <f t="shared" si="229"/>
        <v>0</v>
      </c>
      <c r="IK19" s="59">
        <f t="shared" si="230"/>
        <v>0</v>
      </c>
      <c r="IL19" s="59">
        <f t="shared" si="231"/>
        <v>0</v>
      </c>
      <c r="IM19" s="59">
        <f t="shared" si="232"/>
        <v>0</v>
      </c>
      <c r="IN19" s="59">
        <f t="shared" si="233"/>
        <v>0</v>
      </c>
      <c r="IO19" s="58">
        <f t="shared" si="234"/>
        <v>0</v>
      </c>
      <c r="IP19" s="45">
        <f t="shared" si="235"/>
        <v>77</v>
      </c>
      <c r="IQ19" s="45">
        <f t="shared" si="39"/>
        <v>2.819</v>
      </c>
      <c r="IR19" s="45">
        <f t="shared" si="236"/>
        <v>1</v>
      </c>
      <c r="IS19" s="45">
        <f t="shared" si="237"/>
        <v>2</v>
      </c>
      <c r="IT19" s="46">
        <f t="shared" si="238"/>
        <v>0</v>
      </c>
      <c r="IU19" s="46" cm="1">
        <f t="array" ref="IU19">ROUND(IFERROR(INDEX(ArchiveResults!$F$5:$IX$116,ComparisonData!A19,ComparisonData!$IU$1),0),5)</f>
        <v>0</v>
      </c>
      <c r="IV19" s="46" cm="1">
        <f t="array" ref="IV19">ROUND(IFERROR(INDEX(ArchiveResults!$F$5:$IX$116,ComparisonData!A19,ComparisonData!$IV$1),0),5)</f>
        <v>0</v>
      </c>
      <c r="IW19" s="46" cm="1">
        <f t="array" ref="IW19">ROUND(IFERROR(INDEX(ArchiveResults!$F$5:$IX$116,ComparisonData!A19,ComparisonData!$IW$1),0),5)</f>
        <v>0</v>
      </c>
      <c r="IX19" s="46" cm="1">
        <f t="array" ref="IX19">ROUND(IFERROR(INDEX(ArchiveResults!$F$5:$IX$116,ComparisonData!A19,ComparisonData!$IX$1),0),5)</f>
        <v>0</v>
      </c>
      <c r="IY19" s="45" cm="1">
        <f t="array" ref="IY19">IFERROR(INDEX(ArchiveResults!$F$5:$IX$116,ComparisonData!A19,ComparisonData!$IY$1),0)</f>
        <v>0</v>
      </c>
      <c r="IZ19" s="56">
        <v>14</v>
      </c>
      <c r="JA19" s="53" t="str">
        <f t="shared" si="40"/>
        <v>Carmarthenshire Archives</v>
      </c>
      <c r="JB19" s="59">
        <f t="shared" si="239"/>
        <v>0</v>
      </c>
      <c r="JC19" s="59">
        <f t="shared" si="240"/>
        <v>0</v>
      </c>
      <c r="JD19" s="59">
        <f t="shared" si="241"/>
        <v>0</v>
      </c>
      <c r="JE19" s="59">
        <f t="shared" si="242"/>
        <v>0</v>
      </c>
      <c r="JF19" s="59">
        <f t="shared" si="243"/>
        <v>0</v>
      </c>
      <c r="JG19" s="58">
        <f t="shared" si="244"/>
        <v>0</v>
      </c>
      <c r="JH19" s="45">
        <f t="shared" si="245"/>
        <v>77</v>
      </c>
      <c r="JI19" s="45">
        <f t="shared" si="41"/>
        <v>2.819</v>
      </c>
      <c r="JJ19" s="45">
        <f t="shared" si="246"/>
        <v>1</v>
      </c>
      <c r="JK19" s="45">
        <f t="shared" si="247"/>
        <v>2</v>
      </c>
      <c r="JL19" s="45">
        <f t="shared" si="248"/>
        <v>0</v>
      </c>
      <c r="JM19" s="46" cm="1">
        <f t="array" ref="JM19">ROUND(IFERROR(INDEX(ArchiveResults!$F$5:$IX$116,ComparisonData!A19,ComparisonData!$JM$1),0),5)</f>
        <v>0</v>
      </c>
      <c r="JN19" s="46" cm="1">
        <f t="array" ref="JN19">ROUND(IFERROR(INDEX(ArchiveResults!$F$5:$IX$116,ComparisonData!A19,ComparisonData!$JN$1),0),5)</f>
        <v>0</v>
      </c>
      <c r="JO19" s="46" cm="1">
        <f t="array" ref="JO19">ROUND(IFERROR(INDEX(ArchiveResults!$F$5:$IX$116,ComparisonData!A19,ComparisonData!$JO$1),0),5)</f>
        <v>0</v>
      </c>
      <c r="JP19" s="46" cm="1">
        <f t="array" ref="JP19">ROUND(IFERROR(INDEX(ArchiveResults!$F$5:$IX$116,ComparisonData!A19,ComparisonData!$JP$1),0),5)</f>
        <v>0</v>
      </c>
      <c r="JQ19" s="45" cm="1">
        <f t="array" ref="JQ19">IFERROR(INDEX(ArchiveResults!$F$5:$IX$116,ComparisonData!A19,ComparisonData!$JQ$1),0)</f>
        <v>0</v>
      </c>
      <c r="JR19" s="56">
        <v>14</v>
      </c>
      <c r="JS19" s="53" t="str">
        <f t="shared" si="42"/>
        <v>Carmarthenshire Archives</v>
      </c>
      <c r="JT19" s="59">
        <f t="shared" si="249"/>
        <v>0</v>
      </c>
      <c r="JU19" s="59">
        <f t="shared" si="250"/>
        <v>0</v>
      </c>
      <c r="JV19" s="59">
        <f t="shared" si="251"/>
        <v>0</v>
      </c>
      <c r="JW19" s="59">
        <f t="shared" si="252"/>
        <v>0</v>
      </c>
      <c r="JX19" s="59">
        <f t="shared" si="253"/>
        <v>0</v>
      </c>
      <c r="JY19" s="58">
        <f t="shared" si="254"/>
        <v>0</v>
      </c>
      <c r="JZ19" s="45">
        <f t="shared" si="255"/>
        <v>77</v>
      </c>
      <c r="KA19" s="45">
        <f t="shared" si="43"/>
        <v>2.819</v>
      </c>
      <c r="KB19" s="45">
        <f t="shared" si="256"/>
        <v>1</v>
      </c>
      <c r="KC19" s="45">
        <f t="shared" si="257"/>
        <v>2</v>
      </c>
      <c r="KD19" s="45">
        <f t="shared" si="258"/>
        <v>0</v>
      </c>
      <c r="KE19" s="46" cm="1">
        <f t="array" ref="KE19">ROUND(IFERROR(INDEX(ArchiveResults!$F$5:$IX$116,ComparisonData!A19,ComparisonData!$KE$1),0),5)</f>
        <v>0</v>
      </c>
      <c r="KF19" s="46" cm="1">
        <f t="array" ref="KF19">ROUND(IFERROR(INDEX(ArchiveResults!$F$5:$IX$116,ComparisonData!A19,ComparisonData!$KF$1),0),5)</f>
        <v>0</v>
      </c>
      <c r="KG19" s="46" cm="1">
        <f t="array" ref="KG19">ROUND(IFERROR(INDEX(ArchiveResults!$F$5:$IX$116,ComparisonData!A19,ComparisonData!$KG$1),0),5)</f>
        <v>0</v>
      </c>
      <c r="KH19" s="46" cm="1">
        <f t="array" ref="KH19">ROUND(IFERROR(INDEX(ArchiveResults!$F$5:$IX$116,ComparisonData!A19,ComparisonData!$KH$1),0),5)</f>
        <v>0</v>
      </c>
      <c r="KI19" s="45" cm="1">
        <f t="array" ref="KI19">IFERROR(INDEX(ArchiveResults!$F$5:$IX$116,ComparisonData!A19,ComparisonData!$KI$1),0)</f>
        <v>0</v>
      </c>
      <c r="KJ19" s="56">
        <v>14</v>
      </c>
      <c r="KK19" s="53" t="str">
        <f t="shared" si="44"/>
        <v>Carmarthenshire Archives</v>
      </c>
      <c r="KL19" s="59">
        <f t="shared" si="259"/>
        <v>0</v>
      </c>
      <c r="KM19" s="59">
        <f t="shared" si="260"/>
        <v>0</v>
      </c>
      <c r="KN19" s="59">
        <f t="shared" si="261"/>
        <v>0</v>
      </c>
      <c r="KO19" s="59">
        <f t="shared" si="262"/>
        <v>0</v>
      </c>
      <c r="KP19" s="59">
        <f t="shared" si="263"/>
        <v>0</v>
      </c>
      <c r="KQ19" s="58">
        <f t="shared" si="264"/>
        <v>0</v>
      </c>
      <c r="KR19" s="45">
        <f t="shared" si="265"/>
        <v>77</v>
      </c>
      <c r="KS19" s="45">
        <f t="shared" si="45"/>
        <v>2.819</v>
      </c>
      <c r="KT19" s="45">
        <f t="shared" si="266"/>
        <v>1</v>
      </c>
      <c r="KU19" s="45">
        <f t="shared" si="267"/>
        <v>2</v>
      </c>
      <c r="KV19" s="45">
        <f t="shared" si="268"/>
        <v>0</v>
      </c>
      <c r="KW19" s="46" cm="1">
        <f t="array" ref="KW19">ROUND(IFERROR(INDEX(ArchiveResults!$F$5:$IX$116,ComparisonData!A19,ComparisonData!$KW$1),0),5)</f>
        <v>0</v>
      </c>
      <c r="KX19" s="46" cm="1">
        <f t="array" ref="KX19">ROUND(IFERROR(INDEX(ArchiveResults!$F$5:$IX$116,ComparisonData!A19,ComparisonData!$KX$1),0),5)</f>
        <v>0</v>
      </c>
      <c r="KY19" s="46" cm="1">
        <f t="array" ref="KY19">ROUND(IFERROR(INDEX(ArchiveResults!$F$5:$IX$116,ComparisonData!A19,ComparisonData!$KY$1),0),5)</f>
        <v>0</v>
      </c>
      <c r="KZ19" s="46" cm="1">
        <f t="array" ref="KZ19">ROUND(IFERROR(INDEX(ArchiveResults!$F$5:$IX$116,ComparisonData!A19,ComparisonData!$KZ$1),0),5)</f>
        <v>0</v>
      </c>
      <c r="LA19" s="45" cm="1">
        <f t="array" ref="LA19">IFERROR(INDEX(ArchiveResults!$F$5:$IX$116,ComparisonData!A19,ComparisonData!$LA$1),0)</f>
        <v>0</v>
      </c>
      <c r="LB19" s="56">
        <v>14</v>
      </c>
      <c r="LC19" s="53" t="str">
        <f t="shared" si="46"/>
        <v>Carmarthenshire Archives</v>
      </c>
      <c r="LD19" s="59">
        <f t="shared" si="269"/>
        <v>0</v>
      </c>
      <c r="LE19" s="59">
        <f t="shared" si="270"/>
        <v>0</v>
      </c>
      <c r="LF19" s="59">
        <f t="shared" si="271"/>
        <v>0</v>
      </c>
      <c r="LG19" s="59">
        <f t="shared" si="272"/>
        <v>0</v>
      </c>
      <c r="LH19" s="59">
        <f t="shared" si="273"/>
        <v>0</v>
      </c>
      <c r="LI19" s="58">
        <f t="shared" si="274"/>
        <v>0</v>
      </c>
      <c r="LJ19" s="45">
        <f t="shared" si="275"/>
        <v>77</v>
      </c>
      <c r="LK19" s="45">
        <f t="shared" si="47"/>
        <v>2.819</v>
      </c>
      <c r="LL19" s="45">
        <f t="shared" si="276"/>
        <v>1</v>
      </c>
      <c r="LM19" s="45">
        <f t="shared" si="277"/>
        <v>2</v>
      </c>
      <c r="LN19" s="45">
        <f t="shared" si="278"/>
        <v>0</v>
      </c>
      <c r="LO19" s="46" cm="1">
        <f t="array" ref="LO19">ROUND(IFERROR(INDEX(ArchiveResults!$F$5:$IX$116,ComparisonData!A19,ComparisonData!$LO$1),0),5)</f>
        <v>0</v>
      </c>
      <c r="LP19" s="46" cm="1">
        <f t="array" ref="LP19">ROUND(IFERROR(INDEX(ArchiveResults!$F$5:$IX$116,ComparisonData!A19,ComparisonData!$LP$1),0),5)</f>
        <v>0</v>
      </c>
      <c r="LQ19" s="46" cm="1">
        <f t="array" ref="LQ19">ROUND(IFERROR(INDEX(ArchiveResults!$F$5:$IX$116,ComparisonData!A19,ComparisonData!$LQ$1),0),5)</f>
        <v>0</v>
      </c>
      <c r="LR19" s="46" cm="1">
        <f t="array" ref="LR19">ROUND(IFERROR(INDEX(ArchiveResults!$F$5:$IX$116,ComparisonData!A19,ComparisonData!$LR$1),0),5)</f>
        <v>0</v>
      </c>
      <c r="LS19" s="45" cm="1">
        <f t="array" ref="LS19">IFERROR(INDEX(ArchiveResults!$F$5:$IX$116,ComparisonData!A19,ComparisonData!$LS$1),0)</f>
        <v>0</v>
      </c>
      <c r="LT19" s="56">
        <v>14</v>
      </c>
      <c r="LU19" s="53" t="str">
        <f t="shared" si="48"/>
        <v>Carmarthenshire Archives</v>
      </c>
      <c r="LV19" s="59">
        <f t="shared" si="279"/>
        <v>0</v>
      </c>
      <c r="LW19" s="59">
        <f t="shared" si="280"/>
        <v>0</v>
      </c>
      <c r="LX19" s="59">
        <f t="shared" si="281"/>
        <v>0</v>
      </c>
      <c r="LY19" s="59">
        <f t="shared" si="282"/>
        <v>0</v>
      </c>
      <c r="LZ19" s="59">
        <f t="shared" si="283"/>
        <v>0</v>
      </c>
      <c r="MA19" s="58">
        <f t="shared" si="284"/>
        <v>0</v>
      </c>
      <c r="MB19" s="45">
        <f t="shared" si="285"/>
        <v>77</v>
      </c>
      <c r="MC19" s="45">
        <f t="shared" si="49"/>
        <v>2.819</v>
      </c>
      <c r="MD19" s="45">
        <f t="shared" si="286"/>
        <v>1</v>
      </c>
      <c r="ME19" s="45">
        <f t="shared" si="287"/>
        <v>2</v>
      </c>
      <c r="MF19" s="45">
        <f t="shared" si="288"/>
        <v>0</v>
      </c>
      <c r="MG19" s="46" cm="1">
        <f t="array" ref="MG19">ROUND(IFERROR(INDEX(ArchiveResults!$F$5:$IX$116,ComparisonData!A19,ComparisonData!$MG$1),0),5)</f>
        <v>0</v>
      </c>
      <c r="MH19" s="46" cm="1">
        <f t="array" ref="MH19">ROUND(IFERROR(INDEX(ArchiveResults!$F$5:$IX$116,ComparisonData!A19,ComparisonData!$MH$1),0),5)</f>
        <v>0</v>
      </c>
      <c r="MI19" s="46" cm="1">
        <f t="array" ref="MI19">ROUND(IFERROR(INDEX(ArchiveResults!$F$5:$IX$116,ComparisonData!A19,ComparisonData!$MI$1),0),5)</f>
        <v>0</v>
      </c>
      <c r="MJ19" s="46" cm="1">
        <f t="array" ref="MJ19">ROUND(IFERROR(INDEX(ArchiveResults!$F$5:$IX$116,ComparisonData!A19,ComparisonData!$MJ$1),0),5)</f>
        <v>0</v>
      </c>
      <c r="MK19" s="45" cm="1">
        <f t="array" ref="MK19">IFERROR(INDEX(ArchiveResults!$F$5:$IX$116,ComparisonData!A19,ComparisonData!$MK$1),0)</f>
        <v>0</v>
      </c>
      <c r="ML19" s="56">
        <v>14</v>
      </c>
      <c r="MM19" s="53" t="str">
        <f t="shared" si="50"/>
        <v>Carmarthenshire Archives</v>
      </c>
      <c r="MN19" s="59">
        <f t="shared" si="289"/>
        <v>0</v>
      </c>
      <c r="MO19" s="59">
        <f t="shared" si="290"/>
        <v>0</v>
      </c>
      <c r="MP19" s="59">
        <f t="shared" si="291"/>
        <v>0</v>
      </c>
      <c r="MQ19" s="59">
        <f t="shared" si="292"/>
        <v>0</v>
      </c>
      <c r="MR19" s="59">
        <f t="shared" si="293"/>
        <v>0</v>
      </c>
      <c r="MS19" s="58">
        <f t="shared" si="294"/>
        <v>0</v>
      </c>
      <c r="MT19" s="45">
        <f t="shared" si="295"/>
        <v>77</v>
      </c>
      <c r="MU19" s="45">
        <f t="shared" si="51"/>
        <v>2.819</v>
      </c>
      <c r="MV19" s="45">
        <f t="shared" si="296"/>
        <v>1</v>
      </c>
      <c r="MW19" s="45">
        <f t="shared" si="297"/>
        <v>2</v>
      </c>
      <c r="MX19" s="45">
        <f t="shared" si="298"/>
        <v>0</v>
      </c>
      <c r="MY19" s="46" cm="1">
        <f t="array" ref="MY19">ROUND(IFERROR(INDEX(ArchiveResults!$F$5:$IX$116,ComparisonData!A19,ComparisonData!$MY$1),0),5)</f>
        <v>0</v>
      </c>
      <c r="MZ19" s="46" cm="1">
        <f t="array" ref="MZ19">ROUND(IFERROR(INDEX(ArchiveResults!$F$5:$IX$116,ComparisonData!A19,ComparisonData!$MZ$1),0),5)</f>
        <v>0</v>
      </c>
      <c r="NA19" s="46" cm="1">
        <f t="array" ref="NA19">ROUND(IFERROR(INDEX(ArchiveResults!$F$5:$IX$116,ComparisonData!A19,ComparisonData!$NA$1),0),5)</f>
        <v>0</v>
      </c>
      <c r="NB19" s="46" cm="1">
        <f t="array" ref="NB19">ROUND(IFERROR(INDEX(ArchiveResults!$F$5:$IX$116,ComparisonData!A19,ComparisonData!$NB$1),0),5)</f>
        <v>0</v>
      </c>
      <c r="NC19" s="45" cm="1">
        <f t="array" ref="NC19">IFERROR(INDEX(ArchiveResults!$F$5:$IX$116,ComparisonData!A19,ComparisonData!$NC$1),0)</f>
        <v>0</v>
      </c>
      <c r="ND19" s="56">
        <v>14</v>
      </c>
      <c r="NE19" s="53" t="str">
        <f t="shared" si="52"/>
        <v>Carmarthenshire Archives</v>
      </c>
      <c r="NF19" s="59">
        <f t="shared" si="299"/>
        <v>0</v>
      </c>
      <c r="NG19" s="59">
        <f t="shared" si="300"/>
        <v>0</v>
      </c>
      <c r="NH19" s="59">
        <f t="shared" si="301"/>
        <v>0</v>
      </c>
      <c r="NI19" s="59">
        <f t="shared" si="302"/>
        <v>0</v>
      </c>
      <c r="NJ19" s="59">
        <f t="shared" si="303"/>
        <v>0</v>
      </c>
      <c r="NK19" s="58">
        <f t="shared" si="304"/>
        <v>0</v>
      </c>
      <c r="NL19" s="45">
        <f t="shared" si="305"/>
        <v>77</v>
      </c>
      <c r="NM19" s="45">
        <f t="shared" si="53"/>
        <v>2.819</v>
      </c>
      <c r="NN19" s="45">
        <f t="shared" si="306"/>
        <v>1</v>
      </c>
      <c r="NO19" s="45">
        <f t="shared" si="307"/>
        <v>2</v>
      </c>
      <c r="NP19" s="46" cm="1">
        <f t="array" ref="NP19">ROUND(IFERROR(INDEX(ArchiveResults!$F$5:$IX$116,ComparisonData!A19,ComparisonData!$NP$1),0),5)</f>
        <v>0</v>
      </c>
      <c r="NQ19" s="46" cm="1">
        <f t="array" ref="NQ19">ROUND(IFERROR(INDEX(ArchiveResults!$F$5:$IX$116,ComparisonData!A19,ComparisonData!$NQ$1),0),5)</f>
        <v>0</v>
      </c>
      <c r="NR19" s="46" cm="1">
        <f t="array" ref="NR19">ROUND(IFERROR(INDEX(ArchiveResults!$F$5:$IX$116,ComparisonData!A19,ComparisonData!$NR$1),0),5)</f>
        <v>0</v>
      </c>
      <c r="NS19" s="46" cm="1">
        <f t="array" ref="NS19">ROUND(IFERROR(INDEX(ArchiveResults!$F$5:$IX$116,ComparisonData!A19,ComparisonData!$NS$1),0),5)</f>
        <v>0</v>
      </c>
      <c r="NT19" s="45" cm="1">
        <f t="array" ref="NT19">IFERROR(INDEX(ArchiveResults!$F$5:$IX$116,ComparisonData!A19,ComparisonData!$NT$1),0)</f>
        <v>0</v>
      </c>
      <c r="NU19" s="56">
        <v>14</v>
      </c>
      <c r="NV19" s="53" t="str">
        <f t="shared" si="54"/>
        <v>Carmarthenshire Archives</v>
      </c>
      <c r="NW19" s="59">
        <f t="shared" si="308"/>
        <v>0</v>
      </c>
      <c r="NX19" s="59">
        <f t="shared" si="309"/>
        <v>0</v>
      </c>
      <c r="NY19" s="59">
        <f t="shared" si="310"/>
        <v>0</v>
      </c>
      <c r="NZ19" s="59">
        <f t="shared" si="311"/>
        <v>0</v>
      </c>
      <c r="OA19" s="59">
        <f t="shared" si="312"/>
        <v>0</v>
      </c>
      <c r="OB19" s="58">
        <f t="shared" si="313"/>
        <v>0</v>
      </c>
      <c r="OC19" s="45">
        <f t="shared" si="314"/>
        <v>77</v>
      </c>
      <c r="OD19" s="45">
        <f t="shared" si="55"/>
        <v>2.819</v>
      </c>
      <c r="OE19" s="45">
        <f t="shared" si="315"/>
        <v>1</v>
      </c>
      <c r="OF19" s="45">
        <f t="shared" si="316"/>
        <v>2</v>
      </c>
      <c r="OG19" s="46">
        <f t="shared" si="317"/>
        <v>0</v>
      </c>
      <c r="OH19" s="46" cm="1">
        <f t="array" ref="OH19">ROUND(IFERROR(INDEX(ArchiveResults!$F$5:$IX$116,ComparisonData!A19,ComparisonData!$OH$1),0),5)</f>
        <v>0</v>
      </c>
      <c r="OI19" s="46" cm="1">
        <f t="array" ref="OI19">ROUND(IFERROR(INDEX(ArchiveResults!$F$5:$IX$116,ComparisonData!A19,ComparisonData!$OI$1),0),5)</f>
        <v>0</v>
      </c>
      <c r="OJ19" s="46" cm="1">
        <f t="array" ref="OJ19">ROUND(IFERROR(INDEX(ArchiveResults!$F$5:$IX$116,ComparisonData!A19,ComparisonData!$OJ$1),0),5)</f>
        <v>0</v>
      </c>
      <c r="OK19" s="46" cm="1">
        <f t="array" ref="OK19">ROUND(IFERROR(INDEX(ArchiveResults!$F$5:$IX$116,ComparisonData!A19,ComparisonData!$OK$1),0),5)</f>
        <v>0</v>
      </c>
      <c r="OL19" s="45" cm="1">
        <f t="array" ref="OL19">IFERROR(INDEX(ArchiveResults!$F$5:$IX$116,ComparisonData!A19,ComparisonData!$OL$1),0)</f>
        <v>0</v>
      </c>
      <c r="OM19" s="56">
        <v>14</v>
      </c>
      <c r="ON19" s="53" t="str">
        <f t="shared" si="56"/>
        <v>Carmarthenshire Archives</v>
      </c>
      <c r="OO19" s="59">
        <f t="shared" si="318"/>
        <v>0</v>
      </c>
      <c r="OP19" s="59">
        <f t="shared" si="319"/>
        <v>0</v>
      </c>
      <c r="OQ19" s="59">
        <f t="shared" si="320"/>
        <v>0</v>
      </c>
      <c r="OR19" s="59">
        <f t="shared" si="321"/>
        <v>0</v>
      </c>
      <c r="OS19" s="59">
        <f t="shared" si="322"/>
        <v>0</v>
      </c>
      <c r="OT19" s="58">
        <f t="shared" si="323"/>
        <v>0</v>
      </c>
      <c r="OU19" s="45">
        <f t="shared" si="324"/>
        <v>77</v>
      </c>
      <c r="OV19" s="45">
        <f t="shared" si="57"/>
        <v>2.819</v>
      </c>
      <c r="OW19" s="45">
        <f t="shared" si="325"/>
        <v>1</v>
      </c>
      <c r="OX19" s="45">
        <f t="shared" si="326"/>
        <v>2</v>
      </c>
      <c r="OY19" s="45">
        <f t="shared" si="327"/>
        <v>0</v>
      </c>
      <c r="OZ19" s="46" cm="1">
        <f t="array" ref="OZ19">ROUND(IFERROR(INDEX(ArchiveResults!$F$5:$IX$116,ComparisonData!A19,ComparisonData!$OZ$1),0),5)</f>
        <v>0</v>
      </c>
      <c r="PA19" s="46" cm="1">
        <f t="array" ref="PA19">ROUND(IFERROR(INDEX(ArchiveResults!$F$5:$IX$116,ComparisonData!A19,ComparisonData!$PA$1),0),5)</f>
        <v>0</v>
      </c>
      <c r="PB19" s="46" cm="1">
        <f t="array" ref="PB19">ROUND(IFERROR(INDEX(ArchiveResults!$F$5:$IX$116,ComparisonData!A19,ComparisonData!$PB$1),0),5)</f>
        <v>0</v>
      </c>
      <c r="PC19" s="46" cm="1">
        <f t="array" ref="PC19">ROUND(IFERROR(INDEX(ArchiveResults!$F$5:$IX$116,ComparisonData!A19,ComparisonData!$PC$1),0),5)</f>
        <v>0</v>
      </c>
      <c r="PD19" s="45" cm="1">
        <f t="array" ref="PD19">IFERROR(INDEX(ArchiveResults!$F$5:$IX$116,ComparisonData!A19,ComparisonData!$PD$1),0)</f>
        <v>0</v>
      </c>
      <c r="PE19" s="56">
        <v>14</v>
      </c>
      <c r="PF19" s="53" t="str">
        <f t="shared" si="58"/>
        <v>Carmarthenshire Archives</v>
      </c>
      <c r="PG19" s="59">
        <f t="shared" si="328"/>
        <v>0</v>
      </c>
      <c r="PH19" s="59">
        <f t="shared" si="329"/>
        <v>0</v>
      </c>
      <c r="PI19" s="59">
        <f t="shared" si="330"/>
        <v>0</v>
      </c>
      <c r="PJ19" s="59">
        <f t="shared" si="331"/>
        <v>0</v>
      </c>
      <c r="PK19" s="59">
        <f t="shared" si="332"/>
        <v>0</v>
      </c>
      <c r="PL19" s="58">
        <f t="shared" si="333"/>
        <v>0</v>
      </c>
      <c r="PM19" s="45">
        <f t="shared" si="334"/>
        <v>77</v>
      </c>
      <c r="PN19" s="45">
        <f t="shared" si="59"/>
        <v>2.819</v>
      </c>
      <c r="PO19" s="45">
        <f t="shared" si="335"/>
        <v>1</v>
      </c>
      <c r="PP19" s="45">
        <f t="shared" si="336"/>
        <v>2</v>
      </c>
      <c r="PQ19" s="45">
        <f t="shared" si="337"/>
        <v>0</v>
      </c>
      <c r="PR19" s="46" cm="1">
        <f t="array" ref="PR19">ROUND(IFERROR(INDEX(ArchiveResults!$F$5:$IX$116,ComparisonData!A19,ComparisonData!$PR$1),0),5)</f>
        <v>0</v>
      </c>
      <c r="PS19" s="46" cm="1">
        <f t="array" ref="PS19">ROUND(IFERROR(INDEX(ArchiveResults!$F$5:$IX$116,ComparisonData!A19,ComparisonData!$PS$1),0),5)</f>
        <v>0</v>
      </c>
      <c r="PT19" s="46" cm="1">
        <f t="array" ref="PT19">ROUND(IFERROR(INDEX(ArchiveResults!$F$5:$IX$116,ComparisonData!A19,ComparisonData!$PT$1),0),5)</f>
        <v>0</v>
      </c>
      <c r="PU19" s="46" cm="1">
        <f t="array" ref="PU19">ROUND(IFERROR(INDEX(ArchiveResults!$F$5:$IX$116,ComparisonData!A19,ComparisonData!$PU$1),0),5)</f>
        <v>0</v>
      </c>
      <c r="PV19" s="45" cm="1">
        <f t="array" ref="PV19">IFERROR(INDEX(ArchiveResults!$F$5:$IX$116,ComparisonData!A19,ComparisonData!$PV$1),0)</f>
        <v>0</v>
      </c>
      <c r="PW19" s="56">
        <v>14</v>
      </c>
      <c r="PX19" s="53" t="str">
        <f t="shared" si="60"/>
        <v>Carmarthenshire Archives</v>
      </c>
      <c r="PY19" s="59">
        <f t="shared" si="338"/>
        <v>0</v>
      </c>
      <c r="PZ19" s="59">
        <f t="shared" si="339"/>
        <v>0</v>
      </c>
      <c r="QA19" s="59">
        <f t="shared" si="340"/>
        <v>0</v>
      </c>
      <c r="QB19" s="59">
        <f t="shared" si="341"/>
        <v>0</v>
      </c>
      <c r="QC19" s="59">
        <f t="shared" si="342"/>
        <v>0</v>
      </c>
      <c r="QD19" s="58">
        <f t="shared" si="343"/>
        <v>0</v>
      </c>
      <c r="QE19" s="45">
        <f t="shared" si="344"/>
        <v>77</v>
      </c>
      <c r="QF19" s="45">
        <f t="shared" si="61"/>
        <v>2.819</v>
      </c>
      <c r="QG19" s="45">
        <f t="shared" si="345"/>
        <v>1</v>
      </c>
      <c r="QH19" s="45">
        <f t="shared" si="346"/>
        <v>2</v>
      </c>
      <c r="QI19" s="45">
        <f t="shared" si="347"/>
        <v>0</v>
      </c>
      <c r="QJ19" s="46" cm="1">
        <f t="array" ref="QJ19">ROUND(IFERROR(INDEX(ArchiveResults!$F$5:$IX$116,ComparisonData!A19,ComparisonData!$QJ$1),0),5)</f>
        <v>0</v>
      </c>
      <c r="QK19" s="46" cm="1">
        <f t="array" ref="QK19">ROUND(IFERROR(INDEX(ArchiveResults!$F$5:$IX$116,ComparisonData!A19,ComparisonData!$QK$1),0),5)</f>
        <v>0</v>
      </c>
      <c r="QL19" s="46" cm="1">
        <f t="array" ref="QL19">ROUND(IFERROR(INDEX(ArchiveResults!$F$5:$IX$116,ComparisonData!A19,ComparisonData!$QL$1),0),5)</f>
        <v>0</v>
      </c>
      <c r="QM19" s="46" cm="1">
        <f t="array" ref="QM19">ROUND(IFERROR(INDEX(ArchiveResults!$F$5:$IX$116,ComparisonData!A19,ComparisonData!$QM$1),0),5)</f>
        <v>0</v>
      </c>
      <c r="QN19" s="45" cm="1">
        <f t="array" ref="QN19">IFERROR(INDEX(ArchiveResults!$F$5:$IX$116,ComparisonData!A19,ComparisonData!$QN$1),0)</f>
        <v>0</v>
      </c>
      <c r="QO19" s="56">
        <v>14</v>
      </c>
      <c r="QP19" s="53" t="str">
        <f t="shared" si="62"/>
        <v>Carmarthenshire Archives</v>
      </c>
      <c r="QQ19" s="59">
        <f t="shared" si="348"/>
        <v>0</v>
      </c>
      <c r="QR19" s="59">
        <f t="shared" si="349"/>
        <v>0</v>
      </c>
      <c r="QS19" s="59">
        <f t="shared" si="350"/>
        <v>0</v>
      </c>
      <c r="QT19" s="59">
        <f t="shared" si="351"/>
        <v>0</v>
      </c>
      <c r="QU19" s="59">
        <f t="shared" si="352"/>
        <v>0</v>
      </c>
      <c r="QV19" s="58">
        <f t="shared" si="353"/>
        <v>0</v>
      </c>
      <c r="QW19" s="45">
        <f t="shared" si="354"/>
        <v>77</v>
      </c>
      <c r="QX19" s="45">
        <f t="shared" si="63"/>
        <v>2.819</v>
      </c>
      <c r="QY19" s="45">
        <f t="shared" si="355"/>
        <v>1</v>
      </c>
      <c r="QZ19" s="45">
        <f t="shared" si="356"/>
        <v>2</v>
      </c>
      <c r="RA19" s="45">
        <f t="shared" si="357"/>
        <v>0</v>
      </c>
      <c r="RB19" s="46" cm="1">
        <f t="array" ref="RB19">ROUND(IFERROR(INDEX(ArchiveResults!$F$5:$IX$116,ComparisonData!A19,ComparisonData!$RB$1),0),5)</f>
        <v>0</v>
      </c>
      <c r="RC19" s="46" cm="1">
        <f t="array" ref="RC19">ROUND(IFERROR(INDEX(ArchiveResults!$F$5:$IX$116,ComparisonData!A19,ComparisonData!$RC$1),0),5)</f>
        <v>0</v>
      </c>
      <c r="RD19" s="46" cm="1">
        <f t="array" ref="RD19">ROUND(IFERROR(INDEX(ArchiveResults!$F$5:$IX$116,ComparisonData!A19,ComparisonData!$RD$1),0),5)</f>
        <v>0</v>
      </c>
      <c r="RE19" s="46" cm="1">
        <f t="array" ref="RE19">ROUND(IFERROR(INDEX(ArchiveResults!$F$5:$IX$116,ComparisonData!A19,ComparisonData!$RE$1),0),5)</f>
        <v>0</v>
      </c>
      <c r="RF19" s="45" cm="1">
        <f t="array" ref="RF19">IFERROR(INDEX(ArchiveResults!$F$5:$IX$116,ComparisonData!A19,ComparisonData!$RF$1),0)</f>
        <v>0</v>
      </c>
      <c r="RG19" s="56">
        <v>14</v>
      </c>
      <c r="RH19" s="53" t="str">
        <f t="shared" si="64"/>
        <v>Carmarthenshire Archives</v>
      </c>
      <c r="RI19" s="59">
        <f t="shared" si="358"/>
        <v>0</v>
      </c>
      <c r="RJ19" s="59">
        <f t="shared" si="359"/>
        <v>0</v>
      </c>
      <c r="RK19" s="59">
        <f t="shared" si="360"/>
        <v>0</v>
      </c>
      <c r="RL19" s="59">
        <f t="shared" si="361"/>
        <v>0</v>
      </c>
      <c r="RM19" s="59">
        <f t="shared" si="362"/>
        <v>0</v>
      </c>
      <c r="RN19" s="58">
        <f t="shared" si="363"/>
        <v>0</v>
      </c>
      <c r="RO19" s="45">
        <f t="shared" si="364"/>
        <v>77</v>
      </c>
      <c r="RP19" s="45">
        <f t="shared" si="65"/>
        <v>2.819</v>
      </c>
      <c r="RQ19" s="45">
        <f t="shared" si="365"/>
        <v>1</v>
      </c>
      <c r="RR19" s="45">
        <f t="shared" si="366"/>
        <v>2</v>
      </c>
      <c r="RS19" s="45">
        <f t="shared" si="367"/>
        <v>0</v>
      </c>
      <c r="RT19" s="46" cm="1">
        <f t="array" ref="RT19">ROUND(IFERROR(INDEX(ArchiveResults!$F$5:$IX$116,ComparisonData!A19,ComparisonData!$RT$1),0),5)</f>
        <v>0</v>
      </c>
      <c r="RU19" s="46" cm="1">
        <f t="array" ref="RU19">ROUND(IFERROR(INDEX(ArchiveResults!$F$5:$IX$116,ComparisonData!A19,ComparisonData!$RU$1),0),5)</f>
        <v>0</v>
      </c>
      <c r="RV19" s="46" cm="1">
        <f t="array" ref="RV19">ROUND(IFERROR(INDEX(ArchiveResults!$F$5:$IX$116,ComparisonData!A19,ComparisonData!$RV$1),0),5)</f>
        <v>0</v>
      </c>
      <c r="RW19" s="46" cm="1">
        <f t="array" ref="RW19">ROUND(IFERROR(INDEX(ArchiveResults!$F$5:$IX$116,ComparisonData!A19,ComparisonData!$RW$1),0),5)</f>
        <v>0</v>
      </c>
      <c r="RX19" s="45" cm="1">
        <f t="array" ref="RX19">IFERROR(INDEX(ArchiveResults!$F$5:$IX$116,ComparisonData!A19,ComparisonData!$RX$1),0)</f>
        <v>0</v>
      </c>
      <c r="RY19" s="56">
        <v>14</v>
      </c>
      <c r="RZ19" s="53" t="str">
        <f t="shared" si="66"/>
        <v>Carmarthenshire Archives</v>
      </c>
      <c r="SA19" s="59">
        <f t="shared" si="368"/>
        <v>0</v>
      </c>
      <c r="SB19" s="59">
        <f t="shared" si="369"/>
        <v>0</v>
      </c>
      <c r="SC19" s="59">
        <f t="shared" si="370"/>
        <v>0</v>
      </c>
      <c r="SD19" s="59">
        <f t="shared" si="371"/>
        <v>0</v>
      </c>
      <c r="SE19" s="59">
        <f t="shared" si="372"/>
        <v>0</v>
      </c>
      <c r="SF19" s="58">
        <f t="shared" si="373"/>
        <v>0</v>
      </c>
      <c r="SG19" s="45">
        <f t="shared" si="374"/>
        <v>77</v>
      </c>
      <c r="SH19" s="45">
        <f t="shared" si="67"/>
        <v>2.819</v>
      </c>
      <c r="SI19" s="45">
        <f t="shared" si="375"/>
        <v>1</v>
      </c>
      <c r="SJ19" s="45">
        <f t="shared" si="376"/>
        <v>2</v>
      </c>
      <c r="SK19" s="45">
        <f t="shared" si="377"/>
        <v>0</v>
      </c>
      <c r="SL19" s="46" cm="1">
        <f t="array" ref="SL19">ROUND(IFERROR(INDEX(ArchiveResults!$F$5:$IX$116,ComparisonData!A19,ComparisonData!$SL$1),0),5)</f>
        <v>0</v>
      </c>
      <c r="SM19" s="46" cm="1">
        <f t="array" ref="SM19">ROUND(IFERROR(INDEX(ArchiveResults!$F$5:$IX$116,ComparisonData!A19,ComparisonData!$SM$1),0),5)</f>
        <v>0</v>
      </c>
      <c r="SN19" s="46" cm="1">
        <f t="array" ref="SN19">ROUND(IFERROR(INDEX(ArchiveResults!$F$5:$IX$116,ComparisonData!A19,ComparisonData!$SN$1),0),5)</f>
        <v>0</v>
      </c>
      <c r="SO19" s="46" cm="1">
        <f t="array" ref="SO19">ROUND(IFERROR(INDEX(ArchiveResults!$F$5:$IX$116,ComparisonData!A19,ComparisonData!$SO$1),0),5)</f>
        <v>0</v>
      </c>
      <c r="SP19" s="45" cm="1">
        <f t="array" ref="SP19">IFERROR(INDEX(ArchiveResults!$F$5:$IX$116,ComparisonData!A19,ComparisonData!$SP$1),0)</f>
        <v>0</v>
      </c>
      <c r="SQ19" s="56">
        <v>14</v>
      </c>
      <c r="SR19" s="53" t="str">
        <f t="shared" si="68"/>
        <v>Carmarthenshire Archives</v>
      </c>
      <c r="SS19" s="59">
        <f t="shared" si="378"/>
        <v>0</v>
      </c>
      <c r="ST19" s="59">
        <f t="shared" si="379"/>
        <v>0</v>
      </c>
      <c r="SU19" s="59">
        <f t="shared" si="380"/>
        <v>0</v>
      </c>
      <c r="SV19" s="59">
        <f t="shared" si="381"/>
        <v>0</v>
      </c>
      <c r="SW19" s="59">
        <f t="shared" si="382"/>
        <v>0</v>
      </c>
      <c r="SX19" s="58">
        <f t="shared" si="383"/>
        <v>0</v>
      </c>
      <c r="SY19" s="45">
        <f t="shared" si="384"/>
        <v>77</v>
      </c>
      <c r="SZ19" s="45">
        <f t="shared" si="69"/>
        <v>2.819</v>
      </c>
      <c r="TA19" s="45">
        <f t="shared" si="385"/>
        <v>1</v>
      </c>
      <c r="TB19" s="45">
        <f t="shared" si="386"/>
        <v>2</v>
      </c>
      <c r="TC19" s="45">
        <f t="shared" si="387"/>
        <v>0</v>
      </c>
      <c r="TD19" s="46" cm="1">
        <f t="array" ref="TD19">ROUND(IFERROR(INDEX(ArchiveResults!$F$5:$IX$116,ComparisonData!A19,ComparisonData!$TD$1),0),5)</f>
        <v>0</v>
      </c>
      <c r="TE19" s="46" cm="1">
        <f t="array" ref="TE19">ROUND(IFERROR(INDEX(ArchiveResults!$F$5:$IX$116,ComparisonData!A19,ComparisonData!$TE$1),0),5)</f>
        <v>0</v>
      </c>
      <c r="TF19" s="46" cm="1">
        <f t="array" ref="TF19">ROUND(IFERROR(INDEX(ArchiveResults!$F$5:$IX$116,ComparisonData!A19,ComparisonData!$TF$1),0),5)</f>
        <v>0</v>
      </c>
      <c r="TG19" s="46" cm="1">
        <f t="array" ref="TG19">ROUND(IFERROR(INDEX(ArchiveResults!$F$5:$IX$116,ComparisonData!A19,ComparisonData!$TG$1),0),5)</f>
        <v>0</v>
      </c>
      <c r="TH19" s="45" cm="1">
        <f t="array" ref="TH19">IFERROR(INDEX(ArchiveResults!$F$5:$IX$116,ComparisonData!A19,ComparisonData!$TH$1),0)</f>
        <v>0</v>
      </c>
      <c r="TI19" s="56">
        <v>14</v>
      </c>
      <c r="TJ19" s="53" t="str">
        <f t="shared" si="70"/>
        <v>Carmarthenshire Archives</v>
      </c>
      <c r="TK19" s="59">
        <f t="shared" si="388"/>
        <v>0</v>
      </c>
      <c r="TL19" s="59">
        <f t="shared" si="389"/>
        <v>0</v>
      </c>
      <c r="TM19" s="59">
        <f t="shared" si="390"/>
        <v>0</v>
      </c>
      <c r="TN19" s="59">
        <f t="shared" si="391"/>
        <v>0</v>
      </c>
      <c r="TO19" s="59">
        <f t="shared" si="392"/>
        <v>0</v>
      </c>
      <c r="TP19" s="58">
        <f t="shared" si="393"/>
        <v>0</v>
      </c>
      <c r="TQ19" s="45">
        <f t="shared" si="394"/>
        <v>77</v>
      </c>
      <c r="TR19" s="45">
        <f t="shared" si="71"/>
        <v>2.819</v>
      </c>
      <c r="TS19" s="45">
        <f t="shared" si="395"/>
        <v>1</v>
      </c>
      <c r="TT19" s="45">
        <f t="shared" si="396"/>
        <v>2</v>
      </c>
      <c r="TU19" s="45">
        <f t="shared" si="397"/>
        <v>0</v>
      </c>
      <c r="TV19" s="46" cm="1">
        <f t="array" ref="TV19">ROUND(IFERROR(INDEX(ArchiveResults!$F$5:$IX$116,ComparisonData!A19,ComparisonData!$TV$1),0),5)</f>
        <v>0</v>
      </c>
      <c r="TW19" s="46" cm="1">
        <f t="array" ref="TW19">ROUND(IFERROR(INDEX(ArchiveResults!$F$5:$IX$116,ComparisonData!A19,ComparisonData!$TW$1),0),5)</f>
        <v>0</v>
      </c>
      <c r="TX19" s="46" cm="1">
        <f t="array" ref="TX19">ROUND(IFERROR(INDEX(ArchiveResults!$F$5:$IX$116,ComparisonData!A19,ComparisonData!$TX$1),0),5)</f>
        <v>0</v>
      </c>
      <c r="TY19" s="46" cm="1">
        <f t="array" ref="TY19">ROUND(IFERROR(INDEX(ArchiveResults!$F$5:$IX$116,ComparisonData!A19,ComparisonData!$TY$1),0),5)</f>
        <v>0</v>
      </c>
      <c r="TZ19" s="45" cm="1">
        <f t="array" ref="TZ19">IFERROR(INDEX(ArchiveResults!$F$5:$IX$116,ComparisonData!A19,ComparisonData!$TZ$1),0)</f>
        <v>0</v>
      </c>
      <c r="UA19" s="56">
        <v>14</v>
      </c>
      <c r="UB19" s="53" t="str">
        <f t="shared" si="72"/>
        <v>Carmarthenshire Archives</v>
      </c>
      <c r="UC19" s="60">
        <f t="shared" si="398"/>
        <v>0</v>
      </c>
      <c r="UD19" s="60">
        <f t="shared" si="399"/>
        <v>0</v>
      </c>
      <c r="UE19" s="60">
        <f t="shared" si="400"/>
        <v>0</v>
      </c>
      <c r="UF19" s="60">
        <f t="shared" si="401"/>
        <v>0</v>
      </c>
      <c r="UG19" s="60">
        <f t="shared" si="402"/>
        <v>0</v>
      </c>
      <c r="UH19" s="58">
        <f t="shared" si="403"/>
        <v>0</v>
      </c>
      <c r="UI19" s="46">
        <f t="shared" si="404"/>
        <v>77</v>
      </c>
      <c r="UJ19" s="46">
        <f t="shared" si="73"/>
        <v>2.819</v>
      </c>
      <c r="UK19" s="46">
        <f t="shared" si="405"/>
        <v>1</v>
      </c>
      <c r="UL19" s="46">
        <f t="shared" si="406"/>
        <v>2</v>
      </c>
      <c r="UM19" s="46" cm="1">
        <f t="array" ref="UM19">ROUND(IFERROR(INDEX(ArchiveResults!$F$5:$IX$116,ComparisonData!A19,ComparisonData!$UM$1),0),5)</f>
        <v>0</v>
      </c>
      <c r="UN19" s="56">
        <v>14</v>
      </c>
      <c r="UO19" s="53" t="str">
        <f t="shared" si="74"/>
        <v>Carmarthenshire Archives</v>
      </c>
      <c r="UP19" s="46">
        <f t="shared" si="407"/>
        <v>0</v>
      </c>
      <c r="UQ19" s="76">
        <f t="shared" si="408"/>
        <v>0</v>
      </c>
      <c r="UR19" s="46">
        <f t="shared" si="409"/>
        <v>77</v>
      </c>
      <c r="US19" s="46">
        <f t="shared" si="75"/>
        <v>2.819</v>
      </c>
      <c r="UT19" s="46">
        <f t="shared" si="410"/>
        <v>1</v>
      </c>
      <c r="UU19" s="46">
        <f t="shared" si="411"/>
        <v>2</v>
      </c>
      <c r="UV19" s="46">
        <f t="shared" si="412"/>
        <v>0</v>
      </c>
      <c r="UW19" s="46" cm="1">
        <f t="array" ref="UW19">ROUND(IFERROR(INDEX(ArchiveResults!$F$5:$IX$116,ComparisonData!A19,ComparisonData!$UW$1),0),5)</f>
        <v>0</v>
      </c>
      <c r="UX19" s="46" cm="1">
        <f t="array" ref="UX19">ROUND(IFERROR(INDEX(ArchiveResults!$F$5:$IX$116,ComparisonData!A19,ComparisonData!$UX$1),0),5)</f>
        <v>0</v>
      </c>
      <c r="UY19" s="46" cm="1">
        <f t="array" ref="UY19">ROUND(IFERROR(INDEX(ArchiveResults!$F$5:$IX$116,ComparisonData!A19,ComparisonData!$UY$1),0),5)</f>
        <v>0</v>
      </c>
      <c r="UZ19" s="46" cm="1">
        <f t="array" ref="UZ19">ROUND(IFERROR(INDEX(ArchiveResults!$F$5:$IX$116,ComparisonData!A19,ComparisonData!$UZ$1),0),5)</f>
        <v>0</v>
      </c>
      <c r="VA19" s="46" cm="1">
        <f t="array" ref="VA19">ROUND(IFERROR(INDEX(ArchiveResults!$F$5:$IX$116,ComparisonData!A19,ComparisonData!$VA$1),0),5)</f>
        <v>0</v>
      </c>
      <c r="VB19" s="56">
        <v>14</v>
      </c>
      <c r="VC19" s="53" t="str">
        <f t="shared" si="76"/>
        <v>Carmarthenshire Archives</v>
      </c>
      <c r="VD19" s="60">
        <f t="shared" si="413"/>
        <v>0</v>
      </c>
      <c r="VE19" s="60">
        <f t="shared" si="414"/>
        <v>0</v>
      </c>
      <c r="VF19" s="60">
        <f t="shared" si="415"/>
        <v>0</v>
      </c>
      <c r="VG19" s="60">
        <f t="shared" si="416"/>
        <v>0</v>
      </c>
      <c r="VH19" s="60">
        <f t="shared" si="417"/>
        <v>0</v>
      </c>
      <c r="VI19" s="76">
        <f t="shared" si="418"/>
        <v>0</v>
      </c>
      <c r="VJ19" s="46">
        <f t="shared" si="419"/>
        <v>77</v>
      </c>
      <c r="VK19" s="46">
        <f t="shared" si="77"/>
        <v>2.819</v>
      </c>
      <c r="VL19" s="46">
        <f t="shared" si="420"/>
        <v>1</v>
      </c>
      <c r="VM19" s="46">
        <f t="shared" si="421"/>
        <v>2</v>
      </c>
      <c r="VN19" s="46" cm="1">
        <f t="array" ref="VN19">ROUND(IFERROR(INDEX(ArchiveResults!$F$5:$IX$116,ComparisonData!A19,ComparisonData!$VN$1),0),5)</f>
        <v>0</v>
      </c>
      <c r="VO19" s="46" cm="1">
        <f t="array" ref="VO19">ROUND(IFERROR(INDEX(ArchiveResults!$F$5:$IX$116,ComparisonData!A19,ComparisonData!$VO$1),0),5)</f>
        <v>0</v>
      </c>
      <c r="VP19" s="46" cm="1">
        <f t="array" ref="VP19">ROUND(IFERROR(INDEX(ArchiveResults!$F$5:$IX$116,ComparisonData!A19,ComparisonData!$VP$1),0),5)</f>
        <v>0</v>
      </c>
      <c r="VQ19" s="46" cm="1">
        <f t="array" ref="VQ19">ROUND(IFERROR(INDEX(ArchiveResults!$F$5:$IX$116,ComparisonData!A19,ComparisonData!$VQ$1),0),5)</f>
        <v>0</v>
      </c>
      <c r="VR19" s="56">
        <v>14</v>
      </c>
      <c r="VS19" s="53" t="str">
        <f t="shared" si="78"/>
        <v>Carmarthenshire Archives</v>
      </c>
      <c r="VT19" s="60">
        <f t="shared" si="422"/>
        <v>0</v>
      </c>
      <c r="VU19" s="60">
        <f t="shared" si="423"/>
        <v>0</v>
      </c>
      <c r="VV19" s="60">
        <f t="shared" si="424"/>
        <v>0</v>
      </c>
      <c r="VW19" s="60">
        <f t="shared" si="425"/>
        <v>0</v>
      </c>
      <c r="VX19" s="76">
        <f t="shared" si="426"/>
        <v>0</v>
      </c>
      <c r="VY19" s="46">
        <f t="shared" si="427"/>
        <v>77</v>
      </c>
      <c r="VZ19" s="46">
        <f t="shared" si="79"/>
        <v>2.819</v>
      </c>
      <c r="WA19" s="46">
        <f t="shared" si="428"/>
        <v>1</v>
      </c>
      <c r="WB19" s="46">
        <f t="shared" si="429"/>
        <v>2</v>
      </c>
      <c r="WC19" s="46" cm="1">
        <f t="array" ref="WC19">ROUND(IFERROR(INDEX(ArchiveResults!$F$5:$IX$116,ComparisonData!A19,ComparisonData!$WC$1),0),5)</f>
        <v>0</v>
      </c>
      <c r="WD19" s="56">
        <v>14</v>
      </c>
      <c r="WE19" s="53" t="str">
        <f t="shared" si="80"/>
        <v>Carmarthenshire Archives</v>
      </c>
      <c r="WF19" s="46">
        <f t="shared" si="430"/>
        <v>0</v>
      </c>
      <c r="WG19" s="76">
        <f t="shared" si="431"/>
        <v>0</v>
      </c>
      <c r="WH19" s="46">
        <f t="shared" si="432"/>
        <v>77</v>
      </c>
      <c r="WI19" s="46">
        <f t="shared" si="81"/>
        <v>2.819</v>
      </c>
      <c r="WJ19" s="46">
        <f t="shared" si="433"/>
        <v>1</v>
      </c>
      <c r="WK19" s="46">
        <f t="shared" si="434"/>
        <v>2</v>
      </c>
      <c r="WL19" s="46" cm="1">
        <f t="array" ref="WL19">ROUND(IFERROR(INDEX(ArchiveResults!$F$5:$IX$116,ComparisonData!A19,ComparisonData!$WL$1),0),5)</f>
        <v>0</v>
      </c>
      <c r="WM19" s="46" cm="1">
        <f t="array" ref="WM19">IFERROR(INDEX(ArchiveResults!$F$5:$IX$116,ComparisonData!A19,ComparisonData!$WM$1),0)</f>
        <v>0</v>
      </c>
      <c r="WN19" s="56">
        <v>14</v>
      </c>
      <c r="WO19" s="53" t="str">
        <f t="shared" si="82"/>
        <v>Carmarthenshire Archives</v>
      </c>
      <c r="WP19" s="60">
        <f t="shared" si="435"/>
        <v>0</v>
      </c>
      <c r="WQ19" s="60">
        <f t="shared" si="436"/>
        <v>0</v>
      </c>
      <c r="WR19" s="76">
        <f t="shared" si="437"/>
        <v>0</v>
      </c>
      <c r="WS19" s="46">
        <f t="shared" si="438"/>
        <v>77</v>
      </c>
      <c r="WT19" s="46">
        <f t="shared" si="83"/>
        <v>2.819</v>
      </c>
      <c r="WU19" s="46">
        <f t="shared" si="439"/>
        <v>1</v>
      </c>
      <c r="WV19" s="46">
        <f t="shared" si="440"/>
        <v>2</v>
      </c>
      <c r="WW19" s="46" cm="1">
        <f t="array" ref="WW19">ROUND(VALUE(IFERROR(INDEX(ArchiveResults!$F$5:$IX$116,ComparisonData!A19,ComparisonData!$WW$1),0)),5)</f>
        <v>0</v>
      </c>
      <c r="WX19" s="46" cm="1">
        <f t="array" ref="WX19">ROUND(IFERROR(INDEX(ArchiveResults!$F$5:$IX$116,ComparisonData!A19,ComparisonData!$WX$1),0),5)</f>
        <v>0</v>
      </c>
      <c r="WY19" s="56">
        <v>14</v>
      </c>
      <c r="WZ19" s="53" t="str">
        <f t="shared" si="84"/>
        <v>Carmarthenshire Archives</v>
      </c>
      <c r="XA19" s="60">
        <f t="shared" si="85"/>
        <v>0</v>
      </c>
      <c r="XB19" s="60">
        <f t="shared" si="86"/>
        <v>0</v>
      </c>
      <c r="XC19" s="76">
        <f t="shared" si="441"/>
        <v>0</v>
      </c>
      <c r="XD19" s="46">
        <f t="shared" si="442"/>
        <v>77</v>
      </c>
      <c r="XE19" s="46">
        <f t="shared" si="87"/>
        <v>2.819</v>
      </c>
      <c r="XF19" s="46">
        <f t="shared" si="443"/>
        <v>1</v>
      </c>
      <c r="XG19" s="46">
        <f t="shared" si="444"/>
        <v>2</v>
      </c>
      <c r="XH19" s="46" cm="1">
        <f t="array" ref="XH19">ROUND(VALUE(IFERROR(INDEX(ArchiveResults!$F$5:$IX$116,ComparisonData!A19,ComparisonData!$XH$1),0)),5)</f>
        <v>0</v>
      </c>
      <c r="XI19" s="46" cm="1">
        <f t="array" ref="XI19">ROUND(VALUE(IFERROR(INDEX(ArchiveResults!$F$5:$IX$116,ComparisonData!A19,ComparisonData!$XI$1),0)),5)</f>
        <v>0</v>
      </c>
      <c r="XJ19" s="56">
        <v>14</v>
      </c>
      <c r="XK19" s="53" t="str">
        <f t="shared" si="88"/>
        <v>Carmarthenshire Archives</v>
      </c>
      <c r="XL19" s="60">
        <f t="shared" si="445"/>
        <v>0</v>
      </c>
      <c r="XM19" s="60">
        <f t="shared" si="446"/>
        <v>0</v>
      </c>
      <c r="XN19" s="76">
        <f t="shared" si="447"/>
        <v>0</v>
      </c>
      <c r="XO19" s="46">
        <f t="shared" si="448"/>
        <v>77</v>
      </c>
      <c r="XP19" s="46">
        <f t="shared" si="89"/>
        <v>2.819</v>
      </c>
      <c r="XQ19" s="46">
        <f t="shared" si="449"/>
        <v>1</v>
      </c>
      <c r="XR19" s="46">
        <f t="shared" si="450"/>
        <v>2</v>
      </c>
      <c r="XS19" s="46" cm="1">
        <f t="array" ref="XS19">ROUND(VALUE(IFERROR(INDEX(ArchiveResults!$F$5:$IX$116,ComparisonData!A19,ComparisonData!$XS$1),0)),5)</f>
        <v>0</v>
      </c>
      <c r="XT19" s="46" cm="1">
        <f t="array" ref="XT19">ROUND(VALUE(IFERROR(INDEX(ArchiveResults!$F$5:$IX$116,ComparisonData!A19,ComparisonData!$XT$1),0)),5)</f>
        <v>0</v>
      </c>
      <c r="XU19" s="56">
        <v>14</v>
      </c>
      <c r="XV19" s="53" t="str">
        <f t="shared" si="90"/>
        <v>Carmarthenshire Archives</v>
      </c>
      <c r="XW19" s="60">
        <f t="shared" si="451"/>
        <v>0</v>
      </c>
      <c r="XX19" s="60">
        <f t="shared" si="452"/>
        <v>0</v>
      </c>
      <c r="XY19" s="76">
        <f t="shared" si="453"/>
        <v>0</v>
      </c>
      <c r="XZ19" s="46">
        <f t="shared" si="454"/>
        <v>77</v>
      </c>
      <c r="YA19" s="46">
        <f t="shared" si="91"/>
        <v>2.819</v>
      </c>
      <c r="YB19" s="46">
        <f t="shared" si="455"/>
        <v>1</v>
      </c>
      <c r="YC19" s="46">
        <f t="shared" si="456"/>
        <v>2</v>
      </c>
      <c r="YD19" s="46" cm="1">
        <f t="array" ref="YD19">ROUND(VALUE(IFERROR(INDEX(ArchiveResults!$F$5:$IX$116,ComparisonData!A19,ComparisonData!$YD$1),0)),5)</f>
        <v>0</v>
      </c>
      <c r="YE19" s="46" cm="1">
        <f t="array" ref="YE19">ROUND(VALUE(IFERROR(INDEX(ArchiveResults!$F$5:$IX$116,ComparisonData!A19,ComparisonData!$YE$1),0)),5)</f>
        <v>0</v>
      </c>
      <c r="YF19" s="56">
        <v>14</v>
      </c>
      <c r="YG19" s="53" t="str">
        <f t="shared" si="92"/>
        <v>Carmarthenshire Archives</v>
      </c>
      <c r="YH19" s="60">
        <f t="shared" si="457"/>
        <v>0</v>
      </c>
      <c r="YI19" s="60">
        <f t="shared" si="458"/>
        <v>0</v>
      </c>
      <c r="YJ19" s="76">
        <f t="shared" si="459"/>
        <v>0</v>
      </c>
      <c r="YK19" s="46">
        <f t="shared" si="460"/>
        <v>77</v>
      </c>
      <c r="YL19" s="46">
        <f t="shared" si="93"/>
        <v>2.819</v>
      </c>
      <c r="YM19" s="46">
        <f t="shared" si="461"/>
        <v>1</v>
      </c>
      <c r="YN19" s="46">
        <f t="shared" si="462"/>
        <v>2</v>
      </c>
      <c r="YO19" s="46" cm="1">
        <f t="array" ref="YO19">ROUND(VALUE(IFERROR(INDEX(ArchiveResults!$F$5:$IX$116,ComparisonData!A19,ComparisonData!$YO$1),0)),5)</f>
        <v>0</v>
      </c>
      <c r="YP19" s="46" cm="1">
        <f t="array" ref="YP19">ROUND(VALUE(IFERROR(INDEX(ArchiveResults!$F$5:$IX$116,ComparisonData!A19,ComparisonData!$YP$1),0)),5)</f>
        <v>0</v>
      </c>
      <c r="YQ19" s="56">
        <v>14</v>
      </c>
      <c r="YR19" s="53" t="str">
        <f t="shared" si="94"/>
        <v>Carmarthenshire Archives</v>
      </c>
      <c r="YS19" s="60">
        <f t="shared" si="463"/>
        <v>0</v>
      </c>
      <c r="YT19" s="60">
        <f t="shared" si="464"/>
        <v>0</v>
      </c>
      <c r="YU19" s="76">
        <f t="shared" si="465"/>
        <v>0</v>
      </c>
      <c r="YV19" s="46">
        <f t="shared" si="466"/>
        <v>77</v>
      </c>
      <c r="YW19" s="46">
        <f t="shared" si="95"/>
        <v>2.819</v>
      </c>
      <c r="YX19" s="46">
        <f t="shared" si="467"/>
        <v>1</v>
      </c>
      <c r="YY19" s="46">
        <f t="shared" si="468"/>
        <v>2</v>
      </c>
      <c r="YZ19" s="46">
        <f t="shared" si="469"/>
        <v>0</v>
      </c>
      <c r="ZA19" s="46" cm="1">
        <f t="array" ref="ZA19">ROUNDDOWN(VALUE(IFERROR(INDEX(ArchiveResults!$F$5:$IX$116,ComparisonData!A19,ComparisonData!$ZA$1),0)),5)</f>
        <v>0</v>
      </c>
      <c r="ZB19" s="46" cm="1">
        <f t="array" ref="ZB19">ROUNDDOWN(VALUE(IFERROR(INDEX(ArchiveResults!$F$5:$IX$116,ComparisonData!A19,ComparisonData!$ZB$1),0)),5)</f>
        <v>0</v>
      </c>
      <c r="ZC19" s="46" cm="1">
        <f t="array" ref="ZC19">ROUNDDOWN(VALUE(IFERROR(INDEX(ArchiveResults!$F$5:$IX$116,ComparisonData!A19,ComparisonData!$ZC$1),0)),5)</f>
        <v>0</v>
      </c>
      <c r="ZD19" s="46" cm="1">
        <f t="array" ref="ZD19">ROUNDDOWN(VALUE(IFERROR(INDEX(ArchiveResults!$F$5:$IX$116,ComparisonData!A19,ComparisonData!$ZD$1),0)),5)</f>
        <v>0</v>
      </c>
      <c r="ZE19" s="46" cm="1">
        <f t="array" ref="ZE19">ROUNDDOWN(VALUE(IFERROR(INDEX(ArchiveResults!$F$5:$IX$116,ComparisonData!A19,ComparisonData!$ZE$1),0)),5)</f>
        <v>0</v>
      </c>
      <c r="ZF19" s="56">
        <v>14</v>
      </c>
      <c r="ZG19" s="53" t="str">
        <f t="shared" si="96"/>
        <v>Carmarthenshire Archives</v>
      </c>
      <c r="ZH19" s="60">
        <f t="shared" si="470"/>
        <v>0</v>
      </c>
      <c r="ZI19" s="60">
        <f t="shared" si="471"/>
        <v>0</v>
      </c>
      <c r="ZJ19" s="60">
        <f t="shared" si="472"/>
        <v>0</v>
      </c>
      <c r="ZK19" s="60">
        <f t="shared" si="473"/>
        <v>0</v>
      </c>
      <c r="ZL19" s="60">
        <f t="shared" si="474"/>
        <v>0</v>
      </c>
      <c r="ZM19" s="76">
        <f t="shared" si="475"/>
        <v>0</v>
      </c>
      <c r="ZN19" s="46">
        <f t="shared" si="476"/>
        <v>77</v>
      </c>
      <c r="ZO19" s="46">
        <f t="shared" si="97"/>
        <v>2.819</v>
      </c>
      <c r="ZP19" s="46">
        <f t="shared" si="477"/>
        <v>1</v>
      </c>
      <c r="ZQ19" s="46">
        <f t="shared" si="478"/>
        <v>2</v>
      </c>
      <c r="ZR19" s="46" cm="1">
        <f t="array" ref="ZR19">ROUND(VALUE(IFERROR(INDEX(ArchiveResults!$F$5:$IX$116,ComparisonData!A19,ComparisonData!$ZR$1),0)),5)</f>
        <v>0</v>
      </c>
      <c r="ZS19" s="56">
        <v>14</v>
      </c>
      <c r="ZT19" s="53" t="str">
        <f t="shared" si="98"/>
        <v>Carmarthenshire Archives</v>
      </c>
      <c r="ZU19" s="46">
        <f t="shared" si="479"/>
        <v>0</v>
      </c>
      <c r="ZV19" s="76">
        <f t="shared" si="480"/>
        <v>0</v>
      </c>
      <c r="ZW19" s="81" cm="1">
        <f t="array" ref="ZW19">ROUND((IFERROR(INDEX(ArchiveResults!$F$5:$IX$116,ComparisonData!A19,ComparisonData!$ZW$1),0)),5)</f>
        <v>0</v>
      </c>
      <c r="ZX19" s="81" cm="1">
        <f t="array" ref="ZX19">ROUND((IFERROR(INDEX(ArchiveResults!$F$5:$IX$116,ComparisonData!A19,ComparisonData!$ZX$1),0)),5)</f>
        <v>0</v>
      </c>
      <c r="ZY19" s="81" cm="1">
        <f t="array" ref="ZY19">ROUND((IFERROR(INDEX(ArchiveResults!$F$5:$IX$116,ComparisonData!A19,ComparisonData!$ZY$1),0)),5)</f>
        <v>0</v>
      </c>
      <c r="ZZ19" s="81" cm="1">
        <f t="array" ref="ZZ19">ROUND((IFERROR(INDEX(ArchiveResults!$F$5:$IX$116,ComparisonData!A19,ComparisonData!$ZZ$1),0)),5)</f>
        <v>0</v>
      </c>
      <c r="AAA19" s="81" cm="1">
        <f t="array" ref="AAA19">ROUND((IFERROR(INDEX(ArchiveResults!$F$5:$IX$116,ComparisonData!A19,ComparisonData!$AAA$1),0)),5)</f>
        <v>0</v>
      </c>
      <c r="AAB19" s="81" cm="1">
        <f t="array" ref="AAB19">ROUND((IFERROR(INDEX(ArchiveResults!$F$5:$IX$116,ComparisonData!A19,ComparisonData!$AAB$1),0)),5)</f>
        <v>0</v>
      </c>
      <c r="AAC19" s="81" cm="1">
        <f t="array" ref="AAC19">ROUND((IFERROR(INDEX(ArchiveResults!$F$5:$IX$116,ComparisonData!A19,ComparisonData!$AAC$1),0)),5)</f>
        <v>0</v>
      </c>
      <c r="AAD19" s="81" cm="1">
        <f t="array" ref="AAD19">ROUND((IFERROR(INDEX(ArchiveResults!$F$5:$IX$116,ComparisonData!A19,ComparisonData!$AAD$1),0)),5)</f>
        <v>0</v>
      </c>
      <c r="AAE19" s="81" cm="1">
        <f t="array" ref="AAE19">ROUND((IFERROR(INDEX(ArchiveResults!$F$5:$IX$116,ComparisonData!A19,ComparisonData!$AAE$1),0)),5)</f>
        <v>0</v>
      </c>
      <c r="AAF19" s="81" cm="1">
        <f t="array" ref="AAF19">ROUND((IFERROR(INDEX(ArchiveResults!$F$5:$IX$116,ComparisonData!A19,ComparisonData!$AAF$1),0)),5)</f>
        <v>0</v>
      </c>
      <c r="AAG19" s="46">
        <f t="shared" si="481"/>
        <v>77</v>
      </c>
      <c r="AAH19" s="46">
        <f t="shared" si="99"/>
        <v>2.819</v>
      </c>
      <c r="AAI19" s="46">
        <f t="shared" si="482"/>
        <v>1</v>
      </c>
      <c r="AAJ19" s="46">
        <f t="shared" si="483"/>
        <v>2</v>
      </c>
      <c r="AAK19" s="46">
        <f t="shared" si="484"/>
        <v>0</v>
      </c>
      <c r="AAL19" s="46">
        <f t="shared" si="485"/>
        <v>0</v>
      </c>
      <c r="AAM19" s="46">
        <f t="shared" si="486"/>
        <v>0</v>
      </c>
      <c r="AAN19" s="46">
        <f t="shared" si="487"/>
        <v>0</v>
      </c>
      <c r="AAO19" s="46">
        <f t="shared" si="488"/>
        <v>0</v>
      </c>
      <c r="AAP19" s="46">
        <f t="shared" si="489"/>
        <v>0</v>
      </c>
      <c r="AAQ19" s="56">
        <v>14</v>
      </c>
      <c r="AAR19" s="53" t="str">
        <f t="shared" si="100"/>
        <v>Carmarthenshire Archives</v>
      </c>
      <c r="AAS19" s="60">
        <f t="shared" si="490"/>
        <v>0</v>
      </c>
      <c r="AAT19" s="60">
        <f t="shared" si="491"/>
        <v>0</v>
      </c>
      <c r="AAU19" s="60">
        <f t="shared" si="492"/>
        <v>0</v>
      </c>
      <c r="AAV19" s="60">
        <f t="shared" si="493"/>
        <v>0</v>
      </c>
      <c r="AAW19" s="60">
        <f t="shared" si="494"/>
        <v>0</v>
      </c>
      <c r="AAX19" s="76">
        <f t="shared" si="495"/>
        <v>0</v>
      </c>
      <c r="AAY19" s="46">
        <f t="shared" si="496"/>
        <v>77</v>
      </c>
      <c r="AAZ19" s="46">
        <f t="shared" si="101"/>
        <v>2.819</v>
      </c>
      <c r="ABA19" s="46">
        <f t="shared" si="497"/>
        <v>1</v>
      </c>
      <c r="ABB19" s="46">
        <f t="shared" si="498"/>
        <v>2</v>
      </c>
      <c r="ABC19" s="46">
        <f t="shared" si="102"/>
        <v>0</v>
      </c>
      <c r="ABD19" s="46" cm="1">
        <f t="array" ref="ABD19">ROUND(VALUE(IFERROR(INDEX(ArchiveResults!$F$5:$IX$116,ComparisonData!A19,ComparisonData!$ABD$1),0)),5)</f>
        <v>0</v>
      </c>
      <c r="ABE19" s="46" cm="1">
        <f t="array" ref="ABE19">ROUND(VALUE(IFERROR(INDEX(ArchiveResults!$F$5:$IX$116,ComparisonData!A19,ComparisonData!$ABE$1),0)),5)</f>
        <v>0</v>
      </c>
      <c r="ABF19" s="46" cm="1">
        <f t="array" ref="ABF19">ROUND(VALUE(IFERROR(INDEX(ArchiveResults!$F$5:$IX$116,ComparisonData!A19,ComparisonData!$ABF$1),0)),5)</f>
        <v>0</v>
      </c>
      <c r="ABG19" s="46" cm="1">
        <f t="array" ref="ABG19">ROUND(VALUE(IFERROR(INDEX(ArchiveResults!$F$5:$IX$116,ComparisonData!A19,ComparisonData!$ABG$1),0)),5)</f>
        <v>0</v>
      </c>
      <c r="ABH19" s="46" cm="1">
        <f t="array" ref="ABH19">ROUND(VALUE(IFERROR(INDEX(ArchiveResults!$F$5:$IX$116,ComparisonData!A19,ComparisonData!$ABH$1),0)),5)</f>
        <v>0</v>
      </c>
      <c r="ABI19" s="56">
        <v>14</v>
      </c>
      <c r="ABJ19" s="53" t="str">
        <f t="shared" si="103"/>
        <v>Carmarthenshire Archives</v>
      </c>
      <c r="ABK19" s="60">
        <f t="shared" si="499"/>
        <v>0</v>
      </c>
      <c r="ABL19" s="60">
        <f t="shared" si="500"/>
        <v>0</v>
      </c>
      <c r="ABM19" s="60">
        <f t="shared" si="501"/>
        <v>0</v>
      </c>
      <c r="ABN19" s="60">
        <f t="shared" si="502"/>
        <v>0</v>
      </c>
      <c r="ABO19" s="60">
        <f t="shared" si="503"/>
        <v>0</v>
      </c>
      <c r="ABP19" s="76">
        <f t="shared" si="504"/>
        <v>0</v>
      </c>
      <c r="ABQ19" s="46">
        <f t="shared" si="505"/>
        <v>77</v>
      </c>
      <c r="ABR19" s="46">
        <f t="shared" si="104"/>
        <v>2.819</v>
      </c>
      <c r="ABS19" s="46">
        <f t="shared" si="506"/>
        <v>1</v>
      </c>
      <c r="ABT19" s="46">
        <f t="shared" si="507"/>
        <v>2</v>
      </c>
      <c r="ABU19" s="46" cm="1">
        <f t="array" ref="ABU19">ROUND(VALUE(IFERROR(INDEX(ArchiveResults!$F$5:$IX$116,ComparisonData!A19,ComparisonData!$ABU$1),0)),5)</f>
        <v>0</v>
      </c>
      <c r="ABV19" s="46" cm="1">
        <f t="array" ref="ABV19">ROUND(VALUE(IFERROR(INDEX(ArchiveResults!$F$5:$IX$116,ComparisonData!A19,ComparisonData!$ABV$1),0)),5)</f>
        <v>0</v>
      </c>
      <c r="ABW19" s="46" cm="1">
        <f t="array" ref="ABW19">ROUND(VALUE(IFERROR(INDEX(ArchiveResults!$F$5:$IX$116,ComparisonData!A19,ComparisonData!$ABW$1),0)),5)</f>
        <v>0</v>
      </c>
      <c r="ABX19" s="46" cm="1">
        <f t="array" ref="ABX19">ROUND(VALUE(IFERROR(INDEX(ArchiveResults!$F$5:$IX$116,ComparisonData!A19,ComparisonData!$ABX$1),0)),5)</f>
        <v>0</v>
      </c>
      <c r="ABY19" s="46" cm="1">
        <f t="array" ref="ABY19">ROUND(VALUE(IFERROR(INDEX(ArchiveResults!$F$5:$IX$116,ComparisonData!A19,ComparisonData!$ABY$1),0)),5)</f>
        <v>0</v>
      </c>
      <c r="ABZ19" s="56">
        <v>14</v>
      </c>
      <c r="ACA19" s="53" t="str">
        <f t="shared" si="105"/>
        <v>Carmarthenshire Archives</v>
      </c>
      <c r="ACB19" s="60">
        <f t="shared" si="508"/>
        <v>0</v>
      </c>
      <c r="ACC19" s="60">
        <f t="shared" si="509"/>
        <v>0</v>
      </c>
      <c r="ACD19" s="60">
        <f t="shared" si="510"/>
        <v>0</v>
      </c>
      <c r="ACE19" s="60">
        <f t="shared" si="511"/>
        <v>0</v>
      </c>
      <c r="ACF19" s="60">
        <f t="shared" si="512"/>
        <v>0</v>
      </c>
      <c r="ACG19" s="76">
        <f t="shared" si="513"/>
        <v>0</v>
      </c>
      <c r="ACH19" s="46">
        <f t="shared" si="514"/>
        <v>77</v>
      </c>
      <c r="ACI19" s="46">
        <f t="shared" si="106"/>
        <v>2.819</v>
      </c>
      <c r="ACJ19" s="46">
        <f t="shared" si="515"/>
        <v>1</v>
      </c>
      <c r="ACK19" s="46">
        <f t="shared" si="516"/>
        <v>2</v>
      </c>
      <c r="ACL19" s="46">
        <f t="shared" si="517"/>
        <v>0</v>
      </c>
      <c r="ACM19" s="46" cm="1">
        <f t="array" ref="ACM19">ROUND(IFERROR(INDEX(ArchiveResults!$F$5:$IX$116,ComparisonData!A19,ComparisonData!$ACM$1),0),5)</f>
        <v>0</v>
      </c>
      <c r="ACN19" s="46" cm="1">
        <f t="array" ref="ACN19">ROUND(IFERROR(INDEX(ArchiveResults!$F$5:$IX$116,ComparisonData!A19,ComparisonData!$ACN$1),0),5)</f>
        <v>0</v>
      </c>
      <c r="ACO19" s="56">
        <v>14</v>
      </c>
      <c r="ACP19" s="53" t="str">
        <f t="shared" si="107"/>
        <v>Carmarthenshire Archives</v>
      </c>
      <c r="ACQ19" s="60">
        <f t="shared" si="518"/>
        <v>0</v>
      </c>
      <c r="ACR19" s="60">
        <f t="shared" si="519"/>
        <v>0</v>
      </c>
      <c r="ACS19" s="76">
        <f t="shared" si="520"/>
        <v>0</v>
      </c>
      <c r="ACT19" s="46">
        <f t="shared" si="521"/>
        <v>77</v>
      </c>
      <c r="ACU19" s="46">
        <f t="shared" si="108"/>
        <v>2.819</v>
      </c>
      <c r="ACV19" s="46">
        <f t="shared" si="522"/>
        <v>1</v>
      </c>
      <c r="ACW19" s="46">
        <f t="shared" si="523"/>
        <v>2</v>
      </c>
      <c r="ACX19" s="46">
        <f t="shared" si="524"/>
        <v>0</v>
      </c>
      <c r="ACY19" s="46" cm="1">
        <f t="array" ref="ACY19">ROUNDDOWN(IFERROR(INDEX(ArchiveResults!$F$5:$IX$116,ComparisonData!A19,ComparisonData!$ACY$1),0),5)</f>
        <v>0</v>
      </c>
      <c r="ACZ19" s="46" cm="1">
        <f t="array" ref="ACZ19">ROUNDDOWN(IFERROR(INDEX(ArchiveResults!$F$5:$IX$116,ComparisonData!A19,ComparisonData!$ACZ$1),0),5)</f>
        <v>0</v>
      </c>
      <c r="ADA19" s="46" cm="1">
        <f t="array" ref="ADA19">ROUNDDOWN(IFERROR(INDEX(ArchiveResults!$F$5:$IX$116,ComparisonData!A19,ComparisonData!$ADA$1),0),5)</f>
        <v>0</v>
      </c>
      <c r="ADB19" s="56">
        <v>14</v>
      </c>
      <c r="ADC19" s="53" t="str">
        <f t="shared" si="109"/>
        <v>Carmarthenshire Archives</v>
      </c>
      <c r="ADD19" s="60">
        <f t="shared" si="525"/>
        <v>0</v>
      </c>
      <c r="ADE19" s="60">
        <f t="shared" si="526"/>
        <v>0</v>
      </c>
      <c r="ADF19" s="60">
        <f t="shared" si="527"/>
        <v>0</v>
      </c>
      <c r="ADG19" s="76">
        <f t="shared" si="528"/>
        <v>0</v>
      </c>
    </row>
    <row r="20" spans="1:787" x14ac:dyDescent="0.25">
      <c r="A20" s="46" t="str">
        <f>IF(ISBLANK(ComparisonSelection!F16),"",ROW()-5)</f>
        <v/>
      </c>
      <c r="B20" s="53" t="s">
        <v>599</v>
      </c>
      <c r="C20" s="72">
        <v>0.76899999999999979</v>
      </c>
      <c r="D20" s="55">
        <f t="shared" si="110"/>
        <v>67</v>
      </c>
      <c r="E20" s="54">
        <f t="shared" si="111"/>
        <v>2.7689999999999997</v>
      </c>
      <c r="F20" s="54">
        <f t="shared" si="529"/>
        <v>1</v>
      </c>
      <c r="G20" s="72">
        <f t="shared" si="112"/>
        <v>2</v>
      </c>
      <c r="H20" s="72">
        <f t="shared" si="113"/>
        <v>0</v>
      </c>
      <c r="I20" s="46" cm="1">
        <f t="array" ref="I20">ROUND(IFERROR(INDEX(ArchiveResults!$F$5:$IX$116,ComparisonData!A20,ComparisonData!$I$1),0),5)</f>
        <v>0</v>
      </c>
      <c r="J20" s="46" cm="1">
        <f t="array" ref="J20">ROUND(IFERROR(INDEX(ArchiveResults!$F$5:$IX$116,ComparisonData!A20,ComparisonData!$J$1),0),5)</f>
        <v>0</v>
      </c>
      <c r="K20" s="56">
        <v>15</v>
      </c>
      <c r="L20" s="53" t="str">
        <f t="shared" si="114"/>
        <v>Ceredigion Archives</v>
      </c>
      <c r="M20" s="57">
        <f t="shared" si="0"/>
        <v>0</v>
      </c>
      <c r="N20" s="57">
        <f t="shared" si="1"/>
        <v>0</v>
      </c>
      <c r="O20" s="58">
        <f t="shared" si="115"/>
        <v>0</v>
      </c>
      <c r="P20" s="48">
        <f t="shared" si="116"/>
        <v>67</v>
      </c>
      <c r="Q20" s="54">
        <f t="shared" si="2"/>
        <v>2.7689999999999997</v>
      </c>
      <c r="R20" s="45">
        <f t="shared" si="117"/>
        <v>1</v>
      </c>
      <c r="S20" s="46">
        <f t="shared" si="118"/>
        <v>2</v>
      </c>
      <c r="T20" s="72">
        <f t="shared" si="119"/>
        <v>0</v>
      </c>
      <c r="U20" s="46" cm="1">
        <f t="array" ref="U20">ROUND(IFERROR(INDEX(ArchiveResults!$F$5:$IX$116,ComparisonData!A20,ComparisonData!$U$1),0),5)</f>
        <v>0</v>
      </c>
      <c r="V20" s="46" cm="1">
        <f t="array" ref="V20">ROUND(IFERROR(INDEX(ArchiveResults!$F$5:$IX$116,ComparisonData!A20,ComparisonData!$V$1),0),5)</f>
        <v>0</v>
      </c>
      <c r="W20" s="56">
        <v>15</v>
      </c>
      <c r="X20" s="53" t="str">
        <f t="shared" si="3"/>
        <v>Ceredigion Archives</v>
      </c>
      <c r="Y20" s="57">
        <f t="shared" si="120"/>
        <v>0</v>
      </c>
      <c r="Z20" s="57">
        <f t="shared" si="121"/>
        <v>0</v>
      </c>
      <c r="AA20" s="58">
        <f t="shared" si="122"/>
        <v>0</v>
      </c>
      <c r="AB20" s="45">
        <f t="shared" si="123"/>
        <v>67</v>
      </c>
      <c r="AC20" s="54">
        <f t="shared" si="4"/>
        <v>2.7689999999999997</v>
      </c>
      <c r="AD20" s="45">
        <f t="shared" si="124"/>
        <v>1</v>
      </c>
      <c r="AE20" s="45">
        <f t="shared" si="125"/>
        <v>2</v>
      </c>
      <c r="AF20" s="45">
        <f t="shared" si="126"/>
        <v>0</v>
      </c>
      <c r="AG20" s="46" cm="1">
        <f t="array" ref="AG20">ROUND(IFERROR(INDEX(ArchiveResults!$F$5:$IX$116,ComparisonData!A20,ComparisonData!$AG$1),0),5)</f>
        <v>0</v>
      </c>
      <c r="AH20" s="46" cm="1">
        <f t="array" ref="AH20">ROUND(IFERROR(INDEX(ArchiveResults!$F$5:$IX$116,ComparisonData!A20,ComparisonData!$AH$1),0),5)</f>
        <v>0</v>
      </c>
      <c r="AI20" s="56">
        <v>15</v>
      </c>
      <c r="AJ20" s="53" t="str">
        <f t="shared" si="5"/>
        <v>Ceredigion Archives</v>
      </c>
      <c r="AK20" s="59">
        <f t="shared" si="6"/>
        <v>0</v>
      </c>
      <c r="AL20" s="59">
        <f t="shared" si="7"/>
        <v>0</v>
      </c>
      <c r="AM20" s="58">
        <f t="shared" si="127"/>
        <v>0</v>
      </c>
      <c r="AN20" s="45">
        <f t="shared" si="128"/>
        <v>67</v>
      </c>
      <c r="AO20" s="54">
        <f t="shared" si="8"/>
        <v>2.7689999999999997</v>
      </c>
      <c r="AP20" s="45">
        <f t="shared" si="129"/>
        <v>1</v>
      </c>
      <c r="AQ20" s="45">
        <f t="shared" si="130"/>
        <v>2</v>
      </c>
      <c r="AR20" s="46" cm="1">
        <f t="array" ref="AR20">ROUND(IFERROR(INDEX(ArchiveResults!$F$5:$IX$116,ComparisonData!A20,ComparisonData!$AR$1),0),5)</f>
        <v>0</v>
      </c>
      <c r="AS20" s="46" cm="1">
        <f t="array" ref="AS20">ROUND(IFERROR(INDEX(ArchiveResults!$F$5:$IX$116,ComparisonData!A20,ComparisonData!$AS$1),0),5)</f>
        <v>0</v>
      </c>
      <c r="AT20" s="46" cm="1">
        <f t="array" ref="AT20">ROUND(IFERROR(INDEX(ArchiveResults!$F$5:$IX$116,ComparisonData!A20,ComparisonData!$AT$1),0),5)</f>
        <v>0</v>
      </c>
      <c r="AU20" s="46" cm="1">
        <f t="array" ref="AU20">ROUND(IFERROR(INDEX(ArchiveResults!$F$5:$IX$116,ComparisonData!A20,ComparisonData!$AU$1),0),5)</f>
        <v>0</v>
      </c>
      <c r="AV20" s="46" cm="1">
        <f t="array" ref="AV20">ROUND(IFERROR(INDEX(ArchiveResults!$F$5:$IX$116,ComparisonData!A20,ComparisonData!$AV$1),0),5)</f>
        <v>0</v>
      </c>
      <c r="AW20" s="46" cm="1">
        <f t="array" ref="AW20">ROUND(IFERROR(INDEX(ArchiveResults!$F$5:$IX$116,ComparisonData!A20,ComparisonData!$AW$1),0),5)</f>
        <v>0</v>
      </c>
      <c r="AX20" s="46" cm="1">
        <f t="array" ref="AX20">ROUND(IFERROR(INDEX(ArchiveResults!$F$5:$IX$116,ComparisonData!A20,ComparisonData!$AX$1),0),5)</f>
        <v>0</v>
      </c>
      <c r="AY20" s="46" cm="1">
        <f t="array" ref="AY20">ROUND(IFERROR(INDEX(ArchiveResults!$F$5:$IX$116,ComparisonData!A20,ComparisonData!$AY$1),0),5)</f>
        <v>0</v>
      </c>
      <c r="AZ20" s="46" cm="1">
        <f t="array" ref="AZ20">ROUND(IFERROR(INDEX(ArchiveResults!$F$5:$IX$116,ComparisonData!A20,ComparisonData!$AZ$1),0),5)</f>
        <v>0</v>
      </c>
      <c r="BA20" s="46" cm="1">
        <f t="array" ref="BA20">ROUND(IFERROR(INDEX(ArchiveResults!$F$5:$IX$116,ComparisonData!A20,ComparisonData!$BA$1),0),5)</f>
        <v>0</v>
      </c>
      <c r="BB20" s="56">
        <v>15</v>
      </c>
      <c r="BC20" s="53" t="str">
        <f t="shared" si="9"/>
        <v>Ceredigion Archives</v>
      </c>
      <c r="BD20" s="60">
        <f t="shared" si="131"/>
        <v>0</v>
      </c>
      <c r="BE20" s="60">
        <f t="shared" si="132"/>
        <v>0</v>
      </c>
      <c r="BF20" s="60">
        <f t="shared" si="133"/>
        <v>0</v>
      </c>
      <c r="BG20" s="60">
        <f t="shared" si="134"/>
        <v>0</v>
      </c>
      <c r="BH20" s="60">
        <f t="shared" si="135"/>
        <v>0</v>
      </c>
      <c r="BI20" s="60">
        <f t="shared" si="136"/>
        <v>0</v>
      </c>
      <c r="BJ20" s="60">
        <f t="shared" si="137"/>
        <v>0</v>
      </c>
      <c r="BK20" s="60">
        <f t="shared" si="138"/>
        <v>0</v>
      </c>
      <c r="BL20" s="60">
        <f t="shared" si="139"/>
        <v>0</v>
      </c>
      <c r="BM20" s="59">
        <f t="shared" si="140"/>
        <v>0</v>
      </c>
      <c r="BN20" s="58">
        <f t="shared" si="141"/>
        <v>0</v>
      </c>
      <c r="BO20" s="45">
        <f t="shared" si="142"/>
        <v>67</v>
      </c>
      <c r="BP20" s="54">
        <f t="shared" si="10"/>
        <v>2.7689999999999997</v>
      </c>
      <c r="BQ20" s="45">
        <f t="shared" si="143"/>
        <v>1</v>
      </c>
      <c r="BR20" s="45">
        <f t="shared" si="144"/>
        <v>2</v>
      </c>
      <c r="BS20" s="46" cm="1">
        <f t="array" ref="BS20">ROUND(IFERROR(INDEX(ArchiveResults!$F$5:$IX$116,ComparisonData!A20,ComparisonData!$BS$1),0),5)</f>
        <v>0</v>
      </c>
      <c r="BT20" s="46" cm="1">
        <f t="array" ref="BT20">ROUND(IFERROR(INDEX(ArchiveResults!$F$5:$IX$116,ComparisonData!A20,ComparisonData!$BT$1),0),5)</f>
        <v>0</v>
      </c>
      <c r="BU20" s="46" cm="1">
        <f t="array" ref="BU20">ROUND(IFERROR(INDEX(ArchiveResults!$F$5:$IX$116,ComparisonData!A20,ComparisonData!$BU$1),0),5)</f>
        <v>0</v>
      </c>
      <c r="BV20" s="46" cm="1">
        <f t="array" ref="BV20">ROUND(IFERROR(INDEX(ArchiveResults!$F$5:$IX$116,ComparisonData!A20,ComparisonData!$BV$1),0),5)</f>
        <v>0</v>
      </c>
      <c r="BW20" s="46" cm="1">
        <f t="array" ref="BW20">ROUND(IFERROR(INDEX(ArchiveResults!$F$5:$IX$116,ComparisonData!A20,ComparisonData!$BW$1),0),5)</f>
        <v>0</v>
      </c>
      <c r="BX20" s="46" cm="1">
        <f t="array" ref="BX20">ROUND(IFERROR(INDEX(ArchiveResults!$F$5:$IX$116,ComparisonData!A20,ComparisonData!$BX$1),0),5)</f>
        <v>0</v>
      </c>
      <c r="BY20" s="56">
        <v>15</v>
      </c>
      <c r="BZ20" s="53" t="str">
        <f t="shared" si="11"/>
        <v>Ceredigion Archives</v>
      </c>
      <c r="CA20" s="59">
        <f t="shared" si="145"/>
        <v>0</v>
      </c>
      <c r="CB20" s="59">
        <f t="shared" si="146"/>
        <v>0</v>
      </c>
      <c r="CC20" s="59">
        <f t="shared" si="147"/>
        <v>0</v>
      </c>
      <c r="CD20" s="59">
        <f t="shared" si="148"/>
        <v>0</v>
      </c>
      <c r="CE20" s="59">
        <f t="shared" si="149"/>
        <v>0</v>
      </c>
      <c r="CF20" s="59">
        <f t="shared" si="150"/>
        <v>0</v>
      </c>
      <c r="CG20" s="58">
        <f t="shared" si="151"/>
        <v>0</v>
      </c>
      <c r="CH20" s="45">
        <f t="shared" si="152"/>
        <v>67</v>
      </c>
      <c r="CI20" s="54">
        <f t="shared" si="12"/>
        <v>2.7689999999999997</v>
      </c>
      <c r="CJ20" s="45">
        <f t="shared" si="153"/>
        <v>1</v>
      </c>
      <c r="CK20" s="45">
        <f t="shared" si="154"/>
        <v>2</v>
      </c>
      <c r="CL20" s="46" cm="1">
        <f t="array" ref="CL20">ROUND(IFERROR(INDEX(ArchiveResults!$F$5:$IX$116,ComparisonData!A20,ComparisonData!$CL$1),0),5)</f>
        <v>0</v>
      </c>
      <c r="CM20" s="56">
        <v>15</v>
      </c>
      <c r="CN20" s="53" t="str">
        <f t="shared" si="13"/>
        <v>Ceredigion Archives</v>
      </c>
      <c r="CO20" s="45">
        <f t="shared" si="155"/>
        <v>0</v>
      </c>
      <c r="CP20" s="58">
        <f t="shared" si="156"/>
        <v>0</v>
      </c>
      <c r="CQ20" s="45">
        <f t="shared" si="157"/>
        <v>67</v>
      </c>
      <c r="CR20" s="54">
        <f t="shared" si="14"/>
        <v>2.7689999999999997</v>
      </c>
      <c r="CS20" s="45">
        <f t="shared" si="158"/>
        <v>1</v>
      </c>
      <c r="CT20" s="45">
        <f t="shared" si="159"/>
        <v>2</v>
      </c>
      <c r="CU20" s="46" cm="1">
        <f t="array" ref="CU20">ROUND(IFERROR(INDEX(ArchiveResults!$F$5:$IX$116,ComparisonData!A20,ComparisonData!$CU$1),0),5)</f>
        <v>0</v>
      </c>
      <c r="CV20" s="56">
        <v>15</v>
      </c>
      <c r="CW20" s="53" t="str">
        <f t="shared" si="15"/>
        <v>Ceredigion Archives</v>
      </c>
      <c r="CX20" s="45">
        <f t="shared" si="160"/>
        <v>0</v>
      </c>
      <c r="CY20" s="58">
        <f t="shared" si="161"/>
        <v>0</v>
      </c>
      <c r="CZ20" s="45">
        <f t="shared" si="162"/>
        <v>67</v>
      </c>
      <c r="DA20" s="54">
        <f t="shared" si="16"/>
        <v>2.7689999999999997</v>
      </c>
      <c r="DB20" s="45">
        <f t="shared" si="163"/>
        <v>1</v>
      </c>
      <c r="DC20" s="45">
        <f t="shared" si="164"/>
        <v>2</v>
      </c>
      <c r="DD20" s="46" cm="1">
        <f t="array" ref="DD20">ROUND(IFERROR(INDEX(ArchiveResults!$F$5:$IX$116,ComparisonData!A20,ComparisonData!$DD$1),0),5)</f>
        <v>0</v>
      </c>
      <c r="DE20" s="56">
        <v>15</v>
      </c>
      <c r="DF20" s="53" t="str">
        <f t="shared" si="17"/>
        <v>Ceredigion Archives</v>
      </c>
      <c r="DG20" s="45">
        <f t="shared" si="165"/>
        <v>0</v>
      </c>
      <c r="DH20" s="58">
        <f t="shared" si="166"/>
        <v>0</v>
      </c>
      <c r="DI20" s="45">
        <f t="shared" si="167"/>
        <v>67</v>
      </c>
      <c r="DJ20" s="54">
        <f t="shared" si="18"/>
        <v>2.7689999999999997</v>
      </c>
      <c r="DK20" s="45">
        <f t="shared" si="168"/>
        <v>1</v>
      </c>
      <c r="DL20" s="45">
        <f t="shared" si="169"/>
        <v>2</v>
      </c>
      <c r="DM20" s="46" cm="1">
        <f t="array" ref="DM20">ROUND(IFERROR(INDEX(ArchiveResults!$F$5:$IX$116,ComparisonData!A20,ComparisonData!$DM$1),0),5)</f>
        <v>0</v>
      </c>
      <c r="DN20" s="46" cm="1">
        <f t="array" ref="DN20">ROUND(IFERROR(INDEX(ArchiveResults!$F$5:$IX$116,ComparisonData!A20,ComparisonData!$DN$1),0),5)</f>
        <v>0</v>
      </c>
      <c r="DO20" s="46" cm="1">
        <f t="array" ref="DO20">ROUND(IFERROR(INDEX(ArchiveResults!$F$5:$IX$116,ComparisonData!A20,ComparisonData!$DO$1),0),5)</f>
        <v>0</v>
      </c>
      <c r="DP20" s="46" cm="1">
        <f t="array" ref="DP20">ROUND(IFERROR(INDEX(ArchiveResults!$F$5:$IX$116,ComparisonData!A20,ComparisonData!$DP$1),0),5)</f>
        <v>0</v>
      </c>
      <c r="DQ20" s="45" cm="1">
        <f t="array" ref="DQ20">IFERROR(INDEX(ArchiveResults!$F$5:$IX$116,ComparisonData!A20,ComparisonData!$DQ$1),0)</f>
        <v>0</v>
      </c>
      <c r="DR20" s="56">
        <v>15</v>
      </c>
      <c r="DS20" s="53" t="str">
        <f t="shared" si="19"/>
        <v>Ceredigion Archives</v>
      </c>
      <c r="DT20" s="59">
        <f t="shared" si="170"/>
        <v>0</v>
      </c>
      <c r="DU20" s="59">
        <f t="shared" si="171"/>
        <v>0</v>
      </c>
      <c r="DV20" s="59">
        <f t="shared" si="172"/>
        <v>0</v>
      </c>
      <c r="DW20" s="59">
        <f t="shared" si="173"/>
        <v>0</v>
      </c>
      <c r="DX20" s="59">
        <f t="shared" si="174"/>
        <v>0</v>
      </c>
      <c r="DY20" s="58">
        <f t="shared" si="175"/>
        <v>0</v>
      </c>
      <c r="DZ20" s="45">
        <f t="shared" si="176"/>
        <v>67</v>
      </c>
      <c r="EA20" s="54">
        <f t="shared" si="20"/>
        <v>2.7689999999999997</v>
      </c>
      <c r="EB20" s="45">
        <f t="shared" si="177"/>
        <v>1</v>
      </c>
      <c r="EC20" s="45">
        <f t="shared" si="178"/>
        <v>2</v>
      </c>
      <c r="ED20" s="46" cm="1">
        <f t="array" ref="ED20">ROUND(IFERROR(INDEX(ArchiveResults!$F$5:$IX$116,ComparisonData!A20,ComparisonData!$ED$1),0),5)</f>
        <v>0</v>
      </c>
      <c r="EE20" s="46" cm="1">
        <f t="array" ref="EE20">ROUND(IFERROR(INDEX(ArchiveResults!$F$5:$IX$116,ComparisonData!A20,ComparisonData!$EE$1),0),5)</f>
        <v>0</v>
      </c>
      <c r="EF20" s="46" cm="1">
        <f t="array" ref="EF20">ROUND(IFERROR(INDEX(ArchiveResults!$F$5:$IX$116,ComparisonData!A20,ComparisonData!$EF$1),0),5)</f>
        <v>0</v>
      </c>
      <c r="EG20" s="46" cm="1">
        <f t="array" ref="EG20">ROUND(IFERROR(INDEX(ArchiveResults!$F$5:$IX$116,ComparisonData!A20,ComparisonData!$EG$1),0),5)</f>
        <v>0</v>
      </c>
      <c r="EH20" s="45" cm="1">
        <f t="array" ref="EH20">IFERROR(INDEX(ArchiveResults!$F$5:$IX$116,ComparisonData!A20,ComparisonData!$EH$1),0)</f>
        <v>0</v>
      </c>
      <c r="EI20" s="56">
        <v>15</v>
      </c>
      <c r="EJ20" s="53" t="str">
        <f t="shared" si="21"/>
        <v>Ceredigion Archives</v>
      </c>
      <c r="EK20" s="59">
        <f t="shared" si="179"/>
        <v>0</v>
      </c>
      <c r="EL20" s="59">
        <f t="shared" si="180"/>
        <v>0</v>
      </c>
      <c r="EM20" s="59">
        <f t="shared" si="181"/>
        <v>0</v>
      </c>
      <c r="EN20" s="59">
        <f t="shared" si="182"/>
        <v>0</v>
      </c>
      <c r="EO20" s="59">
        <f t="shared" si="183"/>
        <v>0</v>
      </c>
      <c r="EP20" s="58">
        <f t="shared" si="184"/>
        <v>0</v>
      </c>
      <c r="EQ20" s="45">
        <f t="shared" si="185"/>
        <v>67</v>
      </c>
      <c r="ER20" s="54">
        <f t="shared" si="22"/>
        <v>2.7689999999999997</v>
      </c>
      <c r="ES20" s="45">
        <f t="shared" si="186"/>
        <v>1</v>
      </c>
      <c r="ET20" s="45">
        <f t="shared" si="187"/>
        <v>2</v>
      </c>
      <c r="EU20" s="46" cm="1">
        <f t="array" ref="EU20">ROUND(IFERROR(INDEX(ArchiveResults!$F$5:$IX$116,ComparisonData!A20,ComparisonData!$EU$1),0),5)</f>
        <v>0</v>
      </c>
      <c r="EV20" s="46" cm="1">
        <f t="array" ref="EV20">ROUND(IFERROR(INDEX(ArchiveResults!$F$5:$IX$116,ComparisonData!A20,ComparisonData!$EV$1),0),5)</f>
        <v>0</v>
      </c>
      <c r="EW20" s="46" cm="1">
        <f t="array" ref="EW20">ROUND(IFERROR(INDEX(ArchiveResults!$F$5:$IX$116,ComparisonData!A20,ComparisonData!$EW$1),0),5)</f>
        <v>0</v>
      </c>
      <c r="EX20" s="46" cm="1">
        <f t="array" ref="EX20">ROUND(IFERROR(INDEX(ArchiveResults!$F$5:$IX$116,ComparisonData!A20,ComparisonData!$EX$1),0),5)</f>
        <v>0</v>
      </c>
      <c r="EY20" s="45" cm="1">
        <f t="array" ref="EY20">IFERROR(INDEX(ArchiveResults!$F$5:$IX$116,ComparisonData!A20,ComparisonData!$EY$1),0)</f>
        <v>0</v>
      </c>
      <c r="EZ20" s="56">
        <v>15</v>
      </c>
      <c r="FA20" s="53" t="str">
        <f t="shared" si="23"/>
        <v>Ceredigion Archives</v>
      </c>
      <c r="FB20" s="59">
        <f t="shared" si="188"/>
        <v>0</v>
      </c>
      <c r="FC20" s="59">
        <f t="shared" si="189"/>
        <v>0</v>
      </c>
      <c r="FD20" s="59">
        <f t="shared" si="190"/>
        <v>0</v>
      </c>
      <c r="FE20" s="59">
        <f t="shared" si="191"/>
        <v>0</v>
      </c>
      <c r="FF20" s="59">
        <f t="shared" si="192"/>
        <v>0</v>
      </c>
      <c r="FG20" s="58">
        <f t="shared" si="193"/>
        <v>0</v>
      </c>
      <c r="FH20" s="45">
        <f t="shared" si="194"/>
        <v>67</v>
      </c>
      <c r="FI20" s="54">
        <f t="shared" si="24"/>
        <v>2.7689999999999997</v>
      </c>
      <c r="FJ20" s="45">
        <f t="shared" si="195"/>
        <v>1</v>
      </c>
      <c r="FK20" s="45">
        <f t="shared" si="196"/>
        <v>2</v>
      </c>
      <c r="FL20" s="46" cm="1">
        <f t="array" ref="FL20">ROUND(IFERROR(INDEX(ArchiveResults!$F$5:$IX$116,ComparisonData!A20,ComparisonData!$FL$1),0),5)</f>
        <v>0</v>
      </c>
      <c r="FM20" s="46" cm="1">
        <f t="array" ref="FM20">ROUND(IFERROR(INDEX(ArchiveResults!$F$5:$IX$116,ComparisonData!A20,ComparisonData!$FM$1),0),5)</f>
        <v>0</v>
      </c>
      <c r="FN20" s="46" cm="1">
        <f t="array" ref="FN20">ROUND(IFERROR(INDEX(ArchiveResults!$F$5:$IX$116,ComparisonData!A20,ComparisonData!$FN$1),0),5)</f>
        <v>0</v>
      </c>
      <c r="FO20" s="46" cm="1">
        <f t="array" ref="FO20">ROUND(IFERROR(INDEX(ArchiveResults!$F$5:$IX$116,ComparisonData!A20,ComparisonData!$FO$1),0),5)</f>
        <v>0</v>
      </c>
      <c r="FP20" s="45" cm="1">
        <f t="array" ref="FP20">IFERROR(INDEX(ArchiveResults!$F$5:$IX$116,ComparisonData!A20,ComparisonData!$FP$1),0)</f>
        <v>0</v>
      </c>
      <c r="FQ20" s="56">
        <v>15</v>
      </c>
      <c r="FR20" s="53" t="str">
        <f t="shared" si="25"/>
        <v>Ceredigion Archives</v>
      </c>
      <c r="FS20" s="59">
        <f t="shared" si="197"/>
        <v>0</v>
      </c>
      <c r="FT20" s="59">
        <f t="shared" si="198"/>
        <v>0</v>
      </c>
      <c r="FU20" s="59">
        <f t="shared" si="199"/>
        <v>0</v>
      </c>
      <c r="FV20" s="59">
        <f t="shared" si="200"/>
        <v>0</v>
      </c>
      <c r="FW20" s="59">
        <f t="shared" si="201"/>
        <v>0</v>
      </c>
      <c r="FX20" s="58">
        <f t="shared" si="202"/>
        <v>0</v>
      </c>
      <c r="FY20" s="45">
        <f t="shared" si="203"/>
        <v>67</v>
      </c>
      <c r="FZ20" s="45">
        <f t="shared" si="26"/>
        <v>2.7689999999999997</v>
      </c>
      <c r="GA20" s="45">
        <f t="shared" si="204"/>
        <v>1</v>
      </c>
      <c r="GB20" s="45">
        <f t="shared" si="205"/>
        <v>2</v>
      </c>
      <c r="GC20" s="46" cm="1">
        <f t="array" ref="GC20">ROUND(IFERROR(INDEX(ArchiveResults!$F$5:$IX$116,ComparisonData!A20,ComparisonData!$GC$1),0),5)</f>
        <v>0</v>
      </c>
      <c r="GD20" s="46" cm="1">
        <f t="array" ref="GD20">ROUND(IFERROR(INDEX(ArchiveResults!$F$5:$IX$116,ComparisonData!A20,ComparisonData!$GD$1),0),5)</f>
        <v>0</v>
      </c>
      <c r="GE20" s="46" cm="1">
        <f t="array" ref="GE20">ROUND(IFERROR(INDEX(ArchiveResults!$F$5:$IX$116,ComparisonData!A20,ComparisonData!$GE$1),0),5)</f>
        <v>0</v>
      </c>
      <c r="GF20" s="46" cm="1">
        <f t="array" ref="GF20">ROUND(IFERROR(INDEX(ArchiveResults!$F$5:$IX$116,ComparisonData!A20,ComparisonData!$GF$1),0),5)</f>
        <v>0</v>
      </c>
      <c r="GG20" s="45" cm="1">
        <f t="array" ref="GG20">IFERROR(INDEX(ArchiveResults!$F$5:$IX$116,ComparisonData!A20,ComparisonData!$GG$1),0)</f>
        <v>0</v>
      </c>
      <c r="GH20" s="56">
        <v>15</v>
      </c>
      <c r="GI20" s="53" t="str">
        <f t="shared" si="27"/>
        <v>Ceredigion Archives</v>
      </c>
      <c r="GJ20" s="59">
        <f t="shared" si="206"/>
        <v>0</v>
      </c>
      <c r="GK20" s="59">
        <f t="shared" si="207"/>
        <v>0</v>
      </c>
      <c r="GL20" s="59">
        <f t="shared" si="208"/>
        <v>0</v>
      </c>
      <c r="GM20" s="59">
        <f t="shared" si="209"/>
        <v>0</v>
      </c>
      <c r="GN20" s="59">
        <f t="shared" si="210"/>
        <v>0</v>
      </c>
      <c r="GO20" s="58">
        <f t="shared" si="211"/>
        <v>0</v>
      </c>
      <c r="GP20" s="45">
        <f t="shared" si="212"/>
        <v>67</v>
      </c>
      <c r="GQ20" s="45">
        <f t="shared" si="28"/>
        <v>2.7689999999999997</v>
      </c>
      <c r="GR20" s="45">
        <f t="shared" si="213"/>
        <v>1</v>
      </c>
      <c r="GS20" s="45">
        <f t="shared" si="214"/>
        <v>2</v>
      </c>
      <c r="GT20" s="46" cm="1">
        <f t="array" ref="GT20">ROUND(IFERROR(INDEX(ArchiveResults!$F$5:$IX$116,ComparisonData!A20,ComparisonData!$GT$1),0),5)</f>
        <v>0</v>
      </c>
      <c r="GU20" s="46" cm="1">
        <f t="array" ref="GU20">ROUND(IFERROR(INDEX(ArchiveResults!$F$5:$IX$116,ComparisonData!A20,ComparisonData!$GU$1),0),5)</f>
        <v>0</v>
      </c>
      <c r="GV20" s="46" cm="1">
        <f t="array" ref="GV20">ROUND(IFERROR(INDEX(ArchiveResults!$F$5:$IX$116,ComparisonData!A20,ComparisonData!$GV$1),0),5)</f>
        <v>0</v>
      </c>
      <c r="GW20" s="46" cm="1">
        <f t="array" ref="GW20">ROUND(IFERROR(INDEX(ArchiveResults!$F$5:$IX$116,ComparisonData!A20,ComparisonData!$GW$1),0),5)</f>
        <v>0</v>
      </c>
      <c r="GX20" s="45" cm="1">
        <f t="array" ref="GX20">IFERROR(INDEX(ArchiveResults!$F$5:$IX$116,ComparisonData!A20,ComparisonData!$GX$1),0)</f>
        <v>0</v>
      </c>
      <c r="GY20" s="56">
        <v>15</v>
      </c>
      <c r="GZ20" s="53" t="str">
        <f t="shared" si="29"/>
        <v>Ceredigion Archives</v>
      </c>
      <c r="HA20" s="59">
        <f t="shared" si="215"/>
        <v>0</v>
      </c>
      <c r="HB20" s="59">
        <f t="shared" si="216"/>
        <v>0</v>
      </c>
      <c r="HC20" s="59">
        <f t="shared" si="217"/>
        <v>0</v>
      </c>
      <c r="HD20" s="59">
        <f t="shared" si="218"/>
        <v>0</v>
      </c>
      <c r="HE20" s="59">
        <f t="shared" si="219"/>
        <v>0</v>
      </c>
      <c r="HF20" s="58">
        <f t="shared" si="220"/>
        <v>0</v>
      </c>
      <c r="HG20" s="45">
        <f t="shared" si="221"/>
        <v>67</v>
      </c>
      <c r="HH20" s="45">
        <f t="shared" si="30"/>
        <v>2.7689999999999997</v>
      </c>
      <c r="HI20" s="45">
        <f t="shared" si="222"/>
        <v>1</v>
      </c>
      <c r="HJ20" s="45">
        <f t="shared" si="223"/>
        <v>2</v>
      </c>
      <c r="HK20" s="46" cm="1">
        <f t="array" ref="HK20">ROUND(IFERROR(INDEX(ArchiveResults!$F$5:$IX$116,ComparisonData!A20,ComparisonData!$HK$1),0),5)</f>
        <v>0</v>
      </c>
      <c r="HL20" s="46" cm="1">
        <f t="array" ref="HL20">ROUND(IFERROR(INDEX(ArchiveResults!$F$5:$IX$116,ComparisonData!A20,ComparisonData!$HL$1),0),5)</f>
        <v>0</v>
      </c>
      <c r="HM20" s="46" cm="1">
        <f t="array" ref="HM20">ROUND(IFERROR(INDEX(ArchiveResults!$F$5:$IX$116,ComparisonData!A20,ComparisonData!$HM$1),0),5)</f>
        <v>0</v>
      </c>
      <c r="HN20" s="46" cm="1">
        <f t="array" ref="HN20">ROUND(IFERROR(INDEX(ArchiveResults!$F$5:$IX$116,ComparisonData!A20,ComparisonData!$HN$1),0),5)</f>
        <v>0</v>
      </c>
      <c r="HO20" s="45" cm="1">
        <f t="array" ref="HO20">IFERROR(INDEX(ArchiveResults!$F$5:$IX$116,ComparisonData!A20,ComparisonData!$HO$1),0)</f>
        <v>0</v>
      </c>
      <c r="HP20" s="56">
        <v>15</v>
      </c>
      <c r="HQ20" s="53" t="str">
        <f t="shared" si="31"/>
        <v>Ceredigion Archives</v>
      </c>
      <c r="HR20" s="59">
        <f t="shared" si="32"/>
        <v>0</v>
      </c>
      <c r="HS20" s="59">
        <f t="shared" si="33"/>
        <v>0</v>
      </c>
      <c r="HT20" s="59">
        <f t="shared" si="34"/>
        <v>0</v>
      </c>
      <c r="HU20" s="59">
        <f t="shared" si="35"/>
        <v>0</v>
      </c>
      <c r="HV20" s="59">
        <f t="shared" si="36"/>
        <v>0</v>
      </c>
      <c r="HW20" s="58">
        <f t="shared" si="224"/>
        <v>0</v>
      </c>
      <c r="HX20" s="45">
        <f t="shared" si="225"/>
        <v>67</v>
      </c>
      <c r="HY20" s="45">
        <f t="shared" si="37"/>
        <v>2.7689999999999997</v>
      </c>
      <c r="HZ20" s="45">
        <f t="shared" si="226"/>
        <v>1</v>
      </c>
      <c r="IA20" s="45">
        <f t="shared" si="227"/>
        <v>2</v>
      </c>
      <c r="IB20" s="45">
        <f t="shared" si="228"/>
        <v>0</v>
      </c>
      <c r="IC20" s="46" cm="1">
        <f t="array" ref="IC20">ROUND(IFERROR(INDEX(ArchiveResults!$F$5:$IX$116,ComparisonData!A20,ComparisonData!$IC$1),0),5)</f>
        <v>0</v>
      </c>
      <c r="ID20" s="46" cm="1">
        <f t="array" ref="ID20">ROUND(IFERROR(INDEX(ArchiveResults!$F$5:$IX$116,ComparisonData!A20,ComparisonData!$ID$1),0),5)</f>
        <v>0</v>
      </c>
      <c r="IE20" s="46" cm="1">
        <f t="array" ref="IE20">ROUND(IFERROR(INDEX(ArchiveResults!$F$5:$IX$116,ComparisonData!A20,ComparisonData!$IE$1),0),5)</f>
        <v>0</v>
      </c>
      <c r="IF20" s="46" cm="1">
        <f t="array" ref="IF20">ROUND(IFERROR(INDEX(ArchiveResults!$F$5:$IX$116,ComparisonData!A20,ComparisonData!$IF$1),0),5)</f>
        <v>0</v>
      </c>
      <c r="IG20" s="45" cm="1">
        <f t="array" ref="IG20">IFERROR(INDEX(ArchiveResults!$F$5:$IX$116,ComparisonData!A20,ComparisonData!$IG$1),0)</f>
        <v>0</v>
      </c>
      <c r="IH20" s="56">
        <v>15</v>
      </c>
      <c r="II20" s="53" t="str">
        <f t="shared" si="38"/>
        <v>Ceredigion Archives</v>
      </c>
      <c r="IJ20" s="59">
        <f t="shared" si="229"/>
        <v>0</v>
      </c>
      <c r="IK20" s="59">
        <f t="shared" si="230"/>
        <v>0</v>
      </c>
      <c r="IL20" s="59">
        <f t="shared" si="231"/>
        <v>0</v>
      </c>
      <c r="IM20" s="59">
        <f t="shared" si="232"/>
        <v>0</v>
      </c>
      <c r="IN20" s="59">
        <f t="shared" si="233"/>
        <v>0</v>
      </c>
      <c r="IO20" s="58">
        <f t="shared" si="234"/>
        <v>0</v>
      </c>
      <c r="IP20" s="45">
        <f t="shared" si="235"/>
        <v>67</v>
      </c>
      <c r="IQ20" s="45">
        <f t="shared" si="39"/>
        <v>2.7689999999999997</v>
      </c>
      <c r="IR20" s="45">
        <f t="shared" si="236"/>
        <v>1</v>
      </c>
      <c r="IS20" s="45">
        <f t="shared" si="237"/>
        <v>2</v>
      </c>
      <c r="IT20" s="46">
        <f t="shared" si="238"/>
        <v>0</v>
      </c>
      <c r="IU20" s="46" cm="1">
        <f t="array" ref="IU20">ROUND(IFERROR(INDEX(ArchiveResults!$F$5:$IX$116,ComparisonData!A20,ComparisonData!$IU$1),0),5)</f>
        <v>0</v>
      </c>
      <c r="IV20" s="46" cm="1">
        <f t="array" ref="IV20">ROUND(IFERROR(INDEX(ArchiveResults!$F$5:$IX$116,ComparisonData!A20,ComparisonData!$IV$1),0),5)</f>
        <v>0</v>
      </c>
      <c r="IW20" s="46" cm="1">
        <f t="array" ref="IW20">ROUND(IFERROR(INDEX(ArchiveResults!$F$5:$IX$116,ComparisonData!A20,ComparisonData!$IW$1),0),5)</f>
        <v>0</v>
      </c>
      <c r="IX20" s="46" cm="1">
        <f t="array" ref="IX20">ROUND(IFERROR(INDEX(ArchiveResults!$F$5:$IX$116,ComparisonData!A20,ComparisonData!$IX$1),0),5)</f>
        <v>0</v>
      </c>
      <c r="IY20" s="45" cm="1">
        <f t="array" ref="IY20">IFERROR(INDEX(ArchiveResults!$F$5:$IX$116,ComparisonData!A20,ComparisonData!$IY$1),0)</f>
        <v>0</v>
      </c>
      <c r="IZ20" s="56">
        <v>15</v>
      </c>
      <c r="JA20" s="53" t="str">
        <f t="shared" si="40"/>
        <v>Ceredigion Archives</v>
      </c>
      <c r="JB20" s="59">
        <f t="shared" si="239"/>
        <v>0</v>
      </c>
      <c r="JC20" s="59">
        <f t="shared" si="240"/>
        <v>0</v>
      </c>
      <c r="JD20" s="59">
        <f t="shared" si="241"/>
        <v>0</v>
      </c>
      <c r="JE20" s="59">
        <f t="shared" si="242"/>
        <v>0</v>
      </c>
      <c r="JF20" s="59">
        <f t="shared" si="243"/>
        <v>0</v>
      </c>
      <c r="JG20" s="58">
        <f t="shared" si="244"/>
        <v>0</v>
      </c>
      <c r="JH20" s="45">
        <f t="shared" si="245"/>
        <v>67</v>
      </c>
      <c r="JI20" s="45">
        <f t="shared" si="41"/>
        <v>2.7689999999999997</v>
      </c>
      <c r="JJ20" s="45">
        <f t="shared" si="246"/>
        <v>1</v>
      </c>
      <c r="JK20" s="45">
        <f t="shared" si="247"/>
        <v>2</v>
      </c>
      <c r="JL20" s="45">
        <f t="shared" si="248"/>
        <v>0</v>
      </c>
      <c r="JM20" s="46" cm="1">
        <f t="array" ref="JM20">ROUND(IFERROR(INDEX(ArchiveResults!$F$5:$IX$116,ComparisonData!A20,ComparisonData!$JM$1),0),5)</f>
        <v>0</v>
      </c>
      <c r="JN20" s="46" cm="1">
        <f t="array" ref="JN20">ROUND(IFERROR(INDEX(ArchiveResults!$F$5:$IX$116,ComparisonData!A20,ComparisonData!$JN$1),0),5)</f>
        <v>0</v>
      </c>
      <c r="JO20" s="46" cm="1">
        <f t="array" ref="JO20">ROUND(IFERROR(INDEX(ArchiveResults!$F$5:$IX$116,ComparisonData!A20,ComparisonData!$JO$1),0),5)</f>
        <v>0</v>
      </c>
      <c r="JP20" s="46" cm="1">
        <f t="array" ref="JP20">ROUND(IFERROR(INDEX(ArchiveResults!$F$5:$IX$116,ComparisonData!A20,ComparisonData!$JP$1),0),5)</f>
        <v>0</v>
      </c>
      <c r="JQ20" s="45" cm="1">
        <f t="array" ref="JQ20">IFERROR(INDEX(ArchiveResults!$F$5:$IX$116,ComparisonData!A20,ComparisonData!$JQ$1),0)</f>
        <v>0</v>
      </c>
      <c r="JR20" s="56">
        <v>15</v>
      </c>
      <c r="JS20" s="53" t="str">
        <f t="shared" si="42"/>
        <v>Ceredigion Archives</v>
      </c>
      <c r="JT20" s="59">
        <f t="shared" si="249"/>
        <v>0</v>
      </c>
      <c r="JU20" s="59">
        <f t="shared" si="250"/>
        <v>0</v>
      </c>
      <c r="JV20" s="59">
        <f t="shared" si="251"/>
        <v>0</v>
      </c>
      <c r="JW20" s="59">
        <f t="shared" si="252"/>
        <v>0</v>
      </c>
      <c r="JX20" s="59">
        <f t="shared" si="253"/>
        <v>0</v>
      </c>
      <c r="JY20" s="58">
        <f t="shared" si="254"/>
        <v>0</v>
      </c>
      <c r="JZ20" s="45">
        <f t="shared" si="255"/>
        <v>67</v>
      </c>
      <c r="KA20" s="45">
        <f t="shared" si="43"/>
        <v>2.7689999999999997</v>
      </c>
      <c r="KB20" s="45">
        <f t="shared" si="256"/>
        <v>1</v>
      </c>
      <c r="KC20" s="45">
        <f t="shared" si="257"/>
        <v>2</v>
      </c>
      <c r="KD20" s="45">
        <f t="shared" si="258"/>
        <v>0</v>
      </c>
      <c r="KE20" s="46" cm="1">
        <f t="array" ref="KE20">ROUND(IFERROR(INDEX(ArchiveResults!$F$5:$IX$116,ComparisonData!A20,ComparisonData!$KE$1),0),5)</f>
        <v>0</v>
      </c>
      <c r="KF20" s="46" cm="1">
        <f t="array" ref="KF20">ROUND(IFERROR(INDEX(ArchiveResults!$F$5:$IX$116,ComparisonData!A20,ComparisonData!$KF$1),0),5)</f>
        <v>0</v>
      </c>
      <c r="KG20" s="46" cm="1">
        <f t="array" ref="KG20">ROUND(IFERROR(INDEX(ArchiveResults!$F$5:$IX$116,ComparisonData!A20,ComparisonData!$KG$1),0),5)</f>
        <v>0</v>
      </c>
      <c r="KH20" s="46" cm="1">
        <f t="array" ref="KH20">ROUND(IFERROR(INDEX(ArchiveResults!$F$5:$IX$116,ComparisonData!A20,ComparisonData!$KH$1),0),5)</f>
        <v>0</v>
      </c>
      <c r="KI20" s="45" cm="1">
        <f t="array" ref="KI20">IFERROR(INDEX(ArchiveResults!$F$5:$IX$116,ComparisonData!A20,ComparisonData!$KI$1),0)</f>
        <v>0</v>
      </c>
      <c r="KJ20" s="56">
        <v>15</v>
      </c>
      <c r="KK20" s="53" t="str">
        <f t="shared" si="44"/>
        <v>Ceredigion Archives</v>
      </c>
      <c r="KL20" s="59">
        <f t="shared" si="259"/>
        <v>0</v>
      </c>
      <c r="KM20" s="59">
        <f t="shared" si="260"/>
        <v>0</v>
      </c>
      <c r="KN20" s="59">
        <f t="shared" si="261"/>
        <v>0</v>
      </c>
      <c r="KO20" s="59">
        <f t="shared" si="262"/>
        <v>0</v>
      </c>
      <c r="KP20" s="59">
        <f t="shared" si="263"/>
        <v>0</v>
      </c>
      <c r="KQ20" s="58">
        <f t="shared" si="264"/>
        <v>0</v>
      </c>
      <c r="KR20" s="45">
        <f t="shared" si="265"/>
        <v>67</v>
      </c>
      <c r="KS20" s="45">
        <f t="shared" si="45"/>
        <v>2.7689999999999997</v>
      </c>
      <c r="KT20" s="45">
        <f t="shared" si="266"/>
        <v>1</v>
      </c>
      <c r="KU20" s="45">
        <f t="shared" si="267"/>
        <v>2</v>
      </c>
      <c r="KV20" s="45">
        <f t="shared" si="268"/>
        <v>0</v>
      </c>
      <c r="KW20" s="46" cm="1">
        <f t="array" ref="KW20">ROUND(IFERROR(INDEX(ArchiveResults!$F$5:$IX$116,ComparisonData!A20,ComparisonData!$KW$1),0),5)</f>
        <v>0</v>
      </c>
      <c r="KX20" s="46" cm="1">
        <f t="array" ref="KX20">ROUND(IFERROR(INDEX(ArchiveResults!$F$5:$IX$116,ComparisonData!A20,ComparisonData!$KX$1),0),5)</f>
        <v>0</v>
      </c>
      <c r="KY20" s="46" cm="1">
        <f t="array" ref="KY20">ROUND(IFERROR(INDEX(ArchiveResults!$F$5:$IX$116,ComparisonData!A20,ComparisonData!$KY$1),0),5)</f>
        <v>0</v>
      </c>
      <c r="KZ20" s="46" cm="1">
        <f t="array" ref="KZ20">ROUND(IFERROR(INDEX(ArchiveResults!$F$5:$IX$116,ComparisonData!A20,ComparisonData!$KZ$1),0),5)</f>
        <v>0</v>
      </c>
      <c r="LA20" s="45" cm="1">
        <f t="array" ref="LA20">IFERROR(INDEX(ArchiveResults!$F$5:$IX$116,ComparisonData!A20,ComparisonData!$LA$1),0)</f>
        <v>0</v>
      </c>
      <c r="LB20" s="56">
        <v>15</v>
      </c>
      <c r="LC20" s="53" t="str">
        <f t="shared" si="46"/>
        <v>Ceredigion Archives</v>
      </c>
      <c r="LD20" s="59">
        <f t="shared" si="269"/>
        <v>0</v>
      </c>
      <c r="LE20" s="59">
        <f t="shared" si="270"/>
        <v>0</v>
      </c>
      <c r="LF20" s="59">
        <f t="shared" si="271"/>
        <v>0</v>
      </c>
      <c r="LG20" s="59">
        <f t="shared" si="272"/>
        <v>0</v>
      </c>
      <c r="LH20" s="59">
        <f t="shared" si="273"/>
        <v>0</v>
      </c>
      <c r="LI20" s="58">
        <f t="shared" si="274"/>
        <v>0</v>
      </c>
      <c r="LJ20" s="45">
        <f t="shared" si="275"/>
        <v>67</v>
      </c>
      <c r="LK20" s="45">
        <f t="shared" si="47"/>
        <v>2.7689999999999997</v>
      </c>
      <c r="LL20" s="45">
        <f t="shared" si="276"/>
        <v>1</v>
      </c>
      <c r="LM20" s="45">
        <f t="shared" si="277"/>
        <v>2</v>
      </c>
      <c r="LN20" s="45">
        <f t="shared" si="278"/>
        <v>0</v>
      </c>
      <c r="LO20" s="46" cm="1">
        <f t="array" ref="LO20">ROUND(IFERROR(INDEX(ArchiveResults!$F$5:$IX$116,ComparisonData!A20,ComparisonData!$LO$1),0),5)</f>
        <v>0</v>
      </c>
      <c r="LP20" s="46" cm="1">
        <f t="array" ref="LP20">ROUND(IFERROR(INDEX(ArchiveResults!$F$5:$IX$116,ComparisonData!A20,ComparisonData!$LP$1),0),5)</f>
        <v>0</v>
      </c>
      <c r="LQ20" s="46" cm="1">
        <f t="array" ref="LQ20">ROUND(IFERROR(INDEX(ArchiveResults!$F$5:$IX$116,ComparisonData!A20,ComparisonData!$LQ$1),0),5)</f>
        <v>0</v>
      </c>
      <c r="LR20" s="46" cm="1">
        <f t="array" ref="LR20">ROUND(IFERROR(INDEX(ArchiveResults!$F$5:$IX$116,ComparisonData!A20,ComparisonData!$LR$1),0),5)</f>
        <v>0</v>
      </c>
      <c r="LS20" s="45" cm="1">
        <f t="array" ref="LS20">IFERROR(INDEX(ArchiveResults!$F$5:$IX$116,ComparisonData!A20,ComparisonData!$LS$1),0)</f>
        <v>0</v>
      </c>
      <c r="LT20" s="56">
        <v>15</v>
      </c>
      <c r="LU20" s="53" t="str">
        <f t="shared" si="48"/>
        <v>Ceredigion Archives</v>
      </c>
      <c r="LV20" s="59">
        <f t="shared" si="279"/>
        <v>0</v>
      </c>
      <c r="LW20" s="59">
        <f t="shared" si="280"/>
        <v>0</v>
      </c>
      <c r="LX20" s="59">
        <f t="shared" si="281"/>
        <v>0</v>
      </c>
      <c r="LY20" s="59">
        <f t="shared" si="282"/>
        <v>0</v>
      </c>
      <c r="LZ20" s="59">
        <f t="shared" si="283"/>
        <v>0</v>
      </c>
      <c r="MA20" s="58">
        <f t="shared" si="284"/>
        <v>0</v>
      </c>
      <c r="MB20" s="45">
        <f t="shared" si="285"/>
        <v>67</v>
      </c>
      <c r="MC20" s="45">
        <f t="shared" si="49"/>
        <v>2.7689999999999997</v>
      </c>
      <c r="MD20" s="45">
        <f t="shared" si="286"/>
        <v>1</v>
      </c>
      <c r="ME20" s="45">
        <f t="shared" si="287"/>
        <v>2</v>
      </c>
      <c r="MF20" s="45">
        <f t="shared" si="288"/>
        <v>0</v>
      </c>
      <c r="MG20" s="46" cm="1">
        <f t="array" ref="MG20">ROUND(IFERROR(INDEX(ArchiveResults!$F$5:$IX$116,ComparisonData!A20,ComparisonData!$MG$1),0),5)</f>
        <v>0</v>
      </c>
      <c r="MH20" s="46" cm="1">
        <f t="array" ref="MH20">ROUND(IFERROR(INDEX(ArchiveResults!$F$5:$IX$116,ComparisonData!A20,ComparisonData!$MH$1),0),5)</f>
        <v>0</v>
      </c>
      <c r="MI20" s="46" cm="1">
        <f t="array" ref="MI20">ROUND(IFERROR(INDEX(ArchiveResults!$F$5:$IX$116,ComparisonData!A20,ComparisonData!$MI$1),0),5)</f>
        <v>0</v>
      </c>
      <c r="MJ20" s="46" cm="1">
        <f t="array" ref="MJ20">ROUND(IFERROR(INDEX(ArchiveResults!$F$5:$IX$116,ComparisonData!A20,ComparisonData!$MJ$1),0),5)</f>
        <v>0</v>
      </c>
      <c r="MK20" s="45" cm="1">
        <f t="array" ref="MK20">IFERROR(INDEX(ArchiveResults!$F$5:$IX$116,ComparisonData!A20,ComparisonData!$MK$1),0)</f>
        <v>0</v>
      </c>
      <c r="ML20" s="56">
        <v>15</v>
      </c>
      <c r="MM20" s="53" t="str">
        <f t="shared" si="50"/>
        <v>Ceredigion Archives</v>
      </c>
      <c r="MN20" s="59">
        <f t="shared" si="289"/>
        <v>0</v>
      </c>
      <c r="MO20" s="59">
        <f t="shared" si="290"/>
        <v>0</v>
      </c>
      <c r="MP20" s="59">
        <f t="shared" si="291"/>
        <v>0</v>
      </c>
      <c r="MQ20" s="59">
        <f t="shared" si="292"/>
        <v>0</v>
      </c>
      <c r="MR20" s="59">
        <f t="shared" si="293"/>
        <v>0</v>
      </c>
      <c r="MS20" s="58">
        <f t="shared" si="294"/>
        <v>0</v>
      </c>
      <c r="MT20" s="45">
        <f t="shared" si="295"/>
        <v>67</v>
      </c>
      <c r="MU20" s="45">
        <f t="shared" si="51"/>
        <v>2.7689999999999997</v>
      </c>
      <c r="MV20" s="45">
        <f t="shared" si="296"/>
        <v>1</v>
      </c>
      <c r="MW20" s="45">
        <f t="shared" si="297"/>
        <v>2</v>
      </c>
      <c r="MX20" s="45">
        <f t="shared" si="298"/>
        <v>0</v>
      </c>
      <c r="MY20" s="46" cm="1">
        <f t="array" ref="MY20">ROUND(IFERROR(INDEX(ArchiveResults!$F$5:$IX$116,ComparisonData!A20,ComparisonData!$MY$1),0),5)</f>
        <v>0</v>
      </c>
      <c r="MZ20" s="46" cm="1">
        <f t="array" ref="MZ20">ROUND(IFERROR(INDEX(ArchiveResults!$F$5:$IX$116,ComparisonData!A20,ComparisonData!$MZ$1),0),5)</f>
        <v>0</v>
      </c>
      <c r="NA20" s="46" cm="1">
        <f t="array" ref="NA20">ROUND(IFERROR(INDEX(ArchiveResults!$F$5:$IX$116,ComparisonData!A20,ComparisonData!$NA$1),0),5)</f>
        <v>0</v>
      </c>
      <c r="NB20" s="46" cm="1">
        <f t="array" ref="NB20">ROUND(IFERROR(INDEX(ArchiveResults!$F$5:$IX$116,ComparisonData!A20,ComparisonData!$NB$1),0),5)</f>
        <v>0</v>
      </c>
      <c r="NC20" s="45" cm="1">
        <f t="array" ref="NC20">IFERROR(INDEX(ArchiveResults!$F$5:$IX$116,ComparisonData!A20,ComparisonData!$NC$1),0)</f>
        <v>0</v>
      </c>
      <c r="ND20" s="56">
        <v>15</v>
      </c>
      <c r="NE20" s="53" t="str">
        <f t="shared" si="52"/>
        <v>Ceredigion Archives</v>
      </c>
      <c r="NF20" s="59">
        <f t="shared" si="299"/>
        <v>0</v>
      </c>
      <c r="NG20" s="59">
        <f t="shared" si="300"/>
        <v>0</v>
      </c>
      <c r="NH20" s="59">
        <f t="shared" si="301"/>
        <v>0</v>
      </c>
      <c r="NI20" s="59">
        <f t="shared" si="302"/>
        <v>0</v>
      </c>
      <c r="NJ20" s="59">
        <f t="shared" si="303"/>
        <v>0</v>
      </c>
      <c r="NK20" s="58">
        <f t="shared" si="304"/>
        <v>0</v>
      </c>
      <c r="NL20" s="45">
        <f t="shared" si="305"/>
        <v>67</v>
      </c>
      <c r="NM20" s="45">
        <f t="shared" si="53"/>
        <v>2.7689999999999997</v>
      </c>
      <c r="NN20" s="45">
        <f t="shared" si="306"/>
        <v>1</v>
      </c>
      <c r="NO20" s="45">
        <f t="shared" si="307"/>
        <v>2</v>
      </c>
      <c r="NP20" s="46" cm="1">
        <f t="array" ref="NP20">ROUND(IFERROR(INDEX(ArchiveResults!$F$5:$IX$116,ComparisonData!A20,ComparisonData!$NP$1),0),5)</f>
        <v>0</v>
      </c>
      <c r="NQ20" s="46" cm="1">
        <f t="array" ref="NQ20">ROUND(IFERROR(INDEX(ArchiveResults!$F$5:$IX$116,ComparisonData!A20,ComparisonData!$NQ$1),0),5)</f>
        <v>0</v>
      </c>
      <c r="NR20" s="46" cm="1">
        <f t="array" ref="NR20">ROUND(IFERROR(INDEX(ArchiveResults!$F$5:$IX$116,ComparisonData!A20,ComparisonData!$NR$1),0),5)</f>
        <v>0</v>
      </c>
      <c r="NS20" s="46" cm="1">
        <f t="array" ref="NS20">ROUND(IFERROR(INDEX(ArchiveResults!$F$5:$IX$116,ComparisonData!A20,ComparisonData!$NS$1),0),5)</f>
        <v>0</v>
      </c>
      <c r="NT20" s="45" cm="1">
        <f t="array" ref="NT20">IFERROR(INDEX(ArchiveResults!$F$5:$IX$116,ComparisonData!A20,ComparisonData!$NT$1),0)</f>
        <v>0</v>
      </c>
      <c r="NU20" s="56">
        <v>15</v>
      </c>
      <c r="NV20" s="53" t="str">
        <f t="shared" si="54"/>
        <v>Ceredigion Archives</v>
      </c>
      <c r="NW20" s="59">
        <f t="shared" si="308"/>
        <v>0</v>
      </c>
      <c r="NX20" s="59">
        <f t="shared" si="309"/>
        <v>0</v>
      </c>
      <c r="NY20" s="59">
        <f t="shared" si="310"/>
        <v>0</v>
      </c>
      <c r="NZ20" s="59">
        <f t="shared" si="311"/>
        <v>0</v>
      </c>
      <c r="OA20" s="59">
        <f t="shared" si="312"/>
        <v>0</v>
      </c>
      <c r="OB20" s="58">
        <f t="shared" si="313"/>
        <v>0</v>
      </c>
      <c r="OC20" s="45">
        <f t="shared" si="314"/>
        <v>67</v>
      </c>
      <c r="OD20" s="45">
        <f t="shared" si="55"/>
        <v>2.7689999999999997</v>
      </c>
      <c r="OE20" s="45">
        <f t="shared" si="315"/>
        <v>1</v>
      </c>
      <c r="OF20" s="45">
        <f t="shared" si="316"/>
        <v>2</v>
      </c>
      <c r="OG20" s="46">
        <f t="shared" si="317"/>
        <v>0</v>
      </c>
      <c r="OH20" s="46" cm="1">
        <f t="array" ref="OH20">ROUND(IFERROR(INDEX(ArchiveResults!$F$5:$IX$116,ComparisonData!A20,ComparisonData!$OH$1),0),5)</f>
        <v>0</v>
      </c>
      <c r="OI20" s="46" cm="1">
        <f t="array" ref="OI20">ROUND(IFERROR(INDEX(ArchiveResults!$F$5:$IX$116,ComparisonData!A20,ComparisonData!$OI$1),0),5)</f>
        <v>0</v>
      </c>
      <c r="OJ20" s="46" cm="1">
        <f t="array" ref="OJ20">ROUND(IFERROR(INDEX(ArchiveResults!$F$5:$IX$116,ComparisonData!A20,ComparisonData!$OJ$1),0),5)</f>
        <v>0</v>
      </c>
      <c r="OK20" s="46" cm="1">
        <f t="array" ref="OK20">ROUND(IFERROR(INDEX(ArchiveResults!$F$5:$IX$116,ComparisonData!A20,ComparisonData!$OK$1),0),5)</f>
        <v>0</v>
      </c>
      <c r="OL20" s="45" cm="1">
        <f t="array" ref="OL20">IFERROR(INDEX(ArchiveResults!$F$5:$IX$116,ComparisonData!A20,ComparisonData!$OL$1),0)</f>
        <v>0</v>
      </c>
      <c r="OM20" s="56">
        <v>15</v>
      </c>
      <c r="ON20" s="53" t="str">
        <f t="shared" si="56"/>
        <v>Ceredigion Archives</v>
      </c>
      <c r="OO20" s="59">
        <f t="shared" si="318"/>
        <v>0</v>
      </c>
      <c r="OP20" s="59">
        <f t="shared" si="319"/>
        <v>0</v>
      </c>
      <c r="OQ20" s="59">
        <f t="shared" si="320"/>
        <v>0</v>
      </c>
      <c r="OR20" s="59">
        <f t="shared" si="321"/>
        <v>0</v>
      </c>
      <c r="OS20" s="59">
        <f t="shared" si="322"/>
        <v>0</v>
      </c>
      <c r="OT20" s="58">
        <f t="shared" si="323"/>
        <v>0</v>
      </c>
      <c r="OU20" s="45">
        <f t="shared" si="324"/>
        <v>67</v>
      </c>
      <c r="OV20" s="45">
        <f t="shared" si="57"/>
        <v>2.7689999999999997</v>
      </c>
      <c r="OW20" s="45">
        <f t="shared" si="325"/>
        <v>1</v>
      </c>
      <c r="OX20" s="45">
        <f t="shared" si="326"/>
        <v>2</v>
      </c>
      <c r="OY20" s="45">
        <f t="shared" si="327"/>
        <v>0</v>
      </c>
      <c r="OZ20" s="46" cm="1">
        <f t="array" ref="OZ20">ROUND(IFERROR(INDEX(ArchiveResults!$F$5:$IX$116,ComparisonData!A20,ComparisonData!$OZ$1),0),5)</f>
        <v>0</v>
      </c>
      <c r="PA20" s="46" cm="1">
        <f t="array" ref="PA20">ROUND(IFERROR(INDEX(ArchiveResults!$F$5:$IX$116,ComparisonData!A20,ComparisonData!$PA$1),0),5)</f>
        <v>0</v>
      </c>
      <c r="PB20" s="46" cm="1">
        <f t="array" ref="PB20">ROUND(IFERROR(INDEX(ArchiveResults!$F$5:$IX$116,ComparisonData!A20,ComparisonData!$PB$1),0),5)</f>
        <v>0</v>
      </c>
      <c r="PC20" s="46" cm="1">
        <f t="array" ref="PC20">ROUND(IFERROR(INDEX(ArchiveResults!$F$5:$IX$116,ComparisonData!A20,ComparisonData!$PC$1),0),5)</f>
        <v>0</v>
      </c>
      <c r="PD20" s="45" cm="1">
        <f t="array" ref="PD20">IFERROR(INDEX(ArchiveResults!$F$5:$IX$116,ComparisonData!A20,ComparisonData!$PD$1),0)</f>
        <v>0</v>
      </c>
      <c r="PE20" s="56">
        <v>15</v>
      </c>
      <c r="PF20" s="53" t="str">
        <f t="shared" si="58"/>
        <v>Ceredigion Archives</v>
      </c>
      <c r="PG20" s="59">
        <f t="shared" si="328"/>
        <v>0</v>
      </c>
      <c r="PH20" s="59">
        <f t="shared" si="329"/>
        <v>0</v>
      </c>
      <c r="PI20" s="59">
        <f t="shared" si="330"/>
        <v>0</v>
      </c>
      <c r="PJ20" s="59">
        <f t="shared" si="331"/>
        <v>0</v>
      </c>
      <c r="PK20" s="59">
        <f t="shared" si="332"/>
        <v>0</v>
      </c>
      <c r="PL20" s="58">
        <f t="shared" si="333"/>
        <v>0</v>
      </c>
      <c r="PM20" s="45">
        <f t="shared" si="334"/>
        <v>67</v>
      </c>
      <c r="PN20" s="45">
        <f t="shared" si="59"/>
        <v>2.7689999999999997</v>
      </c>
      <c r="PO20" s="45">
        <f t="shared" si="335"/>
        <v>1</v>
      </c>
      <c r="PP20" s="45">
        <f t="shared" si="336"/>
        <v>2</v>
      </c>
      <c r="PQ20" s="45">
        <f t="shared" si="337"/>
        <v>0</v>
      </c>
      <c r="PR20" s="46" cm="1">
        <f t="array" ref="PR20">ROUND(IFERROR(INDEX(ArchiveResults!$F$5:$IX$116,ComparisonData!A20,ComparisonData!$PR$1),0),5)</f>
        <v>0</v>
      </c>
      <c r="PS20" s="46" cm="1">
        <f t="array" ref="PS20">ROUND(IFERROR(INDEX(ArchiveResults!$F$5:$IX$116,ComparisonData!A20,ComparisonData!$PS$1),0),5)</f>
        <v>0</v>
      </c>
      <c r="PT20" s="46" cm="1">
        <f t="array" ref="PT20">ROUND(IFERROR(INDEX(ArchiveResults!$F$5:$IX$116,ComparisonData!A20,ComparisonData!$PT$1),0),5)</f>
        <v>0</v>
      </c>
      <c r="PU20" s="46" cm="1">
        <f t="array" ref="PU20">ROUND(IFERROR(INDEX(ArchiveResults!$F$5:$IX$116,ComparisonData!A20,ComparisonData!$PU$1),0),5)</f>
        <v>0</v>
      </c>
      <c r="PV20" s="45" cm="1">
        <f t="array" ref="PV20">IFERROR(INDEX(ArchiveResults!$F$5:$IX$116,ComparisonData!A20,ComparisonData!$PV$1),0)</f>
        <v>0</v>
      </c>
      <c r="PW20" s="56">
        <v>15</v>
      </c>
      <c r="PX20" s="53" t="str">
        <f t="shared" si="60"/>
        <v>Ceredigion Archives</v>
      </c>
      <c r="PY20" s="59">
        <f t="shared" si="338"/>
        <v>0</v>
      </c>
      <c r="PZ20" s="59">
        <f t="shared" si="339"/>
        <v>0</v>
      </c>
      <c r="QA20" s="59">
        <f t="shared" si="340"/>
        <v>0</v>
      </c>
      <c r="QB20" s="59">
        <f t="shared" si="341"/>
        <v>0</v>
      </c>
      <c r="QC20" s="59">
        <f t="shared" si="342"/>
        <v>0</v>
      </c>
      <c r="QD20" s="58">
        <f t="shared" si="343"/>
        <v>0</v>
      </c>
      <c r="QE20" s="45">
        <f t="shared" si="344"/>
        <v>67</v>
      </c>
      <c r="QF20" s="45">
        <f t="shared" si="61"/>
        <v>2.7689999999999997</v>
      </c>
      <c r="QG20" s="45">
        <f t="shared" si="345"/>
        <v>1</v>
      </c>
      <c r="QH20" s="45">
        <f t="shared" si="346"/>
        <v>2</v>
      </c>
      <c r="QI20" s="45">
        <f t="shared" si="347"/>
        <v>0</v>
      </c>
      <c r="QJ20" s="46" cm="1">
        <f t="array" ref="QJ20">ROUND(IFERROR(INDEX(ArchiveResults!$F$5:$IX$116,ComparisonData!A20,ComparisonData!$QJ$1),0),5)</f>
        <v>0</v>
      </c>
      <c r="QK20" s="46" cm="1">
        <f t="array" ref="QK20">ROUND(IFERROR(INDEX(ArchiveResults!$F$5:$IX$116,ComparisonData!A20,ComparisonData!$QK$1),0),5)</f>
        <v>0</v>
      </c>
      <c r="QL20" s="46" cm="1">
        <f t="array" ref="QL20">ROUND(IFERROR(INDEX(ArchiveResults!$F$5:$IX$116,ComparisonData!A20,ComparisonData!$QL$1),0),5)</f>
        <v>0</v>
      </c>
      <c r="QM20" s="46" cm="1">
        <f t="array" ref="QM20">ROUND(IFERROR(INDEX(ArchiveResults!$F$5:$IX$116,ComparisonData!A20,ComparisonData!$QM$1),0),5)</f>
        <v>0</v>
      </c>
      <c r="QN20" s="45" cm="1">
        <f t="array" ref="QN20">IFERROR(INDEX(ArchiveResults!$F$5:$IX$116,ComparisonData!A20,ComparisonData!$QN$1),0)</f>
        <v>0</v>
      </c>
      <c r="QO20" s="56">
        <v>15</v>
      </c>
      <c r="QP20" s="53" t="str">
        <f t="shared" si="62"/>
        <v>Ceredigion Archives</v>
      </c>
      <c r="QQ20" s="59">
        <f t="shared" si="348"/>
        <v>0</v>
      </c>
      <c r="QR20" s="59">
        <f t="shared" si="349"/>
        <v>0</v>
      </c>
      <c r="QS20" s="59">
        <f t="shared" si="350"/>
        <v>0</v>
      </c>
      <c r="QT20" s="59">
        <f t="shared" si="351"/>
        <v>0</v>
      </c>
      <c r="QU20" s="59">
        <f t="shared" si="352"/>
        <v>0</v>
      </c>
      <c r="QV20" s="58">
        <f t="shared" si="353"/>
        <v>0</v>
      </c>
      <c r="QW20" s="45">
        <f t="shared" si="354"/>
        <v>67</v>
      </c>
      <c r="QX20" s="45">
        <f t="shared" si="63"/>
        <v>2.7689999999999997</v>
      </c>
      <c r="QY20" s="45">
        <f t="shared" si="355"/>
        <v>1</v>
      </c>
      <c r="QZ20" s="45">
        <f t="shared" si="356"/>
        <v>2</v>
      </c>
      <c r="RA20" s="45">
        <f t="shared" si="357"/>
        <v>0</v>
      </c>
      <c r="RB20" s="46" cm="1">
        <f t="array" ref="RB20">ROUND(IFERROR(INDEX(ArchiveResults!$F$5:$IX$116,ComparisonData!A20,ComparisonData!$RB$1),0),5)</f>
        <v>0</v>
      </c>
      <c r="RC20" s="46" cm="1">
        <f t="array" ref="RC20">ROUND(IFERROR(INDEX(ArchiveResults!$F$5:$IX$116,ComparisonData!A20,ComparisonData!$RC$1),0),5)</f>
        <v>0</v>
      </c>
      <c r="RD20" s="46" cm="1">
        <f t="array" ref="RD20">ROUND(IFERROR(INDEX(ArchiveResults!$F$5:$IX$116,ComparisonData!A20,ComparisonData!$RD$1),0),5)</f>
        <v>0</v>
      </c>
      <c r="RE20" s="46" cm="1">
        <f t="array" ref="RE20">ROUND(IFERROR(INDEX(ArchiveResults!$F$5:$IX$116,ComparisonData!A20,ComparisonData!$RE$1),0),5)</f>
        <v>0</v>
      </c>
      <c r="RF20" s="45" cm="1">
        <f t="array" ref="RF20">IFERROR(INDEX(ArchiveResults!$F$5:$IX$116,ComparisonData!A20,ComparisonData!$RF$1),0)</f>
        <v>0</v>
      </c>
      <c r="RG20" s="56">
        <v>15</v>
      </c>
      <c r="RH20" s="53" t="str">
        <f t="shared" si="64"/>
        <v>Ceredigion Archives</v>
      </c>
      <c r="RI20" s="59">
        <f t="shared" si="358"/>
        <v>0</v>
      </c>
      <c r="RJ20" s="59">
        <f t="shared" si="359"/>
        <v>0</v>
      </c>
      <c r="RK20" s="59">
        <f t="shared" si="360"/>
        <v>0</v>
      </c>
      <c r="RL20" s="59">
        <f t="shared" si="361"/>
        <v>0</v>
      </c>
      <c r="RM20" s="59">
        <f t="shared" si="362"/>
        <v>0</v>
      </c>
      <c r="RN20" s="58">
        <f t="shared" si="363"/>
        <v>0</v>
      </c>
      <c r="RO20" s="45">
        <f t="shared" si="364"/>
        <v>67</v>
      </c>
      <c r="RP20" s="45">
        <f t="shared" si="65"/>
        <v>2.7689999999999997</v>
      </c>
      <c r="RQ20" s="45">
        <f t="shared" si="365"/>
        <v>1</v>
      </c>
      <c r="RR20" s="45">
        <f t="shared" si="366"/>
        <v>2</v>
      </c>
      <c r="RS20" s="45">
        <f t="shared" si="367"/>
        <v>0</v>
      </c>
      <c r="RT20" s="46" cm="1">
        <f t="array" ref="RT20">ROUND(IFERROR(INDEX(ArchiveResults!$F$5:$IX$116,ComparisonData!A20,ComparisonData!$RT$1),0),5)</f>
        <v>0</v>
      </c>
      <c r="RU20" s="46" cm="1">
        <f t="array" ref="RU20">ROUND(IFERROR(INDEX(ArchiveResults!$F$5:$IX$116,ComparisonData!A20,ComparisonData!$RU$1),0),5)</f>
        <v>0</v>
      </c>
      <c r="RV20" s="46" cm="1">
        <f t="array" ref="RV20">ROUND(IFERROR(INDEX(ArchiveResults!$F$5:$IX$116,ComparisonData!A20,ComparisonData!$RV$1),0),5)</f>
        <v>0</v>
      </c>
      <c r="RW20" s="46" cm="1">
        <f t="array" ref="RW20">ROUND(IFERROR(INDEX(ArchiveResults!$F$5:$IX$116,ComparisonData!A20,ComparisonData!$RW$1),0),5)</f>
        <v>0</v>
      </c>
      <c r="RX20" s="45" cm="1">
        <f t="array" ref="RX20">IFERROR(INDEX(ArchiveResults!$F$5:$IX$116,ComparisonData!A20,ComparisonData!$RX$1),0)</f>
        <v>0</v>
      </c>
      <c r="RY20" s="56">
        <v>15</v>
      </c>
      <c r="RZ20" s="53" t="str">
        <f t="shared" si="66"/>
        <v>Ceredigion Archives</v>
      </c>
      <c r="SA20" s="59">
        <f t="shared" si="368"/>
        <v>0</v>
      </c>
      <c r="SB20" s="59">
        <f t="shared" si="369"/>
        <v>0</v>
      </c>
      <c r="SC20" s="59">
        <f t="shared" si="370"/>
        <v>0</v>
      </c>
      <c r="SD20" s="59">
        <f t="shared" si="371"/>
        <v>0</v>
      </c>
      <c r="SE20" s="59">
        <f t="shared" si="372"/>
        <v>0</v>
      </c>
      <c r="SF20" s="58">
        <f t="shared" si="373"/>
        <v>0</v>
      </c>
      <c r="SG20" s="45">
        <f t="shared" si="374"/>
        <v>67</v>
      </c>
      <c r="SH20" s="45">
        <f t="shared" si="67"/>
        <v>2.7689999999999997</v>
      </c>
      <c r="SI20" s="45">
        <f t="shared" si="375"/>
        <v>1</v>
      </c>
      <c r="SJ20" s="45">
        <f t="shared" si="376"/>
        <v>2</v>
      </c>
      <c r="SK20" s="45">
        <f t="shared" si="377"/>
        <v>0</v>
      </c>
      <c r="SL20" s="46" cm="1">
        <f t="array" ref="SL20">ROUND(IFERROR(INDEX(ArchiveResults!$F$5:$IX$116,ComparisonData!A20,ComparisonData!$SL$1),0),5)</f>
        <v>0</v>
      </c>
      <c r="SM20" s="46" cm="1">
        <f t="array" ref="SM20">ROUND(IFERROR(INDEX(ArchiveResults!$F$5:$IX$116,ComparisonData!A20,ComparisonData!$SM$1),0),5)</f>
        <v>0</v>
      </c>
      <c r="SN20" s="46" cm="1">
        <f t="array" ref="SN20">ROUND(IFERROR(INDEX(ArchiveResults!$F$5:$IX$116,ComparisonData!A20,ComparisonData!$SN$1),0),5)</f>
        <v>0</v>
      </c>
      <c r="SO20" s="46" cm="1">
        <f t="array" ref="SO20">ROUND(IFERROR(INDEX(ArchiveResults!$F$5:$IX$116,ComparisonData!A20,ComparisonData!$SO$1),0),5)</f>
        <v>0</v>
      </c>
      <c r="SP20" s="45" cm="1">
        <f t="array" ref="SP20">IFERROR(INDEX(ArchiveResults!$F$5:$IX$116,ComparisonData!A20,ComparisonData!$SP$1),0)</f>
        <v>0</v>
      </c>
      <c r="SQ20" s="56">
        <v>15</v>
      </c>
      <c r="SR20" s="53" t="str">
        <f t="shared" si="68"/>
        <v>Ceredigion Archives</v>
      </c>
      <c r="SS20" s="59">
        <f t="shared" si="378"/>
        <v>0</v>
      </c>
      <c r="ST20" s="59">
        <f t="shared" si="379"/>
        <v>0</v>
      </c>
      <c r="SU20" s="59">
        <f t="shared" si="380"/>
        <v>0</v>
      </c>
      <c r="SV20" s="59">
        <f t="shared" si="381"/>
        <v>0</v>
      </c>
      <c r="SW20" s="59">
        <f t="shared" si="382"/>
        <v>0</v>
      </c>
      <c r="SX20" s="58">
        <f t="shared" si="383"/>
        <v>0</v>
      </c>
      <c r="SY20" s="45">
        <f t="shared" si="384"/>
        <v>67</v>
      </c>
      <c r="SZ20" s="45">
        <f t="shared" si="69"/>
        <v>2.7689999999999997</v>
      </c>
      <c r="TA20" s="45">
        <f t="shared" si="385"/>
        <v>1</v>
      </c>
      <c r="TB20" s="45">
        <f t="shared" si="386"/>
        <v>2</v>
      </c>
      <c r="TC20" s="45">
        <f t="shared" si="387"/>
        <v>0</v>
      </c>
      <c r="TD20" s="46" cm="1">
        <f t="array" ref="TD20">ROUND(IFERROR(INDEX(ArchiveResults!$F$5:$IX$116,ComparisonData!A20,ComparisonData!$TD$1),0),5)</f>
        <v>0</v>
      </c>
      <c r="TE20" s="46" cm="1">
        <f t="array" ref="TE20">ROUND(IFERROR(INDEX(ArchiveResults!$F$5:$IX$116,ComparisonData!A20,ComparisonData!$TE$1),0),5)</f>
        <v>0</v>
      </c>
      <c r="TF20" s="46" cm="1">
        <f t="array" ref="TF20">ROUND(IFERROR(INDEX(ArchiveResults!$F$5:$IX$116,ComparisonData!A20,ComparisonData!$TF$1),0),5)</f>
        <v>0</v>
      </c>
      <c r="TG20" s="46" cm="1">
        <f t="array" ref="TG20">ROUND(IFERROR(INDEX(ArchiveResults!$F$5:$IX$116,ComparisonData!A20,ComparisonData!$TG$1),0),5)</f>
        <v>0</v>
      </c>
      <c r="TH20" s="45" cm="1">
        <f t="array" ref="TH20">IFERROR(INDEX(ArchiveResults!$F$5:$IX$116,ComparisonData!A20,ComparisonData!$TH$1),0)</f>
        <v>0</v>
      </c>
      <c r="TI20" s="56">
        <v>15</v>
      </c>
      <c r="TJ20" s="53" t="str">
        <f t="shared" si="70"/>
        <v>Ceredigion Archives</v>
      </c>
      <c r="TK20" s="59">
        <f t="shared" si="388"/>
        <v>0</v>
      </c>
      <c r="TL20" s="59">
        <f t="shared" si="389"/>
        <v>0</v>
      </c>
      <c r="TM20" s="59">
        <f t="shared" si="390"/>
        <v>0</v>
      </c>
      <c r="TN20" s="59">
        <f t="shared" si="391"/>
        <v>0</v>
      </c>
      <c r="TO20" s="59">
        <f t="shared" si="392"/>
        <v>0</v>
      </c>
      <c r="TP20" s="58">
        <f t="shared" si="393"/>
        <v>0</v>
      </c>
      <c r="TQ20" s="45">
        <f t="shared" si="394"/>
        <v>67</v>
      </c>
      <c r="TR20" s="45">
        <f t="shared" si="71"/>
        <v>2.7689999999999997</v>
      </c>
      <c r="TS20" s="45">
        <f t="shared" si="395"/>
        <v>1</v>
      </c>
      <c r="TT20" s="45">
        <f t="shared" si="396"/>
        <v>2</v>
      </c>
      <c r="TU20" s="45">
        <f t="shared" si="397"/>
        <v>0</v>
      </c>
      <c r="TV20" s="46" cm="1">
        <f t="array" ref="TV20">ROUND(IFERROR(INDEX(ArchiveResults!$F$5:$IX$116,ComparisonData!A20,ComparisonData!$TV$1),0),5)</f>
        <v>0</v>
      </c>
      <c r="TW20" s="46" cm="1">
        <f t="array" ref="TW20">ROUND(IFERROR(INDEX(ArchiveResults!$F$5:$IX$116,ComparisonData!A20,ComparisonData!$TW$1),0),5)</f>
        <v>0</v>
      </c>
      <c r="TX20" s="46" cm="1">
        <f t="array" ref="TX20">ROUND(IFERROR(INDEX(ArchiveResults!$F$5:$IX$116,ComparisonData!A20,ComparisonData!$TX$1),0),5)</f>
        <v>0</v>
      </c>
      <c r="TY20" s="46" cm="1">
        <f t="array" ref="TY20">ROUND(IFERROR(INDEX(ArchiveResults!$F$5:$IX$116,ComparisonData!A20,ComparisonData!$TY$1),0),5)</f>
        <v>0</v>
      </c>
      <c r="TZ20" s="45" cm="1">
        <f t="array" ref="TZ20">IFERROR(INDEX(ArchiveResults!$F$5:$IX$116,ComparisonData!A20,ComparisonData!$TZ$1),0)</f>
        <v>0</v>
      </c>
      <c r="UA20" s="56">
        <v>15</v>
      </c>
      <c r="UB20" s="53" t="str">
        <f t="shared" si="72"/>
        <v>Ceredigion Archives</v>
      </c>
      <c r="UC20" s="60">
        <f t="shared" si="398"/>
        <v>0</v>
      </c>
      <c r="UD20" s="60">
        <f t="shared" si="399"/>
        <v>0</v>
      </c>
      <c r="UE20" s="60">
        <f t="shared" si="400"/>
        <v>0</v>
      </c>
      <c r="UF20" s="60">
        <f t="shared" si="401"/>
        <v>0</v>
      </c>
      <c r="UG20" s="60">
        <f t="shared" si="402"/>
        <v>0</v>
      </c>
      <c r="UH20" s="58">
        <f t="shared" si="403"/>
        <v>0</v>
      </c>
      <c r="UI20" s="46">
        <f t="shared" si="404"/>
        <v>67</v>
      </c>
      <c r="UJ20" s="46">
        <f t="shared" si="73"/>
        <v>2.7689999999999997</v>
      </c>
      <c r="UK20" s="46">
        <f t="shared" si="405"/>
        <v>1</v>
      </c>
      <c r="UL20" s="46">
        <f t="shared" si="406"/>
        <v>2</v>
      </c>
      <c r="UM20" s="46" cm="1">
        <f t="array" ref="UM20">ROUND(IFERROR(INDEX(ArchiveResults!$F$5:$IX$116,ComparisonData!A20,ComparisonData!$UM$1),0),5)</f>
        <v>0</v>
      </c>
      <c r="UN20" s="56">
        <v>15</v>
      </c>
      <c r="UO20" s="53" t="str">
        <f t="shared" si="74"/>
        <v>Ceredigion Archives</v>
      </c>
      <c r="UP20" s="46">
        <f t="shared" si="407"/>
        <v>0</v>
      </c>
      <c r="UQ20" s="76">
        <f t="shared" si="408"/>
        <v>0</v>
      </c>
      <c r="UR20" s="46">
        <f t="shared" si="409"/>
        <v>67</v>
      </c>
      <c r="US20" s="46">
        <f t="shared" si="75"/>
        <v>2.7689999999999997</v>
      </c>
      <c r="UT20" s="46">
        <f t="shared" si="410"/>
        <v>1</v>
      </c>
      <c r="UU20" s="46">
        <f t="shared" si="411"/>
        <v>2</v>
      </c>
      <c r="UV20" s="46">
        <f t="shared" si="412"/>
        <v>0</v>
      </c>
      <c r="UW20" s="46" cm="1">
        <f t="array" ref="UW20">ROUND(IFERROR(INDEX(ArchiveResults!$F$5:$IX$116,ComparisonData!A20,ComparisonData!$UW$1),0),5)</f>
        <v>0</v>
      </c>
      <c r="UX20" s="46" cm="1">
        <f t="array" ref="UX20">ROUND(IFERROR(INDEX(ArchiveResults!$F$5:$IX$116,ComparisonData!A20,ComparisonData!$UX$1),0),5)</f>
        <v>0</v>
      </c>
      <c r="UY20" s="46" cm="1">
        <f t="array" ref="UY20">ROUND(IFERROR(INDEX(ArchiveResults!$F$5:$IX$116,ComparisonData!A20,ComparisonData!$UY$1),0),5)</f>
        <v>0</v>
      </c>
      <c r="UZ20" s="46" cm="1">
        <f t="array" ref="UZ20">ROUND(IFERROR(INDEX(ArchiveResults!$F$5:$IX$116,ComparisonData!A20,ComparisonData!$UZ$1),0),5)</f>
        <v>0</v>
      </c>
      <c r="VA20" s="46" cm="1">
        <f t="array" ref="VA20">ROUND(IFERROR(INDEX(ArchiveResults!$F$5:$IX$116,ComparisonData!A20,ComparisonData!$VA$1),0),5)</f>
        <v>0</v>
      </c>
      <c r="VB20" s="56">
        <v>15</v>
      </c>
      <c r="VC20" s="53" t="str">
        <f t="shared" si="76"/>
        <v>Ceredigion Archives</v>
      </c>
      <c r="VD20" s="60">
        <f t="shared" si="413"/>
        <v>0</v>
      </c>
      <c r="VE20" s="60">
        <f t="shared" si="414"/>
        <v>0</v>
      </c>
      <c r="VF20" s="60">
        <f t="shared" si="415"/>
        <v>0</v>
      </c>
      <c r="VG20" s="60">
        <f t="shared" si="416"/>
        <v>0</v>
      </c>
      <c r="VH20" s="60">
        <f t="shared" si="417"/>
        <v>0</v>
      </c>
      <c r="VI20" s="76">
        <f t="shared" si="418"/>
        <v>0</v>
      </c>
      <c r="VJ20" s="46">
        <f t="shared" si="419"/>
        <v>67</v>
      </c>
      <c r="VK20" s="46">
        <f t="shared" si="77"/>
        <v>2.7689999999999997</v>
      </c>
      <c r="VL20" s="46">
        <f t="shared" si="420"/>
        <v>1</v>
      </c>
      <c r="VM20" s="46">
        <f t="shared" si="421"/>
        <v>2</v>
      </c>
      <c r="VN20" s="46" cm="1">
        <f t="array" ref="VN20">ROUND(IFERROR(INDEX(ArchiveResults!$F$5:$IX$116,ComparisonData!A20,ComparisonData!$VN$1),0),5)</f>
        <v>0</v>
      </c>
      <c r="VO20" s="46" cm="1">
        <f t="array" ref="VO20">ROUND(IFERROR(INDEX(ArchiveResults!$F$5:$IX$116,ComparisonData!A20,ComparisonData!$VO$1),0),5)</f>
        <v>0</v>
      </c>
      <c r="VP20" s="46" cm="1">
        <f t="array" ref="VP20">ROUND(IFERROR(INDEX(ArchiveResults!$F$5:$IX$116,ComparisonData!A20,ComparisonData!$VP$1),0),5)</f>
        <v>0</v>
      </c>
      <c r="VQ20" s="46" cm="1">
        <f t="array" ref="VQ20">ROUND(IFERROR(INDEX(ArchiveResults!$F$5:$IX$116,ComparisonData!A20,ComparisonData!$VQ$1),0),5)</f>
        <v>0</v>
      </c>
      <c r="VR20" s="56">
        <v>15</v>
      </c>
      <c r="VS20" s="53" t="str">
        <f t="shared" si="78"/>
        <v>Ceredigion Archives</v>
      </c>
      <c r="VT20" s="60">
        <f t="shared" si="422"/>
        <v>0</v>
      </c>
      <c r="VU20" s="60">
        <f t="shared" si="423"/>
        <v>0</v>
      </c>
      <c r="VV20" s="60">
        <f t="shared" si="424"/>
        <v>0</v>
      </c>
      <c r="VW20" s="60">
        <f t="shared" si="425"/>
        <v>0</v>
      </c>
      <c r="VX20" s="76">
        <f t="shared" si="426"/>
        <v>0</v>
      </c>
      <c r="VY20" s="46">
        <f t="shared" si="427"/>
        <v>67</v>
      </c>
      <c r="VZ20" s="46">
        <f t="shared" si="79"/>
        <v>2.7689999999999997</v>
      </c>
      <c r="WA20" s="46">
        <f t="shared" si="428"/>
        <v>1</v>
      </c>
      <c r="WB20" s="46">
        <f t="shared" si="429"/>
        <v>2</v>
      </c>
      <c r="WC20" s="46" cm="1">
        <f t="array" ref="WC20">ROUND(IFERROR(INDEX(ArchiveResults!$F$5:$IX$116,ComparisonData!A20,ComparisonData!$WC$1),0),5)</f>
        <v>0</v>
      </c>
      <c r="WD20" s="56">
        <v>15</v>
      </c>
      <c r="WE20" s="53" t="str">
        <f t="shared" si="80"/>
        <v>Ceredigion Archives</v>
      </c>
      <c r="WF20" s="46">
        <f t="shared" si="430"/>
        <v>0</v>
      </c>
      <c r="WG20" s="76">
        <f t="shared" si="431"/>
        <v>0</v>
      </c>
      <c r="WH20" s="46">
        <f t="shared" si="432"/>
        <v>67</v>
      </c>
      <c r="WI20" s="46">
        <f t="shared" si="81"/>
        <v>2.7689999999999997</v>
      </c>
      <c r="WJ20" s="46">
        <f t="shared" si="433"/>
        <v>1</v>
      </c>
      <c r="WK20" s="46">
        <f t="shared" si="434"/>
        <v>2</v>
      </c>
      <c r="WL20" s="46" cm="1">
        <f t="array" ref="WL20">ROUND(IFERROR(INDEX(ArchiveResults!$F$5:$IX$116,ComparisonData!A20,ComparisonData!$WL$1),0),5)</f>
        <v>0</v>
      </c>
      <c r="WM20" s="46" cm="1">
        <f t="array" ref="WM20">IFERROR(INDEX(ArchiveResults!$F$5:$IX$116,ComparisonData!A20,ComparisonData!$WM$1),0)</f>
        <v>0</v>
      </c>
      <c r="WN20" s="56">
        <v>15</v>
      </c>
      <c r="WO20" s="53" t="str">
        <f t="shared" si="82"/>
        <v>Ceredigion Archives</v>
      </c>
      <c r="WP20" s="60">
        <f t="shared" si="435"/>
        <v>0</v>
      </c>
      <c r="WQ20" s="60">
        <f t="shared" si="436"/>
        <v>0</v>
      </c>
      <c r="WR20" s="76">
        <f t="shared" si="437"/>
        <v>0</v>
      </c>
      <c r="WS20" s="46">
        <f t="shared" si="438"/>
        <v>67</v>
      </c>
      <c r="WT20" s="46">
        <f t="shared" si="83"/>
        <v>2.7689999999999997</v>
      </c>
      <c r="WU20" s="46">
        <f t="shared" si="439"/>
        <v>1</v>
      </c>
      <c r="WV20" s="46">
        <f t="shared" si="440"/>
        <v>2</v>
      </c>
      <c r="WW20" s="46" cm="1">
        <f t="array" ref="WW20">ROUND(VALUE(IFERROR(INDEX(ArchiveResults!$F$5:$IX$116,ComparisonData!A20,ComparisonData!$WW$1),0)),5)</f>
        <v>0</v>
      </c>
      <c r="WX20" s="46" cm="1">
        <f t="array" ref="WX20">ROUND(IFERROR(INDEX(ArchiveResults!$F$5:$IX$116,ComparisonData!A20,ComparisonData!$WX$1),0),5)</f>
        <v>0</v>
      </c>
      <c r="WY20" s="56">
        <v>15</v>
      </c>
      <c r="WZ20" s="53" t="str">
        <f t="shared" si="84"/>
        <v>Ceredigion Archives</v>
      </c>
      <c r="XA20" s="60">
        <f t="shared" si="85"/>
        <v>0</v>
      </c>
      <c r="XB20" s="60">
        <f t="shared" si="86"/>
        <v>0</v>
      </c>
      <c r="XC20" s="76">
        <f t="shared" si="441"/>
        <v>0</v>
      </c>
      <c r="XD20" s="46">
        <f t="shared" si="442"/>
        <v>67</v>
      </c>
      <c r="XE20" s="46">
        <f t="shared" si="87"/>
        <v>2.7689999999999997</v>
      </c>
      <c r="XF20" s="46">
        <f t="shared" si="443"/>
        <v>1</v>
      </c>
      <c r="XG20" s="46">
        <f t="shared" si="444"/>
        <v>2</v>
      </c>
      <c r="XH20" s="46" cm="1">
        <f t="array" ref="XH20">ROUND(VALUE(IFERROR(INDEX(ArchiveResults!$F$5:$IX$116,ComparisonData!A20,ComparisonData!$XH$1),0)),5)</f>
        <v>0</v>
      </c>
      <c r="XI20" s="46" cm="1">
        <f t="array" ref="XI20">ROUND(VALUE(IFERROR(INDEX(ArchiveResults!$F$5:$IX$116,ComparisonData!A20,ComparisonData!$XI$1),0)),5)</f>
        <v>0</v>
      </c>
      <c r="XJ20" s="56">
        <v>15</v>
      </c>
      <c r="XK20" s="53" t="str">
        <f t="shared" si="88"/>
        <v>Ceredigion Archives</v>
      </c>
      <c r="XL20" s="60">
        <f t="shared" si="445"/>
        <v>0</v>
      </c>
      <c r="XM20" s="60">
        <f t="shared" si="446"/>
        <v>0</v>
      </c>
      <c r="XN20" s="76">
        <f t="shared" si="447"/>
        <v>0</v>
      </c>
      <c r="XO20" s="46">
        <f t="shared" si="448"/>
        <v>67</v>
      </c>
      <c r="XP20" s="46">
        <f t="shared" si="89"/>
        <v>2.7689999999999997</v>
      </c>
      <c r="XQ20" s="46">
        <f t="shared" si="449"/>
        <v>1</v>
      </c>
      <c r="XR20" s="46">
        <f t="shared" si="450"/>
        <v>2</v>
      </c>
      <c r="XS20" s="46" cm="1">
        <f t="array" ref="XS20">ROUND(VALUE(IFERROR(INDEX(ArchiveResults!$F$5:$IX$116,ComparisonData!A20,ComparisonData!$XS$1),0)),5)</f>
        <v>0</v>
      </c>
      <c r="XT20" s="46" cm="1">
        <f t="array" ref="XT20">ROUND(VALUE(IFERROR(INDEX(ArchiveResults!$F$5:$IX$116,ComparisonData!A20,ComparisonData!$XT$1),0)),5)</f>
        <v>0</v>
      </c>
      <c r="XU20" s="56">
        <v>15</v>
      </c>
      <c r="XV20" s="53" t="str">
        <f t="shared" si="90"/>
        <v>Ceredigion Archives</v>
      </c>
      <c r="XW20" s="60">
        <f t="shared" si="451"/>
        <v>0</v>
      </c>
      <c r="XX20" s="60">
        <f t="shared" si="452"/>
        <v>0</v>
      </c>
      <c r="XY20" s="76">
        <f t="shared" si="453"/>
        <v>0</v>
      </c>
      <c r="XZ20" s="46">
        <f t="shared" si="454"/>
        <v>67</v>
      </c>
      <c r="YA20" s="46">
        <f t="shared" si="91"/>
        <v>2.7689999999999997</v>
      </c>
      <c r="YB20" s="46">
        <f t="shared" si="455"/>
        <v>1</v>
      </c>
      <c r="YC20" s="46">
        <f t="shared" si="456"/>
        <v>2</v>
      </c>
      <c r="YD20" s="46" cm="1">
        <f t="array" ref="YD20">ROUND(VALUE(IFERROR(INDEX(ArchiveResults!$F$5:$IX$116,ComparisonData!A20,ComparisonData!$YD$1),0)),5)</f>
        <v>0</v>
      </c>
      <c r="YE20" s="46" cm="1">
        <f t="array" ref="YE20">ROUND(VALUE(IFERROR(INDEX(ArchiveResults!$F$5:$IX$116,ComparisonData!A20,ComparisonData!$YE$1),0)),5)</f>
        <v>0</v>
      </c>
      <c r="YF20" s="56">
        <v>15</v>
      </c>
      <c r="YG20" s="53" t="str">
        <f t="shared" si="92"/>
        <v>Ceredigion Archives</v>
      </c>
      <c r="YH20" s="60">
        <f t="shared" si="457"/>
        <v>0</v>
      </c>
      <c r="YI20" s="60">
        <f t="shared" si="458"/>
        <v>0</v>
      </c>
      <c r="YJ20" s="76">
        <f t="shared" si="459"/>
        <v>0</v>
      </c>
      <c r="YK20" s="46">
        <f t="shared" si="460"/>
        <v>67</v>
      </c>
      <c r="YL20" s="46">
        <f t="shared" si="93"/>
        <v>2.7689999999999997</v>
      </c>
      <c r="YM20" s="46">
        <f t="shared" si="461"/>
        <v>1</v>
      </c>
      <c r="YN20" s="46">
        <f t="shared" si="462"/>
        <v>2</v>
      </c>
      <c r="YO20" s="46" cm="1">
        <f t="array" ref="YO20">ROUND(VALUE(IFERROR(INDEX(ArchiveResults!$F$5:$IX$116,ComparisonData!A20,ComparisonData!$YO$1),0)),5)</f>
        <v>0</v>
      </c>
      <c r="YP20" s="46" cm="1">
        <f t="array" ref="YP20">ROUND(VALUE(IFERROR(INDEX(ArchiveResults!$F$5:$IX$116,ComparisonData!A20,ComparisonData!$YP$1),0)),5)</f>
        <v>0</v>
      </c>
      <c r="YQ20" s="56">
        <v>15</v>
      </c>
      <c r="YR20" s="53" t="str">
        <f t="shared" si="94"/>
        <v>Ceredigion Archives</v>
      </c>
      <c r="YS20" s="60">
        <f t="shared" si="463"/>
        <v>0</v>
      </c>
      <c r="YT20" s="60">
        <f t="shared" si="464"/>
        <v>0</v>
      </c>
      <c r="YU20" s="76">
        <f t="shared" si="465"/>
        <v>0</v>
      </c>
      <c r="YV20" s="46">
        <f t="shared" si="466"/>
        <v>67</v>
      </c>
      <c r="YW20" s="46">
        <f t="shared" si="95"/>
        <v>2.7689999999999997</v>
      </c>
      <c r="YX20" s="46">
        <f t="shared" si="467"/>
        <v>1</v>
      </c>
      <c r="YY20" s="46">
        <f t="shared" si="468"/>
        <v>2</v>
      </c>
      <c r="YZ20" s="46">
        <f t="shared" si="469"/>
        <v>0</v>
      </c>
      <c r="ZA20" s="46" cm="1">
        <f t="array" ref="ZA20">ROUNDDOWN(VALUE(IFERROR(INDEX(ArchiveResults!$F$5:$IX$116,ComparisonData!A20,ComparisonData!$ZA$1),0)),5)</f>
        <v>0</v>
      </c>
      <c r="ZB20" s="46" cm="1">
        <f t="array" ref="ZB20">ROUNDDOWN(VALUE(IFERROR(INDEX(ArchiveResults!$F$5:$IX$116,ComparisonData!A20,ComparisonData!$ZB$1),0)),5)</f>
        <v>0</v>
      </c>
      <c r="ZC20" s="46" cm="1">
        <f t="array" ref="ZC20">ROUNDDOWN(VALUE(IFERROR(INDEX(ArchiveResults!$F$5:$IX$116,ComparisonData!A20,ComparisonData!$ZC$1),0)),5)</f>
        <v>0</v>
      </c>
      <c r="ZD20" s="46" cm="1">
        <f t="array" ref="ZD20">ROUNDDOWN(VALUE(IFERROR(INDEX(ArchiveResults!$F$5:$IX$116,ComparisonData!A20,ComparisonData!$ZD$1),0)),5)</f>
        <v>0</v>
      </c>
      <c r="ZE20" s="46" cm="1">
        <f t="array" ref="ZE20">ROUNDDOWN(VALUE(IFERROR(INDEX(ArchiveResults!$F$5:$IX$116,ComparisonData!A20,ComparisonData!$ZE$1),0)),5)</f>
        <v>0</v>
      </c>
      <c r="ZF20" s="56">
        <v>15</v>
      </c>
      <c r="ZG20" s="53" t="str">
        <f t="shared" si="96"/>
        <v>Ceredigion Archives</v>
      </c>
      <c r="ZH20" s="60">
        <f t="shared" si="470"/>
        <v>0</v>
      </c>
      <c r="ZI20" s="60">
        <f t="shared" si="471"/>
        <v>0</v>
      </c>
      <c r="ZJ20" s="60">
        <f t="shared" si="472"/>
        <v>0</v>
      </c>
      <c r="ZK20" s="60">
        <f t="shared" si="473"/>
        <v>0</v>
      </c>
      <c r="ZL20" s="60">
        <f t="shared" si="474"/>
        <v>0</v>
      </c>
      <c r="ZM20" s="76">
        <f t="shared" si="475"/>
        <v>0</v>
      </c>
      <c r="ZN20" s="46">
        <f t="shared" si="476"/>
        <v>67</v>
      </c>
      <c r="ZO20" s="46">
        <f t="shared" si="97"/>
        <v>2.7689999999999997</v>
      </c>
      <c r="ZP20" s="46">
        <f t="shared" si="477"/>
        <v>1</v>
      </c>
      <c r="ZQ20" s="46">
        <f t="shared" si="478"/>
        <v>2</v>
      </c>
      <c r="ZR20" s="46" cm="1">
        <f t="array" ref="ZR20">ROUND(VALUE(IFERROR(INDEX(ArchiveResults!$F$5:$IX$116,ComparisonData!A20,ComparisonData!$ZR$1),0)),5)</f>
        <v>0</v>
      </c>
      <c r="ZS20" s="56">
        <v>15</v>
      </c>
      <c r="ZT20" s="53" t="str">
        <f t="shared" si="98"/>
        <v>Ceredigion Archives</v>
      </c>
      <c r="ZU20" s="46">
        <f t="shared" si="479"/>
        <v>0</v>
      </c>
      <c r="ZV20" s="76">
        <f t="shared" si="480"/>
        <v>0</v>
      </c>
      <c r="ZW20" s="88" t="s">
        <v>608</v>
      </c>
      <c r="ZX20" s="88" t="s">
        <v>608</v>
      </c>
      <c r="ZY20" s="88" t="s">
        <v>608</v>
      </c>
      <c r="ZZ20" s="88" t="s">
        <v>608</v>
      </c>
      <c r="AAA20" s="88" t="s">
        <v>608</v>
      </c>
      <c r="AAB20" s="88" t="s">
        <v>608</v>
      </c>
      <c r="AAC20" s="88" t="s">
        <v>608</v>
      </c>
      <c r="AAD20" s="88" t="s">
        <v>608</v>
      </c>
      <c r="AAE20" s="88" t="s">
        <v>608</v>
      </c>
      <c r="AAF20" s="88" t="s">
        <v>608</v>
      </c>
      <c r="AAG20" s="46">
        <f t="shared" si="481"/>
        <v>67</v>
      </c>
      <c r="AAH20" s="46">
        <f t="shared" si="99"/>
        <v>2.7689999999999997</v>
      </c>
      <c r="AAI20" s="46">
        <f t="shared" si="482"/>
        <v>1</v>
      </c>
      <c r="AAJ20" s="46">
        <f t="shared" si="483"/>
        <v>2</v>
      </c>
      <c r="AAK20" s="46">
        <f t="shared" si="484"/>
        <v>0</v>
      </c>
      <c r="AAL20" s="46">
        <f t="shared" si="485"/>
        <v>0</v>
      </c>
      <c r="AAM20" s="46">
        <f t="shared" si="486"/>
        <v>0</v>
      </c>
      <c r="AAN20" s="46">
        <f t="shared" si="487"/>
        <v>0</v>
      </c>
      <c r="AAO20" s="46">
        <f t="shared" si="488"/>
        <v>0</v>
      </c>
      <c r="AAP20" s="46">
        <f t="shared" si="489"/>
        <v>0</v>
      </c>
      <c r="AAQ20" s="56">
        <v>15</v>
      </c>
      <c r="AAR20" s="53" t="str">
        <f t="shared" si="100"/>
        <v>Ceredigion Archives</v>
      </c>
      <c r="AAS20" s="60">
        <f t="shared" si="490"/>
        <v>0</v>
      </c>
      <c r="AAT20" s="60">
        <f t="shared" si="491"/>
        <v>0</v>
      </c>
      <c r="AAU20" s="60">
        <f t="shared" si="492"/>
        <v>0</v>
      </c>
      <c r="AAV20" s="60">
        <f t="shared" si="493"/>
        <v>0</v>
      </c>
      <c r="AAW20" s="60">
        <f t="shared" si="494"/>
        <v>0</v>
      </c>
      <c r="AAX20" s="76">
        <f t="shared" si="495"/>
        <v>0</v>
      </c>
      <c r="AAY20" s="46">
        <f t="shared" si="496"/>
        <v>67</v>
      </c>
      <c r="AAZ20" s="46">
        <f t="shared" si="101"/>
        <v>2.7689999999999997</v>
      </c>
      <c r="ABA20" s="46">
        <f t="shared" si="497"/>
        <v>1</v>
      </c>
      <c r="ABB20" s="46">
        <f t="shared" si="498"/>
        <v>2</v>
      </c>
      <c r="ABC20" s="46">
        <f t="shared" si="102"/>
        <v>0</v>
      </c>
      <c r="ABD20" s="46" cm="1">
        <f t="array" ref="ABD20">ROUND(VALUE(IFERROR(INDEX(ArchiveResults!$F$5:$IX$116,ComparisonData!A20,ComparisonData!$ABD$1),0)),5)</f>
        <v>0</v>
      </c>
      <c r="ABE20" s="46" cm="1">
        <f t="array" ref="ABE20">ROUND(VALUE(IFERROR(INDEX(ArchiveResults!$F$5:$IX$116,ComparisonData!A20,ComparisonData!$ABE$1),0)),5)</f>
        <v>0</v>
      </c>
      <c r="ABF20" s="46" cm="1">
        <f t="array" ref="ABF20">ROUND(VALUE(IFERROR(INDEX(ArchiveResults!$F$5:$IX$116,ComparisonData!A20,ComparisonData!$ABF$1),0)),5)</f>
        <v>0</v>
      </c>
      <c r="ABG20" s="46" cm="1">
        <f t="array" ref="ABG20">ROUND(VALUE(IFERROR(INDEX(ArchiveResults!$F$5:$IX$116,ComparisonData!A20,ComparisonData!$ABG$1),0)),5)</f>
        <v>0</v>
      </c>
      <c r="ABH20" s="46" cm="1">
        <f t="array" ref="ABH20">ROUND(VALUE(IFERROR(INDEX(ArchiveResults!$F$5:$IX$116,ComparisonData!A20,ComparisonData!$ABH$1),0)),5)</f>
        <v>0</v>
      </c>
      <c r="ABI20" s="56">
        <v>15</v>
      </c>
      <c r="ABJ20" s="53" t="str">
        <f t="shared" si="103"/>
        <v>Ceredigion Archives</v>
      </c>
      <c r="ABK20" s="60">
        <f t="shared" si="499"/>
        <v>0</v>
      </c>
      <c r="ABL20" s="60">
        <f t="shared" si="500"/>
        <v>0</v>
      </c>
      <c r="ABM20" s="60">
        <f t="shared" si="501"/>
        <v>0</v>
      </c>
      <c r="ABN20" s="60">
        <f t="shared" si="502"/>
        <v>0</v>
      </c>
      <c r="ABO20" s="60">
        <f t="shared" si="503"/>
        <v>0</v>
      </c>
      <c r="ABP20" s="76">
        <f t="shared" si="504"/>
        <v>0</v>
      </c>
      <c r="ABQ20" s="46">
        <f t="shared" si="505"/>
        <v>67</v>
      </c>
      <c r="ABR20" s="46">
        <f t="shared" si="104"/>
        <v>2.7689999999999997</v>
      </c>
      <c r="ABS20" s="46">
        <f t="shared" si="506"/>
        <v>1</v>
      </c>
      <c r="ABT20" s="46">
        <f t="shared" si="507"/>
        <v>2</v>
      </c>
      <c r="ABU20" s="46" cm="1">
        <f t="array" ref="ABU20">ROUND(VALUE(IFERROR(INDEX(ArchiveResults!$F$5:$IX$116,ComparisonData!A20,ComparisonData!$ABU$1),0)),5)</f>
        <v>0</v>
      </c>
      <c r="ABV20" s="46" cm="1">
        <f t="array" ref="ABV20">ROUND(VALUE(IFERROR(INDEX(ArchiveResults!$F$5:$IX$116,ComparisonData!A20,ComparisonData!$ABV$1),0)),5)</f>
        <v>0</v>
      </c>
      <c r="ABW20" s="46" cm="1">
        <f t="array" ref="ABW20">ROUND(VALUE(IFERROR(INDEX(ArchiveResults!$F$5:$IX$116,ComparisonData!A20,ComparisonData!$ABW$1),0)),5)</f>
        <v>0</v>
      </c>
      <c r="ABX20" s="46" cm="1">
        <f t="array" ref="ABX20">ROUND(VALUE(IFERROR(INDEX(ArchiveResults!$F$5:$IX$116,ComparisonData!A20,ComparisonData!$ABX$1),0)),5)</f>
        <v>0</v>
      </c>
      <c r="ABY20" s="46" cm="1">
        <f t="array" ref="ABY20">ROUND(VALUE(IFERROR(INDEX(ArchiveResults!$F$5:$IX$116,ComparisonData!A20,ComparisonData!$ABY$1),0)),5)</f>
        <v>0</v>
      </c>
      <c r="ABZ20" s="56">
        <v>15</v>
      </c>
      <c r="ACA20" s="53" t="str">
        <f t="shared" si="105"/>
        <v>Ceredigion Archives</v>
      </c>
      <c r="ACB20" s="60">
        <f t="shared" si="508"/>
        <v>0</v>
      </c>
      <c r="ACC20" s="60">
        <f t="shared" si="509"/>
        <v>0</v>
      </c>
      <c r="ACD20" s="60">
        <f t="shared" si="510"/>
        <v>0</v>
      </c>
      <c r="ACE20" s="60">
        <f t="shared" si="511"/>
        <v>0</v>
      </c>
      <c r="ACF20" s="60">
        <f t="shared" si="512"/>
        <v>0</v>
      </c>
      <c r="ACG20" s="76">
        <f t="shared" si="513"/>
        <v>0</v>
      </c>
      <c r="ACH20" s="46">
        <f t="shared" si="514"/>
        <v>67</v>
      </c>
      <c r="ACI20" s="46">
        <f t="shared" si="106"/>
        <v>2.7689999999999997</v>
      </c>
      <c r="ACJ20" s="46">
        <f t="shared" si="515"/>
        <v>1</v>
      </c>
      <c r="ACK20" s="46">
        <f t="shared" si="516"/>
        <v>2</v>
      </c>
      <c r="ACL20" s="46">
        <f t="shared" si="517"/>
        <v>0</v>
      </c>
      <c r="ACM20" s="46" cm="1">
        <f t="array" ref="ACM20">ROUND(IFERROR(INDEX(ArchiveResults!$F$5:$IX$116,ComparisonData!A20,ComparisonData!$ACM$1),0),5)</f>
        <v>0</v>
      </c>
      <c r="ACN20" s="46" cm="1">
        <f t="array" ref="ACN20">ROUND(IFERROR(INDEX(ArchiveResults!$F$5:$IX$116,ComparisonData!A20,ComparisonData!$ACN$1),0),5)</f>
        <v>0</v>
      </c>
      <c r="ACO20" s="56">
        <v>15</v>
      </c>
      <c r="ACP20" s="53" t="str">
        <f t="shared" si="107"/>
        <v>Ceredigion Archives</v>
      </c>
      <c r="ACQ20" s="60">
        <f t="shared" si="518"/>
        <v>0</v>
      </c>
      <c r="ACR20" s="60">
        <f t="shared" si="519"/>
        <v>0</v>
      </c>
      <c r="ACS20" s="76">
        <f t="shared" si="520"/>
        <v>0</v>
      </c>
      <c r="ACT20" s="46">
        <f t="shared" si="521"/>
        <v>67</v>
      </c>
      <c r="ACU20" s="46">
        <f t="shared" si="108"/>
        <v>2.7689999999999997</v>
      </c>
      <c r="ACV20" s="46">
        <f t="shared" si="522"/>
        <v>1</v>
      </c>
      <c r="ACW20" s="46">
        <f t="shared" si="523"/>
        <v>2</v>
      </c>
      <c r="ACX20" s="46">
        <f t="shared" si="524"/>
        <v>0</v>
      </c>
      <c r="ACY20" s="46" cm="1">
        <f t="array" ref="ACY20">ROUNDDOWN(IFERROR(INDEX(ArchiveResults!$F$5:$IX$116,ComparisonData!A20,ComparisonData!$ACY$1),0),5)</f>
        <v>0</v>
      </c>
      <c r="ACZ20" s="46" cm="1">
        <f t="array" ref="ACZ20">ROUNDDOWN(IFERROR(INDEX(ArchiveResults!$F$5:$IX$116,ComparisonData!A20,ComparisonData!$ACZ$1),0),5)</f>
        <v>0</v>
      </c>
      <c r="ADA20" s="46" cm="1">
        <f t="array" ref="ADA20">ROUNDDOWN(IFERROR(INDEX(ArchiveResults!$F$5:$IX$116,ComparisonData!A20,ComparisonData!$ADA$1),0),5)</f>
        <v>0</v>
      </c>
      <c r="ADB20" s="56">
        <v>15</v>
      </c>
      <c r="ADC20" s="53" t="str">
        <f t="shared" si="109"/>
        <v>Ceredigion Archives</v>
      </c>
      <c r="ADD20" s="60">
        <f t="shared" si="525"/>
        <v>0</v>
      </c>
      <c r="ADE20" s="60">
        <f t="shared" si="526"/>
        <v>0</v>
      </c>
      <c r="ADF20" s="60">
        <f t="shared" si="527"/>
        <v>0</v>
      </c>
      <c r="ADG20" s="76">
        <f t="shared" si="528"/>
        <v>0</v>
      </c>
    </row>
    <row r="21" spans="1:787" x14ac:dyDescent="0.25">
      <c r="A21" s="46" t="str">
        <f>IF(ISBLANK(ComparisonSelection!F17),"",ROW()-5)</f>
        <v/>
      </c>
      <c r="B21" s="53" t="s">
        <v>470</v>
      </c>
      <c r="C21" s="72">
        <v>0.5539999999999996</v>
      </c>
      <c r="D21" s="55">
        <f t="shared" si="110"/>
        <v>24</v>
      </c>
      <c r="E21" s="54">
        <f t="shared" si="111"/>
        <v>2.5539999999999994</v>
      </c>
      <c r="F21" s="54">
        <f t="shared" si="529"/>
        <v>1</v>
      </c>
      <c r="G21" s="72">
        <f t="shared" si="112"/>
        <v>2</v>
      </c>
      <c r="H21" s="72">
        <f t="shared" si="113"/>
        <v>0</v>
      </c>
      <c r="I21" s="46" cm="1">
        <f t="array" ref="I21">ROUND(IFERROR(INDEX(ArchiveResults!$F$5:$IX$116,ComparisonData!A21,ComparisonData!$I$1),0),5)</f>
        <v>0</v>
      </c>
      <c r="J21" s="46" cm="1">
        <f t="array" ref="J21">ROUND(IFERROR(INDEX(ArchiveResults!$F$5:$IX$116,ComparisonData!A21,ComparisonData!$J$1),0),5)</f>
        <v>0</v>
      </c>
      <c r="K21" s="56">
        <v>16</v>
      </c>
      <c r="L21" s="53" t="str">
        <f t="shared" si="114"/>
        <v>Cheshire Archives &amp; Local Studies</v>
      </c>
      <c r="M21" s="57">
        <f t="shared" si="0"/>
        <v>0</v>
      </c>
      <c r="N21" s="57">
        <f t="shared" si="1"/>
        <v>0</v>
      </c>
      <c r="O21" s="58">
        <f t="shared" si="115"/>
        <v>0</v>
      </c>
      <c r="P21" s="48">
        <f t="shared" si="116"/>
        <v>24</v>
      </c>
      <c r="Q21" s="54">
        <f t="shared" si="2"/>
        <v>2.5539999999999994</v>
      </c>
      <c r="R21" s="45">
        <f t="shared" si="117"/>
        <v>1</v>
      </c>
      <c r="S21" s="46">
        <f t="shared" si="118"/>
        <v>2</v>
      </c>
      <c r="T21" s="72">
        <f t="shared" si="119"/>
        <v>0</v>
      </c>
      <c r="U21" s="46" cm="1">
        <f t="array" ref="U21">ROUND(IFERROR(INDEX(ArchiveResults!$F$5:$IX$116,ComparisonData!A21,ComparisonData!$U$1),0),5)</f>
        <v>0</v>
      </c>
      <c r="V21" s="46" cm="1">
        <f t="array" ref="V21">ROUND(IFERROR(INDEX(ArchiveResults!$F$5:$IX$116,ComparisonData!A21,ComparisonData!$V$1),0),5)</f>
        <v>0</v>
      </c>
      <c r="W21" s="56">
        <v>16</v>
      </c>
      <c r="X21" s="53" t="str">
        <f t="shared" si="3"/>
        <v>Cheshire Archives &amp; Local Studies</v>
      </c>
      <c r="Y21" s="57">
        <f t="shared" si="120"/>
        <v>0</v>
      </c>
      <c r="Z21" s="57">
        <f t="shared" si="121"/>
        <v>0</v>
      </c>
      <c r="AA21" s="58">
        <f t="shared" si="122"/>
        <v>0</v>
      </c>
      <c r="AB21" s="45">
        <f t="shared" si="123"/>
        <v>24</v>
      </c>
      <c r="AC21" s="54">
        <f t="shared" si="4"/>
        <v>2.5539999999999994</v>
      </c>
      <c r="AD21" s="45">
        <f t="shared" si="124"/>
        <v>1</v>
      </c>
      <c r="AE21" s="45">
        <f t="shared" si="125"/>
        <v>2</v>
      </c>
      <c r="AF21" s="45">
        <f t="shared" si="126"/>
        <v>0</v>
      </c>
      <c r="AG21" s="46" cm="1">
        <f t="array" ref="AG21">ROUND(IFERROR(INDEX(ArchiveResults!$F$5:$IX$116,ComparisonData!A21,ComparisonData!$AG$1),0),5)</f>
        <v>0</v>
      </c>
      <c r="AH21" s="46" cm="1">
        <f t="array" ref="AH21">ROUND(IFERROR(INDEX(ArchiveResults!$F$5:$IX$116,ComparisonData!A21,ComparisonData!$AH$1),0),5)</f>
        <v>0</v>
      </c>
      <c r="AI21" s="56">
        <v>16</v>
      </c>
      <c r="AJ21" s="53" t="str">
        <f t="shared" si="5"/>
        <v>Cheshire Archives &amp; Local Studies</v>
      </c>
      <c r="AK21" s="59">
        <f t="shared" si="6"/>
        <v>0</v>
      </c>
      <c r="AL21" s="59">
        <f t="shared" si="7"/>
        <v>0</v>
      </c>
      <c r="AM21" s="58">
        <f t="shared" si="127"/>
        <v>0</v>
      </c>
      <c r="AN21" s="45">
        <f t="shared" si="128"/>
        <v>24</v>
      </c>
      <c r="AO21" s="54">
        <f t="shared" si="8"/>
        <v>2.5539999999999994</v>
      </c>
      <c r="AP21" s="45">
        <f t="shared" si="129"/>
        <v>1</v>
      </c>
      <c r="AQ21" s="45">
        <f t="shared" si="130"/>
        <v>2</v>
      </c>
      <c r="AR21" s="46" cm="1">
        <f t="array" ref="AR21">ROUND(IFERROR(INDEX(ArchiveResults!$F$5:$IX$116,ComparisonData!A21,ComparisonData!$AR$1),0),5)</f>
        <v>0</v>
      </c>
      <c r="AS21" s="46" cm="1">
        <f t="array" ref="AS21">ROUND(IFERROR(INDEX(ArchiveResults!$F$5:$IX$116,ComparisonData!A21,ComparisonData!$AS$1),0),5)</f>
        <v>0</v>
      </c>
      <c r="AT21" s="46" cm="1">
        <f t="array" ref="AT21">ROUND(IFERROR(INDEX(ArchiveResults!$F$5:$IX$116,ComparisonData!A21,ComparisonData!$AT$1),0),5)</f>
        <v>0</v>
      </c>
      <c r="AU21" s="46" cm="1">
        <f t="array" ref="AU21">ROUND(IFERROR(INDEX(ArchiveResults!$F$5:$IX$116,ComparisonData!A21,ComparisonData!$AU$1),0),5)</f>
        <v>0</v>
      </c>
      <c r="AV21" s="46" cm="1">
        <f t="array" ref="AV21">ROUND(IFERROR(INDEX(ArchiveResults!$F$5:$IX$116,ComparisonData!A21,ComparisonData!$AV$1),0),5)</f>
        <v>0</v>
      </c>
      <c r="AW21" s="46" cm="1">
        <f t="array" ref="AW21">ROUND(IFERROR(INDEX(ArchiveResults!$F$5:$IX$116,ComparisonData!A21,ComparisonData!$AW$1),0),5)</f>
        <v>0</v>
      </c>
      <c r="AX21" s="46" cm="1">
        <f t="array" ref="AX21">ROUND(IFERROR(INDEX(ArchiveResults!$F$5:$IX$116,ComparisonData!A21,ComparisonData!$AX$1),0),5)</f>
        <v>0</v>
      </c>
      <c r="AY21" s="46" cm="1">
        <f t="array" ref="AY21">ROUND(IFERROR(INDEX(ArchiveResults!$F$5:$IX$116,ComparisonData!A21,ComparisonData!$AY$1),0),5)</f>
        <v>0</v>
      </c>
      <c r="AZ21" s="46" cm="1">
        <f t="array" ref="AZ21">ROUND(IFERROR(INDEX(ArchiveResults!$F$5:$IX$116,ComparisonData!A21,ComparisonData!$AZ$1),0),5)</f>
        <v>0</v>
      </c>
      <c r="BA21" s="46" cm="1">
        <f t="array" ref="BA21">ROUND(IFERROR(INDEX(ArchiveResults!$F$5:$IX$116,ComparisonData!A21,ComparisonData!$BA$1),0),5)</f>
        <v>0</v>
      </c>
      <c r="BB21" s="56">
        <v>16</v>
      </c>
      <c r="BC21" s="53" t="str">
        <f t="shared" si="9"/>
        <v>Cheshire Archives &amp; Local Studies</v>
      </c>
      <c r="BD21" s="60">
        <f t="shared" si="131"/>
        <v>0</v>
      </c>
      <c r="BE21" s="60">
        <f t="shared" si="132"/>
        <v>0</v>
      </c>
      <c r="BF21" s="60">
        <f t="shared" si="133"/>
        <v>0</v>
      </c>
      <c r="BG21" s="60">
        <f t="shared" si="134"/>
        <v>0</v>
      </c>
      <c r="BH21" s="60">
        <f t="shared" si="135"/>
        <v>0</v>
      </c>
      <c r="BI21" s="60">
        <f t="shared" si="136"/>
        <v>0</v>
      </c>
      <c r="BJ21" s="60">
        <f t="shared" si="137"/>
        <v>0</v>
      </c>
      <c r="BK21" s="60">
        <f t="shared" si="138"/>
        <v>0</v>
      </c>
      <c r="BL21" s="60">
        <f t="shared" si="139"/>
        <v>0</v>
      </c>
      <c r="BM21" s="59">
        <f t="shared" si="140"/>
        <v>0</v>
      </c>
      <c r="BN21" s="58">
        <f t="shared" si="141"/>
        <v>0</v>
      </c>
      <c r="BO21" s="45">
        <f t="shared" si="142"/>
        <v>24</v>
      </c>
      <c r="BP21" s="54">
        <f t="shared" si="10"/>
        <v>2.5539999999999994</v>
      </c>
      <c r="BQ21" s="45">
        <f t="shared" si="143"/>
        <v>1</v>
      </c>
      <c r="BR21" s="45">
        <f t="shared" si="144"/>
        <v>2</v>
      </c>
      <c r="BS21" s="46" cm="1">
        <f t="array" ref="BS21">ROUND(IFERROR(INDEX(ArchiveResults!$F$5:$IX$116,ComparisonData!A21,ComparisonData!$BS$1),0),5)</f>
        <v>0</v>
      </c>
      <c r="BT21" s="46" cm="1">
        <f t="array" ref="BT21">ROUND(IFERROR(INDEX(ArchiveResults!$F$5:$IX$116,ComparisonData!A21,ComparisonData!$BT$1),0),5)</f>
        <v>0</v>
      </c>
      <c r="BU21" s="46" cm="1">
        <f t="array" ref="BU21">ROUND(IFERROR(INDEX(ArchiveResults!$F$5:$IX$116,ComparisonData!A21,ComparisonData!$BU$1),0),5)</f>
        <v>0</v>
      </c>
      <c r="BV21" s="46" cm="1">
        <f t="array" ref="BV21">ROUND(IFERROR(INDEX(ArchiveResults!$F$5:$IX$116,ComparisonData!A21,ComparisonData!$BV$1),0),5)</f>
        <v>0</v>
      </c>
      <c r="BW21" s="46" cm="1">
        <f t="array" ref="BW21">ROUND(IFERROR(INDEX(ArchiveResults!$F$5:$IX$116,ComparisonData!A21,ComparisonData!$BW$1),0),5)</f>
        <v>0</v>
      </c>
      <c r="BX21" s="46" cm="1">
        <f t="array" ref="BX21">ROUND(IFERROR(INDEX(ArchiveResults!$F$5:$IX$116,ComparisonData!A21,ComparisonData!$BX$1),0),5)</f>
        <v>0</v>
      </c>
      <c r="BY21" s="56">
        <v>16</v>
      </c>
      <c r="BZ21" s="53" t="str">
        <f t="shared" si="11"/>
        <v>Cheshire Archives &amp; Local Studies</v>
      </c>
      <c r="CA21" s="59">
        <f t="shared" si="145"/>
        <v>0</v>
      </c>
      <c r="CB21" s="59">
        <f t="shared" si="146"/>
        <v>0</v>
      </c>
      <c r="CC21" s="59">
        <f t="shared" si="147"/>
        <v>0</v>
      </c>
      <c r="CD21" s="59">
        <f t="shared" si="148"/>
        <v>0</v>
      </c>
      <c r="CE21" s="59">
        <f t="shared" si="149"/>
        <v>0</v>
      </c>
      <c r="CF21" s="59">
        <f t="shared" si="150"/>
        <v>0</v>
      </c>
      <c r="CG21" s="58">
        <f t="shared" si="151"/>
        <v>0</v>
      </c>
      <c r="CH21" s="45">
        <f t="shared" si="152"/>
        <v>24</v>
      </c>
      <c r="CI21" s="54">
        <f t="shared" si="12"/>
        <v>2.5539999999999994</v>
      </c>
      <c r="CJ21" s="45">
        <f t="shared" si="153"/>
        <v>1</v>
      </c>
      <c r="CK21" s="45">
        <f t="shared" si="154"/>
        <v>2</v>
      </c>
      <c r="CL21" s="46" cm="1">
        <f t="array" ref="CL21">ROUND(IFERROR(INDEX(ArchiveResults!$F$5:$IX$116,ComparisonData!A21,ComparisonData!$CL$1),0),5)</f>
        <v>0</v>
      </c>
      <c r="CM21" s="56">
        <v>16</v>
      </c>
      <c r="CN21" s="53" t="str">
        <f t="shared" si="13"/>
        <v>Cheshire Archives &amp; Local Studies</v>
      </c>
      <c r="CO21" s="45">
        <f t="shared" si="155"/>
        <v>0</v>
      </c>
      <c r="CP21" s="58">
        <f t="shared" si="156"/>
        <v>0</v>
      </c>
      <c r="CQ21" s="45">
        <f t="shared" si="157"/>
        <v>24</v>
      </c>
      <c r="CR21" s="54">
        <f t="shared" si="14"/>
        <v>2.5539999999999994</v>
      </c>
      <c r="CS21" s="45">
        <f t="shared" si="158"/>
        <v>1</v>
      </c>
      <c r="CT21" s="45">
        <f t="shared" si="159"/>
        <v>2</v>
      </c>
      <c r="CU21" s="46" cm="1">
        <f t="array" ref="CU21">ROUND(IFERROR(INDEX(ArchiveResults!$F$5:$IX$116,ComparisonData!A21,ComparisonData!$CU$1),0),5)</f>
        <v>0</v>
      </c>
      <c r="CV21" s="56">
        <v>16</v>
      </c>
      <c r="CW21" s="53" t="str">
        <f t="shared" si="15"/>
        <v>Cheshire Archives &amp; Local Studies</v>
      </c>
      <c r="CX21" s="45">
        <f t="shared" si="160"/>
        <v>0</v>
      </c>
      <c r="CY21" s="58">
        <f t="shared" si="161"/>
        <v>0</v>
      </c>
      <c r="CZ21" s="45">
        <f t="shared" si="162"/>
        <v>24</v>
      </c>
      <c r="DA21" s="54">
        <f t="shared" si="16"/>
        <v>2.5539999999999994</v>
      </c>
      <c r="DB21" s="45">
        <f t="shared" si="163"/>
        <v>1</v>
      </c>
      <c r="DC21" s="45">
        <f t="shared" si="164"/>
        <v>2</v>
      </c>
      <c r="DD21" s="46" cm="1">
        <f t="array" ref="DD21">ROUND(IFERROR(INDEX(ArchiveResults!$F$5:$IX$116,ComparisonData!A21,ComparisonData!$DD$1),0),5)</f>
        <v>0</v>
      </c>
      <c r="DE21" s="56">
        <v>16</v>
      </c>
      <c r="DF21" s="53" t="str">
        <f t="shared" si="17"/>
        <v>Cheshire Archives &amp; Local Studies</v>
      </c>
      <c r="DG21" s="45">
        <f t="shared" si="165"/>
        <v>0</v>
      </c>
      <c r="DH21" s="58">
        <f t="shared" si="166"/>
        <v>0</v>
      </c>
      <c r="DI21" s="45">
        <f t="shared" si="167"/>
        <v>24</v>
      </c>
      <c r="DJ21" s="54">
        <f t="shared" si="18"/>
        <v>2.5539999999999994</v>
      </c>
      <c r="DK21" s="45">
        <f t="shared" si="168"/>
        <v>1</v>
      </c>
      <c r="DL21" s="45">
        <f t="shared" si="169"/>
        <v>2</v>
      </c>
      <c r="DM21" s="46" cm="1">
        <f t="array" ref="DM21">ROUND(IFERROR(INDEX(ArchiveResults!$F$5:$IX$116,ComparisonData!A21,ComparisonData!$DM$1),0),5)</f>
        <v>0</v>
      </c>
      <c r="DN21" s="46" cm="1">
        <f t="array" ref="DN21">ROUND(IFERROR(INDEX(ArchiveResults!$F$5:$IX$116,ComparisonData!A21,ComparisonData!$DN$1),0),5)</f>
        <v>0</v>
      </c>
      <c r="DO21" s="46" cm="1">
        <f t="array" ref="DO21">ROUND(IFERROR(INDEX(ArchiveResults!$F$5:$IX$116,ComparisonData!A21,ComparisonData!$DO$1),0),5)</f>
        <v>0</v>
      </c>
      <c r="DP21" s="46" cm="1">
        <f t="array" ref="DP21">ROUND(IFERROR(INDEX(ArchiveResults!$F$5:$IX$116,ComparisonData!A21,ComparisonData!$DP$1),0),5)</f>
        <v>0</v>
      </c>
      <c r="DQ21" s="45" cm="1">
        <f t="array" ref="DQ21">IFERROR(INDEX(ArchiveResults!$F$5:$IX$116,ComparisonData!A21,ComparisonData!$DQ$1),0)</f>
        <v>0</v>
      </c>
      <c r="DR21" s="56">
        <v>16</v>
      </c>
      <c r="DS21" s="53" t="str">
        <f t="shared" si="19"/>
        <v>Cheshire Archives &amp; Local Studies</v>
      </c>
      <c r="DT21" s="59">
        <f t="shared" si="170"/>
        <v>0</v>
      </c>
      <c r="DU21" s="59">
        <f t="shared" si="171"/>
        <v>0</v>
      </c>
      <c r="DV21" s="59">
        <f t="shared" si="172"/>
        <v>0</v>
      </c>
      <c r="DW21" s="59">
        <f t="shared" si="173"/>
        <v>0</v>
      </c>
      <c r="DX21" s="59">
        <f t="shared" si="174"/>
        <v>0</v>
      </c>
      <c r="DY21" s="58">
        <f t="shared" si="175"/>
        <v>0</v>
      </c>
      <c r="DZ21" s="45">
        <f t="shared" si="176"/>
        <v>24</v>
      </c>
      <c r="EA21" s="54">
        <f t="shared" si="20"/>
        <v>2.5539999999999994</v>
      </c>
      <c r="EB21" s="45">
        <f t="shared" si="177"/>
        <v>1</v>
      </c>
      <c r="EC21" s="45">
        <f t="shared" si="178"/>
        <v>2</v>
      </c>
      <c r="ED21" s="46" cm="1">
        <f t="array" ref="ED21">ROUND(IFERROR(INDEX(ArchiveResults!$F$5:$IX$116,ComparisonData!A21,ComparisonData!$ED$1),0),5)</f>
        <v>0</v>
      </c>
      <c r="EE21" s="46" cm="1">
        <f t="array" ref="EE21">ROUND(IFERROR(INDEX(ArchiveResults!$F$5:$IX$116,ComparisonData!A21,ComparisonData!$EE$1),0),5)</f>
        <v>0</v>
      </c>
      <c r="EF21" s="46" cm="1">
        <f t="array" ref="EF21">ROUND(IFERROR(INDEX(ArchiveResults!$F$5:$IX$116,ComparisonData!A21,ComparisonData!$EF$1),0),5)</f>
        <v>0</v>
      </c>
      <c r="EG21" s="46" cm="1">
        <f t="array" ref="EG21">ROUND(IFERROR(INDEX(ArchiveResults!$F$5:$IX$116,ComparisonData!A21,ComparisonData!$EG$1),0),5)</f>
        <v>0</v>
      </c>
      <c r="EH21" s="45" cm="1">
        <f t="array" ref="EH21">IFERROR(INDEX(ArchiveResults!$F$5:$IX$116,ComparisonData!A21,ComparisonData!$EH$1),0)</f>
        <v>0</v>
      </c>
      <c r="EI21" s="56">
        <v>16</v>
      </c>
      <c r="EJ21" s="53" t="str">
        <f t="shared" si="21"/>
        <v>Cheshire Archives &amp; Local Studies</v>
      </c>
      <c r="EK21" s="59">
        <f t="shared" si="179"/>
        <v>0</v>
      </c>
      <c r="EL21" s="59">
        <f t="shared" si="180"/>
        <v>0</v>
      </c>
      <c r="EM21" s="59">
        <f t="shared" si="181"/>
        <v>0</v>
      </c>
      <c r="EN21" s="59">
        <f t="shared" si="182"/>
        <v>0</v>
      </c>
      <c r="EO21" s="59">
        <f t="shared" si="183"/>
        <v>0</v>
      </c>
      <c r="EP21" s="58">
        <f t="shared" si="184"/>
        <v>0</v>
      </c>
      <c r="EQ21" s="45">
        <f t="shared" si="185"/>
        <v>24</v>
      </c>
      <c r="ER21" s="54">
        <f t="shared" si="22"/>
        <v>2.5539999999999994</v>
      </c>
      <c r="ES21" s="45">
        <f t="shared" si="186"/>
        <v>1</v>
      </c>
      <c r="ET21" s="45">
        <f t="shared" si="187"/>
        <v>2</v>
      </c>
      <c r="EU21" s="46" cm="1">
        <f t="array" ref="EU21">ROUND(IFERROR(INDEX(ArchiveResults!$F$5:$IX$116,ComparisonData!A21,ComparisonData!$EU$1),0),5)</f>
        <v>0</v>
      </c>
      <c r="EV21" s="46" cm="1">
        <f t="array" ref="EV21">ROUND(IFERROR(INDEX(ArchiveResults!$F$5:$IX$116,ComparisonData!A21,ComparisonData!$EV$1),0),5)</f>
        <v>0</v>
      </c>
      <c r="EW21" s="46" cm="1">
        <f t="array" ref="EW21">ROUND(IFERROR(INDEX(ArchiveResults!$F$5:$IX$116,ComparisonData!A21,ComparisonData!$EW$1),0),5)</f>
        <v>0</v>
      </c>
      <c r="EX21" s="46" cm="1">
        <f t="array" ref="EX21">ROUND(IFERROR(INDEX(ArchiveResults!$F$5:$IX$116,ComparisonData!A21,ComparisonData!$EX$1),0),5)</f>
        <v>0</v>
      </c>
      <c r="EY21" s="45" cm="1">
        <f t="array" ref="EY21">IFERROR(INDEX(ArchiveResults!$F$5:$IX$116,ComparisonData!A21,ComparisonData!$EY$1),0)</f>
        <v>0</v>
      </c>
      <c r="EZ21" s="56">
        <v>16</v>
      </c>
      <c r="FA21" s="53" t="str">
        <f t="shared" si="23"/>
        <v>Cheshire Archives &amp; Local Studies</v>
      </c>
      <c r="FB21" s="59">
        <f t="shared" si="188"/>
        <v>0</v>
      </c>
      <c r="FC21" s="59">
        <f t="shared" si="189"/>
        <v>0</v>
      </c>
      <c r="FD21" s="59">
        <f t="shared" si="190"/>
        <v>0</v>
      </c>
      <c r="FE21" s="59">
        <f t="shared" si="191"/>
        <v>0</v>
      </c>
      <c r="FF21" s="59">
        <f t="shared" si="192"/>
        <v>0</v>
      </c>
      <c r="FG21" s="58">
        <f t="shared" si="193"/>
        <v>0</v>
      </c>
      <c r="FH21" s="45">
        <f t="shared" si="194"/>
        <v>24</v>
      </c>
      <c r="FI21" s="54">
        <f t="shared" si="24"/>
        <v>2.5539999999999994</v>
      </c>
      <c r="FJ21" s="45">
        <f t="shared" si="195"/>
        <v>1</v>
      </c>
      <c r="FK21" s="45">
        <f t="shared" si="196"/>
        <v>2</v>
      </c>
      <c r="FL21" s="46" cm="1">
        <f t="array" ref="FL21">ROUND(IFERROR(INDEX(ArchiveResults!$F$5:$IX$116,ComparisonData!A21,ComparisonData!$FL$1),0),5)</f>
        <v>0</v>
      </c>
      <c r="FM21" s="46" cm="1">
        <f t="array" ref="FM21">ROUND(IFERROR(INDEX(ArchiveResults!$F$5:$IX$116,ComparisonData!A21,ComparisonData!$FM$1),0),5)</f>
        <v>0</v>
      </c>
      <c r="FN21" s="46" cm="1">
        <f t="array" ref="FN21">ROUND(IFERROR(INDEX(ArchiveResults!$F$5:$IX$116,ComparisonData!A21,ComparisonData!$FN$1),0),5)</f>
        <v>0</v>
      </c>
      <c r="FO21" s="46" cm="1">
        <f t="array" ref="FO21">ROUND(IFERROR(INDEX(ArchiveResults!$F$5:$IX$116,ComparisonData!A21,ComparisonData!$FO$1),0),5)</f>
        <v>0</v>
      </c>
      <c r="FP21" s="45" cm="1">
        <f t="array" ref="FP21">IFERROR(INDEX(ArchiveResults!$F$5:$IX$116,ComparisonData!A21,ComparisonData!$FP$1),0)</f>
        <v>0</v>
      </c>
      <c r="FQ21" s="56">
        <v>16</v>
      </c>
      <c r="FR21" s="53" t="str">
        <f t="shared" si="25"/>
        <v>Cheshire Archives &amp; Local Studies</v>
      </c>
      <c r="FS21" s="59">
        <f t="shared" si="197"/>
        <v>0</v>
      </c>
      <c r="FT21" s="59">
        <f t="shared" si="198"/>
        <v>0</v>
      </c>
      <c r="FU21" s="59">
        <f t="shared" si="199"/>
        <v>0</v>
      </c>
      <c r="FV21" s="59">
        <f t="shared" si="200"/>
        <v>0</v>
      </c>
      <c r="FW21" s="59">
        <f t="shared" si="201"/>
        <v>0</v>
      </c>
      <c r="FX21" s="58">
        <f t="shared" si="202"/>
        <v>0</v>
      </c>
      <c r="FY21" s="45">
        <f t="shared" si="203"/>
        <v>24</v>
      </c>
      <c r="FZ21" s="45">
        <f t="shared" si="26"/>
        <v>2.5539999999999994</v>
      </c>
      <c r="GA21" s="45">
        <f t="shared" si="204"/>
        <v>1</v>
      </c>
      <c r="GB21" s="45">
        <f t="shared" si="205"/>
        <v>2</v>
      </c>
      <c r="GC21" s="46" cm="1">
        <f t="array" ref="GC21">ROUND(IFERROR(INDEX(ArchiveResults!$F$5:$IX$116,ComparisonData!A21,ComparisonData!$GC$1),0),5)</f>
        <v>0</v>
      </c>
      <c r="GD21" s="46" cm="1">
        <f t="array" ref="GD21">ROUND(IFERROR(INDEX(ArchiveResults!$F$5:$IX$116,ComparisonData!A21,ComparisonData!$GD$1),0),5)</f>
        <v>0</v>
      </c>
      <c r="GE21" s="46" cm="1">
        <f t="array" ref="GE21">ROUND(IFERROR(INDEX(ArchiveResults!$F$5:$IX$116,ComparisonData!A21,ComparisonData!$GE$1),0),5)</f>
        <v>0</v>
      </c>
      <c r="GF21" s="46" cm="1">
        <f t="array" ref="GF21">ROUND(IFERROR(INDEX(ArchiveResults!$F$5:$IX$116,ComparisonData!A21,ComparisonData!$GF$1),0),5)</f>
        <v>0</v>
      </c>
      <c r="GG21" s="45" cm="1">
        <f t="array" ref="GG21">IFERROR(INDEX(ArchiveResults!$F$5:$IX$116,ComparisonData!A21,ComparisonData!$GG$1),0)</f>
        <v>0</v>
      </c>
      <c r="GH21" s="56">
        <v>16</v>
      </c>
      <c r="GI21" s="53" t="str">
        <f t="shared" si="27"/>
        <v>Cheshire Archives &amp; Local Studies</v>
      </c>
      <c r="GJ21" s="59">
        <f t="shared" si="206"/>
        <v>0</v>
      </c>
      <c r="GK21" s="59">
        <f t="shared" si="207"/>
        <v>0</v>
      </c>
      <c r="GL21" s="59">
        <f t="shared" si="208"/>
        <v>0</v>
      </c>
      <c r="GM21" s="59">
        <f t="shared" si="209"/>
        <v>0</v>
      </c>
      <c r="GN21" s="59">
        <f t="shared" si="210"/>
        <v>0</v>
      </c>
      <c r="GO21" s="58">
        <f t="shared" si="211"/>
        <v>0</v>
      </c>
      <c r="GP21" s="45">
        <f t="shared" si="212"/>
        <v>24</v>
      </c>
      <c r="GQ21" s="45">
        <f t="shared" si="28"/>
        <v>2.5539999999999994</v>
      </c>
      <c r="GR21" s="45">
        <f t="shared" si="213"/>
        <v>1</v>
      </c>
      <c r="GS21" s="45">
        <f t="shared" si="214"/>
        <v>2</v>
      </c>
      <c r="GT21" s="46" cm="1">
        <f t="array" ref="GT21">ROUND(IFERROR(INDEX(ArchiveResults!$F$5:$IX$116,ComparisonData!A21,ComparisonData!$GT$1),0),5)</f>
        <v>0</v>
      </c>
      <c r="GU21" s="46" cm="1">
        <f t="array" ref="GU21">ROUND(IFERROR(INDEX(ArchiveResults!$F$5:$IX$116,ComparisonData!A21,ComparisonData!$GU$1),0),5)</f>
        <v>0</v>
      </c>
      <c r="GV21" s="46" cm="1">
        <f t="array" ref="GV21">ROUND(IFERROR(INDEX(ArchiveResults!$F$5:$IX$116,ComparisonData!A21,ComparisonData!$GV$1),0),5)</f>
        <v>0</v>
      </c>
      <c r="GW21" s="46" cm="1">
        <f t="array" ref="GW21">ROUND(IFERROR(INDEX(ArchiveResults!$F$5:$IX$116,ComparisonData!A21,ComparisonData!$GW$1),0),5)</f>
        <v>0</v>
      </c>
      <c r="GX21" s="45" cm="1">
        <f t="array" ref="GX21">IFERROR(INDEX(ArchiveResults!$F$5:$IX$116,ComparisonData!A21,ComparisonData!$GX$1),0)</f>
        <v>0</v>
      </c>
      <c r="GY21" s="56">
        <v>16</v>
      </c>
      <c r="GZ21" s="53" t="str">
        <f t="shared" si="29"/>
        <v>Cheshire Archives &amp; Local Studies</v>
      </c>
      <c r="HA21" s="59">
        <f t="shared" si="215"/>
        <v>0</v>
      </c>
      <c r="HB21" s="59">
        <f t="shared" si="216"/>
        <v>0</v>
      </c>
      <c r="HC21" s="59">
        <f t="shared" si="217"/>
        <v>0</v>
      </c>
      <c r="HD21" s="59">
        <f t="shared" si="218"/>
        <v>0</v>
      </c>
      <c r="HE21" s="59">
        <f t="shared" si="219"/>
        <v>0</v>
      </c>
      <c r="HF21" s="58">
        <f t="shared" si="220"/>
        <v>0</v>
      </c>
      <c r="HG21" s="45">
        <f t="shared" si="221"/>
        <v>24</v>
      </c>
      <c r="HH21" s="45">
        <f t="shared" si="30"/>
        <v>2.5539999999999994</v>
      </c>
      <c r="HI21" s="45">
        <f t="shared" si="222"/>
        <v>1</v>
      </c>
      <c r="HJ21" s="45">
        <f t="shared" si="223"/>
        <v>2</v>
      </c>
      <c r="HK21" s="46" cm="1">
        <f t="array" ref="HK21">ROUND(IFERROR(INDEX(ArchiveResults!$F$5:$IX$116,ComparisonData!A21,ComparisonData!$HK$1),0),5)</f>
        <v>0</v>
      </c>
      <c r="HL21" s="46" cm="1">
        <f t="array" ref="HL21">ROUND(IFERROR(INDEX(ArchiveResults!$F$5:$IX$116,ComparisonData!A21,ComparisonData!$HL$1),0),5)</f>
        <v>0</v>
      </c>
      <c r="HM21" s="46" cm="1">
        <f t="array" ref="HM21">ROUND(IFERROR(INDEX(ArchiveResults!$F$5:$IX$116,ComparisonData!A21,ComparisonData!$HM$1),0),5)</f>
        <v>0</v>
      </c>
      <c r="HN21" s="46" cm="1">
        <f t="array" ref="HN21">ROUND(IFERROR(INDEX(ArchiveResults!$F$5:$IX$116,ComparisonData!A21,ComparisonData!$HN$1),0),5)</f>
        <v>0</v>
      </c>
      <c r="HO21" s="45" cm="1">
        <f t="array" ref="HO21">IFERROR(INDEX(ArchiveResults!$F$5:$IX$116,ComparisonData!A21,ComparisonData!$HO$1),0)</f>
        <v>0</v>
      </c>
      <c r="HP21" s="56">
        <v>16</v>
      </c>
      <c r="HQ21" s="53" t="str">
        <f t="shared" si="31"/>
        <v>Cheshire Archives &amp; Local Studies</v>
      </c>
      <c r="HR21" s="59">
        <f t="shared" si="32"/>
        <v>0</v>
      </c>
      <c r="HS21" s="59">
        <f t="shared" si="33"/>
        <v>0</v>
      </c>
      <c r="HT21" s="59">
        <f t="shared" si="34"/>
        <v>0</v>
      </c>
      <c r="HU21" s="59">
        <f t="shared" si="35"/>
        <v>0</v>
      </c>
      <c r="HV21" s="59">
        <f t="shared" si="36"/>
        <v>0</v>
      </c>
      <c r="HW21" s="58">
        <f t="shared" si="224"/>
        <v>0</v>
      </c>
      <c r="HX21" s="45">
        <f t="shared" si="225"/>
        <v>24</v>
      </c>
      <c r="HY21" s="45">
        <f t="shared" si="37"/>
        <v>2.5539999999999994</v>
      </c>
      <c r="HZ21" s="45">
        <f t="shared" si="226"/>
        <v>1</v>
      </c>
      <c r="IA21" s="45">
        <f t="shared" si="227"/>
        <v>2</v>
      </c>
      <c r="IB21" s="45">
        <f t="shared" si="228"/>
        <v>0</v>
      </c>
      <c r="IC21" s="46" cm="1">
        <f t="array" ref="IC21">ROUND(IFERROR(INDEX(ArchiveResults!$F$5:$IX$116,ComparisonData!A21,ComparisonData!$IC$1),0),5)</f>
        <v>0</v>
      </c>
      <c r="ID21" s="46" cm="1">
        <f t="array" ref="ID21">ROUND(IFERROR(INDEX(ArchiveResults!$F$5:$IX$116,ComparisonData!A21,ComparisonData!$ID$1),0),5)</f>
        <v>0</v>
      </c>
      <c r="IE21" s="46" cm="1">
        <f t="array" ref="IE21">ROUND(IFERROR(INDEX(ArchiveResults!$F$5:$IX$116,ComparisonData!A21,ComparisonData!$IE$1),0),5)</f>
        <v>0</v>
      </c>
      <c r="IF21" s="46" cm="1">
        <f t="array" ref="IF21">ROUND(IFERROR(INDEX(ArchiveResults!$F$5:$IX$116,ComparisonData!A21,ComparisonData!$IF$1),0),5)</f>
        <v>0</v>
      </c>
      <c r="IG21" s="45" cm="1">
        <f t="array" ref="IG21">IFERROR(INDEX(ArchiveResults!$F$5:$IX$116,ComparisonData!A21,ComparisonData!$IG$1),0)</f>
        <v>0</v>
      </c>
      <c r="IH21" s="56">
        <v>16</v>
      </c>
      <c r="II21" s="53" t="str">
        <f t="shared" si="38"/>
        <v>Cheshire Archives &amp; Local Studies</v>
      </c>
      <c r="IJ21" s="59">
        <f t="shared" si="229"/>
        <v>0</v>
      </c>
      <c r="IK21" s="59">
        <f t="shared" si="230"/>
        <v>0</v>
      </c>
      <c r="IL21" s="59">
        <f t="shared" si="231"/>
        <v>0</v>
      </c>
      <c r="IM21" s="59">
        <f t="shared" si="232"/>
        <v>0</v>
      </c>
      <c r="IN21" s="59">
        <f t="shared" si="233"/>
        <v>0</v>
      </c>
      <c r="IO21" s="58">
        <f t="shared" si="234"/>
        <v>0</v>
      </c>
      <c r="IP21" s="45">
        <f t="shared" si="235"/>
        <v>24</v>
      </c>
      <c r="IQ21" s="45">
        <f t="shared" si="39"/>
        <v>2.5539999999999994</v>
      </c>
      <c r="IR21" s="45">
        <f t="shared" si="236"/>
        <v>1</v>
      </c>
      <c r="IS21" s="45">
        <f t="shared" si="237"/>
        <v>2</v>
      </c>
      <c r="IT21" s="46">
        <f t="shared" si="238"/>
        <v>0</v>
      </c>
      <c r="IU21" s="46" cm="1">
        <f t="array" ref="IU21">ROUND(IFERROR(INDEX(ArchiveResults!$F$5:$IX$116,ComparisonData!A21,ComparisonData!$IU$1),0),5)</f>
        <v>0</v>
      </c>
      <c r="IV21" s="46" cm="1">
        <f t="array" ref="IV21">ROUND(IFERROR(INDEX(ArchiveResults!$F$5:$IX$116,ComparisonData!A21,ComparisonData!$IV$1),0),5)</f>
        <v>0</v>
      </c>
      <c r="IW21" s="46" cm="1">
        <f t="array" ref="IW21">ROUND(IFERROR(INDEX(ArchiveResults!$F$5:$IX$116,ComparisonData!A21,ComparisonData!$IW$1),0),5)</f>
        <v>0</v>
      </c>
      <c r="IX21" s="46" cm="1">
        <f t="array" ref="IX21">ROUND(IFERROR(INDEX(ArchiveResults!$F$5:$IX$116,ComparisonData!A21,ComparisonData!$IX$1),0),5)</f>
        <v>0</v>
      </c>
      <c r="IY21" s="45" cm="1">
        <f t="array" ref="IY21">IFERROR(INDEX(ArchiveResults!$F$5:$IX$116,ComparisonData!A21,ComparisonData!$IY$1),0)</f>
        <v>0</v>
      </c>
      <c r="IZ21" s="56">
        <v>16</v>
      </c>
      <c r="JA21" s="53" t="str">
        <f t="shared" si="40"/>
        <v>Cheshire Archives &amp; Local Studies</v>
      </c>
      <c r="JB21" s="59">
        <f t="shared" si="239"/>
        <v>0</v>
      </c>
      <c r="JC21" s="59">
        <f t="shared" si="240"/>
        <v>0</v>
      </c>
      <c r="JD21" s="59">
        <f t="shared" si="241"/>
        <v>0</v>
      </c>
      <c r="JE21" s="59">
        <f t="shared" si="242"/>
        <v>0</v>
      </c>
      <c r="JF21" s="59">
        <f t="shared" si="243"/>
        <v>0</v>
      </c>
      <c r="JG21" s="58">
        <f t="shared" si="244"/>
        <v>0</v>
      </c>
      <c r="JH21" s="45">
        <f t="shared" si="245"/>
        <v>24</v>
      </c>
      <c r="JI21" s="45">
        <f t="shared" si="41"/>
        <v>2.5539999999999994</v>
      </c>
      <c r="JJ21" s="45">
        <f t="shared" si="246"/>
        <v>1</v>
      </c>
      <c r="JK21" s="45">
        <f t="shared" si="247"/>
        <v>2</v>
      </c>
      <c r="JL21" s="45">
        <f t="shared" si="248"/>
        <v>0</v>
      </c>
      <c r="JM21" s="46" cm="1">
        <f t="array" ref="JM21">ROUND(IFERROR(INDEX(ArchiveResults!$F$5:$IX$116,ComparisonData!A21,ComparisonData!$JM$1),0),5)</f>
        <v>0</v>
      </c>
      <c r="JN21" s="46" cm="1">
        <f t="array" ref="JN21">ROUND(IFERROR(INDEX(ArchiveResults!$F$5:$IX$116,ComparisonData!A21,ComparisonData!$JN$1),0),5)</f>
        <v>0</v>
      </c>
      <c r="JO21" s="46" cm="1">
        <f t="array" ref="JO21">ROUND(IFERROR(INDEX(ArchiveResults!$F$5:$IX$116,ComparisonData!A21,ComparisonData!$JO$1),0),5)</f>
        <v>0</v>
      </c>
      <c r="JP21" s="46" cm="1">
        <f t="array" ref="JP21">ROUND(IFERROR(INDEX(ArchiveResults!$F$5:$IX$116,ComparisonData!A21,ComparisonData!$JP$1),0),5)</f>
        <v>0</v>
      </c>
      <c r="JQ21" s="45" cm="1">
        <f t="array" ref="JQ21">IFERROR(INDEX(ArchiveResults!$F$5:$IX$116,ComparisonData!A21,ComparisonData!$JQ$1),0)</f>
        <v>0</v>
      </c>
      <c r="JR21" s="56">
        <v>16</v>
      </c>
      <c r="JS21" s="53" t="str">
        <f t="shared" si="42"/>
        <v>Cheshire Archives &amp; Local Studies</v>
      </c>
      <c r="JT21" s="59">
        <f t="shared" si="249"/>
        <v>0</v>
      </c>
      <c r="JU21" s="59">
        <f t="shared" si="250"/>
        <v>0</v>
      </c>
      <c r="JV21" s="59">
        <f t="shared" si="251"/>
        <v>0</v>
      </c>
      <c r="JW21" s="59">
        <f t="shared" si="252"/>
        <v>0</v>
      </c>
      <c r="JX21" s="59">
        <f t="shared" si="253"/>
        <v>0</v>
      </c>
      <c r="JY21" s="58">
        <f t="shared" si="254"/>
        <v>0</v>
      </c>
      <c r="JZ21" s="45">
        <f t="shared" si="255"/>
        <v>24</v>
      </c>
      <c r="KA21" s="45">
        <f t="shared" si="43"/>
        <v>2.5539999999999994</v>
      </c>
      <c r="KB21" s="45">
        <f t="shared" si="256"/>
        <v>1</v>
      </c>
      <c r="KC21" s="45">
        <f t="shared" si="257"/>
        <v>2</v>
      </c>
      <c r="KD21" s="45">
        <f t="shared" si="258"/>
        <v>0</v>
      </c>
      <c r="KE21" s="46" cm="1">
        <f t="array" ref="KE21">ROUND(IFERROR(INDEX(ArchiveResults!$F$5:$IX$116,ComparisonData!A21,ComparisonData!$KE$1),0),5)</f>
        <v>0</v>
      </c>
      <c r="KF21" s="46" cm="1">
        <f t="array" ref="KF21">ROUND(IFERROR(INDEX(ArchiveResults!$F$5:$IX$116,ComparisonData!A21,ComparisonData!$KF$1),0),5)</f>
        <v>0</v>
      </c>
      <c r="KG21" s="46" cm="1">
        <f t="array" ref="KG21">ROUND(IFERROR(INDEX(ArchiveResults!$F$5:$IX$116,ComparisonData!A21,ComparisonData!$KG$1),0),5)</f>
        <v>0</v>
      </c>
      <c r="KH21" s="46" cm="1">
        <f t="array" ref="KH21">ROUND(IFERROR(INDEX(ArchiveResults!$F$5:$IX$116,ComparisonData!A21,ComparisonData!$KH$1),0),5)</f>
        <v>0</v>
      </c>
      <c r="KI21" s="45" cm="1">
        <f t="array" ref="KI21">IFERROR(INDEX(ArchiveResults!$F$5:$IX$116,ComparisonData!A21,ComparisonData!$KI$1),0)</f>
        <v>0</v>
      </c>
      <c r="KJ21" s="56">
        <v>16</v>
      </c>
      <c r="KK21" s="53" t="str">
        <f t="shared" si="44"/>
        <v>Cheshire Archives &amp; Local Studies</v>
      </c>
      <c r="KL21" s="59">
        <f t="shared" si="259"/>
        <v>0</v>
      </c>
      <c r="KM21" s="59">
        <f t="shared" si="260"/>
        <v>0</v>
      </c>
      <c r="KN21" s="59">
        <f t="shared" si="261"/>
        <v>0</v>
      </c>
      <c r="KO21" s="59">
        <f t="shared" si="262"/>
        <v>0</v>
      </c>
      <c r="KP21" s="59">
        <f t="shared" si="263"/>
        <v>0</v>
      </c>
      <c r="KQ21" s="58">
        <f t="shared" si="264"/>
        <v>0</v>
      </c>
      <c r="KR21" s="45">
        <f t="shared" si="265"/>
        <v>24</v>
      </c>
      <c r="KS21" s="45">
        <f t="shared" si="45"/>
        <v>2.5539999999999994</v>
      </c>
      <c r="KT21" s="45">
        <f t="shared" si="266"/>
        <v>1</v>
      </c>
      <c r="KU21" s="45">
        <f t="shared" si="267"/>
        <v>2</v>
      </c>
      <c r="KV21" s="45">
        <f t="shared" si="268"/>
        <v>0</v>
      </c>
      <c r="KW21" s="46" cm="1">
        <f t="array" ref="KW21">ROUND(IFERROR(INDEX(ArchiveResults!$F$5:$IX$116,ComparisonData!A21,ComparisonData!$KW$1),0),5)</f>
        <v>0</v>
      </c>
      <c r="KX21" s="46" cm="1">
        <f t="array" ref="KX21">ROUND(IFERROR(INDEX(ArchiveResults!$F$5:$IX$116,ComparisonData!A21,ComparisonData!$KX$1),0),5)</f>
        <v>0</v>
      </c>
      <c r="KY21" s="46" cm="1">
        <f t="array" ref="KY21">ROUND(IFERROR(INDEX(ArchiveResults!$F$5:$IX$116,ComparisonData!A21,ComparisonData!$KY$1),0),5)</f>
        <v>0</v>
      </c>
      <c r="KZ21" s="46" cm="1">
        <f t="array" ref="KZ21">ROUND(IFERROR(INDEX(ArchiveResults!$F$5:$IX$116,ComparisonData!A21,ComparisonData!$KZ$1),0),5)</f>
        <v>0</v>
      </c>
      <c r="LA21" s="45" cm="1">
        <f t="array" ref="LA21">IFERROR(INDEX(ArchiveResults!$F$5:$IX$116,ComparisonData!A21,ComparisonData!$LA$1),0)</f>
        <v>0</v>
      </c>
      <c r="LB21" s="56">
        <v>16</v>
      </c>
      <c r="LC21" s="53" t="str">
        <f t="shared" si="46"/>
        <v>Cheshire Archives &amp; Local Studies</v>
      </c>
      <c r="LD21" s="59">
        <f t="shared" si="269"/>
        <v>0</v>
      </c>
      <c r="LE21" s="59">
        <f t="shared" si="270"/>
        <v>0</v>
      </c>
      <c r="LF21" s="59">
        <f t="shared" si="271"/>
        <v>0</v>
      </c>
      <c r="LG21" s="59">
        <f t="shared" si="272"/>
        <v>0</v>
      </c>
      <c r="LH21" s="59">
        <f t="shared" si="273"/>
        <v>0</v>
      </c>
      <c r="LI21" s="58">
        <f t="shared" si="274"/>
        <v>0</v>
      </c>
      <c r="LJ21" s="45">
        <f t="shared" si="275"/>
        <v>24</v>
      </c>
      <c r="LK21" s="45">
        <f t="shared" si="47"/>
        <v>2.5539999999999994</v>
      </c>
      <c r="LL21" s="45">
        <f t="shared" si="276"/>
        <v>1</v>
      </c>
      <c r="LM21" s="45">
        <f t="shared" si="277"/>
        <v>2</v>
      </c>
      <c r="LN21" s="45">
        <f t="shared" si="278"/>
        <v>0</v>
      </c>
      <c r="LO21" s="46" cm="1">
        <f t="array" ref="LO21">ROUND(IFERROR(INDEX(ArchiveResults!$F$5:$IX$116,ComparisonData!A21,ComparisonData!$LO$1),0),5)</f>
        <v>0</v>
      </c>
      <c r="LP21" s="46" cm="1">
        <f t="array" ref="LP21">ROUND(IFERROR(INDEX(ArchiveResults!$F$5:$IX$116,ComparisonData!A21,ComparisonData!$LP$1),0),5)</f>
        <v>0</v>
      </c>
      <c r="LQ21" s="46" cm="1">
        <f t="array" ref="LQ21">ROUND(IFERROR(INDEX(ArchiveResults!$F$5:$IX$116,ComparisonData!A21,ComparisonData!$LQ$1),0),5)</f>
        <v>0</v>
      </c>
      <c r="LR21" s="46" cm="1">
        <f t="array" ref="LR21">ROUND(IFERROR(INDEX(ArchiveResults!$F$5:$IX$116,ComparisonData!A21,ComparisonData!$LR$1),0),5)</f>
        <v>0</v>
      </c>
      <c r="LS21" s="45" cm="1">
        <f t="array" ref="LS21">IFERROR(INDEX(ArchiveResults!$F$5:$IX$116,ComparisonData!A21,ComparisonData!$LS$1),0)</f>
        <v>0</v>
      </c>
      <c r="LT21" s="56">
        <v>16</v>
      </c>
      <c r="LU21" s="53" t="str">
        <f t="shared" si="48"/>
        <v>Cheshire Archives &amp; Local Studies</v>
      </c>
      <c r="LV21" s="59">
        <f t="shared" si="279"/>
        <v>0</v>
      </c>
      <c r="LW21" s="59">
        <f t="shared" si="280"/>
        <v>0</v>
      </c>
      <c r="LX21" s="59">
        <f t="shared" si="281"/>
        <v>0</v>
      </c>
      <c r="LY21" s="59">
        <f t="shared" si="282"/>
        <v>0</v>
      </c>
      <c r="LZ21" s="59">
        <f t="shared" si="283"/>
        <v>0</v>
      </c>
      <c r="MA21" s="58">
        <f t="shared" si="284"/>
        <v>0</v>
      </c>
      <c r="MB21" s="45">
        <f t="shared" si="285"/>
        <v>24</v>
      </c>
      <c r="MC21" s="45">
        <f t="shared" si="49"/>
        <v>2.5539999999999994</v>
      </c>
      <c r="MD21" s="45">
        <f t="shared" si="286"/>
        <v>1</v>
      </c>
      <c r="ME21" s="45">
        <f t="shared" si="287"/>
        <v>2</v>
      </c>
      <c r="MF21" s="45">
        <f t="shared" si="288"/>
        <v>0</v>
      </c>
      <c r="MG21" s="46" cm="1">
        <f t="array" ref="MG21">ROUND(IFERROR(INDEX(ArchiveResults!$F$5:$IX$116,ComparisonData!A21,ComparisonData!$MG$1),0),5)</f>
        <v>0</v>
      </c>
      <c r="MH21" s="46" cm="1">
        <f t="array" ref="MH21">ROUND(IFERROR(INDEX(ArchiveResults!$F$5:$IX$116,ComparisonData!A21,ComparisonData!$MH$1),0),5)</f>
        <v>0</v>
      </c>
      <c r="MI21" s="46" cm="1">
        <f t="array" ref="MI21">ROUND(IFERROR(INDEX(ArchiveResults!$F$5:$IX$116,ComparisonData!A21,ComparisonData!$MI$1),0),5)</f>
        <v>0</v>
      </c>
      <c r="MJ21" s="46" cm="1">
        <f t="array" ref="MJ21">ROUND(IFERROR(INDEX(ArchiveResults!$F$5:$IX$116,ComparisonData!A21,ComparisonData!$MJ$1),0),5)</f>
        <v>0</v>
      </c>
      <c r="MK21" s="45" cm="1">
        <f t="array" ref="MK21">IFERROR(INDEX(ArchiveResults!$F$5:$IX$116,ComparisonData!A21,ComparisonData!$MK$1),0)</f>
        <v>0</v>
      </c>
      <c r="ML21" s="56">
        <v>16</v>
      </c>
      <c r="MM21" s="53" t="str">
        <f t="shared" si="50"/>
        <v>Cheshire Archives &amp; Local Studies</v>
      </c>
      <c r="MN21" s="59">
        <f t="shared" si="289"/>
        <v>0</v>
      </c>
      <c r="MO21" s="59">
        <f t="shared" si="290"/>
        <v>0</v>
      </c>
      <c r="MP21" s="59">
        <f t="shared" si="291"/>
        <v>0</v>
      </c>
      <c r="MQ21" s="59">
        <f t="shared" si="292"/>
        <v>0</v>
      </c>
      <c r="MR21" s="59">
        <f t="shared" si="293"/>
        <v>0</v>
      </c>
      <c r="MS21" s="58">
        <f t="shared" si="294"/>
        <v>0</v>
      </c>
      <c r="MT21" s="45">
        <f t="shared" si="295"/>
        <v>24</v>
      </c>
      <c r="MU21" s="45">
        <f t="shared" si="51"/>
        <v>2.5539999999999994</v>
      </c>
      <c r="MV21" s="45">
        <f t="shared" si="296"/>
        <v>1</v>
      </c>
      <c r="MW21" s="45">
        <f t="shared" si="297"/>
        <v>2</v>
      </c>
      <c r="MX21" s="45">
        <f t="shared" si="298"/>
        <v>0</v>
      </c>
      <c r="MY21" s="46" cm="1">
        <f t="array" ref="MY21">ROUND(IFERROR(INDEX(ArchiveResults!$F$5:$IX$116,ComparisonData!A21,ComparisonData!$MY$1),0),5)</f>
        <v>0</v>
      </c>
      <c r="MZ21" s="46" cm="1">
        <f t="array" ref="MZ21">ROUND(IFERROR(INDEX(ArchiveResults!$F$5:$IX$116,ComparisonData!A21,ComparisonData!$MZ$1),0),5)</f>
        <v>0</v>
      </c>
      <c r="NA21" s="46" cm="1">
        <f t="array" ref="NA21">ROUND(IFERROR(INDEX(ArchiveResults!$F$5:$IX$116,ComparisonData!A21,ComparisonData!$NA$1),0),5)</f>
        <v>0</v>
      </c>
      <c r="NB21" s="46" cm="1">
        <f t="array" ref="NB21">ROUND(IFERROR(INDEX(ArchiveResults!$F$5:$IX$116,ComparisonData!A21,ComparisonData!$NB$1),0),5)</f>
        <v>0</v>
      </c>
      <c r="NC21" s="45" cm="1">
        <f t="array" ref="NC21">IFERROR(INDEX(ArchiveResults!$F$5:$IX$116,ComparisonData!A21,ComparisonData!$NC$1),0)</f>
        <v>0</v>
      </c>
      <c r="ND21" s="56">
        <v>16</v>
      </c>
      <c r="NE21" s="53" t="str">
        <f t="shared" si="52"/>
        <v>Cheshire Archives &amp; Local Studies</v>
      </c>
      <c r="NF21" s="59">
        <f t="shared" si="299"/>
        <v>0</v>
      </c>
      <c r="NG21" s="59">
        <f t="shared" si="300"/>
        <v>0</v>
      </c>
      <c r="NH21" s="59">
        <f t="shared" si="301"/>
        <v>0</v>
      </c>
      <c r="NI21" s="59">
        <f t="shared" si="302"/>
        <v>0</v>
      </c>
      <c r="NJ21" s="59">
        <f t="shared" si="303"/>
        <v>0</v>
      </c>
      <c r="NK21" s="58">
        <f t="shared" si="304"/>
        <v>0</v>
      </c>
      <c r="NL21" s="45">
        <f t="shared" si="305"/>
        <v>24</v>
      </c>
      <c r="NM21" s="45">
        <f t="shared" si="53"/>
        <v>2.5539999999999994</v>
      </c>
      <c r="NN21" s="45">
        <f t="shared" si="306"/>
        <v>1</v>
      </c>
      <c r="NO21" s="45">
        <f t="shared" si="307"/>
        <v>2</v>
      </c>
      <c r="NP21" s="46" cm="1">
        <f t="array" ref="NP21">ROUND(IFERROR(INDEX(ArchiveResults!$F$5:$IX$116,ComparisonData!A21,ComparisonData!$NP$1),0),5)</f>
        <v>0</v>
      </c>
      <c r="NQ21" s="46" cm="1">
        <f t="array" ref="NQ21">ROUND(IFERROR(INDEX(ArchiveResults!$F$5:$IX$116,ComparisonData!A21,ComparisonData!$NQ$1),0),5)</f>
        <v>0</v>
      </c>
      <c r="NR21" s="46" cm="1">
        <f t="array" ref="NR21">ROUND(IFERROR(INDEX(ArchiveResults!$F$5:$IX$116,ComparisonData!A21,ComparisonData!$NR$1),0),5)</f>
        <v>0</v>
      </c>
      <c r="NS21" s="46" cm="1">
        <f t="array" ref="NS21">ROUND(IFERROR(INDEX(ArchiveResults!$F$5:$IX$116,ComparisonData!A21,ComparisonData!$NS$1),0),5)</f>
        <v>0</v>
      </c>
      <c r="NT21" s="45" cm="1">
        <f t="array" ref="NT21">IFERROR(INDEX(ArchiveResults!$F$5:$IX$116,ComparisonData!A21,ComparisonData!$NT$1),0)</f>
        <v>0</v>
      </c>
      <c r="NU21" s="56">
        <v>16</v>
      </c>
      <c r="NV21" s="53" t="str">
        <f t="shared" si="54"/>
        <v>Cheshire Archives &amp; Local Studies</v>
      </c>
      <c r="NW21" s="59">
        <f t="shared" si="308"/>
        <v>0</v>
      </c>
      <c r="NX21" s="59">
        <f t="shared" si="309"/>
        <v>0</v>
      </c>
      <c r="NY21" s="59">
        <f t="shared" si="310"/>
        <v>0</v>
      </c>
      <c r="NZ21" s="59">
        <f t="shared" si="311"/>
        <v>0</v>
      </c>
      <c r="OA21" s="59">
        <f t="shared" si="312"/>
        <v>0</v>
      </c>
      <c r="OB21" s="58">
        <f t="shared" si="313"/>
        <v>0</v>
      </c>
      <c r="OC21" s="45">
        <f t="shared" si="314"/>
        <v>24</v>
      </c>
      <c r="OD21" s="45">
        <f t="shared" si="55"/>
        <v>2.5539999999999994</v>
      </c>
      <c r="OE21" s="45">
        <f t="shared" si="315"/>
        <v>1</v>
      </c>
      <c r="OF21" s="45">
        <f t="shared" si="316"/>
        <v>2</v>
      </c>
      <c r="OG21" s="46">
        <f t="shared" si="317"/>
        <v>0</v>
      </c>
      <c r="OH21" s="46" cm="1">
        <f t="array" ref="OH21">ROUND(IFERROR(INDEX(ArchiveResults!$F$5:$IX$116,ComparisonData!A21,ComparisonData!$OH$1),0),5)</f>
        <v>0</v>
      </c>
      <c r="OI21" s="46" cm="1">
        <f t="array" ref="OI21">ROUND(IFERROR(INDEX(ArchiveResults!$F$5:$IX$116,ComparisonData!A21,ComparisonData!$OI$1),0),5)</f>
        <v>0</v>
      </c>
      <c r="OJ21" s="46" cm="1">
        <f t="array" ref="OJ21">ROUND(IFERROR(INDEX(ArchiveResults!$F$5:$IX$116,ComparisonData!A21,ComparisonData!$OJ$1),0),5)</f>
        <v>0</v>
      </c>
      <c r="OK21" s="46" cm="1">
        <f t="array" ref="OK21">ROUND(IFERROR(INDEX(ArchiveResults!$F$5:$IX$116,ComparisonData!A21,ComparisonData!$OK$1),0),5)</f>
        <v>0</v>
      </c>
      <c r="OL21" s="45" cm="1">
        <f t="array" ref="OL21">IFERROR(INDEX(ArchiveResults!$F$5:$IX$116,ComparisonData!A21,ComparisonData!$OL$1),0)</f>
        <v>0</v>
      </c>
      <c r="OM21" s="56">
        <v>16</v>
      </c>
      <c r="ON21" s="53" t="str">
        <f t="shared" si="56"/>
        <v>Cheshire Archives &amp; Local Studies</v>
      </c>
      <c r="OO21" s="59">
        <f t="shared" si="318"/>
        <v>0</v>
      </c>
      <c r="OP21" s="59">
        <f t="shared" si="319"/>
        <v>0</v>
      </c>
      <c r="OQ21" s="59">
        <f t="shared" si="320"/>
        <v>0</v>
      </c>
      <c r="OR21" s="59">
        <f t="shared" si="321"/>
        <v>0</v>
      </c>
      <c r="OS21" s="59">
        <f t="shared" si="322"/>
        <v>0</v>
      </c>
      <c r="OT21" s="58">
        <f t="shared" si="323"/>
        <v>0</v>
      </c>
      <c r="OU21" s="45">
        <f t="shared" si="324"/>
        <v>24</v>
      </c>
      <c r="OV21" s="45">
        <f t="shared" si="57"/>
        <v>2.5539999999999994</v>
      </c>
      <c r="OW21" s="45">
        <f t="shared" si="325"/>
        <v>1</v>
      </c>
      <c r="OX21" s="45">
        <f t="shared" si="326"/>
        <v>2</v>
      </c>
      <c r="OY21" s="45">
        <f t="shared" si="327"/>
        <v>0</v>
      </c>
      <c r="OZ21" s="46" cm="1">
        <f t="array" ref="OZ21">ROUND(IFERROR(INDEX(ArchiveResults!$F$5:$IX$116,ComparisonData!A21,ComparisonData!$OZ$1),0),5)</f>
        <v>0</v>
      </c>
      <c r="PA21" s="46" cm="1">
        <f t="array" ref="PA21">ROUND(IFERROR(INDEX(ArchiveResults!$F$5:$IX$116,ComparisonData!A21,ComparisonData!$PA$1),0),5)</f>
        <v>0</v>
      </c>
      <c r="PB21" s="46" cm="1">
        <f t="array" ref="PB21">ROUND(IFERROR(INDEX(ArchiveResults!$F$5:$IX$116,ComparisonData!A21,ComparisonData!$PB$1),0),5)</f>
        <v>0</v>
      </c>
      <c r="PC21" s="46" cm="1">
        <f t="array" ref="PC21">ROUND(IFERROR(INDEX(ArchiveResults!$F$5:$IX$116,ComparisonData!A21,ComparisonData!$PC$1),0),5)</f>
        <v>0</v>
      </c>
      <c r="PD21" s="45" cm="1">
        <f t="array" ref="PD21">IFERROR(INDEX(ArchiveResults!$F$5:$IX$116,ComparisonData!A21,ComparisonData!$PD$1),0)</f>
        <v>0</v>
      </c>
      <c r="PE21" s="56">
        <v>16</v>
      </c>
      <c r="PF21" s="53" t="str">
        <f t="shared" si="58"/>
        <v>Cheshire Archives &amp; Local Studies</v>
      </c>
      <c r="PG21" s="59">
        <f t="shared" si="328"/>
        <v>0</v>
      </c>
      <c r="PH21" s="59">
        <f t="shared" si="329"/>
        <v>0</v>
      </c>
      <c r="PI21" s="59">
        <f t="shared" si="330"/>
        <v>0</v>
      </c>
      <c r="PJ21" s="59">
        <f t="shared" si="331"/>
        <v>0</v>
      </c>
      <c r="PK21" s="59">
        <f t="shared" si="332"/>
        <v>0</v>
      </c>
      <c r="PL21" s="58">
        <f t="shared" si="333"/>
        <v>0</v>
      </c>
      <c r="PM21" s="45">
        <f t="shared" si="334"/>
        <v>24</v>
      </c>
      <c r="PN21" s="45">
        <f t="shared" si="59"/>
        <v>2.5539999999999994</v>
      </c>
      <c r="PO21" s="45">
        <f t="shared" si="335"/>
        <v>1</v>
      </c>
      <c r="PP21" s="45">
        <f t="shared" si="336"/>
        <v>2</v>
      </c>
      <c r="PQ21" s="45">
        <f t="shared" si="337"/>
        <v>0</v>
      </c>
      <c r="PR21" s="46" cm="1">
        <f t="array" ref="PR21">ROUND(IFERROR(INDEX(ArchiveResults!$F$5:$IX$116,ComparisonData!A21,ComparisonData!$PR$1),0),5)</f>
        <v>0</v>
      </c>
      <c r="PS21" s="46" cm="1">
        <f t="array" ref="PS21">ROUND(IFERROR(INDEX(ArchiveResults!$F$5:$IX$116,ComparisonData!A21,ComparisonData!$PS$1),0),5)</f>
        <v>0</v>
      </c>
      <c r="PT21" s="46" cm="1">
        <f t="array" ref="PT21">ROUND(IFERROR(INDEX(ArchiveResults!$F$5:$IX$116,ComparisonData!A21,ComparisonData!$PT$1),0),5)</f>
        <v>0</v>
      </c>
      <c r="PU21" s="46" cm="1">
        <f t="array" ref="PU21">ROUND(IFERROR(INDEX(ArchiveResults!$F$5:$IX$116,ComparisonData!A21,ComparisonData!$PU$1),0),5)</f>
        <v>0</v>
      </c>
      <c r="PV21" s="45" cm="1">
        <f t="array" ref="PV21">IFERROR(INDEX(ArchiveResults!$F$5:$IX$116,ComparisonData!A21,ComparisonData!$PV$1),0)</f>
        <v>0</v>
      </c>
      <c r="PW21" s="56">
        <v>16</v>
      </c>
      <c r="PX21" s="53" t="str">
        <f t="shared" si="60"/>
        <v>Cheshire Archives &amp; Local Studies</v>
      </c>
      <c r="PY21" s="59">
        <f t="shared" si="338"/>
        <v>0</v>
      </c>
      <c r="PZ21" s="59">
        <f t="shared" si="339"/>
        <v>0</v>
      </c>
      <c r="QA21" s="59">
        <f t="shared" si="340"/>
        <v>0</v>
      </c>
      <c r="QB21" s="59">
        <f t="shared" si="341"/>
        <v>0</v>
      </c>
      <c r="QC21" s="59">
        <f t="shared" si="342"/>
        <v>0</v>
      </c>
      <c r="QD21" s="58">
        <f t="shared" si="343"/>
        <v>0</v>
      </c>
      <c r="QE21" s="45">
        <f t="shared" si="344"/>
        <v>24</v>
      </c>
      <c r="QF21" s="45">
        <f t="shared" si="61"/>
        <v>2.5539999999999994</v>
      </c>
      <c r="QG21" s="45">
        <f t="shared" si="345"/>
        <v>1</v>
      </c>
      <c r="QH21" s="45">
        <f t="shared" si="346"/>
        <v>2</v>
      </c>
      <c r="QI21" s="45">
        <f t="shared" si="347"/>
        <v>0</v>
      </c>
      <c r="QJ21" s="46" cm="1">
        <f t="array" ref="QJ21">ROUND(IFERROR(INDEX(ArchiveResults!$F$5:$IX$116,ComparisonData!A21,ComparisonData!$QJ$1),0),5)</f>
        <v>0</v>
      </c>
      <c r="QK21" s="46" cm="1">
        <f t="array" ref="QK21">ROUND(IFERROR(INDEX(ArchiveResults!$F$5:$IX$116,ComparisonData!A21,ComparisonData!$QK$1),0),5)</f>
        <v>0</v>
      </c>
      <c r="QL21" s="46" cm="1">
        <f t="array" ref="QL21">ROUND(IFERROR(INDEX(ArchiveResults!$F$5:$IX$116,ComparisonData!A21,ComparisonData!$QL$1),0),5)</f>
        <v>0</v>
      </c>
      <c r="QM21" s="46" cm="1">
        <f t="array" ref="QM21">ROUND(IFERROR(INDEX(ArchiveResults!$F$5:$IX$116,ComparisonData!A21,ComparisonData!$QM$1),0),5)</f>
        <v>0</v>
      </c>
      <c r="QN21" s="45" cm="1">
        <f t="array" ref="QN21">IFERROR(INDEX(ArchiveResults!$F$5:$IX$116,ComparisonData!A21,ComparisonData!$QN$1),0)</f>
        <v>0</v>
      </c>
      <c r="QO21" s="56">
        <v>16</v>
      </c>
      <c r="QP21" s="53" t="str">
        <f t="shared" si="62"/>
        <v>Cheshire Archives &amp; Local Studies</v>
      </c>
      <c r="QQ21" s="59">
        <f t="shared" si="348"/>
        <v>0</v>
      </c>
      <c r="QR21" s="59">
        <f t="shared" si="349"/>
        <v>0</v>
      </c>
      <c r="QS21" s="59">
        <f t="shared" si="350"/>
        <v>0</v>
      </c>
      <c r="QT21" s="59">
        <f t="shared" si="351"/>
        <v>0</v>
      </c>
      <c r="QU21" s="59">
        <f t="shared" si="352"/>
        <v>0</v>
      </c>
      <c r="QV21" s="58">
        <f t="shared" si="353"/>
        <v>0</v>
      </c>
      <c r="QW21" s="45">
        <f t="shared" si="354"/>
        <v>24</v>
      </c>
      <c r="QX21" s="45">
        <f t="shared" si="63"/>
        <v>2.5539999999999994</v>
      </c>
      <c r="QY21" s="45">
        <f t="shared" si="355"/>
        <v>1</v>
      </c>
      <c r="QZ21" s="45">
        <f t="shared" si="356"/>
        <v>2</v>
      </c>
      <c r="RA21" s="45">
        <f t="shared" si="357"/>
        <v>0</v>
      </c>
      <c r="RB21" s="46" cm="1">
        <f t="array" ref="RB21">ROUND(IFERROR(INDEX(ArchiveResults!$F$5:$IX$116,ComparisonData!A21,ComparisonData!$RB$1),0),5)</f>
        <v>0</v>
      </c>
      <c r="RC21" s="46" cm="1">
        <f t="array" ref="RC21">ROUND(IFERROR(INDEX(ArchiveResults!$F$5:$IX$116,ComparisonData!A21,ComparisonData!$RC$1),0),5)</f>
        <v>0</v>
      </c>
      <c r="RD21" s="46" cm="1">
        <f t="array" ref="RD21">ROUND(IFERROR(INDEX(ArchiveResults!$F$5:$IX$116,ComparisonData!A21,ComparisonData!$RD$1),0),5)</f>
        <v>0</v>
      </c>
      <c r="RE21" s="46" cm="1">
        <f t="array" ref="RE21">ROUND(IFERROR(INDEX(ArchiveResults!$F$5:$IX$116,ComparisonData!A21,ComparisonData!$RE$1),0),5)</f>
        <v>0</v>
      </c>
      <c r="RF21" s="45" cm="1">
        <f t="array" ref="RF21">IFERROR(INDEX(ArchiveResults!$F$5:$IX$116,ComparisonData!A21,ComparisonData!$RF$1),0)</f>
        <v>0</v>
      </c>
      <c r="RG21" s="56">
        <v>16</v>
      </c>
      <c r="RH21" s="53" t="str">
        <f t="shared" si="64"/>
        <v>Cheshire Archives &amp; Local Studies</v>
      </c>
      <c r="RI21" s="59">
        <f t="shared" si="358"/>
        <v>0</v>
      </c>
      <c r="RJ21" s="59">
        <f t="shared" si="359"/>
        <v>0</v>
      </c>
      <c r="RK21" s="59">
        <f t="shared" si="360"/>
        <v>0</v>
      </c>
      <c r="RL21" s="59">
        <f t="shared" si="361"/>
        <v>0</v>
      </c>
      <c r="RM21" s="59">
        <f t="shared" si="362"/>
        <v>0</v>
      </c>
      <c r="RN21" s="58">
        <f t="shared" si="363"/>
        <v>0</v>
      </c>
      <c r="RO21" s="45">
        <f t="shared" si="364"/>
        <v>24</v>
      </c>
      <c r="RP21" s="45">
        <f t="shared" si="65"/>
        <v>2.5539999999999994</v>
      </c>
      <c r="RQ21" s="45">
        <f t="shared" si="365"/>
        <v>1</v>
      </c>
      <c r="RR21" s="45">
        <f t="shared" si="366"/>
        <v>2</v>
      </c>
      <c r="RS21" s="45">
        <f t="shared" si="367"/>
        <v>0</v>
      </c>
      <c r="RT21" s="46" cm="1">
        <f t="array" ref="RT21">ROUND(IFERROR(INDEX(ArchiveResults!$F$5:$IX$116,ComparisonData!A21,ComparisonData!$RT$1),0),5)</f>
        <v>0</v>
      </c>
      <c r="RU21" s="46" cm="1">
        <f t="array" ref="RU21">ROUND(IFERROR(INDEX(ArchiveResults!$F$5:$IX$116,ComparisonData!A21,ComparisonData!$RU$1),0),5)</f>
        <v>0</v>
      </c>
      <c r="RV21" s="46" cm="1">
        <f t="array" ref="RV21">ROUND(IFERROR(INDEX(ArchiveResults!$F$5:$IX$116,ComparisonData!A21,ComparisonData!$RV$1),0),5)</f>
        <v>0</v>
      </c>
      <c r="RW21" s="46" cm="1">
        <f t="array" ref="RW21">ROUND(IFERROR(INDEX(ArchiveResults!$F$5:$IX$116,ComparisonData!A21,ComparisonData!$RW$1),0),5)</f>
        <v>0</v>
      </c>
      <c r="RX21" s="45" cm="1">
        <f t="array" ref="RX21">IFERROR(INDEX(ArchiveResults!$F$5:$IX$116,ComparisonData!A21,ComparisonData!$RX$1),0)</f>
        <v>0</v>
      </c>
      <c r="RY21" s="56">
        <v>16</v>
      </c>
      <c r="RZ21" s="53" t="str">
        <f t="shared" si="66"/>
        <v>Cheshire Archives &amp; Local Studies</v>
      </c>
      <c r="SA21" s="59">
        <f t="shared" si="368"/>
        <v>0</v>
      </c>
      <c r="SB21" s="59">
        <f t="shared" si="369"/>
        <v>0</v>
      </c>
      <c r="SC21" s="59">
        <f t="shared" si="370"/>
        <v>0</v>
      </c>
      <c r="SD21" s="59">
        <f t="shared" si="371"/>
        <v>0</v>
      </c>
      <c r="SE21" s="59">
        <f t="shared" si="372"/>
        <v>0</v>
      </c>
      <c r="SF21" s="58">
        <f t="shared" si="373"/>
        <v>0</v>
      </c>
      <c r="SG21" s="45">
        <f t="shared" si="374"/>
        <v>24</v>
      </c>
      <c r="SH21" s="45">
        <f t="shared" si="67"/>
        <v>2.5539999999999994</v>
      </c>
      <c r="SI21" s="45">
        <f t="shared" si="375"/>
        <v>1</v>
      </c>
      <c r="SJ21" s="45">
        <f t="shared" si="376"/>
        <v>2</v>
      </c>
      <c r="SK21" s="45">
        <f t="shared" si="377"/>
        <v>0</v>
      </c>
      <c r="SL21" s="46" cm="1">
        <f t="array" ref="SL21">ROUND(IFERROR(INDEX(ArchiveResults!$F$5:$IX$116,ComparisonData!A21,ComparisonData!$SL$1),0),5)</f>
        <v>0</v>
      </c>
      <c r="SM21" s="46" cm="1">
        <f t="array" ref="SM21">ROUND(IFERROR(INDEX(ArchiveResults!$F$5:$IX$116,ComparisonData!A21,ComparisonData!$SM$1),0),5)</f>
        <v>0</v>
      </c>
      <c r="SN21" s="46" cm="1">
        <f t="array" ref="SN21">ROUND(IFERROR(INDEX(ArchiveResults!$F$5:$IX$116,ComparisonData!A21,ComparisonData!$SN$1),0),5)</f>
        <v>0</v>
      </c>
      <c r="SO21" s="46" cm="1">
        <f t="array" ref="SO21">ROUND(IFERROR(INDEX(ArchiveResults!$F$5:$IX$116,ComparisonData!A21,ComparisonData!$SO$1),0),5)</f>
        <v>0</v>
      </c>
      <c r="SP21" s="45" cm="1">
        <f t="array" ref="SP21">IFERROR(INDEX(ArchiveResults!$F$5:$IX$116,ComparisonData!A21,ComparisonData!$SP$1),0)</f>
        <v>0</v>
      </c>
      <c r="SQ21" s="56">
        <v>16</v>
      </c>
      <c r="SR21" s="53" t="str">
        <f t="shared" si="68"/>
        <v>Cheshire Archives &amp; Local Studies</v>
      </c>
      <c r="SS21" s="59">
        <f t="shared" si="378"/>
        <v>0</v>
      </c>
      <c r="ST21" s="59">
        <f t="shared" si="379"/>
        <v>0</v>
      </c>
      <c r="SU21" s="59">
        <f t="shared" si="380"/>
        <v>0</v>
      </c>
      <c r="SV21" s="59">
        <f t="shared" si="381"/>
        <v>0</v>
      </c>
      <c r="SW21" s="59">
        <f t="shared" si="382"/>
        <v>0</v>
      </c>
      <c r="SX21" s="58">
        <f t="shared" si="383"/>
        <v>0</v>
      </c>
      <c r="SY21" s="45">
        <f t="shared" si="384"/>
        <v>24</v>
      </c>
      <c r="SZ21" s="45">
        <f t="shared" si="69"/>
        <v>2.5539999999999994</v>
      </c>
      <c r="TA21" s="45">
        <f t="shared" si="385"/>
        <v>1</v>
      </c>
      <c r="TB21" s="45">
        <f t="shared" si="386"/>
        <v>2</v>
      </c>
      <c r="TC21" s="45">
        <f t="shared" si="387"/>
        <v>0</v>
      </c>
      <c r="TD21" s="46" cm="1">
        <f t="array" ref="TD21">ROUND(IFERROR(INDEX(ArchiveResults!$F$5:$IX$116,ComparisonData!A21,ComparisonData!$TD$1),0),5)</f>
        <v>0</v>
      </c>
      <c r="TE21" s="46" cm="1">
        <f t="array" ref="TE21">ROUND(IFERROR(INDEX(ArchiveResults!$F$5:$IX$116,ComparisonData!A21,ComparisonData!$TE$1),0),5)</f>
        <v>0</v>
      </c>
      <c r="TF21" s="46" cm="1">
        <f t="array" ref="TF21">ROUND(IFERROR(INDEX(ArchiveResults!$F$5:$IX$116,ComparisonData!A21,ComparisonData!$TF$1),0),5)</f>
        <v>0</v>
      </c>
      <c r="TG21" s="46" cm="1">
        <f t="array" ref="TG21">ROUND(IFERROR(INDEX(ArchiveResults!$F$5:$IX$116,ComparisonData!A21,ComparisonData!$TG$1),0),5)</f>
        <v>0</v>
      </c>
      <c r="TH21" s="45" cm="1">
        <f t="array" ref="TH21">IFERROR(INDEX(ArchiveResults!$F$5:$IX$116,ComparisonData!A21,ComparisonData!$TH$1),0)</f>
        <v>0</v>
      </c>
      <c r="TI21" s="56">
        <v>16</v>
      </c>
      <c r="TJ21" s="53" t="str">
        <f t="shared" si="70"/>
        <v>Cheshire Archives &amp; Local Studies</v>
      </c>
      <c r="TK21" s="59">
        <f t="shared" si="388"/>
        <v>0</v>
      </c>
      <c r="TL21" s="59">
        <f t="shared" si="389"/>
        <v>0</v>
      </c>
      <c r="TM21" s="59">
        <f t="shared" si="390"/>
        <v>0</v>
      </c>
      <c r="TN21" s="59">
        <f t="shared" si="391"/>
        <v>0</v>
      </c>
      <c r="TO21" s="59">
        <f t="shared" si="392"/>
        <v>0</v>
      </c>
      <c r="TP21" s="58">
        <f t="shared" si="393"/>
        <v>0</v>
      </c>
      <c r="TQ21" s="45">
        <f t="shared" si="394"/>
        <v>24</v>
      </c>
      <c r="TR21" s="45">
        <f t="shared" si="71"/>
        <v>2.5539999999999994</v>
      </c>
      <c r="TS21" s="45">
        <f t="shared" si="395"/>
        <v>1</v>
      </c>
      <c r="TT21" s="45">
        <f t="shared" si="396"/>
        <v>2</v>
      </c>
      <c r="TU21" s="45">
        <f t="shared" si="397"/>
        <v>0</v>
      </c>
      <c r="TV21" s="46" cm="1">
        <f t="array" ref="TV21">ROUND(IFERROR(INDEX(ArchiveResults!$F$5:$IX$116,ComparisonData!A21,ComparisonData!$TV$1),0),5)</f>
        <v>0</v>
      </c>
      <c r="TW21" s="46" cm="1">
        <f t="array" ref="TW21">ROUND(IFERROR(INDEX(ArchiveResults!$F$5:$IX$116,ComparisonData!A21,ComparisonData!$TW$1),0),5)</f>
        <v>0</v>
      </c>
      <c r="TX21" s="46" cm="1">
        <f t="array" ref="TX21">ROUND(IFERROR(INDEX(ArchiveResults!$F$5:$IX$116,ComparisonData!A21,ComparisonData!$TX$1),0),5)</f>
        <v>0</v>
      </c>
      <c r="TY21" s="46" cm="1">
        <f t="array" ref="TY21">ROUND(IFERROR(INDEX(ArchiveResults!$F$5:$IX$116,ComparisonData!A21,ComparisonData!$TY$1),0),5)</f>
        <v>0</v>
      </c>
      <c r="TZ21" s="45" cm="1">
        <f t="array" ref="TZ21">IFERROR(INDEX(ArchiveResults!$F$5:$IX$116,ComparisonData!A21,ComparisonData!$TZ$1),0)</f>
        <v>0</v>
      </c>
      <c r="UA21" s="56">
        <v>16</v>
      </c>
      <c r="UB21" s="53" t="str">
        <f t="shared" si="72"/>
        <v>Cheshire Archives &amp; Local Studies</v>
      </c>
      <c r="UC21" s="60">
        <f t="shared" si="398"/>
        <v>0</v>
      </c>
      <c r="UD21" s="60">
        <f t="shared" si="399"/>
        <v>0</v>
      </c>
      <c r="UE21" s="60">
        <f t="shared" si="400"/>
        <v>0</v>
      </c>
      <c r="UF21" s="60">
        <f t="shared" si="401"/>
        <v>0</v>
      </c>
      <c r="UG21" s="60">
        <f t="shared" si="402"/>
        <v>0</v>
      </c>
      <c r="UH21" s="58">
        <f t="shared" si="403"/>
        <v>0</v>
      </c>
      <c r="UI21" s="46">
        <f t="shared" si="404"/>
        <v>24</v>
      </c>
      <c r="UJ21" s="46">
        <f t="shared" si="73"/>
        <v>2.5539999999999994</v>
      </c>
      <c r="UK21" s="46">
        <f t="shared" si="405"/>
        <v>1</v>
      </c>
      <c r="UL21" s="46">
        <f t="shared" si="406"/>
        <v>2</v>
      </c>
      <c r="UM21" s="46" cm="1">
        <f t="array" ref="UM21">ROUND(IFERROR(INDEX(ArchiveResults!$F$5:$IX$116,ComparisonData!A21,ComparisonData!$UM$1),0),5)</f>
        <v>0</v>
      </c>
      <c r="UN21" s="56">
        <v>16</v>
      </c>
      <c r="UO21" s="53" t="str">
        <f t="shared" si="74"/>
        <v>Cheshire Archives &amp; Local Studies</v>
      </c>
      <c r="UP21" s="46">
        <f t="shared" si="407"/>
        <v>0</v>
      </c>
      <c r="UQ21" s="76">
        <f t="shared" si="408"/>
        <v>0</v>
      </c>
      <c r="UR21" s="46">
        <f t="shared" si="409"/>
        <v>24</v>
      </c>
      <c r="US21" s="46">
        <f t="shared" si="75"/>
        <v>2.5539999999999994</v>
      </c>
      <c r="UT21" s="46">
        <f t="shared" si="410"/>
        <v>1</v>
      </c>
      <c r="UU21" s="46">
        <f t="shared" si="411"/>
        <v>2</v>
      </c>
      <c r="UV21" s="46">
        <f t="shared" si="412"/>
        <v>0</v>
      </c>
      <c r="UW21" s="46" cm="1">
        <f t="array" ref="UW21">ROUND(IFERROR(INDEX(ArchiveResults!$F$5:$IX$116,ComparisonData!A21,ComparisonData!$UW$1),0),5)</f>
        <v>0</v>
      </c>
      <c r="UX21" s="46" cm="1">
        <f t="array" ref="UX21">ROUND(IFERROR(INDEX(ArchiveResults!$F$5:$IX$116,ComparisonData!A21,ComparisonData!$UX$1),0),5)</f>
        <v>0</v>
      </c>
      <c r="UY21" s="46" cm="1">
        <f t="array" ref="UY21">ROUND(IFERROR(INDEX(ArchiveResults!$F$5:$IX$116,ComparisonData!A21,ComparisonData!$UY$1),0),5)</f>
        <v>0</v>
      </c>
      <c r="UZ21" s="46" cm="1">
        <f t="array" ref="UZ21">ROUND(IFERROR(INDEX(ArchiveResults!$F$5:$IX$116,ComparisonData!A21,ComparisonData!$UZ$1),0),5)</f>
        <v>0</v>
      </c>
      <c r="VA21" s="46" cm="1">
        <f t="array" ref="VA21">ROUND(IFERROR(INDEX(ArchiveResults!$F$5:$IX$116,ComparisonData!A21,ComparisonData!$VA$1),0),5)</f>
        <v>0</v>
      </c>
      <c r="VB21" s="56">
        <v>16</v>
      </c>
      <c r="VC21" s="53" t="str">
        <f t="shared" si="76"/>
        <v>Cheshire Archives &amp; Local Studies</v>
      </c>
      <c r="VD21" s="60">
        <f t="shared" si="413"/>
        <v>0</v>
      </c>
      <c r="VE21" s="60">
        <f t="shared" si="414"/>
        <v>0</v>
      </c>
      <c r="VF21" s="60">
        <f t="shared" si="415"/>
        <v>0</v>
      </c>
      <c r="VG21" s="60">
        <f t="shared" si="416"/>
        <v>0</v>
      </c>
      <c r="VH21" s="60">
        <f t="shared" si="417"/>
        <v>0</v>
      </c>
      <c r="VI21" s="76">
        <f t="shared" si="418"/>
        <v>0</v>
      </c>
      <c r="VJ21" s="46">
        <f t="shared" si="419"/>
        <v>24</v>
      </c>
      <c r="VK21" s="46">
        <f t="shared" si="77"/>
        <v>2.5539999999999994</v>
      </c>
      <c r="VL21" s="46">
        <f t="shared" si="420"/>
        <v>1</v>
      </c>
      <c r="VM21" s="46">
        <f t="shared" si="421"/>
        <v>2</v>
      </c>
      <c r="VN21" s="46" cm="1">
        <f t="array" ref="VN21">ROUND(IFERROR(INDEX(ArchiveResults!$F$5:$IX$116,ComparisonData!A21,ComparisonData!$VN$1),0),5)</f>
        <v>0</v>
      </c>
      <c r="VO21" s="46" cm="1">
        <f t="array" ref="VO21">ROUND(IFERROR(INDEX(ArchiveResults!$F$5:$IX$116,ComparisonData!A21,ComparisonData!$VO$1),0),5)</f>
        <v>0</v>
      </c>
      <c r="VP21" s="46" cm="1">
        <f t="array" ref="VP21">ROUND(IFERROR(INDEX(ArchiveResults!$F$5:$IX$116,ComparisonData!A21,ComparisonData!$VP$1),0),5)</f>
        <v>0</v>
      </c>
      <c r="VQ21" s="46" cm="1">
        <f t="array" ref="VQ21">ROUND(IFERROR(INDEX(ArchiveResults!$F$5:$IX$116,ComparisonData!A21,ComparisonData!$VQ$1),0),5)</f>
        <v>0</v>
      </c>
      <c r="VR21" s="56">
        <v>16</v>
      </c>
      <c r="VS21" s="53" t="str">
        <f t="shared" si="78"/>
        <v>Cheshire Archives &amp; Local Studies</v>
      </c>
      <c r="VT21" s="60">
        <f t="shared" si="422"/>
        <v>0</v>
      </c>
      <c r="VU21" s="60">
        <f t="shared" si="423"/>
        <v>0</v>
      </c>
      <c r="VV21" s="60">
        <f t="shared" si="424"/>
        <v>0</v>
      </c>
      <c r="VW21" s="60">
        <f t="shared" si="425"/>
        <v>0</v>
      </c>
      <c r="VX21" s="76">
        <f t="shared" si="426"/>
        <v>0</v>
      </c>
      <c r="VY21" s="46">
        <f t="shared" si="427"/>
        <v>24</v>
      </c>
      <c r="VZ21" s="46">
        <f t="shared" si="79"/>
        <v>2.5539999999999994</v>
      </c>
      <c r="WA21" s="46">
        <f t="shared" si="428"/>
        <v>1</v>
      </c>
      <c r="WB21" s="46">
        <f t="shared" si="429"/>
        <v>2</v>
      </c>
      <c r="WC21" s="46" cm="1">
        <f t="array" ref="WC21">ROUND(IFERROR(INDEX(ArchiveResults!$F$5:$IX$116,ComparisonData!A21,ComparisonData!$WC$1),0),5)</f>
        <v>0</v>
      </c>
      <c r="WD21" s="56">
        <v>16</v>
      </c>
      <c r="WE21" s="53" t="str">
        <f t="shared" si="80"/>
        <v>Cheshire Archives &amp; Local Studies</v>
      </c>
      <c r="WF21" s="46">
        <f t="shared" si="430"/>
        <v>0</v>
      </c>
      <c r="WG21" s="76">
        <f t="shared" si="431"/>
        <v>0</v>
      </c>
      <c r="WH21" s="46">
        <f t="shared" si="432"/>
        <v>24</v>
      </c>
      <c r="WI21" s="46">
        <f t="shared" si="81"/>
        <v>2.5539999999999994</v>
      </c>
      <c r="WJ21" s="46">
        <f t="shared" si="433"/>
        <v>1</v>
      </c>
      <c r="WK21" s="46">
        <f t="shared" si="434"/>
        <v>2</v>
      </c>
      <c r="WL21" s="46" cm="1">
        <f t="array" ref="WL21">ROUND(IFERROR(INDEX(ArchiveResults!$F$5:$IX$116,ComparisonData!A21,ComparisonData!$WL$1),0),5)</f>
        <v>0</v>
      </c>
      <c r="WM21" s="46" cm="1">
        <f t="array" ref="WM21">IFERROR(INDEX(ArchiveResults!$F$5:$IX$116,ComparisonData!A21,ComparisonData!$WM$1),0)</f>
        <v>0</v>
      </c>
      <c r="WN21" s="56">
        <v>16</v>
      </c>
      <c r="WO21" s="53" t="str">
        <f t="shared" si="82"/>
        <v>Cheshire Archives &amp; Local Studies</v>
      </c>
      <c r="WP21" s="60">
        <f t="shared" si="435"/>
        <v>0</v>
      </c>
      <c r="WQ21" s="60">
        <f t="shared" si="436"/>
        <v>0</v>
      </c>
      <c r="WR21" s="76">
        <f t="shared" si="437"/>
        <v>0</v>
      </c>
      <c r="WS21" s="46">
        <f t="shared" si="438"/>
        <v>24</v>
      </c>
      <c r="WT21" s="46">
        <f t="shared" si="83"/>
        <v>2.5539999999999994</v>
      </c>
      <c r="WU21" s="46">
        <f t="shared" si="439"/>
        <v>1</v>
      </c>
      <c r="WV21" s="46">
        <f t="shared" si="440"/>
        <v>2</v>
      </c>
      <c r="WW21" s="46" cm="1">
        <f t="array" ref="WW21">ROUND(VALUE(IFERROR(INDEX(ArchiveResults!$F$5:$IX$116,ComparisonData!A21,ComparisonData!$WW$1),0)),5)</f>
        <v>0</v>
      </c>
      <c r="WX21" s="46" cm="1">
        <f t="array" ref="WX21">ROUND(IFERROR(INDEX(ArchiveResults!$F$5:$IX$116,ComparisonData!A21,ComparisonData!$WX$1),0),5)</f>
        <v>0</v>
      </c>
      <c r="WY21" s="56">
        <v>16</v>
      </c>
      <c r="WZ21" s="53" t="str">
        <f t="shared" si="84"/>
        <v>Cheshire Archives &amp; Local Studies</v>
      </c>
      <c r="XA21" s="60">
        <f t="shared" si="85"/>
        <v>0</v>
      </c>
      <c r="XB21" s="60">
        <f t="shared" si="86"/>
        <v>0</v>
      </c>
      <c r="XC21" s="76">
        <f t="shared" si="441"/>
        <v>0</v>
      </c>
      <c r="XD21" s="46">
        <f t="shared" si="442"/>
        <v>24</v>
      </c>
      <c r="XE21" s="46">
        <f t="shared" si="87"/>
        <v>2.5539999999999994</v>
      </c>
      <c r="XF21" s="46">
        <f t="shared" si="443"/>
        <v>1</v>
      </c>
      <c r="XG21" s="46">
        <f t="shared" si="444"/>
        <v>2</v>
      </c>
      <c r="XH21" s="46" cm="1">
        <f t="array" ref="XH21">ROUND(VALUE(IFERROR(INDEX(ArchiveResults!$F$5:$IX$116,ComparisonData!A21,ComparisonData!$XH$1),0)),5)</f>
        <v>0</v>
      </c>
      <c r="XI21" s="46" cm="1">
        <f t="array" ref="XI21">ROUND(VALUE(IFERROR(INDEX(ArchiveResults!$F$5:$IX$116,ComparisonData!A21,ComparisonData!$XI$1),0)),5)</f>
        <v>0</v>
      </c>
      <c r="XJ21" s="56">
        <v>16</v>
      </c>
      <c r="XK21" s="53" t="str">
        <f t="shared" si="88"/>
        <v>Cheshire Archives &amp; Local Studies</v>
      </c>
      <c r="XL21" s="60">
        <f t="shared" si="445"/>
        <v>0</v>
      </c>
      <c r="XM21" s="60">
        <f t="shared" si="446"/>
        <v>0</v>
      </c>
      <c r="XN21" s="76">
        <f t="shared" si="447"/>
        <v>0</v>
      </c>
      <c r="XO21" s="46">
        <f t="shared" si="448"/>
        <v>24</v>
      </c>
      <c r="XP21" s="46">
        <f t="shared" si="89"/>
        <v>2.5539999999999994</v>
      </c>
      <c r="XQ21" s="46">
        <f t="shared" si="449"/>
        <v>1</v>
      </c>
      <c r="XR21" s="46">
        <f t="shared" si="450"/>
        <v>2</v>
      </c>
      <c r="XS21" s="46" cm="1">
        <f t="array" ref="XS21">ROUND(VALUE(IFERROR(INDEX(ArchiveResults!$F$5:$IX$116,ComparisonData!A21,ComparisonData!$XS$1),0)),5)</f>
        <v>0</v>
      </c>
      <c r="XT21" s="46" cm="1">
        <f t="array" ref="XT21">ROUND(VALUE(IFERROR(INDEX(ArchiveResults!$F$5:$IX$116,ComparisonData!A21,ComparisonData!$XT$1),0)),5)</f>
        <v>0</v>
      </c>
      <c r="XU21" s="56">
        <v>16</v>
      </c>
      <c r="XV21" s="53" t="str">
        <f t="shared" si="90"/>
        <v>Cheshire Archives &amp; Local Studies</v>
      </c>
      <c r="XW21" s="60">
        <f t="shared" si="451"/>
        <v>0</v>
      </c>
      <c r="XX21" s="60">
        <f t="shared" si="452"/>
        <v>0</v>
      </c>
      <c r="XY21" s="76">
        <f t="shared" si="453"/>
        <v>0</v>
      </c>
      <c r="XZ21" s="46">
        <f t="shared" si="454"/>
        <v>24</v>
      </c>
      <c r="YA21" s="46">
        <f t="shared" si="91"/>
        <v>2.5539999999999994</v>
      </c>
      <c r="YB21" s="46">
        <f t="shared" si="455"/>
        <v>1</v>
      </c>
      <c r="YC21" s="46">
        <f t="shared" si="456"/>
        <v>2</v>
      </c>
      <c r="YD21" s="46" cm="1">
        <f t="array" ref="YD21">ROUND(VALUE(IFERROR(INDEX(ArchiveResults!$F$5:$IX$116,ComparisonData!A21,ComparisonData!$YD$1),0)),5)</f>
        <v>0</v>
      </c>
      <c r="YE21" s="46" cm="1">
        <f t="array" ref="YE21">ROUND(VALUE(IFERROR(INDEX(ArchiveResults!$F$5:$IX$116,ComparisonData!A21,ComparisonData!$YE$1),0)),5)</f>
        <v>0</v>
      </c>
      <c r="YF21" s="56">
        <v>16</v>
      </c>
      <c r="YG21" s="53" t="str">
        <f t="shared" si="92"/>
        <v>Cheshire Archives &amp; Local Studies</v>
      </c>
      <c r="YH21" s="60">
        <f t="shared" si="457"/>
        <v>0</v>
      </c>
      <c r="YI21" s="60">
        <f t="shared" si="458"/>
        <v>0</v>
      </c>
      <c r="YJ21" s="76">
        <f t="shared" si="459"/>
        <v>0</v>
      </c>
      <c r="YK21" s="46">
        <f t="shared" si="460"/>
        <v>24</v>
      </c>
      <c r="YL21" s="46">
        <f t="shared" si="93"/>
        <v>2.5539999999999994</v>
      </c>
      <c r="YM21" s="46">
        <f t="shared" si="461"/>
        <v>1</v>
      </c>
      <c r="YN21" s="46">
        <f t="shared" si="462"/>
        <v>2</v>
      </c>
      <c r="YO21" s="46" cm="1">
        <f t="array" ref="YO21">ROUND(VALUE(IFERROR(INDEX(ArchiveResults!$F$5:$IX$116,ComparisonData!A21,ComparisonData!$YO$1),0)),5)</f>
        <v>0</v>
      </c>
      <c r="YP21" s="46" cm="1">
        <f t="array" ref="YP21">ROUND(VALUE(IFERROR(INDEX(ArchiveResults!$F$5:$IX$116,ComparisonData!A21,ComparisonData!$YP$1),0)),5)</f>
        <v>0</v>
      </c>
      <c r="YQ21" s="56">
        <v>16</v>
      </c>
      <c r="YR21" s="53" t="str">
        <f t="shared" si="94"/>
        <v>Cheshire Archives &amp; Local Studies</v>
      </c>
      <c r="YS21" s="60">
        <f t="shared" si="463"/>
        <v>0</v>
      </c>
      <c r="YT21" s="60">
        <f t="shared" si="464"/>
        <v>0</v>
      </c>
      <c r="YU21" s="76">
        <f t="shared" si="465"/>
        <v>0</v>
      </c>
      <c r="YV21" s="46">
        <f t="shared" si="466"/>
        <v>24</v>
      </c>
      <c r="YW21" s="46">
        <f t="shared" si="95"/>
        <v>2.5539999999999994</v>
      </c>
      <c r="YX21" s="46">
        <f t="shared" si="467"/>
        <v>1</v>
      </c>
      <c r="YY21" s="46">
        <f t="shared" si="468"/>
        <v>2</v>
      </c>
      <c r="YZ21" s="46">
        <f t="shared" si="469"/>
        <v>0</v>
      </c>
      <c r="ZA21" s="46" cm="1">
        <f t="array" ref="ZA21">ROUNDDOWN(VALUE(IFERROR(INDEX(ArchiveResults!$F$5:$IX$116,ComparisonData!A21,ComparisonData!$ZA$1),0)),5)</f>
        <v>0</v>
      </c>
      <c r="ZB21" s="46" cm="1">
        <f t="array" ref="ZB21">ROUNDDOWN(VALUE(IFERROR(INDEX(ArchiveResults!$F$5:$IX$116,ComparisonData!A21,ComparisonData!$ZB$1),0)),5)</f>
        <v>0</v>
      </c>
      <c r="ZC21" s="46" cm="1">
        <f t="array" ref="ZC21">ROUNDDOWN(VALUE(IFERROR(INDEX(ArchiveResults!$F$5:$IX$116,ComparisonData!A21,ComparisonData!$ZC$1),0)),5)</f>
        <v>0</v>
      </c>
      <c r="ZD21" s="46" cm="1">
        <f t="array" ref="ZD21">ROUNDDOWN(VALUE(IFERROR(INDEX(ArchiveResults!$F$5:$IX$116,ComparisonData!A21,ComparisonData!$ZD$1),0)),5)</f>
        <v>0</v>
      </c>
      <c r="ZE21" s="46" cm="1">
        <f t="array" ref="ZE21">ROUNDDOWN(VALUE(IFERROR(INDEX(ArchiveResults!$F$5:$IX$116,ComparisonData!A21,ComparisonData!$ZE$1),0)),5)</f>
        <v>0</v>
      </c>
      <c r="ZF21" s="56">
        <v>16</v>
      </c>
      <c r="ZG21" s="53" t="str">
        <f t="shared" si="96"/>
        <v>Cheshire Archives &amp; Local Studies</v>
      </c>
      <c r="ZH21" s="60">
        <f t="shared" si="470"/>
        <v>0</v>
      </c>
      <c r="ZI21" s="60">
        <f t="shared" si="471"/>
        <v>0</v>
      </c>
      <c r="ZJ21" s="60">
        <f t="shared" si="472"/>
        <v>0</v>
      </c>
      <c r="ZK21" s="60">
        <f t="shared" si="473"/>
        <v>0</v>
      </c>
      <c r="ZL21" s="60">
        <f t="shared" si="474"/>
        <v>0</v>
      </c>
      <c r="ZM21" s="76">
        <f t="shared" si="475"/>
        <v>0</v>
      </c>
      <c r="ZN21" s="46">
        <f t="shared" si="476"/>
        <v>24</v>
      </c>
      <c r="ZO21" s="46">
        <f t="shared" si="97"/>
        <v>2.5539999999999994</v>
      </c>
      <c r="ZP21" s="46">
        <f t="shared" si="477"/>
        <v>1</v>
      </c>
      <c r="ZQ21" s="46">
        <f t="shared" si="478"/>
        <v>2</v>
      </c>
      <c r="ZR21" s="46" cm="1">
        <f t="array" ref="ZR21">ROUND(VALUE(IFERROR(INDEX(ArchiveResults!$F$5:$IX$116,ComparisonData!A21,ComparisonData!$ZR$1),0)),5)</f>
        <v>0</v>
      </c>
      <c r="ZS21" s="56">
        <v>16</v>
      </c>
      <c r="ZT21" s="53" t="str">
        <f t="shared" si="98"/>
        <v>Cheshire Archives &amp; Local Studies</v>
      </c>
      <c r="ZU21" s="46">
        <f t="shared" si="479"/>
        <v>0</v>
      </c>
      <c r="ZV21" s="76">
        <f t="shared" si="480"/>
        <v>0</v>
      </c>
      <c r="ZW21" s="81" cm="1">
        <f t="array" ref="ZW21">ROUND((IFERROR(INDEX(ArchiveResults!$F$5:$IX$116,ComparisonData!A21,ComparisonData!$ZW$1),0)),5)</f>
        <v>0</v>
      </c>
      <c r="ZX21" s="81" cm="1">
        <f t="array" ref="ZX21">ROUND((IFERROR(INDEX(ArchiveResults!$F$5:$IX$116,ComparisonData!A21,ComparisonData!$ZX$1),0)),5)</f>
        <v>0</v>
      </c>
      <c r="ZY21" s="81" cm="1">
        <f t="array" ref="ZY21">ROUND((IFERROR(INDEX(ArchiveResults!$F$5:$IX$116,ComparisonData!A21,ComparisonData!$ZY$1),0)),5)</f>
        <v>0</v>
      </c>
      <c r="ZZ21" s="81" cm="1">
        <f t="array" ref="ZZ21">ROUND((IFERROR(INDEX(ArchiveResults!$F$5:$IX$116,ComparisonData!A21,ComparisonData!$ZZ$1),0)),5)</f>
        <v>0</v>
      </c>
      <c r="AAA21" s="81" cm="1">
        <f t="array" ref="AAA21">ROUND((IFERROR(INDEX(ArchiveResults!$F$5:$IX$116,ComparisonData!A21,ComparisonData!$AAA$1),0)),5)</f>
        <v>0</v>
      </c>
      <c r="AAB21" s="81" cm="1">
        <f t="array" ref="AAB21">ROUND((IFERROR(INDEX(ArchiveResults!$F$5:$IX$116,ComparisonData!A21,ComparisonData!$AAB$1),0)),5)</f>
        <v>0</v>
      </c>
      <c r="AAC21" s="81" cm="1">
        <f t="array" ref="AAC21">ROUND((IFERROR(INDEX(ArchiveResults!$F$5:$IX$116,ComparisonData!A21,ComparisonData!$AAC$1),0)),5)</f>
        <v>0</v>
      </c>
      <c r="AAD21" s="81" cm="1">
        <f t="array" ref="AAD21">ROUND((IFERROR(INDEX(ArchiveResults!$F$5:$IX$116,ComparisonData!A21,ComparisonData!$AAD$1),0)),5)</f>
        <v>0</v>
      </c>
      <c r="AAE21" s="81" cm="1">
        <f t="array" ref="AAE21">ROUND((IFERROR(INDEX(ArchiveResults!$F$5:$IX$116,ComparisonData!A21,ComparisonData!$AAE$1),0)),5)</f>
        <v>0</v>
      </c>
      <c r="AAF21" s="81" cm="1">
        <f t="array" ref="AAF21">ROUND((IFERROR(INDEX(ArchiveResults!$F$5:$IX$116,ComparisonData!A21,ComparisonData!$AAF$1),0)),5)</f>
        <v>0</v>
      </c>
      <c r="AAG21" s="46">
        <f t="shared" si="481"/>
        <v>24</v>
      </c>
      <c r="AAH21" s="46">
        <f t="shared" si="99"/>
        <v>2.5539999999999994</v>
      </c>
      <c r="AAI21" s="46">
        <f t="shared" si="482"/>
        <v>1</v>
      </c>
      <c r="AAJ21" s="46">
        <f t="shared" si="483"/>
        <v>2</v>
      </c>
      <c r="AAK21" s="46">
        <f t="shared" si="484"/>
        <v>0</v>
      </c>
      <c r="AAL21" s="46">
        <f t="shared" si="485"/>
        <v>0</v>
      </c>
      <c r="AAM21" s="46">
        <f t="shared" si="486"/>
        <v>0</v>
      </c>
      <c r="AAN21" s="46">
        <f t="shared" si="487"/>
        <v>0</v>
      </c>
      <c r="AAO21" s="46">
        <f t="shared" si="488"/>
        <v>0</v>
      </c>
      <c r="AAP21" s="46">
        <f t="shared" si="489"/>
        <v>0</v>
      </c>
      <c r="AAQ21" s="56">
        <v>16</v>
      </c>
      <c r="AAR21" s="53" t="str">
        <f t="shared" si="100"/>
        <v>Cheshire Archives &amp; Local Studies</v>
      </c>
      <c r="AAS21" s="60">
        <f t="shared" si="490"/>
        <v>0</v>
      </c>
      <c r="AAT21" s="60">
        <f t="shared" si="491"/>
        <v>0</v>
      </c>
      <c r="AAU21" s="60">
        <f t="shared" si="492"/>
        <v>0</v>
      </c>
      <c r="AAV21" s="60">
        <f t="shared" si="493"/>
        <v>0</v>
      </c>
      <c r="AAW21" s="60">
        <f t="shared" si="494"/>
        <v>0</v>
      </c>
      <c r="AAX21" s="76">
        <f t="shared" si="495"/>
        <v>0</v>
      </c>
      <c r="AAY21" s="46">
        <f t="shared" si="496"/>
        <v>24</v>
      </c>
      <c r="AAZ21" s="46">
        <f t="shared" si="101"/>
        <v>2.5539999999999994</v>
      </c>
      <c r="ABA21" s="46">
        <f t="shared" si="497"/>
        <v>1</v>
      </c>
      <c r="ABB21" s="46">
        <f t="shared" si="498"/>
        <v>2</v>
      </c>
      <c r="ABC21" s="46">
        <f t="shared" si="102"/>
        <v>0</v>
      </c>
      <c r="ABD21" s="46" cm="1">
        <f t="array" ref="ABD21">ROUND(VALUE(IFERROR(INDEX(ArchiveResults!$F$5:$IX$116,ComparisonData!A21,ComparisonData!$ABD$1),0)),5)</f>
        <v>0</v>
      </c>
      <c r="ABE21" s="46" cm="1">
        <f t="array" ref="ABE21">ROUND(VALUE(IFERROR(INDEX(ArchiveResults!$F$5:$IX$116,ComparisonData!A21,ComparisonData!$ABE$1),0)),5)</f>
        <v>0</v>
      </c>
      <c r="ABF21" s="46" cm="1">
        <f t="array" ref="ABF21">ROUND(VALUE(IFERROR(INDEX(ArchiveResults!$F$5:$IX$116,ComparisonData!A21,ComparisonData!$ABF$1),0)),5)</f>
        <v>0</v>
      </c>
      <c r="ABG21" s="46" cm="1">
        <f t="array" ref="ABG21">ROUND(VALUE(IFERROR(INDEX(ArchiveResults!$F$5:$IX$116,ComparisonData!A21,ComparisonData!$ABG$1),0)),5)</f>
        <v>0</v>
      </c>
      <c r="ABH21" s="46" cm="1">
        <f t="array" ref="ABH21">ROUND(VALUE(IFERROR(INDEX(ArchiveResults!$F$5:$IX$116,ComparisonData!A21,ComparisonData!$ABH$1),0)),5)</f>
        <v>0</v>
      </c>
      <c r="ABI21" s="56">
        <v>16</v>
      </c>
      <c r="ABJ21" s="53" t="str">
        <f t="shared" si="103"/>
        <v>Cheshire Archives &amp; Local Studies</v>
      </c>
      <c r="ABK21" s="60">
        <f t="shared" si="499"/>
        <v>0</v>
      </c>
      <c r="ABL21" s="60">
        <f t="shared" si="500"/>
        <v>0</v>
      </c>
      <c r="ABM21" s="60">
        <f t="shared" si="501"/>
        <v>0</v>
      </c>
      <c r="ABN21" s="60">
        <f t="shared" si="502"/>
        <v>0</v>
      </c>
      <c r="ABO21" s="60">
        <f t="shared" si="503"/>
        <v>0</v>
      </c>
      <c r="ABP21" s="76">
        <f t="shared" si="504"/>
        <v>0</v>
      </c>
      <c r="ABQ21" s="46">
        <f t="shared" si="505"/>
        <v>24</v>
      </c>
      <c r="ABR21" s="46">
        <f t="shared" si="104"/>
        <v>2.5539999999999994</v>
      </c>
      <c r="ABS21" s="46">
        <f t="shared" si="506"/>
        <v>1</v>
      </c>
      <c r="ABT21" s="46">
        <f t="shared" si="507"/>
        <v>2</v>
      </c>
      <c r="ABU21" s="46" cm="1">
        <f t="array" ref="ABU21">ROUND(VALUE(IFERROR(INDEX(ArchiveResults!$F$5:$IX$116,ComparisonData!A21,ComparisonData!$ABU$1),0)),5)</f>
        <v>0</v>
      </c>
      <c r="ABV21" s="46" cm="1">
        <f t="array" ref="ABV21">ROUND(VALUE(IFERROR(INDEX(ArchiveResults!$F$5:$IX$116,ComparisonData!A21,ComparisonData!$ABV$1),0)),5)</f>
        <v>0</v>
      </c>
      <c r="ABW21" s="46" cm="1">
        <f t="array" ref="ABW21">ROUND(VALUE(IFERROR(INDEX(ArchiveResults!$F$5:$IX$116,ComparisonData!A21,ComparisonData!$ABW$1),0)),5)</f>
        <v>0</v>
      </c>
      <c r="ABX21" s="46" cm="1">
        <f t="array" ref="ABX21">ROUND(VALUE(IFERROR(INDEX(ArchiveResults!$F$5:$IX$116,ComparisonData!A21,ComparisonData!$ABX$1),0)),5)</f>
        <v>0</v>
      </c>
      <c r="ABY21" s="46" cm="1">
        <f t="array" ref="ABY21">ROUND(VALUE(IFERROR(INDEX(ArchiveResults!$F$5:$IX$116,ComparisonData!A21,ComparisonData!$ABY$1),0)),5)</f>
        <v>0</v>
      </c>
      <c r="ABZ21" s="56">
        <v>16</v>
      </c>
      <c r="ACA21" s="53" t="str">
        <f t="shared" si="105"/>
        <v>Cheshire Archives &amp; Local Studies</v>
      </c>
      <c r="ACB21" s="60">
        <f t="shared" si="508"/>
        <v>0</v>
      </c>
      <c r="ACC21" s="60">
        <f t="shared" si="509"/>
        <v>0</v>
      </c>
      <c r="ACD21" s="60">
        <f t="shared" si="510"/>
        <v>0</v>
      </c>
      <c r="ACE21" s="60">
        <f t="shared" si="511"/>
        <v>0</v>
      </c>
      <c r="ACF21" s="60">
        <f t="shared" si="512"/>
        <v>0</v>
      </c>
      <c r="ACG21" s="76">
        <f t="shared" si="513"/>
        <v>0</v>
      </c>
      <c r="ACH21" s="46">
        <f t="shared" si="514"/>
        <v>24</v>
      </c>
      <c r="ACI21" s="46">
        <f t="shared" si="106"/>
        <v>2.5539999999999994</v>
      </c>
      <c r="ACJ21" s="46">
        <f t="shared" si="515"/>
        <v>1</v>
      </c>
      <c r="ACK21" s="46">
        <f t="shared" si="516"/>
        <v>2</v>
      </c>
      <c r="ACL21" s="46">
        <f t="shared" si="517"/>
        <v>0</v>
      </c>
      <c r="ACM21" s="46" cm="1">
        <f t="array" ref="ACM21">ROUND(IFERROR(INDEX(ArchiveResults!$F$5:$IX$116,ComparisonData!A21,ComparisonData!$ACM$1),0),5)</f>
        <v>0</v>
      </c>
      <c r="ACN21" s="46" cm="1">
        <f t="array" ref="ACN21">ROUND(IFERROR(INDEX(ArchiveResults!$F$5:$IX$116,ComparisonData!A21,ComparisonData!$ACN$1),0),5)</f>
        <v>0</v>
      </c>
      <c r="ACO21" s="56">
        <v>16</v>
      </c>
      <c r="ACP21" s="53" t="str">
        <f t="shared" si="107"/>
        <v>Cheshire Archives &amp; Local Studies</v>
      </c>
      <c r="ACQ21" s="60">
        <f t="shared" si="518"/>
        <v>0</v>
      </c>
      <c r="ACR21" s="60">
        <f t="shared" si="519"/>
        <v>0</v>
      </c>
      <c r="ACS21" s="76">
        <f t="shared" si="520"/>
        <v>0</v>
      </c>
      <c r="ACT21" s="46">
        <f t="shared" si="521"/>
        <v>24</v>
      </c>
      <c r="ACU21" s="46">
        <f t="shared" si="108"/>
        <v>2.5539999999999994</v>
      </c>
      <c r="ACV21" s="46">
        <f t="shared" si="522"/>
        <v>1</v>
      </c>
      <c r="ACW21" s="46">
        <f t="shared" si="523"/>
        <v>2</v>
      </c>
      <c r="ACX21" s="46">
        <f t="shared" si="524"/>
        <v>0</v>
      </c>
      <c r="ACY21" s="46" cm="1">
        <f t="array" ref="ACY21">ROUNDDOWN(IFERROR(INDEX(ArchiveResults!$F$5:$IX$116,ComparisonData!A21,ComparisonData!$ACY$1),0),5)</f>
        <v>0</v>
      </c>
      <c r="ACZ21" s="46" cm="1">
        <f t="array" ref="ACZ21">ROUNDDOWN(IFERROR(INDEX(ArchiveResults!$F$5:$IX$116,ComparisonData!A21,ComparisonData!$ACZ$1),0),5)</f>
        <v>0</v>
      </c>
      <c r="ADA21" s="46" cm="1">
        <f t="array" ref="ADA21">ROUNDDOWN(IFERROR(INDEX(ArchiveResults!$F$5:$IX$116,ComparisonData!A21,ComparisonData!$ADA$1),0),5)</f>
        <v>0</v>
      </c>
      <c r="ADB21" s="56">
        <v>16</v>
      </c>
      <c r="ADC21" s="53" t="str">
        <f t="shared" si="109"/>
        <v>Cheshire Archives &amp; Local Studies</v>
      </c>
      <c r="ADD21" s="60">
        <f t="shared" si="525"/>
        <v>0</v>
      </c>
      <c r="ADE21" s="60">
        <f t="shared" si="526"/>
        <v>0</v>
      </c>
      <c r="ADF21" s="60">
        <f t="shared" si="527"/>
        <v>0</v>
      </c>
      <c r="ADG21" s="76">
        <f t="shared" si="528"/>
        <v>0</v>
      </c>
    </row>
    <row r="22" spans="1:787" x14ac:dyDescent="0.25">
      <c r="A22" s="46" t="str">
        <f>IF(ISBLANK(ComparisonSelection!F18),"",ROW()-5)</f>
        <v/>
      </c>
      <c r="B22" s="53" t="s">
        <v>471</v>
      </c>
      <c r="C22" s="72">
        <v>0.57899999999999963</v>
      </c>
      <c r="D22" s="55">
        <f t="shared" si="110"/>
        <v>29</v>
      </c>
      <c r="E22" s="54">
        <f t="shared" si="111"/>
        <v>2.5789999999999997</v>
      </c>
      <c r="F22" s="54">
        <f t="shared" si="529"/>
        <v>1</v>
      </c>
      <c r="G22" s="72">
        <f t="shared" si="112"/>
        <v>2</v>
      </c>
      <c r="H22" s="72">
        <f t="shared" si="113"/>
        <v>0</v>
      </c>
      <c r="I22" s="46" cm="1">
        <f t="array" ref="I22">ROUND(IFERROR(INDEX(ArchiveResults!$F$5:$IX$116,ComparisonData!A22,ComparisonData!$I$1),0),5)</f>
        <v>0</v>
      </c>
      <c r="J22" s="46" cm="1">
        <f t="array" ref="J22">ROUND(IFERROR(INDEX(ArchiveResults!$F$5:$IX$116,ComparisonData!A22,ComparisonData!$J$1),0),5)</f>
        <v>0</v>
      </c>
      <c r="K22" s="56">
        <v>17</v>
      </c>
      <c r="L22" s="53" t="str">
        <f t="shared" si="114"/>
        <v>Conwy Archive Service</v>
      </c>
      <c r="M22" s="57">
        <f t="shared" si="0"/>
        <v>0</v>
      </c>
      <c r="N22" s="57">
        <f t="shared" si="1"/>
        <v>0</v>
      </c>
      <c r="O22" s="58">
        <f t="shared" si="115"/>
        <v>0</v>
      </c>
      <c r="P22" s="48">
        <f t="shared" si="116"/>
        <v>29</v>
      </c>
      <c r="Q22" s="54">
        <f t="shared" si="2"/>
        <v>2.5789999999999997</v>
      </c>
      <c r="R22" s="45">
        <f t="shared" si="117"/>
        <v>1</v>
      </c>
      <c r="S22" s="46">
        <f t="shared" si="118"/>
        <v>2</v>
      </c>
      <c r="T22" s="72">
        <f t="shared" si="119"/>
        <v>0</v>
      </c>
      <c r="U22" s="46" cm="1">
        <f t="array" ref="U22">ROUND(IFERROR(INDEX(ArchiveResults!$F$5:$IX$116,ComparisonData!A22,ComparisonData!$U$1),0),5)</f>
        <v>0</v>
      </c>
      <c r="V22" s="46" cm="1">
        <f t="array" ref="V22">ROUND(IFERROR(INDEX(ArchiveResults!$F$5:$IX$116,ComparisonData!A22,ComparisonData!$V$1),0),5)</f>
        <v>0</v>
      </c>
      <c r="W22" s="56">
        <v>17</v>
      </c>
      <c r="X22" s="53" t="str">
        <f t="shared" si="3"/>
        <v>Conwy Archive Service</v>
      </c>
      <c r="Y22" s="57">
        <f t="shared" si="120"/>
        <v>0</v>
      </c>
      <c r="Z22" s="57">
        <f t="shared" si="121"/>
        <v>0</v>
      </c>
      <c r="AA22" s="58">
        <f t="shared" si="122"/>
        <v>0</v>
      </c>
      <c r="AB22" s="45">
        <f t="shared" si="123"/>
        <v>29</v>
      </c>
      <c r="AC22" s="54">
        <f t="shared" si="4"/>
        <v>2.5789999999999997</v>
      </c>
      <c r="AD22" s="45">
        <f t="shared" si="124"/>
        <v>1</v>
      </c>
      <c r="AE22" s="45">
        <f t="shared" si="125"/>
        <v>2</v>
      </c>
      <c r="AF22" s="45">
        <f t="shared" si="126"/>
        <v>0</v>
      </c>
      <c r="AG22" s="46" cm="1">
        <f t="array" ref="AG22">ROUND(IFERROR(INDEX(ArchiveResults!$F$5:$IX$116,ComparisonData!A22,ComparisonData!$AG$1),0),5)</f>
        <v>0</v>
      </c>
      <c r="AH22" s="46" cm="1">
        <f t="array" ref="AH22">ROUND(IFERROR(INDEX(ArchiveResults!$F$5:$IX$116,ComparisonData!A22,ComparisonData!$AH$1),0),5)</f>
        <v>0</v>
      </c>
      <c r="AI22" s="56">
        <v>17</v>
      </c>
      <c r="AJ22" s="53" t="str">
        <f t="shared" si="5"/>
        <v>Conwy Archive Service</v>
      </c>
      <c r="AK22" s="59">
        <f t="shared" si="6"/>
        <v>0</v>
      </c>
      <c r="AL22" s="59">
        <f t="shared" si="7"/>
        <v>0</v>
      </c>
      <c r="AM22" s="58">
        <f t="shared" si="127"/>
        <v>0</v>
      </c>
      <c r="AN22" s="45">
        <f t="shared" si="128"/>
        <v>29</v>
      </c>
      <c r="AO22" s="54">
        <f t="shared" si="8"/>
        <v>2.5789999999999997</v>
      </c>
      <c r="AP22" s="45">
        <f t="shared" si="129"/>
        <v>1</v>
      </c>
      <c r="AQ22" s="45">
        <f t="shared" si="130"/>
        <v>2</v>
      </c>
      <c r="AR22" s="46" cm="1">
        <f t="array" ref="AR22">ROUND(IFERROR(INDEX(ArchiveResults!$F$5:$IX$116,ComparisonData!A22,ComparisonData!$AR$1),0),5)</f>
        <v>0</v>
      </c>
      <c r="AS22" s="46" cm="1">
        <f t="array" ref="AS22">ROUND(IFERROR(INDEX(ArchiveResults!$F$5:$IX$116,ComparisonData!A22,ComparisonData!$AS$1),0),5)</f>
        <v>0</v>
      </c>
      <c r="AT22" s="46" cm="1">
        <f t="array" ref="AT22">ROUND(IFERROR(INDEX(ArchiveResults!$F$5:$IX$116,ComparisonData!A22,ComparisonData!$AT$1),0),5)</f>
        <v>0</v>
      </c>
      <c r="AU22" s="46" cm="1">
        <f t="array" ref="AU22">ROUND(IFERROR(INDEX(ArchiveResults!$F$5:$IX$116,ComparisonData!A22,ComparisonData!$AU$1),0),5)</f>
        <v>0</v>
      </c>
      <c r="AV22" s="46" cm="1">
        <f t="array" ref="AV22">ROUND(IFERROR(INDEX(ArchiveResults!$F$5:$IX$116,ComparisonData!A22,ComparisonData!$AV$1),0),5)</f>
        <v>0</v>
      </c>
      <c r="AW22" s="46" cm="1">
        <f t="array" ref="AW22">ROUND(IFERROR(INDEX(ArchiveResults!$F$5:$IX$116,ComparisonData!A22,ComparisonData!$AW$1),0),5)</f>
        <v>0</v>
      </c>
      <c r="AX22" s="46" cm="1">
        <f t="array" ref="AX22">ROUND(IFERROR(INDEX(ArchiveResults!$F$5:$IX$116,ComparisonData!A22,ComparisonData!$AX$1),0),5)</f>
        <v>0</v>
      </c>
      <c r="AY22" s="46" cm="1">
        <f t="array" ref="AY22">ROUND(IFERROR(INDEX(ArchiveResults!$F$5:$IX$116,ComparisonData!A22,ComparisonData!$AY$1),0),5)</f>
        <v>0</v>
      </c>
      <c r="AZ22" s="46" cm="1">
        <f t="array" ref="AZ22">ROUND(IFERROR(INDEX(ArchiveResults!$F$5:$IX$116,ComparisonData!A22,ComparisonData!$AZ$1),0),5)</f>
        <v>0</v>
      </c>
      <c r="BA22" s="46" cm="1">
        <f t="array" ref="BA22">ROUND(IFERROR(INDEX(ArchiveResults!$F$5:$IX$116,ComparisonData!A22,ComparisonData!$BA$1),0),5)</f>
        <v>0</v>
      </c>
      <c r="BB22" s="56">
        <v>17</v>
      </c>
      <c r="BC22" s="53" t="str">
        <f t="shared" si="9"/>
        <v>Conwy Archive Service</v>
      </c>
      <c r="BD22" s="60">
        <f t="shared" si="131"/>
        <v>0</v>
      </c>
      <c r="BE22" s="60">
        <f t="shared" si="132"/>
        <v>0</v>
      </c>
      <c r="BF22" s="60">
        <f t="shared" si="133"/>
        <v>0</v>
      </c>
      <c r="BG22" s="60">
        <f t="shared" si="134"/>
        <v>0</v>
      </c>
      <c r="BH22" s="60">
        <f t="shared" si="135"/>
        <v>0</v>
      </c>
      <c r="BI22" s="60">
        <f t="shared" si="136"/>
        <v>0</v>
      </c>
      <c r="BJ22" s="60">
        <f t="shared" si="137"/>
        <v>0</v>
      </c>
      <c r="BK22" s="60">
        <f t="shared" si="138"/>
        <v>0</v>
      </c>
      <c r="BL22" s="60">
        <f t="shared" si="139"/>
        <v>0</v>
      </c>
      <c r="BM22" s="59">
        <f t="shared" si="140"/>
        <v>0</v>
      </c>
      <c r="BN22" s="58">
        <f t="shared" si="141"/>
        <v>0</v>
      </c>
      <c r="BO22" s="45">
        <f t="shared" si="142"/>
        <v>29</v>
      </c>
      <c r="BP22" s="54">
        <f t="shared" si="10"/>
        <v>2.5789999999999997</v>
      </c>
      <c r="BQ22" s="45">
        <f t="shared" si="143"/>
        <v>1</v>
      </c>
      <c r="BR22" s="45">
        <f t="shared" si="144"/>
        <v>2</v>
      </c>
      <c r="BS22" s="46" cm="1">
        <f t="array" ref="BS22">ROUND(IFERROR(INDEX(ArchiveResults!$F$5:$IX$116,ComparisonData!A22,ComparisonData!$BS$1),0),5)</f>
        <v>0</v>
      </c>
      <c r="BT22" s="46" cm="1">
        <f t="array" ref="BT22">ROUND(IFERROR(INDEX(ArchiveResults!$F$5:$IX$116,ComparisonData!A22,ComparisonData!$BT$1),0),5)</f>
        <v>0</v>
      </c>
      <c r="BU22" s="46" cm="1">
        <f t="array" ref="BU22">ROUND(IFERROR(INDEX(ArchiveResults!$F$5:$IX$116,ComparisonData!A22,ComparisonData!$BU$1),0),5)</f>
        <v>0</v>
      </c>
      <c r="BV22" s="46" cm="1">
        <f t="array" ref="BV22">ROUND(IFERROR(INDEX(ArchiveResults!$F$5:$IX$116,ComparisonData!A22,ComparisonData!$BV$1),0),5)</f>
        <v>0</v>
      </c>
      <c r="BW22" s="46" cm="1">
        <f t="array" ref="BW22">ROUND(IFERROR(INDEX(ArchiveResults!$F$5:$IX$116,ComparisonData!A22,ComparisonData!$BW$1),0),5)</f>
        <v>0</v>
      </c>
      <c r="BX22" s="46" cm="1">
        <f t="array" ref="BX22">ROUND(IFERROR(INDEX(ArchiveResults!$F$5:$IX$116,ComparisonData!A22,ComparisonData!$BX$1),0),5)</f>
        <v>0</v>
      </c>
      <c r="BY22" s="56">
        <v>17</v>
      </c>
      <c r="BZ22" s="53" t="str">
        <f t="shared" si="11"/>
        <v>Conwy Archive Service</v>
      </c>
      <c r="CA22" s="59">
        <f t="shared" si="145"/>
        <v>0</v>
      </c>
      <c r="CB22" s="59">
        <f t="shared" si="146"/>
        <v>0</v>
      </c>
      <c r="CC22" s="59">
        <f t="shared" si="147"/>
        <v>0</v>
      </c>
      <c r="CD22" s="59">
        <f t="shared" si="148"/>
        <v>0</v>
      </c>
      <c r="CE22" s="59">
        <f t="shared" si="149"/>
        <v>0</v>
      </c>
      <c r="CF22" s="59">
        <f t="shared" si="150"/>
        <v>0</v>
      </c>
      <c r="CG22" s="58">
        <f t="shared" si="151"/>
        <v>0</v>
      </c>
      <c r="CH22" s="45">
        <f t="shared" si="152"/>
        <v>29</v>
      </c>
      <c r="CI22" s="54">
        <f t="shared" si="12"/>
        <v>2.5789999999999997</v>
      </c>
      <c r="CJ22" s="45">
        <f t="shared" si="153"/>
        <v>1</v>
      </c>
      <c r="CK22" s="45">
        <f t="shared" si="154"/>
        <v>2</v>
      </c>
      <c r="CL22" s="46" cm="1">
        <f t="array" ref="CL22">ROUND(IFERROR(INDEX(ArchiveResults!$F$5:$IX$116,ComparisonData!A22,ComparisonData!$CL$1),0),5)</f>
        <v>0</v>
      </c>
      <c r="CM22" s="56">
        <v>17</v>
      </c>
      <c r="CN22" s="53" t="str">
        <f t="shared" si="13"/>
        <v>Conwy Archive Service</v>
      </c>
      <c r="CO22" s="45">
        <f t="shared" si="155"/>
        <v>0</v>
      </c>
      <c r="CP22" s="58">
        <f t="shared" si="156"/>
        <v>0</v>
      </c>
      <c r="CQ22" s="45">
        <f t="shared" si="157"/>
        <v>29</v>
      </c>
      <c r="CR22" s="54">
        <f t="shared" si="14"/>
        <v>2.5789999999999997</v>
      </c>
      <c r="CS22" s="45">
        <f t="shared" si="158"/>
        <v>1</v>
      </c>
      <c r="CT22" s="45">
        <f t="shared" si="159"/>
        <v>2</v>
      </c>
      <c r="CU22" s="46" cm="1">
        <f t="array" ref="CU22">ROUND(IFERROR(INDEX(ArchiveResults!$F$5:$IX$116,ComparisonData!A22,ComparisonData!$CU$1),0),5)</f>
        <v>0</v>
      </c>
      <c r="CV22" s="56">
        <v>17</v>
      </c>
      <c r="CW22" s="53" t="str">
        <f t="shared" si="15"/>
        <v>Conwy Archive Service</v>
      </c>
      <c r="CX22" s="45">
        <f t="shared" si="160"/>
        <v>0</v>
      </c>
      <c r="CY22" s="58">
        <f t="shared" si="161"/>
        <v>0</v>
      </c>
      <c r="CZ22" s="45">
        <f t="shared" si="162"/>
        <v>29</v>
      </c>
      <c r="DA22" s="54">
        <f t="shared" si="16"/>
        <v>2.5789999999999997</v>
      </c>
      <c r="DB22" s="45">
        <f t="shared" si="163"/>
        <v>1</v>
      </c>
      <c r="DC22" s="45">
        <f t="shared" si="164"/>
        <v>2</v>
      </c>
      <c r="DD22" s="46" cm="1">
        <f t="array" ref="DD22">ROUND(IFERROR(INDEX(ArchiveResults!$F$5:$IX$116,ComparisonData!A22,ComparisonData!$DD$1),0),5)</f>
        <v>0</v>
      </c>
      <c r="DE22" s="56">
        <v>17</v>
      </c>
      <c r="DF22" s="53" t="str">
        <f t="shared" si="17"/>
        <v>Conwy Archive Service</v>
      </c>
      <c r="DG22" s="45">
        <f t="shared" si="165"/>
        <v>0</v>
      </c>
      <c r="DH22" s="58">
        <f t="shared" si="166"/>
        <v>0</v>
      </c>
      <c r="DI22" s="45">
        <f t="shared" si="167"/>
        <v>29</v>
      </c>
      <c r="DJ22" s="54">
        <f t="shared" si="18"/>
        <v>2.5789999999999997</v>
      </c>
      <c r="DK22" s="45">
        <f t="shared" si="168"/>
        <v>1</v>
      </c>
      <c r="DL22" s="45">
        <f t="shared" si="169"/>
        <v>2</v>
      </c>
      <c r="DM22" s="46" cm="1">
        <f t="array" ref="DM22">ROUND(IFERROR(INDEX(ArchiveResults!$F$5:$IX$116,ComparisonData!A22,ComparisonData!$DM$1),0),5)</f>
        <v>0</v>
      </c>
      <c r="DN22" s="46" cm="1">
        <f t="array" ref="DN22">ROUND(IFERROR(INDEX(ArchiveResults!$F$5:$IX$116,ComparisonData!A22,ComparisonData!$DN$1),0),5)</f>
        <v>0</v>
      </c>
      <c r="DO22" s="46" cm="1">
        <f t="array" ref="DO22">ROUND(IFERROR(INDEX(ArchiveResults!$F$5:$IX$116,ComparisonData!A22,ComparisonData!$DO$1),0),5)</f>
        <v>0</v>
      </c>
      <c r="DP22" s="46" cm="1">
        <f t="array" ref="DP22">ROUND(IFERROR(INDEX(ArchiveResults!$F$5:$IX$116,ComparisonData!A22,ComparisonData!$DP$1),0),5)</f>
        <v>0</v>
      </c>
      <c r="DQ22" s="45" cm="1">
        <f t="array" ref="DQ22">IFERROR(INDEX(ArchiveResults!$F$5:$IX$116,ComparisonData!A22,ComparisonData!$DQ$1),0)</f>
        <v>0</v>
      </c>
      <c r="DR22" s="56">
        <v>17</v>
      </c>
      <c r="DS22" s="53" t="str">
        <f t="shared" si="19"/>
        <v>Conwy Archive Service</v>
      </c>
      <c r="DT22" s="59">
        <f t="shared" si="170"/>
        <v>0</v>
      </c>
      <c r="DU22" s="59">
        <f t="shared" si="171"/>
        <v>0</v>
      </c>
      <c r="DV22" s="59">
        <f t="shared" si="172"/>
        <v>0</v>
      </c>
      <c r="DW22" s="59">
        <f t="shared" si="173"/>
        <v>0</v>
      </c>
      <c r="DX22" s="59">
        <f t="shared" si="174"/>
        <v>0</v>
      </c>
      <c r="DY22" s="58">
        <f t="shared" si="175"/>
        <v>0</v>
      </c>
      <c r="DZ22" s="45">
        <f t="shared" si="176"/>
        <v>29</v>
      </c>
      <c r="EA22" s="54">
        <f t="shared" si="20"/>
        <v>2.5789999999999997</v>
      </c>
      <c r="EB22" s="45">
        <f t="shared" si="177"/>
        <v>1</v>
      </c>
      <c r="EC22" s="45">
        <f t="shared" si="178"/>
        <v>2</v>
      </c>
      <c r="ED22" s="46" cm="1">
        <f t="array" ref="ED22">ROUND(IFERROR(INDEX(ArchiveResults!$F$5:$IX$116,ComparisonData!A22,ComparisonData!$ED$1),0),5)</f>
        <v>0</v>
      </c>
      <c r="EE22" s="46" cm="1">
        <f t="array" ref="EE22">ROUND(IFERROR(INDEX(ArchiveResults!$F$5:$IX$116,ComparisonData!A22,ComparisonData!$EE$1),0),5)</f>
        <v>0</v>
      </c>
      <c r="EF22" s="46" cm="1">
        <f t="array" ref="EF22">ROUND(IFERROR(INDEX(ArchiveResults!$F$5:$IX$116,ComparisonData!A22,ComparisonData!$EF$1),0),5)</f>
        <v>0</v>
      </c>
      <c r="EG22" s="46" cm="1">
        <f t="array" ref="EG22">ROUND(IFERROR(INDEX(ArchiveResults!$F$5:$IX$116,ComparisonData!A22,ComparisonData!$EG$1),0),5)</f>
        <v>0</v>
      </c>
      <c r="EH22" s="45" cm="1">
        <f t="array" ref="EH22">IFERROR(INDEX(ArchiveResults!$F$5:$IX$116,ComparisonData!A22,ComparisonData!$EH$1),0)</f>
        <v>0</v>
      </c>
      <c r="EI22" s="56">
        <v>17</v>
      </c>
      <c r="EJ22" s="53" t="str">
        <f t="shared" si="21"/>
        <v>Conwy Archive Service</v>
      </c>
      <c r="EK22" s="59">
        <f t="shared" si="179"/>
        <v>0</v>
      </c>
      <c r="EL22" s="59">
        <f t="shared" si="180"/>
        <v>0</v>
      </c>
      <c r="EM22" s="59">
        <f t="shared" si="181"/>
        <v>0</v>
      </c>
      <c r="EN22" s="59">
        <f t="shared" si="182"/>
        <v>0</v>
      </c>
      <c r="EO22" s="59">
        <f t="shared" si="183"/>
        <v>0</v>
      </c>
      <c r="EP22" s="58">
        <f t="shared" si="184"/>
        <v>0</v>
      </c>
      <c r="EQ22" s="45">
        <f t="shared" si="185"/>
        <v>29</v>
      </c>
      <c r="ER22" s="54">
        <f t="shared" si="22"/>
        <v>2.5789999999999997</v>
      </c>
      <c r="ES22" s="45">
        <f t="shared" si="186"/>
        <v>1</v>
      </c>
      <c r="ET22" s="45">
        <f t="shared" si="187"/>
        <v>2</v>
      </c>
      <c r="EU22" s="46" cm="1">
        <f t="array" ref="EU22">ROUND(IFERROR(INDEX(ArchiveResults!$F$5:$IX$116,ComparisonData!A22,ComparisonData!$EU$1),0),5)</f>
        <v>0</v>
      </c>
      <c r="EV22" s="46" cm="1">
        <f t="array" ref="EV22">ROUND(IFERROR(INDEX(ArchiveResults!$F$5:$IX$116,ComparisonData!A22,ComparisonData!$EV$1),0),5)</f>
        <v>0</v>
      </c>
      <c r="EW22" s="46" cm="1">
        <f t="array" ref="EW22">ROUND(IFERROR(INDEX(ArchiveResults!$F$5:$IX$116,ComparisonData!A22,ComparisonData!$EW$1),0),5)</f>
        <v>0</v>
      </c>
      <c r="EX22" s="46" cm="1">
        <f t="array" ref="EX22">ROUND(IFERROR(INDEX(ArchiveResults!$F$5:$IX$116,ComparisonData!A22,ComparisonData!$EX$1),0),5)</f>
        <v>0</v>
      </c>
      <c r="EY22" s="45" cm="1">
        <f t="array" ref="EY22">IFERROR(INDEX(ArchiveResults!$F$5:$IX$116,ComparisonData!A22,ComparisonData!$EY$1),0)</f>
        <v>0</v>
      </c>
      <c r="EZ22" s="56">
        <v>17</v>
      </c>
      <c r="FA22" s="53" t="str">
        <f t="shared" si="23"/>
        <v>Conwy Archive Service</v>
      </c>
      <c r="FB22" s="59">
        <f t="shared" si="188"/>
        <v>0</v>
      </c>
      <c r="FC22" s="59">
        <f t="shared" si="189"/>
        <v>0</v>
      </c>
      <c r="FD22" s="59">
        <f t="shared" si="190"/>
        <v>0</v>
      </c>
      <c r="FE22" s="59">
        <f t="shared" si="191"/>
        <v>0</v>
      </c>
      <c r="FF22" s="59">
        <f t="shared" si="192"/>
        <v>0</v>
      </c>
      <c r="FG22" s="58">
        <f t="shared" si="193"/>
        <v>0</v>
      </c>
      <c r="FH22" s="45">
        <f t="shared" si="194"/>
        <v>29</v>
      </c>
      <c r="FI22" s="54">
        <f t="shared" si="24"/>
        <v>2.5789999999999997</v>
      </c>
      <c r="FJ22" s="45">
        <f t="shared" si="195"/>
        <v>1</v>
      </c>
      <c r="FK22" s="45">
        <f t="shared" si="196"/>
        <v>2</v>
      </c>
      <c r="FL22" s="46" cm="1">
        <f t="array" ref="FL22">ROUND(IFERROR(INDEX(ArchiveResults!$F$5:$IX$116,ComparisonData!A22,ComparisonData!$FL$1),0),5)</f>
        <v>0</v>
      </c>
      <c r="FM22" s="46" cm="1">
        <f t="array" ref="FM22">ROUND(IFERROR(INDEX(ArchiveResults!$F$5:$IX$116,ComparisonData!A22,ComparisonData!$FM$1),0),5)</f>
        <v>0</v>
      </c>
      <c r="FN22" s="46" cm="1">
        <f t="array" ref="FN22">ROUND(IFERROR(INDEX(ArchiveResults!$F$5:$IX$116,ComparisonData!A22,ComparisonData!$FN$1),0),5)</f>
        <v>0</v>
      </c>
      <c r="FO22" s="46" cm="1">
        <f t="array" ref="FO22">ROUND(IFERROR(INDEX(ArchiveResults!$F$5:$IX$116,ComparisonData!A22,ComparisonData!$FO$1),0),5)</f>
        <v>0</v>
      </c>
      <c r="FP22" s="45" cm="1">
        <f t="array" ref="FP22">IFERROR(INDEX(ArchiveResults!$F$5:$IX$116,ComparisonData!A22,ComparisonData!$FP$1),0)</f>
        <v>0</v>
      </c>
      <c r="FQ22" s="56">
        <v>17</v>
      </c>
      <c r="FR22" s="53" t="str">
        <f t="shared" si="25"/>
        <v>Conwy Archive Service</v>
      </c>
      <c r="FS22" s="59">
        <f t="shared" si="197"/>
        <v>0</v>
      </c>
      <c r="FT22" s="59">
        <f t="shared" si="198"/>
        <v>0</v>
      </c>
      <c r="FU22" s="59">
        <f t="shared" si="199"/>
        <v>0</v>
      </c>
      <c r="FV22" s="59">
        <f t="shared" si="200"/>
        <v>0</v>
      </c>
      <c r="FW22" s="59">
        <f t="shared" si="201"/>
        <v>0</v>
      </c>
      <c r="FX22" s="58">
        <f t="shared" si="202"/>
        <v>0</v>
      </c>
      <c r="FY22" s="45">
        <f t="shared" si="203"/>
        <v>29</v>
      </c>
      <c r="FZ22" s="45">
        <f t="shared" si="26"/>
        <v>2.5789999999999997</v>
      </c>
      <c r="GA22" s="45">
        <f t="shared" si="204"/>
        <v>1</v>
      </c>
      <c r="GB22" s="45">
        <f t="shared" si="205"/>
        <v>2</v>
      </c>
      <c r="GC22" s="46" cm="1">
        <f t="array" ref="GC22">ROUND(IFERROR(INDEX(ArchiveResults!$F$5:$IX$116,ComparisonData!A22,ComparisonData!$GC$1),0),5)</f>
        <v>0</v>
      </c>
      <c r="GD22" s="46" cm="1">
        <f t="array" ref="GD22">ROUND(IFERROR(INDEX(ArchiveResults!$F$5:$IX$116,ComparisonData!A22,ComparisonData!$GD$1),0),5)</f>
        <v>0</v>
      </c>
      <c r="GE22" s="46" cm="1">
        <f t="array" ref="GE22">ROUND(IFERROR(INDEX(ArchiveResults!$F$5:$IX$116,ComparisonData!A22,ComparisonData!$GE$1),0),5)</f>
        <v>0</v>
      </c>
      <c r="GF22" s="46" cm="1">
        <f t="array" ref="GF22">ROUND(IFERROR(INDEX(ArchiveResults!$F$5:$IX$116,ComparisonData!A22,ComparisonData!$GF$1),0),5)</f>
        <v>0</v>
      </c>
      <c r="GG22" s="45" cm="1">
        <f t="array" ref="GG22">IFERROR(INDEX(ArchiveResults!$F$5:$IX$116,ComparisonData!A22,ComparisonData!$GG$1),0)</f>
        <v>0</v>
      </c>
      <c r="GH22" s="56">
        <v>17</v>
      </c>
      <c r="GI22" s="53" t="str">
        <f t="shared" si="27"/>
        <v>Conwy Archive Service</v>
      </c>
      <c r="GJ22" s="59">
        <f t="shared" si="206"/>
        <v>0</v>
      </c>
      <c r="GK22" s="59">
        <f t="shared" si="207"/>
        <v>0</v>
      </c>
      <c r="GL22" s="59">
        <f t="shared" si="208"/>
        <v>0</v>
      </c>
      <c r="GM22" s="59">
        <f t="shared" si="209"/>
        <v>0</v>
      </c>
      <c r="GN22" s="59">
        <f t="shared" si="210"/>
        <v>0</v>
      </c>
      <c r="GO22" s="58">
        <f t="shared" si="211"/>
        <v>0</v>
      </c>
      <c r="GP22" s="45">
        <f t="shared" si="212"/>
        <v>29</v>
      </c>
      <c r="GQ22" s="45">
        <f t="shared" si="28"/>
        <v>2.5789999999999997</v>
      </c>
      <c r="GR22" s="45">
        <f t="shared" si="213"/>
        <v>1</v>
      </c>
      <c r="GS22" s="45">
        <f t="shared" si="214"/>
        <v>2</v>
      </c>
      <c r="GT22" s="46" cm="1">
        <f t="array" ref="GT22">ROUND(IFERROR(INDEX(ArchiveResults!$F$5:$IX$116,ComparisonData!A22,ComparisonData!$GT$1),0),5)</f>
        <v>0</v>
      </c>
      <c r="GU22" s="46" cm="1">
        <f t="array" ref="GU22">ROUND(IFERROR(INDEX(ArchiveResults!$F$5:$IX$116,ComparisonData!A22,ComparisonData!$GU$1),0),5)</f>
        <v>0</v>
      </c>
      <c r="GV22" s="46" cm="1">
        <f t="array" ref="GV22">ROUND(IFERROR(INDEX(ArchiveResults!$F$5:$IX$116,ComparisonData!A22,ComparisonData!$GV$1),0),5)</f>
        <v>0</v>
      </c>
      <c r="GW22" s="46" cm="1">
        <f t="array" ref="GW22">ROUND(IFERROR(INDEX(ArchiveResults!$F$5:$IX$116,ComparisonData!A22,ComparisonData!$GW$1),0),5)</f>
        <v>0</v>
      </c>
      <c r="GX22" s="45" cm="1">
        <f t="array" ref="GX22">IFERROR(INDEX(ArchiveResults!$F$5:$IX$116,ComparisonData!A22,ComparisonData!$GX$1),0)</f>
        <v>0</v>
      </c>
      <c r="GY22" s="56">
        <v>17</v>
      </c>
      <c r="GZ22" s="53" t="str">
        <f t="shared" si="29"/>
        <v>Conwy Archive Service</v>
      </c>
      <c r="HA22" s="59">
        <f t="shared" si="215"/>
        <v>0</v>
      </c>
      <c r="HB22" s="59">
        <f t="shared" si="216"/>
        <v>0</v>
      </c>
      <c r="HC22" s="59">
        <f t="shared" si="217"/>
        <v>0</v>
      </c>
      <c r="HD22" s="59">
        <f t="shared" si="218"/>
        <v>0</v>
      </c>
      <c r="HE22" s="59">
        <f t="shared" si="219"/>
        <v>0</v>
      </c>
      <c r="HF22" s="58">
        <f t="shared" si="220"/>
        <v>0</v>
      </c>
      <c r="HG22" s="45">
        <f t="shared" si="221"/>
        <v>29</v>
      </c>
      <c r="HH22" s="45">
        <f t="shared" si="30"/>
        <v>2.5789999999999997</v>
      </c>
      <c r="HI22" s="45">
        <f t="shared" si="222"/>
        <v>1</v>
      </c>
      <c r="HJ22" s="45">
        <f t="shared" si="223"/>
        <v>2</v>
      </c>
      <c r="HK22" s="46" cm="1">
        <f t="array" ref="HK22">ROUND(IFERROR(INDEX(ArchiveResults!$F$5:$IX$116,ComparisonData!A22,ComparisonData!$HK$1),0),5)</f>
        <v>0</v>
      </c>
      <c r="HL22" s="46" cm="1">
        <f t="array" ref="HL22">ROUND(IFERROR(INDEX(ArchiveResults!$F$5:$IX$116,ComparisonData!A22,ComparisonData!$HL$1),0),5)</f>
        <v>0</v>
      </c>
      <c r="HM22" s="46" cm="1">
        <f t="array" ref="HM22">ROUND(IFERROR(INDEX(ArchiveResults!$F$5:$IX$116,ComparisonData!A22,ComparisonData!$HM$1),0),5)</f>
        <v>0</v>
      </c>
      <c r="HN22" s="46" cm="1">
        <f t="array" ref="HN22">ROUND(IFERROR(INDEX(ArchiveResults!$F$5:$IX$116,ComparisonData!A22,ComparisonData!$HN$1),0),5)</f>
        <v>0</v>
      </c>
      <c r="HO22" s="45" cm="1">
        <f t="array" ref="HO22">IFERROR(INDEX(ArchiveResults!$F$5:$IX$116,ComparisonData!A22,ComparisonData!$HO$1),0)</f>
        <v>0</v>
      </c>
      <c r="HP22" s="56">
        <v>17</v>
      </c>
      <c r="HQ22" s="53" t="str">
        <f t="shared" si="31"/>
        <v>Conwy Archive Service</v>
      </c>
      <c r="HR22" s="59">
        <f t="shared" si="32"/>
        <v>0</v>
      </c>
      <c r="HS22" s="59">
        <f t="shared" si="33"/>
        <v>0</v>
      </c>
      <c r="HT22" s="59">
        <f t="shared" si="34"/>
        <v>0</v>
      </c>
      <c r="HU22" s="59">
        <f t="shared" si="35"/>
        <v>0</v>
      </c>
      <c r="HV22" s="59">
        <f t="shared" si="36"/>
        <v>0</v>
      </c>
      <c r="HW22" s="58">
        <f t="shared" si="224"/>
        <v>0</v>
      </c>
      <c r="HX22" s="45">
        <f t="shared" si="225"/>
        <v>29</v>
      </c>
      <c r="HY22" s="45">
        <f t="shared" si="37"/>
        <v>2.5789999999999997</v>
      </c>
      <c r="HZ22" s="45">
        <f t="shared" si="226"/>
        <v>1</v>
      </c>
      <c r="IA22" s="45">
        <f t="shared" si="227"/>
        <v>2</v>
      </c>
      <c r="IB22" s="45">
        <f t="shared" si="228"/>
        <v>0</v>
      </c>
      <c r="IC22" s="46" cm="1">
        <f t="array" ref="IC22">ROUND(IFERROR(INDEX(ArchiveResults!$F$5:$IX$116,ComparisonData!A22,ComparisonData!$IC$1),0),5)</f>
        <v>0</v>
      </c>
      <c r="ID22" s="46" cm="1">
        <f t="array" ref="ID22">ROUND(IFERROR(INDEX(ArchiveResults!$F$5:$IX$116,ComparisonData!A22,ComparisonData!$ID$1),0),5)</f>
        <v>0</v>
      </c>
      <c r="IE22" s="46" cm="1">
        <f t="array" ref="IE22">ROUND(IFERROR(INDEX(ArchiveResults!$F$5:$IX$116,ComparisonData!A22,ComparisonData!$IE$1),0),5)</f>
        <v>0</v>
      </c>
      <c r="IF22" s="46" cm="1">
        <f t="array" ref="IF22">ROUND(IFERROR(INDEX(ArchiveResults!$F$5:$IX$116,ComparisonData!A22,ComparisonData!$IF$1),0),5)</f>
        <v>0</v>
      </c>
      <c r="IG22" s="45" cm="1">
        <f t="array" ref="IG22">IFERROR(INDEX(ArchiveResults!$F$5:$IX$116,ComparisonData!A22,ComparisonData!$IG$1),0)</f>
        <v>0</v>
      </c>
      <c r="IH22" s="56">
        <v>17</v>
      </c>
      <c r="II22" s="53" t="str">
        <f t="shared" si="38"/>
        <v>Conwy Archive Service</v>
      </c>
      <c r="IJ22" s="59">
        <f t="shared" si="229"/>
        <v>0</v>
      </c>
      <c r="IK22" s="59">
        <f t="shared" si="230"/>
        <v>0</v>
      </c>
      <c r="IL22" s="59">
        <f t="shared" si="231"/>
        <v>0</v>
      </c>
      <c r="IM22" s="59">
        <f t="shared" si="232"/>
        <v>0</v>
      </c>
      <c r="IN22" s="59">
        <f t="shared" si="233"/>
        <v>0</v>
      </c>
      <c r="IO22" s="58">
        <f t="shared" si="234"/>
        <v>0</v>
      </c>
      <c r="IP22" s="45">
        <f t="shared" si="235"/>
        <v>29</v>
      </c>
      <c r="IQ22" s="45">
        <f t="shared" si="39"/>
        <v>2.5789999999999997</v>
      </c>
      <c r="IR22" s="45">
        <f t="shared" si="236"/>
        <v>1</v>
      </c>
      <c r="IS22" s="45">
        <f t="shared" si="237"/>
        <v>2</v>
      </c>
      <c r="IT22" s="46">
        <f t="shared" si="238"/>
        <v>0</v>
      </c>
      <c r="IU22" s="46" cm="1">
        <f t="array" ref="IU22">ROUND(IFERROR(INDEX(ArchiveResults!$F$5:$IX$116,ComparisonData!A22,ComparisonData!$IU$1),0),5)</f>
        <v>0</v>
      </c>
      <c r="IV22" s="46" cm="1">
        <f t="array" ref="IV22">ROUND(IFERROR(INDEX(ArchiveResults!$F$5:$IX$116,ComparisonData!A22,ComparisonData!$IV$1),0),5)</f>
        <v>0</v>
      </c>
      <c r="IW22" s="46" cm="1">
        <f t="array" ref="IW22">ROUND(IFERROR(INDEX(ArchiveResults!$F$5:$IX$116,ComparisonData!A22,ComparisonData!$IW$1),0),5)</f>
        <v>0</v>
      </c>
      <c r="IX22" s="46" cm="1">
        <f t="array" ref="IX22">ROUND(IFERROR(INDEX(ArchiveResults!$F$5:$IX$116,ComparisonData!A22,ComparisonData!$IX$1),0),5)</f>
        <v>0</v>
      </c>
      <c r="IY22" s="45" cm="1">
        <f t="array" ref="IY22">IFERROR(INDEX(ArchiveResults!$F$5:$IX$116,ComparisonData!A22,ComparisonData!$IY$1),0)</f>
        <v>0</v>
      </c>
      <c r="IZ22" s="56">
        <v>17</v>
      </c>
      <c r="JA22" s="53" t="str">
        <f t="shared" si="40"/>
        <v>Conwy Archive Service</v>
      </c>
      <c r="JB22" s="59">
        <f t="shared" si="239"/>
        <v>0</v>
      </c>
      <c r="JC22" s="59">
        <f t="shared" si="240"/>
        <v>0</v>
      </c>
      <c r="JD22" s="59">
        <f t="shared" si="241"/>
        <v>0</v>
      </c>
      <c r="JE22" s="59">
        <f t="shared" si="242"/>
        <v>0</v>
      </c>
      <c r="JF22" s="59">
        <f t="shared" si="243"/>
        <v>0</v>
      </c>
      <c r="JG22" s="58">
        <f t="shared" si="244"/>
        <v>0</v>
      </c>
      <c r="JH22" s="45">
        <f t="shared" si="245"/>
        <v>29</v>
      </c>
      <c r="JI22" s="45">
        <f t="shared" si="41"/>
        <v>2.5789999999999997</v>
      </c>
      <c r="JJ22" s="45">
        <f t="shared" si="246"/>
        <v>1</v>
      </c>
      <c r="JK22" s="45">
        <f t="shared" si="247"/>
        <v>2</v>
      </c>
      <c r="JL22" s="45">
        <f t="shared" si="248"/>
        <v>0</v>
      </c>
      <c r="JM22" s="46" cm="1">
        <f t="array" ref="JM22">ROUND(IFERROR(INDEX(ArchiveResults!$F$5:$IX$116,ComparisonData!A22,ComparisonData!$JM$1),0),5)</f>
        <v>0</v>
      </c>
      <c r="JN22" s="46" cm="1">
        <f t="array" ref="JN22">ROUND(IFERROR(INDEX(ArchiveResults!$F$5:$IX$116,ComparisonData!A22,ComparisonData!$JN$1),0),5)</f>
        <v>0</v>
      </c>
      <c r="JO22" s="46" cm="1">
        <f t="array" ref="JO22">ROUND(IFERROR(INDEX(ArchiveResults!$F$5:$IX$116,ComparisonData!A22,ComparisonData!$JO$1),0),5)</f>
        <v>0</v>
      </c>
      <c r="JP22" s="46" cm="1">
        <f t="array" ref="JP22">ROUND(IFERROR(INDEX(ArchiveResults!$F$5:$IX$116,ComparisonData!A22,ComparisonData!$JP$1),0),5)</f>
        <v>0</v>
      </c>
      <c r="JQ22" s="45" cm="1">
        <f t="array" ref="JQ22">IFERROR(INDEX(ArchiveResults!$F$5:$IX$116,ComparisonData!A22,ComparisonData!$JQ$1),0)</f>
        <v>0</v>
      </c>
      <c r="JR22" s="56">
        <v>17</v>
      </c>
      <c r="JS22" s="53" t="str">
        <f t="shared" si="42"/>
        <v>Conwy Archive Service</v>
      </c>
      <c r="JT22" s="59">
        <f t="shared" si="249"/>
        <v>0</v>
      </c>
      <c r="JU22" s="59">
        <f t="shared" si="250"/>
        <v>0</v>
      </c>
      <c r="JV22" s="59">
        <f t="shared" si="251"/>
        <v>0</v>
      </c>
      <c r="JW22" s="59">
        <f t="shared" si="252"/>
        <v>0</v>
      </c>
      <c r="JX22" s="59">
        <f t="shared" si="253"/>
        <v>0</v>
      </c>
      <c r="JY22" s="58">
        <f t="shared" si="254"/>
        <v>0</v>
      </c>
      <c r="JZ22" s="45">
        <f t="shared" si="255"/>
        <v>29</v>
      </c>
      <c r="KA22" s="45">
        <f t="shared" si="43"/>
        <v>2.5789999999999997</v>
      </c>
      <c r="KB22" s="45">
        <f t="shared" si="256"/>
        <v>1</v>
      </c>
      <c r="KC22" s="45">
        <f t="shared" si="257"/>
        <v>2</v>
      </c>
      <c r="KD22" s="45">
        <f t="shared" si="258"/>
        <v>0</v>
      </c>
      <c r="KE22" s="46" cm="1">
        <f t="array" ref="KE22">ROUND(IFERROR(INDEX(ArchiveResults!$F$5:$IX$116,ComparisonData!A22,ComparisonData!$KE$1),0),5)</f>
        <v>0</v>
      </c>
      <c r="KF22" s="46" cm="1">
        <f t="array" ref="KF22">ROUND(IFERROR(INDEX(ArchiveResults!$F$5:$IX$116,ComparisonData!A22,ComparisonData!$KF$1),0),5)</f>
        <v>0</v>
      </c>
      <c r="KG22" s="46" cm="1">
        <f t="array" ref="KG22">ROUND(IFERROR(INDEX(ArchiveResults!$F$5:$IX$116,ComparisonData!A22,ComparisonData!$KG$1),0),5)</f>
        <v>0</v>
      </c>
      <c r="KH22" s="46" cm="1">
        <f t="array" ref="KH22">ROUND(IFERROR(INDEX(ArchiveResults!$F$5:$IX$116,ComparisonData!A22,ComparisonData!$KH$1),0),5)</f>
        <v>0</v>
      </c>
      <c r="KI22" s="45" cm="1">
        <f t="array" ref="KI22">IFERROR(INDEX(ArchiveResults!$F$5:$IX$116,ComparisonData!A22,ComparisonData!$KI$1),0)</f>
        <v>0</v>
      </c>
      <c r="KJ22" s="56">
        <v>17</v>
      </c>
      <c r="KK22" s="53" t="str">
        <f t="shared" si="44"/>
        <v>Conwy Archive Service</v>
      </c>
      <c r="KL22" s="59">
        <f t="shared" si="259"/>
        <v>0</v>
      </c>
      <c r="KM22" s="59">
        <f t="shared" si="260"/>
        <v>0</v>
      </c>
      <c r="KN22" s="59">
        <f t="shared" si="261"/>
        <v>0</v>
      </c>
      <c r="KO22" s="59">
        <f t="shared" si="262"/>
        <v>0</v>
      </c>
      <c r="KP22" s="59">
        <f t="shared" si="263"/>
        <v>0</v>
      </c>
      <c r="KQ22" s="58">
        <f t="shared" si="264"/>
        <v>0</v>
      </c>
      <c r="KR22" s="45">
        <f t="shared" si="265"/>
        <v>29</v>
      </c>
      <c r="KS22" s="45">
        <f t="shared" si="45"/>
        <v>2.5789999999999997</v>
      </c>
      <c r="KT22" s="45">
        <f t="shared" si="266"/>
        <v>1</v>
      </c>
      <c r="KU22" s="45">
        <f t="shared" si="267"/>
        <v>2</v>
      </c>
      <c r="KV22" s="45">
        <f t="shared" si="268"/>
        <v>0</v>
      </c>
      <c r="KW22" s="46" cm="1">
        <f t="array" ref="KW22">ROUND(IFERROR(INDEX(ArchiveResults!$F$5:$IX$116,ComparisonData!A22,ComparisonData!$KW$1),0),5)</f>
        <v>0</v>
      </c>
      <c r="KX22" s="46" cm="1">
        <f t="array" ref="KX22">ROUND(IFERROR(INDEX(ArchiveResults!$F$5:$IX$116,ComparisonData!A22,ComparisonData!$KX$1),0),5)</f>
        <v>0</v>
      </c>
      <c r="KY22" s="46" cm="1">
        <f t="array" ref="KY22">ROUND(IFERROR(INDEX(ArchiveResults!$F$5:$IX$116,ComparisonData!A22,ComparisonData!$KY$1),0),5)</f>
        <v>0</v>
      </c>
      <c r="KZ22" s="46" cm="1">
        <f t="array" ref="KZ22">ROUND(IFERROR(INDEX(ArchiveResults!$F$5:$IX$116,ComparisonData!A22,ComparisonData!$KZ$1),0),5)</f>
        <v>0</v>
      </c>
      <c r="LA22" s="45" cm="1">
        <f t="array" ref="LA22">IFERROR(INDEX(ArchiveResults!$F$5:$IX$116,ComparisonData!A22,ComparisonData!$LA$1),0)</f>
        <v>0</v>
      </c>
      <c r="LB22" s="56">
        <v>17</v>
      </c>
      <c r="LC22" s="53" t="str">
        <f t="shared" si="46"/>
        <v>Conwy Archive Service</v>
      </c>
      <c r="LD22" s="59">
        <f t="shared" si="269"/>
        <v>0</v>
      </c>
      <c r="LE22" s="59">
        <f t="shared" si="270"/>
        <v>0</v>
      </c>
      <c r="LF22" s="59">
        <f t="shared" si="271"/>
        <v>0</v>
      </c>
      <c r="LG22" s="59">
        <f t="shared" si="272"/>
        <v>0</v>
      </c>
      <c r="LH22" s="59">
        <f t="shared" si="273"/>
        <v>0</v>
      </c>
      <c r="LI22" s="58">
        <f t="shared" si="274"/>
        <v>0</v>
      </c>
      <c r="LJ22" s="45">
        <f t="shared" si="275"/>
        <v>29</v>
      </c>
      <c r="LK22" s="45">
        <f t="shared" si="47"/>
        <v>2.5789999999999997</v>
      </c>
      <c r="LL22" s="45">
        <f t="shared" si="276"/>
        <v>1</v>
      </c>
      <c r="LM22" s="45">
        <f t="shared" si="277"/>
        <v>2</v>
      </c>
      <c r="LN22" s="45">
        <f t="shared" si="278"/>
        <v>0</v>
      </c>
      <c r="LO22" s="46" cm="1">
        <f t="array" ref="LO22">ROUND(IFERROR(INDEX(ArchiveResults!$F$5:$IX$116,ComparisonData!A22,ComparisonData!$LO$1),0),5)</f>
        <v>0</v>
      </c>
      <c r="LP22" s="46" cm="1">
        <f t="array" ref="LP22">ROUND(IFERROR(INDEX(ArchiveResults!$F$5:$IX$116,ComparisonData!A22,ComparisonData!$LP$1),0),5)</f>
        <v>0</v>
      </c>
      <c r="LQ22" s="46" cm="1">
        <f t="array" ref="LQ22">ROUND(IFERROR(INDEX(ArchiveResults!$F$5:$IX$116,ComparisonData!A22,ComparisonData!$LQ$1),0),5)</f>
        <v>0</v>
      </c>
      <c r="LR22" s="46" cm="1">
        <f t="array" ref="LR22">ROUND(IFERROR(INDEX(ArchiveResults!$F$5:$IX$116,ComparisonData!A22,ComparisonData!$LR$1),0),5)</f>
        <v>0</v>
      </c>
      <c r="LS22" s="45" cm="1">
        <f t="array" ref="LS22">IFERROR(INDEX(ArchiveResults!$F$5:$IX$116,ComparisonData!A22,ComparisonData!$LS$1),0)</f>
        <v>0</v>
      </c>
      <c r="LT22" s="56">
        <v>17</v>
      </c>
      <c r="LU22" s="53" t="str">
        <f t="shared" si="48"/>
        <v>Conwy Archive Service</v>
      </c>
      <c r="LV22" s="59">
        <f t="shared" si="279"/>
        <v>0</v>
      </c>
      <c r="LW22" s="59">
        <f t="shared" si="280"/>
        <v>0</v>
      </c>
      <c r="LX22" s="59">
        <f t="shared" si="281"/>
        <v>0</v>
      </c>
      <c r="LY22" s="59">
        <f t="shared" si="282"/>
        <v>0</v>
      </c>
      <c r="LZ22" s="59">
        <f t="shared" si="283"/>
        <v>0</v>
      </c>
      <c r="MA22" s="58">
        <f t="shared" si="284"/>
        <v>0</v>
      </c>
      <c r="MB22" s="45">
        <f t="shared" si="285"/>
        <v>29</v>
      </c>
      <c r="MC22" s="45">
        <f t="shared" si="49"/>
        <v>2.5789999999999997</v>
      </c>
      <c r="MD22" s="45">
        <f t="shared" si="286"/>
        <v>1</v>
      </c>
      <c r="ME22" s="45">
        <f t="shared" si="287"/>
        <v>2</v>
      </c>
      <c r="MF22" s="45">
        <f t="shared" si="288"/>
        <v>0</v>
      </c>
      <c r="MG22" s="46" cm="1">
        <f t="array" ref="MG22">ROUND(IFERROR(INDEX(ArchiveResults!$F$5:$IX$116,ComparisonData!A22,ComparisonData!$MG$1),0),5)</f>
        <v>0</v>
      </c>
      <c r="MH22" s="46" cm="1">
        <f t="array" ref="MH22">ROUND(IFERROR(INDEX(ArchiveResults!$F$5:$IX$116,ComparisonData!A22,ComparisonData!$MH$1),0),5)</f>
        <v>0</v>
      </c>
      <c r="MI22" s="46" cm="1">
        <f t="array" ref="MI22">ROUND(IFERROR(INDEX(ArchiveResults!$F$5:$IX$116,ComparisonData!A22,ComparisonData!$MI$1),0),5)</f>
        <v>0</v>
      </c>
      <c r="MJ22" s="46" cm="1">
        <f t="array" ref="MJ22">ROUND(IFERROR(INDEX(ArchiveResults!$F$5:$IX$116,ComparisonData!A22,ComparisonData!$MJ$1),0),5)</f>
        <v>0</v>
      </c>
      <c r="MK22" s="45" cm="1">
        <f t="array" ref="MK22">IFERROR(INDEX(ArchiveResults!$F$5:$IX$116,ComparisonData!A22,ComparisonData!$MK$1),0)</f>
        <v>0</v>
      </c>
      <c r="ML22" s="56">
        <v>17</v>
      </c>
      <c r="MM22" s="53" t="str">
        <f t="shared" si="50"/>
        <v>Conwy Archive Service</v>
      </c>
      <c r="MN22" s="59">
        <f t="shared" si="289"/>
        <v>0</v>
      </c>
      <c r="MO22" s="59">
        <f t="shared" si="290"/>
        <v>0</v>
      </c>
      <c r="MP22" s="59">
        <f t="shared" si="291"/>
        <v>0</v>
      </c>
      <c r="MQ22" s="59">
        <f t="shared" si="292"/>
        <v>0</v>
      </c>
      <c r="MR22" s="59">
        <f t="shared" si="293"/>
        <v>0</v>
      </c>
      <c r="MS22" s="58">
        <f t="shared" si="294"/>
        <v>0</v>
      </c>
      <c r="MT22" s="45">
        <f t="shared" si="295"/>
        <v>29</v>
      </c>
      <c r="MU22" s="45">
        <f t="shared" si="51"/>
        <v>2.5789999999999997</v>
      </c>
      <c r="MV22" s="45">
        <f t="shared" si="296"/>
        <v>1</v>
      </c>
      <c r="MW22" s="45">
        <f t="shared" si="297"/>
        <v>2</v>
      </c>
      <c r="MX22" s="45">
        <f t="shared" si="298"/>
        <v>0</v>
      </c>
      <c r="MY22" s="46" cm="1">
        <f t="array" ref="MY22">ROUND(IFERROR(INDEX(ArchiveResults!$F$5:$IX$116,ComparisonData!A22,ComparisonData!$MY$1),0),5)</f>
        <v>0</v>
      </c>
      <c r="MZ22" s="46" cm="1">
        <f t="array" ref="MZ22">ROUND(IFERROR(INDEX(ArchiveResults!$F$5:$IX$116,ComparisonData!A22,ComparisonData!$MZ$1),0),5)</f>
        <v>0</v>
      </c>
      <c r="NA22" s="46" cm="1">
        <f t="array" ref="NA22">ROUND(IFERROR(INDEX(ArchiveResults!$F$5:$IX$116,ComparisonData!A22,ComparisonData!$NA$1),0),5)</f>
        <v>0</v>
      </c>
      <c r="NB22" s="46" cm="1">
        <f t="array" ref="NB22">ROUND(IFERROR(INDEX(ArchiveResults!$F$5:$IX$116,ComparisonData!A22,ComparisonData!$NB$1),0),5)</f>
        <v>0</v>
      </c>
      <c r="NC22" s="45" cm="1">
        <f t="array" ref="NC22">IFERROR(INDEX(ArchiveResults!$F$5:$IX$116,ComparisonData!A22,ComparisonData!$NC$1),0)</f>
        <v>0</v>
      </c>
      <c r="ND22" s="56">
        <v>17</v>
      </c>
      <c r="NE22" s="53" t="str">
        <f t="shared" si="52"/>
        <v>Conwy Archive Service</v>
      </c>
      <c r="NF22" s="59">
        <f t="shared" si="299"/>
        <v>0</v>
      </c>
      <c r="NG22" s="59">
        <f t="shared" si="300"/>
        <v>0</v>
      </c>
      <c r="NH22" s="59">
        <f t="shared" si="301"/>
        <v>0</v>
      </c>
      <c r="NI22" s="59">
        <f t="shared" si="302"/>
        <v>0</v>
      </c>
      <c r="NJ22" s="59">
        <f t="shared" si="303"/>
        <v>0</v>
      </c>
      <c r="NK22" s="58">
        <f t="shared" si="304"/>
        <v>0</v>
      </c>
      <c r="NL22" s="45">
        <f t="shared" si="305"/>
        <v>29</v>
      </c>
      <c r="NM22" s="45">
        <f t="shared" si="53"/>
        <v>2.5789999999999997</v>
      </c>
      <c r="NN22" s="45">
        <f t="shared" si="306"/>
        <v>1</v>
      </c>
      <c r="NO22" s="45">
        <f t="shared" si="307"/>
        <v>2</v>
      </c>
      <c r="NP22" s="46" cm="1">
        <f t="array" ref="NP22">ROUND(IFERROR(INDEX(ArchiveResults!$F$5:$IX$116,ComparisonData!A22,ComparisonData!$NP$1),0),5)</f>
        <v>0</v>
      </c>
      <c r="NQ22" s="46" cm="1">
        <f t="array" ref="NQ22">ROUND(IFERROR(INDEX(ArchiveResults!$F$5:$IX$116,ComparisonData!A22,ComparisonData!$NQ$1),0),5)</f>
        <v>0</v>
      </c>
      <c r="NR22" s="46" cm="1">
        <f t="array" ref="NR22">ROUND(IFERROR(INDEX(ArchiveResults!$F$5:$IX$116,ComparisonData!A22,ComparisonData!$NR$1),0),5)</f>
        <v>0</v>
      </c>
      <c r="NS22" s="46" cm="1">
        <f t="array" ref="NS22">ROUND(IFERROR(INDEX(ArchiveResults!$F$5:$IX$116,ComparisonData!A22,ComparisonData!$NS$1),0),5)</f>
        <v>0</v>
      </c>
      <c r="NT22" s="45" cm="1">
        <f t="array" ref="NT22">IFERROR(INDEX(ArchiveResults!$F$5:$IX$116,ComparisonData!A22,ComparisonData!$NT$1),0)</f>
        <v>0</v>
      </c>
      <c r="NU22" s="56">
        <v>17</v>
      </c>
      <c r="NV22" s="53" t="str">
        <f t="shared" si="54"/>
        <v>Conwy Archive Service</v>
      </c>
      <c r="NW22" s="59">
        <f t="shared" si="308"/>
        <v>0</v>
      </c>
      <c r="NX22" s="59">
        <f t="shared" si="309"/>
        <v>0</v>
      </c>
      <c r="NY22" s="59">
        <f t="shared" si="310"/>
        <v>0</v>
      </c>
      <c r="NZ22" s="59">
        <f t="shared" si="311"/>
        <v>0</v>
      </c>
      <c r="OA22" s="59">
        <f t="shared" si="312"/>
        <v>0</v>
      </c>
      <c r="OB22" s="58">
        <f t="shared" si="313"/>
        <v>0</v>
      </c>
      <c r="OC22" s="45">
        <f t="shared" si="314"/>
        <v>29</v>
      </c>
      <c r="OD22" s="45">
        <f t="shared" si="55"/>
        <v>2.5789999999999997</v>
      </c>
      <c r="OE22" s="45">
        <f t="shared" si="315"/>
        <v>1</v>
      </c>
      <c r="OF22" s="45">
        <f t="shared" si="316"/>
        <v>2</v>
      </c>
      <c r="OG22" s="46">
        <f t="shared" si="317"/>
        <v>0</v>
      </c>
      <c r="OH22" s="46" cm="1">
        <f t="array" ref="OH22">ROUND(IFERROR(INDEX(ArchiveResults!$F$5:$IX$116,ComparisonData!A22,ComparisonData!$OH$1),0),5)</f>
        <v>0</v>
      </c>
      <c r="OI22" s="46" cm="1">
        <f t="array" ref="OI22">ROUND(IFERROR(INDEX(ArchiveResults!$F$5:$IX$116,ComparisonData!A22,ComparisonData!$OI$1),0),5)</f>
        <v>0</v>
      </c>
      <c r="OJ22" s="46" cm="1">
        <f t="array" ref="OJ22">ROUND(IFERROR(INDEX(ArchiveResults!$F$5:$IX$116,ComparisonData!A22,ComparisonData!$OJ$1),0),5)</f>
        <v>0</v>
      </c>
      <c r="OK22" s="46" cm="1">
        <f t="array" ref="OK22">ROUND(IFERROR(INDEX(ArchiveResults!$F$5:$IX$116,ComparisonData!A22,ComparisonData!$OK$1),0),5)</f>
        <v>0</v>
      </c>
      <c r="OL22" s="45" cm="1">
        <f t="array" ref="OL22">IFERROR(INDEX(ArchiveResults!$F$5:$IX$116,ComparisonData!A22,ComparisonData!$OL$1),0)</f>
        <v>0</v>
      </c>
      <c r="OM22" s="56">
        <v>17</v>
      </c>
      <c r="ON22" s="53" t="str">
        <f t="shared" si="56"/>
        <v>Conwy Archive Service</v>
      </c>
      <c r="OO22" s="59">
        <f t="shared" si="318"/>
        <v>0</v>
      </c>
      <c r="OP22" s="59">
        <f t="shared" si="319"/>
        <v>0</v>
      </c>
      <c r="OQ22" s="59">
        <f t="shared" si="320"/>
        <v>0</v>
      </c>
      <c r="OR22" s="59">
        <f t="shared" si="321"/>
        <v>0</v>
      </c>
      <c r="OS22" s="59">
        <f t="shared" si="322"/>
        <v>0</v>
      </c>
      <c r="OT22" s="58">
        <f t="shared" si="323"/>
        <v>0</v>
      </c>
      <c r="OU22" s="45">
        <f t="shared" si="324"/>
        <v>29</v>
      </c>
      <c r="OV22" s="45">
        <f t="shared" si="57"/>
        <v>2.5789999999999997</v>
      </c>
      <c r="OW22" s="45">
        <f t="shared" si="325"/>
        <v>1</v>
      </c>
      <c r="OX22" s="45">
        <f t="shared" si="326"/>
        <v>2</v>
      </c>
      <c r="OY22" s="45">
        <f t="shared" si="327"/>
        <v>0</v>
      </c>
      <c r="OZ22" s="46" cm="1">
        <f t="array" ref="OZ22">ROUND(IFERROR(INDEX(ArchiveResults!$F$5:$IX$116,ComparisonData!A22,ComparisonData!$OZ$1),0),5)</f>
        <v>0</v>
      </c>
      <c r="PA22" s="46" cm="1">
        <f t="array" ref="PA22">ROUND(IFERROR(INDEX(ArchiveResults!$F$5:$IX$116,ComparisonData!A22,ComparisonData!$PA$1),0),5)</f>
        <v>0</v>
      </c>
      <c r="PB22" s="46" cm="1">
        <f t="array" ref="PB22">ROUND(IFERROR(INDEX(ArchiveResults!$F$5:$IX$116,ComparisonData!A22,ComparisonData!$PB$1),0),5)</f>
        <v>0</v>
      </c>
      <c r="PC22" s="46" cm="1">
        <f t="array" ref="PC22">ROUND(IFERROR(INDEX(ArchiveResults!$F$5:$IX$116,ComparisonData!A22,ComparisonData!$PC$1),0),5)</f>
        <v>0</v>
      </c>
      <c r="PD22" s="45" cm="1">
        <f t="array" ref="PD22">IFERROR(INDEX(ArchiveResults!$F$5:$IX$116,ComparisonData!A22,ComparisonData!$PD$1),0)</f>
        <v>0</v>
      </c>
      <c r="PE22" s="56">
        <v>17</v>
      </c>
      <c r="PF22" s="53" t="str">
        <f t="shared" si="58"/>
        <v>Conwy Archive Service</v>
      </c>
      <c r="PG22" s="59">
        <f t="shared" si="328"/>
        <v>0</v>
      </c>
      <c r="PH22" s="59">
        <f t="shared" si="329"/>
        <v>0</v>
      </c>
      <c r="PI22" s="59">
        <f t="shared" si="330"/>
        <v>0</v>
      </c>
      <c r="PJ22" s="59">
        <f t="shared" si="331"/>
        <v>0</v>
      </c>
      <c r="PK22" s="59">
        <f t="shared" si="332"/>
        <v>0</v>
      </c>
      <c r="PL22" s="58">
        <f t="shared" si="333"/>
        <v>0</v>
      </c>
      <c r="PM22" s="45">
        <f t="shared" si="334"/>
        <v>29</v>
      </c>
      <c r="PN22" s="45">
        <f t="shared" si="59"/>
        <v>2.5789999999999997</v>
      </c>
      <c r="PO22" s="45">
        <f t="shared" si="335"/>
        <v>1</v>
      </c>
      <c r="PP22" s="45">
        <f t="shared" si="336"/>
        <v>2</v>
      </c>
      <c r="PQ22" s="45">
        <f t="shared" si="337"/>
        <v>0</v>
      </c>
      <c r="PR22" s="46" cm="1">
        <f t="array" ref="PR22">ROUND(IFERROR(INDEX(ArchiveResults!$F$5:$IX$116,ComparisonData!A22,ComparisonData!$PR$1),0),5)</f>
        <v>0</v>
      </c>
      <c r="PS22" s="46" cm="1">
        <f t="array" ref="PS22">ROUND(IFERROR(INDEX(ArchiveResults!$F$5:$IX$116,ComparisonData!A22,ComparisonData!$PS$1),0),5)</f>
        <v>0</v>
      </c>
      <c r="PT22" s="46" cm="1">
        <f t="array" ref="PT22">ROUND(IFERROR(INDEX(ArchiveResults!$F$5:$IX$116,ComparisonData!A22,ComparisonData!$PT$1),0),5)</f>
        <v>0</v>
      </c>
      <c r="PU22" s="46" cm="1">
        <f t="array" ref="PU22">ROUND(IFERROR(INDEX(ArchiveResults!$F$5:$IX$116,ComparisonData!A22,ComparisonData!$PU$1),0),5)</f>
        <v>0</v>
      </c>
      <c r="PV22" s="45" cm="1">
        <f t="array" ref="PV22">IFERROR(INDEX(ArchiveResults!$F$5:$IX$116,ComparisonData!A22,ComparisonData!$PV$1),0)</f>
        <v>0</v>
      </c>
      <c r="PW22" s="56">
        <v>17</v>
      </c>
      <c r="PX22" s="53" t="str">
        <f t="shared" si="60"/>
        <v>Conwy Archive Service</v>
      </c>
      <c r="PY22" s="59">
        <f t="shared" si="338"/>
        <v>0</v>
      </c>
      <c r="PZ22" s="59">
        <f t="shared" si="339"/>
        <v>0</v>
      </c>
      <c r="QA22" s="59">
        <f t="shared" si="340"/>
        <v>0</v>
      </c>
      <c r="QB22" s="59">
        <f t="shared" si="341"/>
        <v>0</v>
      </c>
      <c r="QC22" s="59">
        <f t="shared" si="342"/>
        <v>0</v>
      </c>
      <c r="QD22" s="58">
        <f t="shared" si="343"/>
        <v>0</v>
      </c>
      <c r="QE22" s="45">
        <f t="shared" si="344"/>
        <v>29</v>
      </c>
      <c r="QF22" s="45">
        <f t="shared" si="61"/>
        <v>2.5789999999999997</v>
      </c>
      <c r="QG22" s="45">
        <f t="shared" si="345"/>
        <v>1</v>
      </c>
      <c r="QH22" s="45">
        <f t="shared" si="346"/>
        <v>2</v>
      </c>
      <c r="QI22" s="45">
        <f t="shared" si="347"/>
        <v>0</v>
      </c>
      <c r="QJ22" s="46" cm="1">
        <f t="array" ref="QJ22">ROUND(IFERROR(INDEX(ArchiveResults!$F$5:$IX$116,ComparisonData!A22,ComparisonData!$QJ$1),0),5)</f>
        <v>0</v>
      </c>
      <c r="QK22" s="46" cm="1">
        <f t="array" ref="QK22">ROUND(IFERROR(INDEX(ArchiveResults!$F$5:$IX$116,ComparisonData!A22,ComparisonData!$QK$1),0),5)</f>
        <v>0</v>
      </c>
      <c r="QL22" s="46" cm="1">
        <f t="array" ref="QL22">ROUND(IFERROR(INDEX(ArchiveResults!$F$5:$IX$116,ComparisonData!A22,ComparisonData!$QL$1),0),5)</f>
        <v>0</v>
      </c>
      <c r="QM22" s="46" cm="1">
        <f t="array" ref="QM22">ROUND(IFERROR(INDEX(ArchiveResults!$F$5:$IX$116,ComparisonData!A22,ComparisonData!$QM$1),0),5)</f>
        <v>0</v>
      </c>
      <c r="QN22" s="45" cm="1">
        <f t="array" ref="QN22">IFERROR(INDEX(ArchiveResults!$F$5:$IX$116,ComparisonData!A22,ComparisonData!$QN$1),0)</f>
        <v>0</v>
      </c>
      <c r="QO22" s="56">
        <v>17</v>
      </c>
      <c r="QP22" s="53" t="str">
        <f t="shared" si="62"/>
        <v>Conwy Archive Service</v>
      </c>
      <c r="QQ22" s="59">
        <f t="shared" si="348"/>
        <v>0</v>
      </c>
      <c r="QR22" s="59">
        <f t="shared" si="349"/>
        <v>0</v>
      </c>
      <c r="QS22" s="59">
        <f t="shared" si="350"/>
        <v>0</v>
      </c>
      <c r="QT22" s="59">
        <f t="shared" si="351"/>
        <v>0</v>
      </c>
      <c r="QU22" s="59">
        <f t="shared" si="352"/>
        <v>0</v>
      </c>
      <c r="QV22" s="58">
        <f t="shared" si="353"/>
        <v>0</v>
      </c>
      <c r="QW22" s="45">
        <f t="shared" si="354"/>
        <v>29</v>
      </c>
      <c r="QX22" s="45">
        <f t="shared" si="63"/>
        <v>2.5789999999999997</v>
      </c>
      <c r="QY22" s="45">
        <f t="shared" si="355"/>
        <v>1</v>
      </c>
      <c r="QZ22" s="45">
        <f t="shared" si="356"/>
        <v>2</v>
      </c>
      <c r="RA22" s="45">
        <f t="shared" si="357"/>
        <v>0</v>
      </c>
      <c r="RB22" s="46" cm="1">
        <f t="array" ref="RB22">ROUND(IFERROR(INDEX(ArchiveResults!$F$5:$IX$116,ComparisonData!A22,ComparisonData!$RB$1),0),5)</f>
        <v>0</v>
      </c>
      <c r="RC22" s="46" cm="1">
        <f t="array" ref="RC22">ROUND(IFERROR(INDEX(ArchiveResults!$F$5:$IX$116,ComparisonData!A22,ComparisonData!$RC$1),0),5)</f>
        <v>0</v>
      </c>
      <c r="RD22" s="46" cm="1">
        <f t="array" ref="RD22">ROUND(IFERROR(INDEX(ArchiveResults!$F$5:$IX$116,ComparisonData!A22,ComparisonData!$RD$1),0),5)</f>
        <v>0</v>
      </c>
      <c r="RE22" s="46" cm="1">
        <f t="array" ref="RE22">ROUND(IFERROR(INDEX(ArchiveResults!$F$5:$IX$116,ComparisonData!A22,ComparisonData!$RE$1),0),5)</f>
        <v>0</v>
      </c>
      <c r="RF22" s="45" cm="1">
        <f t="array" ref="RF22">IFERROR(INDEX(ArchiveResults!$F$5:$IX$116,ComparisonData!A22,ComparisonData!$RF$1),0)</f>
        <v>0</v>
      </c>
      <c r="RG22" s="56">
        <v>17</v>
      </c>
      <c r="RH22" s="53" t="str">
        <f t="shared" si="64"/>
        <v>Conwy Archive Service</v>
      </c>
      <c r="RI22" s="59">
        <f t="shared" si="358"/>
        <v>0</v>
      </c>
      <c r="RJ22" s="59">
        <f t="shared" si="359"/>
        <v>0</v>
      </c>
      <c r="RK22" s="59">
        <f t="shared" si="360"/>
        <v>0</v>
      </c>
      <c r="RL22" s="59">
        <f t="shared" si="361"/>
        <v>0</v>
      </c>
      <c r="RM22" s="59">
        <f t="shared" si="362"/>
        <v>0</v>
      </c>
      <c r="RN22" s="58">
        <f t="shared" si="363"/>
        <v>0</v>
      </c>
      <c r="RO22" s="45">
        <f t="shared" si="364"/>
        <v>29</v>
      </c>
      <c r="RP22" s="45">
        <f t="shared" si="65"/>
        <v>2.5789999999999997</v>
      </c>
      <c r="RQ22" s="45">
        <f t="shared" si="365"/>
        <v>1</v>
      </c>
      <c r="RR22" s="45">
        <f t="shared" si="366"/>
        <v>2</v>
      </c>
      <c r="RS22" s="45">
        <f t="shared" si="367"/>
        <v>0</v>
      </c>
      <c r="RT22" s="46" cm="1">
        <f t="array" ref="RT22">ROUND(IFERROR(INDEX(ArchiveResults!$F$5:$IX$116,ComparisonData!A22,ComparisonData!$RT$1),0),5)</f>
        <v>0</v>
      </c>
      <c r="RU22" s="46" cm="1">
        <f t="array" ref="RU22">ROUND(IFERROR(INDEX(ArchiveResults!$F$5:$IX$116,ComparisonData!A22,ComparisonData!$RU$1),0),5)</f>
        <v>0</v>
      </c>
      <c r="RV22" s="46" cm="1">
        <f t="array" ref="RV22">ROUND(IFERROR(INDEX(ArchiveResults!$F$5:$IX$116,ComparisonData!A22,ComparisonData!$RV$1),0),5)</f>
        <v>0</v>
      </c>
      <c r="RW22" s="46" cm="1">
        <f t="array" ref="RW22">ROUND(IFERROR(INDEX(ArchiveResults!$F$5:$IX$116,ComparisonData!A22,ComparisonData!$RW$1),0),5)</f>
        <v>0</v>
      </c>
      <c r="RX22" s="45" cm="1">
        <f t="array" ref="RX22">IFERROR(INDEX(ArchiveResults!$F$5:$IX$116,ComparisonData!A22,ComparisonData!$RX$1),0)</f>
        <v>0</v>
      </c>
      <c r="RY22" s="56">
        <v>17</v>
      </c>
      <c r="RZ22" s="53" t="str">
        <f t="shared" si="66"/>
        <v>Conwy Archive Service</v>
      </c>
      <c r="SA22" s="59">
        <f t="shared" si="368"/>
        <v>0</v>
      </c>
      <c r="SB22" s="59">
        <f t="shared" si="369"/>
        <v>0</v>
      </c>
      <c r="SC22" s="59">
        <f t="shared" si="370"/>
        <v>0</v>
      </c>
      <c r="SD22" s="59">
        <f t="shared" si="371"/>
        <v>0</v>
      </c>
      <c r="SE22" s="59">
        <f t="shared" si="372"/>
        <v>0</v>
      </c>
      <c r="SF22" s="58">
        <f t="shared" si="373"/>
        <v>0</v>
      </c>
      <c r="SG22" s="45">
        <f t="shared" si="374"/>
        <v>29</v>
      </c>
      <c r="SH22" s="45">
        <f t="shared" si="67"/>
        <v>2.5789999999999997</v>
      </c>
      <c r="SI22" s="45">
        <f t="shared" si="375"/>
        <v>1</v>
      </c>
      <c r="SJ22" s="45">
        <f t="shared" si="376"/>
        <v>2</v>
      </c>
      <c r="SK22" s="45">
        <f t="shared" si="377"/>
        <v>0</v>
      </c>
      <c r="SL22" s="46" cm="1">
        <f t="array" ref="SL22">ROUND(IFERROR(INDEX(ArchiveResults!$F$5:$IX$116,ComparisonData!A22,ComparisonData!$SL$1),0),5)</f>
        <v>0</v>
      </c>
      <c r="SM22" s="46" cm="1">
        <f t="array" ref="SM22">ROUND(IFERROR(INDEX(ArchiveResults!$F$5:$IX$116,ComparisonData!A22,ComparisonData!$SM$1),0),5)</f>
        <v>0</v>
      </c>
      <c r="SN22" s="46" cm="1">
        <f t="array" ref="SN22">ROUND(IFERROR(INDEX(ArchiveResults!$F$5:$IX$116,ComparisonData!A22,ComparisonData!$SN$1),0),5)</f>
        <v>0</v>
      </c>
      <c r="SO22" s="46" cm="1">
        <f t="array" ref="SO22">ROUND(IFERROR(INDEX(ArchiveResults!$F$5:$IX$116,ComparisonData!A22,ComparisonData!$SO$1),0),5)</f>
        <v>0</v>
      </c>
      <c r="SP22" s="45" cm="1">
        <f t="array" ref="SP22">IFERROR(INDEX(ArchiveResults!$F$5:$IX$116,ComparisonData!A22,ComparisonData!$SP$1),0)</f>
        <v>0</v>
      </c>
      <c r="SQ22" s="56">
        <v>17</v>
      </c>
      <c r="SR22" s="53" t="str">
        <f t="shared" si="68"/>
        <v>Conwy Archive Service</v>
      </c>
      <c r="SS22" s="59">
        <f t="shared" si="378"/>
        <v>0</v>
      </c>
      <c r="ST22" s="59">
        <f t="shared" si="379"/>
        <v>0</v>
      </c>
      <c r="SU22" s="59">
        <f t="shared" si="380"/>
        <v>0</v>
      </c>
      <c r="SV22" s="59">
        <f t="shared" si="381"/>
        <v>0</v>
      </c>
      <c r="SW22" s="59">
        <f t="shared" si="382"/>
        <v>0</v>
      </c>
      <c r="SX22" s="58">
        <f t="shared" si="383"/>
        <v>0</v>
      </c>
      <c r="SY22" s="45">
        <f t="shared" si="384"/>
        <v>29</v>
      </c>
      <c r="SZ22" s="45">
        <f t="shared" si="69"/>
        <v>2.5789999999999997</v>
      </c>
      <c r="TA22" s="45">
        <f t="shared" si="385"/>
        <v>1</v>
      </c>
      <c r="TB22" s="45">
        <f t="shared" si="386"/>
        <v>2</v>
      </c>
      <c r="TC22" s="45">
        <f t="shared" si="387"/>
        <v>0</v>
      </c>
      <c r="TD22" s="46" cm="1">
        <f t="array" ref="TD22">ROUND(IFERROR(INDEX(ArchiveResults!$F$5:$IX$116,ComparisonData!A22,ComparisonData!$TD$1),0),5)</f>
        <v>0</v>
      </c>
      <c r="TE22" s="46" cm="1">
        <f t="array" ref="TE22">ROUND(IFERROR(INDEX(ArchiveResults!$F$5:$IX$116,ComparisonData!A22,ComparisonData!$TE$1),0),5)</f>
        <v>0</v>
      </c>
      <c r="TF22" s="46" cm="1">
        <f t="array" ref="TF22">ROUND(IFERROR(INDEX(ArchiveResults!$F$5:$IX$116,ComparisonData!A22,ComparisonData!$TF$1),0),5)</f>
        <v>0</v>
      </c>
      <c r="TG22" s="46" cm="1">
        <f t="array" ref="TG22">ROUND(IFERROR(INDEX(ArchiveResults!$F$5:$IX$116,ComparisonData!A22,ComparisonData!$TG$1),0),5)</f>
        <v>0</v>
      </c>
      <c r="TH22" s="45" cm="1">
        <f t="array" ref="TH22">IFERROR(INDEX(ArchiveResults!$F$5:$IX$116,ComparisonData!A22,ComparisonData!$TH$1),0)</f>
        <v>0</v>
      </c>
      <c r="TI22" s="56">
        <v>17</v>
      </c>
      <c r="TJ22" s="53" t="str">
        <f t="shared" si="70"/>
        <v>Conwy Archive Service</v>
      </c>
      <c r="TK22" s="59">
        <f t="shared" si="388"/>
        <v>0</v>
      </c>
      <c r="TL22" s="59">
        <f t="shared" si="389"/>
        <v>0</v>
      </c>
      <c r="TM22" s="59">
        <f t="shared" si="390"/>
        <v>0</v>
      </c>
      <c r="TN22" s="59">
        <f t="shared" si="391"/>
        <v>0</v>
      </c>
      <c r="TO22" s="59">
        <f t="shared" si="392"/>
        <v>0</v>
      </c>
      <c r="TP22" s="58">
        <f t="shared" si="393"/>
        <v>0</v>
      </c>
      <c r="TQ22" s="45">
        <f t="shared" si="394"/>
        <v>29</v>
      </c>
      <c r="TR22" s="45">
        <f t="shared" si="71"/>
        <v>2.5789999999999997</v>
      </c>
      <c r="TS22" s="45">
        <f t="shared" si="395"/>
        <v>1</v>
      </c>
      <c r="TT22" s="45">
        <f t="shared" si="396"/>
        <v>2</v>
      </c>
      <c r="TU22" s="45">
        <f t="shared" si="397"/>
        <v>0</v>
      </c>
      <c r="TV22" s="46" cm="1">
        <f t="array" ref="TV22">ROUND(IFERROR(INDEX(ArchiveResults!$F$5:$IX$116,ComparisonData!A22,ComparisonData!$TV$1),0),5)</f>
        <v>0</v>
      </c>
      <c r="TW22" s="46" cm="1">
        <f t="array" ref="TW22">ROUND(IFERROR(INDEX(ArchiveResults!$F$5:$IX$116,ComparisonData!A22,ComparisonData!$TW$1),0),5)</f>
        <v>0</v>
      </c>
      <c r="TX22" s="46" cm="1">
        <f t="array" ref="TX22">ROUND(IFERROR(INDEX(ArchiveResults!$F$5:$IX$116,ComparisonData!A22,ComparisonData!$TX$1),0),5)</f>
        <v>0</v>
      </c>
      <c r="TY22" s="46" cm="1">
        <f t="array" ref="TY22">ROUND(IFERROR(INDEX(ArchiveResults!$F$5:$IX$116,ComparisonData!A22,ComparisonData!$TY$1),0),5)</f>
        <v>0</v>
      </c>
      <c r="TZ22" s="45" cm="1">
        <f t="array" ref="TZ22">IFERROR(INDEX(ArchiveResults!$F$5:$IX$116,ComparisonData!A22,ComparisonData!$TZ$1),0)</f>
        <v>0</v>
      </c>
      <c r="UA22" s="56">
        <v>17</v>
      </c>
      <c r="UB22" s="53" t="str">
        <f t="shared" si="72"/>
        <v>Conwy Archive Service</v>
      </c>
      <c r="UC22" s="60">
        <f t="shared" si="398"/>
        <v>0</v>
      </c>
      <c r="UD22" s="60">
        <f t="shared" si="399"/>
        <v>0</v>
      </c>
      <c r="UE22" s="60">
        <f t="shared" si="400"/>
        <v>0</v>
      </c>
      <c r="UF22" s="60">
        <f t="shared" si="401"/>
        <v>0</v>
      </c>
      <c r="UG22" s="60">
        <f t="shared" si="402"/>
        <v>0</v>
      </c>
      <c r="UH22" s="58">
        <f t="shared" si="403"/>
        <v>0</v>
      </c>
      <c r="UI22" s="46">
        <f t="shared" si="404"/>
        <v>29</v>
      </c>
      <c r="UJ22" s="46">
        <f t="shared" si="73"/>
        <v>2.5789999999999997</v>
      </c>
      <c r="UK22" s="46">
        <f t="shared" si="405"/>
        <v>1</v>
      </c>
      <c r="UL22" s="46">
        <f t="shared" si="406"/>
        <v>2</v>
      </c>
      <c r="UM22" s="46" cm="1">
        <f t="array" ref="UM22">ROUND(IFERROR(INDEX(ArchiveResults!$F$5:$IX$116,ComparisonData!A22,ComparisonData!$UM$1),0),5)</f>
        <v>0</v>
      </c>
      <c r="UN22" s="56">
        <v>17</v>
      </c>
      <c r="UO22" s="53" t="str">
        <f t="shared" si="74"/>
        <v>Conwy Archive Service</v>
      </c>
      <c r="UP22" s="46">
        <f t="shared" si="407"/>
        <v>0</v>
      </c>
      <c r="UQ22" s="76">
        <f t="shared" si="408"/>
        <v>0</v>
      </c>
      <c r="UR22" s="46">
        <f t="shared" si="409"/>
        <v>29</v>
      </c>
      <c r="US22" s="46">
        <f t="shared" si="75"/>
        <v>2.5789999999999997</v>
      </c>
      <c r="UT22" s="46">
        <f t="shared" si="410"/>
        <v>1</v>
      </c>
      <c r="UU22" s="46">
        <f t="shared" si="411"/>
        <v>2</v>
      </c>
      <c r="UV22" s="46">
        <f t="shared" si="412"/>
        <v>0</v>
      </c>
      <c r="UW22" s="46" cm="1">
        <f t="array" ref="UW22">ROUND(IFERROR(INDEX(ArchiveResults!$F$5:$IX$116,ComparisonData!A22,ComparisonData!$UW$1),0),5)</f>
        <v>0</v>
      </c>
      <c r="UX22" s="46" cm="1">
        <f t="array" ref="UX22">ROUND(IFERROR(INDEX(ArchiveResults!$F$5:$IX$116,ComparisonData!A22,ComparisonData!$UX$1),0),5)</f>
        <v>0</v>
      </c>
      <c r="UY22" s="46" cm="1">
        <f t="array" ref="UY22">ROUND(IFERROR(INDEX(ArchiveResults!$F$5:$IX$116,ComparisonData!A22,ComparisonData!$UY$1),0),5)</f>
        <v>0</v>
      </c>
      <c r="UZ22" s="46" cm="1">
        <f t="array" ref="UZ22">ROUND(IFERROR(INDEX(ArchiveResults!$F$5:$IX$116,ComparisonData!A22,ComparisonData!$UZ$1),0),5)</f>
        <v>0</v>
      </c>
      <c r="VA22" s="46" cm="1">
        <f t="array" ref="VA22">ROUND(IFERROR(INDEX(ArchiveResults!$F$5:$IX$116,ComparisonData!A22,ComparisonData!$VA$1),0),5)</f>
        <v>0</v>
      </c>
      <c r="VB22" s="56">
        <v>17</v>
      </c>
      <c r="VC22" s="53" t="str">
        <f t="shared" si="76"/>
        <v>Conwy Archive Service</v>
      </c>
      <c r="VD22" s="60">
        <f t="shared" si="413"/>
        <v>0</v>
      </c>
      <c r="VE22" s="60">
        <f t="shared" si="414"/>
        <v>0</v>
      </c>
      <c r="VF22" s="60">
        <f t="shared" si="415"/>
        <v>0</v>
      </c>
      <c r="VG22" s="60">
        <f t="shared" si="416"/>
        <v>0</v>
      </c>
      <c r="VH22" s="60">
        <f t="shared" si="417"/>
        <v>0</v>
      </c>
      <c r="VI22" s="76">
        <f t="shared" si="418"/>
        <v>0</v>
      </c>
      <c r="VJ22" s="46">
        <f t="shared" si="419"/>
        <v>29</v>
      </c>
      <c r="VK22" s="46">
        <f t="shared" si="77"/>
        <v>2.5789999999999997</v>
      </c>
      <c r="VL22" s="46">
        <f t="shared" si="420"/>
        <v>1</v>
      </c>
      <c r="VM22" s="46">
        <f t="shared" si="421"/>
        <v>2</v>
      </c>
      <c r="VN22" s="46" cm="1">
        <f t="array" ref="VN22">ROUND(IFERROR(INDEX(ArchiveResults!$F$5:$IX$116,ComparisonData!A22,ComparisonData!$VN$1),0),5)</f>
        <v>0</v>
      </c>
      <c r="VO22" s="46" cm="1">
        <f t="array" ref="VO22">ROUND(IFERROR(INDEX(ArchiveResults!$F$5:$IX$116,ComparisonData!A22,ComparisonData!$VO$1),0),5)</f>
        <v>0</v>
      </c>
      <c r="VP22" s="46" cm="1">
        <f t="array" ref="VP22">ROUND(IFERROR(INDEX(ArchiveResults!$F$5:$IX$116,ComparisonData!A22,ComparisonData!$VP$1),0),5)</f>
        <v>0</v>
      </c>
      <c r="VQ22" s="46" cm="1">
        <f t="array" ref="VQ22">ROUND(IFERROR(INDEX(ArchiveResults!$F$5:$IX$116,ComparisonData!A22,ComparisonData!$VQ$1),0),5)</f>
        <v>0</v>
      </c>
      <c r="VR22" s="56">
        <v>17</v>
      </c>
      <c r="VS22" s="53" t="str">
        <f t="shared" si="78"/>
        <v>Conwy Archive Service</v>
      </c>
      <c r="VT22" s="60">
        <f t="shared" si="422"/>
        <v>0</v>
      </c>
      <c r="VU22" s="60">
        <f t="shared" si="423"/>
        <v>0</v>
      </c>
      <c r="VV22" s="60">
        <f t="shared" si="424"/>
        <v>0</v>
      </c>
      <c r="VW22" s="60">
        <f t="shared" si="425"/>
        <v>0</v>
      </c>
      <c r="VX22" s="76">
        <f t="shared" si="426"/>
        <v>0</v>
      </c>
      <c r="VY22" s="46">
        <f t="shared" si="427"/>
        <v>29</v>
      </c>
      <c r="VZ22" s="46">
        <f t="shared" si="79"/>
        <v>2.5789999999999997</v>
      </c>
      <c r="WA22" s="46">
        <f t="shared" si="428"/>
        <v>1</v>
      </c>
      <c r="WB22" s="46">
        <f t="shared" si="429"/>
        <v>2</v>
      </c>
      <c r="WC22" s="46" cm="1">
        <f t="array" ref="WC22">ROUND(IFERROR(INDEX(ArchiveResults!$F$5:$IX$116,ComparisonData!A22,ComparisonData!$WC$1),0),5)</f>
        <v>0</v>
      </c>
      <c r="WD22" s="56">
        <v>17</v>
      </c>
      <c r="WE22" s="53" t="str">
        <f t="shared" si="80"/>
        <v>Conwy Archive Service</v>
      </c>
      <c r="WF22" s="46">
        <f t="shared" si="430"/>
        <v>0</v>
      </c>
      <c r="WG22" s="76">
        <f t="shared" si="431"/>
        <v>0</v>
      </c>
      <c r="WH22" s="46">
        <f t="shared" si="432"/>
        <v>29</v>
      </c>
      <c r="WI22" s="46">
        <f t="shared" si="81"/>
        <v>2.5789999999999997</v>
      </c>
      <c r="WJ22" s="46">
        <f t="shared" si="433"/>
        <v>1</v>
      </c>
      <c r="WK22" s="46">
        <f t="shared" si="434"/>
        <v>2</v>
      </c>
      <c r="WL22" s="46" cm="1">
        <f t="array" ref="WL22">ROUND(IFERROR(INDEX(ArchiveResults!$F$5:$IX$116,ComparisonData!A22,ComparisonData!$WL$1),0),5)</f>
        <v>0</v>
      </c>
      <c r="WM22" s="46" cm="1">
        <f t="array" ref="WM22">IFERROR(INDEX(ArchiveResults!$F$5:$IX$116,ComparisonData!A22,ComparisonData!$WM$1),0)</f>
        <v>0</v>
      </c>
      <c r="WN22" s="56">
        <v>17</v>
      </c>
      <c r="WO22" s="53" t="str">
        <f t="shared" si="82"/>
        <v>Conwy Archive Service</v>
      </c>
      <c r="WP22" s="60">
        <f t="shared" si="435"/>
        <v>0</v>
      </c>
      <c r="WQ22" s="60">
        <f t="shared" si="436"/>
        <v>0</v>
      </c>
      <c r="WR22" s="76">
        <f t="shared" si="437"/>
        <v>0</v>
      </c>
      <c r="WS22" s="46">
        <f t="shared" si="438"/>
        <v>29</v>
      </c>
      <c r="WT22" s="46">
        <f t="shared" si="83"/>
        <v>2.5789999999999997</v>
      </c>
      <c r="WU22" s="46">
        <f t="shared" si="439"/>
        <v>1</v>
      </c>
      <c r="WV22" s="46">
        <f t="shared" si="440"/>
        <v>2</v>
      </c>
      <c r="WW22" s="46" cm="1">
        <f t="array" ref="WW22">ROUND(VALUE(IFERROR(INDEX(ArchiveResults!$F$5:$IX$116,ComparisonData!A22,ComparisonData!$WW$1),0)),5)</f>
        <v>0</v>
      </c>
      <c r="WX22" s="46" cm="1">
        <f t="array" ref="WX22">ROUND(IFERROR(INDEX(ArchiveResults!$F$5:$IX$116,ComparisonData!A22,ComparisonData!$WX$1),0),5)</f>
        <v>0</v>
      </c>
      <c r="WY22" s="56">
        <v>17</v>
      </c>
      <c r="WZ22" s="53" t="str">
        <f t="shared" si="84"/>
        <v>Conwy Archive Service</v>
      </c>
      <c r="XA22" s="60">
        <f t="shared" si="85"/>
        <v>0</v>
      </c>
      <c r="XB22" s="60">
        <f t="shared" si="86"/>
        <v>0</v>
      </c>
      <c r="XC22" s="76">
        <f t="shared" si="441"/>
        <v>0</v>
      </c>
      <c r="XD22" s="46">
        <f t="shared" si="442"/>
        <v>29</v>
      </c>
      <c r="XE22" s="46">
        <f t="shared" si="87"/>
        <v>2.5789999999999997</v>
      </c>
      <c r="XF22" s="46">
        <f t="shared" si="443"/>
        <v>1</v>
      </c>
      <c r="XG22" s="46">
        <f t="shared" si="444"/>
        <v>2</v>
      </c>
      <c r="XH22" s="46" cm="1">
        <f t="array" ref="XH22">ROUND(VALUE(IFERROR(INDEX(ArchiveResults!$F$5:$IX$116,ComparisonData!A22,ComparisonData!$XH$1),0)),5)</f>
        <v>0</v>
      </c>
      <c r="XI22" s="46" cm="1">
        <f t="array" ref="XI22">ROUND(VALUE(IFERROR(INDEX(ArchiveResults!$F$5:$IX$116,ComparisonData!A22,ComparisonData!$XI$1),0)),5)</f>
        <v>0</v>
      </c>
      <c r="XJ22" s="56">
        <v>17</v>
      </c>
      <c r="XK22" s="53" t="str">
        <f t="shared" si="88"/>
        <v>Conwy Archive Service</v>
      </c>
      <c r="XL22" s="60">
        <f t="shared" si="445"/>
        <v>0</v>
      </c>
      <c r="XM22" s="60">
        <f t="shared" si="446"/>
        <v>0</v>
      </c>
      <c r="XN22" s="76">
        <f t="shared" si="447"/>
        <v>0</v>
      </c>
      <c r="XO22" s="46">
        <f t="shared" si="448"/>
        <v>29</v>
      </c>
      <c r="XP22" s="46">
        <f t="shared" si="89"/>
        <v>2.5789999999999997</v>
      </c>
      <c r="XQ22" s="46">
        <f t="shared" si="449"/>
        <v>1</v>
      </c>
      <c r="XR22" s="46">
        <f t="shared" si="450"/>
        <v>2</v>
      </c>
      <c r="XS22" s="46" cm="1">
        <f t="array" ref="XS22">ROUND(VALUE(IFERROR(INDEX(ArchiveResults!$F$5:$IX$116,ComparisonData!A22,ComparisonData!$XS$1),0)),5)</f>
        <v>0</v>
      </c>
      <c r="XT22" s="46" cm="1">
        <f t="array" ref="XT22">ROUND(VALUE(IFERROR(INDEX(ArchiveResults!$F$5:$IX$116,ComparisonData!A22,ComparisonData!$XT$1),0)),5)</f>
        <v>0</v>
      </c>
      <c r="XU22" s="56">
        <v>17</v>
      </c>
      <c r="XV22" s="53" t="str">
        <f t="shared" si="90"/>
        <v>Conwy Archive Service</v>
      </c>
      <c r="XW22" s="60">
        <f t="shared" si="451"/>
        <v>0</v>
      </c>
      <c r="XX22" s="60">
        <f t="shared" si="452"/>
        <v>0</v>
      </c>
      <c r="XY22" s="76">
        <f t="shared" si="453"/>
        <v>0</v>
      </c>
      <c r="XZ22" s="46">
        <f t="shared" si="454"/>
        <v>29</v>
      </c>
      <c r="YA22" s="46">
        <f t="shared" si="91"/>
        <v>2.5789999999999997</v>
      </c>
      <c r="YB22" s="46">
        <f t="shared" si="455"/>
        <v>1</v>
      </c>
      <c r="YC22" s="46">
        <f t="shared" si="456"/>
        <v>2</v>
      </c>
      <c r="YD22" s="46" cm="1">
        <f t="array" ref="YD22">ROUND(VALUE(IFERROR(INDEX(ArchiveResults!$F$5:$IX$116,ComparisonData!A22,ComparisonData!$YD$1),0)),5)</f>
        <v>0</v>
      </c>
      <c r="YE22" s="46" cm="1">
        <f t="array" ref="YE22">ROUND(VALUE(IFERROR(INDEX(ArchiveResults!$F$5:$IX$116,ComparisonData!A22,ComparisonData!$YE$1),0)),5)</f>
        <v>0</v>
      </c>
      <c r="YF22" s="56">
        <v>17</v>
      </c>
      <c r="YG22" s="53" t="str">
        <f t="shared" si="92"/>
        <v>Conwy Archive Service</v>
      </c>
      <c r="YH22" s="60">
        <f t="shared" si="457"/>
        <v>0</v>
      </c>
      <c r="YI22" s="60">
        <f t="shared" si="458"/>
        <v>0</v>
      </c>
      <c r="YJ22" s="76">
        <f t="shared" si="459"/>
        <v>0</v>
      </c>
      <c r="YK22" s="46">
        <f t="shared" si="460"/>
        <v>29</v>
      </c>
      <c r="YL22" s="46">
        <f t="shared" si="93"/>
        <v>2.5789999999999997</v>
      </c>
      <c r="YM22" s="46">
        <f t="shared" si="461"/>
        <v>1</v>
      </c>
      <c r="YN22" s="46">
        <f t="shared" si="462"/>
        <v>2</v>
      </c>
      <c r="YO22" s="46" cm="1">
        <f t="array" ref="YO22">ROUND(VALUE(IFERROR(INDEX(ArchiveResults!$F$5:$IX$116,ComparisonData!A22,ComparisonData!$YO$1),0)),5)</f>
        <v>0</v>
      </c>
      <c r="YP22" s="46" cm="1">
        <f t="array" ref="YP22">ROUND(VALUE(IFERROR(INDEX(ArchiveResults!$F$5:$IX$116,ComparisonData!A22,ComparisonData!$YP$1),0)),5)</f>
        <v>0</v>
      </c>
      <c r="YQ22" s="56">
        <v>17</v>
      </c>
      <c r="YR22" s="53" t="str">
        <f t="shared" si="94"/>
        <v>Conwy Archive Service</v>
      </c>
      <c r="YS22" s="60">
        <f t="shared" si="463"/>
        <v>0</v>
      </c>
      <c r="YT22" s="60">
        <f t="shared" si="464"/>
        <v>0</v>
      </c>
      <c r="YU22" s="76">
        <f t="shared" si="465"/>
        <v>0</v>
      </c>
      <c r="YV22" s="46">
        <f t="shared" si="466"/>
        <v>29</v>
      </c>
      <c r="YW22" s="46">
        <f t="shared" si="95"/>
        <v>2.5789999999999997</v>
      </c>
      <c r="YX22" s="46">
        <f t="shared" si="467"/>
        <v>1</v>
      </c>
      <c r="YY22" s="46">
        <f t="shared" si="468"/>
        <v>2</v>
      </c>
      <c r="YZ22" s="46">
        <f t="shared" si="469"/>
        <v>0</v>
      </c>
      <c r="ZA22" s="46" cm="1">
        <f t="array" ref="ZA22">ROUNDDOWN(VALUE(IFERROR(INDEX(ArchiveResults!$F$5:$IX$116,ComparisonData!A22,ComparisonData!$ZA$1),0)),5)</f>
        <v>0</v>
      </c>
      <c r="ZB22" s="46" cm="1">
        <f t="array" ref="ZB22">ROUNDDOWN(VALUE(IFERROR(INDEX(ArchiveResults!$F$5:$IX$116,ComparisonData!A22,ComparisonData!$ZB$1),0)),5)</f>
        <v>0</v>
      </c>
      <c r="ZC22" s="46" cm="1">
        <f t="array" ref="ZC22">ROUNDDOWN(VALUE(IFERROR(INDEX(ArchiveResults!$F$5:$IX$116,ComparisonData!A22,ComparisonData!$ZC$1),0)),5)</f>
        <v>0</v>
      </c>
      <c r="ZD22" s="46" cm="1">
        <f t="array" ref="ZD22">ROUNDDOWN(VALUE(IFERROR(INDEX(ArchiveResults!$F$5:$IX$116,ComparisonData!A22,ComparisonData!$ZD$1),0)),5)</f>
        <v>0</v>
      </c>
      <c r="ZE22" s="46" cm="1">
        <f t="array" ref="ZE22">ROUNDDOWN(VALUE(IFERROR(INDEX(ArchiveResults!$F$5:$IX$116,ComparisonData!A22,ComparisonData!$ZE$1),0)),5)</f>
        <v>0</v>
      </c>
      <c r="ZF22" s="56">
        <v>17</v>
      </c>
      <c r="ZG22" s="53" t="str">
        <f t="shared" si="96"/>
        <v>Conwy Archive Service</v>
      </c>
      <c r="ZH22" s="60">
        <f t="shared" si="470"/>
        <v>0</v>
      </c>
      <c r="ZI22" s="60">
        <f t="shared" si="471"/>
        <v>0</v>
      </c>
      <c r="ZJ22" s="60">
        <f t="shared" si="472"/>
        <v>0</v>
      </c>
      <c r="ZK22" s="60">
        <f t="shared" si="473"/>
        <v>0</v>
      </c>
      <c r="ZL22" s="60">
        <f t="shared" si="474"/>
        <v>0</v>
      </c>
      <c r="ZM22" s="76">
        <f t="shared" si="475"/>
        <v>0</v>
      </c>
      <c r="ZN22" s="46">
        <f t="shared" si="476"/>
        <v>29</v>
      </c>
      <c r="ZO22" s="46">
        <f t="shared" si="97"/>
        <v>2.5789999999999997</v>
      </c>
      <c r="ZP22" s="46">
        <f t="shared" si="477"/>
        <v>1</v>
      </c>
      <c r="ZQ22" s="46">
        <f t="shared" si="478"/>
        <v>2</v>
      </c>
      <c r="ZR22" s="46" cm="1">
        <f t="array" ref="ZR22">ROUND(VALUE(IFERROR(INDEX(ArchiveResults!$F$5:$IX$116,ComparisonData!A22,ComparisonData!$ZR$1),0)),5)</f>
        <v>0</v>
      </c>
      <c r="ZS22" s="56">
        <v>17</v>
      </c>
      <c r="ZT22" s="53" t="str">
        <f t="shared" si="98"/>
        <v>Conwy Archive Service</v>
      </c>
      <c r="ZU22" s="46">
        <f t="shared" si="479"/>
        <v>0</v>
      </c>
      <c r="ZV22" s="76">
        <f t="shared" si="480"/>
        <v>0</v>
      </c>
      <c r="ZW22" s="81" cm="1">
        <f t="array" ref="ZW22">ROUND((IFERROR(INDEX(ArchiveResults!$F$5:$IX$116,ComparisonData!A22,ComparisonData!$ZW$1),0)),5)</f>
        <v>0</v>
      </c>
      <c r="ZX22" s="81" cm="1">
        <f t="array" ref="ZX22">ROUND((IFERROR(INDEX(ArchiveResults!$F$5:$IX$116,ComparisonData!A22,ComparisonData!$ZX$1),0)),5)</f>
        <v>0</v>
      </c>
      <c r="ZY22" s="81" cm="1">
        <f t="array" ref="ZY22">ROUND((IFERROR(INDEX(ArchiveResults!$F$5:$IX$116,ComparisonData!A22,ComparisonData!$ZY$1),0)),5)</f>
        <v>0</v>
      </c>
      <c r="ZZ22" s="81" cm="1">
        <f t="array" ref="ZZ22">ROUND((IFERROR(INDEX(ArchiveResults!$F$5:$IX$116,ComparisonData!A22,ComparisonData!$ZZ$1),0)),5)</f>
        <v>0</v>
      </c>
      <c r="AAA22" s="81" cm="1">
        <f t="array" ref="AAA22">ROUND((IFERROR(INDEX(ArchiveResults!$F$5:$IX$116,ComparisonData!A22,ComparisonData!$AAA$1),0)),5)</f>
        <v>0</v>
      </c>
      <c r="AAB22" s="81" cm="1">
        <f t="array" ref="AAB22">ROUND((IFERROR(INDEX(ArchiveResults!$F$5:$IX$116,ComparisonData!A22,ComparisonData!$AAB$1),0)),5)</f>
        <v>0</v>
      </c>
      <c r="AAC22" s="81" cm="1">
        <f t="array" ref="AAC22">ROUND((IFERROR(INDEX(ArchiveResults!$F$5:$IX$116,ComparisonData!A22,ComparisonData!$AAC$1),0)),5)</f>
        <v>0</v>
      </c>
      <c r="AAD22" s="81" cm="1">
        <f t="array" ref="AAD22">ROUND((IFERROR(INDEX(ArchiveResults!$F$5:$IX$116,ComparisonData!A22,ComparisonData!$AAD$1),0)),5)</f>
        <v>0</v>
      </c>
      <c r="AAE22" s="81" cm="1">
        <f t="array" ref="AAE22">ROUND((IFERROR(INDEX(ArchiveResults!$F$5:$IX$116,ComparisonData!A22,ComparisonData!$AAE$1),0)),5)</f>
        <v>0</v>
      </c>
      <c r="AAF22" s="81" cm="1">
        <f t="array" ref="AAF22">ROUND((IFERROR(INDEX(ArchiveResults!$F$5:$IX$116,ComparisonData!A22,ComparisonData!$AAF$1),0)),5)</f>
        <v>0</v>
      </c>
      <c r="AAG22" s="46">
        <f t="shared" si="481"/>
        <v>29</v>
      </c>
      <c r="AAH22" s="46">
        <f t="shared" si="99"/>
        <v>2.5789999999999997</v>
      </c>
      <c r="AAI22" s="46">
        <f t="shared" si="482"/>
        <v>1</v>
      </c>
      <c r="AAJ22" s="46">
        <f t="shared" si="483"/>
        <v>2</v>
      </c>
      <c r="AAK22" s="46">
        <f t="shared" si="484"/>
        <v>0</v>
      </c>
      <c r="AAL22" s="46">
        <f t="shared" si="485"/>
        <v>0</v>
      </c>
      <c r="AAM22" s="46">
        <f t="shared" si="486"/>
        <v>0</v>
      </c>
      <c r="AAN22" s="46">
        <f t="shared" si="487"/>
        <v>0</v>
      </c>
      <c r="AAO22" s="46">
        <f t="shared" si="488"/>
        <v>0</v>
      </c>
      <c r="AAP22" s="46">
        <f t="shared" si="489"/>
        <v>0</v>
      </c>
      <c r="AAQ22" s="56">
        <v>17</v>
      </c>
      <c r="AAR22" s="53" t="str">
        <f t="shared" si="100"/>
        <v>Conwy Archive Service</v>
      </c>
      <c r="AAS22" s="60">
        <f t="shared" si="490"/>
        <v>0</v>
      </c>
      <c r="AAT22" s="60">
        <f t="shared" si="491"/>
        <v>0</v>
      </c>
      <c r="AAU22" s="60">
        <f t="shared" si="492"/>
        <v>0</v>
      </c>
      <c r="AAV22" s="60">
        <f t="shared" si="493"/>
        <v>0</v>
      </c>
      <c r="AAW22" s="60">
        <f t="shared" si="494"/>
        <v>0</v>
      </c>
      <c r="AAX22" s="76">
        <f t="shared" si="495"/>
        <v>0</v>
      </c>
      <c r="AAY22" s="46">
        <f t="shared" si="496"/>
        <v>29</v>
      </c>
      <c r="AAZ22" s="46">
        <f t="shared" si="101"/>
        <v>2.5789999999999997</v>
      </c>
      <c r="ABA22" s="46">
        <f t="shared" si="497"/>
        <v>1</v>
      </c>
      <c r="ABB22" s="46">
        <f t="shared" si="498"/>
        <v>2</v>
      </c>
      <c r="ABC22" s="46">
        <f t="shared" si="102"/>
        <v>0</v>
      </c>
      <c r="ABD22" s="46" cm="1">
        <f t="array" ref="ABD22">ROUND(VALUE(IFERROR(INDEX(ArchiveResults!$F$5:$IX$116,ComparisonData!A22,ComparisonData!$ABD$1),0)),5)</f>
        <v>0</v>
      </c>
      <c r="ABE22" s="46" cm="1">
        <f t="array" ref="ABE22">ROUND(VALUE(IFERROR(INDEX(ArchiveResults!$F$5:$IX$116,ComparisonData!A22,ComparisonData!$ABE$1),0)),5)</f>
        <v>0</v>
      </c>
      <c r="ABF22" s="46" cm="1">
        <f t="array" ref="ABF22">ROUND(VALUE(IFERROR(INDEX(ArchiveResults!$F$5:$IX$116,ComparisonData!A22,ComparisonData!$ABF$1),0)),5)</f>
        <v>0</v>
      </c>
      <c r="ABG22" s="46" cm="1">
        <f t="array" ref="ABG22">ROUND(VALUE(IFERROR(INDEX(ArchiveResults!$F$5:$IX$116,ComparisonData!A22,ComparisonData!$ABG$1),0)),5)</f>
        <v>0</v>
      </c>
      <c r="ABH22" s="46" cm="1">
        <f t="array" ref="ABH22">ROUND(VALUE(IFERROR(INDEX(ArchiveResults!$F$5:$IX$116,ComparisonData!A22,ComparisonData!$ABH$1),0)),5)</f>
        <v>0</v>
      </c>
      <c r="ABI22" s="56">
        <v>17</v>
      </c>
      <c r="ABJ22" s="53" t="str">
        <f t="shared" si="103"/>
        <v>Conwy Archive Service</v>
      </c>
      <c r="ABK22" s="60">
        <f t="shared" si="499"/>
        <v>0</v>
      </c>
      <c r="ABL22" s="60">
        <f t="shared" si="500"/>
        <v>0</v>
      </c>
      <c r="ABM22" s="60">
        <f t="shared" si="501"/>
        <v>0</v>
      </c>
      <c r="ABN22" s="60">
        <f t="shared" si="502"/>
        <v>0</v>
      </c>
      <c r="ABO22" s="60">
        <f t="shared" si="503"/>
        <v>0</v>
      </c>
      <c r="ABP22" s="76">
        <f t="shared" si="504"/>
        <v>0</v>
      </c>
      <c r="ABQ22" s="46">
        <f t="shared" si="505"/>
        <v>29</v>
      </c>
      <c r="ABR22" s="46">
        <f t="shared" si="104"/>
        <v>2.5789999999999997</v>
      </c>
      <c r="ABS22" s="46">
        <f t="shared" si="506"/>
        <v>1</v>
      </c>
      <c r="ABT22" s="46">
        <f t="shared" si="507"/>
        <v>2</v>
      </c>
      <c r="ABU22" s="46" cm="1">
        <f t="array" ref="ABU22">ROUND(VALUE(IFERROR(INDEX(ArchiveResults!$F$5:$IX$116,ComparisonData!A22,ComparisonData!$ABU$1),0)),5)</f>
        <v>0</v>
      </c>
      <c r="ABV22" s="46" cm="1">
        <f t="array" ref="ABV22">ROUND(VALUE(IFERROR(INDEX(ArchiveResults!$F$5:$IX$116,ComparisonData!A22,ComparisonData!$ABV$1),0)),5)</f>
        <v>0</v>
      </c>
      <c r="ABW22" s="46" cm="1">
        <f t="array" ref="ABW22">ROUND(VALUE(IFERROR(INDEX(ArchiveResults!$F$5:$IX$116,ComparisonData!A22,ComparisonData!$ABW$1),0)),5)</f>
        <v>0</v>
      </c>
      <c r="ABX22" s="46" cm="1">
        <f t="array" ref="ABX22">ROUND(VALUE(IFERROR(INDEX(ArchiveResults!$F$5:$IX$116,ComparisonData!A22,ComparisonData!$ABX$1),0)),5)</f>
        <v>0</v>
      </c>
      <c r="ABY22" s="46" cm="1">
        <f t="array" ref="ABY22">ROUND(VALUE(IFERROR(INDEX(ArchiveResults!$F$5:$IX$116,ComparisonData!A22,ComparisonData!$ABY$1),0)),5)</f>
        <v>0</v>
      </c>
      <c r="ABZ22" s="56">
        <v>17</v>
      </c>
      <c r="ACA22" s="53" t="str">
        <f t="shared" si="105"/>
        <v>Conwy Archive Service</v>
      </c>
      <c r="ACB22" s="60">
        <f t="shared" si="508"/>
        <v>0</v>
      </c>
      <c r="ACC22" s="60">
        <f t="shared" si="509"/>
        <v>0</v>
      </c>
      <c r="ACD22" s="60">
        <f t="shared" si="510"/>
        <v>0</v>
      </c>
      <c r="ACE22" s="60">
        <f t="shared" si="511"/>
        <v>0</v>
      </c>
      <c r="ACF22" s="60">
        <f t="shared" si="512"/>
        <v>0</v>
      </c>
      <c r="ACG22" s="76">
        <f t="shared" si="513"/>
        <v>0</v>
      </c>
      <c r="ACH22" s="46">
        <f t="shared" si="514"/>
        <v>29</v>
      </c>
      <c r="ACI22" s="46">
        <f t="shared" si="106"/>
        <v>2.5789999999999997</v>
      </c>
      <c r="ACJ22" s="46">
        <f t="shared" si="515"/>
        <v>1</v>
      </c>
      <c r="ACK22" s="46">
        <f t="shared" si="516"/>
        <v>2</v>
      </c>
      <c r="ACL22" s="46">
        <f t="shared" si="517"/>
        <v>0</v>
      </c>
      <c r="ACM22" s="46" cm="1">
        <f t="array" ref="ACM22">ROUND(IFERROR(INDEX(ArchiveResults!$F$5:$IX$116,ComparisonData!A22,ComparisonData!$ACM$1),0),5)</f>
        <v>0</v>
      </c>
      <c r="ACN22" s="46" cm="1">
        <f t="array" ref="ACN22">ROUND(IFERROR(INDEX(ArchiveResults!$F$5:$IX$116,ComparisonData!A22,ComparisonData!$ACN$1),0),5)</f>
        <v>0</v>
      </c>
      <c r="ACO22" s="56">
        <v>17</v>
      </c>
      <c r="ACP22" s="53" t="str">
        <f t="shared" si="107"/>
        <v>Conwy Archive Service</v>
      </c>
      <c r="ACQ22" s="60">
        <f t="shared" si="518"/>
        <v>0</v>
      </c>
      <c r="ACR22" s="60">
        <f t="shared" si="519"/>
        <v>0</v>
      </c>
      <c r="ACS22" s="76">
        <f t="shared" si="520"/>
        <v>0</v>
      </c>
      <c r="ACT22" s="46">
        <f t="shared" si="521"/>
        <v>29</v>
      </c>
      <c r="ACU22" s="46">
        <f t="shared" si="108"/>
        <v>2.5789999999999997</v>
      </c>
      <c r="ACV22" s="46">
        <f t="shared" si="522"/>
        <v>1</v>
      </c>
      <c r="ACW22" s="46">
        <f t="shared" si="523"/>
        <v>2</v>
      </c>
      <c r="ACX22" s="46">
        <f t="shared" si="524"/>
        <v>0</v>
      </c>
      <c r="ACY22" s="46" cm="1">
        <f t="array" ref="ACY22">ROUNDDOWN(IFERROR(INDEX(ArchiveResults!$F$5:$IX$116,ComparisonData!A22,ComparisonData!$ACY$1),0),5)</f>
        <v>0</v>
      </c>
      <c r="ACZ22" s="46" cm="1">
        <f t="array" ref="ACZ22">ROUNDDOWN(IFERROR(INDEX(ArchiveResults!$F$5:$IX$116,ComparisonData!A22,ComparisonData!$ACZ$1),0),5)</f>
        <v>0</v>
      </c>
      <c r="ADA22" s="46" cm="1">
        <f t="array" ref="ADA22">ROUNDDOWN(IFERROR(INDEX(ArchiveResults!$F$5:$IX$116,ComparisonData!A22,ComparisonData!$ADA$1),0),5)</f>
        <v>0</v>
      </c>
      <c r="ADB22" s="56">
        <v>17</v>
      </c>
      <c r="ADC22" s="53" t="str">
        <f t="shared" si="109"/>
        <v>Conwy Archive Service</v>
      </c>
      <c r="ADD22" s="60">
        <f t="shared" si="525"/>
        <v>0</v>
      </c>
      <c r="ADE22" s="60">
        <f t="shared" si="526"/>
        <v>0</v>
      </c>
      <c r="ADF22" s="60">
        <f t="shared" si="527"/>
        <v>0</v>
      </c>
      <c r="ADG22" s="76">
        <f t="shared" si="528"/>
        <v>0</v>
      </c>
    </row>
    <row r="23" spans="1:787" x14ac:dyDescent="0.25">
      <c r="A23" s="46" t="str">
        <f>IF(ISBLANK(ComparisonSelection!F19),"",ROW()-5)</f>
        <v/>
      </c>
      <c r="B23" s="53" t="s">
        <v>472</v>
      </c>
      <c r="C23" s="72">
        <v>0.59399999999999964</v>
      </c>
      <c r="D23" s="55">
        <f t="shared" si="110"/>
        <v>32</v>
      </c>
      <c r="E23" s="54">
        <f t="shared" si="111"/>
        <v>2.5939999999999994</v>
      </c>
      <c r="F23" s="54">
        <f t="shared" si="529"/>
        <v>1</v>
      </c>
      <c r="G23" s="72">
        <f t="shared" si="112"/>
        <v>2</v>
      </c>
      <c r="H23" s="72">
        <f t="shared" si="113"/>
        <v>0</v>
      </c>
      <c r="I23" s="46" cm="1">
        <f t="array" ref="I23">ROUND(IFERROR(INDEX(ArchiveResults!$F$5:$IX$116,ComparisonData!A23,ComparisonData!$I$1),0),5)</f>
        <v>0</v>
      </c>
      <c r="J23" s="46" cm="1">
        <f t="array" ref="J23">ROUND(IFERROR(INDEX(ArchiveResults!$F$5:$IX$116,ComparisonData!A23,ComparisonData!$J$1),0),5)</f>
        <v>0</v>
      </c>
      <c r="K23" s="56">
        <v>18</v>
      </c>
      <c r="L23" s="53" t="str">
        <f t="shared" si="114"/>
        <v>Cumbria Archive Centre: Barrow In Furness</v>
      </c>
      <c r="M23" s="57">
        <f t="shared" si="0"/>
        <v>0</v>
      </c>
      <c r="N23" s="57">
        <f t="shared" si="1"/>
        <v>0</v>
      </c>
      <c r="O23" s="58">
        <f t="shared" si="115"/>
        <v>0</v>
      </c>
      <c r="P23" s="48">
        <f t="shared" si="116"/>
        <v>32</v>
      </c>
      <c r="Q23" s="54">
        <f t="shared" si="2"/>
        <v>2.5939999999999994</v>
      </c>
      <c r="R23" s="45">
        <f t="shared" si="117"/>
        <v>1</v>
      </c>
      <c r="S23" s="46">
        <f t="shared" si="118"/>
        <v>2</v>
      </c>
      <c r="T23" s="72">
        <f t="shared" si="119"/>
        <v>0</v>
      </c>
      <c r="U23" s="46" cm="1">
        <f t="array" ref="U23">ROUND(IFERROR(INDEX(ArchiveResults!$F$5:$IX$116,ComparisonData!A23,ComparisonData!$U$1),0),5)</f>
        <v>0</v>
      </c>
      <c r="V23" s="46" cm="1">
        <f t="array" ref="V23">ROUND(IFERROR(INDEX(ArchiveResults!$F$5:$IX$116,ComparisonData!A23,ComparisonData!$V$1),0),5)</f>
        <v>0</v>
      </c>
      <c r="W23" s="56">
        <v>18</v>
      </c>
      <c r="X23" s="53" t="str">
        <f t="shared" si="3"/>
        <v>Cumbria Archive Centre: Barrow In Furness</v>
      </c>
      <c r="Y23" s="57">
        <f t="shared" si="120"/>
        <v>0</v>
      </c>
      <c r="Z23" s="57">
        <f t="shared" si="121"/>
        <v>0</v>
      </c>
      <c r="AA23" s="58">
        <f t="shared" si="122"/>
        <v>0</v>
      </c>
      <c r="AB23" s="45">
        <f t="shared" si="123"/>
        <v>32</v>
      </c>
      <c r="AC23" s="54">
        <f t="shared" si="4"/>
        <v>2.5939999999999994</v>
      </c>
      <c r="AD23" s="45">
        <f t="shared" si="124"/>
        <v>1</v>
      </c>
      <c r="AE23" s="45">
        <f t="shared" si="125"/>
        <v>2</v>
      </c>
      <c r="AF23" s="45">
        <f t="shared" si="126"/>
        <v>0</v>
      </c>
      <c r="AG23" s="46" cm="1">
        <f t="array" ref="AG23">ROUND(IFERROR(INDEX(ArchiveResults!$F$5:$IX$116,ComparisonData!A23,ComparisonData!$AG$1),0),5)</f>
        <v>0</v>
      </c>
      <c r="AH23" s="46" cm="1">
        <f t="array" ref="AH23">ROUND(IFERROR(INDEX(ArchiveResults!$F$5:$IX$116,ComparisonData!A23,ComparisonData!$AH$1),0),5)</f>
        <v>0</v>
      </c>
      <c r="AI23" s="56">
        <v>18</v>
      </c>
      <c r="AJ23" s="53" t="str">
        <f t="shared" si="5"/>
        <v>Cumbria Archive Centre: Barrow In Furness</v>
      </c>
      <c r="AK23" s="59">
        <f t="shared" si="6"/>
        <v>0</v>
      </c>
      <c r="AL23" s="59">
        <f t="shared" si="7"/>
        <v>0</v>
      </c>
      <c r="AM23" s="58">
        <f t="shared" si="127"/>
        <v>0</v>
      </c>
      <c r="AN23" s="45">
        <f t="shared" si="128"/>
        <v>32</v>
      </c>
      <c r="AO23" s="54">
        <f t="shared" si="8"/>
        <v>2.5939999999999994</v>
      </c>
      <c r="AP23" s="45">
        <f t="shared" si="129"/>
        <v>1</v>
      </c>
      <c r="AQ23" s="45">
        <f t="shared" si="130"/>
        <v>2</v>
      </c>
      <c r="AR23" s="46" cm="1">
        <f t="array" ref="AR23">ROUND(IFERROR(INDEX(ArchiveResults!$F$5:$IX$116,ComparisonData!A23,ComparisonData!$AR$1),0),5)</f>
        <v>0</v>
      </c>
      <c r="AS23" s="46" cm="1">
        <f t="array" ref="AS23">ROUND(IFERROR(INDEX(ArchiveResults!$F$5:$IX$116,ComparisonData!A23,ComparisonData!$AS$1),0),5)</f>
        <v>0</v>
      </c>
      <c r="AT23" s="46" cm="1">
        <f t="array" ref="AT23">ROUND(IFERROR(INDEX(ArchiveResults!$F$5:$IX$116,ComparisonData!A23,ComparisonData!$AT$1),0),5)</f>
        <v>0</v>
      </c>
      <c r="AU23" s="46" cm="1">
        <f t="array" ref="AU23">ROUND(IFERROR(INDEX(ArchiveResults!$F$5:$IX$116,ComparisonData!A23,ComparisonData!$AU$1),0),5)</f>
        <v>0</v>
      </c>
      <c r="AV23" s="46" cm="1">
        <f t="array" ref="AV23">ROUND(IFERROR(INDEX(ArchiveResults!$F$5:$IX$116,ComparisonData!A23,ComparisonData!$AV$1),0),5)</f>
        <v>0</v>
      </c>
      <c r="AW23" s="46" cm="1">
        <f t="array" ref="AW23">ROUND(IFERROR(INDEX(ArchiveResults!$F$5:$IX$116,ComparisonData!A23,ComparisonData!$AW$1),0),5)</f>
        <v>0</v>
      </c>
      <c r="AX23" s="46" cm="1">
        <f t="array" ref="AX23">ROUND(IFERROR(INDEX(ArchiveResults!$F$5:$IX$116,ComparisonData!A23,ComparisonData!$AX$1),0),5)</f>
        <v>0</v>
      </c>
      <c r="AY23" s="46" cm="1">
        <f t="array" ref="AY23">ROUND(IFERROR(INDEX(ArchiveResults!$F$5:$IX$116,ComparisonData!A23,ComparisonData!$AY$1),0),5)</f>
        <v>0</v>
      </c>
      <c r="AZ23" s="46" cm="1">
        <f t="array" ref="AZ23">ROUND(IFERROR(INDEX(ArchiveResults!$F$5:$IX$116,ComparisonData!A23,ComparisonData!$AZ$1),0),5)</f>
        <v>0</v>
      </c>
      <c r="BA23" s="46" cm="1">
        <f t="array" ref="BA23">ROUND(IFERROR(INDEX(ArchiveResults!$F$5:$IX$116,ComparisonData!A23,ComparisonData!$BA$1),0),5)</f>
        <v>0</v>
      </c>
      <c r="BB23" s="56">
        <v>18</v>
      </c>
      <c r="BC23" s="53" t="str">
        <f t="shared" si="9"/>
        <v>Cumbria Archive Centre: Barrow In Furness</v>
      </c>
      <c r="BD23" s="60">
        <f t="shared" si="131"/>
        <v>0</v>
      </c>
      <c r="BE23" s="60">
        <f t="shared" si="132"/>
        <v>0</v>
      </c>
      <c r="BF23" s="60">
        <f t="shared" si="133"/>
        <v>0</v>
      </c>
      <c r="BG23" s="60">
        <f t="shared" si="134"/>
        <v>0</v>
      </c>
      <c r="BH23" s="60">
        <f t="shared" si="135"/>
        <v>0</v>
      </c>
      <c r="BI23" s="60">
        <f t="shared" si="136"/>
        <v>0</v>
      </c>
      <c r="BJ23" s="60">
        <f t="shared" si="137"/>
        <v>0</v>
      </c>
      <c r="BK23" s="60">
        <f t="shared" si="138"/>
        <v>0</v>
      </c>
      <c r="BL23" s="60">
        <f t="shared" si="139"/>
        <v>0</v>
      </c>
      <c r="BM23" s="59">
        <f t="shared" si="140"/>
        <v>0</v>
      </c>
      <c r="BN23" s="58">
        <f t="shared" si="141"/>
        <v>0</v>
      </c>
      <c r="BO23" s="45">
        <f t="shared" si="142"/>
        <v>32</v>
      </c>
      <c r="BP23" s="54">
        <f t="shared" si="10"/>
        <v>2.5939999999999994</v>
      </c>
      <c r="BQ23" s="45">
        <f t="shared" si="143"/>
        <v>1</v>
      </c>
      <c r="BR23" s="45">
        <f t="shared" si="144"/>
        <v>2</v>
      </c>
      <c r="BS23" s="46" cm="1">
        <f t="array" ref="BS23">ROUND(IFERROR(INDEX(ArchiveResults!$F$5:$IX$116,ComparisonData!A23,ComparisonData!$BS$1),0),5)</f>
        <v>0</v>
      </c>
      <c r="BT23" s="46" cm="1">
        <f t="array" ref="BT23">ROUND(IFERROR(INDEX(ArchiveResults!$F$5:$IX$116,ComparisonData!A23,ComparisonData!$BT$1),0),5)</f>
        <v>0</v>
      </c>
      <c r="BU23" s="46" cm="1">
        <f t="array" ref="BU23">ROUND(IFERROR(INDEX(ArchiveResults!$F$5:$IX$116,ComparisonData!A23,ComparisonData!$BU$1),0),5)</f>
        <v>0</v>
      </c>
      <c r="BV23" s="46" cm="1">
        <f t="array" ref="BV23">ROUND(IFERROR(INDEX(ArchiveResults!$F$5:$IX$116,ComparisonData!A23,ComparisonData!$BV$1),0),5)</f>
        <v>0</v>
      </c>
      <c r="BW23" s="46" cm="1">
        <f t="array" ref="BW23">ROUND(IFERROR(INDEX(ArchiveResults!$F$5:$IX$116,ComparisonData!A23,ComparisonData!$BW$1),0),5)</f>
        <v>0</v>
      </c>
      <c r="BX23" s="46" cm="1">
        <f t="array" ref="BX23">ROUND(IFERROR(INDEX(ArchiveResults!$F$5:$IX$116,ComparisonData!A23,ComparisonData!$BX$1),0),5)</f>
        <v>0</v>
      </c>
      <c r="BY23" s="56">
        <v>18</v>
      </c>
      <c r="BZ23" s="53" t="str">
        <f t="shared" si="11"/>
        <v>Cumbria Archive Centre: Barrow In Furness</v>
      </c>
      <c r="CA23" s="59">
        <f t="shared" si="145"/>
        <v>0</v>
      </c>
      <c r="CB23" s="59">
        <f t="shared" si="146"/>
        <v>0</v>
      </c>
      <c r="CC23" s="59">
        <f t="shared" si="147"/>
        <v>0</v>
      </c>
      <c r="CD23" s="59">
        <f t="shared" si="148"/>
        <v>0</v>
      </c>
      <c r="CE23" s="59">
        <f t="shared" si="149"/>
        <v>0</v>
      </c>
      <c r="CF23" s="59">
        <f t="shared" si="150"/>
        <v>0</v>
      </c>
      <c r="CG23" s="58">
        <f t="shared" si="151"/>
        <v>0</v>
      </c>
      <c r="CH23" s="45">
        <f t="shared" si="152"/>
        <v>32</v>
      </c>
      <c r="CI23" s="54">
        <f t="shared" si="12"/>
        <v>2.5939999999999994</v>
      </c>
      <c r="CJ23" s="45">
        <f t="shared" si="153"/>
        <v>1</v>
      </c>
      <c r="CK23" s="45">
        <f t="shared" si="154"/>
        <v>2</v>
      </c>
      <c r="CL23" s="46" cm="1">
        <f t="array" ref="CL23">ROUND(IFERROR(INDEX(ArchiveResults!$F$5:$IX$116,ComparisonData!A23,ComparisonData!$CL$1),0),5)</f>
        <v>0</v>
      </c>
      <c r="CM23" s="56">
        <v>18</v>
      </c>
      <c r="CN23" s="53" t="str">
        <f t="shared" si="13"/>
        <v>Cumbria Archive Centre: Barrow In Furness</v>
      </c>
      <c r="CO23" s="45">
        <f t="shared" si="155"/>
        <v>0</v>
      </c>
      <c r="CP23" s="58">
        <f t="shared" si="156"/>
        <v>0</v>
      </c>
      <c r="CQ23" s="45">
        <f t="shared" si="157"/>
        <v>32</v>
      </c>
      <c r="CR23" s="54">
        <f t="shared" si="14"/>
        <v>2.5939999999999994</v>
      </c>
      <c r="CS23" s="45">
        <f t="shared" si="158"/>
        <v>1</v>
      </c>
      <c r="CT23" s="45">
        <f t="shared" si="159"/>
        <v>2</v>
      </c>
      <c r="CU23" s="46" cm="1">
        <f t="array" ref="CU23">ROUND(IFERROR(INDEX(ArchiveResults!$F$5:$IX$116,ComparisonData!A23,ComparisonData!$CU$1),0),5)</f>
        <v>0</v>
      </c>
      <c r="CV23" s="56">
        <v>18</v>
      </c>
      <c r="CW23" s="53" t="str">
        <f t="shared" si="15"/>
        <v>Cumbria Archive Centre: Barrow In Furness</v>
      </c>
      <c r="CX23" s="45">
        <f t="shared" si="160"/>
        <v>0</v>
      </c>
      <c r="CY23" s="58">
        <f t="shared" si="161"/>
        <v>0</v>
      </c>
      <c r="CZ23" s="45">
        <f t="shared" si="162"/>
        <v>32</v>
      </c>
      <c r="DA23" s="54">
        <f t="shared" si="16"/>
        <v>2.5939999999999994</v>
      </c>
      <c r="DB23" s="45">
        <f t="shared" si="163"/>
        <v>1</v>
      </c>
      <c r="DC23" s="45">
        <f t="shared" si="164"/>
        <v>2</v>
      </c>
      <c r="DD23" s="46" cm="1">
        <f t="array" ref="DD23">ROUND(IFERROR(INDEX(ArchiveResults!$F$5:$IX$116,ComparisonData!A23,ComparisonData!$DD$1),0),5)</f>
        <v>0</v>
      </c>
      <c r="DE23" s="56">
        <v>18</v>
      </c>
      <c r="DF23" s="53" t="str">
        <f t="shared" si="17"/>
        <v>Cumbria Archive Centre: Barrow In Furness</v>
      </c>
      <c r="DG23" s="45">
        <f t="shared" si="165"/>
        <v>0</v>
      </c>
      <c r="DH23" s="58">
        <f t="shared" si="166"/>
        <v>0</v>
      </c>
      <c r="DI23" s="45">
        <f t="shared" si="167"/>
        <v>32</v>
      </c>
      <c r="DJ23" s="54">
        <f t="shared" si="18"/>
        <v>2.5939999999999994</v>
      </c>
      <c r="DK23" s="45">
        <f t="shared" si="168"/>
        <v>1</v>
      </c>
      <c r="DL23" s="45">
        <f t="shared" si="169"/>
        <v>2</v>
      </c>
      <c r="DM23" s="46" cm="1">
        <f t="array" ref="DM23">ROUND(IFERROR(INDEX(ArchiveResults!$F$5:$IX$116,ComparisonData!A23,ComparisonData!$DM$1),0),5)</f>
        <v>0</v>
      </c>
      <c r="DN23" s="46" cm="1">
        <f t="array" ref="DN23">ROUND(IFERROR(INDEX(ArchiveResults!$F$5:$IX$116,ComparisonData!A23,ComparisonData!$DN$1),0),5)</f>
        <v>0</v>
      </c>
      <c r="DO23" s="46" cm="1">
        <f t="array" ref="DO23">ROUND(IFERROR(INDEX(ArchiveResults!$F$5:$IX$116,ComparisonData!A23,ComparisonData!$DO$1),0),5)</f>
        <v>0</v>
      </c>
      <c r="DP23" s="46" cm="1">
        <f t="array" ref="DP23">ROUND(IFERROR(INDEX(ArchiveResults!$F$5:$IX$116,ComparisonData!A23,ComparisonData!$DP$1),0),5)</f>
        <v>0</v>
      </c>
      <c r="DQ23" s="45" cm="1">
        <f t="array" ref="DQ23">IFERROR(INDEX(ArchiveResults!$F$5:$IX$116,ComparisonData!A23,ComparisonData!$DQ$1),0)</f>
        <v>0</v>
      </c>
      <c r="DR23" s="56">
        <v>18</v>
      </c>
      <c r="DS23" s="53" t="str">
        <f t="shared" si="19"/>
        <v>Cumbria Archive Centre: Barrow In Furness</v>
      </c>
      <c r="DT23" s="59">
        <f t="shared" si="170"/>
        <v>0</v>
      </c>
      <c r="DU23" s="59">
        <f t="shared" si="171"/>
        <v>0</v>
      </c>
      <c r="DV23" s="59">
        <f t="shared" si="172"/>
        <v>0</v>
      </c>
      <c r="DW23" s="59">
        <f t="shared" si="173"/>
        <v>0</v>
      </c>
      <c r="DX23" s="59">
        <f t="shared" si="174"/>
        <v>0</v>
      </c>
      <c r="DY23" s="58">
        <f t="shared" si="175"/>
        <v>0</v>
      </c>
      <c r="DZ23" s="45">
        <f t="shared" si="176"/>
        <v>32</v>
      </c>
      <c r="EA23" s="54">
        <f t="shared" si="20"/>
        <v>2.5939999999999994</v>
      </c>
      <c r="EB23" s="45">
        <f t="shared" si="177"/>
        <v>1</v>
      </c>
      <c r="EC23" s="45">
        <f t="shared" si="178"/>
        <v>2</v>
      </c>
      <c r="ED23" s="46" cm="1">
        <f t="array" ref="ED23">ROUND(IFERROR(INDEX(ArchiveResults!$F$5:$IX$116,ComparisonData!A23,ComparisonData!$ED$1),0),5)</f>
        <v>0</v>
      </c>
      <c r="EE23" s="46" cm="1">
        <f t="array" ref="EE23">ROUND(IFERROR(INDEX(ArchiveResults!$F$5:$IX$116,ComparisonData!A23,ComparisonData!$EE$1),0),5)</f>
        <v>0</v>
      </c>
      <c r="EF23" s="46" cm="1">
        <f t="array" ref="EF23">ROUND(IFERROR(INDEX(ArchiveResults!$F$5:$IX$116,ComparisonData!A23,ComparisonData!$EF$1),0),5)</f>
        <v>0</v>
      </c>
      <c r="EG23" s="46" cm="1">
        <f t="array" ref="EG23">ROUND(IFERROR(INDEX(ArchiveResults!$F$5:$IX$116,ComparisonData!A23,ComparisonData!$EG$1),0),5)</f>
        <v>0</v>
      </c>
      <c r="EH23" s="45" cm="1">
        <f t="array" ref="EH23">IFERROR(INDEX(ArchiveResults!$F$5:$IX$116,ComparisonData!A23,ComparisonData!$EH$1),0)</f>
        <v>0</v>
      </c>
      <c r="EI23" s="56">
        <v>18</v>
      </c>
      <c r="EJ23" s="53" t="str">
        <f t="shared" si="21"/>
        <v>Cumbria Archive Centre: Barrow In Furness</v>
      </c>
      <c r="EK23" s="59">
        <f t="shared" si="179"/>
        <v>0</v>
      </c>
      <c r="EL23" s="59">
        <f t="shared" si="180"/>
        <v>0</v>
      </c>
      <c r="EM23" s="59">
        <f t="shared" si="181"/>
        <v>0</v>
      </c>
      <c r="EN23" s="59">
        <f t="shared" si="182"/>
        <v>0</v>
      </c>
      <c r="EO23" s="59">
        <f t="shared" si="183"/>
        <v>0</v>
      </c>
      <c r="EP23" s="58">
        <f t="shared" si="184"/>
        <v>0</v>
      </c>
      <c r="EQ23" s="45">
        <f t="shared" si="185"/>
        <v>32</v>
      </c>
      <c r="ER23" s="54">
        <f t="shared" si="22"/>
        <v>2.5939999999999994</v>
      </c>
      <c r="ES23" s="45">
        <f t="shared" si="186"/>
        <v>1</v>
      </c>
      <c r="ET23" s="45">
        <f t="shared" si="187"/>
        <v>2</v>
      </c>
      <c r="EU23" s="46" cm="1">
        <f t="array" ref="EU23">ROUND(IFERROR(INDEX(ArchiveResults!$F$5:$IX$116,ComparisonData!A23,ComparisonData!$EU$1),0),5)</f>
        <v>0</v>
      </c>
      <c r="EV23" s="46" cm="1">
        <f t="array" ref="EV23">ROUND(IFERROR(INDEX(ArchiveResults!$F$5:$IX$116,ComparisonData!A23,ComparisonData!$EV$1),0),5)</f>
        <v>0</v>
      </c>
      <c r="EW23" s="46" cm="1">
        <f t="array" ref="EW23">ROUND(IFERROR(INDEX(ArchiveResults!$F$5:$IX$116,ComparisonData!A23,ComparisonData!$EW$1),0),5)</f>
        <v>0</v>
      </c>
      <c r="EX23" s="46" cm="1">
        <f t="array" ref="EX23">ROUND(IFERROR(INDEX(ArchiveResults!$F$5:$IX$116,ComparisonData!A23,ComparisonData!$EX$1),0),5)</f>
        <v>0</v>
      </c>
      <c r="EY23" s="45" cm="1">
        <f t="array" ref="EY23">IFERROR(INDEX(ArchiveResults!$F$5:$IX$116,ComparisonData!A23,ComparisonData!$EY$1),0)</f>
        <v>0</v>
      </c>
      <c r="EZ23" s="56">
        <v>18</v>
      </c>
      <c r="FA23" s="53" t="str">
        <f t="shared" si="23"/>
        <v>Cumbria Archive Centre: Barrow In Furness</v>
      </c>
      <c r="FB23" s="59">
        <f t="shared" si="188"/>
        <v>0</v>
      </c>
      <c r="FC23" s="59">
        <f t="shared" si="189"/>
        <v>0</v>
      </c>
      <c r="FD23" s="59">
        <f t="shared" si="190"/>
        <v>0</v>
      </c>
      <c r="FE23" s="59">
        <f t="shared" si="191"/>
        <v>0</v>
      </c>
      <c r="FF23" s="59">
        <f t="shared" si="192"/>
        <v>0</v>
      </c>
      <c r="FG23" s="58">
        <f t="shared" si="193"/>
        <v>0</v>
      </c>
      <c r="FH23" s="45">
        <f t="shared" si="194"/>
        <v>32</v>
      </c>
      <c r="FI23" s="54">
        <f t="shared" si="24"/>
        <v>2.5939999999999994</v>
      </c>
      <c r="FJ23" s="45">
        <f t="shared" si="195"/>
        <v>1</v>
      </c>
      <c r="FK23" s="45">
        <f t="shared" si="196"/>
        <v>2</v>
      </c>
      <c r="FL23" s="46" cm="1">
        <f t="array" ref="FL23">ROUND(IFERROR(INDEX(ArchiveResults!$F$5:$IX$116,ComparisonData!A23,ComparisonData!$FL$1),0),5)</f>
        <v>0</v>
      </c>
      <c r="FM23" s="46" cm="1">
        <f t="array" ref="FM23">ROUND(IFERROR(INDEX(ArchiveResults!$F$5:$IX$116,ComparisonData!A23,ComparisonData!$FM$1),0),5)</f>
        <v>0</v>
      </c>
      <c r="FN23" s="46" cm="1">
        <f t="array" ref="FN23">ROUND(IFERROR(INDEX(ArchiveResults!$F$5:$IX$116,ComparisonData!A23,ComparisonData!$FN$1),0),5)</f>
        <v>0</v>
      </c>
      <c r="FO23" s="46" cm="1">
        <f t="array" ref="FO23">ROUND(IFERROR(INDEX(ArchiveResults!$F$5:$IX$116,ComparisonData!A23,ComparisonData!$FO$1),0),5)</f>
        <v>0</v>
      </c>
      <c r="FP23" s="45" cm="1">
        <f t="array" ref="FP23">IFERROR(INDEX(ArchiveResults!$F$5:$IX$116,ComparisonData!A23,ComparisonData!$FP$1),0)</f>
        <v>0</v>
      </c>
      <c r="FQ23" s="56">
        <v>18</v>
      </c>
      <c r="FR23" s="53" t="str">
        <f t="shared" si="25"/>
        <v>Cumbria Archive Centre: Barrow In Furness</v>
      </c>
      <c r="FS23" s="59">
        <f t="shared" si="197"/>
        <v>0</v>
      </c>
      <c r="FT23" s="59">
        <f t="shared" si="198"/>
        <v>0</v>
      </c>
      <c r="FU23" s="59">
        <f t="shared" si="199"/>
        <v>0</v>
      </c>
      <c r="FV23" s="59">
        <f t="shared" si="200"/>
        <v>0</v>
      </c>
      <c r="FW23" s="59">
        <f t="shared" si="201"/>
        <v>0</v>
      </c>
      <c r="FX23" s="58">
        <f t="shared" si="202"/>
        <v>0</v>
      </c>
      <c r="FY23" s="45">
        <f t="shared" si="203"/>
        <v>32</v>
      </c>
      <c r="FZ23" s="45">
        <f t="shared" si="26"/>
        <v>2.5939999999999994</v>
      </c>
      <c r="GA23" s="45">
        <f t="shared" si="204"/>
        <v>1</v>
      </c>
      <c r="GB23" s="45">
        <f t="shared" si="205"/>
        <v>2</v>
      </c>
      <c r="GC23" s="46" cm="1">
        <f t="array" ref="GC23">ROUND(IFERROR(INDEX(ArchiveResults!$F$5:$IX$116,ComparisonData!A23,ComparisonData!$GC$1),0),5)</f>
        <v>0</v>
      </c>
      <c r="GD23" s="46" cm="1">
        <f t="array" ref="GD23">ROUND(IFERROR(INDEX(ArchiveResults!$F$5:$IX$116,ComparisonData!A23,ComparisonData!$GD$1),0),5)</f>
        <v>0</v>
      </c>
      <c r="GE23" s="46" cm="1">
        <f t="array" ref="GE23">ROUND(IFERROR(INDEX(ArchiveResults!$F$5:$IX$116,ComparisonData!A23,ComparisonData!$GE$1),0),5)</f>
        <v>0</v>
      </c>
      <c r="GF23" s="46" cm="1">
        <f t="array" ref="GF23">ROUND(IFERROR(INDEX(ArchiveResults!$F$5:$IX$116,ComparisonData!A23,ComparisonData!$GF$1),0),5)</f>
        <v>0</v>
      </c>
      <c r="GG23" s="45" cm="1">
        <f t="array" ref="GG23">IFERROR(INDEX(ArchiveResults!$F$5:$IX$116,ComparisonData!A23,ComparisonData!$GG$1),0)</f>
        <v>0</v>
      </c>
      <c r="GH23" s="56">
        <v>18</v>
      </c>
      <c r="GI23" s="53" t="str">
        <f t="shared" si="27"/>
        <v>Cumbria Archive Centre: Barrow In Furness</v>
      </c>
      <c r="GJ23" s="59">
        <f t="shared" si="206"/>
        <v>0</v>
      </c>
      <c r="GK23" s="59">
        <f t="shared" si="207"/>
        <v>0</v>
      </c>
      <c r="GL23" s="59">
        <f t="shared" si="208"/>
        <v>0</v>
      </c>
      <c r="GM23" s="59">
        <f t="shared" si="209"/>
        <v>0</v>
      </c>
      <c r="GN23" s="59">
        <f t="shared" si="210"/>
        <v>0</v>
      </c>
      <c r="GO23" s="58">
        <f t="shared" si="211"/>
        <v>0</v>
      </c>
      <c r="GP23" s="45">
        <f t="shared" si="212"/>
        <v>32</v>
      </c>
      <c r="GQ23" s="45">
        <f t="shared" si="28"/>
        <v>2.5939999999999994</v>
      </c>
      <c r="GR23" s="45">
        <f t="shared" si="213"/>
        <v>1</v>
      </c>
      <c r="GS23" s="45">
        <f t="shared" si="214"/>
        <v>2</v>
      </c>
      <c r="GT23" s="46" cm="1">
        <f t="array" ref="GT23">ROUND(IFERROR(INDEX(ArchiveResults!$F$5:$IX$116,ComparisonData!A23,ComparisonData!$GT$1),0),5)</f>
        <v>0</v>
      </c>
      <c r="GU23" s="46" cm="1">
        <f t="array" ref="GU23">ROUND(IFERROR(INDEX(ArchiveResults!$F$5:$IX$116,ComparisonData!A23,ComparisonData!$GU$1),0),5)</f>
        <v>0</v>
      </c>
      <c r="GV23" s="46" cm="1">
        <f t="array" ref="GV23">ROUND(IFERROR(INDEX(ArchiveResults!$F$5:$IX$116,ComparisonData!A23,ComparisonData!$GV$1),0),5)</f>
        <v>0</v>
      </c>
      <c r="GW23" s="46" cm="1">
        <f t="array" ref="GW23">ROUND(IFERROR(INDEX(ArchiveResults!$F$5:$IX$116,ComparisonData!A23,ComparisonData!$GW$1),0),5)</f>
        <v>0</v>
      </c>
      <c r="GX23" s="45" cm="1">
        <f t="array" ref="GX23">IFERROR(INDEX(ArchiveResults!$F$5:$IX$116,ComparisonData!A23,ComparisonData!$GX$1),0)</f>
        <v>0</v>
      </c>
      <c r="GY23" s="56">
        <v>18</v>
      </c>
      <c r="GZ23" s="53" t="str">
        <f t="shared" si="29"/>
        <v>Cumbria Archive Centre: Barrow In Furness</v>
      </c>
      <c r="HA23" s="59">
        <f t="shared" si="215"/>
        <v>0</v>
      </c>
      <c r="HB23" s="59">
        <f t="shared" si="216"/>
        <v>0</v>
      </c>
      <c r="HC23" s="59">
        <f t="shared" si="217"/>
        <v>0</v>
      </c>
      <c r="HD23" s="59">
        <f t="shared" si="218"/>
        <v>0</v>
      </c>
      <c r="HE23" s="59">
        <f t="shared" si="219"/>
        <v>0</v>
      </c>
      <c r="HF23" s="58">
        <f t="shared" si="220"/>
        <v>0</v>
      </c>
      <c r="HG23" s="45">
        <f t="shared" si="221"/>
        <v>32</v>
      </c>
      <c r="HH23" s="45">
        <f t="shared" si="30"/>
        <v>2.5939999999999994</v>
      </c>
      <c r="HI23" s="45">
        <f t="shared" si="222"/>
        <v>1</v>
      </c>
      <c r="HJ23" s="45">
        <f t="shared" si="223"/>
        <v>2</v>
      </c>
      <c r="HK23" s="46" cm="1">
        <f t="array" ref="HK23">ROUND(IFERROR(INDEX(ArchiveResults!$F$5:$IX$116,ComparisonData!A23,ComparisonData!$HK$1),0),5)</f>
        <v>0</v>
      </c>
      <c r="HL23" s="46" cm="1">
        <f t="array" ref="HL23">ROUND(IFERROR(INDEX(ArchiveResults!$F$5:$IX$116,ComparisonData!A23,ComparisonData!$HL$1),0),5)</f>
        <v>0</v>
      </c>
      <c r="HM23" s="46" cm="1">
        <f t="array" ref="HM23">ROUND(IFERROR(INDEX(ArchiveResults!$F$5:$IX$116,ComparisonData!A23,ComparisonData!$HM$1),0),5)</f>
        <v>0</v>
      </c>
      <c r="HN23" s="46" cm="1">
        <f t="array" ref="HN23">ROUND(IFERROR(INDEX(ArchiveResults!$F$5:$IX$116,ComparisonData!A23,ComparisonData!$HN$1),0),5)</f>
        <v>0</v>
      </c>
      <c r="HO23" s="45" cm="1">
        <f t="array" ref="HO23">IFERROR(INDEX(ArchiveResults!$F$5:$IX$116,ComparisonData!A23,ComparisonData!$HO$1),0)</f>
        <v>0</v>
      </c>
      <c r="HP23" s="56">
        <v>18</v>
      </c>
      <c r="HQ23" s="53" t="str">
        <f t="shared" si="31"/>
        <v>Cumbria Archive Centre: Barrow In Furness</v>
      </c>
      <c r="HR23" s="59">
        <f t="shared" si="32"/>
        <v>0</v>
      </c>
      <c r="HS23" s="59">
        <f t="shared" si="33"/>
        <v>0</v>
      </c>
      <c r="HT23" s="59">
        <f t="shared" si="34"/>
        <v>0</v>
      </c>
      <c r="HU23" s="59">
        <f t="shared" si="35"/>
        <v>0</v>
      </c>
      <c r="HV23" s="59">
        <f t="shared" si="36"/>
        <v>0</v>
      </c>
      <c r="HW23" s="58">
        <f t="shared" si="224"/>
        <v>0</v>
      </c>
      <c r="HX23" s="45">
        <f t="shared" si="225"/>
        <v>32</v>
      </c>
      <c r="HY23" s="45">
        <f t="shared" si="37"/>
        <v>2.5939999999999994</v>
      </c>
      <c r="HZ23" s="45">
        <f t="shared" si="226"/>
        <v>1</v>
      </c>
      <c r="IA23" s="45">
        <f t="shared" si="227"/>
        <v>2</v>
      </c>
      <c r="IB23" s="45">
        <f t="shared" si="228"/>
        <v>0</v>
      </c>
      <c r="IC23" s="46" cm="1">
        <f t="array" ref="IC23">ROUND(IFERROR(INDEX(ArchiveResults!$F$5:$IX$116,ComparisonData!A23,ComparisonData!$IC$1),0),5)</f>
        <v>0</v>
      </c>
      <c r="ID23" s="46" cm="1">
        <f t="array" ref="ID23">ROUND(IFERROR(INDEX(ArchiveResults!$F$5:$IX$116,ComparisonData!A23,ComparisonData!$ID$1),0),5)</f>
        <v>0</v>
      </c>
      <c r="IE23" s="46" cm="1">
        <f t="array" ref="IE23">ROUND(IFERROR(INDEX(ArchiveResults!$F$5:$IX$116,ComparisonData!A23,ComparisonData!$IE$1),0),5)</f>
        <v>0</v>
      </c>
      <c r="IF23" s="46" cm="1">
        <f t="array" ref="IF23">ROUND(IFERROR(INDEX(ArchiveResults!$F$5:$IX$116,ComparisonData!A23,ComparisonData!$IF$1),0),5)</f>
        <v>0</v>
      </c>
      <c r="IG23" s="45" cm="1">
        <f t="array" ref="IG23">IFERROR(INDEX(ArchiveResults!$F$5:$IX$116,ComparisonData!A23,ComparisonData!$IG$1),0)</f>
        <v>0</v>
      </c>
      <c r="IH23" s="56">
        <v>18</v>
      </c>
      <c r="II23" s="53" t="str">
        <f t="shared" si="38"/>
        <v>Cumbria Archive Centre: Barrow In Furness</v>
      </c>
      <c r="IJ23" s="59">
        <f t="shared" si="229"/>
        <v>0</v>
      </c>
      <c r="IK23" s="59">
        <f t="shared" si="230"/>
        <v>0</v>
      </c>
      <c r="IL23" s="59">
        <f t="shared" si="231"/>
        <v>0</v>
      </c>
      <c r="IM23" s="59">
        <f t="shared" si="232"/>
        <v>0</v>
      </c>
      <c r="IN23" s="59">
        <f t="shared" si="233"/>
        <v>0</v>
      </c>
      <c r="IO23" s="58">
        <f t="shared" si="234"/>
        <v>0</v>
      </c>
      <c r="IP23" s="45">
        <f t="shared" si="235"/>
        <v>32</v>
      </c>
      <c r="IQ23" s="45">
        <f t="shared" si="39"/>
        <v>2.5939999999999994</v>
      </c>
      <c r="IR23" s="45">
        <f t="shared" si="236"/>
        <v>1</v>
      </c>
      <c r="IS23" s="45">
        <f t="shared" si="237"/>
        <v>2</v>
      </c>
      <c r="IT23" s="46">
        <f t="shared" si="238"/>
        <v>0</v>
      </c>
      <c r="IU23" s="46" cm="1">
        <f t="array" ref="IU23">ROUND(IFERROR(INDEX(ArchiveResults!$F$5:$IX$116,ComparisonData!A23,ComparisonData!$IU$1),0),5)</f>
        <v>0</v>
      </c>
      <c r="IV23" s="46" cm="1">
        <f t="array" ref="IV23">ROUND(IFERROR(INDEX(ArchiveResults!$F$5:$IX$116,ComparisonData!A23,ComparisonData!$IV$1),0),5)</f>
        <v>0</v>
      </c>
      <c r="IW23" s="46" cm="1">
        <f t="array" ref="IW23">ROUND(IFERROR(INDEX(ArchiveResults!$F$5:$IX$116,ComparisonData!A23,ComparisonData!$IW$1),0),5)</f>
        <v>0</v>
      </c>
      <c r="IX23" s="46" cm="1">
        <f t="array" ref="IX23">ROUND(IFERROR(INDEX(ArchiveResults!$F$5:$IX$116,ComparisonData!A23,ComparisonData!$IX$1),0),5)</f>
        <v>0</v>
      </c>
      <c r="IY23" s="45" cm="1">
        <f t="array" ref="IY23">IFERROR(INDEX(ArchiveResults!$F$5:$IX$116,ComparisonData!A23,ComparisonData!$IY$1),0)</f>
        <v>0</v>
      </c>
      <c r="IZ23" s="56">
        <v>18</v>
      </c>
      <c r="JA23" s="53" t="str">
        <f t="shared" si="40"/>
        <v>Cumbria Archive Centre: Barrow In Furness</v>
      </c>
      <c r="JB23" s="59">
        <f t="shared" si="239"/>
        <v>0</v>
      </c>
      <c r="JC23" s="59">
        <f t="shared" si="240"/>
        <v>0</v>
      </c>
      <c r="JD23" s="59">
        <f t="shared" si="241"/>
        <v>0</v>
      </c>
      <c r="JE23" s="59">
        <f t="shared" si="242"/>
        <v>0</v>
      </c>
      <c r="JF23" s="59">
        <f t="shared" si="243"/>
        <v>0</v>
      </c>
      <c r="JG23" s="58">
        <f t="shared" si="244"/>
        <v>0</v>
      </c>
      <c r="JH23" s="45">
        <f t="shared" si="245"/>
        <v>32</v>
      </c>
      <c r="JI23" s="45">
        <f t="shared" si="41"/>
        <v>2.5939999999999994</v>
      </c>
      <c r="JJ23" s="45">
        <f t="shared" si="246"/>
        <v>1</v>
      </c>
      <c r="JK23" s="45">
        <f t="shared" si="247"/>
        <v>2</v>
      </c>
      <c r="JL23" s="45">
        <f t="shared" si="248"/>
        <v>0</v>
      </c>
      <c r="JM23" s="46" cm="1">
        <f t="array" ref="JM23">ROUND(IFERROR(INDEX(ArchiveResults!$F$5:$IX$116,ComparisonData!A23,ComparisonData!$JM$1),0),5)</f>
        <v>0</v>
      </c>
      <c r="JN23" s="46" cm="1">
        <f t="array" ref="JN23">ROUND(IFERROR(INDEX(ArchiveResults!$F$5:$IX$116,ComparisonData!A23,ComparisonData!$JN$1),0),5)</f>
        <v>0</v>
      </c>
      <c r="JO23" s="46" cm="1">
        <f t="array" ref="JO23">ROUND(IFERROR(INDEX(ArchiveResults!$F$5:$IX$116,ComparisonData!A23,ComparisonData!$JO$1),0),5)</f>
        <v>0</v>
      </c>
      <c r="JP23" s="46" cm="1">
        <f t="array" ref="JP23">ROUND(IFERROR(INDEX(ArchiveResults!$F$5:$IX$116,ComparisonData!A23,ComparisonData!$JP$1),0),5)</f>
        <v>0</v>
      </c>
      <c r="JQ23" s="45" cm="1">
        <f t="array" ref="JQ23">IFERROR(INDEX(ArchiveResults!$F$5:$IX$116,ComparisonData!A23,ComparisonData!$JQ$1),0)</f>
        <v>0</v>
      </c>
      <c r="JR23" s="56">
        <v>18</v>
      </c>
      <c r="JS23" s="53" t="str">
        <f t="shared" si="42"/>
        <v>Cumbria Archive Centre: Barrow In Furness</v>
      </c>
      <c r="JT23" s="59">
        <f t="shared" si="249"/>
        <v>0</v>
      </c>
      <c r="JU23" s="59">
        <f t="shared" si="250"/>
        <v>0</v>
      </c>
      <c r="JV23" s="59">
        <f t="shared" si="251"/>
        <v>0</v>
      </c>
      <c r="JW23" s="59">
        <f t="shared" si="252"/>
        <v>0</v>
      </c>
      <c r="JX23" s="59">
        <f t="shared" si="253"/>
        <v>0</v>
      </c>
      <c r="JY23" s="58">
        <f t="shared" si="254"/>
        <v>0</v>
      </c>
      <c r="JZ23" s="45">
        <f t="shared" si="255"/>
        <v>32</v>
      </c>
      <c r="KA23" s="45">
        <f t="shared" si="43"/>
        <v>2.5939999999999994</v>
      </c>
      <c r="KB23" s="45">
        <f t="shared" si="256"/>
        <v>1</v>
      </c>
      <c r="KC23" s="45">
        <f t="shared" si="257"/>
        <v>2</v>
      </c>
      <c r="KD23" s="45">
        <f t="shared" si="258"/>
        <v>0</v>
      </c>
      <c r="KE23" s="46" cm="1">
        <f t="array" ref="KE23">ROUND(IFERROR(INDEX(ArchiveResults!$F$5:$IX$116,ComparisonData!A23,ComparisonData!$KE$1),0),5)</f>
        <v>0</v>
      </c>
      <c r="KF23" s="46" cm="1">
        <f t="array" ref="KF23">ROUND(IFERROR(INDEX(ArchiveResults!$F$5:$IX$116,ComparisonData!A23,ComparisonData!$KF$1),0),5)</f>
        <v>0</v>
      </c>
      <c r="KG23" s="46" cm="1">
        <f t="array" ref="KG23">ROUND(IFERROR(INDEX(ArchiveResults!$F$5:$IX$116,ComparisonData!A23,ComparisonData!$KG$1),0),5)</f>
        <v>0</v>
      </c>
      <c r="KH23" s="46" cm="1">
        <f t="array" ref="KH23">ROUND(IFERROR(INDEX(ArchiveResults!$F$5:$IX$116,ComparisonData!A23,ComparisonData!$KH$1),0),5)</f>
        <v>0</v>
      </c>
      <c r="KI23" s="45" cm="1">
        <f t="array" ref="KI23">IFERROR(INDEX(ArchiveResults!$F$5:$IX$116,ComparisonData!A23,ComparisonData!$KI$1),0)</f>
        <v>0</v>
      </c>
      <c r="KJ23" s="56">
        <v>18</v>
      </c>
      <c r="KK23" s="53" t="str">
        <f t="shared" si="44"/>
        <v>Cumbria Archive Centre: Barrow In Furness</v>
      </c>
      <c r="KL23" s="59">
        <f t="shared" si="259"/>
        <v>0</v>
      </c>
      <c r="KM23" s="59">
        <f t="shared" si="260"/>
        <v>0</v>
      </c>
      <c r="KN23" s="59">
        <f t="shared" si="261"/>
        <v>0</v>
      </c>
      <c r="KO23" s="59">
        <f t="shared" si="262"/>
        <v>0</v>
      </c>
      <c r="KP23" s="59">
        <f t="shared" si="263"/>
        <v>0</v>
      </c>
      <c r="KQ23" s="58">
        <f t="shared" si="264"/>
        <v>0</v>
      </c>
      <c r="KR23" s="45">
        <f t="shared" si="265"/>
        <v>32</v>
      </c>
      <c r="KS23" s="45">
        <f t="shared" si="45"/>
        <v>2.5939999999999994</v>
      </c>
      <c r="KT23" s="45">
        <f t="shared" si="266"/>
        <v>1</v>
      </c>
      <c r="KU23" s="45">
        <f t="shared" si="267"/>
        <v>2</v>
      </c>
      <c r="KV23" s="45">
        <f t="shared" si="268"/>
        <v>0</v>
      </c>
      <c r="KW23" s="46" cm="1">
        <f t="array" ref="KW23">ROUND(IFERROR(INDEX(ArchiveResults!$F$5:$IX$116,ComparisonData!A23,ComparisonData!$KW$1),0),5)</f>
        <v>0</v>
      </c>
      <c r="KX23" s="46" cm="1">
        <f t="array" ref="KX23">ROUND(IFERROR(INDEX(ArchiveResults!$F$5:$IX$116,ComparisonData!A23,ComparisonData!$KX$1),0),5)</f>
        <v>0</v>
      </c>
      <c r="KY23" s="46" cm="1">
        <f t="array" ref="KY23">ROUND(IFERROR(INDEX(ArchiveResults!$F$5:$IX$116,ComparisonData!A23,ComparisonData!$KY$1),0),5)</f>
        <v>0</v>
      </c>
      <c r="KZ23" s="46" cm="1">
        <f t="array" ref="KZ23">ROUND(IFERROR(INDEX(ArchiveResults!$F$5:$IX$116,ComparisonData!A23,ComparisonData!$KZ$1),0),5)</f>
        <v>0</v>
      </c>
      <c r="LA23" s="45" cm="1">
        <f t="array" ref="LA23">IFERROR(INDEX(ArchiveResults!$F$5:$IX$116,ComparisonData!A23,ComparisonData!$LA$1),0)</f>
        <v>0</v>
      </c>
      <c r="LB23" s="56">
        <v>18</v>
      </c>
      <c r="LC23" s="53" t="str">
        <f t="shared" si="46"/>
        <v>Cumbria Archive Centre: Barrow In Furness</v>
      </c>
      <c r="LD23" s="59">
        <f t="shared" si="269"/>
        <v>0</v>
      </c>
      <c r="LE23" s="59">
        <f t="shared" si="270"/>
        <v>0</v>
      </c>
      <c r="LF23" s="59">
        <f t="shared" si="271"/>
        <v>0</v>
      </c>
      <c r="LG23" s="59">
        <f t="shared" si="272"/>
        <v>0</v>
      </c>
      <c r="LH23" s="59">
        <f t="shared" si="273"/>
        <v>0</v>
      </c>
      <c r="LI23" s="58">
        <f t="shared" si="274"/>
        <v>0</v>
      </c>
      <c r="LJ23" s="45">
        <f t="shared" si="275"/>
        <v>32</v>
      </c>
      <c r="LK23" s="45">
        <f t="shared" si="47"/>
        <v>2.5939999999999994</v>
      </c>
      <c r="LL23" s="45">
        <f t="shared" si="276"/>
        <v>1</v>
      </c>
      <c r="LM23" s="45">
        <f t="shared" si="277"/>
        <v>2</v>
      </c>
      <c r="LN23" s="45">
        <f t="shared" si="278"/>
        <v>0</v>
      </c>
      <c r="LO23" s="46" cm="1">
        <f t="array" ref="LO23">ROUND(IFERROR(INDEX(ArchiveResults!$F$5:$IX$116,ComparisonData!A23,ComparisonData!$LO$1),0),5)</f>
        <v>0</v>
      </c>
      <c r="LP23" s="46" cm="1">
        <f t="array" ref="LP23">ROUND(IFERROR(INDEX(ArchiveResults!$F$5:$IX$116,ComparisonData!A23,ComparisonData!$LP$1),0),5)</f>
        <v>0</v>
      </c>
      <c r="LQ23" s="46" cm="1">
        <f t="array" ref="LQ23">ROUND(IFERROR(INDEX(ArchiveResults!$F$5:$IX$116,ComparisonData!A23,ComparisonData!$LQ$1),0),5)</f>
        <v>0</v>
      </c>
      <c r="LR23" s="46" cm="1">
        <f t="array" ref="LR23">ROUND(IFERROR(INDEX(ArchiveResults!$F$5:$IX$116,ComparisonData!A23,ComparisonData!$LR$1),0),5)</f>
        <v>0</v>
      </c>
      <c r="LS23" s="45" cm="1">
        <f t="array" ref="LS23">IFERROR(INDEX(ArchiveResults!$F$5:$IX$116,ComparisonData!A23,ComparisonData!$LS$1),0)</f>
        <v>0</v>
      </c>
      <c r="LT23" s="56">
        <v>18</v>
      </c>
      <c r="LU23" s="53" t="str">
        <f t="shared" si="48"/>
        <v>Cumbria Archive Centre: Barrow In Furness</v>
      </c>
      <c r="LV23" s="59">
        <f t="shared" si="279"/>
        <v>0</v>
      </c>
      <c r="LW23" s="59">
        <f t="shared" si="280"/>
        <v>0</v>
      </c>
      <c r="LX23" s="59">
        <f t="shared" si="281"/>
        <v>0</v>
      </c>
      <c r="LY23" s="59">
        <f t="shared" si="282"/>
        <v>0</v>
      </c>
      <c r="LZ23" s="59">
        <f t="shared" si="283"/>
        <v>0</v>
      </c>
      <c r="MA23" s="58">
        <f t="shared" si="284"/>
        <v>0</v>
      </c>
      <c r="MB23" s="45">
        <f t="shared" si="285"/>
        <v>32</v>
      </c>
      <c r="MC23" s="45">
        <f t="shared" si="49"/>
        <v>2.5939999999999994</v>
      </c>
      <c r="MD23" s="45">
        <f t="shared" si="286"/>
        <v>1</v>
      </c>
      <c r="ME23" s="45">
        <f t="shared" si="287"/>
        <v>2</v>
      </c>
      <c r="MF23" s="45">
        <f t="shared" si="288"/>
        <v>0</v>
      </c>
      <c r="MG23" s="46" cm="1">
        <f t="array" ref="MG23">ROUND(IFERROR(INDEX(ArchiveResults!$F$5:$IX$116,ComparisonData!A23,ComparisonData!$MG$1),0),5)</f>
        <v>0</v>
      </c>
      <c r="MH23" s="46" cm="1">
        <f t="array" ref="MH23">ROUND(IFERROR(INDEX(ArchiveResults!$F$5:$IX$116,ComparisonData!A23,ComparisonData!$MH$1),0),5)</f>
        <v>0</v>
      </c>
      <c r="MI23" s="46" cm="1">
        <f t="array" ref="MI23">ROUND(IFERROR(INDEX(ArchiveResults!$F$5:$IX$116,ComparisonData!A23,ComparisonData!$MI$1),0),5)</f>
        <v>0</v>
      </c>
      <c r="MJ23" s="46" cm="1">
        <f t="array" ref="MJ23">ROUND(IFERROR(INDEX(ArchiveResults!$F$5:$IX$116,ComparisonData!A23,ComparisonData!$MJ$1),0),5)</f>
        <v>0</v>
      </c>
      <c r="MK23" s="45" cm="1">
        <f t="array" ref="MK23">IFERROR(INDEX(ArchiveResults!$F$5:$IX$116,ComparisonData!A23,ComparisonData!$MK$1),0)</f>
        <v>0</v>
      </c>
      <c r="ML23" s="56">
        <v>18</v>
      </c>
      <c r="MM23" s="53" t="str">
        <f t="shared" si="50"/>
        <v>Cumbria Archive Centre: Barrow In Furness</v>
      </c>
      <c r="MN23" s="59">
        <f t="shared" si="289"/>
        <v>0</v>
      </c>
      <c r="MO23" s="59">
        <f t="shared" si="290"/>
        <v>0</v>
      </c>
      <c r="MP23" s="59">
        <f t="shared" si="291"/>
        <v>0</v>
      </c>
      <c r="MQ23" s="59">
        <f t="shared" si="292"/>
        <v>0</v>
      </c>
      <c r="MR23" s="59">
        <f t="shared" si="293"/>
        <v>0</v>
      </c>
      <c r="MS23" s="58">
        <f t="shared" si="294"/>
        <v>0</v>
      </c>
      <c r="MT23" s="45">
        <f t="shared" si="295"/>
        <v>32</v>
      </c>
      <c r="MU23" s="45">
        <f t="shared" si="51"/>
        <v>2.5939999999999994</v>
      </c>
      <c r="MV23" s="45">
        <f t="shared" si="296"/>
        <v>1</v>
      </c>
      <c r="MW23" s="45">
        <f t="shared" si="297"/>
        <v>2</v>
      </c>
      <c r="MX23" s="45">
        <f t="shared" si="298"/>
        <v>0</v>
      </c>
      <c r="MY23" s="46" cm="1">
        <f t="array" ref="MY23">ROUND(IFERROR(INDEX(ArchiveResults!$F$5:$IX$116,ComparisonData!A23,ComparisonData!$MY$1),0),5)</f>
        <v>0</v>
      </c>
      <c r="MZ23" s="46" cm="1">
        <f t="array" ref="MZ23">ROUND(IFERROR(INDEX(ArchiveResults!$F$5:$IX$116,ComparisonData!A23,ComparisonData!$MZ$1),0),5)</f>
        <v>0</v>
      </c>
      <c r="NA23" s="46" cm="1">
        <f t="array" ref="NA23">ROUND(IFERROR(INDEX(ArchiveResults!$F$5:$IX$116,ComparisonData!A23,ComparisonData!$NA$1),0),5)</f>
        <v>0</v>
      </c>
      <c r="NB23" s="46" cm="1">
        <f t="array" ref="NB23">ROUND(IFERROR(INDEX(ArchiveResults!$F$5:$IX$116,ComparisonData!A23,ComparisonData!$NB$1),0),5)</f>
        <v>0</v>
      </c>
      <c r="NC23" s="45" cm="1">
        <f t="array" ref="NC23">IFERROR(INDEX(ArchiveResults!$F$5:$IX$116,ComparisonData!A23,ComparisonData!$NC$1),0)</f>
        <v>0</v>
      </c>
      <c r="ND23" s="56">
        <v>18</v>
      </c>
      <c r="NE23" s="53" t="str">
        <f t="shared" si="52"/>
        <v>Cumbria Archive Centre: Barrow In Furness</v>
      </c>
      <c r="NF23" s="59">
        <f t="shared" si="299"/>
        <v>0</v>
      </c>
      <c r="NG23" s="59">
        <f t="shared" si="300"/>
        <v>0</v>
      </c>
      <c r="NH23" s="59">
        <f t="shared" si="301"/>
        <v>0</v>
      </c>
      <c r="NI23" s="59">
        <f t="shared" si="302"/>
        <v>0</v>
      </c>
      <c r="NJ23" s="59">
        <f t="shared" si="303"/>
        <v>0</v>
      </c>
      <c r="NK23" s="58">
        <f t="shared" si="304"/>
        <v>0</v>
      </c>
      <c r="NL23" s="45">
        <f t="shared" si="305"/>
        <v>32</v>
      </c>
      <c r="NM23" s="45">
        <f t="shared" si="53"/>
        <v>2.5939999999999994</v>
      </c>
      <c r="NN23" s="45">
        <f t="shared" si="306"/>
        <v>1</v>
      </c>
      <c r="NO23" s="45">
        <f t="shared" si="307"/>
        <v>2</v>
      </c>
      <c r="NP23" s="46" cm="1">
        <f t="array" ref="NP23">ROUND(IFERROR(INDEX(ArchiveResults!$F$5:$IX$116,ComparisonData!A23,ComparisonData!$NP$1),0),5)</f>
        <v>0</v>
      </c>
      <c r="NQ23" s="46" cm="1">
        <f t="array" ref="NQ23">ROUND(IFERROR(INDEX(ArchiveResults!$F$5:$IX$116,ComparisonData!A23,ComparisonData!$NQ$1),0),5)</f>
        <v>0</v>
      </c>
      <c r="NR23" s="46" cm="1">
        <f t="array" ref="NR23">ROUND(IFERROR(INDEX(ArchiveResults!$F$5:$IX$116,ComparisonData!A23,ComparisonData!$NR$1),0),5)</f>
        <v>0</v>
      </c>
      <c r="NS23" s="46" cm="1">
        <f t="array" ref="NS23">ROUND(IFERROR(INDEX(ArchiveResults!$F$5:$IX$116,ComparisonData!A23,ComparisonData!$NS$1),0),5)</f>
        <v>0</v>
      </c>
      <c r="NT23" s="45" cm="1">
        <f t="array" ref="NT23">IFERROR(INDEX(ArchiveResults!$F$5:$IX$116,ComparisonData!A23,ComparisonData!$NT$1),0)</f>
        <v>0</v>
      </c>
      <c r="NU23" s="56">
        <v>18</v>
      </c>
      <c r="NV23" s="53" t="str">
        <f t="shared" si="54"/>
        <v>Cumbria Archive Centre: Barrow In Furness</v>
      </c>
      <c r="NW23" s="59">
        <f t="shared" si="308"/>
        <v>0</v>
      </c>
      <c r="NX23" s="59">
        <f t="shared" si="309"/>
        <v>0</v>
      </c>
      <c r="NY23" s="59">
        <f t="shared" si="310"/>
        <v>0</v>
      </c>
      <c r="NZ23" s="59">
        <f t="shared" si="311"/>
        <v>0</v>
      </c>
      <c r="OA23" s="59">
        <f t="shared" si="312"/>
        <v>0</v>
      </c>
      <c r="OB23" s="58">
        <f t="shared" si="313"/>
        <v>0</v>
      </c>
      <c r="OC23" s="45">
        <f t="shared" si="314"/>
        <v>32</v>
      </c>
      <c r="OD23" s="45">
        <f t="shared" si="55"/>
        <v>2.5939999999999994</v>
      </c>
      <c r="OE23" s="45">
        <f t="shared" si="315"/>
        <v>1</v>
      </c>
      <c r="OF23" s="45">
        <f t="shared" si="316"/>
        <v>2</v>
      </c>
      <c r="OG23" s="46">
        <f t="shared" si="317"/>
        <v>0</v>
      </c>
      <c r="OH23" s="46" cm="1">
        <f t="array" ref="OH23">ROUND(IFERROR(INDEX(ArchiveResults!$F$5:$IX$116,ComparisonData!A23,ComparisonData!$OH$1),0),5)</f>
        <v>0</v>
      </c>
      <c r="OI23" s="46" cm="1">
        <f t="array" ref="OI23">ROUND(IFERROR(INDEX(ArchiveResults!$F$5:$IX$116,ComparisonData!A23,ComparisonData!$OI$1),0),5)</f>
        <v>0</v>
      </c>
      <c r="OJ23" s="46" cm="1">
        <f t="array" ref="OJ23">ROUND(IFERROR(INDEX(ArchiveResults!$F$5:$IX$116,ComparisonData!A23,ComparisonData!$OJ$1),0),5)</f>
        <v>0</v>
      </c>
      <c r="OK23" s="46" cm="1">
        <f t="array" ref="OK23">ROUND(IFERROR(INDEX(ArchiveResults!$F$5:$IX$116,ComparisonData!A23,ComparisonData!$OK$1),0),5)</f>
        <v>0</v>
      </c>
      <c r="OL23" s="45" cm="1">
        <f t="array" ref="OL23">IFERROR(INDEX(ArchiveResults!$F$5:$IX$116,ComparisonData!A23,ComparisonData!$OL$1),0)</f>
        <v>0</v>
      </c>
      <c r="OM23" s="56">
        <v>18</v>
      </c>
      <c r="ON23" s="53" t="str">
        <f t="shared" si="56"/>
        <v>Cumbria Archive Centre: Barrow In Furness</v>
      </c>
      <c r="OO23" s="59">
        <f t="shared" si="318"/>
        <v>0</v>
      </c>
      <c r="OP23" s="59">
        <f t="shared" si="319"/>
        <v>0</v>
      </c>
      <c r="OQ23" s="59">
        <f t="shared" si="320"/>
        <v>0</v>
      </c>
      <c r="OR23" s="59">
        <f t="shared" si="321"/>
        <v>0</v>
      </c>
      <c r="OS23" s="59">
        <f t="shared" si="322"/>
        <v>0</v>
      </c>
      <c r="OT23" s="58">
        <f t="shared" si="323"/>
        <v>0</v>
      </c>
      <c r="OU23" s="45">
        <f t="shared" si="324"/>
        <v>32</v>
      </c>
      <c r="OV23" s="45">
        <f t="shared" si="57"/>
        <v>2.5939999999999994</v>
      </c>
      <c r="OW23" s="45">
        <f t="shared" si="325"/>
        <v>1</v>
      </c>
      <c r="OX23" s="45">
        <f t="shared" si="326"/>
        <v>2</v>
      </c>
      <c r="OY23" s="45">
        <f t="shared" si="327"/>
        <v>0</v>
      </c>
      <c r="OZ23" s="46" cm="1">
        <f t="array" ref="OZ23">ROUND(IFERROR(INDEX(ArchiveResults!$F$5:$IX$116,ComparisonData!A23,ComparisonData!$OZ$1),0),5)</f>
        <v>0</v>
      </c>
      <c r="PA23" s="46" cm="1">
        <f t="array" ref="PA23">ROUND(IFERROR(INDEX(ArchiveResults!$F$5:$IX$116,ComparisonData!A23,ComparisonData!$PA$1),0),5)</f>
        <v>0</v>
      </c>
      <c r="PB23" s="46" cm="1">
        <f t="array" ref="PB23">ROUND(IFERROR(INDEX(ArchiveResults!$F$5:$IX$116,ComparisonData!A23,ComparisonData!$PB$1),0),5)</f>
        <v>0</v>
      </c>
      <c r="PC23" s="46" cm="1">
        <f t="array" ref="PC23">ROUND(IFERROR(INDEX(ArchiveResults!$F$5:$IX$116,ComparisonData!A23,ComparisonData!$PC$1),0),5)</f>
        <v>0</v>
      </c>
      <c r="PD23" s="45" cm="1">
        <f t="array" ref="PD23">IFERROR(INDEX(ArchiveResults!$F$5:$IX$116,ComparisonData!A23,ComparisonData!$PD$1),0)</f>
        <v>0</v>
      </c>
      <c r="PE23" s="56">
        <v>18</v>
      </c>
      <c r="PF23" s="53" t="str">
        <f t="shared" si="58"/>
        <v>Cumbria Archive Centre: Barrow In Furness</v>
      </c>
      <c r="PG23" s="59">
        <f t="shared" si="328"/>
        <v>0</v>
      </c>
      <c r="PH23" s="59">
        <f t="shared" si="329"/>
        <v>0</v>
      </c>
      <c r="PI23" s="59">
        <f t="shared" si="330"/>
        <v>0</v>
      </c>
      <c r="PJ23" s="59">
        <f t="shared" si="331"/>
        <v>0</v>
      </c>
      <c r="PK23" s="59">
        <f t="shared" si="332"/>
        <v>0</v>
      </c>
      <c r="PL23" s="58">
        <f t="shared" si="333"/>
        <v>0</v>
      </c>
      <c r="PM23" s="45">
        <f t="shared" si="334"/>
        <v>32</v>
      </c>
      <c r="PN23" s="45">
        <f t="shared" si="59"/>
        <v>2.5939999999999994</v>
      </c>
      <c r="PO23" s="45">
        <f t="shared" si="335"/>
        <v>1</v>
      </c>
      <c r="PP23" s="45">
        <f t="shared" si="336"/>
        <v>2</v>
      </c>
      <c r="PQ23" s="45">
        <f t="shared" si="337"/>
        <v>0</v>
      </c>
      <c r="PR23" s="46" cm="1">
        <f t="array" ref="PR23">ROUND(IFERROR(INDEX(ArchiveResults!$F$5:$IX$116,ComparisonData!A23,ComparisonData!$PR$1),0),5)</f>
        <v>0</v>
      </c>
      <c r="PS23" s="46" cm="1">
        <f t="array" ref="PS23">ROUND(IFERROR(INDEX(ArchiveResults!$F$5:$IX$116,ComparisonData!A23,ComparisonData!$PS$1),0),5)</f>
        <v>0</v>
      </c>
      <c r="PT23" s="46" cm="1">
        <f t="array" ref="PT23">ROUND(IFERROR(INDEX(ArchiveResults!$F$5:$IX$116,ComparisonData!A23,ComparisonData!$PT$1),0),5)</f>
        <v>0</v>
      </c>
      <c r="PU23" s="46" cm="1">
        <f t="array" ref="PU23">ROUND(IFERROR(INDEX(ArchiveResults!$F$5:$IX$116,ComparisonData!A23,ComparisonData!$PU$1),0),5)</f>
        <v>0</v>
      </c>
      <c r="PV23" s="45" cm="1">
        <f t="array" ref="PV23">IFERROR(INDEX(ArchiveResults!$F$5:$IX$116,ComparisonData!A23,ComparisonData!$PV$1),0)</f>
        <v>0</v>
      </c>
      <c r="PW23" s="56">
        <v>18</v>
      </c>
      <c r="PX23" s="53" t="str">
        <f t="shared" si="60"/>
        <v>Cumbria Archive Centre: Barrow In Furness</v>
      </c>
      <c r="PY23" s="59">
        <f t="shared" si="338"/>
        <v>0</v>
      </c>
      <c r="PZ23" s="59">
        <f t="shared" si="339"/>
        <v>0</v>
      </c>
      <c r="QA23" s="59">
        <f t="shared" si="340"/>
        <v>0</v>
      </c>
      <c r="QB23" s="59">
        <f t="shared" si="341"/>
        <v>0</v>
      </c>
      <c r="QC23" s="59">
        <f t="shared" si="342"/>
        <v>0</v>
      </c>
      <c r="QD23" s="58">
        <f t="shared" si="343"/>
        <v>0</v>
      </c>
      <c r="QE23" s="45">
        <f t="shared" si="344"/>
        <v>32</v>
      </c>
      <c r="QF23" s="45">
        <f t="shared" si="61"/>
        <v>2.5939999999999994</v>
      </c>
      <c r="QG23" s="45">
        <f t="shared" si="345"/>
        <v>1</v>
      </c>
      <c r="QH23" s="45">
        <f t="shared" si="346"/>
        <v>2</v>
      </c>
      <c r="QI23" s="45">
        <f t="shared" si="347"/>
        <v>0</v>
      </c>
      <c r="QJ23" s="46" cm="1">
        <f t="array" ref="QJ23">ROUND(IFERROR(INDEX(ArchiveResults!$F$5:$IX$116,ComparisonData!A23,ComparisonData!$QJ$1),0),5)</f>
        <v>0</v>
      </c>
      <c r="QK23" s="46" cm="1">
        <f t="array" ref="QK23">ROUND(IFERROR(INDEX(ArchiveResults!$F$5:$IX$116,ComparisonData!A23,ComparisonData!$QK$1),0),5)</f>
        <v>0</v>
      </c>
      <c r="QL23" s="46" cm="1">
        <f t="array" ref="QL23">ROUND(IFERROR(INDEX(ArchiveResults!$F$5:$IX$116,ComparisonData!A23,ComparisonData!$QL$1),0),5)</f>
        <v>0</v>
      </c>
      <c r="QM23" s="46" cm="1">
        <f t="array" ref="QM23">ROUND(IFERROR(INDEX(ArchiveResults!$F$5:$IX$116,ComparisonData!A23,ComparisonData!$QM$1),0),5)</f>
        <v>0</v>
      </c>
      <c r="QN23" s="45" cm="1">
        <f t="array" ref="QN23">IFERROR(INDEX(ArchiveResults!$F$5:$IX$116,ComparisonData!A23,ComparisonData!$QN$1),0)</f>
        <v>0</v>
      </c>
      <c r="QO23" s="56">
        <v>18</v>
      </c>
      <c r="QP23" s="53" t="str">
        <f t="shared" si="62"/>
        <v>Cumbria Archive Centre: Barrow In Furness</v>
      </c>
      <c r="QQ23" s="59">
        <f t="shared" si="348"/>
        <v>0</v>
      </c>
      <c r="QR23" s="59">
        <f t="shared" si="349"/>
        <v>0</v>
      </c>
      <c r="QS23" s="59">
        <f t="shared" si="350"/>
        <v>0</v>
      </c>
      <c r="QT23" s="59">
        <f t="shared" si="351"/>
        <v>0</v>
      </c>
      <c r="QU23" s="59">
        <f t="shared" si="352"/>
        <v>0</v>
      </c>
      <c r="QV23" s="58">
        <f t="shared" si="353"/>
        <v>0</v>
      </c>
      <c r="QW23" s="45">
        <f t="shared" si="354"/>
        <v>32</v>
      </c>
      <c r="QX23" s="45">
        <f t="shared" si="63"/>
        <v>2.5939999999999994</v>
      </c>
      <c r="QY23" s="45">
        <f t="shared" si="355"/>
        <v>1</v>
      </c>
      <c r="QZ23" s="45">
        <f t="shared" si="356"/>
        <v>2</v>
      </c>
      <c r="RA23" s="45">
        <f t="shared" si="357"/>
        <v>0</v>
      </c>
      <c r="RB23" s="46" cm="1">
        <f t="array" ref="RB23">ROUND(IFERROR(INDEX(ArchiveResults!$F$5:$IX$116,ComparisonData!A23,ComparisonData!$RB$1),0),5)</f>
        <v>0</v>
      </c>
      <c r="RC23" s="46" cm="1">
        <f t="array" ref="RC23">ROUND(IFERROR(INDEX(ArchiveResults!$F$5:$IX$116,ComparisonData!A23,ComparisonData!$RC$1),0),5)</f>
        <v>0</v>
      </c>
      <c r="RD23" s="46" cm="1">
        <f t="array" ref="RD23">ROUND(IFERROR(INDEX(ArchiveResults!$F$5:$IX$116,ComparisonData!A23,ComparisonData!$RD$1),0),5)</f>
        <v>0</v>
      </c>
      <c r="RE23" s="46" cm="1">
        <f t="array" ref="RE23">ROUND(IFERROR(INDEX(ArchiveResults!$F$5:$IX$116,ComparisonData!A23,ComparisonData!$RE$1),0),5)</f>
        <v>0</v>
      </c>
      <c r="RF23" s="45" cm="1">
        <f t="array" ref="RF23">IFERROR(INDEX(ArchiveResults!$F$5:$IX$116,ComparisonData!A23,ComparisonData!$RF$1),0)</f>
        <v>0</v>
      </c>
      <c r="RG23" s="56">
        <v>18</v>
      </c>
      <c r="RH23" s="53" t="str">
        <f t="shared" si="64"/>
        <v>Cumbria Archive Centre: Barrow In Furness</v>
      </c>
      <c r="RI23" s="59">
        <f t="shared" si="358"/>
        <v>0</v>
      </c>
      <c r="RJ23" s="59">
        <f t="shared" si="359"/>
        <v>0</v>
      </c>
      <c r="RK23" s="59">
        <f t="shared" si="360"/>
        <v>0</v>
      </c>
      <c r="RL23" s="59">
        <f t="shared" si="361"/>
        <v>0</v>
      </c>
      <c r="RM23" s="59">
        <f t="shared" si="362"/>
        <v>0</v>
      </c>
      <c r="RN23" s="58">
        <f t="shared" si="363"/>
        <v>0</v>
      </c>
      <c r="RO23" s="45">
        <f t="shared" si="364"/>
        <v>32</v>
      </c>
      <c r="RP23" s="45">
        <f t="shared" si="65"/>
        <v>2.5939999999999994</v>
      </c>
      <c r="RQ23" s="45">
        <f t="shared" si="365"/>
        <v>1</v>
      </c>
      <c r="RR23" s="45">
        <f t="shared" si="366"/>
        <v>2</v>
      </c>
      <c r="RS23" s="45">
        <f t="shared" si="367"/>
        <v>0</v>
      </c>
      <c r="RT23" s="46" cm="1">
        <f t="array" ref="RT23">ROUND(IFERROR(INDEX(ArchiveResults!$F$5:$IX$116,ComparisonData!A23,ComparisonData!$RT$1),0),5)</f>
        <v>0</v>
      </c>
      <c r="RU23" s="46" cm="1">
        <f t="array" ref="RU23">ROUND(IFERROR(INDEX(ArchiveResults!$F$5:$IX$116,ComparisonData!A23,ComparisonData!$RU$1),0),5)</f>
        <v>0</v>
      </c>
      <c r="RV23" s="46" cm="1">
        <f t="array" ref="RV23">ROUND(IFERROR(INDEX(ArchiveResults!$F$5:$IX$116,ComparisonData!A23,ComparisonData!$RV$1),0),5)</f>
        <v>0</v>
      </c>
      <c r="RW23" s="46" cm="1">
        <f t="array" ref="RW23">ROUND(IFERROR(INDEX(ArchiveResults!$F$5:$IX$116,ComparisonData!A23,ComparisonData!$RW$1),0),5)</f>
        <v>0</v>
      </c>
      <c r="RX23" s="45" cm="1">
        <f t="array" ref="RX23">IFERROR(INDEX(ArchiveResults!$F$5:$IX$116,ComparisonData!A23,ComparisonData!$RX$1),0)</f>
        <v>0</v>
      </c>
      <c r="RY23" s="56">
        <v>18</v>
      </c>
      <c r="RZ23" s="53" t="str">
        <f t="shared" si="66"/>
        <v>Cumbria Archive Centre: Barrow In Furness</v>
      </c>
      <c r="SA23" s="59">
        <f t="shared" si="368"/>
        <v>0</v>
      </c>
      <c r="SB23" s="59">
        <f t="shared" si="369"/>
        <v>0</v>
      </c>
      <c r="SC23" s="59">
        <f t="shared" si="370"/>
        <v>0</v>
      </c>
      <c r="SD23" s="59">
        <f t="shared" si="371"/>
        <v>0</v>
      </c>
      <c r="SE23" s="59">
        <f t="shared" si="372"/>
        <v>0</v>
      </c>
      <c r="SF23" s="58">
        <f t="shared" si="373"/>
        <v>0</v>
      </c>
      <c r="SG23" s="45">
        <f t="shared" si="374"/>
        <v>32</v>
      </c>
      <c r="SH23" s="45">
        <f t="shared" si="67"/>
        <v>2.5939999999999994</v>
      </c>
      <c r="SI23" s="45">
        <f t="shared" si="375"/>
        <v>1</v>
      </c>
      <c r="SJ23" s="45">
        <f t="shared" si="376"/>
        <v>2</v>
      </c>
      <c r="SK23" s="45">
        <f t="shared" si="377"/>
        <v>0</v>
      </c>
      <c r="SL23" s="46" cm="1">
        <f t="array" ref="SL23">ROUND(IFERROR(INDEX(ArchiveResults!$F$5:$IX$116,ComparisonData!A23,ComparisonData!$SL$1),0),5)</f>
        <v>0</v>
      </c>
      <c r="SM23" s="46" cm="1">
        <f t="array" ref="SM23">ROUND(IFERROR(INDEX(ArchiveResults!$F$5:$IX$116,ComparisonData!A23,ComparisonData!$SM$1),0),5)</f>
        <v>0</v>
      </c>
      <c r="SN23" s="46" cm="1">
        <f t="array" ref="SN23">ROUND(IFERROR(INDEX(ArchiveResults!$F$5:$IX$116,ComparisonData!A23,ComparisonData!$SN$1),0),5)</f>
        <v>0</v>
      </c>
      <c r="SO23" s="46" cm="1">
        <f t="array" ref="SO23">ROUND(IFERROR(INDEX(ArchiveResults!$F$5:$IX$116,ComparisonData!A23,ComparisonData!$SO$1),0),5)</f>
        <v>0</v>
      </c>
      <c r="SP23" s="45" cm="1">
        <f t="array" ref="SP23">IFERROR(INDEX(ArchiveResults!$F$5:$IX$116,ComparisonData!A23,ComparisonData!$SP$1),0)</f>
        <v>0</v>
      </c>
      <c r="SQ23" s="56">
        <v>18</v>
      </c>
      <c r="SR23" s="53" t="str">
        <f t="shared" si="68"/>
        <v>Cumbria Archive Centre: Barrow In Furness</v>
      </c>
      <c r="SS23" s="59">
        <f t="shared" si="378"/>
        <v>0</v>
      </c>
      <c r="ST23" s="59">
        <f t="shared" si="379"/>
        <v>0</v>
      </c>
      <c r="SU23" s="59">
        <f t="shared" si="380"/>
        <v>0</v>
      </c>
      <c r="SV23" s="59">
        <f t="shared" si="381"/>
        <v>0</v>
      </c>
      <c r="SW23" s="59">
        <f t="shared" si="382"/>
        <v>0</v>
      </c>
      <c r="SX23" s="58">
        <f t="shared" si="383"/>
        <v>0</v>
      </c>
      <c r="SY23" s="45">
        <f t="shared" si="384"/>
        <v>32</v>
      </c>
      <c r="SZ23" s="45">
        <f t="shared" si="69"/>
        <v>2.5939999999999994</v>
      </c>
      <c r="TA23" s="45">
        <f t="shared" si="385"/>
        <v>1</v>
      </c>
      <c r="TB23" s="45">
        <f t="shared" si="386"/>
        <v>2</v>
      </c>
      <c r="TC23" s="45">
        <f t="shared" si="387"/>
        <v>0</v>
      </c>
      <c r="TD23" s="46" cm="1">
        <f t="array" ref="TD23">ROUND(IFERROR(INDEX(ArchiveResults!$F$5:$IX$116,ComparisonData!A23,ComparisonData!$TD$1),0),5)</f>
        <v>0</v>
      </c>
      <c r="TE23" s="46" cm="1">
        <f t="array" ref="TE23">ROUND(IFERROR(INDEX(ArchiveResults!$F$5:$IX$116,ComparisonData!A23,ComparisonData!$TE$1),0),5)</f>
        <v>0</v>
      </c>
      <c r="TF23" s="46" cm="1">
        <f t="array" ref="TF23">ROUND(IFERROR(INDEX(ArchiveResults!$F$5:$IX$116,ComparisonData!A23,ComparisonData!$TF$1),0),5)</f>
        <v>0</v>
      </c>
      <c r="TG23" s="46" cm="1">
        <f t="array" ref="TG23">ROUND(IFERROR(INDEX(ArchiveResults!$F$5:$IX$116,ComparisonData!A23,ComparisonData!$TG$1),0),5)</f>
        <v>0</v>
      </c>
      <c r="TH23" s="45" cm="1">
        <f t="array" ref="TH23">IFERROR(INDEX(ArchiveResults!$F$5:$IX$116,ComparisonData!A23,ComparisonData!$TH$1),0)</f>
        <v>0</v>
      </c>
      <c r="TI23" s="56">
        <v>18</v>
      </c>
      <c r="TJ23" s="53" t="str">
        <f t="shared" si="70"/>
        <v>Cumbria Archive Centre: Barrow In Furness</v>
      </c>
      <c r="TK23" s="59">
        <f t="shared" si="388"/>
        <v>0</v>
      </c>
      <c r="TL23" s="59">
        <f t="shared" si="389"/>
        <v>0</v>
      </c>
      <c r="TM23" s="59">
        <f t="shared" si="390"/>
        <v>0</v>
      </c>
      <c r="TN23" s="59">
        <f t="shared" si="391"/>
        <v>0</v>
      </c>
      <c r="TO23" s="59">
        <f t="shared" si="392"/>
        <v>0</v>
      </c>
      <c r="TP23" s="58">
        <f t="shared" si="393"/>
        <v>0</v>
      </c>
      <c r="TQ23" s="45">
        <f t="shared" si="394"/>
        <v>32</v>
      </c>
      <c r="TR23" s="45">
        <f t="shared" si="71"/>
        <v>2.5939999999999994</v>
      </c>
      <c r="TS23" s="45">
        <f t="shared" si="395"/>
        <v>1</v>
      </c>
      <c r="TT23" s="45">
        <f t="shared" si="396"/>
        <v>2</v>
      </c>
      <c r="TU23" s="45">
        <f t="shared" si="397"/>
        <v>0</v>
      </c>
      <c r="TV23" s="46" cm="1">
        <f t="array" ref="TV23">ROUND(IFERROR(INDEX(ArchiveResults!$F$5:$IX$116,ComparisonData!A23,ComparisonData!$TV$1),0),5)</f>
        <v>0</v>
      </c>
      <c r="TW23" s="46" cm="1">
        <f t="array" ref="TW23">ROUND(IFERROR(INDEX(ArchiveResults!$F$5:$IX$116,ComparisonData!A23,ComparisonData!$TW$1),0),5)</f>
        <v>0</v>
      </c>
      <c r="TX23" s="46" cm="1">
        <f t="array" ref="TX23">ROUND(IFERROR(INDEX(ArchiveResults!$F$5:$IX$116,ComparisonData!A23,ComparisonData!$TX$1),0),5)</f>
        <v>0</v>
      </c>
      <c r="TY23" s="46" cm="1">
        <f t="array" ref="TY23">ROUND(IFERROR(INDEX(ArchiveResults!$F$5:$IX$116,ComparisonData!A23,ComparisonData!$TY$1),0),5)</f>
        <v>0</v>
      </c>
      <c r="TZ23" s="45" cm="1">
        <f t="array" ref="TZ23">IFERROR(INDEX(ArchiveResults!$F$5:$IX$116,ComparisonData!A23,ComparisonData!$TZ$1),0)</f>
        <v>0</v>
      </c>
      <c r="UA23" s="56">
        <v>18</v>
      </c>
      <c r="UB23" s="53" t="str">
        <f t="shared" si="72"/>
        <v>Cumbria Archive Centre: Barrow In Furness</v>
      </c>
      <c r="UC23" s="60">
        <f t="shared" si="398"/>
        <v>0</v>
      </c>
      <c r="UD23" s="60">
        <f t="shared" si="399"/>
        <v>0</v>
      </c>
      <c r="UE23" s="60">
        <f t="shared" si="400"/>
        <v>0</v>
      </c>
      <c r="UF23" s="60">
        <f t="shared" si="401"/>
        <v>0</v>
      </c>
      <c r="UG23" s="60">
        <f t="shared" si="402"/>
        <v>0</v>
      </c>
      <c r="UH23" s="58">
        <f t="shared" si="403"/>
        <v>0</v>
      </c>
      <c r="UI23" s="46">
        <f t="shared" si="404"/>
        <v>32</v>
      </c>
      <c r="UJ23" s="46">
        <f t="shared" si="73"/>
        <v>2.5939999999999994</v>
      </c>
      <c r="UK23" s="46">
        <f t="shared" si="405"/>
        <v>1</v>
      </c>
      <c r="UL23" s="46">
        <f t="shared" si="406"/>
        <v>2</v>
      </c>
      <c r="UM23" s="46" cm="1">
        <f t="array" ref="UM23">ROUND(IFERROR(INDEX(ArchiveResults!$F$5:$IX$116,ComparisonData!A23,ComparisonData!$UM$1),0),5)</f>
        <v>0</v>
      </c>
      <c r="UN23" s="56">
        <v>18</v>
      </c>
      <c r="UO23" s="53" t="str">
        <f t="shared" si="74"/>
        <v>Cumbria Archive Centre: Barrow In Furness</v>
      </c>
      <c r="UP23" s="46">
        <f t="shared" si="407"/>
        <v>0</v>
      </c>
      <c r="UQ23" s="76">
        <f t="shared" si="408"/>
        <v>0</v>
      </c>
      <c r="UR23" s="46">
        <f t="shared" si="409"/>
        <v>32</v>
      </c>
      <c r="US23" s="46">
        <f t="shared" si="75"/>
        <v>2.5939999999999994</v>
      </c>
      <c r="UT23" s="46">
        <f t="shared" si="410"/>
        <v>1</v>
      </c>
      <c r="UU23" s="46">
        <f t="shared" si="411"/>
        <v>2</v>
      </c>
      <c r="UV23" s="46">
        <f t="shared" si="412"/>
        <v>0</v>
      </c>
      <c r="UW23" s="46" cm="1">
        <f t="array" ref="UW23">ROUND(IFERROR(INDEX(ArchiveResults!$F$5:$IX$116,ComparisonData!A23,ComparisonData!$UW$1),0),5)</f>
        <v>0</v>
      </c>
      <c r="UX23" s="46" cm="1">
        <f t="array" ref="UX23">ROUND(IFERROR(INDEX(ArchiveResults!$F$5:$IX$116,ComparisonData!A23,ComparisonData!$UX$1),0),5)</f>
        <v>0</v>
      </c>
      <c r="UY23" s="46" cm="1">
        <f t="array" ref="UY23">ROUND(IFERROR(INDEX(ArchiveResults!$F$5:$IX$116,ComparisonData!A23,ComparisonData!$UY$1),0),5)</f>
        <v>0</v>
      </c>
      <c r="UZ23" s="46" cm="1">
        <f t="array" ref="UZ23">ROUND(IFERROR(INDEX(ArchiveResults!$F$5:$IX$116,ComparisonData!A23,ComparisonData!$UZ$1),0),5)</f>
        <v>0</v>
      </c>
      <c r="VA23" s="46" cm="1">
        <f t="array" ref="VA23">ROUND(IFERROR(INDEX(ArchiveResults!$F$5:$IX$116,ComparisonData!A23,ComparisonData!$VA$1),0),5)</f>
        <v>0</v>
      </c>
      <c r="VB23" s="56">
        <v>18</v>
      </c>
      <c r="VC23" s="53" t="str">
        <f t="shared" si="76"/>
        <v>Cumbria Archive Centre: Barrow In Furness</v>
      </c>
      <c r="VD23" s="60">
        <f t="shared" si="413"/>
        <v>0</v>
      </c>
      <c r="VE23" s="60">
        <f t="shared" si="414"/>
        <v>0</v>
      </c>
      <c r="VF23" s="60">
        <f t="shared" si="415"/>
        <v>0</v>
      </c>
      <c r="VG23" s="60">
        <f t="shared" si="416"/>
        <v>0</v>
      </c>
      <c r="VH23" s="60">
        <f t="shared" si="417"/>
        <v>0</v>
      </c>
      <c r="VI23" s="76">
        <f t="shared" si="418"/>
        <v>0</v>
      </c>
      <c r="VJ23" s="46">
        <f t="shared" si="419"/>
        <v>32</v>
      </c>
      <c r="VK23" s="46">
        <f t="shared" si="77"/>
        <v>2.5939999999999994</v>
      </c>
      <c r="VL23" s="46">
        <f t="shared" si="420"/>
        <v>1</v>
      </c>
      <c r="VM23" s="46">
        <f t="shared" si="421"/>
        <v>2</v>
      </c>
      <c r="VN23" s="46" cm="1">
        <f t="array" ref="VN23">ROUND(IFERROR(INDEX(ArchiveResults!$F$5:$IX$116,ComparisonData!A23,ComparisonData!$VN$1),0),5)</f>
        <v>0</v>
      </c>
      <c r="VO23" s="46" cm="1">
        <f t="array" ref="VO23">ROUND(IFERROR(INDEX(ArchiveResults!$F$5:$IX$116,ComparisonData!A23,ComparisonData!$VO$1),0),5)</f>
        <v>0</v>
      </c>
      <c r="VP23" s="46" cm="1">
        <f t="array" ref="VP23">ROUND(IFERROR(INDEX(ArchiveResults!$F$5:$IX$116,ComparisonData!A23,ComparisonData!$VP$1),0),5)</f>
        <v>0</v>
      </c>
      <c r="VQ23" s="46" cm="1">
        <f t="array" ref="VQ23">ROUND(IFERROR(INDEX(ArchiveResults!$F$5:$IX$116,ComparisonData!A23,ComparisonData!$VQ$1),0),5)</f>
        <v>0</v>
      </c>
      <c r="VR23" s="56">
        <v>18</v>
      </c>
      <c r="VS23" s="53" t="str">
        <f t="shared" si="78"/>
        <v>Cumbria Archive Centre: Barrow In Furness</v>
      </c>
      <c r="VT23" s="60">
        <f t="shared" si="422"/>
        <v>0</v>
      </c>
      <c r="VU23" s="60">
        <f t="shared" si="423"/>
        <v>0</v>
      </c>
      <c r="VV23" s="60">
        <f t="shared" si="424"/>
        <v>0</v>
      </c>
      <c r="VW23" s="60">
        <f t="shared" si="425"/>
        <v>0</v>
      </c>
      <c r="VX23" s="76">
        <f t="shared" si="426"/>
        <v>0</v>
      </c>
      <c r="VY23" s="46">
        <f t="shared" si="427"/>
        <v>32</v>
      </c>
      <c r="VZ23" s="46">
        <f t="shared" si="79"/>
        <v>2.5939999999999994</v>
      </c>
      <c r="WA23" s="46">
        <f t="shared" si="428"/>
        <v>1</v>
      </c>
      <c r="WB23" s="46">
        <f t="shared" si="429"/>
        <v>2</v>
      </c>
      <c r="WC23" s="46" cm="1">
        <f t="array" ref="WC23">ROUND(IFERROR(INDEX(ArchiveResults!$F$5:$IX$116,ComparisonData!A23,ComparisonData!$WC$1),0),5)</f>
        <v>0</v>
      </c>
      <c r="WD23" s="56">
        <v>18</v>
      </c>
      <c r="WE23" s="53" t="str">
        <f t="shared" si="80"/>
        <v>Cumbria Archive Centre: Barrow In Furness</v>
      </c>
      <c r="WF23" s="46">
        <f t="shared" si="430"/>
        <v>0</v>
      </c>
      <c r="WG23" s="76">
        <f t="shared" si="431"/>
        <v>0</v>
      </c>
      <c r="WH23" s="46">
        <f t="shared" si="432"/>
        <v>32</v>
      </c>
      <c r="WI23" s="46">
        <f t="shared" si="81"/>
        <v>2.5939999999999994</v>
      </c>
      <c r="WJ23" s="46">
        <f t="shared" si="433"/>
        <v>1</v>
      </c>
      <c r="WK23" s="46">
        <f t="shared" si="434"/>
        <v>2</v>
      </c>
      <c r="WL23" s="46" cm="1">
        <f t="array" ref="WL23">ROUND(IFERROR(INDEX(ArchiveResults!$F$5:$IX$116,ComparisonData!A23,ComparisonData!$WL$1),0),5)</f>
        <v>0</v>
      </c>
      <c r="WM23" s="46" cm="1">
        <f t="array" ref="WM23">IFERROR(INDEX(ArchiveResults!$F$5:$IX$116,ComparisonData!A23,ComparisonData!$WM$1),0)</f>
        <v>0</v>
      </c>
      <c r="WN23" s="56">
        <v>18</v>
      </c>
      <c r="WO23" s="53" t="str">
        <f t="shared" si="82"/>
        <v>Cumbria Archive Centre: Barrow In Furness</v>
      </c>
      <c r="WP23" s="60">
        <f t="shared" si="435"/>
        <v>0</v>
      </c>
      <c r="WQ23" s="60">
        <f t="shared" si="436"/>
        <v>0</v>
      </c>
      <c r="WR23" s="76">
        <f t="shared" si="437"/>
        <v>0</v>
      </c>
      <c r="WS23" s="46">
        <f t="shared" si="438"/>
        <v>32</v>
      </c>
      <c r="WT23" s="46">
        <f t="shared" si="83"/>
        <v>2.5939999999999994</v>
      </c>
      <c r="WU23" s="46">
        <f t="shared" si="439"/>
        <v>1</v>
      </c>
      <c r="WV23" s="46">
        <f t="shared" si="440"/>
        <v>2</v>
      </c>
      <c r="WW23" s="46" cm="1">
        <f t="array" ref="WW23">ROUND(VALUE(IFERROR(INDEX(ArchiveResults!$F$5:$IX$116,ComparisonData!A23,ComparisonData!$WW$1),0)),5)</f>
        <v>0</v>
      </c>
      <c r="WX23" s="46" cm="1">
        <f t="array" ref="WX23">ROUND(IFERROR(INDEX(ArchiveResults!$F$5:$IX$116,ComparisonData!A23,ComparisonData!$WX$1),0),5)</f>
        <v>0</v>
      </c>
      <c r="WY23" s="56">
        <v>18</v>
      </c>
      <c r="WZ23" s="53" t="str">
        <f t="shared" si="84"/>
        <v>Cumbria Archive Centre: Barrow In Furness</v>
      </c>
      <c r="XA23" s="60">
        <f t="shared" si="85"/>
        <v>0</v>
      </c>
      <c r="XB23" s="60">
        <f t="shared" si="86"/>
        <v>0</v>
      </c>
      <c r="XC23" s="76">
        <f t="shared" si="441"/>
        <v>0</v>
      </c>
      <c r="XD23" s="46">
        <f t="shared" si="442"/>
        <v>32</v>
      </c>
      <c r="XE23" s="46">
        <f t="shared" si="87"/>
        <v>2.5939999999999994</v>
      </c>
      <c r="XF23" s="46">
        <f t="shared" si="443"/>
        <v>1</v>
      </c>
      <c r="XG23" s="46">
        <f t="shared" si="444"/>
        <v>2</v>
      </c>
      <c r="XH23" s="46" cm="1">
        <f t="array" ref="XH23">ROUND(VALUE(IFERROR(INDEX(ArchiveResults!$F$5:$IX$116,ComparisonData!A23,ComparisonData!$XH$1),0)),5)</f>
        <v>0</v>
      </c>
      <c r="XI23" s="46" cm="1">
        <f t="array" ref="XI23">ROUND(VALUE(IFERROR(INDEX(ArchiveResults!$F$5:$IX$116,ComparisonData!A23,ComparisonData!$XI$1),0)),5)</f>
        <v>0</v>
      </c>
      <c r="XJ23" s="56">
        <v>18</v>
      </c>
      <c r="XK23" s="53" t="str">
        <f t="shared" si="88"/>
        <v>Cumbria Archive Centre: Barrow In Furness</v>
      </c>
      <c r="XL23" s="60">
        <f t="shared" si="445"/>
        <v>0</v>
      </c>
      <c r="XM23" s="60">
        <f t="shared" si="446"/>
        <v>0</v>
      </c>
      <c r="XN23" s="76">
        <f t="shared" si="447"/>
        <v>0</v>
      </c>
      <c r="XO23" s="46">
        <f t="shared" si="448"/>
        <v>32</v>
      </c>
      <c r="XP23" s="46">
        <f t="shared" si="89"/>
        <v>2.5939999999999994</v>
      </c>
      <c r="XQ23" s="46">
        <f t="shared" si="449"/>
        <v>1</v>
      </c>
      <c r="XR23" s="46">
        <f t="shared" si="450"/>
        <v>2</v>
      </c>
      <c r="XS23" s="46" cm="1">
        <f t="array" ref="XS23">ROUND(VALUE(IFERROR(INDEX(ArchiveResults!$F$5:$IX$116,ComparisonData!A23,ComparisonData!$XS$1),0)),5)</f>
        <v>0</v>
      </c>
      <c r="XT23" s="46" cm="1">
        <f t="array" ref="XT23">ROUND(VALUE(IFERROR(INDEX(ArchiveResults!$F$5:$IX$116,ComparisonData!A23,ComparisonData!$XT$1),0)),5)</f>
        <v>0</v>
      </c>
      <c r="XU23" s="56">
        <v>18</v>
      </c>
      <c r="XV23" s="53" t="str">
        <f t="shared" si="90"/>
        <v>Cumbria Archive Centre: Barrow In Furness</v>
      </c>
      <c r="XW23" s="60">
        <f t="shared" si="451"/>
        <v>0</v>
      </c>
      <c r="XX23" s="60">
        <f t="shared" si="452"/>
        <v>0</v>
      </c>
      <c r="XY23" s="76">
        <f t="shared" si="453"/>
        <v>0</v>
      </c>
      <c r="XZ23" s="46">
        <f t="shared" si="454"/>
        <v>32</v>
      </c>
      <c r="YA23" s="46">
        <f t="shared" si="91"/>
        <v>2.5939999999999994</v>
      </c>
      <c r="YB23" s="46">
        <f t="shared" si="455"/>
        <v>1</v>
      </c>
      <c r="YC23" s="46">
        <f t="shared" si="456"/>
        <v>2</v>
      </c>
      <c r="YD23" s="46" cm="1">
        <f t="array" ref="YD23">ROUND(VALUE(IFERROR(INDEX(ArchiveResults!$F$5:$IX$116,ComparisonData!A23,ComparisonData!$YD$1),0)),5)</f>
        <v>0</v>
      </c>
      <c r="YE23" s="46" cm="1">
        <f t="array" ref="YE23">ROUND(VALUE(IFERROR(INDEX(ArchiveResults!$F$5:$IX$116,ComparisonData!A23,ComparisonData!$YE$1),0)),5)</f>
        <v>0</v>
      </c>
      <c r="YF23" s="56">
        <v>18</v>
      </c>
      <c r="YG23" s="53" t="str">
        <f t="shared" si="92"/>
        <v>Cumbria Archive Centre: Barrow In Furness</v>
      </c>
      <c r="YH23" s="60">
        <f t="shared" si="457"/>
        <v>0</v>
      </c>
      <c r="YI23" s="60">
        <f t="shared" si="458"/>
        <v>0</v>
      </c>
      <c r="YJ23" s="76">
        <f t="shared" si="459"/>
        <v>0</v>
      </c>
      <c r="YK23" s="46">
        <f t="shared" si="460"/>
        <v>32</v>
      </c>
      <c r="YL23" s="46">
        <f t="shared" si="93"/>
        <v>2.5939999999999994</v>
      </c>
      <c r="YM23" s="46">
        <f t="shared" si="461"/>
        <v>1</v>
      </c>
      <c r="YN23" s="46">
        <f t="shared" si="462"/>
        <v>2</v>
      </c>
      <c r="YO23" s="46" cm="1">
        <f t="array" ref="YO23">ROUND(VALUE(IFERROR(INDEX(ArchiveResults!$F$5:$IX$116,ComparisonData!A23,ComparisonData!$YO$1),0)),5)</f>
        <v>0</v>
      </c>
      <c r="YP23" s="46" cm="1">
        <f t="array" ref="YP23">ROUND(VALUE(IFERROR(INDEX(ArchiveResults!$F$5:$IX$116,ComparisonData!A23,ComparisonData!$YP$1),0)),5)</f>
        <v>0</v>
      </c>
      <c r="YQ23" s="56">
        <v>18</v>
      </c>
      <c r="YR23" s="53" t="str">
        <f t="shared" si="94"/>
        <v>Cumbria Archive Centre: Barrow In Furness</v>
      </c>
      <c r="YS23" s="60">
        <f t="shared" si="463"/>
        <v>0</v>
      </c>
      <c r="YT23" s="60">
        <f t="shared" si="464"/>
        <v>0</v>
      </c>
      <c r="YU23" s="76">
        <f t="shared" si="465"/>
        <v>0</v>
      </c>
      <c r="YV23" s="46">
        <f t="shared" si="466"/>
        <v>32</v>
      </c>
      <c r="YW23" s="46">
        <f t="shared" si="95"/>
        <v>2.5939999999999994</v>
      </c>
      <c r="YX23" s="46">
        <f t="shared" si="467"/>
        <v>1</v>
      </c>
      <c r="YY23" s="46">
        <f t="shared" si="468"/>
        <v>2</v>
      </c>
      <c r="YZ23" s="46">
        <f t="shared" si="469"/>
        <v>0</v>
      </c>
      <c r="ZA23" s="46" cm="1">
        <f t="array" ref="ZA23">ROUNDDOWN(VALUE(IFERROR(INDEX(ArchiveResults!$F$5:$IX$116,ComparisonData!A23,ComparisonData!$ZA$1),0)),5)</f>
        <v>0</v>
      </c>
      <c r="ZB23" s="46" cm="1">
        <f t="array" ref="ZB23">ROUNDDOWN(VALUE(IFERROR(INDEX(ArchiveResults!$F$5:$IX$116,ComparisonData!A23,ComparisonData!$ZB$1),0)),5)</f>
        <v>0</v>
      </c>
      <c r="ZC23" s="46" cm="1">
        <f t="array" ref="ZC23">ROUNDDOWN(VALUE(IFERROR(INDEX(ArchiveResults!$F$5:$IX$116,ComparisonData!A23,ComparisonData!$ZC$1),0)),5)</f>
        <v>0</v>
      </c>
      <c r="ZD23" s="46" cm="1">
        <f t="array" ref="ZD23">ROUNDDOWN(VALUE(IFERROR(INDEX(ArchiveResults!$F$5:$IX$116,ComparisonData!A23,ComparisonData!$ZD$1),0)),5)</f>
        <v>0</v>
      </c>
      <c r="ZE23" s="46" cm="1">
        <f t="array" ref="ZE23">ROUNDDOWN(VALUE(IFERROR(INDEX(ArchiveResults!$F$5:$IX$116,ComparisonData!A23,ComparisonData!$ZE$1),0)),5)</f>
        <v>0</v>
      </c>
      <c r="ZF23" s="56">
        <v>18</v>
      </c>
      <c r="ZG23" s="53" t="str">
        <f t="shared" si="96"/>
        <v>Cumbria Archive Centre: Barrow In Furness</v>
      </c>
      <c r="ZH23" s="60">
        <f t="shared" si="470"/>
        <v>0</v>
      </c>
      <c r="ZI23" s="60">
        <f t="shared" si="471"/>
        <v>0</v>
      </c>
      <c r="ZJ23" s="60">
        <f t="shared" si="472"/>
        <v>0</v>
      </c>
      <c r="ZK23" s="60">
        <f t="shared" si="473"/>
        <v>0</v>
      </c>
      <c r="ZL23" s="60">
        <f t="shared" si="474"/>
        <v>0</v>
      </c>
      <c r="ZM23" s="76">
        <f t="shared" si="475"/>
        <v>0</v>
      </c>
      <c r="ZN23" s="46">
        <f t="shared" si="476"/>
        <v>32</v>
      </c>
      <c r="ZO23" s="46">
        <f t="shared" si="97"/>
        <v>2.5939999999999994</v>
      </c>
      <c r="ZP23" s="46">
        <f t="shared" si="477"/>
        <v>1</v>
      </c>
      <c r="ZQ23" s="46">
        <f t="shared" si="478"/>
        <v>2</v>
      </c>
      <c r="ZR23" s="46" cm="1">
        <f t="array" ref="ZR23">ROUND(VALUE(IFERROR(INDEX(ArchiveResults!$F$5:$IX$116,ComparisonData!A23,ComparisonData!$ZR$1),0)),5)</f>
        <v>0</v>
      </c>
      <c r="ZS23" s="56">
        <v>18</v>
      </c>
      <c r="ZT23" s="53" t="str">
        <f t="shared" si="98"/>
        <v>Cumbria Archive Centre: Barrow In Furness</v>
      </c>
      <c r="ZU23" s="46">
        <f t="shared" si="479"/>
        <v>0</v>
      </c>
      <c r="ZV23" s="76">
        <f t="shared" si="480"/>
        <v>0</v>
      </c>
      <c r="ZW23" s="81" cm="1">
        <f t="array" ref="ZW23">ROUND((IFERROR(INDEX(ArchiveResults!$F$5:$IX$116,ComparisonData!A23,ComparisonData!$ZW$1),0)),5)</f>
        <v>0</v>
      </c>
      <c r="ZX23" s="81" cm="1">
        <f t="array" ref="ZX23">ROUND((IFERROR(INDEX(ArchiveResults!$F$5:$IX$116,ComparisonData!A23,ComparisonData!$ZX$1),0)),5)</f>
        <v>0</v>
      </c>
      <c r="ZY23" s="81" cm="1">
        <f t="array" ref="ZY23">ROUND((IFERROR(INDEX(ArchiveResults!$F$5:$IX$116,ComparisonData!A23,ComparisonData!$ZY$1),0)),5)</f>
        <v>0</v>
      </c>
      <c r="ZZ23" s="81" cm="1">
        <f t="array" ref="ZZ23">ROUND((IFERROR(INDEX(ArchiveResults!$F$5:$IX$116,ComparisonData!A23,ComparisonData!$ZZ$1),0)),5)</f>
        <v>0</v>
      </c>
      <c r="AAA23" s="81" cm="1">
        <f t="array" ref="AAA23">ROUND((IFERROR(INDEX(ArchiveResults!$F$5:$IX$116,ComparisonData!A23,ComparisonData!$AAA$1),0)),5)</f>
        <v>0</v>
      </c>
      <c r="AAB23" s="81" cm="1">
        <f t="array" ref="AAB23">ROUND((IFERROR(INDEX(ArchiveResults!$F$5:$IX$116,ComparisonData!A23,ComparisonData!$AAB$1),0)),5)</f>
        <v>0</v>
      </c>
      <c r="AAC23" s="81" cm="1">
        <f t="array" ref="AAC23">ROUND((IFERROR(INDEX(ArchiveResults!$F$5:$IX$116,ComparisonData!A23,ComparisonData!$AAC$1),0)),5)</f>
        <v>0</v>
      </c>
      <c r="AAD23" s="81" cm="1">
        <f t="array" ref="AAD23">ROUND((IFERROR(INDEX(ArchiveResults!$F$5:$IX$116,ComparisonData!A23,ComparisonData!$AAD$1),0)),5)</f>
        <v>0</v>
      </c>
      <c r="AAE23" s="81" cm="1">
        <f t="array" ref="AAE23">ROUND((IFERROR(INDEX(ArchiveResults!$F$5:$IX$116,ComparisonData!A23,ComparisonData!$AAE$1),0)),5)</f>
        <v>0</v>
      </c>
      <c r="AAF23" s="81" cm="1">
        <f t="array" ref="AAF23">ROUND((IFERROR(INDEX(ArchiveResults!$F$5:$IX$116,ComparisonData!A23,ComparisonData!$AAF$1),0)),5)</f>
        <v>0</v>
      </c>
      <c r="AAG23" s="46">
        <f t="shared" si="481"/>
        <v>32</v>
      </c>
      <c r="AAH23" s="46">
        <f t="shared" si="99"/>
        <v>2.5939999999999994</v>
      </c>
      <c r="AAI23" s="46">
        <f t="shared" si="482"/>
        <v>1</v>
      </c>
      <c r="AAJ23" s="46">
        <f t="shared" si="483"/>
        <v>2</v>
      </c>
      <c r="AAK23" s="46">
        <f t="shared" si="484"/>
        <v>0</v>
      </c>
      <c r="AAL23" s="46">
        <f t="shared" si="485"/>
        <v>0</v>
      </c>
      <c r="AAM23" s="46">
        <f t="shared" si="486"/>
        <v>0</v>
      </c>
      <c r="AAN23" s="46">
        <f t="shared" si="487"/>
        <v>0</v>
      </c>
      <c r="AAO23" s="46">
        <f t="shared" si="488"/>
        <v>0</v>
      </c>
      <c r="AAP23" s="46">
        <f t="shared" si="489"/>
        <v>0</v>
      </c>
      <c r="AAQ23" s="56">
        <v>18</v>
      </c>
      <c r="AAR23" s="53" t="str">
        <f t="shared" si="100"/>
        <v>Cumbria Archive Centre: Barrow In Furness</v>
      </c>
      <c r="AAS23" s="60">
        <f t="shared" si="490"/>
        <v>0</v>
      </c>
      <c r="AAT23" s="60">
        <f t="shared" si="491"/>
        <v>0</v>
      </c>
      <c r="AAU23" s="60">
        <f t="shared" si="492"/>
        <v>0</v>
      </c>
      <c r="AAV23" s="60">
        <f t="shared" si="493"/>
        <v>0</v>
      </c>
      <c r="AAW23" s="60">
        <f t="shared" si="494"/>
        <v>0</v>
      </c>
      <c r="AAX23" s="76">
        <f t="shared" si="495"/>
        <v>0</v>
      </c>
      <c r="AAY23" s="46">
        <f t="shared" si="496"/>
        <v>32</v>
      </c>
      <c r="AAZ23" s="46">
        <f t="shared" si="101"/>
        <v>2.5939999999999994</v>
      </c>
      <c r="ABA23" s="46">
        <f t="shared" si="497"/>
        <v>1</v>
      </c>
      <c r="ABB23" s="46">
        <f t="shared" si="498"/>
        <v>2</v>
      </c>
      <c r="ABC23" s="46">
        <f t="shared" si="102"/>
        <v>0</v>
      </c>
      <c r="ABD23" s="46" cm="1">
        <f t="array" ref="ABD23">ROUND(VALUE(IFERROR(INDEX(ArchiveResults!$F$5:$IX$116,ComparisonData!A23,ComparisonData!$ABD$1),0)),5)</f>
        <v>0</v>
      </c>
      <c r="ABE23" s="46" cm="1">
        <f t="array" ref="ABE23">ROUND(VALUE(IFERROR(INDEX(ArchiveResults!$F$5:$IX$116,ComparisonData!A23,ComparisonData!$ABE$1),0)),5)</f>
        <v>0</v>
      </c>
      <c r="ABF23" s="46" cm="1">
        <f t="array" ref="ABF23">ROUND(VALUE(IFERROR(INDEX(ArchiveResults!$F$5:$IX$116,ComparisonData!A23,ComparisonData!$ABF$1),0)),5)</f>
        <v>0</v>
      </c>
      <c r="ABG23" s="46" cm="1">
        <f t="array" ref="ABG23">ROUND(VALUE(IFERROR(INDEX(ArchiveResults!$F$5:$IX$116,ComparisonData!A23,ComparisonData!$ABG$1),0)),5)</f>
        <v>0</v>
      </c>
      <c r="ABH23" s="46" cm="1">
        <f t="array" ref="ABH23">ROUND(VALUE(IFERROR(INDEX(ArchiveResults!$F$5:$IX$116,ComparisonData!A23,ComparisonData!$ABH$1),0)),5)</f>
        <v>0</v>
      </c>
      <c r="ABI23" s="56">
        <v>18</v>
      </c>
      <c r="ABJ23" s="53" t="str">
        <f t="shared" si="103"/>
        <v>Cumbria Archive Centre: Barrow In Furness</v>
      </c>
      <c r="ABK23" s="60">
        <f t="shared" si="499"/>
        <v>0</v>
      </c>
      <c r="ABL23" s="60">
        <f t="shared" si="500"/>
        <v>0</v>
      </c>
      <c r="ABM23" s="60">
        <f t="shared" si="501"/>
        <v>0</v>
      </c>
      <c r="ABN23" s="60">
        <f t="shared" si="502"/>
        <v>0</v>
      </c>
      <c r="ABO23" s="60">
        <f t="shared" si="503"/>
        <v>0</v>
      </c>
      <c r="ABP23" s="76">
        <f t="shared" si="504"/>
        <v>0</v>
      </c>
      <c r="ABQ23" s="46">
        <f t="shared" si="505"/>
        <v>32</v>
      </c>
      <c r="ABR23" s="46">
        <f t="shared" si="104"/>
        <v>2.5939999999999994</v>
      </c>
      <c r="ABS23" s="46">
        <f t="shared" si="506"/>
        <v>1</v>
      </c>
      <c r="ABT23" s="46">
        <f t="shared" si="507"/>
        <v>2</v>
      </c>
      <c r="ABU23" s="46" cm="1">
        <f t="array" ref="ABU23">ROUND(VALUE(IFERROR(INDEX(ArchiveResults!$F$5:$IX$116,ComparisonData!A23,ComparisonData!$ABU$1),0)),5)</f>
        <v>0</v>
      </c>
      <c r="ABV23" s="46" cm="1">
        <f t="array" ref="ABV23">ROUND(VALUE(IFERROR(INDEX(ArchiveResults!$F$5:$IX$116,ComparisonData!A23,ComparisonData!$ABV$1),0)),5)</f>
        <v>0</v>
      </c>
      <c r="ABW23" s="46" cm="1">
        <f t="array" ref="ABW23">ROUND(VALUE(IFERROR(INDEX(ArchiveResults!$F$5:$IX$116,ComparisonData!A23,ComparisonData!$ABW$1),0)),5)</f>
        <v>0</v>
      </c>
      <c r="ABX23" s="46" cm="1">
        <f t="array" ref="ABX23">ROUND(VALUE(IFERROR(INDEX(ArchiveResults!$F$5:$IX$116,ComparisonData!A23,ComparisonData!$ABX$1),0)),5)</f>
        <v>0</v>
      </c>
      <c r="ABY23" s="46" cm="1">
        <f t="array" ref="ABY23">ROUND(VALUE(IFERROR(INDEX(ArchiveResults!$F$5:$IX$116,ComparisonData!A23,ComparisonData!$ABY$1),0)),5)</f>
        <v>0</v>
      </c>
      <c r="ABZ23" s="56">
        <v>18</v>
      </c>
      <c r="ACA23" s="53" t="str">
        <f t="shared" si="105"/>
        <v>Cumbria Archive Centre: Barrow In Furness</v>
      </c>
      <c r="ACB23" s="60">
        <f t="shared" si="508"/>
        <v>0</v>
      </c>
      <c r="ACC23" s="60">
        <f t="shared" si="509"/>
        <v>0</v>
      </c>
      <c r="ACD23" s="60">
        <f t="shared" si="510"/>
        <v>0</v>
      </c>
      <c r="ACE23" s="60">
        <f t="shared" si="511"/>
        <v>0</v>
      </c>
      <c r="ACF23" s="60">
        <f t="shared" si="512"/>
        <v>0</v>
      </c>
      <c r="ACG23" s="76">
        <f t="shared" si="513"/>
        <v>0</v>
      </c>
      <c r="ACH23" s="46">
        <f t="shared" si="514"/>
        <v>32</v>
      </c>
      <c r="ACI23" s="46">
        <f t="shared" si="106"/>
        <v>2.5939999999999994</v>
      </c>
      <c r="ACJ23" s="46">
        <f t="shared" si="515"/>
        <v>1</v>
      </c>
      <c r="ACK23" s="46">
        <f t="shared" si="516"/>
        <v>2</v>
      </c>
      <c r="ACL23" s="46">
        <f t="shared" si="517"/>
        <v>0</v>
      </c>
      <c r="ACM23" s="46" cm="1">
        <f t="array" ref="ACM23">ROUND(IFERROR(INDEX(ArchiveResults!$F$5:$IX$116,ComparisonData!A23,ComparisonData!$ACM$1),0),5)</f>
        <v>0</v>
      </c>
      <c r="ACN23" s="46" cm="1">
        <f t="array" ref="ACN23">ROUND(IFERROR(INDEX(ArchiveResults!$F$5:$IX$116,ComparisonData!A23,ComparisonData!$ACN$1),0),5)</f>
        <v>0</v>
      </c>
      <c r="ACO23" s="56">
        <v>18</v>
      </c>
      <c r="ACP23" s="53" t="str">
        <f t="shared" si="107"/>
        <v>Cumbria Archive Centre: Barrow In Furness</v>
      </c>
      <c r="ACQ23" s="60">
        <f t="shared" si="518"/>
        <v>0</v>
      </c>
      <c r="ACR23" s="60">
        <f t="shared" si="519"/>
        <v>0</v>
      </c>
      <c r="ACS23" s="76">
        <f t="shared" si="520"/>
        <v>0</v>
      </c>
      <c r="ACT23" s="46">
        <f t="shared" si="521"/>
        <v>32</v>
      </c>
      <c r="ACU23" s="46">
        <f t="shared" si="108"/>
        <v>2.5939999999999994</v>
      </c>
      <c r="ACV23" s="46">
        <f t="shared" si="522"/>
        <v>1</v>
      </c>
      <c r="ACW23" s="46">
        <f t="shared" si="523"/>
        <v>2</v>
      </c>
      <c r="ACX23" s="46">
        <f t="shared" si="524"/>
        <v>0</v>
      </c>
      <c r="ACY23" s="46" cm="1">
        <f t="array" ref="ACY23">ROUNDDOWN(IFERROR(INDEX(ArchiveResults!$F$5:$IX$116,ComparisonData!A23,ComparisonData!$ACY$1),0),5)</f>
        <v>0</v>
      </c>
      <c r="ACZ23" s="46" cm="1">
        <f t="array" ref="ACZ23">ROUNDDOWN(IFERROR(INDEX(ArchiveResults!$F$5:$IX$116,ComparisonData!A23,ComparisonData!$ACZ$1),0),5)</f>
        <v>0</v>
      </c>
      <c r="ADA23" s="46" cm="1">
        <f t="array" ref="ADA23">ROUNDDOWN(IFERROR(INDEX(ArchiveResults!$F$5:$IX$116,ComparisonData!A23,ComparisonData!$ADA$1),0),5)</f>
        <v>0</v>
      </c>
      <c r="ADB23" s="56">
        <v>18</v>
      </c>
      <c r="ADC23" s="53" t="str">
        <f t="shared" si="109"/>
        <v>Cumbria Archive Centre: Barrow In Furness</v>
      </c>
      <c r="ADD23" s="60">
        <f t="shared" si="525"/>
        <v>0</v>
      </c>
      <c r="ADE23" s="60">
        <f t="shared" si="526"/>
        <v>0</v>
      </c>
      <c r="ADF23" s="60">
        <f t="shared" si="527"/>
        <v>0</v>
      </c>
      <c r="ADG23" s="76">
        <f t="shared" si="528"/>
        <v>0</v>
      </c>
    </row>
    <row r="24" spans="1:787" x14ac:dyDescent="0.25">
      <c r="A24" s="46" t="str">
        <f>IF(ISBLANK(ComparisonSelection!F20),"",ROW()-5)</f>
        <v/>
      </c>
      <c r="B24" s="53" t="s">
        <v>473</v>
      </c>
      <c r="C24" s="72">
        <v>0.59899999999999964</v>
      </c>
      <c r="D24" s="55">
        <f t="shared" si="110"/>
        <v>33</v>
      </c>
      <c r="E24" s="54">
        <f t="shared" si="111"/>
        <v>2.5989999999999998</v>
      </c>
      <c r="F24" s="54">
        <f t="shared" si="529"/>
        <v>1</v>
      </c>
      <c r="G24" s="72">
        <f t="shared" si="112"/>
        <v>2</v>
      </c>
      <c r="H24" s="72">
        <f t="shared" si="113"/>
        <v>0</v>
      </c>
      <c r="I24" s="46" cm="1">
        <f t="array" ref="I24">ROUND(IFERROR(INDEX(ArchiveResults!$F$5:$IX$116,ComparisonData!A24,ComparisonData!$I$1),0),5)</f>
        <v>0</v>
      </c>
      <c r="J24" s="46" cm="1">
        <f t="array" ref="J24">ROUND(IFERROR(INDEX(ArchiveResults!$F$5:$IX$116,ComparisonData!A24,ComparisonData!$J$1),0),5)</f>
        <v>0</v>
      </c>
      <c r="K24" s="56">
        <v>19</v>
      </c>
      <c r="L24" s="53" t="str">
        <f t="shared" si="114"/>
        <v>Cumbria Archive Centre: Carlisle</v>
      </c>
      <c r="M24" s="57">
        <f t="shared" si="0"/>
        <v>0</v>
      </c>
      <c r="N24" s="57">
        <f t="shared" si="1"/>
        <v>0</v>
      </c>
      <c r="O24" s="58">
        <f t="shared" si="115"/>
        <v>0</v>
      </c>
      <c r="P24" s="48">
        <f t="shared" si="116"/>
        <v>33</v>
      </c>
      <c r="Q24" s="54">
        <f t="shared" si="2"/>
        <v>2.5989999999999998</v>
      </c>
      <c r="R24" s="45">
        <f t="shared" si="117"/>
        <v>1</v>
      </c>
      <c r="S24" s="46">
        <f t="shared" si="118"/>
        <v>2</v>
      </c>
      <c r="T24" s="72">
        <f t="shared" si="119"/>
        <v>0</v>
      </c>
      <c r="U24" s="46" cm="1">
        <f t="array" ref="U24">ROUND(IFERROR(INDEX(ArchiveResults!$F$5:$IX$116,ComparisonData!A24,ComparisonData!$U$1),0),5)</f>
        <v>0</v>
      </c>
      <c r="V24" s="46" cm="1">
        <f t="array" ref="V24">ROUND(IFERROR(INDEX(ArchiveResults!$F$5:$IX$116,ComparisonData!A24,ComparisonData!$V$1),0),5)</f>
        <v>0</v>
      </c>
      <c r="W24" s="56">
        <v>19</v>
      </c>
      <c r="X24" s="53" t="str">
        <f t="shared" si="3"/>
        <v>Cumbria Archive Centre: Carlisle</v>
      </c>
      <c r="Y24" s="57">
        <f t="shared" si="120"/>
        <v>0</v>
      </c>
      <c r="Z24" s="57">
        <f t="shared" si="121"/>
        <v>0</v>
      </c>
      <c r="AA24" s="58">
        <f t="shared" si="122"/>
        <v>0</v>
      </c>
      <c r="AB24" s="45">
        <f t="shared" si="123"/>
        <v>33</v>
      </c>
      <c r="AC24" s="54">
        <f t="shared" si="4"/>
        <v>2.5989999999999998</v>
      </c>
      <c r="AD24" s="45">
        <f t="shared" si="124"/>
        <v>1</v>
      </c>
      <c r="AE24" s="45">
        <f t="shared" si="125"/>
        <v>2</v>
      </c>
      <c r="AF24" s="45">
        <f t="shared" si="126"/>
        <v>0</v>
      </c>
      <c r="AG24" s="46" cm="1">
        <f t="array" ref="AG24">ROUND(IFERROR(INDEX(ArchiveResults!$F$5:$IX$116,ComparisonData!A24,ComparisonData!$AG$1),0),5)</f>
        <v>0</v>
      </c>
      <c r="AH24" s="46" cm="1">
        <f t="array" ref="AH24">ROUND(IFERROR(INDEX(ArchiveResults!$F$5:$IX$116,ComparisonData!A24,ComparisonData!$AH$1),0),5)</f>
        <v>0</v>
      </c>
      <c r="AI24" s="56">
        <v>19</v>
      </c>
      <c r="AJ24" s="53" t="str">
        <f t="shared" si="5"/>
        <v>Cumbria Archive Centre: Carlisle</v>
      </c>
      <c r="AK24" s="59">
        <f t="shared" si="6"/>
        <v>0</v>
      </c>
      <c r="AL24" s="59">
        <f t="shared" si="7"/>
        <v>0</v>
      </c>
      <c r="AM24" s="58">
        <f t="shared" si="127"/>
        <v>0</v>
      </c>
      <c r="AN24" s="45">
        <f t="shared" si="128"/>
        <v>33</v>
      </c>
      <c r="AO24" s="54">
        <f t="shared" si="8"/>
        <v>2.5989999999999998</v>
      </c>
      <c r="AP24" s="45">
        <f t="shared" si="129"/>
        <v>1</v>
      </c>
      <c r="AQ24" s="45">
        <f t="shared" si="130"/>
        <v>2</v>
      </c>
      <c r="AR24" s="46" cm="1">
        <f t="array" ref="AR24">ROUND(IFERROR(INDEX(ArchiveResults!$F$5:$IX$116,ComparisonData!A24,ComparisonData!$AR$1),0),5)</f>
        <v>0</v>
      </c>
      <c r="AS24" s="46" cm="1">
        <f t="array" ref="AS24">ROUND(IFERROR(INDEX(ArchiveResults!$F$5:$IX$116,ComparisonData!A24,ComparisonData!$AS$1),0),5)</f>
        <v>0</v>
      </c>
      <c r="AT24" s="46" cm="1">
        <f t="array" ref="AT24">ROUND(IFERROR(INDEX(ArchiveResults!$F$5:$IX$116,ComparisonData!A24,ComparisonData!$AT$1),0),5)</f>
        <v>0</v>
      </c>
      <c r="AU24" s="46" cm="1">
        <f t="array" ref="AU24">ROUND(IFERROR(INDEX(ArchiveResults!$F$5:$IX$116,ComparisonData!A24,ComparisonData!$AU$1),0),5)</f>
        <v>0</v>
      </c>
      <c r="AV24" s="46" cm="1">
        <f t="array" ref="AV24">ROUND(IFERROR(INDEX(ArchiveResults!$F$5:$IX$116,ComparisonData!A24,ComparisonData!$AV$1),0),5)</f>
        <v>0</v>
      </c>
      <c r="AW24" s="46" cm="1">
        <f t="array" ref="AW24">ROUND(IFERROR(INDEX(ArchiveResults!$F$5:$IX$116,ComparisonData!A24,ComparisonData!$AW$1),0),5)</f>
        <v>0</v>
      </c>
      <c r="AX24" s="46" cm="1">
        <f t="array" ref="AX24">ROUND(IFERROR(INDEX(ArchiveResults!$F$5:$IX$116,ComparisonData!A24,ComparisonData!$AX$1),0),5)</f>
        <v>0</v>
      </c>
      <c r="AY24" s="46" cm="1">
        <f t="array" ref="AY24">ROUND(IFERROR(INDEX(ArchiveResults!$F$5:$IX$116,ComparisonData!A24,ComparisonData!$AY$1),0),5)</f>
        <v>0</v>
      </c>
      <c r="AZ24" s="46" cm="1">
        <f t="array" ref="AZ24">ROUND(IFERROR(INDEX(ArchiveResults!$F$5:$IX$116,ComparisonData!A24,ComparisonData!$AZ$1),0),5)</f>
        <v>0</v>
      </c>
      <c r="BA24" s="46" cm="1">
        <f t="array" ref="BA24">ROUND(IFERROR(INDEX(ArchiveResults!$F$5:$IX$116,ComparisonData!A24,ComparisonData!$BA$1),0),5)</f>
        <v>0</v>
      </c>
      <c r="BB24" s="56">
        <v>19</v>
      </c>
      <c r="BC24" s="53" t="str">
        <f t="shared" si="9"/>
        <v>Cumbria Archive Centre: Carlisle</v>
      </c>
      <c r="BD24" s="60">
        <f t="shared" si="131"/>
        <v>0</v>
      </c>
      <c r="BE24" s="60">
        <f t="shared" si="132"/>
        <v>0</v>
      </c>
      <c r="BF24" s="60">
        <f t="shared" si="133"/>
        <v>0</v>
      </c>
      <c r="BG24" s="60">
        <f t="shared" si="134"/>
        <v>0</v>
      </c>
      <c r="BH24" s="60">
        <f t="shared" si="135"/>
        <v>0</v>
      </c>
      <c r="BI24" s="60">
        <f t="shared" si="136"/>
        <v>0</v>
      </c>
      <c r="BJ24" s="60">
        <f t="shared" si="137"/>
        <v>0</v>
      </c>
      <c r="BK24" s="60">
        <f t="shared" si="138"/>
        <v>0</v>
      </c>
      <c r="BL24" s="60">
        <f t="shared" si="139"/>
        <v>0</v>
      </c>
      <c r="BM24" s="59">
        <f t="shared" si="140"/>
        <v>0</v>
      </c>
      <c r="BN24" s="58">
        <f t="shared" si="141"/>
        <v>0</v>
      </c>
      <c r="BO24" s="45">
        <f t="shared" si="142"/>
        <v>33</v>
      </c>
      <c r="BP24" s="54">
        <f t="shared" si="10"/>
        <v>2.5989999999999998</v>
      </c>
      <c r="BQ24" s="45">
        <f t="shared" si="143"/>
        <v>1</v>
      </c>
      <c r="BR24" s="45">
        <f t="shared" si="144"/>
        <v>2</v>
      </c>
      <c r="BS24" s="46" cm="1">
        <f t="array" ref="BS24">ROUND(IFERROR(INDEX(ArchiveResults!$F$5:$IX$116,ComparisonData!A24,ComparisonData!$BS$1),0),5)</f>
        <v>0</v>
      </c>
      <c r="BT24" s="46" cm="1">
        <f t="array" ref="BT24">ROUND(IFERROR(INDEX(ArchiveResults!$F$5:$IX$116,ComparisonData!A24,ComparisonData!$BT$1),0),5)</f>
        <v>0</v>
      </c>
      <c r="BU24" s="46" cm="1">
        <f t="array" ref="BU24">ROUND(IFERROR(INDEX(ArchiveResults!$F$5:$IX$116,ComparisonData!A24,ComparisonData!$BU$1),0),5)</f>
        <v>0</v>
      </c>
      <c r="BV24" s="46" cm="1">
        <f t="array" ref="BV24">ROUND(IFERROR(INDEX(ArchiveResults!$F$5:$IX$116,ComparisonData!A24,ComparisonData!$BV$1),0),5)</f>
        <v>0</v>
      </c>
      <c r="BW24" s="46" cm="1">
        <f t="array" ref="BW24">ROUND(IFERROR(INDEX(ArchiveResults!$F$5:$IX$116,ComparisonData!A24,ComparisonData!$BW$1),0),5)</f>
        <v>0</v>
      </c>
      <c r="BX24" s="46" cm="1">
        <f t="array" ref="BX24">ROUND(IFERROR(INDEX(ArchiveResults!$F$5:$IX$116,ComparisonData!A24,ComparisonData!$BX$1),0),5)</f>
        <v>0</v>
      </c>
      <c r="BY24" s="56">
        <v>19</v>
      </c>
      <c r="BZ24" s="53" t="str">
        <f t="shared" si="11"/>
        <v>Cumbria Archive Centre: Carlisle</v>
      </c>
      <c r="CA24" s="59">
        <f t="shared" si="145"/>
        <v>0</v>
      </c>
      <c r="CB24" s="59">
        <f t="shared" si="146"/>
        <v>0</v>
      </c>
      <c r="CC24" s="59">
        <f t="shared" si="147"/>
        <v>0</v>
      </c>
      <c r="CD24" s="59">
        <f t="shared" si="148"/>
        <v>0</v>
      </c>
      <c r="CE24" s="59">
        <f t="shared" si="149"/>
        <v>0</v>
      </c>
      <c r="CF24" s="59">
        <f t="shared" si="150"/>
        <v>0</v>
      </c>
      <c r="CG24" s="58">
        <f t="shared" si="151"/>
        <v>0</v>
      </c>
      <c r="CH24" s="45">
        <f t="shared" si="152"/>
        <v>33</v>
      </c>
      <c r="CI24" s="54">
        <f t="shared" si="12"/>
        <v>2.5989999999999998</v>
      </c>
      <c r="CJ24" s="45">
        <f t="shared" si="153"/>
        <v>1</v>
      </c>
      <c r="CK24" s="45">
        <f t="shared" si="154"/>
        <v>2</v>
      </c>
      <c r="CL24" s="46" cm="1">
        <f t="array" ref="CL24">ROUND(IFERROR(INDEX(ArchiveResults!$F$5:$IX$116,ComparisonData!A24,ComparisonData!$CL$1),0),5)</f>
        <v>0</v>
      </c>
      <c r="CM24" s="56">
        <v>19</v>
      </c>
      <c r="CN24" s="53" t="str">
        <f t="shared" si="13"/>
        <v>Cumbria Archive Centre: Carlisle</v>
      </c>
      <c r="CO24" s="45">
        <f t="shared" si="155"/>
        <v>0</v>
      </c>
      <c r="CP24" s="58">
        <f t="shared" si="156"/>
        <v>0</v>
      </c>
      <c r="CQ24" s="45">
        <f t="shared" si="157"/>
        <v>33</v>
      </c>
      <c r="CR24" s="54">
        <f t="shared" si="14"/>
        <v>2.5989999999999998</v>
      </c>
      <c r="CS24" s="45">
        <f t="shared" si="158"/>
        <v>1</v>
      </c>
      <c r="CT24" s="45">
        <f t="shared" si="159"/>
        <v>2</v>
      </c>
      <c r="CU24" s="46" cm="1">
        <f t="array" ref="CU24">ROUND(IFERROR(INDEX(ArchiveResults!$F$5:$IX$116,ComparisonData!A24,ComparisonData!$CU$1),0),5)</f>
        <v>0</v>
      </c>
      <c r="CV24" s="56">
        <v>19</v>
      </c>
      <c r="CW24" s="53" t="str">
        <f t="shared" si="15"/>
        <v>Cumbria Archive Centre: Carlisle</v>
      </c>
      <c r="CX24" s="45">
        <f t="shared" si="160"/>
        <v>0</v>
      </c>
      <c r="CY24" s="58">
        <f t="shared" si="161"/>
        <v>0</v>
      </c>
      <c r="CZ24" s="45">
        <f t="shared" si="162"/>
        <v>33</v>
      </c>
      <c r="DA24" s="54">
        <f t="shared" si="16"/>
        <v>2.5989999999999998</v>
      </c>
      <c r="DB24" s="45">
        <f t="shared" si="163"/>
        <v>1</v>
      </c>
      <c r="DC24" s="45">
        <f t="shared" si="164"/>
        <v>2</v>
      </c>
      <c r="DD24" s="46" cm="1">
        <f t="array" ref="DD24">ROUND(IFERROR(INDEX(ArchiveResults!$F$5:$IX$116,ComparisonData!A24,ComparisonData!$DD$1),0),5)</f>
        <v>0</v>
      </c>
      <c r="DE24" s="56">
        <v>19</v>
      </c>
      <c r="DF24" s="53" t="str">
        <f t="shared" si="17"/>
        <v>Cumbria Archive Centre: Carlisle</v>
      </c>
      <c r="DG24" s="45">
        <f t="shared" si="165"/>
        <v>0</v>
      </c>
      <c r="DH24" s="58">
        <f t="shared" si="166"/>
        <v>0</v>
      </c>
      <c r="DI24" s="45">
        <f t="shared" si="167"/>
        <v>33</v>
      </c>
      <c r="DJ24" s="54">
        <f t="shared" si="18"/>
        <v>2.5989999999999998</v>
      </c>
      <c r="DK24" s="45">
        <f t="shared" si="168"/>
        <v>1</v>
      </c>
      <c r="DL24" s="45">
        <f t="shared" si="169"/>
        <v>2</v>
      </c>
      <c r="DM24" s="46" cm="1">
        <f t="array" ref="DM24">ROUND(IFERROR(INDEX(ArchiveResults!$F$5:$IX$116,ComparisonData!A24,ComparisonData!$DM$1),0),5)</f>
        <v>0</v>
      </c>
      <c r="DN24" s="46" cm="1">
        <f t="array" ref="DN24">ROUND(IFERROR(INDEX(ArchiveResults!$F$5:$IX$116,ComparisonData!A24,ComparisonData!$DN$1),0),5)</f>
        <v>0</v>
      </c>
      <c r="DO24" s="46" cm="1">
        <f t="array" ref="DO24">ROUND(IFERROR(INDEX(ArchiveResults!$F$5:$IX$116,ComparisonData!A24,ComparisonData!$DO$1),0),5)</f>
        <v>0</v>
      </c>
      <c r="DP24" s="46" cm="1">
        <f t="array" ref="DP24">ROUND(IFERROR(INDEX(ArchiveResults!$F$5:$IX$116,ComparisonData!A24,ComparisonData!$DP$1),0),5)</f>
        <v>0</v>
      </c>
      <c r="DQ24" s="45" cm="1">
        <f t="array" ref="DQ24">IFERROR(INDEX(ArchiveResults!$F$5:$IX$116,ComparisonData!A24,ComparisonData!$DQ$1),0)</f>
        <v>0</v>
      </c>
      <c r="DR24" s="56">
        <v>19</v>
      </c>
      <c r="DS24" s="53" t="str">
        <f t="shared" si="19"/>
        <v>Cumbria Archive Centre: Carlisle</v>
      </c>
      <c r="DT24" s="59">
        <f t="shared" si="170"/>
        <v>0</v>
      </c>
      <c r="DU24" s="59">
        <f t="shared" si="171"/>
        <v>0</v>
      </c>
      <c r="DV24" s="59">
        <f t="shared" si="172"/>
        <v>0</v>
      </c>
      <c r="DW24" s="59">
        <f t="shared" si="173"/>
        <v>0</v>
      </c>
      <c r="DX24" s="59">
        <f t="shared" si="174"/>
        <v>0</v>
      </c>
      <c r="DY24" s="58">
        <f t="shared" si="175"/>
        <v>0</v>
      </c>
      <c r="DZ24" s="45">
        <f t="shared" si="176"/>
        <v>33</v>
      </c>
      <c r="EA24" s="54">
        <f t="shared" si="20"/>
        <v>2.5989999999999998</v>
      </c>
      <c r="EB24" s="45">
        <f t="shared" si="177"/>
        <v>1</v>
      </c>
      <c r="EC24" s="45">
        <f t="shared" si="178"/>
        <v>2</v>
      </c>
      <c r="ED24" s="46" cm="1">
        <f t="array" ref="ED24">ROUND(IFERROR(INDEX(ArchiveResults!$F$5:$IX$116,ComparisonData!A24,ComparisonData!$ED$1),0),5)</f>
        <v>0</v>
      </c>
      <c r="EE24" s="46" cm="1">
        <f t="array" ref="EE24">ROUND(IFERROR(INDEX(ArchiveResults!$F$5:$IX$116,ComparisonData!A24,ComparisonData!$EE$1),0),5)</f>
        <v>0</v>
      </c>
      <c r="EF24" s="46" cm="1">
        <f t="array" ref="EF24">ROUND(IFERROR(INDEX(ArchiveResults!$F$5:$IX$116,ComparisonData!A24,ComparisonData!$EF$1),0),5)</f>
        <v>0</v>
      </c>
      <c r="EG24" s="46" cm="1">
        <f t="array" ref="EG24">ROUND(IFERROR(INDEX(ArchiveResults!$F$5:$IX$116,ComparisonData!A24,ComparisonData!$EG$1),0),5)</f>
        <v>0</v>
      </c>
      <c r="EH24" s="45" cm="1">
        <f t="array" ref="EH24">IFERROR(INDEX(ArchiveResults!$F$5:$IX$116,ComparisonData!A24,ComparisonData!$EH$1),0)</f>
        <v>0</v>
      </c>
      <c r="EI24" s="56">
        <v>19</v>
      </c>
      <c r="EJ24" s="53" t="str">
        <f t="shared" si="21"/>
        <v>Cumbria Archive Centre: Carlisle</v>
      </c>
      <c r="EK24" s="59">
        <f t="shared" si="179"/>
        <v>0</v>
      </c>
      <c r="EL24" s="59">
        <f t="shared" si="180"/>
        <v>0</v>
      </c>
      <c r="EM24" s="59">
        <f t="shared" si="181"/>
        <v>0</v>
      </c>
      <c r="EN24" s="59">
        <f t="shared" si="182"/>
        <v>0</v>
      </c>
      <c r="EO24" s="59">
        <f t="shared" si="183"/>
        <v>0</v>
      </c>
      <c r="EP24" s="58">
        <f t="shared" si="184"/>
        <v>0</v>
      </c>
      <c r="EQ24" s="45">
        <f t="shared" si="185"/>
        <v>33</v>
      </c>
      <c r="ER24" s="54">
        <f t="shared" si="22"/>
        <v>2.5989999999999998</v>
      </c>
      <c r="ES24" s="45">
        <f t="shared" si="186"/>
        <v>1</v>
      </c>
      <c r="ET24" s="45">
        <f t="shared" si="187"/>
        <v>2</v>
      </c>
      <c r="EU24" s="46" cm="1">
        <f t="array" ref="EU24">ROUND(IFERROR(INDEX(ArchiveResults!$F$5:$IX$116,ComparisonData!A24,ComparisonData!$EU$1),0),5)</f>
        <v>0</v>
      </c>
      <c r="EV24" s="46" cm="1">
        <f t="array" ref="EV24">ROUND(IFERROR(INDEX(ArchiveResults!$F$5:$IX$116,ComparisonData!A24,ComparisonData!$EV$1),0),5)</f>
        <v>0</v>
      </c>
      <c r="EW24" s="46" cm="1">
        <f t="array" ref="EW24">ROUND(IFERROR(INDEX(ArchiveResults!$F$5:$IX$116,ComparisonData!A24,ComparisonData!$EW$1),0),5)</f>
        <v>0</v>
      </c>
      <c r="EX24" s="46" cm="1">
        <f t="array" ref="EX24">ROUND(IFERROR(INDEX(ArchiveResults!$F$5:$IX$116,ComparisonData!A24,ComparisonData!$EX$1),0),5)</f>
        <v>0</v>
      </c>
      <c r="EY24" s="45" cm="1">
        <f t="array" ref="EY24">IFERROR(INDEX(ArchiveResults!$F$5:$IX$116,ComparisonData!A24,ComparisonData!$EY$1),0)</f>
        <v>0</v>
      </c>
      <c r="EZ24" s="56">
        <v>19</v>
      </c>
      <c r="FA24" s="53" t="str">
        <f t="shared" si="23"/>
        <v>Cumbria Archive Centre: Carlisle</v>
      </c>
      <c r="FB24" s="59">
        <f t="shared" si="188"/>
        <v>0</v>
      </c>
      <c r="FC24" s="59">
        <f t="shared" si="189"/>
        <v>0</v>
      </c>
      <c r="FD24" s="59">
        <f t="shared" si="190"/>
        <v>0</v>
      </c>
      <c r="FE24" s="59">
        <f t="shared" si="191"/>
        <v>0</v>
      </c>
      <c r="FF24" s="59">
        <f t="shared" si="192"/>
        <v>0</v>
      </c>
      <c r="FG24" s="58">
        <f t="shared" si="193"/>
        <v>0</v>
      </c>
      <c r="FH24" s="45">
        <f t="shared" si="194"/>
        <v>33</v>
      </c>
      <c r="FI24" s="54">
        <f t="shared" si="24"/>
        <v>2.5989999999999998</v>
      </c>
      <c r="FJ24" s="45">
        <f t="shared" si="195"/>
        <v>1</v>
      </c>
      <c r="FK24" s="45">
        <f t="shared" si="196"/>
        <v>2</v>
      </c>
      <c r="FL24" s="46" cm="1">
        <f t="array" ref="FL24">ROUND(IFERROR(INDEX(ArchiveResults!$F$5:$IX$116,ComparisonData!A24,ComparisonData!$FL$1),0),5)</f>
        <v>0</v>
      </c>
      <c r="FM24" s="46" cm="1">
        <f t="array" ref="FM24">ROUND(IFERROR(INDEX(ArchiveResults!$F$5:$IX$116,ComparisonData!A24,ComparisonData!$FM$1),0),5)</f>
        <v>0</v>
      </c>
      <c r="FN24" s="46" cm="1">
        <f t="array" ref="FN24">ROUND(IFERROR(INDEX(ArchiveResults!$F$5:$IX$116,ComparisonData!A24,ComparisonData!$FN$1),0),5)</f>
        <v>0</v>
      </c>
      <c r="FO24" s="46" cm="1">
        <f t="array" ref="FO24">ROUND(IFERROR(INDEX(ArchiveResults!$F$5:$IX$116,ComparisonData!A24,ComparisonData!$FO$1),0),5)</f>
        <v>0</v>
      </c>
      <c r="FP24" s="45" cm="1">
        <f t="array" ref="FP24">IFERROR(INDEX(ArchiveResults!$F$5:$IX$116,ComparisonData!A24,ComparisonData!$FP$1),0)</f>
        <v>0</v>
      </c>
      <c r="FQ24" s="56">
        <v>19</v>
      </c>
      <c r="FR24" s="53" t="str">
        <f t="shared" si="25"/>
        <v>Cumbria Archive Centre: Carlisle</v>
      </c>
      <c r="FS24" s="59">
        <f t="shared" si="197"/>
        <v>0</v>
      </c>
      <c r="FT24" s="59">
        <f t="shared" si="198"/>
        <v>0</v>
      </c>
      <c r="FU24" s="59">
        <f t="shared" si="199"/>
        <v>0</v>
      </c>
      <c r="FV24" s="59">
        <f t="shared" si="200"/>
        <v>0</v>
      </c>
      <c r="FW24" s="59">
        <f t="shared" si="201"/>
        <v>0</v>
      </c>
      <c r="FX24" s="58">
        <f t="shared" si="202"/>
        <v>0</v>
      </c>
      <c r="FY24" s="45">
        <f t="shared" si="203"/>
        <v>33</v>
      </c>
      <c r="FZ24" s="45">
        <f t="shared" si="26"/>
        <v>2.5989999999999998</v>
      </c>
      <c r="GA24" s="45">
        <f t="shared" si="204"/>
        <v>1</v>
      </c>
      <c r="GB24" s="45">
        <f t="shared" si="205"/>
        <v>2</v>
      </c>
      <c r="GC24" s="46" cm="1">
        <f t="array" ref="GC24">ROUND(IFERROR(INDEX(ArchiveResults!$F$5:$IX$116,ComparisonData!A24,ComparisonData!$GC$1),0),5)</f>
        <v>0</v>
      </c>
      <c r="GD24" s="46" cm="1">
        <f t="array" ref="GD24">ROUND(IFERROR(INDEX(ArchiveResults!$F$5:$IX$116,ComparisonData!A24,ComparisonData!$GD$1),0),5)</f>
        <v>0</v>
      </c>
      <c r="GE24" s="46" cm="1">
        <f t="array" ref="GE24">ROUND(IFERROR(INDEX(ArchiveResults!$F$5:$IX$116,ComparisonData!A24,ComparisonData!$GE$1),0),5)</f>
        <v>0</v>
      </c>
      <c r="GF24" s="46" cm="1">
        <f t="array" ref="GF24">ROUND(IFERROR(INDEX(ArchiveResults!$F$5:$IX$116,ComparisonData!A24,ComparisonData!$GF$1),0),5)</f>
        <v>0</v>
      </c>
      <c r="GG24" s="45" cm="1">
        <f t="array" ref="GG24">IFERROR(INDEX(ArchiveResults!$F$5:$IX$116,ComparisonData!A24,ComparisonData!$GG$1),0)</f>
        <v>0</v>
      </c>
      <c r="GH24" s="56">
        <v>19</v>
      </c>
      <c r="GI24" s="53" t="str">
        <f t="shared" si="27"/>
        <v>Cumbria Archive Centre: Carlisle</v>
      </c>
      <c r="GJ24" s="59">
        <f t="shared" si="206"/>
        <v>0</v>
      </c>
      <c r="GK24" s="59">
        <f t="shared" si="207"/>
        <v>0</v>
      </c>
      <c r="GL24" s="59">
        <f t="shared" si="208"/>
        <v>0</v>
      </c>
      <c r="GM24" s="59">
        <f t="shared" si="209"/>
        <v>0</v>
      </c>
      <c r="GN24" s="59">
        <f t="shared" si="210"/>
        <v>0</v>
      </c>
      <c r="GO24" s="58">
        <f t="shared" si="211"/>
        <v>0</v>
      </c>
      <c r="GP24" s="45">
        <f t="shared" si="212"/>
        <v>33</v>
      </c>
      <c r="GQ24" s="45">
        <f t="shared" si="28"/>
        <v>2.5989999999999998</v>
      </c>
      <c r="GR24" s="45">
        <f t="shared" si="213"/>
        <v>1</v>
      </c>
      <c r="GS24" s="45">
        <f t="shared" si="214"/>
        <v>2</v>
      </c>
      <c r="GT24" s="46" cm="1">
        <f t="array" ref="GT24">ROUND(IFERROR(INDEX(ArchiveResults!$F$5:$IX$116,ComparisonData!A24,ComparisonData!$GT$1),0),5)</f>
        <v>0</v>
      </c>
      <c r="GU24" s="46" cm="1">
        <f t="array" ref="GU24">ROUND(IFERROR(INDEX(ArchiveResults!$F$5:$IX$116,ComparisonData!A24,ComparisonData!$GU$1),0),5)</f>
        <v>0</v>
      </c>
      <c r="GV24" s="46" cm="1">
        <f t="array" ref="GV24">ROUND(IFERROR(INDEX(ArchiveResults!$F$5:$IX$116,ComparisonData!A24,ComparisonData!$GV$1),0),5)</f>
        <v>0</v>
      </c>
      <c r="GW24" s="46" cm="1">
        <f t="array" ref="GW24">ROUND(IFERROR(INDEX(ArchiveResults!$F$5:$IX$116,ComparisonData!A24,ComparisonData!$GW$1),0),5)</f>
        <v>0</v>
      </c>
      <c r="GX24" s="45" cm="1">
        <f t="array" ref="GX24">IFERROR(INDEX(ArchiveResults!$F$5:$IX$116,ComparisonData!A24,ComparisonData!$GX$1),0)</f>
        <v>0</v>
      </c>
      <c r="GY24" s="56">
        <v>19</v>
      </c>
      <c r="GZ24" s="53" t="str">
        <f t="shared" si="29"/>
        <v>Cumbria Archive Centre: Carlisle</v>
      </c>
      <c r="HA24" s="59">
        <f t="shared" si="215"/>
        <v>0</v>
      </c>
      <c r="HB24" s="59">
        <f t="shared" si="216"/>
        <v>0</v>
      </c>
      <c r="HC24" s="59">
        <f t="shared" si="217"/>
        <v>0</v>
      </c>
      <c r="HD24" s="59">
        <f t="shared" si="218"/>
        <v>0</v>
      </c>
      <c r="HE24" s="59">
        <f t="shared" si="219"/>
        <v>0</v>
      </c>
      <c r="HF24" s="58">
        <f t="shared" si="220"/>
        <v>0</v>
      </c>
      <c r="HG24" s="45">
        <f t="shared" si="221"/>
        <v>33</v>
      </c>
      <c r="HH24" s="45">
        <f t="shared" si="30"/>
        <v>2.5989999999999998</v>
      </c>
      <c r="HI24" s="45">
        <f t="shared" si="222"/>
        <v>1</v>
      </c>
      <c r="HJ24" s="45">
        <f t="shared" si="223"/>
        <v>2</v>
      </c>
      <c r="HK24" s="46" cm="1">
        <f t="array" ref="HK24">ROUND(IFERROR(INDEX(ArchiveResults!$F$5:$IX$116,ComparisonData!A24,ComparisonData!$HK$1),0),5)</f>
        <v>0</v>
      </c>
      <c r="HL24" s="46" cm="1">
        <f t="array" ref="HL24">ROUND(IFERROR(INDEX(ArchiveResults!$F$5:$IX$116,ComparisonData!A24,ComparisonData!$HL$1),0),5)</f>
        <v>0</v>
      </c>
      <c r="HM24" s="46" cm="1">
        <f t="array" ref="HM24">ROUND(IFERROR(INDEX(ArchiveResults!$F$5:$IX$116,ComparisonData!A24,ComparisonData!$HM$1),0),5)</f>
        <v>0</v>
      </c>
      <c r="HN24" s="46" cm="1">
        <f t="array" ref="HN24">ROUND(IFERROR(INDEX(ArchiveResults!$F$5:$IX$116,ComparisonData!A24,ComparisonData!$HN$1),0),5)</f>
        <v>0</v>
      </c>
      <c r="HO24" s="45" cm="1">
        <f t="array" ref="HO24">IFERROR(INDEX(ArchiveResults!$F$5:$IX$116,ComparisonData!A24,ComparisonData!$HO$1),0)</f>
        <v>0</v>
      </c>
      <c r="HP24" s="56">
        <v>19</v>
      </c>
      <c r="HQ24" s="53" t="str">
        <f t="shared" si="31"/>
        <v>Cumbria Archive Centre: Carlisle</v>
      </c>
      <c r="HR24" s="59">
        <f t="shared" si="32"/>
        <v>0</v>
      </c>
      <c r="HS24" s="59">
        <f t="shared" si="33"/>
        <v>0</v>
      </c>
      <c r="HT24" s="59">
        <f t="shared" si="34"/>
        <v>0</v>
      </c>
      <c r="HU24" s="59">
        <f t="shared" si="35"/>
        <v>0</v>
      </c>
      <c r="HV24" s="59">
        <f t="shared" si="36"/>
        <v>0</v>
      </c>
      <c r="HW24" s="58">
        <f t="shared" si="224"/>
        <v>0</v>
      </c>
      <c r="HX24" s="45">
        <f t="shared" si="225"/>
        <v>33</v>
      </c>
      <c r="HY24" s="45">
        <f t="shared" si="37"/>
        <v>2.5989999999999998</v>
      </c>
      <c r="HZ24" s="45">
        <f t="shared" si="226"/>
        <v>1</v>
      </c>
      <c r="IA24" s="45">
        <f t="shared" si="227"/>
        <v>2</v>
      </c>
      <c r="IB24" s="45">
        <f t="shared" si="228"/>
        <v>0</v>
      </c>
      <c r="IC24" s="46" cm="1">
        <f t="array" ref="IC24">ROUND(IFERROR(INDEX(ArchiveResults!$F$5:$IX$116,ComparisonData!A24,ComparisonData!$IC$1),0),5)</f>
        <v>0</v>
      </c>
      <c r="ID24" s="46" cm="1">
        <f t="array" ref="ID24">ROUND(IFERROR(INDEX(ArchiveResults!$F$5:$IX$116,ComparisonData!A24,ComparisonData!$ID$1),0),5)</f>
        <v>0</v>
      </c>
      <c r="IE24" s="46" cm="1">
        <f t="array" ref="IE24">ROUND(IFERROR(INDEX(ArchiveResults!$F$5:$IX$116,ComparisonData!A24,ComparisonData!$IE$1),0),5)</f>
        <v>0</v>
      </c>
      <c r="IF24" s="46" cm="1">
        <f t="array" ref="IF24">ROUND(IFERROR(INDEX(ArchiveResults!$F$5:$IX$116,ComparisonData!A24,ComparisonData!$IF$1),0),5)</f>
        <v>0</v>
      </c>
      <c r="IG24" s="45" cm="1">
        <f t="array" ref="IG24">IFERROR(INDEX(ArchiveResults!$F$5:$IX$116,ComparisonData!A24,ComparisonData!$IG$1),0)</f>
        <v>0</v>
      </c>
      <c r="IH24" s="56">
        <v>19</v>
      </c>
      <c r="II24" s="53" t="str">
        <f t="shared" si="38"/>
        <v>Cumbria Archive Centre: Carlisle</v>
      </c>
      <c r="IJ24" s="59">
        <f t="shared" si="229"/>
        <v>0</v>
      </c>
      <c r="IK24" s="59">
        <f t="shared" si="230"/>
        <v>0</v>
      </c>
      <c r="IL24" s="59">
        <f t="shared" si="231"/>
        <v>0</v>
      </c>
      <c r="IM24" s="59">
        <f t="shared" si="232"/>
        <v>0</v>
      </c>
      <c r="IN24" s="59">
        <f t="shared" si="233"/>
        <v>0</v>
      </c>
      <c r="IO24" s="58">
        <f t="shared" si="234"/>
        <v>0</v>
      </c>
      <c r="IP24" s="45">
        <f t="shared" si="235"/>
        <v>33</v>
      </c>
      <c r="IQ24" s="45">
        <f t="shared" si="39"/>
        <v>2.5989999999999998</v>
      </c>
      <c r="IR24" s="45">
        <f t="shared" si="236"/>
        <v>1</v>
      </c>
      <c r="IS24" s="45">
        <f t="shared" si="237"/>
        <v>2</v>
      </c>
      <c r="IT24" s="46">
        <f t="shared" si="238"/>
        <v>0</v>
      </c>
      <c r="IU24" s="46" cm="1">
        <f t="array" ref="IU24">ROUND(IFERROR(INDEX(ArchiveResults!$F$5:$IX$116,ComparisonData!A24,ComparisonData!$IU$1),0),5)</f>
        <v>0</v>
      </c>
      <c r="IV24" s="46" cm="1">
        <f t="array" ref="IV24">ROUND(IFERROR(INDEX(ArchiveResults!$F$5:$IX$116,ComparisonData!A24,ComparisonData!$IV$1),0),5)</f>
        <v>0</v>
      </c>
      <c r="IW24" s="46" cm="1">
        <f t="array" ref="IW24">ROUND(IFERROR(INDEX(ArchiveResults!$F$5:$IX$116,ComparisonData!A24,ComparisonData!$IW$1),0),5)</f>
        <v>0</v>
      </c>
      <c r="IX24" s="46" cm="1">
        <f t="array" ref="IX24">ROUND(IFERROR(INDEX(ArchiveResults!$F$5:$IX$116,ComparisonData!A24,ComparisonData!$IX$1),0),5)</f>
        <v>0</v>
      </c>
      <c r="IY24" s="45" cm="1">
        <f t="array" ref="IY24">IFERROR(INDEX(ArchiveResults!$F$5:$IX$116,ComparisonData!A24,ComparisonData!$IY$1),0)</f>
        <v>0</v>
      </c>
      <c r="IZ24" s="56">
        <v>19</v>
      </c>
      <c r="JA24" s="53" t="str">
        <f t="shared" si="40"/>
        <v>Cumbria Archive Centre: Carlisle</v>
      </c>
      <c r="JB24" s="59">
        <f t="shared" si="239"/>
        <v>0</v>
      </c>
      <c r="JC24" s="59">
        <f t="shared" si="240"/>
        <v>0</v>
      </c>
      <c r="JD24" s="59">
        <f t="shared" si="241"/>
        <v>0</v>
      </c>
      <c r="JE24" s="59">
        <f t="shared" si="242"/>
        <v>0</v>
      </c>
      <c r="JF24" s="59">
        <f t="shared" si="243"/>
        <v>0</v>
      </c>
      <c r="JG24" s="58">
        <f t="shared" si="244"/>
        <v>0</v>
      </c>
      <c r="JH24" s="45">
        <f t="shared" si="245"/>
        <v>33</v>
      </c>
      <c r="JI24" s="45">
        <f t="shared" si="41"/>
        <v>2.5989999999999998</v>
      </c>
      <c r="JJ24" s="45">
        <f t="shared" si="246"/>
        <v>1</v>
      </c>
      <c r="JK24" s="45">
        <f t="shared" si="247"/>
        <v>2</v>
      </c>
      <c r="JL24" s="45">
        <f t="shared" si="248"/>
        <v>0</v>
      </c>
      <c r="JM24" s="46" cm="1">
        <f t="array" ref="JM24">ROUND(IFERROR(INDEX(ArchiveResults!$F$5:$IX$116,ComparisonData!A24,ComparisonData!$JM$1),0),5)</f>
        <v>0</v>
      </c>
      <c r="JN24" s="46" cm="1">
        <f t="array" ref="JN24">ROUND(IFERROR(INDEX(ArchiveResults!$F$5:$IX$116,ComparisonData!A24,ComparisonData!$JN$1),0),5)</f>
        <v>0</v>
      </c>
      <c r="JO24" s="46" cm="1">
        <f t="array" ref="JO24">ROUND(IFERROR(INDEX(ArchiveResults!$F$5:$IX$116,ComparisonData!A24,ComparisonData!$JO$1),0),5)</f>
        <v>0</v>
      </c>
      <c r="JP24" s="46" cm="1">
        <f t="array" ref="JP24">ROUND(IFERROR(INDEX(ArchiveResults!$F$5:$IX$116,ComparisonData!A24,ComparisonData!$JP$1),0),5)</f>
        <v>0</v>
      </c>
      <c r="JQ24" s="45" cm="1">
        <f t="array" ref="JQ24">IFERROR(INDEX(ArchiveResults!$F$5:$IX$116,ComparisonData!A24,ComparisonData!$JQ$1),0)</f>
        <v>0</v>
      </c>
      <c r="JR24" s="56">
        <v>19</v>
      </c>
      <c r="JS24" s="53" t="str">
        <f t="shared" si="42"/>
        <v>Cumbria Archive Centre: Carlisle</v>
      </c>
      <c r="JT24" s="59">
        <f t="shared" si="249"/>
        <v>0</v>
      </c>
      <c r="JU24" s="59">
        <f t="shared" si="250"/>
        <v>0</v>
      </c>
      <c r="JV24" s="59">
        <f t="shared" si="251"/>
        <v>0</v>
      </c>
      <c r="JW24" s="59">
        <f t="shared" si="252"/>
        <v>0</v>
      </c>
      <c r="JX24" s="59">
        <f t="shared" si="253"/>
        <v>0</v>
      </c>
      <c r="JY24" s="58">
        <f t="shared" si="254"/>
        <v>0</v>
      </c>
      <c r="JZ24" s="45">
        <f t="shared" si="255"/>
        <v>33</v>
      </c>
      <c r="KA24" s="45">
        <f t="shared" si="43"/>
        <v>2.5989999999999998</v>
      </c>
      <c r="KB24" s="45">
        <f t="shared" si="256"/>
        <v>1</v>
      </c>
      <c r="KC24" s="45">
        <f t="shared" si="257"/>
        <v>2</v>
      </c>
      <c r="KD24" s="45">
        <f t="shared" si="258"/>
        <v>0</v>
      </c>
      <c r="KE24" s="46" cm="1">
        <f t="array" ref="KE24">ROUND(IFERROR(INDEX(ArchiveResults!$F$5:$IX$116,ComparisonData!A24,ComparisonData!$KE$1),0),5)</f>
        <v>0</v>
      </c>
      <c r="KF24" s="46" cm="1">
        <f t="array" ref="KF24">ROUND(IFERROR(INDEX(ArchiveResults!$F$5:$IX$116,ComparisonData!A24,ComparisonData!$KF$1),0),5)</f>
        <v>0</v>
      </c>
      <c r="KG24" s="46" cm="1">
        <f t="array" ref="KG24">ROUND(IFERROR(INDEX(ArchiveResults!$F$5:$IX$116,ComparisonData!A24,ComparisonData!$KG$1),0),5)</f>
        <v>0</v>
      </c>
      <c r="KH24" s="46" cm="1">
        <f t="array" ref="KH24">ROUND(IFERROR(INDEX(ArchiveResults!$F$5:$IX$116,ComparisonData!A24,ComparisonData!$KH$1),0),5)</f>
        <v>0</v>
      </c>
      <c r="KI24" s="45" cm="1">
        <f t="array" ref="KI24">IFERROR(INDEX(ArchiveResults!$F$5:$IX$116,ComparisonData!A24,ComparisonData!$KI$1),0)</f>
        <v>0</v>
      </c>
      <c r="KJ24" s="56">
        <v>19</v>
      </c>
      <c r="KK24" s="53" t="str">
        <f t="shared" si="44"/>
        <v>Cumbria Archive Centre: Carlisle</v>
      </c>
      <c r="KL24" s="59">
        <f t="shared" si="259"/>
        <v>0</v>
      </c>
      <c r="KM24" s="59">
        <f t="shared" si="260"/>
        <v>0</v>
      </c>
      <c r="KN24" s="59">
        <f t="shared" si="261"/>
        <v>0</v>
      </c>
      <c r="KO24" s="59">
        <f t="shared" si="262"/>
        <v>0</v>
      </c>
      <c r="KP24" s="59">
        <f t="shared" si="263"/>
        <v>0</v>
      </c>
      <c r="KQ24" s="58">
        <f t="shared" si="264"/>
        <v>0</v>
      </c>
      <c r="KR24" s="45">
        <f t="shared" si="265"/>
        <v>33</v>
      </c>
      <c r="KS24" s="45">
        <f t="shared" si="45"/>
        <v>2.5989999999999998</v>
      </c>
      <c r="KT24" s="45">
        <f t="shared" si="266"/>
        <v>1</v>
      </c>
      <c r="KU24" s="45">
        <f t="shared" si="267"/>
        <v>2</v>
      </c>
      <c r="KV24" s="45">
        <f t="shared" si="268"/>
        <v>0</v>
      </c>
      <c r="KW24" s="46" cm="1">
        <f t="array" ref="KW24">ROUND(IFERROR(INDEX(ArchiveResults!$F$5:$IX$116,ComparisonData!A24,ComparisonData!$KW$1),0),5)</f>
        <v>0</v>
      </c>
      <c r="KX24" s="46" cm="1">
        <f t="array" ref="KX24">ROUND(IFERROR(INDEX(ArchiveResults!$F$5:$IX$116,ComparisonData!A24,ComparisonData!$KX$1),0),5)</f>
        <v>0</v>
      </c>
      <c r="KY24" s="46" cm="1">
        <f t="array" ref="KY24">ROUND(IFERROR(INDEX(ArchiveResults!$F$5:$IX$116,ComparisonData!A24,ComparisonData!$KY$1),0),5)</f>
        <v>0</v>
      </c>
      <c r="KZ24" s="46" cm="1">
        <f t="array" ref="KZ24">ROUND(IFERROR(INDEX(ArchiveResults!$F$5:$IX$116,ComparisonData!A24,ComparisonData!$KZ$1),0),5)</f>
        <v>0</v>
      </c>
      <c r="LA24" s="45" cm="1">
        <f t="array" ref="LA24">IFERROR(INDEX(ArchiveResults!$F$5:$IX$116,ComparisonData!A24,ComparisonData!$LA$1),0)</f>
        <v>0</v>
      </c>
      <c r="LB24" s="56">
        <v>19</v>
      </c>
      <c r="LC24" s="53" t="str">
        <f t="shared" si="46"/>
        <v>Cumbria Archive Centre: Carlisle</v>
      </c>
      <c r="LD24" s="59">
        <f t="shared" si="269"/>
        <v>0</v>
      </c>
      <c r="LE24" s="59">
        <f t="shared" si="270"/>
        <v>0</v>
      </c>
      <c r="LF24" s="59">
        <f t="shared" si="271"/>
        <v>0</v>
      </c>
      <c r="LG24" s="59">
        <f t="shared" si="272"/>
        <v>0</v>
      </c>
      <c r="LH24" s="59">
        <f t="shared" si="273"/>
        <v>0</v>
      </c>
      <c r="LI24" s="58">
        <f t="shared" si="274"/>
        <v>0</v>
      </c>
      <c r="LJ24" s="45">
        <f t="shared" si="275"/>
        <v>33</v>
      </c>
      <c r="LK24" s="45">
        <f t="shared" si="47"/>
        <v>2.5989999999999998</v>
      </c>
      <c r="LL24" s="45">
        <f t="shared" si="276"/>
        <v>1</v>
      </c>
      <c r="LM24" s="45">
        <f t="shared" si="277"/>
        <v>2</v>
      </c>
      <c r="LN24" s="45">
        <f t="shared" si="278"/>
        <v>0</v>
      </c>
      <c r="LO24" s="46" cm="1">
        <f t="array" ref="LO24">ROUND(IFERROR(INDEX(ArchiveResults!$F$5:$IX$116,ComparisonData!A24,ComparisonData!$LO$1),0),5)</f>
        <v>0</v>
      </c>
      <c r="LP24" s="46" cm="1">
        <f t="array" ref="LP24">ROUND(IFERROR(INDEX(ArchiveResults!$F$5:$IX$116,ComparisonData!A24,ComparisonData!$LP$1),0),5)</f>
        <v>0</v>
      </c>
      <c r="LQ24" s="46" cm="1">
        <f t="array" ref="LQ24">ROUND(IFERROR(INDEX(ArchiveResults!$F$5:$IX$116,ComparisonData!A24,ComparisonData!$LQ$1),0),5)</f>
        <v>0</v>
      </c>
      <c r="LR24" s="46" cm="1">
        <f t="array" ref="LR24">ROUND(IFERROR(INDEX(ArchiveResults!$F$5:$IX$116,ComparisonData!A24,ComparisonData!$LR$1),0),5)</f>
        <v>0</v>
      </c>
      <c r="LS24" s="45" cm="1">
        <f t="array" ref="LS24">IFERROR(INDEX(ArchiveResults!$F$5:$IX$116,ComparisonData!A24,ComparisonData!$LS$1),0)</f>
        <v>0</v>
      </c>
      <c r="LT24" s="56">
        <v>19</v>
      </c>
      <c r="LU24" s="53" t="str">
        <f t="shared" si="48"/>
        <v>Cumbria Archive Centre: Carlisle</v>
      </c>
      <c r="LV24" s="59">
        <f t="shared" si="279"/>
        <v>0</v>
      </c>
      <c r="LW24" s="59">
        <f t="shared" si="280"/>
        <v>0</v>
      </c>
      <c r="LX24" s="59">
        <f t="shared" si="281"/>
        <v>0</v>
      </c>
      <c r="LY24" s="59">
        <f t="shared" si="282"/>
        <v>0</v>
      </c>
      <c r="LZ24" s="59">
        <f t="shared" si="283"/>
        <v>0</v>
      </c>
      <c r="MA24" s="58">
        <f t="shared" si="284"/>
        <v>0</v>
      </c>
      <c r="MB24" s="45">
        <f t="shared" si="285"/>
        <v>33</v>
      </c>
      <c r="MC24" s="45">
        <f t="shared" si="49"/>
        <v>2.5989999999999998</v>
      </c>
      <c r="MD24" s="45">
        <f t="shared" si="286"/>
        <v>1</v>
      </c>
      <c r="ME24" s="45">
        <f t="shared" si="287"/>
        <v>2</v>
      </c>
      <c r="MF24" s="45">
        <f t="shared" si="288"/>
        <v>0</v>
      </c>
      <c r="MG24" s="46" cm="1">
        <f t="array" ref="MG24">ROUND(IFERROR(INDEX(ArchiveResults!$F$5:$IX$116,ComparisonData!A24,ComparisonData!$MG$1),0),5)</f>
        <v>0</v>
      </c>
      <c r="MH24" s="46" cm="1">
        <f t="array" ref="MH24">ROUND(IFERROR(INDEX(ArchiveResults!$F$5:$IX$116,ComparisonData!A24,ComparisonData!$MH$1),0),5)</f>
        <v>0</v>
      </c>
      <c r="MI24" s="46" cm="1">
        <f t="array" ref="MI24">ROUND(IFERROR(INDEX(ArchiveResults!$F$5:$IX$116,ComparisonData!A24,ComparisonData!$MI$1),0),5)</f>
        <v>0</v>
      </c>
      <c r="MJ24" s="46" cm="1">
        <f t="array" ref="MJ24">ROUND(IFERROR(INDEX(ArchiveResults!$F$5:$IX$116,ComparisonData!A24,ComparisonData!$MJ$1),0),5)</f>
        <v>0</v>
      </c>
      <c r="MK24" s="45" cm="1">
        <f t="array" ref="MK24">IFERROR(INDEX(ArchiveResults!$F$5:$IX$116,ComparisonData!A24,ComparisonData!$MK$1),0)</f>
        <v>0</v>
      </c>
      <c r="ML24" s="56">
        <v>19</v>
      </c>
      <c r="MM24" s="53" t="str">
        <f t="shared" si="50"/>
        <v>Cumbria Archive Centre: Carlisle</v>
      </c>
      <c r="MN24" s="59">
        <f t="shared" si="289"/>
        <v>0</v>
      </c>
      <c r="MO24" s="59">
        <f t="shared" si="290"/>
        <v>0</v>
      </c>
      <c r="MP24" s="59">
        <f t="shared" si="291"/>
        <v>0</v>
      </c>
      <c r="MQ24" s="59">
        <f t="shared" si="292"/>
        <v>0</v>
      </c>
      <c r="MR24" s="59">
        <f t="shared" si="293"/>
        <v>0</v>
      </c>
      <c r="MS24" s="58">
        <f t="shared" si="294"/>
        <v>0</v>
      </c>
      <c r="MT24" s="45">
        <f t="shared" si="295"/>
        <v>33</v>
      </c>
      <c r="MU24" s="45">
        <f t="shared" si="51"/>
        <v>2.5989999999999998</v>
      </c>
      <c r="MV24" s="45">
        <f t="shared" si="296"/>
        <v>1</v>
      </c>
      <c r="MW24" s="45">
        <f t="shared" si="297"/>
        <v>2</v>
      </c>
      <c r="MX24" s="45">
        <f t="shared" si="298"/>
        <v>0</v>
      </c>
      <c r="MY24" s="46" cm="1">
        <f t="array" ref="MY24">ROUND(IFERROR(INDEX(ArchiveResults!$F$5:$IX$116,ComparisonData!A24,ComparisonData!$MY$1),0),5)</f>
        <v>0</v>
      </c>
      <c r="MZ24" s="46" cm="1">
        <f t="array" ref="MZ24">ROUND(IFERROR(INDEX(ArchiveResults!$F$5:$IX$116,ComparisonData!A24,ComparisonData!$MZ$1),0),5)</f>
        <v>0</v>
      </c>
      <c r="NA24" s="46" cm="1">
        <f t="array" ref="NA24">ROUND(IFERROR(INDEX(ArchiveResults!$F$5:$IX$116,ComparisonData!A24,ComparisonData!$NA$1),0),5)</f>
        <v>0</v>
      </c>
      <c r="NB24" s="46" cm="1">
        <f t="array" ref="NB24">ROUND(IFERROR(INDEX(ArchiveResults!$F$5:$IX$116,ComparisonData!A24,ComparisonData!$NB$1),0),5)</f>
        <v>0</v>
      </c>
      <c r="NC24" s="45" cm="1">
        <f t="array" ref="NC24">IFERROR(INDEX(ArchiveResults!$F$5:$IX$116,ComparisonData!A24,ComparisonData!$NC$1),0)</f>
        <v>0</v>
      </c>
      <c r="ND24" s="56">
        <v>19</v>
      </c>
      <c r="NE24" s="53" t="str">
        <f t="shared" si="52"/>
        <v>Cumbria Archive Centre: Carlisle</v>
      </c>
      <c r="NF24" s="59">
        <f t="shared" si="299"/>
        <v>0</v>
      </c>
      <c r="NG24" s="59">
        <f t="shared" si="300"/>
        <v>0</v>
      </c>
      <c r="NH24" s="59">
        <f t="shared" si="301"/>
        <v>0</v>
      </c>
      <c r="NI24" s="59">
        <f t="shared" si="302"/>
        <v>0</v>
      </c>
      <c r="NJ24" s="59">
        <f t="shared" si="303"/>
        <v>0</v>
      </c>
      <c r="NK24" s="58">
        <f t="shared" si="304"/>
        <v>0</v>
      </c>
      <c r="NL24" s="45">
        <f t="shared" si="305"/>
        <v>33</v>
      </c>
      <c r="NM24" s="45">
        <f t="shared" si="53"/>
        <v>2.5989999999999998</v>
      </c>
      <c r="NN24" s="45">
        <f t="shared" si="306"/>
        <v>1</v>
      </c>
      <c r="NO24" s="45">
        <f t="shared" si="307"/>
        <v>2</v>
      </c>
      <c r="NP24" s="46" cm="1">
        <f t="array" ref="NP24">ROUND(IFERROR(INDEX(ArchiveResults!$F$5:$IX$116,ComparisonData!A24,ComparisonData!$NP$1),0),5)</f>
        <v>0</v>
      </c>
      <c r="NQ24" s="46" cm="1">
        <f t="array" ref="NQ24">ROUND(IFERROR(INDEX(ArchiveResults!$F$5:$IX$116,ComparisonData!A24,ComparisonData!$NQ$1),0),5)</f>
        <v>0</v>
      </c>
      <c r="NR24" s="46" cm="1">
        <f t="array" ref="NR24">ROUND(IFERROR(INDEX(ArchiveResults!$F$5:$IX$116,ComparisonData!A24,ComparisonData!$NR$1),0),5)</f>
        <v>0</v>
      </c>
      <c r="NS24" s="46" cm="1">
        <f t="array" ref="NS24">ROUND(IFERROR(INDEX(ArchiveResults!$F$5:$IX$116,ComparisonData!A24,ComparisonData!$NS$1),0),5)</f>
        <v>0</v>
      </c>
      <c r="NT24" s="45" cm="1">
        <f t="array" ref="NT24">IFERROR(INDEX(ArchiveResults!$F$5:$IX$116,ComparisonData!A24,ComparisonData!$NT$1),0)</f>
        <v>0</v>
      </c>
      <c r="NU24" s="56">
        <v>19</v>
      </c>
      <c r="NV24" s="53" t="str">
        <f t="shared" si="54"/>
        <v>Cumbria Archive Centre: Carlisle</v>
      </c>
      <c r="NW24" s="59">
        <f t="shared" si="308"/>
        <v>0</v>
      </c>
      <c r="NX24" s="59">
        <f t="shared" si="309"/>
        <v>0</v>
      </c>
      <c r="NY24" s="59">
        <f t="shared" si="310"/>
        <v>0</v>
      </c>
      <c r="NZ24" s="59">
        <f t="shared" si="311"/>
        <v>0</v>
      </c>
      <c r="OA24" s="59">
        <f t="shared" si="312"/>
        <v>0</v>
      </c>
      <c r="OB24" s="58">
        <f t="shared" si="313"/>
        <v>0</v>
      </c>
      <c r="OC24" s="45">
        <f t="shared" si="314"/>
        <v>33</v>
      </c>
      <c r="OD24" s="45">
        <f t="shared" si="55"/>
        <v>2.5989999999999998</v>
      </c>
      <c r="OE24" s="45">
        <f t="shared" si="315"/>
        <v>1</v>
      </c>
      <c r="OF24" s="45">
        <f t="shared" si="316"/>
        <v>2</v>
      </c>
      <c r="OG24" s="46">
        <f t="shared" si="317"/>
        <v>0</v>
      </c>
      <c r="OH24" s="46" cm="1">
        <f t="array" ref="OH24">ROUND(IFERROR(INDEX(ArchiveResults!$F$5:$IX$116,ComparisonData!A24,ComparisonData!$OH$1),0),5)</f>
        <v>0</v>
      </c>
      <c r="OI24" s="46" cm="1">
        <f t="array" ref="OI24">ROUND(IFERROR(INDEX(ArchiveResults!$F$5:$IX$116,ComparisonData!A24,ComparisonData!$OI$1),0),5)</f>
        <v>0</v>
      </c>
      <c r="OJ24" s="46" cm="1">
        <f t="array" ref="OJ24">ROUND(IFERROR(INDEX(ArchiveResults!$F$5:$IX$116,ComparisonData!A24,ComparisonData!$OJ$1),0),5)</f>
        <v>0</v>
      </c>
      <c r="OK24" s="46" cm="1">
        <f t="array" ref="OK24">ROUND(IFERROR(INDEX(ArchiveResults!$F$5:$IX$116,ComparisonData!A24,ComparisonData!$OK$1),0),5)</f>
        <v>0</v>
      </c>
      <c r="OL24" s="45" cm="1">
        <f t="array" ref="OL24">IFERROR(INDEX(ArchiveResults!$F$5:$IX$116,ComparisonData!A24,ComparisonData!$OL$1),0)</f>
        <v>0</v>
      </c>
      <c r="OM24" s="56">
        <v>19</v>
      </c>
      <c r="ON24" s="53" t="str">
        <f t="shared" si="56"/>
        <v>Cumbria Archive Centre: Carlisle</v>
      </c>
      <c r="OO24" s="59">
        <f t="shared" si="318"/>
        <v>0</v>
      </c>
      <c r="OP24" s="59">
        <f t="shared" si="319"/>
        <v>0</v>
      </c>
      <c r="OQ24" s="59">
        <f t="shared" si="320"/>
        <v>0</v>
      </c>
      <c r="OR24" s="59">
        <f t="shared" si="321"/>
        <v>0</v>
      </c>
      <c r="OS24" s="59">
        <f t="shared" si="322"/>
        <v>0</v>
      </c>
      <c r="OT24" s="58">
        <f t="shared" si="323"/>
        <v>0</v>
      </c>
      <c r="OU24" s="45">
        <f t="shared" si="324"/>
        <v>33</v>
      </c>
      <c r="OV24" s="45">
        <f t="shared" si="57"/>
        <v>2.5989999999999998</v>
      </c>
      <c r="OW24" s="45">
        <f t="shared" si="325"/>
        <v>1</v>
      </c>
      <c r="OX24" s="45">
        <f t="shared" si="326"/>
        <v>2</v>
      </c>
      <c r="OY24" s="45">
        <f t="shared" si="327"/>
        <v>0</v>
      </c>
      <c r="OZ24" s="46" cm="1">
        <f t="array" ref="OZ24">ROUND(IFERROR(INDEX(ArchiveResults!$F$5:$IX$116,ComparisonData!A24,ComparisonData!$OZ$1),0),5)</f>
        <v>0</v>
      </c>
      <c r="PA24" s="46" cm="1">
        <f t="array" ref="PA24">ROUND(IFERROR(INDEX(ArchiveResults!$F$5:$IX$116,ComparisonData!A24,ComparisonData!$PA$1),0),5)</f>
        <v>0</v>
      </c>
      <c r="PB24" s="46" cm="1">
        <f t="array" ref="PB24">ROUND(IFERROR(INDEX(ArchiveResults!$F$5:$IX$116,ComparisonData!A24,ComparisonData!$PB$1),0),5)</f>
        <v>0</v>
      </c>
      <c r="PC24" s="46" cm="1">
        <f t="array" ref="PC24">ROUND(IFERROR(INDEX(ArchiveResults!$F$5:$IX$116,ComparisonData!A24,ComparisonData!$PC$1),0),5)</f>
        <v>0</v>
      </c>
      <c r="PD24" s="45" cm="1">
        <f t="array" ref="PD24">IFERROR(INDEX(ArchiveResults!$F$5:$IX$116,ComparisonData!A24,ComparisonData!$PD$1),0)</f>
        <v>0</v>
      </c>
      <c r="PE24" s="56">
        <v>19</v>
      </c>
      <c r="PF24" s="53" t="str">
        <f t="shared" si="58"/>
        <v>Cumbria Archive Centre: Carlisle</v>
      </c>
      <c r="PG24" s="59">
        <f t="shared" si="328"/>
        <v>0</v>
      </c>
      <c r="PH24" s="59">
        <f t="shared" si="329"/>
        <v>0</v>
      </c>
      <c r="PI24" s="59">
        <f t="shared" si="330"/>
        <v>0</v>
      </c>
      <c r="PJ24" s="59">
        <f t="shared" si="331"/>
        <v>0</v>
      </c>
      <c r="PK24" s="59">
        <f t="shared" si="332"/>
        <v>0</v>
      </c>
      <c r="PL24" s="58">
        <f t="shared" si="333"/>
        <v>0</v>
      </c>
      <c r="PM24" s="45">
        <f t="shared" si="334"/>
        <v>33</v>
      </c>
      <c r="PN24" s="45">
        <f t="shared" si="59"/>
        <v>2.5989999999999998</v>
      </c>
      <c r="PO24" s="45">
        <f t="shared" si="335"/>
        <v>1</v>
      </c>
      <c r="PP24" s="45">
        <f t="shared" si="336"/>
        <v>2</v>
      </c>
      <c r="PQ24" s="45">
        <f t="shared" si="337"/>
        <v>0</v>
      </c>
      <c r="PR24" s="46" cm="1">
        <f t="array" ref="PR24">ROUND(IFERROR(INDEX(ArchiveResults!$F$5:$IX$116,ComparisonData!A24,ComparisonData!$PR$1),0),5)</f>
        <v>0</v>
      </c>
      <c r="PS24" s="46" cm="1">
        <f t="array" ref="PS24">ROUND(IFERROR(INDEX(ArchiveResults!$F$5:$IX$116,ComparisonData!A24,ComparisonData!$PS$1),0),5)</f>
        <v>0</v>
      </c>
      <c r="PT24" s="46" cm="1">
        <f t="array" ref="PT24">ROUND(IFERROR(INDEX(ArchiveResults!$F$5:$IX$116,ComparisonData!A24,ComparisonData!$PT$1),0),5)</f>
        <v>0</v>
      </c>
      <c r="PU24" s="46" cm="1">
        <f t="array" ref="PU24">ROUND(IFERROR(INDEX(ArchiveResults!$F$5:$IX$116,ComparisonData!A24,ComparisonData!$PU$1),0),5)</f>
        <v>0</v>
      </c>
      <c r="PV24" s="45" cm="1">
        <f t="array" ref="PV24">IFERROR(INDEX(ArchiveResults!$F$5:$IX$116,ComparisonData!A24,ComparisonData!$PV$1),0)</f>
        <v>0</v>
      </c>
      <c r="PW24" s="56">
        <v>19</v>
      </c>
      <c r="PX24" s="53" t="str">
        <f t="shared" si="60"/>
        <v>Cumbria Archive Centre: Carlisle</v>
      </c>
      <c r="PY24" s="59">
        <f t="shared" si="338"/>
        <v>0</v>
      </c>
      <c r="PZ24" s="59">
        <f t="shared" si="339"/>
        <v>0</v>
      </c>
      <c r="QA24" s="59">
        <f t="shared" si="340"/>
        <v>0</v>
      </c>
      <c r="QB24" s="59">
        <f t="shared" si="341"/>
        <v>0</v>
      </c>
      <c r="QC24" s="59">
        <f t="shared" si="342"/>
        <v>0</v>
      </c>
      <c r="QD24" s="58">
        <f t="shared" si="343"/>
        <v>0</v>
      </c>
      <c r="QE24" s="45">
        <f t="shared" si="344"/>
        <v>33</v>
      </c>
      <c r="QF24" s="45">
        <f t="shared" si="61"/>
        <v>2.5989999999999998</v>
      </c>
      <c r="QG24" s="45">
        <f t="shared" si="345"/>
        <v>1</v>
      </c>
      <c r="QH24" s="45">
        <f t="shared" si="346"/>
        <v>2</v>
      </c>
      <c r="QI24" s="45">
        <f t="shared" si="347"/>
        <v>0</v>
      </c>
      <c r="QJ24" s="46" cm="1">
        <f t="array" ref="QJ24">ROUND(IFERROR(INDEX(ArchiveResults!$F$5:$IX$116,ComparisonData!A24,ComparisonData!$QJ$1),0),5)</f>
        <v>0</v>
      </c>
      <c r="QK24" s="46" cm="1">
        <f t="array" ref="QK24">ROUND(IFERROR(INDEX(ArchiveResults!$F$5:$IX$116,ComparisonData!A24,ComparisonData!$QK$1),0),5)</f>
        <v>0</v>
      </c>
      <c r="QL24" s="46" cm="1">
        <f t="array" ref="QL24">ROUND(IFERROR(INDEX(ArchiveResults!$F$5:$IX$116,ComparisonData!A24,ComparisonData!$QL$1),0),5)</f>
        <v>0</v>
      </c>
      <c r="QM24" s="46" cm="1">
        <f t="array" ref="QM24">ROUND(IFERROR(INDEX(ArchiveResults!$F$5:$IX$116,ComparisonData!A24,ComparisonData!$QM$1),0),5)</f>
        <v>0</v>
      </c>
      <c r="QN24" s="45" cm="1">
        <f t="array" ref="QN24">IFERROR(INDEX(ArchiveResults!$F$5:$IX$116,ComparisonData!A24,ComparisonData!$QN$1),0)</f>
        <v>0</v>
      </c>
      <c r="QO24" s="56">
        <v>19</v>
      </c>
      <c r="QP24" s="53" t="str">
        <f t="shared" si="62"/>
        <v>Cumbria Archive Centre: Carlisle</v>
      </c>
      <c r="QQ24" s="59">
        <f t="shared" si="348"/>
        <v>0</v>
      </c>
      <c r="QR24" s="59">
        <f t="shared" si="349"/>
        <v>0</v>
      </c>
      <c r="QS24" s="59">
        <f t="shared" si="350"/>
        <v>0</v>
      </c>
      <c r="QT24" s="59">
        <f t="shared" si="351"/>
        <v>0</v>
      </c>
      <c r="QU24" s="59">
        <f t="shared" si="352"/>
        <v>0</v>
      </c>
      <c r="QV24" s="58">
        <f t="shared" si="353"/>
        <v>0</v>
      </c>
      <c r="QW24" s="45">
        <f t="shared" si="354"/>
        <v>33</v>
      </c>
      <c r="QX24" s="45">
        <f t="shared" si="63"/>
        <v>2.5989999999999998</v>
      </c>
      <c r="QY24" s="45">
        <f t="shared" si="355"/>
        <v>1</v>
      </c>
      <c r="QZ24" s="45">
        <f t="shared" si="356"/>
        <v>2</v>
      </c>
      <c r="RA24" s="45">
        <f t="shared" si="357"/>
        <v>0</v>
      </c>
      <c r="RB24" s="46" cm="1">
        <f t="array" ref="RB24">ROUND(IFERROR(INDEX(ArchiveResults!$F$5:$IX$116,ComparisonData!A24,ComparisonData!$RB$1),0),5)</f>
        <v>0</v>
      </c>
      <c r="RC24" s="46" cm="1">
        <f t="array" ref="RC24">ROUND(IFERROR(INDEX(ArchiveResults!$F$5:$IX$116,ComparisonData!A24,ComparisonData!$RC$1),0),5)</f>
        <v>0</v>
      </c>
      <c r="RD24" s="46" cm="1">
        <f t="array" ref="RD24">ROUND(IFERROR(INDEX(ArchiveResults!$F$5:$IX$116,ComparisonData!A24,ComparisonData!$RD$1),0),5)</f>
        <v>0</v>
      </c>
      <c r="RE24" s="46" cm="1">
        <f t="array" ref="RE24">ROUND(IFERROR(INDEX(ArchiveResults!$F$5:$IX$116,ComparisonData!A24,ComparisonData!$RE$1),0),5)</f>
        <v>0</v>
      </c>
      <c r="RF24" s="45" cm="1">
        <f t="array" ref="RF24">IFERROR(INDEX(ArchiveResults!$F$5:$IX$116,ComparisonData!A24,ComparisonData!$RF$1),0)</f>
        <v>0</v>
      </c>
      <c r="RG24" s="56">
        <v>19</v>
      </c>
      <c r="RH24" s="53" t="str">
        <f t="shared" si="64"/>
        <v>Cumbria Archive Centre: Carlisle</v>
      </c>
      <c r="RI24" s="59">
        <f t="shared" si="358"/>
        <v>0</v>
      </c>
      <c r="RJ24" s="59">
        <f t="shared" si="359"/>
        <v>0</v>
      </c>
      <c r="RK24" s="59">
        <f t="shared" si="360"/>
        <v>0</v>
      </c>
      <c r="RL24" s="59">
        <f t="shared" si="361"/>
        <v>0</v>
      </c>
      <c r="RM24" s="59">
        <f t="shared" si="362"/>
        <v>0</v>
      </c>
      <c r="RN24" s="58">
        <f t="shared" si="363"/>
        <v>0</v>
      </c>
      <c r="RO24" s="45">
        <f t="shared" si="364"/>
        <v>33</v>
      </c>
      <c r="RP24" s="45">
        <f t="shared" si="65"/>
        <v>2.5989999999999998</v>
      </c>
      <c r="RQ24" s="45">
        <f t="shared" si="365"/>
        <v>1</v>
      </c>
      <c r="RR24" s="45">
        <f t="shared" si="366"/>
        <v>2</v>
      </c>
      <c r="RS24" s="45">
        <f t="shared" si="367"/>
        <v>0</v>
      </c>
      <c r="RT24" s="46" cm="1">
        <f t="array" ref="RT24">ROUND(IFERROR(INDEX(ArchiveResults!$F$5:$IX$116,ComparisonData!A24,ComparisonData!$RT$1),0),5)</f>
        <v>0</v>
      </c>
      <c r="RU24" s="46" cm="1">
        <f t="array" ref="RU24">ROUND(IFERROR(INDEX(ArchiveResults!$F$5:$IX$116,ComparisonData!A24,ComparisonData!$RU$1),0),5)</f>
        <v>0</v>
      </c>
      <c r="RV24" s="46" cm="1">
        <f t="array" ref="RV24">ROUND(IFERROR(INDEX(ArchiveResults!$F$5:$IX$116,ComparisonData!A24,ComparisonData!$RV$1),0),5)</f>
        <v>0</v>
      </c>
      <c r="RW24" s="46" cm="1">
        <f t="array" ref="RW24">ROUND(IFERROR(INDEX(ArchiveResults!$F$5:$IX$116,ComparisonData!A24,ComparisonData!$RW$1),0),5)</f>
        <v>0</v>
      </c>
      <c r="RX24" s="45" cm="1">
        <f t="array" ref="RX24">IFERROR(INDEX(ArchiveResults!$F$5:$IX$116,ComparisonData!A24,ComparisonData!$RX$1),0)</f>
        <v>0</v>
      </c>
      <c r="RY24" s="56">
        <v>19</v>
      </c>
      <c r="RZ24" s="53" t="str">
        <f t="shared" si="66"/>
        <v>Cumbria Archive Centre: Carlisle</v>
      </c>
      <c r="SA24" s="59">
        <f t="shared" si="368"/>
        <v>0</v>
      </c>
      <c r="SB24" s="59">
        <f t="shared" si="369"/>
        <v>0</v>
      </c>
      <c r="SC24" s="59">
        <f t="shared" si="370"/>
        <v>0</v>
      </c>
      <c r="SD24" s="59">
        <f t="shared" si="371"/>
        <v>0</v>
      </c>
      <c r="SE24" s="59">
        <f t="shared" si="372"/>
        <v>0</v>
      </c>
      <c r="SF24" s="58">
        <f t="shared" si="373"/>
        <v>0</v>
      </c>
      <c r="SG24" s="45">
        <f t="shared" si="374"/>
        <v>33</v>
      </c>
      <c r="SH24" s="45">
        <f t="shared" si="67"/>
        <v>2.5989999999999998</v>
      </c>
      <c r="SI24" s="45">
        <f t="shared" si="375"/>
        <v>1</v>
      </c>
      <c r="SJ24" s="45">
        <f t="shared" si="376"/>
        <v>2</v>
      </c>
      <c r="SK24" s="45">
        <f t="shared" si="377"/>
        <v>0</v>
      </c>
      <c r="SL24" s="46" cm="1">
        <f t="array" ref="SL24">ROUND(IFERROR(INDEX(ArchiveResults!$F$5:$IX$116,ComparisonData!A24,ComparisonData!$SL$1),0),5)</f>
        <v>0</v>
      </c>
      <c r="SM24" s="46" cm="1">
        <f t="array" ref="SM24">ROUND(IFERROR(INDEX(ArchiveResults!$F$5:$IX$116,ComparisonData!A24,ComparisonData!$SM$1),0),5)</f>
        <v>0</v>
      </c>
      <c r="SN24" s="46" cm="1">
        <f t="array" ref="SN24">ROUND(IFERROR(INDEX(ArchiveResults!$F$5:$IX$116,ComparisonData!A24,ComparisonData!$SN$1),0),5)</f>
        <v>0</v>
      </c>
      <c r="SO24" s="46" cm="1">
        <f t="array" ref="SO24">ROUND(IFERROR(INDEX(ArchiveResults!$F$5:$IX$116,ComparisonData!A24,ComparisonData!$SO$1),0),5)</f>
        <v>0</v>
      </c>
      <c r="SP24" s="45" cm="1">
        <f t="array" ref="SP24">IFERROR(INDEX(ArchiveResults!$F$5:$IX$116,ComparisonData!A24,ComparisonData!$SP$1),0)</f>
        <v>0</v>
      </c>
      <c r="SQ24" s="56">
        <v>19</v>
      </c>
      <c r="SR24" s="53" t="str">
        <f t="shared" si="68"/>
        <v>Cumbria Archive Centre: Carlisle</v>
      </c>
      <c r="SS24" s="59">
        <f t="shared" si="378"/>
        <v>0</v>
      </c>
      <c r="ST24" s="59">
        <f t="shared" si="379"/>
        <v>0</v>
      </c>
      <c r="SU24" s="59">
        <f t="shared" si="380"/>
        <v>0</v>
      </c>
      <c r="SV24" s="59">
        <f t="shared" si="381"/>
        <v>0</v>
      </c>
      <c r="SW24" s="59">
        <f t="shared" si="382"/>
        <v>0</v>
      </c>
      <c r="SX24" s="58">
        <f t="shared" si="383"/>
        <v>0</v>
      </c>
      <c r="SY24" s="45">
        <f t="shared" si="384"/>
        <v>33</v>
      </c>
      <c r="SZ24" s="45">
        <f t="shared" si="69"/>
        <v>2.5989999999999998</v>
      </c>
      <c r="TA24" s="45">
        <f t="shared" si="385"/>
        <v>1</v>
      </c>
      <c r="TB24" s="45">
        <f t="shared" si="386"/>
        <v>2</v>
      </c>
      <c r="TC24" s="45">
        <f t="shared" si="387"/>
        <v>0</v>
      </c>
      <c r="TD24" s="46" cm="1">
        <f t="array" ref="TD24">ROUND(IFERROR(INDEX(ArchiveResults!$F$5:$IX$116,ComparisonData!A24,ComparisonData!$TD$1),0),5)</f>
        <v>0</v>
      </c>
      <c r="TE24" s="46" cm="1">
        <f t="array" ref="TE24">ROUND(IFERROR(INDEX(ArchiveResults!$F$5:$IX$116,ComparisonData!A24,ComparisonData!$TE$1),0),5)</f>
        <v>0</v>
      </c>
      <c r="TF24" s="46" cm="1">
        <f t="array" ref="TF24">ROUND(IFERROR(INDEX(ArchiveResults!$F$5:$IX$116,ComparisonData!A24,ComparisonData!$TF$1),0),5)</f>
        <v>0</v>
      </c>
      <c r="TG24" s="46" cm="1">
        <f t="array" ref="TG24">ROUND(IFERROR(INDEX(ArchiveResults!$F$5:$IX$116,ComparisonData!A24,ComparisonData!$TG$1),0),5)</f>
        <v>0</v>
      </c>
      <c r="TH24" s="45" cm="1">
        <f t="array" ref="TH24">IFERROR(INDEX(ArchiveResults!$F$5:$IX$116,ComparisonData!A24,ComparisonData!$TH$1),0)</f>
        <v>0</v>
      </c>
      <c r="TI24" s="56">
        <v>19</v>
      </c>
      <c r="TJ24" s="53" t="str">
        <f t="shared" si="70"/>
        <v>Cumbria Archive Centre: Carlisle</v>
      </c>
      <c r="TK24" s="59">
        <f t="shared" si="388"/>
        <v>0</v>
      </c>
      <c r="TL24" s="59">
        <f t="shared" si="389"/>
        <v>0</v>
      </c>
      <c r="TM24" s="59">
        <f t="shared" si="390"/>
        <v>0</v>
      </c>
      <c r="TN24" s="59">
        <f t="shared" si="391"/>
        <v>0</v>
      </c>
      <c r="TO24" s="59">
        <f t="shared" si="392"/>
        <v>0</v>
      </c>
      <c r="TP24" s="58">
        <f t="shared" si="393"/>
        <v>0</v>
      </c>
      <c r="TQ24" s="45">
        <f t="shared" si="394"/>
        <v>33</v>
      </c>
      <c r="TR24" s="45">
        <f t="shared" si="71"/>
        <v>2.5989999999999998</v>
      </c>
      <c r="TS24" s="45">
        <f t="shared" si="395"/>
        <v>1</v>
      </c>
      <c r="TT24" s="45">
        <f t="shared" si="396"/>
        <v>2</v>
      </c>
      <c r="TU24" s="45">
        <f t="shared" si="397"/>
        <v>0</v>
      </c>
      <c r="TV24" s="46" cm="1">
        <f t="array" ref="TV24">ROUND(IFERROR(INDEX(ArchiveResults!$F$5:$IX$116,ComparisonData!A24,ComparisonData!$TV$1),0),5)</f>
        <v>0</v>
      </c>
      <c r="TW24" s="46" cm="1">
        <f t="array" ref="TW24">ROUND(IFERROR(INDEX(ArchiveResults!$F$5:$IX$116,ComparisonData!A24,ComparisonData!$TW$1),0),5)</f>
        <v>0</v>
      </c>
      <c r="TX24" s="46" cm="1">
        <f t="array" ref="TX24">ROUND(IFERROR(INDEX(ArchiveResults!$F$5:$IX$116,ComparisonData!A24,ComparisonData!$TX$1),0),5)</f>
        <v>0</v>
      </c>
      <c r="TY24" s="46" cm="1">
        <f t="array" ref="TY24">ROUND(IFERROR(INDEX(ArchiveResults!$F$5:$IX$116,ComparisonData!A24,ComparisonData!$TY$1),0),5)</f>
        <v>0</v>
      </c>
      <c r="TZ24" s="45" cm="1">
        <f t="array" ref="TZ24">IFERROR(INDEX(ArchiveResults!$F$5:$IX$116,ComparisonData!A24,ComparisonData!$TZ$1),0)</f>
        <v>0</v>
      </c>
      <c r="UA24" s="56">
        <v>19</v>
      </c>
      <c r="UB24" s="53" t="str">
        <f t="shared" si="72"/>
        <v>Cumbria Archive Centre: Carlisle</v>
      </c>
      <c r="UC24" s="60">
        <f t="shared" si="398"/>
        <v>0</v>
      </c>
      <c r="UD24" s="60">
        <f t="shared" si="399"/>
        <v>0</v>
      </c>
      <c r="UE24" s="60">
        <f t="shared" si="400"/>
        <v>0</v>
      </c>
      <c r="UF24" s="60">
        <f t="shared" si="401"/>
        <v>0</v>
      </c>
      <c r="UG24" s="60">
        <f t="shared" si="402"/>
        <v>0</v>
      </c>
      <c r="UH24" s="58">
        <f t="shared" si="403"/>
        <v>0</v>
      </c>
      <c r="UI24" s="46">
        <f t="shared" si="404"/>
        <v>33</v>
      </c>
      <c r="UJ24" s="46">
        <f t="shared" si="73"/>
        <v>2.5989999999999998</v>
      </c>
      <c r="UK24" s="46">
        <f t="shared" si="405"/>
        <v>1</v>
      </c>
      <c r="UL24" s="46">
        <f t="shared" si="406"/>
        <v>2</v>
      </c>
      <c r="UM24" s="46" cm="1">
        <f t="array" ref="UM24">ROUND(IFERROR(INDEX(ArchiveResults!$F$5:$IX$116,ComparisonData!A24,ComparisonData!$UM$1),0),5)</f>
        <v>0</v>
      </c>
      <c r="UN24" s="56">
        <v>19</v>
      </c>
      <c r="UO24" s="53" t="str">
        <f t="shared" si="74"/>
        <v>Cumbria Archive Centre: Carlisle</v>
      </c>
      <c r="UP24" s="46">
        <f t="shared" si="407"/>
        <v>0</v>
      </c>
      <c r="UQ24" s="76">
        <f t="shared" si="408"/>
        <v>0</v>
      </c>
      <c r="UR24" s="46">
        <f t="shared" si="409"/>
        <v>33</v>
      </c>
      <c r="US24" s="46">
        <f t="shared" si="75"/>
        <v>2.5989999999999998</v>
      </c>
      <c r="UT24" s="46">
        <f t="shared" si="410"/>
        <v>1</v>
      </c>
      <c r="UU24" s="46">
        <f t="shared" si="411"/>
        <v>2</v>
      </c>
      <c r="UV24" s="46">
        <f t="shared" si="412"/>
        <v>0</v>
      </c>
      <c r="UW24" s="46" cm="1">
        <f t="array" ref="UW24">ROUND(IFERROR(INDEX(ArchiveResults!$F$5:$IX$116,ComparisonData!A24,ComparisonData!$UW$1),0),5)</f>
        <v>0</v>
      </c>
      <c r="UX24" s="46" cm="1">
        <f t="array" ref="UX24">ROUND(IFERROR(INDEX(ArchiveResults!$F$5:$IX$116,ComparisonData!A24,ComparisonData!$UX$1),0),5)</f>
        <v>0</v>
      </c>
      <c r="UY24" s="46" cm="1">
        <f t="array" ref="UY24">ROUND(IFERROR(INDEX(ArchiveResults!$F$5:$IX$116,ComparisonData!A24,ComparisonData!$UY$1),0),5)</f>
        <v>0</v>
      </c>
      <c r="UZ24" s="46" cm="1">
        <f t="array" ref="UZ24">ROUND(IFERROR(INDEX(ArchiveResults!$F$5:$IX$116,ComparisonData!A24,ComparisonData!$UZ$1),0),5)</f>
        <v>0</v>
      </c>
      <c r="VA24" s="46" cm="1">
        <f t="array" ref="VA24">ROUND(IFERROR(INDEX(ArchiveResults!$F$5:$IX$116,ComparisonData!A24,ComparisonData!$VA$1),0),5)</f>
        <v>0</v>
      </c>
      <c r="VB24" s="56">
        <v>19</v>
      </c>
      <c r="VC24" s="53" t="str">
        <f t="shared" si="76"/>
        <v>Cumbria Archive Centre: Carlisle</v>
      </c>
      <c r="VD24" s="60">
        <f t="shared" si="413"/>
        <v>0</v>
      </c>
      <c r="VE24" s="60">
        <f t="shared" si="414"/>
        <v>0</v>
      </c>
      <c r="VF24" s="60">
        <f t="shared" si="415"/>
        <v>0</v>
      </c>
      <c r="VG24" s="60">
        <f t="shared" si="416"/>
        <v>0</v>
      </c>
      <c r="VH24" s="60">
        <f t="shared" si="417"/>
        <v>0</v>
      </c>
      <c r="VI24" s="76">
        <f t="shared" si="418"/>
        <v>0</v>
      </c>
      <c r="VJ24" s="46">
        <f t="shared" si="419"/>
        <v>33</v>
      </c>
      <c r="VK24" s="46">
        <f t="shared" si="77"/>
        <v>2.5989999999999998</v>
      </c>
      <c r="VL24" s="46">
        <f t="shared" si="420"/>
        <v>1</v>
      </c>
      <c r="VM24" s="46">
        <f t="shared" si="421"/>
        <v>2</v>
      </c>
      <c r="VN24" s="46" cm="1">
        <f t="array" ref="VN24">ROUND(IFERROR(INDEX(ArchiveResults!$F$5:$IX$116,ComparisonData!A24,ComparisonData!$VN$1),0),5)</f>
        <v>0</v>
      </c>
      <c r="VO24" s="46" cm="1">
        <f t="array" ref="VO24">ROUND(IFERROR(INDEX(ArchiveResults!$F$5:$IX$116,ComparisonData!A24,ComparisonData!$VO$1),0),5)</f>
        <v>0</v>
      </c>
      <c r="VP24" s="46" cm="1">
        <f t="array" ref="VP24">ROUND(IFERROR(INDEX(ArchiveResults!$F$5:$IX$116,ComparisonData!A24,ComparisonData!$VP$1),0),5)</f>
        <v>0</v>
      </c>
      <c r="VQ24" s="46" cm="1">
        <f t="array" ref="VQ24">ROUND(IFERROR(INDEX(ArchiveResults!$F$5:$IX$116,ComparisonData!A24,ComparisonData!$VQ$1),0),5)</f>
        <v>0</v>
      </c>
      <c r="VR24" s="56">
        <v>19</v>
      </c>
      <c r="VS24" s="53" t="str">
        <f t="shared" si="78"/>
        <v>Cumbria Archive Centre: Carlisle</v>
      </c>
      <c r="VT24" s="60">
        <f t="shared" si="422"/>
        <v>0</v>
      </c>
      <c r="VU24" s="60">
        <f t="shared" si="423"/>
        <v>0</v>
      </c>
      <c r="VV24" s="60">
        <f t="shared" si="424"/>
        <v>0</v>
      </c>
      <c r="VW24" s="60">
        <f t="shared" si="425"/>
        <v>0</v>
      </c>
      <c r="VX24" s="76">
        <f t="shared" si="426"/>
        <v>0</v>
      </c>
      <c r="VY24" s="46">
        <f t="shared" si="427"/>
        <v>33</v>
      </c>
      <c r="VZ24" s="46">
        <f t="shared" si="79"/>
        <v>2.5989999999999998</v>
      </c>
      <c r="WA24" s="46">
        <f t="shared" si="428"/>
        <v>1</v>
      </c>
      <c r="WB24" s="46">
        <f t="shared" si="429"/>
        <v>2</v>
      </c>
      <c r="WC24" s="46" cm="1">
        <f t="array" ref="WC24">ROUND(IFERROR(INDEX(ArchiveResults!$F$5:$IX$116,ComparisonData!A24,ComparisonData!$WC$1),0),5)</f>
        <v>0</v>
      </c>
      <c r="WD24" s="56">
        <v>19</v>
      </c>
      <c r="WE24" s="53" t="str">
        <f t="shared" si="80"/>
        <v>Cumbria Archive Centre: Carlisle</v>
      </c>
      <c r="WF24" s="46">
        <f t="shared" si="430"/>
        <v>0</v>
      </c>
      <c r="WG24" s="76">
        <f t="shared" si="431"/>
        <v>0</v>
      </c>
      <c r="WH24" s="46">
        <f t="shared" si="432"/>
        <v>33</v>
      </c>
      <c r="WI24" s="46">
        <f t="shared" si="81"/>
        <v>2.5989999999999998</v>
      </c>
      <c r="WJ24" s="46">
        <f t="shared" si="433"/>
        <v>1</v>
      </c>
      <c r="WK24" s="46">
        <f t="shared" si="434"/>
        <v>2</v>
      </c>
      <c r="WL24" s="46" cm="1">
        <f t="array" ref="WL24">ROUND(IFERROR(INDEX(ArchiveResults!$F$5:$IX$116,ComparisonData!A24,ComparisonData!$WL$1),0),5)</f>
        <v>0</v>
      </c>
      <c r="WM24" s="46" cm="1">
        <f t="array" ref="WM24">IFERROR(INDEX(ArchiveResults!$F$5:$IX$116,ComparisonData!A24,ComparisonData!$WM$1),0)</f>
        <v>0</v>
      </c>
      <c r="WN24" s="56">
        <v>19</v>
      </c>
      <c r="WO24" s="53" t="str">
        <f t="shared" si="82"/>
        <v>Cumbria Archive Centre: Carlisle</v>
      </c>
      <c r="WP24" s="60">
        <f t="shared" si="435"/>
        <v>0</v>
      </c>
      <c r="WQ24" s="60">
        <f t="shared" si="436"/>
        <v>0</v>
      </c>
      <c r="WR24" s="76">
        <f t="shared" si="437"/>
        <v>0</v>
      </c>
      <c r="WS24" s="46">
        <f t="shared" si="438"/>
        <v>33</v>
      </c>
      <c r="WT24" s="46">
        <f t="shared" si="83"/>
        <v>2.5989999999999998</v>
      </c>
      <c r="WU24" s="46">
        <f t="shared" si="439"/>
        <v>1</v>
      </c>
      <c r="WV24" s="46">
        <f t="shared" si="440"/>
        <v>2</v>
      </c>
      <c r="WW24" s="46" cm="1">
        <f t="array" ref="WW24">ROUND(VALUE(IFERROR(INDEX(ArchiveResults!$F$5:$IX$116,ComparisonData!A24,ComparisonData!$WW$1),0)),5)</f>
        <v>0</v>
      </c>
      <c r="WX24" s="46" cm="1">
        <f t="array" ref="WX24">ROUND(IFERROR(INDEX(ArchiveResults!$F$5:$IX$116,ComparisonData!A24,ComparisonData!$WX$1),0),5)</f>
        <v>0</v>
      </c>
      <c r="WY24" s="56">
        <v>19</v>
      </c>
      <c r="WZ24" s="53" t="str">
        <f t="shared" si="84"/>
        <v>Cumbria Archive Centre: Carlisle</v>
      </c>
      <c r="XA24" s="60">
        <f t="shared" si="85"/>
        <v>0</v>
      </c>
      <c r="XB24" s="60">
        <f t="shared" si="86"/>
        <v>0</v>
      </c>
      <c r="XC24" s="76">
        <f t="shared" si="441"/>
        <v>0</v>
      </c>
      <c r="XD24" s="46">
        <f t="shared" si="442"/>
        <v>33</v>
      </c>
      <c r="XE24" s="46">
        <f t="shared" si="87"/>
        <v>2.5989999999999998</v>
      </c>
      <c r="XF24" s="46">
        <f t="shared" si="443"/>
        <v>1</v>
      </c>
      <c r="XG24" s="46">
        <f t="shared" si="444"/>
        <v>2</v>
      </c>
      <c r="XH24" s="46" cm="1">
        <f t="array" ref="XH24">ROUND(VALUE(IFERROR(INDEX(ArchiveResults!$F$5:$IX$116,ComparisonData!A24,ComparisonData!$XH$1),0)),5)</f>
        <v>0</v>
      </c>
      <c r="XI24" s="46" cm="1">
        <f t="array" ref="XI24">ROUND(VALUE(IFERROR(INDEX(ArchiveResults!$F$5:$IX$116,ComparisonData!A24,ComparisonData!$XI$1),0)),5)</f>
        <v>0</v>
      </c>
      <c r="XJ24" s="56">
        <v>19</v>
      </c>
      <c r="XK24" s="53" t="str">
        <f t="shared" si="88"/>
        <v>Cumbria Archive Centre: Carlisle</v>
      </c>
      <c r="XL24" s="60">
        <f t="shared" si="445"/>
        <v>0</v>
      </c>
      <c r="XM24" s="60">
        <f t="shared" si="446"/>
        <v>0</v>
      </c>
      <c r="XN24" s="76">
        <f t="shared" si="447"/>
        <v>0</v>
      </c>
      <c r="XO24" s="46">
        <f t="shared" si="448"/>
        <v>33</v>
      </c>
      <c r="XP24" s="46">
        <f t="shared" si="89"/>
        <v>2.5989999999999998</v>
      </c>
      <c r="XQ24" s="46">
        <f t="shared" si="449"/>
        <v>1</v>
      </c>
      <c r="XR24" s="46">
        <f t="shared" si="450"/>
        <v>2</v>
      </c>
      <c r="XS24" s="46" cm="1">
        <f t="array" ref="XS24">ROUND(VALUE(IFERROR(INDEX(ArchiveResults!$F$5:$IX$116,ComparisonData!A24,ComparisonData!$XS$1),0)),5)</f>
        <v>0</v>
      </c>
      <c r="XT24" s="46" cm="1">
        <f t="array" ref="XT24">ROUND(VALUE(IFERROR(INDEX(ArchiveResults!$F$5:$IX$116,ComparisonData!A24,ComparisonData!$XT$1),0)),5)</f>
        <v>0</v>
      </c>
      <c r="XU24" s="56">
        <v>19</v>
      </c>
      <c r="XV24" s="53" t="str">
        <f t="shared" si="90"/>
        <v>Cumbria Archive Centre: Carlisle</v>
      </c>
      <c r="XW24" s="60">
        <f t="shared" si="451"/>
        <v>0</v>
      </c>
      <c r="XX24" s="60">
        <f t="shared" si="452"/>
        <v>0</v>
      </c>
      <c r="XY24" s="76">
        <f t="shared" si="453"/>
        <v>0</v>
      </c>
      <c r="XZ24" s="46">
        <f t="shared" si="454"/>
        <v>33</v>
      </c>
      <c r="YA24" s="46">
        <f t="shared" si="91"/>
        <v>2.5989999999999998</v>
      </c>
      <c r="YB24" s="46">
        <f t="shared" si="455"/>
        <v>1</v>
      </c>
      <c r="YC24" s="46">
        <f t="shared" si="456"/>
        <v>2</v>
      </c>
      <c r="YD24" s="46" cm="1">
        <f t="array" ref="YD24">ROUND(VALUE(IFERROR(INDEX(ArchiveResults!$F$5:$IX$116,ComparisonData!A24,ComparisonData!$YD$1),0)),5)</f>
        <v>0</v>
      </c>
      <c r="YE24" s="46" cm="1">
        <f t="array" ref="YE24">ROUND(VALUE(IFERROR(INDEX(ArchiveResults!$F$5:$IX$116,ComparisonData!A24,ComparisonData!$YE$1),0)),5)</f>
        <v>0</v>
      </c>
      <c r="YF24" s="56">
        <v>19</v>
      </c>
      <c r="YG24" s="53" t="str">
        <f t="shared" si="92"/>
        <v>Cumbria Archive Centre: Carlisle</v>
      </c>
      <c r="YH24" s="60">
        <f t="shared" si="457"/>
        <v>0</v>
      </c>
      <c r="YI24" s="60">
        <f t="shared" si="458"/>
        <v>0</v>
      </c>
      <c r="YJ24" s="76">
        <f t="shared" si="459"/>
        <v>0</v>
      </c>
      <c r="YK24" s="46">
        <f t="shared" si="460"/>
        <v>33</v>
      </c>
      <c r="YL24" s="46">
        <f t="shared" si="93"/>
        <v>2.5989999999999998</v>
      </c>
      <c r="YM24" s="46">
        <f t="shared" si="461"/>
        <v>1</v>
      </c>
      <c r="YN24" s="46">
        <f t="shared" si="462"/>
        <v>2</v>
      </c>
      <c r="YO24" s="46" cm="1">
        <f t="array" ref="YO24">ROUND(VALUE(IFERROR(INDEX(ArchiveResults!$F$5:$IX$116,ComparisonData!A24,ComparisonData!$YO$1),0)),5)</f>
        <v>0</v>
      </c>
      <c r="YP24" s="46" cm="1">
        <f t="array" ref="YP24">ROUND(VALUE(IFERROR(INDEX(ArchiveResults!$F$5:$IX$116,ComparisonData!A24,ComparisonData!$YP$1),0)),5)</f>
        <v>0</v>
      </c>
      <c r="YQ24" s="56">
        <v>19</v>
      </c>
      <c r="YR24" s="53" t="str">
        <f t="shared" si="94"/>
        <v>Cumbria Archive Centre: Carlisle</v>
      </c>
      <c r="YS24" s="60">
        <f t="shared" si="463"/>
        <v>0</v>
      </c>
      <c r="YT24" s="60">
        <f t="shared" si="464"/>
        <v>0</v>
      </c>
      <c r="YU24" s="76">
        <f t="shared" si="465"/>
        <v>0</v>
      </c>
      <c r="YV24" s="46">
        <f t="shared" si="466"/>
        <v>33</v>
      </c>
      <c r="YW24" s="46">
        <f t="shared" si="95"/>
        <v>2.5989999999999998</v>
      </c>
      <c r="YX24" s="46">
        <f t="shared" si="467"/>
        <v>1</v>
      </c>
      <c r="YY24" s="46">
        <f t="shared" si="468"/>
        <v>2</v>
      </c>
      <c r="YZ24" s="46">
        <f t="shared" si="469"/>
        <v>0</v>
      </c>
      <c r="ZA24" s="46" cm="1">
        <f t="array" ref="ZA24">ROUNDDOWN(VALUE(IFERROR(INDEX(ArchiveResults!$F$5:$IX$116,ComparisonData!A24,ComparisonData!$ZA$1),0)),5)</f>
        <v>0</v>
      </c>
      <c r="ZB24" s="46" cm="1">
        <f t="array" ref="ZB24">ROUNDDOWN(VALUE(IFERROR(INDEX(ArchiveResults!$F$5:$IX$116,ComparisonData!A24,ComparisonData!$ZB$1),0)),5)</f>
        <v>0</v>
      </c>
      <c r="ZC24" s="46" cm="1">
        <f t="array" ref="ZC24">ROUNDDOWN(VALUE(IFERROR(INDEX(ArchiveResults!$F$5:$IX$116,ComparisonData!A24,ComparisonData!$ZC$1),0)),5)</f>
        <v>0</v>
      </c>
      <c r="ZD24" s="46" cm="1">
        <f t="array" ref="ZD24">ROUNDDOWN(VALUE(IFERROR(INDEX(ArchiveResults!$F$5:$IX$116,ComparisonData!A24,ComparisonData!$ZD$1),0)),5)</f>
        <v>0</v>
      </c>
      <c r="ZE24" s="46" cm="1">
        <f t="array" ref="ZE24">ROUNDDOWN(VALUE(IFERROR(INDEX(ArchiveResults!$F$5:$IX$116,ComparisonData!A24,ComparisonData!$ZE$1),0)),5)</f>
        <v>0</v>
      </c>
      <c r="ZF24" s="56">
        <v>19</v>
      </c>
      <c r="ZG24" s="53" t="str">
        <f t="shared" si="96"/>
        <v>Cumbria Archive Centre: Carlisle</v>
      </c>
      <c r="ZH24" s="60">
        <f t="shared" si="470"/>
        <v>0</v>
      </c>
      <c r="ZI24" s="60">
        <f t="shared" si="471"/>
        <v>0</v>
      </c>
      <c r="ZJ24" s="60">
        <f t="shared" si="472"/>
        <v>0</v>
      </c>
      <c r="ZK24" s="60">
        <f t="shared" si="473"/>
        <v>0</v>
      </c>
      <c r="ZL24" s="60">
        <f t="shared" si="474"/>
        <v>0</v>
      </c>
      <c r="ZM24" s="76">
        <f t="shared" si="475"/>
        <v>0</v>
      </c>
      <c r="ZN24" s="46">
        <f t="shared" si="476"/>
        <v>33</v>
      </c>
      <c r="ZO24" s="46">
        <f t="shared" si="97"/>
        <v>2.5989999999999998</v>
      </c>
      <c r="ZP24" s="46">
        <f t="shared" si="477"/>
        <v>1</v>
      </c>
      <c r="ZQ24" s="46">
        <f t="shared" si="478"/>
        <v>2</v>
      </c>
      <c r="ZR24" s="46" cm="1">
        <f t="array" ref="ZR24">ROUND(VALUE(IFERROR(INDEX(ArchiveResults!$F$5:$IX$116,ComparisonData!A24,ComparisonData!$ZR$1),0)),5)</f>
        <v>0</v>
      </c>
      <c r="ZS24" s="56">
        <v>19</v>
      </c>
      <c r="ZT24" s="53" t="str">
        <f t="shared" si="98"/>
        <v>Cumbria Archive Centre: Carlisle</v>
      </c>
      <c r="ZU24" s="46">
        <f t="shared" si="479"/>
        <v>0</v>
      </c>
      <c r="ZV24" s="76">
        <f t="shared" si="480"/>
        <v>0</v>
      </c>
      <c r="ZW24" s="81" cm="1">
        <f t="array" ref="ZW24">ROUND((IFERROR(INDEX(ArchiveResults!$F$5:$IX$116,ComparisonData!A24,ComparisonData!$ZW$1),0)),5)</f>
        <v>0</v>
      </c>
      <c r="ZX24" s="81" cm="1">
        <f t="array" ref="ZX24">ROUND((IFERROR(INDEX(ArchiveResults!$F$5:$IX$116,ComparisonData!A24,ComparisonData!$ZX$1),0)),5)</f>
        <v>0</v>
      </c>
      <c r="ZY24" s="81" cm="1">
        <f t="array" ref="ZY24">ROUND((IFERROR(INDEX(ArchiveResults!$F$5:$IX$116,ComparisonData!A24,ComparisonData!$ZY$1),0)),5)</f>
        <v>0</v>
      </c>
      <c r="ZZ24" s="81" cm="1">
        <f t="array" ref="ZZ24">ROUND((IFERROR(INDEX(ArchiveResults!$F$5:$IX$116,ComparisonData!A24,ComparisonData!$ZZ$1),0)),5)</f>
        <v>0</v>
      </c>
      <c r="AAA24" s="81" cm="1">
        <f t="array" ref="AAA24">ROUND((IFERROR(INDEX(ArchiveResults!$F$5:$IX$116,ComparisonData!A24,ComparisonData!$AAA$1),0)),5)</f>
        <v>0</v>
      </c>
      <c r="AAB24" s="81" cm="1">
        <f t="array" ref="AAB24">ROUND((IFERROR(INDEX(ArchiveResults!$F$5:$IX$116,ComparisonData!A24,ComparisonData!$AAB$1),0)),5)</f>
        <v>0</v>
      </c>
      <c r="AAC24" s="81" cm="1">
        <f t="array" ref="AAC24">ROUND((IFERROR(INDEX(ArchiveResults!$F$5:$IX$116,ComparisonData!A24,ComparisonData!$AAC$1),0)),5)</f>
        <v>0</v>
      </c>
      <c r="AAD24" s="81" cm="1">
        <f t="array" ref="AAD24">ROUND((IFERROR(INDEX(ArchiveResults!$F$5:$IX$116,ComparisonData!A24,ComparisonData!$AAD$1),0)),5)</f>
        <v>0</v>
      </c>
      <c r="AAE24" s="81" cm="1">
        <f t="array" ref="AAE24">ROUND((IFERROR(INDEX(ArchiveResults!$F$5:$IX$116,ComparisonData!A24,ComparisonData!$AAE$1),0)),5)</f>
        <v>0</v>
      </c>
      <c r="AAF24" s="81" cm="1">
        <f t="array" ref="AAF24">ROUND((IFERROR(INDEX(ArchiveResults!$F$5:$IX$116,ComparisonData!A24,ComparisonData!$AAF$1),0)),5)</f>
        <v>0</v>
      </c>
      <c r="AAG24" s="46">
        <f t="shared" si="481"/>
        <v>33</v>
      </c>
      <c r="AAH24" s="46">
        <f t="shared" si="99"/>
        <v>2.5989999999999998</v>
      </c>
      <c r="AAI24" s="46">
        <f t="shared" si="482"/>
        <v>1</v>
      </c>
      <c r="AAJ24" s="46">
        <f t="shared" si="483"/>
        <v>2</v>
      </c>
      <c r="AAK24" s="46">
        <f t="shared" si="484"/>
        <v>0</v>
      </c>
      <c r="AAL24" s="46">
        <f t="shared" si="485"/>
        <v>0</v>
      </c>
      <c r="AAM24" s="46">
        <f t="shared" si="486"/>
        <v>0</v>
      </c>
      <c r="AAN24" s="46">
        <f t="shared" si="487"/>
        <v>0</v>
      </c>
      <c r="AAO24" s="46">
        <f t="shared" si="488"/>
        <v>0</v>
      </c>
      <c r="AAP24" s="46">
        <f t="shared" si="489"/>
        <v>0</v>
      </c>
      <c r="AAQ24" s="56">
        <v>19</v>
      </c>
      <c r="AAR24" s="53" t="str">
        <f t="shared" si="100"/>
        <v>Cumbria Archive Centre: Carlisle</v>
      </c>
      <c r="AAS24" s="60">
        <f t="shared" si="490"/>
        <v>0</v>
      </c>
      <c r="AAT24" s="60">
        <f t="shared" si="491"/>
        <v>0</v>
      </c>
      <c r="AAU24" s="60">
        <f t="shared" si="492"/>
        <v>0</v>
      </c>
      <c r="AAV24" s="60">
        <f t="shared" si="493"/>
        <v>0</v>
      </c>
      <c r="AAW24" s="60">
        <f t="shared" si="494"/>
        <v>0</v>
      </c>
      <c r="AAX24" s="76">
        <f t="shared" si="495"/>
        <v>0</v>
      </c>
      <c r="AAY24" s="46">
        <f t="shared" si="496"/>
        <v>33</v>
      </c>
      <c r="AAZ24" s="46">
        <f t="shared" si="101"/>
        <v>2.5989999999999998</v>
      </c>
      <c r="ABA24" s="46">
        <f t="shared" si="497"/>
        <v>1</v>
      </c>
      <c r="ABB24" s="46">
        <f t="shared" si="498"/>
        <v>2</v>
      </c>
      <c r="ABC24" s="46">
        <f t="shared" si="102"/>
        <v>0</v>
      </c>
      <c r="ABD24" s="46" cm="1">
        <f t="array" ref="ABD24">ROUND(VALUE(IFERROR(INDEX(ArchiveResults!$F$5:$IX$116,ComparisonData!A24,ComparisonData!$ABD$1),0)),5)</f>
        <v>0</v>
      </c>
      <c r="ABE24" s="46" cm="1">
        <f t="array" ref="ABE24">ROUND(VALUE(IFERROR(INDEX(ArchiveResults!$F$5:$IX$116,ComparisonData!A24,ComparisonData!$ABE$1),0)),5)</f>
        <v>0</v>
      </c>
      <c r="ABF24" s="46" cm="1">
        <f t="array" ref="ABF24">ROUND(VALUE(IFERROR(INDEX(ArchiveResults!$F$5:$IX$116,ComparisonData!A24,ComparisonData!$ABF$1),0)),5)</f>
        <v>0</v>
      </c>
      <c r="ABG24" s="46" cm="1">
        <f t="array" ref="ABG24">ROUND(VALUE(IFERROR(INDEX(ArchiveResults!$F$5:$IX$116,ComparisonData!A24,ComparisonData!$ABG$1),0)),5)</f>
        <v>0</v>
      </c>
      <c r="ABH24" s="46" cm="1">
        <f t="array" ref="ABH24">ROUND(VALUE(IFERROR(INDEX(ArchiveResults!$F$5:$IX$116,ComparisonData!A24,ComparisonData!$ABH$1),0)),5)</f>
        <v>0</v>
      </c>
      <c r="ABI24" s="56">
        <v>19</v>
      </c>
      <c r="ABJ24" s="53" t="str">
        <f t="shared" si="103"/>
        <v>Cumbria Archive Centre: Carlisle</v>
      </c>
      <c r="ABK24" s="60">
        <f t="shared" si="499"/>
        <v>0</v>
      </c>
      <c r="ABL24" s="60">
        <f t="shared" si="500"/>
        <v>0</v>
      </c>
      <c r="ABM24" s="60">
        <f t="shared" si="501"/>
        <v>0</v>
      </c>
      <c r="ABN24" s="60">
        <f t="shared" si="502"/>
        <v>0</v>
      </c>
      <c r="ABO24" s="60">
        <f t="shared" si="503"/>
        <v>0</v>
      </c>
      <c r="ABP24" s="76">
        <f t="shared" si="504"/>
        <v>0</v>
      </c>
      <c r="ABQ24" s="46">
        <f t="shared" si="505"/>
        <v>33</v>
      </c>
      <c r="ABR24" s="46">
        <f t="shared" si="104"/>
        <v>2.5989999999999998</v>
      </c>
      <c r="ABS24" s="46">
        <f t="shared" si="506"/>
        <v>1</v>
      </c>
      <c r="ABT24" s="46">
        <f t="shared" si="507"/>
        <v>2</v>
      </c>
      <c r="ABU24" s="46" cm="1">
        <f t="array" ref="ABU24">ROUND(VALUE(IFERROR(INDEX(ArchiveResults!$F$5:$IX$116,ComparisonData!A24,ComparisonData!$ABU$1),0)),5)</f>
        <v>0</v>
      </c>
      <c r="ABV24" s="46" cm="1">
        <f t="array" ref="ABV24">ROUND(VALUE(IFERROR(INDEX(ArchiveResults!$F$5:$IX$116,ComparisonData!A24,ComparisonData!$ABV$1),0)),5)</f>
        <v>0</v>
      </c>
      <c r="ABW24" s="46" cm="1">
        <f t="array" ref="ABW24">ROUND(VALUE(IFERROR(INDEX(ArchiveResults!$F$5:$IX$116,ComparisonData!A24,ComparisonData!$ABW$1),0)),5)</f>
        <v>0</v>
      </c>
      <c r="ABX24" s="46" cm="1">
        <f t="array" ref="ABX24">ROUND(VALUE(IFERROR(INDEX(ArchiveResults!$F$5:$IX$116,ComparisonData!A24,ComparisonData!$ABX$1),0)),5)</f>
        <v>0</v>
      </c>
      <c r="ABY24" s="46" cm="1">
        <f t="array" ref="ABY24">ROUND(VALUE(IFERROR(INDEX(ArchiveResults!$F$5:$IX$116,ComparisonData!A24,ComparisonData!$ABY$1),0)),5)</f>
        <v>0</v>
      </c>
      <c r="ABZ24" s="56">
        <v>19</v>
      </c>
      <c r="ACA24" s="53" t="str">
        <f t="shared" si="105"/>
        <v>Cumbria Archive Centre: Carlisle</v>
      </c>
      <c r="ACB24" s="60">
        <f t="shared" si="508"/>
        <v>0</v>
      </c>
      <c r="ACC24" s="60">
        <f t="shared" si="509"/>
        <v>0</v>
      </c>
      <c r="ACD24" s="60">
        <f t="shared" si="510"/>
        <v>0</v>
      </c>
      <c r="ACE24" s="60">
        <f t="shared" si="511"/>
        <v>0</v>
      </c>
      <c r="ACF24" s="60">
        <f t="shared" si="512"/>
        <v>0</v>
      </c>
      <c r="ACG24" s="76">
        <f t="shared" si="513"/>
        <v>0</v>
      </c>
      <c r="ACH24" s="46">
        <f t="shared" si="514"/>
        <v>33</v>
      </c>
      <c r="ACI24" s="46">
        <f t="shared" si="106"/>
        <v>2.5989999999999998</v>
      </c>
      <c r="ACJ24" s="46">
        <f t="shared" si="515"/>
        <v>1</v>
      </c>
      <c r="ACK24" s="46">
        <f t="shared" si="516"/>
        <v>2</v>
      </c>
      <c r="ACL24" s="46">
        <f t="shared" si="517"/>
        <v>0</v>
      </c>
      <c r="ACM24" s="46" cm="1">
        <f t="array" ref="ACM24">ROUND(IFERROR(INDEX(ArchiveResults!$F$5:$IX$116,ComparisonData!A24,ComparisonData!$ACM$1),0),5)</f>
        <v>0</v>
      </c>
      <c r="ACN24" s="46" cm="1">
        <f t="array" ref="ACN24">ROUND(IFERROR(INDEX(ArchiveResults!$F$5:$IX$116,ComparisonData!A24,ComparisonData!$ACN$1),0),5)</f>
        <v>0</v>
      </c>
      <c r="ACO24" s="56">
        <v>19</v>
      </c>
      <c r="ACP24" s="53" t="str">
        <f t="shared" si="107"/>
        <v>Cumbria Archive Centre: Carlisle</v>
      </c>
      <c r="ACQ24" s="60">
        <f t="shared" si="518"/>
        <v>0</v>
      </c>
      <c r="ACR24" s="60">
        <f t="shared" si="519"/>
        <v>0</v>
      </c>
      <c r="ACS24" s="76">
        <f t="shared" si="520"/>
        <v>0</v>
      </c>
      <c r="ACT24" s="46">
        <f t="shared" si="521"/>
        <v>33</v>
      </c>
      <c r="ACU24" s="46">
        <f t="shared" si="108"/>
        <v>2.5989999999999998</v>
      </c>
      <c r="ACV24" s="46">
        <f t="shared" si="522"/>
        <v>1</v>
      </c>
      <c r="ACW24" s="46">
        <f t="shared" si="523"/>
        <v>2</v>
      </c>
      <c r="ACX24" s="46">
        <f t="shared" si="524"/>
        <v>0</v>
      </c>
      <c r="ACY24" s="46" cm="1">
        <f t="array" ref="ACY24">ROUNDDOWN(IFERROR(INDEX(ArchiveResults!$F$5:$IX$116,ComparisonData!A24,ComparisonData!$ACY$1),0),5)</f>
        <v>0</v>
      </c>
      <c r="ACZ24" s="46" cm="1">
        <f t="array" ref="ACZ24">ROUNDDOWN(IFERROR(INDEX(ArchiveResults!$F$5:$IX$116,ComparisonData!A24,ComparisonData!$ACZ$1),0),5)</f>
        <v>0</v>
      </c>
      <c r="ADA24" s="46" cm="1">
        <f t="array" ref="ADA24">ROUNDDOWN(IFERROR(INDEX(ArchiveResults!$F$5:$IX$116,ComparisonData!A24,ComparisonData!$ADA$1),0),5)</f>
        <v>0</v>
      </c>
      <c r="ADB24" s="56">
        <v>19</v>
      </c>
      <c r="ADC24" s="53" t="str">
        <f t="shared" si="109"/>
        <v>Cumbria Archive Centre: Carlisle</v>
      </c>
      <c r="ADD24" s="60">
        <f t="shared" si="525"/>
        <v>0</v>
      </c>
      <c r="ADE24" s="60">
        <f t="shared" si="526"/>
        <v>0</v>
      </c>
      <c r="ADF24" s="60">
        <f t="shared" si="527"/>
        <v>0</v>
      </c>
      <c r="ADG24" s="76">
        <f t="shared" si="528"/>
        <v>0</v>
      </c>
    </row>
    <row r="25" spans="1:787" x14ac:dyDescent="0.25">
      <c r="A25" s="46" t="str">
        <f>IF(ISBLANK(ComparisonSelection!F21),"",ROW()-5)</f>
        <v/>
      </c>
      <c r="B25" s="53" t="s">
        <v>474</v>
      </c>
      <c r="C25" s="72">
        <v>0.999</v>
      </c>
      <c r="D25" s="55">
        <f t="shared" si="110"/>
        <v>112</v>
      </c>
      <c r="E25" s="54">
        <f t="shared" si="111"/>
        <v>2.9990000000000001</v>
      </c>
      <c r="F25" s="54">
        <f t="shared" si="529"/>
        <v>1</v>
      </c>
      <c r="G25" s="72">
        <f t="shared" si="112"/>
        <v>2</v>
      </c>
      <c r="H25" s="72">
        <f t="shared" si="113"/>
        <v>0</v>
      </c>
      <c r="I25" s="46" cm="1">
        <f t="array" ref="I25">ROUND(IFERROR(INDEX(ArchiveResults!$F$5:$IX$116,ComparisonData!A25,ComparisonData!$I$1),0),5)</f>
        <v>0</v>
      </c>
      <c r="J25" s="46" cm="1">
        <f t="array" ref="J25">ROUND(IFERROR(INDEX(ArchiveResults!$F$5:$IX$116,ComparisonData!A25,ComparisonData!$J$1),0),5)</f>
        <v>0</v>
      </c>
      <c r="K25" s="56">
        <v>20</v>
      </c>
      <c r="L25" s="53" t="str">
        <f t="shared" si="114"/>
        <v>Cumbria Archive Centre: Kendal</v>
      </c>
      <c r="M25" s="57">
        <f t="shared" si="0"/>
        <v>0</v>
      </c>
      <c r="N25" s="57">
        <f t="shared" si="1"/>
        <v>0</v>
      </c>
      <c r="O25" s="58">
        <f t="shared" si="115"/>
        <v>0</v>
      </c>
      <c r="P25" s="48">
        <f t="shared" si="116"/>
        <v>112</v>
      </c>
      <c r="Q25" s="54">
        <f t="shared" si="2"/>
        <v>2.9990000000000001</v>
      </c>
      <c r="R25" s="45">
        <f t="shared" si="117"/>
        <v>1</v>
      </c>
      <c r="S25" s="46">
        <f t="shared" si="118"/>
        <v>2</v>
      </c>
      <c r="T25" s="72">
        <f t="shared" si="119"/>
        <v>0</v>
      </c>
      <c r="U25" s="46" cm="1">
        <f t="array" ref="U25">ROUND(IFERROR(INDEX(ArchiveResults!$F$5:$IX$116,ComparisonData!A25,ComparisonData!$U$1),0),5)</f>
        <v>0</v>
      </c>
      <c r="V25" s="46" cm="1">
        <f t="array" ref="V25">ROUND(IFERROR(INDEX(ArchiveResults!$F$5:$IX$116,ComparisonData!A25,ComparisonData!$V$1),0),5)</f>
        <v>0</v>
      </c>
      <c r="W25" s="56">
        <v>20</v>
      </c>
      <c r="X25" s="53" t="str">
        <f t="shared" si="3"/>
        <v>Cumbria Archive Centre: Kendal</v>
      </c>
      <c r="Y25" s="57">
        <f t="shared" si="120"/>
        <v>0</v>
      </c>
      <c r="Z25" s="57">
        <f t="shared" si="121"/>
        <v>0</v>
      </c>
      <c r="AA25" s="58">
        <f t="shared" si="122"/>
        <v>0</v>
      </c>
      <c r="AB25" s="45">
        <f t="shared" si="123"/>
        <v>112</v>
      </c>
      <c r="AC25" s="54">
        <f t="shared" si="4"/>
        <v>2.9990000000000001</v>
      </c>
      <c r="AD25" s="45">
        <f t="shared" si="124"/>
        <v>1</v>
      </c>
      <c r="AE25" s="45">
        <f t="shared" si="125"/>
        <v>2</v>
      </c>
      <c r="AF25" s="45">
        <f t="shared" si="126"/>
        <v>0</v>
      </c>
      <c r="AG25" s="46" cm="1">
        <f t="array" ref="AG25">ROUND(IFERROR(INDEX(ArchiveResults!$F$5:$IX$116,ComparisonData!A25,ComparisonData!$AG$1),0),5)</f>
        <v>0</v>
      </c>
      <c r="AH25" s="46" cm="1">
        <f t="array" ref="AH25">ROUND(IFERROR(INDEX(ArchiveResults!$F$5:$IX$116,ComparisonData!A25,ComparisonData!$AH$1),0),5)</f>
        <v>0</v>
      </c>
      <c r="AI25" s="56">
        <v>20</v>
      </c>
      <c r="AJ25" s="53" t="str">
        <f t="shared" si="5"/>
        <v>Cumbria Archive Centre: Kendal</v>
      </c>
      <c r="AK25" s="59">
        <f t="shared" si="6"/>
        <v>0</v>
      </c>
      <c r="AL25" s="59">
        <f t="shared" si="7"/>
        <v>0</v>
      </c>
      <c r="AM25" s="58">
        <f t="shared" si="127"/>
        <v>0</v>
      </c>
      <c r="AN25" s="45">
        <f t="shared" si="128"/>
        <v>112</v>
      </c>
      <c r="AO25" s="54">
        <f t="shared" si="8"/>
        <v>2.9990000000000001</v>
      </c>
      <c r="AP25" s="45">
        <f t="shared" si="129"/>
        <v>1</v>
      </c>
      <c r="AQ25" s="45">
        <f t="shared" si="130"/>
        <v>2</v>
      </c>
      <c r="AR25" s="46" cm="1">
        <f t="array" ref="AR25">ROUND(IFERROR(INDEX(ArchiveResults!$F$5:$IX$116,ComparisonData!A25,ComparisonData!$AR$1),0),5)</f>
        <v>0</v>
      </c>
      <c r="AS25" s="46" cm="1">
        <f t="array" ref="AS25">ROUND(IFERROR(INDEX(ArchiveResults!$F$5:$IX$116,ComparisonData!A25,ComparisonData!$AS$1),0),5)</f>
        <v>0</v>
      </c>
      <c r="AT25" s="46" cm="1">
        <f t="array" ref="AT25">ROUND(IFERROR(INDEX(ArchiveResults!$F$5:$IX$116,ComparisonData!A25,ComparisonData!$AT$1),0),5)</f>
        <v>0</v>
      </c>
      <c r="AU25" s="46" cm="1">
        <f t="array" ref="AU25">ROUND(IFERROR(INDEX(ArchiveResults!$F$5:$IX$116,ComparisonData!A25,ComparisonData!$AU$1),0),5)</f>
        <v>0</v>
      </c>
      <c r="AV25" s="46" cm="1">
        <f t="array" ref="AV25">ROUND(IFERROR(INDEX(ArchiveResults!$F$5:$IX$116,ComparisonData!A25,ComparisonData!$AV$1),0),5)</f>
        <v>0</v>
      </c>
      <c r="AW25" s="46" cm="1">
        <f t="array" ref="AW25">ROUND(IFERROR(INDEX(ArchiveResults!$F$5:$IX$116,ComparisonData!A25,ComparisonData!$AW$1),0),5)</f>
        <v>0</v>
      </c>
      <c r="AX25" s="46" cm="1">
        <f t="array" ref="AX25">ROUND(IFERROR(INDEX(ArchiveResults!$F$5:$IX$116,ComparisonData!A25,ComparisonData!$AX$1),0),5)</f>
        <v>0</v>
      </c>
      <c r="AY25" s="46" cm="1">
        <f t="array" ref="AY25">ROUND(IFERROR(INDEX(ArchiveResults!$F$5:$IX$116,ComparisonData!A25,ComparisonData!$AY$1),0),5)</f>
        <v>0</v>
      </c>
      <c r="AZ25" s="46" cm="1">
        <f t="array" ref="AZ25">ROUND(IFERROR(INDEX(ArchiveResults!$F$5:$IX$116,ComparisonData!A25,ComparisonData!$AZ$1),0),5)</f>
        <v>0</v>
      </c>
      <c r="BA25" s="46" cm="1">
        <f t="array" ref="BA25">ROUND(IFERROR(INDEX(ArchiveResults!$F$5:$IX$116,ComparisonData!A25,ComparisonData!$BA$1),0),5)</f>
        <v>0</v>
      </c>
      <c r="BB25" s="56">
        <v>20</v>
      </c>
      <c r="BC25" s="53" t="str">
        <f t="shared" si="9"/>
        <v>Cumbria Archive Centre: Kendal</v>
      </c>
      <c r="BD25" s="60">
        <f t="shared" si="131"/>
        <v>0</v>
      </c>
      <c r="BE25" s="60">
        <f t="shared" si="132"/>
        <v>0</v>
      </c>
      <c r="BF25" s="60">
        <f t="shared" si="133"/>
        <v>0</v>
      </c>
      <c r="BG25" s="60">
        <f t="shared" si="134"/>
        <v>0</v>
      </c>
      <c r="BH25" s="60">
        <f t="shared" si="135"/>
        <v>0</v>
      </c>
      <c r="BI25" s="60">
        <f t="shared" si="136"/>
        <v>0</v>
      </c>
      <c r="BJ25" s="60">
        <f t="shared" si="137"/>
        <v>0</v>
      </c>
      <c r="BK25" s="60">
        <f t="shared" si="138"/>
        <v>0</v>
      </c>
      <c r="BL25" s="60">
        <f t="shared" si="139"/>
        <v>0</v>
      </c>
      <c r="BM25" s="59">
        <f t="shared" si="140"/>
        <v>0</v>
      </c>
      <c r="BN25" s="58">
        <f t="shared" si="141"/>
        <v>0</v>
      </c>
      <c r="BO25" s="45">
        <f t="shared" si="142"/>
        <v>112</v>
      </c>
      <c r="BP25" s="54">
        <f t="shared" si="10"/>
        <v>2.9990000000000001</v>
      </c>
      <c r="BQ25" s="45">
        <f t="shared" si="143"/>
        <v>1</v>
      </c>
      <c r="BR25" s="45">
        <f t="shared" si="144"/>
        <v>2</v>
      </c>
      <c r="BS25" s="46" cm="1">
        <f t="array" ref="BS25">ROUND(IFERROR(INDEX(ArchiveResults!$F$5:$IX$116,ComparisonData!A25,ComparisonData!$BS$1),0),5)</f>
        <v>0</v>
      </c>
      <c r="BT25" s="46" cm="1">
        <f t="array" ref="BT25">ROUND(IFERROR(INDEX(ArchiveResults!$F$5:$IX$116,ComparisonData!A25,ComparisonData!$BT$1),0),5)</f>
        <v>0</v>
      </c>
      <c r="BU25" s="46" cm="1">
        <f t="array" ref="BU25">ROUND(IFERROR(INDEX(ArchiveResults!$F$5:$IX$116,ComparisonData!A25,ComparisonData!$BU$1),0),5)</f>
        <v>0</v>
      </c>
      <c r="BV25" s="46" cm="1">
        <f t="array" ref="BV25">ROUND(IFERROR(INDEX(ArchiveResults!$F$5:$IX$116,ComparisonData!A25,ComparisonData!$BV$1),0),5)</f>
        <v>0</v>
      </c>
      <c r="BW25" s="46" cm="1">
        <f t="array" ref="BW25">ROUND(IFERROR(INDEX(ArchiveResults!$F$5:$IX$116,ComparisonData!A25,ComparisonData!$BW$1),0),5)</f>
        <v>0</v>
      </c>
      <c r="BX25" s="46" cm="1">
        <f t="array" ref="BX25">ROUND(IFERROR(INDEX(ArchiveResults!$F$5:$IX$116,ComparisonData!A25,ComparisonData!$BX$1),0),5)</f>
        <v>0</v>
      </c>
      <c r="BY25" s="56">
        <v>20</v>
      </c>
      <c r="BZ25" s="53" t="str">
        <f t="shared" si="11"/>
        <v>Cumbria Archive Centre: Kendal</v>
      </c>
      <c r="CA25" s="59">
        <f t="shared" si="145"/>
        <v>0</v>
      </c>
      <c r="CB25" s="59">
        <f t="shared" si="146"/>
        <v>0</v>
      </c>
      <c r="CC25" s="59">
        <f t="shared" si="147"/>
        <v>0</v>
      </c>
      <c r="CD25" s="59">
        <f t="shared" si="148"/>
        <v>0</v>
      </c>
      <c r="CE25" s="59">
        <f t="shared" si="149"/>
        <v>0</v>
      </c>
      <c r="CF25" s="59">
        <f t="shared" si="150"/>
        <v>0</v>
      </c>
      <c r="CG25" s="58">
        <f t="shared" si="151"/>
        <v>0</v>
      </c>
      <c r="CH25" s="45">
        <f t="shared" si="152"/>
        <v>112</v>
      </c>
      <c r="CI25" s="54">
        <f t="shared" si="12"/>
        <v>2.9990000000000001</v>
      </c>
      <c r="CJ25" s="45">
        <f t="shared" si="153"/>
        <v>1</v>
      </c>
      <c r="CK25" s="45">
        <f t="shared" si="154"/>
        <v>2</v>
      </c>
      <c r="CL25" s="46" cm="1">
        <f t="array" ref="CL25">ROUND(IFERROR(INDEX(ArchiveResults!$F$5:$IX$116,ComparisonData!A25,ComparisonData!$CL$1),0),5)</f>
        <v>0</v>
      </c>
      <c r="CM25" s="56">
        <v>20</v>
      </c>
      <c r="CN25" s="53" t="str">
        <f t="shared" si="13"/>
        <v>Cumbria Archive Centre: Kendal</v>
      </c>
      <c r="CO25" s="45">
        <f t="shared" si="155"/>
        <v>0</v>
      </c>
      <c r="CP25" s="58">
        <f t="shared" si="156"/>
        <v>0</v>
      </c>
      <c r="CQ25" s="45">
        <f t="shared" si="157"/>
        <v>112</v>
      </c>
      <c r="CR25" s="54">
        <f t="shared" si="14"/>
        <v>2.9990000000000001</v>
      </c>
      <c r="CS25" s="45">
        <f t="shared" si="158"/>
        <v>1</v>
      </c>
      <c r="CT25" s="45">
        <f t="shared" si="159"/>
        <v>2</v>
      </c>
      <c r="CU25" s="46" cm="1">
        <f t="array" ref="CU25">ROUND(IFERROR(INDEX(ArchiveResults!$F$5:$IX$116,ComparisonData!A25,ComparisonData!$CU$1),0),5)</f>
        <v>0</v>
      </c>
      <c r="CV25" s="56">
        <v>20</v>
      </c>
      <c r="CW25" s="53" t="str">
        <f t="shared" si="15"/>
        <v>Cumbria Archive Centre: Kendal</v>
      </c>
      <c r="CX25" s="45">
        <f t="shared" si="160"/>
        <v>0</v>
      </c>
      <c r="CY25" s="58">
        <f t="shared" si="161"/>
        <v>0</v>
      </c>
      <c r="CZ25" s="45">
        <f t="shared" si="162"/>
        <v>112</v>
      </c>
      <c r="DA25" s="54">
        <f t="shared" si="16"/>
        <v>2.9990000000000001</v>
      </c>
      <c r="DB25" s="45">
        <f t="shared" si="163"/>
        <v>1</v>
      </c>
      <c r="DC25" s="45">
        <f t="shared" si="164"/>
        <v>2</v>
      </c>
      <c r="DD25" s="46" cm="1">
        <f t="array" ref="DD25">ROUND(IFERROR(INDEX(ArchiveResults!$F$5:$IX$116,ComparisonData!A25,ComparisonData!$DD$1),0),5)</f>
        <v>0</v>
      </c>
      <c r="DE25" s="56">
        <v>20</v>
      </c>
      <c r="DF25" s="53" t="str">
        <f t="shared" si="17"/>
        <v>Cumbria Archive Centre: Kendal</v>
      </c>
      <c r="DG25" s="45">
        <f t="shared" si="165"/>
        <v>0</v>
      </c>
      <c r="DH25" s="58">
        <f t="shared" si="166"/>
        <v>0</v>
      </c>
      <c r="DI25" s="45">
        <f t="shared" si="167"/>
        <v>112</v>
      </c>
      <c r="DJ25" s="54">
        <f t="shared" si="18"/>
        <v>2.9990000000000001</v>
      </c>
      <c r="DK25" s="45">
        <f t="shared" si="168"/>
        <v>1</v>
      </c>
      <c r="DL25" s="45">
        <f t="shared" si="169"/>
        <v>2</v>
      </c>
      <c r="DM25" s="46" cm="1">
        <f t="array" ref="DM25">ROUND(IFERROR(INDEX(ArchiveResults!$F$5:$IX$116,ComparisonData!A25,ComparisonData!$DM$1),0),5)</f>
        <v>0</v>
      </c>
      <c r="DN25" s="46" cm="1">
        <f t="array" ref="DN25">ROUND(IFERROR(INDEX(ArchiveResults!$F$5:$IX$116,ComparisonData!A25,ComparisonData!$DN$1),0),5)</f>
        <v>0</v>
      </c>
      <c r="DO25" s="46" cm="1">
        <f t="array" ref="DO25">ROUND(IFERROR(INDEX(ArchiveResults!$F$5:$IX$116,ComparisonData!A25,ComparisonData!$DO$1),0),5)</f>
        <v>0</v>
      </c>
      <c r="DP25" s="46" cm="1">
        <f t="array" ref="DP25">ROUND(IFERROR(INDEX(ArchiveResults!$F$5:$IX$116,ComparisonData!A25,ComparisonData!$DP$1),0),5)</f>
        <v>0</v>
      </c>
      <c r="DQ25" s="45" cm="1">
        <f t="array" ref="DQ25">IFERROR(INDEX(ArchiveResults!$F$5:$IX$116,ComparisonData!A25,ComparisonData!$DQ$1),0)</f>
        <v>0</v>
      </c>
      <c r="DR25" s="56">
        <v>20</v>
      </c>
      <c r="DS25" s="53" t="str">
        <f t="shared" si="19"/>
        <v>Cumbria Archive Centre: Kendal</v>
      </c>
      <c r="DT25" s="59">
        <f t="shared" si="170"/>
        <v>0</v>
      </c>
      <c r="DU25" s="59">
        <f t="shared" si="171"/>
        <v>0</v>
      </c>
      <c r="DV25" s="59">
        <f t="shared" si="172"/>
        <v>0</v>
      </c>
      <c r="DW25" s="59">
        <f t="shared" si="173"/>
        <v>0</v>
      </c>
      <c r="DX25" s="59">
        <f t="shared" si="174"/>
        <v>0</v>
      </c>
      <c r="DY25" s="58">
        <f t="shared" si="175"/>
        <v>0</v>
      </c>
      <c r="DZ25" s="45">
        <f t="shared" si="176"/>
        <v>112</v>
      </c>
      <c r="EA25" s="54">
        <f t="shared" si="20"/>
        <v>2.9990000000000001</v>
      </c>
      <c r="EB25" s="45">
        <f t="shared" si="177"/>
        <v>1</v>
      </c>
      <c r="EC25" s="45">
        <f t="shared" si="178"/>
        <v>2</v>
      </c>
      <c r="ED25" s="46" cm="1">
        <f t="array" ref="ED25">ROUND(IFERROR(INDEX(ArchiveResults!$F$5:$IX$116,ComparisonData!A25,ComparisonData!$ED$1),0),5)</f>
        <v>0</v>
      </c>
      <c r="EE25" s="46" cm="1">
        <f t="array" ref="EE25">ROUND(IFERROR(INDEX(ArchiveResults!$F$5:$IX$116,ComparisonData!A25,ComparisonData!$EE$1),0),5)</f>
        <v>0</v>
      </c>
      <c r="EF25" s="46" cm="1">
        <f t="array" ref="EF25">ROUND(IFERROR(INDEX(ArchiveResults!$F$5:$IX$116,ComparisonData!A25,ComparisonData!$EF$1),0),5)</f>
        <v>0</v>
      </c>
      <c r="EG25" s="46" cm="1">
        <f t="array" ref="EG25">ROUND(IFERROR(INDEX(ArchiveResults!$F$5:$IX$116,ComparisonData!A25,ComparisonData!$EG$1),0),5)</f>
        <v>0</v>
      </c>
      <c r="EH25" s="45" cm="1">
        <f t="array" ref="EH25">IFERROR(INDEX(ArchiveResults!$F$5:$IX$116,ComparisonData!A25,ComparisonData!$EH$1),0)</f>
        <v>0</v>
      </c>
      <c r="EI25" s="56">
        <v>20</v>
      </c>
      <c r="EJ25" s="53" t="str">
        <f t="shared" si="21"/>
        <v>Cumbria Archive Centre: Kendal</v>
      </c>
      <c r="EK25" s="59">
        <f t="shared" si="179"/>
        <v>0</v>
      </c>
      <c r="EL25" s="59">
        <f t="shared" si="180"/>
        <v>0</v>
      </c>
      <c r="EM25" s="59">
        <f t="shared" si="181"/>
        <v>0</v>
      </c>
      <c r="EN25" s="59">
        <f t="shared" si="182"/>
        <v>0</v>
      </c>
      <c r="EO25" s="59">
        <f t="shared" si="183"/>
        <v>0</v>
      </c>
      <c r="EP25" s="58">
        <f t="shared" si="184"/>
        <v>0</v>
      </c>
      <c r="EQ25" s="45">
        <f t="shared" si="185"/>
        <v>112</v>
      </c>
      <c r="ER25" s="54">
        <f t="shared" si="22"/>
        <v>2.9990000000000001</v>
      </c>
      <c r="ES25" s="45">
        <f t="shared" si="186"/>
        <v>1</v>
      </c>
      <c r="ET25" s="45">
        <f t="shared" si="187"/>
        <v>2</v>
      </c>
      <c r="EU25" s="46" cm="1">
        <f t="array" ref="EU25">ROUND(IFERROR(INDEX(ArchiveResults!$F$5:$IX$116,ComparisonData!A25,ComparisonData!$EU$1),0),5)</f>
        <v>0</v>
      </c>
      <c r="EV25" s="46" cm="1">
        <f t="array" ref="EV25">ROUND(IFERROR(INDEX(ArchiveResults!$F$5:$IX$116,ComparisonData!A25,ComparisonData!$EV$1),0),5)</f>
        <v>0</v>
      </c>
      <c r="EW25" s="46" cm="1">
        <f t="array" ref="EW25">ROUND(IFERROR(INDEX(ArchiveResults!$F$5:$IX$116,ComparisonData!A25,ComparisonData!$EW$1),0),5)</f>
        <v>0</v>
      </c>
      <c r="EX25" s="46" cm="1">
        <f t="array" ref="EX25">ROUND(IFERROR(INDEX(ArchiveResults!$F$5:$IX$116,ComparisonData!A25,ComparisonData!$EX$1),0),5)</f>
        <v>0</v>
      </c>
      <c r="EY25" s="45" cm="1">
        <f t="array" ref="EY25">IFERROR(INDEX(ArchiveResults!$F$5:$IX$116,ComparisonData!A25,ComparisonData!$EY$1),0)</f>
        <v>0</v>
      </c>
      <c r="EZ25" s="56">
        <v>20</v>
      </c>
      <c r="FA25" s="53" t="str">
        <f t="shared" si="23"/>
        <v>Cumbria Archive Centre: Kendal</v>
      </c>
      <c r="FB25" s="59">
        <f t="shared" si="188"/>
        <v>0</v>
      </c>
      <c r="FC25" s="59">
        <f t="shared" si="189"/>
        <v>0</v>
      </c>
      <c r="FD25" s="59">
        <f t="shared" si="190"/>
        <v>0</v>
      </c>
      <c r="FE25" s="59">
        <f t="shared" si="191"/>
        <v>0</v>
      </c>
      <c r="FF25" s="59">
        <f t="shared" si="192"/>
        <v>0</v>
      </c>
      <c r="FG25" s="58">
        <f t="shared" si="193"/>
        <v>0</v>
      </c>
      <c r="FH25" s="45">
        <f t="shared" si="194"/>
        <v>112</v>
      </c>
      <c r="FI25" s="54">
        <f t="shared" si="24"/>
        <v>2.9990000000000001</v>
      </c>
      <c r="FJ25" s="45">
        <f t="shared" si="195"/>
        <v>1</v>
      </c>
      <c r="FK25" s="45">
        <f t="shared" si="196"/>
        <v>2</v>
      </c>
      <c r="FL25" s="46" cm="1">
        <f t="array" ref="FL25">ROUND(IFERROR(INDEX(ArchiveResults!$F$5:$IX$116,ComparisonData!A25,ComparisonData!$FL$1),0),5)</f>
        <v>0</v>
      </c>
      <c r="FM25" s="46" cm="1">
        <f t="array" ref="FM25">ROUND(IFERROR(INDEX(ArchiveResults!$F$5:$IX$116,ComparisonData!A25,ComparisonData!$FM$1),0),5)</f>
        <v>0</v>
      </c>
      <c r="FN25" s="46" cm="1">
        <f t="array" ref="FN25">ROUND(IFERROR(INDEX(ArchiveResults!$F$5:$IX$116,ComparisonData!A25,ComparisonData!$FN$1),0),5)</f>
        <v>0</v>
      </c>
      <c r="FO25" s="46" cm="1">
        <f t="array" ref="FO25">ROUND(IFERROR(INDEX(ArchiveResults!$F$5:$IX$116,ComparisonData!A25,ComparisonData!$FO$1),0),5)</f>
        <v>0</v>
      </c>
      <c r="FP25" s="45" cm="1">
        <f t="array" ref="FP25">IFERROR(INDEX(ArchiveResults!$F$5:$IX$116,ComparisonData!A25,ComparisonData!$FP$1),0)</f>
        <v>0</v>
      </c>
      <c r="FQ25" s="56">
        <v>20</v>
      </c>
      <c r="FR25" s="53" t="str">
        <f t="shared" si="25"/>
        <v>Cumbria Archive Centre: Kendal</v>
      </c>
      <c r="FS25" s="59">
        <f t="shared" si="197"/>
        <v>0</v>
      </c>
      <c r="FT25" s="59">
        <f t="shared" si="198"/>
        <v>0</v>
      </c>
      <c r="FU25" s="59">
        <f t="shared" si="199"/>
        <v>0</v>
      </c>
      <c r="FV25" s="59">
        <f t="shared" si="200"/>
        <v>0</v>
      </c>
      <c r="FW25" s="59">
        <f t="shared" si="201"/>
        <v>0</v>
      </c>
      <c r="FX25" s="58">
        <f t="shared" si="202"/>
        <v>0</v>
      </c>
      <c r="FY25" s="45">
        <f t="shared" si="203"/>
        <v>112</v>
      </c>
      <c r="FZ25" s="45">
        <f t="shared" si="26"/>
        <v>2.9990000000000001</v>
      </c>
      <c r="GA25" s="45">
        <f t="shared" si="204"/>
        <v>1</v>
      </c>
      <c r="GB25" s="45">
        <f t="shared" si="205"/>
        <v>2</v>
      </c>
      <c r="GC25" s="46" cm="1">
        <f t="array" ref="GC25">ROUND(IFERROR(INDEX(ArchiveResults!$F$5:$IX$116,ComparisonData!A25,ComparisonData!$GC$1),0),5)</f>
        <v>0</v>
      </c>
      <c r="GD25" s="46" cm="1">
        <f t="array" ref="GD25">ROUND(IFERROR(INDEX(ArchiveResults!$F$5:$IX$116,ComparisonData!A25,ComparisonData!$GD$1),0),5)</f>
        <v>0</v>
      </c>
      <c r="GE25" s="46" cm="1">
        <f t="array" ref="GE25">ROUND(IFERROR(INDEX(ArchiveResults!$F$5:$IX$116,ComparisonData!A25,ComparisonData!$GE$1),0),5)</f>
        <v>0</v>
      </c>
      <c r="GF25" s="46" cm="1">
        <f t="array" ref="GF25">ROUND(IFERROR(INDEX(ArchiveResults!$F$5:$IX$116,ComparisonData!A25,ComparisonData!$GF$1),0),5)</f>
        <v>0</v>
      </c>
      <c r="GG25" s="45" cm="1">
        <f t="array" ref="GG25">IFERROR(INDEX(ArchiveResults!$F$5:$IX$116,ComparisonData!A25,ComparisonData!$GG$1),0)</f>
        <v>0</v>
      </c>
      <c r="GH25" s="56">
        <v>20</v>
      </c>
      <c r="GI25" s="53" t="str">
        <f t="shared" si="27"/>
        <v>Cumbria Archive Centre: Kendal</v>
      </c>
      <c r="GJ25" s="59">
        <f t="shared" si="206"/>
        <v>0</v>
      </c>
      <c r="GK25" s="59">
        <f t="shared" si="207"/>
        <v>0</v>
      </c>
      <c r="GL25" s="59">
        <f t="shared" si="208"/>
        <v>0</v>
      </c>
      <c r="GM25" s="59">
        <f t="shared" si="209"/>
        <v>0</v>
      </c>
      <c r="GN25" s="59">
        <f t="shared" si="210"/>
        <v>0</v>
      </c>
      <c r="GO25" s="58">
        <f t="shared" si="211"/>
        <v>0</v>
      </c>
      <c r="GP25" s="45">
        <f t="shared" si="212"/>
        <v>112</v>
      </c>
      <c r="GQ25" s="45">
        <f t="shared" si="28"/>
        <v>2.9990000000000001</v>
      </c>
      <c r="GR25" s="45">
        <f t="shared" si="213"/>
        <v>1</v>
      </c>
      <c r="GS25" s="45">
        <f t="shared" si="214"/>
        <v>2</v>
      </c>
      <c r="GT25" s="46" cm="1">
        <f t="array" ref="GT25">ROUND(IFERROR(INDEX(ArchiveResults!$F$5:$IX$116,ComparisonData!A25,ComparisonData!$GT$1),0),5)</f>
        <v>0</v>
      </c>
      <c r="GU25" s="46" cm="1">
        <f t="array" ref="GU25">ROUND(IFERROR(INDEX(ArchiveResults!$F$5:$IX$116,ComparisonData!A25,ComparisonData!$GU$1),0),5)</f>
        <v>0</v>
      </c>
      <c r="GV25" s="46" cm="1">
        <f t="array" ref="GV25">ROUND(IFERROR(INDEX(ArchiveResults!$F$5:$IX$116,ComparisonData!A25,ComparisonData!$GV$1),0),5)</f>
        <v>0</v>
      </c>
      <c r="GW25" s="46" cm="1">
        <f t="array" ref="GW25">ROUND(IFERROR(INDEX(ArchiveResults!$F$5:$IX$116,ComparisonData!A25,ComparisonData!$GW$1),0),5)</f>
        <v>0</v>
      </c>
      <c r="GX25" s="45" cm="1">
        <f t="array" ref="GX25">IFERROR(INDEX(ArchiveResults!$F$5:$IX$116,ComparisonData!A25,ComparisonData!$GX$1),0)</f>
        <v>0</v>
      </c>
      <c r="GY25" s="56">
        <v>20</v>
      </c>
      <c r="GZ25" s="53" t="str">
        <f t="shared" si="29"/>
        <v>Cumbria Archive Centre: Kendal</v>
      </c>
      <c r="HA25" s="59">
        <f t="shared" si="215"/>
        <v>0</v>
      </c>
      <c r="HB25" s="59">
        <f t="shared" si="216"/>
        <v>0</v>
      </c>
      <c r="HC25" s="59">
        <f t="shared" si="217"/>
        <v>0</v>
      </c>
      <c r="HD25" s="59">
        <f t="shared" si="218"/>
        <v>0</v>
      </c>
      <c r="HE25" s="59">
        <f t="shared" si="219"/>
        <v>0</v>
      </c>
      <c r="HF25" s="58">
        <f t="shared" si="220"/>
        <v>0</v>
      </c>
      <c r="HG25" s="45">
        <f t="shared" si="221"/>
        <v>112</v>
      </c>
      <c r="HH25" s="45">
        <f t="shared" si="30"/>
        <v>2.9990000000000001</v>
      </c>
      <c r="HI25" s="45">
        <f t="shared" si="222"/>
        <v>1</v>
      </c>
      <c r="HJ25" s="45">
        <f t="shared" si="223"/>
        <v>2</v>
      </c>
      <c r="HK25" s="46" cm="1">
        <f t="array" ref="HK25">ROUND(IFERROR(INDEX(ArchiveResults!$F$5:$IX$116,ComparisonData!A25,ComparisonData!$HK$1),0),5)</f>
        <v>0</v>
      </c>
      <c r="HL25" s="46" cm="1">
        <f t="array" ref="HL25">ROUND(IFERROR(INDEX(ArchiveResults!$F$5:$IX$116,ComparisonData!A25,ComparisonData!$HL$1),0),5)</f>
        <v>0</v>
      </c>
      <c r="HM25" s="46" cm="1">
        <f t="array" ref="HM25">ROUND(IFERROR(INDEX(ArchiveResults!$F$5:$IX$116,ComparisonData!A25,ComparisonData!$HM$1),0),5)</f>
        <v>0</v>
      </c>
      <c r="HN25" s="46" cm="1">
        <f t="array" ref="HN25">ROUND(IFERROR(INDEX(ArchiveResults!$F$5:$IX$116,ComparisonData!A25,ComparisonData!$HN$1),0),5)</f>
        <v>0</v>
      </c>
      <c r="HO25" s="45" cm="1">
        <f t="array" ref="HO25">IFERROR(INDEX(ArchiveResults!$F$5:$IX$116,ComparisonData!A25,ComparisonData!$HO$1),0)</f>
        <v>0</v>
      </c>
      <c r="HP25" s="56">
        <v>20</v>
      </c>
      <c r="HQ25" s="53" t="str">
        <f t="shared" si="31"/>
        <v>Cumbria Archive Centre: Kendal</v>
      </c>
      <c r="HR25" s="59">
        <f t="shared" si="32"/>
        <v>0</v>
      </c>
      <c r="HS25" s="59">
        <f t="shared" si="33"/>
        <v>0</v>
      </c>
      <c r="HT25" s="59">
        <f t="shared" si="34"/>
        <v>0</v>
      </c>
      <c r="HU25" s="59">
        <f t="shared" si="35"/>
        <v>0</v>
      </c>
      <c r="HV25" s="59">
        <f t="shared" si="36"/>
        <v>0</v>
      </c>
      <c r="HW25" s="58">
        <f t="shared" si="224"/>
        <v>0</v>
      </c>
      <c r="HX25" s="45">
        <f t="shared" si="225"/>
        <v>112</v>
      </c>
      <c r="HY25" s="45">
        <f t="shared" si="37"/>
        <v>2.9990000000000001</v>
      </c>
      <c r="HZ25" s="45">
        <f t="shared" si="226"/>
        <v>1</v>
      </c>
      <c r="IA25" s="45">
        <f t="shared" si="227"/>
        <v>2</v>
      </c>
      <c r="IB25" s="45">
        <f t="shared" si="228"/>
        <v>0</v>
      </c>
      <c r="IC25" s="46" cm="1">
        <f t="array" ref="IC25">ROUND(IFERROR(INDEX(ArchiveResults!$F$5:$IX$116,ComparisonData!A25,ComparisonData!$IC$1),0),5)</f>
        <v>0</v>
      </c>
      <c r="ID25" s="46" cm="1">
        <f t="array" ref="ID25">ROUND(IFERROR(INDEX(ArchiveResults!$F$5:$IX$116,ComparisonData!A25,ComparisonData!$ID$1),0),5)</f>
        <v>0</v>
      </c>
      <c r="IE25" s="46" cm="1">
        <f t="array" ref="IE25">ROUND(IFERROR(INDEX(ArchiveResults!$F$5:$IX$116,ComparisonData!A25,ComparisonData!$IE$1),0),5)</f>
        <v>0</v>
      </c>
      <c r="IF25" s="46" cm="1">
        <f t="array" ref="IF25">ROUND(IFERROR(INDEX(ArchiveResults!$F$5:$IX$116,ComparisonData!A25,ComparisonData!$IF$1),0),5)</f>
        <v>0</v>
      </c>
      <c r="IG25" s="45" cm="1">
        <f t="array" ref="IG25">IFERROR(INDEX(ArchiveResults!$F$5:$IX$116,ComparisonData!A25,ComparisonData!$IG$1),0)</f>
        <v>0</v>
      </c>
      <c r="IH25" s="56">
        <v>20</v>
      </c>
      <c r="II25" s="53" t="str">
        <f t="shared" si="38"/>
        <v>Cumbria Archive Centre: Kendal</v>
      </c>
      <c r="IJ25" s="59">
        <f t="shared" si="229"/>
        <v>0</v>
      </c>
      <c r="IK25" s="59">
        <f t="shared" si="230"/>
        <v>0</v>
      </c>
      <c r="IL25" s="59">
        <f t="shared" si="231"/>
        <v>0</v>
      </c>
      <c r="IM25" s="59">
        <f t="shared" si="232"/>
        <v>0</v>
      </c>
      <c r="IN25" s="59">
        <f t="shared" si="233"/>
        <v>0</v>
      </c>
      <c r="IO25" s="58">
        <f t="shared" si="234"/>
        <v>0</v>
      </c>
      <c r="IP25" s="45">
        <f t="shared" si="235"/>
        <v>112</v>
      </c>
      <c r="IQ25" s="45">
        <f t="shared" si="39"/>
        <v>2.9990000000000001</v>
      </c>
      <c r="IR25" s="45">
        <f t="shared" si="236"/>
        <v>1</v>
      </c>
      <c r="IS25" s="45">
        <f t="shared" si="237"/>
        <v>2</v>
      </c>
      <c r="IT25" s="46">
        <f t="shared" si="238"/>
        <v>0</v>
      </c>
      <c r="IU25" s="46" cm="1">
        <f t="array" ref="IU25">ROUND(IFERROR(INDEX(ArchiveResults!$F$5:$IX$116,ComparisonData!A25,ComparisonData!$IU$1),0),5)</f>
        <v>0</v>
      </c>
      <c r="IV25" s="46" cm="1">
        <f t="array" ref="IV25">ROUND(IFERROR(INDEX(ArchiveResults!$F$5:$IX$116,ComparisonData!A25,ComparisonData!$IV$1),0),5)</f>
        <v>0</v>
      </c>
      <c r="IW25" s="46" cm="1">
        <f t="array" ref="IW25">ROUND(IFERROR(INDEX(ArchiveResults!$F$5:$IX$116,ComparisonData!A25,ComparisonData!$IW$1),0),5)</f>
        <v>0</v>
      </c>
      <c r="IX25" s="46" cm="1">
        <f t="array" ref="IX25">ROUND(IFERROR(INDEX(ArchiveResults!$F$5:$IX$116,ComparisonData!A25,ComparisonData!$IX$1),0),5)</f>
        <v>0</v>
      </c>
      <c r="IY25" s="45" cm="1">
        <f t="array" ref="IY25">IFERROR(INDEX(ArchiveResults!$F$5:$IX$116,ComparisonData!A25,ComparisonData!$IY$1),0)</f>
        <v>0</v>
      </c>
      <c r="IZ25" s="56">
        <v>20</v>
      </c>
      <c r="JA25" s="53" t="str">
        <f t="shared" si="40"/>
        <v>Cumbria Archive Centre: Kendal</v>
      </c>
      <c r="JB25" s="59">
        <f t="shared" si="239"/>
        <v>0</v>
      </c>
      <c r="JC25" s="59">
        <f t="shared" si="240"/>
        <v>0</v>
      </c>
      <c r="JD25" s="59">
        <f t="shared" si="241"/>
        <v>0</v>
      </c>
      <c r="JE25" s="59">
        <f t="shared" si="242"/>
        <v>0</v>
      </c>
      <c r="JF25" s="59">
        <f t="shared" si="243"/>
        <v>0</v>
      </c>
      <c r="JG25" s="58">
        <f t="shared" si="244"/>
        <v>0</v>
      </c>
      <c r="JH25" s="45">
        <f t="shared" si="245"/>
        <v>112</v>
      </c>
      <c r="JI25" s="45">
        <f t="shared" si="41"/>
        <v>2.9990000000000001</v>
      </c>
      <c r="JJ25" s="45">
        <f t="shared" si="246"/>
        <v>1</v>
      </c>
      <c r="JK25" s="45">
        <f t="shared" si="247"/>
        <v>2</v>
      </c>
      <c r="JL25" s="45">
        <f t="shared" si="248"/>
        <v>0</v>
      </c>
      <c r="JM25" s="46" cm="1">
        <f t="array" ref="JM25">ROUND(IFERROR(INDEX(ArchiveResults!$F$5:$IX$116,ComparisonData!A25,ComparisonData!$JM$1),0),5)</f>
        <v>0</v>
      </c>
      <c r="JN25" s="46" cm="1">
        <f t="array" ref="JN25">ROUND(IFERROR(INDEX(ArchiveResults!$F$5:$IX$116,ComparisonData!A25,ComparisonData!$JN$1),0),5)</f>
        <v>0</v>
      </c>
      <c r="JO25" s="46" cm="1">
        <f t="array" ref="JO25">ROUND(IFERROR(INDEX(ArchiveResults!$F$5:$IX$116,ComparisonData!A25,ComparisonData!$JO$1),0),5)</f>
        <v>0</v>
      </c>
      <c r="JP25" s="46" cm="1">
        <f t="array" ref="JP25">ROUND(IFERROR(INDEX(ArchiveResults!$F$5:$IX$116,ComparisonData!A25,ComparisonData!$JP$1),0),5)</f>
        <v>0</v>
      </c>
      <c r="JQ25" s="45" cm="1">
        <f t="array" ref="JQ25">IFERROR(INDEX(ArchiveResults!$F$5:$IX$116,ComparisonData!A25,ComparisonData!$JQ$1),0)</f>
        <v>0</v>
      </c>
      <c r="JR25" s="56">
        <v>20</v>
      </c>
      <c r="JS25" s="53" t="str">
        <f t="shared" si="42"/>
        <v>Cumbria Archive Centre: Kendal</v>
      </c>
      <c r="JT25" s="59">
        <f t="shared" si="249"/>
        <v>0</v>
      </c>
      <c r="JU25" s="59">
        <f t="shared" si="250"/>
        <v>0</v>
      </c>
      <c r="JV25" s="59">
        <f t="shared" si="251"/>
        <v>0</v>
      </c>
      <c r="JW25" s="59">
        <f t="shared" si="252"/>
        <v>0</v>
      </c>
      <c r="JX25" s="59">
        <f t="shared" si="253"/>
        <v>0</v>
      </c>
      <c r="JY25" s="58">
        <f t="shared" si="254"/>
        <v>0</v>
      </c>
      <c r="JZ25" s="45">
        <f t="shared" si="255"/>
        <v>112</v>
      </c>
      <c r="KA25" s="45">
        <f t="shared" si="43"/>
        <v>2.9990000000000001</v>
      </c>
      <c r="KB25" s="45">
        <f t="shared" si="256"/>
        <v>1</v>
      </c>
      <c r="KC25" s="45">
        <f t="shared" si="257"/>
        <v>2</v>
      </c>
      <c r="KD25" s="45">
        <f t="shared" si="258"/>
        <v>0</v>
      </c>
      <c r="KE25" s="46" cm="1">
        <f t="array" ref="KE25">ROUND(IFERROR(INDEX(ArchiveResults!$F$5:$IX$116,ComparisonData!A25,ComparisonData!$KE$1),0),5)</f>
        <v>0</v>
      </c>
      <c r="KF25" s="46" cm="1">
        <f t="array" ref="KF25">ROUND(IFERROR(INDEX(ArchiveResults!$F$5:$IX$116,ComparisonData!A25,ComparisonData!$KF$1),0),5)</f>
        <v>0</v>
      </c>
      <c r="KG25" s="46" cm="1">
        <f t="array" ref="KG25">ROUND(IFERROR(INDEX(ArchiveResults!$F$5:$IX$116,ComparisonData!A25,ComparisonData!$KG$1),0),5)</f>
        <v>0</v>
      </c>
      <c r="KH25" s="46" cm="1">
        <f t="array" ref="KH25">ROUND(IFERROR(INDEX(ArchiveResults!$F$5:$IX$116,ComparisonData!A25,ComparisonData!$KH$1),0),5)</f>
        <v>0</v>
      </c>
      <c r="KI25" s="45" cm="1">
        <f t="array" ref="KI25">IFERROR(INDEX(ArchiveResults!$F$5:$IX$116,ComparisonData!A25,ComparisonData!$KI$1),0)</f>
        <v>0</v>
      </c>
      <c r="KJ25" s="56">
        <v>20</v>
      </c>
      <c r="KK25" s="53" t="str">
        <f t="shared" si="44"/>
        <v>Cumbria Archive Centre: Kendal</v>
      </c>
      <c r="KL25" s="59">
        <f t="shared" si="259"/>
        <v>0</v>
      </c>
      <c r="KM25" s="59">
        <f t="shared" si="260"/>
        <v>0</v>
      </c>
      <c r="KN25" s="59">
        <f t="shared" si="261"/>
        <v>0</v>
      </c>
      <c r="KO25" s="59">
        <f t="shared" si="262"/>
        <v>0</v>
      </c>
      <c r="KP25" s="59">
        <f t="shared" si="263"/>
        <v>0</v>
      </c>
      <c r="KQ25" s="58">
        <f t="shared" si="264"/>
        <v>0</v>
      </c>
      <c r="KR25" s="45">
        <f t="shared" si="265"/>
        <v>112</v>
      </c>
      <c r="KS25" s="45">
        <f t="shared" si="45"/>
        <v>2.9990000000000001</v>
      </c>
      <c r="KT25" s="45">
        <f t="shared" si="266"/>
        <v>1</v>
      </c>
      <c r="KU25" s="45">
        <f t="shared" si="267"/>
        <v>2</v>
      </c>
      <c r="KV25" s="45">
        <f t="shared" si="268"/>
        <v>0</v>
      </c>
      <c r="KW25" s="46" cm="1">
        <f t="array" ref="KW25">ROUND(IFERROR(INDEX(ArchiveResults!$F$5:$IX$116,ComparisonData!A25,ComparisonData!$KW$1),0),5)</f>
        <v>0</v>
      </c>
      <c r="KX25" s="46" cm="1">
        <f t="array" ref="KX25">ROUND(IFERROR(INDEX(ArchiveResults!$F$5:$IX$116,ComparisonData!A25,ComparisonData!$KX$1),0),5)</f>
        <v>0</v>
      </c>
      <c r="KY25" s="46" cm="1">
        <f t="array" ref="KY25">ROUND(IFERROR(INDEX(ArchiveResults!$F$5:$IX$116,ComparisonData!A25,ComparisonData!$KY$1),0),5)</f>
        <v>0</v>
      </c>
      <c r="KZ25" s="46" cm="1">
        <f t="array" ref="KZ25">ROUND(IFERROR(INDEX(ArchiveResults!$F$5:$IX$116,ComparisonData!A25,ComparisonData!$KZ$1),0),5)</f>
        <v>0</v>
      </c>
      <c r="LA25" s="45" cm="1">
        <f t="array" ref="LA25">IFERROR(INDEX(ArchiveResults!$F$5:$IX$116,ComparisonData!A25,ComparisonData!$LA$1),0)</f>
        <v>0</v>
      </c>
      <c r="LB25" s="56">
        <v>20</v>
      </c>
      <c r="LC25" s="53" t="str">
        <f t="shared" si="46"/>
        <v>Cumbria Archive Centre: Kendal</v>
      </c>
      <c r="LD25" s="59">
        <f t="shared" si="269"/>
        <v>0</v>
      </c>
      <c r="LE25" s="59">
        <f t="shared" si="270"/>
        <v>0</v>
      </c>
      <c r="LF25" s="59">
        <f t="shared" si="271"/>
        <v>0</v>
      </c>
      <c r="LG25" s="59">
        <f t="shared" si="272"/>
        <v>0</v>
      </c>
      <c r="LH25" s="59">
        <f t="shared" si="273"/>
        <v>0</v>
      </c>
      <c r="LI25" s="58">
        <f t="shared" si="274"/>
        <v>0</v>
      </c>
      <c r="LJ25" s="45">
        <f t="shared" si="275"/>
        <v>112</v>
      </c>
      <c r="LK25" s="45">
        <f t="shared" si="47"/>
        <v>2.9990000000000001</v>
      </c>
      <c r="LL25" s="45">
        <f t="shared" si="276"/>
        <v>1</v>
      </c>
      <c r="LM25" s="45">
        <f t="shared" si="277"/>
        <v>2</v>
      </c>
      <c r="LN25" s="45">
        <f t="shared" si="278"/>
        <v>0</v>
      </c>
      <c r="LO25" s="46" cm="1">
        <f t="array" ref="LO25">ROUND(IFERROR(INDEX(ArchiveResults!$F$5:$IX$116,ComparisonData!A25,ComparisonData!$LO$1),0),5)</f>
        <v>0</v>
      </c>
      <c r="LP25" s="46" cm="1">
        <f t="array" ref="LP25">ROUND(IFERROR(INDEX(ArchiveResults!$F$5:$IX$116,ComparisonData!A25,ComparisonData!$LP$1),0),5)</f>
        <v>0</v>
      </c>
      <c r="LQ25" s="46" cm="1">
        <f t="array" ref="LQ25">ROUND(IFERROR(INDEX(ArchiveResults!$F$5:$IX$116,ComparisonData!A25,ComparisonData!$LQ$1),0),5)</f>
        <v>0</v>
      </c>
      <c r="LR25" s="46" cm="1">
        <f t="array" ref="LR25">ROUND(IFERROR(INDEX(ArchiveResults!$F$5:$IX$116,ComparisonData!A25,ComparisonData!$LR$1),0),5)</f>
        <v>0</v>
      </c>
      <c r="LS25" s="45" cm="1">
        <f t="array" ref="LS25">IFERROR(INDEX(ArchiveResults!$F$5:$IX$116,ComparisonData!A25,ComparisonData!$LS$1),0)</f>
        <v>0</v>
      </c>
      <c r="LT25" s="56">
        <v>20</v>
      </c>
      <c r="LU25" s="53" t="str">
        <f t="shared" si="48"/>
        <v>Cumbria Archive Centre: Kendal</v>
      </c>
      <c r="LV25" s="59">
        <f t="shared" si="279"/>
        <v>0</v>
      </c>
      <c r="LW25" s="59">
        <f t="shared" si="280"/>
        <v>0</v>
      </c>
      <c r="LX25" s="59">
        <f t="shared" si="281"/>
        <v>0</v>
      </c>
      <c r="LY25" s="59">
        <f t="shared" si="282"/>
        <v>0</v>
      </c>
      <c r="LZ25" s="59">
        <f t="shared" si="283"/>
        <v>0</v>
      </c>
      <c r="MA25" s="58">
        <f t="shared" si="284"/>
        <v>0</v>
      </c>
      <c r="MB25" s="45">
        <f t="shared" si="285"/>
        <v>112</v>
      </c>
      <c r="MC25" s="45">
        <f t="shared" si="49"/>
        <v>2.9990000000000001</v>
      </c>
      <c r="MD25" s="45">
        <f t="shared" si="286"/>
        <v>1</v>
      </c>
      <c r="ME25" s="45">
        <f t="shared" si="287"/>
        <v>2</v>
      </c>
      <c r="MF25" s="45">
        <f t="shared" si="288"/>
        <v>0</v>
      </c>
      <c r="MG25" s="46" cm="1">
        <f t="array" ref="MG25">ROUND(IFERROR(INDEX(ArchiveResults!$F$5:$IX$116,ComparisonData!A25,ComparisonData!$MG$1),0),5)</f>
        <v>0</v>
      </c>
      <c r="MH25" s="46" cm="1">
        <f t="array" ref="MH25">ROUND(IFERROR(INDEX(ArchiveResults!$F$5:$IX$116,ComparisonData!A25,ComparisonData!$MH$1),0),5)</f>
        <v>0</v>
      </c>
      <c r="MI25" s="46" cm="1">
        <f t="array" ref="MI25">ROUND(IFERROR(INDEX(ArchiveResults!$F$5:$IX$116,ComparisonData!A25,ComparisonData!$MI$1),0),5)</f>
        <v>0</v>
      </c>
      <c r="MJ25" s="46" cm="1">
        <f t="array" ref="MJ25">ROUND(IFERROR(INDEX(ArchiveResults!$F$5:$IX$116,ComparisonData!A25,ComparisonData!$MJ$1),0),5)</f>
        <v>0</v>
      </c>
      <c r="MK25" s="45" cm="1">
        <f t="array" ref="MK25">IFERROR(INDEX(ArchiveResults!$F$5:$IX$116,ComparisonData!A25,ComparisonData!$MK$1),0)</f>
        <v>0</v>
      </c>
      <c r="ML25" s="56">
        <v>20</v>
      </c>
      <c r="MM25" s="53" t="str">
        <f t="shared" si="50"/>
        <v>Cumbria Archive Centre: Kendal</v>
      </c>
      <c r="MN25" s="59">
        <f t="shared" si="289"/>
        <v>0</v>
      </c>
      <c r="MO25" s="59">
        <f t="shared" si="290"/>
        <v>0</v>
      </c>
      <c r="MP25" s="59">
        <f t="shared" si="291"/>
        <v>0</v>
      </c>
      <c r="MQ25" s="59">
        <f t="shared" si="292"/>
        <v>0</v>
      </c>
      <c r="MR25" s="59">
        <f t="shared" si="293"/>
        <v>0</v>
      </c>
      <c r="MS25" s="58">
        <f t="shared" si="294"/>
        <v>0</v>
      </c>
      <c r="MT25" s="45">
        <f t="shared" si="295"/>
        <v>112</v>
      </c>
      <c r="MU25" s="45">
        <f t="shared" si="51"/>
        <v>2.9990000000000001</v>
      </c>
      <c r="MV25" s="45">
        <f t="shared" si="296"/>
        <v>1</v>
      </c>
      <c r="MW25" s="45">
        <f t="shared" si="297"/>
        <v>2</v>
      </c>
      <c r="MX25" s="45">
        <f t="shared" si="298"/>
        <v>0</v>
      </c>
      <c r="MY25" s="46" cm="1">
        <f t="array" ref="MY25">ROUND(IFERROR(INDEX(ArchiveResults!$F$5:$IX$116,ComparisonData!A25,ComparisonData!$MY$1),0),5)</f>
        <v>0</v>
      </c>
      <c r="MZ25" s="46" cm="1">
        <f t="array" ref="MZ25">ROUND(IFERROR(INDEX(ArchiveResults!$F$5:$IX$116,ComparisonData!A25,ComparisonData!$MZ$1),0),5)</f>
        <v>0</v>
      </c>
      <c r="NA25" s="46" cm="1">
        <f t="array" ref="NA25">ROUND(IFERROR(INDEX(ArchiveResults!$F$5:$IX$116,ComparisonData!A25,ComparisonData!$NA$1),0),5)</f>
        <v>0</v>
      </c>
      <c r="NB25" s="46" cm="1">
        <f t="array" ref="NB25">ROUND(IFERROR(INDEX(ArchiveResults!$F$5:$IX$116,ComparisonData!A25,ComparisonData!$NB$1),0),5)</f>
        <v>0</v>
      </c>
      <c r="NC25" s="45" cm="1">
        <f t="array" ref="NC25">IFERROR(INDEX(ArchiveResults!$F$5:$IX$116,ComparisonData!A25,ComparisonData!$NC$1),0)</f>
        <v>0</v>
      </c>
      <c r="ND25" s="56">
        <v>20</v>
      </c>
      <c r="NE25" s="53" t="str">
        <f t="shared" si="52"/>
        <v>Cumbria Archive Centre: Kendal</v>
      </c>
      <c r="NF25" s="59">
        <f t="shared" si="299"/>
        <v>0</v>
      </c>
      <c r="NG25" s="59">
        <f t="shared" si="300"/>
        <v>0</v>
      </c>
      <c r="NH25" s="59">
        <f t="shared" si="301"/>
        <v>0</v>
      </c>
      <c r="NI25" s="59">
        <f t="shared" si="302"/>
        <v>0</v>
      </c>
      <c r="NJ25" s="59">
        <f t="shared" si="303"/>
        <v>0</v>
      </c>
      <c r="NK25" s="58">
        <f t="shared" si="304"/>
        <v>0</v>
      </c>
      <c r="NL25" s="45">
        <f t="shared" si="305"/>
        <v>112</v>
      </c>
      <c r="NM25" s="45">
        <f t="shared" si="53"/>
        <v>2.9990000000000001</v>
      </c>
      <c r="NN25" s="45">
        <f t="shared" si="306"/>
        <v>1</v>
      </c>
      <c r="NO25" s="45">
        <f t="shared" si="307"/>
        <v>2</v>
      </c>
      <c r="NP25" s="46" cm="1">
        <f t="array" ref="NP25">ROUND(IFERROR(INDEX(ArchiveResults!$F$5:$IX$116,ComparisonData!A25,ComparisonData!$NP$1),0),5)</f>
        <v>0</v>
      </c>
      <c r="NQ25" s="46" cm="1">
        <f t="array" ref="NQ25">ROUND(IFERROR(INDEX(ArchiveResults!$F$5:$IX$116,ComparisonData!A25,ComparisonData!$NQ$1),0),5)</f>
        <v>0</v>
      </c>
      <c r="NR25" s="46" cm="1">
        <f t="array" ref="NR25">ROUND(IFERROR(INDEX(ArchiveResults!$F$5:$IX$116,ComparisonData!A25,ComparisonData!$NR$1),0),5)</f>
        <v>0</v>
      </c>
      <c r="NS25" s="46" cm="1">
        <f t="array" ref="NS25">ROUND(IFERROR(INDEX(ArchiveResults!$F$5:$IX$116,ComparisonData!A25,ComparisonData!$NS$1),0),5)</f>
        <v>0</v>
      </c>
      <c r="NT25" s="45" cm="1">
        <f t="array" ref="NT25">IFERROR(INDEX(ArchiveResults!$F$5:$IX$116,ComparisonData!A25,ComparisonData!$NT$1),0)</f>
        <v>0</v>
      </c>
      <c r="NU25" s="56">
        <v>20</v>
      </c>
      <c r="NV25" s="53" t="str">
        <f t="shared" si="54"/>
        <v>Cumbria Archive Centre: Kendal</v>
      </c>
      <c r="NW25" s="59">
        <f t="shared" si="308"/>
        <v>0</v>
      </c>
      <c r="NX25" s="59">
        <f t="shared" si="309"/>
        <v>0</v>
      </c>
      <c r="NY25" s="59">
        <f t="shared" si="310"/>
        <v>0</v>
      </c>
      <c r="NZ25" s="59">
        <f t="shared" si="311"/>
        <v>0</v>
      </c>
      <c r="OA25" s="59">
        <f t="shared" si="312"/>
        <v>0</v>
      </c>
      <c r="OB25" s="58">
        <f t="shared" si="313"/>
        <v>0</v>
      </c>
      <c r="OC25" s="45">
        <f t="shared" si="314"/>
        <v>112</v>
      </c>
      <c r="OD25" s="45">
        <f t="shared" si="55"/>
        <v>2.9990000000000001</v>
      </c>
      <c r="OE25" s="45">
        <f t="shared" si="315"/>
        <v>1</v>
      </c>
      <c r="OF25" s="45">
        <f t="shared" si="316"/>
        <v>2</v>
      </c>
      <c r="OG25" s="46">
        <f t="shared" si="317"/>
        <v>0</v>
      </c>
      <c r="OH25" s="46" cm="1">
        <f t="array" ref="OH25">ROUND(IFERROR(INDEX(ArchiveResults!$F$5:$IX$116,ComparisonData!A25,ComparisonData!$OH$1),0),5)</f>
        <v>0</v>
      </c>
      <c r="OI25" s="46" cm="1">
        <f t="array" ref="OI25">ROUND(IFERROR(INDEX(ArchiveResults!$F$5:$IX$116,ComparisonData!A25,ComparisonData!$OI$1),0),5)</f>
        <v>0</v>
      </c>
      <c r="OJ25" s="46" cm="1">
        <f t="array" ref="OJ25">ROUND(IFERROR(INDEX(ArchiveResults!$F$5:$IX$116,ComparisonData!A25,ComparisonData!$OJ$1),0),5)</f>
        <v>0</v>
      </c>
      <c r="OK25" s="46" cm="1">
        <f t="array" ref="OK25">ROUND(IFERROR(INDEX(ArchiveResults!$F$5:$IX$116,ComparisonData!A25,ComparisonData!$OK$1),0),5)</f>
        <v>0</v>
      </c>
      <c r="OL25" s="45" cm="1">
        <f t="array" ref="OL25">IFERROR(INDEX(ArchiveResults!$F$5:$IX$116,ComparisonData!A25,ComparisonData!$OL$1),0)</f>
        <v>0</v>
      </c>
      <c r="OM25" s="56">
        <v>20</v>
      </c>
      <c r="ON25" s="53" t="str">
        <f t="shared" si="56"/>
        <v>Cumbria Archive Centre: Kendal</v>
      </c>
      <c r="OO25" s="59">
        <f t="shared" si="318"/>
        <v>0</v>
      </c>
      <c r="OP25" s="59">
        <f t="shared" si="319"/>
        <v>0</v>
      </c>
      <c r="OQ25" s="59">
        <f t="shared" si="320"/>
        <v>0</v>
      </c>
      <c r="OR25" s="59">
        <f t="shared" si="321"/>
        <v>0</v>
      </c>
      <c r="OS25" s="59">
        <f t="shared" si="322"/>
        <v>0</v>
      </c>
      <c r="OT25" s="58">
        <f t="shared" si="323"/>
        <v>0</v>
      </c>
      <c r="OU25" s="45">
        <f t="shared" si="324"/>
        <v>112</v>
      </c>
      <c r="OV25" s="45">
        <f t="shared" si="57"/>
        <v>2.9990000000000001</v>
      </c>
      <c r="OW25" s="45">
        <f t="shared" si="325"/>
        <v>1</v>
      </c>
      <c r="OX25" s="45">
        <f t="shared" si="326"/>
        <v>2</v>
      </c>
      <c r="OY25" s="45">
        <f t="shared" si="327"/>
        <v>0</v>
      </c>
      <c r="OZ25" s="46" cm="1">
        <f t="array" ref="OZ25">ROUND(IFERROR(INDEX(ArchiveResults!$F$5:$IX$116,ComparisonData!A25,ComparisonData!$OZ$1),0),5)</f>
        <v>0</v>
      </c>
      <c r="PA25" s="46" cm="1">
        <f t="array" ref="PA25">ROUND(IFERROR(INDEX(ArchiveResults!$F$5:$IX$116,ComparisonData!A25,ComparisonData!$PA$1),0),5)</f>
        <v>0</v>
      </c>
      <c r="PB25" s="46" cm="1">
        <f t="array" ref="PB25">ROUND(IFERROR(INDEX(ArchiveResults!$F$5:$IX$116,ComparisonData!A25,ComparisonData!$PB$1),0),5)</f>
        <v>0</v>
      </c>
      <c r="PC25" s="46" cm="1">
        <f t="array" ref="PC25">ROUND(IFERROR(INDEX(ArchiveResults!$F$5:$IX$116,ComparisonData!A25,ComparisonData!$PC$1),0),5)</f>
        <v>0</v>
      </c>
      <c r="PD25" s="45" cm="1">
        <f t="array" ref="PD25">IFERROR(INDEX(ArchiveResults!$F$5:$IX$116,ComparisonData!A25,ComparisonData!$PD$1),0)</f>
        <v>0</v>
      </c>
      <c r="PE25" s="56">
        <v>20</v>
      </c>
      <c r="PF25" s="53" t="str">
        <f t="shared" si="58"/>
        <v>Cumbria Archive Centre: Kendal</v>
      </c>
      <c r="PG25" s="59">
        <f t="shared" si="328"/>
        <v>0</v>
      </c>
      <c r="PH25" s="59">
        <f t="shared" si="329"/>
        <v>0</v>
      </c>
      <c r="PI25" s="59">
        <f t="shared" si="330"/>
        <v>0</v>
      </c>
      <c r="PJ25" s="59">
        <f t="shared" si="331"/>
        <v>0</v>
      </c>
      <c r="PK25" s="59">
        <f t="shared" si="332"/>
        <v>0</v>
      </c>
      <c r="PL25" s="58">
        <f t="shared" si="333"/>
        <v>0</v>
      </c>
      <c r="PM25" s="45">
        <f t="shared" si="334"/>
        <v>112</v>
      </c>
      <c r="PN25" s="45">
        <f t="shared" si="59"/>
        <v>2.9990000000000001</v>
      </c>
      <c r="PO25" s="45">
        <f t="shared" si="335"/>
        <v>1</v>
      </c>
      <c r="PP25" s="45">
        <f t="shared" si="336"/>
        <v>2</v>
      </c>
      <c r="PQ25" s="45">
        <f t="shared" si="337"/>
        <v>0</v>
      </c>
      <c r="PR25" s="46" cm="1">
        <f t="array" ref="PR25">ROUND(IFERROR(INDEX(ArchiveResults!$F$5:$IX$116,ComparisonData!A25,ComparisonData!$PR$1),0),5)</f>
        <v>0</v>
      </c>
      <c r="PS25" s="46" cm="1">
        <f t="array" ref="PS25">ROUND(IFERROR(INDEX(ArchiveResults!$F$5:$IX$116,ComparisonData!A25,ComparisonData!$PS$1),0),5)</f>
        <v>0</v>
      </c>
      <c r="PT25" s="46" cm="1">
        <f t="array" ref="PT25">ROUND(IFERROR(INDEX(ArchiveResults!$F$5:$IX$116,ComparisonData!A25,ComparisonData!$PT$1),0),5)</f>
        <v>0</v>
      </c>
      <c r="PU25" s="46" cm="1">
        <f t="array" ref="PU25">ROUND(IFERROR(INDEX(ArchiveResults!$F$5:$IX$116,ComparisonData!A25,ComparisonData!$PU$1),0),5)</f>
        <v>0</v>
      </c>
      <c r="PV25" s="45" cm="1">
        <f t="array" ref="PV25">IFERROR(INDEX(ArchiveResults!$F$5:$IX$116,ComparisonData!A25,ComparisonData!$PV$1),0)</f>
        <v>0</v>
      </c>
      <c r="PW25" s="56">
        <v>20</v>
      </c>
      <c r="PX25" s="53" t="str">
        <f t="shared" si="60"/>
        <v>Cumbria Archive Centre: Kendal</v>
      </c>
      <c r="PY25" s="59">
        <f t="shared" si="338"/>
        <v>0</v>
      </c>
      <c r="PZ25" s="59">
        <f t="shared" si="339"/>
        <v>0</v>
      </c>
      <c r="QA25" s="59">
        <f t="shared" si="340"/>
        <v>0</v>
      </c>
      <c r="QB25" s="59">
        <f t="shared" si="341"/>
        <v>0</v>
      </c>
      <c r="QC25" s="59">
        <f t="shared" si="342"/>
        <v>0</v>
      </c>
      <c r="QD25" s="58">
        <f t="shared" si="343"/>
        <v>0</v>
      </c>
      <c r="QE25" s="45">
        <f t="shared" si="344"/>
        <v>112</v>
      </c>
      <c r="QF25" s="45">
        <f t="shared" si="61"/>
        <v>2.9990000000000001</v>
      </c>
      <c r="QG25" s="45">
        <f t="shared" si="345"/>
        <v>1</v>
      </c>
      <c r="QH25" s="45">
        <f t="shared" si="346"/>
        <v>2</v>
      </c>
      <c r="QI25" s="45">
        <f t="shared" si="347"/>
        <v>0</v>
      </c>
      <c r="QJ25" s="46" cm="1">
        <f t="array" ref="QJ25">ROUND(IFERROR(INDEX(ArchiveResults!$F$5:$IX$116,ComparisonData!A25,ComparisonData!$QJ$1),0),5)</f>
        <v>0</v>
      </c>
      <c r="QK25" s="46" cm="1">
        <f t="array" ref="QK25">ROUND(IFERROR(INDEX(ArchiveResults!$F$5:$IX$116,ComparisonData!A25,ComparisonData!$QK$1),0),5)</f>
        <v>0</v>
      </c>
      <c r="QL25" s="46" cm="1">
        <f t="array" ref="QL25">ROUND(IFERROR(INDEX(ArchiveResults!$F$5:$IX$116,ComparisonData!A25,ComparisonData!$QL$1),0),5)</f>
        <v>0</v>
      </c>
      <c r="QM25" s="46" cm="1">
        <f t="array" ref="QM25">ROUND(IFERROR(INDEX(ArchiveResults!$F$5:$IX$116,ComparisonData!A25,ComparisonData!$QM$1),0),5)</f>
        <v>0</v>
      </c>
      <c r="QN25" s="45" cm="1">
        <f t="array" ref="QN25">IFERROR(INDEX(ArchiveResults!$F$5:$IX$116,ComparisonData!A25,ComparisonData!$QN$1),0)</f>
        <v>0</v>
      </c>
      <c r="QO25" s="56">
        <v>20</v>
      </c>
      <c r="QP25" s="53" t="str">
        <f t="shared" si="62"/>
        <v>Cumbria Archive Centre: Kendal</v>
      </c>
      <c r="QQ25" s="59">
        <f t="shared" si="348"/>
        <v>0</v>
      </c>
      <c r="QR25" s="59">
        <f t="shared" si="349"/>
        <v>0</v>
      </c>
      <c r="QS25" s="59">
        <f t="shared" si="350"/>
        <v>0</v>
      </c>
      <c r="QT25" s="59">
        <f t="shared" si="351"/>
        <v>0</v>
      </c>
      <c r="QU25" s="59">
        <f t="shared" si="352"/>
        <v>0</v>
      </c>
      <c r="QV25" s="58">
        <f t="shared" si="353"/>
        <v>0</v>
      </c>
      <c r="QW25" s="45">
        <f t="shared" si="354"/>
        <v>112</v>
      </c>
      <c r="QX25" s="45">
        <f t="shared" si="63"/>
        <v>2.9990000000000001</v>
      </c>
      <c r="QY25" s="45">
        <f t="shared" si="355"/>
        <v>1</v>
      </c>
      <c r="QZ25" s="45">
        <f t="shared" si="356"/>
        <v>2</v>
      </c>
      <c r="RA25" s="45">
        <f t="shared" si="357"/>
        <v>0</v>
      </c>
      <c r="RB25" s="46" cm="1">
        <f t="array" ref="RB25">ROUND(IFERROR(INDEX(ArchiveResults!$F$5:$IX$116,ComparisonData!A25,ComparisonData!$RB$1),0),5)</f>
        <v>0</v>
      </c>
      <c r="RC25" s="46" cm="1">
        <f t="array" ref="RC25">ROUND(IFERROR(INDEX(ArchiveResults!$F$5:$IX$116,ComparisonData!A25,ComparisonData!$RC$1),0),5)</f>
        <v>0</v>
      </c>
      <c r="RD25" s="46" cm="1">
        <f t="array" ref="RD25">ROUND(IFERROR(INDEX(ArchiveResults!$F$5:$IX$116,ComparisonData!A25,ComparisonData!$RD$1),0),5)</f>
        <v>0</v>
      </c>
      <c r="RE25" s="46" cm="1">
        <f t="array" ref="RE25">ROUND(IFERROR(INDEX(ArchiveResults!$F$5:$IX$116,ComparisonData!A25,ComparisonData!$RE$1),0),5)</f>
        <v>0</v>
      </c>
      <c r="RF25" s="45" cm="1">
        <f t="array" ref="RF25">IFERROR(INDEX(ArchiveResults!$F$5:$IX$116,ComparisonData!A25,ComparisonData!$RF$1),0)</f>
        <v>0</v>
      </c>
      <c r="RG25" s="56">
        <v>20</v>
      </c>
      <c r="RH25" s="53" t="str">
        <f t="shared" si="64"/>
        <v>Cumbria Archive Centre: Kendal</v>
      </c>
      <c r="RI25" s="59">
        <f t="shared" si="358"/>
        <v>0</v>
      </c>
      <c r="RJ25" s="59">
        <f t="shared" si="359"/>
        <v>0</v>
      </c>
      <c r="RK25" s="59">
        <f t="shared" si="360"/>
        <v>0</v>
      </c>
      <c r="RL25" s="59">
        <f t="shared" si="361"/>
        <v>0</v>
      </c>
      <c r="RM25" s="59">
        <f t="shared" si="362"/>
        <v>0</v>
      </c>
      <c r="RN25" s="58">
        <f t="shared" si="363"/>
        <v>0</v>
      </c>
      <c r="RO25" s="45">
        <f t="shared" si="364"/>
        <v>112</v>
      </c>
      <c r="RP25" s="45">
        <f t="shared" si="65"/>
        <v>2.9990000000000001</v>
      </c>
      <c r="RQ25" s="45">
        <f t="shared" si="365"/>
        <v>1</v>
      </c>
      <c r="RR25" s="45">
        <f t="shared" si="366"/>
        <v>2</v>
      </c>
      <c r="RS25" s="45">
        <f t="shared" si="367"/>
        <v>0</v>
      </c>
      <c r="RT25" s="46" cm="1">
        <f t="array" ref="RT25">ROUND(IFERROR(INDEX(ArchiveResults!$F$5:$IX$116,ComparisonData!A25,ComparisonData!$RT$1),0),5)</f>
        <v>0</v>
      </c>
      <c r="RU25" s="46" cm="1">
        <f t="array" ref="RU25">ROUND(IFERROR(INDEX(ArchiveResults!$F$5:$IX$116,ComparisonData!A25,ComparisonData!$RU$1),0),5)</f>
        <v>0</v>
      </c>
      <c r="RV25" s="46" cm="1">
        <f t="array" ref="RV25">ROUND(IFERROR(INDEX(ArchiveResults!$F$5:$IX$116,ComparisonData!A25,ComparisonData!$RV$1),0),5)</f>
        <v>0</v>
      </c>
      <c r="RW25" s="46" cm="1">
        <f t="array" ref="RW25">ROUND(IFERROR(INDEX(ArchiveResults!$F$5:$IX$116,ComparisonData!A25,ComparisonData!$RW$1),0),5)</f>
        <v>0</v>
      </c>
      <c r="RX25" s="45" cm="1">
        <f t="array" ref="RX25">IFERROR(INDEX(ArchiveResults!$F$5:$IX$116,ComparisonData!A25,ComparisonData!$RX$1),0)</f>
        <v>0</v>
      </c>
      <c r="RY25" s="56">
        <v>20</v>
      </c>
      <c r="RZ25" s="53" t="str">
        <f t="shared" si="66"/>
        <v>Cumbria Archive Centre: Kendal</v>
      </c>
      <c r="SA25" s="59">
        <f t="shared" si="368"/>
        <v>0</v>
      </c>
      <c r="SB25" s="59">
        <f t="shared" si="369"/>
        <v>0</v>
      </c>
      <c r="SC25" s="59">
        <f t="shared" si="370"/>
        <v>0</v>
      </c>
      <c r="SD25" s="59">
        <f t="shared" si="371"/>
        <v>0</v>
      </c>
      <c r="SE25" s="59">
        <f t="shared" si="372"/>
        <v>0</v>
      </c>
      <c r="SF25" s="58">
        <f t="shared" si="373"/>
        <v>0</v>
      </c>
      <c r="SG25" s="45">
        <f t="shared" si="374"/>
        <v>112</v>
      </c>
      <c r="SH25" s="45">
        <f t="shared" si="67"/>
        <v>2.9990000000000001</v>
      </c>
      <c r="SI25" s="45">
        <f t="shared" si="375"/>
        <v>1</v>
      </c>
      <c r="SJ25" s="45">
        <f t="shared" si="376"/>
        <v>2</v>
      </c>
      <c r="SK25" s="45">
        <f t="shared" si="377"/>
        <v>0</v>
      </c>
      <c r="SL25" s="46" cm="1">
        <f t="array" ref="SL25">ROUND(IFERROR(INDEX(ArchiveResults!$F$5:$IX$116,ComparisonData!A25,ComparisonData!$SL$1),0),5)</f>
        <v>0</v>
      </c>
      <c r="SM25" s="46" cm="1">
        <f t="array" ref="SM25">ROUND(IFERROR(INDEX(ArchiveResults!$F$5:$IX$116,ComparisonData!A25,ComparisonData!$SM$1),0),5)</f>
        <v>0</v>
      </c>
      <c r="SN25" s="46" cm="1">
        <f t="array" ref="SN25">ROUND(IFERROR(INDEX(ArchiveResults!$F$5:$IX$116,ComparisonData!A25,ComparisonData!$SN$1),0),5)</f>
        <v>0</v>
      </c>
      <c r="SO25" s="46" cm="1">
        <f t="array" ref="SO25">ROUND(IFERROR(INDEX(ArchiveResults!$F$5:$IX$116,ComparisonData!A25,ComparisonData!$SO$1),0),5)</f>
        <v>0</v>
      </c>
      <c r="SP25" s="45" cm="1">
        <f t="array" ref="SP25">IFERROR(INDEX(ArchiveResults!$F$5:$IX$116,ComparisonData!A25,ComparisonData!$SP$1),0)</f>
        <v>0</v>
      </c>
      <c r="SQ25" s="56">
        <v>20</v>
      </c>
      <c r="SR25" s="53" t="str">
        <f t="shared" si="68"/>
        <v>Cumbria Archive Centre: Kendal</v>
      </c>
      <c r="SS25" s="59">
        <f t="shared" si="378"/>
        <v>0</v>
      </c>
      <c r="ST25" s="59">
        <f t="shared" si="379"/>
        <v>0</v>
      </c>
      <c r="SU25" s="59">
        <f t="shared" si="380"/>
        <v>0</v>
      </c>
      <c r="SV25" s="59">
        <f t="shared" si="381"/>
        <v>0</v>
      </c>
      <c r="SW25" s="59">
        <f t="shared" si="382"/>
        <v>0</v>
      </c>
      <c r="SX25" s="58">
        <f t="shared" si="383"/>
        <v>0</v>
      </c>
      <c r="SY25" s="45">
        <f t="shared" si="384"/>
        <v>112</v>
      </c>
      <c r="SZ25" s="45">
        <f t="shared" si="69"/>
        <v>2.9990000000000001</v>
      </c>
      <c r="TA25" s="45">
        <f t="shared" si="385"/>
        <v>1</v>
      </c>
      <c r="TB25" s="45">
        <f t="shared" si="386"/>
        <v>2</v>
      </c>
      <c r="TC25" s="45">
        <f t="shared" si="387"/>
        <v>0</v>
      </c>
      <c r="TD25" s="46" cm="1">
        <f t="array" ref="TD25">ROUND(IFERROR(INDEX(ArchiveResults!$F$5:$IX$116,ComparisonData!A25,ComparisonData!$TD$1),0),5)</f>
        <v>0</v>
      </c>
      <c r="TE25" s="46" cm="1">
        <f t="array" ref="TE25">ROUND(IFERROR(INDEX(ArchiveResults!$F$5:$IX$116,ComparisonData!A25,ComparisonData!$TE$1),0),5)</f>
        <v>0</v>
      </c>
      <c r="TF25" s="46" cm="1">
        <f t="array" ref="TF25">ROUND(IFERROR(INDEX(ArchiveResults!$F$5:$IX$116,ComparisonData!A25,ComparisonData!$TF$1),0),5)</f>
        <v>0</v>
      </c>
      <c r="TG25" s="46" cm="1">
        <f t="array" ref="TG25">ROUND(IFERROR(INDEX(ArchiveResults!$F$5:$IX$116,ComparisonData!A25,ComparisonData!$TG$1),0),5)</f>
        <v>0</v>
      </c>
      <c r="TH25" s="45" cm="1">
        <f t="array" ref="TH25">IFERROR(INDEX(ArchiveResults!$F$5:$IX$116,ComparisonData!A25,ComparisonData!$TH$1),0)</f>
        <v>0</v>
      </c>
      <c r="TI25" s="56">
        <v>20</v>
      </c>
      <c r="TJ25" s="53" t="str">
        <f t="shared" si="70"/>
        <v>Cumbria Archive Centre: Kendal</v>
      </c>
      <c r="TK25" s="59">
        <f t="shared" si="388"/>
        <v>0</v>
      </c>
      <c r="TL25" s="59">
        <f t="shared" si="389"/>
        <v>0</v>
      </c>
      <c r="TM25" s="59">
        <f t="shared" si="390"/>
        <v>0</v>
      </c>
      <c r="TN25" s="59">
        <f t="shared" si="391"/>
        <v>0</v>
      </c>
      <c r="TO25" s="59">
        <f t="shared" si="392"/>
        <v>0</v>
      </c>
      <c r="TP25" s="58">
        <f t="shared" si="393"/>
        <v>0</v>
      </c>
      <c r="TQ25" s="45">
        <f t="shared" si="394"/>
        <v>112</v>
      </c>
      <c r="TR25" s="45">
        <f t="shared" si="71"/>
        <v>2.9990000000000001</v>
      </c>
      <c r="TS25" s="45">
        <f t="shared" si="395"/>
        <v>1</v>
      </c>
      <c r="TT25" s="45">
        <f t="shared" si="396"/>
        <v>2</v>
      </c>
      <c r="TU25" s="45">
        <f t="shared" si="397"/>
        <v>0</v>
      </c>
      <c r="TV25" s="46" cm="1">
        <f t="array" ref="TV25">ROUND(IFERROR(INDEX(ArchiveResults!$F$5:$IX$116,ComparisonData!A25,ComparisonData!$TV$1),0),5)</f>
        <v>0</v>
      </c>
      <c r="TW25" s="46" cm="1">
        <f t="array" ref="TW25">ROUND(IFERROR(INDEX(ArchiveResults!$F$5:$IX$116,ComparisonData!A25,ComparisonData!$TW$1),0),5)</f>
        <v>0</v>
      </c>
      <c r="TX25" s="46" cm="1">
        <f t="array" ref="TX25">ROUND(IFERROR(INDEX(ArchiveResults!$F$5:$IX$116,ComparisonData!A25,ComparisonData!$TX$1),0),5)</f>
        <v>0</v>
      </c>
      <c r="TY25" s="46" cm="1">
        <f t="array" ref="TY25">ROUND(IFERROR(INDEX(ArchiveResults!$F$5:$IX$116,ComparisonData!A25,ComparisonData!$TY$1),0),5)</f>
        <v>0</v>
      </c>
      <c r="TZ25" s="45" cm="1">
        <f t="array" ref="TZ25">IFERROR(INDEX(ArchiveResults!$F$5:$IX$116,ComparisonData!A25,ComparisonData!$TZ$1),0)</f>
        <v>0</v>
      </c>
      <c r="UA25" s="56">
        <v>20</v>
      </c>
      <c r="UB25" s="53" t="str">
        <f t="shared" si="72"/>
        <v>Cumbria Archive Centre: Kendal</v>
      </c>
      <c r="UC25" s="60">
        <f t="shared" si="398"/>
        <v>0</v>
      </c>
      <c r="UD25" s="60">
        <f t="shared" si="399"/>
        <v>0</v>
      </c>
      <c r="UE25" s="60">
        <f t="shared" si="400"/>
        <v>0</v>
      </c>
      <c r="UF25" s="60">
        <f t="shared" si="401"/>
        <v>0</v>
      </c>
      <c r="UG25" s="60">
        <f t="shared" si="402"/>
        <v>0</v>
      </c>
      <c r="UH25" s="58">
        <f t="shared" si="403"/>
        <v>0</v>
      </c>
      <c r="UI25" s="46">
        <f t="shared" si="404"/>
        <v>112</v>
      </c>
      <c r="UJ25" s="46">
        <f t="shared" si="73"/>
        <v>2.9990000000000001</v>
      </c>
      <c r="UK25" s="46">
        <f t="shared" si="405"/>
        <v>1</v>
      </c>
      <c r="UL25" s="46">
        <f t="shared" si="406"/>
        <v>2</v>
      </c>
      <c r="UM25" s="46" cm="1">
        <f t="array" ref="UM25">ROUND(IFERROR(INDEX(ArchiveResults!$F$5:$IX$116,ComparisonData!A25,ComparisonData!$UM$1),0),5)</f>
        <v>0</v>
      </c>
      <c r="UN25" s="56">
        <v>20</v>
      </c>
      <c r="UO25" s="53" t="str">
        <f t="shared" si="74"/>
        <v>Cumbria Archive Centre: Kendal</v>
      </c>
      <c r="UP25" s="46">
        <f t="shared" si="407"/>
        <v>0</v>
      </c>
      <c r="UQ25" s="76">
        <f t="shared" si="408"/>
        <v>0</v>
      </c>
      <c r="UR25" s="46">
        <f t="shared" si="409"/>
        <v>112</v>
      </c>
      <c r="US25" s="46">
        <f t="shared" si="75"/>
        <v>2.9990000000000001</v>
      </c>
      <c r="UT25" s="46">
        <f t="shared" si="410"/>
        <v>1</v>
      </c>
      <c r="UU25" s="46">
        <f t="shared" si="411"/>
        <v>2</v>
      </c>
      <c r="UV25" s="46">
        <f t="shared" si="412"/>
        <v>0</v>
      </c>
      <c r="UW25" s="46" cm="1">
        <f t="array" ref="UW25">ROUND(IFERROR(INDEX(ArchiveResults!$F$5:$IX$116,ComparisonData!A25,ComparisonData!$UW$1),0),5)</f>
        <v>0</v>
      </c>
      <c r="UX25" s="46" cm="1">
        <f t="array" ref="UX25">ROUND(IFERROR(INDEX(ArchiveResults!$F$5:$IX$116,ComparisonData!A25,ComparisonData!$UX$1),0),5)</f>
        <v>0</v>
      </c>
      <c r="UY25" s="46" cm="1">
        <f t="array" ref="UY25">ROUND(IFERROR(INDEX(ArchiveResults!$F$5:$IX$116,ComparisonData!A25,ComparisonData!$UY$1),0),5)</f>
        <v>0</v>
      </c>
      <c r="UZ25" s="46" cm="1">
        <f t="array" ref="UZ25">ROUND(IFERROR(INDEX(ArchiveResults!$F$5:$IX$116,ComparisonData!A25,ComparisonData!$UZ$1),0),5)</f>
        <v>0</v>
      </c>
      <c r="VA25" s="46" cm="1">
        <f t="array" ref="VA25">ROUND(IFERROR(INDEX(ArchiveResults!$F$5:$IX$116,ComparisonData!A25,ComparisonData!$VA$1),0),5)</f>
        <v>0</v>
      </c>
      <c r="VB25" s="56">
        <v>20</v>
      </c>
      <c r="VC25" s="53" t="str">
        <f t="shared" si="76"/>
        <v>Cumbria Archive Centre: Kendal</v>
      </c>
      <c r="VD25" s="60">
        <f t="shared" si="413"/>
        <v>0</v>
      </c>
      <c r="VE25" s="60">
        <f t="shared" si="414"/>
        <v>0</v>
      </c>
      <c r="VF25" s="60">
        <f t="shared" si="415"/>
        <v>0</v>
      </c>
      <c r="VG25" s="60">
        <f t="shared" si="416"/>
        <v>0</v>
      </c>
      <c r="VH25" s="60">
        <f t="shared" si="417"/>
        <v>0</v>
      </c>
      <c r="VI25" s="76">
        <f t="shared" si="418"/>
        <v>0</v>
      </c>
      <c r="VJ25" s="46">
        <f t="shared" si="419"/>
        <v>112</v>
      </c>
      <c r="VK25" s="46">
        <f t="shared" si="77"/>
        <v>2.9990000000000001</v>
      </c>
      <c r="VL25" s="46">
        <f t="shared" si="420"/>
        <v>1</v>
      </c>
      <c r="VM25" s="46">
        <f t="shared" si="421"/>
        <v>2</v>
      </c>
      <c r="VN25" s="46" cm="1">
        <f t="array" ref="VN25">ROUND(IFERROR(INDEX(ArchiveResults!$F$5:$IX$116,ComparisonData!A25,ComparisonData!$VN$1),0),5)</f>
        <v>0</v>
      </c>
      <c r="VO25" s="46" cm="1">
        <f t="array" ref="VO25">ROUND(IFERROR(INDEX(ArchiveResults!$F$5:$IX$116,ComparisonData!A25,ComparisonData!$VO$1),0),5)</f>
        <v>0</v>
      </c>
      <c r="VP25" s="46" cm="1">
        <f t="array" ref="VP25">ROUND(IFERROR(INDEX(ArchiveResults!$F$5:$IX$116,ComparisonData!A25,ComparisonData!$VP$1),0),5)</f>
        <v>0</v>
      </c>
      <c r="VQ25" s="46" cm="1">
        <f t="array" ref="VQ25">ROUND(IFERROR(INDEX(ArchiveResults!$F$5:$IX$116,ComparisonData!A25,ComparisonData!$VQ$1),0),5)</f>
        <v>0</v>
      </c>
      <c r="VR25" s="56">
        <v>20</v>
      </c>
      <c r="VS25" s="53" t="str">
        <f t="shared" si="78"/>
        <v>Cumbria Archive Centre: Kendal</v>
      </c>
      <c r="VT25" s="60">
        <f t="shared" si="422"/>
        <v>0</v>
      </c>
      <c r="VU25" s="60">
        <f t="shared" si="423"/>
        <v>0</v>
      </c>
      <c r="VV25" s="60">
        <f t="shared" si="424"/>
        <v>0</v>
      </c>
      <c r="VW25" s="60">
        <f t="shared" si="425"/>
        <v>0</v>
      </c>
      <c r="VX25" s="76">
        <f t="shared" si="426"/>
        <v>0</v>
      </c>
      <c r="VY25" s="46">
        <f t="shared" si="427"/>
        <v>112</v>
      </c>
      <c r="VZ25" s="46">
        <f t="shared" si="79"/>
        <v>2.9990000000000001</v>
      </c>
      <c r="WA25" s="46">
        <f t="shared" si="428"/>
        <v>1</v>
      </c>
      <c r="WB25" s="46">
        <f t="shared" si="429"/>
        <v>2</v>
      </c>
      <c r="WC25" s="46" cm="1">
        <f t="array" ref="WC25">ROUND(IFERROR(INDEX(ArchiveResults!$F$5:$IX$116,ComparisonData!A25,ComparisonData!$WC$1),0),5)</f>
        <v>0</v>
      </c>
      <c r="WD25" s="56">
        <v>20</v>
      </c>
      <c r="WE25" s="53" t="str">
        <f t="shared" si="80"/>
        <v>Cumbria Archive Centre: Kendal</v>
      </c>
      <c r="WF25" s="46">
        <f t="shared" si="430"/>
        <v>0</v>
      </c>
      <c r="WG25" s="76">
        <f t="shared" si="431"/>
        <v>0</v>
      </c>
      <c r="WH25" s="46">
        <f t="shared" si="432"/>
        <v>112</v>
      </c>
      <c r="WI25" s="46">
        <f t="shared" si="81"/>
        <v>2.9990000000000001</v>
      </c>
      <c r="WJ25" s="46">
        <f t="shared" si="433"/>
        <v>1</v>
      </c>
      <c r="WK25" s="46">
        <f t="shared" si="434"/>
        <v>2</v>
      </c>
      <c r="WL25" s="46" cm="1">
        <f t="array" ref="WL25">ROUND(IFERROR(INDEX(ArchiveResults!$F$5:$IX$116,ComparisonData!A25,ComparisonData!$WL$1),0),5)</f>
        <v>0</v>
      </c>
      <c r="WM25" s="46" cm="1">
        <f t="array" ref="WM25">IFERROR(INDEX(ArchiveResults!$F$5:$IX$116,ComparisonData!A25,ComparisonData!$WM$1),0)</f>
        <v>0</v>
      </c>
      <c r="WN25" s="56">
        <v>20</v>
      </c>
      <c r="WO25" s="53" t="str">
        <f t="shared" si="82"/>
        <v>Cumbria Archive Centre: Kendal</v>
      </c>
      <c r="WP25" s="60">
        <f t="shared" si="435"/>
        <v>0</v>
      </c>
      <c r="WQ25" s="60">
        <f t="shared" si="436"/>
        <v>0</v>
      </c>
      <c r="WR25" s="76">
        <f t="shared" si="437"/>
        <v>0</v>
      </c>
      <c r="WS25" s="46">
        <f t="shared" si="438"/>
        <v>112</v>
      </c>
      <c r="WT25" s="46">
        <f t="shared" si="83"/>
        <v>2.9990000000000001</v>
      </c>
      <c r="WU25" s="46">
        <f t="shared" si="439"/>
        <v>1</v>
      </c>
      <c r="WV25" s="46">
        <f t="shared" si="440"/>
        <v>2</v>
      </c>
      <c r="WW25" s="46" cm="1">
        <f t="array" ref="WW25">ROUND(VALUE(IFERROR(INDEX(ArchiveResults!$F$5:$IX$116,ComparisonData!A25,ComparisonData!$WW$1),0)),5)</f>
        <v>0</v>
      </c>
      <c r="WX25" s="46" cm="1">
        <f t="array" ref="WX25">ROUND(IFERROR(INDEX(ArchiveResults!$F$5:$IX$116,ComparisonData!A25,ComparisonData!$WX$1),0),5)</f>
        <v>0</v>
      </c>
      <c r="WY25" s="56">
        <v>20</v>
      </c>
      <c r="WZ25" s="53" t="str">
        <f t="shared" si="84"/>
        <v>Cumbria Archive Centre: Kendal</v>
      </c>
      <c r="XA25" s="60">
        <f t="shared" si="85"/>
        <v>0</v>
      </c>
      <c r="XB25" s="60">
        <f t="shared" si="86"/>
        <v>0</v>
      </c>
      <c r="XC25" s="76">
        <f t="shared" si="441"/>
        <v>0</v>
      </c>
      <c r="XD25" s="46">
        <f t="shared" si="442"/>
        <v>112</v>
      </c>
      <c r="XE25" s="46">
        <f t="shared" si="87"/>
        <v>2.9990000000000001</v>
      </c>
      <c r="XF25" s="46">
        <f t="shared" si="443"/>
        <v>1</v>
      </c>
      <c r="XG25" s="46">
        <f t="shared" si="444"/>
        <v>2</v>
      </c>
      <c r="XH25" s="46" cm="1">
        <f t="array" ref="XH25">ROUND(VALUE(IFERROR(INDEX(ArchiveResults!$F$5:$IX$116,ComparisonData!A25,ComparisonData!$XH$1),0)),5)</f>
        <v>0</v>
      </c>
      <c r="XI25" s="46" cm="1">
        <f t="array" ref="XI25">ROUND(VALUE(IFERROR(INDEX(ArchiveResults!$F$5:$IX$116,ComparisonData!A25,ComparisonData!$XI$1),0)),5)</f>
        <v>0</v>
      </c>
      <c r="XJ25" s="56">
        <v>20</v>
      </c>
      <c r="XK25" s="53" t="str">
        <f t="shared" si="88"/>
        <v>Cumbria Archive Centre: Kendal</v>
      </c>
      <c r="XL25" s="60">
        <f t="shared" si="445"/>
        <v>0</v>
      </c>
      <c r="XM25" s="60">
        <f t="shared" si="446"/>
        <v>0</v>
      </c>
      <c r="XN25" s="76">
        <f t="shared" si="447"/>
        <v>0</v>
      </c>
      <c r="XO25" s="46">
        <f t="shared" si="448"/>
        <v>112</v>
      </c>
      <c r="XP25" s="46">
        <f t="shared" si="89"/>
        <v>2.9990000000000001</v>
      </c>
      <c r="XQ25" s="46">
        <f t="shared" si="449"/>
        <v>1</v>
      </c>
      <c r="XR25" s="46">
        <f t="shared" si="450"/>
        <v>2</v>
      </c>
      <c r="XS25" s="46" cm="1">
        <f t="array" ref="XS25">ROUND(VALUE(IFERROR(INDEX(ArchiveResults!$F$5:$IX$116,ComparisonData!A25,ComparisonData!$XS$1),0)),5)</f>
        <v>0</v>
      </c>
      <c r="XT25" s="46" cm="1">
        <f t="array" ref="XT25">ROUND(VALUE(IFERROR(INDEX(ArchiveResults!$F$5:$IX$116,ComparisonData!A25,ComparisonData!$XT$1),0)),5)</f>
        <v>0</v>
      </c>
      <c r="XU25" s="56">
        <v>20</v>
      </c>
      <c r="XV25" s="53" t="str">
        <f t="shared" si="90"/>
        <v>Cumbria Archive Centre: Kendal</v>
      </c>
      <c r="XW25" s="60">
        <f t="shared" si="451"/>
        <v>0</v>
      </c>
      <c r="XX25" s="60">
        <f t="shared" si="452"/>
        <v>0</v>
      </c>
      <c r="XY25" s="76">
        <f t="shared" si="453"/>
        <v>0</v>
      </c>
      <c r="XZ25" s="46">
        <f t="shared" si="454"/>
        <v>112</v>
      </c>
      <c r="YA25" s="46">
        <f t="shared" si="91"/>
        <v>2.9990000000000001</v>
      </c>
      <c r="YB25" s="46">
        <f t="shared" si="455"/>
        <v>1</v>
      </c>
      <c r="YC25" s="46">
        <f t="shared" si="456"/>
        <v>2</v>
      </c>
      <c r="YD25" s="46" cm="1">
        <f t="array" ref="YD25">ROUND(VALUE(IFERROR(INDEX(ArchiveResults!$F$5:$IX$116,ComparisonData!A25,ComparisonData!$YD$1),0)),5)</f>
        <v>0</v>
      </c>
      <c r="YE25" s="46" cm="1">
        <f t="array" ref="YE25">ROUND(VALUE(IFERROR(INDEX(ArchiveResults!$F$5:$IX$116,ComparisonData!A25,ComparisonData!$YE$1),0)),5)</f>
        <v>0</v>
      </c>
      <c r="YF25" s="56">
        <v>20</v>
      </c>
      <c r="YG25" s="53" t="str">
        <f t="shared" si="92"/>
        <v>Cumbria Archive Centre: Kendal</v>
      </c>
      <c r="YH25" s="60">
        <f t="shared" si="457"/>
        <v>0</v>
      </c>
      <c r="YI25" s="60">
        <f t="shared" si="458"/>
        <v>0</v>
      </c>
      <c r="YJ25" s="76">
        <f t="shared" si="459"/>
        <v>0</v>
      </c>
      <c r="YK25" s="46">
        <f t="shared" si="460"/>
        <v>112</v>
      </c>
      <c r="YL25" s="46">
        <f t="shared" si="93"/>
        <v>2.9990000000000001</v>
      </c>
      <c r="YM25" s="46">
        <f t="shared" si="461"/>
        <v>1</v>
      </c>
      <c r="YN25" s="46">
        <f t="shared" si="462"/>
        <v>2</v>
      </c>
      <c r="YO25" s="46" cm="1">
        <f t="array" ref="YO25">ROUND(VALUE(IFERROR(INDEX(ArchiveResults!$F$5:$IX$116,ComparisonData!A25,ComparisonData!$YO$1),0)),5)</f>
        <v>0</v>
      </c>
      <c r="YP25" s="46" cm="1">
        <f t="array" ref="YP25">ROUND(VALUE(IFERROR(INDEX(ArchiveResults!$F$5:$IX$116,ComparisonData!A25,ComparisonData!$YP$1),0)),5)</f>
        <v>0</v>
      </c>
      <c r="YQ25" s="56">
        <v>20</v>
      </c>
      <c r="YR25" s="53" t="str">
        <f t="shared" si="94"/>
        <v>Cumbria Archive Centre: Kendal</v>
      </c>
      <c r="YS25" s="60">
        <f t="shared" si="463"/>
        <v>0</v>
      </c>
      <c r="YT25" s="60">
        <f t="shared" si="464"/>
        <v>0</v>
      </c>
      <c r="YU25" s="76">
        <f t="shared" si="465"/>
        <v>0</v>
      </c>
      <c r="YV25" s="46">
        <f t="shared" si="466"/>
        <v>112</v>
      </c>
      <c r="YW25" s="46">
        <f t="shared" si="95"/>
        <v>2.9990000000000001</v>
      </c>
      <c r="YX25" s="46">
        <f t="shared" si="467"/>
        <v>1</v>
      </c>
      <c r="YY25" s="46">
        <f t="shared" si="468"/>
        <v>2</v>
      </c>
      <c r="YZ25" s="46">
        <f t="shared" si="469"/>
        <v>0</v>
      </c>
      <c r="ZA25" s="46" cm="1">
        <f t="array" ref="ZA25">ROUNDDOWN(VALUE(IFERROR(INDEX(ArchiveResults!$F$5:$IX$116,ComparisonData!A25,ComparisonData!$ZA$1),0)),5)</f>
        <v>0</v>
      </c>
      <c r="ZB25" s="46" cm="1">
        <f t="array" ref="ZB25">ROUNDDOWN(VALUE(IFERROR(INDEX(ArchiveResults!$F$5:$IX$116,ComparisonData!A25,ComparisonData!$ZB$1),0)),5)</f>
        <v>0</v>
      </c>
      <c r="ZC25" s="46" cm="1">
        <f t="array" ref="ZC25">ROUNDDOWN(VALUE(IFERROR(INDEX(ArchiveResults!$F$5:$IX$116,ComparisonData!A25,ComparisonData!$ZC$1),0)),5)</f>
        <v>0</v>
      </c>
      <c r="ZD25" s="46" cm="1">
        <f t="array" ref="ZD25">ROUNDDOWN(VALUE(IFERROR(INDEX(ArchiveResults!$F$5:$IX$116,ComparisonData!A25,ComparisonData!$ZD$1),0)),5)</f>
        <v>0</v>
      </c>
      <c r="ZE25" s="46" cm="1">
        <f t="array" ref="ZE25">ROUNDDOWN(VALUE(IFERROR(INDEX(ArchiveResults!$F$5:$IX$116,ComparisonData!A25,ComparisonData!$ZE$1),0)),5)</f>
        <v>0</v>
      </c>
      <c r="ZF25" s="56">
        <v>20</v>
      </c>
      <c r="ZG25" s="53" t="str">
        <f t="shared" si="96"/>
        <v>Cumbria Archive Centre: Kendal</v>
      </c>
      <c r="ZH25" s="60">
        <f t="shared" si="470"/>
        <v>0</v>
      </c>
      <c r="ZI25" s="60">
        <f t="shared" si="471"/>
        <v>0</v>
      </c>
      <c r="ZJ25" s="60">
        <f t="shared" si="472"/>
        <v>0</v>
      </c>
      <c r="ZK25" s="60">
        <f t="shared" si="473"/>
        <v>0</v>
      </c>
      <c r="ZL25" s="60">
        <f t="shared" si="474"/>
        <v>0</v>
      </c>
      <c r="ZM25" s="76">
        <f t="shared" si="475"/>
        <v>0</v>
      </c>
      <c r="ZN25" s="46">
        <f t="shared" si="476"/>
        <v>112</v>
      </c>
      <c r="ZO25" s="46">
        <f t="shared" si="97"/>
        <v>2.9990000000000001</v>
      </c>
      <c r="ZP25" s="46">
        <f t="shared" si="477"/>
        <v>1</v>
      </c>
      <c r="ZQ25" s="46">
        <f t="shared" si="478"/>
        <v>2</v>
      </c>
      <c r="ZR25" s="46" cm="1">
        <f t="array" ref="ZR25">ROUND(VALUE(IFERROR(INDEX(ArchiveResults!$F$5:$IX$116,ComparisonData!A25,ComparisonData!$ZR$1),0)),5)</f>
        <v>0</v>
      </c>
      <c r="ZS25" s="56">
        <v>20</v>
      </c>
      <c r="ZT25" s="53" t="str">
        <f t="shared" si="98"/>
        <v>Cumbria Archive Centre: Kendal</v>
      </c>
      <c r="ZU25" s="46">
        <f t="shared" si="479"/>
        <v>0</v>
      </c>
      <c r="ZV25" s="76">
        <f t="shared" si="480"/>
        <v>0</v>
      </c>
      <c r="ZW25" s="81" cm="1">
        <f t="array" ref="ZW25">ROUND((IFERROR(INDEX(ArchiveResults!$F$5:$IX$116,ComparisonData!A25,ComparisonData!$ZW$1),0)),5)</f>
        <v>0</v>
      </c>
      <c r="ZX25" s="81" cm="1">
        <f t="array" ref="ZX25">ROUND((IFERROR(INDEX(ArchiveResults!$F$5:$IX$116,ComparisonData!A25,ComparisonData!$ZX$1),0)),5)</f>
        <v>0</v>
      </c>
      <c r="ZY25" s="81" cm="1">
        <f t="array" ref="ZY25">ROUND((IFERROR(INDEX(ArchiveResults!$F$5:$IX$116,ComparisonData!A25,ComparisonData!$ZY$1),0)),5)</f>
        <v>0</v>
      </c>
      <c r="ZZ25" s="81" cm="1">
        <f t="array" ref="ZZ25">ROUND((IFERROR(INDEX(ArchiveResults!$F$5:$IX$116,ComparisonData!A25,ComparisonData!$ZZ$1),0)),5)</f>
        <v>0</v>
      </c>
      <c r="AAA25" s="81" cm="1">
        <f t="array" ref="AAA25">ROUND((IFERROR(INDEX(ArchiveResults!$F$5:$IX$116,ComparisonData!A25,ComparisonData!$AAA$1),0)),5)</f>
        <v>0</v>
      </c>
      <c r="AAB25" s="81" cm="1">
        <f t="array" ref="AAB25">ROUND((IFERROR(INDEX(ArchiveResults!$F$5:$IX$116,ComparisonData!A25,ComparisonData!$AAB$1),0)),5)</f>
        <v>0</v>
      </c>
      <c r="AAC25" s="81" cm="1">
        <f t="array" ref="AAC25">ROUND((IFERROR(INDEX(ArchiveResults!$F$5:$IX$116,ComparisonData!A25,ComparisonData!$AAC$1),0)),5)</f>
        <v>0</v>
      </c>
      <c r="AAD25" s="81" cm="1">
        <f t="array" ref="AAD25">ROUND((IFERROR(INDEX(ArchiveResults!$F$5:$IX$116,ComparisonData!A25,ComparisonData!$AAD$1),0)),5)</f>
        <v>0</v>
      </c>
      <c r="AAE25" s="81" cm="1">
        <f t="array" ref="AAE25">ROUND((IFERROR(INDEX(ArchiveResults!$F$5:$IX$116,ComparisonData!A25,ComparisonData!$AAE$1),0)),5)</f>
        <v>0</v>
      </c>
      <c r="AAF25" s="81" cm="1">
        <f t="array" ref="AAF25">ROUND((IFERROR(INDEX(ArchiveResults!$F$5:$IX$116,ComparisonData!A25,ComparisonData!$AAF$1),0)),5)</f>
        <v>0</v>
      </c>
      <c r="AAG25" s="46">
        <f t="shared" si="481"/>
        <v>112</v>
      </c>
      <c r="AAH25" s="46">
        <f t="shared" si="99"/>
        <v>2.9990000000000001</v>
      </c>
      <c r="AAI25" s="46">
        <f t="shared" si="482"/>
        <v>1</v>
      </c>
      <c r="AAJ25" s="46">
        <f t="shared" si="483"/>
        <v>2</v>
      </c>
      <c r="AAK25" s="46">
        <f t="shared" si="484"/>
        <v>0</v>
      </c>
      <c r="AAL25" s="46">
        <f t="shared" si="485"/>
        <v>0</v>
      </c>
      <c r="AAM25" s="46">
        <f t="shared" si="486"/>
        <v>0</v>
      </c>
      <c r="AAN25" s="46">
        <f t="shared" si="487"/>
        <v>0</v>
      </c>
      <c r="AAO25" s="46">
        <f t="shared" si="488"/>
        <v>0</v>
      </c>
      <c r="AAP25" s="46">
        <f t="shared" si="489"/>
        <v>0</v>
      </c>
      <c r="AAQ25" s="56">
        <v>20</v>
      </c>
      <c r="AAR25" s="53" t="str">
        <f t="shared" si="100"/>
        <v>Cumbria Archive Centre: Kendal</v>
      </c>
      <c r="AAS25" s="60">
        <f t="shared" si="490"/>
        <v>0</v>
      </c>
      <c r="AAT25" s="60">
        <f t="shared" si="491"/>
        <v>0</v>
      </c>
      <c r="AAU25" s="60">
        <f t="shared" si="492"/>
        <v>0</v>
      </c>
      <c r="AAV25" s="60">
        <f t="shared" si="493"/>
        <v>0</v>
      </c>
      <c r="AAW25" s="60">
        <f t="shared" si="494"/>
        <v>0</v>
      </c>
      <c r="AAX25" s="76">
        <f t="shared" si="495"/>
        <v>0</v>
      </c>
      <c r="AAY25" s="46">
        <f t="shared" si="496"/>
        <v>112</v>
      </c>
      <c r="AAZ25" s="46">
        <f t="shared" si="101"/>
        <v>2.9990000000000001</v>
      </c>
      <c r="ABA25" s="46">
        <f t="shared" si="497"/>
        <v>1</v>
      </c>
      <c r="ABB25" s="46">
        <f t="shared" si="498"/>
        <v>2</v>
      </c>
      <c r="ABC25" s="46">
        <f t="shared" si="102"/>
        <v>0</v>
      </c>
      <c r="ABD25" s="46" cm="1">
        <f t="array" ref="ABD25">ROUND(VALUE(IFERROR(INDEX(ArchiveResults!$F$5:$IX$116,ComparisonData!A25,ComparisonData!$ABD$1),0)),5)</f>
        <v>0</v>
      </c>
      <c r="ABE25" s="46" cm="1">
        <f t="array" ref="ABE25">ROUND(VALUE(IFERROR(INDEX(ArchiveResults!$F$5:$IX$116,ComparisonData!A25,ComparisonData!$ABE$1),0)),5)</f>
        <v>0</v>
      </c>
      <c r="ABF25" s="46" cm="1">
        <f t="array" ref="ABF25">ROUND(VALUE(IFERROR(INDEX(ArchiveResults!$F$5:$IX$116,ComparisonData!A25,ComparisonData!$ABF$1),0)),5)</f>
        <v>0</v>
      </c>
      <c r="ABG25" s="46" cm="1">
        <f t="array" ref="ABG25">ROUND(VALUE(IFERROR(INDEX(ArchiveResults!$F$5:$IX$116,ComparisonData!A25,ComparisonData!$ABG$1),0)),5)</f>
        <v>0</v>
      </c>
      <c r="ABH25" s="46" cm="1">
        <f t="array" ref="ABH25">ROUND(VALUE(IFERROR(INDEX(ArchiveResults!$F$5:$IX$116,ComparisonData!A25,ComparisonData!$ABH$1),0)),5)</f>
        <v>0</v>
      </c>
      <c r="ABI25" s="56">
        <v>20</v>
      </c>
      <c r="ABJ25" s="53" t="str">
        <f t="shared" si="103"/>
        <v>Cumbria Archive Centre: Kendal</v>
      </c>
      <c r="ABK25" s="60">
        <f t="shared" si="499"/>
        <v>0</v>
      </c>
      <c r="ABL25" s="60">
        <f t="shared" si="500"/>
        <v>0</v>
      </c>
      <c r="ABM25" s="60">
        <f t="shared" si="501"/>
        <v>0</v>
      </c>
      <c r="ABN25" s="60">
        <f t="shared" si="502"/>
        <v>0</v>
      </c>
      <c r="ABO25" s="60">
        <f t="shared" si="503"/>
        <v>0</v>
      </c>
      <c r="ABP25" s="76">
        <f t="shared" si="504"/>
        <v>0</v>
      </c>
      <c r="ABQ25" s="46">
        <f t="shared" si="505"/>
        <v>112</v>
      </c>
      <c r="ABR25" s="46">
        <f t="shared" si="104"/>
        <v>2.9990000000000001</v>
      </c>
      <c r="ABS25" s="46">
        <f t="shared" si="506"/>
        <v>1</v>
      </c>
      <c r="ABT25" s="46">
        <f t="shared" si="507"/>
        <v>2</v>
      </c>
      <c r="ABU25" s="46" cm="1">
        <f t="array" ref="ABU25">ROUND(VALUE(IFERROR(INDEX(ArchiveResults!$F$5:$IX$116,ComparisonData!A25,ComparisonData!$ABU$1),0)),5)</f>
        <v>0</v>
      </c>
      <c r="ABV25" s="46" cm="1">
        <f t="array" ref="ABV25">ROUND(VALUE(IFERROR(INDEX(ArchiveResults!$F$5:$IX$116,ComparisonData!A25,ComparisonData!$ABV$1),0)),5)</f>
        <v>0</v>
      </c>
      <c r="ABW25" s="46" cm="1">
        <f t="array" ref="ABW25">ROUND(VALUE(IFERROR(INDEX(ArchiveResults!$F$5:$IX$116,ComparisonData!A25,ComparisonData!$ABW$1),0)),5)</f>
        <v>0</v>
      </c>
      <c r="ABX25" s="46" cm="1">
        <f t="array" ref="ABX25">ROUND(VALUE(IFERROR(INDEX(ArchiveResults!$F$5:$IX$116,ComparisonData!A25,ComparisonData!$ABX$1),0)),5)</f>
        <v>0</v>
      </c>
      <c r="ABY25" s="46" cm="1">
        <f t="array" ref="ABY25">ROUND(VALUE(IFERROR(INDEX(ArchiveResults!$F$5:$IX$116,ComparisonData!A25,ComparisonData!$ABY$1),0)),5)</f>
        <v>0</v>
      </c>
      <c r="ABZ25" s="56">
        <v>20</v>
      </c>
      <c r="ACA25" s="53" t="str">
        <f t="shared" si="105"/>
        <v>Cumbria Archive Centre: Kendal</v>
      </c>
      <c r="ACB25" s="60">
        <f t="shared" si="508"/>
        <v>0</v>
      </c>
      <c r="ACC25" s="60">
        <f t="shared" si="509"/>
        <v>0</v>
      </c>
      <c r="ACD25" s="60">
        <f t="shared" si="510"/>
        <v>0</v>
      </c>
      <c r="ACE25" s="60">
        <f t="shared" si="511"/>
        <v>0</v>
      </c>
      <c r="ACF25" s="60">
        <f t="shared" si="512"/>
        <v>0</v>
      </c>
      <c r="ACG25" s="76">
        <f t="shared" si="513"/>
        <v>0</v>
      </c>
      <c r="ACH25" s="46">
        <f t="shared" si="514"/>
        <v>112</v>
      </c>
      <c r="ACI25" s="46">
        <f t="shared" si="106"/>
        <v>2.9990000000000001</v>
      </c>
      <c r="ACJ25" s="46">
        <f t="shared" si="515"/>
        <v>1</v>
      </c>
      <c r="ACK25" s="46">
        <f t="shared" si="516"/>
        <v>2</v>
      </c>
      <c r="ACL25" s="46">
        <f t="shared" si="517"/>
        <v>0</v>
      </c>
      <c r="ACM25" s="46" cm="1">
        <f t="array" ref="ACM25">ROUND(IFERROR(INDEX(ArchiveResults!$F$5:$IX$116,ComparisonData!A25,ComparisonData!$ACM$1),0),5)</f>
        <v>0</v>
      </c>
      <c r="ACN25" s="46" cm="1">
        <f t="array" ref="ACN25">ROUND(IFERROR(INDEX(ArchiveResults!$F$5:$IX$116,ComparisonData!A25,ComparisonData!$ACN$1),0),5)</f>
        <v>0</v>
      </c>
      <c r="ACO25" s="56">
        <v>20</v>
      </c>
      <c r="ACP25" s="53" t="str">
        <f t="shared" si="107"/>
        <v>Cumbria Archive Centre: Kendal</v>
      </c>
      <c r="ACQ25" s="60">
        <f t="shared" si="518"/>
        <v>0</v>
      </c>
      <c r="ACR25" s="60">
        <f t="shared" si="519"/>
        <v>0</v>
      </c>
      <c r="ACS25" s="76">
        <f t="shared" si="520"/>
        <v>0</v>
      </c>
      <c r="ACT25" s="46">
        <f t="shared" si="521"/>
        <v>112</v>
      </c>
      <c r="ACU25" s="46">
        <f t="shared" si="108"/>
        <v>2.9990000000000001</v>
      </c>
      <c r="ACV25" s="46">
        <f t="shared" si="522"/>
        <v>1</v>
      </c>
      <c r="ACW25" s="46">
        <f t="shared" si="523"/>
        <v>2</v>
      </c>
      <c r="ACX25" s="46">
        <f t="shared" si="524"/>
        <v>0</v>
      </c>
      <c r="ACY25" s="46" cm="1">
        <f t="array" ref="ACY25">ROUNDDOWN(IFERROR(INDEX(ArchiveResults!$F$5:$IX$116,ComparisonData!A25,ComparisonData!$ACY$1),0),5)</f>
        <v>0</v>
      </c>
      <c r="ACZ25" s="46" cm="1">
        <f t="array" ref="ACZ25">ROUNDDOWN(IFERROR(INDEX(ArchiveResults!$F$5:$IX$116,ComparisonData!A25,ComparisonData!$ACZ$1),0),5)</f>
        <v>0</v>
      </c>
      <c r="ADA25" s="46" cm="1">
        <f t="array" ref="ADA25">ROUNDDOWN(IFERROR(INDEX(ArchiveResults!$F$5:$IX$116,ComparisonData!A25,ComparisonData!$ADA$1),0),5)</f>
        <v>0</v>
      </c>
      <c r="ADB25" s="56">
        <v>20</v>
      </c>
      <c r="ADC25" s="53" t="str">
        <f t="shared" si="109"/>
        <v>Cumbria Archive Centre: Kendal</v>
      </c>
      <c r="ADD25" s="60">
        <f t="shared" si="525"/>
        <v>0</v>
      </c>
      <c r="ADE25" s="60">
        <f t="shared" si="526"/>
        <v>0</v>
      </c>
      <c r="ADF25" s="60">
        <f t="shared" si="527"/>
        <v>0</v>
      </c>
      <c r="ADG25" s="76">
        <f t="shared" si="528"/>
        <v>0</v>
      </c>
    </row>
    <row r="26" spans="1:787" x14ac:dyDescent="0.25">
      <c r="A26" s="46" t="str">
        <f>IF(ISBLANK(ComparisonSelection!F22),"",ROW()-5)</f>
        <v/>
      </c>
      <c r="B26" s="53" t="s">
        <v>475</v>
      </c>
      <c r="C26" s="72">
        <v>0.60899999999999965</v>
      </c>
      <c r="D26" s="55">
        <f t="shared" si="110"/>
        <v>35</v>
      </c>
      <c r="E26" s="54">
        <f t="shared" si="111"/>
        <v>2.6089999999999995</v>
      </c>
      <c r="F26" s="54">
        <f t="shared" si="529"/>
        <v>1</v>
      </c>
      <c r="G26" s="72">
        <f t="shared" si="112"/>
        <v>2</v>
      </c>
      <c r="H26" s="72">
        <f t="shared" si="113"/>
        <v>0</v>
      </c>
      <c r="I26" s="46" cm="1">
        <f t="array" ref="I26">ROUND(IFERROR(INDEX(ArchiveResults!$F$5:$IX$116,ComparisonData!A26,ComparisonData!$I$1),0),5)</f>
        <v>0</v>
      </c>
      <c r="J26" s="46" cm="1">
        <f t="array" ref="J26">ROUND(IFERROR(INDEX(ArchiveResults!$F$5:$IX$116,ComparisonData!A26,ComparisonData!$J$1),0),5)</f>
        <v>0</v>
      </c>
      <c r="K26" s="56">
        <v>21</v>
      </c>
      <c r="L26" s="53" t="str">
        <f t="shared" si="114"/>
        <v>Cumbria Archive Centre: Whitehaven</v>
      </c>
      <c r="M26" s="57">
        <f t="shared" si="0"/>
        <v>0</v>
      </c>
      <c r="N26" s="57">
        <f t="shared" si="1"/>
        <v>0</v>
      </c>
      <c r="O26" s="58">
        <f t="shared" si="115"/>
        <v>0</v>
      </c>
      <c r="P26" s="48">
        <f t="shared" si="116"/>
        <v>35</v>
      </c>
      <c r="Q26" s="54">
        <f t="shared" si="2"/>
        <v>2.6089999999999995</v>
      </c>
      <c r="R26" s="45">
        <f t="shared" si="117"/>
        <v>1</v>
      </c>
      <c r="S26" s="46">
        <f t="shared" si="118"/>
        <v>2</v>
      </c>
      <c r="T26" s="72">
        <f t="shared" si="119"/>
        <v>0</v>
      </c>
      <c r="U26" s="46" cm="1">
        <f t="array" ref="U26">ROUND(IFERROR(INDEX(ArchiveResults!$F$5:$IX$116,ComparisonData!A26,ComparisonData!$U$1),0),5)</f>
        <v>0</v>
      </c>
      <c r="V26" s="46" cm="1">
        <f t="array" ref="V26">ROUND(IFERROR(INDEX(ArchiveResults!$F$5:$IX$116,ComparisonData!A26,ComparisonData!$V$1),0),5)</f>
        <v>0</v>
      </c>
      <c r="W26" s="56">
        <v>21</v>
      </c>
      <c r="X26" s="53" t="str">
        <f t="shared" si="3"/>
        <v>Cumbria Archive Centre: Whitehaven</v>
      </c>
      <c r="Y26" s="57">
        <f t="shared" si="120"/>
        <v>0</v>
      </c>
      <c r="Z26" s="57">
        <f t="shared" si="121"/>
        <v>0</v>
      </c>
      <c r="AA26" s="58">
        <f t="shared" si="122"/>
        <v>0</v>
      </c>
      <c r="AB26" s="45">
        <f t="shared" si="123"/>
        <v>35</v>
      </c>
      <c r="AC26" s="54">
        <f t="shared" si="4"/>
        <v>2.6089999999999995</v>
      </c>
      <c r="AD26" s="45">
        <f t="shared" si="124"/>
        <v>1</v>
      </c>
      <c r="AE26" s="45">
        <f t="shared" si="125"/>
        <v>2</v>
      </c>
      <c r="AF26" s="45">
        <f t="shared" si="126"/>
        <v>0</v>
      </c>
      <c r="AG26" s="46" cm="1">
        <f t="array" ref="AG26">ROUND(IFERROR(INDEX(ArchiveResults!$F$5:$IX$116,ComparisonData!A26,ComparisonData!$AG$1),0),5)</f>
        <v>0</v>
      </c>
      <c r="AH26" s="46" cm="1">
        <f t="array" ref="AH26">ROUND(IFERROR(INDEX(ArchiveResults!$F$5:$IX$116,ComparisonData!A26,ComparisonData!$AH$1),0),5)</f>
        <v>0</v>
      </c>
      <c r="AI26" s="56">
        <v>21</v>
      </c>
      <c r="AJ26" s="53" t="str">
        <f t="shared" si="5"/>
        <v>Cumbria Archive Centre: Whitehaven</v>
      </c>
      <c r="AK26" s="59">
        <f t="shared" si="6"/>
        <v>0</v>
      </c>
      <c r="AL26" s="59">
        <f t="shared" si="7"/>
        <v>0</v>
      </c>
      <c r="AM26" s="58">
        <f t="shared" si="127"/>
        <v>0</v>
      </c>
      <c r="AN26" s="45">
        <f t="shared" si="128"/>
        <v>35</v>
      </c>
      <c r="AO26" s="54">
        <f t="shared" si="8"/>
        <v>2.6089999999999995</v>
      </c>
      <c r="AP26" s="45">
        <f t="shared" si="129"/>
        <v>1</v>
      </c>
      <c r="AQ26" s="45">
        <f t="shared" si="130"/>
        <v>2</v>
      </c>
      <c r="AR26" s="46" cm="1">
        <f t="array" ref="AR26">ROUND(IFERROR(INDEX(ArchiveResults!$F$5:$IX$116,ComparisonData!A26,ComparisonData!$AR$1),0),5)</f>
        <v>0</v>
      </c>
      <c r="AS26" s="46" cm="1">
        <f t="array" ref="AS26">ROUND(IFERROR(INDEX(ArchiveResults!$F$5:$IX$116,ComparisonData!A26,ComparisonData!$AS$1),0),5)</f>
        <v>0</v>
      </c>
      <c r="AT26" s="46" cm="1">
        <f t="array" ref="AT26">ROUND(IFERROR(INDEX(ArchiveResults!$F$5:$IX$116,ComparisonData!A26,ComparisonData!$AT$1),0),5)</f>
        <v>0</v>
      </c>
      <c r="AU26" s="46" cm="1">
        <f t="array" ref="AU26">ROUND(IFERROR(INDEX(ArchiveResults!$F$5:$IX$116,ComparisonData!A26,ComparisonData!$AU$1),0),5)</f>
        <v>0</v>
      </c>
      <c r="AV26" s="46" cm="1">
        <f t="array" ref="AV26">ROUND(IFERROR(INDEX(ArchiveResults!$F$5:$IX$116,ComparisonData!A26,ComparisonData!$AV$1),0),5)</f>
        <v>0</v>
      </c>
      <c r="AW26" s="46" cm="1">
        <f t="array" ref="AW26">ROUND(IFERROR(INDEX(ArchiveResults!$F$5:$IX$116,ComparisonData!A26,ComparisonData!$AW$1),0),5)</f>
        <v>0</v>
      </c>
      <c r="AX26" s="46" cm="1">
        <f t="array" ref="AX26">ROUND(IFERROR(INDEX(ArchiveResults!$F$5:$IX$116,ComparisonData!A26,ComparisonData!$AX$1),0),5)</f>
        <v>0</v>
      </c>
      <c r="AY26" s="46" cm="1">
        <f t="array" ref="AY26">ROUND(IFERROR(INDEX(ArchiveResults!$F$5:$IX$116,ComparisonData!A26,ComparisonData!$AY$1),0),5)</f>
        <v>0</v>
      </c>
      <c r="AZ26" s="46" cm="1">
        <f t="array" ref="AZ26">ROUND(IFERROR(INDEX(ArchiveResults!$F$5:$IX$116,ComparisonData!A26,ComparisonData!$AZ$1),0),5)</f>
        <v>0</v>
      </c>
      <c r="BA26" s="46" cm="1">
        <f t="array" ref="BA26">ROUND(IFERROR(INDEX(ArchiveResults!$F$5:$IX$116,ComparisonData!A26,ComparisonData!$BA$1),0),5)</f>
        <v>0</v>
      </c>
      <c r="BB26" s="56">
        <v>21</v>
      </c>
      <c r="BC26" s="53" t="str">
        <f t="shared" si="9"/>
        <v>Cumbria Archive Centre: Whitehaven</v>
      </c>
      <c r="BD26" s="60">
        <f t="shared" si="131"/>
        <v>0</v>
      </c>
      <c r="BE26" s="60">
        <f t="shared" si="132"/>
        <v>0</v>
      </c>
      <c r="BF26" s="60">
        <f t="shared" si="133"/>
        <v>0</v>
      </c>
      <c r="BG26" s="60">
        <f t="shared" si="134"/>
        <v>0</v>
      </c>
      <c r="BH26" s="60">
        <f t="shared" si="135"/>
        <v>0</v>
      </c>
      <c r="BI26" s="60">
        <f t="shared" si="136"/>
        <v>0</v>
      </c>
      <c r="BJ26" s="60">
        <f t="shared" si="137"/>
        <v>0</v>
      </c>
      <c r="BK26" s="60">
        <f t="shared" si="138"/>
        <v>0</v>
      </c>
      <c r="BL26" s="60">
        <f t="shared" si="139"/>
        <v>0</v>
      </c>
      <c r="BM26" s="59">
        <f t="shared" si="140"/>
        <v>0</v>
      </c>
      <c r="BN26" s="58">
        <f t="shared" si="141"/>
        <v>0</v>
      </c>
      <c r="BO26" s="45">
        <f t="shared" si="142"/>
        <v>35</v>
      </c>
      <c r="BP26" s="54">
        <f t="shared" si="10"/>
        <v>2.6089999999999995</v>
      </c>
      <c r="BQ26" s="45">
        <f t="shared" si="143"/>
        <v>1</v>
      </c>
      <c r="BR26" s="45">
        <f t="shared" si="144"/>
        <v>2</v>
      </c>
      <c r="BS26" s="46" cm="1">
        <f t="array" ref="BS26">ROUND(IFERROR(INDEX(ArchiveResults!$F$5:$IX$116,ComparisonData!A26,ComparisonData!$BS$1),0),5)</f>
        <v>0</v>
      </c>
      <c r="BT26" s="46" cm="1">
        <f t="array" ref="BT26">ROUND(IFERROR(INDEX(ArchiveResults!$F$5:$IX$116,ComparisonData!A26,ComparisonData!$BT$1),0),5)</f>
        <v>0</v>
      </c>
      <c r="BU26" s="46" cm="1">
        <f t="array" ref="BU26">ROUND(IFERROR(INDEX(ArchiveResults!$F$5:$IX$116,ComparisonData!A26,ComparisonData!$BU$1),0),5)</f>
        <v>0</v>
      </c>
      <c r="BV26" s="46" cm="1">
        <f t="array" ref="BV26">ROUND(IFERROR(INDEX(ArchiveResults!$F$5:$IX$116,ComparisonData!A26,ComparisonData!$BV$1),0),5)</f>
        <v>0</v>
      </c>
      <c r="BW26" s="46" cm="1">
        <f t="array" ref="BW26">ROUND(IFERROR(INDEX(ArchiveResults!$F$5:$IX$116,ComparisonData!A26,ComparisonData!$BW$1),0),5)</f>
        <v>0</v>
      </c>
      <c r="BX26" s="46" cm="1">
        <f t="array" ref="BX26">ROUND(IFERROR(INDEX(ArchiveResults!$F$5:$IX$116,ComparisonData!A26,ComparisonData!$BX$1),0),5)</f>
        <v>0</v>
      </c>
      <c r="BY26" s="56">
        <v>21</v>
      </c>
      <c r="BZ26" s="53" t="str">
        <f t="shared" si="11"/>
        <v>Cumbria Archive Centre: Whitehaven</v>
      </c>
      <c r="CA26" s="59">
        <f t="shared" si="145"/>
        <v>0</v>
      </c>
      <c r="CB26" s="59">
        <f t="shared" si="146"/>
        <v>0</v>
      </c>
      <c r="CC26" s="59">
        <f t="shared" si="147"/>
        <v>0</v>
      </c>
      <c r="CD26" s="59">
        <f t="shared" si="148"/>
        <v>0</v>
      </c>
      <c r="CE26" s="59">
        <f t="shared" si="149"/>
        <v>0</v>
      </c>
      <c r="CF26" s="59">
        <f t="shared" si="150"/>
        <v>0</v>
      </c>
      <c r="CG26" s="58">
        <f t="shared" si="151"/>
        <v>0</v>
      </c>
      <c r="CH26" s="45">
        <f t="shared" si="152"/>
        <v>35</v>
      </c>
      <c r="CI26" s="54">
        <f t="shared" si="12"/>
        <v>2.6089999999999995</v>
      </c>
      <c r="CJ26" s="45">
        <f t="shared" si="153"/>
        <v>1</v>
      </c>
      <c r="CK26" s="45">
        <f t="shared" si="154"/>
        <v>2</v>
      </c>
      <c r="CL26" s="46" cm="1">
        <f t="array" ref="CL26">ROUND(IFERROR(INDEX(ArchiveResults!$F$5:$IX$116,ComparisonData!A26,ComparisonData!$CL$1),0),5)</f>
        <v>0</v>
      </c>
      <c r="CM26" s="56">
        <v>21</v>
      </c>
      <c r="CN26" s="53" t="str">
        <f t="shared" si="13"/>
        <v>Cumbria Archive Centre: Whitehaven</v>
      </c>
      <c r="CO26" s="45">
        <f t="shared" si="155"/>
        <v>0</v>
      </c>
      <c r="CP26" s="58">
        <f t="shared" si="156"/>
        <v>0</v>
      </c>
      <c r="CQ26" s="45">
        <f t="shared" si="157"/>
        <v>35</v>
      </c>
      <c r="CR26" s="54">
        <f t="shared" si="14"/>
        <v>2.6089999999999995</v>
      </c>
      <c r="CS26" s="45">
        <f t="shared" si="158"/>
        <v>1</v>
      </c>
      <c r="CT26" s="45">
        <f t="shared" si="159"/>
        <v>2</v>
      </c>
      <c r="CU26" s="46" cm="1">
        <f t="array" ref="CU26">ROUND(IFERROR(INDEX(ArchiveResults!$F$5:$IX$116,ComparisonData!A26,ComparisonData!$CU$1),0),5)</f>
        <v>0</v>
      </c>
      <c r="CV26" s="56">
        <v>21</v>
      </c>
      <c r="CW26" s="53" t="str">
        <f t="shared" si="15"/>
        <v>Cumbria Archive Centre: Whitehaven</v>
      </c>
      <c r="CX26" s="45">
        <f t="shared" si="160"/>
        <v>0</v>
      </c>
      <c r="CY26" s="58">
        <f t="shared" si="161"/>
        <v>0</v>
      </c>
      <c r="CZ26" s="45">
        <f t="shared" si="162"/>
        <v>35</v>
      </c>
      <c r="DA26" s="54">
        <f t="shared" si="16"/>
        <v>2.6089999999999995</v>
      </c>
      <c r="DB26" s="45">
        <f t="shared" si="163"/>
        <v>1</v>
      </c>
      <c r="DC26" s="45">
        <f t="shared" si="164"/>
        <v>2</v>
      </c>
      <c r="DD26" s="46" cm="1">
        <f t="array" ref="DD26">ROUND(IFERROR(INDEX(ArchiveResults!$F$5:$IX$116,ComparisonData!A26,ComparisonData!$DD$1),0),5)</f>
        <v>0</v>
      </c>
      <c r="DE26" s="56">
        <v>21</v>
      </c>
      <c r="DF26" s="53" t="str">
        <f t="shared" si="17"/>
        <v>Cumbria Archive Centre: Whitehaven</v>
      </c>
      <c r="DG26" s="45">
        <f t="shared" si="165"/>
        <v>0</v>
      </c>
      <c r="DH26" s="58">
        <f t="shared" si="166"/>
        <v>0</v>
      </c>
      <c r="DI26" s="45">
        <f t="shared" si="167"/>
        <v>35</v>
      </c>
      <c r="DJ26" s="54">
        <f t="shared" si="18"/>
        <v>2.6089999999999995</v>
      </c>
      <c r="DK26" s="45">
        <f t="shared" si="168"/>
        <v>1</v>
      </c>
      <c r="DL26" s="45">
        <f t="shared" si="169"/>
        <v>2</v>
      </c>
      <c r="DM26" s="46" cm="1">
        <f t="array" ref="DM26">ROUND(IFERROR(INDEX(ArchiveResults!$F$5:$IX$116,ComparisonData!A26,ComparisonData!$DM$1),0),5)</f>
        <v>0</v>
      </c>
      <c r="DN26" s="46" cm="1">
        <f t="array" ref="DN26">ROUND(IFERROR(INDEX(ArchiveResults!$F$5:$IX$116,ComparisonData!A26,ComparisonData!$DN$1),0),5)</f>
        <v>0</v>
      </c>
      <c r="DO26" s="46" cm="1">
        <f t="array" ref="DO26">ROUND(IFERROR(INDEX(ArchiveResults!$F$5:$IX$116,ComparisonData!A26,ComparisonData!$DO$1),0),5)</f>
        <v>0</v>
      </c>
      <c r="DP26" s="46" cm="1">
        <f t="array" ref="DP26">ROUND(IFERROR(INDEX(ArchiveResults!$F$5:$IX$116,ComparisonData!A26,ComparisonData!$DP$1),0),5)</f>
        <v>0</v>
      </c>
      <c r="DQ26" s="45" cm="1">
        <f t="array" ref="DQ26">IFERROR(INDEX(ArchiveResults!$F$5:$IX$116,ComparisonData!A26,ComparisonData!$DQ$1),0)</f>
        <v>0</v>
      </c>
      <c r="DR26" s="56">
        <v>21</v>
      </c>
      <c r="DS26" s="53" t="str">
        <f t="shared" si="19"/>
        <v>Cumbria Archive Centre: Whitehaven</v>
      </c>
      <c r="DT26" s="59">
        <f t="shared" si="170"/>
        <v>0</v>
      </c>
      <c r="DU26" s="59">
        <f t="shared" si="171"/>
        <v>0</v>
      </c>
      <c r="DV26" s="59">
        <f t="shared" si="172"/>
        <v>0</v>
      </c>
      <c r="DW26" s="59">
        <f t="shared" si="173"/>
        <v>0</v>
      </c>
      <c r="DX26" s="59">
        <f t="shared" si="174"/>
        <v>0</v>
      </c>
      <c r="DY26" s="58">
        <f t="shared" si="175"/>
        <v>0</v>
      </c>
      <c r="DZ26" s="45">
        <f t="shared" si="176"/>
        <v>35</v>
      </c>
      <c r="EA26" s="54">
        <f t="shared" si="20"/>
        <v>2.6089999999999995</v>
      </c>
      <c r="EB26" s="45">
        <f t="shared" si="177"/>
        <v>1</v>
      </c>
      <c r="EC26" s="45">
        <f t="shared" si="178"/>
        <v>2</v>
      </c>
      <c r="ED26" s="46" cm="1">
        <f t="array" ref="ED26">ROUND(IFERROR(INDEX(ArchiveResults!$F$5:$IX$116,ComparisonData!A26,ComparisonData!$ED$1),0),5)</f>
        <v>0</v>
      </c>
      <c r="EE26" s="46" cm="1">
        <f t="array" ref="EE26">ROUND(IFERROR(INDEX(ArchiveResults!$F$5:$IX$116,ComparisonData!A26,ComparisonData!$EE$1),0),5)</f>
        <v>0</v>
      </c>
      <c r="EF26" s="46" cm="1">
        <f t="array" ref="EF26">ROUND(IFERROR(INDEX(ArchiveResults!$F$5:$IX$116,ComparisonData!A26,ComparisonData!$EF$1),0),5)</f>
        <v>0</v>
      </c>
      <c r="EG26" s="46" cm="1">
        <f t="array" ref="EG26">ROUND(IFERROR(INDEX(ArchiveResults!$F$5:$IX$116,ComparisonData!A26,ComparisonData!$EG$1),0),5)</f>
        <v>0</v>
      </c>
      <c r="EH26" s="45" cm="1">
        <f t="array" ref="EH26">IFERROR(INDEX(ArchiveResults!$F$5:$IX$116,ComparisonData!A26,ComparisonData!$EH$1),0)</f>
        <v>0</v>
      </c>
      <c r="EI26" s="56">
        <v>21</v>
      </c>
      <c r="EJ26" s="53" t="str">
        <f t="shared" si="21"/>
        <v>Cumbria Archive Centre: Whitehaven</v>
      </c>
      <c r="EK26" s="59">
        <f t="shared" si="179"/>
        <v>0</v>
      </c>
      <c r="EL26" s="59">
        <f t="shared" si="180"/>
        <v>0</v>
      </c>
      <c r="EM26" s="59">
        <f t="shared" si="181"/>
        <v>0</v>
      </c>
      <c r="EN26" s="59">
        <f t="shared" si="182"/>
        <v>0</v>
      </c>
      <c r="EO26" s="59">
        <f t="shared" si="183"/>
        <v>0</v>
      </c>
      <c r="EP26" s="58">
        <f t="shared" si="184"/>
        <v>0</v>
      </c>
      <c r="EQ26" s="45">
        <f t="shared" si="185"/>
        <v>35</v>
      </c>
      <c r="ER26" s="54">
        <f t="shared" si="22"/>
        <v>2.6089999999999995</v>
      </c>
      <c r="ES26" s="45">
        <f t="shared" si="186"/>
        <v>1</v>
      </c>
      <c r="ET26" s="45">
        <f t="shared" si="187"/>
        <v>2</v>
      </c>
      <c r="EU26" s="46" cm="1">
        <f t="array" ref="EU26">ROUND(IFERROR(INDEX(ArchiveResults!$F$5:$IX$116,ComparisonData!A26,ComparisonData!$EU$1),0),5)</f>
        <v>0</v>
      </c>
      <c r="EV26" s="46" cm="1">
        <f t="array" ref="EV26">ROUND(IFERROR(INDEX(ArchiveResults!$F$5:$IX$116,ComparisonData!A26,ComparisonData!$EV$1),0),5)</f>
        <v>0</v>
      </c>
      <c r="EW26" s="46" cm="1">
        <f t="array" ref="EW26">ROUND(IFERROR(INDEX(ArchiveResults!$F$5:$IX$116,ComparisonData!A26,ComparisonData!$EW$1),0),5)</f>
        <v>0</v>
      </c>
      <c r="EX26" s="46" cm="1">
        <f t="array" ref="EX26">ROUND(IFERROR(INDEX(ArchiveResults!$F$5:$IX$116,ComparisonData!A26,ComparisonData!$EX$1),0),5)</f>
        <v>0</v>
      </c>
      <c r="EY26" s="45" cm="1">
        <f t="array" ref="EY26">IFERROR(INDEX(ArchiveResults!$F$5:$IX$116,ComparisonData!A26,ComparisonData!$EY$1),0)</f>
        <v>0</v>
      </c>
      <c r="EZ26" s="56">
        <v>21</v>
      </c>
      <c r="FA26" s="53" t="str">
        <f t="shared" si="23"/>
        <v>Cumbria Archive Centre: Whitehaven</v>
      </c>
      <c r="FB26" s="59">
        <f t="shared" si="188"/>
        <v>0</v>
      </c>
      <c r="FC26" s="59">
        <f t="shared" si="189"/>
        <v>0</v>
      </c>
      <c r="FD26" s="59">
        <f t="shared" si="190"/>
        <v>0</v>
      </c>
      <c r="FE26" s="59">
        <f t="shared" si="191"/>
        <v>0</v>
      </c>
      <c r="FF26" s="59">
        <f t="shared" si="192"/>
        <v>0</v>
      </c>
      <c r="FG26" s="58">
        <f t="shared" si="193"/>
        <v>0</v>
      </c>
      <c r="FH26" s="45">
        <f t="shared" si="194"/>
        <v>35</v>
      </c>
      <c r="FI26" s="54">
        <f t="shared" si="24"/>
        <v>2.6089999999999995</v>
      </c>
      <c r="FJ26" s="45">
        <f t="shared" si="195"/>
        <v>1</v>
      </c>
      <c r="FK26" s="45">
        <f t="shared" si="196"/>
        <v>2</v>
      </c>
      <c r="FL26" s="46" cm="1">
        <f t="array" ref="FL26">ROUND(IFERROR(INDEX(ArchiveResults!$F$5:$IX$116,ComparisonData!A26,ComparisonData!$FL$1),0),5)</f>
        <v>0</v>
      </c>
      <c r="FM26" s="46" cm="1">
        <f t="array" ref="FM26">ROUND(IFERROR(INDEX(ArchiveResults!$F$5:$IX$116,ComparisonData!A26,ComparisonData!$FM$1),0),5)</f>
        <v>0</v>
      </c>
      <c r="FN26" s="46" cm="1">
        <f t="array" ref="FN26">ROUND(IFERROR(INDEX(ArchiveResults!$F$5:$IX$116,ComparisonData!A26,ComparisonData!$FN$1),0),5)</f>
        <v>0</v>
      </c>
      <c r="FO26" s="46" cm="1">
        <f t="array" ref="FO26">ROUND(IFERROR(INDEX(ArchiveResults!$F$5:$IX$116,ComparisonData!A26,ComparisonData!$FO$1),0),5)</f>
        <v>0</v>
      </c>
      <c r="FP26" s="45" cm="1">
        <f t="array" ref="FP26">IFERROR(INDEX(ArchiveResults!$F$5:$IX$116,ComparisonData!A26,ComparisonData!$FP$1),0)</f>
        <v>0</v>
      </c>
      <c r="FQ26" s="56">
        <v>21</v>
      </c>
      <c r="FR26" s="53" t="str">
        <f t="shared" si="25"/>
        <v>Cumbria Archive Centre: Whitehaven</v>
      </c>
      <c r="FS26" s="59">
        <f t="shared" si="197"/>
        <v>0</v>
      </c>
      <c r="FT26" s="59">
        <f t="shared" si="198"/>
        <v>0</v>
      </c>
      <c r="FU26" s="59">
        <f t="shared" si="199"/>
        <v>0</v>
      </c>
      <c r="FV26" s="59">
        <f t="shared" si="200"/>
        <v>0</v>
      </c>
      <c r="FW26" s="59">
        <f t="shared" si="201"/>
        <v>0</v>
      </c>
      <c r="FX26" s="58">
        <f t="shared" si="202"/>
        <v>0</v>
      </c>
      <c r="FY26" s="45">
        <f t="shared" si="203"/>
        <v>35</v>
      </c>
      <c r="FZ26" s="45">
        <f t="shared" si="26"/>
        <v>2.6089999999999995</v>
      </c>
      <c r="GA26" s="45">
        <f t="shared" si="204"/>
        <v>1</v>
      </c>
      <c r="GB26" s="45">
        <f t="shared" si="205"/>
        <v>2</v>
      </c>
      <c r="GC26" s="46" cm="1">
        <f t="array" ref="GC26">ROUND(IFERROR(INDEX(ArchiveResults!$F$5:$IX$116,ComparisonData!A26,ComparisonData!$GC$1),0),5)</f>
        <v>0</v>
      </c>
      <c r="GD26" s="46" cm="1">
        <f t="array" ref="GD26">ROUND(IFERROR(INDEX(ArchiveResults!$F$5:$IX$116,ComparisonData!A26,ComparisonData!$GD$1),0),5)</f>
        <v>0</v>
      </c>
      <c r="GE26" s="46" cm="1">
        <f t="array" ref="GE26">ROUND(IFERROR(INDEX(ArchiveResults!$F$5:$IX$116,ComparisonData!A26,ComparisonData!$GE$1),0),5)</f>
        <v>0</v>
      </c>
      <c r="GF26" s="46" cm="1">
        <f t="array" ref="GF26">ROUND(IFERROR(INDEX(ArchiveResults!$F$5:$IX$116,ComparisonData!A26,ComparisonData!$GF$1),0),5)</f>
        <v>0</v>
      </c>
      <c r="GG26" s="45" cm="1">
        <f t="array" ref="GG26">IFERROR(INDEX(ArchiveResults!$F$5:$IX$116,ComparisonData!A26,ComparisonData!$GG$1),0)</f>
        <v>0</v>
      </c>
      <c r="GH26" s="56">
        <v>21</v>
      </c>
      <c r="GI26" s="53" t="str">
        <f t="shared" si="27"/>
        <v>Cumbria Archive Centre: Whitehaven</v>
      </c>
      <c r="GJ26" s="59">
        <f t="shared" si="206"/>
        <v>0</v>
      </c>
      <c r="GK26" s="59">
        <f t="shared" si="207"/>
        <v>0</v>
      </c>
      <c r="GL26" s="59">
        <f t="shared" si="208"/>
        <v>0</v>
      </c>
      <c r="GM26" s="59">
        <f t="shared" si="209"/>
        <v>0</v>
      </c>
      <c r="GN26" s="59">
        <f t="shared" si="210"/>
        <v>0</v>
      </c>
      <c r="GO26" s="58">
        <f t="shared" si="211"/>
        <v>0</v>
      </c>
      <c r="GP26" s="45">
        <f t="shared" si="212"/>
        <v>35</v>
      </c>
      <c r="GQ26" s="45">
        <f t="shared" si="28"/>
        <v>2.6089999999999995</v>
      </c>
      <c r="GR26" s="45">
        <f t="shared" si="213"/>
        <v>1</v>
      </c>
      <c r="GS26" s="45">
        <f t="shared" si="214"/>
        <v>2</v>
      </c>
      <c r="GT26" s="46" cm="1">
        <f t="array" ref="GT26">ROUND(IFERROR(INDEX(ArchiveResults!$F$5:$IX$116,ComparisonData!A26,ComparisonData!$GT$1),0),5)</f>
        <v>0</v>
      </c>
      <c r="GU26" s="46" cm="1">
        <f t="array" ref="GU26">ROUND(IFERROR(INDEX(ArchiveResults!$F$5:$IX$116,ComparisonData!A26,ComparisonData!$GU$1),0),5)</f>
        <v>0</v>
      </c>
      <c r="GV26" s="46" cm="1">
        <f t="array" ref="GV26">ROUND(IFERROR(INDEX(ArchiveResults!$F$5:$IX$116,ComparisonData!A26,ComparisonData!$GV$1),0),5)</f>
        <v>0</v>
      </c>
      <c r="GW26" s="46" cm="1">
        <f t="array" ref="GW26">ROUND(IFERROR(INDEX(ArchiveResults!$F$5:$IX$116,ComparisonData!A26,ComparisonData!$GW$1),0),5)</f>
        <v>0</v>
      </c>
      <c r="GX26" s="45" cm="1">
        <f t="array" ref="GX26">IFERROR(INDEX(ArchiveResults!$F$5:$IX$116,ComparisonData!A26,ComparisonData!$GX$1),0)</f>
        <v>0</v>
      </c>
      <c r="GY26" s="56">
        <v>21</v>
      </c>
      <c r="GZ26" s="53" t="str">
        <f t="shared" si="29"/>
        <v>Cumbria Archive Centre: Whitehaven</v>
      </c>
      <c r="HA26" s="59">
        <f t="shared" si="215"/>
        <v>0</v>
      </c>
      <c r="HB26" s="59">
        <f t="shared" si="216"/>
        <v>0</v>
      </c>
      <c r="HC26" s="59">
        <f t="shared" si="217"/>
        <v>0</v>
      </c>
      <c r="HD26" s="59">
        <f t="shared" si="218"/>
        <v>0</v>
      </c>
      <c r="HE26" s="59">
        <f t="shared" si="219"/>
        <v>0</v>
      </c>
      <c r="HF26" s="58">
        <f t="shared" si="220"/>
        <v>0</v>
      </c>
      <c r="HG26" s="45">
        <f t="shared" si="221"/>
        <v>35</v>
      </c>
      <c r="HH26" s="45">
        <f t="shared" si="30"/>
        <v>2.6089999999999995</v>
      </c>
      <c r="HI26" s="45">
        <f t="shared" si="222"/>
        <v>1</v>
      </c>
      <c r="HJ26" s="45">
        <f t="shared" si="223"/>
        <v>2</v>
      </c>
      <c r="HK26" s="46" cm="1">
        <f t="array" ref="HK26">ROUND(IFERROR(INDEX(ArchiveResults!$F$5:$IX$116,ComparisonData!A26,ComparisonData!$HK$1),0),5)</f>
        <v>0</v>
      </c>
      <c r="HL26" s="46" cm="1">
        <f t="array" ref="HL26">ROUND(IFERROR(INDEX(ArchiveResults!$F$5:$IX$116,ComparisonData!A26,ComparisonData!$HL$1),0),5)</f>
        <v>0</v>
      </c>
      <c r="HM26" s="46" cm="1">
        <f t="array" ref="HM26">ROUND(IFERROR(INDEX(ArchiveResults!$F$5:$IX$116,ComparisonData!A26,ComparisonData!$HM$1),0),5)</f>
        <v>0</v>
      </c>
      <c r="HN26" s="46" cm="1">
        <f t="array" ref="HN26">ROUND(IFERROR(INDEX(ArchiveResults!$F$5:$IX$116,ComparisonData!A26,ComparisonData!$HN$1),0),5)</f>
        <v>0</v>
      </c>
      <c r="HO26" s="45" cm="1">
        <f t="array" ref="HO26">IFERROR(INDEX(ArchiveResults!$F$5:$IX$116,ComparisonData!A26,ComparisonData!$HO$1),0)</f>
        <v>0</v>
      </c>
      <c r="HP26" s="56">
        <v>21</v>
      </c>
      <c r="HQ26" s="53" t="str">
        <f t="shared" si="31"/>
        <v>Cumbria Archive Centre: Whitehaven</v>
      </c>
      <c r="HR26" s="59">
        <f t="shared" si="32"/>
        <v>0</v>
      </c>
      <c r="HS26" s="59">
        <f t="shared" si="33"/>
        <v>0</v>
      </c>
      <c r="HT26" s="59">
        <f t="shared" si="34"/>
        <v>0</v>
      </c>
      <c r="HU26" s="59">
        <f t="shared" si="35"/>
        <v>0</v>
      </c>
      <c r="HV26" s="59">
        <f t="shared" si="36"/>
        <v>0</v>
      </c>
      <c r="HW26" s="58">
        <f t="shared" si="224"/>
        <v>0</v>
      </c>
      <c r="HX26" s="45">
        <f t="shared" si="225"/>
        <v>35</v>
      </c>
      <c r="HY26" s="45">
        <f t="shared" si="37"/>
        <v>2.6089999999999995</v>
      </c>
      <c r="HZ26" s="45">
        <f t="shared" si="226"/>
        <v>1</v>
      </c>
      <c r="IA26" s="45">
        <f t="shared" si="227"/>
        <v>2</v>
      </c>
      <c r="IB26" s="45">
        <f t="shared" si="228"/>
        <v>0</v>
      </c>
      <c r="IC26" s="46" cm="1">
        <f t="array" ref="IC26">ROUND(IFERROR(INDEX(ArchiveResults!$F$5:$IX$116,ComparisonData!A26,ComparisonData!$IC$1),0),5)</f>
        <v>0</v>
      </c>
      <c r="ID26" s="46" cm="1">
        <f t="array" ref="ID26">ROUND(IFERROR(INDEX(ArchiveResults!$F$5:$IX$116,ComparisonData!A26,ComparisonData!$ID$1),0),5)</f>
        <v>0</v>
      </c>
      <c r="IE26" s="46" cm="1">
        <f t="array" ref="IE26">ROUND(IFERROR(INDEX(ArchiveResults!$F$5:$IX$116,ComparisonData!A26,ComparisonData!$IE$1),0),5)</f>
        <v>0</v>
      </c>
      <c r="IF26" s="46" cm="1">
        <f t="array" ref="IF26">ROUND(IFERROR(INDEX(ArchiveResults!$F$5:$IX$116,ComparisonData!A26,ComparisonData!$IF$1),0),5)</f>
        <v>0</v>
      </c>
      <c r="IG26" s="45" cm="1">
        <f t="array" ref="IG26">IFERROR(INDEX(ArchiveResults!$F$5:$IX$116,ComparisonData!A26,ComparisonData!$IG$1),0)</f>
        <v>0</v>
      </c>
      <c r="IH26" s="56">
        <v>21</v>
      </c>
      <c r="II26" s="53" t="str">
        <f t="shared" si="38"/>
        <v>Cumbria Archive Centre: Whitehaven</v>
      </c>
      <c r="IJ26" s="59">
        <f t="shared" si="229"/>
        <v>0</v>
      </c>
      <c r="IK26" s="59">
        <f t="shared" si="230"/>
        <v>0</v>
      </c>
      <c r="IL26" s="59">
        <f t="shared" si="231"/>
        <v>0</v>
      </c>
      <c r="IM26" s="59">
        <f t="shared" si="232"/>
        <v>0</v>
      </c>
      <c r="IN26" s="59">
        <f t="shared" si="233"/>
        <v>0</v>
      </c>
      <c r="IO26" s="58">
        <f t="shared" si="234"/>
        <v>0</v>
      </c>
      <c r="IP26" s="45">
        <f t="shared" si="235"/>
        <v>35</v>
      </c>
      <c r="IQ26" s="45">
        <f t="shared" si="39"/>
        <v>2.6089999999999995</v>
      </c>
      <c r="IR26" s="45">
        <f t="shared" si="236"/>
        <v>1</v>
      </c>
      <c r="IS26" s="45">
        <f t="shared" si="237"/>
        <v>2</v>
      </c>
      <c r="IT26" s="46">
        <f t="shared" si="238"/>
        <v>0</v>
      </c>
      <c r="IU26" s="46" cm="1">
        <f t="array" ref="IU26">ROUND(IFERROR(INDEX(ArchiveResults!$F$5:$IX$116,ComparisonData!A26,ComparisonData!$IU$1),0),5)</f>
        <v>0</v>
      </c>
      <c r="IV26" s="46" cm="1">
        <f t="array" ref="IV26">ROUND(IFERROR(INDEX(ArchiveResults!$F$5:$IX$116,ComparisonData!A26,ComparisonData!$IV$1),0),5)</f>
        <v>0</v>
      </c>
      <c r="IW26" s="46" cm="1">
        <f t="array" ref="IW26">ROUND(IFERROR(INDEX(ArchiveResults!$F$5:$IX$116,ComparisonData!A26,ComparisonData!$IW$1),0),5)</f>
        <v>0</v>
      </c>
      <c r="IX26" s="46" cm="1">
        <f t="array" ref="IX26">ROUND(IFERROR(INDEX(ArchiveResults!$F$5:$IX$116,ComparisonData!A26,ComparisonData!$IX$1),0),5)</f>
        <v>0</v>
      </c>
      <c r="IY26" s="45" cm="1">
        <f t="array" ref="IY26">IFERROR(INDEX(ArchiveResults!$F$5:$IX$116,ComparisonData!A26,ComparisonData!$IY$1),0)</f>
        <v>0</v>
      </c>
      <c r="IZ26" s="56">
        <v>21</v>
      </c>
      <c r="JA26" s="53" t="str">
        <f t="shared" si="40"/>
        <v>Cumbria Archive Centre: Whitehaven</v>
      </c>
      <c r="JB26" s="59">
        <f t="shared" si="239"/>
        <v>0</v>
      </c>
      <c r="JC26" s="59">
        <f t="shared" si="240"/>
        <v>0</v>
      </c>
      <c r="JD26" s="59">
        <f t="shared" si="241"/>
        <v>0</v>
      </c>
      <c r="JE26" s="59">
        <f t="shared" si="242"/>
        <v>0</v>
      </c>
      <c r="JF26" s="59">
        <f t="shared" si="243"/>
        <v>0</v>
      </c>
      <c r="JG26" s="58">
        <f t="shared" si="244"/>
        <v>0</v>
      </c>
      <c r="JH26" s="45">
        <f t="shared" si="245"/>
        <v>35</v>
      </c>
      <c r="JI26" s="45">
        <f t="shared" si="41"/>
        <v>2.6089999999999995</v>
      </c>
      <c r="JJ26" s="45">
        <f t="shared" si="246"/>
        <v>1</v>
      </c>
      <c r="JK26" s="45">
        <f t="shared" si="247"/>
        <v>2</v>
      </c>
      <c r="JL26" s="45">
        <f t="shared" si="248"/>
        <v>0</v>
      </c>
      <c r="JM26" s="46" cm="1">
        <f t="array" ref="JM26">ROUND(IFERROR(INDEX(ArchiveResults!$F$5:$IX$116,ComparisonData!A26,ComparisonData!$JM$1),0),5)</f>
        <v>0</v>
      </c>
      <c r="JN26" s="46" cm="1">
        <f t="array" ref="JN26">ROUND(IFERROR(INDEX(ArchiveResults!$F$5:$IX$116,ComparisonData!A26,ComparisonData!$JN$1),0),5)</f>
        <v>0</v>
      </c>
      <c r="JO26" s="46" cm="1">
        <f t="array" ref="JO26">ROUND(IFERROR(INDEX(ArchiveResults!$F$5:$IX$116,ComparisonData!A26,ComparisonData!$JO$1),0),5)</f>
        <v>0</v>
      </c>
      <c r="JP26" s="46" cm="1">
        <f t="array" ref="JP26">ROUND(IFERROR(INDEX(ArchiveResults!$F$5:$IX$116,ComparisonData!A26,ComparisonData!$JP$1),0),5)</f>
        <v>0</v>
      </c>
      <c r="JQ26" s="45" cm="1">
        <f t="array" ref="JQ26">IFERROR(INDEX(ArchiveResults!$F$5:$IX$116,ComparisonData!A26,ComparisonData!$JQ$1),0)</f>
        <v>0</v>
      </c>
      <c r="JR26" s="56">
        <v>21</v>
      </c>
      <c r="JS26" s="53" t="str">
        <f t="shared" si="42"/>
        <v>Cumbria Archive Centre: Whitehaven</v>
      </c>
      <c r="JT26" s="59">
        <f t="shared" si="249"/>
        <v>0</v>
      </c>
      <c r="JU26" s="59">
        <f t="shared" si="250"/>
        <v>0</v>
      </c>
      <c r="JV26" s="59">
        <f t="shared" si="251"/>
        <v>0</v>
      </c>
      <c r="JW26" s="59">
        <f t="shared" si="252"/>
        <v>0</v>
      </c>
      <c r="JX26" s="59">
        <f t="shared" si="253"/>
        <v>0</v>
      </c>
      <c r="JY26" s="58">
        <f t="shared" si="254"/>
        <v>0</v>
      </c>
      <c r="JZ26" s="45">
        <f t="shared" si="255"/>
        <v>35</v>
      </c>
      <c r="KA26" s="45">
        <f t="shared" si="43"/>
        <v>2.6089999999999995</v>
      </c>
      <c r="KB26" s="45">
        <f t="shared" si="256"/>
        <v>1</v>
      </c>
      <c r="KC26" s="45">
        <f t="shared" si="257"/>
        <v>2</v>
      </c>
      <c r="KD26" s="45">
        <f t="shared" si="258"/>
        <v>0</v>
      </c>
      <c r="KE26" s="46" cm="1">
        <f t="array" ref="KE26">ROUND(IFERROR(INDEX(ArchiveResults!$F$5:$IX$116,ComparisonData!A26,ComparisonData!$KE$1),0),5)</f>
        <v>0</v>
      </c>
      <c r="KF26" s="46" cm="1">
        <f t="array" ref="KF26">ROUND(IFERROR(INDEX(ArchiveResults!$F$5:$IX$116,ComparisonData!A26,ComparisonData!$KF$1),0),5)</f>
        <v>0</v>
      </c>
      <c r="KG26" s="46" cm="1">
        <f t="array" ref="KG26">ROUND(IFERROR(INDEX(ArchiveResults!$F$5:$IX$116,ComparisonData!A26,ComparisonData!$KG$1),0),5)</f>
        <v>0</v>
      </c>
      <c r="KH26" s="46" cm="1">
        <f t="array" ref="KH26">ROUND(IFERROR(INDEX(ArchiveResults!$F$5:$IX$116,ComparisonData!A26,ComparisonData!$KH$1),0),5)</f>
        <v>0</v>
      </c>
      <c r="KI26" s="45" cm="1">
        <f t="array" ref="KI26">IFERROR(INDEX(ArchiveResults!$F$5:$IX$116,ComparisonData!A26,ComparisonData!$KI$1),0)</f>
        <v>0</v>
      </c>
      <c r="KJ26" s="56">
        <v>21</v>
      </c>
      <c r="KK26" s="53" t="str">
        <f t="shared" si="44"/>
        <v>Cumbria Archive Centre: Whitehaven</v>
      </c>
      <c r="KL26" s="59">
        <f t="shared" si="259"/>
        <v>0</v>
      </c>
      <c r="KM26" s="59">
        <f t="shared" si="260"/>
        <v>0</v>
      </c>
      <c r="KN26" s="59">
        <f t="shared" si="261"/>
        <v>0</v>
      </c>
      <c r="KO26" s="59">
        <f t="shared" si="262"/>
        <v>0</v>
      </c>
      <c r="KP26" s="59">
        <f t="shared" si="263"/>
        <v>0</v>
      </c>
      <c r="KQ26" s="58">
        <f t="shared" si="264"/>
        <v>0</v>
      </c>
      <c r="KR26" s="45">
        <f t="shared" si="265"/>
        <v>35</v>
      </c>
      <c r="KS26" s="45">
        <f t="shared" si="45"/>
        <v>2.6089999999999995</v>
      </c>
      <c r="KT26" s="45">
        <f t="shared" si="266"/>
        <v>1</v>
      </c>
      <c r="KU26" s="45">
        <f t="shared" si="267"/>
        <v>2</v>
      </c>
      <c r="KV26" s="45">
        <f t="shared" si="268"/>
        <v>0</v>
      </c>
      <c r="KW26" s="46" cm="1">
        <f t="array" ref="KW26">ROUND(IFERROR(INDEX(ArchiveResults!$F$5:$IX$116,ComparisonData!A26,ComparisonData!$KW$1),0),5)</f>
        <v>0</v>
      </c>
      <c r="KX26" s="46" cm="1">
        <f t="array" ref="KX26">ROUND(IFERROR(INDEX(ArchiveResults!$F$5:$IX$116,ComparisonData!A26,ComparisonData!$KX$1),0),5)</f>
        <v>0</v>
      </c>
      <c r="KY26" s="46" cm="1">
        <f t="array" ref="KY26">ROUND(IFERROR(INDEX(ArchiveResults!$F$5:$IX$116,ComparisonData!A26,ComparisonData!$KY$1),0),5)</f>
        <v>0</v>
      </c>
      <c r="KZ26" s="46" cm="1">
        <f t="array" ref="KZ26">ROUND(IFERROR(INDEX(ArchiveResults!$F$5:$IX$116,ComparisonData!A26,ComparisonData!$KZ$1),0),5)</f>
        <v>0</v>
      </c>
      <c r="LA26" s="45" cm="1">
        <f t="array" ref="LA26">IFERROR(INDEX(ArchiveResults!$F$5:$IX$116,ComparisonData!A26,ComparisonData!$LA$1),0)</f>
        <v>0</v>
      </c>
      <c r="LB26" s="56">
        <v>21</v>
      </c>
      <c r="LC26" s="53" t="str">
        <f t="shared" si="46"/>
        <v>Cumbria Archive Centre: Whitehaven</v>
      </c>
      <c r="LD26" s="59">
        <f t="shared" si="269"/>
        <v>0</v>
      </c>
      <c r="LE26" s="59">
        <f t="shared" si="270"/>
        <v>0</v>
      </c>
      <c r="LF26" s="59">
        <f t="shared" si="271"/>
        <v>0</v>
      </c>
      <c r="LG26" s="59">
        <f t="shared" si="272"/>
        <v>0</v>
      </c>
      <c r="LH26" s="59">
        <f t="shared" si="273"/>
        <v>0</v>
      </c>
      <c r="LI26" s="58">
        <f t="shared" si="274"/>
        <v>0</v>
      </c>
      <c r="LJ26" s="45">
        <f t="shared" si="275"/>
        <v>35</v>
      </c>
      <c r="LK26" s="45">
        <f t="shared" si="47"/>
        <v>2.6089999999999995</v>
      </c>
      <c r="LL26" s="45">
        <f t="shared" si="276"/>
        <v>1</v>
      </c>
      <c r="LM26" s="45">
        <f t="shared" si="277"/>
        <v>2</v>
      </c>
      <c r="LN26" s="45">
        <f t="shared" si="278"/>
        <v>0</v>
      </c>
      <c r="LO26" s="46" cm="1">
        <f t="array" ref="LO26">ROUND(IFERROR(INDEX(ArchiveResults!$F$5:$IX$116,ComparisonData!A26,ComparisonData!$LO$1),0),5)</f>
        <v>0</v>
      </c>
      <c r="LP26" s="46" cm="1">
        <f t="array" ref="LP26">ROUND(IFERROR(INDEX(ArchiveResults!$F$5:$IX$116,ComparisonData!A26,ComparisonData!$LP$1),0),5)</f>
        <v>0</v>
      </c>
      <c r="LQ26" s="46" cm="1">
        <f t="array" ref="LQ26">ROUND(IFERROR(INDEX(ArchiveResults!$F$5:$IX$116,ComparisonData!A26,ComparisonData!$LQ$1),0),5)</f>
        <v>0</v>
      </c>
      <c r="LR26" s="46" cm="1">
        <f t="array" ref="LR26">ROUND(IFERROR(INDEX(ArchiveResults!$F$5:$IX$116,ComparisonData!A26,ComparisonData!$LR$1),0),5)</f>
        <v>0</v>
      </c>
      <c r="LS26" s="45" cm="1">
        <f t="array" ref="LS26">IFERROR(INDEX(ArchiveResults!$F$5:$IX$116,ComparisonData!A26,ComparisonData!$LS$1),0)</f>
        <v>0</v>
      </c>
      <c r="LT26" s="56">
        <v>21</v>
      </c>
      <c r="LU26" s="53" t="str">
        <f t="shared" si="48"/>
        <v>Cumbria Archive Centre: Whitehaven</v>
      </c>
      <c r="LV26" s="59">
        <f t="shared" si="279"/>
        <v>0</v>
      </c>
      <c r="LW26" s="59">
        <f t="shared" si="280"/>
        <v>0</v>
      </c>
      <c r="LX26" s="59">
        <f t="shared" si="281"/>
        <v>0</v>
      </c>
      <c r="LY26" s="59">
        <f t="shared" si="282"/>
        <v>0</v>
      </c>
      <c r="LZ26" s="59">
        <f t="shared" si="283"/>
        <v>0</v>
      </c>
      <c r="MA26" s="58">
        <f t="shared" si="284"/>
        <v>0</v>
      </c>
      <c r="MB26" s="45">
        <f t="shared" si="285"/>
        <v>35</v>
      </c>
      <c r="MC26" s="45">
        <f t="shared" si="49"/>
        <v>2.6089999999999995</v>
      </c>
      <c r="MD26" s="45">
        <f t="shared" si="286"/>
        <v>1</v>
      </c>
      <c r="ME26" s="45">
        <f t="shared" si="287"/>
        <v>2</v>
      </c>
      <c r="MF26" s="45">
        <f t="shared" si="288"/>
        <v>0</v>
      </c>
      <c r="MG26" s="46" cm="1">
        <f t="array" ref="MG26">ROUND(IFERROR(INDEX(ArchiveResults!$F$5:$IX$116,ComparisonData!A26,ComparisonData!$MG$1),0),5)</f>
        <v>0</v>
      </c>
      <c r="MH26" s="46" cm="1">
        <f t="array" ref="MH26">ROUND(IFERROR(INDEX(ArchiveResults!$F$5:$IX$116,ComparisonData!A26,ComparisonData!$MH$1),0),5)</f>
        <v>0</v>
      </c>
      <c r="MI26" s="46" cm="1">
        <f t="array" ref="MI26">ROUND(IFERROR(INDEX(ArchiveResults!$F$5:$IX$116,ComparisonData!A26,ComparisonData!$MI$1),0),5)</f>
        <v>0</v>
      </c>
      <c r="MJ26" s="46" cm="1">
        <f t="array" ref="MJ26">ROUND(IFERROR(INDEX(ArchiveResults!$F$5:$IX$116,ComparisonData!A26,ComparisonData!$MJ$1),0),5)</f>
        <v>0</v>
      </c>
      <c r="MK26" s="45" cm="1">
        <f t="array" ref="MK26">IFERROR(INDEX(ArchiveResults!$F$5:$IX$116,ComparisonData!A26,ComparisonData!$MK$1),0)</f>
        <v>0</v>
      </c>
      <c r="ML26" s="56">
        <v>21</v>
      </c>
      <c r="MM26" s="53" t="str">
        <f t="shared" si="50"/>
        <v>Cumbria Archive Centre: Whitehaven</v>
      </c>
      <c r="MN26" s="59">
        <f t="shared" si="289"/>
        <v>0</v>
      </c>
      <c r="MO26" s="59">
        <f t="shared" si="290"/>
        <v>0</v>
      </c>
      <c r="MP26" s="59">
        <f t="shared" si="291"/>
        <v>0</v>
      </c>
      <c r="MQ26" s="59">
        <f t="shared" si="292"/>
        <v>0</v>
      </c>
      <c r="MR26" s="59">
        <f t="shared" si="293"/>
        <v>0</v>
      </c>
      <c r="MS26" s="58">
        <f t="shared" si="294"/>
        <v>0</v>
      </c>
      <c r="MT26" s="45">
        <f t="shared" si="295"/>
        <v>35</v>
      </c>
      <c r="MU26" s="45">
        <f t="shared" si="51"/>
        <v>2.6089999999999995</v>
      </c>
      <c r="MV26" s="45">
        <f t="shared" si="296"/>
        <v>1</v>
      </c>
      <c r="MW26" s="45">
        <f t="shared" si="297"/>
        <v>2</v>
      </c>
      <c r="MX26" s="45">
        <f t="shared" si="298"/>
        <v>0</v>
      </c>
      <c r="MY26" s="46" cm="1">
        <f t="array" ref="MY26">ROUND(IFERROR(INDEX(ArchiveResults!$F$5:$IX$116,ComparisonData!A26,ComparisonData!$MY$1),0),5)</f>
        <v>0</v>
      </c>
      <c r="MZ26" s="46" cm="1">
        <f t="array" ref="MZ26">ROUND(IFERROR(INDEX(ArchiveResults!$F$5:$IX$116,ComparisonData!A26,ComparisonData!$MZ$1),0),5)</f>
        <v>0</v>
      </c>
      <c r="NA26" s="46" cm="1">
        <f t="array" ref="NA26">ROUND(IFERROR(INDEX(ArchiveResults!$F$5:$IX$116,ComparisonData!A26,ComparisonData!$NA$1),0),5)</f>
        <v>0</v>
      </c>
      <c r="NB26" s="46" cm="1">
        <f t="array" ref="NB26">ROUND(IFERROR(INDEX(ArchiveResults!$F$5:$IX$116,ComparisonData!A26,ComparisonData!$NB$1),0),5)</f>
        <v>0</v>
      </c>
      <c r="NC26" s="45" cm="1">
        <f t="array" ref="NC26">IFERROR(INDEX(ArchiveResults!$F$5:$IX$116,ComparisonData!A26,ComparisonData!$NC$1),0)</f>
        <v>0</v>
      </c>
      <c r="ND26" s="56">
        <v>21</v>
      </c>
      <c r="NE26" s="53" t="str">
        <f t="shared" si="52"/>
        <v>Cumbria Archive Centre: Whitehaven</v>
      </c>
      <c r="NF26" s="59">
        <f t="shared" si="299"/>
        <v>0</v>
      </c>
      <c r="NG26" s="59">
        <f t="shared" si="300"/>
        <v>0</v>
      </c>
      <c r="NH26" s="59">
        <f t="shared" si="301"/>
        <v>0</v>
      </c>
      <c r="NI26" s="59">
        <f t="shared" si="302"/>
        <v>0</v>
      </c>
      <c r="NJ26" s="59">
        <f t="shared" si="303"/>
        <v>0</v>
      </c>
      <c r="NK26" s="58">
        <f t="shared" si="304"/>
        <v>0</v>
      </c>
      <c r="NL26" s="45">
        <f t="shared" si="305"/>
        <v>35</v>
      </c>
      <c r="NM26" s="45">
        <f t="shared" si="53"/>
        <v>2.6089999999999995</v>
      </c>
      <c r="NN26" s="45">
        <f t="shared" si="306"/>
        <v>1</v>
      </c>
      <c r="NO26" s="45">
        <f t="shared" si="307"/>
        <v>2</v>
      </c>
      <c r="NP26" s="46" cm="1">
        <f t="array" ref="NP26">ROUND(IFERROR(INDEX(ArchiveResults!$F$5:$IX$116,ComparisonData!A26,ComparisonData!$NP$1),0),5)</f>
        <v>0</v>
      </c>
      <c r="NQ26" s="46" cm="1">
        <f t="array" ref="NQ26">ROUND(IFERROR(INDEX(ArchiveResults!$F$5:$IX$116,ComparisonData!A26,ComparisonData!$NQ$1),0),5)</f>
        <v>0</v>
      </c>
      <c r="NR26" s="46" cm="1">
        <f t="array" ref="NR26">ROUND(IFERROR(INDEX(ArchiveResults!$F$5:$IX$116,ComparisonData!A26,ComparisonData!$NR$1),0),5)</f>
        <v>0</v>
      </c>
      <c r="NS26" s="46" cm="1">
        <f t="array" ref="NS26">ROUND(IFERROR(INDEX(ArchiveResults!$F$5:$IX$116,ComparisonData!A26,ComparisonData!$NS$1),0),5)</f>
        <v>0</v>
      </c>
      <c r="NT26" s="45" cm="1">
        <f t="array" ref="NT26">IFERROR(INDEX(ArchiveResults!$F$5:$IX$116,ComparisonData!A26,ComparisonData!$NT$1),0)</f>
        <v>0</v>
      </c>
      <c r="NU26" s="56">
        <v>21</v>
      </c>
      <c r="NV26" s="53" t="str">
        <f t="shared" si="54"/>
        <v>Cumbria Archive Centre: Whitehaven</v>
      </c>
      <c r="NW26" s="59">
        <f t="shared" si="308"/>
        <v>0</v>
      </c>
      <c r="NX26" s="59">
        <f t="shared" si="309"/>
        <v>0</v>
      </c>
      <c r="NY26" s="59">
        <f t="shared" si="310"/>
        <v>0</v>
      </c>
      <c r="NZ26" s="59">
        <f t="shared" si="311"/>
        <v>0</v>
      </c>
      <c r="OA26" s="59">
        <f t="shared" si="312"/>
        <v>0</v>
      </c>
      <c r="OB26" s="58">
        <f t="shared" si="313"/>
        <v>0</v>
      </c>
      <c r="OC26" s="45">
        <f t="shared" si="314"/>
        <v>35</v>
      </c>
      <c r="OD26" s="45">
        <f t="shared" si="55"/>
        <v>2.6089999999999995</v>
      </c>
      <c r="OE26" s="45">
        <f t="shared" si="315"/>
        <v>1</v>
      </c>
      <c r="OF26" s="45">
        <f t="shared" si="316"/>
        <v>2</v>
      </c>
      <c r="OG26" s="46">
        <f t="shared" si="317"/>
        <v>0</v>
      </c>
      <c r="OH26" s="46" cm="1">
        <f t="array" ref="OH26">ROUND(IFERROR(INDEX(ArchiveResults!$F$5:$IX$116,ComparisonData!A26,ComparisonData!$OH$1),0),5)</f>
        <v>0</v>
      </c>
      <c r="OI26" s="46" cm="1">
        <f t="array" ref="OI26">ROUND(IFERROR(INDEX(ArchiveResults!$F$5:$IX$116,ComparisonData!A26,ComparisonData!$OI$1),0),5)</f>
        <v>0</v>
      </c>
      <c r="OJ26" s="46" cm="1">
        <f t="array" ref="OJ26">ROUND(IFERROR(INDEX(ArchiveResults!$F$5:$IX$116,ComparisonData!A26,ComparisonData!$OJ$1),0),5)</f>
        <v>0</v>
      </c>
      <c r="OK26" s="46" cm="1">
        <f t="array" ref="OK26">ROUND(IFERROR(INDEX(ArchiveResults!$F$5:$IX$116,ComparisonData!A26,ComparisonData!$OK$1),0),5)</f>
        <v>0</v>
      </c>
      <c r="OL26" s="45" cm="1">
        <f t="array" ref="OL26">IFERROR(INDEX(ArchiveResults!$F$5:$IX$116,ComparisonData!A26,ComparisonData!$OL$1),0)</f>
        <v>0</v>
      </c>
      <c r="OM26" s="56">
        <v>21</v>
      </c>
      <c r="ON26" s="53" t="str">
        <f t="shared" si="56"/>
        <v>Cumbria Archive Centre: Whitehaven</v>
      </c>
      <c r="OO26" s="59">
        <f t="shared" si="318"/>
        <v>0</v>
      </c>
      <c r="OP26" s="59">
        <f t="shared" si="319"/>
        <v>0</v>
      </c>
      <c r="OQ26" s="59">
        <f t="shared" si="320"/>
        <v>0</v>
      </c>
      <c r="OR26" s="59">
        <f t="shared" si="321"/>
        <v>0</v>
      </c>
      <c r="OS26" s="59">
        <f t="shared" si="322"/>
        <v>0</v>
      </c>
      <c r="OT26" s="58">
        <f t="shared" si="323"/>
        <v>0</v>
      </c>
      <c r="OU26" s="45">
        <f t="shared" si="324"/>
        <v>35</v>
      </c>
      <c r="OV26" s="45">
        <f t="shared" si="57"/>
        <v>2.6089999999999995</v>
      </c>
      <c r="OW26" s="45">
        <f t="shared" si="325"/>
        <v>1</v>
      </c>
      <c r="OX26" s="45">
        <f t="shared" si="326"/>
        <v>2</v>
      </c>
      <c r="OY26" s="45">
        <f t="shared" si="327"/>
        <v>0</v>
      </c>
      <c r="OZ26" s="46" cm="1">
        <f t="array" ref="OZ26">ROUND(IFERROR(INDEX(ArchiveResults!$F$5:$IX$116,ComparisonData!A26,ComparisonData!$OZ$1),0),5)</f>
        <v>0</v>
      </c>
      <c r="PA26" s="46" cm="1">
        <f t="array" ref="PA26">ROUND(IFERROR(INDEX(ArchiveResults!$F$5:$IX$116,ComparisonData!A26,ComparisonData!$PA$1),0),5)</f>
        <v>0</v>
      </c>
      <c r="PB26" s="46" cm="1">
        <f t="array" ref="PB26">ROUND(IFERROR(INDEX(ArchiveResults!$F$5:$IX$116,ComparisonData!A26,ComparisonData!$PB$1),0),5)</f>
        <v>0</v>
      </c>
      <c r="PC26" s="46" cm="1">
        <f t="array" ref="PC26">ROUND(IFERROR(INDEX(ArchiveResults!$F$5:$IX$116,ComparisonData!A26,ComparisonData!$PC$1),0),5)</f>
        <v>0</v>
      </c>
      <c r="PD26" s="45" cm="1">
        <f t="array" ref="PD26">IFERROR(INDEX(ArchiveResults!$F$5:$IX$116,ComparisonData!A26,ComparisonData!$PD$1),0)</f>
        <v>0</v>
      </c>
      <c r="PE26" s="56">
        <v>21</v>
      </c>
      <c r="PF26" s="53" t="str">
        <f t="shared" si="58"/>
        <v>Cumbria Archive Centre: Whitehaven</v>
      </c>
      <c r="PG26" s="59">
        <f t="shared" si="328"/>
        <v>0</v>
      </c>
      <c r="PH26" s="59">
        <f t="shared" si="329"/>
        <v>0</v>
      </c>
      <c r="PI26" s="59">
        <f t="shared" si="330"/>
        <v>0</v>
      </c>
      <c r="PJ26" s="59">
        <f t="shared" si="331"/>
        <v>0</v>
      </c>
      <c r="PK26" s="59">
        <f t="shared" si="332"/>
        <v>0</v>
      </c>
      <c r="PL26" s="58">
        <f t="shared" si="333"/>
        <v>0</v>
      </c>
      <c r="PM26" s="45">
        <f t="shared" si="334"/>
        <v>35</v>
      </c>
      <c r="PN26" s="45">
        <f t="shared" si="59"/>
        <v>2.6089999999999995</v>
      </c>
      <c r="PO26" s="45">
        <f t="shared" si="335"/>
        <v>1</v>
      </c>
      <c r="PP26" s="45">
        <f t="shared" si="336"/>
        <v>2</v>
      </c>
      <c r="PQ26" s="45">
        <f t="shared" si="337"/>
        <v>0</v>
      </c>
      <c r="PR26" s="46" cm="1">
        <f t="array" ref="PR26">ROUND(IFERROR(INDEX(ArchiveResults!$F$5:$IX$116,ComparisonData!A26,ComparisonData!$PR$1),0),5)</f>
        <v>0</v>
      </c>
      <c r="PS26" s="46" cm="1">
        <f t="array" ref="PS26">ROUND(IFERROR(INDEX(ArchiveResults!$F$5:$IX$116,ComparisonData!A26,ComparisonData!$PS$1),0),5)</f>
        <v>0</v>
      </c>
      <c r="PT26" s="46" cm="1">
        <f t="array" ref="PT26">ROUND(IFERROR(INDEX(ArchiveResults!$F$5:$IX$116,ComparisonData!A26,ComparisonData!$PT$1),0),5)</f>
        <v>0</v>
      </c>
      <c r="PU26" s="46" cm="1">
        <f t="array" ref="PU26">ROUND(IFERROR(INDEX(ArchiveResults!$F$5:$IX$116,ComparisonData!A26,ComparisonData!$PU$1),0),5)</f>
        <v>0</v>
      </c>
      <c r="PV26" s="45" cm="1">
        <f t="array" ref="PV26">IFERROR(INDEX(ArchiveResults!$F$5:$IX$116,ComparisonData!A26,ComparisonData!$PV$1),0)</f>
        <v>0</v>
      </c>
      <c r="PW26" s="56">
        <v>21</v>
      </c>
      <c r="PX26" s="53" t="str">
        <f t="shared" si="60"/>
        <v>Cumbria Archive Centre: Whitehaven</v>
      </c>
      <c r="PY26" s="59">
        <f t="shared" si="338"/>
        <v>0</v>
      </c>
      <c r="PZ26" s="59">
        <f t="shared" si="339"/>
        <v>0</v>
      </c>
      <c r="QA26" s="59">
        <f t="shared" si="340"/>
        <v>0</v>
      </c>
      <c r="QB26" s="59">
        <f t="shared" si="341"/>
        <v>0</v>
      </c>
      <c r="QC26" s="59">
        <f t="shared" si="342"/>
        <v>0</v>
      </c>
      <c r="QD26" s="58">
        <f t="shared" si="343"/>
        <v>0</v>
      </c>
      <c r="QE26" s="45">
        <f t="shared" si="344"/>
        <v>35</v>
      </c>
      <c r="QF26" s="45">
        <f t="shared" si="61"/>
        <v>2.6089999999999995</v>
      </c>
      <c r="QG26" s="45">
        <f t="shared" si="345"/>
        <v>1</v>
      </c>
      <c r="QH26" s="45">
        <f t="shared" si="346"/>
        <v>2</v>
      </c>
      <c r="QI26" s="45">
        <f t="shared" si="347"/>
        <v>0</v>
      </c>
      <c r="QJ26" s="46" cm="1">
        <f t="array" ref="QJ26">ROUND(IFERROR(INDEX(ArchiveResults!$F$5:$IX$116,ComparisonData!A26,ComparisonData!$QJ$1),0),5)</f>
        <v>0</v>
      </c>
      <c r="QK26" s="46" cm="1">
        <f t="array" ref="QK26">ROUND(IFERROR(INDEX(ArchiveResults!$F$5:$IX$116,ComparisonData!A26,ComparisonData!$QK$1),0),5)</f>
        <v>0</v>
      </c>
      <c r="QL26" s="46" cm="1">
        <f t="array" ref="QL26">ROUND(IFERROR(INDEX(ArchiveResults!$F$5:$IX$116,ComparisonData!A26,ComparisonData!$QL$1),0),5)</f>
        <v>0</v>
      </c>
      <c r="QM26" s="46" cm="1">
        <f t="array" ref="QM26">ROUND(IFERROR(INDEX(ArchiveResults!$F$5:$IX$116,ComparisonData!A26,ComparisonData!$QM$1),0),5)</f>
        <v>0</v>
      </c>
      <c r="QN26" s="45" cm="1">
        <f t="array" ref="QN26">IFERROR(INDEX(ArchiveResults!$F$5:$IX$116,ComparisonData!A26,ComparisonData!$QN$1),0)</f>
        <v>0</v>
      </c>
      <c r="QO26" s="56">
        <v>21</v>
      </c>
      <c r="QP26" s="53" t="str">
        <f t="shared" si="62"/>
        <v>Cumbria Archive Centre: Whitehaven</v>
      </c>
      <c r="QQ26" s="59">
        <f t="shared" si="348"/>
        <v>0</v>
      </c>
      <c r="QR26" s="59">
        <f t="shared" si="349"/>
        <v>0</v>
      </c>
      <c r="QS26" s="59">
        <f t="shared" si="350"/>
        <v>0</v>
      </c>
      <c r="QT26" s="59">
        <f t="shared" si="351"/>
        <v>0</v>
      </c>
      <c r="QU26" s="59">
        <f t="shared" si="352"/>
        <v>0</v>
      </c>
      <c r="QV26" s="58">
        <f t="shared" si="353"/>
        <v>0</v>
      </c>
      <c r="QW26" s="45">
        <f t="shared" si="354"/>
        <v>35</v>
      </c>
      <c r="QX26" s="45">
        <f t="shared" si="63"/>
        <v>2.6089999999999995</v>
      </c>
      <c r="QY26" s="45">
        <f t="shared" si="355"/>
        <v>1</v>
      </c>
      <c r="QZ26" s="45">
        <f t="shared" si="356"/>
        <v>2</v>
      </c>
      <c r="RA26" s="45">
        <f t="shared" si="357"/>
        <v>0</v>
      </c>
      <c r="RB26" s="46" cm="1">
        <f t="array" ref="RB26">ROUND(IFERROR(INDEX(ArchiveResults!$F$5:$IX$116,ComparisonData!A26,ComparisonData!$RB$1),0),5)</f>
        <v>0</v>
      </c>
      <c r="RC26" s="46" cm="1">
        <f t="array" ref="RC26">ROUND(IFERROR(INDEX(ArchiveResults!$F$5:$IX$116,ComparisonData!A26,ComparisonData!$RC$1),0),5)</f>
        <v>0</v>
      </c>
      <c r="RD26" s="46" cm="1">
        <f t="array" ref="RD26">ROUND(IFERROR(INDEX(ArchiveResults!$F$5:$IX$116,ComparisonData!A26,ComparisonData!$RD$1),0),5)</f>
        <v>0</v>
      </c>
      <c r="RE26" s="46" cm="1">
        <f t="array" ref="RE26">ROUND(IFERROR(INDEX(ArchiveResults!$F$5:$IX$116,ComparisonData!A26,ComparisonData!$RE$1),0),5)</f>
        <v>0</v>
      </c>
      <c r="RF26" s="45" cm="1">
        <f t="array" ref="RF26">IFERROR(INDEX(ArchiveResults!$F$5:$IX$116,ComparisonData!A26,ComparisonData!$RF$1),0)</f>
        <v>0</v>
      </c>
      <c r="RG26" s="56">
        <v>21</v>
      </c>
      <c r="RH26" s="53" t="str">
        <f t="shared" si="64"/>
        <v>Cumbria Archive Centre: Whitehaven</v>
      </c>
      <c r="RI26" s="59">
        <f t="shared" si="358"/>
        <v>0</v>
      </c>
      <c r="RJ26" s="59">
        <f t="shared" si="359"/>
        <v>0</v>
      </c>
      <c r="RK26" s="59">
        <f t="shared" si="360"/>
        <v>0</v>
      </c>
      <c r="RL26" s="59">
        <f t="shared" si="361"/>
        <v>0</v>
      </c>
      <c r="RM26" s="59">
        <f t="shared" si="362"/>
        <v>0</v>
      </c>
      <c r="RN26" s="58">
        <f t="shared" si="363"/>
        <v>0</v>
      </c>
      <c r="RO26" s="45">
        <f t="shared" si="364"/>
        <v>35</v>
      </c>
      <c r="RP26" s="45">
        <f t="shared" si="65"/>
        <v>2.6089999999999995</v>
      </c>
      <c r="RQ26" s="45">
        <f t="shared" si="365"/>
        <v>1</v>
      </c>
      <c r="RR26" s="45">
        <f t="shared" si="366"/>
        <v>2</v>
      </c>
      <c r="RS26" s="45">
        <f t="shared" si="367"/>
        <v>0</v>
      </c>
      <c r="RT26" s="46" cm="1">
        <f t="array" ref="RT26">ROUND(IFERROR(INDEX(ArchiveResults!$F$5:$IX$116,ComparisonData!A26,ComparisonData!$RT$1),0),5)</f>
        <v>0</v>
      </c>
      <c r="RU26" s="46" cm="1">
        <f t="array" ref="RU26">ROUND(IFERROR(INDEX(ArchiveResults!$F$5:$IX$116,ComparisonData!A26,ComparisonData!$RU$1),0),5)</f>
        <v>0</v>
      </c>
      <c r="RV26" s="46" cm="1">
        <f t="array" ref="RV26">ROUND(IFERROR(INDEX(ArchiveResults!$F$5:$IX$116,ComparisonData!A26,ComparisonData!$RV$1),0),5)</f>
        <v>0</v>
      </c>
      <c r="RW26" s="46" cm="1">
        <f t="array" ref="RW26">ROUND(IFERROR(INDEX(ArchiveResults!$F$5:$IX$116,ComparisonData!A26,ComparisonData!$RW$1),0),5)</f>
        <v>0</v>
      </c>
      <c r="RX26" s="45" cm="1">
        <f t="array" ref="RX26">IFERROR(INDEX(ArchiveResults!$F$5:$IX$116,ComparisonData!A26,ComparisonData!$RX$1),0)</f>
        <v>0</v>
      </c>
      <c r="RY26" s="56">
        <v>21</v>
      </c>
      <c r="RZ26" s="53" t="str">
        <f t="shared" si="66"/>
        <v>Cumbria Archive Centre: Whitehaven</v>
      </c>
      <c r="SA26" s="59">
        <f t="shared" si="368"/>
        <v>0</v>
      </c>
      <c r="SB26" s="59">
        <f t="shared" si="369"/>
        <v>0</v>
      </c>
      <c r="SC26" s="59">
        <f t="shared" si="370"/>
        <v>0</v>
      </c>
      <c r="SD26" s="59">
        <f t="shared" si="371"/>
        <v>0</v>
      </c>
      <c r="SE26" s="59">
        <f t="shared" si="372"/>
        <v>0</v>
      </c>
      <c r="SF26" s="58">
        <f t="shared" si="373"/>
        <v>0</v>
      </c>
      <c r="SG26" s="45">
        <f t="shared" si="374"/>
        <v>35</v>
      </c>
      <c r="SH26" s="45">
        <f t="shared" si="67"/>
        <v>2.6089999999999995</v>
      </c>
      <c r="SI26" s="45">
        <f t="shared" si="375"/>
        <v>1</v>
      </c>
      <c r="SJ26" s="45">
        <f t="shared" si="376"/>
        <v>2</v>
      </c>
      <c r="SK26" s="45">
        <f t="shared" si="377"/>
        <v>0</v>
      </c>
      <c r="SL26" s="46" cm="1">
        <f t="array" ref="SL26">ROUND(IFERROR(INDEX(ArchiveResults!$F$5:$IX$116,ComparisonData!A26,ComparisonData!$SL$1),0),5)</f>
        <v>0</v>
      </c>
      <c r="SM26" s="46" cm="1">
        <f t="array" ref="SM26">ROUND(IFERROR(INDEX(ArchiveResults!$F$5:$IX$116,ComparisonData!A26,ComparisonData!$SM$1),0),5)</f>
        <v>0</v>
      </c>
      <c r="SN26" s="46" cm="1">
        <f t="array" ref="SN26">ROUND(IFERROR(INDEX(ArchiveResults!$F$5:$IX$116,ComparisonData!A26,ComparisonData!$SN$1),0),5)</f>
        <v>0</v>
      </c>
      <c r="SO26" s="46" cm="1">
        <f t="array" ref="SO26">ROUND(IFERROR(INDEX(ArchiveResults!$F$5:$IX$116,ComparisonData!A26,ComparisonData!$SO$1),0),5)</f>
        <v>0</v>
      </c>
      <c r="SP26" s="45" cm="1">
        <f t="array" ref="SP26">IFERROR(INDEX(ArchiveResults!$F$5:$IX$116,ComparisonData!A26,ComparisonData!$SP$1),0)</f>
        <v>0</v>
      </c>
      <c r="SQ26" s="56">
        <v>21</v>
      </c>
      <c r="SR26" s="53" t="str">
        <f t="shared" si="68"/>
        <v>Cumbria Archive Centre: Whitehaven</v>
      </c>
      <c r="SS26" s="59">
        <f t="shared" si="378"/>
        <v>0</v>
      </c>
      <c r="ST26" s="59">
        <f t="shared" si="379"/>
        <v>0</v>
      </c>
      <c r="SU26" s="59">
        <f t="shared" si="380"/>
        <v>0</v>
      </c>
      <c r="SV26" s="59">
        <f t="shared" si="381"/>
        <v>0</v>
      </c>
      <c r="SW26" s="59">
        <f t="shared" si="382"/>
        <v>0</v>
      </c>
      <c r="SX26" s="58">
        <f t="shared" si="383"/>
        <v>0</v>
      </c>
      <c r="SY26" s="45">
        <f t="shared" si="384"/>
        <v>35</v>
      </c>
      <c r="SZ26" s="45">
        <f t="shared" si="69"/>
        <v>2.6089999999999995</v>
      </c>
      <c r="TA26" s="45">
        <f t="shared" si="385"/>
        <v>1</v>
      </c>
      <c r="TB26" s="45">
        <f t="shared" si="386"/>
        <v>2</v>
      </c>
      <c r="TC26" s="45">
        <f t="shared" si="387"/>
        <v>0</v>
      </c>
      <c r="TD26" s="46" cm="1">
        <f t="array" ref="TD26">ROUND(IFERROR(INDEX(ArchiveResults!$F$5:$IX$116,ComparisonData!A26,ComparisonData!$TD$1),0),5)</f>
        <v>0</v>
      </c>
      <c r="TE26" s="46" cm="1">
        <f t="array" ref="TE26">ROUND(IFERROR(INDEX(ArchiveResults!$F$5:$IX$116,ComparisonData!A26,ComparisonData!$TE$1),0),5)</f>
        <v>0</v>
      </c>
      <c r="TF26" s="46" cm="1">
        <f t="array" ref="TF26">ROUND(IFERROR(INDEX(ArchiveResults!$F$5:$IX$116,ComparisonData!A26,ComparisonData!$TF$1),0),5)</f>
        <v>0</v>
      </c>
      <c r="TG26" s="46" cm="1">
        <f t="array" ref="TG26">ROUND(IFERROR(INDEX(ArchiveResults!$F$5:$IX$116,ComparisonData!A26,ComparisonData!$TG$1),0),5)</f>
        <v>0</v>
      </c>
      <c r="TH26" s="45" cm="1">
        <f t="array" ref="TH26">IFERROR(INDEX(ArchiveResults!$F$5:$IX$116,ComparisonData!A26,ComparisonData!$TH$1),0)</f>
        <v>0</v>
      </c>
      <c r="TI26" s="56">
        <v>21</v>
      </c>
      <c r="TJ26" s="53" t="str">
        <f t="shared" si="70"/>
        <v>Cumbria Archive Centre: Whitehaven</v>
      </c>
      <c r="TK26" s="59">
        <f t="shared" si="388"/>
        <v>0</v>
      </c>
      <c r="TL26" s="59">
        <f t="shared" si="389"/>
        <v>0</v>
      </c>
      <c r="TM26" s="59">
        <f t="shared" si="390"/>
        <v>0</v>
      </c>
      <c r="TN26" s="59">
        <f t="shared" si="391"/>
        <v>0</v>
      </c>
      <c r="TO26" s="59">
        <f t="shared" si="392"/>
        <v>0</v>
      </c>
      <c r="TP26" s="58">
        <f t="shared" si="393"/>
        <v>0</v>
      </c>
      <c r="TQ26" s="45">
        <f t="shared" si="394"/>
        <v>35</v>
      </c>
      <c r="TR26" s="45">
        <f t="shared" si="71"/>
        <v>2.6089999999999995</v>
      </c>
      <c r="TS26" s="45">
        <f t="shared" si="395"/>
        <v>1</v>
      </c>
      <c r="TT26" s="45">
        <f t="shared" si="396"/>
        <v>2</v>
      </c>
      <c r="TU26" s="45">
        <f t="shared" si="397"/>
        <v>0</v>
      </c>
      <c r="TV26" s="46" cm="1">
        <f t="array" ref="TV26">ROUND(IFERROR(INDEX(ArchiveResults!$F$5:$IX$116,ComparisonData!A26,ComparisonData!$TV$1),0),5)</f>
        <v>0</v>
      </c>
      <c r="TW26" s="46" cm="1">
        <f t="array" ref="TW26">ROUND(IFERROR(INDEX(ArchiveResults!$F$5:$IX$116,ComparisonData!A26,ComparisonData!$TW$1),0),5)</f>
        <v>0</v>
      </c>
      <c r="TX26" s="46" cm="1">
        <f t="array" ref="TX26">ROUND(IFERROR(INDEX(ArchiveResults!$F$5:$IX$116,ComparisonData!A26,ComparisonData!$TX$1),0),5)</f>
        <v>0</v>
      </c>
      <c r="TY26" s="46" cm="1">
        <f t="array" ref="TY26">ROUND(IFERROR(INDEX(ArchiveResults!$F$5:$IX$116,ComparisonData!A26,ComparisonData!$TY$1),0),5)</f>
        <v>0</v>
      </c>
      <c r="TZ26" s="45" cm="1">
        <f t="array" ref="TZ26">IFERROR(INDEX(ArchiveResults!$F$5:$IX$116,ComparisonData!A26,ComparisonData!$TZ$1),0)</f>
        <v>0</v>
      </c>
      <c r="UA26" s="56">
        <v>21</v>
      </c>
      <c r="UB26" s="53" t="str">
        <f t="shared" si="72"/>
        <v>Cumbria Archive Centre: Whitehaven</v>
      </c>
      <c r="UC26" s="60">
        <f t="shared" si="398"/>
        <v>0</v>
      </c>
      <c r="UD26" s="60">
        <f t="shared" si="399"/>
        <v>0</v>
      </c>
      <c r="UE26" s="60">
        <f t="shared" si="400"/>
        <v>0</v>
      </c>
      <c r="UF26" s="60">
        <f t="shared" si="401"/>
        <v>0</v>
      </c>
      <c r="UG26" s="60">
        <f t="shared" si="402"/>
        <v>0</v>
      </c>
      <c r="UH26" s="58">
        <f t="shared" si="403"/>
        <v>0</v>
      </c>
      <c r="UI26" s="46">
        <f t="shared" si="404"/>
        <v>35</v>
      </c>
      <c r="UJ26" s="46">
        <f t="shared" si="73"/>
        <v>2.6089999999999995</v>
      </c>
      <c r="UK26" s="46">
        <f t="shared" si="405"/>
        <v>1</v>
      </c>
      <c r="UL26" s="46">
        <f t="shared" si="406"/>
        <v>2</v>
      </c>
      <c r="UM26" s="46" cm="1">
        <f t="array" ref="UM26">ROUND(IFERROR(INDEX(ArchiveResults!$F$5:$IX$116,ComparisonData!A26,ComparisonData!$UM$1),0),5)</f>
        <v>0</v>
      </c>
      <c r="UN26" s="56">
        <v>21</v>
      </c>
      <c r="UO26" s="53" t="str">
        <f t="shared" si="74"/>
        <v>Cumbria Archive Centre: Whitehaven</v>
      </c>
      <c r="UP26" s="46">
        <f t="shared" si="407"/>
        <v>0</v>
      </c>
      <c r="UQ26" s="76">
        <f t="shared" si="408"/>
        <v>0</v>
      </c>
      <c r="UR26" s="46">
        <f t="shared" si="409"/>
        <v>35</v>
      </c>
      <c r="US26" s="46">
        <f t="shared" si="75"/>
        <v>2.6089999999999995</v>
      </c>
      <c r="UT26" s="46">
        <f t="shared" si="410"/>
        <v>1</v>
      </c>
      <c r="UU26" s="46">
        <f t="shared" si="411"/>
        <v>2</v>
      </c>
      <c r="UV26" s="46">
        <f t="shared" si="412"/>
        <v>0</v>
      </c>
      <c r="UW26" s="46" cm="1">
        <f t="array" ref="UW26">ROUND(IFERROR(INDEX(ArchiveResults!$F$5:$IX$116,ComparisonData!A26,ComparisonData!$UW$1),0),5)</f>
        <v>0</v>
      </c>
      <c r="UX26" s="46" cm="1">
        <f t="array" ref="UX26">ROUND(IFERROR(INDEX(ArchiveResults!$F$5:$IX$116,ComparisonData!A26,ComparisonData!$UX$1),0),5)</f>
        <v>0</v>
      </c>
      <c r="UY26" s="46" cm="1">
        <f t="array" ref="UY26">ROUND(IFERROR(INDEX(ArchiveResults!$F$5:$IX$116,ComparisonData!A26,ComparisonData!$UY$1),0),5)</f>
        <v>0</v>
      </c>
      <c r="UZ26" s="46" cm="1">
        <f t="array" ref="UZ26">ROUND(IFERROR(INDEX(ArchiveResults!$F$5:$IX$116,ComparisonData!A26,ComparisonData!$UZ$1),0),5)</f>
        <v>0</v>
      </c>
      <c r="VA26" s="46" cm="1">
        <f t="array" ref="VA26">ROUND(IFERROR(INDEX(ArchiveResults!$F$5:$IX$116,ComparisonData!A26,ComparisonData!$VA$1),0),5)</f>
        <v>0</v>
      </c>
      <c r="VB26" s="56">
        <v>21</v>
      </c>
      <c r="VC26" s="53" t="str">
        <f t="shared" si="76"/>
        <v>Cumbria Archive Centre: Whitehaven</v>
      </c>
      <c r="VD26" s="60">
        <f t="shared" si="413"/>
        <v>0</v>
      </c>
      <c r="VE26" s="60">
        <f t="shared" si="414"/>
        <v>0</v>
      </c>
      <c r="VF26" s="60">
        <f t="shared" si="415"/>
        <v>0</v>
      </c>
      <c r="VG26" s="60">
        <f t="shared" si="416"/>
        <v>0</v>
      </c>
      <c r="VH26" s="60">
        <f t="shared" si="417"/>
        <v>0</v>
      </c>
      <c r="VI26" s="76">
        <f t="shared" si="418"/>
        <v>0</v>
      </c>
      <c r="VJ26" s="46">
        <f t="shared" si="419"/>
        <v>35</v>
      </c>
      <c r="VK26" s="46">
        <f t="shared" si="77"/>
        <v>2.6089999999999995</v>
      </c>
      <c r="VL26" s="46">
        <f t="shared" si="420"/>
        <v>1</v>
      </c>
      <c r="VM26" s="46">
        <f t="shared" si="421"/>
        <v>2</v>
      </c>
      <c r="VN26" s="46" cm="1">
        <f t="array" ref="VN26">ROUND(IFERROR(INDEX(ArchiveResults!$F$5:$IX$116,ComparisonData!A26,ComparisonData!$VN$1),0),5)</f>
        <v>0</v>
      </c>
      <c r="VO26" s="46" cm="1">
        <f t="array" ref="VO26">ROUND(IFERROR(INDEX(ArchiveResults!$F$5:$IX$116,ComparisonData!A26,ComparisonData!$VO$1),0),5)</f>
        <v>0</v>
      </c>
      <c r="VP26" s="46" cm="1">
        <f t="array" ref="VP26">ROUND(IFERROR(INDEX(ArchiveResults!$F$5:$IX$116,ComparisonData!A26,ComparisonData!$VP$1),0),5)</f>
        <v>0</v>
      </c>
      <c r="VQ26" s="46" cm="1">
        <f t="array" ref="VQ26">ROUND(IFERROR(INDEX(ArchiveResults!$F$5:$IX$116,ComparisonData!A26,ComparisonData!$VQ$1),0),5)</f>
        <v>0</v>
      </c>
      <c r="VR26" s="56">
        <v>21</v>
      </c>
      <c r="VS26" s="53" t="str">
        <f t="shared" si="78"/>
        <v>Cumbria Archive Centre: Whitehaven</v>
      </c>
      <c r="VT26" s="60">
        <f t="shared" si="422"/>
        <v>0</v>
      </c>
      <c r="VU26" s="60">
        <f t="shared" si="423"/>
        <v>0</v>
      </c>
      <c r="VV26" s="60">
        <f t="shared" si="424"/>
        <v>0</v>
      </c>
      <c r="VW26" s="60">
        <f t="shared" si="425"/>
        <v>0</v>
      </c>
      <c r="VX26" s="76">
        <f t="shared" si="426"/>
        <v>0</v>
      </c>
      <c r="VY26" s="46">
        <f t="shared" si="427"/>
        <v>35</v>
      </c>
      <c r="VZ26" s="46">
        <f t="shared" si="79"/>
        <v>2.6089999999999995</v>
      </c>
      <c r="WA26" s="46">
        <f t="shared" si="428"/>
        <v>1</v>
      </c>
      <c r="WB26" s="46">
        <f t="shared" si="429"/>
        <v>2</v>
      </c>
      <c r="WC26" s="46" cm="1">
        <f t="array" ref="WC26">ROUND(IFERROR(INDEX(ArchiveResults!$F$5:$IX$116,ComparisonData!A26,ComparisonData!$WC$1),0),5)</f>
        <v>0</v>
      </c>
      <c r="WD26" s="56">
        <v>21</v>
      </c>
      <c r="WE26" s="53" t="str">
        <f t="shared" si="80"/>
        <v>Cumbria Archive Centre: Whitehaven</v>
      </c>
      <c r="WF26" s="46">
        <f t="shared" si="430"/>
        <v>0</v>
      </c>
      <c r="WG26" s="76">
        <f t="shared" si="431"/>
        <v>0</v>
      </c>
      <c r="WH26" s="46">
        <f t="shared" si="432"/>
        <v>35</v>
      </c>
      <c r="WI26" s="46">
        <f t="shared" si="81"/>
        <v>2.6089999999999995</v>
      </c>
      <c r="WJ26" s="46">
        <f t="shared" si="433"/>
        <v>1</v>
      </c>
      <c r="WK26" s="46">
        <f t="shared" si="434"/>
        <v>2</v>
      </c>
      <c r="WL26" s="46" cm="1">
        <f t="array" ref="WL26">ROUND(IFERROR(INDEX(ArchiveResults!$F$5:$IX$116,ComparisonData!A26,ComparisonData!$WL$1),0),5)</f>
        <v>0</v>
      </c>
      <c r="WM26" s="46" cm="1">
        <f t="array" ref="WM26">IFERROR(INDEX(ArchiveResults!$F$5:$IX$116,ComparisonData!A26,ComparisonData!$WM$1),0)</f>
        <v>0</v>
      </c>
      <c r="WN26" s="56">
        <v>21</v>
      </c>
      <c r="WO26" s="53" t="str">
        <f t="shared" si="82"/>
        <v>Cumbria Archive Centre: Whitehaven</v>
      </c>
      <c r="WP26" s="60">
        <f t="shared" si="435"/>
        <v>0</v>
      </c>
      <c r="WQ26" s="60">
        <f t="shared" si="436"/>
        <v>0</v>
      </c>
      <c r="WR26" s="76">
        <f t="shared" si="437"/>
        <v>0</v>
      </c>
      <c r="WS26" s="46">
        <f t="shared" si="438"/>
        <v>35</v>
      </c>
      <c r="WT26" s="46">
        <f t="shared" si="83"/>
        <v>2.6089999999999995</v>
      </c>
      <c r="WU26" s="46">
        <f t="shared" si="439"/>
        <v>1</v>
      </c>
      <c r="WV26" s="46">
        <f t="shared" si="440"/>
        <v>2</v>
      </c>
      <c r="WW26" s="46" cm="1">
        <f t="array" ref="WW26">ROUND(VALUE(IFERROR(INDEX(ArchiveResults!$F$5:$IX$116,ComparisonData!A26,ComparisonData!$WW$1),0)),5)</f>
        <v>0</v>
      </c>
      <c r="WX26" s="46" cm="1">
        <f t="array" ref="WX26">ROUND(IFERROR(INDEX(ArchiveResults!$F$5:$IX$116,ComparisonData!A26,ComparisonData!$WX$1),0),5)</f>
        <v>0</v>
      </c>
      <c r="WY26" s="56">
        <v>21</v>
      </c>
      <c r="WZ26" s="53" t="str">
        <f t="shared" si="84"/>
        <v>Cumbria Archive Centre: Whitehaven</v>
      </c>
      <c r="XA26" s="60">
        <f t="shared" si="85"/>
        <v>0</v>
      </c>
      <c r="XB26" s="60">
        <f t="shared" si="86"/>
        <v>0</v>
      </c>
      <c r="XC26" s="76">
        <f t="shared" si="441"/>
        <v>0</v>
      </c>
      <c r="XD26" s="46">
        <f t="shared" si="442"/>
        <v>35</v>
      </c>
      <c r="XE26" s="46">
        <f t="shared" si="87"/>
        <v>2.6089999999999995</v>
      </c>
      <c r="XF26" s="46">
        <f t="shared" si="443"/>
        <v>1</v>
      </c>
      <c r="XG26" s="46">
        <f t="shared" si="444"/>
        <v>2</v>
      </c>
      <c r="XH26" s="46" cm="1">
        <f t="array" ref="XH26">ROUND(VALUE(IFERROR(INDEX(ArchiveResults!$F$5:$IX$116,ComparisonData!A26,ComparisonData!$XH$1),0)),5)</f>
        <v>0</v>
      </c>
      <c r="XI26" s="46" cm="1">
        <f t="array" ref="XI26">ROUND(VALUE(IFERROR(INDEX(ArchiveResults!$F$5:$IX$116,ComparisonData!A26,ComparisonData!$XI$1),0)),5)</f>
        <v>0</v>
      </c>
      <c r="XJ26" s="56">
        <v>21</v>
      </c>
      <c r="XK26" s="53" t="str">
        <f t="shared" si="88"/>
        <v>Cumbria Archive Centre: Whitehaven</v>
      </c>
      <c r="XL26" s="60">
        <f t="shared" si="445"/>
        <v>0</v>
      </c>
      <c r="XM26" s="60">
        <f t="shared" si="446"/>
        <v>0</v>
      </c>
      <c r="XN26" s="76">
        <f t="shared" si="447"/>
        <v>0</v>
      </c>
      <c r="XO26" s="46">
        <f t="shared" si="448"/>
        <v>35</v>
      </c>
      <c r="XP26" s="46">
        <f t="shared" si="89"/>
        <v>2.6089999999999995</v>
      </c>
      <c r="XQ26" s="46">
        <f t="shared" si="449"/>
        <v>1</v>
      </c>
      <c r="XR26" s="46">
        <f t="shared" si="450"/>
        <v>2</v>
      </c>
      <c r="XS26" s="46" cm="1">
        <f t="array" ref="XS26">ROUND(VALUE(IFERROR(INDEX(ArchiveResults!$F$5:$IX$116,ComparisonData!A26,ComparisonData!$XS$1),0)),5)</f>
        <v>0</v>
      </c>
      <c r="XT26" s="46" cm="1">
        <f t="array" ref="XT26">ROUND(VALUE(IFERROR(INDEX(ArchiveResults!$F$5:$IX$116,ComparisonData!A26,ComparisonData!$XT$1),0)),5)</f>
        <v>0</v>
      </c>
      <c r="XU26" s="56">
        <v>21</v>
      </c>
      <c r="XV26" s="53" t="str">
        <f t="shared" si="90"/>
        <v>Cumbria Archive Centre: Whitehaven</v>
      </c>
      <c r="XW26" s="60">
        <f t="shared" si="451"/>
        <v>0</v>
      </c>
      <c r="XX26" s="60">
        <f t="shared" si="452"/>
        <v>0</v>
      </c>
      <c r="XY26" s="76">
        <f t="shared" si="453"/>
        <v>0</v>
      </c>
      <c r="XZ26" s="46">
        <f t="shared" si="454"/>
        <v>35</v>
      </c>
      <c r="YA26" s="46">
        <f t="shared" si="91"/>
        <v>2.6089999999999995</v>
      </c>
      <c r="YB26" s="46">
        <f t="shared" si="455"/>
        <v>1</v>
      </c>
      <c r="YC26" s="46">
        <f t="shared" si="456"/>
        <v>2</v>
      </c>
      <c r="YD26" s="46" cm="1">
        <f t="array" ref="YD26">ROUND(VALUE(IFERROR(INDEX(ArchiveResults!$F$5:$IX$116,ComparisonData!A26,ComparisonData!$YD$1),0)),5)</f>
        <v>0</v>
      </c>
      <c r="YE26" s="46" cm="1">
        <f t="array" ref="YE26">ROUND(VALUE(IFERROR(INDEX(ArchiveResults!$F$5:$IX$116,ComparisonData!A26,ComparisonData!$YE$1),0)),5)</f>
        <v>0</v>
      </c>
      <c r="YF26" s="56">
        <v>21</v>
      </c>
      <c r="YG26" s="53" t="str">
        <f t="shared" si="92"/>
        <v>Cumbria Archive Centre: Whitehaven</v>
      </c>
      <c r="YH26" s="60">
        <f t="shared" si="457"/>
        <v>0</v>
      </c>
      <c r="YI26" s="60">
        <f t="shared" si="458"/>
        <v>0</v>
      </c>
      <c r="YJ26" s="76">
        <f t="shared" si="459"/>
        <v>0</v>
      </c>
      <c r="YK26" s="46">
        <f t="shared" si="460"/>
        <v>35</v>
      </c>
      <c r="YL26" s="46">
        <f t="shared" si="93"/>
        <v>2.6089999999999995</v>
      </c>
      <c r="YM26" s="46">
        <f t="shared" si="461"/>
        <v>1</v>
      </c>
      <c r="YN26" s="46">
        <f t="shared" si="462"/>
        <v>2</v>
      </c>
      <c r="YO26" s="46" cm="1">
        <f t="array" ref="YO26">ROUND(VALUE(IFERROR(INDEX(ArchiveResults!$F$5:$IX$116,ComparisonData!A26,ComparisonData!$YO$1),0)),5)</f>
        <v>0</v>
      </c>
      <c r="YP26" s="46" cm="1">
        <f t="array" ref="YP26">ROUND(VALUE(IFERROR(INDEX(ArchiveResults!$F$5:$IX$116,ComparisonData!A26,ComparisonData!$YP$1),0)),5)</f>
        <v>0</v>
      </c>
      <c r="YQ26" s="56">
        <v>21</v>
      </c>
      <c r="YR26" s="53" t="str">
        <f t="shared" si="94"/>
        <v>Cumbria Archive Centre: Whitehaven</v>
      </c>
      <c r="YS26" s="60">
        <f t="shared" si="463"/>
        <v>0</v>
      </c>
      <c r="YT26" s="60">
        <f t="shared" si="464"/>
        <v>0</v>
      </c>
      <c r="YU26" s="76">
        <f t="shared" si="465"/>
        <v>0</v>
      </c>
      <c r="YV26" s="46">
        <f t="shared" si="466"/>
        <v>35</v>
      </c>
      <c r="YW26" s="46">
        <f t="shared" si="95"/>
        <v>2.6089999999999995</v>
      </c>
      <c r="YX26" s="46">
        <f t="shared" si="467"/>
        <v>1</v>
      </c>
      <c r="YY26" s="46">
        <f t="shared" si="468"/>
        <v>2</v>
      </c>
      <c r="YZ26" s="46">
        <f t="shared" si="469"/>
        <v>0</v>
      </c>
      <c r="ZA26" s="46" cm="1">
        <f t="array" ref="ZA26">ROUNDDOWN(VALUE(IFERROR(INDEX(ArchiveResults!$F$5:$IX$116,ComparisonData!A26,ComparisonData!$ZA$1),0)),5)</f>
        <v>0</v>
      </c>
      <c r="ZB26" s="46" cm="1">
        <f t="array" ref="ZB26">ROUNDDOWN(VALUE(IFERROR(INDEX(ArchiveResults!$F$5:$IX$116,ComparisonData!A26,ComparisonData!$ZB$1),0)),5)</f>
        <v>0</v>
      </c>
      <c r="ZC26" s="46" cm="1">
        <f t="array" ref="ZC26">ROUNDDOWN(VALUE(IFERROR(INDEX(ArchiveResults!$F$5:$IX$116,ComparisonData!A26,ComparisonData!$ZC$1),0)),5)</f>
        <v>0</v>
      </c>
      <c r="ZD26" s="46" cm="1">
        <f t="array" ref="ZD26">ROUNDDOWN(VALUE(IFERROR(INDEX(ArchiveResults!$F$5:$IX$116,ComparisonData!A26,ComparisonData!$ZD$1),0)),5)</f>
        <v>0</v>
      </c>
      <c r="ZE26" s="46" cm="1">
        <f t="array" ref="ZE26">ROUNDDOWN(VALUE(IFERROR(INDEX(ArchiveResults!$F$5:$IX$116,ComparisonData!A26,ComparisonData!$ZE$1),0)),5)</f>
        <v>0</v>
      </c>
      <c r="ZF26" s="56">
        <v>21</v>
      </c>
      <c r="ZG26" s="53" t="str">
        <f t="shared" si="96"/>
        <v>Cumbria Archive Centre: Whitehaven</v>
      </c>
      <c r="ZH26" s="60">
        <f t="shared" si="470"/>
        <v>0</v>
      </c>
      <c r="ZI26" s="60">
        <f t="shared" si="471"/>
        <v>0</v>
      </c>
      <c r="ZJ26" s="60">
        <f t="shared" si="472"/>
        <v>0</v>
      </c>
      <c r="ZK26" s="60">
        <f t="shared" si="473"/>
        <v>0</v>
      </c>
      <c r="ZL26" s="60">
        <f t="shared" si="474"/>
        <v>0</v>
      </c>
      <c r="ZM26" s="76">
        <f t="shared" si="475"/>
        <v>0</v>
      </c>
      <c r="ZN26" s="46">
        <f t="shared" si="476"/>
        <v>35</v>
      </c>
      <c r="ZO26" s="46">
        <f t="shared" si="97"/>
        <v>2.6089999999999995</v>
      </c>
      <c r="ZP26" s="46">
        <f t="shared" si="477"/>
        <v>1</v>
      </c>
      <c r="ZQ26" s="46">
        <f t="shared" si="478"/>
        <v>2</v>
      </c>
      <c r="ZR26" s="46" cm="1">
        <f t="array" ref="ZR26">ROUND(VALUE(IFERROR(INDEX(ArchiveResults!$F$5:$IX$116,ComparisonData!A26,ComparisonData!$ZR$1),0)),5)</f>
        <v>0</v>
      </c>
      <c r="ZS26" s="56">
        <v>21</v>
      </c>
      <c r="ZT26" s="53" t="str">
        <f t="shared" si="98"/>
        <v>Cumbria Archive Centre: Whitehaven</v>
      </c>
      <c r="ZU26" s="46">
        <f t="shared" si="479"/>
        <v>0</v>
      </c>
      <c r="ZV26" s="76">
        <f t="shared" si="480"/>
        <v>0</v>
      </c>
      <c r="ZW26" s="81" cm="1">
        <f t="array" ref="ZW26">ROUND((IFERROR(INDEX(ArchiveResults!$F$5:$IX$116,ComparisonData!A26,ComparisonData!$ZW$1),0)),5)</f>
        <v>0</v>
      </c>
      <c r="ZX26" s="81" cm="1">
        <f t="array" ref="ZX26">ROUND((IFERROR(INDEX(ArchiveResults!$F$5:$IX$116,ComparisonData!A26,ComparisonData!$ZX$1),0)),5)</f>
        <v>0</v>
      </c>
      <c r="ZY26" s="81" cm="1">
        <f t="array" ref="ZY26">ROUND((IFERROR(INDEX(ArchiveResults!$F$5:$IX$116,ComparisonData!A26,ComparisonData!$ZY$1),0)),5)</f>
        <v>0</v>
      </c>
      <c r="ZZ26" s="81" cm="1">
        <f t="array" ref="ZZ26">ROUND((IFERROR(INDEX(ArchiveResults!$F$5:$IX$116,ComparisonData!A26,ComparisonData!$ZZ$1),0)),5)</f>
        <v>0</v>
      </c>
      <c r="AAA26" s="81" cm="1">
        <f t="array" ref="AAA26">ROUND((IFERROR(INDEX(ArchiveResults!$F$5:$IX$116,ComparisonData!A26,ComparisonData!$AAA$1),0)),5)</f>
        <v>0</v>
      </c>
      <c r="AAB26" s="81" cm="1">
        <f t="array" ref="AAB26">ROUND((IFERROR(INDEX(ArchiveResults!$F$5:$IX$116,ComparisonData!A26,ComparisonData!$AAB$1),0)),5)</f>
        <v>0</v>
      </c>
      <c r="AAC26" s="81" cm="1">
        <f t="array" ref="AAC26">ROUND((IFERROR(INDEX(ArchiveResults!$F$5:$IX$116,ComparisonData!A26,ComparisonData!$AAC$1),0)),5)</f>
        <v>0</v>
      </c>
      <c r="AAD26" s="81" cm="1">
        <f t="array" ref="AAD26">ROUND((IFERROR(INDEX(ArchiveResults!$F$5:$IX$116,ComparisonData!A26,ComparisonData!$AAD$1),0)),5)</f>
        <v>0</v>
      </c>
      <c r="AAE26" s="81" cm="1">
        <f t="array" ref="AAE26">ROUND((IFERROR(INDEX(ArchiveResults!$F$5:$IX$116,ComparisonData!A26,ComparisonData!$AAE$1),0)),5)</f>
        <v>0</v>
      </c>
      <c r="AAF26" s="81" cm="1">
        <f t="array" ref="AAF26">ROUND((IFERROR(INDEX(ArchiveResults!$F$5:$IX$116,ComparisonData!A26,ComparisonData!$AAF$1),0)),5)</f>
        <v>0</v>
      </c>
      <c r="AAG26" s="46">
        <f t="shared" si="481"/>
        <v>35</v>
      </c>
      <c r="AAH26" s="46">
        <f t="shared" si="99"/>
        <v>2.6089999999999995</v>
      </c>
      <c r="AAI26" s="46">
        <f t="shared" si="482"/>
        <v>1</v>
      </c>
      <c r="AAJ26" s="46">
        <f t="shared" si="483"/>
        <v>2</v>
      </c>
      <c r="AAK26" s="46">
        <f t="shared" si="484"/>
        <v>0</v>
      </c>
      <c r="AAL26" s="46">
        <f t="shared" si="485"/>
        <v>0</v>
      </c>
      <c r="AAM26" s="46">
        <f t="shared" si="486"/>
        <v>0</v>
      </c>
      <c r="AAN26" s="46">
        <f t="shared" si="487"/>
        <v>0</v>
      </c>
      <c r="AAO26" s="46">
        <f t="shared" si="488"/>
        <v>0</v>
      </c>
      <c r="AAP26" s="46">
        <f t="shared" si="489"/>
        <v>0</v>
      </c>
      <c r="AAQ26" s="56">
        <v>21</v>
      </c>
      <c r="AAR26" s="53" t="str">
        <f t="shared" si="100"/>
        <v>Cumbria Archive Centre: Whitehaven</v>
      </c>
      <c r="AAS26" s="60">
        <f t="shared" si="490"/>
        <v>0</v>
      </c>
      <c r="AAT26" s="60">
        <f t="shared" si="491"/>
        <v>0</v>
      </c>
      <c r="AAU26" s="60">
        <f t="shared" si="492"/>
        <v>0</v>
      </c>
      <c r="AAV26" s="60">
        <f t="shared" si="493"/>
        <v>0</v>
      </c>
      <c r="AAW26" s="60">
        <f t="shared" si="494"/>
        <v>0</v>
      </c>
      <c r="AAX26" s="76">
        <f t="shared" si="495"/>
        <v>0</v>
      </c>
      <c r="AAY26" s="46">
        <f t="shared" si="496"/>
        <v>35</v>
      </c>
      <c r="AAZ26" s="46">
        <f t="shared" si="101"/>
        <v>2.6089999999999995</v>
      </c>
      <c r="ABA26" s="46">
        <f t="shared" si="497"/>
        <v>1</v>
      </c>
      <c r="ABB26" s="46">
        <f t="shared" si="498"/>
        <v>2</v>
      </c>
      <c r="ABC26" s="46">
        <f t="shared" si="102"/>
        <v>0</v>
      </c>
      <c r="ABD26" s="46" cm="1">
        <f t="array" ref="ABD26">ROUND(VALUE(IFERROR(INDEX(ArchiveResults!$F$5:$IX$116,ComparisonData!A26,ComparisonData!$ABD$1),0)),5)</f>
        <v>0</v>
      </c>
      <c r="ABE26" s="46" cm="1">
        <f t="array" ref="ABE26">ROUND(VALUE(IFERROR(INDEX(ArchiveResults!$F$5:$IX$116,ComparisonData!A26,ComparisonData!$ABE$1),0)),5)</f>
        <v>0</v>
      </c>
      <c r="ABF26" s="46" cm="1">
        <f t="array" ref="ABF26">ROUND(VALUE(IFERROR(INDEX(ArchiveResults!$F$5:$IX$116,ComparisonData!A26,ComparisonData!$ABF$1),0)),5)</f>
        <v>0</v>
      </c>
      <c r="ABG26" s="46" cm="1">
        <f t="array" ref="ABG26">ROUND(VALUE(IFERROR(INDEX(ArchiveResults!$F$5:$IX$116,ComparisonData!A26,ComparisonData!$ABG$1),0)),5)</f>
        <v>0</v>
      </c>
      <c r="ABH26" s="46" cm="1">
        <f t="array" ref="ABH26">ROUND(VALUE(IFERROR(INDEX(ArchiveResults!$F$5:$IX$116,ComparisonData!A26,ComparisonData!$ABH$1),0)),5)</f>
        <v>0</v>
      </c>
      <c r="ABI26" s="56">
        <v>21</v>
      </c>
      <c r="ABJ26" s="53" t="str">
        <f t="shared" si="103"/>
        <v>Cumbria Archive Centre: Whitehaven</v>
      </c>
      <c r="ABK26" s="60">
        <f t="shared" si="499"/>
        <v>0</v>
      </c>
      <c r="ABL26" s="60">
        <f t="shared" si="500"/>
        <v>0</v>
      </c>
      <c r="ABM26" s="60">
        <f t="shared" si="501"/>
        <v>0</v>
      </c>
      <c r="ABN26" s="60">
        <f t="shared" si="502"/>
        <v>0</v>
      </c>
      <c r="ABO26" s="60">
        <f t="shared" si="503"/>
        <v>0</v>
      </c>
      <c r="ABP26" s="76">
        <f t="shared" si="504"/>
        <v>0</v>
      </c>
      <c r="ABQ26" s="46">
        <f t="shared" si="505"/>
        <v>35</v>
      </c>
      <c r="ABR26" s="46">
        <f t="shared" si="104"/>
        <v>2.6089999999999995</v>
      </c>
      <c r="ABS26" s="46">
        <f t="shared" si="506"/>
        <v>1</v>
      </c>
      <c r="ABT26" s="46">
        <f t="shared" si="507"/>
        <v>2</v>
      </c>
      <c r="ABU26" s="46" cm="1">
        <f t="array" ref="ABU26">ROUND(VALUE(IFERROR(INDEX(ArchiveResults!$F$5:$IX$116,ComparisonData!A26,ComparisonData!$ABU$1),0)),5)</f>
        <v>0</v>
      </c>
      <c r="ABV26" s="46" cm="1">
        <f t="array" ref="ABV26">ROUND(VALUE(IFERROR(INDEX(ArchiveResults!$F$5:$IX$116,ComparisonData!A26,ComparisonData!$ABV$1),0)),5)</f>
        <v>0</v>
      </c>
      <c r="ABW26" s="46" cm="1">
        <f t="array" ref="ABW26">ROUND(VALUE(IFERROR(INDEX(ArchiveResults!$F$5:$IX$116,ComparisonData!A26,ComparisonData!$ABW$1),0)),5)</f>
        <v>0</v>
      </c>
      <c r="ABX26" s="46" cm="1">
        <f t="array" ref="ABX26">ROUND(VALUE(IFERROR(INDEX(ArchiveResults!$F$5:$IX$116,ComparisonData!A26,ComparisonData!$ABX$1),0)),5)</f>
        <v>0</v>
      </c>
      <c r="ABY26" s="46" cm="1">
        <f t="array" ref="ABY26">ROUND(VALUE(IFERROR(INDEX(ArchiveResults!$F$5:$IX$116,ComparisonData!A26,ComparisonData!$ABY$1),0)),5)</f>
        <v>0</v>
      </c>
      <c r="ABZ26" s="56">
        <v>21</v>
      </c>
      <c r="ACA26" s="53" t="str">
        <f t="shared" si="105"/>
        <v>Cumbria Archive Centre: Whitehaven</v>
      </c>
      <c r="ACB26" s="60">
        <f t="shared" si="508"/>
        <v>0</v>
      </c>
      <c r="ACC26" s="60">
        <f t="shared" si="509"/>
        <v>0</v>
      </c>
      <c r="ACD26" s="60">
        <f t="shared" si="510"/>
        <v>0</v>
      </c>
      <c r="ACE26" s="60">
        <f t="shared" si="511"/>
        <v>0</v>
      </c>
      <c r="ACF26" s="60">
        <f t="shared" si="512"/>
        <v>0</v>
      </c>
      <c r="ACG26" s="76">
        <f t="shared" si="513"/>
        <v>0</v>
      </c>
      <c r="ACH26" s="46">
        <f t="shared" si="514"/>
        <v>35</v>
      </c>
      <c r="ACI26" s="46">
        <f t="shared" si="106"/>
        <v>2.6089999999999995</v>
      </c>
      <c r="ACJ26" s="46">
        <f t="shared" si="515"/>
        <v>1</v>
      </c>
      <c r="ACK26" s="46">
        <f t="shared" si="516"/>
        <v>2</v>
      </c>
      <c r="ACL26" s="46">
        <f t="shared" si="517"/>
        <v>0</v>
      </c>
      <c r="ACM26" s="46" cm="1">
        <f t="array" ref="ACM26">ROUND(IFERROR(INDEX(ArchiveResults!$F$5:$IX$116,ComparisonData!A26,ComparisonData!$ACM$1),0),5)</f>
        <v>0</v>
      </c>
      <c r="ACN26" s="46" cm="1">
        <f t="array" ref="ACN26">ROUND(IFERROR(INDEX(ArchiveResults!$F$5:$IX$116,ComparisonData!A26,ComparisonData!$ACN$1),0),5)</f>
        <v>0</v>
      </c>
      <c r="ACO26" s="56">
        <v>21</v>
      </c>
      <c r="ACP26" s="53" t="str">
        <f t="shared" si="107"/>
        <v>Cumbria Archive Centre: Whitehaven</v>
      </c>
      <c r="ACQ26" s="60">
        <f t="shared" si="518"/>
        <v>0</v>
      </c>
      <c r="ACR26" s="60">
        <f t="shared" si="519"/>
        <v>0</v>
      </c>
      <c r="ACS26" s="76">
        <f t="shared" si="520"/>
        <v>0</v>
      </c>
      <c r="ACT26" s="46">
        <f t="shared" si="521"/>
        <v>35</v>
      </c>
      <c r="ACU26" s="46">
        <f t="shared" si="108"/>
        <v>2.6089999999999995</v>
      </c>
      <c r="ACV26" s="46">
        <f t="shared" si="522"/>
        <v>1</v>
      </c>
      <c r="ACW26" s="46">
        <f t="shared" si="523"/>
        <v>2</v>
      </c>
      <c r="ACX26" s="46">
        <f t="shared" si="524"/>
        <v>0</v>
      </c>
      <c r="ACY26" s="46" cm="1">
        <f t="array" ref="ACY26">ROUNDDOWN(IFERROR(INDEX(ArchiveResults!$F$5:$IX$116,ComparisonData!A26,ComparisonData!$ACY$1),0),5)</f>
        <v>0</v>
      </c>
      <c r="ACZ26" s="46" cm="1">
        <f t="array" ref="ACZ26">ROUNDDOWN(IFERROR(INDEX(ArchiveResults!$F$5:$IX$116,ComparisonData!A26,ComparisonData!$ACZ$1),0),5)</f>
        <v>0</v>
      </c>
      <c r="ADA26" s="46" cm="1">
        <f t="array" ref="ADA26">ROUNDDOWN(IFERROR(INDEX(ArchiveResults!$F$5:$IX$116,ComparisonData!A26,ComparisonData!$ADA$1),0),5)</f>
        <v>0</v>
      </c>
      <c r="ADB26" s="56">
        <v>21</v>
      </c>
      <c r="ADC26" s="53" t="str">
        <f t="shared" si="109"/>
        <v>Cumbria Archive Centre: Whitehaven</v>
      </c>
      <c r="ADD26" s="60">
        <f t="shared" si="525"/>
        <v>0</v>
      </c>
      <c r="ADE26" s="60">
        <f t="shared" si="526"/>
        <v>0</v>
      </c>
      <c r="ADF26" s="60">
        <f t="shared" si="527"/>
        <v>0</v>
      </c>
      <c r="ADG26" s="76">
        <f t="shared" si="528"/>
        <v>0</v>
      </c>
    </row>
    <row r="27" spans="1:787" x14ac:dyDescent="0.25">
      <c r="A27" s="46" t="str">
        <f>IF(ISBLANK(ComparisonSelection!F23),"",ROW()-5)</f>
        <v/>
      </c>
      <c r="B27" s="53" t="s">
        <v>476</v>
      </c>
      <c r="C27" s="72">
        <v>0.55899999999999961</v>
      </c>
      <c r="D27" s="55">
        <f t="shared" si="110"/>
        <v>25</v>
      </c>
      <c r="E27" s="54">
        <f t="shared" si="111"/>
        <v>2.5589999999999997</v>
      </c>
      <c r="F27" s="54">
        <f t="shared" si="529"/>
        <v>1</v>
      </c>
      <c r="G27" s="72">
        <f t="shared" si="112"/>
        <v>2</v>
      </c>
      <c r="H27" s="72">
        <f t="shared" si="113"/>
        <v>0</v>
      </c>
      <c r="I27" s="46" cm="1">
        <f t="array" ref="I27">ROUND(IFERROR(INDEX(ArchiveResults!$F$5:$IX$116,ComparisonData!A27,ComparisonData!$I$1),0),5)</f>
        <v>0</v>
      </c>
      <c r="J27" s="46" cm="1">
        <f t="array" ref="J27">ROUND(IFERROR(INDEX(ArchiveResults!$F$5:$IX$116,ComparisonData!A27,ComparisonData!$J$1),0),5)</f>
        <v>0</v>
      </c>
      <c r="K27" s="56">
        <v>22</v>
      </c>
      <c r="L27" s="53" t="str">
        <f t="shared" si="114"/>
        <v>Derbyshire Record Office</v>
      </c>
      <c r="M27" s="57">
        <f t="shared" si="0"/>
        <v>0</v>
      </c>
      <c r="N27" s="57">
        <f t="shared" si="1"/>
        <v>0</v>
      </c>
      <c r="O27" s="58">
        <f t="shared" si="115"/>
        <v>0</v>
      </c>
      <c r="P27" s="48">
        <f t="shared" si="116"/>
        <v>25</v>
      </c>
      <c r="Q27" s="54">
        <f t="shared" si="2"/>
        <v>2.5589999999999997</v>
      </c>
      <c r="R27" s="45">
        <f t="shared" si="117"/>
        <v>1</v>
      </c>
      <c r="S27" s="46">
        <f t="shared" si="118"/>
        <v>2</v>
      </c>
      <c r="T27" s="72">
        <f t="shared" si="119"/>
        <v>0</v>
      </c>
      <c r="U27" s="46" cm="1">
        <f t="array" ref="U27">ROUND(IFERROR(INDEX(ArchiveResults!$F$5:$IX$116,ComparisonData!A27,ComparisonData!$U$1),0),5)</f>
        <v>0</v>
      </c>
      <c r="V27" s="46" cm="1">
        <f t="array" ref="V27">ROUND(IFERROR(INDEX(ArchiveResults!$F$5:$IX$116,ComparisonData!A27,ComparisonData!$V$1),0),5)</f>
        <v>0</v>
      </c>
      <c r="W27" s="56">
        <v>22</v>
      </c>
      <c r="X27" s="53" t="str">
        <f t="shared" si="3"/>
        <v>Derbyshire Record Office</v>
      </c>
      <c r="Y27" s="57">
        <f t="shared" si="120"/>
        <v>0</v>
      </c>
      <c r="Z27" s="57">
        <f t="shared" si="121"/>
        <v>0</v>
      </c>
      <c r="AA27" s="58">
        <f t="shared" si="122"/>
        <v>0</v>
      </c>
      <c r="AB27" s="45">
        <f t="shared" si="123"/>
        <v>25</v>
      </c>
      <c r="AC27" s="54">
        <f t="shared" si="4"/>
        <v>2.5589999999999997</v>
      </c>
      <c r="AD27" s="45">
        <f t="shared" si="124"/>
        <v>1</v>
      </c>
      <c r="AE27" s="45">
        <f t="shared" si="125"/>
        <v>2</v>
      </c>
      <c r="AF27" s="45">
        <f t="shared" si="126"/>
        <v>0</v>
      </c>
      <c r="AG27" s="46" cm="1">
        <f t="array" ref="AG27">ROUND(IFERROR(INDEX(ArchiveResults!$F$5:$IX$116,ComparisonData!A27,ComparisonData!$AG$1),0),5)</f>
        <v>0</v>
      </c>
      <c r="AH27" s="46" cm="1">
        <f t="array" ref="AH27">ROUND(IFERROR(INDEX(ArchiveResults!$F$5:$IX$116,ComparisonData!A27,ComparisonData!$AH$1),0),5)</f>
        <v>0</v>
      </c>
      <c r="AI27" s="56">
        <v>22</v>
      </c>
      <c r="AJ27" s="53" t="str">
        <f t="shared" si="5"/>
        <v>Derbyshire Record Office</v>
      </c>
      <c r="AK27" s="59">
        <f t="shared" si="6"/>
        <v>0</v>
      </c>
      <c r="AL27" s="59">
        <f t="shared" si="7"/>
        <v>0</v>
      </c>
      <c r="AM27" s="58">
        <f t="shared" si="127"/>
        <v>0</v>
      </c>
      <c r="AN27" s="45">
        <f t="shared" si="128"/>
        <v>25</v>
      </c>
      <c r="AO27" s="54">
        <f t="shared" si="8"/>
        <v>2.5589999999999997</v>
      </c>
      <c r="AP27" s="45">
        <f t="shared" si="129"/>
        <v>1</v>
      </c>
      <c r="AQ27" s="45">
        <f t="shared" si="130"/>
        <v>2</v>
      </c>
      <c r="AR27" s="46" cm="1">
        <f t="array" ref="AR27">ROUND(IFERROR(INDEX(ArchiveResults!$F$5:$IX$116,ComparisonData!A27,ComparisonData!$AR$1),0),5)</f>
        <v>0</v>
      </c>
      <c r="AS27" s="46" cm="1">
        <f t="array" ref="AS27">ROUND(IFERROR(INDEX(ArchiveResults!$F$5:$IX$116,ComparisonData!A27,ComparisonData!$AS$1),0),5)</f>
        <v>0</v>
      </c>
      <c r="AT27" s="46" cm="1">
        <f t="array" ref="AT27">ROUND(IFERROR(INDEX(ArchiveResults!$F$5:$IX$116,ComparisonData!A27,ComparisonData!$AT$1),0),5)</f>
        <v>0</v>
      </c>
      <c r="AU27" s="46" cm="1">
        <f t="array" ref="AU27">ROUND(IFERROR(INDEX(ArchiveResults!$F$5:$IX$116,ComparisonData!A27,ComparisonData!$AU$1),0),5)</f>
        <v>0</v>
      </c>
      <c r="AV27" s="46" cm="1">
        <f t="array" ref="AV27">ROUND(IFERROR(INDEX(ArchiveResults!$F$5:$IX$116,ComparisonData!A27,ComparisonData!$AV$1),0),5)</f>
        <v>0</v>
      </c>
      <c r="AW27" s="46" cm="1">
        <f t="array" ref="AW27">ROUND(IFERROR(INDEX(ArchiveResults!$F$5:$IX$116,ComparisonData!A27,ComparisonData!$AW$1),0),5)</f>
        <v>0</v>
      </c>
      <c r="AX27" s="46" cm="1">
        <f t="array" ref="AX27">ROUND(IFERROR(INDEX(ArchiveResults!$F$5:$IX$116,ComparisonData!A27,ComparisonData!$AX$1),0),5)</f>
        <v>0</v>
      </c>
      <c r="AY27" s="46" cm="1">
        <f t="array" ref="AY27">ROUND(IFERROR(INDEX(ArchiveResults!$F$5:$IX$116,ComparisonData!A27,ComparisonData!$AY$1),0),5)</f>
        <v>0</v>
      </c>
      <c r="AZ27" s="46" cm="1">
        <f t="array" ref="AZ27">ROUND(IFERROR(INDEX(ArchiveResults!$F$5:$IX$116,ComparisonData!A27,ComparisonData!$AZ$1),0),5)</f>
        <v>0</v>
      </c>
      <c r="BA27" s="46" cm="1">
        <f t="array" ref="BA27">ROUND(IFERROR(INDEX(ArchiveResults!$F$5:$IX$116,ComparisonData!A27,ComparisonData!$BA$1),0),5)</f>
        <v>0</v>
      </c>
      <c r="BB27" s="56">
        <v>22</v>
      </c>
      <c r="BC27" s="53" t="str">
        <f t="shared" si="9"/>
        <v>Derbyshire Record Office</v>
      </c>
      <c r="BD27" s="60">
        <f t="shared" si="131"/>
        <v>0</v>
      </c>
      <c r="BE27" s="60">
        <f t="shared" si="132"/>
        <v>0</v>
      </c>
      <c r="BF27" s="60">
        <f t="shared" si="133"/>
        <v>0</v>
      </c>
      <c r="BG27" s="60">
        <f t="shared" si="134"/>
        <v>0</v>
      </c>
      <c r="BH27" s="60">
        <f t="shared" si="135"/>
        <v>0</v>
      </c>
      <c r="BI27" s="60">
        <f t="shared" si="136"/>
        <v>0</v>
      </c>
      <c r="BJ27" s="60">
        <f t="shared" si="137"/>
        <v>0</v>
      </c>
      <c r="BK27" s="60">
        <f t="shared" si="138"/>
        <v>0</v>
      </c>
      <c r="BL27" s="60">
        <f t="shared" si="139"/>
        <v>0</v>
      </c>
      <c r="BM27" s="59">
        <f t="shared" si="140"/>
        <v>0</v>
      </c>
      <c r="BN27" s="58">
        <f t="shared" si="141"/>
        <v>0</v>
      </c>
      <c r="BO27" s="45">
        <f t="shared" si="142"/>
        <v>25</v>
      </c>
      <c r="BP27" s="54">
        <f t="shared" si="10"/>
        <v>2.5589999999999997</v>
      </c>
      <c r="BQ27" s="45">
        <f t="shared" si="143"/>
        <v>1</v>
      </c>
      <c r="BR27" s="45">
        <f t="shared" si="144"/>
        <v>2</v>
      </c>
      <c r="BS27" s="46" cm="1">
        <f t="array" ref="BS27">ROUND(IFERROR(INDEX(ArchiveResults!$F$5:$IX$116,ComparisonData!A27,ComparisonData!$BS$1),0),5)</f>
        <v>0</v>
      </c>
      <c r="BT27" s="46" cm="1">
        <f t="array" ref="BT27">ROUND(IFERROR(INDEX(ArchiveResults!$F$5:$IX$116,ComparisonData!A27,ComparisonData!$BT$1),0),5)</f>
        <v>0</v>
      </c>
      <c r="BU27" s="46" cm="1">
        <f t="array" ref="BU27">ROUND(IFERROR(INDEX(ArchiveResults!$F$5:$IX$116,ComparisonData!A27,ComparisonData!$BU$1),0),5)</f>
        <v>0</v>
      </c>
      <c r="BV27" s="46" cm="1">
        <f t="array" ref="BV27">ROUND(IFERROR(INDEX(ArchiveResults!$F$5:$IX$116,ComparisonData!A27,ComparisonData!$BV$1),0),5)</f>
        <v>0</v>
      </c>
      <c r="BW27" s="46" cm="1">
        <f t="array" ref="BW27">ROUND(IFERROR(INDEX(ArchiveResults!$F$5:$IX$116,ComparisonData!A27,ComparisonData!$BW$1),0),5)</f>
        <v>0</v>
      </c>
      <c r="BX27" s="46" cm="1">
        <f t="array" ref="BX27">ROUND(IFERROR(INDEX(ArchiveResults!$F$5:$IX$116,ComparisonData!A27,ComparisonData!$BX$1),0),5)</f>
        <v>0</v>
      </c>
      <c r="BY27" s="56">
        <v>22</v>
      </c>
      <c r="BZ27" s="53" t="str">
        <f t="shared" si="11"/>
        <v>Derbyshire Record Office</v>
      </c>
      <c r="CA27" s="59">
        <f t="shared" si="145"/>
        <v>0</v>
      </c>
      <c r="CB27" s="59">
        <f t="shared" si="146"/>
        <v>0</v>
      </c>
      <c r="CC27" s="59">
        <f t="shared" si="147"/>
        <v>0</v>
      </c>
      <c r="CD27" s="59">
        <f t="shared" si="148"/>
        <v>0</v>
      </c>
      <c r="CE27" s="59">
        <f t="shared" si="149"/>
        <v>0</v>
      </c>
      <c r="CF27" s="59">
        <f t="shared" si="150"/>
        <v>0</v>
      </c>
      <c r="CG27" s="58">
        <f t="shared" si="151"/>
        <v>0</v>
      </c>
      <c r="CH27" s="45">
        <f t="shared" si="152"/>
        <v>25</v>
      </c>
      <c r="CI27" s="54">
        <f t="shared" si="12"/>
        <v>2.5589999999999997</v>
      </c>
      <c r="CJ27" s="45">
        <f t="shared" si="153"/>
        <v>1</v>
      </c>
      <c r="CK27" s="45">
        <f t="shared" si="154"/>
        <v>2</v>
      </c>
      <c r="CL27" s="46" cm="1">
        <f t="array" ref="CL27">ROUND(IFERROR(INDEX(ArchiveResults!$F$5:$IX$116,ComparisonData!A27,ComparisonData!$CL$1),0),5)</f>
        <v>0</v>
      </c>
      <c r="CM27" s="56">
        <v>22</v>
      </c>
      <c r="CN27" s="53" t="str">
        <f t="shared" si="13"/>
        <v>Derbyshire Record Office</v>
      </c>
      <c r="CO27" s="45">
        <f t="shared" si="155"/>
        <v>0</v>
      </c>
      <c r="CP27" s="58">
        <f t="shared" si="156"/>
        <v>0</v>
      </c>
      <c r="CQ27" s="45">
        <f t="shared" si="157"/>
        <v>25</v>
      </c>
      <c r="CR27" s="54">
        <f t="shared" si="14"/>
        <v>2.5589999999999997</v>
      </c>
      <c r="CS27" s="45">
        <f t="shared" si="158"/>
        <v>1</v>
      </c>
      <c r="CT27" s="45">
        <f t="shared" si="159"/>
        <v>2</v>
      </c>
      <c r="CU27" s="46" cm="1">
        <f t="array" ref="CU27">ROUND(IFERROR(INDEX(ArchiveResults!$F$5:$IX$116,ComparisonData!A27,ComparisonData!$CU$1),0),5)</f>
        <v>0</v>
      </c>
      <c r="CV27" s="56">
        <v>22</v>
      </c>
      <c r="CW27" s="53" t="str">
        <f t="shared" si="15"/>
        <v>Derbyshire Record Office</v>
      </c>
      <c r="CX27" s="45">
        <f t="shared" si="160"/>
        <v>0</v>
      </c>
      <c r="CY27" s="58">
        <f t="shared" si="161"/>
        <v>0</v>
      </c>
      <c r="CZ27" s="45">
        <f t="shared" si="162"/>
        <v>25</v>
      </c>
      <c r="DA27" s="54">
        <f t="shared" si="16"/>
        <v>2.5589999999999997</v>
      </c>
      <c r="DB27" s="45">
        <f t="shared" si="163"/>
        <v>1</v>
      </c>
      <c r="DC27" s="45">
        <f t="shared" si="164"/>
        <v>2</v>
      </c>
      <c r="DD27" s="46" cm="1">
        <f t="array" ref="DD27">ROUND(IFERROR(INDEX(ArchiveResults!$F$5:$IX$116,ComparisonData!A27,ComparisonData!$DD$1),0),5)</f>
        <v>0</v>
      </c>
      <c r="DE27" s="56">
        <v>22</v>
      </c>
      <c r="DF27" s="53" t="str">
        <f t="shared" si="17"/>
        <v>Derbyshire Record Office</v>
      </c>
      <c r="DG27" s="45">
        <f t="shared" si="165"/>
        <v>0</v>
      </c>
      <c r="DH27" s="58">
        <f t="shared" si="166"/>
        <v>0</v>
      </c>
      <c r="DI27" s="45">
        <f t="shared" si="167"/>
        <v>25</v>
      </c>
      <c r="DJ27" s="54">
        <f t="shared" si="18"/>
        <v>2.5589999999999997</v>
      </c>
      <c r="DK27" s="45">
        <f t="shared" si="168"/>
        <v>1</v>
      </c>
      <c r="DL27" s="45">
        <f t="shared" si="169"/>
        <v>2</v>
      </c>
      <c r="DM27" s="46" cm="1">
        <f t="array" ref="DM27">ROUND(IFERROR(INDEX(ArchiveResults!$F$5:$IX$116,ComparisonData!A27,ComparisonData!$DM$1),0),5)</f>
        <v>0</v>
      </c>
      <c r="DN27" s="46" cm="1">
        <f t="array" ref="DN27">ROUND(IFERROR(INDEX(ArchiveResults!$F$5:$IX$116,ComparisonData!A27,ComparisonData!$DN$1),0),5)</f>
        <v>0</v>
      </c>
      <c r="DO27" s="46" cm="1">
        <f t="array" ref="DO27">ROUND(IFERROR(INDEX(ArchiveResults!$F$5:$IX$116,ComparisonData!A27,ComparisonData!$DO$1),0),5)</f>
        <v>0</v>
      </c>
      <c r="DP27" s="46" cm="1">
        <f t="array" ref="DP27">ROUND(IFERROR(INDEX(ArchiveResults!$F$5:$IX$116,ComparisonData!A27,ComparisonData!$DP$1),0),5)</f>
        <v>0</v>
      </c>
      <c r="DQ27" s="45" cm="1">
        <f t="array" ref="DQ27">IFERROR(INDEX(ArchiveResults!$F$5:$IX$116,ComparisonData!A27,ComparisonData!$DQ$1),0)</f>
        <v>0</v>
      </c>
      <c r="DR27" s="56">
        <v>22</v>
      </c>
      <c r="DS27" s="53" t="str">
        <f t="shared" si="19"/>
        <v>Derbyshire Record Office</v>
      </c>
      <c r="DT27" s="59">
        <f t="shared" si="170"/>
        <v>0</v>
      </c>
      <c r="DU27" s="59">
        <f t="shared" si="171"/>
        <v>0</v>
      </c>
      <c r="DV27" s="59">
        <f t="shared" si="172"/>
        <v>0</v>
      </c>
      <c r="DW27" s="59">
        <f t="shared" si="173"/>
        <v>0</v>
      </c>
      <c r="DX27" s="59">
        <f t="shared" si="174"/>
        <v>0</v>
      </c>
      <c r="DY27" s="58">
        <f t="shared" si="175"/>
        <v>0</v>
      </c>
      <c r="DZ27" s="45">
        <f t="shared" si="176"/>
        <v>25</v>
      </c>
      <c r="EA27" s="54">
        <f t="shared" si="20"/>
        <v>2.5589999999999997</v>
      </c>
      <c r="EB27" s="45">
        <f t="shared" si="177"/>
        <v>1</v>
      </c>
      <c r="EC27" s="45">
        <f t="shared" si="178"/>
        <v>2</v>
      </c>
      <c r="ED27" s="46" cm="1">
        <f t="array" ref="ED27">ROUND(IFERROR(INDEX(ArchiveResults!$F$5:$IX$116,ComparisonData!A27,ComparisonData!$ED$1),0),5)</f>
        <v>0</v>
      </c>
      <c r="EE27" s="46" cm="1">
        <f t="array" ref="EE27">ROUND(IFERROR(INDEX(ArchiveResults!$F$5:$IX$116,ComparisonData!A27,ComparisonData!$EE$1),0),5)</f>
        <v>0</v>
      </c>
      <c r="EF27" s="46" cm="1">
        <f t="array" ref="EF27">ROUND(IFERROR(INDEX(ArchiveResults!$F$5:$IX$116,ComparisonData!A27,ComparisonData!$EF$1),0),5)</f>
        <v>0</v>
      </c>
      <c r="EG27" s="46" cm="1">
        <f t="array" ref="EG27">ROUND(IFERROR(INDEX(ArchiveResults!$F$5:$IX$116,ComparisonData!A27,ComparisonData!$EG$1),0),5)</f>
        <v>0</v>
      </c>
      <c r="EH27" s="45" cm="1">
        <f t="array" ref="EH27">IFERROR(INDEX(ArchiveResults!$F$5:$IX$116,ComparisonData!A27,ComparisonData!$EH$1),0)</f>
        <v>0</v>
      </c>
      <c r="EI27" s="56">
        <v>22</v>
      </c>
      <c r="EJ27" s="53" t="str">
        <f t="shared" si="21"/>
        <v>Derbyshire Record Office</v>
      </c>
      <c r="EK27" s="59">
        <f t="shared" si="179"/>
        <v>0</v>
      </c>
      <c r="EL27" s="59">
        <f t="shared" si="180"/>
        <v>0</v>
      </c>
      <c r="EM27" s="59">
        <f t="shared" si="181"/>
        <v>0</v>
      </c>
      <c r="EN27" s="59">
        <f t="shared" si="182"/>
        <v>0</v>
      </c>
      <c r="EO27" s="59">
        <f t="shared" si="183"/>
        <v>0</v>
      </c>
      <c r="EP27" s="58">
        <f t="shared" si="184"/>
        <v>0</v>
      </c>
      <c r="EQ27" s="45">
        <f t="shared" si="185"/>
        <v>25</v>
      </c>
      <c r="ER27" s="54">
        <f t="shared" si="22"/>
        <v>2.5589999999999997</v>
      </c>
      <c r="ES27" s="45">
        <f t="shared" si="186"/>
        <v>1</v>
      </c>
      <c r="ET27" s="45">
        <f t="shared" si="187"/>
        <v>2</v>
      </c>
      <c r="EU27" s="46" cm="1">
        <f t="array" ref="EU27">ROUND(IFERROR(INDEX(ArchiveResults!$F$5:$IX$116,ComparisonData!A27,ComparisonData!$EU$1),0),5)</f>
        <v>0</v>
      </c>
      <c r="EV27" s="46" cm="1">
        <f t="array" ref="EV27">ROUND(IFERROR(INDEX(ArchiveResults!$F$5:$IX$116,ComparisonData!A27,ComparisonData!$EV$1),0),5)</f>
        <v>0</v>
      </c>
      <c r="EW27" s="46" cm="1">
        <f t="array" ref="EW27">ROUND(IFERROR(INDEX(ArchiveResults!$F$5:$IX$116,ComparisonData!A27,ComparisonData!$EW$1),0),5)</f>
        <v>0</v>
      </c>
      <c r="EX27" s="46" cm="1">
        <f t="array" ref="EX27">ROUND(IFERROR(INDEX(ArchiveResults!$F$5:$IX$116,ComparisonData!A27,ComparisonData!$EX$1),0),5)</f>
        <v>0</v>
      </c>
      <c r="EY27" s="45" cm="1">
        <f t="array" ref="EY27">IFERROR(INDEX(ArchiveResults!$F$5:$IX$116,ComparisonData!A27,ComparisonData!$EY$1),0)</f>
        <v>0</v>
      </c>
      <c r="EZ27" s="56">
        <v>22</v>
      </c>
      <c r="FA27" s="53" t="str">
        <f t="shared" si="23"/>
        <v>Derbyshire Record Office</v>
      </c>
      <c r="FB27" s="59">
        <f t="shared" si="188"/>
        <v>0</v>
      </c>
      <c r="FC27" s="59">
        <f t="shared" si="189"/>
        <v>0</v>
      </c>
      <c r="FD27" s="59">
        <f t="shared" si="190"/>
        <v>0</v>
      </c>
      <c r="FE27" s="59">
        <f t="shared" si="191"/>
        <v>0</v>
      </c>
      <c r="FF27" s="59">
        <f t="shared" si="192"/>
        <v>0</v>
      </c>
      <c r="FG27" s="58">
        <f t="shared" si="193"/>
        <v>0</v>
      </c>
      <c r="FH27" s="45">
        <f t="shared" si="194"/>
        <v>25</v>
      </c>
      <c r="FI27" s="54">
        <f t="shared" si="24"/>
        <v>2.5589999999999997</v>
      </c>
      <c r="FJ27" s="45">
        <f t="shared" si="195"/>
        <v>1</v>
      </c>
      <c r="FK27" s="45">
        <f t="shared" si="196"/>
        <v>2</v>
      </c>
      <c r="FL27" s="46" cm="1">
        <f t="array" ref="FL27">ROUND(IFERROR(INDEX(ArchiveResults!$F$5:$IX$116,ComparisonData!A27,ComparisonData!$FL$1),0),5)</f>
        <v>0</v>
      </c>
      <c r="FM27" s="46" cm="1">
        <f t="array" ref="FM27">ROUND(IFERROR(INDEX(ArchiveResults!$F$5:$IX$116,ComparisonData!A27,ComparisonData!$FM$1),0),5)</f>
        <v>0</v>
      </c>
      <c r="FN27" s="46" cm="1">
        <f t="array" ref="FN27">ROUND(IFERROR(INDEX(ArchiveResults!$F$5:$IX$116,ComparisonData!A27,ComparisonData!$FN$1),0),5)</f>
        <v>0</v>
      </c>
      <c r="FO27" s="46" cm="1">
        <f t="array" ref="FO27">ROUND(IFERROR(INDEX(ArchiveResults!$F$5:$IX$116,ComparisonData!A27,ComparisonData!$FO$1),0),5)</f>
        <v>0</v>
      </c>
      <c r="FP27" s="45" cm="1">
        <f t="array" ref="FP27">IFERROR(INDEX(ArchiveResults!$F$5:$IX$116,ComparisonData!A27,ComparisonData!$FP$1),0)</f>
        <v>0</v>
      </c>
      <c r="FQ27" s="56">
        <v>22</v>
      </c>
      <c r="FR27" s="53" t="str">
        <f t="shared" si="25"/>
        <v>Derbyshire Record Office</v>
      </c>
      <c r="FS27" s="59">
        <f t="shared" si="197"/>
        <v>0</v>
      </c>
      <c r="FT27" s="59">
        <f t="shared" si="198"/>
        <v>0</v>
      </c>
      <c r="FU27" s="59">
        <f t="shared" si="199"/>
        <v>0</v>
      </c>
      <c r="FV27" s="59">
        <f t="shared" si="200"/>
        <v>0</v>
      </c>
      <c r="FW27" s="59">
        <f t="shared" si="201"/>
        <v>0</v>
      </c>
      <c r="FX27" s="58">
        <f t="shared" si="202"/>
        <v>0</v>
      </c>
      <c r="FY27" s="45">
        <f t="shared" si="203"/>
        <v>25</v>
      </c>
      <c r="FZ27" s="45">
        <f t="shared" si="26"/>
        <v>2.5589999999999997</v>
      </c>
      <c r="GA27" s="45">
        <f t="shared" si="204"/>
        <v>1</v>
      </c>
      <c r="GB27" s="45">
        <f t="shared" si="205"/>
        <v>2</v>
      </c>
      <c r="GC27" s="46" cm="1">
        <f t="array" ref="GC27">ROUND(IFERROR(INDEX(ArchiveResults!$F$5:$IX$116,ComparisonData!A27,ComparisonData!$GC$1),0),5)</f>
        <v>0</v>
      </c>
      <c r="GD27" s="46" cm="1">
        <f t="array" ref="GD27">ROUND(IFERROR(INDEX(ArchiveResults!$F$5:$IX$116,ComparisonData!A27,ComparisonData!$GD$1),0),5)</f>
        <v>0</v>
      </c>
      <c r="GE27" s="46" cm="1">
        <f t="array" ref="GE27">ROUND(IFERROR(INDEX(ArchiveResults!$F$5:$IX$116,ComparisonData!A27,ComparisonData!$GE$1),0),5)</f>
        <v>0</v>
      </c>
      <c r="GF27" s="46" cm="1">
        <f t="array" ref="GF27">ROUND(IFERROR(INDEX(ArchiveResults!$F$5:$IX$116,ComparisonData!A27,ComparisonData!$GF$1),0),5)</f>
        <v>0</v>
      </c>
      <c r="GG27" s="45" cm="1">
        <f t="array" ref="GG27">IFERROR(INDEX(ArchiveResults!$F$5:$IX$116,ComparisonData!A27,ComparisonData!$GG$1),0)</f>
        <v>0</v>
      </c>
      <c r="GH27" s="56">
        <v>22</v>
      </c>
      <c r="GI27" s="53" t="str">
        <f t="shared" si="27"/>
        <v>Derbyshire Record Office</v>
      </c>
      <c r="GJ27" s="59">
        <f t="shared" si="206"/>
        <v>0</v>
      </c>
      <c r="GK27" s="59">
        <f t="shared" si="207"/>
        <v>0</v>
      </c>
      <c r="GL27" s="59">
        <f t="shared" si="208"/>
        <v>0</v>
      </c>
      <c r="GM27" s="59">
        <f t="shared" si="209"/>
        <v>0</v>
      </c>
      <c r="GN27" s="59">
        <f t="shared" si="210"/>
        <v>0</v>
      </c>
      <c r="GO27" s="58">
        <f t="shared" si="211"/>
        <v>0</v>
      </c>
      <c r="GP27" s="45">
        <f t="shared" si="212"/>
        <v>25</v>
      </c>
      <c r="GQ27" s="45">
        <f t="shared" si="28"/>
        <v>2.5589999999999997</v>
      </c>
      <c r="GR27" s="45">
        <f t="shared" si="213"/>
        <v>1</v>
      </c>
      <c r="GS27" s="45">
        <f t="shared" si="214"/>
        <v>2</v>
      </c>
      <c r="GT27" s="46" cm="1">
        <f t="array" ref="GT27">ROUND(IFERROR(INDEX(ArchiveResults!$F$5:$IX$116,ComparisonData!A27,ComparisonData!$GT$1),0),5)</f>
        <v>0</v>
      </c>
      <c r="GU27" s="46" cm="1">
        <f t="array" ref="GU27">ROUND(IFERROR(INDEX(ArchiveResults!$F$5:$IX$116,ComparisonData!A27,ComparisonData!$GU$1),0),5)</f>
        <v>0</v>
      </c>
      <c r="GV27" s="46" cm="1">
        <f t="array" ref="GV27">ROUND(IFERROR(INDEX(ArchiveResults!$F$5:$IX$116,ComparisonData!A27,ComparisonData!$GV$1),0),5)</f>
        <v>0</v>
      </c>
      <c r="GW27" s="46" cm="1">
        <f t="array" ref="GW27">ROUND(IFERROR(INDEX(ArchiveResults!$F$5:$IX$116,ComparisonData!A27,ComparisonData!$GW$1),0),5)</f>
        <v>0</v>
      </c>
      <c r="GX27" s="45" cm="1">
        <f t="array" ref="GX27">IFERROR(INDEX(ArchiveResults!$F$5:$IX$116,ComparisonData!A27,ComparisonData!$GX$1),0)</f>
        <v>0</v>
      </c>
      <c r="GY27" s="56">
        <v>22</v>
      </c>
      <c r="GZ27" s="53" t="str">
        <f t="shared" si="29"/>
        <v>Derbyshire Record Office</v>
      </c>
      <c r="HA27" s="59">
        <f t="shared" si="215"/>
        <v>0</v>
      </c>
      <c r="HB27" s="59">
        <f t="shared" si="216"/>
        <v>0</v>
      </c>
      <c r="HC27" s="59">
        <f t="shared" si="217"/>
        <v>0</v>
      </c>
      <c r="HD27" s="59">
        <f t="shared" si="218"/>
        <v>0</v>
      </c>
      <c r="HE27" s="59">
        <f t="shared" si="219"/>
        <v>0</v>
      </c>
      <c r="HF27" s="58">
        <f t="shared" si="220"/>
        <v>0</v>
      </c>
      <c r="HG27" s="45">
        <f t="shared" si="221"/>
        <v>25</v>
      </c>
      <c r="HH27" s="45">
        <f t="shared" si="30"/>
        <v>2.5589999999999997</v>
      </c>
      <c r="HI27" s="45">
        <f t="shared" si="222"/>
        <v>1</v>
      </c>
      <c r="HJ27" s="45">
        <f t="shared" si="223"/>
        <v>2</v>
      </c>
      <c r="HK27" s="46" cm="1">
        <f t="array" ref="HK27">ROUND(IFERROR(INDEX(ArchiveResults!$F$5:$IX$116,ComparisonData!A27,ComparisonData!$HK$1),0),5)</f>
        <v>0</v>
      </c>
      <c r="HL27" s="46" cm="1">
        <f t="array" ref="HL27">ROUND(IFERROR(INDEX(ArchiveResults!$F$5:$IX$116,ComparisonData!A27,ComparisonData!$HL$1),0),5)</f>
        <v>0</v>
      </c>
      <c r="HM27" s="46" cm="1">
        <f t="array" ref="HM27">ROUND(IFERROR(INDEX(ArchiveResults!$F$5:$IX$116,ComparisonData!A27,ComparisonData!$HM$1),0),5)</f>
        <v>0</v>
      </c>
      <c r="HN27" s="46" cm="1">
        <f t="array" ref="HN27">ROUND(IFERROR(INDEX(ArchiveResults!$F$5:$IX$116,ComparisonData!A27,ComparisonData!$HN$1),0),5)</f>
        <v>0</v>
      </c>
      <c r="HO27" s="45" cm="1">
        <f t="array" ref="HO27">IFERROR(INDEX(ArchiveResults!$F$5:$IX$116,ComparisonData!A27,ComparisonData!$HO$1),0)</f>
        <v>0</v>
      </c>
      <c r="HP27" s="56">
        <v>22</v>
      </c>
      <c r="HQ27" s="53" t="str">
        <f t="shared" si="31"/>
        <v>Derbyshire Record Office</v>
      </c>
      <c r="HR27" s="59">
        <f t="shared" si="32"/>
        <v>0</v>
      </c>
      <c r="HS27" s="59">
        <f t="shared" si="33"/>
        <v>0</v>
      </c>
      <c r="HT27" s="59">
        <f t="shared" si="34"/>
        <v>0</v>
      </c>
      <c r="HU27" s="59">
        <f t="shared" si="35"/>
        <v>0</v>
      </c>
      <c r="HV27" s="59">
        <f t="shared" si="36"/>
        <v>0</v>
      </c>
      <c r="HW27" s="58">
        <f t="shared" si="224"/>
        <v>0</v>
      </c>
      <c r="HX27" s="45">
        <f t="shared" si="225"/>
        <v>25</v>
      </c>
      <c r="HY27" s="45">
        <f t="shared" si="37"/>
        <v>2.5589999999999997</v>
      </c>
      <c r="HZ27" s="45">
        <f t="shared" si="226"/>
        <v>1</v>
      </c>
      <c r="IA27" s="45">
        <f t="shared" si="227"/>
        <v>2</v>
      </c>
      <c r="IB27" s="45">
        <f t="shared" si="228"/>
        <v>0</v>
      </c>
      <c r="IC27" s="46" cm="1">
        <f t="array" ref="IC27">ROUND(IFERROR(INDEX(ArchiveResults!$F$5:$IX$116,ComparisonData!A27,ComparisonData!$IC$1),0),5)</f>
        <v>0</v>
      </c>
      <c r="ID27" s="46" cm="1">
        <f t="array" ref="ID27">ROUND(IFERROR(INDEX(ArchiveResults!$F$5:$IX$116,ComparisonData!A27,ComparisonData!$ID$1),0),5)</f>
        <v>0</v>
      </c>
      <c r="IE27" s="46" cm="1">
        <f t="array" ref="IE27">ROUND(IFERROR(INDEX(ArchiveResults!$F$5:$IX$116,ComparisonData!A27,ComparisonData!$IE$1),0),5)</f>
        <v>0</v>
      </c>
      <c r="IF27" s="46" cm="1">
        <f t="array" ref="IF27">ROUND(IFERROR(INDEX(ArchiveResults!$F$5:$IX$116,ComparisonData!A27,ComparisonData!$IF$1),0),5)</f>
        <v>0</v>
      </c>
      <c r="IG27" s="45" cm="1">
        <f t="array" ref="IG27">IFERROR(INDEX(ArchiveResults!$F$5:$IX$116,ComparisonData!A27,ComparisonData!$IG$1),0)</f>
        <v>0</v>
      </c>
      <c r="IH27" s="56">
        <v>22</v>
      </c>
      <c r="II27" s="53" t="str">
        <f t="shared" si="38"/>
        <v>Derbyshire Record Office</v>
      </c>
      <c r="IJ27" s="59">
        <f t="shared" si="229"/>
        <v>0</v>
      </c>
      <c r="IK27" s="59">
        <f t="shared" si="230"/>
        <v>0</v>
      </c>
      <c r="IL27" s="59">
        <f t="shared" si="231"/>
        <v>0</v>
      </c>
      <c r="IM27" s="59">
        <f t="shared" si="232"/>
        <v>0</v>
      </c>
      <c r="IN27" s="59">
        <f t="shared" si="233"/>
        <v>0</v>
      </c>
      <c r="IO27" s="58">
        <f t="shared" si="234"/>
        <v>0</v>
      </c>
      <c r="IP27" s="45">
        <f t="shared" si="235"/>
        <v>25</v>
      </c>
      <c r="IQ27" s="45">
        <f t="shared" si="39"/>
        <v>2.5589999999999997</v>
      </c>
      <c r="IR27" s="45">
        <f t="shared" si="236"/>
        <v>1</v>
      </c>
      <c r="IS27" s="45">
        <f t="shared" si="237"/>
        <v>2</v>
      </c>
      <c r="IT27" s="46">
        <f t="shared" si="238"/>
        <v>0</v>
      </c>
      <c r="IU27" s="46" cm="1">
        <f t="array" ref="IU27">ROUND(IFERROR(INDEX(ArchiveResults!$F$5:$IX$116,ComparisonData!A27,ComparisonData!$IU$1),0),5)</f>
        <v>0</v>
      </c>
      <c r="IV27" s="46" cm="1">
        <f t="array" ref="IV27">ROUND(IFERROR(INDEX(ArchiveResults!$F$5:$IX$116,ComparisonData!A27,ComparisonData!$IV$1),0),5)</f>
        <v>0</v>
      </c>
      <c r="IW27" s="46" cm="1">
        <f t="array" ref="IW27">ROUND(IFERROR(INDEX(ArchiveResults!$F$5:$IX$116,ComparisonData!A27,ComparisonData!$IW$1),0),5)</f>
        <v>0</v>
      </c>
      <c r="IX27" s="46" cm="1">
        <f t="array" ref="IX27">ROUND(IFERROR(INDEX(ArchiveResults!$F$5:$IX$116,ComparisonData!A27,ComparisonData!$IX$1),0),5)</f>
        <v>0</v>
      </c>
      <c r="IY27" s="45" cm="1">
        <f t="array" ref="IY27">IFERROR(INDEX(ArchiveResults!$F$5:$IX$116,ComparisonData!A27,ComparisonData!$IY$1),0)</f>
        <v>0</v>
      </c>
      <c r="IZ27" s="56">
        <v>22</v>
      </c>
      <c r="JA27" s="53" t="str">
        <f t="shared" si="40"/>
        <v>Derbyshire Record Office</v>
      </c>
      <c r="JB27" s="59">
        <f t="shared" si="239"/>
        <v>0</v>
      </c>
      <c r="JC27" s="59">
        <f t="shared" si="240"/>
        <v>0</v>
      </c>
      <c r="JD27" s="59">
        <f t="shared" si="241"/>
        <v>0</v>
      </c>
      <c r="JE27" s="59">
        <f t="shared" si="242"/>
        <v>0</v>
      </c>
      <c r="JF27" s="59">
        <f t="shared" si="243"/>
        <v>0</v>
      </c>
      <c r="JG27" s="58">
        <f t="shared" si="244"/>
        <v>0</v>
      </c>
      <c r="JH27" s="45">
        <f t="shared" si="245"/>
        <v>25</v>
      </c>
      <c r="JI27" s="45">
        <f t="shared" si="41"/>
        <v>2.5589999999999997</v>
      </c>
      <c r="JJ27" s="45">
        <f t="shared" si="246"/>
        <v>1</v>
      </c>
      <c r="JK27" s="45">
        <f t="shared" si="247"/>
        <v>2</v>
      </c>
      <c r="JL27" s="45">
        <f t="shared" si="248"/>
        <v>0</v>
      </c>
      <c r="JM27" s="46" cm="1">
        <f t="array" ref="JM27">ROUND(IFERROR(INDEX(ArchiveResults!$F$5:$IX$116,ComparisonData!A27,ComparisonData!$JM$1),0),5)</f>
        <v>0</v>
      </c>
      <c r="JN27" s="46" cm="1">
        <f t="array" ref="JN27">ROUND(IFERROR(INDEX(ArchiveResults!$F$5:$IX$116,ComparisonData!A27,ComparisonData!$JN$1),0),5)</f>
        <v>0</v>
      </c>
      <c r="JO27" s="46" cm="1">
        <f t="array" ref="JO27">ROUND(IFERROR(INDEX(ArchiveResults!$F$5:$IX$116,ComparisonData!A27,ComparisonData!$JO$1),0),5)</f>
        <v>0</v>
      </c>
      <c r="JP27" s="46" cm="1">
        <f t="array" ref="JP27">ROUND(IFERROR(INDEX(ArchiveResults!$F$5:$IX$116,ComparisonData!A27,ComparisonData!$JP$1),0),5)</f>
        <v>0</v>
      </c>
      <c r="JQ27" s="45" cm="1">
        <f t="array" ref="JQ27">IFERROR(INDEX(ArchiveResults!$F$5:$IX$116,ComparisonData!A27,ComparisonData!$JQ$1),0)</f>
        <v>0</v>
      </c>
      <c r="JR27" s="56">
        <v>22</v>
      </c>
      <c r="JS27" s="53" t="str">
        <f t="shared" si="42"/>
        <v>Derbyshire Record Office</v>
      </c>
      <c r="JT27" s="59">
        <f t="shared" si="249"/>
        <v>0</v>
      </c>
      <c r="JU27" s="59">
        <f t="shared" si="250"/>
        <v>0</v>
      </c>
      <c r="JV27" s="59">
        <f t="shared" si="251"/>
        <v>0</v>
      </c>
      <c r="JW27" s="59">
        <f t="shared" si="252"/>
        <v>0</v>
      </c>
      <c r="JX27" s="59">
        <f t="shared" si="253"/>
        <v>0</v>
      </c>
      <c r="JY27" s="58">
        <f t="shared" si="254"/>
        <v>0</v>
      </c>
      <c r="JZ27" s="45">
        <f t="shared" si="255"/>
        <v>25</v>
      </c>
      <c r="KA27" s="45">
        <f t="shared" si="43"/>
        <v>2.5589999999999997</v>
      </c>
      <c r="KB27" s="45">
        <f t="shared" si="256"/>
        <v>1</v>
      </c>
      <c r="KC27" s="45">
        <f t="shared" si="257"/>
        <v>2</v>
      </c>
      <c r="KD27" s="45">
        <f t="shared" si="258"/>
        <v>0</v>
      </c>
      <c r="KE27" s="46" cm="1">
        <f t="array" ref="KE27">ROUND(IFERROR(INDEX(ArchiveResults!$F$5:$IX$116,ComparisonData!A27,ComparisonData!$KE$1),0),5)</f>
        <v>0</v>
      </c>
      <c r="KF27" s="46" cm="1">
        <f t="array" ref="KF27">ROUND(IFERROR(INDEX(ArchiveResults!$F$5:$IX$116,ComparisonData!A27,ComparisonData!$KF$1),0),5)</f>
        <v>0</v>
      </c>
      <c r="KG27" s="46" cm="1">
        <f t="array" ref="KG27">ROUND(IFERROR(INDEX(ArchiveResults!$F$5:$IX$116,ComparisonData!A27,ComparisonData!$KG$1),0),5)</f>
        <v>0</v>
      </c>
      <c r="KH27" s="46" cm="1">
        <f t="array" ref="KH27">ROUND(IFERROR(INDEX(ArchiveResults!$F$5:$IX$116,ComparisonData!A27,ComparisonData!$KH$1),0),5)</f>
        <v>0</v>
      </c>
      <c r="KI27" s="45" cm="1">
        <f t="array" ref="KI27">IFERROR(INDEX(ArchiveResults!$F$5:$IX$116,ComparisonData!A27,ComparisonData!$KI$1),0)</f>
        <v>0</v>
      </c>
      <c r="KJ27" s="56">
        <v>22</v>
      </c>
      <c r="KK27" s="53" t="str">
        <f t="shared" si="44"/>
        <v>Derbyshire Record Office</v>
      </c>
      <c r="KL27" s="59">
        <f t="shared" si="259"/>
        <v>0</v>
      </c>
      <c r="KM27" s="59">
        <f t="shared" si="260"/>
        <v>0</v>
      </c>
      <c r="KN27" s="59">
        <f t="shared" si="261"/>
        <v>0</v>
      </c>
      <c r="KO27" s="59">
        <f t="shared" si="262"/>
        <v>0</v>
      </c>
      <c r="KP27" s="59">
        <f t="shared" si="263"/>
        <v>0</v>
      </c>
      <c r="KQ27" s="58">
        <f t="shared" si="264"/>
        <v>0</v>
      </c>
      <c r="KR27" s="45">
        <f t="shared" si="265"/>
        <v>25</v>
      </c>
      <c r="KS27" s="45">
        <f t="shared" si="45"/>
        <v>2.5589999999999997</v>
      </c>
      <c r="KT27" s="45">
        <f t="shared" si="266"/>
        <v>1</v>
      </c>
      <c r="KU27" s="45">
        <f t="shared" si="267"/>
        <v>2</v>
      </c>
      <c r="KV27" s="45">
        <f t="shared" si="268"/>
        <v>0</v>
      </c>
      <c r="KW27" s="46" cm="1">
        <f t="array" ref="KW27">ROUND(IFERROR(INDEX(ArchiveResults!$F$5:$IX$116,ComparisonData!A27,ComparisonData!$KW$1),0),5)</f>
        <v>0</v>
      </c>
      <c r="KX27" s="46" cm="1">
        <f t="array" ref="KX27">ROUND(IFERROR(INDEX(ArchiveResults!$F$5:$IX$116,ComparisonData!A27,ComparisonData!$KX$1),0),5)</f>
        <v>0</v>
      </c>
      <c r="KY27" s="46" cm="1">
        <f t="array" ref="KY27">ROUND(IFERROR(INDEX(ArchiveResults!$F$5:$IX$116,ComparisonData!A27,ComparisonData!$KY$1),0),5)</f>
        <v>0</v>
      </c>
      <c r="KZ27" s="46" cm="1">
        <f t="array" ref="KZ27">ROUND(IFERROR(INDEX(ArchiveResults!$F$5:$IX$116,ComparisonData!A27,ComparisonData!$KZ$1),0),5)</f>
        <v>0</v>
      </c>
      <c r="LA27" s="45" cm="1">
        <f t="array" ref="LA27">IFERROR(INDEX(ArchiveResults!$F$5:$IX$116,ComparisonData!A27,ComparisonData!$LA$1),0)</f>
        <v>0</v>
      </c>
      <c r="LB27" s="56">
        <v>22</v>
      </c>
      <c r="LC27" s="53" t="str">
        <f t="shared" si="46"/>
        <v>Derbyshire Record Office</v>
      </c>
      <c r="LD27" s="59">
        <f t="shared" si="269"/>
        <v>0</v>
      </c>
      <c r="LE27" s="59">
        <f t="shared" si="270"/>
        <v>0</v>
      </c>
      <c r="LF27" s="59">
        <f t="shared" si="271"/>
        <v>0</v>
      </c>
      <c r="LG27" s="59">
        <f t="shared" si="272"/>
        <v>0</v>
      </c>
      <c r="LH27" s="59">
        <f t="shared" si="273"/>
        <v>0</v>
      </c>
      <c r="LI27" s="58">
        <f t="shared" si="274"/>
        <v>0</v>
      </c>
      <c r="LJ27" s="45">
        <f t="shared" si="275"/>
        <v>25</v>
      </c>
      <c r="LK27" s="45">
        <f t="shared" si="47"/>
        <v>2.5589999999999997</v>
      </c>
      <c r="LL27" s="45">
        <f t="shared" si="276"/>
        <v>1</v>
      </c>
      <c r="LM27" s="45">
        <f t="shared" si="277"/>
        <v>2</v>
      </c>
      <c r="LN27" s="45">
        <f t="shared" si="278"/>
        <v>0</v>
      </c>
      <c r="LO27" s="46" cm="1">
        <f t="array" ref="LO27">ROUND(IFERROR(INDEX(ArchiveResults!$F$5:$IX$116,ComparisonData!A27,ComparisonData!$LO$1),0),5)</f>
        <v>0</v>
      </c>
      <c r="LP27" s="46" cm="1">
        <f t="array" ref="LP27">ROUND(IFERROR(INDEX(ArchiveResults!$F$5:$IX$116,ComparisonData!A27,ComparisonData!$LP$1),0),5)</f>
        <v>0</v>
      </c>
      <c r="LQ27" s="46" cm="1">
        <f t="array" ref="LQ27">ROUND(IFERROR(INDEX(ArchiveResults!$F$5:$IX$116,ComparisonData!A27,ComparisonData!$LQ$1),0),5)</f>
        <v>0</v>
      </c>
      <c r="LR27" s="46" cm="1">
        <f t="array" ref="LR27">ROUND(IFERROR(INDEX(ArchiveResults!$F$5:$IX$116,ComparisonData!A27,ComparisonData!$LR$1),0),5)</f>
        <v>0</v>
      </c>
      <c r="LS27" s="45" cm="1">
        <f t="array" ref="LS27">IFERROR(INDEX(ArchiveResults!$F$5:$IX$116,ComparisonData!A27,ComparisonData!$LS$1),0)</f>
        <v>0</v>
      </c>
      <c r="LT27" s="56">
        <v>22</v>
      </c>
      <c r="LU27" s="53" t="str">
        <f t="shared" si="48"/>
        <v>Derbyshire Record Office</v>
      </c>
      <c r="LV27" s="59">
        <f t="shared" si="279"/>
        <v>0</v>
      </c>
      <c r="LW27" s="59">
        <f t="shared" si="280"/>
        <v>0</v>
      </c>
      <c r="LX27" s="59">
        <f t="shared" si="281"/>
        <v>0</v>
      </c>
      <c r="LY27" s="59">
        <f t="shared" si="282"/>
        <v>0</v>
      </c>
      <c r="LZ27" s="59">
        <f t="shared" si="283"/>
        <v>0</v>
      </c>
      <c r="MA27" s="58">
        <f t="shared" si="284"/>
        <v>0</v>
      </c>
      <c r="MB27" s="45">
        <f t="shared" si="285"/>
        <v>25</v>
      </c>
      <c r="MC27" s="45">
        <f t="shared" si="49"/>
        <v>2.5589999999999997</v>
      </c>
      <c r="MD27" s="45">
        <f t="shared" si="286"/>
        <v>1</v>
      </c>
      <c r="ME27" s="45">
        <f t="shared" si="287"/>
        <v>2</v>
      </c>
      <c r="MF27" s="45">
        <f t="shared" si="288"/>
        <v>0</v>
      </c>
      <c r="MG27" s="46" cm="1">
        <f t="array" ref="MG27">ROUND(IFERROR(INDEX(ArchiveResults!$F$5:$IX$116,ComparisonData!A27,ComparisonData!$MG$1),0),5)</f>
        <v>0</v>
      </c>
      <c r="MH27" s="46" cm="1">
        <f t="array" ref="MH27">ROUND(IFERROR(INDEX(ArchiveResults!$F$5:$IX$116,ComparisonData!A27,ComparisonData!$MH$1),0),5)</f>
        <v>0</v>
      </c>
      <c r="MI27" s="46" cm="1">
        <f t="array" ref="MI27">ROUND(IFERROR(INDEX(ArchiveResults!$F$5:$IX$116,ComparisonData!A27,ComparisonData!$MI$1),0),5)</f>
        <v>0</v>
      </c>
      <c r="MJ27" s="46" cm="1">
        <f t="array" ref="MJ27">ROUND(IFERROR(INDEX(ArchiveResults!$F$5:$IX$116,ComparisonData!A27,ComparisonData!$MJ$1),0),5)</f>
        <v>0</v>
      </c>
      <c r="MK27" s="45" cm="1">
        <f t="array" ref="MK27">IFERROR(INDEX(ArchiveResults!$F$5:$IX$116,ComparisonData!A27,ComparisonData!$MK$1),0)</f>
        <v>0</v>
      </c>
      <c r="ML27" s="56">
        <v>22</v>
      </c>
      <c r="MM27" s="53" t="str">
        <f t="shared" si="50"/>
        <v>Derbyshire Record Office</v>
      </c>
      <c r="MN27" s="59">
        <f t="shared" si="289"/>
        <v>0</v>
      </c>
      <c r="MO27" s="59">
        <f t="shared" si="290"/>
        <v>0</v>
      </c>
      <c r="MP27" s="59">
        <f t="shared" si="291"/>
        <v>0</v>
      </c>
      <c r="MQ27" s="59">
        <f t="shared" si="292"/>
        <v>0</v>
      </c>
      <c r="MR27" s="59">
        <f t="shared" si="293"/>
        <v>0</v>
      </c>
      <c r="MS27" s="58">
        <f t="shared" si="294"/>
        <v>0</v>
      </c>
      <c r="MT27" s="45">
        <f t="shared" si="295"/>
        <v>25</v>
      </c>
      <c r="MU27" s="45">
        <f t="shared" si="51"/>
        <v>2.5589999999999997</v>
      </c>
      <c r="MV27" s="45">
        <f t="shared" si="296"/>
        <v>1</v>
      </c>
      <c r="MW27" s="45">
        <f t="shared" si="297"/>
        <v>2</v>
      </c>
      <c r="MX27" s="45">
        <f t="shared" si="298"/>
        <v>0</v>
      </c>
      <c r="MY27" s="46" cm="1">
        <f t="array" ref="MY27">ROUND(IFERROR(INDEX(ArchiveResults!$F$5:$IX$116,ComparisonData!A27,ComparisonData!$MY$1),0),5)</f>
        <v>0</v>
      </c>
      <c r="MZ27" s="46" cm="1">
        <f t="array" ref="MZ27">ROUND(IFERROR(INDEX(ArchiveResults!$F$5:$IX$116,ComparisonData!A27,ComparisonData!$MZ$1),0),5)</f>
        <v>0</v>
      </c>
      <c r="NA27" s="46" cm="1">
        <f t="array" ref="NA27">ROUND(IFERROR(INDEX(ArchiveResults!$F$5:$IX$116,ComparisonData!A27,ComparisonData!$NA$1),0),5)</f>
        <v>0</v>
      </c>
      <c r="NB27" s="46" cm="1">
        <f t="array" ref="NB27">ROUND(IFERROR(INDEX(ArchiveResults!$F$5:$IX$116,ComparisonData!A27,ComparisonData!$NB$1),0),5)</f>
        <v>0</v>
      </c>
      <c r="NC27" s="45" cm="1">
        <f t="array" ref="NC27">IFERROR(INDEX(ArchiveResults!$F$5:$IX$116,ComparisonData!A27,ComparisonData!$NC$1),0)</f>
        <v>0</v>
      </c>
      <c r="ND27" s="56">
        <v>22</v>
      </c>
      <c r="NE27" s="53" t="str">
        <f t="shared" si="52"/>
        <v>Derbyshire Record Office</v>
      </c>
      <c r="NF27" s="59">
        <f t="shared" si="299"/>
        <v>0</v>
      </c>
      <c r="NG27" s="59">
        <f t="shared" si="300"/>
        <v>0</v>
      </c>
      <c r="NH27" s="59">
        <f t="shared" si="301"/>
        <v>0</v>
      </c>
      <c r="NI27" s="59">
        <f t="shared" si="302"/>
        <v>0</v>
      </c>
      <c r="NJ27" s="59">
        <f t="shared" si="303"/>
        <v>0</v>
      </c>
      <c r="NK27" s="58">
        <f t="shared" si="304"/>
        <v>0</v>
      </c>
      <c r="NL27" s="45">
        <f t="shared" si="305"/>
        <v>25</v>
      </c>
      <c r="NM27" s="45">
        <f t="shared" si="53"/>
        <v>2.5589999999999997</v>
      </c>
      <c r="NN27" s="45">
        <f t="shared" si="306"/>
        <v>1</v>
      </c>
      <c r="NO27" s="45">
        <f t="shared" si="307"/>
        <v>2</v>
      </c>
      <c r="NP27" s="46" cm="1">
        <f t="array" ref="NP27">ROUND(IFERROR(INDEX(ArchiveResults!$F$5:$IX$116,ComparisonData!A27,ComparisonData!$NP$1),0),5)</f>
        <v>0</v>
      </c>
      <c r="NQ27" s="46" cm="1">
        <f t="array" ref="NQ27">ROUND(IFERROR(INDEX(ArchiveResults!$F$5:$IX$116,ComparisonData!A27,ComparisonData!$NQ$1),0),5)</f>
        <v>0</v>
      </c>
      <c r="NR27" s="46" cm="1">
        <f t="array" ref="NR27">ROUND(IFERROR(INDEX(ArchiveResults!$F$5:$IX$116,ComparisonData!A27,ComparisonData!$NR$1),0),5)</f>
        <v>0</v>
      </c>
      <c r="NS27" s="46" cm="1">
        <f t="array" ref="NS27">ROUND(IFERROR(INDEX(ArchiveResults!$F$5:$IX$116,ComparisonData!A27,ComparisonData!$NS$1),0),5)</f>
        <v>0</v>
      </c>
      <c r="NT27" s="45" cm="1">
        <f t="array" ref="NT27">IFERROR(INDEX(ArchiveResults!$F$5:$IX$116,ComparisonData!A27,ComparisonData!$NT$1),0)</f>
        <v>0</v>
      </c>
      <c r="NU27" s="56">
        <v>22</v>
      </c>
      <c r="NV27" s="53" t="str">
        <f t="shared" si="54"/>
        <v>Derbyshire Record Office</v>
      </c>
      <c r="NW27" s="59">
        <f t="shared" si="308"/>
        <v>0</v>
      </c>
      <c r="NX27" s="59">
        <f t="shared" si="309"/>
        <v>0</v>
      </c>
      <c r="NY27" s="59">
        <f t="shared" si="310"/>
        <v>0</v>
      </c>
      <c r="NZ27" s="59">
        <f t="shared" si="311"/>
        <v>0</v>
      </c>
      <c r="OA27" s="59">
        <f t="shared" si="312"/>
        <v>0</v>
      </c>
      <c r="OB27" s="58">
        <f t="shared" si="313"/>
        <v>0</v>
      </c>
      <c r="OC27" s="45">
        <f t="shared" si="314"/>
        <v>25</v>
      </c>
      <c r="OD27" s="45">
        <f t="shared" si="55"/>
        <v>2.5589999999999997</v>
      </c>
      <c r="OE27" s="45">
        <f t="shared" si="315"/>
        <v>1</v>
      </c>
      <c r="OF27" s="45">
        <f t="shared" si="316"/>
        <v>2</v>
      </c>
      <c r="OG27" s="46">
        <f t="shared" si="317"/>
        <v>0</v>
      </c>
      <c r="OH27" s="46" cm="1">
        <f t="array" ref="OH27">ROUND(IFERROR(INDEX(ArchiveResults!$F$5:$IX$116,ComparisonData!A27,ComparisonData!$OH$1),0),5)</f>
        <v>0</v>
      </c>
      <c r="OI27" s="46" cm="1">
        <f t="array" ref="OI27">ROUND(IFERROR(INDEX(ArchiveResults!$F$5:$IX$116,ComparisonData!A27,ComparisonData!$OI$1),0),5)</f>
        <v>0</v>
      </c>
      <c r="OJ27" s="46" cm="1">
        <f t="array" ref="OJ27">ROUND(IFERROR(INDEX(ArchiveResults!$F$5:$IX$116,ComparisonData!A27,ComparisonData!$OJ$1),0),5)</f>
        <v>0</v>
      </c>
      <c r="OK27" s="46" cm="1">
        <f t="array" ref="OK27">ROUND(IFERROR(INDEX(ArchiveResults!$F$5:$IX$116,ComparisonData!A27,ComparisonData!$OK$1),0),5)</f>
        <v>0</v>
      </c>
      <c r="OL27" s="45" cm="1">
        <f t="array" ref="OL27">IFERROR(INDEX(ArchiveResults!$F$5:$IX$116,ComparisonData!A27,ComparisonData!$OL$1),0)</f>
        <v>0</v>
      </c>
      <c r="OM27" s="56">
        <v>22</v>
      </c>
      <c r="ON27" s="53" t="str">
        <f t="shared" si="56"/>
        <v>Derbyshire Record Office</v>
      </c>
      <c r="OO27" s="59">
        <f t="shared" si="318"/>
        <v>0</v>
      </c>
      <c r="OP27" s="59">
        <f t="shared" si="319"/>
        <v>0</v>
      </c>
      <c r="OQ27" s="59">
        <f t="shared" si="320"/>
        <v>0</v>
      </c>
      <c r="OR27" s="59">
        <f t="shared" si="321"/>
        <v>0</v>
      </c>
      <c r="OS27" s="59">
        <f t="shared" si="322"/>
        <v>0</v>
      </c>
      <c r="OT27" s="58">
        <f t="shared" si="323"/>
        <v>0</v>
      </c>
      <c r="OU27" s="45">
        <f t="shared" si="324"/>
        <v>25</v>
      </c>
      <c r="OV27" s="45">
        <f t="shared" si="57"/>
        <v>2.5589999999999997</v>
      </c>
      <c r="OW27" s="45">
        <f t="shared" si="325"/>
        <v>1</v>
      </c>
      <c r="OX27" s="45">
        <f t="shared" si="326"/>
        <v>2</v>
      </c>
      <c r="OY27" s="45">
        <f t="shared" si="327"/>
        <v>0</v>
      </c>
      <c r="OZ27" s="46" cm="1">
        <f t="array" ref="OZ27">ROUND(IFERROR(INDEX(ArchiveResults!$F$5:$IX$116,ComparisonData!A27,ComparisonData!$OZ$1),0),5)</f>
        <v>0</v>
      </c>
      <c r="PA27" s="46" cm="1">
        <f t="array" ref="PA27">ROUND(IFERROR(INDEX(ArchiveResults!$F$5:$IX$116,ComparisonData!A27,ComparisonData!$PA$1),0),5)</f>
        <v>0</v>
      </c>
      <c r="PB27" s="46" cm="1">
        <f t="array" ref="PB27">ROUND(IFERROR(INDEX(ArchiveResults!$F$5:$IX$116,ComparisonData!A27,ComparisonData!$PB$1),0),5)</f>
        <v>0</v>
      </c>
      <c r="PC27" s="46" cm="1">
        <f t="array" ref="PC27">ROUND(IFERROR(INDEX(ArchiveResults!$F$5:$IX$116,ComparisonData!A27,ComparisonData!$PC$1),0),5)</f>
        <v>0</v>
      </c>
      <c r="PD27" s="45" cm="1">
        <f t="array" ref="PD27">IFERROR(INDEX(ArchiveResults!$F$5:$IX$116,ComparisonData!A27,ComparisonData!$PD$1),0)</f>
        <v>0</v>
      </c>
      <c r="PE27" s="56">
        <v>22</v>
      </c>
      <c r="PF27" s="53" t="str">
        <f t="shared" si="58"/>
        <v>Derbyshire Record Office</v>
      </c>
      <c r="PG27" s="59">
        <f t="shared" si="328"/>
        <v>0</v>
      </c>
      <c r="PH27" s="59">
        <f t="shared" si="329"/>
        <v>0</v>
      </c>
      <c r="PI27" s="59">
        <f t="shared" si="330"/>
        <v>0</v>
      </c>
      <c r="PJ27" s="59">
        <f t="shared" si="331"/>
        <v>0</v>
      </c>
      <c r="PK27" s="59">
        <f t="shared" si="332"/>
        <v>0</v>
      </c>
      <c r="PL27" s="58">
        <f t="shared" si="333"/>
        <v>0</v>
      </c>
      <c r="PM27" s="45">
        <f t="shared" si="334"/>
        <v>25</v>
      </c>
      <c r="PN27" s="45">
        <f t="shared" si="59"/>
        <v>2.5589999999999997</v>
      </c>
      <c r="PO27" s="45">
        <f t="shared" si="335"/>
        <v>1</v>
      </c>
      <c r="PP27" s="45">
        <f t="shared" si="336"/>
        <v>2</v>
      </c>
      <c r="PQ27" s="45">
        <f t="shared" si="337"/>
        <v>0</v>
      </c>
      <c r="PR27" s="46" cm="1">
        <f t="array" ref="PR27">ROUND(IFERROR(INDEX(ArchiveResults!$F$5:$IX$116,ComparisonData!A27,ComparisonData!$PR$1),0),5)</f>
        <v>0</v>
      </c>
      <c r="PS27" s="46" cm="1">
        <f t="array" ref="PS27">ROUND(IFERROR(INDEX(ArchiveResults!$F$5:$IX$116,ComparisonData!A27,ComparisonData!$PS$1),0),5)</f>
        <v>0</v>
      </c>
      <c r="PT27" s="46" cm="1">
        <f t="array" ref="PT27">ROUND(IFERROR(INDEX(ArchiveResults!$F$5:$IX$116,ComparisonData!A27,ComparisonData!$PT$1),0),5)</f>
        <v>0</v>
      </c>
      <c r="PU27" s="46" cm="1">
        <f t="array" ref="PU27">ROUND(IFERROR(INDEX(ArchiveResults!$F$5:$IX$116,ComparisonData!A27,ComparisonData!$PU$1),0),5)</f>
        <v>0</v>
      </c>
      <c r="PV27" s="45" cm="1">
        <f t="array" ref="PV27">IFERROR(INDEX(ArchiveResults!$F$5:$IX$116,ComparisonData!A27,ComparisonData!$PV$1),0)</f>
        <v>0</v>
      </c>
      <c r="PW27" s="56">
        <v>22</v>
      </c>
      <c r="PX27" s="53" t="str">
        <f t="shared" si="60"/>
        <v>Derbyshire Record Office</v>
      </c>
      <c r="PY27" s="59">
        <f t="shared" si="338"/>
        <v>0</v>
      </c>
      <c r="PZ27" s="59">
        <f t="shared" si="339"/>
        <v>0</v>
      </c>
      <c r="QA27" s="59">
        <f t="shared" si="340"/>
        <v>0</v>
      </c>
      <c r="QB27" s="59">
        <f t="shared" si="341"/>
        <v>0</v>
      </c>
      <c r="QC27" s="59">
        <f t="shared" si="342"/>
        <v>0</v>
      </c>
      <c r="QD27" s="58">
        <f t="shared" si="343"/>
        <v>0</v>
      </c>
      <c r="QE27" s="45">
        <f t="shared" si="344"/>
        <v>25</v>
      </c>
      <c r="QF27" s="45">
        <f t="shared" si="61"/>
        <v>2.5589999999999997</v>
      </c>
      <c r="QG27" s="45">
        <f t="shared" si="345"/>
        <v>1</v>
      </c>
      <c r="QH27" s="45">
        <f t="shared" si="346"/>
        <v>2</v>
      </c>
      <c r="QI27" s="45">
        <f t="shared" si="347"/>
        <v>0</v>
      </c>
      <c r="QJ27" s="46" cm="1">
        <f t="array" ref="QJ27">ROUND(IFERROR(INDEX(ArchiveResults!$F$5:$IX$116,ComparisonData!A27,ComparisonData!$QJ$1),0),5)</f>
        <v>0</v>
      </c>
      <c r="QK27" s="46" cm="1">
        <f t="array" ref="QK27">ROUND(IFERROR(INDEX(ArchiveResults!$F$5:$IX$116,ComparisonData!A27,ComparisonData!$QK$1),0),5)</f>
        <v>0</v>
      </c>
      <c r="QL27" s="46" cm="1">
        <f t="array" ref="QL27">ROUND(IFERROR(INDEX(ArchiveResults!$F$5:$IX$116,ComparisonData!A27,ComparisonData!$QL$1),0),5)</f>
        <v>0</v>
      </c>
      <c r="QM27" s="46" cm="1">
        <f t="array" ref="QM27">ROUND(IFERROR(INDEX(ArchiveResults!$F$5:$IX$116,ComparisonData!A27,ComparisonData!$QM$1),0),5)</f>
        <v>0</v>
      </c>
      <c r="QN27" s="45" cm="1">
        <f t="array" ref="QN27">IFERROR(INDEX(ArchiveResults!$F$5:$IX$116,ComparisonData!A27,ComparisonData!$QN$1),0)</f>
        <v>0</v>
      </c>
      <c r="QO27" s="56">
        <v>22</v>
      </c>
      <c r="QP27" s="53" t="str">
        <f t="shared" si="62"/>
        <v>Derbyshire Record Office</v>
      </c>
      <c r="QQ27" s="59">
        <f t="shared" si="348"/>
        <v>0</v>
      </c>
      <c r="QR27" s="59">
        <f t="shared" si="349"/>
        <v>0</v>
      </c>
      <c r="QS27" s="59">
        <f t="shared" si="350"/>
        <v>0</v>
      </c>
      <c r="QT27" s="59">
        <f t="shared" si="351"/>
        <v>0</v>
      </c>
      <c r="QU27" s="59">
        <f t="shared" si="352"/>
        <v>0</v>
      </c>
      <c r="QV27" s="58">
        <f t="shared" si="353"/>
        <v>0</v>
      </c>
      <c r="QW27" s="45">
        <f t="shared" si="354"/>
        <v>25</v>
      </c>
      <c r="QX27" s="45">
        <f t="shared" si="63"/>
        <v>2.5589999999999997</v>
      </c>
      <c r="QY27" s="45">
        <f t="shared" si="355"/>
        <v>1</v>
      </c>
      <c r="QZ27" s="45">
        <f t="shared" si="356"/>
        <v>2</v>
      </c>
      <c r="RA27" s="45">
        <f t="shared" si="357"/>
        <v>0</v>
      </c>
      <c r="RB27" s="46" cm="1">
        <f t="array" ref="RB27">ROUND(IFERROR(INDEX(ArchiveResults!$F$5:$IX$116,ComparisonData!A27,ComparisonData!$RB$1),0),5)</f>
        <v>0</v>
      </c>
      <c r="RC27" s="46" cm="1">
        <f t="array" ref="RC27">ROUND(IFERROR(INDEX(ArchiveResults!$F$5:$IX$116,ComparisonData!A27,ComparisonData!$RC$1),0),5)</f>
        <v>0</v>
      </c>
      <c r="RD27" s="46" cm="1">
        <f t="array" ref="RD27">ROUND(IFERROR(INDEX(ArchiveResults!$F$5:$IX$116,ComparisonData!A27,ComparisonData!$RD$1),0),5)</f>
        <v>0</v>
      </c>
      <c r="RE27" s="46" cm="1">
        <f t="array" ref="RE27">ROUND(IFERROR(INDEX(ArchiveResults!$F$5:$IX$116,ComparisonData!A27,ComparisonData!$RE$1),0),5)</f>
        <v>0</v>
      </c>
      <c r="RF27" s="45" cm="1">
        <f t="array" ref="RF27">IFERROR(INDEX(ArchiveResults!$F$5:$IX$116,ComparisonData!A27,ComparisonData!$RF$1),0)</f>
        <v>0</v>
      </c>
      <c r="RG27" s="56">
        <v>22</v>
      </c>
      <c r="RH27" s="53" t="str">
        <f t="shared" si="64"/>
        <v>Derbyshire Record Office</v>
      </c>
      <c r="RI27" s="59">
        <f t="shared" si="358"/>
        <v>0</v>
      </c>
      <c r="RJ27" s="59">
        <f t="shared" si="359"/>
        <v>0</v>
      </c>
      <c r="RK27" s="59">
        <f t="shared" si="360"/>
        <v>0</v>
      </c>
      <c r="RL27" s="59">
        <f t="shared" si="361"/>
        <v>0</v>
      </c>
      <c r="RM27" s="59">
        <f t="shared" si="362"/>
        <v>0</v>
      </c>
      <c r="RN27" s="58">
        <f t="shared" si="363"/>
        <v>0</v>
      </c>
      <c r="RO27" s="45">
        <f t="shared" si="364"/>
        <v>25</v>
      </c>
      <c r="RP27" s="45">
        <f t="shared" si="65"/>
        <v>2.5589999999999997</v>
      </c>
      <c r="RQ27" s="45">
        <f t="shared" si="365"/>
        <v>1</v>
      </c>
      <c r="RR27" s="45">
        <f t="shared" si="366"/>
        <v>2</v>
      </c>
      <c r="RS27" s="45">
        <f t="shared" si="367"/>
        <v>0</v>
      </c>
      <c r="RT27" s="46" cm="1">
        <f t="array" ref="RT27">ROUND(IFERROR(INDEX(ArchiveResults!$F$5:$IX$116,ComparisonData!A27,ComparisonData!$RT$1),0),5)</f>
        <v>0</v>
      </c>
      <c r="RU27" s="46" cm="1">
        <f t="array" ref="RU27">ROUND(IFERROR(INDEX(ArchiveResults!$F$5:$IX$116,ComparisonData!A27,ComparisonData!$RU$1),0),5)</f>
        <v>0</v>
      </c>
      <c r="RV27" s="46" cm="1">
        <f t="array" ref="RV27">ROUND(IFERROR(INDEX(ArchiveResults!$F$5:$IX$116,ComparisonData!A27,ComparisonData!$RV$1),0),5)</f>
        <v>0</v>
      </c>
      <c r="RW27" s="46" cm="1">
        <f t="array" ref="RW27">ROUND(IFERROR(INDEX(ArchiveResults!$F$5:$IX$116,ComparisonData!A27,ComparisonData!$RW$1),0),5)</f>
        <v>0</v>
      </c>
      <c r="RX27" s="45" cm="1">
        <f t="array" ref="RX27">IFERROR(INDEX(ArchiveResults!$F$5:$IX$116,ComparisonData!A27,ComparisonData!$RX$1),0)</f>
        <v>0</v>
      </c>
      <c r="RY27" s="56">
        <v>22</v>
      </c>
      <c r="RZ27" s="53" t="str">
        <f t="shared" si="66"/>
        <v>Derbyshire Record Office</v>
      </c>
      <c r="SA27" s="59">
        <f t="shared" si="368"/>
        <v>0</v>
      </c>
      <c r="SB27" s="59">
        <f t="shared" si="369"/>
        <v>0</v>
      </c>
      <c r="SC27" s="59">
        <f t="shared" si="370"/>
        <v>0</v>
      </c>
      <c r="SD27" s="59">
        <f t="shared" si="371"/>
        <v>0</v>
      </c>
      <c r="SE27" s="59">
        <f t="shared" si="372"/>
        <v>0</v>
      </c>
      <c r="SF27" s="58">
        <f t="shared" si="373"/>
        <v>0</v>
      </c>
      <c r="SG27" s="45">
        <f t="shared" si="374"/>
        <v>25</v>
      </c>
      <c r="SH27" s="45">
        <f t="shared" si="67"/>
        <v>2.5589999999999997</v>
      </c>
      <c r="SI27" s="45">
        <f t="shared" si="375"/>
        <v>1</v>
      </c>
      <c r="SJ27" s="45">
        <f t="shared" si="376"/>
        <v>2</v>
      </c>
      <c r="SK27" s="45">
        <f t="shared" si="377"/>
        <v>0</v>
      </c>
      <c r="SL27" s="46" cm="1">
        <f t="array" ref="SL27">ROUND(IFERROR(INDEX(ArchiveResults!$F$5:$IX$116,ComparisonData!A27,ComparisonData!$SL$1),0),5)</f>
        <v>0</v>
      </c>
      <c r="SM27" s="46" cm="1">
        <f t="array" ref="SM27">ROUND(IFERROR(INDEX(ArchiveResults!$F$5:$IX$116,ComparisonData!A27,ComparisonData!$SM$1),0),5)</f>
        <v>0</v>
      </c>
      <c r="SN27" s="46" cm="1">
        <f t="array" ref="SN27">ROUND(IFERROR(INDEX(ArchiveResults!$F$5:$IX$116,ComparisonData!A27,ComparisonData!$SN$1),0),5)</f>
        <v>0</v>
      </c>
      <c r="SO27" s="46" cm="1">
        <f t="array" ref="SO27">ROUND(IFERROR(INDEX(ArchiveResults!$F$5:$IX$116,ComparisonData!A27,ComparisonData!$SO$1),0),5)</f>
        <v>0</v>
      </c>
      <c r="SP27" s="45" cm="1">
        <f t="array" ref="SP27">IFERROR(INDEX(ArchiveResults!$F$5:$IX$116,ComparisonData!A27,ComparisonData!$SP$1),0)</f>
        <v>0</v>
      </c>
      <c r="SQ27" s="56">
        <v>22</v>
      </c>
      <c r="SR27" s="53" t="str">
        <f t="shared" si="68"/>
        <v>Derbyshire Record Office</v>
      </c>
      <c r="SS27" s="59">
        <f t="shared" si="378"/>
        <v>0</v>
      </c>
      <c r="ST27" s="59">
        <f t="shared" si="379"/>
        <v>0</v>
      </c>
      <c r="SU27" s="59">
        <f t="shared" si="380"/>
        <v>0</v>
      </c>
      <c r="SV27" s="59">
        <f t="shared" si="381"/>
        <v>0</v>
      </c>
      <c r="SW27" s="59">
        <f t="shared" si="382"/>
        <v>0</v>
      </c>
      <c r="SX27" s="58">
        <f t="shared" si="383"/>
        <v>0</v>
      </c>
      <c r="SY27" s="45">
        <f t="shared" si="384"/>
        <v>25</v>
      </c>
      <c r="SZ27" s="45">
        <f t="shared" si="69"/>
        <v>2.5589999999999997</v>
      </c>
      <c r="TA27" s="45">
        <f t="shared" si="385"/>
        <v>1</v>
      </c>
      <c r="TB27" s="45">
        <f t="shared" si="386"/>
        <v>2</v>
      </c>
      <c r="TC27" s="45">
        <f t="shared" si="387"/>
        <v>0</v>
      </c>
      <c r="TD27" s="46" cm="1">
        <f t="array" ref="TD27">ROUND(IFERROR(INDEX(ArchiveResults!$F$5:$IX$116,ComparisonData!A27,ComparisonData!$TD$1),0),5)</f>
        <v>0</v>
      </c>
      <c r="TE27" s="46" cm="1">
        <f t="array" ref="TE27">ROUND(IFERROR(INDEX(ArchiveResults!$F$5:$IX$116,ComparisonData!A27,ComparisonData!$TE$1),0),5)</f>
        <v>0</v>
      </c>
      <c r="TF27" s="46" cm="1">
        <f t="array" ref="TF27">ROUND(IFERROR(INDEX(ArchiveResults!$F$5:$IX$116,ComparisonData!A27,ComparisonData!$TF$1),0),5)</f>
        <v>0</v>
      </c>
      <c r="TG27" s="46" cm="1">
        <f t="array" ref="TG27">ROUND(IFERROR(INDEX(ArchiveResults!$F$5:$IX$116,ComparisonData!A27,ComparisonData!$TG$1),0),5)</f>
        <v>0</v>
      </c>
      <c r="TH27" s="45" cm="1">
        <f t="array" ref="TH27">IFERROR(INDEX(ArchiveResults!$F$5:$IX$116,ComparisonData!A27,ComparisonData!$TH$1),0)</f>
        <v>0</v>
      </c>
      <c r="TI27" s="56">
        <v>22</v>
      </c>
      <c r="TJ27" s="53" t="str">
        <f t="shared" si="70"/>
        <v>Derbyshire Record Office</v>
      </c>
      <c r="TK27" s="59">
        <f t="shared" si="388"/>
        <v>0</v>
      </c>
      <c r="TL27" s="59">
        <f t="shared" si="389"/>
        <v>0</v>
      </c>
      <c r="TM27" s="59">
        <f t="shared" si="390"/>
        <v>0</v>
      </c>
      <c r="TN27" s="59">
        <f t="shared" si="391"/>
        <v>0</v>
      </c>
      <c r="TO27" s="59">
        <f t="shared" si="392"/>
        <v>0</v>
      </c>
      <c r="TP27" s="58">
        <f t="shared" si="393"/>
        <v>0</v>
      </c>
      <c r="TQ27" s="45">
        <f t="shared" si="394"/>
        <v>25</v>
      </c>
      <c r="TR27" s="45">
        <f t="shared" si="71"/>
        <v>2.5589999999999997</v>
      </c>
      <c r="TS27" s="45">
        <f t="shared" si="395"/>
        <v>1</v>
      </c>
      <c r="TT27" s="45">
        <f t="shared" si="396"/>
        <v>2</v>
      </c>
      <c r="TU27" s="45">
        <f t="shared" si="397"/>
        <v>0</v>
      </c>
      <c r="TV27" s="46" cm="1">
        <f t="array" ref="TV27">ROUND(IFERROR(INDEX(ArchiveResults!$F$5:$IX$116,ComparisonData!A27,ComparisonData!$TV$1),0),5)</f>
        <v>0</v>
      </c>
      <c r="TW27" s="46" cm="1">
        <f t="array" ref="TW27">ROUND(IFERROR(INDEX(ArchiveResults!$F$5:$IX$116,ComparisonData!A27,ComparisonData!$TW$1),0),5)</f>
        <v>0</v>
      </c>
      <c r="TX27" s="46" cm="1">
        <f t="array" ref="TX27">ROUND(IFERROR(INDEX(ArchiveResults!$F$5:$IX$116,ComparisonData!A27,ComparisonData!$TX$1),0),5)</f>
        <v>0</v>
      </c>
      <c r="TY27" s="46" cm="1">
        <f t="array" ref="TY27">ROUND(IFERROR(INDEX(ArchiveResults!$F$5:$IX$116,ComparisonData!A27,ComparisonData!$TY$1),0),5)</f>
        <v>0</v>
      </c>
      <c r="TZ27" s="45" cm="1">
        <f t="array" ref="TZ27">IFERROR(INDEX(ArchiveResults!$F$5:$IX$116,ComparisonData!A27,ComparisonData!$TZ$1),0)</f>
        <v>0</v>
      </c>
      <c r="UA27" s="56">
        <v>22</v>
      </c>
      <c r="UB27" s="53" t="str">
        <f t="shared" si="72"/>
        <v>Derbyshire Record Office</v>
      </c>
      <c r="UC27" s="60">
        <f t="shared" si="398"/>
        <v>0</v>
      </c>
      <c r="UD27" s="60">
        <f t="shared" si="399"/>
        <v>0</v>
      </c>
      <c r="UE27" s="60">
        <f t="shared" si="400"/>
        <v>0</v>
      </c>
      <c r="UF27" s="60">
        <f t="shared" si="401"/>
        <v>0</v>
      </c>
      <c r="UG27" s="60">
        <f t="shared" si="402"/>
        <v>0</v>
      </c>
      <c r="UH27" s="58">
        <f t="shared" si="403"/>
        <v>0</v>
      </c>
      <c r="UI27" s="46">
        <f t="shared" si="404"/>
        <v>25</v>
      </c>
      <c r="UJ27" s="46">
        <f t="shared" si="73"/>
        <v>2.5589999999999997</v>
      </c>
      <c r="UK27" s="46">
        <f t="shared" si="405"/>
        <v>1</v>
      </c>
      <c r="UL27" s="46">
        <f t="shared" si="406"/>
        <v>2</v>
      </c>
      <c r="UM27" s="46" cm="1">
        <f t="array" ref="UM27">ROUND(IFERROR(INDEX(ArchiveResults!$F$5:$IX$116,ComparisonData!A27,ComparisonData!$UM$1),0),5)</f>
        <v>0</v>
      </c>
      <c r="UN27" s="56">
        <v>22</v>
      </c>
      <c r="UO27" s="53" t="str">
        <f t="shared" si="74"/>
        <v>Derbyshire Record Office</v>
      </c>
      <c r="UP27" s="46">
        <f t="shared" si="407"/>
        <v>0</v>
      </c>
      <c r="UQ27" s="76">
        <f t="shared" si="408"/>
        <v>0</v>
      </c>
      <c r="UR27" s="46">
        <f t="shared" si="409"/>
        <v>25</v>
      </c>
      <c r="US27" s="46">
        <f t="shared" si="75"/>
        <v>2.5589999999999997</v>
      </c>
      <c r="UT27" s="46">
        <f t="shared" si="410"/>
        <v>1</v>
      </c>
      <c r="UU27" s="46">
        <f t="shared" si="411"/>
        <v>2</v>
      </c>
      <c r="UV27" s="46">
        <f t="shared" si="412"/>
        <v>0</v>
      </c>
      <c r="UW27" s="46" cm="1">
        <f t="array" ref="UW27">ROUND(IFERROR(INDEX(ArchiveResults!$F$5:$IX$116,ComparisonData!A27,ComparisonData!$UW$1),0),5)</f>
        <v>0</v>
      </c>
      <c r="UX27" s="46" cm="1">
        <f t="array" ref="UX27">ROUND(IFERROR(INDEX(ArchiveResults!$F$5:$IX$116,ComparisonData!A27,ComparisonData!$UX$1),0),5)</f>
        <v>0</v>
      </c>
      <c r="UY27" s="46" cm="1">
        <f t="array" ref="UY27">ROUND(IFERROR(INDEX(ArchiveResults!$F$5:$IX$116,ComparisonData!A27,ComparisonData!$UY$1),0),5)</f>
        <v>0</v>
      </c>
      <c r="UZ27" s="46" cm="1">
        <f t="array" ref="UZ27">ROUND(IFERROR(INDEX(ArchiveResults!$F$5:$IX$116,ComparisonData!A27,ComparisonData!$UZ$1),0),5)</f>
        <v>0</v>
      </c>
      <c r="VA27" s="46" cm="1">
        <f t="array" ref="VA27">ROUND(IFERROR(INDEX(ArchiveResults!$F$5:$IX$116,ComparisonData!A27,ComparisonData!$VA$1),0),5)</f>
        <v>0</v>
      </c>
      <c r="VB27" s="56">
        <v>22</v>
      </c>
      <c r="VC27" s="53" t="str">
        <f t="shared" si="76"/>
        <v>Derbyshire Record Office</v>
      </c>
      <c r="VD27" s="60">
        <f t="shared" si="413"/>
        <v>0</v>
      </c>
      <c r="VE27" s="60">
        <f t="shared" si="414"/>
        <v>0</v>
      </c>
      <c r="VF27" s="60">
        <f t="shared" si="415"/>
        <v>0</v>
      </c>
      <c r="VG27" s="60">
        <f t="shared" si="416"/>
        <v>0</v>
      </c>
      <c r="VH27" s="60">
        <f t="shared" si="417"/>
        <v>0</v>
      </c>
      <c r="VI27" s="76">
        <f t="shared" si="418"/>
        <v>0</v>
      </c>
      <c r="VJ27" s="46">
        <f t="shared" si="419"/>
        <v>25</v>
      </c>
      <c r="VK27" s="46">
        <f t="shared" si="77"/>
        <v>2.5589999999999997</v>
      </c>
      <c r="VL27" s="46">
        <f t="shared" si="420"/>
        <v>1</v>
      </c>
      <c r="VM27" s="46">
        <f t="shared" si="421"/>
        <v>2</v>
      </c>
      <c r="VN27" s="46" cm="1">
        <f t="array" ref="VN27">ROUND(IFERROR(INDEX(ArchiveResults!$F$5:$IX$116,ComparisonData!A27,ComparisonData!$VN$1),0),5)</f>
        <v>0</v>
      </c>
      <c r="VO27" s="46" cm="1">
        <f t="array" ref="VO27">ROUND(IFERROR(INDEX(ArchiveResults!$F$5:$IX$116,ComparisonData!A27,ComparisonData!$VO$1),0),5)</f>
        <v>0</v>
      </c>
      <c r="VP27" s="46" cm="1">
        <f t="array" ref="VP27">ROUND(IFERROR(INDEX(ArchiveResults!$F$5:$IX$116,ComparisonData!A27,ComparisonData!$VP$1),0),5)</f>
        <v>0</v>
      </c>
      <c r="VQ27" s="46" cm="1">
        <f t="array" ref="VQ27">ROUND(IFERROR(INDEX(ArchiveResults!$F$5:$IX$116,ComparisonData!A27,ComparisonData!$VQ$1),0),5)</f>
        <v>0</v>
      </c>
      <c r="VR27" s="56">
        <v>22</v>
      </c>
      <c r="VS27" s="53" t="str">
        <f t="shared" si="78"/>
        <v>Derbyshire Record Office</v>
      </c>
      <c r="VT27" s="60">
        <f t="shared" si="422"/>
        <v>0</v>
      </c>
      <c r="VU27" s="60">
        <f t="shared" si="423"/>
        <v>0</v>
      </c>
      <c r="VV27" s="60">
        <f t="shared" si="424"/>
        <v>0</v>
      </c>
      <c r="VW27" s="60">
        <f t="shared" si="425"/>
        <v>0</v>
      </c>
      <c r="VX27" s="76">
        <f t="shared" si="426"/>
        <v>0</v>
      </c>
      <c r="VY27" s="46">
        <f t="shared" si="427"/>
        <v>25</v>
      </c>
      <c r="VZ27" s="46">
        <f t="shared" si="79"/>
        <v>2.5589999999999997</v>
      </c>
      <c r="WA27" s="46">
        <f t="shared" si="428"/>
        <v>1</v>
      </c>
      <c r="WB27" s="46">
        <f t="shared" si="429"/>
        <v>2</v>
      </c>
      <c r="WC27" s="46" cm="1">
        <f t="array" ref="WC27">ROUND(IFERROR(INDEX(ArchiveResults!$F$5:$IX$116,ComparisonData!A27,ComparisonData!$WC$1),0),5)</f>
        <v>0</v>
      </c>
      <c r="WD27" s="56">
        <v>22</v>
      </c>
      <c r="WE27" s="53" t="str">
        <f t="shared" si="80"/>
        <v>Derbyshire Record Office</v>
      </c>
      <c r="WF27" s="46">
        <f t="shared" si="430"/>
        <v>0</v>
      </c>
      <c r="WG27" s="76">
        <f t="shared" si="431"/>
        <v>0</v>
      </c>
      <c r="WH27" s="46">
        <f t="shared" si="432"/>
        <v>25</v>
      </c>
      <c r="WI27" s="46">
        <f t="shared" si="81"/>
        <v>2.5589999999999997</v>
      </c>
      <c r="WJ27" s="46">
        <f t="shared" si="433"/>
        <v>1</v>
      </c>
      <c r="WK27" s="46">
        <f t="shared" si="434"/>
        <v>2</v>
      </c>
      <c r="WL27" s="46" cm="1">
        <f t="array" ref="WL27">ROUND(IFERROR(INDEX(ArchiveResults!$F$5:$IX$116,ComparisonData!A27,ComparisonData!$WL$1),0),5)</f>
        <v>0</v>
      </c>
      <c r="WM27" s="46" cm="1">
        <f t="array" ref="WM27">IFERROR(INDEX(ArchiveResults!$F$5:$IX$116,ComparisonData!A27,ComparisonData!$WM$1),0)</f>
        <v>0</v>
      </c>
      <c r="WN27" s="56">
        <v>22</v>
      </c>
      <c r="WO27" s="53" t="str">
        <f t="shared" si="82"/>
        <v>Derbyshire Record Office</v>
      </c>
      <c r="WP27" s="60">
        <f t="shared" si="435"/>
        <v>0</v>
      </c>
      <c r="WQ27" s="60">
        <f t="shared" si="436"/>
        <v>0</v>
      </c>
      <c r="WR27" s="76">
        <f t="shared" si="437"/>
        <v>0</v>
      </c>
      <c r="WS27" s="46">
        <f t="shared" si="438"/>
        <v>25</v>
      </c>
      <c r="WT27" s="46">
        <f t="shared" si="83"/>
        <v>2.5589999999999997</v>
      </c>
      <c r="WU27" s="46">
        <f t="shared" si="439"/>
        <v>1</v>
      </c>
      <c r="WV27" s="46">
        <f t="shared" si="440"/>
        <v>2</v>
      </c>
      <c r="WW27" s="46" cm="1">
        <f t="array" ref="WW27">ROUND(VALUE(IFERROR(INDEX(ArchiveResults!$F$5:$IX$116,ComparisonData!A27,ComparisonData!$WW$1),0)),5)</f>
        <v>0</v>
      </c>
      <c r="WX27" s="46" cm="1">
        <f t="array" ref="WX27">ROUND(IFERROR(INDEX(ArchiveResults!$F$5:$IX$116,ComparisonData!A27,ComparisonData!$WX$1),0),5)</f>
        <v>0</v>
      </c>
      <c r="WY27" s="56">
        <v>22</v>
      </c>
      <c r="WZ27" s="53" t="str">
        <f t="shared" si="84"/>
        <v>Derbyshire Record Office</v>
      </c>
      <c r="XA27" s="60">
        <f t="shared" si="85"/>
        <v>0</v>
      </c>
      <c r="XB27" s="60">
        <f t="shared" si="86"/>
        <v>0</v>
      </c>
      <c r="XC27" s="76">
        <f t="shared" si="441"/>
        <v>0</v>
      </c>
      <c r="XD27" s="46">
        <f t="shared" si="442"/>
        <v>25</v>
      </c>
      <c r="XE27" s="46">
        <f t="shared" si="87"/>
        <v>2.5589999999999997</v>
      </c>
      <c r="XF27" s="46">
        <f t="shared" si="443"/>
        <v>1</v>
      </c>
      <c r="XG27" s="46">
        <f t="shared" si="444"/>
        <v>2</v>
      </c>
      <c r="XH27" s="46" cm="1">
        <f t="array" ref="XH27">ROUND(VALUE(IFERROR(INDEX(ArchiveResults!$F$5:$IX$116,ComparisonData!A27,ComparisonData!$XH$1),0)),5)</f>
        <v>0</v>
      </c>
      <c r="XI27" s="46" cm="1">
        <f t="array" ref="XI27">ROUND(VALUE(IFERROR(INDEX(ArchiveResults!$F$5:$IX$116,ComparisonData!A27,ComparisonData!$XI$1),0)),5)</f>
        <v>0</v>
      </c>
      <c r="XJ27" s="56">
        <v>22</v>
      </c>
      <c r="XK27" s="53" t="str">
        <f t="shared" si="88"/>
        <v>Derbyshire Record Office</v>
      </c>
      <c r="XL27" s="60">
        <f t="shared" si="445"/>
        <v>0</v>
      </c>
      <c r="XM27" s="60">
        <f t="shared" si="446"/>
        <v>0</v>
      </c>
      <c r="XN27" s="76">
        <f t="shared" si="447"/>
        <v>0</v>
      </c>
      <c r="XO27" s="46">
        <f t="shared" si="448"/>
        <v>25</v>
      </c>
      <c r="XP27" s="46">
        <f t="shared" si="89"/>
        <v>2.5589999999999997</v>
      </c>
      <c r="XQ27" s="46">
        <f t="shared" si="449"/>
        <v>1</v>
      </c>
      <c r="XR27" s="46">
        <f t="shared" si="450"/>
        <v>2</v>
      </c>
      <c r="XS27" s="46" cm="1">
        <f t="array" ref="XS27">ROUND(VALUE(IFERROR(INDEX(ArchiveResults!$F$5:$IX$116,ComparisonData!A27,ComparisonData!$XS$1),0)),5)</f>
        <v>0</v>
      </c>
      <c r="XT27" s="46" cm="1">
        <f t="array" ref="XT27">ROUND(VALUE(IFERROR(INDEX(ArchiveResults!$F$5:$IX$116,ComparisonData!A27,ComparisonData!$XT$1),0)),5)</f>
        <v>0</v>
      </c>
      <c r="XU27" s="56">
        <v>22</v>
      </c>
      <c r="XV27" s="53" t="str">
        <f t="shared" si="90"/>
        <v>Derbyshire Record Office</v>
      </c>
      <c r="XW27" s="60">
        <f t="shared" si="451"/>
        <v>0</v>
      </c>
      <c r="XX27" s="60">
        <f t="shared" si="452"/>
        <v>0</v>
      </c>
      <c r="XY27" s="76">
        <f t="shared" si="453"/>
        <v>0</v>
      </c>
      <c r="XZ27" s="46">
        <f t="shared" si="454"/>
        <v>25</v>
      </c>
      <c r="YA27" s="46">
        <f t="shared" si="91"/>
        <v>2.5589999999999997</v>
      </c>
      <c r="YB27" s="46">
        <f t="shared" si="455"/>
        <v>1</v>
      </c>
      <c r="YC27" s="46">
        <f t="shared" si="456"/>
        <v>2</v>
      </c>
      <c r="YD27" s="46" cm="1">
        <f t="array" ref="YD27">ROUND(VALUE(IFERROR(INDEX(ArchiveResults!$F$5:$IX$116,ComparisonData!A27,ComparisonData!$YD$1),0)),5)</f>
        <v>0</v>
      </c>
      <c r="YE27" s="46" cm="1">
        <f t="array" ref="YE27">ROUND(VALUE(IFERROR(INDEX(ArchiveResults!$F$5:$IX$116,ComparisonData!A27,ComparisonData!$YE$1),0)),5)</f>
        <v>0</v>
      </c>
      <c r="YF27" s="56">
        <v>22</v>
      </c>
      <c r="YG27" s="53" t="str">
        <f t="shared" si="92"/>
        <v>Derbyshire Record Office</v>
      </c>
      <c r="YH27" s="60">
        <f t="shared" si="457"/>
        <v>0</v>
      </c>
      <c r="YI27" s="60">
        <f t="shared" si="458"/>
        <v>0</v>
      </c>
      <c r="YJ27" s="76">
        <f t="shared" si="459"/>
        <v>0</v>
      </c>
      <c r="YK27" s="46">
        <f t="shared" si="460"/>
        <v>25</v>
      </c>
      <c r="YL27" s="46">
        <f t="shared" si="93"/>
        <v>2.5589999999999997</v>
      </c>
      <c r="YM27" s="46">
        <f t="shared" si="461"/>
        <v>1</v>
      </c>
      <c r="YN27" s="46">
        <f t="shared" si="462"/>
        <v>2</v>
      </c>
      <c r="YO27" s="46" cm="1">
        <f t="array" ref="YO27">ROUND(VALUE(IFERROR(INDEX(ArchiveResults!$F$5:$IX$116,ComparisonData!A27,ComparisonData!$YO$1),0)),5)</f>
        <v>0</v>
      </c>
      <c r="YP27" s="46" cm="1">
        <f t="array" ref="YP27">ROUND(VALUE(IFERROR(INDEX(ArchiveResults!$F$5:$IX$116,ComparisonData!A27,ComparisonData!$YP$1),0)),5)</f>
        <v>0</v>
      </c>
      <c r="YQ27" s="56">
        <v>22</v>
      </c>
      <c r="YR27" s="53" t="str">
        <f t="shared" si="94"/>
        <v>Derbyshire Record Office</v>
      </c>
      <c r="YS27" s="60">
        <f t="shared" si="463"/>
        <v>0</v>
      </c>
      <c r="YT27" s="60">
        <f t="shared" si="464"/>
        <v>0</v>
      </c>
      <c r="YU27" s="76">
        <f t="shared" si="465"/>
        <v>0</v>
      </c>
      <c r="YV27" s="46">
        <f t="shared" si="466"/>
        <v>25</v>
      </c>
      <c r="YW27" s="46">
        <f t="shared" si="95"/>
        <v>2.5589999999999997</v>
      </c>
      <c r="YX27" s="46">
        <f t="shared" si="467"/>
        <v>1</v>
      </c>
      <c r="YY27" s="46">
        <f t="shared" si="468"/>
        <v>2</v>
      </c>
      <c r="YZ27" s="46">
        <f t="shared" si="469"/>
        <v>0</v>
      </c>
      <c r="ZA27" s="46" cm="1">
        <f t="array" ref="ZA27">ROUNDDOWN(VALUE(IFERROR(INDEX(ArchiveResults!$F$5:$IX$116,ComparisonData!A27,ComparisonData!$ZA$1),0)),5)</f>
        <v>0</v>
      </c>
      <c r="ZB27" s="46" cm="1">
        <f t="array" ref="ZB27">ROUNDDOWN(VALUE(IFERROR(INDEX(ArchiveResults!$F$5:$IX$116,ComparisonData!A27,ComparisonData!$ZB$1),0)),5)</f>
        <v>0</v>
      </c>
      <c r="ZC27" s="46" cm="1">
        <f t="array" ref="ZC27">ROUNDDOWN(VALUE(IFERROR(INDEX(ArchiveResults!$F$5:$IX$116,ComparisonData!A27,ComparisonData!$ZC$1),0)),5)</f>
        <v>0</v>
      </c>
      <c r="ZD27" s="46" cm="1">
        <f t="array" ref="ZD27">ROUNDDOWN(VALUE(IFERROR(INDEX(ArchiveResults!$F$5:$IX$116,ComparisonData!A27,ComparisonData!$ZD$1),0)),5)</f>
        <v>0</v>
      </c>
      <c r="ZE27" s="46" cm="1">
        <f t="array" ref="ZE27">ROUNDDOWN(VALUE(IFERROR(INDEX(ArchiveResults!$F$5:$IX$116,ComparisonData!A27,ComparisonData!$ZE$1),0)),5)</f>
        <v>0</v>
      </c>
      <c r="ZF27" s="56">
        <v>22</v>
      </c>
      <c r="ZG27" s="53" t="str">
        <f t="shared" si="96"/>
        <v>Derbyshire Record Office</v>
      </c>
      <c r="ZH27" s="60">
        <f t="shared" si="470"/>
        <v>0</v>
      </c>
      <c r="ZI27" s="60">
        <f t="shared" si="471"/>
        <v>0</v>
      </c>
      <c r="ZJ27" s="60">
        <f t="shared" si="472"/>
        <v>0</v>
      </c>
      <c r="ZK27" s="60">
        <f t="shared" si="473"/>
        <v>0</v>
      </c>
      <c r="ZL27" s="60">
        <f t="shared" si="474"/>
        <v>0</v>
      </c>
      <c r="ZM27" s="76">
        <f t="shared" si="475"/>
        <v>0</v>
      </c>
      <c r="ZN27" s="46">
        <f t="shared" si="476"/>
        <v>25</v>
      </c>
      <c r="ZO27" s="46">
        <f t="shared" si="97"/>
        <v>2.5589999999999997</v>
      </c>
      <c r="ZP27" s="46">
        <f t="shared" si="477"/>
        <v>1</v>
      </c>
      <c r="ZQ27" s="46">
        <f t="shared" si="478"/>
        <v>2</v>
      </c>
      <c r="ZR27" s="46" cm="1">
        <f t="array" ref="ZR27">ROUND(VALUE(IFERROR(INDEX(ArchiveResults!$F$5:$IX$116,ComparisonData!A27,ComparisonData!$ZR$1),0)),5)</f>
        <v>0</v>
      </c>
      <c r="ZS27" s="56">
        <v>22</v>
      </c>
      <c r="ZT27" s="53" t="str">
        <f t="shared" si="98"/>
        <v>Derbyshire Record Office</v>
      </c>
      <c r="ZU27" s="46">
        <f t="shared" si="479"/>
        <v>0</v>
      </c>
      <c r="ZV27" s="76">
        <f t="shared" si="480"/>
        <v>0</v>
      </c>
      <c r="ZW27" s="81" cm="1">
        <f t="array" ref="ZW27">ROUND((IFERROR(INDEX(ArchiveResults!$F$5:$IX$116,ComparisonData!A27,ComparisonData!$ZW$1),0)),5)</f>
        <v>0</v>
      </c>
      <c r="ZX27" s="81" cm="1">
        <f t="array" ref="ZX27">ROUND((IFERROR(INDEX(ArchiveResults!$F$5:$IX$116,ComparisonData!A27,ComparisonData!$ZX$1),0)),5)</f>
        <v>0</v>
      </c>
      <c r="ZY27" s="81" cm="1">
        <f t="array" ref="ZY27">ROUND((IFERROR(INDEX(ArchiveResults!$F$5:$IX$116,ComparisonData!A27,ComparisonData!$ZY$1),0)),5)</f>
        <v>0</v>
      </c>
      <c r="ZZ27" s="81" cm="1">
        <f t="array" ref="ZZ27">ROUND((IFERROR(INDEX(ArchiveResults!$F$5:$IX$116,ComparisonData!A27,ComparisonData!$ZZ$1),0)),5)</f>
        <v>0</v>
      </c>
      <c r="AAA27" s="81" cm="1">
        <f t="array" ref="AAA27">ROUND((IFERROR(INDEX(ArchiveResults!$F$5:$IX$116,ComparisonData!A27,ComparisonData!$AAA$1),0)),5)</f>
        <v>0</v>
      </c>
      <c r="AAB27" s="81" cm="1">
        <f t="array" ref="AAB27">ROUND((IFERROR(INDEX(ArchiveResults!$F$5:$IX$116,ComparisonData!A27,ComparisonData!$AAB$1),0)),5)</f>
        <v>0</v>
      </c>
      <c r="AAC27" s="81" cm="1">
        <f t="array" ref="AAC27">ROUND((IFERROR(INDEX(ArchiveResults!$F$5:$IX$116,ComparisonData!A27,ComparisonData!$AAC$1),0)),5)</f>
        <v>0</v>
      </c>
      <c r="AAD27" s="81" cm="1">
        <f t="array" ref="AAD27">ROUND((IFERROR(INDEX(ArchiveResults!$F$5:$IX$116,ComparisonData!A27,ComparisonData!$AAD$1),0)),5)</f>
        <v>0</v>
      </c>
      <c r="AAE27" s="81" cm="1">
        <f t="array" ref="AAE27">ROUND((IFERROR(INDEX(ArchiveResults!$F$5:$IX$116,ComparisonData!A27,ComparisonData!$AAE$1),0)),5)</f>
        <v>0</v>
      </c>
      <c r="AAF27" s="81" cm="1">
        <f t="array" ref="AAF27">ROUND((IFERROR(INDEX(ArchiveResults!$F$5:$IX$116,ComparisonData!A27,ComparisonData!$AAF$1),0)),5)</f>
        <v>0</v>
      </c>
      <c r="AAG27" s="46">
        <f t="shared" si="481"/>
        <v>25</v>
      </c>
      <c r="AAH27" s="46">
        <f t="shared" si="99"/>
        <v>2.5589999999999997</v>
      </c>
      <c r="AAI27" s="46">
        <f t="shared" si="482"/>
        <v>1</v>
      </c>
      <c r="AAJ27" s="46">
        <f t="shared" si="483"/>
        <v>2</v>
      </c>
      <c r="AAK27" s="46">
        <f t="shared" si="484"/>
        <v>0</v>
      </c>
      <c r="AAL27" s="46">
        <f t="shared" si="485"/>
        <v>0</v>
      </c>
      <c r="AAM27" s="46">
        <f t="shared" si="486"/>
        <v>0</v>
      </c>
      <c r="AAN27" s="46">
        <f t="shared" si="487"/>
        <v>0</v>
      </c>
      <c r="AAO27" s="46">
        <f t="shared" si="488"/>
        <v>0</v>
      </c>
      <c r="AAP27" s="46">
        <f t="shared" si="489"/>
        <v>0</v>
      </c>
      <c r="AAQ27" s="56">
        <v>22</v>
      </c>
      <c r="AAR27" s="53" t="str">
        <f t="shared" si="100"/>
        <v>Derbyshire Record Office</v>
      </c>
      <c r="AAS27" s="60">
        <f t="shared" si="490"/>
        <v>0</v>
      </c>
      <c r="AAT27" s="60">
        <f t="shared" si="491"/>
        <v>0</v>
      </c>
      <c r="AAU27" s="60">
        <f t="shared" si="492"/>
        <v>0</v>
      </c>
      <c r="AAV27" s="60">
        <f t="shared" si="493"/>
        <v>0</v>
      </c>
      <c r="AAW27" s="60">
        <f t="shared" si="494"/>
        <v>0</v>
      </c>
      <c r="AAX27" s="76">
        <f t="shared" si="495"/>
        <v>0</v>
      </c>
      <c r="AAY27" s="46">
        <f t="shared" si="496"/>
        <v>25</v>
      </c>
      <c r="AAZ27" s="46">
        <f t="shared" si="101"/>
        <v>2.5589999999999997</v>
      </c>
      <c r="ABA27" s="46">
        <f t="shared" si="497"/>
        <v>1</v>
      </c>
      <c r="ABB27" s="46">
        <f t="shared" si="498"/>
        <v>2</v>
      </c>
      <c r="ABC27" s="46">
        <f t="shared" si="102"/>
        <v>0</v>
      </c>
      <c r="ABD27" s="46" cm="1">
        <f t="array" ref="ABD27">ROUND(VALUE(IFERROR(INDEX(ArchiveResults!$F$5:$IX$116,ComparisonData!A27,ComparisonData!$ABD$1),0)),5)</f>
        <v>0</v>
      </c>
      <c r="ABE27" s="46" cm="1">
        <f t="array" ref="ABE27">ROUND(VALUE(IFERROR(INDEX(ArchiveResults!$F$5:$IX$116,ComparisonData!A27,ComparisonData!$ABE$1),0)),5)</f>
        <v>0</v>
      </c>
      <c r="ABF27" s="46" cm="1">
        <f t="array" ref="ABF27">ROUND(VALUE(IFERROR(INDEX(ArchiveResults!$F$5:$IX$116,ComparisonData!A27,ComparisonData!$ABF$1),0)),5)</f>
        <v>0</v>
      </c>
      <c r="ABG27" s="46" cm="1">
        <f t="array" ref="ABG27">ROUND(VALUE(IFERROR(INDEX(ArchiveResults!$F$5:$IX$116,ComparisonData!A27,ComparisonData!$ABG$1),0)),5)</f>
        <v>0</v>
      </c>
      <c r="ABH27" s="46" cm="1">
        <f t="array" ref="ABH27">ROUND(VALUE(IFERROR(INDEX(ArchiveResults!$F$5:$IX$116,ComparisonData!A27,ComparisonData!$ABH$1),0)),5)</f>
        <v>0</v>
      </c>
      <c r="ABI27" s="56">
        <v>22</v>
      </c>
      <c r="ABJ27" s="53" t="str">
        <f t="shared" si="103"/>
        <v>Derbyshire Record Office</v>
      </c>
      <c r="ABK27" s="60">
        <f t="shared" si="499"/>
        <v>0</v>
      </c>
      <c r="ABL27" s="60">
        <f t="shared" si="500"/>
        <v>0</v>
      </c>
      <c r="ABM27" s="60">
        <f t="shared" si="501"/>
        <v>0</v>
      </c>
      <c r="ABN27" s="60">
        <f t="shared" si="502"/>
        <v>0</v>
      </c>
      <c r="ABO27" s="60">
        <f t="shared" si="503"/>
        <v>0</v>
      </c>
      <c r="ABP27" s="76">
        <f t="shared" si="504"/>
        <v>0</v>
      </c>
      <c r="ABQ27" s="46">
        <f t="shared" si="505"/>
        <v>25</v>
      </c>
      <c r="ABR27" s="46">
        <f t="shared" si="104"/>
        <v>2.5589999999999997</v>
      </c>
      <c r="ABS27" s="46">
        <f t="shared" si="506"/>
        <v>1</v>
      </c>
      <c r="ABT27" s="46">
        <f t="shared" si="507"/>
        <v>2</v>
      </c>
      <c r="ABU27" s="46" cm="1">
        <f t="array" ref="ABU27">ROUND(VALUE(IFERROR(INDEX(ArchiveResults!$F$5:$IX$116,ComparisonData!A27,ComparisonData!$ABU$1),0)),5)</f>
        <v>0</v>
      </c>
      <c r="ABV27" s="46" cm="1">
        <f t="array" ref="ABV27">ROUND(VALUE(IFERROR(INDEX(ArchiveResults!$F$5:$IX$116,ComparisonData!A27,ComparisonData!$ABV$1),0)),5)</f>
        <v>0</v>
      </c>
      <c r="ABW27" s="46" cm="1">
        <f t="array" ref="ABW27">ROUND(VALUE(IFERROR(INDEX(ArchiveResults!$F$5:$IX$116,ComparisonData!A27,ComparisonData!$ABW$1),0)),5)</f>
        <v>0</v>
      </c>
      <c r="ABX27" s="46" cm="1">
        <f t="array" ref="ABX27">ROUND(VALUE(IFERROR(INDEX(ArchiveResults!$F$5:$IX$116,ComparisonData!A27,ComparisonData!$ABX$1),0)),5)</f>
        <v>0</v>
      </c>
      <c r="ABY27" s="46" cm="1">
        <f t="array" ref="ABY27">ROUND(VALUE(IFERROR(INDEX(ArchiveResults!$F$5:$IX$116,ComparisonData!A27,ComparisonData!$ABY$1),0)),5)</f>
        <v>0</v>
      </c>
      <c r="ABZ27" s="56">
        <v>22</v>
      </c>
      <c r="ACA27" s="53" t="str">
        <f t="shared" si="105"/>
        <v>Derbyshire Record Office</v>
      </c>
      <c r="ACB27" s="60">
        <f t="shared" si="508"/>
        <v>0</v>
      </c>
      <c r="ACC27" s="60">
        <f t="shared" si="509"/>
        <v>0</v>
      </c>
      <c r="ACD27" s="60">
        <f t="shared" si="510"/>
        <v>0</v>
      </c>
      <c r="ACE27" s="60">
        <f t="shared" si="511"/>
        <v>0</v>
      </c>
      <c r="ACF27" s="60">
        <f t="shared" si="512"/>
        <v>0</v>
      </c>
      <c r="ACG27" s="76">
        <f t="shared" si="513"/>
        <v>0</v>
      </c>
      <c r="ACH27" s="46">
        <f t="shared" si="514"/>
        <v>25</v>
      </c>
      <c r="ACI27" s="46">
        <f t="shared" si="106"/>
        <v>2.5589999999999997</v>
      </c>
      <c r="ACJ27" s="46">
        <f t="shared" si="515"/>
        <v>1</v>
      </c>
      <c r="ACK27" s="46">
        <f t="shared" si="516"/>
        <v>2</v>
      </c>
      <c r="ACL27" s="46">
        <f t="shared" si="517"/>
        <v>0</v>
      </c>
      <c r="ACM27" s="46" cm="1">
        <f t="array" ref="ACM27">ROUND(IFERROR(INDEX(ArchiveResults!$F$5:$IX$116,ComparisonData!A27,ComparisonData!$ACM$1),0),5)</f>
        <v>0</v>
      </c>
      <c r="ACN27" s="46" cm="1">
        <f t="array" ref="ACN27">ROUND(IFERROR(INDEX(ArchiveResults!$F$5:$IX$116,ComparisonData!A27,ComparisonData!$ACN$1),0),5)</f>
        <v>0</v>
      </c>
      <c r="ACO27" s="56">
        <v>22</v>
      </c>
      <c r="ACP27" s="53" t="str">
        <f t="shared" si="107"/>
        <v>Derbyshire Record Office</v>
      </c>
      <c r="ACQ27" s="60">
        <f t="shared" si="518"/>
        <v>0</v>
      </c>
      <c r="ACR27" s="60">
        <f t="shared" si="519"/>
        <v>0</v>
      </c>
      <c r="ACS27" s="76">
        <f t="shared" si="520"/>
        <v>0</v>
      </c>
      <c r="ACT27" s="46">
        <f t="shared" si="521"/>
        <v>25</v>
      </c>
      <c r="ACU27" s="46">
        <f t="shared" si="108"/>
        <v>2.5589999999999997</v>
      </c>
      <c r="ACV27" s="46">
        <f t="shared" si="522"/>
        <v>1</v>
      </c>
      <c r="ACW27" s="46">
        <f t="shared" si="523"/>
        <v>2</v>
      </c>
      <c r="ACX27" s="46">
        <f t="shared" si="524"/>
        <v>0</v>
      </c>
      <c r="ACY27" s="46" cm="1">
        <f t="array" ref="ACY27">ROUNDDOWN(IFERROR(INDEX(ArchiveResults!$F$5:$IX$116,ComparisonData!A27,ComparisonData!$ACY$1),0),5)</f>
        <v>0</v>
      </c>
      <c r="ACZ27" s="46" cm="1">
        <f t="array" ref="ACZ27">ROUNDDOWN(IFERROR(INDEX(ArchiveResults!$F$5:$IX$116,ComparisonData!A27,ComparisonData!$ACZ$1),0),5)</f>
        <v>0</v>
      </c>
      <c r="ADA27" s="46" cm="1">
        <f t="array" ref="ADA27">ROUNDDOWN(IFERROR(INDEX(ArchiveResults!$F$5:$IX$116,ComparisonData!A27,ComparisonData!$ADA$1),0),5)</f>
        <v>0</v>
      </c>
      <c r="ADB27" s="56">
        <v>22</v>
      </c>
      <c r="ADC27" s="53" t="str">
        <f t="shared" si="109"/>
        <v>Derbyshire Record Office</v>
      </c>
      <c r="ADD27" s="60">
        <f t="shared" si="525"/>
        <v>0</v>
      </c>
      <c r="ADE27" s="60">
        <f t="shared" si="526"/>
        <v>0</v>
      </c>
      <c r="ADF27" s="60">
        <f t="shared" si="527"/>
        <v>0</v>
      </c>
      <c r="ADG27" s="76">
        <f t="shared" si="528"/>
        <v>0</v>
      </c>
    </row>
    <row r="28" spans="1:787" x14ac:dyDescent="0.25">
      <c r="A28" s="46" t="str">
        <f>IF(ISBLANK(ComparisonSelection!F24),"",ROW()-5)</f>
        <v/>
      </c>
      <c r="B28" s="53" t="s">
        <v>477</v>
      </c>
      <c r="C28" s="72">
        <v>0.65399999999999969</v>
      </c>
      <c r="D28" s="55">
        <f t="shared" si="110"/>
        <v>44</v>
      </c>
      <c r="E28" s="54">
        <f t="shared" si="111"/>
        <v>2.6539999999999999</v>
      </c>
      <c r="F28" s="54">
        <f t="shared" si="529"/>
        <v>1</v>
      </c>
      <c r="G28" s="72">
        <f t="shared" si="112"/>
        <v>2</v>
      </c>
      <c r="H28" s="72">
        <f t="shared" si="113"/>
        <v>0</v>
      </c>
      <c r="I28" s="46" cm="1">
        <f t="array" ref="I28">ROUND(IFERROR(INDEX(ArchiveResults!$F$5:$IX$116,ComparisonData!A28,ComparisonData!$I$1),0),5)</f>
        <v>0</v>
      </c>
      <c r="J28" s="46" cm="1">
        <f t="array" ref="J28">ROUND(IFERROR(INDEX(ArchiveResults!$F$5:$IX$116,ComparisonData!A28,ComparisonData!$J$1),0),5)</f>
        <v>0</v>
      </c>
      <c r="K28" s="56">
        <v>23</v>
      </c>
      <c r="L28" s="53" t="str">
        <f t="shared" si="114"/>
        <v>Derry City and Strabane District Council, Tower Museum</v>
      </c>
      <c r="M28" s="57">
        <f t="shared" si="0"/>
        <v>0</v>
      </c>
      <c r="N28" s="57">
        <f t="shared" si="1"/>
        <v>0</v>
      </c>
      <c r="O28" s="58">
        <f t="shared" si="115"/>
        <v>0</v>
      </c>
      <c r="P28" s="48">
        <f t="shared" si="116"/>
        <v>44</v>
      </c>
      <c r="Q28" s="54">
        <f t="shared" si="2"/>
        <v>2.6539999999999999</v>
      </c>
      <c r="R28" s="45">
        <f t="shared" si="117"/>
        <v>1</v>
      </c>
      <c r="S28" s="46">
        <f t="shared" si="118"/>
        <v>2</v>
      </c>
      <c r="T28" s="72">
        <f t="shared" si="119"/>
        <v>0</v>
      </c>
      <c r="U28" s="46" cm="1">
        <f t="array" ref="U28">ROUND(IFERROR(INDEX(ArchiveResults!$F$5:$IX$116,ComparisonData!A28,ComparisonData!$U$1),0),5)</f>
        <v>0</v>
      </c>
      <c r="V28" s="46" cm="1">
        <f t="array" ref="V28">ROUND(IFERROR(INDEX(ArchiveResults!$F$5:$IX$116,ComparisonData!A28,ComparisonData!$V$1),0),5)</f>
        <v>0</v>
      </c>
      <c r="W28" s="56">
        <v>23</v>
      </c>
      <c r="X28" s="53" t="str">
        <f t="shared" si="3"/>
        <v>Derry City and Strabane District Council, Tower Museum</v>
      </c>
      <c r="Y28" s="57">
        <f t="shared" si="120"/>
        <v>0</v>
      </c>
      <c r="Z28" s="57">
        <f t="shared" si="121"/>
        <v>0</v>
      </c>
      <c r="AA28" s="58">
        <f t="shared" si="122"/>
        <v>0</v>
      </c>
      <c r="AB28" s="45">
        <f t="shared" si="123"/>
        <v>44</v>
      </c>
      <c r="AC28" s="54">
        <f t="shared" si="4"/>
        <v>2.6539999999999999</v>
      </c>
      <c r="AD28" s="45">
        <f t="shared" si="124"/>
        <v>1</v>
      </c>
      <c r="AE28" s="45">
        <f t="shared" si="125"/>
        <v>2</v>
      </c>
      <c r="AF28" s="45">
        <f t="shared" si="126"/>
        <v>0</v>
      </c>
      <c r="AG28" s="46" cm="1">
        <f t="array" ref="AG28">ROUND(IFERROR(INDEX(ArchiveResults!$F$5:$IX$116,ComparisonData!A28,ComparisonData!$AG$1),0),5)</f>
        <v>0</v>
      </c>
      <c r="AH28" s="46" cm="1">
        <f t="array" ref="AH28">ROUND(IFERROR(INDEX(ArchiveResults!$F$5:$IX$116,ComparisonData!A28,ComparisonData!$AH$1),0),5)</f>
        <v>0</v>
      </c>
      <c r="AI28" s="56">
        <v>23</v>
      </c>
      <c r="AJ28" s="53" t="str">
        <f t="shared" si="5"/>
        <v>Derry City and Strabane District Council, Tower Museum</v>
      </c>
      <c r="AK28" s="59">
        <f t="shared" si="6"/>
        <v>0</v>
      </c>
      <c r="AL28" s="59">
        <f t="shared" si="7"/>
        <v>0</v>
      </c>
      <c r="AM28" s="58">
        <f t="shared" si="127"/>
        <v>0</v>
      </c>
      <c r="AN28" s="45">
        <f t="shared" si="128"/>
        <v>44</v>
      </c>
      <c r="AO28" s="54">
        <f t="shared" si="8"/>
        <v>2.6539999999999999</v>
      </c>
      <c r="AP28" s="45">
        <f t="shared" si="129"/>
        <v>1</v>
      </c>
      <c r="AQ28" s="45">
        <f t="shared" si="130"/>
        <v>2</v>
      </c>
      <c r="AR28" s="46" cm="1">
        <f t="array" ref="AR28">ROUND(IFERROR(INDEX(ArchiveResults!$F$5:$IX$116,ComparisonData!A28,ComparisonData!$AR$1),0),5)</f>
        <v>0</v>
      </c>
      <c r="AS28" s="46" cm="1">
        <f t="array" ref="AS28">ROUND(IFERROR(INDEX(ArchiveResults!$F$5:$IX$116,ComparisonData!A28,ComparisonData!$AS$1),0),5)</f>
        <v>0</v>
      </c>
      <c r="AT28" s="46" cm="1">
        <f t="array" ref="AT28">ROUND(IFERROR(INDEX(ArchiveResults!$F$5:$IX$116,ComparisonData!A28,ComparisonData!$AT$1),0),5)</f>
        <v>0</v>
      </c>
      <c r="AU28" s="46" cm="1">
        <f t="array" ref="AU28">ROUND(IFERROR(INDEX(ArchiveResults!$F$5:$IX$116,ComparisonData!A28,ComparisonData!$AU$1),0),5)</f>
        <v>0</v>
      </c>
      <c r="AV28" s="46" cm="1">
        <f t="array" ref="AV28">ROUND(IFERROR(INDEX(ArchiveResults!$F$5:$IX$116,ComparisonData!A28,ComparisonData!$AV$1),0),5)</f>
        <v>0</v>
      </c>
      <c r="AW28" s="46" cm="1">
        <f t="array" ref="AW28">ROUND(IFERROR(INDEX(ArchiveResults!$F$5:$IX$116,ComparisonData!A28,ComparisonData!$AW$1),0),5)</f>
        <v>0</v>
      </c>
      <c r="AX28" s="46" cm="1">
        <f t="array" ref="AX28">ROUND(IFERROR(INDEX(ArchiveResults!$F$5:$IX$116,ComparisonData!A28,ComparisonData!$AX$1),0),5)</f>
        <v>0</v>
      </c>
      <c r="AY28" s="46" cm="1">
        <f t="array" ref="AY28">ROUND(IFERROR(INDEX(ArchiveResults!$F$5:$IX$116,ComparisonData!A28,ComparisonData!$AY$1),0),5)</f>
        <v>0</v>
      </c>
      <c r="AZ28" s="46" cm="1">
        <f t="array" ref="AZ28">ROUND(IFERROR(INDEX(ArchiveResults!$F$5:$IX$116,ComparisonData!A28,ComparisonData!$AZ$1),0),5)</f>
        <v>0</v>
      </c>
      <c r="BA28" s="46" cm="1">
        <f t="array" ref="BA28">ROUND(IFERROR(INDEX(ArchiveResults!$F$5:$IX$116,ComparisonData!A28,ComparisonData!$BA$1),0),5)</f>
        <v>0</v>
      </c>
      <c r="BB28" s="56">
        <v>23</v>
      </c>
      <c r="BC28" s="53" t="str">
        <f t="shared" si="9"/>
        <v>Derry City and Strabane District Council, Tower Museum</v>
      </c>
      <c r="BD28" s="60">
        <f t="shared" si="131"/>
        <v>0</v>
      </c>
      <c r="BE28" s="60">
        <f t="shared" si="132"/>
        <v>0</v>
      </c>
      <c r="BF28" s="60">
        <f t="shared" si="133"/>
        <v>0</v>
      </c>
      <c r="BG28" s="60">
        <f t="shared" si="134"/>
        <v>0</v>
      </c>
      <c r="BH28" s="60">
        <f t="shared" si="135"/>
        <v>0</v>
      </c>
      <c r="BI28" s="60">
        <f t="shared" si="136"/>
        <v>0</v>
      </c>
      <c r="BJ28" s="60">
        <f t="shared" si="137"/>
        <v>0</v>
      </c>
      <c r="BK28" s="60">
        <f t="shared" si="138"/>
        <v>0</v>
      </c>
      <c r="BL28" s="60">
        <f t="shared" si="139"/>
        <v>0</v>
      </c>
      <c r="BM28" s="59">
        <f t="shared" si="140"/>
        <v>0</v>
      </c>
      <c r="BN28" s="58">
        <f t="shared" si="141"/>
        <v>0</v>
      </c>
      <c r="BO28" s="45">
        <f t="shared" si="142"/>
        <v>44</v>
      </c>
      <c r="BP28" s="54">
        <f t="shared" si="10"/>
        <v>2.6539999999999999</v>
      </c>
      <c r="BQ28" s="45">
        <f t="shared" si="143"/>
        <v>1</v>
      </c>
      <c r="BR28" s="45">
        <f t="shared" si="144"/>
        <v>2</v>
      </c>
      <c r="BS28" s="46" cm="1">
        <f t="array" ref="BS28">ROUND(IFERROR(INDEX(ArchiveResults!$F$5:$IX$116,ComparisonData!A28,ComparisonData!$BS$1),0),5)</f>
        <v>0</v>
      </c>
      <c r="BT28" s="46" cm="1">
        <f t="array" ref="BT28">ROUND(IFERROR(INDEX(ArchiveResults!$F$5:$IX$116,ComparisonData!A28,ComparisonData!$BT$1),0),5)</f>
        <v>0</v>
      </c>
      <c r="BU28" s="46" cm="1">
        <f t="array" ref="BU28">ROUND(IFERROR(INDEX(ArchiveResults!$F$5:$IX$116,ComparisonData!A28,ComparisonData!$BU$1),0),5)</f>
        <v>0</v>
      </c>
      <c r="BV28" s="46" cm="1">
        <f t="array" ref="BV28">ROUND(IFERROR(INDEX(ArchiveResults!$F$5:$IX$116,ComparisonData!A28,ComparisonData!$BV$1),0),5)</f>
        <v>0</v>
      </c>
      <c r="BW28" s="46" cm="1">
        <f t="array" ref="BW28">ROUND(IFERROR(INDEX(ArchiveResults!$F$5:$IX$116,ComparisonData!A28,ComparisonData!$BW$1),0),5)</f>
        <v>0</v>
      </c>
      <c r="BX28" s="46" cm="1">
        <f t="array" ref="BX28">ROUND(IFERROR(INDEX(ArchiveResults!$F$5:$IX$116,ComparisonData!A28,ComparisonData!$BX$1),0),5)</f>
        <v>0</v>
      </c>
      <c r="BY28" s="56">
        <v>23</v>
      </c>
      <c r="BZ28" s="53" t="str">
        <f t="shared" si="11"/>
        <v>Derry City and Strabane District Council, Tower Museum</v>
      </c>
      <c r="CA28" s="59">
        <f t="shared" si="145"/>
        <v>0</v>
      </c>
      <c r="CB28" s="59">
        <f t="shared" si="146"/>
        <v>0</v>
      </c>
      <c r="CC28" s="59">
        <f t="shared" si="147"/>
        <v>0</v>
      </c>
      <c r="CD28" s="59">
        <f t="shared" si="148"/>
        <v>0</v>
      </c>
      <c r="CE28" s="59">
        <f t="shared" si="149"/>
        <v>0</v>
      </c>
      <c r="CF28" s="59">
        <f t="shared" si="150"/>
        <v>0</v>
      </c>
      <c r="CG28" s="58">
        <f t="shared" si="151"/>
        <v>0</v>
      </c>
      <c r="CH28" s="45">
        <f t="shared" si="152"/>
        <v>44</v>
      </c>
      <c r="CI28" s="54">
        <f t="shared" si="12"/>
        <v>2.6539999999999999</v>
      </c>
      <c r="CJ28" s="45">
        <f t="shared" si="153"/>
        <v>1</v>
      </c>
      <c r="CK28" s="45">
        <f t="shared" si="154"/>
        <v>2</v>
      </c>
      <c r="CL28" s="46" cm="1">
        <f t="array" ref="CL28">ROUND(IFERROR(INDEX(ArchiveResults!$F$5:$IX$116,ComparisonData!A28,ComparisonData!$CL$1),0),5)</f>
        <v>0</v>
      </c>
      <c r="CM28" s="56">
        <v>23</v>
      </c>
      <c r="CN28" s="53" t="str">
        <f t="shared" si="13"/>
        <v>Derry City and Strabane District Council, Tower Museum</v>
      </c>
      <c r="CO28" s="45">
        <f t="shared" si="155"/>
        <v>0</v>
      </c>
      <c r="CP28" s="58">
        <f t="shared" si="156"/>
        <v>0</v>
      </c>
      <c r="CQ28" s="45">
        <f t="shared" si="157"/>
        <v>44</v>
      </c>
      <c r="CR28" s="54">
        <f t="shared" si="14"/>
        <v>2.6539999999999999</v>
      </c>
      <c r="CS28" s="45">
        <f t="shared" si="158"/>
        <v>1</v>
      </c>
      <c r="CT28" s="45">
        <f t="shared" si="159"/>
        <v>2</v>
      </c>
      <c r="CU28" s="46" cm="1">
        <f t="array" ref="CU28">ROUND(IFERROR(INDEX(ArchiveResults!$F$5:$IX$116,ComparisonData!A28,ComparisonData!$CU$1),0),5)</f>
        <v>0</v>
      </c>
      <c r="CV28" s="56">
        <v>23</v>
      </c>
      <c r="CW28" s="53" t="str">
        <f t="shared" si="15"/>
        <v>Derry City and Strabane District Council, Tower Museum</v>
      </c>
      <c r="CX28" s="45">
        <f t="shared" si="160"/>
        <v>0</v>
      </c>
      <c r="CY28" s="58">
        <f t="shared" si="161"/>
        <v>0</v>
      </c>
      <c r="CZ28" s="45">
        <f t="shared" si="162"/>
        <v>44</v>
      </c>
      <c r="DA28" s="54">
        <f t="shared" si="16"/>
        <v>2.6539999999999999</v>
      </c>
      <c r="DB28" s="45">
        <f t="shared" si="163"/>
        <v>1</v>
      </c>
      <c r="DC28" s="45">
        <f t="shared" si="164"/>
        <v>2</v>
      </c>
      <c r="DD28" s="46" cm="1">
        <f t="array" ref="DD28">ROUND(IFERROR(INDEX(ArchiveResults!$F$5:$IX$116,ComparisonData!A28,ComparisonData!$DD$1),0),5)</f>
        <v>0</v>
      </c>
      <c r="DE28" s="56">
        <v>23</v>
      </c>
      <c r="DF28" s="53" t="str">
        <f t="shared" si="17"/>
        <v>Derry City and Strabane District Council, Tower Museum</v>
      </c>
      <c r="DG28" s="45">
        <f t="shared" si="165"/>
        <v>0</v>
      </c>
      <c r="DH28" s="58">
        <f t="shared" si="166"/>
        <v>0</v>
      </c>
      <c r="DI28" s="45">
        <f t="shared" si="167"/>
        <v>44</v>
      </c>
      <c r="DJ28" s="54">
        <f t="shared" si="18"/>
        <v>2.6539999999999999</v>
      </c>
      <c r="DK28" s="45">
        <f t="shared" si="168"/>
        <v>1</v>
      </c>
      <c r="DL28" s="45">
        <f t="shared" si="169"/>
        <v>2</v>
      </c>
      <c r="DM28" s="46" cm="1">
        <f t="array" ref="DM28">ROUND(IFERROR(INDEX(ArchiveResults!$F$5:$IX$116,ComparisonData!A28,ComparisonData!$DM$1),0),5)</f>
        <v>0</v>
      </c>
      <c r="DN28" s="46" cm="1">
        <f t="array" ref="DN28">ROUND(IFERROR(INDEX(ArchiveResults!$F$5:$IX$116,ComparisonData!A28,ComparisonData!$DN$1),0),5)</f>
        <v>0</v>
      </c>
      <c r="DO28" s="46" cm="1">
        <f t="array" ref="DO28">ROUND(IFERROR(INDEX(ArchiveResults!$F$5:$IX$116,ComparisonData!A28,ComparisonData!$DO$1),0),5)</f>
        <v>0</v>
      </c>
      <c r="DP28" s="46" cm="1">
        <f t="array" ref="DP28">ROUND(IFERROR(INDEX(ArchiveResults!$F$5:$IX$116,ComparisonData!A28,ComparisonData!$DP$1),0),5)</f>
        <v>0</v>
      </c>
      <c r="DQ28" s="45" cm="1">
        <f t="array" ref="DQ28">IFERROR(INDEX(ArchiveResults!$F$5:$IX$116,ComparisonData!A28,ComparisonData!$DQ$1),0)</f>
        <v>0</v>
      </c>
      <c r="DR28" s="56">
        <v>23</v>
      </c>
      <c r="DS28" s="53" t="str">
        <f t="shared" si="19"/>
        <v>Derry City and Strabane District Council, Tower Museum</v>
      </c>
      <c r="DT28" s="59">
        <f t="shared" si="170"/>
        <v>0</v>
      </c>
      <c r="DU28" s="59">
        <f t="shared" si="171"/>
        <v>0</v>
      </c>
      <c r="DV28" s="59">
        <f t="shared" si="172"/>
        <v>0</v>
      </c>
      <c r="DW28" s="59">
        <f t="shared" si="173"/>
        <v>0</v>
      </c>
      <c r="DX28" s="59">
        <f t="shared" si="174"/>
        <v>0</v>
      </c>
      <c r="DY28" s="58">
        <f t="shared" si="175"/>
        <v>0</v>
      </c>
      <c r="DZ28" s="45">
        <f t="shared" si="176"/>
        <v>44</v>
      </c>
      <c r="EA28" s="54">
        <f t="shared" si="20"/>
        <v>2.6539999999999999</v>
      </c>
      <c r="EB28" s="45">
        <f t="shared" si="177"/>
        <v>1</v>
      </c>
      <c r="EC28" s="45">
        <f t="shared" si="178"/>
        <v>2</v>
      </c>
      <c r="ED28" s="46" cm="1">
        <f t="array" ref="ED28">ROUND(IFERROR(INDEX(ArchiveResults!$F$5:$IX$116,ComparisonData!A28,ComparisonData!$ED$1),0),5)</f>
        <v>0</v>
      </c>
      <c r="EE28" s="46" cm="1">
        <f t="array" ref="EE28">ROUND(IFERROR(INDEX(ArchiveResults!$F$5:$IX$116,ComparisonData!A28,ComparisonData!$EE$1),0),5)</f>
        <v>0</v>
      </c>
      <c r="EF28" s="46" cm="1">
        <f t="array" ref="EF28">ROUND(IFERROR(INDEX(ArchiveResults!$F$5:$IX$116,ComparisonData!A28,ComparisonData!$EF$1),0),5)</f>
        <v>0</v>
      </c>
      <c r="EG28" s="46" cm="1">
        <f t="array" ref="EG28">ROUND(IFERROR(INDEX(ArchiveResults!$F$5:$IX$116,ComparisonData!A28,ComparisonData!$EG$1),0),5)</f>
        <v>0</v>
      </c>
      <c r="EH28" s="45" cm="1">
        <f t="array" ref="EH28">IFERROR(INDEX(ArchiveResults!$F$5:$IX$116,ComparisonData!A28,ComparisonData!$EH$1),0)</f>
        <v>0</v>
      </c>
      <c r="EI28" s="56">
        <v>23</v>
      </c>
      <c r="EJ28" s="53" t="str">
        <f t="shared" si="21"/>
        <v>Derry City and Strabane District Council, Tower Museum</v>
      </c>
      <c r="EK28" s="59">
        <f t="shared" si="179"/>
        <v>0</v>
      </c>
      <c r="EL28" s="59">
        <f t="shared" si="180"/>
        <v>0</v>
      </c>
      <c r="EM28" s="59">
        <f t="shared" si="181"/>
        <v>0</v>
      </c>
      <c r="EN28" s="59">
        <f t="shared" si="182"/>
        <v>0</v>
      </c>
      <c r="EO28" s="59">
        <f t="shared" si="183"/>
        <v>0</v>
      </c>
      <c r="EP28" s="58">
        <f t="shared" si="184"/>
        <v>0</v>
      </c>
      <c r="EQ28" s="45">
        <f t="shared" si="185"/>
        <v>44</v>
      </c>
      <c r="ER28" s="54">
        <f t="shared" si="22"/>
        <v>2.6539999999999999</v>
      </c>
      <c r="ES28" s="45">
        <f t="shared" si="186"/>
        <v>1</v>
      </c>
      <c r="ET28" s="45">
        <f t="shared" si="187"/>
        <v>2</v>
      </c>
      <c r="EU28" s="46" cm="1">
        <f t="array" ref="EU28">ROUND(IFERROR(INDEX(ArchiveResults!$F$5:$IX$116,ComparisonData!A28,ComparisonData!$EU$1),0),5)</f>
        <v>0</v>
      </c>
      <c r="EV28" s="46" cm="1">
        <f t="array" ref="EV28">ROUND(IFERROR(INDEX(ArchiveResults!$F$5:$IX$116,ComparisonData!A28,ComparisonData!$EV$1),0),5)</f>
        <v>0</v>
      </c>
      <c r="EW28" s="46" cm="1">
        <f t="array" ref="EW28">ROUND(IFERROR(INDEX(ArchiveResults!$F$5:$IX$116,ComparisonData!A28,ComparisonData!$EW$1),0),5)</f>
        <v>0</v>
      </c>
      <c r="EX28" s="46" cm="1">
        <f t="array" ref="EX28">ROUND(IFERROR(INDEX(ArchiveResults!$F$5:$IX$116,ComparisonData!A28,ComparisonData!$EX$1),0),5)</f>
        <v>0</v>
      </c>
      <c r="EY28" s="45" cm="1">
        <f t="array" ref="EY28">IFERROR(INDEX(ArchiveResults!$F$5:$IX$116,ComparisonData!A28,ComparisonData!$EY$1),0)</f>
        <v>0</v>
      </c>
      <c r="EZ28" s="56">
        <v>23</v>
      </c>
      <c r="FA28" s="53" t="str">
        <f t="shared" si="23"/>
        <v>Derry City and Strabane District Council, Tower Museum</v>
      </c>
      <c r="FB28" s="59">
        <f t="shared" si="188"/>
        <v>0</v>
      </c>
      <c r="FC28" s="59">
        <f t="shared" si="189"/>
        <v>0</v>
      </c>
      <c r="FD28" s="59">
        <f t="shared" si="190"/>
        <v>0</v>
      </c>
      <c r="FE28" s="59">
        <f t="shared" si="191"/>
        <v>0</v>
      </c>
      <c r="FF28" s="59">
        <f t="shared" si="192"/>
        <v>0</v>
      </c>
      <c r="FG28" s="58">
        <f t="shared" si="193"/>
        <v>0</v>
      </c>
      <c r="FH28" s="45">
        <f t="shared" si="194"/>
        <v>44</v>
      </c>
      <c r="FI28" s="54">
        <f t="shared" si="24"/>
        <v>2.6539999999999999</v>
      </c>
      <c r="FJ28" s="45">
        <f t="shared" si="195"/>
        <v>1</v>
      </c>
      <c r="FK28" s="45">
        <f t="shared" si="196"/>
        <v>2</v>
      </c>
      <c r="FL28" s="46" cm="1">
        <f t="array" ref="FL28">ROUND(IFERROR(INDEX(ArchiveResults!$F$5:$IX$116,ComparisonData!A28,ComparisonData!$FL$1),0),5)</f>
        <v>0</v>
      </c>
      <c r="FM28" s="46" cm="1">
        <f t="array" ref="FM28">ROUND(IFERROR(INDEX(ArchiveResults!$F$5:$IX$116,ComparisonData!A28,ComparisonData!$FM$1),0),5)</f>
        <v>0</v>
      </c>
      <c r="FN28" s="46" cm="1">
        <f t="array" ref="FN28">ROUND(IFERROR(INDEX(ArchiveResults!$F$5:$IX$116,ComparisonData!A28,ComparisonData!$FN$1),0),5)</f>
        <v>0</v>
      </c>
      <c r="FO28" s="46" cm="1">
        <f t="array" ref="FO28">ROUND(IFERROR(INDEX(ArchiveResults!$F$5:$IX$116,ComparisonData!A28,ComparisonData!$FO$1),0),5)</f>
        <v>0</v>
      </c>
      <c r="FP28" s="45" cm="1">
        <f t="array" ref="FP28">IFERROR(INDEX(ArchiveResults!$F$5:$IX$116,ComparisonData!A28,ComparisonData!$FP$1),0)</f>
        <v>0</v>
      </c>
      <c r="FQ28" s="56">
        <v>23</v>
      </c>
      <c r="FR28" s="53" t="str">
        <f t="shared" si="25"/>
        <v>Derry City and Strabane District Council, Tower Museum</v>
      </c>
      <c r="FS28" s="59">
        <f t="shared" si="197"/>
        <v>0</v>
      </c>
      <c r="FT28" s="59">
        <f t="shared" si="198"/>
        <v>0</v>
      </c>
      <c r="FU28" s="59">
        <f t="shared" si="199"/>
        <v>0</v>
      </c>
      <c r="FV28" s="59">
        <f t="shared" si="200"/>
        <v>0</v>
      </c>
      <c r="FW28" s="59">
        <f t="shared" si="201"/>
        <v>0</v>
      </c>
      <c r="FX28" s="58">
        <f t="shared" si="202"/>
        <v>0</v>
      </c>
      <c r="FY28" s="45">
        <f t="shared" si="203"/>
        <v>44</v>
      </c>
      <c r="FZ28" s="45">
        <f t="shared" si="26"/>
        <v>2.6539999999999999</v>
      </c>
      <c r="GA28" s="45">
        <f t="shared" si="204"/>
        <v>1</v>
      </c>
      <c r="GB28" s="45">
        <f t="shared" si="205"/>
        <v>2</v>
      </c>
      <c r="GC28" s="46" cm="1">
        <f t="array" ref="GC28">ROUND(IFERROR(INDEX(ArchiveResults!$F$5:$IX$116,ComparisonData!A28,ComparisonData!$GC$1),0),5)</f>
        <v>0</v>
      </c>
      <c r="GD28" s="46" cm="1">
        <f t="array" ref="GD28">ROUND(IFERROR(INDEX(ArchiveResults!$F$5:$IX$116,ComparisonData!A28,ComparisonData!$GD$1),0),5)</f>
        <v>0</v>
      </c>
      <c r="GE28" s="46" cm="1">
        <f t="array" ref="GE28">ROUND(IFERROR(INDEX(ArchiveResults!$F$5:$IX$116,ComparisonData!A28,ComparisonData!$GE$1),0),5)</f>
        <v>0</v>
      </c>
      <c r="GF28" s="46" cm="1">
        <f t="array" ref="GF28">ROUND(IFERROR(INDEX(ArchiveResults!$F$5:$IX$116,ComparisonData!A28,ComparisonData!$GF$1),0),5)</f>
        <v>0</v>
      </c>
      <c r="GG28" s="45" cm="1">
        <f t="array" ref="GG28">IFERROR(INDEX(ArchiveResults!$F$5:$IX$116,ComparisonData!A28,ComparisonData!$GG$1),0)</f>
        <v>0</v>
      </c>
      <c r="GH28" s="56">
        <v>23</v>
      </c>
      <c r="GI28" s="53" t="str">
        <f t="shared" si="27"/>
        <v>Derry City and Strabane District Council, Tower Museum</v>
      </c>
      <c r="GJ28" s="59">
        <f t="shared" si="206"/>
        <v>0</v>
      </c>
      <c r="GK28" s="59">
        <f t="shared" si="207"/>
        <v>0</v>
      </c>
      <c r="GL28" s="59">
        <f t="shared" si="208"/>
        <v>0</v>
      </c>
      <c r="GM28" s="59">
        <f t="shared" si="209"/>
        <v>0</v>
      </c>
      <c r="GN28" s="59">
        <f t="shared" si="210"/>
        <v>0</v>
      </c>
      <c r="GO28" s="58">
        <f t="shared" si="211"/>
        <v>0</v>
      </c>
      <c r="GP28" s="45">
        <f t="shared" si="212"/>
        <v>44</v>
      </c>
      <c r="GQ28" s="45">
        <f t="shared" si="28"/>
        <v>2.6539999999999999</v>
      </c>
      <c r="GR28" s="45">
        <f t="shared" si="213"/>
        <v>1</v>
      </c>
      <c r="GS28" s="45">
        <f t="shared" si="214"/>
        <v>2</v>
      </c>
      <c r="GT28" s="46" cm="1">
        <f t="array" ref="GT28">ROUND(IFERROR(INDEX(ArchiveResults!$F$5:$IX$116,ComparisonData!A28,ComparisonData!$GT$1),0),5)</f>
        <v>0</v>
      </c>
      <c r="GU28" s="46" cm="1">
        <f t="array" ref="GU28">ROUND(IFERROR(INDEX(ArchiveResults!$F$5:$IX$116,ComparisonData!A28,ComparisonData!$GU$1),0),5)</f>
        <v>0</v>
      </c>
      <c r="GV28" s="46" cm="1">
        <f t="array" ref="GV28">ROUND(IFERROR(INDEX(ArchiveResults!$F$5:$IX$116,ComparisonData!A28,ComparisonData!$GV$1),0),5)</f>
        <v>0</v>
      </c>
      <c r="GW28" s="46" cm="1">
        <f t="array" ref="GW28">ROUND(IFERROR(INDEX(ArchiveResults!$F$5:$IX$116,ComparisonData!A28,ComparisonData!$GW$1),0),5)</f>
        <v>0</v>
      </c>
      <c r="GX28" s="45" cm="1">
        <f t="array" ref="GX28">IFERROR(INDEX(ArchiveResults!$F$5:$IX$116,ComparisonData!A28,ComparisonData!$GX$1),0)</f>
        <v>0</v>
      </c>
      <c r="GY28" s="56">
        <v>23</v>
      </c>
      <c r="GZ28" s="53" t="str">
        <f t="shared" si="29"/>
        <v>Derry City and Strabane District Council, Tower Museum</v>
      </c>
      <c r="HA28" s="59">
        <f t="shared" si="215"/>
        <v>0</v>
      </c>
      <c r="HB28" s="59">
        <f t="shared" si="216"/>
        <v>0</v>
      </c>
      <c r="HC28" s="59">
        <f t="shared" si="217"/>
        <v>0</v>
      </c>
      <c r="HD28" s="59">
        <f t="shared" si="218"/>
        <v>0</v>
      </c>
      <c r="HE28" s="59">
        <f t="shared" si="219"/>
        <v>0</v>
      </c>
      <c r="HF28" s="58">
        <f t="shared" si="220"/>
        <v>0</v>
      </c>
      <c r="HG28" s="45">
        <f t="shared" si="221"/>
        <v>44</v>
      </c>
      <c r="HH28" s="45">
        <f t="shared" si="30"/>
        <v>2.6539999999999999</v>
      </c>
      <c r="HI28" s="45">
        <f t="shared" si="222"/>
        <v>1</v>
      </c>
      <c r="HJ28" s="45">
        <f t="shared" si="223"/>
        <v>2</v>
      </c>
      <c r="HK28" s="46" cm="1">
        <f t="array" ref="HK28">ROUND(IFERROR(INDEX(ArchiveResults!$F$5:$IX$116,ComparisonData!A28,ComparisonData!$HK$1),0),5)</f>
        <v>0</v>
      </c>
      <c r="HL28" s="46" cm="1">
        <f t="array" ref="HL28">ROUND(IFERROR(INDEX(ArchiveResults!$F$5:$IX$116,ComparisonData!A28,ComparisonData!$HL$1),0),5)</f>
        <v>0</v>
      </c>
      <c r="HM28" s="46" cm="1">
        <f t="array" ref="HM28">ROUND(IFERROR(INDEX(ArchiveResults!$F$5:$IX$116,ComparisonData!A28,ComparisonData!$HM$1),0),5)</f>
        <v>0</v>
      </c>
      <c r="HN28" s="46" cm="1">
        <f t="array" ref="HN28">ROUND(IFERROR(INDEX(ArchiveResults!$F$5:$IX$116,ComparisonData!A28,ComparisonData!$HN$1),0),5)</f>
        <v>0</v>
      </c>
      <c r="HO28" s="45" cm="1">
        <f t="array" ref="HO28">IFERROR(INDEX(ArchiveResults!$F$5:$IX$116,ComparisonData!A28,ComparisonData!$HO$1),0)</f>
        <v>0</v>
      </c>
      <c r="HP28" s="56">
        <v>23</v>
      </c>
      <c r="HQ28" s="53" t="str">
        <f t="shared" si="31"/>
        <v>Derry City and Strabane District Council, Tower Museum</v>
      </c>
      <c r="HR28" s="59">
        <f t="shared" si="32"/>
        <v>0</v>
      </c>
      <c r="HS28" s="59">
        <f t="shared" si="33"/>
        <v>0</v>
      </c>
      <c r="HT28" s="59">
        <f t="shared" si="34"/>
        <v>0</v>
      </c>
      <c r="HU28" s="59">
        <f t="shared" si="35"/>
        <v>0</v>
      </c>
      <c r="HV28" s="59">
        <f t="shared" si="36"/>
        <v>0</v>
      </c>
      <c r="HW28" s="58">
        <f t="shared" si="224"/>
        <v>0</v>
      </c>
      <c r="HX28" s="45">
        <f t="shared" si="225"/>
        <v>44</v>
      </c>
      <c r="HY28" s="45">
        <f t="shared" si="37"/>
        <v>2.6539999999999999</v>
      </c>
      <c r="HZ28" s="45">
        <f t="shared" si="226"/>
        <v>1</v>
      </c>
      <c r="IA28" s="45">
        <f t="shared" si="227"/>
        <v>2</v>
      </c>
      <c r="IB28" s="45">
        <f t="shared" si="228"/>
        <v>0</v>
      </c>
      <c r="IC28" s="46" cm="1">
        <f t="array" ref="IC28">ROUND(IFERROR(INDEX(ArchiveResults!$F$5:$IX$116,ComparisonData!A28,ComparisonData!$IC$1),0),5)</f>
        <v>0</v>
      </c>
      <c r="ID28" s="46" cm="1">
        <f t="array" ref="ID28">ROUND(IFERROR(INDEX(ArchiveResults!$F$5:$IX$116,ComparisonData!A28,ComparisonData!$ID$1),0),5)</f>
        <v>0</v>
      </c>
      <c r="IE28" s="46" cm="1">
        <f t="array" ref="IE28">ROUND(IFERROR(INDEX(ArchiveResults!$F$5:$IX$116,ComparisonData!A28,ComparisonData!$IE$1),0),5)</f>
        <v>0</v>
      </c>
      <c r="IF28" s="46" cm="1">
        <f t="array" ref="IF28">ROUND(IFERROR(INDEX(ArchiveResults!$F$5:$IX$116,ComparisonData!A28,ComparisonData!$IF$1),0),5)</f>
        <v>0</v>
      </c>
      <c r="IG28" s="45" cm="1">
        <f t="array" ref="IG28">IFERROR(INDEX(ArchiveResults!$F$5:$IX$116,ComparisonData!A28,ComparisonData!$IG$1),0)</f>
        <v>0</v>
      </c>
      <c r="IH28" s="56">
        <v>23</v>
      </c>
      <c r="II28" s="53" t="str">
        <f t="shared" si="38"/>
        <v>Derry City and Strabane District Council, Tower Museum</v>
      </c>
      <c r="IJ28" s="59">
        <f t="shared" si="229"/>
        <v>0</v>
      </c>
      <c r="IK28" s="59">
        <f t="shared" si="230"/>
        <v>0</v>
      </c>
      <c r="IL28" s="59">
        <f t="shared" si="231"/>
        <v>0</v>
      </c>
      <c r="IM28" s="59">
        <f t="shared" si="232"/>
        <v>0</v>
      </c>
      <c r="IN28" s="59">
        <f t="shared" si="233"/>
        <v>0</v>
      </c>
      <c r="IO28" s="58">
        <f t="shared" si="234"/>
        <v>0</v>
      </c>
      <c r="IP28" s="45">
        <f t="shared" si="235"/>
        <v>44</v>
      </c>
      <c r="IQ28" s="45">
        <f t="shared" si="39"/>
        <v>2.6539999999999999</v>
      </c>
      <c r="IR28" s="45">
        <f t="shared" si="236"/>
        <v>1</v>
      </c>
      <c r="IS28" s="45">
        <f t="shared" si="237"/>
        <v>2</v>
      </c>
      <c r="IT28" s="46">
        <f t="shared" si="238"/>
        <v>0</v>
      </c>
      <c r="IU28" s="46" cm="1">
        <f t="array" ref="IU28">ROUND(IFERROR(INDEX(ArchiveResults!$F$5:$IX$116,ComparisonData!A28,ComparisonData!$IU$1),0),5)</f>
        <v>0</v>
      </c>
      <c r="IV28" s="46" cm="1">
        <f t="array" ref="IV28">ROUND(IFERROR(INDEX(ArchiveResults!$F$5:$IX$116,ComparisonData!A28,ComparisonData!$IV$1),0),5)</f>
        <v>0</v>
      </c>
      <c r="IW28" s="46" cm="1">
        <f t="array" ref="IW28">ROUND(IFERROR(INDEX(ArchiveResults!$F$5:$IX$116,ComparisonData!A28,ComparisonData!$IW$1),0),5)</f>
        <v>0</v>
      </c>
      <c r="IX28" s="46" cm="1">
        <f t="array" ref="IX28">ROUND(IFERROR(INDEX(ArchiveResults!$F$5:$IX$116,ComparisonData!A28,ComparisonData!$IX$1),0),5)</f>
        <v>0</v>
      </c>
      <c r="IY28" s="45" cm="1">
        <f t="array" ref="IY28">IFERROR(INDEX(ArchiveResults!$F$5:$IX$116,ComparisonData!A28,ComparisonData!$IY$1),0)</f>
        <v>0</v>
      </c>
      <c r="IZ28" s="56">
        <v>23</v>
      </c>
      <c r="JA28" s="53" t="str">
        <f t="shared" si="40"/>
        <v>Derry City and Strabane District Council, Tower Museum</v>
      </c>
      <c r="JB28" s="59">
        <f t="shared" si="239"/>
        <v>0</v>
      </c>
      <c r="JC28" s="59">
        <f t="shared" si="240"/>
        <v>0</v>
      </c>
      <c r="JD28" s="59">
        <f t="shared" si="241"/>
        <v>0</v>
      </c>
      <c r="JE28" s="59">
        <f t="shared" si="242"/>
        <v>0</v>
      </c>
      <c r="JF28" s="59">
        <f t="shared" si="243"/>
        <v>0</v>
      </c>
      <c r="JG28" s="58">
        <f t="shared" si="244"/>
        <v>0</v>
      </c>
      <c r="JH28" s="45">
        <f t="shared" si="245"/>
        <v>44</v>
      </c>
      <c r="JI28" s="45">
        <f t="shared" si="41"/>
        <v>2.6539999999999999</v>
      </c>
      <c r="JJ28" s="45">
        <f t="shared" si="246"/>
        <v>1</v>
      </c>
      <c r="JK28" s="45">
        <f t="shared" si="247"/>
        <v>2</v>
      </c>
      <c r="JL28" s="45">
        <f t="shared" si="248"/>
        <v>0</v>
      </c>
      <c r="JM28" s="46" cm="1">
        <f t="array" ref="JM28">ROUND(IFERROR(INDEX(ArchiveResults!$F$5:$IX$116,ComparisonData!A28,ComparisonData!$JM$1),0),5)</f>
        <v>0</v>
      </c>
      <c r="JN28" s="46" cm="1">
        <f t="array" ref="JN28">ROUND(IFERROR(INDEX(ArchiveResults!$F$5:$IX$116,ComparisonData!A28,ComparisonData!$JN$1),0),5)</f>
        <v>0</v>
      </c>
      <c r="JO28" s="46" cm="1">
        <f t="array" ref="JO28">ROUND(IFERROR(INDEX(ArchiveResults!$F$5:$IX$116,ComparisonData!A28,ComparisonData!$JO$1),0),5)</f>
        <v>0</v>
      </c>
      <c r="JP28" s="46" cm="1">
        <f t="array" ref="JP28">ROUND(IFERROR(INDEX(ArchiveResults!$F$5:$IX$116,ComparisonData!A28,ComparisonData!$JP$1),0),5)</f>
        <v>0</v>
      </c>
      <c r="JQ28" s="45" cm="1">
        <f t="array" ref="JQ28">IFERROR(INDEX(ArchiveResults!$F$5:$IX$116,ComparisonData!A28,ComparisonData!$JQ$1),0)</f>
        <v>0</v>
      </c>
      <c r="JR28" s="56">
        <v>23</v>
      </c>
      <c r="JS28" s="53" t="str">
        <f t="shared" si="42"/>
        <v>Derry City and Strabane District Council, Tower Museum</v>
      </c>
      <c r="JT28" s="59">
        <f t="shared" si="249"/>
        <v>0</v>
      </c>
      <c r="JU28" s="59">
        <f t="shared" si="250"/>
        <v>0</v>
      </c>
      <c r="JV28" s="59">
        <f t="shared" si="251"/>
        <v>0</v>
      </c>
      <c r="JW28" s="59">
        <f t="shared" si="252"/>
        <v>0</v>
      </c>
      <c r="JX28" s="59">
        <f t="shared" si="253"/>
        <v>0</v>
      </c>
      <c r="JY28" s="58">
        <f t="shared" si="254"/>
        <v>0</v>
      </c>
      <c r="JZ28" s="45">
        <f t="shared" si="255"/>
        <v>44</v>
      </c>
      <c r="KA28" s="45">
        <f t="shared" si="43"/>
        <v>2.6539999999999999</v>
      </c>
      <c r="KB28" s="45">
        <f t="shared" si="256"/>
        <v>1</v>
      </c>
      <c r="KC28" s="45">
        <f t="shared" si="257"/>
        <v>2</v>
      </c>
      <c r="KD28" s="45">
        <f t="shared" si="258"/>
        <v>0</v>
      </c>
      <c r="KE28" s="46" cm="1">
        <f t="array" ref="KE28">ROUND(IFERROR(INDEX(ArchiveResults!$F$5:$IX$116,ComparisonData!A28,ComparisonData!$KE$1),0),5)</f>
        <v>0</v>
      </c>
      <c r="KF28" s="46" cm="1">
        <f t="array" ref="KF28">ROUND(IFERROR(INDEX(ArchiveResults!$F$5:$IX$116,ComparisonData!A28,ComparisonData!$KF$1),0),5)</f>
        <v>0</v>
      </c>
      <c r="KG28" s="46" cm="1">
        <f t="array" ref="KG28">ROUND(IFERROR(INDEX(ArchiveResults!$F$5:$IX$116,ComparisonData!A28,ComparisonData!$KG$1),0),5)</f>
        <v>0</v>
      </c>
      <c r="KH28" s="46" cm="1">
        <f t="array" ref="KH28">ROUND(IFERROR(INDEX(ArchiveResults!$F$5:$IX$116,ComparisonData!A28,ComparisonData!$KH$1),0),5)</f>
        <v>0</v>
      </c>
      <c r="KI28" s="45" cm="1">
        <f t="array" ref="KI28">IFERROR(INDEX(ArchiveResults!$F$5:$IX$116,ComparisonData!A28,ComparisonData!$KI$1),0)</f>
        <v>0</v>
      </c>
      <c r="KJ28" s="56">
        <v>23</v>
      </c>
      <c r="KK28" s="53" t="str">
        <f t="shared" si="44"/>
        <v>Derry City and Strabane District Council, Tower Museum</v>
      </c>
      <c r="KL28" s="59">
        <f t="shared" si="259"/>
        <v>0</v>
      </c>
      <c r="KM28" s="59">
        <f t="shared" si="260"/>
        <v>0</v>
      </c>
      <c r="KN28" s="59">
        <f t="shared" si="261"/>
        <v>0</v>
      </c>
      <c r="KO28" s="59">
        <f t="shared" si="262"/>
        <v>0</v>
      </c>
      <c r="KP28" s="59">
        <f t="shared" si="263"/>
        <v>0</v>
      </c>
      <c r="KQ28" s="58">
        <f t="shared" si="264"/>
        <v>0</v>
      </c>
      <c r="KR28" s="45">
        <f t="shared" si="265"/>
        <v>44</v>
      </c>
      <c r="KS28" s="45">
        <f t="shared" si="45"/>
        <v>2.6539999999999999</v>
      </c>
      <c r="KT28" s="45">
        <f t="shared" si="266"/>
        <v>1</v>
      </c>
      <c r="KU28" s="45">
        <f t="shared" si="267"/>
        <v>2</v>
      </c>
      <c r="KV28" s="45">
        <f t="shared" si="268"/>
        <v>0</v>
      </c>
      <c r="KW28" s="46" cm="1">
        <f t="array" ref="KW28">ROUND(IFERROR(INDEX(ArchiveResults!$F$5:$IX$116,ComparisonData!A28,ComparisonData!$KW$1),0),5)</f>
        <v>0</v>
      </c>
      <c r="KX28" s="46" cm="1">
        <f t="array" ref="KX28">ROUND(IFERROR(INDEX(ArchiveResults!$F$5:$IX$116,ComparisonData!A28,ComparisonData!$KX$1),0),5)</f>
        <v>0</v>
      </c>
      <c r="KY28" s="46" cm="1">
        <f t="array" ref="KY28">ROUND(IFERROR(INDEX(ArchiveResults!$F$5:$IX$116,ComparisonData!A28,ComparisonData!$KY$1),0),5)</f>
        <v>0</v>
      </c>
      <c r="KZ28" s="46" cm="1">
        <f t="array" ref="KZ28">ROUND(IFERROR(INDEX(ArchiveResults!$F$5:$IX$116,ComparisonData!A28,ComparisonData!$KZ$1),0),5)</f>
        <v>0</v>
      </c>
      <c r="LA28" s="45" cm="1">
        <f t="array" ref="LA28">IFERROR(INDEX(ArchiveResults!$F$5:$IX$116,ComparisonData!A28,ComparisonData!$LA$1),0)</f>
        <v>0</v>
      </c>
      <c r="LB28" s="56">
        <v>23</v>
      </c>
      <c r="LC28" s="53" t="str">
        <f t="shared" si="46"/>
        <v>Derry City and Strabane District Council, Tower Museum</v>
      </c>
      <c r="LD28" s="59">
        <f t="shared" si="269"/>
        <v>0</v>
      </c>
      <c r="LE28" s="59">
        <f t="shared" si="270"/>
        <v>0</v>
      </c>
      <c r="LF28" s="59">
        <f t="shared" si="271"/>
        <v>0</v>
      </c>
      <c r="LG28" s="59">
        <f t="shared" si="272"/>
        <v>0</v>
      </c>
      <c r="LH28" s="59">
        <f t="shared" si="273"/>
        <v>0</v>
      </c>
      <c r="LI28" s="58">
        <f t="shared" si="274"/>
        <v>0</v>
      </c>
      <c r="LJ28" s="45">
        <f t="shared" si="275"/>
        <v>44</v>
      </c>
      <c r="LK28" s="45">
        <f t="shared" si="47"/>
        <v>2.6539999999999999</v>
      </c>
      <c r="LL28" s="45">
        <f t="shared" si="276"/>
        <v>1</v>
      </c>
      <c r="LM28" s="45">
        <f t="shared" si="277"/>
        <v>2</v>
      </c>
      <c r="LN28" s="45">
        <f t="shared" si="278"/>
        <v>0</v>
      </c>
      <c r="LO28" s="46" cm="1">
        <f t="array" ref="LO28">ROUND(IFERROR(INDEX(ArchiveResults!$F$5:$IX$116,ComparisonData!A28,ComparisonData!$LO$1),0),5)</f>
        <v>0</v>
      </c>
      <c r="LP28" s="46" cm="1">
        <f t="array" ref="LP28">ROUND(IFERROR(INDEX(ArchiveResults!$F$5:$IX$116,ComparisonData!A28,ComparisonData!$LP$1),0),5)</f>
        <v>0</v>
      </c>
      <c r="LQ28" s="46" cm="1">
        <f t="array" ref="LQ28">ROUND(IFERROR(INDEX(ArchiveResults!$F$5:$IX$116,ComparisonData!A28,ComparisonData!$LQ$1),0),5)</f>
        <v>0</v>
      </c>
      <c r="LR28" s="46" cm="1">
        <f t="array" ref="LR28">ROUND(IFERROR(INDEX(ArchiveResults!$F$5:$IX$116,ComparisonData!A28,ComparisonData!$LR$1),0),5)</f>
        <v>0</v>
      </c>
      <c r="LS28" s="45" cm="1">
        <f t="array" ref="LS28">IFERROR(INDEX(ArchiveResults!$F$5:$IX$116,ComparisonData!A28,ComparisonData!$LS$1),0)</f>
        <v>0</v>
      </c>
      <c r="LT28" s="56">
        <v>23</v>
      </c>
      <c r="LU28" s="53" t="str">
        <f t="shared" si="48"/>
        <v>Derry City and Strabane District Council, Tower Museum</v>
      </c>
      <c r="LV28" s="59">
        <f t="shared" si="279"/>
        <v>0</v>
      </c>
      <c r="LW28" s="59">
        <f t="shared" si="280"/>
        <v>0</v>
      </c>
      <c r="LX28" s="59">
        <f t="shared" si="281"/>
        <v>0</v>
      </c>
      <c r="LY28" s="59">
        <f t="shared" si="282"/>
        <v>0</v>
      </c>
      <c r="LZ28" s="59">
        <f t="shared" si="283"/>
        <v>0</v>
      </c>
      <c r="MA28" s="58">
        <f t="shared" si="284"/>
        <v>0</v>
      </c>
      <c r="MB28" s="45">
        <f t="shared" si="285"/>
        <v>44</v>
      </c>
      <c r="MC28" s="45">
        <f t="shared" si="49"/>
        <v>2.6539999999999999</v>
      </c>
      <c r="MD28" s="45">
        <f t="shared" si="286"/>
        <v>1</v>
      </c>
      <c r="ME28" s="45">
        <f t="shared" si="287"/>
        <v>2</v>
      </c>
      <c r="MF28" s="45">
        <f t="shared" si="288"/>
        <v>0</v>
      </c>
      <c r="MG28" s="46" cm="1">
        <f t="array" ref="MG28">ROUND(IFERROR(INDEX(ArchiveResults!$F$5:$IX$116,ComparisonData!A28,ComparisonData!$MG$1),0),5)</f>
        <v>0</v>
      </c>
      <c r="MH28" s="46" cm="1">
        <f t="array" ref="MH28">ROUND(IFERROR(INDEX(ArchiveResults!$F$5:$IX$116,ComparisonData!A28,ComparisonData!$MH$1),0),5)</f>
        <v>0</v>
      </c>
      <c r="MI28" s="46" cm="1">
        <f t="array" ref="MI28">ROUND(IFERROR(INDEX(ArchiveResults!$F$5:$IX$116,ComparisonData!A28,ComparisonData!$MI$1),0),5)</f>
        <v>0</v>
      </c>
      <c r="MJ28" s="46" cm="1">
        <f t="array" ref="MJ28">ROUND(IFERROR(INDEX(ArchiveResults!$F$5:$IX$116,ComparisonData!A28,ComparisonData!$MJ$1),0),5)</f>
        <v>0</v>
      </c>
      <c r="MK28" s="45" cm="1">
        <f t="array" ref="MK28">IFERROR(INDEX(ArchiveResults!$F$5:$IX$116,ComparisonData!A28,ComparisonData!$MK$1),0)</f>
        <v>0</v>
      </c>
      <c r="ML28" s="56">
        <v>23</v>
      </c>
      <c r="MM28" s="53" t="str">
        <f t="shared" si="50"/>
        <v>Derry City and Strabane District Council, Tower Museum</v>
      </c>
      <c r="MN28" s="59">
        <f t="shared" si="289"/>
        <v>0</v>
      </c>
      <c r="MO28" s="59">
        <f t="shared" si="290"/>
        <v>0</v>
      </c>
      <c r="MP28" s="59">
        <f t="shared" si="291"/>
        <v>0</v>
      </c>
      <c r="MQ28" s="59">
        <f t="shared" si="292"/>
        <v>0</v>
      </c>
      <c r="MR28" s="59">
        <f t="shared" si="293"/>
        <v>0</v>
      </c>
      <c r="MS28" s="58">
        <f t="shared" si="294"/>
        <v>0</v>
      </c>
      <c r="MT28" s="45">
        <f t="shared" si="295"/>
        <v>44</v>
      </c>
      <c r="MU28" s="45">
        <f t="shared" si="51"/>
        <v>2.6539999999999999</v>
      </c>
      <c r="MV28" s="45">
        <f t="shared" si="296"/>
        <v>1</v>
      </c>
      <c r="MW28" s="45">
        <f t="shared" si="297"/>
        <v>2</v>
      </c>
      <c r="MX28" s="45">
        <f t="shared" si="298"/>
        <v>0</v>
      </c>
      <c r="MY28" s="46" cm="1">
        <f t="array" ref="MY28">ROUND(IFERROR(INDEX(ArchiveResults!$F$5:$IX$116,ComparisonData!A28,ComparisonData!$MY$1),0),5)</f>
        <v>0</v>
      </c>
      <c r="MZ28" s="46" cm="1">
        <f t="array" ref="MZ28">ROUND(IFERROR(INDEX(ArchiveResults!$F$5:$IX$116,ComparisonData!A28,ComparisonData!$MZ$1),0),5)</f>
        <v>0</v>
      </c>
      <c r="NA28" s="46" cm="1">
        <f t="array" ref="NA28">ROUND(IFERROR(INDEX(ArchiveResults!$F$5:$IX$116,ComparisonData!A28,ComparisonData!$NA$1),0),5)</f>
        <v>0</v>
      </c>
      <c r="NB28" s="46" cm="1">
        <f t="array" ref="NB28">ROUND(IFERROR(INDEX(ArchiveResults!$F$5:$IX$116,ComparisonData!A28,ComparisonData!$NB$1),0),5)</f>
        <v>0</v>
      </c>
      <c r="NC28" s="45" cm="1">
        <f t="array" ref="NC28">IFERROR(INDEX(ArchiveResults!$F$5:$IX$116,ComparisonData!A28,ComparisonData!$NC$1),0)</f>
        <v>0</v>
      </c>
      <c r="ND28" s="56">
        <v>23</v>
      </c>
      <c r="NE28" s="53" t="str">
        <f t="shared" si="52"/>
        <v>Derry City and Strabane District Council, Tower Museum</v>
      </c>
      <c r="NF28" s="59">
        <f t="shared" si="299"/>
        <v>0</v>
      </c>
      <c r="NG28" s="59">
        <f t="shared" si="300"/>
        <v>0</v>
      </c>
      <c r="NH28" s="59">
        <f t="shared" si="301"/>
        <v>0</v>
      </c>
      <c r="NI28" s="59">
        <f t="shared" si="302"/>
        <v>0</v>
      </c>
      <c r="NJ28" s="59">
        <f t="shared" si="303"/>
        <v>0</v>
      </c>
      <c r="NK28" s="58">
        <f t="shared" si="304"/>
        <v>0</v>
      </c>
      <c r="NL28" s="45">
        <f t="shared" si="305"/>
        <v>44</v>
      </c>
      <c r="NM28" s="45">
        <f t="shared" si="53"/>
        <v>2.6539999999999999</v>
      </c>
      <c r="NN28" s="45">
        <f t="shared" si="306"/>
        <v>1</v>
      </c>
      <c r="NO28" s="45">
        <f t="shared" si="307"/>
        <v>2</v>
      </c>
      <c r="NP28" s="46" cm="1">
        <f t="array" ref="NP28">ROUND(IFERROR(INDEX(ArchiveResults!$F$5:$IX$116,ComparisonData!A28,ComparisonData!$NP$1),0),5)</f>
        <v>0</v>
      </c>
      <c r="NQ28" s="46" cm="1">
        <f t="array" ref="NQ28">ROUND(IFERROR(INDEX(ArchiveResults!$F$5:$IX$116,ComparisonData!A28,ComparisonData!$NQ$1),0),5)</f>
        <v>0</v>
      </c>
      <c r="NR28" s="46" cm="1">
        <f t="array" ref="NR28">ROUND(IFERROR(INDEX(ArchiveResults!$F$5:$IX$116,ComparisonData!A28,ComparisonData!$NR$1),0),5)</f>
        <v>0</v>
      </c>
      <c r="NS28" s="46" cm="1">
        <f t="array" ref="NS28">ROUND(IFERROR(INDEX(ArchiveResults!$F$5:$IX$116,ComparisonData!A28,ComparisonData!$NS$1),0),5)</f>
        <v>0</v>
      </c>
      <c r="NT28" s="45" cm="1">
        <f t="array" ref="NT28">IFERROR(INDEX(ArchiveResults!$F$5:$IX$116,ComparisonData!A28,ComparisonData!$NT$1),0)</f>
        <v>0</v>
      </c>
      <c r="NU28" s="56">
        <v>23</v>
      </c>
      <c r="NV28" s="53" t="str">
        <f t="shared" si="54"/>
        <v>Derry City and Strabane District Council, Tower Museum</v>
      </c>
      <c r="NW28" s="59">
        <f t="shared" si="308"/>
        <v>0</v>
      </c>
      <c r="NX28" s="59">
        <f t="shared" si="309"/>
        <v>0</v>
      </c>
      <c r="NY28" s="59">
        <f t="shared" si="310"/>
        <v>0</v>
      </c>
      <c r="NZ28" s="59">
        <f t="shared" si="311"/>
        <v>0</v>
      </c>
      <c r="OA28" s="59">
        <f t="shared" si="312"/>
        <v>0</v>
      </c>
      <c r="OB28" s="58">
        <f t="shared" si="313"/>
        <v>0</v>
      </c>
      <c r="OC28" s="45">
        <f t="shared" si="314"/>
        <v>44</v>
      </c>
      <c r="OD28" s="45">
        <f t="shared" si="55"/>
        <v>2.6539999999999999</v>
      </c>
      <c r="OE28" s="45">
        <f t="shared" si="315"/>
        <v>1</v>
      </c>
      <c r="OF28" s="45">
        <f t="shared" si="316"/>
        <v>2</v>
      </c>
      <c r="OG28" s="46">
        <f t="shared" si="317"/>
        <v>0</v>
      </c>
      <c r="OH28" s="46" cm="1">
        <f t="array" ref="OH28">ROUND(IFERROR(INDEX(ArchiveResults!$F$5:$IX$116,ComparisonData!A28,ComparisonData!$OH$1),0),5)</f>
        <v>0</v>
      </c>
      <c r="OI28" s="46" cm="1">
        <f t="array" ref="OI28">ROUND(IFERROR(INDEX(ArchiveResults!$F$5:$IX$116,ComparisonData!A28,ComparisonData!$OI$1),0),5)</f>
        <v>0</v>
      </c>
      <c r="OJ28" s="46" cm="1">
        <f t="array" ref="OJ28">ROUND(IFERROR(INDEX(ArchiveResults!$F$5:$IX$116,ComparisonData!A28,ComparisonData!$OJ$1),0),5)</f>
        <v>0</v>
      </c>
      <c r="OK28" s="46" cm="1">
        <f t="array" ref="OK28">ROUND(IFERROR(INDEX(ArchiveResults!$F$5:$IX$116,ComparisonData!A28,ComparisonData!$OK$1),0),5)</f>
        <v>0</v>
      </c>
      <c r="OL28" s="45" cm="1">
        <f t="array" ref="OL28">IFERROR(INDEX(ArchiveResults!$F$5:$IX$116,ComparisonData!A28,ComparisonData!$OL$1),0)</f>
        <v>0</v>
      </c>
      <c r="OM28" s="56">
        <v>23</v>
      </c>
      <c r="ON28" s="53" t="str">
        <f t="shared" si="56"/>
        <v>Derry City and Strabane District Council, Tower Museum</v>
      </c>
      <c r="OO28" s="59">
        <f t="shared" si="318"/>
        <v>0</v>
      </c>
      <c r="OP28" s="59">
        <f t="shared" si="319"/>
        <v>0</v>
      </c>
      <c r="OQ28" s="59">
        <f t="shared" si="320"/>
        <v>0</v>
      </c>
      <c r="OR28" s="59">
        <f t="shared" si="321"/>
        <v>0</v>
      </c>
      <c r="OS28" s="59">
        <f t="shared" si="322"/>
        <v>0</v>
      </c>
      <c r="OT28" s="58">
        <f t="shared" si="323"/>
        <v>0</v>
      </c>
      <c r="OU28" s="45">
        <f t="shared" si="324"/>
        <v>44</v>
      </c>
      <c r="OV28" s="45">
        <f t="shared" si="57"/>
        <v>2.6539999999999999</v>
      </c>
      <c r="OW28" s="45">
        <f t="shared" si="325"/>
        <v>1</v>
      </c>
      <c r="OX28" s="45">
        <f t="shared" si="326"/>
        <v>2</v>
      </c>
      <c r="OY28" s="45">
        <f t="shared" si="327"/>
        <v>0</v>
      </c>
      <c r="OZ28" s="46" cm="1">
        <f t="array" ref="OZ28">ROUND(IFERROR(INDEX(ArchiveResults!$F$5:$IX$116,ComparisonData!A28,ComparisonData!$OZ$1),0),5)</f>
        <v>0</v>
      </c>
      <c r="PA28" s="46" cm="1">
        <f t="array" ref="PA28">ROUND(IFERROR(INDEX(ArchiveResults!$F$5:$IX$116,ComparisonData!A28,ComparisonData!$PA$1),0),5)</f>
        <v>0</v>
      </c>
      <c r="PB28" s="46" cm="1">
        <f t="array" ref="PB28">ROUND(IFERROR(INDEX(ArchiveResults!$F$5:$IX$116,ComparisonData!A28,ComparisonData!$PB$1),0),5)</f>
        <v>0</v>
      </c>
      <c r="PC28" s="46" cm="1">
        <f t="array" ref="PC28">ROUND(IFERROR(INDEX(ArchiveResults!$F$5:$IX$116,ComparisonData!A28,ComparisonData!$PC$1),0),5)</f>
        <v>0</v>
      </c>
      <c r="PD28" s="45" cm="1">
        <f t="array" ref="PD28">IFERROR(INDEX(ArchiveResults!$F$5:$IX$116,ComparisonData!A28,ComparisonData!$PD$1),0)</f>
        <v>0</v>
      </c>
      <c r="PE28" s="56">
        <v>23</v>
      </c>
      <c r="PF28" s="53" t="str">
        <f t="shared" si="58"/>
        <v>Derry City and Strabane District Council, Tower Museum</v>
      </c>
      <c r="PG28" s="59">
        <f t="shared" si="328"/>
        <v>0</v>
      </c>
      <c r="PH28" s="59">
        <f t="shared" si="329"/>
        <v>0</v>
      </c>
      <c r="PI28" s="59">
        <f t="shared" si="330"/>
        <v>0</v>
      </c>
      <c r="PJ28" s="59">
        <f t="shared" si="331"/>
        <v>0</v>
      </c>
      <c r="PK28" s="59">
        <f t="shared" si="332"/>
        <v>0</v>
      </c>
      <c r="PL28" s="58">
        <f t="shared" si="333"/>
        <v>0</v>
      </c>
      <c r="PM28" s="45">
        <f t="shared" si="334"/>
        <v>44</v>
      </c>
      <c r="PN28" s="45">
        <f t="shared" si="59"/>
        <v>2.6539999999999999</v>
      </c>
      <c r="PO28" s="45">
        <f t="shared" si="335"/>
        <v>1</v>
      </c>
      <c r="PP28" s="45">
        <f t="shared" si="336"/>
        <v>2</v>
      </c>
      <c r="PQ28" s="45">
        <f t="shared" si="337"/>
        <v>0</v>
      </c>
      <c r="PR28" s="46" cm="1">
        <f t="array" ref="PR28">ROUND(IFERROR(INDEX(ArchiveResults!$F$5:$IX$116,ComparisonData!A28,ComparisonData!$PR$1),0),5)</f>
        <v>0</v>
      </c>
      <c r="PS28" s="46" cm="1">
        <f t="array" ref="PS28">ROUND(IFERROR(INDEX(ArchiveResults!$F$5:$IX$116,ComparisonData!A28,ComparisonData!$PS$1),0),5)</f>
        <v>0</v>
      </c>
      <c r="PT28" s="46" cm="1">
        <f t="array" ref="PT28">ROUND(IFERROR(INDEX(ArchiveResults!$F$5:$IX$116,ComparisonData!A28,ComparisonData!$PT$1),0),5)</f>
        <v>0</v>
      </c>
      <c r="PU28" s="46" cm="1">
        <f t="array" ref="PU28">ROUND(IFERROR(INDEX(ArchiveResults!$F$5:$IX$116,ComparisonData!A28,ComparisonData!$PU$1),0),5)</f>
        <v>0</v>
      </c>
      <c r="PV28" s="45" cm="1">
        <f t="array" ref="PV28">IFERROR(INDEX(ArchiveResults!$F$5:$IX$116,ComparisonData!A28,ComparisonData!$PV$1),0)</f>
        <v>0</v>
      </c>
      <c r="PW28" s="56">
        <v>23</v>
      </c>
      <c r="PX28" s="53" t="str">
        <f t="shared" si="60"/>
        <v>Derry City and Strabane District Council, Tower Museum</v>
      </c>
      <c r="PY28" s="59">
        <f t="shared" si="338"/>
        <v>0</v>
      </c>
      <c r="PZ28" s="59">
        <f t="shared" si="339"/>
        <v>0</v>
      </c>
      <c r="QA28" s="59">
        <f t="shared" si="340"/>
        <v>0</v>
      </c>
      <c r="QB28" s="59">
        <f t="shared" si="341"/>
        <v>0</v>
      </c>
      <c r="QC28" s="59">
        <f t="shared" si="342"/>
        <v>0</v>
      </c>
      <c r="QD28" s="58">
        <f t="shared" si="343"/>
        <v>0</v>
      </c>
      <c r="QE28" s="45">
        <f t="shared" si="344"/>
        <v>44</v>
      </c>
      <c r="QF28" s="45">
        <f t="shared" si="61"/>
        <v>2.6539999999999999</v>
      </c>
      <c r="QG28" s="45">
        <f t="shared" si="345"/>
        <v>1</v>
      </c>
      <c r="QH28" s="45">
        <f t="shared" si="346"/>
        <v>2</v>
      </c>
      <c r="QI28" s="45">
        <f t="shared" si="347"/>
        <v>0</v>
      </c>
      <c r="QJ28" s="46" cm="1">
        <f t="array" ref="QJ28">ROUND(IFERROR(INDEX(ArchiveResults!$F$5:$IX$116,ComparisonData!A28,ComparisonData!$QJ$1),0),5)</f>
        <v>0</v>
      </c>
      <c r="QK28" s="46" cm="1">
        <f t="array" ref="QK28">ROUND(IFERROR(INDEX(ArchiveResults!$F$5:$IX$116,ComparisonData!A28,ComparisonData!$QK$1),0),5)</f>
        <v>0</v>
      </c>
      <c r="QL28" s="46" cm="1">
        <f t="array" ref="QL28">ROUND(IFERROR(INDEX(ArchiveResults!$F$5:$IX$116,ComparisonData!A28,ComparisonData!$QL$1),0),5)</f>
        <v>0</v>
      </c>
      <c r="QM28" s="46" cm="1">
        <f t="array" ref="QM28">ROUND(IFERROR(INDEX(ArchiveResults!$F$5:$IX$116,ComparisonData!A28,ComparisonData!$QM$1),0),5)</f>
        <v>0</v>
      </c>
      <c r="QN28" s="45" cm="1">
        <f t="array" ref="QN28">IFERROR(INDEX(ArchiveResults!$F$5:$IX$116,ComparisonData!A28,ComparisonData!$QN$1),0)</f>
        <v>0</v>
      </c>
      <c r="QO28" s="56">
        <v>23</v>
      </c>
      <c r="QP28" s="53" t="str">
        <f t="shared" si="62"/>
        <v>Derry City and Strabane District Council, Tower Museum</v>
      </c>
      <c r="QQ28" s="59">
        <f t="shared" si="348"/>
        <v>0</v>
      </c>
      <c r="QR28" s="59">
        <f t="shared" si="349"/>
        <v>0</v>
      </c>
      <c r="QS28" s="59">
        <f t="shared" si="350"/>
        <v>0</v>
      </c>
      <c r="QT28" s="59">
        <f t="shared" si="351"/>
        <v>0</v>
      </c>
      <c r="QU28" s="59">
        <f t="shared" si="352"/>
        <v>0</v>
      </c>
      <c r="QV28" s="58">
        <f t="shared" si="353"/>
        <v>0</v>
      </c>
      <c r="QW28" s="45">
        <f t="shared" si="354"/>
        <v>44</v>
      </c>
      <c r="QX28" s="45">
        <f t="shared" si="63"/>
        <v>2.6539999999999999</v>
      </c>
      <c r="QY28" s="45">
        <f t="shared" si="355"/>
        <v>1</v>
      </c>
      <c r="QZ28" s="45">
        <f t="shared" si="356"/>
        <v>2</v>
      </c>
      <c r="RA28" s="45">
        <f t="shared" si="357"/>
        <v>0</v>
      </c>
      <c r="RB28" s="46" cm="1">
        <f t="array" ref="RB28">ROUND(IFERROR(INDEX(ArchiveResults!$F$5:$IX$116,ComparisonData!A28,ComparisonData!$RB$1),0),5)</f>
        <v>0</v>
      </c>
      <c r="RC28" s="46" cm="1">
        <f t="array" ref="RC28">ROUND(IFERROR(INDEX(ArchiveResults!$F$5:$IX$116,ComparisonData!A28,ComparisonData!$RC$1),0),5)</f>
        <v>0</v>
      </c>
      <c r="RD28" s="46" cm="1">
        <f t="array" ref="RD28">ROUND(IFERROR(INDEX(ArchiveResults!$F$5:$IX$116,ComparisonData!A28,ComparisonData!$RD$1),0),5)</f>
        <v>0</v>
      </c>
      <c r="RE28" s="46" cm="1">
        <f t="array" ref="RE28">ROUND(IFERROR(INDEX(ArchiveResults!$F$5:$IX$116,ComparisonData!A28,ComparisonData!$RE$1),0),5)</f>
        <v>0</v>
      </c>
      <c r="RF28" s="45" cm="1">
        <f t="array" ref="RF28">IFERROR(INDEX(ArchiveResults!$F$5:$IX$116,ComparisonData!A28,ComparisonData!$RF$1),0)</f>
        <v>0</v>
      </c>
      <c r="RG28" s="56">
        <v>23</v>
      </c>
      <c r="RH28" s="53" t="str">
        <f t="shared" si="64"/>
        <v>Derry City and Strabane District Council, Tower Museum</v>
      </c>
      <c r="RI28" s="59">
        <f t="shared" si="358"/>
        <v>0</v>
      </c>
      <c r="RJ28" s="59">
        <f t="shared" si="359"/>
        <v>0</v>
      </c>
      <c r="RK28" s="59">
        <f t="shared" si="360"/>
        <v>0</v>
      </c>
      <c r="RL28" s="59">
        <f t="shared" si="361"/>
        <v>0</v>
      </c>
      <c r="RM28" s="59">
        <f t="shared" si="362"/>
        <v>0</v>
      </c>
      <c r="RN28" s="58">
        <f t="shared" si="363"/>
        <v>0</v>
      </c>
      <c r="RO28" s="45">
        <f t="shared" si="364"/>
        <v>44</v>
      </c>
      <c r="RP28" s="45">
        <f t="shared" si="65"/>
        <v>2.6539999999999999</v>
      </c>
      <c r="RQ28" s="45">
        <f t="shared" si="365"/>
        <v>1</v>
      </c>
      <c r="RR28" s="45">
        <f t="shared" si="366"/>
        <v>2</v>
      </c>
      <c r="RS28" s="45">
        <f t="shared" si="367"/>
        <v>0</v>
      </c>
      <c r="RT28" s="46" cm="1">
        <f t="array" ref="RT28">ROUND(IFERROR(INDEX(ArchiveResults!$F$5:$IX$116,ComparisonData!A28,ComparisonData!$RT$1),0),5)</f>
        <v>0</v>
      </c>
      <c r="RU28" s="46" cm="1">
        <f t="array" ref="RU28">ROUND(IFERROR(INDEX(ArchiveResults!$F$5:$IX$116,ComparisonData!A28,ComparisonData!$RU$1),0),5)</f>
        <v>0</v>
      </c>
      <c r="RV28" s="46" cm="1">
        <f t="array" ref="RV28">ROUND(IFERROR(INDEX(ArchiveResults!$F$5:$IX$116,ComparisonData!A28,ComparisonData!$RV$1),0),5)</f>
        <v>0</v>
      </c>
      <c r="RW28" s="46" cm="1">
        <f t="array" ref="RW28">ROUND(IFERROR(INDEX(ArchiveResults!$F$5:$IX$116,ComparisonData!A28,ComparisonData!$RW$1),0),5)</f>
        <v>0</v>
      </c>
      <c r="RX28" s="45" cm="1">
        <f t="array" ref="RX28">IFERROR(INDEX(ArchiveResults!$F$5:$IX$116,ComparisonData!A28,ComparisonData!$RX$1),0)</f>
        <v>0</v>
      </c>
      <c r="RY28" s="56">
        <v>23</v>
      </c>
      <c r="RZ28" s="53" t="str">
        <f t="shared" si="66"/>
        <v>Derry City and Strabane District Council, Tower Museum</v>
      </c>
      <c r="SA28" s="59">
        <f t="shared" si="368"/>
        <v>0</v>
      </c>
      <c r="SB28" s="59">
        <f t="shared" si="369"/>
        <v>0</v>
      </c>
      <c r="SC28" s="59">
        <f t="shared" si="370"/>
        <v>0</v>
      </c>
      <c r="SD28" s="59">
        <f t="shared" si="371"/>
        <v>0</v>
      </c>
      <c r="SE28" s="59">
        <f t="shared" si="372"/>
        <v>0</v>
      </c>
      <c r="SF28" s="58">
        <f t="shared" si="373"/>
        <v>0</v>
      </c>
      <c r="SG28" s="45">
        <f t="shared" si="374"/>
        <v>44</v>
      </c>
      <c r="SH28" s="45">
        <f t="shared" si="67"/>
        <v>2.6539999999999999</v>
      </c>
      <c r="SI28" s="45">
        <f t="shared" si="375"/>
        <v>1</v>
      </c>
      <c r="SJ28" s="45">
        <f t="shared" si="376"/>
        <v>2</v>
      </c>
      <c r="SK28" s="45">
        <f t="shared" si="377"/>
        <v>0</v>
      </c>
      <c r="SL28" s="46" cm="1">
        <f t="array" ref="SL28">ROUND(IFERROR(INDEX(ArchiveResults!$F$5:$IX$116,ComparisonData!A28,ComparisonData!$SL$1),0),5)</f>
        <v>0</v>
      </c>
      <c r="SM28" s="46" cm="1">
        <f t="array" ref="SM28">ROUND(IFERROR(INDEX(ArchiveResults!$F$5:$IX$116,ComparisonData!A28,ComparisonData!$SM$1),0),5)</f>
        <v>0</v>
      </c>
      <c r="SN28" s="46" cm="1">
        <f t="array" ref="SN28">ROUND(IFERROR(INDEX(ArchiveResults!$F$5:$IX$116,ComparisonData!A28,ComparisonData!$SN$1),0),5)</f>
        <v>0</v>
      </c>
      <c r="SO28" s="46" cm="1">
        <f t="array" ref="SO28">ROUND(IFERROR(INDEX(ArchiveResults!$F$5:$IX$116,ComparisonData!A28,ComparisonData!$SO$1),0),5)</f>
        <v>0</v>
      </c>
      <c r="SP28" s="45" cm="1">
        <f t="array" ref="SP28">IFERROR(INDEX(ArchiveResults!$F$5:$IX$116,ComparisonData!A28,ComparisonData!$SP$1),0)</f>
        <v>0</v>
      </c>
      <c r="SQ28" s="56">
        <v>23</v>
      </c>
      <c r="SR28" s="53" t="str">
        <f t="shared" si="68"/>
        <v>Derry City and Strabane District Council, Tower Museum</v>
      </c>
      <c r="SS28" s="59">
        <f t="shared" si="378"/>
        <v>0</v>
      </c>
      <c r="ST28" s="59">
        <f t="shared" si="379"/>
        <v>0</v>
      </c>
      <c r="SU28" s="59">
        <f t="shared" si="380"/>
        <v>0</v>
      </c>
      <c r="SV28" s="59">
        <f t="shared" si="381"/>
        <v>0</v>
      </c>
      <c r="SW28" s="59">
        <f t="shared" si="382"/>
        <v>0</v>
      </c>
      <c r="SX28" s="58">
        <f t="shared" si="383"/>
        <v>0</v>
      </c>
      <c r="SY28" s="45">
        <f t="shared" si="384"/>
        <v>44</v>
      </c>
      <c r="SZ28" s="45">
        <f t="shared" si="69"/>
        <v>2.6539999999999999</v>
      </c>
      <c r="TA28" s="45">
        <f t="shared" si="385"/>
        <v>1</v>
      </c>
      <c r="TB28" s="45">
        <f t="shared" si="386"/>
        <v>2</v>
      </c>
      <c r="TC28" s="45">
        <f t="shared" si="387"/>
        <v>0</v>
      </c>
      <c r="TD28" s="46" cm="1">
        <f t="array" ref="TD28">ROUND(IFERROR(INDEX(ArchiveResults!$F$5:$IX$116,ComparisonData!A28,ComparisonData!$TD$1),0),5)</f>
        <v>0</v>
      </c>
      <c r="TE28" s="46" cm="1">
        <f t="array" ref="TE28">ROUND(IFERROR(INDEX(ArchiveResults!$F$5:$IX$116,ComparisonData!A28,ComparisonData!$TE$1),0),5)</f>
        <v>0</v>
      </c>
      <c r="TF28" s="46" cm="1">
        <f t="array" ref="TF28">ROUND(IFERROR(INDEX(ArchiveResults!$F$5:$IX$116,ComparisonData!A28,ComparisonData!$TF$1),0),5)</f>
        <v>0</v>
      </c>
      <c r="TG28" s="46" cm="1">
        <f t="array" ref="TG28">ROUND(IFERROR(INDEX(ArchiveResults!$F$5:$IX$116,ComparisonData!A28,ComparisonData!$TG$1),0),5)</f>
        <v>0</v>
      </c>
      <c r="TH28" s="45" cm="1">
        <f t="array" ref="TH28">IFERROR(INDEX(ArchiveResults!$F$5:$IX$116,ComparisonData!A28,ComparisonData!$TH$1),0)</f>
        <v>0</v>
      </c>
      <c r="TI28" s="56">
        <v>23</v>
      </c>
      <c r="TJ28" s="53" t="str">
        <f t="shared" si="70"/>
        <v>Derry City and Strabane District Council, Tower Museum</v>
      </c>
      <c r="TK28" s="59">
        <f t="shared" si="388"/>
        <v>0</v>
      </c>
      <c r="TL28" s="59">
        <f t="shared" si="389"/>
        <v>0</v>
      </c>
      <c r="TM28" s="59">
        <f t="shared" si="390"/>
        <v>0</v>
      </c>
      <c r="TN28" s="59">
        <f t="shared" si="391"/>
        <v>0</v>
      </c>
      <c r="TO28" s="59">
        <f t="shared" si="392"/>
        <v>0</v>
      </c>
      <c r="TP28" s="58">
        <f t="shared" si="393"/>
        <v>0</v>
      </c>
      <c r="TQ28" s="45">
        <f t="shared" si="394"/>
        <v>44</v>
      </c>
      <c r="TR28" s="45">
        <f t="shared" si="71"/>
        <v>2.6539999999999999</v>
      </c>
      <c r="TS28" s="45">
        <f t="shared" si="395"/>
        <v>1</v>
      </c>
      <c r="TT28" s="45">
        <f t="shared" si="396"/>
        <v>2</v>
      </c>
      <c r="TU28" s="45">
        <f t="shared" si="397"/>
        <v>0</v>
      </c>
      <c r="TV28" s="46" cm="1">
        <f t="array" ref="TV28">ROUND(IFERROR(INDEX(ArchiveResults!$F$5:$IX$116,ComparisonData!A28,ComparisonData!$TV$1),0),5)</f>
        <v>0</v>
      </c>
      <c r="TW28" s="46" cm="1">
        <f t="array" ref="TW28">ROUND(IFERROR(INDEX(ArchiveResults!$F$5:$IX$116,ComparisonData!A28,ComparisonData!$TW$1),0),5)</f>
        <v>0</v>
      </c>
      <c r="TX28" s="46" cm="1">
        <f t="array" ref="TX28">ROUND(IFERROR(INDEX(ArchiveResults!$F$5:$IX$116,ComparisonData!A28,ComparisonData!$TX$1),0),5)</f>
        <v>0</v>
      </c>
      <c r="TY28" s="46" cm="1">
        <f t="array" ref="TY28">ROUND(IFERROR(INDEX(ArchiveResults!$F$5:$IX$116,ComparisonData!A28,ComparisonData!$TY$1),0),5)</f>
        <v>0</v>
      </c>
      <c r="TZ28" s="45" cm="1">
        <f t="array" ref="TZ28">IFERROR(INDEX(ArchiveResults!$F$5:$IX$116,ComparisonData!A28,ComparisonData!$TZ$1),0)</f>
        <v>0</v>
      </c>
      <c r="UA28" s="56">
        <v>23</v>
      </c>
      <c r="UB28" s="53" t="str">
        <f t="shared" si="72"/>
        <v>Derry City and Strabane District Council, Tower Museum</v>
      </c>
      <c r="UC28" s="60">
        <f t="shared" si="398"/>
        <v>0</v>
      </c>
      <c r="UD28" s="60">
        <f t="shared" si="399"/>
        <v>0</v>
      </c>
      <c r="UE28" s="60">
        <f t="shared" si="400"/>
        <v>0</v>
      </c>
      <c r="UF28" s="60">
        <f t="shared" si="401"/>
        <v>0</v>
      </c>
      <c r="UG28" s="60">
        <f t="shared" si="402"/>
        <v>0</v>
      </c>
      <c r="UH28" s="58">
        <f t="shared" si="403"/>
        <v>0</v>
      </c>
      <c r="UI28" s="46">
        <f t="shared" si="404"/>
        <v>44</v>
      </c>
      <c r="UJ28" s="46">
        <f t="shared" si="73"/>
        <v>2.6539999999999999</v>
      </c>
      <c r="UK28" s="46">
        <f t="shared" si="405"/>
        <v>1</v>
      </c>
      <c r="UL28" s="46">
        <f t="shared" si="406"/>
        <v>2</v>
      </c>
      <c r="UM28" s="46" cm="1">
        <f t="array" ref="UM28">ROUND(IFERROR(INDEX(ArchiveResults!$F$5:$IX$116,ComparisonData!A28,ComparisonData!$UM$1),0),5)</f>
        <v>0</v>
      </c>
      <c r="UN28" s="56">
        <v>23</v>
      </c>
      <c r="UO28" s="53" t="str">
        <f t="shared" si="74"/>
        <v>Derry City and Strabane District Council, Tower Museum</v>
      </c>
      <c r="UP28" s="46">
        <f t="shared" si="407"/>
        <v>0</v>
      </c>
      <c r="UQ28" s="76">
        <f t="shared" si="408"/>
        <v>0</v>
      </c>
      <c r="UR28" s="46">
        <f t="shared" si="409"/>
        <v>44</v>
      </c>
      <c r="US28" s="46">
        <f t="shared" si="75"/>
        <v>2.6539999999999999</v>
      </c>
      <c r="UT28" s="46">
        <f t="shared" si="410"/>
        <v>1</v>
      </c>
      <c r="UU28" s="46">
        <f t="shared" si="411"/>
        <v>2</v>
      </c>
      <c r="UV28" s="46">
        <f t="shared" si="412"/>
        <v>0</v>
      </c>
      <c r="UW28" s="46" cm="1">
        <f t="array" ref="UW28">ROUND(IFERROR(INDEX(ArchiveResults!$F$5:$IX$116,ComparisonData!A28,ComparisonData!$UW$1),0),5)</f>
        <v>0</v>
      </c>
      <c r="UX28" s="46" cm="1">
        <f t="array" ref="UX28">ROUND(IFERROR(INDEX(ArchiveResults!$F$5:$IX$116,ComparisonData!A28,ComparisonData!$UX$1),0),5)</f>
        <v>0</v>
      </c>
      <c r="UY28" s="46" cm="1">
        <f t="array" ref="UY28">ROUND(IFERROR(INDEX(ArchiveResults!$F$5:$IX$116,ComparisonData!A28,ComparisonData!$UY$1),0),5)</f>
        <v>0</v>
      </c>
      <c r="UZ28" s="46" cm="1">
        <f t="array" ref="UZ28">ROUND(IFERROR(INDEX(ArchiveResults!$F$5:$IX$116,ComparisonData!A28,ComparisonData!$UZ$1),0),5)</f>
        <v>0</v>
      </c>
      <c r="VA28" s="46" cm="1">
        <f t="array" ref="VA28">ROUND(IFERROR(INDEX(ArchiveResults!$F$5:$IX$116,ComparisonData!A28,ComparisonData!$VA$1),0),5)</f>
        <v>0</v>
      </c>
      <c r="VB28" s="56">
        <v>23</v>
      </c>
      <c r="VC28" s="53" t="str">
        <f t="shared" si="76"/>
        <v>Derry City and Strabane District Council, Tower Museum</v>
      </c>
      <c r="VD28" s="60">
        <f t="shared" si="413"/>
        <v>0</v>
      </c>
      <c r="VE28" s="60">
        <f t="shared" si="414"/>
        <v>0</v>
      </c>
      <c r="VF28" s="60">
        <f t="shared" si="415"/>
        <v>0</v>
      </c>
      <c r="VG28" s="60">
        <f t="shared" si="416"/>
        <v>0</v>
      </c>
      <c r="VH28" s="60">
        <f t="shared" si="417"/>
        <v>0</v>
      </c>
      <c r="VI28" s="76">
        <f t="shared" si="418"/>
        <v>0</v>
      </c>
      <c r="VJ28" s="46">
        <f t="shared" si="419"/>
        <v>44</v>
      </c>
      <c r="VK28" s="46">
        <f t="shared" si="77"/>
        <v>2.6539999999999999</v>
      </c>
      <c r="VL28" s="46">
        <f t="shared" si="420"/>
        <v>1</v>
      </c>
      <c r="VM28" s="46">
        <f t="shared" si="421"/>
        <v>2</v>
      </c>
      <c r="VN28" s="46" cm="1">
        <f t="array" ref="VN28">ROUND(IFERROR(INDEX(ArchiveResults!$F$5:$IX$116,ComparisonData!A28,ComparisonData!$VN$1),0),5)</f>
        <v>0</v>
      </c>
      <c r="VO28" s="46" cm="1">
        <f t="array" ref="VO28">ROUND(IFERROR(INDEX(ArchiveResults!$F$5:$IX$116,ComparisonData!A28,ComparisonData!$VO$1),0),5)</f>
        <v>0</v>
      </c>
      <c r="VP28" s="46" cm="1">
        <f t="array" ref="VP28">ROUND(IFERROR(INDEX(ArchiveResults!$F$5:$IX$116,ComparisonData!A28,ComparisonData!$VP$1),0),5)</f>
        <v>0</v>
      </c>
      <c r="VQ28" s="46" cm="1">
        <f t="array" ref="VQ28">ROUND(IFERROR(INDEX(ArchiveResults!$F$5:$IX$116,ComparisonData!A28,ComparisonData!$VQ$1),0),5)</f>
        <v>0</v>
      </c>
      <c r="VR28" s="56">
        <v>23</v>
      </c>
      <c r="VS28" s="53" t="str">
        <f t="shared" si="78"/>
        <v>Derry City and Strabane District Council, Tower Museum</v>
      </c>
      <c r="VT28" s="60">
        <f t="shared" si="422"/>
        <v>0</v>
      </c>
      <c r="VU28" s="60">
        <f t="shared" si="423"/>
        <v>0</v>
      </c>
      <c r="VV28" s="60">
        <f t="shared" si="424"/>
        <v>0</v>
      </c>
      <c r="VW28" s="60">
        <f t="shared" si="425"/>
        <v>0</v>
      </c>
      <c r="VX28" s="76">
        <f t="shared" si="426"/>
        <v>0</v>
      </c>
      <c r="VY28" s="46">
        <f t="shared" si="427"/>
        <v>44</v>
      </c>
      <c r="VZ28" s="46">
        <f t="shared" si="79"/>
        <v>2.6539999999999999</v>
      </c>
      <c r="WA28" s="46">
        <f t="shared" si="428"/>
        <v>1</v>
      </c>
      <c r="WB28" s="46">
        <f t="shared" si="429"/>
        <v>2</v>
      </c>
      <c r="WC28" s="46" cm="1">
        <f t="array" ref="WC28">ROUND(IFERROR(INDEX(ArchiveResults!$F$5:$IX$116,ComparisonData!A28,ComparisonData!$WC$1),0),5)</f>
        <v>0</v>
      </c>
      <c r="WD28" s="56">
        <v>23</v>
      </c>
      <c r="WE28" s="53" t="str">
        <f t="shared" si="80"/>
        <v>Derry City and Strabane District Council, Tower Museum</v>
      </c>
      <c r="WF28" s="46">
        <f t="shared" si="430"/>
        <v>0</v>
      </c>
      <c r="WG28" s="76">
        <f t="shared" si="431"/>
        <v>0</v>
      </c>
      <c r="WH28" s="46">
        <f t="shared" si="432"/>
        <v>44</v>
      </c>
      <c r="WI28" s="46">
        <f t="shared" si="81"/>
        <v>2.6539999999999999</v>
      </c>
      <c r="WJ28" s="46">
        <f t="shared" si="433"/>
        <v>1</v>
      </c>
      <c r="WK28" s="46">
        <f t="shared" si="434"/>
        <v>2</v>
      </c>
      <c r="WL28" s="46" cm="1">
        <f t="array" ref="WL28">ROUND(IFERROR(INDEX(ArchiveResults!$F$5:$IX$116,ComparisonData!A28,ComparisonData!$WL$1),0),5)</f>
        <v>0</v>
      </c>
      <c r="WM28" s="46" cm="1">
        <f t="array" ref="WM28">IFERROR(INDEX(ArchiveResults!$F$5:$IX$116,ComparisonData!A28,ComparisonData!$WM$1),0)</f>
        <v>0</v>
      </c>
      <c r="WN28" s="56">
        <v>23</v>
      </c>
      <c r="WO28" s="53" t="str">
        <f t="shared" si="82"/>
        <v>Derry City and Strabane District Council, Tower Museum</v>
      </c>
      <c r="WP28" s="60">
        <f t="shared" si="435"/>
        <v>0</v>
      </c>
      <c r="WQ28" s="60">
        <f t="shared" si="436"/>
        <v>0</v>
      </c>
      <c r="WR28" s="76">
        <f t="shared" si="437"/>
        <v>0</v>
      </c>
      <c r="WS28" s="46">
        <f t="shared" si="438"/>
        <v>44</v>
      </c>
      <c r="WT28" s="46">
        <f t="shared" si="83"/>
        <v>2.6539999999999999</v>
      </c>
      <c r="WU28" s="46">
        <f t="shared" si="439"/>
        <v>1</v>
      </c>
      <c r="WV28" s="46">
        <f t="shared" si="440"/>
        <v>2</v>
      </c>
      <c r="WW28" s="46" cm="1">
        <f t="array" ref="WW28">ROUND(VALUE(IFERROR(INDEX(ArchiveResults!$F$5:$IX$116,ComparisonData!A28,ComparisonData!$WW$1),0)),5)</f>
        <v>0</v>
      </c>
      <c r="WX28" s="46" cm="1">
        <f t="array" ref="WX28">ROUND(IFERROR(INDEX(ArchiveResults!$F$5:$IX$116,ComparisonData!A28,ComparisonData!$WX$1),0),5)</f>
        <v>0</v>
      </c>
      <c r="WY28" s="56">
        <v>23</v>
      </c>
      <c r="WZ28" s="53" t="str">
        <f t="shared" si="84"/>
        <v>Derry City and Strabane District Council, Tower Museum</v>
      </c>
      <c r="XA28" s="60">
        <f t="shared" si="85"/>
        <v>0</v>
      </c>
      <c r="XB28" s="60">
        <f t="shared" si="86"/>
        <v>0</v>
      </c>
      <c r="XC28" s="76">
        <f t="shared" si="441"/>
        <v>0</v>
      </c>
      <c r="XD28" s="46">
        <f t="shared" si="442"/>
        <v>44</v>
      </c>
      <c r="XE28" s="46">
        <f t="shared" si="87"/>
        <v>2.6539999999999999</v>
      </c>
      <c r="XF28" s="46">
        <f t="shared" si="443"/>
        <v>1</v>
      </c>
      <c r="XG28" s="46">
        <f t="shared" si="444"/>
        <v>2</v>
      </c>
      <c r="XH28" s="46" cm="1">
        <f t="array" ref="XH28">ROUND(VALUE(IFERROR(INDEX(ArchiveResults!$F$5:$IX$116,ComparisonData!A28,ComparisonData!$XH$1),0)),5)</f>
        <v>0</v>
      </c>
      <c r="XI28" s="46" cm="1">
        <f t="array" ref="XI28">ROUND(VALUE(IFERROR(INDEX(ArchiveResults!$F$5:$IX$116,ComparisonData!A28,ComparisonData!$XI$1),0)),5)</f>
        <v>0</v>
      </c>
      <c r="XJ28" s="56">
        <v>23</v>
      </c>
      <c r="XK28" s="53" t="str">
        <f t="shared" si="88"/>
        <v>Derry City and Strabane District Council, Tower Museum</v>
      </c>
      <c r="XL28" s="60">
        <f t="shared" si="445"/>
        <v>0</v>
      </c>
      <c r="XM28" s="60">
        <f t="shared" si="446"/>
        <v>0</v>
      </c>
      <c r="XN28" s="76">
        <f t="shared" si="447"/>
        <v>0</v>
      </c>
      <c r="XO28" s="46">
        <f t="shared" si="448"/>
        <v>44</v>
      </c>
      <c r="XP28" s="46">
        <f t="shared" si="89"/>
        <v>2.6539999999999999</v>
      </c>
      <c r="XQ28" s="46">
        <f t="shared" si="449"/>
        <v>1</v>
      </c>
      <c r="XR28" s="46">
        <f t="shared" si="450"/>
        <v>2</v>
      </c>
      <c r="XS28" s="46" cm="1">
        <f t="array" ref="XS28">ROUND(VALUE(IFERROR(INDEX(ArchiveResults!$F$5:$IX$116,ComparisonData!A28,ComparisonData!$XS$1),0)),5)</f>
        <v>0</v>
      </c>
      <c r="XT28" s="46" cm="1">
        <f t="array" ref="XT28">ROUND(VALUE(IFERROR(INDEX(ArchiveResults!$F$5:$IX$116,ComparisonData!A28,ComparisonData!$XT$1),0)),5)</f>
        <v>0</v>
      </c>
      <c r="XU28" s="56">
        <v>23</v>
      </c>
      <c r="XV28" s="53" t="str">
        <f t="shared" si="90"/>
        <v>Derry City and Strabane District Council, Tower Museum</v>
      </c>
      <c r="XW28" s="60">
        <f t="shared" si="451"/>
        <v>0</v>
      </c>
      <c r="XX28" s="60">
        <f t="shared" si="452"/>
        <v>0</v>
      </c>
      <c r="XY28" s="76">
        <f t="shared" si="453"/>
        <v>0</v>
      </c>
      <c r="XZ28" s="46">
        <f t="shared" si="454"/>
        <v>44</v>
      </c>
      <c r="YA28" s="46">
        <f t="shared" si="91"/>
        <v>2.6539999999999999</v>
      </c>
      <c r="YB28" s="46">
        <f t="shared" si="455"/>
        <v>1</v>
      </c>
      <c r="YC28" s="46">
        <f t="shared" si="456"/>
        <v>2</v>
      </c>
      <c r="YD28" s="46" cm="1">
        <f t="array" ref="YD28">ROUND(VALUE(IFERROR(INDEX(ArchiveResults!$F$5:$IX$116,ComparisonData!A28,ComparisonData!$YD$1),0)),5)</f>
        <v>0</v>
      </c>
      <c r="YE28" s="46" cm="1">
        <f t="array" ref="YE28">ROUND(VALUE(IFERROR(INDEX(ArchiveResults!$F$5:$IX$116,ComparisonData!A28,ComparisonData!$YE$1),0)),5)</f>
        <v>0</v>
      </c>
      <c r="YF28" s="56">
        <v>23</v>
      </c>
      <c r="YG28" s="53" t="str">
        <f t="shared" si="92"/>
        <v>Derry City and Strabane District Council, Tower Museum</v>
      </c>
      <c r="YH28" s="60">
        <f t="shared" si="457"/>
        <v>0</v>
      </c>
      <c r="YI28" s="60">
        <f t="shared" si="458"/>
        <v>0</v>
      </c>
      <c r="YJ28" s="76">
        <f t="shared" si="459"/>
        <v>0</v>
      </c>
      <c r="YK28" s="46">
        <f t="shared" si="460"/>
        <v>44</v>
      </c>
      <c r="YL28" s="46">
        <f t="shared" si="93"/>
        <v>2.6539999999999999</v>
      </c>
      <c r="YM28" s="46">
        <f t="shared" si="461"/>
        <v>1</v>
      </c>
      <c r="YN28" s="46">
        <f t="shared" si="462"/>
        <v>2</v>
      </c>
      <c r="YO28" s="46" cm="1">
        <f t="array" ref="YO28">ROUND(VALUE(IFERROR(INDEX(ArchiveResults!$F$5:$IX$116,ComparisonData!A28,ComparisonData!$YO$1),0)),5)</f>
        <v>0</v>
      </c>
      <c r="YP28" s="46" cm="1">
        <f t="array" ref="YP28">ROUND(VALUE(IFERROR(INDEX(ArchiveResults!$F$5:$IX$116,ComparisonData!A28,ComparisonData!$YP$1),0)),5)</f>
        <v>0</v>
      </c>
      <c r="YQ28" s="56">
        <v>23</v>
      </c>
      <c r="YR28" s="53" t="str">
        <f t="shared" si="94"/>
        <v>Derry City and Strabane District Council, Tower Museum</v>
      </c>
      <c r="YS28" s="60">
        <f t="shared" si="463"/>
        <v>0</v>
      </c>
      <c r="YT28" s="60">
        <f t="shared" si="464"/>
        <v>0</v>
      </c>
      <c r="YU28" s="76">
        <f t="shared" si="465"/>
        <v>0</v>
      </c>
      <c r="YV28" s="46">
        <f t="shared" si="466"/>
        <v>44</v>
      </c>
      <c r="YW28" s="46">
        <f t="shared" si="95"/>
        <v>2.6539999999999999</v>
      </c>
      <c r="YX28" s="46">
        <f t="shared" si="467"/>
        <v>1</v>
      </c>
      <c r="YY28" s="46">
        <f t="shared" si="468"/>
        <v>2</v>
      </c>
      <c r="YZ28" s="46">
        <f t="shared" si="469"/>
        <v>0</v>
      </c>
      <c r="ZA28" s="46" cm="1">
        <f t="array" ref="ZA28">ROUNDDOWN(VALUE(IFERROR(INDEX(ArchiveResults!$F$5:$IX$116,ComparisonData!A28,ComparisonData!$ZA$1),0)),5)</f>
        <v>0</v>
      </c>
      <c r="ZB28" s="46" cm="1">
        <f t="array" ref="ZB28">ROUNDDOWN(VALUE(IFERROR(INDEX(ArchiveResults!$F$5:$IX$116,ComparisonData!A28,ComparisonData!$ZB$1),0)),5)</f>
        <v>0</v>
      </c>
      <c r="ZC28" s="46" cm="1">
        <f t="array" ref="ZC28">ROUNDDOWN(VALUE(IFERROR(INDEX(ArchiveResults!$F$5:$IX$116,ComparisonData!A28,ComparisonData!$ZC$1),0)),5)</f>
        <v>0</v>
      </c>
      <c r="ZD28" s="46" cm="1">
        <f t="array" ref="ZD28">ROUNDDOWN(VALUE(IFERROR(INDEX(ArchiveResults!$F$5:$IX$116,ComparisonData!A28,ComparisonData!$ZD$1),0)),5)</f>
        <v>0</v>
      </c>
      <c r="ZE28" s="46" cm="1">
        <f t="array" ref="ZE28">ROUNDDOWN(VALUE(IFERROR(INDEX(ArchiveResults!$F$5:$IX$116,ComparisonData!A28,ComparisonData!$ZE$1),0)),5)</f>
        <v>0</v>
      </c>
      <c r="ZF28" s="56">
        <v>23</v>
      </c>
      <c r="ZG28" s="53" t="str">
        <f t="shared" si="96"/>
        <v>Derry City and Strabane District Council, Tower Museum</v>
      </c>
      <c r="ZH28" s="60">
        <f t="shared" si="470"/>
        <v>0</v>
      </c>
      <c r="ZI28" s="60">
        <f t="shared" si="471"/>
        <v>0</v>
      </c>
      <c r="ZJ28" s="60">
        <f t="shared" si="472"/>
        <v>0</v>
      </c>
      <c r="ZK28" s="60">
        <f t="shared" si="473"/>
        <v>0</v>
      </c>
      <c r="ZL28" s="60">
        <f t="shared" si="474"/>
        <v>0</v>
      </c>
      <c r="ZM28" s="76">
        <f t="shared" si="475"/>
        <v>0</v>
      </c>
      <c r="ZN28" s="46">
        <f t="shared" si="476"/>
        <v>44</v>
      </c>
      <c r="ZO28" s="46">
        <f t="shared" si="97"/>
        <v>2.6539999999999999</v>
      </c>
      <c r="ZP28" s="46">
        <f t="shared" si="477"/>
        <v>1</v>
      </c>
      <c r="ZQ28" s="46">
        <f t="shared" si="478"/>
        <v>2</v>
      </c>
      <c r="ZR28" s="46" cm="1">
        <f t="array" ref="ZR28">ROUND(VALUE(IFERROR(INDEX(ArchiveResults!$F$5:$IX$116,ComparisonData!A28,ComparisonData!$ZR$1),0)),5)</f>
        <v>0</v>
      </c>
      <c r="ZS28" s="56">
        <v>23</v>
      </c>
      <c r="ZT28" s="53" t="str">
        <f t="shared" si="98"/>
        <v>Derry City and Strabane District Council, Tower Museum</v>
      </c>
      <c r="ZU28" s="46">
        <f t="shared" si="479"/>
        <v>0</v>
      </c>
      <c r="ZV28" s="76">
        <f t="shared" si="480"/>
        <v>0</v>
      </c>
      <c r="ZW28" s="81" cm="1">
        <f t="array" ref="ZW28">ROUND((IFERROR(INDEX(ArchiveResults!$F$5:$IX$116,ComparisonData!A28,ComparisonData!$ZW$1),0)),5)</f>
        <v>0</v>
      </c>
      <c r="ZX28" s="81" cm="1">
        <f t="array" ref="ZX28">ROUND((IFERROR(INDEX(ArchiveResults!$F$5:$IX$116,ComparisonData!A28,ComparisonData!$ZX$1),0)),5)</f>
        <v>0</v>
      </c>
      <c r="ZY28" s="81" cm="1">
        <f t="array" ref="ZY28">ROUND((IFERROR(INDEX(ArchiveResults!$F$5:$IX$116,ComparisonData!A28,ComparisonData!$ZY$1),0)),5)</f>
        <v>0</v>
      </c>
      <c r="ZZ28" s="81" cm="1">
        <f t="array" ref="ZZ28">ROUND((IFERROR(INDEX(ArchiveResults!$F$5:$IX$116,ComparisonData!A28,ComparisonData!$ZZ$1),0)),5)</f>
        <v>0</v>
      </c>
      <c r="AAA28" s="81" cm="1">
        <f t="array" ref="AAA28">ROUND((IFERROR(INDEX(ArchiveResults!$F$5:$IX$116,ComparisonData!A28,ComparisonData!$AAA$1),0)),5)</f>
        <v>0</v>
      </c>
      <c r="AAB28" s="81" cm="1">
        <f t="array" ref="AAB28">ROUND((IFERROR(INDEX(ArchiveResults!$F$5:$IX$116,ComparisonData!A28,ComparisonData!$AAB$1),0)),5)</f>
        <v>0</v>
      </c>
      <c r="AAC28" s="81" cm="1">
        <f t="array" ref="AAC28">ROUND((IFERROR(INDEX(ArchiveResults!$F$5:$IX$116,ComparisonData!A28,ComparisonData!$AAC$1),0)),5)</f>
        <v>0</v>
      </c>
      <c r="AAD28" s="81" cm="1">
        <f t="array" ref="AAD28">ROUND((IFERROR(INDEX(ArchiveResults!$F$5:$IX$116,ComparisonData!A28,ComparisonData!$AAD$1),0)),5)</f>
        <v>0</v>
      </c>
      <c r="AAE28" s="81" cm="1">
        <f t="array" ref="AAE28">ROUND((IFERROR(INDEX(ArchiveResults!$F$5:$IX$116,ComparisonData!A28,ComparisonData!$AAE$1),0)),5)</f>
        <v>0</v>
      </c>
      <c r="AAF28" s="81" cm="1">
        <f t="array" ref="AAF28">ROUND((IFERROR(INDEX(ArchiveResults!$F$5:$IX$116,ComparisonData!A28,ComparisonData!$AAF$1),0)),5)</f>
        <v>0</v>
      </c>
      <c r="AAG28" s="46">
        <f t="shared" si="481"/>
        <v>44</v>
      </c>
      <c r="AAH28" s="46">
        <f t="shared" si="99"/>
        <v>2.6539999999999999</v>
      </c>
      <c r="AAI28" s="46">
        <f t="shared" si="482"/>
        <v>1</v>
      </c>
      <c r="AAJ28" s="46">
        <f t="shared" si="483"/>
        <v>2</v>
      </c>
      <c r="AAK28" s="46">
        <f t="shared" si="484"/>
        <v>0</v>
      </c>
      <c r="AAL28" s="46">
        <f t="shared" si="485"/>
        <v>0</v>
      </c>
      <c r="AAM28" s="46">
        <f t="shared" si="486"/>
        <v>0</v>
      </c>
      <c r="AAN28" s="46">
        <f t="shared" si="487"/>
        <v>0</v>
      </c>
      <c r="AAO28" s="46">
        <f t="shared" si="488"/>
        <v>0</v>
      </c>
      <c r="AAP28" s="46">
        <f t="shared" si="489"/>
        <v>0</v>
      </c>
      <c r="AAQ28" s="56">
        <v>23</v>
      </c>
      <c r="AAR28" s="53" t="str">
        <f t="shared" si="100"/>
        <v>Derry City and Strabane District Council, Tower Museum</v>
      </c>
      <c r="AAS28" s="60">
        <f t="shared" si="490"/>
        <v>0</v>
      </c>
      <c r="AAT28" s="60">
        <f t="shared" si="491"/>
        <v>0</v>
      </c>
      <c r="AAU28" s="60">
        <f t="shared" si="492"/>
        <v>0</v>
      </c>
      <c r="AAV28" s="60">
        <f t="shared" si="493"/>
        <v>0</v>
      </c>
      <c r="AAW28" s="60">
        <f t="shared" si="494"/>
        <v>0</v>
      </c>
      <c r="AAX28" s="76">
        <f t="shared" si="495"/>
        <v>0</v>
      </c>
      <c r="AAY28" s="46">
        <f t="shared" si="496"/>
        <v>44</v>
      </c>
      <c r="AAZ28" s="46">
        <f t="shared" si="101"/>
        <v>2.6539999999999999</v>
      </c>
      <c r="ABA28" s="46">
        <f t="shared" si="497"/>
        <v>1</v>
      </c>
      <c r="ABB28" s="46">
        <f t="shared" si="498"/>
        <v>2</v>
      </c>
      <c r="ABC28" s="46">
        <f t="shared" si="102"/>
        <v>0</v>
      </c>
      <c r="ABD28" s="46" cm="1">
        <f t="array" ref="ABD28">ROUND(VALUE(IFERROR(INDEX(ArchiveResults!$F$5:$IX$116,ComparisonData!A28,ComparisonData!$ABD$1),0)),5)</f>
        <v>0</v>
      </c>
      <c r="ABE28" s="46" cm="1">
        <f t="array" ref="ABE28">ROUND(VALUE(IFERROR(INDEX(ArchiveResults!$F$5:$IX$116,ComparisonData!A28,ComparisonData!$ABE$1),0)),5)</f>
        <v>0</v>
      </c>
      <c r="ABF28" s="46" cm="1">
        <f t="array" ref="ABF28">ROUND(VALUE(IFERROR(INDEX(ArchiveResults!$F$5:$IX$116,ComparisonData!A28,ComparisonData!$ABF$1),0)),5)</f>
        <v>0</v>
      </c>
      <c r="ABG28" s="46" cm="1">
        <f t="array" ref="ABG28">ROUND(VALUE(IFERROR(INDEX(ArchiveResults!$F$5:$IX$116,ComparisonData!A28,ComparisonData!$ABG$1),0)),5)</f>
        <v>0</v>
      </c>
      <c r="ABH28" s="46" cm="1">
        <f t="array" ref="ABH28">ROUND(VALUE(IFERROR(INDEX(ArchiveResults!$F$5:$IX$116,ComparisonData!A28,ComparisonData!$ABH$1),0)),5)</f>
        <v>0</v>
      </c>
      <c r="ABI28" s="56">
        <v>23</v>
      </c>
      <c r="ABJ28" s="53" t="str">
        <f t="shared" si="103"/>
        <v>Derry City and Strabane District Council, Tower Museum</v>
      </c>
      <c r="ABK28" s="60">
        <f t="shared" si="499"/>
        <v>0</v>
      </c>
      <c r="ABL28" s="60">
        <f t="shared" si="500"/>
        <v>0</v>
      </c>
      <c r="ABM28" s="60">
        <f t="shared" si="501"/>
        <v>0</v>
      </c>
      <c r="ABN28" s="60">
        <f t="shared" si="502"/>
        <v>0</v>
      </c>
      <c r="ABO28" s="60">
        <f t="shared" si="503"/>
        <v>0</v>
      </c>
      <c r="ABP28" s="76">
        <f t="shared" si="504"/>
        <v>0</v>
      </c>
      <c r="ABQ28" s="46">
        <f t="shared" si="505"/>
        <v>44</v>
      </c>
      <c r="ABR28" s="46">
        <f t="shared" si="104"/>
        <v>2.6539999999999999</v>
      </c>
      <c r="ABS28" s="46">
        <f t="shared" si="506"/>
        <v>1</v>
      </c>
      <c r="ABT28" s="46">
        <f t="shared" si="507"/>
        <v>2</v>
      </c>
      <c r="ABU28" s="46" cm="1">
        <f t="array" ref="ABU28">ROUND(VALUE(IFERROR(INDEX(ArchiveResults!$F$5:$IX$116,ComparisonData!A28,ComparisonData!$ABU$1),0)),5)</f>
        <v>0</v>
      </c>
      <c r="ABV28" s="46" cm="1">
        <f t="array" ref="ABV28">ROUND(VALUE(IFERROR(INDEX(ArchiveResults!$F$5:$IX$116,ComparisonData!A28,ComparisonData!$ABV$1),0)),5)</f>
        <v>0</v>
      </c>
      <c r="ABW28" s="46" cm="1">
        <f t="array" ref="ABW28">ROUND(VALUE(IFERROR(INDEX(ArchiveResults!$F$5:$IX$116,ComparisonData!A28,ComparisonData!$ABW$1),0)),5)</f>
        <v>0</v>
      </c>
      <c r="ABX28" s="46" cm="1">
        <f t="array" ref="ABX28">ROUND(VALUE(IFERROR(INDEX(ArchiveResults!$F$5:$IX$116,ComparisonData!A28,ComparisonData!$ABX$1),0)),5)</f>
        <v>0</v>
      </c>
      <c r="ABY28" s="46" cm="1">
        <f t="array" ref="ABY28">ROUND(VALUE(IFERROR(INDEX(ArchiveResults!$F$5:$IX$116,ComparisonData!A28,ComparisonData!$ABY$1),0)),5)</f>
        <v>0</v>
      </c>
      <c r="ABZ28" s="56">
        <v>23</v>
      </c>
      <c r="ACA28" s="53" t="str">
        <f t="shared" si="105"/>
        <v>Derry City and Strabane District Council, Tower Museum</v>
      </c>
      <c r="ACB28" s="60">
        <f t="shared" si="508"/>
        <v>0</v>
      </c>
      <c r="ACC28" s="60">
        <f t="shared" si="509"/>
        <v>0</v>
      </c>
      <c r="ACD28" s="60">
        <f t="shared" si="510"/>
        <v>0</v>
      </c>
      <c r="ACE28" s="60">
        <f t="shared" si="511"/>
        <v>0</v>
      </c>
      <c r="ACF28" s="60">
        <f t="shared" si="512"/>
        <v>0</v>
      </c>
      <c r="ACG28" s="76">
        <f t="shared" si="513"/>
        <v>0</v>
      </c>
      <c r="ACH28" s="46">
        <f t="shared" si="514"/>
        <v>44</v>
      </c>
      <c r="ACI28" s="46">
        <f t="shared" si="106"/>
        <v>2.6539999999999999</v>
      </c>
      <c r="ACJ28" s="46">
        <f t="shared" si="515"/>
        <v>1</v>
      </c>
      <c r="ACK28" s="46">
        <f t="shared" si="516"/>
        <v>2</v>
      </c>
      <c r="ACL28" s="46">
        <f t="shared" si="517"/>
        <v>0</v>
      </c>
      <c r="ACM28" s="46" cm="1">
        <f t="array" ref="ACM28">ROUND(IFERROR(INDEX(ArchiveResults!$F$5:$IX$116,ComparisonData!A28,ComparisonData!$ACM$1),0),5)</f>
        <v>0</v>
      </c>
      <c r="ACN28" s="46" cm="1">
        <f t="array" ref="ACN28">ROUND(IFERROR(INDEX(ArchiveResults!$F$5:$IX$116,ComparisonData!A28,ComparisonData!$ACN$1),0),5)</f>
        <v>0</v>
      </c>
      <c r="ACO28" s="56">
        <v>23</v>
      </c>
      <c r="ACP28" s="53" t="str">
        <f t="shared" si="107"/>
        <v>Derry City and Strabane District Council, Tower Museum</v>
      </c>
      <c r="ACQ28" s="60">
        <f t="shared" si="518"/>
        <v>0</v>
      </c>
      <c r="ACR28" s="60">
        <f t="shared" si="519"/>
        <v>0</v>
      </c>
      <c r="ACS28" s="76">
        <f t="shared" si="520"/>
        <v>0</v>
      </c>
      <c r="ACT28" s="46">
        <f t="shared" si="521"/>
        <v>44</v>
      </c>
      <c r="ACU28" s="46">
        <f t="shared" si="108"/>
        <v>2.6539999999999999</v>
      </c>
      <c r="ACV28" s="46">
        <f t="shared" si="522"/>
        <v>1</v>
      </c>
      <c r="ACW28" s="46">
        <f t="shared" si="523"/>
        <v>2</v>
      </c>
      <c r="ACX28" s="46">
        <f t="shared" si="524"/>
        <v>0</v>
      </c>
      <c r="ACY28" s="46" cm="1">
        <f t="array" ref="ACY28">ROUNDDOWN(IFERROR(INDEX(ArchiveResults!$F$5:$IX$116,ComparisonData!A28,ComparisonData!$ACY$1),0),5)</f>
        <v>0</v>
      </c>
      <c r="ACZ28" s="46" cm="1">
        <f t="array" ref="ACZ28">ROUNDDOWN(IFERROR(INDEX(ArchiveResults!$F$5:$IX$116,ComparisonData!A28,ComparisonData!$ACZ$1),0),5)</f>
        <v>0</v>
      </c>
      <c r="ADA28" s="46" cm="1">
        <f t="array" ref="ADA28">ROUNDDOWN(IFERROR(INDEX(ArchiveResults!$F$5:$IX$116,ComparisonData!A28,ComparisonData!$ADA$1),0),5)</f>
        <v>0</v>
      </c>
      <c r="ADB28" s="56">
        <v>23</v>
      </c>
      <c r="ADC28" s="53" t="str">
        <f t="shared" si="109"/>
        <v>Derry City and Strabane District Council, Tower Museum</v>
      </c>
      <c r="ADD28" s="60">
        <f t="shared" si="525"/>
        <v>0</v>
      </c>
      <c r="ADE28" s="60">
        <f t="shared" si="526"/>
        <v>0</v>
      </c>
      <c r="ADF28" s="60">
        <f t="shared" si="527"/>
        <v>0</v>
      </c>
      <c r="ADG28" s="76">
        <f t="shared" si="528"/>
        <v>0</v>
      </c>
    </row>
    <row r="29" spans="1:787" x14ac:dyDescent="0.25">
      <c r="A29" s="46" t="str">
        <f>IF(ISBLANK(ComparisonSelection!F25),"",ROW()-5)</f>
        <v/>
      </c>
      <c r="B29" s="53" t="s">
        <v>478</v>
      </c>
      <c r="C29" s="72">
        <v>0.67399999999999971</v>
      </c>
      <c r="D29" s="55">
        <f t="shared" si="110"/>
        <v>48</v>
      </c>
      <c r="E29" s="54">
        <f t="shared" si="111"/>
        <v>2.6739999999999995</v>
      </c>
      <c r="F29" s="54">
        <f t="shared" si="529"/>
        <v>1</v>
      </c>
      <c r="G29" s="72">
        <f t="shared" si="112"/>
        <v>2</v>
      </c>
      <c r="H29" s="72">
        <f t="shared" si="113"/>
        <v>0</v>
      </c>
      <c r="I29" s="46" cm="1">
        <f t="array" ref="I29">ROUND(IFERROR(INDEX(ArchiveResults!$F$5:$IX$116,ComparisonData!A29,ComparisonData!$I$1),0),5)</f>
        <v>0</v>
      </c>
      <c r="J29" s="46" cm="1">
        <f t="array" ref="J29">ROUND(IFERROR(INDEX(ArchiveResults!$F$5:$IX$116,ComparisonData!A29,ComparisonData!$J$1),0),5)</f>
        <v>0</v>
      </c>
      <c r="K29" s="56">
        <v>24</v>
      </c>
      <c r="L29" s="53" t="str">
        <f t="shared" si="114"/>
        <v>Dorset History Centre</v>
      </c>
      <c r="M29" s="57">
        <f t="shared" si="0"/>
        <v>0</v>
      </c>
      <c r="N29" s="57">
        <f t="shared" si="1"/>
        <v>0</v>
      </c>
      <c r="O29" s="58">
        <f t="shared" si="115"/>
        <v>0</v>
      </c>
      <c r="P29" s="48">
        <f t="shared" si="116"/>
        <v>48</v>
      </c>
      <c r="Q29" s="54">
        <f t="shared" si="2"/>
        <v>2.6739999999999995</v>
      </c>
      <c r="R29" s="45">
        <f t="shared" si="117"/>
        <v>1</v>
      </c>
      <c r="S29" s="46">
        <f t="shared" si="118"/>
        <v>2</v>
      </c>
      <c r="T29" s="72">
        <f t="shared" si="119"/>
        <v>0</v>
      </c>
      <c r="U29" s="46" cm="1">
        <f t="array" ref="U29">ROUND(IFERROR(INDEX(ArchiveResults!$F$5:$IX$116,ComparisonData!A29,ComparisonData!$U$1),0),5)</f>
        <v>0</v>
      </c>
      <c r="V29" s="46" cm="1">
        <f t="array" ref="V29">ROUND(IFERROR(INDEX(ArchiveResults!$F$5:$IX$116,ComparisonData!A29,ComparisonData!$V$1),0),5)</f>
        <v>0</v>
      </c>
      <c r="W29" s="56">
        <v>24</v>
      </c>
      <c r="X29" s="53" t="str">
        <f t="shared" si="3"/>
        <v>Dorset History Centre</v>
      </c>
      <c r="Y29" s="57">
        <f t="shared" si="120"/>
        <v>0</v>
      </c>
      <c r="Z29" s="57">
        <f t="shared" si="121"/>
        <v>0</v>
      </c>
      <c r="AA29" s="58">
        <f t="shared" si="122"/>
        <v>0</v>
      </c>
      <c r="AB29" s="45">
        <f t="shared" si="123"/>
        <v>48</v>
      </c>
      <c r="AC29" s="54">
        <f t="shared" si="4"/>
        <v>2.6739999999999995</v>
      </c>
      <c r="AD29" s="45">
        <f t="shared" si="124"/>
        <v>1</v>
      </c>
      <c r="AE29" s="45">
        <f t="shared" si="125"/>
        <v>2</v>
      </c>
      <c r="AF29" s="45">
        <f t="shared" si="126"/>
        <v>0</v>
      </c>
      <c r="AG29" s="46" cm="1">
        <f t="array" ref="AG29">ROUND(IFERROR(INDEX(ArchiveResults!$F$5:$IX$116,ComparisonData!A29,ComparisonData!$AG$1),0),5)</f>
        <v>0</v>
      </c>
      <c r="AH29" s="46" cm="1">
        <f t="array" ref="AH29">ROUND(IFERROR(INDEX(ArchiveResults!$F$5:$IX$116,ComparisonData!A29,ComparisonData!$AH$1),0),5)</f>
        <v>0</v>
      </c>
      <c r="AI29" s="56">
        <v>24</v>
      </c>
      <c r="AJ29" s="53" t="str">
        <f t="shared" si="5"/>
        <v>Dorset History Centre</v>
      </c>
      <c r="AK29" s="59">
        <f t="shared" si="6"/>
        <v>0</v>
      </c>
      <c r="AL29" s="59">
        <f t="shared" si="7"/>
        <v>0</v>
      </c>
      <c r="AM29" s="58">
        <f t="shared" si="127"/>
        <v>0</v>
      </c>
      <c r="AN29" s="45">
        <f t="shared" si="128"/>
        <v>48</v>
      </c>
      <c r="AO29" s="54">
        <f t="shared" si="8"/>
        <v>2.6739999999999995</v>
      </c>
      <c r="AP29" s="45">
        <f t="shared" si="129"/>
        <v>1</v>
      </c>
      <c r="AQ29" s="45">
        <f t="shared" si="130"/>
        <v>2</v>
      </c>
      <c r="AR29" s="46" cm="1">
        <f t="array" ref="AR29">ROUND(IFERROR(INDEX(ArchiveResults!$F$5:$IX$116,ComparisonData!A29,ComparisonData!$AR$1),0),5)</f>
        <v>0</v>
      </c>
      <c r="AS29" s="46" cm="1">
        <f t="array" ref="AS29">ROUND(IFERROR(INDEX(ArchiveResults!$F$5:$IX$116,ComparisonData!A29,ComparisonData!$AS$1),0),5)</f>
        <v>0</v>
      </c>
      <c r="AT29" s="46" cm="1">
        <f t="array" ref="AT29">ROUND(IFERROR(INDEX(ArchiveResults!$F$5:$IX$116,ComparisonData!A29,ComparisonData!$AT$1),0),5)</f>
        <v>0</v>
      </c>
      <c r="AU29" s="46" cm="1">
        <f t="array" ref="AU29">ROUND(IFERROR(INDEX(ArchiveResults!$F$5:$IX$116,ComparisonData!A29,ComparisonData!$AU$1),0),5)</f>
        <v>0</v>
      </c>
      <c r="AV29" s="46" cm="1">
        <f t="array" ref="AV29">ROUND(IFERROR(INDEX(ArchiveResults!$F$5:$IX$116,ComparisonData!A29,ComparisonData!$AV$1),0),5)</f>
        <v>0</v>
      </c>
      <c r="AW29" s="46" cm="1">
        <f t="array" ref="AW29">ROUND(IFERROR(INDEX(ArchiveResults!$F$5:$IX$116,ComparisonData!A29,ComparisonData!$AW$1),0),5)</f>
        <v>0</v>
      </c>
      <c r="AX29" s="46" cm="1">
        <f t="array" ref="AX29">ROUND(IFERROR(INDEX(ArchiveResults!$F$5:$IX$116,ComparisonData!A29,ComparisonData!$AX$1),0),5)</f>
        <v>0</v>
      </c>
      <c r="AY29" s="46" cm="1">
        <f t="array" ref="AY29">ROUND(IFERROR(INDEX(ArchiveResults!$F$5:$IX$116,ComparisonData!A29,ComparisonData!$AY$1),0),5)</f>
        <v>0</v>
      </c>
      <c r="AZ29" s="46" cm="1">
        <f t="array" ref="AZ29">ROUND(IFERROR(INDEX(ArchiveResults!$F$5:$IX$116,ComparisonData!A29,ComparisonData!$AZ$1),0),5)</f>
        <v>0</v>
      </c>
      <c r="BA29" s="46" cm="1">
        <f t="array" ref="BA29">ROUND(IFERROR(INDEX(ArchiveResults!$F$5:$IX$116,ComparisonData!A29,ComparisonData!$BA$1),0),5)</f>
        <v>0</v>
      </c>
      <c r="BB29" s="56">
        <v>24</v>
      </c>
      <c r="BC29" s="53" t="str">
        <f t="shared" si="9"/>
        <v>Dorset History Centre</v>
      </c>
      <c r="BD29" s="60">
        <f t="shared" si="131"/>
        <v>0</v>
      </c>
      <c r="BE29" s="60">
        <f t="shared" si="132"/>
        <v>0</v>
      </c>
      <c r="BF29" s="60">
        <f t="shared" si="133"/>
        <v>0</v>
      </c>
      <c r="BG29" s="60">
        <f t="shared" si="134"/>
        <v>0</v>
      </c>
      <c r="BH29" s="60">
        <f t="shared" si="135"/>
        <v>0</v>
      </c>
      <c r="BI29" s="60">
        <f t="shared" si="136"/>
        <v>0</v>
      </c>
      <c r="BJ29" s="60">
        <f t="shared" si="137"/>
        <v>0</v>
      </c>
      <c r="BK29" s="60">
        <f t="shared" si="138"/>
        <v>0</v>
      </c>
      <c r="BL29" s="60">
        <f t="shared" si="139"/>
        <v>0</v>
      </c>
      <c r="BM29" s="59">
        <f t="shared" si="140"/>
        <v>0</v>
      </c>
      <c r="BN29" s="58">
        <f t="shared" si="141"/>
        <v>0</v>
      </c>
      <c r="BO29" s="45">
        <f t="shared" si="142"/>
        <v>48</v>
      </c>
      <c r="BP29" s="54">
        <f t="shared" si="10"/>
        <v>2.6739999999999995</v>
      </c>
      <c r="BQ29" s="45">
        <f t="shared" si="143"/>
        <v>1</v>
      </c>
      <c r="BR29" s="45">
        <f t="shared" si="144"/>
        <v>2</v>
      </c>
      <c r="BS29" s="46" cm="1">
        <f t="array" ref="BS29">ROUND(IFERROR(INDEX(ArchiveResults!$F$5:$IX$116,ComparisonData!A29,ComparisonData!$BS$1),0),5)</f>
        <v>0</v>
      </c>
      <c r="BT29" s="46" cm="1">
        <f t="array" ref="BT29">ROUND(IFERROR(INDEX(ArchiveResults!$F$5:$IX$116,ComparisonData!A29,ComparisonData!$BT$1),0),5)</f>
        <v>0</v>
      </c>
      <c r="BU29" s="46" cm="1">
        <f t="array" ref="BU29">ROUND(IFERROR(INDEX(ArchiveResults!$F$5:$IX$116,ComparisonData!A29,ComparisonData!$BU$1),0),5)</f>
        <v>0</v>
      </c>
      <c r="BV29" s="46" cm="1">
        <f t="array" ref="BV29">ROUND(IFERROR(INDEX(ArchiveResults!$F$5:$IX$116,ComparisonData!A29,ComparisonData!$BV$1),0),5)</f>
        <v>0</v>
      </c>
      <c r="BW29" s="46" cm="1">
        <f t="array" ref="BW29">ROUND(IFERROR(INDEX(ArchiveResults!$F$5:$IX$116,ComparisonData!A29,ComparisonData!$BW$1),0),5)</f>
        <v>0</v>
      </c>
      <c r="BX29" s="46" cm="1">
        <f t="array" ref="BX29">ROUND(IFERROR(INDEX(ArchiveResults!$F$5:$IX$116,ComparisonData!A29,ComparisonData!$BX$1),0),5)</f>
        <v>0</v>
      </c>
      <c r="BY29" s="56">
        <v>24</v>
      </c>
      <c r="BZ29" s="53" t="str">
        <f t="shared" si="11"/>
        <v>Dorset History Centre</v>
      </c>
      <c r="CA29" s="59">
        <f t="shared" si="145"/>
        <v>0</v>
      </c>
      <c r="CB29" s="59">
        <f t="shared" si="146"/>
        <v>0</v>
      </c>
      <c r="CC29" s="59">
        <f t="shared" si="147"/>
        <v>0</v>
      </c>
      <c r="CD29" s="59">
        <f t="shared" si="148"/>
        <v>0</v>
      </c>
      <c r="CE29" s="59">
        <f t="shared" si="149"/>
        <v>0</v>
      </c>
      <c r="CF29" s="59">
        <f t="shared" si="150"/>
        <v>0</v>
      </c>
      <c r="CG29" s="58">
        <f t="shared" si="151"/>
        <v>0</v>
      </c>
      <c r="CH29" s="45">
        <f t="shared" si="152"/>
        <v>48</v>
      </c>
      <c r="CI29" s="54">
        <f t="shared" si="12"/>
        <v>2.6739999999999995</v>
      </c>
      <c r="CJ29" s="45">
        <f t="shared" si="153"/>
        <v>1</v>
      </c>
      <c r="CK29" s="45">
        <f t="shared" si="154"/>
        <v>2</v>
      </c>
      <c r="CL29" s="46" cm="1">
        <f t="array" ref="CL29">ROUND(IFERROR(INDEX(ArchiveResults!$F$5:$IX$116,ComparisonData!A29,ComparisonData!$CL$1),0),5)</f>
        <v>0</v>
      </c>
      <c r="CM29" s="56">
        <v>24</v>
      </c>
      <c r="CN29" s="53" t="str">
        <f t="shared" si="13"/>
        <v>Dorset History Centre</v>
      </c>
      <c r="CO29" s="45">
        <f t="shared" si="155"/>
        <v>0</v>
      </c>
      <c r="CP29" s="58">
        <f t="shared" si="156"/>
        <v>0</v>
      </c>
      <c r="CQ29" s="45">
        <f t="shared" si="157"/>
        <v>48</v>
      </c>
      <c r="CR29" s="54">
        <f t="shared" si="14"/>
        <v>2.6739999999999995</v>
      </c>
      <c r="CS29" s="45">
        <f t="shared" si="158"/>
        <v>1</v>
      </c>
      <c r="CT29" s="45">
        <f t="shared" si="159"/>
        <v>2</v>
      </c>
      <c r="CU29" s="46" cm="1">
        <f t="array" ref="CU29">ROUND(IFERROR(INDEX(ArchiveResults!$F$5:$IX$116,ComparisonData!A29,ComparisonData!$CU$1),0),5)</f>
        <v>0</v>
      </c>
      <c r="CV29" s="56">
        <v>24</v>
      </c>
      <c r="CW29" s="53" t="str">
        <f t="shared" si="15"/>
        <v>Dorset History Centre</v>
      </c>
      <c r="CX29" s="45">
        <f t="shared" si="160"/>
        <v>0</v>
      </c>
      <c r="CY29" s="58">
        <f t="shared" si="161"/>
        <v>0</v>
      </c>
      <c r="CZ29" s="45">
        <f t="shared" si="162"/>
        <v>48</v>
      </c>
      <c r="DA29" s="54">
        <f t="shared" si="16"/>
        <v>2.6739999999999995</v>
      </c>
      <c r="DB29" s="45">
        <f t="shared" si="163"/>
        <v>1</v>
      </c>
      <c r="DC29" s="45">
        <f t="shared" si="164"/>
        <v>2</v>
      </c>
      <c r="DD29" s="46" cm="1">
        <f t="array" ref="DD29">ROUND(IFERROR(INDEX(ArchiveResults!$F$5:$IX$116,ComparisonData!A29,ComparisonData!$DD$1),0),5)</f>
        <v>0</v>
      </c>
      <c r="DE29" s="56">
        <v>24</v>
      </c>
      <c r="DF29" s="53" t="str">
        <f t="shared" si="17"/>
        <v>Dorset History Centre</v>
      </c>
      <c r="DG29" s="45">
        <f t="shared" si="165"/>
        <v>0</v>
      </c>
      <c r="DH29" s="58">
        <f t="shared" si="166"/>
        <v>0</v>
      </c>
      <c r="DI29" s="45">
        <f t="shared" si="167"/>
        <v>48</v>
      </c>
      <c r="DJ29" s="54">
        <f t="shared" si="18"/>
        <v>2.6739999999999995</v>
      </c>
      <c r="DK29" s="45">
        <f t="shared" si="168"/>
        <v>1</v>
      </c>
      <c r="DL29" s="45">
        <f t="shared" si="169"/>
        <v>2</v>
      </c>
      <c r="DM29" s="46" cm="1">
        <f t="array" ref="DM29">ROUND(IFERROR(INDEX(ArchiveResults!$F$5:$IX$116,ComparisonData!A29,ComparisonData!$DM$1),0),5)</f>
        <v>0</v>
      </c>
      <c r="DN29" s="46" cm="1">
        <f t="array" ref="DN29">ROUND(IFERROR(INDEX(ArchiveResults!$F$5:$IX$116,ComparisonData!A29,ComparisonData!$DN$1),0),5)</f>
        <v>0</v>
      </c>
      <c r="DO29" s="46" cm="1">
        <f t="array" ref="DO29">ROUND(IFERROR(INDEX(ArchiveResults!$F$5:$IX$116,ComparisonData!A29,ComparisonData!$DO$1),0),5)</f>
        <v>0</v>
      </c>
      <c r="DP29" s="46" cm="1">
        <f t="array" ref="DP29">ROUND(IFERROR(INDEX(ArchiveResults!$F$5:$IX$116,ComparisonData!A29,ComparisonData!$DP$1),0),5)</f>
        <v>0</v>
      </c>
      <c r="DQ29" s="45" cm="1">
        <f t="array" ref="DQ29">IFERROR(INDEX(ArchiveResults!$F$5:$IX$116,ComparisonData!A29,ComparisonData!$DQ$1),0)</f>
        <v>0</v>
      </c>
      <c r="DR29" s="56">
        <v>24</v>
      </c>
      <c r="DS29" s="53" t="str">
        <f t="shared" si="19"/>
        <v>Dorset History Centre</v>
      </c>
      <c r="DT29" s="59">
        <f t="shared" si="170"/>
        <v>0</v>
      </c>
      <c r="DU29" s="59">
        <f t="shared" si="171"/>
        <v>0</v>
      </c>
      <c r="DV29" s="59">
        <f t="shared" si="172"/>
        <v>0</v>
      </c>
      <c r="DW29" s="59">
        <f t="shared" si="173"/>
        <v>0</v>
      </c>
      <c r="DX29" s="59">
        <f t="shared" si="174"/>
        <v>0</v>
      </c>
      <c r="DY29" s="58">
        <f t="shared" si="175"/>
        <v>0</v>
      </c>
      <c r="DZ29" s="45">
        <f t="shared" si="176"/>
        <v>48</v>
      </c>
      <c r="EA29" s="54">
        <f t="shared" si="20"/>
        <v>2.6739999999999995</v>
      </c>
      <c r="EB29" s="45">
        <f t="shared" si="177"/>
        <v>1</v>
      </c>
      <c r="EC29" s="45">
        <f t="shared" si="178"/>
        <v>2</v>
      </c>
      <c r="ED29" s="46" cm="1">
        <f t="array" ref="ED29">ROUND(IFERROR(INDEX(ArchiveResults!$F$5:$IX$116,ComparisonData!A29,ComparisonData!$ED$1),0),5)</f>
        <v>0</v>
      </c>
      <c r="EE29" s="46" cm="1">
        <f t="array" ref="EE29">ROUND(IFERROR(INDEX(ArchiveResults!$F$5:$IX$116,ComparisonData!A29,ComparisonData!$EE$1),0),5)</f>
        <v>0</v>
      </c>
      <c r="EF29" s="46" cm="1">
        <f t="array" ref="EF29">ROUND(IFERROR(INDEX(ArchiveResults!$F$5:$IX$116,ComparisonData!A29,ComparisonData!$EF$1),0),5)</f>
        <v>0</v>
      </c>
      <c r="EG29" s="46" cm="1">
        <f t="array" ref="EG29">ROUND(IFERROR(INDEX(ArchiveResults!$F$5:$IX$116,ComparisonData!A29,ComparisonData!$EG$1),0),5)</f>
        <v>0</v>
      </c>
      <c r="EH29" s="45" cm="1">
        <f t="array" ref="EH29">IFERROR(INDEX(ArchiveResults!$F$5:$IX$116,ComparisonData!A29,ComparisonData!$EH$1),0)</f>
        <v>0</v>
      </c>
      <c r="EI29" s="56">
        <v>24</v>
      </c>
      <c r="EJ29" s="53" t="str">
        <f t="shared" si="21"/>
        <v>Dorset History Centre</v>
      </c>
      <c r="EK29" s="59">
        <f t="shared" si="179"/>
        <v>0</v>
      </c>
      <c r="EL29" s="59">
        <f t="shared" si="180"/>
        <v>0</v>
      </c>
      <c r="EM29" s="59">
        <f t="shared" si="181"/>
        <v>0</v>
      </c>
      <c r="EN29" s="59">
        <f t="shared" si="182"/>
        <v>0</v>
      </c>
      <c r="EO29" s="59">
        <f t="shared" si="183"/>
        <v>0</v>
      </c>
      <c r="EP29" s="58">
        <f t="shared" si="184"/>
        <v>0</v>
      </c>
      <c r="EQ29" s="45">
        <f t="shared" si="185"/>
        <v>48</v>
      </c>
      <c r="ER29" s="54">
        <f t="shared" si="22"/>
        <v>2.6739999999999995</v>
      </c>
      <c r="ES29" s="45">
        <f t="shared" si="186"/>
        <v>1</v>
      </c>
      <c r="ET29" s="45">
        <f t="shared" si="187"/>
        <v>2</v>
      </c>
      <c r="EU29" s="46" cm="1">
        <f t="array" ref="EU29">ROUND(IFERROR(INDEX(ArchiveResults!$F$5:$IX$116,ComparisonData!A29,ComparisonData!$EU$1),0),5)</f>
        <v>0</v>
      </c>
      <c r="EV29" s="46" cm="1">
        <f t="array" ref="EV29">ROUND(IFERROR(INDEX(ArchiveResults!$F$5:$IX$116,ComparisonData!A29,ComparisonData!$EV$1),0),5)</f>
        <v>0</v>
      </c>
      <c r="EW29" s="46" cm="1">
        <f t="array" ref="EW29">ROUND(IFERROR(INDEX(ArchiveResults!$F$5:$IX$116,ComparisonData!A29,ComparisonData!$EW$1),0),5)</f>
        <v>0</v>
      </c>
      <c r="EX29" s="46" cm="1">
        <f t="array" ref="EX29">ROUND(IFERROR(INDEX(ArchiveResults!$F$5:$IX$116,ComparisonData!A29,ComparisonData!$EX$1),0),5)</f>
        <v>0</v>
      </c>
      <c r="EY29" s="45" cm="1">
        <f t="array" ref="EY29">IFERROR(INDEX(ArchiveResults!$F$5:$IX$116,ComparisonData!A29,ComparisonData!$EY$1),0)</f>
        <v>0</v>
      </c>
      <c r="EZ29" s="56">
        <v>24</v>
      </c>
      <c r="FA29" s="53" t="str">
        <f t="shared" si="23"/>
        <v>Dorset History Centre</v>
      </c>
      <c r="FB29" s="59">
        <f t="shared" si="188"/>
        <v>0</v>
      </c>
      <c r="FC29" s="59">
        <f t="shared" si="189"/>
        <v>0</v>
      </c>
      <c r="FD29" s="59">
        <f t="shared" si="190"/>
        <v>0</v>
      </c>
      <c r="FE29" s="59">
        <f t="shared" si="191"/>
        <v>0</v>
      </c>
      <c r="FF29" s="59">
        <f t="shared" si="192"/>
        <v>0</v>
      </c>
      <c r="FG29" s="58">
        <f t="shared" si="193"/>
        <v>0</v>
      </c>
      <c r="FH29" s="45">
        <f t="shared" si="194"/>
        <v>48</v>
      </c>
      <c r="FI29" s="54">
        <f t="shared" si="24"/>
        <v>2.6739999999999995</v>
      </c>
      <c r="FJ29" s="45">
        <f t="shared" si="195"/>
        <v>1</v>
      </c>
      <c r="FK29" s="45">
        <f t="shared" si="196"/>
        <v>2</v>
      </c>
      <c r="FL29" s="46" cm="1">
        <f t="array" ref="FL29">ROUND(IFERROR(INDEX(ArchiveResults!$F$5:$IX$116,ComparisonData!A29,ComparisonData!$FL$1),0),5)</f>
        <v>0</v>
      </c>
      <c r="FM29" s="46" cm="1">
        <f t="array" ref="FM29">ROUND(IFERROR(INDEX(ArchiveResults!$F$5:$IX$116,ComparisonData!A29,ComparisonData!$FM$1),0),5)</f>
        <v>0</v>
      </c>
      <c r="FN29" s="46" cm="1">
        <f t="array" ref="FN29">ROUND(IFERROR(INDEX(ArchiveResults!$F$5:$IX$116,ComparisonData!A29,ComparisonData!$FN$1),0),5)</f>
        <v>0</v>
      </c>
      <c r="FO29" s="46" cm="1">
        <f t="array" ref="FO29">ROUND(IFERROR(INDEX(ArchiveResults!$F$5:$IX$116,ComparisonData!A29,ComparisonData!$FO$1),0),5)</f>
        <v>0</v>
      </c>
      <c r="FP29" s="45" cm="1">
        <f t="array" ref="FP29">IFERROR(INDEX(ArchiveResults!$F$5:$IX$116,ComparisonData!A29,ComparisonData!$FP$1),0)</f>
        <v>0</v>
      </c>
      <c r="FQ29" s="56">
        <v>24</v>
      </c>
      <c r="FR29" s="53" t="str">
        <f t="shared" si="25"/>
        <v>Dorset History Centre</v>
      </c>
      <c r="FS29" s="59">
        <f t="shared" si="197"/>
        <v>0</v>
      </c>
      <c r="FT29" s="59">
        <f t="shared" si="198"/>
        <v>0</v>
      </c>
      <c r="FU29" s="59">
        <f t="shared" si="199"/>
        <v>0</v>
      </c>
      <c r="FV29" s="59">
        <f t="shared" si="200"/>
        <v>0</v>
      </c>
      <c r="FW29" s="59">
        <f t="shared" si="201"/>
        <v>0</v>
      </c>
      <c r="FX29" s="58">
        <f t="shared" si="202"/>
        <v>0</v>
      </c>
      <c r="FY29" s="45">
        <f t="shared" si="203"/>
        <v>48</v>
      </c>
      <c r="FZ29" s="45">
        <f t="shared" si="26"/>
        <v>2.6739999999999995</v>
      </c>
      <c r="GA29" s="45">
        <f t="shared" si="204"/>
        <v>1</v>
      </c>
      <c r="GB29" s="45">
        <f t="shared" si="205"/>
        <v>2</v>
      </c>
      <c r="GC29" s="46" cm="1">
        <f t="array" ref="GC29">ROUND(IFERROR(INDEX(ArchiveResults!$F$5:$IX$116,ComparisonData!A29,ComparisonData!$GC$1),0),5)</f>
        <v>0</v>
      </c>
      <c r="GD29" s="46" cm="1">
        <f t="array" ref="GD29">ROUND(IFERROR(INDEX(ArchiveResults!$F$5:$IX$116,ComparisonData!A29,ComparisonData!$GD$1),0),5)</f>
        <v>0</v>
      </c>
      <c r="GE29" s="46" cm="1">
        <f t="array" ref="GE29">ROUND(IFERROR(INDEX(ArchiveResults!$F$5:$IX$116,ComparisonData!A29,ComparisonData!$GE$1),0),5)</f>
        <v>0</v>
      </c>
      <c r="GF29" s="46" cm="1">
        <f t="array" ref="GF29">ROUND(IFERROR(INDEX(ArchiveResults!$F$5:$IX$116,ComparisonData!A29,ComparisonData!$GF$1),0),5)</f>
        <v>0</v>
      </c>
      <c r="GG29" s="45" cm="1">
        <f t="array" ref="GG29">IFERROR(INDEX(ArchiveResults!$F$5:$IX$116,ComparisonData!A29,ComparisonData!$GG$1),0)</f>
        <v>0</v>
      </c>
      <c r="GH29" s="56">
        <v>24</v>
      </c>
      <c r="GI29" s="53" t="str">
        <f t="shared" si="27"/>
        <v>Dorset History Centre</v>
      </c>
      <c r="GJ29" s="59">
        <f t="shared" si="206"/>
        <v>0</v>
      </c>
      <c r="GK29" s="59">
        <f t="shared" si="207"/>
        <v>0</v>
      </c>
      <c r="GL29" s="59">
        <f t="shared" si="208"/>
        <v>0</v>
      </c>
      <c r="GM29" s="59">
        <f t="shared" si="209"/>
        <v>0</v>
      </c>
      <c r="GN29" s="59">
        <f t="shared" si="210"/>
        <v>0</v>
      </c>
      <c r="GO29" s="58">
        <f t="shared" si="211"/>
        <v>0</v>
      </c>
      <c r="GP29" s="45">
        <f t="shared" si="212"/>
        <v>48</v>
      </c>
      <c r="GQ29" s="45">
        <f t="shared" si="28"/>
        <v>2.6739999999999995</v>
      </c>
      <c r="GR29" s="45">
        <f t="shared" si="213"/>
        <v>1</v>
      </c>
      <c r="GS29" s="45">
        <f t="shared" si="214"/>
        <v>2</v>
      </c>
      <c r="GT29" s="46" cm="1">
        <f t="array" ref="GT29">ROUND(IFERROR(INDEX(ArchiveResults!$F$5:$IX$116,ComparisonData!A29,ComparisonData!$GT$1),0),5)</f>
        <v>0</v>
      </c>
      <c r="GU29" s="46" cm="1">
        <f t="array" ref="GU29">ROUND(IFERROR(INDEX(ArchiveResults!$F$5:$IX$116,ComparisonData!A29,ComparisonData!$GU$1),0),5)</f>
        <v>0</v>
      </c>
      <c r="GV29" s="46" cm="1">
        <f t="array" ref="GV29">ROUND(IFERROR(INDEX(ArchiveResults!$F$5:$IX$116,ComparisonData!A29,ComparisonData!$GV$1),0),5)</f>
        <v>0</v>
      </c>
      <c r="GW29" s="46" cm="1">
        <f t="array" ref="GW29">ROUND(IFERROR(INDEX(ArchiveResults!$F$5:$IX$116,ComparisonData!A29,ComparisonData!$GW$1),0),5)</f>
        <v>0</v>
      </c>
      <c r="GX29" s="45" cm="1">
        <f t="array" ref="GX29">IFERROR(INDEX(ArchiveResults!$F$5:$IX$116,ComparisonData!A29,ComparisonData!$GX$1),0)</f>
        <v>0</v>
      </c>
      <c r="GY29" s="56">
        <v>24</v>
      </c>
      <c r="GZ29" s="53" t="str">
        <f t="shared" si="29"/>
        <v>Dorset History Centre</v>
      </c>
      <c r="HA29" s="59">
        <f t="shared" si="215"/>
        <v>0</v>
      </c>
      <c r="HB29" s="59">
        <f t="shared" si="216"/>
        <v>0</v>
      </c>
      <c r="HC29" s="59">
        <f t="shared" si="217"/>
        <v>0</v>
      </c>
      <c r="HD29" s="59">
        <f t="shared" si="218"/>
        <v>0</v>
      </c>
      <c r="HE29" s="59">
        <f t="shared" si="219"/>
        <v>0</v>
      </c>
      <c r="HF29" s="58">
        <f t="shared" si="220"/>
        <v>0</v>
      </c>
      <c r="HG29" s="45">
        <f t="shared" si="221"/>
        <v>48</v>
      </c>
      <c r="HH29" s="45">
        <f t="shared" si="30"/>
        <v>2.6739999999999995</v>
      </c>
      <c r="HI29" s="45">
        <f t="shared" si="222"/>
        <v>1</v>
      </c>
      <c r="HJ29" s="45">
        <f t="shared" si="223"/>
        <v>2</v>
      </c>
      <c r="HK29" s="46" cm="1">
        <f t="array" ref="HK29">ROUND(IFERROR(INDEX(ArchiveResults!$F$5:$IX$116,ComparisonData!A29,ComparisonData!$HK$1),0),5)</f>
        <v>0</v>
      </c>
      <c r="HL29" s="46" cm="1">
        <f t="array" ref="HL29">ROUND(IFERROR(INDEX(ArchiveResults!$F$5:$IX$116,ComparisonData!A29,ComparisonData!$HL$1),0),5)</f>
        <v>0</v>
      </c>
      <c r="HM29" s="46" cm="1">
        <f t="array" ref="HM29">ROUND(IFERROR(INDEX(ArchiveResults!$F$5:$IX$116,ComparisonData!A29,ComparisonData!$HM$1),0),5)</f>
        <v>0</v>
      </c>
      <c r="HN29" s="46" cm="1">
        <f t="array" ref="HN29">ROUND(IFERROR(INDEX(ArchiveResults!$F$5:$IX$116,ComparisonData!A29,ComparisonData!$HN$1),0),5)</f>
        <v>0</v>
      </c>
      <c r="HO29" s="45" cm="1">
        <f t="array" ref="HO29">IFERROR(INDEX(ArchiveResults!$F$5:$IX$116,ComparisonData!A29,ComparisonData!$HO$1),0)</f>
        <v>0</v>
      </c>
      <c r="HP29" s="56">
        <v>24</v>
      </c>
      <c r="HQ29" s="53" t="str">
        <f t="shared" si="31"/>
        <v>Dorset History Centre</v>
      </c>
      <c r="HR29" s="59">
        <f t="shared" si="32"/>
        <v>0</v>
      </c>
      <c r="HS29" s="59">
        <f t="shared" si="33"/>
        <v>0</v>
      </c>
      <c r="HT29" s="59">
        <f t="shared" si="34"/>
        <v>0</v>
      </c>
      <c r="HU29" s="59">
        <f t="shared" si="35"/>
        <v>0</v>
      </c>
      <c r="HV29" s="59">
        <f t="shared" si="36"/>
        <v>0</v>
      </c>
      <c r="HW29" s="58">
        <f t="shared" si="224"/>
        <v>0</v>
      </c>
      <c r="HX29" s="45">
        <f t="shared" si="225"/>
        <v>48</v>
      </c>
      <c r="HY29" s="45">
        <f t="shared" si="37"/>
        <v>2.6739999999999995</v>
      </c>
      <c r="HZ29" s="45">
        <f t="shared" si="226"/>
        <v>1</v>
      </c>
      <c r="IA29" s="45">
        <f t="shared" si="227"/>
        <v>2</v>
      </c>
      <c r="IB29" s="45">
        <f t="shared" si="228"/>
        <v>0</v>
      </c>
      <c r="IC29" s="46" cm="1">
        <f t="array" ref="IC29">ROUND(IFERROR(INDEX(ArchiveResults!$F$5:$IX$116,ComparisonData!A29,ComparisonData!$IC$1),0),5)</f>
        <v>0</v>
      </c>
      <c r="ID29" s="46" cm="1">
        <f t="array" ref="ID29">ROUND(IFERROR(INDEX(ArchiveResults!$F$5:$IX$116,ComparisonData!A29,ComparisonData!$ID$1),0),5)</f>
        <v>0</v>
      </c>
      <c r="IE29" s="46" cm="1">
        <f t="array" ref="IE29">ROUND(IFERROR(INDEX(ArchiveResults!$F$5:$IX$116,ComparisonData!A29,ComparisonData!$IE$1),0),5)</f>
        <v>0</v>
      </c>
      <c r="IF29" s="46" cm="1">
        <f t="array" ref="IF29">ROUND(IFERROR(INDEX(ArchiveResults!$F$5:$IX$116,ComparisonData!A29,ComparisonData!$IF$1),0),5)</f>
        <v>0</v>
      </c>
      <c r="IG29" s="45" cm="1">
        <f t="array" ref="IG29">IFERROR(INDEX(ArchiveResults!$F$5:$IX$116,ComparisonData!A29,ComparisonData!$IG$1),0)</f>
        <v>0</v>
      </c>
      <c r="IH29" s="56">
        <v>24</v>
      </c>
      <c r="II29" s="53" t="str">
        <f t="shared" si="38"/>
        <v>Dorset History Centre</v>
      </c>
      <c r="IJ29" s="59">
        <f t="shared" si="229"/>
        <v>0</v>
      </c>
      <c r="IK29" s="59">
        <f t="shared" si="230"/>
        <v>0</v>
      </c>
      <c r="IL29" s="59">
        <f t="shared" si="231"/>
        <v>0</v>
      </c>
      <c r="IM29" s="59">
        <f t="shared" si="232"/>
        <v>0</v>
      </c>
      <c r="IN29" s="59">
        <f t="shared" si="233"/>
        <v>0</v>
      </c>
      <c r="IO29" s="58">
        <f t="shared" si="234"/>
        <v>0</v>
      </c>
      <c r="IP29" s="45">
        <f t="shared" si="235"/>
        <v>48</v>
      </c>
      <c r="IQ29" s="45">
        <f t="shared" si="39"/>
        <v>2.6739999999999995</v>
      </c>
      <c r="IR29" s="45">
        <f t="shared" si="236"/>
        <v>1</v>
      </c>
      <c r="IS29" s="45">
        <f t="shared" si="237"/>
        <v>2</v>
      </c>
      <c r="IT29" s="46">
        <f t="shared" si="238"/>
        <v>0</v>
      </c>
      <c r="IU29" s="46" cm="1">
        <f t="array" ref="IU29">ROUND(IFERROR(INDEX(ArchiveResults!$F$5:$IX$116,ComparisonData!A29,ComparisonData!$IU$1),0),5)</f>
        <v>0</v>
      </c>
      <c r="IV29" s="46" cm="1">
        <f t="array" ref="IV29">ROUND(IFERROR(INDEX(ArchiveResults!$F$5:$IX$116,ComparisonData!A29,ComparisonData!$IV$1),0),5)</f>
        <v>0</v>
      </c>
      <c r="IW29" s="46" cm="1">
        <f t="array" ref="IW29">ROUND(IFERROR(INDEX(ArchiveResults!$F$5:$IX$116,ComparisonData!A29,ComparisonData!$IW$1),0),5)</f>
        <v>0</v>
      </c>
      <c r="IX29" s="46" cm="1">
        <f t="array" ref="IX29">ROUND(IFERROR(INDEX(ArchiveResults!$F$5:$IX$116,ComparisonData!A29,ComparisonData!$IX$1),0),5)</f>
        <v>0</v>
      </c>
      <c r="IY29" s="45" cm="1">
        <f t="array" ref="IY29">IFERROR(INDEX(ArchiveResults!$F$5:$IX$116,ComparisonData!A29,ComparisonData!$IY$1),0)</f>
        <v>0</v>
      </c>
      <c r="IZ29" s="56">
        <v>24</v>
      </c>
      <c r="JA29" s="53" t="str">
        <f t="shared" si="40"/>
        <v>Dorset History Centre</v>
      </c>
      <c r="JB29" s="59">
        <f t="shared" si="239"/>
        <v>0</v>
      </c>
      <c r="JC29" s="59">
        <f t="shared" si="240"/>
        <v>0</v>
      </c>
      <c r="JD29" s="59">
        <f t="shared" si="241"/>
        <v>0</v>
      </c>
      <c r="JE29" s="59">
        <f t="shared" si="242"/>
        <v>0</v>
      </c>
      <c r="JF29" s="59">
        <f t="shared" si="243"/>
        <v>0</v>
      </c>
      <c r="JG29" s="58">
        <f t="shared" si="244"/>
        <v>0</v>
      </c>
      <c r="JH29" s="45">
        <f t="shared" si="245"/>
        <v>48</v>
      </c>
      <c r="JI29" s="45">
        <f t="shared" si="41"/>
        <v>2.6739999999999995</v>
      </c>
      <c r="JJ29" s="45">
        <f t="shared" si="246"/>
        <v>1</v>
      </c>
      <c r="JK29" s="45">
        <f t="shared" si="247"/>
        <v>2</v>
      </c>
      <c r="JL29" s="45">
        <f t="shared" si="248"/>
        <v>0</v>
      </c>
      <c r="JM29" s="46" cm="1">
        <f t="array" ref="JM29">ROUND(IFERROR(INDEX(ArchiveResults!$F$5:$IX$116,ComparisonData!A29,ComparisonData!$JM$1),0),5)</f>
        <v>0</v>
      </c>
      <c r="JN29" s="46" cm="1">
        <f t="array" ref="JN29">ROUND(IFERROR(INDEX(ArchiveResults!$F$5:$IX$116,ComparisonData!A29,ComparisonData!$JN$1),0),5)</f>
        <v>0</v>
      </c>
      <c r="JO29" s="46" cm="1">
        <f t="array" ref="JO29">ROUND(IFERROR(INDEX(ArchiveResults!$F$5:$IX$116,ComparisonData!A29,ComparisonData!$JO$1),0),5)</f>
        <v>0</v>
      </c>
      <c r="JP29" s="46" cm="1">
        <f t="array" ref="JP29">ROUND(IFERROR(INDEX(ArchiveResults!$F$5:$IX$116,ComparisonData!A29,ComparisonData!$JP$1),0),5)</f>
        <v>0</v>
      </c>
      <c r="JQ29" s="45" cm="1">
        <f t="array" ref="JQ29">IFERROR(INDEX(ArchiveResults!$F$5:$IX$116,ComparisonData!A29,ComparisonData!$JQ$1),0)</f>
        <v>0</v>
      </c>
      <c r="JR29" s="56">
        <v>24</v>
      </c>
      <c r="JS29" s="53" t="str">
        <f t="shared" si="42"/>
        <v>Dorset History Centre</v>
      </c>
      <c r="JT29" s="59">
        <f t="shared" si="249"/>
        <v>0</v>
      </c>
      <c r="JU29" s="59">
        <f t="shared" si="250"/>
        <v>0</v>
      </c>
      <c r="JV29" s="59">
        <f t="shared" si="251"/>
        <v>0</v>
      </c>
      <c r="JW29" s="59">
        <f t="shared" si="252"/>
        <v>0</v>
      </c>
      <c r="JX29" s="59">
        <f t="shared" si="253"/>
        <v>0</v>
      </c>
      <c r="JY29" s="58">
        <f t="shared" si="254"/>
        <v>0</v>
      </c>
      <c r="JZ29" s="45">
        <f t="shared" si="255"/>
        <v>48</v>
      </c>
      <c r="KA29" s="45">
        <f t="shared" si="43"/>
        <v>2.6739999999999995</v>
      </c>
      <c r="KB29" s="45">
        <f t="shared" si="256"/>
        <v>1</v>
      </c>
      <c r="KC29" s="45">
        <f t="shared" si="257"/>
        <v>2</v>
      </c>
      <c r="KD29" s="45">
        <f t="shared" si="258"/>
        <v>0</v>
      </c>
      <c r="KE29" s="46" cm="1">
        <f t="array" ref="KE29">ROUND(IFERROR(INDEX(ArchiveResults!$F$5:$IX$116,ComparisonData!A29,ComparisonData!$KE$1),0),5)</f>
        <v>0</v>
      </c>
      <c r="KF29" s="46" cm="1">
        <f t="array" ref="KF29">ROUND(IFERROR(INDEX(ArchiveResults!$F$5:$IX$116,ComparisonData!A29,ComparisonData!$KF$1),0),5)</f>
        <v>0</v>
      </c>
      <c r="KG29" s="46" cm="1">
        <f t="array" ref="KG29">ROUND(IFERROR(INDEX(ArchiveResults!$F$5:$IX$116,ComparisonData!A29,ComparisonData!$KG$1),0),5)</f>
        <v>0</v>
      </c>
      <c r="KH29" s="46" cm="1">
        <f t="array" ref="KH29">ROUND(IFERROR(INDEX(ArchiveResults!$F$5:$IX$116,ComparisonData!A29,ComparisonData!$KH$1),0),5)</f>
        <v>0</v>
      </c>
      <c r="KI29" s="45" cm="1">
        <f t="array" ref="KI29">IFERROR(INDEX(ArchiveResults!$F$5:$IX$116,ComparisonData!A29,ComparisonData!$KI$1),0)</f>
        <v>0</v>
      </c>
      <c r="KJ29" s="56">
        <v>24</v>
      </c>
      <c r="KK29" s="53" t="str">
        <f t="shared" si="44"/>
        <v>Dorset History Centre</v>
      </c>
      <c r="KL29" s="59">
        <f t="shared" si="259"/>
        <v>0</v>
      </c>
      <c r="KM29" s="59">
        <f t="shared" si="260"/>
        <v>0</v>
      </c>
      <c r="KN29" s="59">
        <f t="shared" si="261"/>
        <v>0</v>
      </c>
      <c r="KO29" s="59">
        <f t="shared" si="262"/>
        <v>0</v>
      </c>
      <c r="KP29" s="59">
        <f t="shared" si="263"/>
        <v>0</v>
      </c>
      <c r="KQ29" s="58">
        <f t="shared" si="264"/>
        <v>0</v>
      </c>
      <c r="KR29" s="45">
        <f t="shared" si="265"/>
        <v>48</v>
      </c>
      <c r="KS29" s="45">
        <f t="shared" si="45"/>
        <v>2.6739999999999995</v>
      </c>
      <c r="KT29" s="45">
        <f t="shared" si="266"/>
        <v>1</v>
      </c>
      <c r="KU29" s="45">
        <f t="shared" si="267"/>
        <v>2</v>
      </c>
      <c r="KV29" s="45">
        <f t="shared" si="268"/>
        <v>0</v>
      </c>
      <c r="KW29" s="46" cm="1">
        <f t="array" ref="KW29">ROUND(IFERROR(INDEX(ArchiveResults!$F$5:$IX$116,ComparisonData!A29,ComparisonData!$KW$1),0),5)</f>
        <v>0</v>
      </c>
      <c r="KX29" s="46" cm="1">
        <f t="array" ref="KX29">ROUND(IFERROR(INDEX(ArchiveResults!$F$5:$IX$116,ComparisonData!A29,ComparisonData!$KX$1),0),5)</f>
        <v>0</v>
      </c>
      <c r="KY29" s="46" cm="1">
        <f t="array" ref="KY29">ROUND(IFERROR(INDEX(ArchiveResults!$F$5:$IX$116,ComparisonData!A29,ComparisonData!$KY$1),0),5)</f>
        <v>0</v>
      </c>
      <c r="KZ29" s="46" cm="1">
        <f t="array" ref="KZ29">ROUND(IFERROR(INDEX(ArchiveResults!$F$5:$IX$116,ComparisonData!A29,ComparisonData!$KZ$1),0),5)</f>
        <v>0</v>
      </c>
      <c r="LA29" s="45" cm="1">
        <f t="array" ref="LA29">IFERROR(INDEX(ArchiveResults!$F$5:$IX$116,ComparisonData!A29,ComparisonData!$LA$1),0)</f>
        <v>0</v>
      </c>
      <c r="LB29" s="56">
        <v>24</v>
      </c>
      <c r="LC29" s="53" t="str">
        <f t="shared" si="46"/>
        <v>Dorset History Centre</v>
      </c>
      <c r="LD29" s="59">
        <f t="shared" si="269"/>
        <v>0</v>
      </c>
      <c r="LE29" s="59">
        <f t="shared" si="270"/>
        <v>0</v>
      </c>
      <c r="LF29" s="59">
        <f t="shared" si="271"/>
        <v>0</v>
      </c>
      <c r="LG29" s="59">
        <f t="shared" si="272"/>
        <v>0</v>
      </c>
      <c r="LH29" s="59">
        <f t="shared" si="273"/>
        <v>0</v>
      </c>
      <c r="LI29" s="58">
        <f t="shared" si="274"/>
        <v>0</v>
      </c>
      <c r="LJ29" s="45">
        <f t="shared" si="275"/>
        <v>48</v>
      </c>
      <c r="LK29" s="45">
        <f t="shared" si="47"/>
        <v>2.6739999999999995</v>
      </c>
      <c r="LL29" s="45">
        <f t="shared" si="276"/>
        <v>1</v>
      </c>
      <c r="LM29" s="45">
        <f t="shared" si="277"/>
        <v>2</v>
      </c>
      <c r="LN29" s="45">
        <f t="shared" si="278"/>
        <v>0</v>
      </c>
      <c r="LO29" s="46" cm="1">
        <f t="array" ref="LO29">ROUND(IFERROR(INDEX(ArchiveResults!$F$5:$IX$116,ComparisonData!A29,ComparisonData!$LO$1),0),5)</f>
        <v>0</v>
      </c>
      <c r="LP29" s="46" cm="1">
        <f t="array" ref="LP29">ROUND(IFERROR(INDEX(ArchiveResults!$F$5:$IX$116,ComparisonData!A29,ComparisonData!$LP$1),0),5)</f>
        <v>0</v>
      </c>
      <c r="LQ29" s="46" cm="1">
        <f t="array" ref="LQ29">ROUND(IFERROR(INDEX(ArchiveResults!$F$5:$IX$116,ComparisonData!A29,ComparisonData!$LQ$1),0),5)</f>
        <v>0</v>
      </c>
      <c r="LR29" s="46" cm="1">
        <f t="array" ref="LR29">ROUND(IFERROR(INDEX(ArchiveResults!$F$5:$IX$116,ComparisonData!A29,ComparisonData!$LR$1),0),5)</f>
        <v>0</v>
      </c>
      <c r="LS29" s="45" cm="1">
        <f t="array" ref="LS29">IFERROR(INDEX(ArchiveResults!$F$5:$IX$116,ComparisonData!A29,ComparisonData!$LS$1),0)</f>
        <v>0</v>
      </c>
      <c r="LT29" s="56">
        <v>24</v>
      </c>
      <c r="LU29" s="53" t="str">
        <f t="shared" si="48"/>
        <v>Dorset History Centre</v>
      </c>
      <c r="LV29" s="59">
        <f t="shared" si="279"/>
        <v>0</v>
      </c>
      <c r="LW29" s="59">
        <f t="shared" si="280"/>
        <v>0</v>
      </c>
      <c r="LX29" s="59">
        <f t="shared" si="281"/>
        <v>0</v>
      </c>
      <c r="LY29" s="59">
        <f t="shared" si="282"/>
        <v>0</v>
      </c>
      <c r="LZ29" s="59">
        <f t="shared" si="283"/>
        <v>0</v>
      </c>
      <c r="MA29" s="58">
        <f t="shared" si="284"/>
        <v>0</v>
      </c>
      <c r="MB29" s="45">
        <f t="shared" si="285"/>
        <v>48</v>
      </c>
      <c r="MC29" s="45">
        <f t="shared" si="49"/>
        <v>2.6739999999999995</v>
      </c>
      <c r="MD29" s="45">
        <f t="shared" si="286"/>
        <v>1</v>
      </c>
      <c r="ME29" s="45">
        <f t="shared" si="287"/>
        <v>2</v>
      </c>
      <c r="MF29" s="45">
        <f t="shared" si="288"/>
        <v>0</v>
      </c>
      <c r="MG29" s="46" cm="1">
        <f t="array" ref="MG29">ROUND(IFERROR(INDEX(ArchiveResults!$F$5:$IX$116,ComparisonData!A29,ComparisonData!$MG$1),0),5)</f>
        <v>0</v>
      </c>
      <c r="MH29" s="46" cm="1">
        <f t="array" ref="MH29">ROUND(IFERROR(INDEX(ArchiveResults!$F$5:$IX$116,ComparisonData!A29,ComparisonData!$MH$1),0),5)</f>
        <v>0</v>
      </c>
      <c r="MI29" s="46" cm="1">
        <f t="array" ref="MI29">ROUND(IFERROR(INDEX(ArchiveResults!$F$5:$IX$116,ComparisonData!A29,ComparisonData!$MI$1),0),5)</f>
        <v>0</v>
      </c>
      <c r="MJ29" s="46" cm="1">
        <f t="array" ref="MJ29">ROUND(IFERROR(INDEX(ArchiveResults!$F$5:$IX$116,ComparisonData!A29,ComparisonData!$MJ$1),0),5)</f>
        <v>0</v>
      </c>
      <c r="MK29" s="45" cm="1">
        <f t="array" ref="MK29">IFERROR(INDEX(ArchiveResults!$F$5:$IX$116,ComparisonData!A29,ComparisonData!$MK$1),0)</f>
        <v>0</v>
      </c>
      <c r="ML29" s="56">
        <v>24</v>
      </c>
      <c r="MM29" s="53" t="str">
        <f t="shared" si="50"/>
        <v>Dorset History Centre</v>
      </c>
      <c r="MN29" s="59">
        <f t="shared" si="289"/>
        <v>0</v>
      </c>
      <c r="MO29" s="59">
        <f t="shared" si="290"/>
        <v>0</v>
      </c>
      <c r="MP29" s="59">
        <f t="shared" si="291"/>
        <v>0</v>
      </c>
      <c r="MQ29" s="59">
        <f t="shared" si="292"/>
        <v>0</v>
      </c>
      <c r="MR29" s="59">
        <f t="shared" si="293"/>
        <v>0</v>
      </c>
      <c r="MS29" s="58">
        <f t="shared" si="294"/>
        <v>0</v>
      </c>
      <c r="MT29" s="45">
        <f t="shared" si="295"/>
        <v>48</v>
      </c>
      <c r="MU29" s="45">
        <f t="shared" si="51"/>
        <v>2.6739999999999995</v>
      </c>
      <c r="MV29" s="45">
        <f t="shared" si="296"/>
        <v>1</v>
      </c>
      <c r="MW29" s="45">
        <f t="shared" si="297"/>
        <v>2</v>
      </c>
      <c r="MX29" s="45">
        <f t="shared" si="298"/>
        <v>0</v>
      </c>
      <c r="MY29" s="46" cm="1">
        <f t="array" ref="MY29">ROUND(IFERROR(INDEX(ArchiveResults!$F$5:$IX$116,ComparisonData!A29,ComparisonData!$MY$1),0),5)</f>
        <v>0</v>
      </c>
      <c r="MZ29" s="46" cm="1">
        <f t="array" ref="MZ29">ROUND(IFERROR(INDEX(ArchiveResults!$F$5:$IX$116,ComparisonData!A29,ComparisonData!$MZ$1),0),5)</f>
        <v>0</v>
      </c>
      <c r="NA29" s="46" cm="1">
        <f t="array" ref="NA29">ROUND(IFERROR(INDEX(ArchiveResults!$F$5:$IX$116,ComparisonData!A29,ComparisonData!$NA$1),0),5)</f>
        <v>0</v>
      </c>
      <c r="NB29" s="46" cm="1">
        <f t="array" ref="NB29">ROUND(IFERROR(INDEX(ArchiveResults!$F$5:$IX$116,ComparisonData!A29,ComparisonData!$NB$1),0),5)</f>
        <v>0</v>
      </c>
      <c r="NC29" s="45" cm="1">
        <f t="array" ref="NC29">IFERROR(INDEX(ArchiveResults!$F$5:$IX$116,ComparisonData!A29,ComparisonData!$NC$1),0)</f>
        <v>0</v>
      </c>
      <c r="ND29" s="56">
        <v>24</v>
      </c>
      <c r="NE29" s="53" t="str">
        <f t="shared" si="52"/>
        <v>Dorset History Centre</v>
      </c>
      <c r="NF29" s="59">
        <f t="shared" si="299"/>
        <v>0</v>
      </c>
      <c r="NG29" s="59">
        <f t="shared" si="300"/>
        <v>0</v>
      </c>
      <c r="NH29" s="59">
        <f t="shared" si="301"/>
        <v>0</v>
      </c>
      <c r="NI29" s="59">
        <f t="shared" si="302"/>
        <v>0</v>
      </c>
      <c r="NJ29" s="59">
        <f t="shared" si="303"/>
        <v>0</v>
      </c>
      <c r="NK29" s="58">
        <f t="shared" si="304"/>
        <v>0</v>
      </c>
      <c r="NL29" s="45">
        <f t="shared" si="305"/>
        <v>48</v>
      </c>
      <c r="NM29" s="45">
        <f t="shared" si="53"/>
        <v>2.6739999999999995</v>
      </c>
      <c r="NN29" s="45">
        <f t="shared" si="306"/>
        <v>1</v>
      </c>
      <c r="NO29" s="45">
        <f t="shared" si="307"/>
        <v>2</v>
      </c>
      <c r="NP29" s="46" cm="1">
        <f t="array" ref="NP29">ROUND(IFERROR(INDEX(ArchiveResults!$F$5:$IX$116,ComparisonData!A29,ComparisonData!$NP$1),0),5)</f>
        <v>0</v>
      </c>
      <c r="NQ29" s="46" cm="1">
        <f t="array" ref="NQ29">ROUND(IFERROR(INDEX(ArchiveResults!$F$5:$IX$116,ComparisonData!A29,ComparisonData!$NQ$1),0),5)</f>
        <v>0</v>
      </c>
      <c r="NR29" s="46" cm="1">
        <f t="array" ref="NR29">ROUND(IFERROR(INDEX(ArchiveResults!$F$5:$IX$116,ComparisonData!A29,ComparisonData!$NR$1),0),5)</f>
        <v>0</v>
      </c>
      <c r="NS29" s="46" cm="1">
        <f t="array" ref="NS29">ROUND(IFERROR(INDEX(ArchiveResults!$F$5:$IX$116,ComparisonData!A29,ComparisonData!$NS$1),0),5)</f>
        <v>0</v>
      </c>
      <c r="NT29" s="45" cm="1">
        <f t="array" ref="NT29">IFERROR(INDEX(ArchiveResults!$F$5:$IX$116,ComparisonData!A29,ComparisonData!$NT$1),0)</f>
        <v>0</v>
      </c>
      <c r="NU29" s="56">
        <v>24</v>
      </c>
      <c r="NV29" s="53" t="str">
        <f t="shared" si="54"/>
        <v>Dorset History Centre</v>
      </c>
      <c r="NW29" s="59">
        <f t="shared" si="308"/>
        <v>0</v>
      </c>
      <c r="NX29" s="59">
        <f t="shared" si="309"/>
        <v>0</v>
      </c>
      <c r="NY29" s="59">
        <f t="shared" si="310"/>
        <v>0</v>
      </c>
      <c r="NZ29" s="59">
        <f t="shared" si="311"/>
        <v>0</v>
      </c>
      <c r="OA29" s="59">
        <f t="shared" si="312"/>
        <v>0</v>
      </c>
      <c r="OB29" s="58">
        <f t="shared" si="313"/>
        <v>0</v>
      </c>
      <c r="OC29" s="45">
        <f t="shared" si="314"/>
        <v>48</v>
      </c>
      <c r="OD29" s="45">
        <f t="shared" si="55"/>
        <v>2.6739999999999995</v>
      </c>
      <c r="OE29" s="45">
        <f t="shared" si="315"/>
        <v>1</v>
      </c>
      <c r="OF29" s="45">
        <f t="shared" si="316"/>
        <v>2</v>
      </c>
      <c r="OG29" s="46">
        <f t="shared" si="317"/>
        <v>0</v>
      </c>
      <c r="OH29" s="46" cm="1">
        <f t="array" ref="OH29">ROUND(IFERROR(INDEX(ArchiveResults!$F$5:$IX$116,ComparisonData!A29,ComparisonData!$OH$1),0),5)</f>
        <v>0</v>
      </c>
      <c r="OI29" s="46" cm="1">
        <f t="array" ref="OI29">ROUND(IFERROR(INDEX(ArchiveResults!$F$5:$IX$116,ComparisonData!A29,ComparisonData!$OI$1),0),5)</f>
        <v>0</v>
      </c>
      <c r="OJ29" s="46" cm="1">
        <f t="array" ref="OJ29">ROUND(IFERROR(INDEX(ArchiveResults!$F$5:$IX$116,ComparisonData!A29,ComparisonData!$OJ$1),0),5)</f>
        <v>0</v>
      </c>
      <c r="OK29" s="46" cm="1">
        <f t="array" ref="OK29">ROUND(IFERROR(INDEX(ArchiveResults!$F$5:$IX$116,ComparisonData!A29,ComparisonData!$OK$1),0),5)</f>
        <v>0</v>
      </c>
      <c r="OL29" s="45" cm="1">
        <f t="array" ref="OL29">IFERROR(INDEX(ArchiveResults!$F$5:$IX$116,ComparisonData!A29,ComparisonData!$OL$1),0)</f>
        <v>0</v>
      </c>
      <c r="OM29" s="56">
        <v>24</v>
      </c>
      <c r="ON29" s="53" t="str">
        <f t="shared" si="56"/>
        <v>Dorset History Centre</v>
      </c>
      <c r="OO29" s="59">
        <f t="shared" si="318"/>
        <v>0</v>
      </c>
      <c r="OP29" s="59">
        <f t="shared" si="319"/>
        <v>0</v>
      </c>
      <c r="OQ29" s="59">
        <f t="shared" si="320"/>
        <v>0</v>
      </c>
      <c r="OR29" s="59">
        <f t="shared" si="321"/>
        <v>0</v>
      </c>
      <c r="OS29" s="59">
        <f t="shared" si="322"/>
        <v>0</v>
      </c>
      <c r="OT29" s="58">
        <f t="shared" si="323"/>
        <v>0</v>
      </c>
      <c r="OU29" s="45">
        <f t="shared" si="324"/>
        <v>48</v>
      </c>
      <c r="OV29" s="45">
        <f t="shared" si="57"/>
        <v>2.6739999999999995</v>
      </c>
      <c r="OW29" s="45">
        <f t="shared" si="325"/>
        <v>1</v>
      </c>
      <c r="OX29" s="45">
        <f t="shared" si="326"/>
        <v>2</v>
      </c>
      <c r="OY29" s="45">
        <f t="shared" si="327"/>
        <v>0</v>
      </c>
      <c r="OZ29" s="46" cm="1">
        <f t="array" ref="OZ29">ROUND(IFERROR(INDEX(ArchiveResults!$F$5:$IX$116,ComparisonData!A29,ComparisonData!$OZ$1),0),5)</f>
        <v>0</v>
      </c>
      <c r="PA29" s="46" cm="1">
        <f t="array" ref="PA29">ROUND(IFERROR(INDEX(ArchiveResults!$F$5:$IX$116,ComparisonData!A29,ComparisonData!$PA$1),0),5)</f>
        <v>0</v>
      </c>
      <c r="PB29" s="46" cm="1">
        <f t="array" ref="PB29">ROUND(IFERROR(INDEX(ArchiveResults!$F$5:$IX$116,ComparisonData!A29,ComparisonData!$PB$1),0),5)</f>
        <v>0</v>
      </c>
      <c r="PC29" s="46" cm="1">
        <f t="array" ref="PC29">ROUND(IFERROR(INDEX(ArchiveResults!$F$5:$IX$116,ComparisonData!A29,ComparisonData!$PC$1),0),5)</f>
        <v>0</v>
      </c>
      <c r="PD29" s="45" cm="1">
        <f t="array" ref="PD29">IFERROR(INDEX(ArchiveResults!$F$5:$IX$116,ComparisonData!A29,ComparisonData!$PD$1),0)</f>
        <v>0</v>
      </c>
      <c r="PE29" s="56">
        <v>24</v>
      </c>
      <c r="PF29" s="53" t="str">
        <f t="shared" si="58"/>
        <v>Dorset History Centre</v>
      </c>
      <c r="PG29" s="59">
        <f t="shared" si="328"/>
        <v>0</v>
      </c>
      <c r="PH29" s="59">
        <f t="shared" si="329"/>
        <v>0</v>
      </c>
      <c r="PI29" s="59">
        <f t="shared" si="330"/>
        <v>0</v>
      </c>
      <c r="PJ29" s="59">
        <f t="shared" si="331"/>
        <v>0</v>
      </c>
      <c r="PK29" s="59">
        <f t="shared" si="332"/>
        <v>0</v>
      </c>
      <c r="PL29" s="58">
        <f t="shared" si="333"/>
        <v>0</v>
      </c>
      <c r="PM29" s="45">
        <f t="shared" si="334"/>
        <v>48</v>
      </c>
      <c r="PN29" s="45">
        <f t="shared" si="59"/>
        <v>2.6739999999999995</v>
      </c>
      <c r="PO29" s="45">
        <f t="shared" si="335"/>
        <v>1</v>
      </c>
      <c r="PP29" s="45">
        <f t="shared" si="336"/>
        <v>2</v>
      </c>
      <c r="PQ29" s="45">
        <f t="shared" si="337"/>
        <v>0</v>
      </c>
      <c r="PR29" s="46" cm="1">
        <f t="array" ref="PR29">ROUND(IFERROR(INDEX(ArchiveResults!$F$5:$IX$116,ComparisonData!A29,ComparisonData!$PR$1),0),5)</f>
        <v>0</v>
      </c>
      <c r="PS29" s="46" cm="1">
        <f t="array" ref="PS29">ROUND(IFERROR(INDEX(ArchiveResults!$F$5:$IX$116,ComparisonData!A29,ComparisonData!$PS$1),0),5)</f>
        <v>0</v>
      </c>
      <c r="PT29" s="46" cm="1">
        <f t="array" ref="PT29">ROUND(IFERROR(INDEX(ArchiveResults!$F$5:$IX$116,ComparisonData!A29,ComparisonData!$PT$1),0),5)</f>
        <v>0</v>
      </c>
      <c r="PU29" s="46" cm="1">
        <f t="array" ref="PU29">ROUND(IFERROR(INDEX(ArchiveResults!$F$5:$IX$116,ComparisonData!A29,ComparisonData!$PU$1),0),5)</f>
        <v>0</v>
      </c>
      <c r="PV29" s="45" cm="1">
        <f t="array" ref="PV29">IFERROR(INDEX(ArchiveResults!$F$5:$IX$116,ComparisonData!A29,ComparisonData!$PV$1),0)</f>
        <v>0</v>
      </c>
      <c r="PW29" s="56">
        <v>24</v>
      </c>
      <c r="PX29" s="53" t="str">
        <f t="shared" si="60"/>
        <v>Dorset History Centre</v>
      </c>
      <c r="PY29" s="59">
        <f t="shared" si="338"/>
        <v>0</v>
      </c>
      <c r="PZ29" s="59">
        <f t="shared" si="339"/>
        <v>0</v>
      </c>
      <c r="QA29" s="59">
        <f t="shared" si="340"/>
        <v>0</v>
      </c>
      <c r="QB29" s="59">
        <f t="shared" si="341"/>
        <v>0</v>
      </c>
      <c r="QC29" s="59">
        <f t="shared" si="342"/>
        <v>0</v>
      </c>
      <c r="QD29" s="58">
        <f t="shared" si="343"/>
        <v>0</v>
      </c>
      <c r="QE29" s="45">
        <f t="shared" si="344"/>
        <v>48</v>
      </c>
      <c r="QF29" s="45">
        <f t="shared" si="61"/>
        <v>2.6739999999999995</v>
      </c>
      <c r="QG29" s="45">
        <f t="shared" si="345"/>
        <v>1</v>
      </c>
      <c r="QH29" s="45">
        <f t="shared" si="346"/>
        <v>2</v>
      </c>
      <c r="QI29" s="45">
        <f t="shared" si="347"/>
        <v>0</v>
      </c>
      <c r="QJ29" s="46" cm="1">
        <f t="array" ref="QJ29">ROUND(IFERROR(INDEX(ArchiveResults!$F$5:$IX$116,ComparisonData!A29,ComparisonData!$QJ$1),0),5)</f>
        <v>0</v>
      </c>
      <c r="QK29" s="46" cm="1">
        <f t="array" ref="QK29">ROUND(IFERROR(INDEX(ArchiveResults!$F$5:$IX$116,ComparisonData!A29,ComparisonData!$QK$1),0),5)</f>
        <v>0</v>
      </c>
      <c r="QL29" s="46" cm="1">
        <f t="array" ref="QL29">ROUND(IFERROR(INDEX(ArchiveResults!$F$5:$IX$116,ComparisonData!A29,ComparisonData!$QL$1),0),5)</f>
        <v>0</v>
      </c>
      <c r="QM29" s="46" cm="1">
        <f t="array" ref="QM29">ROUND(IFERROR(INDEX(ArchiveResults!$F$5:$IX$116,ComparisonData!A29,ComparisonData!$QM$1),0),5)</f>
        <v>0</v>
      </c>
      <c r="QN29" s="45" cm="1">
        <f t="array" ref="QN29">IFERROR(INDEX(ArchiveResults!$F$5:$IX$116,ComparisonData!A29,ComparisonData!$QN$1),0)</f>
        <v>0</v>
      </c>
      <c r="QO29" s="56">
        <v>24</v>
      </c>
      <c r="QP29" s="53" t="str">
        <f t="shared" si="62"/>
        <v>Dorset History Centre</v>
      </c>
      <c r="QQ29" s="59">
        <f t="shared" si="348"/>
        <v>0</v>
      </c>
      <c r="QR29" s="59">
        <f t="shared" si="349"/>
        <v>0</v>
      </c>
      <c r="QS29" s="59">
        <f t="shared" si="350"/>
        <v>0</v>
      </c>
      <c r="QT29" s="59">
        <f t="shared" si="351"/>
        <v>0</v>
      </c>
      <c r="QU29" s="59">
        <f t="shared" si="352"/>
        <v>0</v>
      </c>
      <c r="QV29" s="58">
        <f t="shared" si="353"/>
        <v>0</v>
      </c>
      <c r="QW29" s="45">
        <f t="shared" si="354"/>
        <v>48</v>
      </c>
      <c r="QX29" s="45">
        <f t="shared" si="63"/>
        <v>2.6739999999999995</v>
      </c>
      <c r="QY29" s="45">
        <f t="shared" si="355"/>
        <v>1</v>
      </c>
      <c r="QZ29" s="45">
        <f t="shared" si="356"/>
        <v>2</v>
      </c>
      <c r="RA29" s="45">
        <f t="shared" si="357"/>
        <v>0</v>
      </c>
      <c r="RB29" s="46" cm="1">
        <f t="array" ref="RB29">ROUND(IFERROR(INDEX(ArchiveResults!$F$5:$IX$116,ComparisonData!A29,ComparisonData!$RB$1),0),5)</f>
        <v>0</v>
      </c>
      <c r="RC29" s="46" cm="1">
        <f t="array" ref="RC29">ROUND(IFERROR(INDEX(ArchiveResults!$F$5:$IX$116,ComparisonData!A29,ComparisonData!$RC$1),0),5)</f>
        <v>0</v>
      </c>
      <c r="RD29" s="46" cm="1">
        <f t="array" ref="RD29">ROUND(IFERROR(INDEX(ArchiveResults!$F$5:$IX$116,ComparisonData!A29,ComparisonData!$RD$1),0),5)</f>
        <v>0</v>
      </c>
      <c r="RE29" s="46" cm="1">
        <f t="array" ref="RE29">ROUND(IFERROR(INDEX(ArchiveResults!$F$5:$IX$116,ComparisonData!A29,ComparisonData!$RE$1),0),5)</f>
        <v>0</v>
      </c>
      <c r="RF29" s="45" cm="1">
        <f t="array" ref="RF29">IFERROR(INDEX(ArchiveResults!$F$5:$IX$116,ComparisonData!A29,ComparisonData!$RF$1),0)</f>
        <v>0</v>
      </c>
      <c r="RG29" s="56">
        <v>24</v>
      </c>
      <c r="RH29" s="53" t="str">
        <f t="shared" si="64"/>
        <v>Dorset History Centre</v>
      </c>
      <c r="RI29" s="59">
        <f t="shared" si="358"/>
        <v>0</v>
      </c>
      <c r="RJ29" s="59">
        <f t="shared" si="359"/>
        <v>0</v>
      </c>
      <c r="RK29" s="59">
        <f t="shared" si="360"/>
        <v>0</v>
      </c>
      <c r="RL29" s="59">
        <f t="shared" si="361"/>
        <v>0</v>
      </c>
      <c r="RM29" s="59">
        <f t="shared" si="362"/>
        <v>0</v>
      </c>
      <c r="RN29" s="58">
        <f t="shared" si="363"/>
        <v>0</v>
      </c>
      <c r="RO29" s="45">
        <f t="shared" si="364"/>
        <v>48</v>
      </c>
      <c r="RP29" s="45">
        <f t="shared" si="65"/>
        <v>2.6739999999999995</v>
      </c>
      <c r="RQ29" s="45">
        <f t="shared" si="365"/>
        <v>1</v>
      </c>
      <c r="RR29" s="45">
        <f t="shared" si="366"/>
        <v>2</v>
      </c>
      <c r="RS29" s="45">
        <f t="shared" si="367"/>
        <v>0</v>
      </c>
      <c r="RT29" s="46" cm="1">
        <f t="array" ref="RT29">ROUND(IFERROR(INDEX(ArchiveResults!$F$5:$IX$116,ComparisonData!A29,ComparisonData!$RT$1),0),5)</f>
        <v>0</v>
      </c>
      <c r="RU29" s="46" cm="1">
        <f t="array" ref="RU29">ROUND(IFERROR(INDEX(ArchiveResults!$F$5:$IX$116,ComparisonData!A29,ComparisonData!$RU$1),0),5)</f>
        <v>0</v>
      </c>
      <c r="RV29" s="46" cm="1">
        <f t="array" ref="RV29">ROUND(IFERROR(INDEX(ArchiveResults!$F$5:$IX$116,ComparisonData!A29,ComparisonData!$RV$1),0),5)</f>
        <v>0</v>
      </c>
      <c r="RW29" s="46" cm="1">
        <f t="array" ref="RW29">ROUND(IFERROR(INDEX(ArchiveResults!$F$5:$IX$116,ComparisonData!A29,ComparisonData!$RW$1),0),5)</f>
        <v>0</v>
      </c>
      <c r="RX29" s="45" cm="1">
        <f t="array" ref="RX29">IFERROR(INDEX(ArchiveResults!$F$5:$IX$116,ComparisonData!A29,ComparisonData!$RX$1),0)</f>
        <v>0</v>
      </c>
      <c r="RY29" s="56">
        <v>24</v>
      </c>
      <c r="RZ29" s="53" t="str">
        <f t="shared" si="66"/>
        <v>Dorset History Centre</v>
      </c>
      <c r="SA29" s="59">
        <f t="shared" si="368"/>
        <v>0</v>
      </c>
      <c r="SB29" s="59">
        <f t="shared" si="369"/>
        <v>0</v>
      </c>
      <c r="SC29" s="59">
        <f t="shared" si="370"/>
        <v>0</v>
      </c>
      <c r="SD29" s="59">
        <f t="shared" si="371"/>
        <v>0</v>
      </c>
      <c r="SE29" s="59">
        <f t="shared" si="372"/>
        <v>0</v>
      </c>
      <c r="SF29" s="58">
        <f t="shared" si="373"/>
        <v>0</v>
      </c>
      <c r="SG29" s="45">
        <f t="shared" si="374"/>
        <v>48</v>
      </c>
      <c r="SH29" s="45">
        <f t="shared" si="67"/>
        <v>2.6739999999999995</v>
      </c>
      <c r="SI29" s="45">
        <f t="shared" si="375"/>
        <v>1</v>
      </c>
      <c r="SJ29" s="45">
        <f t="shared" si="376"/>
        <v>2</v>
      </c>
      <c r="SK29" s="45">
        <f t="shared" si="377"/>
        <v>0</v>
      </c>
      <c r="SL29" s="46" cm="1">
        <f t="array" ref="SL29">ROUND(IFERROR(INDEX(ArchiveResults!$F$5:$IX$116,ComparisonData!A29,ComparisonData!$SL$1),0),5)</f>
        <v>0</v>
      </c>
      <c r="SM29" s="46" cm="1">
        <f t="array" ref="SM29">ROUND(IFERROR(INDEX(ArchiveResults!$F$5:$IX$116,ComparisonData!A29,ComparisonData!$SM$1),0),5)</f>
        <v>0</v>
      </c>
      <c r="SN29" s="46" cm="1">
        <f t="array" ref="SN29">ROUND(IFERROR(INDEX(ArchiveResults!$F$5:$IX$116,ComparisonData!A29,ComparisonData!$SN$1),0),5)</f>
        <v>0</v>
      </c>
      <c r="SO29" s="46" cm="1">
        <f t="array" ref="SO29">ROUND(IFERROR(INDEX(ArchiveResults!$F$5:$IX$116,ComparisonData!A29,ComparisonData!$SO$1),0),5)</f>
        <v>0</v>
      </c>
      <c r="SP29" s="45" cm="1">
        <f t="array" ref="SP29">IFERROR(INDEX(ArchiveResults!$F$5:$IX$116,ComparisonData!A29,ComparisonData!$SP$1),0)</f>
        <v>0</v>
      </c>
      <c r="SQ29" s="56">
        <v>24</v>
      </c>
      <c r="SR29" s="53" t="str">
        <f t="shared" si="68"/>
        <v>Dorset History Centre</v>
      </c>
      <c r="SS29" s="59">
        <f t="shared" si="378"/>
        <v>0</v>
      </c>
      <c r="ST29" s="59">
        <f t="shared" si="379"/>
        <v>0</v>
      </c>
      <c r="SU29" s="59">
        <f t="shared" si="380"/>
        <v>0</v>
      </c>
      <c r="SV29" s="59">
        <f t="shared" si="381"/>
        <v>0</v>
      </c>
      <c r="SW29" s="59">
        <f t="shared" si="382"/>
        <v>0</v>
      </c>
      <c r="SX29" s="58">
        <f t="shared" si="383"/>
        <v>0</v>
      </c>
      <c r="SY29" s="45">
        <f t="shared" si="384"/>
        <v>48</v>
      </c>
      <c r="SZ29" s="45">
        <f t="shared" si="69"/>
        <v>2.6739999999999995</v>
      </c>
      <c r="TA29" s="45">
        <f t="shared" si="385"/>
        <v>1</v>
      </c>
      <c r="TB29" s="45">
        <f t="shared" si="386"/>
        <v>2</v>
      </c>
      <c r="TC29" s="45">
        <f t="shared" si="387"/>
        <v>0</v>
      </c>
      <c r="TD29" s="46" cm="1">
        <f t="array" ref="TD29">ROUND(IFERROR(INDEX(ArchiveResults!$F$5:$IX$116,ComparisonData!A29,ComparisonData!$TD$1),0),5)</f>
        <v>0</v>
      </c>
      <c r="TE29" s="46" cm="1">
        <f t="array" ref="TE29">ROUND(IFERROR(INDEX(ArchiveResults!$F$5:$IX$116,ComparisonData!A29,ComparisonData!$TE$1),0),5)</f>
        <v>0</v>
      </c>
      <c r="TF29" s="46" cm="1">
        <f t="array" ref="TF29">ROUND(IFERROR(INDEX(ArchiveResults!$F$5:$IX$116,ComparisonData!A29,ComparisonData!$TF$1),0),5)</f>
        <v>0</v>
      </c>
      <c r="TG29" s="46" cm="1">
        <f t="array" ref="TG29">ROUND(IFERROR(INDEX(ArchiveResults!$F$5:$IX$116,ComparisonData!A29,ComparisonData!$TG$1),0),5)</f>
        <v>0</v>
      </c>
      <c r="TH29" s="45" cm="1">
        <f t="array" ref="TH29">IFERROR(INDEX(ArchiveResults!$F$5:$IX$116,ComparisonData!A29,ComparisonData!$TH$1),0)</f>
        <v>0</v>
      </c>
      <c r="TI29" s="56">
        <v>24</v>
      </c>
      <c r="TJ29" s="53" t="str">
        <f t="shared" si="70"/>
        <v>Dorset History Centre</v>
      </c>
      <c r="TK29" s="59">
        <f t="shared" si="388"/>
        <v>0</v>
      </c>
      <c r="TL29" s="59">
        <f t="shared" si="389"/>
        <v>0</v>
      </c>
      <c r="TM29" s="59">
        <f t="shared" si="390"/>
        <v>0</v>
      </c>
      <c r="TN29" s="59">
        <f t="shared" si="391"/>
        <v>0</v>
      </c>
      <c r="TO29" s="59">
        <f t="shared" si="392"/>
        <v>0</v>
      </c>
      <c r="TP29" s="58">
        <f t="shared" si="393"/>
        <v>0</v>
      </c>
      <c r="TQ29" s="45">
        <f t="shared" si="394"/>
        <v>48</v>
      </c>
      <c r="TR29" s="45">
        <f t="shared" si="71"/>
        <v>2.6739999999999995</v>
      </c>
      <c r="TS29" s="45">
        <f t="shared" si="395"/>
        <v>1</v>
      </c>
      <c r="TT29" s="45">
        <f t="shared" si="396"/>
        <v>2</v>
      </c>
      <c r="TU29" s="45">
        <f t="shared" si="397"/>
        <v>0</v>
      </c>
      <c r="TV29" s="46" cm="1">
        <f t="array" ref="TV29">ROUND(IFERROR(INDEX(ArchiveResults!$F$5:$IX$116,ComparisonData!A29,ComparisonData!$TV$1),0),5)</f>
        <v>0</v>
      </c>
      <c r="TW29" s="46" cm="1">
        <f t="array" ref="TW29">ROUND(IFERROR(INDEX(ArchiveResults!$F$5:$IX$116,ComparisonData!A29,ComparisonData!$TW$1),0),5)</f>
        <v>0</v>
      </c>
      <c r="TX29" s="46" cm="1">
        <f t="array" ref="TX29">ROUND(IFERROR(INDEX(ArchiveResults!$F$5:$IX$116,ComparisonData!A29,ComparisonData!$TX$1),0),5)</f>
        <v>0</v>
      </c>
      <c r="TY29" s="46" cm="1">
        <f t="array" ref="TY29">ROUND(IFERROR(INDEX(ArchiveResults!$F$5:$IX$116,ComparisonData!A29,ComparisonData!$TY$1),0),5)</f>
        <v>0</v>
      </c>
      <c r="TZ29" s="45" cm="1">
        <f t="array" ref="TZ29">IFERROR(INDEX(ArchiveResults!$F$5:$IX$116,ComparisonData!A29,ComparisonData!$TZ$1),0)</f>
        <v>0</v>
      </c>
      <c r="UA29" s="56">
        <v>24</v>
      </c>
      <c r="UB29" s="53" t="str">
        <f t="shared" si="72"/>
        <v>Dorset History Centre</v>
      </c>
      <c r="UC29" s="60">
        <f t="shared" si="398"/>
        <v>0</v>
      </c>
      <c r="UD29" s="60">
        <f t="shared" si="399"/>
        <v>0</v>
      </c>
      <c r="UE29" s="60">
        <f t="shared" si="400"/>
        <v>0</v>
      </c>
      <c r="UF29" s="60">
        <f t="shared" si="401"/>
        <v>0</v>
      </c>
      <c r="UG29" s="60">
        <f t="shared" si="402"/>
        <v>0</v>
      </c>
      <c r="UH29" s="58">
        <f t="shared" si="403"/>
        <v>0</v>
      </c>
      <c r="UI29" s="46">
        <f t="shared" si="404"/>
        <v>48</v>
      </c>
      <c r="UJ29" s="46">
        <f t="shared" si="73"/>
        <v>2.6739999999999995</v>
      </c>
      <c r="UK29" s="46">
        <f t="shared" si="405"/>
        <v>1</v>
      </c>
      <c r="UL29" s="46">
        <f t="shared" si="406"/>
        <v>2</v>
      </c>
      <c r="UM29" s="46" cm="1">
        <f t="array" ref="UM29">ROUND(IFERROR(INDEX(ArchiveResults!$F$5:$IX$116,ComparisonData!A29,ComparisonData!$UM$1),0),5)</f>
        <v>0</v>
      </c>
      <c r="UN29" s="56">
        <v>24</v>
      </c>
      <c r="UO29" s="53" t="str">
        <f t="shared" si="74"/>
        <v>Dorset History Centre</v>
      </c>
      <c r="UP29" s="46">
        <f t="shared" si="407"/>
        <v>0</v>
      </c>
      <c r="UQ29" s="76">
        <f t="shared" si="408"/>
        <v>0</v>
      </c>
      <c r="UR29" s="46">
        <f t="shared" si="409"/>
        <v>48</v>
      </c>
      <c r="US29" s="46">
        <f t="shared" si="75"/>
        <v>2.6739999999999995</v>
      </c>
      <c r="UT29" s="46">
        <f t="shared" si="410"/>
        <v>1</v>
      </c>
      <c r="UU29" s="46">
        <f t="shared" si="411"/>
        <v>2</v>
      </c>
      <c r="UV29" s="46">
        <f t="shared" si="412"/>
        <v>0</v>
      </c>
      <c r="UW29" s="46" cm="1">
        <f t="array" ref="UW29">ROUND(IFERROR(INDEX(ArchiveResults!$F$5:$IX$116,ComparisonData!A29,ComparisonData!$UW$1),0),5)</f>
        <v>0</v>
      </c>
      <c r="UX29" s="46" cm="1">
        <f t="array" ref="UX29">ROUND(IFERROR(INDEX(ArchiveResults!$F$5:$IX$116,ComparisonData!A29,ComparisonData!$UX$1),0),5)</f>
        <v>0</v>
      </c>
      <c r="UY29" s="46" cm="1">
        <f t="array" ref="UY29">ROUND(IFERROR(INDEX(ArchiveResults!$F$5:$IX$116,ComparisonData!A29,ComparisonData!$UY$1),0),5)</f>
        <v>0</v>
      </c>
      <c r="UZ29" s="46" cm="1">
        <f t="array" ref="UZ29">ROUND(IFERROR(INDEX(ArchiveResults!$F$5:$IX$116,ComparisonData!A29,ComparisonData!$UZ$1),0),5)</f>
        <v>0</v>
      </c>
      <c r="VA29" s="46" cm="1">
        <f t="array" ref="VA29">ROUND(IFERROR(INDEX(ArchiveResults!$F$5:$IX$116,ComparisonData!A29,ComparisonData!$VA$1),0),5)</f>
        <v>0</v>
      </c>
      <c r="VB29" s="56">
        <v>24</v>
      </c>
      <c r="VC29" s="53" t="str">
        <f t="shared" si="76"/>
        <v>Dorset History Centre</v>
      </c>
      <c r="VD29" s="60">
        <f t="shared" si="413"/>
        <v>0</v>
      </c>
      <c r="VE29" s="60">
        <f t="shared" si="414"/>
        <v>0</v>
      </c>
      <c r="VF29" s="60">
        <f t="shared" si="415"/>
        <v>0</v>
      </c>
      <c r="VG29" s="60">
        <f t="shared" si="416"/>
        <v>0</v>
      </c>
      <c r="VH29" s="60">
        <f t="shared" si="417"/>
        <v>0</v>
      </c>
      <c r="VI29" s="76">
        <f t="shared" si="418"/>
        <v>0</v>
      </c>
      <c r="VJ29" s="46">
        <f t="shared" si="419"/>
        <v>48</v>
      </c>
      <c r="VK29" s="46">
        <f t="shared" si="77"/>
        <v>2.6739999999999995</v>
      </c>
      <c r="VL29" s="46">
        <f t="shared" si="420"/>
        <v>1</v>
      </c>
      <c r="VM29" s="46">
        <f t="shared" si="421"/>
        <v>2</v>
      </c>
      <c r="VN29" s="46" cm="1">
        <f t="array" ref="VN29">ROUND(IFERROR(INDEX(ArchiveResults!$F$5:$IX$116,ComparisonData!A29,ComparisonData!$VN$1),0),5)</f>
        <v>0</v>
      </c>
      <c r="VO29" s="46" cm="1">
        <f t="array" ref="VO29">ROUND(IFERROR(INDEX(ArchiveResults!$F$5:$IX$116,ComparisonData!A29,ComparisonData!$VO$1),0),5)</f>
        <v>0</v>
      </c>
      <c r="VP29" s="46" cm="1">
        <f t="array" ref="VP29">ROUND(IFERROR(INDEX(ArchiveResults!$F$5:$IX$116,ComparisonData!A29,ComparisonData!$VP$1),0),5)</f>
        <v>0</v>
      </c>
      <c r="VQ29" s="46" cm="1">
        <f t="array" ref="VQ29">ROUND(IFERROR(INDEX(ArchiveResults!$F$5:$IX$116,ComparisonData!A29,ComparisonData!$VQ$1),0),5)</f>
        <v>0</v>
      </c>
      <c r="VR29" s="56">
        <v>24</v>
      </c>
      <c r="VS29" s="53" t="str">
        <f t="shared" si="78"/>
        <v>Dorset History Centre</v>
      </c>
      <c r="VT29" s="60">
        <f t="shared" si="422"/>
        <v>0</v>
      </c>
      <c r="VU29" s="60">
        <f t="shared" si="423"/>
        <v>0</v>
      </c>
      <c r="VV29" s="60">
        <f t="shared" si="424"/>
        <v>0</v>
      </c>
      <c r="VW29" s="60">
        <f t="shared" si="425"/>
        <v>0</v>
      </c>
      <c r="VX29" s="76">
        <f t="shared" si="426"/>
        <v>0</v>
      </c>
      <c r="VY29" s="46">
        <f t="shared" si="427"/>
        <v>48</v>
      </c>
      <c r="VZ29" s="46">
        <f t="shared" si="79"/>
        <v>2.6739999999999995</v>
      </c>
      <c r="WA29" s="46">
        <f t="shared" si="428"/>
        <v>1</v>
      </c>
      <c r="WB29" s="46">
        <f t="shared" si="429"/>
        <v>2</v>
      </c>
      <c r="WC29" s="46" cm="1">
        <f t="array" ref="WC29">ROUND(IFERROR(INDEX(ArchiveResults!$F$5:$IX$116,ComparisonData!A29,ComparisonData!$WC$1),0),5)</f>
        <v>0</v>
      </c>
      <c r="WD29" s="56">
        <v>24</v>
      </c>
      <c r="WE29" s="53" t="str">
        <f t="shared" si="80"/>
        <v>Dorset History Centre</v>
      </c>
      <c r="WF29" s="46">
        <f t="shared" si="430"/>
        <v>0</v>
      </c>
      <c r="WG29" s="76">
        <f t="shared" si="431"/>
        <v>0</v>
      </c>
      <c r="WH29" s="46">
        <f t="shared" si="432"/>
        <v>48</v>
      </c>
      <c r="WI29" s="46">
        <f t="shared" si="81"/>
        <v>2.6739999999999995</v>
      </c>
      <c r="WJ29" s="46">
        <f t="shared" si="433"/>
        <v>1</v>
      </c>
      <c r="WK29" s="46">
        <f t="shared" si="434"/>
        <v>2</v>
      </c>
      <c r="WL29" s="46" cm="1">
        <f t="array" ref="WL29">ROUND(IFERROR(INDEX(ArchiveResults!$F$5:$IX$116,ComparisonData!A29,ComparisonData!$WL$1),0),5)</f>
        <v>0</v>
      </c>
      <c r="WM29" s="46" cm="1">
        <f t="array" ref="WM29">IFERROR(INDEX(ArchiveResults!$F$5:$IX$116,ComparisonData!A29,ComparisonData!$WM$1),0)</f>
        <v>0</v>
      </c>
      <c r="WN29" s="56">
        <v>24</v>
      </c>
      <c r="WO29" s="53" t="str">
        <f t="shared" si="82"/>
        <v>Dorset History Centre</v>
      </c>
      <c r="WP29" s="60">
        <f t="shared" si="435"/>
        <v>0</v>
      </c>
      <c r="WQ29" s="60">
        <f t="shared" si="436"/>
        <v>0</v>
      </c>
      <c r="WR29" s="76">
        <f t="shared" si="437"/>
        <v>0</v>
      </c>
      <c r="WS29" s="46">
        <f t="shared" si="438"/>
        <v>48</v>
      </c>
      <c r="WT29" s="46">
        <f t="shared" si="83"/>
        <v>2.6739999999999995</v>
      </c>
      <c r="WU29" s="46">
        <f t="shared" si="439"/>
        <v>1</v>
      </c>
      <c r="WV29" s="46">
        <f t="shared" si="440"/>
        <v>2</v>
      </c>
      <c r="WW29" s="46" cm="1">
        <f t="array" ref="WW29">ROUND(VALUE(IFERROR(INDEX(ArchiveResults!$F$5:$IX$116,ComparisonData!A29,ComparisonData!$WW$1),0)),5)</f>
        <v>0</v>
      </c>
      <c r="WX29" s="46" cm="1">
        <f t="array" ref="WX29">ROUND(IFERROR(INDEX(ArchiveResults!$F$5:$IX$116,ComparisonData!A29,ComparisonData!$WX$1),0),5)</f>
        <v>0</v>
      </c>
      <c r="WY29" s="56">
        <v>24</v>
      </c>
      <c r="WZ29" s="53" t="str">
        <f t="shared" si="84"/>
        <v>Dorset History Centre</v>
      </c>
      <c r="XA29" s="60">
        <f t="shared" si="85"/>
        <v>0</v>
      </c>
      <c r="XB29" s="60">
        <f t="shared" si="86"/>
        <v>0</v>
      </c>
      <c r="XC29" s="76">
        <f t="shared" si="441"/>
        <v>0</v>
      </c>
      <c r="XD29" s="46">
        <f t="shared" si="442"/>
        <v>48</v>
      </c>
      <c r="XE29" s="46">
        <f t="shared" si="87"/>
        <v>2.6739999999999995</v>
      </c>
      <c r="XF29" s="46">
        <f t="shared" si="443"/>
        <v>1</v>
      </c>
      <c r="XG29" s="46">
        <f t="shared" si="444"/>
        <v>2</v>
      </c>
      <c r="XH29" s="46" cm="1">
        <f t="array" ref="XH29">ROUND(VALUE(IFERROR(INDEX(ArchiveResults!$F$5:$IX$116,ComparisonData!A29,ComparisonData!$XH$1),0)),5)</f>
        <v>0</v>
      </c>
      <c r="XI29" s="46" cm="1">
        <f t="array" ref="XI29">ROUND(VALUE(IFERROR(INDEX(ArchiveResults!$F$5:$IX$116,ComparisonData!A29,ComparisonData!$XI$1),0)),5)</f>
        <v>0</v>
      </c>
      <c r="XJ29" s="56">
        <v>24</v>
      </c>
      <c r="XK29" s="53" t="str">
        <f t="shared" si="88"/>
        <v>Dorset History Centre</v>
      </c>
      <c r="XL29" s="60">
        <f t="shared" si="445"/>
        <v>0</v>
      </c>
      <c r="XM29" s="60">
        <f t="shared" si="446"/>
        <v>0</v>
      </c>
      <c r="XN29" s="76">
        <f t="shared" si="447"/>
        <v>0</v>
      </c>
      <c r="XO29" s="46">
        <f t="shared" si="448"/>
        <v>48</v>
      </c>
      <c r="XP29" s="46">
        <f t="shared" si="89"/>
        <v>2.6739999999999995</v>
      </c>
      <c r="XQ29" s="46">
        <f t="shared" si="449"/>
        <v>1</v>
      </c>
      <c r="XR29" s="46">
        <f t="shared" si="450"/>
        <v>2</v>
      </c>
      <c r="XS29" s="46" cm="1">
        <f t="array" ref="XS29">ROUND(VALUE(IFERROR(INDEX(ArchiveResults!$F$5:$IX$116,ComparisonData!A29,ComparisonData!$XS$1),0)),5)</f>
        <v>0</v>
      </c>
      <c r="XT29" s="46" cm="1">
        <f t="array" ref="XT29">ROUND(VALUE(IFERROR(INDEX(ArchiveResults!$F$5:$IX$116,ComparisonData!A29,ComparisonData!$XT$1),0)),5)</f>
        <v>0</v>
      </c>
      <c r="XU29" s="56">
        <v>24</v>
      </c>
      <c r="XV29" s="53" t="str">
        <f t="shared" si="90"/>
        <v>Dorset History Centre</v>
      </c>
      <c r="XW29" s="60">
        <f t="shared" si="451"/>
        <v>0</v>
      </c>
      <c r="XX29" s="60">
        <f t="shared" si="452"/>
        <v>0</v>
      </c>
      <c r="XY29" s="76">
        <f t="shared" si="453"/>
        <v>0</v>
      </c>
      <c r="XZ29" s="46">
        <f t="shared" si="454"/>
        <v>48</v>
      </c>
      <c r="YA29" s="46">
        <f t="shared" si="91"/>
        <v>2.6739999999999995</v>
      </c>
      <c r="YB29" s="46">
        <f t="shared" si="455"/>
        <v>1</v>
      </c>
      <c r="YC29" s="46">
        <f t="shared" si="456"/>
        <v>2</v>
      </c>
      <c r="YD29" s="46" cm="1">
        <f t="array" ref="YD29">ROUND(VALUE(IFERROR(INDEX(ArchiveResults!$F$5:$IX$116,ComparisonData!A29,ComparisonData!$YD$1),0)),5)</f>
        <v>0</v>
      </c>
      <c r="YE29" s="46" cm="1">
        <f t="array" ref="YE29">ROUND(VALUE(IFERROR(INDEX(ArchiveResults!$F$5:$IX$116,ComparisonData!A29,ComparisonData!$YE$1),0)),5)</f>
        <v>0</v>
      </c>
      <c r="YF29" s="56">
        <v>24</v>
      </c>
      <c r="YG29" s="53" t="str">
        <f t="shared" si="92"/>
        <v>Dorset History Centre</v>
      </c>
      <c r="YH29" s="60">
        <f t="shared" si="457"/>
        <v>0</v>
      </c>
      <c r="YI29" s="60">
        <f t="shared" si="458"/>
        <v>0</v>
      </c>
      <c r="YJ29" s="76">
        <f t="shared" si="459"/>
        <v>0</v>
      </c>
      <c r="YK29" s="46">
        <f t="shared" si="460"/>
        <v>48</v>
      </c>
      <c r="YL29" s="46">
        <f t="shared" si="93"/>
        <v>2.6739999999999995</v>
      </c>
      <c r="YM29" s="46">
        <f t="shared" si="461"/>
        <v>1</v>
      </c>
      <c r="YN29" s="46">
        <f t="shared" si="462"/>
        <v>2</v>
      </c>
      <c r="YO29" s="46" cm="1">
        <f t="array" ref="YO29">ROUND(VALUE(IFERROR(INDEX(ArchiveResults!$F$5:$IX$116,ComparisonData!A29,ComparisonData!$YO$1),0)),5)</f>
        <v>0</v>
      </c>
      <c r="YP29" s="46" cm="1">
        <f t="array" ref="YP29">ROUND(VALUE(IFERROR(INDEX(ArchiveResults!$F$5:$IX$116,ComparisonData!A29,ComparisonData!$YP$1),0)),5)</f>
        <v>0</v>
      </c>
      <c r="YQ29" s="56">
        <v>24</v>
      </c>
      <c r="YR29" s="53" t="str">
        <f t="shared" si="94"/>
        <v>Dorset History Centre</v>
      </c>
      <c r="YS29" s="60">
        <f t="shared" si="463"/>
        <v>0</v>
      </c>
      <c r="YT29" s="60">
        <f t="shared" si="464"/>
        <v>0</v>
      </c>
      <c r="YU29" s="76">
        <f t="shared" si="465"/>
        <v>0</v>
      </c>
      <c r="YV29" s="46">
        <f t="shared" si="466"/>
        <v>48</v>
      </c>
      <c r="YW29" s="46">
        <f t="shared" si="95"/>
        <v>2.6739999999999995</v>
      </c>
      <c r="YX29" s="46">
        <f t="shared" si="467"/>
        <v>1</v>
      </c>
      <c r="YY29" s="46">
        <f t="shared" si="468"/>
        <v>2</v>
      </c>
      <c r="YZ29" s="46">
        <f t="shared" si="469"/>
        <v>0</v>
      </c>
      <c r="ZA29" s="46" cm="1">
        <f t="array" ref="ZA29">ROUNDDOWN(VALUE(IFERROR(INDEX(ArchiveResults!$F$5:$IX$116,ComparisonData!A29,ComparisonData!$ZA$1),0)),5)</f>
        <v>0</v>
      </c>
      <c r="ZB29" s="46" cm="1">
        <f t="array" ref="ZB29">ROUNDDOWN(VALUE(IFERROR(INDEX(ArchiveResults!$F$5:$IX$116,ComparisonData!A29,ComparisonData!$ZB$1),0)),5)</f>
        <v>0</v>
      </c>
      <c r="ZC29" s="46" cm="1">
        <f t="array" ref="ZC29">ROUNDDOWN(VALUE(IFERROR(INDEX(ArchiveResults!$F$5:$IX$116,ComparisonData!A29,ComparisonData!$ZC$1),0)),5)</f>
        <v>0</v>
      </c>
      <c r="ZD29" s="46" cm="1">
        <f t="array" ref="ZD29">ROUNDDOWN(VALUE(IFERROR(INDEX(ArchiveResults!$F$5:$IX$116,ComparisonData!A29,ComparisonData!$ZD$1),0)),5)</f>
        <v>0</v>
      </c>
      <c r="ZE29" s="46" cm="1">
        <f t="array" ref="ZE29">ROUNDDOWN(VALUE(IFERROR(INDEX(ArchiveResults!$F$5:$IX$116,ComparisonData!A29,ComparisonData!$ZE$1),0)),5)</f>
        <v>0</v>
      </c>
      <c r="ZF29" s="56">
        <v>24</v>
      </c>
      <c r="ZG29" s="53" t="str">
        <f t="shared" si="96"/>
        <v>Dorset History Centre</v>
      </c>
      <c r="ZH29" s="60">
        <f t="shared" si="470"/>
        <v>0</v>
      </c>
      <c r="ZI29" s="60">
        <f t="shared" si="471"/>
        <v>0</v>
      </c>
      <c r="ZJ29" s="60">
        <f t="shared" si="472"/>
        <v>0</v>
      </c>
      <c r="ZK29" s="60">
        <f t="shared" si="473"/>
        <v>0</v>
      </c>
      <c r="ZL29" s="60">
        <f t="shared" si="474"/>
        <v>0</v>
      </c>
      <c r="ZM29" s="76">
        <f t="shared" si="475"/>
        <v>0</v>
      </c>
      <c r="ZN29" s="46">
        <f t="shared" si="476"/>
        <v>48</v>
      </c>
      <c r="ZO29" s="46">
        <f t="shared" si="97"/>
        <v>2.6739999999999995</v>
      </c>
      <c r="ZP29" s="46">
        <f t="shared" si="477"/>
        <v>1</v>
      </c>
      <c r="ZQ29" s="46">
        <f t="shared" si="478"/>
        <v>2</v>
      </c>
      <c r="ZR29" s="46" cm="1">
        <f t="array" ref="ZR29">ROUND(VALUE(IFERROR(INDEX(ArchiveResults!$F$5:$IX$116,ComparisonData!A29,ComparisonData!$ZR$1),0)),5)</f>
        <v>0</v>
      </c>
      <c r="ZS29" s="56">
        <v>24</v>
      </c>
      <c r="ZT29" s="53" t="str">
        <f t="shared" si="98"/>
        <v>Dorset History Centre</v>
      </c>
      <c r="ZU29" s="46">
        <f t="shared" si="479"/>
        <v>0</v>
      </c>
      <c r="ZV29" s="76">
        <f t="shared" si="480"/>
        <v>0</v>
      </c>
      <c r="ZW29" s="81" cm="1">
        <f t="array" ref="ZW29">ROUND((IFERROR(INDEX(ArchiveResults!$F$5:$IX$116,ComparisonData!A29,ComparisonData!$ZW$1),0)),5)</f>
        <v>0</v>
      </c>
      <c r="ZX29" s="81" cm="1">
        <f t="array" ref="ZX29">ROUND((IFERROR(INDEX(ArchiveResults!$F$5:$IX$116,ComparisonData!A29,ComparisonData!$ZX$1),0)),5)</f>
        <v>0</v>
      </c>
      <c r="ZY29" s="81" cm="1">
        <f t="array" ref="ZY29">ROUND((IFERROR(INDEX(ArchiveResults!$F$5:$IX$116,ComparisonData!A29,ComparisonData!$ZY$1),0)),5)</f>
        <v>0</v>
      </c>
      <c r="ZZ29" s="81" cm="1">
        <f t="array" ref="ZZ29">ROUND((IFERROR(INDEX(ArchiveResults!$F$5:$IX$116,ComparisonData!A29,ComparisonData!$ZZ$1),0)),5)</f>
        <v>0</v>
      </c>
      <c r="AAA29" s="81" cm="1">
        <f t="array" ref="AAA29">ROUND((IFERROR(INDEX(ArchiveResults!$F$5:$IX$116,ComparisonData!A29,ComparisonData!$AAA$1),0)),5)</f>
        <v>0</v>
      </c>
      <c r="AAB29" s="81" cm="1">
        <f t="array" ref="AAB29">ROUND((IFERROR(INDEX(ArchiveResults!$F$5:$IX$116,ComparisonData!A29,ComparisonData!$AAB$1),0)),5)</f>
        <v>0</v>
      </c>
      <c r="AAC29" s="81" cm="1">
        <f t="array" ref="AAC29">ROUND((IFERROR(INDEX(ArchiveResults!$F$5:$IX$116,ComparisonData!A29,ComparisonData!$AAC$1),0)),5)</f>
        <v>0</v>
      </c>
      <c r="AAD29" s="81" cm="1">
        <f t="array" ref="AAD29">ROUND((IFERROR(INDEX(ArchiveResults!$F$5:$IX$116,ComparisonData!A29,ComparisonData!$AAD$1),0)),5)</f>
        <v>0</v>
      </c>
      <c r="AAE29" s="81" cm="1">
        <f t="array" ref="AAE29">ROUND((IFERROR(INDEX(ArchiveResults!$F$5:$IX$116,ComparisonData!A29,ComparisonData!$AAE$1),0)),5)</f>
        <v>0</v>
      </c>
      <c r="AAF29" s="81" cm="1">
        <f t="array" ref="AAF29">ROUND((IFERROR(INDEX(ArchiveResults!$F$5:$IX$116,ComparisonData!A29,ComparisonData!$AAF$1),0)),5)</f>
        <v>0</v>
      </c>
      <c r="AAG29" s="46">
        <f t="shared" si="481"/>
        <v>48</v>
      </c>
      <c r="AAH29" s="46">
        <f t="shared" si="99"/>
        <v>2.6739999999999995</v>
      </c>
      <c r="AAI29" s="46">
        <f t="shared" si="482"/>
        <v>1</v>
      </c>
      <c r="AAJ29" s="46">
        <f t="shared" si="483"/>
        <v>2</v>
      </c>
      <c r="AAK29" s="46">
        <f t="shared" si="484"/>
        <v>0</v>
      </c>
      <c r="AAL29" s="46">
        <f t="shared" si="485"/>
        <v>0</v>
      </c>
      <c r="AAM29" s="46">
        <f t="shared" si="486"/>
        <v>0</v>
      </c>
      <c r="AAN29" s="46">
        <f t="shared" si="487"/>
        <v>0</v>
      </c>
      <c r="AAO29" s="46">
        <f t="shared" si="488"/>
        <v>0</v>
      </c>
      <c r="AAP29" s="46">
        <f t="shared" si="489"/>
        <v>0</v>
      </c>
      <c r="AAQ29" s="56">
        <v>24</v>
      </c>
      <c r="AAR29" s="53" t="str">
        <f t="shared" si="100"/>
        <v>Dorset History Centre</v>
      </c>
      <c r="AAS29" s="60">
        <f t="shared" si="490"/>
        <v>0</v>
      </c>
      <c r="AAT29" s="60">
        <f t="shared" si="491"/>
        <v>0</v>
      </c>
      <c r="AAU29" s="60">
        <f t="shared" si="492"/>
        <v>0</v>
      </c>
      <c r="AAV29" s="60">
        <f t="shared" si="493"/>
        <v>0</v>
      </c>
      <c r="AAW29" s="60">
        <f t="shared" si="494"/>
        <v>0</v>
      </c>
      <c r="AAX29" s="76">
        <f t="shared" si="495"/>
        <v>0</v>
      </c>
      <c r="AAY29" s="46">
        <f t="shared" si="496"/>
        <v>48</v>
      </c>
      <c r="AAZ29" s="46">
        <f t="shared" si="101"/>
        <v>2.6739999999999995</v>
      </c>
      <c r="ABA29" s="46">
        <f t="shared" si="497"/>
        <v>1</v>
      </c>
      <c r="ABB29" s="46">
        <f t="shared" si="498"/>
        <v>2</v>
      </c>
      <c r="ABC29" s="46">
        <f t="shared" si="102"/>
        <v>0</v>
      </c>
      <c r="ABD29" s="46" cm="1">
        <f t="array" ref="ABD29">ROUND(VALUE(IFERROR(INDEX(ArchiveResults!$F$5:$IX$116,ComparisonData!A29,ComparisonData!$ABD$1),0)),5)</f>
        <v>0</v>
      </c>
      <c r="ABE29" s="46" cm="1">
        <f t="array" ref="ABE29">ROUND(VALUE(IFERROR(INDEX(ArchiveResults!$F$5:$IX$116,ComparisonData!A29,ComparisonData!$ABE$1),0)),5)</f>
        <v>0</v>
      </c>
      <c r="ABF29" s="46" cm="1">
        <f t="array" ref="ABF29">ROUND(VALUE(IFERROR(INDEX(ArchiveResults!$F$5:$IX$116,ComparisonData!A29,ComparisonData!$ABF$1),0)),5)</f>
        <v>0</v>
      </c>
      <c r="ABG29" s="46" cm="1">
        <f t="array" ref="ABG29">ROUND(VALUE(IFERROR(INDEX(ArchiveResults!$F$5:$IX$116,ComparisonData!A29,ComparisonData!$ABG$1),0)),5)</f>
        <v>0</v>
      </c>
      <c r="ABH29" s="46" cm="1">
        <f t="array" ref="ABH29">ROUND(VALUE(IFERROR(INDEX(ArchiveResults!$F$5:$IX$116,ComparisonData!A29,ComparisonData!$ABH$1),0)),5)</f>
        <v>0</v>
      </c>
      <c r="ABI29" s="56">
        <v>24</v>
      </c>
      <c r="ABJ29" s="53" t="str">
        <f t="shared" si="103"/>
        <v>Dorset History Centre</v>
      </c>
      <c r="ABK29" s="60">
        <f t="shared" si="499"/>
        <v>0</v>
      </c>
      <c r="ABL29" s="60">
        <f t="shared" si="500"/>
        <v>0</v>
      </c>
      <c r="ABM29" s="60">
        <f t="shared" si="501"/>
        <v>0</v>
      </c>
      <c r="ABN29" s="60">
        <f t="shared" si="502"/>
        <v>0</v>
      </c>
      <c r="ABO29" s="60">
        <f t="shared" si="503"/>
        <v>0</v>
      </c>
      <c r="ABP29" s="76">
        <f t="shared" si="504"/>
        <v>0</v>
      </c>
      <c r="ABQ29" s="46">
        <f t="shared" si="505"/>
        <v>48</v>
      </c>
      <c r="ABR29" s="46">
        <f t="shared" si="104"/>
        <v>2.6739999999999995</v>
      </c>
      <c r="ABS29" s="46">
        <f t="shared" si="506"/>
        <v>1</v>
      </c>
      <c r="ABT29" s="46">
        <f t="shared" si="507"/>
        <v>2</v>
      </c>
      <c r="ABU29" s="46" cm="1">
        <f t="array" ref="ABU29">ROUND(VALUE(IFERROR(INDEX(ArchiveResults!$F$5:$IX$116,ComparisonData!A29,ComparisonData!$ABU$1),0)),5)</f>
        <v>0</v>
      </c>
      <c r="ABV29" s="46" cm="1">
        <f t="array" ref="ABV29">ROUND(VALUE(IFERROR(INDEX(ArchiveResults!$F$5:$IX$116,ComparisonData!A29,ComparisonData!$ABV$1),0)),5)</f>
        <v>0</v>
      </c>
      <c r="ABW29" s="46" cm="1">
        <f t="array" ref="ABW29">ROUND(VALUE(IFERROR(INDEX(ArchiveResults!$F$5:$IX$116,ComparisonData!A29,ComparisonData!$ABW$1),0)),5)</f>
        <v>0</v>
      </c>
      <c r="ABX29" s="46" cm="1">
        <f t="array" ref="ABX29">ROUND(VALUE(IFERROR(INDEX(ArchiveResults!$F$5:$IX$116,ComparisonData!A29,ComparisonData!$ABX$1),0)),5)</f>
        <v>0</v>
      </c>
      <c r="ABY29" s="46" cm="1">
        <f t="array" ref="ABY29">ROUND(VALUE(IFERROR(INDEX(ArchiveResults!$F$5:$IX$116,ComparisonData!A29,ComparisonData!$ABY$1),0)),5)</f>
        <v>0</v>
      </c>
      <c r="ABZ29" s="56">
        <v>24</v>
      </c>
      <c r="ACA29" s="53" t="str">
        <f t="shared" si="105"/>
        <v>Dorset History Centre</v>
      </c>
      <c r="ACB29" s="60">
        <f t="shared" si="508"/>
        <v>0</v>
      </c>
      <c r="ACC29" s="60">
        <f t="shared" si="509"/>
        <v>0</v>
      </c>
      <c r="ACD29" s="60">
        <f t="shared" si="510"/>
        <v>0</v>
      </c>
      <c r="ACE29" s="60">
        <f t="shared" si="511"/>
        <v>0</v>
      </c>
      <c r="ACF29" s="60">
        <f t="shared" si="512"/>
        <v>0</v>
      </c>
      <c r="ACG29" s="76">
        <f t="shared" si="513"/>
        <v>0</v>
      </c>
      <c r="ACH29" s="46">
        <f t="shared" si="514"/>
        <v>48</v>
      </c>
      <c r="ACI29" s="46">
        <f t="shared" si="106"/>
        <v>2.6739999999999995</v>
      </c>
      <c r="ACJ29" s="46">
        <f t="shared" si="515"/>
        <v>1</v>
      </c>
      <c r="ACK29" s="46">
        <f t="shared" si="516"/>
        <v>2</v>
      </c>
      <c r="ACL29" s="46">
        <f t="shared" si="517"/>
        <v>0</v>
      </c>
      <c r="ACM29" s="46" cm="1">
        <f t="array" ref="ACM29">ROUND(IFERROR(INDEX(ArchiveResults!$F$5:$IX$116,ComparisonData!A29,ComparisonData!$ACM$1),0),5)</f>
        <v>0</v>
      </c>
      <c r="ACN29" s="46" cm="1">
        <f t="array" ref="ACN29">ROUND(IFERROR(INDEX(ArchiveResults!$F$5:$IX$116,ComparisonData!A29,ComparisonData!$ACN$1),0),5)</f>
        <v>0</v>
      </c>
      <c r="ACO29" s="56">
        <v>24</v>
      </c>
      <c r="ACP29" s="53" t="str">
        <f t="shared" si="107"/>
        <v>Dorset History Centre</v>
      </c>
      <c r="ACQ29" s="60">
        <f t="shared" si="518"/>
        <v>0</v>
      </c>
      <c r="ACR29" s="60">
        <f t="shared" si="519"/>
        <v>0</v>
      </c>
      <c r="ACS29" s="76">
        <f t="shared" si="520"/>
        <v>0</v>
      </c>
      <c r="ACT29" s="46">
        <f t="shared" si="521"/>
        <v>48</v>
      </c>
      <c r="ACU29" s="46">
        <f t="shared" si="108"/>
        <v>2.6739999999999995</v>
      </c>
      <c r="ACV29" s="46">
        <f t="shared" si="522"/>
        <v>1</v>
      </c>
      <c r="ACW29" s="46">
        <f t="shared" si="523"/>
        <v>2</v>
      </c>
      <c r="ACX29" s="46">
        <f t="shared" si="524"/>
        <v>0</v>
      </c>
      <c r="ACY29" s="46" cm="1">
        <f t="array" ref="ACY29">ROUNDDOWN(IFERROR(INDEX(ArchiveResults!$F$5:$IX$116,ComparisonData!A29,ComparisonData!$ACY$1),0),5)</f>
        <v>0</v>
      </c>
      <c r="ACZ29" s="46" cm="1">
        <f t="array" ref="ACZ29">ROUNDDOWN(IFERROR(INDEX(ArchiveResults!$F$5:$IX$116,ComparisonData!A29,ComparisonData!$ACZ$1),0),5)</f>
        <v>0</v>
      </c>
      <c r="ADA29" s="46" cm="1">
        <f t="array" ref="ADA29">ROUNDDOWN(IFERROR(INDEX(ArchiveResults!$F$5:$IX$116,ComparisonData!A29,ComparisonData!$ADA$1),0),5)</f>
        <v>0</v>
      </c>
      <c r="ADB29" s="56">
        <v>24</v>
      </c>
      <c r="ADC29" s="53" t="str">
        <f t="shared" si="109"/>
        <v>Dorset History Centre</v>
      </c>
      <c r="ADD29" s="60">
        <f t="shared" si="525"/>
        <v>0</v>
      </c>
      <c r="ADE29" s="60">
        <f t="shared" si="526"/>
        <v>0</v>
      </c>
      <c r="ADF29" s="60">
        <f t="shared" si="527"/>
        <v>0</v>
      </c>
      <c r="ADG29" s="76">
        <f t="shared" si="528"/>
        <v>0</v>
      </c>
    </row>
    <row r="30" spans="1:787" x14ac:dyDescent="0.25">
      <c r="A30" s="46" t="str">
        <f>IF(ISBLANK(ComparisonSelection!F26),"",ROW()-5)</f>
        <v/>
      </c>
      <c r="B30" s="53" t="s">
        <v>479</v>
      </c>
      <c r="C30" s="72">
        <v>0.86399999999999988</v>
      </c>
      <c r="D30" s="55">
        <f t="shared" si="110"/>
        <v>86</v>
      </c>
      <c r="E30" s="54">
        <f t="shared" si="111"/>
        <v>2.8639999999999999</v>
      </c>
      <c r="F30" s="54">
        <f t="shared" si="529"/>
        <v>1</v>
      </c>
      <c r="G30" s="72">
        <f t="shared" si="112"/>
        <v>2</v>
      </c>
      <c r="H30" s="72">
        <f t="shared" si="113"/>
        <v>0</v>
      </c>
      <c r="I30" s="46" cm="1">
        <f t="array" ref="I30">ROUND(IFERROR(INDEX(ArchiveResults!$F$5:$IX$116,ComparisonData!A30,ComparisonData!$I$1),0),5)</f>
        <v>0</v>
      </c>
      <c r="J30" s="46" cm="1">
        <f t="array" ref="J30">ROUND(IFERROR(INDEX(ArchiveResults!$F$5:$IX$116,ComparisonData!A30,ComparisonData!$J$1),0),5)</f>
        <v>0</v>
      </c>
      <c r="K30" s="56">
        <v>25</v>
      </c>
      <c r="L30" s="53" t="str">
        <f t="shared" si="114"/>
        <v>East Riding Archives and Local Studies</v>
      </c>
      <c r="M30" s="57">
        <f t="shared" si="0"/>
        <v>0</v>
      </c>
      <c r="N30" s="57">
        <f t="shared" si="1"/>
        <v>0</v>
      </c>
      <c r="O30" s="58">
        <f t="shared" si="115"/>
        <v>0</v>
      </c>
      <c r="P30" s="48">
        <f t="shared" si="116"/>
        <v>86</v>
      </c>
      <c r="Q30" s="54">
        <f t="shared" si="2"/>
        <v>2.8639999999999999</v>
      </c>
      <c r="R30" s="45">
        <f t="shared" si="117"/>
        <v>1</v>
      </c>
      <c r="S30" s="46">
        <f t="shared" si="118"/>
        <v>2</v>
      </c>
      <c r="T30" s="72">
        <f t="shared" si="119"/>
        <v>0</v>
      </c>
      <c r="U30" s="46" cm="1">
        <f t="array" ref="U30">ROUND(IFERROR(INDEX(ArchiveResults!$F$5:$IX$116,ComparisonData!A30,ComparisonData!$U$1),0),5)</f>
        <v>0</v>
      </c>
      <c r="V30" s="46" cm="1">
        <f t="array" ref="V30">ROUND(IFERROR(INDEX(ArchiveResults!$F$5:$IX$116,ComparisonData!A30,ComparisonData!$V$1),0),5)</f>
        <v>0</v>
      </c>
      <c r="W30" s="56">
        <v>25</v>
      </c>
      <c r="X30" s="53" t="str">
        <f t="shared" si="3"/>
        <v>East Riding Archives and Local Studies</v>
      </c>
      <c r="Y30" s="57">
        <f t="shared" si="120"/>
        <v>0</v>
      </c>
      <c r="Z30" s="57">
        <f t="shared" si="121"/>
        <v>0</v>
      </c>
      <c r="AA30" s="58">
        <f t="shared" si="122"/>
        <v>0</v>
      </c>
      <c r="AB30" s="45">
        <f t="shared" si="123"/>
        <v>86</v>
      </c>
      <c r="AC30" s="54">
        <f t="shared" si="4"/>
        <v>2.8639999999999999</v>
      </c>
      <c r="AD30" s="45">
        <f t="shared" si="124"/>
        <v>1</v>
      </c>
      <c r="AE30" s="45">
        <f t="shared" si="125"/>
        <v>2</v>
      </c>
      <c r="AF30" s="45">
        <f t="shared" si="126"/>
        <v>0</v>
      </c>
      <c r="AG30" s="46" cm="1">
        <f t="array" ref="AG30">ROUND(IFERROR(INDEX(ArchiveResults!$F$5:$IX$116,ComparisonData!A30,ComparisonData!$AG$1),0),5)</f>
        <v>0</v>
      </c>
      <c r="AH30" s="46" cm="1">
        <f t="array" ref="AH30">ROUND(IFERROR(INDEX(ArchiveResults!$F$5:$IX$116,ComparisonData!A30,ComparisonData!$AH$1),0),5)</f>
        <v>0</v>
      </c>
      <c r="AI30" s="56">
        <v>25</v>
      </c>
      <c r="AJ30" s="53" t="str">
        <f t="shared" si="5"/>
        <v>East Riding Archives and Local Studies</v>
      </c>
      <c r="AK30" s="59">
        <f t="shared" si="6"/>
        <v>0</v>
      </c>
      <c r="AL30" s="59">
        <f t="shared" si="7"/>
        <v>0</v>
      </c>
      <c r="AM30" s="58">
        <f t="shared" si="127"/>
        <v>0</v>
      </c>
      <c r="AN30" s="45">
        <f t="shared" si="128"/>
        <v>86</v>
      </c>
      <c r="AO30" s="54">
        <f t="shared" si="8"/>
        <v>2.8639999999999999</v>
      </c>
      <c r="AP30" s="45">
        <f t="shared" si="129"/>
        <v>1</v>
      </c>
      <c r="AQ30" s="45">
        <f t="shared" si="130"/>
        <v>2</v>
      </c>
      <c r="AR30" s="46" cm="1">
        <f t="array" ref="AR30">ROUND(IFERROR(INDEX(ArchiveResults!$F$5:$IX$116,ComparisonData!A30,ComparisonData!$AR$1),0),5)</f>
        <v>0</v>
      </c>
      <c r="AS30" s="46" cm="1">
        <f t="array" ref="AS30">ROUND(IFERROR(INDEX(ArchiveResults!$F$5:$IX$116,ComparisonData!A30,ComparisonData!$AS$1),0),5)</f>
        <v>0</v>
      </c>
      <c r="AT30" s="46" cm="1">
        <f t="array" ref="AT30">ROUND(IFERROR(INDEX(ArchiveResults!$F$5:$IX$116,ComparisonData!A30,ComparisonData!$AT$1),0),5)</f>
        <v>0</v>
      </c>
      <c r="AU30" s="46" cm="1">
        <f t="array" ref="AU30">ROUND(IFERROR(INDEX(ArchiveResults!$F$5:$IX$116,ComparisonData!A30,ComparisonData!$AU$1),0),5)</f>
        <v>0</v>
      </c>
      <c r="AV30" s="46" cm="1">
        <f t="array" ref="AV30">ROUND(IFERROR(INDEX(ArchiveResults!$F$5:$IX$116,ComparisonData!A30,ComparisonData!$AV$1),0),5)</f>
        <v>0</v>
      </c>
      <c r="AW30" s="46" cm="1">
        <f t="array" ref="AW30">ROUND(IFERROR(INDEX(ArchiveResults!$F$5:$IX$116,ComparisonData!A30,ComparisonData!$AW$1),0),5)</f>
        <v>0</v>
      </c>
      <c r="AX30" s="46" cm="1">
        <f t="array" ref="AX30">ROUND(IFERROR(INDEX(ArchiveResults!$F$5:$IX$116,ComparisonData!A30,ComparisonData!$AX$1),0),5)</f>
        <v>0</v>
      </c>
      <c r="AY30" s="46" cm="1">
        <f t="array" ref="AY30">ROUND(IFERROR(INDEX(ArchiveResults!$F$5:$IX$116,ComparisonData!A30,ComparisonData!$AY$1),0),5)</f>
        <v>0</v>
      </c>
      <c r="AZ30" s="46" cm="1">
        <f t="array" ref="AZ30">ROUND(IFERROR(INDEX(ArchiveResults!$F$5:$IX$116,ComparisonData!A30,ComparisonData!$AZ$1),0),5)</f>
        <v>0</v>
      </c>
      <c r="BA30" s="46" cm="1">
        <f t="array" ref="BA30">ROUND(IFERROR(INDEX(ArchiveResults!$F$5:$IX$116,ComparisonData!A30,ComparisonData!$BA$1),0),5)</f>
        <v>0</v>
      </c>
      <c r="BB30" s="56">
        <v>25</v>
      </c>
      <c r="BC30" s="53" t="str">
        <f t="shared" si="9"/>
        <v>East Riding Archives and Local Studies</v>
      </c>
      <c r="BD30" s="60">
        <f t="shared" si="131"/>
        <v>0</v>
      </c>
      <c r="BE30" s="60">
        <f t="shared" si="132"/>
        <v>0</v>
      </c>
      <c r="BF30" s="60">
        <f t="shared" si="133"/>
        <v>0</v>
      </c>
      <c r="BG30" s="60">
        <f t="shared" si="134"/>
        <v>0</v>
      </c>
      <c r="BH30" s="60">
        <f t="shared" si="135"/>
        <v>0</v>
      </c>
      <c r="BI30" s="60">
        <f t="shared" si="136"/>
        <v>0</v>
      </c>
      <c r="BJ30" s="60">
        <f t="shared" si="137"/>
        <v>0</v>
      </c>
      <c r="BK30" s="60">
        <f t="shared" si="138"/>
        <v>0</v>
      </c>
      <c r="BL30" s="60">
        <f t="shared" si="139"/>
        <v>0</v>
      </c>
      <c r="BM30" s="59">
        <f t="shared" si="140"/>
        <v>0</v>
      </c>
      <c r="BN30" s="58">
        <f t="shared" si="141"/>
        <v>0</v>
      </c>
      <c r="BO30" s="45">
        <f t="shared" si="142"/>
        <v>86</v>
      </c>
      <c r="BP30" s="54">
        <f t="shared" si="10"/>
        <v>2.8639999999999999</v>
      </c>
      <c r="BQ30" s="45">
        <f t="shared" si="143"/>
        <v>1</v>
      </c>
      <c r="BR30" s="45">
        <f t="shared" si="144"/>
        <v>2</v>
      </c>
      <c r="BS30" s="46" cm="1">
        <f t="array" ref="BS30">ROUND(IFERROR(INDEX(ArchiveResults!$F$5:$IX$116,ComparisonData!A30,ComparisonData!$BS$1),0),5)</f>
        <v>0</v>
      </c>
      <c r="BT30" s="46" cm="1">
        <f t="array" ref="BT30">ROUND(IFERROR(INDEX(ArchiveResults!$F$5:$IX$116,ComparisonData!A30,ComparisonData!$BT$1),0),5)</f>
        <v>0</v>
      </c>
      <c r="BU30" s="46" cm="1">
        <f t="array" ref="BU30">ROUND(IFERROR(INDEX(ArchiveResults!$F$5:$IX$116,ComparisonData!A30,ComparisonData!$BU$1),0),5)</f>
        <v>0</v>
      </c>
      <c r="BV30" s="46" cm="1">
        <f t="array" ref="BV30">ROUND(IFERROR(INDEX(ArchiveResults!$F$5:$IX$116,ComparisonData!A30,ComparisonData!$BV$1),0),5)</f>
        <v>0</v>
      </c>
      <c r="BW30" s="46" cm="1">
        <f t="array" ref="BW30">ROUND(IFERROR(INDEX(ArchiveResults!$F$5:$IX$116,ComparisonData!A30,ComparisonData!$BW$1),0),5)</f>
        <v>0</v>
      </c>
      <c r="BX30" s="46" cm="1">
        <f t="array" ref="BX30">ROUND(IFERROR(INDEX(ArchiveResults!$F$5:$IX$116,ComparisonData!A30,ComparisonData!$BX$1),0),5)</f>
        <v>0</v>
      </c>
      <c r="BY30" s="56">
        <v>25</v>
      </c>
      <c r="BZ30" s="53" t="str">
        <f t="shared" si="11"/>
        <v>East Riding Archives and Local Studies</v>
      </c>
      <c r="CA30" s="59">
        <f t="shared" si="145"/>
        <v>0</v>
      </c>
      <c r="CB30" s="59">
        <f t="shared" si="146"/>
        <v>0</v>
      </c>
      <c r="CC30" s="59">
        <f t="shared" si="147"/>
        <v>0</v>
      </c>
      <c r="CD30" s="59">
        <f t="shared" si="148"/>
        <v>0</v>
      </c>
      <c r="CE30" s="59">
        <f t="shared" si="149"/>
        <v>0</v>
      </c>
      <c r="CF30" s="59">
        <f t="shared" si="150"/>
        <v>0</v>
      </c>
      <c r="CG30" s="58">
        <f t="shared" si="151"/>
        <v>0</v>
      </c>
      <c r="CH30" s="45">
        <f t="shared" si="152"/>
        <v>86</v>
      </c>
      <c r="CI30" s="54">
        <f t="shared" si="12"/>
        <v>2.8639999999999999</v>
      </c>
      <c r="CJ30" s="45">
        <f t="shared" si="153"/>
        <v>1</v>
      </c>
      <c r="CK30" s="45">
        <f t="shared" si="154"/>
        <v>2</v>
      </c>
      <c r="CL30" s="46" cm="1">
        <f t="array" ref="CL30">ROUND(IFERROR(INDEX(ArchiveResults!$F$5:$IX$116,ComparisonData!A30,ComparisonData!$CL$1),0),5)</f>
        <v>0</v>
      </c>
      <c r="CM30" s="56">
        <v>25</v>
      </c>
      <c r="CN30" s="53" t="str">
        <f t="shared" si="13"/>
        <v>East Riding Archives and Local Studies</v>
      </c>
      <c r="CO30" s="45">
        <f t="shared" si="155"/>
        <v>0</v>
      </c>
      <c r="CP30" s="58">
        <f t="shared" si="156"/>
        <v>0</v>
      </c>
      <c r="CQ30" s="45">
        <f t="shared" si="157"/>
        <v>86</v>
      </c>
      <c r="CR30" s="54">
        <f t="shared" si="14"/>
        <v>2.8639999999999999</v>
      </c>
      <c r="CS30" s="45">
        <f t="shared" si="158"/>
        <v>1</v>
      </c>
      <c r="CT30" s="45">
        <f t="shared" si="159"/>
        <v>2</v>
      </c>
      <c r="CU30" s="46" cm="1">
        <f t="array" ref="CU30">ROUND(IFERROR(INDEX(ArchiveResults!$F$5:$IX$116,ComparisonData!A30,ComparisonData!$CU$1),0),5)</f>
        <v>0</v>
      </c>
      <c r="CV30" s="56">
        <v>25</v>
      </c>
      <c r="CW30" s="53" t="str">
        <f t="shared" si="15"/>
        <v>East Riding Archives and Local Studies</v>
      </c>
      <c r="CX30" s="45">
        <f t="shared" si="160"/>
        <v>0</v>
      </c>
      <c r="CY30" s="58">
        <f t="shared" si="161"/>
        <v>0</v>
      </c>
      <c r="CZ30" s="45">
        <f t="shared" si="162"/>
        <v>86</v>
      </c>
      <c r="DA30" s="54">
        <f t="shared" si="16"/>
        <v>2.8639999999999999</v>
      </c>
      <c r="DB30" s="45">
        <f t="shared" si="163"/>
        <v>1</v>
      </c>
      <c r="DC30" s="45">
        <f t="shared" si="164"/>
        <v>2</v>
      </c>
      <c r="DD30" s="46" cm="1">
        <f t="array" ref="DD30">ROUND(IFERROR(INDEX(ArchiveResults!$F$5:$IX$116,ComparisonData!A30,ComparisonData!$DD$1),0),5)</f>
        <v>0</v>
      </c>
      <c r="DE30" s="56">
        <v>25</v>
      </c>
      <c r="DF30" s="53" t="str">
        <f t="shared" si="17"/>
        <v>East Riding Archives and Local Studies</v>
      </c>
      <c r="DG30" s="45">
        <f t="shared" si="165"/>
        <v>0</v>
      </c>
      <c r="DH30" s="58">
        <f t="shared" si="166"/>
        <v>0</v>
      </c>
      <c r="DI30" s="45">
        <f t="shared" si="167"/>
        <v>86</v>
      </c>
      <c r="DJ30" s="54">
        <f t="shared" si="18"/>
        <v>2.8639999999999999</v>
      </c>
      <c r="DK30" s="45">
        <f t="shared" si="168"/>
        <v>1</v>
      </c>
      <c r="DL30" s="45">
        <f t="shared" si="169"/>
        <v>2</v>
      </c>
      <c r="DM30" s="46" cm="1">
        <f t="array" ref="DM30">ROUND(IFERROR(INDEX(ArchiveResults!$F$5:$IX$116,ComparisonData!A30,ComparisonData!$DM$1),0),5)</f>
        <v>0</v>
      </c>
      <c r="DN30" s="46" cm="1">
        <f t="array" ref="DN30">ROUND(IFERROR(INDEX(ArchiveResults!$F$5:$IX$116,ComparisonData!A30,ComparisonData!$DN$1),0),5)</f>
        <v>0</v>
      </c>
      <c r="DO30" s="46" cm="1">
        <f t="array" ref="DO30">ROUND(IFERROR(INDEX(ArchiveResults!$F$5:$IX$116,ComparisonData!A30,ComparisonData!$DO$1),0),5)</f>
        <v>0</v>
      </c>
      <c r="DP30" s="46" cm="1">
        <f t="array" ref="DP30">ROUND(IFERROR(INDEX(ArchiveResults!$F$5:$IX$116,ComparisonData!A30,ComparisonData!$DP$1),0),5)</f>
        <v>0</v>
      </c>
      <c r="DQ30" s="45" cm="1">
        <f t="array" ref="DQ30">IFERROR(INDEX(ArchiveResults!$F$5:$IX$116,ComparisonData!A30,ComparisonData!$DQ$1),0)</f>
        <v>0</v>
      </c>
      <c r="DR30" s="56">
        <v>25</v>
      </c>
      <c r="DS30" s="53" t="str">
        <f t="shared" si="19"/>
        <v>East Riding Archives and Local Studies</v>
      </c>
      <c r="DT30" s="59">
        <f t="shared" si="170"/>
        <v>0</v>
      </c>
      <c r="DU30" s="59">
        <f t="shared" si="171"/>
        <v>0</v>
      </c>
      <c r="DV30" s="59">
        <f t="shared" si="172"/>
        <v>0</v>
      </c>
      <c r="DW30" s="59">
        <f t="shared" si="173"/>
        <v>0</v>
      </c>
      <c r="DX30" s="59">
        <f t="shared" si="174"/>
        <v>0</v>
      </c>
      <c r="DY30" s="58">
        <f t="shared" si="175"/>
        <v>0</v>
      </c>
      <c r="DZ30" s="45">
        <f t="shared" si="176"/>
        <v>86</v>
      </c>
      <c r="EA30" s="54">
        <f t="shared" si="20"/>
        <v>2.8639999999999999</v>
      </c>
      <c r="EB30" s="45">
        <f t="shared" si="177"/>
        <v>1</v>
      </c>
      <c r="EC30" s="45">
        <f t="shared" si="178"/>
        <v>2</v>
      </c>
      <c r="ED30" s="46" cm="1">
        <f t="array" ref="ED30">ROUND(IFERROR(INDEX(ArchiveResults!$F$5:$IX$116,ComparisonData!A30,ComparisonData!$ED$1),0),5)</f>
        <v>0</v>
      </c>
      <c r="EE30" s="46" cm="1">
        <f t="array" ref="EE30">ROUND(IFERROR(INDEX(ArchiveResults!$F$5:$IX$116,ComparisonData!A30,ComparisonData!$EE$1),0),5)</f>
        <v>0</v>
      </c>
      <c r="EF30" s="46" cm="1">
        <f t="array" ref="EF30">ROUND(IFERROR(INDEX(ArchiveResults!$F$5:$IX$116,ComparisonData!A30,ComparisonData!$EF$1),0),5)</f>
        <v>0</v>
      </c>
      <c r="EG30" s="46" cm="1">
        <f t="array" ref="EG30">ROUND(IFERROR(INDEX(ArchiveResults!$F$5:$IX$116,ComparisonData!A30,ComparisonData!$EG$1),0),5)</f>
        <v>0</v>
      </c>
      <c r="EH30" s="45" cm="1">
        <f t="array" ref="EH30">IFERROR(INDEX(ArchiveResults!$F$5:$IX$116,ComparisonData!A30,ComparisonData!$EH$1),0)</f>
        <v>0</v>
      </c>
      <c r="EI30" s="56">
        <v>25</v>
      </c>
      <c r="EJ30" s="53" t="str">
        <f t="shared" si="21"/>
        <v>East Riding Archives and Local Studies</v>
      </c>
      <c r="EK30" s="59">
        <f t="shared" si="179"/>
        <v>0</v>
      </c>
      <c r="EL30" s="59">
        <f t="shared" si="180"/>
        <v>0</v>
      </c>
      <c r="EM30" s="59">
        <f t="shared" si="181"/>
        <v>0</v>
      </c>
      <c r="EN30" s="59">
        <f t="shared" si="182"/>
        <v>0</v>
      </c>
      <c r="EO30" s="59">
        <f t="shared" si="183"/>
        <v>0</v>
      </c>
      <c r="EP30" s="58">
        <f t="shared" si="184"/>
        <v>0</v>
      </c>
      <c r="EQ30" s="45">
        <f t="shared" si="185"/>
        <v>86</v>
      </c>
      <c r="ER30" s="54">
        <f t="shared" si="22"/>
        <v>2.8639999999999999</v>
      </c>
      <c r="ES30" s="45">
        <f t="shared" si="186"/>
        <v>1</v>
      </c>
      <c r="ET30" s="45">
        <f t="shared" si="187"/>
        <v>2</v>
      </c>
      <c r="EU30" s="46" cm="1">
        <f t="array" ref="EU30">ROUND(IFERROR(INDEX(ArchiveResults!$F$5:$IX$116,ComparisonData!A30,ComparisonData!$EU$1),0),5)</f>
        <v>0</v>
      </c>
      <c r="EV30" s="46" cm="1">
        <f t="array" ref="EV30">ROUND(IFERROR(INDEX(ArchiveResults!$F$5:$IX$116,ComparisonData!A30,ComparisonData!$EV$1),0),5)</f>
        <v>0</v>
      </c>
      <c r="EW30" s="46" cm="1">
        <f t="array" ref="EW30">ROUND(IFERROR(INDEX(ArchiveResults!$F$5:$IX$116,ComparisonData!A30,ComparisonData!$EW$1),0),5)</f>
        <v>0</v>
      </c>
      <c r="EX30" s="46" cm="1">
        <f t="array" ref="EX30">ROUND(IFERROR(INDEX(ArchiveResults!$F$5:$IX$116,ComparisonData!A30,ComparisonData!$EX$1),0),5)</f>
        <v>0</v>
      </c>
      <c r="EY30" s="45" cm="1">
        <f t="array" ref="EY30">IFERROR(INDEX(ArchiveResults!$F$5:$IX$116,ComparisonData!A30,ComparisonData!$EY$1),0)</f>
        <v>0</v>
      </c>
      <c r="EZ30" s="56">
        <v>25</v>
      </c>
      <c r="FA30" s="53" t="str">
        <f t="shared" si="23"/>
        <v>East Riding Archives and Local Studies</v>
      </c>
      <c r="FB30" s="59">
        <f t="shared" si="188"/>
        <v>0</v>
      </c>
      <c r="FC30" s="59">
        <f t="shared" si="189"/>
        <v>0</v>
      </c>
      <c r="FD30" s="59">
        <f t="shared" si="190"/>
        <v>0</v>
      </c>
      <c r="FE30" s="59">
        <f t="shared" si="191"/>
        <v>0</v>
      </c>
      <c r="FF30" s="59">
        <f t="shared" si="192"/>
        <v>0</v>
      </c>
      <c r="FG30" s="58">
        <f t="shared" si="193"/>
        <v>0</v>
      </c>
      <c r="FH30" s="45">
        <f t="shared" si="194"/>
        <v>86</v>
      </c>
      <c r="FI30" s="54">
        <f t="shared" si="24"/>
        <v>2.8639999999999999</v>
      </c>
      <c r="FJ30" s="45">
        <f t="shared" si="195"/>
        <v>1</v>
      </c>
      <c r="FK30" s="45">
        <f t="shared" si="196"/>
        <v>2</v>
      </c>
      <c r="FL30" s="46" cm="1">
        <f t="array" ref="FL30">ROUND(IFERROR(INDEX(ArchiveResults!$F$5:$IX$116,ComparisonData!A30,ComparisonData!$FL$1),0),5)</f>
        <v>0</v>
      </c>
      <c r="FM30" s="46" cm="1">
        <f t="array" ref="FM30">ROUND(IFERROR(INDEX(ArchiveResults!$F$5:$IX$116,ComparisonData!A30,ComparisonData!$FM$1),0),5)</f>
        <v>0</v>
      </c>
      <c r="FN30" s="46" cm="1">
        <f t="array" ref="FN30">ROUND(IFERROR(INDEX(ArchiveResults!$F$5:$IX$116,ComparisonData!A30,ComparisonData!$FN$1),0),5)</f>
        <v>0</v>
      </c>
      <c r="FO30" s="46" cm="1">
        <f t="array" ref="FO30">ROUND(IFERROR(INDEX(ArchiveResults!$F$5:$IX$116,ComparisonData!A30,ComparisonData!$FO$1),0),5)</f>
        <v>0</v>
      </c>
      <c r="FP30" s="45" cm="1">
        <f t="array" ref="FP30">IFERROR(INDEX(ArchiveResults!$F$5:$IX$116,ComparisonData!A30,ComparisonData!$FP$1),0)</f>
        <v>0</v>
      </c>
      <c r="FQ30" s="56">
        <v>25</v>
      </c>
      <c r="FR30" s="53" t="str">
        <f t="shared" si="25"/>
        <v>East Riding Archives and Local Studies</v>
      </c>
      <c r="FS30" s="59">
        <f t="shared" si="197"/>
        <v>0</v>
      </c>
      <c r="FT30" s="59">
        <f t="shared" si="198"/>
        <v>0</v>
      </c>
      <c r="FU30" s="59">
        <f t="shared" si="199"/>
        <v>0</v>
      </c>
      <c r="FV30" s="59">
        <f t="shared" si="200"/>
        <v>0</v>
      </c>
      <c r="FW30" s="59">
        <f t="shared" si="201"/>
        <v>0</v>
      </c>
      <c r="FX30" s="58">
        <f t="shared" si="202"/>
        <v>0</v>
      </c>
      <c r="FY30" s="45">
        <f t="shared" si="203"/>
        <v>86</v>
      </c>
      <c r="FZ30" s="45">
        <f t="shared" si="26"/>
        <v>2.8639999999999999</v>
      </c>
      <c r="GA30" s="45">
        <f t="shared" si="204"/>
        <v>1</v>
      </c>
      <c r="GB30" s="45">
        <f t="shared" si="205"/>
        <v>2</v>
      </c>
      <c r="GC30" s="46" cm="1">
        <f t="array" ref="GC30">ROUND(IFERROR(INDEX(ArchiveResults!$F$5:$IX$116,ComparisonData!A30,ComparisonData!$GC$1),0),5)</f>
        <v>0</v>
      </c>
      <c r="GD30" s="46" cm="1">
        <f t="array" ref="GD30">ROUND(IFERROR(INDEX(ArchiveResults!$F$5:$IX$116,ComparisonData!A30,ComparisonData!$GD$1),0),5)</f>
        <v>0</v>
      </c>
      <c r="GE30" s="46" cm="1">
        <f t="array" ref="GE30">ROUND(IFERROR(INDEX(ArchiveResults!$F$5:$IX$116,ComparisonData!A30,ComparisonData!$GE$1),0),5)</f>
        <v>0</v>
      </c>
      <c r="GF30" s="46" cm="1">
        <f t="array" ref="GF30">ROUND(IFERROR(INDEX(ArchiveResults!$F$5:$IX$116,ComparisonData!A30,ComparisonData!$GF$1),0),5)</f>
        <v>0</v>
      </c>
      <c r="GG30" s="45" cm="1">
        <f t="array" ref="GG30">IFERROR(INDEX(ArchiveResults!$F$5:$IX$116,ComparisonData!A30,ComparisonData!$GG$1),0)</f>
        <v>0</v>
      </c>
      <c r="GH30" s="56">
        <v>25</v>
      </c>
      <c r="GI30" s="53" t="str">
        <f t="shared" si="27"/>
        <v>East Riding Archives and Local Studies</v>
      </c>
      <c r="GJ30" s="59">
        <f t="shared" si="206"/>
        <v>0</v>
      </c>
      <c r="GK30" s="59">
        <f t="shared" si="207"/>
        <v>0</v>
      </c>
      <c r="GL30" s="59">
        <f t="shared" si="208"/>
        <v>0</v>
      </c>
      <c r="GM30" s="59">
        <f t="shared" si="209"/>
        <v>0</v>
      </c>
      <c r="GN30" s="59">
        <f t="shared" si="210"/>
        <v>0</v>
      </c>
      <c r="GO30" s="58">
        <f t="shared" si="211"/>
        <v>0</v>
      </c>
      <c r="GP30" s="45">
        <f t="shared" si="212"/>
        <v>86</v>
      </c>
      <c r="GQ30" s="45">
        <f t="shared" si="28"/>
        <v>2.8639999999999999</v>
      </c>
      <c r="GR30" s="45">
        <f t="shared" si="213"/>
        <v>1</v>
      </c>
      <c r="GS30" s="45">
        <f t="shared" si="214"/>
        <v>2</v>
      </c>
      <c r="GT30" s="46" cm="1">
        <f t="array" ref="GT30">ROUND(IFERROR(INDEX(ArchiveResults!$F$5:$IX$116,ComparisonData!A30,ComparisonData!$GT$1),0),5)</f>
        <v>0</v>
      </c>
      <c r="GU30" s="46" cm="1">
        <f t="array" ref="GU30">ROUND(IFERROR(INDEX(ArchiveResults!$F$5:$IX$116,ComparisonData!A30,ComparisonData!$GU$1),0),5)</f>
        <v>0</v>
      </c>
      <c r="GV30" s="46" cm="1">
        <f t="array" ref="GV30">ROUND(IFERROR(INDEX(ArchiveResults!$F$5:$IX$116,ComparisonData!A30,ComparisonData!$GV$1),0),5)</f>
        <v>0</v>
      </c>
      <c r="GW30" s="46" cm="1">
        <f t="array" ref="GW30">ROUND(IFERROR(INDEX(ArchiveResults!$F$5:$IX$116,ComparisonData!A30,ComparisonData!$GW$1),0),5)</f>
        <v>0</v>
      </c>
      <c r="GX30" s="45" cm="1">
        <f t="array" ref="GX30">IFERROR(INDEX(ArchiveResults!$F$5:$IX$116,ComparisonData!A30,ComparisonData!$GX$1),0)</f>
        <v>0</v>
      </c>
      <c r="GY30" s="56">
        <v>25</v>
      </c>
      <c r="GZ30" s="53" t="str">
        <f t="shared" si="29"/>
        <v>East Riding Archives and Local Studies</v>
      </c>
      <c r="HA30" s="59">
        <f t="shared" si="215"/>
        <v>0</v>
      </c>
      <c r="HB30" s="59">
        <f t="shared" si="216"/>
        <v>0</v>
      </c>
      <c r="HC30" s="59">
        <f t="shared" si="217"/>
        <v>0</v>
      </c>
      <c r="HD30" s="59">
        <f t="shared" si="218"/>
        <v>0</v>
      </c>
      <c r="HE30" s="59">
        <f t="shared" si="219"/>
        <v>0</v>
      </c>
      <c r="HF30" s="58">
        <f t="shared" si="220"/>
        <v>0</v>
      </c>
      <c r="HG30" s="45">
        <f t="shared" si="221"/>
        <v>86</v>
      </c>
      <c r="HH30" s="45">
        <f t="shared" si="30"/>
        <v>2.8639999999999999</v>
      </c>
      <c r="HI30" s="45">
        <f t="shared" si="222"/>
        <v>1</v>
      </c>
      <c r="HJ30" s="45">
        <f t="shared" si="223"/>
        <v>2</v>
      </c>
      <c r="HK30" s="46" cm="1">
        <f t="array" ref="HK30">ROUND(IFERROR(INDEX(ArchiveResults!$F$5:$IX$116,ComparisonData!A30,ComparisonData!$HK$1),0),5)</f>
        <v>0</v>
      </c>
      <c r="HL30" s="46" cm="1">
        <f t="array" ref="HL30">ROUND(IFERROR(INDEX(ArchiveResults!$F$5:$IX$116,ComparisonData!A30,ComparisonData!$HL$1),0),5)</f>
        <v>0</v>
      </c>
      <c r="HM30" s="46" cm="1">
        <f t="array" ref="HM30">ROUND(IFERROR(INDEX(ArchiveResults!$F$5:$IX$116,ComparisonData!A30,ComparisonData!$HM$1),0),5)</f>
        <v>0</v>
      </c>
      <c r="HN30" s="46" cm="1">
        <f t="array" ref="HN30">ROUND(IFERROR(INDEX(ArchiveResults!$F$5:$IX$116,ComparisonData!A30,ComparisonData!$HN$1),0),5)</f>
        <v>0</v>
      </c>
      <c r="HO30" s="45" cm="1">
        <f t="array" ref="HO30">IFERROR(INDEX(ArchiveResults!$F$5:$IX$116,ComparisonData!A30,ComparisonData!$HO$1),0)</f>
        <v>0</v>
      </c>
      <c r="HP30" s="56">
        <v>25</v>
      </c>
      <c r="HQ30" s="53" t="str">
        <f t="shared" si="31"/>
        <v>East Riding Archives and Local Studies</v>
      </c>
      <c r="HR30" s="59">
        <f t="shared" si="32"/>
        <v>0</v>
      </c>
      <c r="HS30" s="59">
        <f t="shared" si="33"/>
        <v>0</v>
      </c>
      <c r="HT30" s="59">
        <f t="shared" si="34"/>
        <v>0</v>
      </c>
      <c r="HU30" s="59">
        <f t="shared" si="35"/>
        <v>0</v>
      </c>
      <c r="HV30" s="59">
        <f t="shared" si="36"/>
        <v>0</v>
      </c>
      <c r="HW30" s="58">
        <f t="shared" si="224"/>
        <v>0</v>
      </c>
      <c r="HX30" s="45">
        <f t="shared" si="225"/>
        <v>86</v>
      </c>
      <c r="HY30" s="45">
        <f t="shared" si="37"/>
        <v>2.8639999999999999</v>
      </c>
      <c r="HZ30" s="45">
        <f t="shared" si="226"/>
        <v>1</v>
      </c>
      <c r="IA30" s="45">
        <f t="shared" si="227"/>
        <v>2</v>
      </c>
      <c r="IB30" s="45">
        <f t="shared" si="228"/>
        <v>0</v>
      </c>
      <c r="IC30" s="46" cm="1">
        <f t="array" ref="IC30">ROUND(IFERROR(INDEX(ArchiveResults!$F$5:$IX$116,ComparisonData!A30,ComparisonData!$IC$1),0),5)</f>
        <v>0</v>
      </c>
      <c r="ID30" s="46" cm="1">
        <f t="array" ref="ID30">ROUND(IFERROR(INDEX(ArchiveResults!$F$5:$IX$116,ComparisonData!A30,ComparisonData!$ID$1),0),5)</f>
        <v>0</v>
      </c>
      <c r="IE30" s="46" cm="1">
        <f t="array" ref="IE30">ROUND(IFERROR(INDEX(ArchiveResults!$F$5:$IX$116,ComparisonData!A30,ComparisonData!$IE$1),0),5)</f>
        <v>0</v>
      </c>
      <c r="IF30" s="46" cm="1">
        <f t="array" ref="IF30">ROUND(IFERROR(INDEX(ArchiveResults!$F$5:$IX$116,ComparisonData!A30,ComparisonData!$IF$1),0),5)</f>
        <v>0</v>
      </c>
      <c r="IG30" s="45" cm="1">
        <f t="array" ref="IG30">IFERROR(INDEX(ArchiveResults!$F$5:$IX$116,ComparisonData!A30,ComparisonData!$IG$1),0)</f>
        <v>0</v>
      </c>
      <c r="IH30" s="56">
        <v>25</v>
      </c>
      <c r="II30" s="53" t="str">
        <f t="shared" si="38"/>
        <v>East Riding Archives and Local Studies</v>
      </c>
      <c r="IJ30" s="59">
        <f t="shared" si="229"/>
        <v>0</v>
      </c>
      <c r="IK30" s="59">
        <f t="shared" si="230"/>
        <v>0</v>
      </c>
      <c r="IL30" s="59">
        <f t="shared" si="231"/>
        <v>0</v>
      </c>
      <c r="IM30" s="59">
        <f t="shared" si="232"/>
        <v>0</v>
      </c>
      <c r="IN30" s="59">
        <f t="shared" si="233"/>
        <v>0</v>
      </c>
      <c r="IO30" s="58">
        <f t="shared" si="234"/>
        <v>0</v>
      </c>
      <c r="IP30" s="45">
        <f t="shared" si="235"/>
        <v>86</v>
      </c>
      <c r="IQ30" s="45">
        <f t="shared" si="39"/>
        <v>2.8639999999999999</v>
      </c>
      <c r="IR30" s="45">
        <f t="shared" si="236"/>
        <v>1</v>
      </c>
      <c r="IS30" s="45">
        <f t="shared" si="237"/>
        <v>2</v>
      </c>
      <c r="IT30" s="46">
        <f t="shared" si="238"/>
        <v>0</v>
      </c>
      <c r="IU30" s="46" cm="1">
        <f t="array" ref="IU30">ROUND(IFERROR(INDEX(ArchiveResults!$F$5:$IX$116,ComparisonData!A30,ComparisonData!$IU$1),0),5)</f>
        <v>0</v>
      </c>
      <c r="IV30" s="46" cm="1">
        <f t="array" ref="IV30">ROUND(IFERROR(INDEX(ArchiveResults!$F$5:$IX$116,ComparisonData!A30,ComparisonData!$IV$1),0),5)</f>
        <v>0</v>
      </c>
      <c r="IW30" s="46" cm="1">
        <f t="array" ref="IW30">ROUND(IFERROR(INDEX(ArchiveResults!$F$5:$IX$116,ComparisonData!A30,ComparisonData!$IW$1),0),5)</f>
        <v>0</v>
      </c>
      <c r="IX30" s="46" cm="1">
        <f t="array" ref="IX30">ROUND(IFERROR(INDEX(ArchiveResults!$F$5:$IX$116,ComparisonData!A30,ComparisonData!$IX$1),0),5)</f>
        <v>0</v>
      </c>
      <c r="IY30" s="45" cm="1">
        <f t="array" ref="IY30">IFERROR(INDEX(ArchiveResults!$F$5:$IX$116,ComparisonData!A30,ComparisonData!$IY$1),0)</f>
        <v>0</v>
      </c>
      <c r="IZ30" s="56">
        <v>25</v>
      </c>
      <c r="JA30" s="53" t="str">
        <f t="shared" si="40"/>
        <v>East Riding Archives and Local Studies</v>
      </c>
      <c r="JB30" s="59">
        <f t="shared" si="239"/>
        <v>0</v>
      </c>
      <c r="JC30" s="59">
        <f t="shared" si="240"/>
        <v>0</v>
      </c>
      <c r="JD30" s="59">
        <f t="shared" si="241"/>
        <v>0</v>
      </c>
      <c r="JE30" s="59">
        <f t="shared" si="242"/>
        <v>0</v>
      </c>
      <c r="JF30" s="59">
        <f t="shared" si="243"/>
        <v>0</v>
      </c>
      <c r="JG30" s="58">
        <f t="shared" si="244"/>
        <v>0</v>
      </c>
      <c r="JH30" s="45">
        <f t="shared" si="245"/>
        <v>86</v>
      </c>
      <c r="JI30" s="45">
        <f t="shared" si="41"/>
        <v>2.8639999999999999</v>
      </c>
      <c r="JJ30" s="45">
        <f t="shared" si="246"/>
        <v>1</v>
      </c>
      <c r="JK30" s="45">
        <f t="shared" si="247"/>
        <v>2</v>
      </c>
      <c r="JL30" s="45">
        <f t="shared" si="248"/>
        <v>0</v>
      </c>
      <c r="JM30" s="46" cm="1">
        <f t="array" ref="JM30">ROUND(IFERROR(INDEX(ArchiveResults!$F$5:$IX$116,ComparisonData!A30,ComparisonData!$JM$1),0),5)</f>
        <v>0</v>
      </c>
      <c r="JN30" s="46" cm="1">
        <f t="array" ref="JN30">ROUND(IFERROR(INDEX(ArchiveResults!$F$5:$IX$116,ComparisonData!A30,ComparisonData!$JN$1),0),5)</f>
        <v>0</v>
      </c>
      <c r="JO30" s="46" cm="1">
        <f t="array" ref="JO30">ROUND(IFERROR(INDEX(ArchiveResults!$F$5:$IX$116,ComparisonData!A30,ComparisonData!$JO$1),0),5)</f>
        <v>0</v>
      </c>
      <c r="JP30" s="46" cm="1">
        <f t="array" ref="JP30">ROUND(IFERROR(INDEX(ArchiveResults!$F$5:$IX$116,ComparisonData!A30,ComparisonData!$JP$1),0),5)</f>
        <v>0</v>
      </c>
      <c r="JQ30" s="45" cm="1">
        <f t="array" ref="JQ30">IFERROR(INDEX(ArchiveResults!$F$5:$IX$116,ComparisonData!A30,ComparisonData!$JQ$1),0)</f>
        <v>0</v>
      </c>
      <c r="JR30" s="56">
        <v>25</v>
      </c>
      <c r="JS30" s="53" t="str">
        <f t="shared" si="42"/>
        <v>East Riding Archives and Local Studies</v>
      </c>
      <c r="JT30" s="59">
        <f t="shared" si="249"/>
        <v>0</v>
      </c>
      <c r="JU30" s="59">
        <f t="shared" si="250"/>
        <v>0</v>
      </c>
      <c r="JV30" s="59">
        <f t="shared" si="251"/>
        <v>0</v>
      </c>
      <c r="JW30" s="59">
        <f t="shared" si="252"/>
        <v>0</v>
      </c>
      <c r="JX30" s="59">
        <f t="shared" si="253"/>
        <v>0</v>
      </c>
      <c r="JY30" s="58">
        <f t="shared" si="254"/>
        <v>0</v>
      </c>
      <c r="JZ30" s="45">
        <f t="shared" si="255"/>
        <v>86</v>
      </c>
      <c r="KA30" s="45">
        <f t="shared" si="43"/>
        <v>2.8639999999999999</v>
      </c>
      <c r="KB30" s="45">
        <f t="shared" si="256"/>
        <v>1</v>
      </c>
      <c r="KC30" s="45">
        <f t="shared" si="257"/>
        <v>2</v>
      </c>
      <c r="KD30" s="45">
        <f t="shared" si="258"/>
        <v>0</v>
      </c>
      <c r="KE30" s="46" cm="1">
        <f t="array" ref="KE30">ROUND(IFERROR(INDEX(ArchiveResults!$F$5:$IX$116,ComparisonData!A30,ComparisonData!$KE$1),0),5)</f>
        <v>0</v>
      </c>
      <c r="KF30" s="46" cm="1">
        <f t="array" ref="KF30">ROUND(IFERROR(INDEX(ArchiveResults!$F$5:$IX$116,ComparisonData!A30,ComparisonData!$KF$1),0),5)</f>
        <v>0</v>
      </c>
      <c r="KG30" s="46" cm="1">
        <f t="array" ref="KG30">ROUND(IFERROR(INDEX(ArchiveResults!$F$5:$IX$116,ComparisonData!A30,ComparisonData!$KG$1),0),5)</f>
        <v>0</v>
      </c>
      <c r="KH30" s="46" cm="1">
        <f t="array" ref="KH30">ROUND(IFERROR(INDEX(ArchiveResults!$F$5:$IX$116,ComparisonData!A30,ComparisonData!$KH$1),0),5)</f>
        <v>0</v>
      </c>
      <c r="KI30" s="45" cm="1">
        <f t="array" ref="KI30">IFERROR(INDEX(ArchiveResults!$F$5:$IX$116,ComparisonData!A30,ComparisonData!$KI$1),0)</f>
        <v>0</v>
      </c>
      <c r="KJ30" s="56">
        <v>25</v>
      </c>
      <c r="KK30" s="53" t="str">
        <f t="shared" si="44"/>
        <v>East Riding Archives and Local Studies</v>
      </c>
      <c r="KL30" s="59">
        <f t="shared" si="259"/>
        <v>0</v>
      </c>
      <c r="KM30" s="59">
        <f t="shared" si="260"/>
        <v>0</v>
      </c>
      <c r="KN30" s="59">
        <f t="shared" si="261"/>
        <v>0</v>
      </c>
      <c r="KO30" s="59">
        <f t="shared" si="262"/>
        <v>0</v>
      </c>
      <c r="KP30" s="59">
        <f t="shared" si="263"/>
        <v>0</v>
      </c>
      <c r="KQ30" s="58">
        <f t="shared" si="264"/>
        <v>0</v>
      </c>
      <c r="KR30" s="45">
        <f t="shared" si="265"/>
        <v>86</v>
      </c>
      <c r="KS30" s="45">
        <f t="shared" si="45"/>
        <v>2.8639999999999999</v>
      </c>
      <c r="KT30" s="45">
        <f t="shared" si="266"/>
        <v>1</v>
      </c>
      <c r="KU30" s="45">
        <f t="shared" si="267"/>
        <v>2</v>
      </c>
      <c r="KV30" s="45">
        <f t="shared" si="268"/>
        <v>0</v>
      </c>
      <c r="KW30" s="46" cm="1">
        <f t="array" ref="KW30">ROUND(IFERROR(INDEX(ArchiveResults!$F$5:$IX$116,ComparisonData!A30,ComparisonData!$KW$1),0),5)</f>
        <v>0</v>
      </c>
      <c r="KX30" s="46" cm="1">
        <f t="array" ref="KX30">ROUND(IFERROR(INDEX(ArchiveResults!$F$5:$IX$116,ComparisonData!A30,ComparisonData!$KX$1),0),5)</f>
        <v>0</v>
      </c>
      <c r="KY30" s="46" cm="1">
        <f t="array" ref="KY30">ROUND(IFERROR(INDEX(ArchiveResults!$F$5:$IX$116,ComparisonData!A30,ComparisonData!$KY$1),0),5)</f>
        <v>0</v>
      </c>
      <c r="KZ30" s="46" cm="1">
        <f t="array" ref="KZ30">ROUND(IFERROR(INDEX(ArchiveResults!$F$5:$IX$116,ComparisonData!A30,ComparisonData!$KZ$1),0),5)</f>
        <v>0</v>
      </c>
      <c r="LA30" s="45" cm="1">
        <f t="array" ref="LA30">IFERROR(INDEX(ArchiveResults!$F$5:$IX$116,ComparisonData!A30,ComparisonData!$LA$1),0)</f>
        <v>0</v>
      </c>
      <c r="LB30" s="56">
        <v>25</v>
      </c>
      <c r="LC30" s="53" t="str">
        <f t="shared" si="46"/>
        <v>East Riding Archives and Local Studies</v>
      </c>
      <c r="LD30" s="59">
        <f t="shared" si="269"/>
        <v>0</v>
      </c>
      <c r="LE30" s="59">
        <f t="shared" si="270"/>
        <v>0</v>
      </c>
      <c r="LF30" s="59">
        <f t="shared" si="271"/>
        <v>0</v>
      </c>
      <c r="LG30" s="59">
        <f t="shared" si="272"/>
        <v>0</v>
      </c>
      <c r="LH30" s="59">
        <f t="shared" si="273"/>
        <v>0</v>
      </c>
      <c r="LI30" s="58">
        <f t="shared" si="274"/>
        <v>0</v>
      </c>
      <c r="LJ30" s="45">
        <f t="shared" si="275"/>
        <v>86</v>
      </c>
      <c r="LK30" s="45">
        <f t="shared" si="47"/>
        <v>2.8639999999999999</v>
      </c>
      <c r="LL30" s="45">
        <f t="shared" si="276"/>
        <v>1</v>
      </c>
      <c r="LM30" s="45">
        <f t="shared" si="277"/>
        <v>2</v>
      </c>
      <c r="LN30" s="45">
        <f t="shared" si="278"/>
        <v>0</v>
      </c>
      <c r="LO30" s="46" cm="1">
        <f t="array" ref="LO30">ROUND(IFERROR(INDEX(ArchiveResults!$F$5:$IX$116,ComparisonData!A30,ComparisonData!$LO$1),0),5)</f>
        <v>0</v>
      </c>
      <c r="LP30" s="46" cm="1">
        <f t="array" ref="LP30">ROUND(IFERROR(INDEX(ArchiveResults!$F$5:$IX$116,ComparisonData!A30,ComparisonData!$LP$1),0),5)</f>
        <v>0</v>
      </c>
      <c r="LQ30" s="46" cm="1">
        <f t="array" ref="LQ30">ROUND(IFERROR(INDEX(ArchiveResults!$F$5:$IX$116,ComparisonData!A30,ComparisonData!$LQ$1),0),5)</f>
        <v>0</v>
      </c>
      <c r="LR30" s="46" cm="1">
        <f t="array" ref="LR30">ROUND(IFERROR(INDEX(ArchiveResults!$F$5:$IX$116,ComparisonData!A30,ComparisonData!$LR$1),0),5)</f>
        <v>0</v>
      </c>
      <c r="LS30" s="45" cm="1">
        <f t="array" ref="LS30">IFERROR(INDEX(ArchiveResults!$F$5:$IX$116,ComparisonData!A30,ComparisonData!$LS$1),0)</f>
        <v>0</v>
      </c>
      <c r="LT30" s="56">
        <v>25</v>
      </c>
      <c r="LU30" s="53" t="str">
        <f t="shared" si="48"/>
        <v>East Riding Archives and Local Studies</v>
      </c>
      <c r="LV30" s="59">
        <f t="shared" si="279"/>
        <v>0</v>
      </c>
      <c r="LW30" s="59">
        <f t="shared" si="280"/>
        <v>0</v>
      </c>
      <c r="LX30" s="59">
        <f t="shared" si="281"/>
        <v>0</v>
      </c>
      <c r="LY30" s="59">
        <f t="shared" si="282"/>
        <v>0</v>
      </c>
      <c r="LZ30" s="59">
        <f t="shared" si="283"/>
        <v>0</v>
      </c>
      <c r="MA30" s="58">
        <f t="shared" si="284"/>
        <v>0</v>
      </c>
      <c r="MB30" s="45">
        <f t="shared" si="285"/>
        <v>86</v>
      </c>
      <c r="MC30" s="45">
        <f t="shared" si="49"/>
        <v>2.8639999999999999</v>
      </c>
      <c r="MD30" s="45">
        <f t="shared" si="286"/>
        <v>1</v>
      </c>
      <c r="ME30" s="45">
        <f t="shared" si="287"/>
        <v>2</v>
      </c>
      <c r="MF30" s="45">
        <f t="shared" si="288"/>
        <v>0</v>
      </c>
      <c r="MG30" s="46" cm="1">
        <f t="array" ref="MG30">ROUND(IFERROR(INDEX(ArchiveResults!$F$5:$IX$116,ComparisonData!A30,ComparisonData!$MG$1),0),5)</f>
        <v>0</v>
      </c>
      <c r="MH30" s="46" cm="1">
        <f t="array" ref="MH30">ROUND(IFERROR(INDEX(ArchiveResults!$F$5:$IX$116,ComparisonData!A30,ComparisonData!$MH$1),0),5)</f>
        <v>0</v>
      </c>
      <c r="MI30" s="46" cm="1">
        <f t="array" ref="MI30">ROUND(IFERROR(INDEX(ArchiveResults!$F$5:$IX$116,ComparisonData!A30,ComparisonData!$MI$1),0),5)</f>
        <v>0</v>
      </c>
      <c r="MJ30" s="46" cm="1">
        <f t="array" ref="MJ30">ROUND(IFERROR(INDEX(ArchiveResults!$F$5:$IX$116,ComparisonData!A30,ComparisonData!$MJ$1),0),5)</f>
        <v>0</v>
      </c>
      <c r="MK30" s="45" cm="1">
        <f t="array" ref="MK30">IFERROR(INDEX(ArchiveResults!$F$5:$IX$116,ComparisonData!A30,ComparisonData!$MK$1),0)</f>
        <v>0</v>
      </c>
      <c r="ML30" s="56">
        <v>25</v>
      </c>
      <c r="MM30" s="53" t="str">
        <f t="shared" si="50"/>
        <v>East Riding Archives and Local Studies</v>
      </c>
      <c r="MN30" s="59">
        <f t="shared" si="289"/>
        <v>0</v>
      </c>
      <c r="MO30" s="59">
        <f t="shared" si="290"/>
        <v>0</v>
      </c>
      <c r="MP30" s="59">
        <f t="shared" si="291"/>
        <v>0</v>
      </c>
      <c r="MQ30" s="59">
        <f t="shared" si="292"/>
        <v>0</v>
      </c>
      <c r="MR30" s="59">
        <f t="shared" si="293"/>
        <v>0</v>
      </c>
      <c r="MS30" s="58">
        <f t="shared" si="294"/>
        <v>0</v>
      </c>
      <c r="MT30" s="45">
        <f t="shared" si="295"/>
        <v>86</v>
      </c>
      <c r="MU30" s="45">
        <f t="shared" si="51"/>
        <v>2.8639999999999999</v>
      </c>
      <c r="MV30" s="45">
        <f t="shared" si="296"/>
        <v>1</v>
      </c>
      <c r="MW30" s="45">
        <f t="shared" si="297"/>
        <v>2</v>
      </c>
      <c r="MX30" s="45">
        <f t="shared" si="298"/>
        <v>0</v>
      </c>
      <c r="MY30" s="46" cm="1">
        <f t="array" ref="MY30">ROUND(IFERROR(INDEX(ArchiveResults!$F$5:$IX$116,ComparisonData!A30,ComparisonData!$MY$1),0),5)</f>
        <v>0</v>
      </c>
      <c r="MZ30" s="46" cm="1">
        <f t="array" ref="MZ30">ROUND(IFERROR(INDEX(ArchiveResults!$F$5:$IX$116,ComparisonData!A30,ComparisonData!$MZ$1),0),5)</f>
        <v>0</v>
      </c>
      <c r="NA30" s="46" cm="1">
        <f t="array" ref="NA30">ROUND(IFERROR(INDEX(ArchiveResults!$F$5:$IX$116,ComparisonData!A30,ComparisonData!$NA$1),0),5)</f>
        <v>0</v>
      </c>
      <c r="NB30" s="46" cm="1">
        <f t="array" ref="NB30">ROUND(IFERROR(INDEX(ArchiveResults!$F$5:$IX$116,ComparisonData!A30,ComparisonData!$NB$1),0),5)</f>
        <v>0</v>
      </c>
      <c r="NC30" s="45" cm="1">
        <f t="array" ref="NC30">IFERROR(INDEX(ArchiveResults!$F$5:$IX$116,ComparisonData!A30,ComparisonData!$NC$1),0)</f>
        <v>0</v>
      </c>
      <c r="ND30" s="56">
        <v>25</v>
      </c>
      <c r="NE30" s="53" t="str">
        <f t="shared" si="52"/>
        <v>East Riding Archives and Local Studies</v>
      </c>
      <c r="NF30" s="59">
        <f t="shared" si="299"/>
        <v>0</v>
      </c>
      <c r="NG30" s="59">
        <f t="shared" si="300"/>
        <v>0</v>
      </c>
      <c r="NH30" s="59">
        <f t="shared" si="301"/>
        <v>0</v>
      </c>
      <c r="NI30" s="59">
        <f t="shared" si="302"/>
        <v>0</v>
      </c>
      <c r="NJ30" s="59">
        <f t="shared" si="303"/>
        <v>0</v>
      </c>
      <c r="NK30" s="58">
        <f t="shared" si="304"/>
        <v>0</v>
      </c>
      <c r="NL30" s="45">
        <f t="shared" si="305"/>
        <v>86</v>
      </c>
      <c r="NM30" s="45">
        <f t="shared" si="53"/>
        <v>2.8639999999999999</v>
      </c>
      <c r="NN30" s="45">
        <f t="shared" si="306"/>
        <v>1</v>
      </c>
      <c r="NO30" s="45">
        <f t="shared" si="307"/>
        <v>2</v>
      </c>
      <c r="NP30" s="46" cm="1">
        <f t="array" ref="NP30">ROUND(IFERROR(INDEX(ArchiveResults!$F$5:$IX$116,ComparisonData!A30,ComparisonData!$NP$1),0),5)</f>
        <v>0</v>
      </c>
      <c r="NQ30" s="46" cm="1">
        <f t="array" ref="NQ30">ROUND(IFERROR(INDEX(ArchiveResults!$F$5:$IX$116,ComparisonData!A30,ComparisonData!$NQ$1),0),5)</f>
        <v>0</v>
      </c>
      <c r="NR30" s="46" cm="1">
        <f t="array" ref="NR30">ROUND(IFERROR(INDEX(ArchiveResults!$F$5:$IX$116,ComparisonData!A30,ComparisonData!$NR$1),0),5)</f>
        <v>0</v>
      </c>
      <c r="NS30" s="46" cm="1">
        <f t="array" ref="NS30">ROUND(IFERROR(INDEX(ArchiveResults!$F$5:$IX$116,ComparisonData!A30,ComparisonData!$NS$1),0),5)</f>
        <v>0</v>
      </c>
      <c r="NT30" s="45" cm="1">
        <f t="array" ref="NT30">IFERROR(INDEX(ArchiveResults!$F$5:$IX$116,ComparisonData!A30,ComparisonData!$NT$1),0)</f>
        <v>0</v>
      </c>
      <c r="NU30" s="56">
        <v>25</v>
      </c>
      <c r="NV30" s="53" t="str">
        <f t="shared" si="54"/>
        <v>East Riding Archives and Local Studies</v>
      </c>
      <c r="NW30" s="59">
        <f t="shared" si="308"/>
        <v>0</v>
      </c>
      <c r="NX30" s="59">
        <f t="shared" si="309"/>
        <v>0</v>
      </c>
      <c r="NY30" s="59">
        <f t="shared" si="310"/>
        <v>0</v>
      </c>
      <c r="NZ30" s="59">
        <f t="shared" si="311"/>
        <v>0</v>
      </c>
      <c r="OA30" s="59">
        <f t="shared" si="312"/>
        <v>0</v>
      </c>
      <c r="OB30" s="58">
        <f t="shared" si="313"/>
        <v>0</v>
      </c>
      <c r="OC30" s="45">
        <f t="shared" si="314"/>
        <v>86</v>
      </c>
      <c r="OD30" s="45">
        <f t="shared" si="55"/>
        <v>2.8639999999999999</v>
      </c>
      <c r="OE30" s="45">
        <f t="shared" si="315"/>
        <v>1</v>
      </c>
      <c r="OF30" s="45">
        <f t="shared" si="316"/>
        <v>2</v>
      </c>
      <c r="OG30" s="46">
        <f t="shared" si="317"/>
        <v>0</v>
      </c>
      <c r="OH30" s="46" cm="1">
        <f t="array" ref="OH30">ROUND(IFERROR(INDEX(ArchiveResults!$F$5:$IX$116,ComparisonData!A30,ComparisonData!$OH$1),0),5)</f>
        <v>0</v>
      </c>
      <c r="OI30" s="46" cm="1">
        <f t="array" ref="OI30">ROUND(IFERROR(INDEX(ArchiveResults!$F$5:$IX$116,ComparisonData!A30,ComparisonData!$OI$1),0),5)</f>
        <v>0</v>
      </c>
      <c r="OJ30" s="46" cm="1">
        <f t="array" ref="OJ30">ROUND(IFERROR(INDEX(ArchiveResults!$F$5:$IX$116,ComparisonData!A30,ComparisonData!$OJ$1),0),5)</f>
        <v>0</v>
      </c>
      <c r="OK30" s="46" cm="1">
        <f t="array" ref="OK30">ROUND(IFERROR(INDEX(ArchiveResults!$F$5:$IX$116,ComparisonData!A30,ComparisonData!$OK$1),0),5)</f>
        <v>0</v>
      </c>
      <c r="OL30" s="45" cm="1">
        <f t="array" ref="OL30">IFERROR(INDEX(ArchiveResults!$F$5:$IX$116,ComparisonData!A30,ComparisonData!$OL$1),0)</f>
        <v>0</v>
      </c>
      <c r="OM30" s="56">
        <v>25</v>
      </c>
      <c r="ON30" s="53" t="str">
        <f t="shared" si="56"/>
        <v>East Riding Archives and Local Studies</v>
      </c>
      <c r="OO30" s="59">
        <f t="shared" si="318"/>
        <v>0</v>
      </c>
      <c r="OP30" s="59">
        <f t="shared" si="319"/>
        <v>0</v>
      </c>
      <c r="OQ30" s="59">
        <f t="shared" si="320"/>
        <v>0</v>
      </c>
      <c r="OR30" s="59">
        <f t="shared" si="321"/>
        <v>0</v>
      </c>
      <c r="OS30" s="59">
        <f t="shared" si="322"/>
        <v>0</v>
      </c>
      <c r="OT30" s="58">
        <f t="shared" si="323"/>
        <v>0</v>
      </c>
      <c r="OU30" s="45">
        <f t="shared" si="324"/>
        <v>86</v>
      </c>
      <c r="OV30" s="45">
        <f t="shared" si="57"/>
        <v>2.8639999999999999</v>
      </c>
      <c r="OW30" s="45">
        <f t="shared" si="325"/>
        <v>1</v>
      </c>
      <c r="OX30" s="45">
        <f t="shared" si="326"/>
        <v>2</v>
      </c>
      <c r="OY30" s="45">
        <f t="shared" si="327"/>
        <v>0</v>
      </c>
      <c r="OZ30" s="46" cm="1">
        <f t="array" ref="OZ30">ROUND(IFERROR(INDEX(ArchiveResults!$F$5:$IX$116,ComparisonData!A30,ComparisonData!$OZ$1),0),5)</f>
        <v>0</v>
      </c>
      <c r="PA30" s="46" cm="1">
        <f t="array" ref="PA30">ROUND(IFERROR(INDEX(ArchiveResults!$F$5:$IX$116,ComparisonData!A30,ComparisonData!$PA$1),0),5)</f>
        <v>0</v>
      </c>
      <c r="PB30" s="46" cm="1">
        <f t="array" ref="PB30">ROUND(IFERROR(INDEX(ArchiveResults!$F$5:$IX$116,ComparisonData!A30,ComparisonData!$PB$1),0),5)</f>
        <v>0</v>
      </c>
      <c r="PC30" s="46" cm="1">
        <f t="array" ref="PC30">ROUND(IFERROR(INDEX(ArchiveResults!$F$5:$IX$116,ComparisonData!A30,ComparisonData!$PC$1),0),5)</f>
        <v>0</v>
      </c>
      <c r="PD30" s="45" cm="1">
        <f t="array" ref="PD30">IFERROR(INDEX(ArchiveResults!$F$5:$IX$116,ComparisonData!A30,ComparisonData!$PD$1),0)</f>
        <v>0</v>
      </c>
      <c r="PE30" s="56">
        <v>25</v>
      </c>
      <c r="PF30" s="53" t="str">
        <f t="shared" si="58"/>
        <v>East Riding Archives and Local Studies</v>
      </c>
      <c r="PG30" s="59">
        <f t="shared" si="328"/>
        <v>0</v>
      </c>
      <c r="PH30" s="59">
        <f t="shared" si="329"/>
        <v>0</v>
      </c>
      <c r="PI30" s="59">
        <f t="shared" si="330"/>
        <v>0</v>
      </c>
      <c r="PJ30" s="59">
        <f t="shared" si="331"/>
        <v>0</v>
      </c>
      <c r="PK30" s="59">
        <f t="shared" si="332"/>
        <v>0</v>
      </c>
      <c r="PL30" s="58">
        <f t="shared" si="333"/>
        <v>0</v>
      </c>
      <c r="PM30" s="45">
        <f t="shared" si="334"/>
        <v>86</v>
      </c>
      <c r="PN30" s="45">
        <f t="shared" si="59"/>
        <v>2.8639999999999999</v>
      </c>
      <c r="PO30" s="45">
        <f t="shared" si="335"/>
        <v>1</v>
      </c>
      <c r="PP30" s="45">
        <f t="shared" si="336"/>
        <v>2</v>
      </c>
      <c r="PQ30" s="45">
        <f t="shared" si="337"/>
        <v>0</v>
      </c>
      <c r="PR30" s="46" cm="1">
        <f t="array" ref="PR30">ROUND(IFERROR(INDEX(ArchiveResults!$F$5:$IX$116,ComparisonData!A30,ComparisonData!$PR$1),0),5)</f>
        <v>0</v>
      </c>
      <c r="PS30" s="46" cm="1">
        <f t="array" ref="PS30">ROUND(IFERROR(INDEX(ArchiveResults!$F$5:$IX$116,ComparisonData!A30,ComparisonData!$PS$1),0),5)</f>
        <v>0</v>
      </c>
      <c r="PT30" s="46" cm="1">
        <f t="array" ref="PT30">ROUND(IFERROR(INDEX(ArchiveResults!$F$5:$IX$116,ComparisonData!A30,ComparisonData!$PT$1),0),5)</f>
        <v>0</v>
      </c>
      <c r="PU30" s="46" cm="1">
        <f t="array" ref="PU30">ROUND(IFERROR(INDEX(ArchiveResults!$F$5:$IX$116,ComparisonData!A30,ComparisonData!$PU$1),0),5)</f>
        <v>0</v>
      </c>
      <c r="PV30" s="45" cm="1">
        <f t="array" ref="PV30">IFERROR(INDEX(ArchiveResults!$F$5:$IX$116,ComparisonData!A30,ComparisonData!$PV$1),0)</f>
        <v>0</v>
      </c>
      <c r="PW30" s="56">
        <v>25</v>
      </c>
      <c r="PX30" s="53" t="str">
        <f t="shared" si="60"/>
        <v>East Riding Archives and Local Studies</v>
      </c>
      <c r="PY30" s="59">
        <f t="shared" si="338"/>
        <v>0</v>
      </c>
      <c r="PZ30" s="59">
        <f t="shared" si="339"/>
        <v>0</v>
      </c>
      <c r="QA30" s="59">
        <f t="shared" si="340"/>
        <v>0</v>
      </c>
      <c r="QB30" s="59">
        <f t="shared" si="341"/>
        <v>0</v>
      </c>
      <c r="QC30" s="59">
        <f t="shared" si="342"/>
        <v>0</v>
      </c>
      <c r="QD30" s="58">
        <f t="shared" si="343"/>
        <v>0</v>
      </c>
      <c r="QE30" s="45">
        <f t="shared" si="344"/>
        <v>86</v>
      </c>
      <c r="QF30" s="45">
        <f t="shared" si="61"/>
        <v>2.8639999999999999</v>
      </c>
      <c r="QG30" s="45">
        <f t="shared" si="345"/>
        <v>1</v>
      </c>
      <c r="QH30" s="45">
        <f t="shared" si="346"/>
        <v>2</v>
      </c>
      <c r="QI30" s="45">
        <f t="shared" si="347"/>
        <v>0</v>
      </c>
      <c r="QJ30" s="46" cm="1">
        <f t="array" ref="QJ30">ROUND(IFERROR(INDEX(ArchiveResults!$F$5:$IX$116,ComparisonData!A30,ComparisonData!$QJ$1),0),5)</f>
        <v>0</v>
      </c>
      <c r="QK30" s="46" cm="1">
        <f t="array" ref="QK30">ROUND(IFERROR(INDEX(ArchiveResults!$F$5:$IX$116,ComparisonData!A30,ComparisonData!$QK$1),0),5)</f>
        <v>0</v>
      </c>
      <c r="QL30" s="46" cm="1">
        <f t="array" ref="QL30">ROUND(IFERROR(INDEX(ArchiveResults!$F$5:$IX$116,ComparisonData!A30,ComparisonData!$QL$1),0),5)</f>
        <v>0</v>
      </c>
      <c r="QM30" s="46" cm="1">
        <f t="array" ref="QM30">ROUND(IFERROR(INDEX(ArchiveResults!$F$5:$IX$116,ComparisonData!A30,ComparisonData!$QM$1),0),5)</f>
        <v>0</v>
      </c>
      <c r="QN30" s="45" cm="1">
        <f t="array" ref="QN30">IFERROR(INDEX(ArchiveResults!$F$5:$IX$116,ComparisonData!A30,ComparisonData!$QN$1),0)</f>
        <v>0</v>
      </c>
      <c r="QO30" s="56">
        <v>25</v>
      </c>
      <c r="QP30" s="53" t="str">
        <f t="shared" si="62"/>
        <v>East Riding Archives and Local Studies</v>
      </c>
      <c r="QQ30" s="59">
        <f t="shared" si="348"/>
        <v>0</v>
      </c>
      <c r="QR30" s="59">
        <f t="shared" si="349"/>
        <v>0</v>
      </c>
      <c r="QS30" s="59">
        <f t="shared" si="350"/>
        <v>0</v>
      </c>
      <c r="QT30" s="59">
        <f t="shared" si="351"/>
        <v>0</v>
      </c>
      <c r="QU30" s="59">
        <f t="shared" si="352"/>
        <v>0</v>
      </c>
      <c r="QV30" s="58">
        <f t="shared" si="353"/>
        <v>0</v>
      </c>
      <c r="QW30" s="45">
        <f t="shared" si="354"/>
        <v>86</v>
      </c>
      <c r="QX30" s="45">
        <f t="shared" si="63"/>
        <v>2.8639999999999999</v>
      </c>
      <c r="QY30" s="45">
        <f t="shared" si="355"/>
        <v>1</v>
      </c>
      <c r="QZ30" s="45">
        <f t="shared" si="356"/>
        <v>2</v>
      </c>
      <c r="RA30" s="45">
        <f t="shared" si="357"/>
        <v>0</v>
      </c>
      <c r="RB30" s="46" cm="1">
        <f t="array" ref="RB30">ROUND(IFERROR(INDEX(ArchiveResults!$F$5:$IX$116,ComparisonData!A30,ComparisonData!$RB$1),0),5)</f>
        <v>0</v>
      </c>
      <c r="RC30" s="46" cm="1">
        <f t="array" ref="RC30">ROUND(IFERROR(INDEX(ArchiveResults!$F$5:$IX$116,ComparisonData!A30,ComparisonData!$RC$1),0),5)</f>
        <v>0</v>
      </c>
      <c r="RD30" s="46" cm="1">
        <f t="array" ref="RD30">ROUND(IFERROR(INDEX(ArchiveResults!$F$5:$IX$116,ComparisonData!A30,ComparisonData!$RD$1),0),5)</f>
        <v>0</v>
      </c>
      <c r="RE30" s="46" cm="1">
        <f t="array" ref="RE30">ROUND(IFERROR(INDEX(ArchiveResults!$F$5:$IX$116,ComparisonData!A30,ComparisonData!$RE$1),0),5)</f>
        <v>0</v>
      </c>
      <c r="RF30" s="45" cm="1">
        <f t="array" ref="RF30">IFERROR(INDEX(ArchiveResults!$F$5:$IX$116,ComparisonData!A30,ComparisonData!$RF$1),0)</f>
        <v>0</v>
      </c>
      <c r="RG30" s="56">
        <v>25</v>
      </c>
      <c r="RH30" s="53" t="str">
        <f t="shared" si="64"/>
        <v>East Riding Archives and Local Studies</v>
      </c>
      <c r="RI30" s="59">
        <f t="shared" si="358"/>
        <v>0</v>
      </c>
      <c r="RJ30" s="59">
        <f t="shared" si="359"/>
        <v>0</v>
      </c>
      <c r="RK30" s="59">
        <f t="shared" si="360"/>
        <v>0</v>
      </c>
      <c r="RL30" s="59">
        <f t="shared" si="361"/>
        <v>0</v>
      </c>
      <c r="RM30" s="59">
        <f t="shared" si="362"/>
        <v>0</v>
      </c>
      <c r="RN30" s="58">
        <f t="shared" si="363"/>
        <v>0</v>
      </c>
      <c r="RO30" s="45">
        <f t="shared" si="364"/>
        <v>86</v>
      </c>
      <c r="RP30" s="45">
        <f t="shared" si="65"/>
        <v>2.8639999999999999</v>
      </c>
      <c r="RQ30" s="45">
        <f t="shared" si="365"/>
        <v>1</v>
      </c>
      <c r="RR30" s="45">
        <f t="shared" si="366"/>
        <v>2</v>
      </c>
      <c r="RS30" s="45">
        <f t="shared" si="367"/>
        <v>0</v>
      </c>
      <c r="RT30" s="46" cm="1">
        <f t="array" ref="RT30">ROUND(IFERROR(INDEX(ArchiveResults!$F$5:$IX$116,ComparisonData!A30,ComparisonData!$RT$1),0),5)</f>
        <v>0</v>
      </c>
      <c r="RU30" s="46" cm="1">
        <f t="array" ref="RU30">ROUND(IFERROR(INDEX(ArchiveResults!$F$5:$IX$116,ComparisonData!A30,ComparisonData!$RU$1),0),5)</f>
        <v>0</v>
      </c>
      <c r="RV30" s="46" cm="1">
        <f t="array" ref="RV30">ROUND(IFERROR(INDEX(ArchiveResults!$F$5:$IX$116,ComparisonData!A30,ComparisonData!$RV$1),0),5)</f>
        <v>0</v>
      </c>
      <c r="RW30" s="46" cm="1">
        <f t="array" ref="RW30">ROUND(IFERROR(INDEX(ArchiveResults!$F$5:$IX$116,ComparisonData!A30,ComparisonData!$RW$1),0),5)</f>
        <v>0</v>
      </c>
      <c r="RX30" s="45" cm="1">
        <f t="array" ref="RX30">IFERROR(INDEX(ArchiveResults!$F$5:$IX$116,ComparisonData!A30,ComparisonData!$RX$1),0)</f>
        <v>0</v>
      </c>
      <c r="RY30" s="56">
        <v>25</v>
      </c>
      <c r="RZ30" s="53" t="str">
        <f t="shared" si="66"/>
        <v>East Riding Archives and Local Studies</v>
      </c>
      <c r="SA30" s="59">
        <f t="shared" si="368"/>
        <v>0</v>
      </c>
      <c r="SB30" s="59">
        <f t="shared" si="369"/>
        <v>0</v>
      </c>
      <c r="SC30" s="59">
        <f t="shared" si="370"/>
        <v>0</v>
      </c>
      <c r="SD30" s="59">
        <f t="shared" si="371"/>
        <v>0</v>
      </c>
      <c r="SE30" s="59">
        <f t="shared" si="372"/>
        <v>0</v>
      </c>
      <c r="SF30" s="58">
        <f t="shared" si="373"/>
        <v>0</v>
      </c>
      <c r="SG30" s="45">
        <f t="shared" si="374"/>
        <v>86</v>
      </c>
      <c r="SH30" s="45">
        <f t="shared" si="67"/>
        <v>2.8639999999999999</v>
      </c>
      <c r="SI30" s="45">
        <f t="shared" si="375"/>
        <v>1</v>
      </c>
      <c r="SJ30" s="45">
        <f t="shared" si="376"/>
        <v>2</v>
      </c>
      <c r="SK30" s="45">
        <f t="shared" si="377"/>
        <v>0</v>
      </c>
      <c r="SL30" s="46" cm="1">
        <f t="array" ref="SL30">ROUND(IFERROR(INDEX(ArchiveResults!$F$5:$IX$116,ComparisonData!A30,ComparisonData!$SL$1),0),5)</f>
        <v>0</v>
      </c>
      <c r="SM30" s="46" cm="1">
        <f t="array" ref="SM30">ROUND(IFERROR(INDEX(ArchiveResults!$F$5:$IX$116,ComparisonData!A30,ComparisonData!$SM$1),0),5)</f>
        <v>0</v>
      </c>
      <c r="SN30" s="46" cm="1">
        <f t="array" ref="SN30">ROUND(IFERROR(INDEX(ArchiveResults!$F$5:$IX$116,ComparisonData!A30,ComparisonData!$SN$1),0),5)</f>
        <v>0</v>
      </c>
      <c r="SO30" s="46" cm="1">
        <f t="array" ref="SO30">ROUND(IFERROR(INDEX(ArchiveResults!$F$5:$IX$116,ComparisonData!A30,ComparisonData!$SO$1),0),5)</f>
        <v>0</v>
      </c>
      <c r="SP30" s="45" cm="1">
        <f t="array" ref="SP30">IFERROR(INDEX(ArchiveResults!$F$5:$IX$116,ComparisonData!A30,ComparisonData!$SP$1),0)</f>
        <v>0</v>
      </c>
      <c r="SQ30" s="56">
        <v>25</v>
      </c>
      <c r="SR30" s="53" t="str">
        <f t="shared" si="68"/>
        <v>East Riding Archives and Local Studies</v>
      </c>
      <c r="SS30" s="59">
        <f t="shared" si="378"/>
        <v>0</v>
      </c>
      <c r="ST30" s="59">
        <f t="shared" si="379"/>
        <v>0</v>
      </c>
      <c r="SU30" s="59">
        <f t="shared" si="380"/>
        <v>0</v>
      </c>
      <c r="SV30" s="59">
        <f t="shared" si="381"/>
        <v>0</v>
      </c>
      <c r="SW30" s="59">
        <f t="shared" si="382"/>
        <v>0</v>
      </c>
      <c r="SX30" s="58">
        <f t="shared" si="383"/>
        <v>0</v>
      </c>
      <c r="SY30" s="45">
        <f t="shared" si="384"/>
        <v>86</v>
      </c>
      <c r="SZ30" s="45">
        <f t="shared" si="69"/>
        <v>2.8639999999999999</v>
      </c>
      <c r="TA30" s="45">
        <f t="shared" si="385"/>
        <v>1</v>
      </c>
      <c r="TB30" s="45">
        <f t="shared" si="386"/>
        <v>2</v>
      </c>
      <c r="TC30" s="45">
        <f t="shared" si="387"/>
        <v>0</v>
      </c>
      <c r="TD30" s="46" cm="1">
        <f t="array" ref="TD30">ROUND(IFERROR(INDEX(ArchiveResults!$F$5:$IX$116,ComparisonData!A30,ComparisonData!$TD$1),0),5)</f>
        <v>0</v>
      </c>
      <c r="TE30" s="46" cm="1">
        <f t="array" ref="TE30">ROUND(IFERROR(INDEX(ArchiveResults!$F$5:$IX$116,ComparisonData!A30,ComparisonData!$TE$1),0),5)</f>
        <v>0</v>
      </c>
      <c r="TF30" s="46" cm="1">
        <f t="array" ref="TF30">ROUND(IFERROR(INDEX(ArchiveResults!$F$5:$IX$116,ComparisonData!A30,ComparisonData!$TF$1),0),5)</f>
        <v>0</v>
      </c>
      <c r="TG30" s="46" cm="1">
        <f t="array" ref="TG30">ROUND(IFERROR(INDEX(ArchiveResults!$F$5:$IX$116,ComparisonData!A30,ComparisonData!$TG$1),0),5)</f>
        <v>0</v>
      </c>
      <c r="TH30" s="45" cm="1">
        <f t="array" ref="TH30">IFERROR(INDEX(ArchiveResults!$F$5:$IX$116,ComparisonData!A30,ComparisonData!$TH$1),0)</f>
        <v>0</v>
      </c>
      <c r="TI30" s="56">
        <v>25</v>
      </c>
      <c r="TJ30" s="53" t="str">
        <f t="shared" si="70"/>
        <v>East Riding Archives and Local Studies</v>
      </c>
      <c r="TK30" s="59">
        <f t="shared" si="388"/>
        <v>0</v>
      </c>
      <c r="TL30" s="59">
        <f t="shared" si="389"/>
        <v>0</v>
      </c>
      <c r="TM30" s="59">
        <f t="shared" si="390"/>
        <v>0</v>
      </c>
      <c r="TN30" s="59">
        <f t="shared" si="391"/>
        <v>0</v>
      </c>
      <c r="TO30" s="59">
        <f t="shared" si="392"/>
        <v>0</v>
      </c>
      <c r="TP30" s="58">
        <f t="shared" si="393"/>
        <v>0</v>
      </c>
      <c r="TQ30" s="45">
        <f t="shared" si="394"/>
        <v>86</v>
      </c>
      <c r="TR30" s="45">
        <f t="shared" si="71"/>
        <v>2.8639999999999999</v>
      </c>
      <c r="TS30" s="45">
        <f t="shared" si="395"/>
        <v>1</v>
      </c>
      <c r="TT30" s="45">
        <f t="shared" si="396"/>
        <v>2</v>
      </c>
      <c r="TU30" s="45">
        <f t="shared" si="397"/>
        <v>0</v>
      </c>
      <c r="TV30" s="46" cm="1">
        <f t="array" ref="TV30">ROUND(IFERROR(INDEX(ArchiveResults!$F$5:$IX$116,ComparisonData!A30,ComparisonData!$TV$1),0),5)</f>
        <v>0</v>
      </c>
      <c r="TW30" s="46" cm="1">
        <f t="array" ref="TW30">ROUND(IFERROR(INDEX(ArchiveResults!$F$5:$IX$116,ComparisonData!A30,ComparisonData!$TW$1),0),5)</f>
        <v>0</v>
      </c>
      <c r="TX30" s="46" cm="1">
        <f t="array" ref="TX30">ROUND(IFERROR(INDEX(ArchiveResults!$F$5:$IX$116,ComparisonData!A30,ComparisonData!$TX$1),0),5)</f>
        <v>0</v>
      </c>
      <c r="TY30" s="46" cm="1">
        <f t="array" ref="TY30">ROUND(IFERROR(INDEX(ArchiveResults!$F$5:$IX$116,ComparisonData!A30,ComparisonData!$TY$1),0),5)</f>
        <v>0</v>
      </c>
      <c r="TZ30" s="45" cm="1">
        <f t="array" ref="TZ30">IFERROR(INDEX(ArchiveResults!$F$5:$IX$116,ComparisonData!A30,ComparisonData!$TZ$1),0)</f>
        <v>0</v>
      </c>
      <c r="UA30" s="56">
        <v>25</v>
      </c>
      <c r="UB30" s="53" t="str">
        <f t="shared" si="72"/>
        <v>East Riding Archives and Local Studies</v>
      </c>
      <c r="UC30" s="60">
        <f t="shared" si="398"/>
        <v>0</v>
      </c>
      <c r="UD30" s="60">
        <f t="shared" si="399"/>
        <v>0</v>
      </c>
      <c r="UE30" s="60">
        <f t="shared" si="400"/>
        <v>0</v>
      </c>
      <c r="UF30" s="60">
        <f t="shared" si="401"/>
        <v>0</v>
      </c>
      <c r="UG30" s="60">
        <f t="shared" si="402"/>
        <v>0</v>
      </c>
      <c r="UH30" s="58">
        <f t="shared" si="403"/>
        <v>0</v>
      </c>
      <c r="UI30" s="46">
        <f t="shared" si="404"/>
        <v>86</v>
      </c>
      <c r="UJ30" s="46">
        <f t="shared" si="73"/>
        <v>2.8639999999999999</v>
      </c>
      <c r="UK30" s="46">
        <f t="shared" si="405"/>
        <v>1</v>
      </c>
      <c r="UL30" s="46">
        <f t="shared" si="406"/>
        <v>2</v>
      </c>
      <c r="UM30" s="46" cm="1">
        <f t="array" ref="UM30">ROUND(IFERROR(INDEX(ArchiveResults!$F$5:$IX$116,ComparisonData!A30,ComparisonData!$UM$1),0),5)</f>
        <v>0</v>
      </c>
      <c r="UN30" s="56">
        <v>25</v>
      </c>
      <c r="UO30" s="53" t="str">
        <f t="shared" si="74"/>
        <v>East Riding Archives and Local Studies</v>
      </c>
      <c r="UP30" s="46">
        <f t="shared" si="407"/>
        <v>0</v>
      </c>
      <c r="UQ30" s="76">
        <f t="shared" si="408"/>
        <v>0</v>
      </c>
      <c r="UR30" s="46">
        <f t="shared" si="409"/>
        <v>86</v>
      </c>
      <c r="US30" s="46">
        <f t="shared" si="75"/>
        <v>2.8639999999999999</v>
      </c>
      <c r="UT30" s="46">
        <f t="shared" si="410"/>
        <v>1</v>
      </c>
      <c r="UU30" s="46">
        <f t="shared" si="411"/>
        <v>2</v>
      </c>
      <c r="UV30" s="46">
        <f t="shared" si="412"/>
        <v>0</v>
      </c>
      <c r="UW30" s="46" cm="1">
        <f t="array" ref="UW30">ROUND(IFERROR(INDEX(ArchiveResults!$F$5:$IX$116,ComparisonData!A30,ComparisonData!$UW$1),0),5)</f>
        <v>0</v>
      </c>
      <c r="UX30" s="46" cm="1">
        <f t="array" ref="UX30">ROUND(IFERROR(INDEX(ArchiveResults!$F$5:$IX$116,ComparisonData!A30,ComparisonData!$UX$1),0),5)</f>
        <v>0</v>
      </c>
      <c r="UY30" s="46" cm="1">
        <f t="array" ref="UY30">ROUND(IFERROR(INDEX(ArchiveResults!$F$5:$IX$116,ComparisonData!A30,ComparisonData!$UY$1),0),5)</f>
        <v>0</v>
      </c>
      <c r="UZ30" s="46" cm="1">
        <f t="array" ref="UZ30">ROUND(IFERROR(INDEX(ArchiveResults!$F$5:$IX$116,ComparisonData!A30,ComparisonData!$UZ$1),0),5)</f>
        <v>0</v>
      </c>
      <c r="VA30" s="46" cm="1">
        <f t="array" ref="VA30">ROUND(IFERROR(INDEX(ArchiveResults!$F$5:$IX$116,ComparisonData!A30,ComparisonData!$VA$1),0),5)</f>
        <v>0</v>
      </c>
      <c r="VB30" s="56">
        <v>25</v>
      </c>
      <c r="VC30" s="53" t="str">
        <f t="shared" si="76"/>
        <v>East Riding Archives and Local Studies</v>
      </c>
      <c r="VD30" s="60">
        <f t="shared" si="413"/>
        <v>0</v>
      </c>
      <c r="VE30" s="60">
        <f t="shared" si="414"/>
        <v>0</v>
      </c>
      <c r="VF30" s="60">
        <f t="shared" si="415"/>
        <v>0</v>
      </c>
      <c r="VG30" s="60">
        <f t="shared" si="416"/>
        <v>0</v>
      </c>
      <c r="VH30" s="60">
        <f t="shared" si="417"/>
        <v>0</v>
      </c>
      <c r="VI30" s="76">
        <f t="shared" si="418"/>
        <v>0</v>
      </c>
      <c r="VJ30" s="46">
        <f t="shared" si="419"/>
        <v>86</v>
      </c>
      <c r="VK30" s="46">
        <f t="shared" si="77"/>
        <v>2.8639999999999999</v>
      </c>
      <c r="VL30" s="46">
        <f t="shared" si="420"/>
        <v>1</v>
      </c>
      <c r="VM30" s="46">
        <f t="shared" si="421"/>
        <v>2</v>
      </c>
      <c r="VN30" s="46" cm="1">
        <f t="array" ref="VN30">ROUND(IFERROR(INDEX(ArchiveResults!$F$5:$IX$116,ComparisonData!A30,ComparisonData!$VN$1),0),5)</f>
        <v>0</v>
      </c>
      <c r="VO30" s="46" cm="1">
        <f t="array" ref="VO30">ROUND(IFERROR(INDEX(ArchiveResults!$F$5:$IX$116,ComparisonData!A30,ComparisonData!$VO$1),0),5)</f>
        <v>0</v>
      </c>
      <c r="VP30" s="46" cm="1">
        <f t="array" ref="VP30">ROUND(IFERROR(INDEX(ArchiveResults!$F$5:$IX$116,ComparisonData!A30,ComparisonData!$VP$1),0),5)</f>
        <v>0</v>
      </c>
      <c r="VQ30" s="46" cm="1">
        <f t="array" ref="VQ30">ROUND(IFERROR(INDEX(ArchiveResults!$F$5:$IX$116,ComparisonData!A30,ComparisonData!$VQ$1),0),5)</f>
        <v>0</v>
      </c>
      <c r="VR30" s="56">
        <v>25</v>
      </c>
      <c r="VS30" s="53" t="str">
        <f t="shared" si="78"/>
        <v>East Riding Archives and Local Studies</v>
      </c>
      <c r="VT30" s="60">
        <f t="shared" si="422"/>
        <v>0</v>
      </c>
      <c r="VU30" s="60">
        <f t="shared" si="423"/>
        <v>0</v>
      </c>
      <c r="VV30" s="60">
        <f t="shared" si="424"/>
        <v>0</v>
      </c>
      <c r="VW30" s="60">
        <f t="shared" si="425"/>
        <v>0</v>
      </c>
      <c r="VX30" s="76">
        <f t="shared" si="426"/>
        <v>0</v>
      </c>
      <c r="VY30" s="46">
        <f t="shared" si="427"/>
        <v>86</v>
      </c>
      <c r="VZ30" s="46">
        <f t="shared" si="79"/>
        <v>2.8639999999999999</v>
      </c>
      <c r="WA30" s="46">
        <f t="shared" si="428"/>
        <v>1</v>
      </c>
      <c r="WB30" s="46">
        <f t="shared" si="429"/>
        <v>2</v>
      </c>
      <c r="WC30" s="46" cm="1">
        <f t="array" ref="WC30">ROUND(IFERROR(INDEX(ArchiveResults!$F$5:$IX$116,ComparisonData!A30,ComparisonData!$WC$1),0),5)</f>
        <v>0</v>
      </c>
      <c r="WD30" s="56">
        <v>25</v>
      </c>
      <c r="WE30" s="53" t="str">
        <f t="shared" si="80"/>
        <v>East Riding Archives and Local Studies</v>
      </c>
      <c r="WF30" s="46">
        <f t="shared" si="430"/>
        <v>0</v>
      </c>
      <c r="WG30" s="76">
        <f t="shared" si="431"/>
        <v>0</v>
      </c>
      <c r="WH30" s="46">
        <f t="shared" si="432"/>
        <v>86</v>
      </c>
      <c r="WI30" s="46">
        <f t="shared" si="81"/>
        <v>2.8639999999999999</v>
      </c>
      <c r="WJ30" s="46">
        <f t="shared" si="433"/>
        <v>1</v>
      </c>
      <c r="WK30" s="46">
        <f t="shared" si="434"/>
        <v>2</v>
      </c>
      <c r="WL30" s="46" cm="1">
        <f t="array" ref="WL30">ROUND(IFERROR(INDEX(ArchiveResults!$F$5:$IX$116,ComparisonData!A30,ComparisonData!$WL$1),0),5)</f>
        <v>0</v>
      </c>
      <c r="WM30" s="46" cm="1">
        <f t="array" ref="WM30">IFERROR(INDEX(ArchiveResults!$F$5:$IX$116,ComparisonData!A30,ComparisonData!$WM$1),0)</f>
        <v>0</v>
      </c>
      <c r="WN30" s="56">
        <v>25</v>
      </c>
      <c r="WO30" s="53" t="str">
        <f t="shared" si="82"/>
        <v>East Riding Archives and Local Studies</v>
      </c>
      <c r="WP30" s="60">
        <f t="shared" si="435"/>
        <v>0</v>
      </c>
      <c r="WQ30" s="60">
        <f t="shared" si="436"/>
        <v>0</v>
      </c>
      <c r="WR30" s="76">
        <f t="shared" si="437"/>
        <v>0</v>
      </c>
      <c r="WS30" s="46">
        <f t="shared" si="438"/>
        <v>86</v>
      </c>
      <c r="WT30" s="46">
        <f t="shared" si="83"/>
        <v>2.8639999999999999</v>
      </c>
      <c r="WU30" s="46">
        <f t="shared" si="439"/>
        <v>1</v>
      </c>
      <c r="WV30" s="46">
        <f t="shared" si="440"/>
        <v>2</v>
      </c>
      <c r="WW30" s="46" cm="1">
        <f t="array" ref="WW30">ROUND(VALUE(IFERROR(INDEX(ArchiveResults!$F$5:$IX$116,ComparisonData!A30,ComparisonData!$WW$1),0)),5)</f>
        <v>0</v>
      </c>
      <c r="WX30" s="46" cm="1">
        <f t="array" ref="WX30">ROUND(IFERROR(INDEX(ArchiveResults!$F$5:$IX$116,ComparisonData!A30,ComparisonData!$WX$1),0),5)</f>
        <v>0</v>
      </c>
      <c r="WY30" s="56">
        <v>25</v>
      </c>
      <c r="WZ30" s="53" t="str">
        <f t="shared" si="84"/>
        <v>East Riding Archives and Local Studies</v>
      </c>
      <c r="XA30" s="60">
        <f t="shared" si="85"/>
        <v>0</v>
      </c>
      <c r="XB30" s="60">
        <f t="shared" si="86"/>
        <v>0</v>
      </c>
      <c r="XC30" s="76">
        <f t="shared" si="441"/>
        <v>0</v>
      </c>
      <c r="XD30" s="46">
        <f t="shared" si="442"/>
        <v>86</v>
      </c>
      <c r="XE30" s="46">
        <f t="shared" si="87"/>
        <v>2.8639999999999999</v>
      </c>
      <c r="XF30" s="46">
        <f t="shared" si="443"/>
        <v>1</v>
      </c>
      <c r="XG30" s="46">
        <f t="shared" si="444"/>
        <v>2</v>
      </c>
      <c r="XH30" s="46" cm="1">
        <f t="array" ref="XH30">ROUND(VALUE(IFERROR(INDEX(ArchiveResults!$F$5:$IX$116,ComparisonData!A30,ComparisonData!$XH$1),0)),5)</f>
        <v>0</v>
      </c>
      <c r="XI30" s="46" cm="1">
        <f t="array" ref="XI30">ROUND(VALUE(IFERROR(INDEX(ArchiveResults!$F$5:$IX$116,ComparisonData!A30,ComparisonData!$XI$1),0)),5)</f>
        <v>0</v>
      </c>
      <c r="XJ30" s="56">
        <v>25</v>
      </c>
      <c r="XK30" s="53" t="str">
        <f t="shared" si="88"/>
        <v>East Riding Archives and Local Studies</v>
      </c>
      <c r="XL30" s="60">
        <f t="shared" si="445"/>
        <v>0</v>
      </c>
      <c r="XM30" s="60">
        <f t="shared" si="446"/>
        <v>0</v>
      </c>
      <c r="XN30" s="76">
        <f t="shared" si="447"/>
        <v>0</v>
      </c>
      <c r="XO30" s="46">
        <f t="shared" si="448"/>
        <v>86</v>
      </c>
      <c r="XP30" s="46">
        <f t="shared" si="89"/>
        <v>2.8639999999999999</v>
      </c>
      <c r="XQ30" s="46">
        <f t="shared" si="449"/>
        <v>1</v>
      </c>
      <c r="XR30" s="46">
        <f t="shared" si="450"/>
        <v>2</v>
      </c>
      <c r="XS30" s="46" cm="1">
        <f t="array" ref="XS30">ROUND(VALUE(IFERROR(INDEX(ArchiveResults!$F$5:$IX$116,ComparisonData!A30,ComparisonData!$XS$1),0)),5)</f>
        <v>0</v>
      </c>
      <c r="XT30" s="46" cm="1">
        <f t="array" ref="XT30">ROUND(VALUE(IFERROR(INDEX(ArchiveResults!$F$5:$IX$116,ComparisonData!A30,ComparisonData!$XT$1),0)),5)</f>
        <v>0</v>
      </c>
      <c r="XU30" s="56">
        <v>25</v>
      </c>
      <c r="XV30" s="53" t="str">
        <f t="shared" si="90"/>
        <v>East Riding Archives and Local Studies</v>
      </c>
      <c r="XW30" s="60">
        <f t="shared" si="451"/>
        <v>0</v>
      </c>
      <c r="XX30" s="60">
        <f t="shared" si="452"/>
        <v>0</v>
      </c>
      <c r="XY30" s="76">
        <f t="shared" si="453"/>
        <v>0</v>
      </c>
      <c r="XZ30" s="46">
        <f t="shared" si="454"/>
        <v>86</v>
      </c>
      <c r="YA30" s="46">
        <f t="shared" si="91"/>
        <v>2.8639999999999999</v>
      </c>
      <c r="YB30" s="46">
        <f t="shared" si="455"/>
        <v>1</v>
      </c>
      <c r="YC30" s="46">
        <f t="shared" si="456"/>
        <v>2</v>
      </c>
      <c r="YD30" s="46" cm="1">
        <f t="array" ref="YD30">ROUND(VALUE(IFERROR(INDEX(ArchiveResults!$F$5:$IX$116,ComparisonData!A30,ComparisonData!$YD$1),0)),5)</f>
        <v>0</v>
      </c>
      <c r="YE30" s="46" cm="1">
        <f t="array" ref="YE30">ROUND(VALUE(IFERROR(INDEX(ArchiveResults!$F$5:$IX$116,ComparisonData!A30,ComparisonData!$YE$1),0)),5)</f>
        <v>0</v>
      </c>
      <c r="YF30" s="56">
        <v>25</v>
      </c>
      <c r="YG30" s="53" t="str">
        <f t="shared" si="92"/>
        <v>East Riding Archives and Local Studies</v>
      </c>
      <c r="YH30" s="60">
        <f t="shared" si="457"/>
        <v>0</v>
      </c>
      <c r="YI30" s="60">
        <f t="shared" si="458"/>
        <v>0</v>
      </c>
      <c r="YJ30" s="76">
        <f t="shared" si="459"/>
        <v>0</v>
      </c>
      <c r="YK30" s="46">
        <f t="shared" si="460"/>
        <v>86</v>
      </c>
      <c r="YL30" s="46">
        <f t="shared" si="93"/>
        <v>2.8639999999999999</v>
      </c>
      <c r="YM30" s="46">
        <f t="shared" si="461"/>
        <v>1</v>
      </c>
      <c r="YN30" s="46">
        <f t="shared" si="462"/>
        <v>2</v>
      </c>
      <c r="YO30" s="46" cm="1">
        <f t="array" ref="YO30">ROUND(VALUE(IFERROR(INDEX(ArchiveResults!$F$5:$IX$116,ComparisonData!A30,ComparisonData!$YO$1),0)),5)</f>
        <v>0</v>
      </c>
      <c r="YP30" s="46" cm="1">
        <f t="array" ref="YP30">ROUND(VALUE(IFERROR(INDEX(ArchiveResults!$F$5:$IX$116,ComparisonData!A30,ComparisonData!$YP$1),0)),5)</f>
        <v>0</v>
      </c>
      <c r="YQ30" s="56">
        <v>25</v>
      </c>
      <c r="YR30" s="53" t="str">
        <f t="shared" si="94"/>
        <v>East Riding Archives and Local Studies</v>
      </c>
      <c r="YS30" s="60">
        <f t="shared" si="463"/>
        <v>0</v>
      </c>
      <c r="YT30" s="60">
        <f t="shared" si="464"/>
        <v>0</v>
      </c>
      <c r="YU30" s="76">
        <f t="shared" si="465"/>
        <v>0</v>
      </c>
      <c r="YV30" s="46">
        <f t="shared" si="466"/>
        <v>86</v>
      </c>
      <c r="YW30" s="46">
        <f t="shared" si="95"/>
        <v>2.8639999999999999</v>
      </c>
      <c r="YX30" s="46">
        <f t="shared" si="467"/>
        <v>1</v>
      </c>
      <c r="YY30" s="46">
        <f t="shared" si="468"/>
        <v>2</v>
      </c>
      <c r="YZ30" s="46">
        <f t="shared" si="469"/>
        <v>0</v>
      </c>
      <c r="ZA30" s="46" cm="1">
        <f t="array" ref="ZA30">ROUNDDOWN(VALUE(IFERROR(INDEX(ArchiveResults!$F$5:$IX$116,ComparisonData!A30,ComparisonData!$ZA$1),0)),5)</f>
        <v>0</v>
      </c>
      <c r="ZB30" s="46" cm="1">
        <f t="array" ref="ZB30">ROUNDDOWN(VALUE(IFERROR(INDEX(ArchiveResults!$F$5:$IX$116,ComparisonData!A30,ComparisonData!$ZB$1),0)),5)</f>
        <v>0</v>
      </c>
      <c r="ZC30" s="46" cm="1">
        <f t="array" ref="ZC30">ROUNDDOWN(VALUE(IFERROR(INDEX(ArchiveResults!$F$5:$IX$116,ComparisonData!A30,ComparisonData!$ZC$1),0)),5)</f>
        <v>0</v>
      </c>
      <c r="ZD30" s="46" cm="1">
        <f t="array" ref="ZD30">ROUNDDOWN(VALUE(IFERROR(INDEX(ArchiveResults!$F$5:$IX$116,ComparisonData!A30,ComparisonData!$ZD$1),0)),5)</f>
        <v>0</v>
      </c>
      <c r="ZE30" s="46" cm="1">
        <f t="array" ref="ZE30">ROUNDDOWN(VALUE(IFERROR(INDEX(ArchiveResults!$F$5:$IX$116,ComparisonData!A30,ComparisonData!$ZE$1),0)),5)</f>
        <v>0</v>
      </c>
      <c r="ZF30" s="56">
        <v>25</v>
      </c>
      <c r="ZG30" s="53" t="str">
        <f t="shared" si="96"/>
        <v>East Riding Archives and Local Studies</v>
      </c>
      <c r="ZH30" s="60">
        <f t="shared" si="470"/>
        <v>0</v>
      </c>
      <c r="ZI30" s="60">
        <f t="shared" si="471"/>
        <v>0</v>
      </c>
      <c r="ZJ30" s="60">
        <f t="shared" si="472"/>
        <v>0</v>
      </c>
      <c r="ZK30" s="60">
        <f t="shared" si="473"/>
        <v>0</v>
      </c>
      <c r="ZL30" s="60">
        <f t="shared" si="474"/>
        <v>0</v>
      </c>
      <c r="ZM30" s="76">
        <f t="shared" si="475"/>
        <v>0</v>
      </c>
      <c r="ZN30" s="46">
        <f t="shared" si="476"/>
        <v>86</v>
      </c>
      <c r="ZO30" s="46">
        <f t="shared" si="97"/>
        <v>2.8639999999999999</v>
      </c>
      <c r="ZP30" s="46">
        <f t="shared" si="477"/>
        <v>1</v>
      </c>
      <c r="ZQ30" s="46">
        <f t="shared" si="478"/>
        <v>2</v>
      </c>
      <c r="ZR30" s="46" cm="1">
        <f t="array" ref="ZR30">ROUND(VALUE(IFERROR(INDEX(ArchiveResults!$F$5:$IX$116,ComparisonData!A30,ComparisonData!$ZR$1),0)),5)</f>
        <v>0</v>
      </c>
      <c r="ZS30" s="56">
        <v>25</v>
      </c>
      <c r="ZT30" s="53" t="str">
        <f t="shared" si="98"/>
        <v>East Riding Archives and Local Studies</v>
      </c>
      <c r="ZU30" s="46">
        <f t="shared" si="479"/>
        <v>0</v>
      </c>
      <c r="ZV30" s="76">
        <f t="shared" si="480"/>
        <v>0</v>
      </c>
      <c r="ZW30" s="81" cm="1">
        <f t="array" ref="ZW30">ROUND((IFERROR(INDEX(ArchiveResults!$F$5:$IX$116,ComparisonData!A30,ComparisonData!$ZW$1),0)),5)</f>
        <v>0</v>
      </c>
      <c r="ZX30" s="81" cm="1">
        <f t="array" ref="ZX30">ROUND((IFERROR(INDEX(ArchiveResults!$F$5:$IX$116,ComparisonData!A30,ComparisonData!$ZX$1),0)),5)</f>
        <v>0</v>
      </c>
      <c r="ZY30" s="81" cm="1">
        <f t="array" ref="ZY30">ROUND((IFERROR(INDEX(ArchiveResults!$F$5:$IX$116,ComparisonData!A30,ComparisonData!$ZY$1),0)),5)</f>
        <v>0</v>
      </c>
      <c r="ZZ30" s="81" cm="1">
        <f t="array" ref="ZZ30">ROUND((IFERROR(INDEX(ArchiveResults!$F$5:$IX$116,ComparisonData!A30,ComparisonData!$ZZ$1),0)),5)</f>
        <v>0</v>
      </c>
      <c r="AAA30" s="81" cm="1">
        <f t="array" ref="AAA30">ROUND((IFERROR(INDEX(ArchiveResults!$F$5:$IX$116,ComparisonData!A30,ComparisonData!$AAA$1),0)),5)</f>
        <v>0</v>
      </c>
      <c r="AAB30" s="81" cm="1">
        <f t="array" ref="AAB30">ROUND((IFERROR(INDEX(ArchiveResults!$F$5:$IX$116,ComparisonData!A30,ComparisonData!$AAB$1),0)),5)</f>
        <v>0</v>
      </c>
      <c r="AAC30" s="81" cm="1">
        <f t="array" ref="AAC30">ROUND((IFERROR(INDEX(ArchiveResults!$F$5:$IX$116,ComparisonData!A30,ComparisonData!$AAC$1),0)),5)</f>
        <v>0</v>
      </c>
      <c r="AAD30" s="81" cm="1">
        <f t="array" ref="AAD30">ROUND((IFERROR(INDEX(ArchiveResults!$F$5:$IX$116,ComparisonData!A30,ComparisonData!$AAD$1),0)),5)</f>
        <v>0</v>
      </c>
      <c r="AAE30" s="81" cm="1">
        <f t="array" ref="AAE30">ROUND((IFERROR(INDEX(ArchiveResults!$F$5:$IX$116,ComparisonData!A30,ComparisonData!$AAE$1),0)),5)</f>
        <v>0</v>
      </c>
      <c r="AAF30" s="81" cm="1">
        <f t="array" ref="AAF30">ROUND((IFERROR(INDEX(ArchiveResults!$F$5:$IX$116,ComparisonData!A30,ComparisonData!$AAF$1),0)),5)</f>
        <v>0</v>
      </c>
      <c r="AAG30" s="46">
        <f t="shared" si="481"/>
        <v>86</v>
      </c>
      <c r="AAH30" s="46">
        <f t="shared" si="99"/>
        <v>2.8639999999999999</v>
      </c>
      <c r="AAI30" s="46">
        <f t="shared" si="482"/>
        <v>1</v>
      </c>
      <c r="AAJ30" s="46">
        <f t="shared" si="483"/>
        <v>2</v>
      </c>
      <c r="AAK30" s="46">
        <f t="shared" si="484"/>
        <v>0</v>
      </c>
      <c r="AAL30" s="46">
        <f t="shared" si="485"/>
        <v>0</v>
      </c>
      <c r="AAM30" s="46">
        <f t="shared" si="486"/>
        <v>0</v>
      </c>
      <c r="AAN30" s="46">
        <f t="shared" si="487"/>
        <v>0</v>
      </c>
      <c r="AAO30" s="46">
        <f t="shared" si="488"/>
        <v>0</v>
      </c>
      <c r="AAP30" s="46">
        <f t="shared" si="489"/>
        <v>0</v>
      </c>
      <c r="AAQ30" s="56">
        <v>25</v>
      </c>
      <c r="AAR30" s="53" t="str">
        <f t="shared" si="100"/>
        <v>East Riding Archives and Local Studies</v>
      </c>
      <c r="AAS30" s="60">
        <f t="shared" si="490"/>
        <v>0</v>
      </c>
      <c r="AAT30" s="60">
        <f t="shared" si="491"/>
        <v>0</v>
      </c>
      <c r="AAU30" s="60">
        <f t="shared" si="492"/>
        <v>0</v>
      </c>
      <c r="AAV30" s="60">
        <f t="shared" si="493"/>
        <v>0</v>
      </c>
      <c r="AAW30" s="60">
        <f t="shared" si="494"/>
        <v>0</v>
      </c>
      <c r="AAX30" s="76">
        <f t="shared" si="495"/>
        <v>0</v>
      </c>
      <c r="AAY30" s="46">
        <f t="shared" si="496"/>
        <v>86</v>
      </c>
      <c r="AAZ30" s="46">
        <f t="shared" si="101"/>
        <v>2.8639999999999999</v>
      </c>
      <c r="ABA30" s="46">
        <f t="shared" si="497"/>
        <v>1</v>
      </c>
      <c r="ABB30" s="46">
        <f t="shared" si="498"/>
        <v>2</v>
      </c>
      <c r="ABC30" s="46">
        <f t="shared" si="102"/>
        <v>0</v>
      </c>
      <c r="ABD30" s="46" cm="1">
        <f t="array" ref="ABD30">ROUND(VALUE(IFERROR(INDEX(ArchiveResults!$F$5:$IX$116,ComparisonData!A30,ComparisonData!$ABD$1),0)),5)</f>
        <v>0</v>
      </c>
      <c r="ABE30" s="46" cm="1">
        <f t="array" ref="ABE30">ROUND(VALUE(IFERROR(INDEX(ArchiveResults!$F$5:$IX$116,ComparisonData!A30,ComparisonData!$ABE$1),0)),5)</f>
        <v>0</v>
      </c>
      <c r="ABF30" s="46" cm="1">
        <f t="array" ref="ABF30">ROUND(VALUE(IFERROR(INDEX(ArchiveResults!$F$5:$IX$116,ComparisonData!A30,ComparisonData!$ABF$1),0)),5)</f>
        <v>0</v>
      </c>
      <c r="ABG30" s="46" cm="1">
        <f t="array" ref="ABG30">ROUND(VALUE(IFERROR(INDEX(ArchiveResults!$F$5:$IX$116,ComparisonData!A30,ComparisonData!$ABG$1),0)),5)</f>
        <v>0</v>
      </c>
      <c r="ABH30" s="46" cm="1">
        <f t="array" ref="ABH30">ROUND(VALUE(IFERROR(INDEX(ArchiveResults!$F$5:$IX$116,ComparisonData!A30,ComparisonData!$ABH$1),0)),5)</f>
        <v>0</v>
      </c>
      <c r="ABI30" s="56">
        <v>25</v>
      </c>
      <c r="ABJ30" s="53" t="str">
        <f t="shared" si="103"/>
        <v>East Riding Archives and Local Studies</v>
      </c>
      <c r="ABK30" s="60">
        <f t="shared" si="499"/>
        <v>0</v>
      </c>
      <c r="ABL30" s="60">
        <f t="shared" si="500"/>
        <v>0</v>
      </c>
      <c r="ABM30" s="60">
        <f t="shared" si="501"/>
        <v>0</v>
      </c>
      <c r="ABN30" s="60">
        <f t="shared" si="502"/>
        <v>0</v>
      </c>
      <c r="ABO30" s="60">
        <f t="shared" si="503"/>
        <v>0</v>
      </c>
      <c r="ABP30" s="76">
        <f t="shared" si="504"/>
        <v>0</v>
      </c>
      <c r="ABQ30" s="46">
        <f t="shared" si="505"/>
        <v>86</v>
      </c>
      <c r="ABR30" s="46">
        <f t="shared" si="104"/>
        <v>2.8639999999999999</v>
      </c>
      <c r="ABS30" s="46">
        <f t="shared" si="506"/>
        <v>1</v>
      </c>
      <c r="ABT30" s="46">
        <f t="shared" si="507"/>
        <v>2</v>
      </c>
      <c r="ABU30" s="46" cm="1">
        <f t="array" ref="ABU30">ROUND(VALUE(IFERROR(INDEX(ArchiveResults!$F$5:$IX$116,ComparisonData!A30,ComparisonData!$ABU$1),0)),5)</f>
        <v>0</v>
      </c>
      <c r="ABV30" s="46" cm="1">
        <f t="array" ref="ABV30">ROUND(VALUE(IFERROR(INDEX(ArchiveResults!$F$5:$IX$116,ComparisonData!A30,ComparisonData!$ABV$1),0)),5)</f>
        <v>0</v>
      </c>
      <c r="ABW30" s="46" cm="1">
        <f t="array" ref="ABW30">ROUND(VALUE(IFERROR(INDEX(ArchiveResults!$F$5:$IX$116,ComparisonData!A30,ComparisonData!$ABW$1),0)),5)</f>
        <v>0</v>
      </c>
      <c r="ABX30" s="46" cm="1">
        <f t="array" ref="ABX30">ROUND(VALUE(IFERROR(INDEX(ArchiveResults!$F$5:$IX$116,ComparisonData!A30,ComparisonData!$ABX$1),0)),5)</f>
        <v>0</v>
      </c>
      <c r="ABY30" s="46" cm="1">
        <f t="array" ref="ABY30">ROUND(VALUE(IFERROR(INDEX(ArchiveResults!$F$5:$IX$116,ComparisonData!A30,ComparisonData!$ABY$1),0)),5)</f>
        <v>0</v>
      </c>
      <c r="ABZ30" s="56">
        <v>25</v>
      </c>
      <c r="ACA30" s="53" t="str">
        <f t="shared" si="105"/>
        <v>East Riding Archives and Local Studies</v>
      </c>
      <c r="ACB30" s="60">
        <f t="shared" si="508"/>
        <v>0</v>
      </c>
      <c r="ACC30" s="60">
        <f t="shared" si="509"/>
        <v>0</v>
      </c>
      <c r="ACD30" s="60">
        <f t="shared" si="510"/>
        <v>0</v>
      </c>
      <c r="ACE30" s="60">
        <f t="shared" si="511"/>
        <v>0</v>
      </c>
      <c r="ACF30" s="60">
        <f t="shared" si="512"/>
        <v>0</v>
      </c>
      <c r="ACG30" s="76">
        <f t="shared" si="513"/>
        <v>0</v>
      </c>
      <c r="ACH30" s="46">
        <f t="shared" si="514"/>
        <v>86</v>
      </c>
      <c r="ACI30" s="46">
        <f t="shared" si="106"/>
        <v>2.8639999999999999</v>
      </c>
      <c r="ACJ30" s="46">
        <f t="shared" si="515"/>
        <v>1</v>
      </c>
      <c r="ACK30" s="46">
        <f t="shared" si="516"/>
        <v>2</v>
      </c>
      <c r="ACL30" s="46">
        <f t="shared" si="517"/>
        <v>0</v>
      </c>
      <c r="ACM30" s="46" cm="1">
        <f t="array" ref="ACM30">ROUND(IFERROR(INDEX(ArchiveResults!$F$5:$IX$116,ComparisonData!A30,ComparisonData!$ACM$1),0),5)</f>
        <v>0</v>
      </c>
      <c r="ACN30" s="46" cm="1">
        <f t="array" ref="ACN30">ROUND(IFERROR(INDEX(ArchiveResults!$F$5:$IX$116,ComparisonData!A30,ComparisonData!$ACN$1),0),5)</f>
        <v>0</v>
      </c>
      <c r="ACO30" s="56">
        <v>25</v>
      </c>
      <c r="ACP30" s="53" t="str">
        <f t="shared" si="107"/>
        <v>East Riding Archives and Local Studies</v>
      </c>
      <c r="ACQ30" s="60">
        <f t="shared" si="518"/>
        <v>0</v>
      </c>
      <c r="ACR30" s="60">
        <f t="shared" si="519"/>
        <v>0</v>
      </c>
      <c r="ACS30" s="76">
        <f t="shared" si="520"/>
        <v>0</v>
      </c>
      <c r="ACT30" s="46">
        <f t="shared" si="521"/>
        <v>86</v>
      </c>
      <c r="ACU30" s="46">
        <f t="shared" si="108"/>
        <v>2.8639999999999999</v>
      </c>
      <c r="ACV30" s="46">
        <f t="shared" si="522"/>
        <v>1</v>
      </c>
      <c r="ACW30" s="46">
        <f t="shared" si="523"/>
        <v>2</v>
      </c>
      <c r="ACX30" s="46">
        <f t="shared" si="524"/>
        <v>0</v>
      </c>
      <c r="ACY30" s="46" cm="1">
        <f t="array" ref="ACY30">ROUNDDOWN(IFERROR(INDEX(ArchiveResults!$F$5:$IX$116,ComparisonData!A30,ComparisonData!$ACY$1),0),5)</f>
        <v>0</v>
      </c>
      <c r="ACZ30" s="46" cm="1">
        <f t="array" ref="ACZ30">ROUNDDOWN(IFERROR(INDEX(ArchiveResults!$F$5:$IX$116,ComparisonData!A30,ComparisonData!$ACZ$1),0),5)</f>
        <v>0</v>
      </c>
      <c r="ADA30" s="46" cm="1">
        <f t="array" ref="ADA30">ROUNDDOWN(IFERROR(INDEX(ArchiveResults!$F$5:$IX$116,ComparisonData!A30,ComparisonData!$ADA$1),0),5)</f>
        <v>0</v>
      </c>
      <c r="ADB30" s="56">
        <v>25</v>
      </c>
      <c r="ADC30" s="53" t="str">
        <f t="shared" si="109"/>
        <v>East Riding Archives and Local Studies</v>
      </c>
      <c r="ADD30" s="60">
        <f t="shared" si="525"/>
        <v>0</v>
      </c>
      <c r="ADE30" s="60">
        <f t="shared" si="526"/>
        <v>0</v>
      </c>
      <c r="ADF30" s="60">
        <f t="shared" si="527"/>
        <v>0</v>
      </c>
      <c r="ADG30" s="76">
        <f t="shared" si="528"/>
        <v>0</v>
      </c>
    </row>
    <row r="31" spans="1:787" x14ac:dyDescent="0.25">
      <c r="A31" s="46" t="str">
        <f>IF(ISBLANK(ComparisonSelection!F27),"",ROW()-5)</f>
        <v/>
      </c>
      <c r="B31" s="53" t="s">
        <v>481</v>
      </c>
      <c r="C31" s="72">
        <v>0.75399999999999978</v>
      </c>
      <c r="D31" s="55">
        <f t="shared" si="110"/>
        <v>64</v>
      </c>
      <c r="E31" s="54">
        <f t="shared" si="111"/>
        <v>2.7539999999999996</v>
      </c>
      <c r="F31" s="54">
        <f t="shared" si="529"/>
        <v>1</v>
      </c>
      <c r="G31" s="72">
        <f t="shared" si="112"/>
        <v>2</v>
      </c>
      <c r="H31" s="72">
        <f t="shared" si="113"/>
        <v>0</v>
      </c>
      <c r="I31" s="46" cm="1">
        <f t="array" ref="I31">ROUND(IFERROR(INDEX(ArchiveResults!$F$5:$IX$116,ComparisonData!A31,ComparisonData!$I$1),0),5)</f>
        <v>0</v>
      </c>
      <c r="J31" s="46" cm="1">
        <f t="array" ref="J31">ROUND(IFERROR(INDEX(ArchiveResults!$F$5:$IX$116,ComparisonData!A31,ComparisonData!$J$1),0),5)</f>
        <v>0</v>
      </c>
      <c r="K31" s="56">
        <v>26</v>
      </c>
      <c r="L31" s="53" t="str">
        <f t="shared" si="114"/>
        <v>Explore York Libraries and Archives</v>
      </c>
      <c r="M31" s="57">
        <f t="shared" si="0"/>
        <v>0</v>
      </c>
      <c r="N31" s="57">
        <f t="shared" si="1"/>
        <v>0</v>
      </c>
      <c r="O31" s="58">
        <f t="shared" si="115"/>
        <v>0</v>
      </c>
      <c r="P31" s="48">
        <f t="shared" si="116"/>
        <v>64</v>
      </c>
      <c r="Q31" s="54">
        <f t="shared" si="2"/>
        <v>2.7539999999999996</v>
      </c>
      <c r="R31" s="45">
        <f t="shared" si="117"/>
        <v>1</v>
      </c>
      <c r="S31" s="46">
        <f t="shared" si="118"/>
        <v>2</v>
      </c>
      <c r="T31" s="72">
        <f t="shared" si="119"/>
        <v>0</v>
      </c>
      <c r="U31" s="46" cm="1">
        <f t="array" ref="U31">ROUND(IFERROR(INDEX(ArchiveResults!$F$5:$IX$116,ComparisonData!A31,ComparisonData!$U$1),0),5)</f>
        <v>0</v>
      </c>
      <c r="V31" s="46" cm="1">
        <f t="array" ref="V31">ROUND(IFERROR(INDEX(ArchiveResults!$F$5:$IX$116,ComparisonData!A31,ComparisonData!$V$1),0),5)</f>
        <v>0</v>
      </c>
      <c r="W31" s="56">
        <v>26</v>
      </c>
      <c r="X31" s="53" t="str">
        <f t="shared" si="3"/>
        <v>Explore York Libraries and Archives</v>
      </c>
      <c r="Y31" s="57">
        <f t="shared" si="120"/>
        <v>0</v>
      </c>
      <c r="Z31" s="57">
        <f t="shared" si="121"/>
        <v>0</v>
      </c>
      <c r="AA31" s="58">
        <f t="shared" si="122"/>
        <v>0</v>
      </c>
      <c r="AB31" s="45">
        <f t="shared" si="123"/>
        <v>64</v>
      </c>
      <c r="AC31" s="54">
        <f t="shared" si="4"/>
        <v>2.7539999999999996</v>
      </c>
      <c r="AD31" s="45">
        <f t="shared" si="124"/>
        <v>1</v>
      </c>
      <c r="AE31" s="45">
        <f t="shared" si="125"/>
        <v>2</v>
      </c>
      <c r="AF31" s="45">
        <f t="shared" si="126"/>
        <v>0</v>
      </c>
      <c r="AG31" s="46" cm="1">
        <f t="array" ref="AG31">ROUND(IFERROR(INDEX(ArchiveResults!$F$5:$IX$116,ComparisonData!A31,ComparisonData!$AG$1),0),5)</f>
        <v>0</v>
      </c>
      <c r="AH31" s="46" cm="1">
        <f t="array" ref="AH31">ROUND(IFERROR(INDEX(ArchiveResults!$F$5:$IX$116,ComparisonData!A31,ComparisonData!$AH$1),0),5)</f>
        <v>0</v>
      </c>
      <c r="AI31" s="56">
        <v>26</v>
      </c>
      <c r="AJ31" s="53" t="str">
        <f t="shared" si="5"/>
        <v>Explore York Libraries and Archives</v>
      </c>
      <c r="AK31" s="59">
        <f t="shared" si="6"/>
        <v>0</v>
      </c>
      <c r="AL31" s="59">
        <f t="shared" si="7"/>
        <v>0</v>
      </c>
      <c r="AM31" s="58">
        <f t="shared" si="127"/>
        <v>0</v>
      </c>
      <c r="AN31" s="45">
        <f t="shared" si="128"/>
        <v>64</v>
      </c>
      <c r="AO31" s="54">
        <f t="shared" si="8"/>
        <v>2.7539999999999996</v>
      </c>
      <c r="AP31" s="45">
        <f t="shared" si="129"/>
        <v>1</v>
      </c>
      <c r="AQ31" s="45">
        <f t="shared" si="130"/>
        <v>2</v>
      </c>
      <c r="AR31" s="46" cm="1">
        <f t="array" ref="AR31">ROUND(IFERROR(INDEX(ArchiveResults!$F$5:$IX$116,ComparisonData!A31,ComparisonData!$AR$1),0),5)</f>
        <v>0</v>
      </c>
      <c r="AS31" s="46" cm="1">
        <f t="array" ref="AS31">ROUND(IFERROR(INDEX(ArchiveResults!$F$5:$IX$116,ComparisonData!A31,ComparisonData!$AS$1),0),5)</f>
        <v>0</v>
      </c>
      <c r="AT31" s="46" cm="1">
        <f t="array" ref="AT31">ROUND(IFERROR(INDEX(ArchiveResults!$F$5:$IX$116,ComparisonData!A31,ComparisonData!$AT$1),0),5)</f>
        <v>0</v>
      </c>
      <c r="AU31" s="46" cm="1">
        <f t="array" ref="AU31">ROUND(IFERROR(INDEX(ArchiveResults!$F$5:$IX$116,ComparisonData!A31,ComparisonData!$AU$1),0),5)</f>
        <v>0</v>
      </c>
      <c r="AV31" s="46" cm="1">
        <f t="array" ref="AV31">ROUND(IFERROR(INDEX(ArchiveResults!$F$5:$IX$116,ComparisonData!A31,ComparisonData!$AV$1),0),5)</f>
        <v>0</v>
      </c>
      <c r="AW31" s="46" cm="1">
        <f t="array" ref="AW31">ROUND(IFERROR(INDEX(ArchiveResults!$F$5:$IX$116,ComparisonData!A31,ComparisonData!$AW$1),0),5)</f>
        <v>0</v>
      </c>
      <c r="AX31" s="46" cm="1">
        <f t="array" ref="AX31">ROUND(IFERROR(INDEX(ArchiveResults!$F$5:$IX$116,ComparisonData!A31,ComparisonData!$AX$1),0),5)</f>
        <v>0</v>
      </c>
      <c r="AY31" s="46" cm="1">
        <f t="array" ref="AY31">ROUND(IFERROR(INDEX(ArchiveResults!$F$5:$IX$116,ComparisonData!A31,ComparisonData!$AY$1),0),5)</f>
        <v>0</v>
      </c>
      <c r="AZ31" s="46" cm="1">
        <f t="array" ref="AZ31">ROUND(IFERROR(INDEX(ArchiveResults!$F$5:$IX$116,ComparisonData!A31,ComparisonData!$AZ$1),0),5)</f>
        <v>0</v>
      </c>
      <c r="BA31" s="46" cm="1">
        <f t="array" ref="BA31">ROUND(IFERROR(INDEX(ArchiveResults!$F$5:$IX$116,ComparisonData!A31,ComparisonData!$BA$1),0),5)</f>
        <v>0</v>
      </c>
      <c r="BB31" s="56">
        <v>26</v>
      </c>
      <c r="BC31" s="53" t="str">
        <f t="shared" si="9"/>
        <v>Explore York Libraries and Archives</v>
      </c>
      <c r="BD31" s="60">
        <f t="shared" si="131"/>
        <v>0</v>
      </c>
      <c r="BE31" s="60">
        <f t="shared" si="132"/>
        <v>0</v>
      </c>
      <c r="BF31" s="60">
        <f t="shared" si="133"/>
        <v>0</v>
      </c>
      <c r="BG31" s="60">
        <f t="shared" si="134"/>
        <v>0</v>
      </c>
      <c r="BH31" s="60">
        <f t="shared" si="135"/>
        <v>0</v>
      </c>
      <c r="BI31" s="60">
        <f t="shared" si="136"/>
        <v>0</v>
      </c>
      <c r="BJ31" s="60">
        <f t="shared" si="137"/>
        <v>0</v>
      </c>
      <c r="BK31" s="60">
        <f t="shared" si="138"/>
        <v>0</v>
      </c>
      <c r="BL31" s="60">
        <f t="shared" si="139"/>
        <v>0</v>
      </c>
      <c r="BM31" s="59">
        <f t="shared" si="140"/>
        <v>0</v>
      </c>
      <c r="BN31" s="58">
        <f t="shared" si="141"/>
        <v>0</v>
      </c>
      <c r="BO31" s="45">
        <f t="shared" si="142"/>
        <v>64</v>
      </c>
      <c r="BP31" s="54">
        <f t="shared" si="10"/>
        <v>2.7539999999999996</v>
      </c>
      <c r="BQ31" s="45">
        <f t="shared" si="143"/>
        <v>1</v>
      </c>
      <c r="BR31" s="45">
        <f t="shared" si="144"/>
        <v>2</v>
      </c>
      <c r="BS31" s="46" cm="1">
        <f t="array" ref="BS31">ROUND(IFERROR(INDEX(ArchiveResults!$F$5:$IX$116,ComparisonData!A31,ComparisonData!$BS$1),0),5)</f>
        <v>0</v>
      </c>
      <c r="BT31" s="46" cm="1">
        <f t="array" ref="BT31">ROUND(IFERROR(INDEX(ArchiveResults!$F$5:$IX$116,ComparisonData!A31,ComparisonData!$BT$1),0),5)</f>
        <v>0</v>
      </c>
      <c r="BU31" s="46" cm="1">
        <f t="array" ref="BU31">ROUND(IFERROR(INDEX(ArchiveResults!$F$5:$IX$116,ComparisonData!A31,ComparisonData!$BU$1),0),5)</f>
        <v>0</v>
      </c>
      <c r="BV31" s="46" cm="1">
        <f t="array" ref="BV31">ROUND(IFERROR(INDEX(ArchiveResults!$F$5:$IX$116,ComparisonData!A31,ComparisonData!$BV$1),0),5)</f>
        <v>0</v>
      </c>
      <c r="BW31" s="46" cm="1">
        <f t="array" ref="BW31">ROUND(IFERROR(INDEX(ArchiveResults!$F$5:$IX$116,ComparisonData!A31,ComparisonData!$BW$1),0),5)</f>
        <v>0</v>
      </c>
      <c r="BX31" s="46" cm="1">
        <f t="array" ref="BX31">ROUND(IFERROR(INDEX(ArchiveResults!$F$5:$IX$116,ComparisonData!A31,ComparisonData!$BX$1),0),5)</f>
        <v>0</v>
      </c>
      <c r="BY31" s="56">
        <v>26</v>
      </c>
      <c r="BZ31" s="53" t="str">
        <f t="shared" si="11"/>
        <v>Explore York Libraries and Archives</v>
      </c>
      <c r="CA31" s="59">
        <f t="shared" si="145"/>
        <v>0</v>
      </c>
      <c r="CB31" s="59">
        <f t="shared" si="146"/>
        <v>0</v>
      </c>
      <c r="CC31" s="59">
        <f t="shared" si="147"/>
        <v>0</v>
      </c>
      <c r="CD31" s="59">
        <f t="shared" si="148"/>
        <v>0</v>
      </c>
      <c r="CE31" s="59">
        <f t="shared" si="149"/>
        <v>0</v>
      </c>
      <c r="CF31" s="59">
        <f t="shared" si="150"/>
        <v>0</v>
      </c>
      <c r="CG31" s="58">
        <f t="shared" si="151"/>
        <v>0</v>
      </c>
      <c r="CH31" s="45">
        <f t="shared" si="152"/>
        <v>64</v>
      </c>
      <c r="CI31" s="54">
        <f t="shared" si="12"/>
        <v>2.7539999999999996</v>
      </c>
      <c r="CJ31" s="45">
        <f t="shared" si="153"/>
        <v>1</v>
      </c>
      <c r="CK31" s="45">
        <f t="shared" si="154"/>
        <v>2</v>
      </c>
      <c r="CL31" s="46" cm="1">
        <f t="array" ref="CL31">ROUND(IFERROR(INDEX(ArchiveResults!$F$5:$IX$116,ComparisonData!A31,ComparisonData!$CL$1),0),5)</f>
        <v>0</v>
      </c>
      <c r="CM31" s="56">
        <v>26</v>
      </c>
      <c r="CN31" s="53" t="str">
        <f t="shared" si="13"/>
        <v>Explore York Libraries and Archives</v>
      </c>
      <c r="CO31" s="45">
        <f t="shared" si="155"/>
        <v>0</v>
      </c>
      <c r="CP31" s="58">
        <f t="shared" si="156"/>
        <v>0</v>
      </c>
      <c r="CQ31" s="45">
        <f t="shared" si="157"/>
        <v>64</v>
      </c>
      <c r="CR31" s="54">
        <f t="shared" si="14"/>
        <v>2.7539999999999996</v>
      </c>
      <c r="CS31" s="45">
        <f t="shared" si="158"/>
        <v>1</v>
      </c>
      <c r="CT31" s="45">
        <f t="shared" si="159"/>
        <v>2</v>
      </c>
      <c r="CU31" s="46" cm="1">
        <f t="array" ref="CU31">ROUND(IFERROR(INDEX(ArchiveResults!$F$5:$IX$116,ComparisonData!A31,ComparisonData!$CU$1),0),5)</f>
        <v>0</v>
      </c>
      <c r="CV31" s="56">
        <v>26</v>
      </c>
      <c r="CW31" s="53" t="str">
        <f t="shared" si="15"/>
        <v>Explore York Libraries and Archives</v>
      </c>
      <c r="CX31" s="45">
        <f t="shared" si="160"/>
        <v>0</v>
      </c>
      <c r="CY31" s="58">
        <f t="shared" si="161"/>
        <v>0</v>
      </c>
      <c r="CZ31" s="45">
        <f t="shared" si="162"/>
        <v>64</v>
      </c>
      <c r="DA31" s="54">
        <f t="shared" si="16"/>
        <v>2.7539999999999996</v>
      </c>
      <c r="DB31" s="45">
        <f t="shared" si="163"/>
        <v>1</v>
      </c>
      <c r="DC31" s="45">
        <f t="shared" si="164"/>
        <v>2</v>
      </c>
      <c r="DD31" s="46" cm="1">
        <f t="array" ref="DD31">ROUND(IFERROR(INDEX(ArchiveResults!$F$5:$IX$116,ComparisonData!A31,ComparisonData!$DD$1),0),5)</f>
        <v>0</v>
      </c>
      <c r="DE31" s="56">
        <v>26</v>
      </c>
      <c r="DF31" s="53" t="str">
        <f t="shared" si="17"/>
        <v>Explore York Libraries and Archives</v>
      </c>
      <c r="DG31" s="45">
        <f t="shared" si="165"/>
        <v>0</v>
      </c>
      <c r="DH31" s="58">
        <f t="shared" si="166"/>
        <v>0</v>
      </c>
      <c r="DI31" s="45">
        <f t="shared" si="167"/>
        <v>64</v>
      </c>
      <c r="DJ31" s="54">
        <f t="shared" si="18"/>
        <v>2.7539999999999996</v>
      </c>
      <c r="DK31" s="45">
        <f t="shared" si="168"/>
        <v>1</v>
      </c>
      <c r="DL31" s="45">
        <f t="shared" si="169"/>
        <v>2</v>
      </c>
      <c r="DM31" s="46" cm="1">
        <f t="array" ref="DM31">ROUND(IFERROR(INDEX(ArchiveResults!$F$5:$IX$116,ComparisonData!A31,ComparisonData!$DM$1),0),5)</f>
        <v>0</v>
      </c>
      <c r="DN31" s="46" cm="1">
        <f t="array" ref="DN31">ROUND(IFERROR(INDEX(ArchiveResults!$F$5:$IX$116,ComparisonData!A31,ComparisonData!$DN$1),0),5)</f>
        <v>0</v>
      </c>
      <c r="DO31" s="46" cm="1">
        <f t="array" ref="DO31">ROUND(IFERROR(INDEX(ArchiveResults!$F$5:$IX$116,ComparisonData!A31,ComparisonData!$DO$1),0),5)</f>
        <v>0</v>
      </c>
      <c r="DP31" s="46" cm="1">
        <f t="array" ref="DP31">ROUND(IFERROR(INDEX(ArchiveResults!$F$5:$IX$116,ComparisonData!A31,ComparisonData!$DP$1),0),5)</f>
        <v>0</v>
      </c>
      <c r="DQ31" s="45" cm="1">
        <f t="array" ref="DQ31">IFERROR(INDEX(ArchiveResults!$F$5:$IX$116,ComparisonData!A31,ComparisonData!$DQ$1),0)</f>
        <v>0</v>
      </c>
      <c r="DR31" s="56">
        <v>26</v>
      </c>
      <c r="DS31" s="53" t="str">
        <f t="shared" si="19"/>
        <v>Explore York Libraries and Archives</v>
      </c>
      <c r="DT31" s="59">
        <f t="shared" si="170"/>
        <v>0</v>
      </c>
      <c r="DU31" s="59">
        <f t="shared" si="171"/>
        <v>0</v>
      </c>
      <c r="DV31" s="59">
        <f t="shared" si="172"/>
        <v>0</v>
      </c>
      <c r="DW31" s="59">
        <f t="shared" si="173"/>
        <v>0</v>
      </c>
      <c r="DX31" s="59">
        <f t="shared" si="174"/>
        <v>0</v>
      </c>
      <c r="DY31" s="58">
        <f t="shared" si="175"/>
        <v>0</v>
      </c>
      <c r="DZ31" s="45">
        <f t="shared" si="176"/>
        <v>64</v>
      </c>
      <c r="EA31" s="54">
        <f t="shared" si="20"/>
        <v>2.7539999999999996</v>
      </c>
      <c r="EB31" s="45">
        <f t="shared" si="177"/>
        <v>1</v>
      </c>
      <c r="EC31" s="45">
        <f t="shared" si="178"/>
        <v>2</v>
      </c>
      <c r="ED31" s="46" cm="1">
        <f t="array" ref="ED31">ROUND(IFERROR(INDEX(ArchiveResults!$F$5:$IX$116,ComparisonData!A31,ComparisonData!$ED$1),0),5)</f>
        <v>0</v>
      </c>
      <c r="EE31" s="46" cm="1">
        <f t="array" ref="EE31">ROUND(IFERROR(INDEX(ArchiveResults!$F$5:$IX$116,ComparisonData!A31,ComparisonData!$EE$1),0),5)</f>
        <v>0</v>
      </c>
      <c r="EF31" s="46" cm="1">
        <f t="array" ref="EF31">ROUND(IFERROR(INDEX(ArchiveResults!$F$5:$IX$116,ComparisonData!A31,ComparisonData!$EF$1),0),5)</f>
        <v>0</v>
      </c>
      <c r="EG31" s="46" cm="1">
        <f t="array" ref="EG31">ROUND(IFERROR(INDEX(ArchiveResults!$F$5:$IX$116,ComparisonData!A31,ComparisonData!$EG$1),0),5)</f>
        <v>0</v>
      </c>
      <c r="EH31" s="45" cm="1">
        <f t="array" ref="EH31">IFERROR(INDEX(ArchiveResults!$F$5:$IX$116,ComparisonData!A31,ComparisonData!$EH$1),0)</f>
        <v>0</v>
      </c>
      <c r="EI31" s="56">
        <v>26</v>
      </c>
      <c r="EJ31" s="53" t="str">
        <f t="shared" si="21"/>
        <v>Explore York Libraries and Archives</v>
      </c>
      <c r="EK31" s="59">
        <f t="shared" si="179"/>
        <v>0</v>
      </c>
      <c r="EL31" s="59">
        <f t="shared" si="180"/>
        <v>0</v>
      </c>
      <c r="EM31" s="59">
        <f t="shared" si="181"/>
        <v>0</v>
      </c>
      <c r="EN31" s="59">
        <f t="shared" si="182"/>
        <v>0</v>
      </c>
      <c r="EO31" s="59">
        <f t="shared" si="183"/>
        <v>0</v>
      </c>
      <c r="EP31" s="58">
        <f t="shared" si="184"/>
        <v>0</v>
      </c>
      <c r="EQ31" s="45">
        <f t="shared" si="185"/>
        <v>64</v>
      </c>
      <c r="ER31" s="54">
        <f t="shared" si="22"/>
        <v>2.7539999999999996</v>
      </c>
      <c r="ES31" s="45">
        <f t="shared" si="186"/>
        <v>1</v>
      </c>
      <c r="ET31" s="45">
        <f t="shared" si="187"/>
        <v>2</v>
      </c>
      <c r="EU31" s="46" cm="1">
        <f t="array" ref="EU31">ROUND(IFERROR(INDEX(ArchiveResults!$F$5:$IX$116,ComparisonData!A31,ComparisonData!$EU$1),0),5)</f>
        <v>0</v>
      </c>
      <c r="EV31" s="46" cm="1">
        <f t="array" ref="EV31">ROUND(IFERROR(INDEX(ArchiveResults!$F$5:$IX$116,ComparisonData!A31,ComparisonData!$EV$1),0),5)</f>
        <v>0</v>
      </c>
      <c r="EW31" s="46" cm="1">
        <f t="array" ref="EW31">ROUND(IFERROR(INDEX(ArchiveResults!$F$5:$IX$116,ComparisonData!A31,ComparisonData!$EW$1),0),5)</f>
        <v>0</v>
      </c>
      <c r="EX31" s="46" cm="1">
        <f t="array" ref="EX31">ROUND(IFERROR(INDEX(ArchiveResults!$F$5:$IX$116,ComparisonData!A31,ComparisonData!$EX$1),0),5)</f>
        <v>0</v>
      </c>
      <c r="EY31" s="45" cm="1">
        <f t="array" ref="EY31">IFERROR(INDEX(ArchiveResults!$F$5:$IX$116,ComparisonData!A31,ComparisonData!$EY$1),0)</f>
        <v>0</v>
      </c>
      <c r="EZ31" s="56">
        <v>26</v>
      </c>
      <c r="FA31" s="53" t="str">
        <f t="shared" si="23"/>
        <v>Explore York Libraries and Archives</v>
      </c>
      <c r="FB31" s="59">
        <f t="shared" si="188"/>
        <v>0</v>
      </c>
      <c r="FC31" s="59">
        <f t="shared" si="189"/>
        <v>0</v>
      </c>
      <c r="FD31" s="59">
        <f t="shared" si="190"/>
        <v>0</v>
      </c>
      <c r="FE31" s="59">
        <f t="shared" si="191"/>
        <v>0</v>
      </c>
      <c r="FF31" s="59">
        <f t="shared" si="192"/>
        <v>0</v>
      </c>
      <c r="FG31" s="58">
        <f t="shared" si="193"/>
        <v>0</v>
      </c>
      <c r="FH31" s="45">
        <f t="shared" si="194"/>
        <v>64</v>
      </c>
      <c r="FI31" s="54">
        <f t="shared" si="24"/>
        <v>2.7539999999999996</v>
      </c>
      <c r="FJ31" s="45">
        <f t="shared" si="195"/>
        <v>1</v>
      </c>
      <c r="FK31" s="45">
        <f t="shared" si="196"/>
        <v>2</v>
      </c>
      <c r="FL31" s="46" cm="1">
        <f t="array" ref="FL31">ROUND(IFERROR(INDEX(ArchiveResults!$F$5:$IX$116,ComparisonData!A31,ComparisonData!$FL$1),0),5)</f>
        <v>0</v>
      </c>
      <c r="FM31" s="46" cm="1">
        <f t="array" ref="FM31">ROUND(IFERROR(INDEX(ArchiveResults!$F$5:$IX$116,ComparisonData!A31,ComparisonData!$FM$1),0),5)</f>
        <v>0</v>
      </c>
      <c r="FN31" s="46" cm="1">
        <f t="array" ref="FN31">ROUND(IFERROR(INDEX(ArchiveResults!$F$5:$IX$116,ComparisonData!A31,ComparisonData!$FN$1),0),5)</f>
        <v>0</v>
      </c>
      <c r="FO31" s="46" cm="1">
        <f t="array" ref="FO31">ROUND(IFERROR(INDEX(ArchiveResults!$F$5:$IX$116,ComparisonData!A31,ComparisonData!$FO$1),0),5)</f>
        <v>0</v>
      </c>
      <c r="FP31" s="45" cm="1">
        <f t="array" ref="FP31">IFERROR(INDEX(ArchiveResults!$F$5:$IX$116,ComparisonData!A31,ComparisonData!$FP$1),0)</f>
        <v>0</v>
      </c>
      <c r="FQ31" s="56">
        <v>26</v>
      </c>
      <c r="FR31" s="53" t="str">
        <f t="shared" si="25"/>
        <v>Explore York Libraries and Archives</v>
      </c>
      <c r="FS31" s="59">
        <f t="shared" si="197"/>
        <v>0</v>
      </c>
      <c r="FT31" s="59">
        <f t="shared" si="198"/>
        <v>0</v>
      </c>
      <c r="FU31" s="59">
        <f t="shared" si="199"/>
        <v>0</v>
      </c>
      <c r="FV31" s="59">
        <f t="shared" si="200"/>
        <v>0</v>
      </c>
      <c r="FW31" s="59">
        <f t="shared" si="201"/>
        <v>0</v>
      </c>
      <c r="FX31" s="58">
        <f t="shared" si="202"/>
        <v>0</v>
      </c>
      <c r="FY31" s="45">
        <f t="shared" si="203"/>
        <v>64</v>
      </c>
      <c r="FZ31" s="45">
        <f t="shared" si="26"/>
        <v>2.7539999999999996</v>
      </c>
      <c r="GA31" s="45">
        <f t="shared" si="204"/>
        <v>1</v>
      </c>
      <c r="GB31" s="45">
        <f t="shared" si="205"/>
        <v>2</v>
      </c>
      <c r="GC31" s="46" cm="1">
        <f t="array" ref="GC31">ROUND(IFERROR(INDEX(ArchiveResults!$F$5:$IX$116,ComparisonData!A31,ComparisonData!$GC$1),0),5)</f>
        <v>0</v>
      </c>
      <c r="GD31" s="46" cm="1">
        <f t="array" ref="GD31">ROUND(IFERROR(INDEX(ArchiveResults!$F$5:$IX$116,ComparisonData!A31,ComparisonData!$GD$1),0),5)</f>
        <v>0</v>
      </c>
      <c r="GE31" s="46" cm="1">
        <f t="array" ref="GE31">ROUND(IFERROR(INDEX(ArchiveResults!$F$5:$IX$116,ComparisonData!A31,ComparisonData!$GE$1),0),5)</f>
        <v>0</v>
      </c>
      <c r="GF31" s="46" cm="1">
        <f t="array" ref="GF31">ROUND(IFERROR(INDEX(ArchiveResults!$F$5:$IX$116,ComparisonData!A31,ComparisonData!$GF$1),0),5)</f>
        <v>0</v>
      </c>
      <c r="GG31" s="45" cm="1">
        <f t="array" ref="GG31">IFERROR(INDEX(ArchiveResults!$F$5:$IX$116,ComparisonData!A31,ComparisonData!$GG$1),0)</f>
        <v>0</v>
      </c>
      <c r="GH31" s="56">
        <v>26</v>
      </c>
      <c r="GI31" s="53" t="str">
        <f t="shared" si="27"/>
        <v>Explore York Libraries and Archives</v>
      </c>
      <c r="GJ31" s="59">
        <f t="shared" si="206"/>
        <v>0</v>
      </c>
      <c r="GK31" s="59">
        <f t="shared" si="207"/>
        <v>0</v>
      </c>
      <c r="GL31" s="59">
        <f t="shared" si="208"/>
        <v>0</v>
      </c>
      <c r="GM31" s="59">
        <f t="shared" si="209"/>
        <v>0</v>
      </c>
      <c r="GN31" s="59">
        <f t="shared" si="210"/>
        <v>0</v>
      </c>
      <c r="GO31" s="58">
        <f t="shared" si="211"/>
        <v>0</v>
      </c>
      <c r="GP31" s="45">
        <f t="shared" si="212"/>
        <v>64</v>
      </c>
      <c r="GQ31" s="45">
        <f t="shared" si="28"/>
        <v>2.7539999999999996</v>
      </c>
      <c r="GR31" s="45">
        <f t="shared" si="213"/>
        <v>1</v>
      </c>
      <c r="GS31" s="45">
        <f t="shared" si="214"/>
        <v>2</v>
      </c>
      <c r="GT31" s="46" cm="1">
        <f t="array" ref="GT31">ROUND(IFERROR(INDEX(ArchiveResults!$F$5:$IX$116,ComparisonData!A31,ComparisonData!$GT$1),0),5)</f>
        <v>0</v>
      </c>
      <c r="GU31" s="46" cm="1">
        <f t="array" ref="GU31">ROUND(IFERROR(INDEX(ArchiveResults!$F$5:$IX$116,ComparisonData!A31,ComparisonData!$GU$1),0),5)</f>
        <v>0</v>
      </c>
      <c r="GV31" s="46" cm="1">
        <f t="array" ref="GV31">ROUND(IFERROR(INDEX(ArchiveResults!$F$5:$IX$116,ComparisonData!A31,ComparisonData!$GV$1),0),5)</f>
        <v>0</v>
      </c>
      <c r="GW31" s="46" cm="1">
        <f t="array" ref="GW31">ROUND(IFERROR(INDEX(ArchiveResults!$F$5:$IX$116,ComparisonData!A31,ComparisonData!$GW$1),0),5)</f>
        <v>0</v>
      </c>
      <c r="GX31" s="45" cm="1">
        <f t="array" ref="GX31">IFERROR(INDEX(ArchiveResults!$F$5:$IX$116,ComparisonData!A31,ComparisonData!$GX$1),0)</f>
        <v>0</v>
      </c>
      <c r="GY31" s="56">
        <v>26</v>
      </c>
      <c r="GZ31" s="53" t="str">
        <f t="shared" si="29"/>
        <v>Explore York Libraries and Archives</v>
      </c>
      <c r="HA31" s="59">
        <f t="shared" si="215"/>
        <v>0</v>
      </c>
      <c r="HB31" s="59">
        <f t="shared" si="216"/>
        <v>0</v>
      </c>
      <c r="HC31" s="59">
        <f t="shared" si="217"/>
        <v>0</v>
      </c>
      <c r="HD31" s="59">
        <f t="shared" si="218"/>
        <v>0</v>
      </c>
      <c r="HE31" s="59">
        <f t="shared" si="219"/>
        <v>0</v>
      </c>
      <c r="HF31" s="58">
        <f t="shared" si="220"/>
        <v>0</v>
      </c>
      <c r="HG31" s="45">
        <f t="shared" si="221"/>
        <v>64</v>
      </c>
      <c r="HH31" s="45">
        <f t="shared" si="30"/>
        <v>2.7539999999999996</v>
      </c>
      <c r="HI31" s="45">
        <f t="shared" si="222"/>
        <v>1</v>
      </c>
      <c r="HJ31" s="45">
        <f t="shared" si="223"/>
        <v>2</v>
      </c>
      <c r="HK31" s="46" cm="1">
        <f t="array" ref="HK31">ROUND(IFERROR(INDEX(ArchiveResults!$F$5:$IX$116,ComparisonData!A31,ComparisonData!$HK$1),0),5)</f>
        <v>0</v>
      </c>
      <c r="HL31" s="46" cm="1">
        <f t="array" ref="HL31">ROUND(IFERROR(INDEX(ArchiveResults!$F$5:$IX$116,ComparisonData!A31,ComparisonData!$HL$1),0),5)</f>
        <v>0</v>
      </c>
      <c r="HM31" s="46" cm="1">
        <f t="array" ref="HM31">ROUND(IFERROR(INDEX(ArchiveResults!$F$5:$IX$116,ComparisonData!A31,ComparisonData!$HM$1),0),5)</f>
        <v>0</v>
      </c>
      <c r="HN31" s="46" cm="1">
        <f t="array" ref="HN31">ROUND(IFERROR(INDEX(ArchiveResults!$F$5:$IX$116,ComparisonData!A31,ComparisonData!$HN$1),0),5)</f>
        <v>0</v>
      </c>
      <c r="HO31" s="45" cm="1">
        <f t="array" ref="HO31">IFERROR(INDEX(ArchiveResults!$F$5:$IX$116,ComparisonData!A31,ComparisonData!$HO$1),0)</f>
        <v>0</v>
      </c>
      <c r="HP31" s="56">
        <v>26</v>
      </c>
      <c r="HQ31" s="53" t="str">
        <f t="shared" si="31"/>
        <v>Explore York Libraries and Archives</v>
      </c>
      <c r="HR31" s="59">
        <f t="shared" si="32"/>
        <v>0</v>
      </c>
      <c r="HS31" s="59">
        <f t="shared" si="33"/>
        <v>0</v>
      </c>
      <c r="HT31" s="59">
        <f t="shared" si="34"/>
        <v>0</v>
      </c>
      <c r="HU31" s="59">
        <f t="shared" si="35"/>
        <v>0</v>
      </c>
      <c r="HV31" s="59">
        <f t="shared" si="36"/>
        <v>0</v>
      </c>
      <c r="HW31" s="58">
        <f t="shared" si="224"/>
        <v>0</v>
      </c>
      <c r="HX31" s="45">
        <f t="shared" si="225"/>
        <v>64</v>
      </c>
      <c r="HY31" s="45">
        <f t="shared" si="37"/>
        <v>2.7539999999999996</v>
      </c>
      <c r="HZ31" s="45">
        <f t="shared" si="226"/>
        <v>1</v>
      </c>
      <c r="IA31" s="45">
        <f t="shared" si="227"/>
        <v>2</v>
      </c>
      <c r="IB31" s="45">
        <f t="shared" si="228"/>
        <v>0</v>
      </c>
      <c r="IC31" s="46" cm="1">
        <f t="array" ref="IC31">ROUND(IFERROR(INDEX(ArchiveResults!$F$5:$IX$116,ComparisonData!A31,ComparisonData!$IC$1),0),5)</f>
        <v>0</v>
      </c>
      <c r="ID31" s="46" cm="1">
        <f t="array" ref="ID31">ROUND(IFERROR(INDEX(ArchiveResults!$F$5:$IX$116,ComparisonData!A31,ComparisonData!$ID$1),0),5)</f>
        <v>0</v>
      </c>
      <c r="IE31" s="46" cm="1">
        <f t="array" ref="IE31">ROUND(IFERROR(INDEX(ArchiveResults!$F$5:$IX$116,ComparisonData!A31,ComparisonData!$IE$1),0),5)</f>
        <v>0</v>
      </c>
      <c r="IF31" s="46" cm="1">
        <f t="array" ref="IF31">ROUND(IFERROR(INDEX(ArchiveResults!$F$5:$IX$116,ComparisonData!A31,ComparisonData!$IF$1),0),5)</f>
        <v>0</v>
      </c>
      <c r="IG31" s="45" cm="1">
        <f t="array" ref="IG31">IFERROR(INDEX(ArchiveResults!$F$5:$IX$116,ComparisonData!A31,ComparisonData!$IG$1),0)</f>
        <v>0</v>
      </c>
      <c r="IH31" s="56">
        <v>26</v>
      </c>
      <c r="II31" s="53" t="str">
        <f t="shared" si="38"/>
        <v>Explore York Libraries and Archives</v>
      </c>
      <c r="IJ31" s="59">
        <f t="shared" si="229"/>
        <v>0</v>
      </c>
      <c r="IK31" s="59">
        <f t="shared" si="230"/>
        <v>0</v>
      </c>
      <c r="IL31" s="59">
        <f t="shared" si="231"/>
        <v>0</v>
      </c>
      <c r="IM31" s="59">
        <f t="shared" si="232"/>
        <v>0</v>
      </c>
      <c r="IN31" s="59">
        <f t="shared" si="233"/>
        <v>0</v>
      </c>
      <c r="IO31" s="58">
        <f t="shared" si="234"/>
        <v>0</v>
      </c>
      <c r="IP31" s="45">
        <f t="shared" si="235"/>
        <v>64</v>
      </c>
      <c r="IQ31" s="45">
        <f t="shared" si="39"/>
        <v>2.7539999999999996</v>
      </c>
      <c r="IR31" s="45">
        <f t="shared" si="236"/>
        <v>1</v>
      </c>
      <c r="IS31" s="45">
        <f t="shared" si="237"/>
        <v>2</v>
      </c>
      <c r="IT31" s="46">
        <f t="shared" si="238"/>
        <v>0</v>
      </c>
      <c r="IU31" s="46" cm="1">
        <f t="array" ref="IU31">ROUND(IFERROR(INDEX(ArchiveResults!$F$5:$IX$116,ComparisonData!A31,ComparisonData!$IU$1),0),5)</f>
        <v>0</v>
      </c>
      <c r="IV31" s="46" cm="1">
        <f t="array" ref="IV31">ROUND(IFERROR(INDEX(ArchiveResults!$F$5:$IX$116,ComparisonData!A31,ComparisonData!$IV$1),0),5)</f>
        <v>0</v>
      </c>
      <c r="IW31" s="46" cm="1">
        <f t="array" ref="IW31">ROUND(IFERROR(INDEX(ArchiveResults!$F$5:$IX$116,ComparisonData!A31,ComparisonData!$IW$1),0),5)</f>
        <v>0</v>
      </c>
      <c r="IX31" s="46" cm="1">
        <f t="array" ref="IX31">ROUND(IFERROR(INDEX(ArchiveResults!$F$5:$IX$116,ComparisonData!A31,ComparisonData!$IX$1),0),5)</f>
        <v>0</v>
      </c>
      <c r="IY31" s="45" cm="1">
        <f t="array" ref="IY31">IFERROR(INDEX(ArchiveResults!$F$5:$IX$116,ComparisonData!A31,ComparisonData!$IY$1),0)</f>
        <v>0</v>
      </c>
      <c r="IZ31" s="56">
        <v>26</v>
      </c>
      <c r="JA31" s="53" t="str">
        <f t="shared" si="40"/>
        <v>Explore York Libraries and Archives</v>
      </c>
      <c r="JB31" s="59">
        <f t="shared" si="239"/>
        <v>0</v>
      </c>
      <c r="JC31" s="59">
        <f t="shared" si="240"/>
        <v>0</v>
      </c>
      <c r="JD31" s="59">
        <f t="shared" si="241"/>
        <v>0</v>
      </c>
      <c r="JE31" s="59">
        <f t="shared" si="242"/>
        <v>0</v>
      </c>
      <c r="JF31" s="59">
        <f t="shared" si="243"/>
        <v>0</v>
      </c>
      <c r="JG31" s="58">
        <f t="shared" si="244"/>
        <v>0</v>
      </c>
      <c r="JH31" s="45">
        <f t="shared" si="245"/>
        <v>64</v>
      </c>
      <c r="JI31" s="45">
        <f t="shared" si="41"/>
        <v>2.7539999999999996</v>
      </c>
      <c r="JJ31" s="45">
        <f t="shared" si="246"/>
        <v>1</v>
      </c>
      <c r="JK31" s="45">
        <f t="shared" si="247"/>
        <v>2</v>
      </c>
      <c r="JL31" s="45">
        <f t="shared" si="248"/>
        <v>0</v>
      </c>
      <c r="JM31" s="46" cm="1">
        <f t="array" ref="JM31">ROUND(IFERROR(INDEX(ArchiveResults!$F$5:$IX$116,ComparisonData!A31,ComparisonData!$JM$1),0),5)</f>
        <v>0</v>
      </c>
      <c r="JN31" s="46" cm="1">
        <f t="array" ref="JN31">ROUND(IFERROR(INDEX(ArchiveResults!$F$5:$IX$116,ComparisonData!A31,ComparisonData!$JN$1),0),5)</f>
        <v>0</v>
      </c>
      <c r="JO31" s="46" cm="1">
        <f t="array" ref="JO31">ROUND(IFERROR(INDEX(ArchiveResults!$F$5:$IX$116,ComparisonData!A31,ComparisonData!$JO$1),0),5)</f>
        <v>0</v>
      </c>
      <c r="JP31" s="46" cm="1">
        <f t="array" ref="JP31">ROUND(IFERROR(INDEX(ArchiveResults!$F$5:$IX$116,ComparisonData!A31,ComparisonData!$JP$1),0),5)</f>
        <v>0</v>
      </c>
      <c r="JQ31" s="45" cm="1">
        <f t="array" ref="JQ31">IFERROR(INDEX(ArchiveResults!$F$5:$IX$116,ComparisonData!A31,ComparisonData!$JQ$1),0)</f>
        <v>0</v>
      </c>
      <c r="JR31" s="56">
        <v>26</v>
      </c>
      <c r="JS31" s="53" t="str">
        <f t="shared" si="42"/>
        <v>Explore York Libraries and Archives</v>
      </c>
      <c r="JT31" s="59">
        <f t="shared" si="249"/>
        <v>0</v>
      </c>
      <c r="JU31" s="59">
        <f t="shared" si="250"/>
        <v>0</v>
      </c>
      <c r="JV31" s="59">
        <f t="shared" si="251"/>
        <v>0</v>
      </c>
      <c r="JW31" s="59">
        <f t="shared" si="252"/>
        <v>0</v>
      </c>
      <c r="JX31" s="59">
        <f t="shared" si="253"/>
        <v>0</v>
      </c>
      <c r="JY31" s="58">
        <f t="shared" si="254"/>
        <v>0</v>
      </c>
      <c r="JZ31" s="45">
        <f t="shared" si="255"/>
        <v>64</v>
      </c>
      <c r="KA31" s="45">
        <f t="shared" si="43"/>
        <v>2.7539999999999996</v>
      </c>
      <c r="KB31" s="45">
        <f t="shared" si="256"/>
        <v>1</v>
      </c>
      <c r="KC31" s="45">
        <f t="shared" si="257"/>
        <v>2</v>
      </c>
      <c r="KD31" s="45">
        <f t="shared" si="258"/>
        <v>0</v>
      </c>
      <c r="KE31" s="46" cm="1">
        <f t="array" ref="KE31">ROUND(IFERROR(INDEX(ArchiveResults!$F$5:$IX$116,ComparisonData!A31,ComparisonData!$KE$1),0),5)</f>
        <v>0</v>
      </c>
      <c r="KF31" s="46" cm="1">
        <f t="array" ref="KF31">ROUND(IFERROR(INDEX(ArchiveResults!$F$5:$IX$116,ComparisonData!A31,ComparisonData!$KF$1),0),5)</f>
        <v>0</v>
      </c>
      <c r="KG31" s="46" cm="1">
        <f t="array" ref="KG31">ROUND(IFERROR(INDEX(ArchiveResults!$F$5:$IX$116,ComparisonData!A31,ComparisonData!$KG$1),0),5)</f>
        <v>0</v>
      </c>
      <c r="KH31" s="46" cm="1">
        <f t="array" ref="KH31">ROUND(IFERROR(INDEX(ArchiveResults!$F$5:$IX$116,ComparisonData!A31,ComparisonData!$KH$1),0),5)</f>
        <v>0</v>
      </c>
      <c r="KI31" s="45" cm="1">
        <f t="array" ref="KI31">IFERROR(INDEX(ArchiveResults!$F$5:$IX$116,ComparisonData!A31,ComparisonData!$KI$1),0)</f>
        <v>0</v>
      </c>
      <c r="KJ31" s="56">
        <v>26</v>
      </c>
      <c r="KK31" s="53" t="str">
        <f t="shared" si="44"/>
        <v>Explore York Libraries and Archives</v>
      </c>
      <c r="KL31" s="59">
        <f t="shared" si="259"/>
        <v>0</v>
      </c>
      <c r="KM31" s="59">
        <f t="shared" si="260"/>
        <v>0</v>
      </c>
      <c r="KN31" s="59">
        <f t="shared" si="261"/>
        <v>0</v>
      </c>
      <c r="KO31" s="59">
        <f t="shared" si="262"/>
        <v>0</v>
      </c>
      <c r="KP31" s="59">
        <f t="shared" si="263"/>
        <v>0</v>
      </c>
      <c r="KQ31" s="58">
        <f t="shared" si="264"/>
        <v>0</v>
      </c>
      <c r="KR31" s="45">
        <f t="shared" si="265"/>
        <v>64</v>
      </c>
      <c r="KS31" s="45">
        <f t="shared" si="45"/>
        <v>2.7539999999999996</v>
      </c>
      <c r="KT31" s="45">
        <f t="shared" si="266"/>
        <v>1</v>
      </c>
      <c r="KU31" s="45">
        <f t="shared" si="267"/>
        <v>2</v>
      </c>
      <c r="KV31" s="45">
        <f t="shared" si="268"/>
        <v>0</v>
      </c>
      <c r="KW31" s="46" cm="1">
        <f t="array" ref="KW31">ROUND(IFERROR(INDEX(ArchiveResults!$F$5:$IX$116,ComparisonData!A31,ComparisonData!$KW$1),0),5)</f>
        <v>0</v>
      </c>
      <c r="KX31" s="46" cm="1">
        <f t="array" ref="KX31">ROUND(IFERROR(INDEX(ArchiveResults!$F$5:$IX$116,ComparisonData!A31,ComparisonData!$KX$1),0),5)</f>
        <v>0</v>
      </c>
      <c r="KY31" s="46" cm="1">
        <f t="array" ref="KY31">ROUND(IFERROR(INDEX(ArchiveResults!$F$5:$IX$116,ComparisonData!A31,ComparisonData!$KY$1),0),5)</f>
        <v>0</v>
      </c>
      <c r="KZ31" s="46" cm="1">
        <f t="array" ref="KZ31">ROUND(IFERROR(INDEX(ArchiveResults!$F$5:$IX$116,ComparisonData!A31,ComparisonData!$KZ$1),0),5)</f>
        <v>0</v>
      </c>
      <c r="LA31" s="45" cm="1">
        <f t="array" ref="LA31">IFERROR(INDEX(ArchiveResults!$F$5:$IX$116,ComparisonData!A31,ComparisonData!$LA$1),0)</f>
        <v>0</v>
      </c>
      <c r="LB31" s="56">
        <v>26</v>
      </c>
      <c r="LC31" s="53" t="str">
        <f t="shared" si="46"/>
        <v>Explore York Libraries and Archives</v>
      </c>
      <c r="LD31" s="59">
        <f t="shared" si="269"/>
        <v>0</v>
      </c>
      <c r="LE31" s="59">
        <f t="shared" si="270"/>
        <v>0</v>
      </c>
      <c r="LF31" s="59">
        <f t="shared" si="271"/>
        <v>0</v>
      </c>
      <c r="LG31" s="59">
        <f t="shared" si="272"/>
        <v>0</v>
      </c>
      <c r="LH31" s="59">
        <f t="shared" si="273"/>
        <v>0</v>
      </c>
      <c r="LI31" s="58">
        <f t="shared" si="274"/>
        <v>0</v>
      </c>
      <c r="LJ31" s="45">
        <f t="shared" si="275"/>
        <v>64</v>
      </c>
      <c r="LK31" s="45">
        <f t="shared" si="47"/>
        <v>2.7539999999999996</v>
      </c>
      <c r="LL31" s="45">
        <f t="shared" si="276"/>
        <v>1</v>
      </c>
      <c r="LM31" s="45">
        <f t="shared" si="277"/>
        <v>2</v>
      </c>
      <c r="LN31" s="45">
        <f t="shared" si="278"/>
        <v>0</v>
      </c>
      <c r="LO31" s="46" cm="1">
        <f t="array" ref="LO31">ROUND(IFERROR(INDEX(ArchiveResults!$F$5:$IX$116,ComparisonData!A31,ComparisonData!$LO$1),0),5)</f>
        <v>0</v>
      </c>
      <c r="LP31" s="46" cm="1">
        <f t="array" ref="LP31">ROUND(IFERROR(INDEX(ArchiveResults!$F$5:$IX$116,ComparisonData!A31,ComparisonData!$LP$1),0),5)</f>
        <v>0</v>
      </c>
      <c r="LQ31" s="46" cm="1">
        <f t="array" ref="LQ31">ROUND(IFERROR(INDEX(ArchiveResults!$F$5:$IX$116,ComparisonData!A31,ComparisonData!$LQ$1),0),5)</f>
        <v>0</v>
      </c>
      <c r="LR31" s="46" cm="1">
        <f t="array" ref="LR31">ROUND(IFERROR(INDEX(ArchiveResults!$F$5:$IX$116,ComparisonData!A31,ComparisonData!$LR$1),0),5)</f>
        <v>0</v>
      </c>
      <c r="LS31" s="45" cm="1">
        <f t="array" ref="LS31">IFERROR(INDEX(ArchiveResults!$F$5:$IX$116,ComparisonData!A31,ComparisonData!$LS$1),0)</f>
        <v>0</v>
      </c>
      <c r="LT31" s="56">
        <v>26</v>
      </c>
      <c r="LU31" s="53" t="str">
        <f t="shared" si="48"/>
        <v>Explore York Libraries and Archives</v>
      </c>
      <c r="LV31" s="59">
        <f t="shared" si="279"/>
        <v>0</v>
      </c>
      <c r="LW31" s="59">
        <f t="shared" si="280"/>
        <v>0</v>
      </c>
      <c r="LX31" s="59">
        <f t="shared" si="281"/>
        <v>0</v>
      </c>
      <c r="LY31" s="59">
        <f t="shared" si="282"/>
        <v>0</v>
      </c>
      <c r="LZ31" s="59">
        <f t="shared" si="283"/>
        <v>0</v>
      </c>
      <c r="MA31" s="58">
        <f t="shared" si="284"/>
        <v>0</v>
      </c>
      <c r="MB31" s="45">
        <f t="shared" si="285"/>
        <v>64</v>
      </c>
      <c r="MC31" s="45">
        <f t="shared" si="49"/>
        <v>2.7539999999999996</v>
      </c>
      <c r="MD31" s="45">
        <f t="shared" si="286"/>
        <v>1</v>
      </c>
      <c r="ME31" s="45">
        <f t="shared" si="287"/>
        <v>2</v>
      </c>
      <c r="MF31" s="45">
        <f t="shared" si="288"/>
        <v>0</v>
      </c>
      <c r="MG31" s="46" cm="1">
        <f t="array" ref="MG31">ROUND(IFERROR(INDEX(ArchiveResults!$F$5:$IX$116,ComparisonData!A31,ComparisonData!$MG$1),0),5)</f>
        <v>0</v>
      </c>
      <c r="MH31" s="46" cm="1">
        <f t="array" ref="MH31">ROUND(IFERROR(INDEX(ArchiveResults!$F$5:$IX$116,ComparisonData!A31,ComparisonData!$MH$1),0),5)</f>
        <v>0</v>
      </c>
      <c r="MI31" s="46" cm="1">
        <f t="array" ref="MI31">ROUND(IFERROR(INDEX(ArchiveResults!$F$5:$IX$116,ComparisonData!A31,ComparisonData!$MI$1),0),5)</f>
        <v>0</v>
      </c>
      <c r="MJ31" s="46" cm="1">
        <f t="array" ref="MJ31">ROUND(IFERROR(INDEX(ArchiveResults!$F$5:$IX$116,ComparisonData!A31,ComparisonData!$MJ$1),0),5)</f>
        <v>0</v>
      </c>
      <c r="MK31" s="45" cm="1">
        <f t="array" ref="MK31">IFERROR(INDEX(ArchiveResults!$F$5:$IX$116,ComparisonData!A31,ComparisonData!$MK$1),0)</f>
        <v>0</v>
      </c>
      <c r="ML31" s="56">
        <v>26</v>
      </c>
      <c r="MM31" s="53" t="str">
        <f t="shared" si="50"/>
        <v>Explore York Libraries and Archives</v>
      </c>
      <c r="MN31" s="59">
        <f t="shared" si="289"/>
        <v>0</v>
      </c>
      <c r="MO31" s="59">
        <f t="shared" si="290"/>
        <v>0</v>
      </c>
      <c r="MP31" s="59">
        <f t="shared" si="291"/>
        <v>0</v>
      </c>
      <c r="MQ31" s="59">
        <f t="shared" si="292"/>
        <v>0</v>
      </c>
      <c r="MR31" s="59">
        <f t="shared" si="293"/>
        <v>0</v>
      </c>
      <c r="MS31" s="58">
        <f t="shared" si="294"/>
        <v>0</v>
      </c>
      <c r="MT31" s="45">
        <f t="shared" si="295"/>
        <v>64</v>
      </c>
      <c r="MU31" s="45">
        <f t="shared" si="51"/>
        <v>2.7539999999999996</v>
      </c>
      <c r="MV31" s="45">
        <f t="shared" si="296"/>
        <v>1</v>
      </c>
      <c r="MW31" s="45">
        <f t="shared" si="297"/>
        <v>2</v>
      </c>
      <c r="MX31" s="45">
        <f t="shared" si="298"/>
        <v>0</v>
      </c>
      <c r="MY31" s="46" cm="1">
        <f t="array" ref="MY31">ROUND(IFERROR(INDEX(ArchiveResults!$F$5:$IX$116,ComparisonData!A31,ComparisonData!$MY$1),0),5)</f>
        <v>0</v>
      </c>
      <c r="MZ31" s="46" cm="1">
        <f t="array" ref="MZ31">ROUND(IFERROR(INDEX(ArchiveResults!$F$5:$IX$116,ComparisonData!A31,ComparisonData!$MZ$1),0),5)</f>
        <v>0</v>
      </c>
      <c r="NA31" s="46" cm="1">
        <f t="array" ref="NA31">ROUND(IFERROR(INDEX(ArchiveResults!$F$5:$IX$116,ComparisonData!A31,ComparisonData!$NA$1),0),5)</f>
        <v>0</v>
      </c>
      <c r="NB31" s="46" cm="1">
        <f t="array" ref="NB31">ROUND(IFERROR(INDEX(ArchiveResults!$F$5:$IX$116,ComparisonData!A31,ComparisonData!$NB$1),0),5)</f>
        <v>0</v>
      </c>
      <c r="NC31" s="45" cm="1">
        <f t="array" ref="NC31">IFERROR(INDEX(ArchiveResults!$F$5:$IX$116,ComparisonData!A31,ComparisonData!$NC$1),0)</f>
        <v>0</v>
      </c>
      <c r="ND31" s="56">
        <v>26</v>
      </c>
      <c r="NE31" s="53" t="str">
        <f t="shared" si="52"/>
        <v>Explore York Libraries and Archives</v>
      </c>
      <c r="NF31" s="59">
        <f t="shared" si="299"/>
        <v>0</v>
      </c>
      <c r="NG31" s="59">
        <f t="shared" si="300"/>
        <v>0</v>
      </c>
      <c r="NH31" s="59">
        <f t="shared" si="301"/>
        <v>0</v>
      </c>
      <c r="NI31" s="59">
        <f t="shared" si="302"/>
        <v>0</v>
      </c>
      <c r="NJ31" s="59">
        <f t="shared" si="303"/>
        <v>0</v>
      </c>
      <c r="NK31" s="58">
        <f t="shared" si="304"/>
        <v>0</v>
      </c>
      <c r="NL31" s="45">
        <f t="shared" si="305"/>
        <v>64</v>
      </c>
      <c r="NM31" s="45">
        <f t="shared" si="53"/>
        <v>2.7539999999999996</v>
      </c>
      <c r="NN31" s="45">
        <f t="shared" si="306"/>
        <v>1</v>
      </c>
      <c r="NO31" s="45">
        <f t="shared" si="307"/>
        <v>2</v>
      </c>
      <c r="NP31" s="46" cm="1">
        <f t="array" ref="NP31">ROUND(IFERROR(INDEX(ArchiveResults!$F$5:$IX$116,ComparisonData!A31,ComparisonData!$NP$1),0),5)</f>
        <v>0</v>
      </c>
      <c r="NQ31" s="46" cm="1">
        <f t="array" ref="NQ31">ROUND(IFERROR(INDEX(ArchiveResults!$F$5:$IX$116,ComparisonData!A31,ComparisonData!$NQ$1),0),5)</f>
        <v>0</v>
      </c>
      <c r="NR31" s="46" cm="1">
        <f t="array" ref="NR31">ROUND(IFERROR(INDEX(ArchiveResults!$F$5:$IX$116,ComparisonData!A31,ComparisonData!$NR$1),0),5)</f>
        <v>0</v>
      </c>
      <c r="NS31" s="46" cm="1">
        <f t="array" ref="NS31">ROUND(IFERROR(INDEX(ArchiveResults!$F$5:$IX$116,ComparisonData!A31,ComparisonData!$NS$1),0),5)</f>
        <v>0</v>
      </c>
      <c r="NT31" s="45" cm="1">
        <f t="array" ref="NT31">IFERROR(INDEX(ArchiveResults!$F$5:$IX$116,ComparisonData!A31,ComparisonData!$NT$1),0)</f>
        <v>0</v>
      </c>
      <c r="NU31" s="56">
        <v>26</v>
      </c>
      <c r="NV31" s="53" t="str">
        <f t="shared" si="54"/>
        <v>Explore York Libraries and Archives</v>
      </c>
      <c r="NW31" s="59">
        <f t="shared" si="308"/>
        <v>0</v>
      </c>
      <c r="NX31" s="59">
        <f t="shared" si="309"/>
        <v>0</v>
      </c>
      <c r="NY31" s="59">
        <f t="shared" si="310"/>
        <v>0</v>
      </c>
      <c r="NZ31" s="59">
        <f t="shared" si="311"/>
        <v>0</v>
      </c>
      <c r="OA31" s="59">
        <f t="shared" si="312"/>
        <v>0</v>
      </c>
      <c r="OB31" s="58">
        <f t="shared" si="313"/>
        <v>0</v>
      </c>
      <c r="OC31" s="45">
        <f t="shared" si="314"/>
        <v>64</v>
      </c>
      <c r="OD31" s="45">
        <f t="shared" si="55"/>
        <v>2.7539999999999996</v>
      </c>
      <c r="OE31" s="45">
        <f t="shared" si="315"/>
        <v>1</v>
      </c>
      <c r="OF31" s="45">
        <f t="shared" si="316"/>
        <v>2</v>
      </c>
      <c r="OG31" s="46">
        <f t="shared" si="317"/>
        <v>0</v>
      </c>
      <c r="OH31" s="46" cm="1">
        <f t="array" ref="OH31">ROUND(IFERROR(INDEX(ArchiveResults!$F$5:$IX$116,ComparisonData!A31,ComparisonData!$OH$1),0),5)</f>
        <v>0</v>
      </c>
      <c r="OI31" s="46" cm="1">
        <f t="array" ref="OI31">ROUND(IFERROR(INDEX(ArchiveResults!$F$5:$IX$116,ComparisonData!A31,ComparisonData!$OI$1),0),5)</f>
        <v>0</v>
      </c>
      <c r="OJ31" s="46" cm="1">
        <f t="array" ref="OJ31">ROUND(IFERROR(INDEX(ArchiveResults!$F$5:$IX$116,ComparisonData!A31,ComparisonData!$OJ$1),0),5)</f>
        <v>0</v>
      </c>
      <c r="OK31" s="46" cm="1">
        <f t="array" ref="OK31">ROUND(IFERROR(INDEX(ArchiveResults!$F$5:$IX$116,ComparisonData!A31,ComparisonData!$OK$1),0),5)</f>
        <v>0</v>
      </c>
      <c r="OL31" s="45" cm="1">
        <f t="array" ref="OL31">IFERROR(INDEX(ArchiveResults!$F$5:$IX$116,ComparisonData!A31,ComparisonData!$OL$1),0)</f>
        <v>0</v>
      </c>
      <c r="OM31" s="56">
        <v>26</v>
      </c>
      <c r="ON31" s="53" t="str">
        <f t="shared" si="56"/>
        <v>Explore York Libraries and Archives</v>
      </c>
      <c r="OO31" s="59">
        <f t="shared" si="318"/>
        <v>0</v>
      </c>
      <c r="OP31" s="59">
        <f t="shared" si="319"/>
        <v>0</v>
      </c>
      <c r="OQ31" s="59">
        <f t="shared" si="320"/>
        <v>0</v>
      </c>
      <c r="OR31" s="59">
        <f t="shared" si="321"/>
        <v>0</v>
      </c>
      <c r="OS31" s="59">
        <f t="shared" si="322"/>
        <v>0</v>
      </c>
      <c r="OT31" s="58">
        <f t="shared" si="323"/>
        <v>0</v>
      </c>
      <c r="OU31" s="45">
        <f t="shared" si="324"/>
        <v>64</v>
      </c>
      <c r="OV31" s="45">
        <f t="shared" si="57"/>
        <v>2.7539999999999996</v>
      </c>
      <c r="OW31" s="45">
        <f t="shared" si="325"/>
        <v>1</v>
      </c>
      <c r="OX31" s="45">
        <f t="shared" si="326"/>
        <v>2</v>
      </c>
      <c r="OY31" s="45">
        <f t="shared" si="327"/>
        <v>0</v>
      </c>
      <c r="OZ31" s="46" cm="1">
        <f t="array" ref="OZ31">ROUND(IFERROR(INDEX(ArchiveResults!$F$5:$IX$116,ComparisonData!A31,ComparisonData!$OZ$1),0),5)</f>
        <v>0</v>
      </c>
      <c r="PA31" s="46" cm="1">
        <f t="array" ref="PA31">ROUND(IFERROR(INDEX(ArchiveResults!$F$5:$IX$116,ComparisonData!A31,ComparisonData!$PA$1),0),5)</f>
        <v>0</v>
      </c>
      <c r="PB31" s="46" cm="1">
        <f t="array" ref="PB31">ROUND(IFERROR(INDEX(ArchiveResults!$F$5:$IX$116,ComparisonData!A31,ComparisonData!$PB$1),0),5)</f>
        <v>0</v>
      </c>
      <c r="PC31" s="46" cm="1">
        <f t="array" ref="PC31">ROUND(IFERROR(INDEX(ArchiveResults!$F$5:$IX$116,ComparisonData!A31,ComparisonData!$PC$1),0),5)</f>
        <v>0</v>
      </c>
      <c r="PD31" s="45" cm="1">
        <f t="array" ref="PD31">IFERROR(INDEX(ArchiveResults!$F$5:$IX$116,ComparisonData!A31,ComparisonData!$PD$1),0)</f>
        <v>0</v>
      </c>
      <c r="PE31" s="56">
        <v>26</v>
      </c>
      <c r="PF31" s="53" t="str">
        <f t="shared" si="58"/>
        <v>Explore York Libraries and Archives</v>
      </c>
      <c r="PG31" s="59">
        <f t="shared" si="328"/>
        <v>0</v>
      </c>
      <c r="PH31" s="59">
        <f t="shared" si="329"/>
        <v>0</v>
      </c>
      <c r="PI31" s="59">
        <f t="shared" si="330"/>
        <v>0</v>
      </c>
      <c r="PJ31" s="59">
        <f t="shared" si="331"/>
        <v>0</v>
      </c>
      <c r="PK31" s="59">
        <f t="shared" si="332"/>
        <v>0</v>
      </c>
      <c r="PL31" s="58">
        <f t="shared" si="333"/>
        <v>0</v>
      </c>
      <c r="PM31" s="45">
        <f t="shared" si="334"/>
        <v>64</v>
      </c>
      <c r="PN31" s="45">
        <f t="shared" si="59"/>
        <v>2.7539999999999996</v>
      </c>
      <c r="PO31" s="45">
        <f t="shared" si="335"/>
        <v>1</v>
      </c>
      <c r="PP31" s="45">
        <f t="shared" si="336"/>
        <v>2</v>
      </c>
      <c r="PQ31" s="45">
        <f t="shared" si="337"/>
        <v>0</v>
      </c>
      <c r="PR31" s="46" cm="1">
        <f t="array" ref="PR31">ROUND(IFERROR(INDEX(ArchiveResults!$F$5:$IX$116,ComparisonData!A31,ComparisonData!$PR$1),0),5)</f>
        <v>0</v>
      </c>
      <c r="PS31" s="46" cm="1">
        <f t="array" ref="PS31">ROUND(IFERROR(INDEX(ArchiveResults!$F$5:$IX$116,ComparisonData!A31,ComparisonData!$PS$1),0),5)</f>
        <v>0</v>
      </c>
      <c r="PT31" s="46" cm="1">
        <f t="array" ref="PT31">ROUND(IFERROR(INDEX(ArchiveResults!$F$5:$IX$116,ComparisonData!A31,ComparisonData!$PT$1),0),5)</f>
        <v>0</v>
      </c>
      <c r="PU31" s="46" cm="1">
        <f t="array" ref="PU31">ROUND(IFERROR(INDEX(ArchiveResults!$F$5:$IX$116,ComparisonData!A31,ComparisonData!$PU$1),0),5)</f>
        <v>0</v>
      </c>
      <c r="PV31" s="45" cm="1">
        <f t="array" ref="PV31">IFERROR(INDEX(ArchiveResults!$F$5:$IX$116,ComparisonData!A31,ComparisonData!$PV$1),0)</f>
        <v>0</v>
      </c>
      <c r="PW31" s="56">
        <v>26</v>
      </c>
      <c r="PX31" s="53" t="str">
        <f t="shared" si="60"/>
        <v>Explore York Libraries and Archives</v>
      </c>
      <c r="PY31" s="59">
        <f t="shared" si="338"/>
        <v>0</v>
      </c>
      <c r="PZ31" s="59">
        <f t="shared" si="339"/>
        <v>0</v>
      </c>
      <c r="QA31" s="59">
        <f t="shared" si="340"/>
        <v>0</v>
      </c>
      <c r="QB31" s="59">
        <f t="shared" si="341"/>
        <v>0</v>
      </c>
      <c r="QC31" s="59">
        <f t="shared" si="342"/>
        <v>0</v>
      </c>
      <c r="QD31" s="58">
        <f t="shared" si="343"/>
        <v>0</v>
      </c>
      <c r="QE31" s="45">
        <f t="shared" si="344"/>
        <v>64</v>
      </c>
      <c r="QF31" s="45">
        <f t="shared" si="61"/>
        <v>2.7539999999999996</v>
      </c>
      <c r="QG31" s="45">
        <f t="shared" si="345"/>
        <v>1</v>
      </c>
      <c r="QH31" s="45">
        <f t="shared" si="346"/>
        <v>2</v>
      </c>
      <c r="QI31" s="45">
        <f t="shared" si="347"/>
        <v>0</v>
      </c>
      <c r="QJ31" s="46" cm="1">
        <f t="array" ref="QJ31">ROUND(IFERROR(INDEX(ArchiveResults!$F$5:$IX$116,ComparisonData!A31,ComparisonData!$QJ$1),0),5)</f>
        <v>0</v>
      </c>
      <c r="QK31" s="46" cm="1">
        <f t="array" ref="QK31">ROUND(IFERROR(INDEX(ArchiveResults!$F$5:$IX$116,ComparisonData!A31,ComparisonData!$QK$1),0),5)</f>
        <v>0</v>
      </c>
      <c r="QL31" s="46" cm="1">
        <f t="array" ref="QL31">ROUND(IFERROR(INDEX(ArchiveResults!$F$5:$IX$116,ComparisonData!A31,ComparisonData!$QL$1),0),5)</f>
        <v>0</v>
      </c>
      <c r="QM31" s="46" cm="1">
        <f t="array" ref="QM31">ROUND(IFERROR(INDEX(ArchiveResults!$F$5:$IX$116,ComparisonData!A31,ComparisonData!$QM$1),0),5)</f>
        <v>0</v>
      </c>
      <c r="QN31" s="45" cm="1">
        <f t="array" ref="QN31">IFERROR(INDEX(ArchiveResults!$F$5:$IX$116,ComparisonData!A31,ComparisonData!$QN$1),0)</f>
        <v>0</v>
      </c>
      <c r="QO31" s="56">
        <v>26</v>
      </c>
      <c r="QP31" s="53" t="str">
        <f t="shared" si="62"/>
        <v>Explore York Libraries and Archives</v>
      </c>
      <c r="QQ31" s="59">
        <f t="shared" si="348"/>
        <v>0</v>
      </c>
      <c r="QR31" s="59">
        <f t="shared" si="349"/>
        <v>0</v>
      </c>
      <c r="QS31" s="59">
        <f t="shared" si="350"/>
        <v>0</v>
      </c>
      <c r="QT31" s="59">
        <f t="shared" si="351"/>
        <v>0</v>
      </c>
      <c r="QU31" s="59">
        <f t="shared" si="352"/>
        <v>0</v>
      </c>
      <c r="QV31" s="58">
        <f t="shared" si="353"/>
        <v>0</v>
      </c>
      <c r="QW31" s="45">
        <f t="shared" si="354"/>
        <v>64</v>
      </c>
      <c r="QX31" s="45">
        <f t="shared" si="63"/>
        <v>2.7539999999999996</v>
      </c>
      <c r="QY31" s="45">
        <f t="shared" si="355"/>
        <v>1</v>
      </c>
      <c r="QZ31" s="45">
        <f t="shared" si="356"/>
        <v>2</v>
      </c>
      <c r="RA31" s="45">
        <f t="shared" si="357"/>
        <v>0</v>
      </c>
      <c r="RB31" s="46" cm="1">
        <f t="array" ref="RB31">ROUND(IFERROR(INDEX(ArchiveResults!$F$5:$IX$116,ComparisonData!A31,ComparisonData!$RB$1),0),5)</f>
        <v>0</v>
      </c>
      <c r="RC31" s="46" cm="1">
        <f t="array" ref="RC31">ROUND(IFERROR(INDEX(ArchiveResults!$F$5:$IX$116,ComparisonData!A31,ComparisonData!$RC$1),0),5)</f>
        <v>0</v>
      </c>
      <c r="RD31" s="46" cm="1">
        <f t="array" ref="RD31">ROUND(IFERROR(INDEX(ArchiveResults!$F$5:$IX$116,ComparisonData!A31,ComparisonData!$RD$1),0),5)</f>
        <v>0</v>
      </c>
      <c r="RE31" s="46" cm="1">
        <f t="array" ref="RE31">ROUND(IFERROR(INDEX(ArchiveResults!$F$5:$IX$116,ComparisonData!A31,ComparisonData!$RE$1),0),5)</f>
        <v>0</v>
      </c>
      <c r="RF31" s="45" cm="1">
        <f t="array" ref="RF31">IFERROR(INDEX(ArchiveResults!$F$5:$IX$116,ComparisonData!A31,ComparisonData!$RF$1),0)</f>
        <v>0</v>
      </c>
      <c r="RG31" s="56">
        <v>26</v>
      </c>
      <c r="RH31" s="53" t="str">
        <f t="shared" si="64"/>
        <v>Explore York Libraries and Archives</v>
      </c>
      <c r="RI31" s="59">
        <f t="shared" si="358"/>
        <v>0</v>
      </c>
      <c r="RJ31" s="59">
        <f t="shared" si="359"/>
        <v>0</v>
      </c>
      <c r="RK31" s="59">
        <f t="shared" si="360"/>
        <v>0</v>
      </c>
      <c r="RL31" s="59">
        <f t="shared" si="361"/>
        <v>0</v>
      </c>
      <c r="RM31" s="59">
        <f t="shared" si="362"/>
        <v>0</v>
      </c>
      <c r="RN31" s="58">
        <f t="shared" si="363"/>
        <v>0</v>
      </c>
      <c r="RO31" s="45">
        <f t="shared" si="364"/>
        <v>64</v>
      </c>
      <c r="RP31" s="45">
        <f t="shared" si="65"/>
        <v>2.7539999999999996</v>
      </c>
      <c r="RQ31" s="45">
        <f t="shared" si="365"/>
        <v>1</v>
      </c>
      <c r="RR31" s="45">
        <f t="shared" si="366"/>
        <v>2</v>
      </c>
      <c r="RS31" s="45">
        <f t="shared" si="367"/>
        <v>0</v>
      </c>
      <c r="RT31" s="46" cm="1">
        <f t="array" ref="RT31">ROUND(IFERROR(INDEX(ArchiveResults!$F$5:$IX$116,ComparisonData!A31,ComparisonData!$RT$1),0),5)</f>
        <v>0</v>
      </c>
      <c r="RU31" s="46" cm="1">
        <f t="array" ref="RU31">ROUND(IFERROR(INDEX(ArchiveResults!$F$5:$IX$116,ComparisonData!A31,ComparisonData!$RU$1),0),5)</f>
        <v>0</v>
      </c>
      <c r="RV31" s="46" cm="1">
        <f t="array" ref="RV31">ROUND(IFERROR(INDEX(ArchiveResults!$F$5:$IX$116,ComparisonData!A31,ComparisonData!$RV$1),0),5)</f>
        <v>0</v>
      </c>
      <c r="RW31" s="46" cm="1">
        <f t="array" ref="RW31">ROUND(IFERROR(INDEX(ArchiveResults!$F$5:$IX$116,ComparisonData!A31,ComparisonData!$RW$1),0),5)</f>
        <v>0</v>
      </c>
      <c r="RX31" s="45" cm="1">
        <f t="array" ref="RX31">IFERROR(INDEX(ArchiveResults!$F$5:$IX$116,ComparisonData!A31,ComparisonData!$RX$1),0)</f>
        <v>0</v>
      </c>
      <c r="RY31" s="56">
        <v>26</v>
      </c>
      <c r="RZ31" s="53" t="str">
        <f t="shared" si="66"/>
        <v>Explore York Libraries and Archives</v>
      </c>
      <c r="SA31" s="59">
        <f t="shared" si="368"/>
        <v>0</v>
      </c>
      <c r="SB31" s="59">
        <f t="shared" si="369"/>
        <v>0</v>
      </c>
      <c r="SC31" s="59">
        <f t="shared" si="370"/>
        <v>0</v>
      </c>
      <c r="SD31" s="59">
        <f t="shared" si="371"/>
        <v>0</v>
      </c>
      <c r="SE31" s="59">
        <f t="shared" si="372"/>
        <v>0</v>
      </c>
      <c r="SF31" s="58">
        <f t="shared" si="373"/>
        <v>0</v>
      </c>
      <c r="SG31" s="45">
        <f t="shared" si="374"/>
        <v>64</v>
      </c>
      <c r="SH31" s="45">
        <f t="shared" si="67"/>
        <v>2.7539999999999996</v>
      </c>
      <c r="SI31" s="45">
        <f t="shared" si="375"/>
        <v>1</v>
      </c>
      <c r="SJ31" s="45">
        <f t="shared" si="376"/>
        <v>2</v>
      </c>
      <c r="SK31" s="45">
        <f t="shared" si="377"/>
        <v>0</v>
      </c>
      <c r="SL31" s="46" cm="1">
        <f t="array" ref="SL31">ROUND(IFERROR(INDEX(ArchiveResults!$F$5:$IX$116,ComparisonData!A31,ComparisonData!$SL$1),0),5)</f>
        <v>0</v>
      </c>
      <c r="SM31" s="46" cm="1">
        <f t="array" ref="SM31">ROUND(IFERROR(INDEX(ArchiveResults!$F$5:$IX$116,ComparisonData!A31,ComparisonData!$SM$1),0),5)</f>
        <v>0</v>
      </c>
      <c r="SN31" s="46" cm="1">
        <f t="array" ref="SN31">ROUND(IFERROR(INDEX(ArchiveResults!$F$5:$IX$116,ComparisonData!A31,ComparisonData!$SN$1),0),5)</f>
        <v>0</v>
      </c>
      <c r="SO31" s="46" cm="1">
        <f t="array" ref="SO31">ROUND(IFERROR(INDEX(ArchiveResults!$F$5:$IX$116,ComparisonData!A31,ComparisonData!$SO$1),0),5)</f>
        <v>0</v>
      </c>
      <c r="SP31" s="45" cm="1">
        <f t="array" ref="SP31">IFERROR(INDEX(ArchiveResults!$F$5:$IX$116,ComparisonData!A31,ComparisonData!$SP$1),0)</f>
        <v>0</v>
      </c>
      <c r="SQ31" s="56">
        <v>26</v>
      </c>
      <c r="SR31" s="53" t="str">
        <f t="shared" si="68"/>
        <v>Explore York Libraries and Archives</v>
      </c>
      <c r="SS31" s="59">
        <f t="shared" si="378"/>
        <v>0</v>
      </c>
      <c r="ST31" s="59">
        <f t="shared" si="379"/>
        <v>0</v>
      </c>
      <c r="SU31" s="59">
        <f t="shared" si="380"/>
        <v>0</v>
      </c>
      <c r="SV31" s="59">
        <f t="shared" si="381"/>
        <v>0</v>
      </c>
      <c r="SW31" s="59">
        <f t="shared" si="382"/>
        <v>0</v>
      </c>
      <c r="SX31" s="58">
        <f t="shared" si="383"/>
        <v>0</v>
      </c>
      <c r="SY31" s="45">
        <f t="shared" si="384"/>
        <v>64</v>
      </c>
      <c r="SZ31" s="45">
        <f t="shared" si="69"/>
        <v>2.7539999999999996</v>
      </c>
      <c r="TA31" s="45">
        <f t="shared" si="385"/>
        <v>1</v>
      </c>
      <c r="TB31" s="45">
        <f t="shared" si="386"/>
        <v>2</v>
      </c>
      <c r="TC31" s="45">
        <f t="shared" si="387"/>
        <v>0</v>
      </c>
      <c r="TD31" s="46" cm="1">
        <f t="array" ref="TD31">ROUND(IFERROR(INDEX(ArchiveResults!$F$5:$IX$116,ComparisonData!A31,ComparisonData!$TD$1),0),5)</f>
        <v>0</v>
      </c>
      <c r="TE31" s="46" cm="1">
        <f t="array" ref="TE31">ROUND(IFERROR(INDEX(ArchiveResults!$F$5:$IX$116,ComparisonData!A31,ComparisonData!$TE$1),0),5)</f>
        <v>0</v>
      </c>
      <c r="TF31" s="46" cm="1">
        <f t="array" ref="TF31">ROUND(IFERROR(INDEX(ArchiveResults!$F$5:$IX$116,ComparisonData!A31,ComparisonData!$TF$1),0),5)</f>
        <v>0</v>
      </c>
      <c r="TG31" s="46" cm="1">
        <f t="array" ref="TG31">ROUND(IFERROR(INDEX(ArchiveResults!$F$5:$IX$116,ComparisonData!A31,ComparisonData!$TG$1),0),5)</f>
        <v>0</v>
      </c>
      <c r="TH31" s="45" cm="1">
        <f t="array" ref="TH31">IFERROR(INDEX(ArchiveResults!$F$5:$IX$116,ComparisonData!A31,ComparisonData!$TH$1),0)</f>
        <v>0</v>
      </c>
      <c r="TI31" s="56">
        <v>26</v>
      </c>
      <c r="TJ31" s="53" t="str">
        <f t="shared" si="70"/>
        <v>Explore York Libraries and Archives</v>
      </c>
      <c r="TK31" s="59">
        <f t="shared" si="388"/>
        <v>0</v>
      </c>
      <c r="TL31" s="59">
        <f t="shared" si="389"/>
        <v>0</v>
      </c>
      <c r="TM31" s="59">
        <f t="shared" si="390"/>
        <v>0</v>
      </c>
      <c r="TN31" s="59">
        <f t="shared" si="391"/>
        <v>0</v>
      </c>
      <c r="TO31" s="59">
        <f t="shared" si="392"/>
        <v>0</v>
      </c>
      <c r="TP31" s="58">
        <f t="shared" si="393"/>
        <v>0</v>
      </c>
      <c r="TQ31" s="45">
        <f t="shared" si="394"/>
        <v>64</v>
      </c>
      <c r="TR31" s="45">
        <f t="shared" si="71"/>
        <v>2.7539999999999996</v>
      </c>
      <c r="TS31" s="45">
        <f t="shared" si="395"/>
        <v>1</v>
      </c>
      <c r="TT31" s="45">
        <f t="shared" si="396"/>
        <v>2</v>
      </c>
      <c r="TU31" s="45">
        <f t="shared" si="397"/>
        <v>0</v>
      </c>
      <c r="TV31" s="46" cm="1">
        <f t="array" ref="TV31">ROUND(IFERROR(INDEX(ArchiveResults!$F$5:$IX$116,ComparisonData!A31,ComparisonData!$TV$1),0),5)</f>
        <v>0</v>
      </c>
      <c r="TW31" s="46" cm="1">
        <f t="array" ref="TW31">ROUND(IFERROR(INDEX(ArchiveResults!$F$5:$IX$116,ComparisonData!A31,ComparisonData!$TW$1),0),5)</f>
        <v>0</v>
      </c>
      <c r="TX31" s="46" cm="1">
        <f t="array" ref="TX31">ROUND(IFERROR(INDEX(ArchiveResults!$F$5:$IX$116,ComparisonData!A31,ComparisonData!$TX$1),0),5)</f>
        <v>0</v>
      </c>
      <c r="TY31" s="46" cm="1">
        <f t="array" ref="TY31">ROUND(IFERROR(INDEX(ArchiveResults!$F$5:$IX$116,ComparisonData!A31,ComparisonData!$TY$1),0),5)</f>
        <v>0</v>
      </c>
      <c r="TZ31" s="45" cm="1">
        <f t="array" ref="TZ31">IFERROR(INDEX(ArchiveResults!$F$5:$IX$116,ComparisonData!A31,ComparisonData!$TZ$1),0)</f>
        <v>0</v>
      </c>
      <c r="UA31" s="56">
        <v>26</v>
      </c>
      <c r="UB31" s="53" t="str">
        <f t="shared" si="72"/>
        <v>Explore York Libraries and Archives</v>
      </c>
      <c r="UC31" s="60">
        <f t="shared" si="398"/>
        <v>0</v>
      </c>
      <c r="UD31" s="60">
        <f t="shared" si="399"/>
        <v>0</v>
      </c>
      <c r="UE31" s="60">
        <f t="shared" si="400"/>
        <v>0</v>
      </c>
      <c r="UF31" s="60">
        <f t="shared" si="401"/>
        <v>0</v>
      </c>
      <c r="UG31" s="60">
        <f t="shared" si="402"/>
        <v>0</v>
      </c>
      <c r="UH31" s="58">
        <f t="shared" si="403"/>
        <v>0</v>
      </c>
      <c r="UI31" s="46">
        <f t="shared" si="404"/>
        <v>64</v>
      </c>
      <c r="UJ31" s="46">
        <f t="shared" si="73"/>
        <v>2.7539999999999996</v>
      </c>
      <c r="UK31" s="46">
        <f t="shared" si="405"/>
        <v>1</v>
      </c>
      <c r="UL31" s="46">
        <f t="shared" si="406"/>
        <v>2</v>
      </c>
      <c r="UM31" s="46" cm="1">
        <f t="array" ref="UM31">ROUND(IFERROR(INDEX(ArchiveResults!$F$5:$IX$116,ComparisonData!A31,ComparisonData!$UM$1),0),5)</f>
        <v>0</v>
      </c>
      <c r="UN31" s="56">
        <v>26</v>
      </c>
      <c r="UO31" s="53" t="str">
        <f t="shared" si="74"/>
        <v>Explore York Libraries and Archives</v>
      </c>
      <c r="UP31" s="46">
        <f t="shared" si="407"/>
        <v>0</v>
      </c>
      <c r="UQ31" s="76">
        <f t="shared" si="408"/>
        <v>0</v>
      </c>
      <c r="UR31" s="46">
        <f t="shared" si="409"/>
        <v>64</v>
      </c>
      <c r="US31" s="46">
        <f t="shared" si="75"/>
        <v>2.7539999999999996</v>
      </c>
      <c r="UT31" s="46">
        <f t="shared" si="410"/>
        <v>1</v>
      </c>
      <c r="UU31" s="46">
        <f t="shared" si="411"/>
        <v>2</v>
      </c>
      <c r="UV31" s="46">
        <f t="shared" si="412"/>
        <v>0</v>
      </c>
      <c r="UW31" s="46" cm="1">
        <f t="array" ref="UW31">ROUND(IFERROR(INDEX(ArchiveResults!$F$5:$IX$116,ComparisonData!A31,ComparisonData!$UW$1),0),5)</f>
        <v>0</v>
      </c>
      <c r="UX31" s="46" cm="1">
        <f t="array" ref="UX31">ROUND(IFERROR(INDEX(ArchiveResults!$F$5:$IX$116,ComparisonData!A31,ComparisonData!$UX$1),0),5)</f>
        <v>0</v>
      </c>
      <c r="UY31" s="46" cm="1">
        <f t="array" ref="UY31">ROUND(IFERROR(INDEX(ArchiveResults!$F$5:$IX$116,ComparisonData!A31,ComparisonData!$UY$1),0),5)</f>
        <v>0</v>
      </c>
      <c r="UZ31" s="46" cm="1">
        <f t="array" ref="UZ31">ROUND(IFERROR(INDEX(ArchiveResults!$F$5:$IX$116,ComparisonData!A31,ComparisonData!$UZ$1),0),5)</f>
        <v>0</v>
      </c>
      <c r="VA31" s="46" cm="1">
        <f t="array" ref="VA31">ROUND(IFERROR(INDEX(ArchiveResults!$F$5:$IX$116,ComparisonData!A31,ComparisonData!$VA$1),0),5)</f>
        <v>0</v>
      </c>
      <c r="VB31" s="56">
        <v>26</v>
      </c>
      <c r="VC31" s="53" t="str">
        <f t="shared" si="76"/>
        <v>Explore York Libraries and Archives</v>
      </c>
      <c r="VD31" s="60">
        <f t="shared" si="413"/>
        <v>0</v>
      </c>
      <c r="VE31" s="60">
        <f t="shared" si="414"/>
        <v>0</v>
      </c>
      <c r="VF31" s="60">
        <f t="shared" si="415"/>
        <v>0</v>
      </c>
      <c r="VG31" s="60">
        <f t="shared" si="416"/>
        <v>0</v>
      </c>
      <c r="VH31" s="60">
        <f t="shared" si="417"/>
        <v>0</v>
      </c>
      <c r="VI31" s="76">
        <f t="shared" si="418"/>
        <v>0</v>
      </c>
      <c r="VJ31" s="46">
        <f t="shared" si="419"/>
        <v>64</v>
      </c>
      <c r="VK31" s="46">
        <f t="shared" si="77"/>
        <v>2.7539999999999996</v>
      </c>
      <c r="VL31" s="46">
        <f t="shared" si="420"/>
        <v>1</v>
      </c>
      <c r="VM31" s="46">
        <f t="shared" si="421"/>
        <v>2</v>
      </c>
      <c r="VN31" s="46" cm="1">
        <f t="array" ref="VN31">ROUND(IFERROR(INDEX(ArchiveResults!$F$5:$IX$116,ComparisonData!A31,ComparisonData!$VN$1),0),5)</f>
        <v>0</v>
      </c>
      <c r="VO31" s="46" cm="1">
        <f t="array" ref="VO31">ROUND(IFERROR(INDEX(ArchiveResults!$F$5:$IX$116,ComparisonData!A31,ComparisonData!$VO$1),0),5)</f>
        <v>0</v>
      </c>
      <c r="VP31" s="46" cm="1">
        <f t="array" ref="VP31">ROUND(IFERROR(INDEX(ArchiveResults!$F$5:$IX$116,ComparisonData!A31,ComparisonData!$VP$1),0),5)</f>
        <v>0</v>
      </c>
      <c r="VQ31" s="46" cm="1">
        <f t="array" ref="VQ31">ROUND(IFERROR(INDEX(ArchiveResults!$F$5:$IX$116,ComparisonData!A31,ComparisonData!$VQ$1),0),5)</f>
        <v>0</v>
      </c>
      <c r="VR31" s="56">
        <v>26</v>
      </c>
      <c r="VS31" s="53" t="str">
        <f t="shared" si="78"/>
        <v>Explore York Libraries and Archives</v>
      </c>
      <c r="VT31" s="60">
        <f t="shared" si="422"/>
        <v>0</v>
      </c>
      <c r="VU31" s="60">
        <f t="shared" si="423"/>
        <v>0</v>
      </c>
      <c r="VV31" s="60">
        <f t="shared" si="424"/>
        <v>0</v>
      </c>
      <c r="VW31" s="60">
        <f t="shared" si="425"/>
        <v>0</v>
      </c>
      <c r="VX31" s="76">
        <f t="shared" si="426"/>
        <v>0</v>
      </c>
      <c r="VY31" s="46">
        <f t="shared" si="427"/>
        <v>64</v>
      </c>
      <c r="VZ31" s="46">
        <f t="shared" si="79"/>
        <v>2.7539999999999996</v>
      </c>
      <c r="WA31" s="46">
        <f t="shared" si="428"/>
        <v>1</v>
      </c>
      <c r="WB31" s="46">
        <f t="shared" si="429"/>
        <v>2</v>
      </c>
      <c r="WC31" s="46" cm="1">
        <f t="array" ref="WC31">ROUND(IFERROR(INDEX(ArchiveResults!$F$5:$IX$116,ComparisonData!A31,ComparisonData!$WC$1),0),5)</f>
        <v>0</v>
      </c>
      <c r="WD31" s="56">
        <v>26</v>
      </c>
      <c r="WE31" s="53" t="str">
        <f t="shared" si="80"/>
        <v>Explore York Libraries and Archives</v>
      </c>
      <c r="WF31" s="46">
        <f t="shared" si="430"/>
        <v>0</v>
      </c>
      <c r="WG31" s="76">
        <f t="shared" si="431"/>
        <v>0</v>
      </c>
      <c r="WH31" s="46">
        <f t="shared" si="432"/>
        <v>64</v>
      </c>
      <c r="WI31" s="46">
        <f t="shared" si="81"/>
        <v>2.7539999999999996</v>
      </c>
      <c r="WJ31" s="46">
        <f t="shared" si="433"/>
        <v>1</v>
      </c>
      <c r="WK31" s="46">
        <f t="shared" si="434"/>
        <v>2</v>
      </c>
      <c r="WL31" s="46" cm="1">
        <f t="array" ref="WL31">ROUND(IFERROR(INDEX(ArchiveResults!$F$5:$IX$116,ComparisonData!A31,ComparisonData!$WL$1),0),5)</f>
        <v>0</v>
      </c>
      <c r="WM31" s="46" cm="1">
        <f t="array" ref="WM31">IFERROR(INDEX(ArchiveResults!$F$5:$IX$116,ComparisonData!A31,ComparisonData!$WM$1),0)</f>
        <v>0</v>
      </c>
      <c r="WN31" s="56">
        <v>26</v>
      </c>
      <c r="WO31" s="53" t="str">
        <f t="shared" si="82"/>
        <v>Explore York Libraries and Archives</v>
      </c>
      <c r="WP31" s="60">
        <f t="shared" si="435"/>
        <v>0</v>
      </c>
      <c r="WQ31" s="60">
        <f t="shared" si="436"/>
        <v>0</v>
      </c>
      <c r="WR31" s="76">
        <f t="shared" si="437"/>
        <v>0</v>
      </c>
      <c r="WS31" s="46">
        <f t="shared" si="438"/>
        <v>64</v>
      </c>
      <c r="WT31" s="46">
        <f t="shared" si="83"/>
        <v>2.7539999999999996</v>
      </c>
      <c r="WU31" s="46">
        <f t="shared" si="439"/>
        <v>1</v>
      </c>
      <c r="WV31" s="46">
        <f t="shared" si="440"/>
        <v>2</v>
      </c>
      <c r="WW31" s="46" cm="1">
        <f t="array" ref="WW31">ROUND(VALUE(IFERROR(INDEX(ArchiveResults!$F$5:$IX$116,ComparisonData!A31,ComparisonData!$WW$1),0)),5)</f>
        <v>0</v>
      </c>
      <c r="WX31" s="46" cm="1">
        <f t="array" ref="WX31">ROUND(IFERROR(INDEX(ArchiveResults!$F$5:$IX$116,ComparisonData!A31,ComparisonData!$WX$1),0),5)</f>
        <v>0</v>
      </c>
      <c r="WY31" s="56">
        <v>26</v>
      </c>
      <c r="WZ31" s="53" t="str">
        <f t="shared" si="84"/>
        <v>Explore York Libraries and Archives</v>
      </c>
      <c r="XA31" s="60">
        <f t="shared" si="85"/>
        <v>0</v>
      </c>
      <c r="XB31" s="60">
        <f t="shared" si="86"/>
        <v>0</v>
      </c>
      <c r="XC31" s="76">
        <f t="shared" si="441"/>
        <v>0</v>
      </c>
      <c r="XD31" s="46">
        <f t="shared" si="442"/>
        <v>64</v>
      </c>
      <c r="XE31" s="46">
        <f t="shared" si="87"/>
        <v>2.7539999999999996</v>
      </c>
      <c r="XF31" s="46">
        <f t="shared" si="443"/>
        <v>1</v>
      </c>
      <c r="XG31" s="46">
        <f t="shared" si="444"/>
        <v>2</v>
      </c>
      <c r="XH31" s="46" cm="1">
        <f t="array" ref="XH31">ROUND(VALUE(IFERROR(INDEX(ArchiveResults!$F$5:$IX$116,ComparisonData!A31,ComparisonData!$XH$1),0)),5)</f>
        <v>0</v>
      </c>
      <c r="XI31" s="46" cm="1">
        <f t="array" ref="XI31">ROUND(VALUE(IFERROR(INDEX(ArchiveResults!$F$5:$IX$116,ComparisonData!A31,ComparisonData!$XI$1),0)),5)</f>
        <v>0</v>
      </c>
      <c r="XJ31" s="56">
        <v>26</v>
      </c>
      <c r="XK31" s="53" t="str">
        <f t="shared" si="88"/>
        <v>Explore York Libraries and Archives</v>
      </c>
      <c r="XL31" s="60">
        <f t="shared" si="445"/>
        <v>0</v>
      </c>
      <c r="XM31" s="60">
        <f t="shared" si="446"/>
        <v>0</v>
      </c>
      <c r="XN31" s="76">
        <f t="shared" si="447"/>
        <v>0</v>
      </c>
      <c r="XO31" s="46">
        <f t="shared" si="448"/>
        <v>64</v>
      </c>
      <c r="XP31" s="46">
        <f t="shared" si="89"/>
        <v>2.7539999999999996</v>
      </c>
      <c r="XQ31" s="46">
        <f t="shared" si="449"/>
        <v>1</v>
      </c>
      <c r="XR31" s="46">
        <f t="shared" si="450"/>
        <v>2</v>
      </c>
      <c r="XS31" s="46" cm="1">
        <f t="array" ref="XS31">ROUND(VALUE(IFERROR(INDEX(ArchiveResults!$F$5:$IX$116,ComparisonData!A31,ComparisonData!$XS$1),0)),5)</f>
        <v>0</v>
      </c>
      <c r="XT31" s="46" cm="1">
        <f t="array" ref="XT31">ROUND(VALUE(IFERROR(INDEX(ArchiveResults!$F$5:$IX$116,ComparisonData!A31,ComparisonData!$XT$1),0)),5)</f>
        <v>0</v>
      </c>
      <c r="XU31" s="56">
        <v>26</v>
      </c>
      <c r="XV31" s="53" t="str">
        <f t="shared" si="90"/>
        <v>Explore York Libraries and Archives</v>
      </c>
      <c r="XW31" s="60">
        <f t="shared" si="451"/>
        <v>0</v>
      </c>
      <c r="XX31" s="60">
        <f t="shared" si="452"/>
        <v>0</v>
      </c>
      <c r="XY31" s="76">
        <f t="shared" si="453"/>
        <v>0</v>
      </c>
      <c r="XZ31" s="46">
        <f t="shared" si="454"/>
        <v>64</v>
      </c>
      <c r="YA31" s="46">
        <f t="shared" si="91"/>
        <v>2.7539999999999996</v>
      </c>
      <c r="YB31" s="46">
        <f t="shared" si="455"/>
        <v>1</v>
      </c>
      <c r="YC31" s="46">
        <f t="shared" si="456"/>
        <v>2</v>
      </c>
      <c r="YD31" s="46" cm="1">
        <f t="array" ref="YD31">ROUND(VALUE(IFERROR(INDEX(ArchiveResults!$F$5:$IX$116,ComparisonData!A31,ComparisonData!$YD$1),0)),5)</f>
        <v>0</v>
      </c>
      <c r="YE31" s="46" cm="1">
        <f t="array" ref="YE31">ROUND(VALUE(IFERROR(INDEX(ArchiveResults!$F$5:$IX$116,ComparisonData!A31,ComparisonData!$YE$1),0)),5)</f>
        <v>0</v>
      </c>
      <c r="YF31" s="56">
        <v>26</v>
      </c>
      <c r="YG31" s="53" t="str">
        <f t="shared" si="92"/>
        <v>Explore York Libraries and Archives</v>
      </c>
      <c r="YH31" s="60">
        <f t="shared" si="457"/>
        <v>0</v>
      </c>
      <c r="YI31" s="60">
        <f t="shared" si="458"/>
        <v>0</v>
      </c>
      <c r="YJ31" s="76">
        <f t="shared" si="459"/>
        <v>0</v>
      </c>
      <c r="YK31" s="46">
        <f t="shared" si="460"/>
        <v>64</v>
      </c>
      <c r="YL31" s="46">
        <f t="shared" si="93"/>
        <v>2.7539999999999996</v>
      </c>
      <c r="YM31" s="46">
        <f t="shared" si="461"/>
        <v>1</v>
      </c>
      <c r="YN31" s="46">
        <f t="shared" si="462"/>
        <v>2</v>
      </c>
      <c r="YO31" s="46" cm="1">
        <f t="array" ref="YO31">ROUND(VALUE(IFERROR(INDEX(ArchiveResults!$F$5:$IX$116,ComparisonData!A31,ComparisonData!$YO$1),0)),5)</f>
        <v>0</v>
      </c>
      <c r="YP31" s="46" cm="1">
        <f t="array" ref="YP31">ROUND(VALUE(IFERROR(INDEX(ArchiveResults!$F$5:$IX$116,ComparisonData!A31,ComparisonData!$YP$1),0)),5)</f>
        <v>0</v>
      </c>
      <c r="YQ31" s="56">
        <v>26</v>
      </c>
      <c r="YR31" s="53" t="str">
        <f t="shared" si="94"/>
        <v>Explore York Libraries and Archives</v>
      </c>
      <c r="YS31" s="60">
        <f t="shared" si="463"/>
        <v>0</v>
      </c>
      <c r="YT31" s="60">
        <f t="shared" si="464"/>
        <v>0</v>
      </c>
      <c r="YU31" s="76">
        <f t="shared" si="465"/>
        <v>0</v>
      </c>
      <c r="YV31" s="46">
        <f t="shared" si="466"/>
        <v>64</v>
      </c>
      <c r="YW31" s="46">
        <f t="shared" si="95"/>
        <v>2.7539999999999996</v>
      </c>
      <c r="YX31" s="46">
        <f t="shared" si="467"/>
        <v>1</v>
      </c>
      <c r="YY31" s="46">
        <f t="shared" si="468"/>
        <v>2</v>
      </c>
      <c r="YZ31" s="46">
        <f t="shared" si="469"/>
        <v>0</v>
      </c>
      <c r="ZA31" s="46" cm="1">
        <f t="array" ref="ZA31">ROUNDDOWN(VALUE(IFERROR(INDEX(ArchiveResults!$F$5:$IX$116,ComparisonData!A31,ComparisonData!$ZA$1),0)),5)</f>
        <v>0</v>
      </c>
      <c r="ZB31" s="46" cm="1">
        <f t="array" ref="ZB31">ROUNDDOWN(VALUE(IFERROR(INDEX(ArchiveResults!$F$5:$IX$116,ComparisonData!A31,ComparisonData!$ZB$1),0)),5)</f>
        <v>0</v>
      </c>
      <c r="ZC31" s="46" cm="1">
        <f t="array" ref="ZC31">ROUNDDOWN(VALUE(IFERROR(INDEX(ArchiveResults!$F$5:$IX$116,ComparisonData!A31,ComparisonData!$ZC$1),0)),5)</f>
        <v>0</v>
      </c>
      <c r="ZD31" s="46" cm="1">
        <f t="array" ref="ZD31">ROUNDDOWN(VALUE(IFERROR(INDEX(ArchiveResults!$F$5:$IX$116,ComparisonData!A31,ComparisonData!$ZD$1),0)),5)</f>
        <v>0</v>
      </c>
      <c r="ZE31" s="46" cm="1">
        <f t="array" ref="ZE31">ROUNDDOWN(VALUE(IFERROR(INDEX(ArchiveResults!$F$5:$IX$116,ComparisonData!A31,ComparisonData!$ZE$1),0)),5)</f>
        <v>0</v>
      </c>
      <c r="ZF31" s="56">
        <v>26</v>
      </c>
      <c r="ZG31" s="53" t="str">
        <f t="shared" si="96"/>
        <v>Explore York Libraries and Archives</v>
      </c>
      <c r="ZH31" s="60">
        <f t="shared" si="470"/>
        <v>0</v>
      </c>
      <c r="ZI31" s="60">
        <f t="shared" si="471"/>
        <v>0</v>
      </c>
      <c r="ZJ31" s="60">
        <f t="shared" si="472"/>
        <v>0</v>
      </c>
      <c r="ZK31" s="60">
        <f t="shared" si="473"/>
        <v>0</v>
      </c>
      <c r="ZL31" s="60">
        <f t="shared" si="474"/>
        <v>0</v>
      </c>
      <c r="ZM31" s="76">
        <f t="shared" si="475"/>
        <v>0</v>
      </c>
      <c r="ZN31" s="46">
        <f t="shared" si="476"/>
        <v>64</v>
      </c>
      <c r="ZO31" s="46">
        <f t="shared" si="97"/>
        <v>2.7539999999999996</v>
      </c>
      <c r="ZP31" s="46">
        <f t="shared" si="477"/>
        <v>1</v>
      </c>
      <c r="ZQ31" s="46">
        <f t="shared" si="478"/>
        <v>2</v>
      </c>
      <c r="ZR31" s="46" cm="1">
        <f t="array" ref="ZR31">ROUND(VALUE(IFERROR(INDEX(ArchiveResults!$F$5:$IX$116,ComparisonData!A31,ComparisonData!$ZR$1),0)),5)</f>
        <v>0</v>
      </c>
      <c r="ZS31" s="56">
        <v>26</v>
      </c>
      <c r="ZT31" s="53" t="str">
        <f t="shared" si="98"/>
        <v>Explore York Libraries and Archives</v>
      </c>
      <c r="ZU31" s="46">
        <f t="shared" si="479"/>
        <v>0</v>
      </c>
      <c r="ZV31" s="76">
        <f t="shared" si="480"/>
        <v>0</v>
      </c>
      <c r="ZW31" s="81" cm="1">
        <f t="array" ref="ZW31">ROUND((IFERROR(INDEX(ArchiveResults!$F$5:$IX$116,ComparisonData!A31,ComparisonData!$ZW$1),0)),5)</f>
        <v>0</v>
      </c>
      <c r="ZX31" s="81" cm="1">
        <f t="array" ref="ZX31">ROUND((IFERROR(INDEX(ArchiveResults!$F$5:$IX$116,ComparisonData!A31,ComparisonData!$ZX$1),0)),5)</f>
        <v>0</v>
      </c>
      <c r="ZY31" s="81" cm="1">
        <f t="array" ref="ZY31">ROUND((IFERROR(INDEX(ArchiveResults!$F$5:$IX$116,ComparisonData!A31,ComparisonData!$ZY$1),0)),5)</f>
        <v>0</v>
      </c>
      <c r="ZZ31" s="81" cm="1">
        <f t="array" ref="ZZ31">ROUND((IFERROR(INDEX(ArchiveResults!$F$5:$IX$116,ComparisonData!A31,ComparisonData!$ZZ$1),0)),5)</f>
        <v>0</v>
      </c>
      <c r="AAA31" s="81" cm="1">
        <f t="array" ref="AAA31">ROUND((IFERROR(INDEX(ArchiveResults!$F$5:$IX$116,ComparisonData!A31,ComparisonData!$AAA$1),0)),5)</f>
        <v>0</v>
      </c>
      <c r="AAB31" s="81" cm="1">
        <f t="array" ref="AAB31">ROUND((IFERROR(INDEX(ArchiveResults!$F$5:$IX$116,ComparisonData!A31,ComparisonData!$AAB$1),0)),5)</f>
        <v>0</v>
      </c>
      <c r="AAC31" s="81" cm="1">
        <f t="array" ref="AAC31">ROUND((IFERROR(INDEX(ArchiveResults!$F$5:$IX$116,ComparisonData!A31,ComparisonData!$AAC$1),0)),5)</f>
        <v>0</v>
      </c>
      <c r="AAD31" s="81" cm="1">
        <f t="array" ref="AAD31">ROUND((IFERROR(INDEX(ArchiveResults!$F$5:$IX$116,ComparisonData!A31,ComparisonData!$AAD$1),0)),5)</f>
        <v>0</v>
      </c>
      <c r="AAE31" s="81" cm="1">
        <f t="array" ref="AAE31">ROUND((IFERROR(INDEX(ArchiveResults!$F$5:$IX$116,ComparisonData!A31,ComparisonData!$AAE$1),0)),5)</f>
        <v>0</v>
      </c>
      <c r="AAF31" s="81" cm="1">
        <f t="array" ref="AAF31">ROUND((IFERROR(INDEX(ArchiveResults!$F$5:$IX$116,ComparisonData!A31,ComparisonData!$AAF$1),0)),5)</f>
        <v>0</v>
      </c>
      <c r="AAG31" s="46">
        <f t="shared" si="481"/>
        <v>64</v>
      </c>
      <c r="AAH31" s="46">
        <f t="shared" si="99"/>
        <v>2.7539999999999996</v>
      </c>
      <c r="AAI31" s="46">
        <f t="shared" si="482"/>
        <v>1</v>
      </c>
      <c r="AAJ31" s="46">
        <f t="shared" si="483"/>
        <v>2</v>
      </c>
      <c r="AAK31" s="46">
        <f t="shared" si="484"/>
        <v>0</v>
      </c>
      <c r="AAL31" s="46">
        <f t="shared" si="485"/>
        <v>0</v>
      </c>
      <c r="AAM31" s="46">
        <f t="shared" si="486"/>
        <v>0</v>
      </c>
      <c r="AAN31" s="46">
        <f t="shared" si="487"/>
        <v>0</v>
      </c>
      <c r="AAO31" s="46">
        <f t="shared" si="488"/>
        <v>0</v>
      </c>
      <c r="AAP31" s="46">
        <f t="shared" si="489"/>
        <v>0</v>
      </c>
      <c r="AAQ31" s="56">
        <v>26</v>
      </c>
      <c r="AAR31" s="53" t="str">
        <f t="shared" si="100"/>
        <v>Explore York Libraries and Archives</v>
      </c>
      <c r="AAS31" s="60">
        <f t="shared" si="490"/>
        <v>0</v>
      </c>
      <c r="AAT31" s="60">
        <f t="shared" si="491"/>
        <v>0</v>
      </c>
      <c r="AAU31" s="60">
        <f t="shared" si="492"/>
        <v>0</v>
      </c>
      <c r="AAV31" s="60">
        <f t="shared" si="493"/>
        <v>0</v>
      </c>
      <c r="AAW31" s="60">
        <f t="shared" si="494"/>
        <v>0</v>
      </c>
      <c r="AAX31" s="76">
        <f t="shared" si="495"/>
        <v>0</v>
      </c>
      <c r="AAY31" s="46">
        <f t="shared" si="496"/>
        <v>64</v>
      </c>
      <c r="AAZ31" s="46">
        <f t="shared" si="101"/>
        <v>2.7539999999999996</v>
      </c>
      <c r="ABA31" s="46">
        <f t="shared" si="497"/>
        <v>1</v>
      </c>
      <c r="ABB31" s="46">
        <f t="shared" si="498"/>
        <v>2</v>
      </c>
      <c r="ABC31" s="46">
        <f t="shared" si="102"/>
        <v>0</v>
      </c>
      <c r="ABD31" s="46" cm="1">
        <f t="array" ref="ABD31">ROUND(VALUE(IFERROR(INDEX(ArchiveResults!$F$5:$IX$116,ComparisonData!A31,ComparisonData!$ABD$1),0)),5)</f>
        <v>0</v>
      </c>
      <c r="ABE31" s="46" cm="1">
        <f t="array" ref="ABE31">ROUND(VALUE(IFERROR(INDEX(ArchiveResults!$F$5:$IX$116,ComparisonData!A31,ComparisonData!$ABE$1),0)),5)</f>
        <v>0</v>
      </c>
      <c r="ABF31" s="46" cm="1">
        <f t="array" ref="ABF31">ROUND(VALUE(IFERROR(INDEX(ArchiveResults!$F$5:$IX$116,ComparisonData!A31,ComparisonData!$ABF$1),0)),5)</f>
        <v>0</v>
      </c>
      <c r="ABG31" s="46" cm="1">
        <f t="array" ref="ABG31">ROUND(VALUE(IFERROR(INDEX(ArchiveResults!$F$5:$IX$116,ComparisonData!A31,ComparisonData!$ABG$1),0)),5)</f>
        <v>0</v>
      </c>
      <c r="ABH31" s="46" cm="1">
        <f t="array" ref="ABH31">ROUND(VALUE(IFERROR(INDEX(ArchiveResults!$F$5:$IX$116,ComparisonData!A31,ComparisonData!$ABH$1),0)),5)</f>
        <v>0</v>
      </c>
      <c r="ABI31" s="56">
        <v>26</v>
      </c>
      <c r="ABJ31" s="53" t="str">
        <f t="shared" si="103"/>
        <v>Explore York Libraries and Archives</v>
      </c>
      <c r="ABK31" s="60">
        <f t="shared" si="499"/>
        <v>0</v>
      </c>
      <c r="ABL31" s="60">
        <f t="shared" si="500"/>
        <v>0</v>
      </c>
      <c r="ABM31" s="60">
        <f t="shared" si="501"/>
        <v>0</v>
      </c>
      <c r="ABN31" s="60">
        <f t="shared" si="502"/>
        <v>0</v>
      </c>
      <c r="ABO31" s="60">
        <f t="shared" si="503"/>
        <v>0</v>
      </c>
      <c r="ABP31" s="76">
        <f t="shared" si="504"/>
        <v>0</v>
      </c>
      <c r="ABQ31" s="46">
        <f t="shared" si="505"/>
        <v>64</v>
      </c>
      <c r="ABR31" s="46">
        <f t="shared" si="104"/>
        <v>2.7539999999999996</v>
      </c>
      <c r="ABS31" s="46">
        <f t="shared" si="506"/>
        <v>1</v>
      </c>
      <c r="ABT31" s="46">
        <f t="shared" si="507"/>
        <v>2</v>
      </c>
      <c r="ABU31" s="46" cm="1">
        <f t="array" ref="ABU31">ROUND(VALUE(IFERROR(INDEX(ArchiveResults!$F$5:$IX$116,ComparisonData!A31,ComparisonData!$ABU$1),0)),5)</f>
        <v>0</v>
      </c>
      <c r="ABV31" s="46" cm="1">
        <f t="array" ref="ABV31">ROUND(VALUE(IFERROR(INDEX(ArchiveResults!$F$5:$IX$116,ComparisonData!A31,ComparisonData!$ABV$1),0)),5)</f>
        <v>0</v>
      </c>
      <c r="ABW31" s="46" cm="1">
        <f t="array" ref="ABW31">ROUND(VALUE(IFERROR(INDEX(ArchiveResults!$F$5:$IX$116,ComparisonData!A31,ComparisonData!$ABW$1),0)),5)</f>
        <v>0</v>
      </c>
      <c r="ABX31" s="46" cm="1">
        <f t="array" ref="ABX31">ROUND(VALUE(IFERROR(INDEX(ArchiveResults!$F$5:$IX$116,ComparisonData!A31,ComparisonData!$ABX$1),0)),5)</f>
        <v>0</v>
      </c>
      <c r="ABY31" s="46" cm="1">
        <f t="array" ref="ABY31">ROUND(VALUE(IFERROR(INDEX(ArchiveResults!$F$5:$IX$116,ComparisonData!A31,ComparisonData!$ABY$1),0)),5)</f>
        <v>0</v>
      </c>
      <c r="ABZ31" s="56">
        <v>26</v>
      </c>
      <c r="ACA31" s="53" t="str">
        <f t="shared" si="105"/>
        <v>Explore York Libraries and Archives</v>
      </c>
      <c r="ACB31" s="60">
        <f t="shared" si="508"/>
        <v>0</v>
      </c>
      <c r="ACC31" s="60">
        <f t="shared" si="509"/>
        <v>0</v>
      </c>
      <c r="ACD31" s="60">
        <f t="shared" si="510"/>
        <v>0</v>
      </c>
      <c r="ACE31" s="60">
        <f t="shared" si="511"/>
        <v>0</v>
      </c>
      <c r="ACF31" s="60">
        <f t="shared" si="512"/>
        <v>0</v>
      </c>
      <c r="ACG31" s="76">
        <f t="shared" si="513"/>
        <v>0</v>
      </c>
      <c r="ACH31" s="46">
        <f t="shared" si="514"/>
        <v>64</v>
      </c>
      <c r="ACI31" s="46">
        <f t="shared" si="106"/>
        <v>2.7539999999999996</v>
      </c>
      <c r="ACJ31" s="46">
        <f t="shared" si="515"/>
        <v>1</v>
      </c>
      <c r="ACK31" s="46">
        <f t="shared" si="516"/>
        <v>2</v>
      </c>
      <c r="ACL31" s="46">
        <f t="shared" si="517"/>
        <v>0</v>
      </c>
      <c r="ACM31" s="46" cm="1">
        <f t="array" ref="ACM31">ROUND(IFERROR(INDEX(ArchiveResults!$F$5:$IX$116,ComparisonData!A31,ComparisonData!$ACM$1),0),5)</f>
        <v>0</v>
      </c>
      <c r="ACN31" s="46" cm="1">
        <f t="array" ref="ACN31">ROUND(IFERROR(INDEX(ArchiveResults!$F$5:$IX$116,ComparisonData!A31,ComparisonData!$ACN$1),0),5)</f>
        <v>0</v>
      </c>
      <c r="ACO31" s="56">
        <v>26</v>
      </c>
      <c r="ACP31" s="53" t="str">
        <f t="shared" si="107"/>
        <v>Explore York Libraries and Archives</v>
      </c>
      <c r="ACQ31" s="60">
        <f t="shared" si="518"/>
        <v>0</v>
      </c>
      <c r="ACR31" s="60">
        <f t="shared" si="519"/>
        <v>0</v>
      </c>
      <c r="ACS31" s="76">
        <f t="shared" si="520"/>
        <v>0</v>
      </c>
      <c r="ACT31" s="46">
        <f t="shared" si="521"/>
        <v>64</v>
      </c>
      <c r="ACU31" s="46">
        <f t="shared" si="108"/>
        <v>2.7539999999999996</v>
      </c>
      <c r="ACV31" s="46">
        <f t="shared" si="522"/>
        <v>1</v>
      </c>
      <c r="ACW31" s="46">
        <f t="shared" si="523"/>
        <v>2</v>
      </c>
      <c r="ACX31" s="46">
        <f t="shared" si="524"/>
        <v>0</v>
      </c>
      <c r="ACY31" s="46" cm="1">
        <f t="array" ref="ACY31">ROUNDDOWN(IFERROR(INDEX(ArchiveResults!$F$5:$IX$116,ComparisonData!A31,ComparisonData!$ACY$1),0),5)</f>
        <v>0</v>
      </c>
      <c r="ACZ31" s="46" cm="1">
        <f t="array" ref="ACZ31">ROUNDDOWN(IFERROR(INDEX(ArchiveResults!$F$5:$IX$116,ComparisonData!A31,ComparisonData!$ACZ$1),0),5)</f>
        <v>0</v>
      </c>
      <c r="ADA31" s="46" cm="1">
        <f t="array" ref="ADA31">ROUNDDOWN(IFERROR(INDEX(ArchiveResults!$F$5:$IX$116,ComparisonData!A31,ComparisonData!$ADA$1),0),5)</f>
        <v>0</v>
      </c>
      <c r="ADB31" s="56">
        <v>26</v>
      </c>
      <c r="ADC31" s="53" t="str">
        <f t="shared" si="109"/>
        <v>Explore York Libraries and Archives</v>
      </c>
      <c r="ADD31" s="60">
        <f t="shared" si="525"/>
        <v>0</v>
      </c>
      <c r="ADE31" s="60">
        <f t="shared" si="526"/>
        <v>0</v>
      </c>
      <c r="ADF31" s="60">
        <f t="shared" si="527"/>
        <v>0</v>
      </c>
      <c r="ADG31" s="76">
        <f t="shared" si="528"/>
        <v>0</v>
      </c>
    </row>
    <row r="32" spans="1:787" x14ac:dyDescent="0.25">
      <c r="A32" s="46" t="str">
        <f>IF(ISBLANK(ComparisonSelection!F28),"",ROW()-5)</f>
        <v/>
      </c>
      <c r="B32" s="53" t="s">
        <v>482</v>
      </c>
      <c r="C32" s="72">
        <v>0.70899999999999974</v>
      </c>
      <c r="D32" s="55">
        <f t="shared" si="110"/>
        <v>55</v>
      </c>
      <c r="E32" s="54">
        <f t="shared" si="111"/>
        <v>2.7089999999999996</v>
      </c>
      <c r="F32" s="54">
        <f t="shared" si="529"/>
        <v>1</v>
      </c>
      <c r="G32" s="72">
        <f t="shared" si="112"/>
        <v>2</v>
      </c>
      <c r="H32" s="72">
        <f t="shared" si="113"/>
        <v>0</v>
      </c>
      <c r="I32" s="46" cm="1">
        <f t="array" ref="I32">ROUND(IFERROR(INDEX(ArchiveResults!$F$5:$IX$116,ComparisonData!A32,ComparisonData!$I$1),0),5)</f>
        <v>0</v>
      </c>
      <c r="J32" s="46" cm="1">
        <f t="array" ref="J32">ROUND(IFERROR(INDEX(ArchiveResults!$F$5:$IX$116,ComparisonData!A32,ComparisonData!$J$1),0),5)</f>
        <v>0</v>
      </c>
      <c r="K32" s="56">
        <v>27</v>
      </c>
      <c r="L32" s="53" t="str">
        <f t="shared" si="114"/>
        <v>Glamorgan Archives</v>
      </c>
      <c r="M32" s="57">
        <f t="shared" si="0"/>
        <v>0</v>
      </c>
      <c r="N32" s="57">
        <f t="shared" si="1"/>
        <v>0</v>
      </c>
      <c r="O32" s="58">
        <f t="shared" si="115"/>
        <v>0</v>
      </c>
      <c r="P32" s="48">
        <f t="shared" si="116"/>
        <v>55</v>
      </c>
      <c r="Q32" s="54">
        <f t="shared" si="2"/>
        <v>2.7089999999999996</v>
      </c>
      <c r="R32" s="45">
        <f t="shared" si="117"/>
        <v>1</v>
      </c>
      <c r="S32" s="46">
        <f t="shared" si="118"/>
        <v>2</v>
      </c>
      <c r="T32" s="72">
        <f t="shared" si="119"/>
        <v>0</v>
      </c>
      <c r="U32" s="46" cm="1">
        <f t="array" ref="U32">ROUND(IFERROR(INDEX(ArchiveResults!$F$5:$IX$116,ComparisonData!A32,ComparisonData!$U$1),0),5)</f>
        <v>0</v>
      </c>
      <c r="V32" s="46" cm="1">
        <f t="array" ref="V32">ROUND(IFERROR(INDEX(ArchiveResults!$F$5:$IX$116,ComparisonData!A32,ComparisonData!$V$1),0),5)</f>
        <v>0</v>
      </c>
      <c r="W32" s="56">
        <v>27</v>
      </c>
      <c r="X32" s="53" t="str">
        <f t="shared" si="3"/>
        <v>Glamorgan Archives</v>
      </c>
      <c r="Y32" s="57">
        <f t="shared" si="120"/>
        <v>0</v>
      </c>
      <c r="Z32" s="57">
        <f t="shared" si="121"/>
        <v>0</v>
      </c>
      <c r="AA32" s="58">
        <f t="shared" si="122"/>
        <v>0</v>
      </c>
      <c r="AB32" s="45">
        <f t="shared" si="123"/>
        <v>55</v>
      </c>
      <c r="AC32" s="54">
        <f t="shared" si="4"/>
        <v>2.7089999999999996</v>
      </c>
      <c r="AD32" s="45">
        <f t="shared" si="124"/>
        <v>1</v>
      </c>
      <c r="AE32" s="45">
        <f t="shared" si="125"/>
        <v>2</v>
      </c>
      <c r="AF32" s="45">
        <f t="shared" si="126"/>
        <v>0</v>
      </c>
      <c r="AG32" s="46" cm="1">
        <f t="array" ref="AG32">ROUND(IFERROR(INDEX(ArchiveResults!$F$5:$IX$116,ComparisonData!A32,ComparisonData!$AG$1),0),5)</f>
        <v>0</v>
      </c>
      <c r="AH32" s="46" cm="1">
        <f t="array" ref="AH32">ROUND(IFERROR(INDEX(ArchiveResults!$F$5:$IX$116,ComparisonData!A32,ComparisonData!$AH$1),0),5)</f>
        <v>0</v>
      </c>
      <c r="AI32" s="56">
        <v>27</v>
      </c>
      <c r="AJ32" s="53" t="str">
        <f t="shared" si="5"/>
        <v>Glamorgan Archives</v>
      </c>
      <c r="AK32" s="59">
        <f t="shared" si="6"/>
        <v>0</v>
      </c>
      <c r="AL32" s="59">
        <f t="shared" si="7"/>
        <v>0</v>
      </c>
      <c r="AM32" s="58">
        <f t="shared" si="127"/>
        <v>0</v>
      </c>
      <c r="AN32" s="45">
        <f t="shared" si="128"/>
        <v>55</v>
      </c>
      <c r="AO32" s="54">
        <f t="shared" si="8"/>
        <v>2.7089999999999996</v>
      </c>
      <c r="AP32" s="45">
        <f t="shared" si="129"/>
        <v>1</v>
      </c>
      <c r="AQ32" s="45">
        <f t="shared" si="130"/>
        <v>2</v>
      </c>
      <c r="AR32" s="46" cm="1">
        <f t="array" ref="AR32">ROUND(IFERROR(INDEX(ArchiveResults!$F$5:$IX$116,ComparisonData!A32,ComparisonData!$AR$1),0),5)</f>
        <v>0</v>
      </c>
      <c r="AS32" s="46" cm="1">
        <f t="array" ref="AS32">ROUND(IFERROR(INDEX(ArchiveResults!$F$5:$IX$116,ComparisonData!A32,ComparisonData!$AS$1),0),5)</f>
        <v>0</v>
      </c>
      <c r="AT32" s="46" cm="1">
        <f t="array" ref="AT32">ROUND(IFERROR(INDEX(ArchiveResults!$F$5:$IX$116,ComparisonData!A32,ComparisonData!$AT$1),0),5)</f>
        <v>0</v>
      </c>
      <c r="AU32" s="46" cm="1">
        <f t="array" ref="AU32">ROUND(IFERROR(INDEX(ArchiveResults!$F$5:$IX$116,ComparisonData!A32,ComparisonData!$AU$1),0),5)</f>
        <v>0</v>
      </c>
      <c r="AV32" s="46" cm="1">
        <f t="array" ref="AV32">ROUND(IFERROR(INDEX(ArchiveResults!$F$5:$IX$116,ComparisonData!A32,ComparisonData!$AV$1),0),5)</f>
        <v>0</v>
      </c>
      <c r="AW32" s="46" cm="1">
        <f t="array" ref="AW32">ROUND(IFERROR(INDEX(ArchiveResults!$F$5:$IX$116,ComparisonData!A32,ComparisonData!$AW$1),0),5)</f>
        <v>0</v>
      </c>
      <c r="AX32" s="46" cm="1">
        <f t="array" ref="AX32">ROUND(IFERROR(INDEX(ArchiveResults!$F$5:$IX$116,ComparisonData!A32,ComparisonData!$AX$1),0),5)</f>
        <v>0</v>
      </c>
      <c r="AY32" s="46" cm="1">
        <f t="array" ref="AY32">ROUND(IFERROR(INDEX(ArchiveResults!$F$5:$IX$116,ComparisonData!A32,ComparisonData!$AY$1),0),5)</f>
        <v>0</v>
      </c>
      <c r="AZ32" s="46" cm="1">
        <f t="array" ref="AZ32">ROUND(IFERROR(INDEX(ArchiveResults!$F$5:$IX$116,ComparisonData!A32,ComparisonData!$AZ$1),0),5)</f>
        <v>0</v>
      </c>
      <c r="BA32" s="46" cm="1">
        <f t="array" ref="BA32">ROUND(IFERROR(INDEX(ArchiveResults!$F$5:$IX$116,ComparisonData!A32,ComparisonData!$BA$1),0),5)</f>
        <v>0</v>
      </c>
      <c r="BB32" s="56">
        <v>27</v>
      </c>
      <c r="BC32" s="53" t="str">
        <f t="shared" si="9"/>
        <v>Glamorgan Archives</v>
      </c>
      <c r="BD32" s="60">
        <f t="shared" si="131"/>
        <v>0</v>
      </c>
      <c r="BE32" s="60">
        <f t="shared" si="132"/>
        <v>0</v>
      </c>
      <c r="BF32" s="60">
        <f t="shared" si="133"/>
        <v>0</v>
      </c>
      <c r="BG32" s="60">
        <f t="shared" si="134"/>
        <v>0</v>
      </c>
      <c r="BH32" s="60">
        <f t="shared" si="135"/>
        <v>0</v>
      </c>
      <c r="BI32" s="60">
        <f t="shared" si="136"/>
        <v>0</v>
      </c>
      <c r="BJ32" s="60">
        <f t="shared" si="137"/>
        <v>0</v>
      </c>
      <c r="BK32" s="60">
        <f t="shared" si="138"/>
        <v>0</v>
      </c>
      <c r="BL32" s="60">
        <f t="shared" si="139"/>
        <v>0</v>
      </c>
      <c r="BM32" s="59">
        <f t="shared" si="140"/>
        <v>0</v>
      </c>
      <c r="BN32" s="58">
        <f t="shared" si="141"/>
        <v>0</v>
      </c>
      <c r="BO32" s="45">
        <f t="shared" si="142"/>
        <v>55</v>
      </c>
      <c r="BP32" s="54">
        <f t="shared" si="10"/>
        <v>2.7089999999999996</v>
      </c>
      <c r="BQ32" s="45">
        <f t="shared" si="143"/>
        <v>1</v>
      </c>
      <c r="BR32" s="45">
        <f t="shared" si="144"/>
        <v>2</v>
      </c>
      <c r="BS32" s="46" cm="1">
        <f t="array" ref="BS32">ROUND(IFERROR(INDEX(ArchiveResults!$F$5:$IX$116,ComparisonData!A32,ComparisonData!$BS$1),0),5)</f>
        <v>0</v>
      </c>
      <c r="BT32" s="46" cm="1">
        <f t="array" ref="BT32">ROUND(IFERROR(INDEX(ArchiveResults!$F$5:$IX$116,ComparisonData!A32,ComparisonData!$BT$1),0),5)</f>
        <v>0</v>
      </c>
      <c r="BU32" s="46" cm="1">
        <f t="array" ref="BU32">ROUND(IFERROR(INDEX(ArchiveResults!$F$5:$IX$116,ComparisonData!A32,ComparisonData!$BU$1),0),5)</f>
        <v>0</v>
      </c>
      <c r="BV32" s="46" cm="1">
        <f t="array" ref="BV32">ROUND(IFERROR(INDEX(ArchiveResults!$F$5:$IX$116,ComparisonData!A32,ComparisonData!$BV$1),0),5)</f>
        <v>0</v>
      </c>
      <c r="BW32" s="46" cm="1">
        <f t="array" ref="BW32">ROUND(IFERROR(INDEX(ArchiveResults!$F$5:$IX$116,ComparisonData!A32,ComparisonData!$BW$1),0),5)</f>
        <v>0</v>
      </c>
      <c r="BX32" s="46" cm="1">
        <f t="array" ref="BX32">ROUND(IFERROR(INDEX(ArchiveResults!$F$5:$IX$116,ComparisonData!A32,ComparisonData!$BX$1),0),5)</f>
        <v>0</v>
      </c>
      <c r="BY32" s="56">
        <v>27</v>
      </c>
      <c r="BZ32" s="53" t="str">
        <f t="shared" si="11"/>
        <v>Glamorgan Archives</v>
      </c>
      <c r="CA32" s="59">
        <f t="shared" si="145"/>
        <v>0</v>
      </c>
      <c r="CB32" s="59">
        <f t="shared" si="146"/>
        <v>0</v>
      </c>
      <c r="CC32" s="59">
        <f t="shared" si="147"/>
        <v>0</v>
      </c>
      <c r="CD32" s="59">
        <f t="shared" si="148"/>
        <v>0</v>
      </c>
      <c r="CE32" s="59">
        <f t="shared" si="149"/>
        <v>0</v>
      </c>
      <c r="CF32" s="59">
        <f t="shared" si="150"/>
        <v>0</v>
      </c>
      <c r="CG32" s="58">
        <f t="shared" si="151"/>
        <v>0</v>
      </c>
      <c r="CH32" s="45">
        <f t="shared" si="152"/>
        <v>55</v>
      </c>
      <c r="CI32" s="54">
        <f t="shared" si="12"/>
        <v>2.7089999999999996</v>
      </c>
      <c r="CJ32" s="45">
        <f t="shared" si="153"/>
        <v>1</v>
      </c>
      <c r="CK32" s="45">
        <f t="shared" si="154"/>
        <v>2</v>
      </c>
      <c r="CL32" s="46" cm="1">
        <f t="array" ref="CL32">ROUND(IFERROR(INDEX(ArchiveResults!$F$5:$IX$116,ComparisonData!A32,ComparisonData!$CL$1),0),5)</f>
        <v>0</v>
      </c>
      <c r="CM32" s="56">
        <v>27</v>
      </c>
      <c r="CN32" s="53" t="str">
        <f t="shared" si="13"/>
        <v>Glamorgan Archives</v>
      </c>
      <c r="CO32" s="45">
        <f t="shared" si="155"/>
        <v>0</v>
      </c>
      <c r="CP32" s="58">
        <f t="shared" si="156"/>
        <v>0</v>
      </c>
      <c r="CQ32" s="45">
        <f t="shared" si="157"/>
        <v>55</v>
      </c>
      <c r="CR32" s="54">
        <f t="shared" si="14"/>
        <v>2.7089999999999996</v>
      </c>
      <c r="CS32" s="45">
        <f t="shared" si="158"/>
        <v>1</v>
      </c>
      <c r="CT32" s="45">
        <f t="shared" si="159"/>
        <v>2</v>
      </c>
      <c r="CU32" s="46" cm="1">
        <f t="array" ref="CU32">ROUND(IFERROR(INDEX(ArchiveResults!$F$5:$IX$116,ComparisonData!A32,ComparisonData!$CU$1),0),5)</f>
        <v>0</v>
      </c>
      <c r="CV32" s="56">
        <v>27</v>
      </c>
      <c r="CW32" s="53" t="str">
        <f t="shared" si="15"/>
        <v>Glamorgan Archives</v>
      </c>
      <c r="CX32" s="45">
        <f t="shared" si="160"/>
        <v>0</v>
      </c>
      <c r="CY32" s="58">
        <f t="shared" si="161"/>
        <v>0</v>
      </c>
      <c r="CZ32" s="45">
        <f t="shared" si="162"/>
        <v>55</v>
      </c>
      <c r="DA32" s="54">
        <f t="shared" si="16"/>
        <v>2.7089999999999996</v>
      </c>
      <c r="DB32" s="45">
        <f t="shared" si="163"/>
        <v>1</v>
      </c>
      <c r="DC32" s="45">
        <f t="shared" si="164"/>
        <v>2</v>
      </c>
      <c r="DD32" s="46" cm="1">
        <f t="array" ref="DD32">ROUND(IFERROR(INDEX(ArchiveResults!$F$5:$IX$116,ComparisonData!A32,ComparisonData!$DD$1),0),5)</f>
        <v>0</v>
      </c>
      <c r="DE32" s="56">
        <v>27</v>
      </c>
      <c r="DF32" s="53" t="str">
        <f t="shared" si="17"/>
        <v>Glamorgan Archives</v>
      </c>
      <c r="DG32" s="45">
        <f t="shared" si="165"/>
        <v>0</v>
      </c>
      <c r="DH32" s="58">
        <f t="shared" si="166"/>
        <v>0</v>
      </c>
      <c r="DI32" s="45">
        <f t="shared" si="167"/>
        <v>55</v>
      </c>
      <c r="DJ32" s="54">
        <f t="shared" si="18"/>
        <v>2.7089999999999996</v>
      </c>
      <c r="DK32" s="45">
        <f t="shared" si="168"/>
        <v>1</v>
      </c>
      <c r="DL32" s="45">
        <f t="shared" si="169"/>
        <v>2</v>
      </c>
      <c r="DM32" s="46" cm="1">
        <f t="array" ref="DM32">ROUND(IFERROR(INDEX(ArchiveResults!$F$5:$IX$116,ComparisonData!A32,ComparisonData!$DM$1),0),5)</f>
        <v>0</v>
      </c>
      <c r="DN32" s="46" cm="1">
        <f t="array" ref="DN32">ROUND(IFERROR(INDEX(ArchiveResults!$F$5:$IX$116,ComparisonData!A32,ComparisonData!$DN$1),0),5)</f>
        <v>0</v>
      </c>
      <c r="DO32" s="46" cm="1">
        <f t="array" ref="DO32">ROUND(IFERROR(INDEX(ArchiveResults!$F$5:$IX$116,ComparisonData!A32,ComparisonData!$DO$1),0),5)</f>
        <v>0</v>
      </c>
      <c r="DP32" s="46" cm="1">
        <f t="array" ref="DP32">ROUND(IFERROR(INDEX(ArchiveResults!$F$5:$IX$116,ComparisonData!A32,ComparisonData!$DP$1),0),5)</f>
        <v>0</v>
      </c>
      <c r="DQ32" s="45" cm="1">
        <f t="array" ref="DQ32">IFERROR(INDEX(ArchiveResults!$F$5:$IX$116,ComparisonData!A32,ComparisonData!$DQ$1),0)</f>
        <v>0</v>
      </c>
      <c r="DR32" s="56">
        <v>27</v>
      </c>
      <c r="DS32" s="53" t="str">
        <f t="shared" si="19"/>
        <v>Glamorgan Archives</v>
      </c>
      <c r="DT32" s="59">
        <f t="shared" si="170"/>
        <v>0</v>
      </c>
      <c r="DU32" s="59">
        <f t="shared" si="171"/>
        <v>0</v>
      </c>
      <c r="DV32" s="59">
        <f t="shared" si="172"/>
        <v>0</v>
      </c>
      <c r="DW32" s="59">
        <f t="shared" si="173"/>
        <v>0</v>
      </c>
      <c r="DX32" s="59">
        <f t="shared" si="174"/>
        <v>0</v>
      </c>
      <c r="DY32" s="58">
        <f t="shared" si="175"/>
        <v>0</v>
      </c>
      <c r="DZ32" s="45">
        <f t="shared" si="176"/>
        <v>55</v>
      </c>
      <c r="EA32" s="54">
        <f t="shared" si="20"/>
        <v>2.7089999999999996</v>
      </c>
      <c r="EB32" s="45">
        <f t="shared" si="177"/>
        <v>1</v>
      </c>
      <c r="EC32" s="45">
        <f t="shared" si="178"/>
        <v>2</v>
      </c>
      <c r="ED32" s="46" cm="1">
        <f t="array" ref="ED32">ROUND(IFERROR(INDEX(ArchiveResults!$F$5:$IX$116,ComparisonData!A32,ComparisonData!$ED$1),0),5)</f>
        <v>0</v>
      </c>
      <c r="EE32" s="46" cm="1">
        <f t="array" ref="EE32">ROUND(IFERROR(INDEX(ArchiveResults!$F$5:$IX$116,ComparisonData!A32,ComparisonData!$EE$1),0),5)</f>
        <v>0</v>
      </c>
      <c r="EF32" s="46" cm="1">
        <f t="array" ref="EF32">ROUND(IFERROR(INDEX(ArchiveResults!$F$5:$IX$116,ComparisonData!A32,ComparisonData!$EF$1),0),5)</f>
        <v>0</v>
      </c>
      <c r="EG32" s="46" cm="1">
        <f t="array" ref="EG32">ROUND(IFERROR(INDEX(ArchiveResults!$F$5:$IX$116,ComparisonData!A32,ComparisonData!$EG$1),0),5)</f>
        <v>0</v>
      </c>
      <c r="EH32" s="45" cm="1">
        <f t="array" ref="EH32">IFERROR(INDEX(ArchiveResults!$F$5:$IX$116,ComparisonData!A32,ComparisonData!$EH$1),0)</f>
        <v>0</v>
      </c>
      <c r="EI32" s="56">
        <v>27</v>
      </c>
      <c r="EJ32" s="53" t="str">
        <f t="shared" si="21"/>
        <v>Glamorgan Archives</v>
      </c>
      <c r="EK32" s="59">
        <f t="shared" si="179"/>
        <v>0</v>
      </c>
      <c r="EL32" s="59">
        <f t="shared" si="180"/>
        <v>0</v>
      </c>
      <c r="EM32" s="59">
        <f t="shared" si="181"/>
        <v>0</v>
      </c>
      <c r="EN32" s="59">
        <f t="shared" si="182"/>
        <v>0</v>
      </c>
      <c r="EO32" s="59">
        <f t="shared" si="183"/>
        <v>0</v>
      </c>
      <c r="EP32" s="58">
        <f t="shared" si="184"/>
        <v>0</v>
      </c>
      <c r="EQ32" s="45">
        <f t="shared" si="185"/>
        <v>55</v>
      </c>
      <c r="ER32" s="54">
        <f t="shared" si="22"/>
        <v>2.7089999999999996</v>
      </c>
      <c r="ES32" s="45">
        <f t="shared" si="186"/>
        <v>1</v>
      </c>
      <c r="ET32" s="45">
        <f t="shared" si="187"/>
        <v>2</v>
      </c>
      <c r="EU32" s="46" cm="1">
        <f t="array" ref="EU32">ROUND(IFERROR(INDEX(ArchiveResults!$F$5:$IX$116,ComparisonData!A32,ComparisonData!$EU$1),0),5)</f>
        <v>0</v>
      </c>
      <c r="EV32" s="46" cm="1">
        <f t="array" ref="EV32">ROUND(IFERROR(INDEX(ArchiveResults!$F$5:$IX$116,ComparisonData!A32,ComparisonData!$EV$1),0),5)</f>
        <v>0</v>
      </c>
      <c r="EW32" s="46" cm="1">
        <f t="array" ref="EW32">ROUND(IFERROR(INDEX(ArchiveResults!$F$5:$IX$116,ComparisonData!A32,ComparisonData!$EW$1),0),5)</f>
        <v>0</v>
      </c>
      <c r="EX32" s="46" cm="1">
        <f t="array" ref="EX32">ROUND(IFERROR(INDEX(ArchiveResults!$F$5:$IX$116,ComparisonData!A32,ComparisonData!$EX$1),0),5)</f>
        <v>0</v>
      </c>
      <c r="EY32" s="45" cm="1">
        <f t="array" ref="EY32">IFERROR(INDEX(ArchiveResults!$F$5:$IX$116,ComparisonData!A32,ComparisonData!$EY$1),0)</f>
        <v>0</v>
      </c>
      <c r="EZ32" s="56">
        <v>27</v>
      </c>
      <c r="FA32" s="53" t="str">
        <f t="shared" si="23"/>
        <v>Glamorgan Archives</v>
      </c>
      <c r="FB32" s="59">
        <f t="shared" si="188"/>
        <v>0</v>
      </c>
      <c r="FC32" s="59">
        <f t="shared" si="189"/>
        <v>0</v>
      </c>
      <c r="FD32" s="59">
        <f t="shared" si="190"/>
        <v>0</v>
      </c>
      <c r="FE32" s="59">
        <f t="shared" si="191"/>
        <v>0</v>
      </c>
      <c r="FF32" s="59">
        <f t="shared" si="192"/>
        <v>0</v>
      </c>
      <c r="FG32" s="58">
        <f t="shared" si="193"/>
        <v>0</v>
      </c>
      <c r="FH32" s="45">
        <f t="shared" si="194"/>
        <v>55</v>
      </c>
      <c r="FI32" s="54">
        <f t="shared" si="24"/>
        <v>2.7089999999999996</v>
      </c>
      <c r="FJ32" s="45">
        <f t="shared" si="195"/>
        <v>1</v>
      </c>
      <c r="FK32" s="45">
        <f t="shared" si="196"/>
        <v>2</v>
      </c>
      <c r="FL32" s="46" cm="1">
        <f t="array" ref="FL32">ROUND(IFERROR(INDEX(ArchiveResults!$F$5:$IX$116,ComparisonData!A32,ComparisonData!$FL$1),0),5)</f>
        <v>0</v>
      </c>
      <c r="FM32" s="46" cm="1">
        <f t="array" ref="FM32">ROUND(IFERROR(INDEX(ArchiveResults!$F$5:$IX$116,ComparisonData!A32,ComparisonData!$FM$1),0),5)</f>
        <v>0</v>
      </c>
      <c r="FN32" s="46" cm="1">
        <f t="array" ref="FN32">ROUND(IFERROR(INDEX(ArchiveResults!$F$5:$IX$116,ComparisonData!A32,ComparisonData!$FN$1),0),5)</f>
        <v>0</v>
      </c>
      <c r="FO32" s="46" cm="1">
        <f t="array" ref="FO32">ROUND(IFERROR(INDEX(ArchiveResults!$F$5:$IX$116,ComparisonData!A32,ComparisonData!$FO$1),0),5)</f>
        <v>0</v>
      </c>
      <c r="FP32" s="45" cm="1">
        <f t="array" ref="FP32">IFERROR(INDEX(ArchiveResults!$F$5:$IX$116,ComparisonData!A32,ComparisonData!$FP$1),0)</f>
        <v>0</v>
      </c>
      <c r="FQ32" s="56">
        <v>27</v>
      </c>
      <c r="FR32" s="53" t="str">
        <f t="shared" si="25"/>
        <v>Glamorgan Archives</v>
      </c>
      <c r="FS32" s="59">
        <f t="shared" si="197"/>
        <v>0</v>
      </c>
      <c r="FT32" s="59">
        <f t="shared" si="198"/>
        <v>0</v>
      </c>
      <c r="FU32" s="59">
        <f t="shared" si="199"/>
        <v>0</v>
      </c>
      <c r="FV32" s="59">
        <f t="shared" si="200"/>
        <v>0</v>
      </c>
      <c r="FW32" s="59">
        <f t="shared" si="201"/>
        <v>0</v>
      </c>
      <c r="FX32" s="58">
        <f t="shared" si="202"/>
        <v>0</v>
      </c>
      <c r="FY32" s="45">
        <f t="shared" si="203"/>
        <v>55</v>
      </c>
      <c r="FZ32" s="45">
        <f t="shared" si="26"/>
        <v>2.7089999999999996</v>
      </c>
      <c r="GA32" s="45">
        <f t="shared" si="204"/>
        <v>1</v>
      </c>
      <c r="GB32" s="45">
        <f t="shared" si="205"/>
        <v>2</v>
      </c>
      <c r="GC32" s="46" cm="1">
        <f t="array" ref="GC32">ROUND(IFERROR(INDEX(ArchiveResults!$F$5:$IX$116,ComparisonData!A32,ComparisonData!$GC$1),0),5)</f>
        <v>0</v>
      </c>
      <c r="GD32" s="46" cm="1">
        <f t="array" ref="GD32">ROUND(IFERROR(INDEX(ArchiveResults!$F$5:$IX$116,ComparisonData!A32,ComparisonData!$GD$1),0),5)</f>
        <v>0</v>
      </c>
      <c r="GE32" s="46" cm="1">
        <f t="array" ref="GE32">ROUND(IFERROR(INDEX(ArchiveResults!$F$5:$IX$116,ComparisonData!A32,ComparisonData!$GE$1),0),5)</f>
        <v>0</v>
      </c>
      <c r="GF32" s="46" cm="1">
        <f t="array" ref="GF32">ROUND(IFERROR(INDEX(ArchiveResults!$F$5:$IX$116,ComparisonData!A32,ComparisonData!$GF$1),0),5)</f>
        <v>0</v>
      </c>
      <c r="GG32" s="45" cm="1">
        <f t="array" ref="GG32">IFERROR(INDEX(ArchiveResults!$F$5:$IX$116,ComparisonData!A32,ComparisonData!$GG$1),0)</f>
        <v>0</v>
      </c>
      <c r="GH32" s="56">
        <v>27</v>
      </c>
      <c r="GI32" s="53" t="str">
        <f t="shared" si="27"/>
        <v>Glamorgan Archives</v>
      </c>
      <c r="GJ32" s="59">
        <f t="shared" si="206"/>
        <v>0</v>
      </c>
      <c r="GK32" s="59">
        <f t="shared" si="207"/>
        <v>0</v>
      </c>
      <c r="GL32" s="59">
        <f t="shared" si="208"/>
        <v>0</v>
      </c>
      <c r="GM32" s="59">
        <f t="shared" si="209"/>
        <v>0</v>
      </c>
      <c r="GN32" s="59">
        <f t="shared" si="210"/>
        <v>0</v>
      </c>
      <c r="GO32" s="58">
        <f t="shared" si="211"/>
        <v>0</v>
      </c>
      <c r="GP32" s="45">
        <f t="shared" si="212"/>
        <v>55</v>
      </c>
      <c r="GQ32" s="45">
        <f t="shared" si="28"/>
        <v>2.7089999999999996</v>
      </c>
      <c r="GR32" s="45">
        <f t="shared" si="213"/>
        <v>1</v>
      </c>
      <c r="GS32" s="45">
        <f t="shared" si="214"/>
        <v>2</v>
      </c>
      <c r="GT32" s="46" cm="1">
        <f t="array" ref="GT32">ROUND(IFERROR(INDEX(ArchiveResults!$F$5:$IX$116,ComparisonData!A32,ComparisonData!$GT$1),0),5)</f>
        <v>0</v>
      </c>
      <c r="GU32" s="46" cm="1">
        <f t="array" ref="GU32">ROUND(IFERROR(INDEX(ArchiveResults!$F$5:$IX$116,ComparisonData!A32,ComparisonData!$GU$1),0),5)</f>
        <v>0</v>
      </c>
      <c r="GV32" s="46" cm="1">
        <f t="array" ref="GV32">ROUND(IFERROR(INDEX(ArchiveResults!$F$5:$IX$116,ComparisonData!A32,ComparisonData!$GV$1),0),5)</f>
        <v>0</v>
      </c>
      <c r="GW32" s="46" cm="1">
        <f t="array" ref="GW32">ROUND(IFERROR(INDEX(ArchiveResults!$F$5:$IX$116,ComparisonData!A32,ComparisonData!$GW$1),0),5)</f>
        <v>0</v>
      </c>
      <c r="GX32" s="45" cm="1">
        <f t="array" ref="GX32">IFERROR(INDEX(ArchiveResults!$F$5:$IX$116,ComparisonData!A32,ComparisonData!$GX$1),0)</f>
        <v>0</v>
      </c>
      <c r="GY32" s="56">
        <v>27</v>
      </c>
      <c r="GZ32" s="53" t="str">
        <f t="shared" si="29"/>
        <v>Glamorgan Archives</v>
      </c>
      <c r="HA32" s="59">
        <f t="shared" si="215"/>
        <v>0</v>
      </c>
      <c r="HB32" s="59">
        <f t="shared" si="216"/>
        <v>0</v>
      </c>
      <c r="HC32" s="59">
        <f t="shared" si="217"/>
        <v>0</v>
      </c>
      <c r="HD32" s="59">
        <f t="shared" si="218"/>
        <v>0</v>
      </c>
      <c r="HE32" s="59">
        <f t="shared" si="219"/>
        <v>0</v>
      </c>
      <c r="HF32" s="58">
        <f t="shared" si="220"/>
        <v>0</v>
      </c>
      <c r="HG32" s="45">
        <f t="shared" si="221"/>
        <v>55</v>
      </c>
      <c r="HH32" s="45">
        <f t="shared" si="30"/>
        <v>2.7089999999999996</v>
      </c>
      <c r="HI32" s="45">
        <f t="shared" si="222"/>
        <v>1</v>
      </c>
      <c r="HJ32" s="45">
        <f t="shared" si="223"/>
        <v>2</v>
      </c>
      <c r="HK32" s="46" cm="1">
        <f t="array" ref="HK32">ROUND(IFERROR(INDEX(ArchiveResults!$F$5:$IX$116,ComparisonData!A32,ComparisonData!$HK$1),0),5)</f>
        <v>0</v>
      </c>
      <c r="HL32" s="46" cm="1">
        <f t="array" ref="HL32">ROUND(IFERROR(INDEX(ArchiveResults!$F$5:$IX$116,ComparisonData!A32,ComparisonData!$HL$1),0),5)</f>
        <v>0</v>
      </c>
      <c r="HM32" s="46" cm="1">
        <f t="array" ref="HM32">ROUND(IFERROR(INDEX(ArchiveResults!$F$5:$IX$116,ComparisonData!A32,ComparisonData!$HM$1),0),5)</f>
        <v>0</v>
      </c>
      <c r="HN32" s="46" cm="1">
        <f t="array" ref="HN32">ROUND(IFERROR(INDEX(ArchiveResults!$F$5:$IX$116,ComparisonData!A32,ComparisonData!$HN$1),0),5)</f>
        <v>0</v>
      </c>
      <c r="HO32" s="45" cm="1">
        <f t="array" ref="HO32">IFERROR(INDEX(ArchiveResults!$F$5:$IX$116,ComparisonData!A32,ComparisonData!$HO$1),0)</f>
        <v>0</v>
      </c>
      <c r="HP32" s="56">
        <v>27</v>
      </c>
      <c r="HQ32" s="53" t="str">
        <f t="shared" si="31"/>
        <v>Glamorgan Archives</v>
      </c>
      <c r="HR32" s="59">
        <f t="shared" si="32"/>
        <v>0</v>
      </c>
      <c r="HS32" s="59">
        <f t="shared" si="33"/>
        <v>0</v>
      </c>
      <c r="HT32" s="59">
        <f t="shared" si="34"/>
        <v>0</v>
      </c>
      <c r="HU32" s="59">
        <f t="shared" si="35"/>
        <v>0</v>
      </c>
      <c r="HV32" s="59">
        <f t="shared" si="36"/>
        <v>0</v>
      </c>
      <c r="HW32" s="58">
        <f t="shared" si="224"/>
        <v>0</v>
      </c>
      <c r="HX32" s="45">
        <f t="shared" si="225"/>
        <v>55</v>
      </c>
      <c r="HY32" s="45">
        <f t="shared" si="37"/>
        <v>2.7089999999999996</v>
      </c>
      <c r="HZ32" s="45">
        <f t="shared" si="226"/>
        <v>1</v>
      </c>
      <c r="IA32" s="45">
        <f t="shared" si="227"/>
        <v>2</v>
      </c>
      <c r="IB32" s="45">
        <f t="shared" si="228"/>
        <v>0</v>
      </c>
      <c r="IC32" s="46" cm="1">
        <f t="array" ref="IC32">ROUND(IFERROR(INDEX(ArchiveResults!$F$5:$IX$116,ComparisonData!A32,ComparisonData!$IC$1),0),5)</f>
        <v>0</v>
      </c>
      <c r="ID32" s="46" cm="1">
        <f t="array" ref="ID32">ROUND(IFERROR(INDEX(ArchiveResults!$F$5:$IX$116,ComparisonData!A32,ComparisonData!$ID$1),0),5)</f>
        <v>0</v>
      </c>
      <c r="IE32" s="46" cm="1">
        <f t="array" ref="IE32">ROUND(IFERROR(INDEX(ArchiveResults!$F$5:$IX$116,ComparisonData!A32,ComparisonData!$IE$1),0),5)</f>
        <v>0</v>
      </c>
      <c r="IF32" s="46" cm="1">
        <f t="array" ref="IF32">ROUND(IFERROR(INDEX(ArchiveResults!$F$5:$IX$116,ComparisonData!A32,ComparisonData!$IF$1),0),5)</f>
        <v>0</v>
      </c>
      <c r="IG32" s="45" cm="1">
        <f t="array" ref="IG32">IFERROR(INDEX(ArchiveResults!$F$5:$IX$116,ComparisonData!A32,ComparisonData!$IG$1),0)</f>
        <v>0</v>
      </c>
      <c r="IH32" s="56">
        <v>27</v>
      </c>
      <c r="II32" s="53" t="str">
        <f t="shared" si="38"/>
        <v>Glamorgan Archives</v>
      </c>
      <c r="IJ32" s="59">
        <f t="shared" si="229"/>
        <v>0</v>
      </c>
      <c r="IK32" s="59">
        <f t="shared" si="230"/>
        <v>0</v>
      </c>
      <c r="IL32" s="59">
        <f t="shared" si="231"/>
        <v>0</v>
      </c>
      <c r="IM32" s="59">
        <f t="shared" si="232"/>
        <v>0</v>
      </c>
      <c r="IN32" s="59">
        <f t="shared" si="233"/>
        <v>0</v>
      </c>
      <c r="IO32" s="58">
        <f t="shared" si="234"/>
        <v>0</v>
      </c>
      <c r="IP32" s="45">
        <f t="shared" si="235"/>
        <v>55</v>
      </c>
      <c r="IQ32" s="45">
        <f t="shared" si="39"/>
        <v>2.7089999999999996</v>
      </c>
      <c r="IR32" s="45">
        <f t="shared" si="236"/>
        <v>1</v>
      </c>
      <c r="IS32" s="45">
        <f t="shared" si="237"/>
        <v>2</v>
      </c>
      <c r="IT32" s="46">
        <f t="shared" si="238"/>
        <v>0</v>
      </c>
      <c r="IU32" s="46" cm="1">
        <f t="array" ref="IU32">ROUND(IFERROR(INDEX(ArchiveResults!$F$5:$IX$116,ComparisonData!A32,ComparisonData!$IU$1),0),5)</f>
        <v>0</v>
      </c>
      <c r="IV32" s="46" cm="1">
        <f t="array" ref="IV32">ROUND(IFERROR(INDEX(ArchiveResults!$F$5:$IX$116,ComparisonData!A32,ComparisonData!$IV$1),0),5)</f>
        <v>0</v>
      </c>
      <c r="IW32" s="46" cm="1">
        <f t="array" ref="IW32">ROUND(IFERROR(INDEX(ArchiveResults!$F$5:$IX$116,ComparisonData!A32,ComparisonData!$IW$1),0),5)</f>
        <v>0</v>
      </c>
      <c r="IX32" s="46" cm="1">
        <f t="array" ref="IX32">ROUND(IFERROR(INDEX(ArchiveResults!$F$5:$IX$116,ComparisonData!A32,ComparisonData!$IX$1),0),5)</f>
        <v>0</v>
      </c>
      <c r="IY32" s="45" cm="1">
        <f t="array" ref="IY32">IFERROR(INDEX(ArchiveResults!$F$5:$IX$116,ComparisonData!A32,ComparisonData!$IY$1),0)</f>
        <v>0</v>
      </c>
      <c r="IZ32" s="56">
        <v>27</v>
      </c>
      <c r="JA32" s="53" t="str">
        <f t="shared" si="40"/>
        <v>Glamorgan Archives</v>
      </c>
      <c r="JB32" s="59">
        <f t="shared" si="239"/>
        <v>0</v>
      </c>
      <c r="JC32" s="59">
        <f t="shared" si="240"/>
        <v>0</v>
      </c>
      <c r="JD32" s="59">
        <f t="shared" si="241"/>
        <v>0</v>
      </c>
      <c r="JE32" s="59">
        <f t="shared" si="242"/>
        <v>0</v>
      </c>
      <c r="JF32" s="59">
        <f t="shared" si="243"/>
        <v>0</v>
      </c>
      <c r="JG32" s="58">
        <f t="shared" si="244"/>
        <v>0</v>
      </c>
      <c r="JH32" s="45">
        <f t="shared" si="245"/>
        <v>55</v>
      </c>
      <c r="JI32" s="45">
        <f t="shared" si="41"/>
        <v>2.7089999999999996</v>
      </c>
      <c r="JJ32" s="45">
        <f t="shared" si="246"/>
        <v>1</v>
      </c>
      <c r="JK32" s="45">
        <f t="shared" si="247"/>
        <v>2</v>
      </c>
      <c r="JL32" s="45">
        <f t="shared" si="248"/>
        <v>0</v>
      </c>
      <c r="JM32" s="46" cm="1">
        <f t="array" ref="JM32">ROUND(IFERROR(INDEX(ArchiveResults!$F$5:$IX$116,ComparisonData!A32,ComparisonData!$JM$1),0),5)</f>
        <v>0</v>
      </c>
      <c r="JN32" s="46" cm="1">
        <f t="array" ref="JN32">ROUND(IFERROR(INDEX(ArchiveResults!$F$5:$IX$116,ComparisonData!A32,ComparisonData!$JN$1),0),5)</f>
        <v>0</v>
      </c>
      <c r="JO32" s="46" cm="1">
        <f t="array" ref="JO32">ROUND(IFERROR(INDEX(ArchiveResults!$F$5:$IX$116,ComparisonData!A32,ComparisonData!$JO$1),0),5)</f>
        <v>0</v>
      </c>
      <c r="JP32" s="46" cm="1">
        <f t="array" ref="JP32">ROUND(IFERROR(INDEX(ArchiveResults!$F$5:$IX$116,ComparisonData!A32,ComparisonData!$JP$1),0),5)</f>
        <v>0</v>
      </c>
      <c r="JQ32" s="45" cm="1">
        <f t="array" ref="JQ32">IFERROR(INDEX(ArchiveResults!$F$5:$IX$116,ComparisonData!A32,ComparisonData!$JQ$1),0)</f>
        <v>0</v>
      </c>
      <c r="JR32" s="56">
        <v>27</v>
      </c>
      <c r="JS32" s="53" t="str">
        <f t="shared" si="42"/>
        <v>Glamorgan Archives</v>
      </c>
      <c r="JT32" s="59">
        <f t="shared" si="249"/>
        <v>0</v>
      </c>
      <c r="JU32" s="59">
        <f t="shared" si="250"/>
        <v>0</v>
      </c>
      <c r="JV32" s="59">
        <f t="shared" si="251"/>
        <v>0</v>
      </c>
      <c r="JW32" s="59">
        <f t="shared" si="252"/>
        <v>0</v>
      </c>
      <c r="JX32" s="59">
        <f t="shared" si="253"/>
        <v>0</v>
      </c>
      <c r="JY32" s="58">
        <f t="shared" si="254"/>
        <v>0</v>
      </c>
      <c r="JZ32" s="45">
        <f t="shared" si="255"/>
        <v>55</v>
      </c>
      <c r="KA32" s="45">
        <f t="shared" si="43"/>
        <v>2.7089999999999996</v>
      </c>
      <c r="KB32" s="45">
        <f t="shared" si="256"/>
        <v>1</v>
      </c>
      <c r="KC32" s="45">
        <f t="shared" si="257"/>
        <v>2</v>
      </c>
      <c r="KD32" s="45">
        <f t="shared" si="258"/>
        <v>0</v>
      </c>
      <c r="KE32" s="46" cm="1">
        <f t="array" ref="KE32">ROUND(IFERROR(INDEX(ArchiveResults!$F$5:$IX$116,ComparisonData!A32,ComparisonData!$KE$1),0),5)</f>
        <v>0</v>
      </c>
      <c r="KF32" s="46" cm="1">
        <f t="array" ref="KF32">ROUND(IFERROR(INDEX(ArchiveResults!$F$5:$IX$116,ComparisonData!A32,ComparisonData!$KF$1),0),5)</f>
        <v>0</v>
      </c>
      <c r="KG32" s="46" cm="1">
        <f t="array" ref="KG32">ROUND(IFERROR(INDEX(ArchiveResults!$F$5:$IX$116,ComparisonData!A32,ComparisonData!$KG$1),0),5)</f>
        <v>0</v>
      </c>
      <c r="KH32" s="46" cm="1">
        <f t="array" ref="KH32">ROUND(IFERROR(INDEX(ArchiveResults!$F$5:$IX$116,ComparisonData!A32,ComparisonData!$KH$1),0),5)</f>
        <v>0</v>
      </c>
      <c r="KI32" s="45" cm="1">
        <f t="array" ref="KI32">IFERROR(INDEX(ArchiveResults!$F$5:$IX$116,ComparisonData!A32,ComparisonData!$KI$1),0)</f>
        <v>0</v>
      </c>
      <c r="KJ32" s="56">
        <v>27</v>
      </c>
      <c r="KK32" s="53" t="str">
        <f t="shared" si="44"/>
        <v>Glamorgan Archives</v>
      </c>
      <c r="KL32" s="59">
        <f t="shared" si="259"/>
        <v>0</v>
      </c>
      <c r="KM32" s="59">
        <f t="shared" si="260"/>
        <v>0</v>
      </c>
      <c r="KN32" s="59">
        <f t="shared" si="261"/>
        <v>0</v>
      </c>
      <c r="KO32" s="59">
        <f t="shared" si="262"/>
        <v>0</v>
      </c>
      <c r="KP32" s="59">
        <f t="shared" si="263"/>
        <v>0</v>
      </c>
      <c r="KQ32" s="58">
        <f t="shared" si="264"/>
        <v>0</v>
      </c>
      <c r="KR32" s="45">
        <f t="shared" si="265"/>
        <v>55</v>
      </c>
      <c r="KS32" s="45">
        <f t="shared" si="45"/>
        <v>2.7089999999999996</v>
      </c>
      <c r="KT32" s="45">
        <f t="shared" si="266"/>
        <v>1</v>
      </c>
      <c r="KU32" s="45">
        <f t="shared" si="267"/>
        <v>2</v>
      </c>
      <c r="KV32" s="45">
        <f t="shared" si="268"/>
        <v>0</v>
      </c>
      <c r="KW32" s="46" cm="1">
        <f t="array" ref="KW32">ROUND(IFERROR(INDEX(ArchiveResults!$F$5:$IX$116,ComparisonData!A32,ComparisonData!$KW$1),0),5)</f>
        <v>0</v>
      </c>
      <c r="KX32" s="46" cm="1">
        <f t="array" ref="KX32">ROUND(IFERROR(INDEX(ArchiveResults!$F$5:$IX$116,ComparisonData!A32,ComparisonData!$KX$1),0),5)</f>
        <v>0</v>
      </c>
      <c r="KY32" s="46" cm="1">
        <f t="array" ref="KY32">ROUND(IFERROR(INDEX(ArchiveResults!$F$5:$IX$116,ComparisonData!A32,ComparisonData!$KY$1),0),5)</f>
        <v>0</v>
      </c>
      <c r="KZ32" s="46" cm="1">
        <f t="array" ref="KZ32">ROUND(IFERROR(INDEX(ArchiveResults!$F$5:$IX$116,ComparisonData!A32,ComparisonData!$KZ$1),0),5)</f>
        <v>0</v>
      </c>
      <c r="LA32" s="45" cm="1">
        <f t="array" ref="LA32">IFERROR(INDEX(ArchiveResults!$F$5:$IX$116,ComparisonData!A32,ComparisonData!$LA$1),0)</f>
        <v>0</v>
      </c>
      <c r="LB32" s="56">
        <v>27</v>
      </c>
      <c r="LC32" s="53" t="str">
        <f t="shared" si="46"/>
        <v>Glamorgan Archives</v>
      </c>
      <c r="LD32" s="59">
        <f t="shared" si="269"/>
        <v>0</v>
      </c>
      <c r="LE32" s="59">
        <f t="shared" si="270"/>
        <v>0</v>
      </c>
      <c r="LF32" s="59">
        <f t="shared" si="271"/>
        <v>0</v>
      </c>
      <c r="LG32" s="59">
        <f t="shared" si="272"/>
        <v>0</v>
      </c>
      <c r="LH32" s="59">
        <f t="shared" si="273"/>
        <v>0</v>
      </c>
      <c r="LI32" s="58">
        <f t="shared" si="274"/>
        <v>0</v>
      </c>
      <c r="LJ32" s="45">
        <f t="shared" si="275"/>
        <v>55</v>
      </c>
      <c r="LK32" s="45">
        <f t="shared" si="47"/>
        <v>2.7089999999999996</v>
      </c>
      <c r="LL32" s="45">
        <f t="shared" si="276"/>
        <v>1</v>
      </c>
      <c r="LM32" s="45">
        <f t="shared" si="277"/>
        <v>2</v>
      </c>
      <c r="LN32" s="45">
        <f t="shared" si="278"/>
        <v>0</v>
      </c>
      <c r="LO32" s="46" cm="1">
        <f t="array" ref="LO32">ROUND(IFERROR(INDEX(ArchiveResults!$F$5:$IX$116,ComparisonData!A32,ComparisonData!$LO$1),0),5)</f>
        <v>0</v>
      </c>
      <c r="LP32" s="46" cm="1">
        <f t="array" ref="LP32">ROUND(IFERROR(INDEX(ArchiveResults!$F$5:$IX$116,ComparisonData!A32,ComparisonData!$LP$1),0),5)</f>
        <v>0</v>
      </c>
      <c r="LQ32" s="46" cm="1">
        <f t="array" ref="LQ32">ROUND(IFERROR(INDEX(ArchiveResults!$F$5:$IX$116,ComparisonData!A32,ComparisonData!$LQ$1),0),5)</f>
        <v>0</v>
      </c>
      <c r="LR32" s="46" cm="1">
        <f t="array" ref="LR32">ROUND(IFERROR(INDEX(ArchiveResults!$F$5:$IX$116,ComparisonData!A32,ComparisonData!$LR$1),0),5)</f>
        <v>0</v>
      </c>
      <c r="LS32" s="45" cm="1">
        <f t="array" ref="LS32">IFERROR(INDEX(ArchiveResults!$F$5:$IX$116,ComparisonData!A32,ComparisonData!$LS$1),0)</f>
        <v>0</v>
      </c>
      <c r="LT32" s="56">
        <v>27</v>
      </c>
      <c r="LU32" s="53" t="str">
        <f t="shared" si="48"/>
        <v>Glamorgan Archives</v>
      </c>
      <c r="LV32" s="59">
        <f t="shared" si="279"/>
        <v>0</v>
      </c>
      <c r="LW32" s="59">
        <f t="shared" si="280"/>
        <v>0</v>
      </c>
      <c r="LX32" s="59">
        <f t="shared" si="281"/>
        <v>0</v>
      </c>
      <c r="LY32" s="59">
        <f t="shared" si="282"/>
        <v>0</v>
      </c>
      <c r="LZ32" s="59">
        <f t="shared" si="283"/>
        <v>0</v>
      </c>
      <c r="MA32" s="58">
        <f t="shared" si="284"/>
        <v>0</v>
      </c>
      <c r="MB32" s="45">
        <f t="shared" si="285"/>
        <v>55</v>
      </c>
      <c r="MC32" s="45">
        <f t="shared" si="49"/>
        <v>2.7089999999999996</v>
      </c>
      <c r="MD32" s="45">
        <f t="shared" si="286"/>
        <v>1</v>
      </c>
      <c r="ME32" s="45">
        <f t="shared" si="287"/>
        <v>2</v>
      </c>
      <c r="MF32" s="45">
        <f t="shared" si="288"/>
        <v>0</v>
      </c>
      <c r="MG32" s="46" cm="1">
        <f t="array" ref="MG32">ROUND(IFERROR(INDEX(ArchiveResults!$F$5:$IX$116,ComparisonData!A32,ComparisonData!$MG$1),0),5)</f>
        <v>0</v>
      </c>
      <c r="MH32" s="46" cm="1">
        <f t="array" ref="MH32">ROUND(IFERROR(INDEX(ArchiveResults!$F$5:$IX$116,ComparisonData!A32,ComparisonData!$MH$1),0),5)</f>
        <v>0</v>
      </c>
      <c r="MI32" s="46" cm="1">
        <f t="array" ref="MI32">ROUND(IFERROR(INDEX(ArchiveResults!$F$5:$IX$116,ComparisonData!A32,ComparisonData!$MI$1),0),5)</f>
        <v>0</v>
      </c>
      <c r="MJ32" s="46" cm="1">
        <f t="array" ref="MJ32">ROUND(IFERROR(INDEX(ArchiveResults!$F$5:$IX$116,ComparisonData!A32,ComparisonData!$MJ$1),0),5)</f>
        <v>0</v>
      </c>
      <c r="MK32" s="45" cm="1">
        <f t="array" ref="MK32">IFERROR(INDEX(ArchiveResults!$F$5:$IX$116,ComparisonData!A32,ComparisonData!$MK$1),0)</f>
        <v>0</v>
      </c>
      <c r="ML32" s="56">
        <v>27</v>
      </c>
      <c r="MM32" s="53" t="str">
        <f t="shared" si="50"/>
        <v>Glamorgan Archives</v>
      </c>
      <c r="MN32" s="59">
        <f t="shared" si="289"/>
        <v>0</v>
      </c>
      <c r="MO32" s="59">
        <f t="shared" si="290"/>
        <v>0</v>
      </c>
      <c r="MP32" s="59">
        <f t="shared" si="291"/>
        <v>0</v>
      </c>
      <c r="MQ32" s="59">
        <f t="shared" si="292"/>
        <v>0</v>
      </c>
      <c r="MR32" s="59">
        <f t="shared" si="293"/>
        <v>0</v>
      </c>
      <c r="MS32" s="58">
        <f t="shared" si="294"/>
        <v>0</v>
      </c>
      <c r="MT32" s="45">
        <f t="shared" si="295"/>
        <v>55</v>
      </c>
      <c r="MU32" s="45">
        <f t="shared" si="51"/>
        <v>2.7089999999999996</v>
      </c>
      <c r="MV32" s="45">
        <f t="shared" si="296"/>
        <v>1</v>
      </c>
      <c r="MW32" s="45">
        <f t="shared" si="297"/>
        <v>2</v>
      </c>
      <c r="MX32" s="45">
        <f t="shared" si="298"/>
        <v>0</v>
      </c>
      <c r="MY32" s="46" cm="1">
        <f t="array" ref="MY32">ROUND(IFERROR(INDEX(ArchiveResults!$F$5:$IX$116,ComparisonData!A32,ComparisonData!$MY$1),0),5)</f>
        <v>0</v>
      </c>
      <c r="MZ32" s="46" cm="1">
        <f t="array" ref="MZ32">ROUND(IFERROR(INDEX(ArchiveResults!$F$5:$IX$116,ComparisonData!A32,ComparisonData!$MZ$1),0),5)</f>
        <v>0</v>
      </c>
      <c r="NA32" s="46" cm="1">
        <f t="array" ref="NA32">ROUND(IFERROR(INDEX(ArchiveResults!$F$5:$IX$116,ComparisonData!A32,ComparisonData!$NA$1),0),5)</f>
        <v>0</v>
      </c>
      <c r="NB32" s="46" cm="1">
        <f t="array" ref="NB32">ROUND(IFERROR(INDEX(ArchiveResults!$F$5:$IX$116,ComparisonData!A32,ComparisonData!$NB$1),0),5)</f>
        <v>0</v>
      </c>
      <c r="NC32" s="45" cm="1">
        <f t="array" ref="NC32">IFERROR(INDEX(ArchiveResults!$F$5:$IX$116,ComparisonData!A32,ComparisonData!$NC$1),0)</f>
        <v>0</v>
      </c>
      <c r="ND32" s="56">
        <v>27</v>
      </c>
      <c r="NE32" s="53" t="str">
        <f t="shared" si="52"/>
        <v>Glamorgan Archives</v>
      </c>
      <c r="NF32" s="59">
        <f t="shared" si="299"/>
        <v>0</v>
      </c>
      <c r="NG32" s="59">
        <f t="shared" si="300"/>
        <v>0</v>
      </c>
      <c r="NH32" s="59">
        <f t="shared" si="301"/>
        <v>0</v>
      </c>
      <c r="NI32" s="59">
        <f t="shared" si="302"/>
        <v>0</v>
      </c>
      <c r="NJ32" s="59">
        <f t="shared" si="303"/>
        <v>0</v>
      </c>
      <c r="NK32" s="58">
        <f t="shared" si="304"/>
        <v>0</v>
      </c>
      <c r="NL32" s="45">
        <f t="shared" si="305"/>
        <v>55</v>
      </c>
      <c r="NM32" s="45">
        <f t="shared" si="53"/>
        <v>2.7089999999999996</v>
      </c>
      <c r="NN32" s="45">
        <f t="shared" si="306"/>
        <v>1</v>
      </c>
      <c r="NO32" s="45">
        <f t="shared" si="307"/>
        <v>2</v>
      </c>
      <c r="NP32" s="46" cm="1">
        <f t="array" ref="NP32">ROUND(IFERROR(INDEX(ArchiveResults!$F$5:$IX$116,ComparisonData!A32,ComparisonData!$NP$1),0),5)</f>
        <v>0</v>
      </c>
      <c r="NQ32" s="46" cm="1">
        <f t="array" ref="NQ32">ROUND(IFERROR(INDEX(ArchiveResults!$F$5:$IX$116,ComparisonData!A32,ComparisonData!$NQ$1),0),5)</f>
        <v>0</v>
      </c>
      <c r="NR32" s="46" cm="1">
        <f t="array" ref="NR32">ROUND(IFERROR(INDEX(ArchiveResults!$F$5:$IX$116,ComparisonData!A32,ComparisonData!$NR$1),0),5)</f>
        <v>0</v>
      </c>
      <c r="NS32" s="46" cm="1">
        <f t="array" ref="NS32">ROUND(IFERROR(INDEX(ArchiveResults!$F$5:$IX$116,ComparisonData!A32,ComparisonData!$NS$1),0),5)</f>
        <v>0</v>
      </c>
      <c r="NT32" s="45" cm="1">
        <f t="array" ref="NT32">IFERROR(INDEX(ArchiveResults!$F$5:$IX$116,ComparisonData!A32,ComparisonData!$NT$1),0)</f>
        <v>0</v>
      </c>
      <c r="NU32" s="56">
        <v>27</v>
      </c>
      <c r="NV32" s="53" t="str">
        <f t="shared" si="54"/>
        <v>Glamorgan Archives</v>
      </c>
      <c r="NW32" s="59">
        <f t="shared" si="308"/>
        <v>0</v>
      </c>
      <c r="NX32" s="59">
        <f t="shared" si="309"/>
        <v>0</v>
      </c>
      <c r="NY32" s="59">
        <f t="shared" si="310"/>
        <v>0</v>
      </c>
      <c r="NZ32" s="59">
        <f t="shared" si="311"/>
        <v>0</v>
      </c>
      <c r="OA32" s="59">
        <f t="shared" si="312"/>
        <v>0</v>
      </c>
      <c r="OB32" s="58">
        <f t="shared" si="313"/>
        <v>0</v>
      </c>
      <c r="OC32" s="45">
        <f t="shared" si="314"/>
        <v>55</v>
      </c>
      <c r="OD32" s="45">
        <f t="shared" si="55"/>
        <v>2.7089999999999996</v>
      </c>
      <c r="OE32" s="45">
        <f t="shared" si="315"/>
        <v>1</v>
      </c>
      <c r="OF32" s="45">
        <f t="shared" si="316"/>
        <v>2</v>
      </c>
      <c r="OG32" s="46">
        <f t="shared" si="317"/>
        <v>0</v>
      </c>
      <c r="OH32" s="46" cm="1">
        <f t="array" ref="OH32">ROUND(IFERROR(INDEX(ArchiveResults!$F$5:$IX$116,ComparisonData!A32,ComparisonData!$OH$1),0),5)</f>
        <v>0</v>
      </c>
      <c r="OI32" s="46" cm="1">
        <f t="array" ref="OI32">ROUND(IFERROR(INDEX(ArchiveResults!$F$5:$IX$116,ComparisonData!A32,ComparisonData!$OI$1),0),5)</f>
        <v>0</v>
      </c>
      <c r="OJ32" s="46" cm="1">
        <f t="array" ref="OJ32">ROUND(IFERROR(INDEX(ArchiveResults!$F$5:$IX$116,ComparisonData!A32,ComparisonData!$OJ$1),0),5)</f>
        <v>0</v>
      </c>
      <c r="OK32" s="46" cm="1">
        <f t="array" ref="OK32">ROUND(IFERROR(INDEX(ArchiveResults!$F$5:$IX$116,ComparisonData!A32,ComparisonData!$OK$1),0),5)</f>
        <v>0</v>
      </c>
      <c r="OL32" s="45" cm="1">
        <f t="array" ref="OL32">IFERROR(INDEX(ArchiveResults!$F$5:$IX$116,ComparisonData!A32,ComparisonData!$OL$1),0)</f>
        <v>0</v>
      </c>
      <c r="OM32" s="56">
        <v>27</v>
      </c>
      <c r="ON32" s="53" t="str">
        <f t="shared" si="56"/>
        <v>Glamorgan Archives</v>
      </c>
      <c r="OO32" s="59">
        <f t="shared" si="318"/>
        <v>0</v>
      </c>
      <c r="OP32" s="59">
        <f t="shared" si="319"/>
        <v>0</v>
      </c>
      <c r="OQ32" s="59">
        <f t="shared" si="320"/>
        <v>0</v>
      </c>
      <c r="OR32" s="59">
        <f t="shared" si="321"/>
        <v>0</v>
      </c>
      <c r="OS32" s="59">
        <f t="shared" si="322"/>
        <v>0</v>
      </c>
      <c r="OT32" s="58">
        <f t="shared" si="323"/>
        <v>0</v>
      </c>
      <c r="OU32" s="45">
        <f t="shared" si="324"/>
        <v>55</v>
      </c>
      <c r="OV32" s="45">
        <f t="shared" si="57"/>
        <v>2.7089999999999996</v>
      </c>
      <c r="OW32" s="45">
        <f t="shared" si="325"/>
        <v>1</v>
      </c>
      <c r="OX32" s="45">
        <f t="shared" si="326"/>
        <v>2</v>
      </c>
      <c r="OY32" s="45">
        <f t="shared" si="327"/>
        <v>0</v>
      </c>
      <c r="OZ32" s="46" cm="1">
        <f t="array" ref="OZ32">ROUND(IFERROR(INDEX(ArchiveResults!$F$5:$IX$116,ComparisonData!A32,ComparisonData!$OZ$1),0),5)</f>
        <v>0</v>
      </c>
      <c r="PA32" s="46" cm="1">
        <f t="array" ref="PA32">ROUND(IFERROR(INDEX(ArchiveResults!$F$5:$IX$116,ComparisonData!A32,ComparisonData!$PA$1),0),5)</f>
        <v>0</v>
      </c>
      <c r="PB32" s="46" cm="1">
        <f t="array" ref="PB32">ROUND(IFERROR(INDEX(ArchiveResults!$F$5:$IX$116,ComparisonData!A32,ComparisonData!$PB$1),0),5)</f>
        <v>0</v>
      </c>
      <c r="PC32" s="46" cm="1">
        <f t="array" ref="PC32">ROUND(IFERROR(INDEX(ArchiveResults!$F$5:$IX$116,ComparisonData!A32,ComparisonData!$PC$1),0),5)</f>
        <v>0</v>
      </c>
      <c r="PD32" s="45" cm="1">
        <f t="array" ref="PD32">IFERROR(INDEX(ArchiveResults!$F$5:$IX$116,ComparisonData!A32,ComparisonData!$PD$1),0)</f>
        <v>0</v>
      </c>
      <c r="PE32" s="56">
        <v>27</v>
      </c>
      <c r="PF32" s="53" t="str">
        <f t="shared" si="58"/>
        <v>Glamorgan Archives</v>
      </c>
      <c r="PG32" s="59">
        <f t="shared" si="328"/>
        <v>0</v>
      </c>
      <c r="PH32" s="59">
        <f t="shared" si="329"/>
        <v>0</v>
      </c>
      <c r="PI32" s="59">
        <f t="shared" si="330"/>
        <v>0</v>
      </c>
      <c r="PJ32" s="59">
        <f t="shared" si="331"/>
        <v>0</v>
      </c>
      <c r="PK32" s="59">
        <f t="shared" si="332"/>
        <v>0</v>
      </c>
      <c r="PL32" s="58">
        <f t="shared" si="333"/>
        <v>0</v>
      </c>
      <c r="PM32" s="45">
        <f t="shared" si="334"/>
        <v>55</v>
      </c>
      <c r="PN32" s="45">
        <f t="shared" si="59"/>
        <v>2.7089999999999996</v>
      </c>
      <c r="PO32" s="45">
        <f t="shared" si="335"/>
        <v>1</v>
      </c>
      <c r="PP32" s="45">
        <f t="shared" si="336"/>
        <v>2</v>
      </c>
      <c r="PQ32" s="45">
        <f t="shared" si="337"/>
        <v>0</v>
      </c>
      <c r="PR32" s="46" cm="1">
        <f t="array" ref="PR32">ROUND(IFERROR(INDEX(ArchiveResults!$F$5:$IX$116,ComparisonData!A32,ComparisonData!$PR$1),0),5)</f>
        <v>0</v>
      </c>
      <c r="PS32" s="46" cm="1">
        <f t="array" ref="PS32">ROUND(IFERROR(INDEX(ArchiveResults!$F$5:$IX$116,ComparisonData!A32,ComparisonData!$PS$1),0),5)</f>
        <v>0</v>
      </c>
      <c r="PT32" s="46" cm="1">
        <f t="array" ref="PT32">ROUND(IFERROR(INDEX(ArchiveResults!$F$5:$IX$116,ComparisonData!A32,ComparisonData!$PT$1),0),5)</f>
        <v>0</v>
      </c>
      <c r="PU32" s="46" cm="1">
        <f t="array" ref="PU32">ROUND(IFERROR(INDEX(ArchiveResults!$F$5:$IX$116,ComparisonData!A32,ComparisonData!$PU$1),0),5)</f>
        <v>0</v>
      </c>
      <c r="PV32" s="45" cm="1">
        <f t="array" ref="PV32">IFERROR(INDEX(ArchiveResults!$F$5:$IX$116,ComparisonData!A32,ComparisonData!$PV$1),0)</f>
        <v>0</v>
      </c>
      <c r="PW32" s="56">
        <v>27</v>
      </c>
      <c r="PX32" s="53" t="str">
        <f t="shared" si="60"/>
        <v>Glamorgan Archives</v>
      </c>
      <c r="PY32" s="59">
        <f t="shared" si="338"/>
        <v>0</v>
      </c>
      <c r="PZ32" s="59">
        <f t="shared" si="339"/>
        <v>0</v>
      </c>
      <c r="QA32" s="59">
        <f t="shared" si="340"/>
        <v>0</v>
      </c>
      <c r="QB32" s="59">
        <f t="shared" si="341"/>
        <v>0</v>
      </c>
      <c r="QC32" s="59">
        <f t="shared" si="342"/>
        <v>0</v>
      </c>
      <c r="QD32" s="58">
        <f t="shared" si="343"/>
        <v>0</v>
      </c>
      <c r="QE32" s="45">
        <f t="shared" si="344"/>
        <v>55</v>
      </c>
      <c r="QF32" s="45">
        <f t="shared" si="61"/>
        <v>2.7089999999999996</v>
      </c>
      <c r="QG32" s="45">
        <f t="shared" si="345"/>
        <v>1</v>
      </c>
      <c r="QH32" s="45">
        <f t="shared" si="346"/>
        <v>2</v>
      </c>
      <c r="QI32" s="45">
        <f t="shared" si="347"/>
        <v>0</v>
      </c>
      <c r="QJ32" s="46" cm="1">
        <f t="array" ref="QJ32">ROUND(IFERROR(INDEX(ArchiveResults!$F$5:$IX$116,ComparisonData!A32,ComparisonData!$QJ$1),0),5)</f>
        <v>0</v>
      </c>
      <c r="QK32" s="46" cm="1">
        <f t="array" ref="QK32">ROUND(IFERROR(INDEX(ArchiveResults!$F$5:$IX$116,ComparisonData!A32,ComparisonData!$QK$1),0),5)</f>
        <v>0</v>
      </c>
      <c r="QL32" s="46" cm="1">
        <f t="array" ref="QL32">ROUND(IFERROR(INDEX(ArchiveResults!$F$5:$IX$116,ComparisonData!A32,ComparisonData!$QL$1),0),5)</f>
        <v>0</v>
      </c>
      <c r="QM32" s="46" cm="1">
        <f t="array" ref="QM32">ROUND(IFERROR(INDEX(ArchiveResults!$F$5:$IX$116,ComparisonData!A32,ComparisonData!$QM$1),0),5)</f>
        <v>0</v>
      </c>
      <c r="QN32" s="45" cm="1">
        <f t="array" ref="QN32">IFERROR(INDEX(ArchiveResults!$F$5:$IX$116,ComparisonData!A32,ComparisonData!$QN$1),0)</f>
        <v>0</v>
      </c>
      <c r="QO32" s="56">
        <v>27</v>
      </c>
      <c r="QP32" s="53" t="str">
        <f t="shared" si="62"/>
        <v>Glamorgan Archives</v>
      </c>
      <c r="QQ32" s="59">
        <f t="shared" si="348"/>
        <v>0</v>
      </c>
      <c r="QR32" s="59">
        <f t="shared" si="349"/>
        <v>0</v>
      </c>
      <c r="QS32" s="59">
        <f t="shared" si="350"/>
        <v>0</v>
      </c>
      <c r="QT32" s="59">
        <f t="shared" si="351"/>
        <v>0</v>
      </c>
      <c r="QU32" s="59">
        <f t="shared" si="352"/>
        <v>0</v>
      </c>
      <c r="QV32" s="58">
        <f t="shared" si="353"/>
        <v>0</v>
      </c>
      <c r="QW32" s="45">
        <f t="shared" si="354"/>
        <v>55</v>
      </c>
      <c r="QX32" s="45">
        <f t="shared" si="63"/>
        <v>2.7089999999999996</v>
      </c>
      <c r="QY32" s="45">
        <f t="shared" si="355"/>
        <v>1</v>
      </c>
      <c r="QZ32" s="45">
        <f t="shared" si="356"/>
        <v>2</v>
      </c>
      <c r="RA32" s="45">
        <f t="shared" si="357"/>
        <v>0</v>
      </c>
      <c r="RB32" s="46" cm="1">
        <f t="array" ref="RB32">ROUND(IFERROR(INDEX(ArchiveResults!$F$5:$IX$116,ComparisonData!A32,ComparisonData!$RB$1),0),5)</f>
        <v>0</v>
      </c>
      <c r="RC32" s="46" cm="1">
        <f t="array" ref="RC32">ROUND(IFERROR(INDEX(ArchiveResults!$F$5:$IX$116,ComparisonData!A32,ComparisonData!$RC$1),0),5)</f>
        <v>0</v>
      </c>
      <c r="RD32" s="46" cm="1">
        <f t="array" ref="RD32">ROUND(IFERROR(INDEX(ArchiveResults!$F$5:$IX$116,ComparisonData!A32,ComparisonData!$RD$1),0),5)</f>
        <v>0</v>
      </c>
      <c r="RE32" s="46" cm="1">
        <f t="array" ref="RE32">ROUND(IFERROR(INDEX(ArchiveResults!$F$5:$IX$116,ComparisonData!A32,ComparisonData!$RE$1),0),5)</f>
        <v>0</v>
      </c>
      <c r="RF32" s="45" cm="1">
        <f t="array" ref="RF32">IFERROR(INDEX(ArchiveResults!$F$5:$IX$116,ComparisonData!A32,ComparisonData!$RF$1),0)</f>
        <v>0</v>
      </c>
      <c r="RG32" s="56">
        <v>27</v>
      </c>
      <c r="RH32" s="53" t="str">
        <f t="shared" si="64"/>
        <v>Glamorgan Archives</v>
      </c>
      <c r="RI32" s="59">
        <f t="shared" si="358"/>
        <v>0</v>
      </c>
      <c r="RJ32" s="59">
        <f t="shared" si="359"/>
        <v>0</v>
      </c>
      <c r="RK32" s="59">
        <f t="shared" si="360"/>
        <v>0</v>
      </c>
      <c r="RL32" s="59">
        <f t="shared" si="361"/>
        <v>0</v>
      </c>
      <c r="RM32" s="59">
        <f t="shared" si="362"/>
        <v>0</v>
      </c>
      <c r="RN32" s="58">
        <f t="shared" si="363"/>
        <v>0</v>
      </c>
      <c r="RO32" s="45">
        <f t="shared" si="364"/>
        <v>55</v>
      </c>
      <c r="RP32" s="45">
        <f t="shared" si="65"/>
        <v>2.7089999999999996</v>
      </c>
      <c r="RQ32" s="45">
        <f t="shared" si="365"/>
        <v>1</v>
      </c>
      <c r="RR32" s="45">
        <f t="shared" si="366"/>
        <v>2</v>
      </c>
      <c r="RS32" s="45">
        <f t="shared" si="367"/>
        <v>0</v>
      </c>
      <c r="RT32" s="46" cm="1">
        <f t="array" ref="RT32">ROUND(IFERROR(INDEX(ArchiveResults!$F$5:$IX$116,ComparisonData!A32,ComparisonData!$RT$1),0),5)</f>
        <v>0</v>
      </c>
      <c r="RU32" s="46" cm="1">
        <f t="array" ref="RU32">ROUND(IFERROR(INDEX(ArchiveResults!$F$5:$IX$116,ComparisonData!A32,ComparisonData!$RU$1),0),5)</f>
        <v>0</v>
      </c>
      <c r="RV32" s="46" cm="1">
        <f t="array" ref="RV32">ROUND(IFERROR(INDEX(ArchiveResults!$F$5:$IX$116,ComparisonData!A32,ComparisonData!$RV$1),0),5)</f>
        <v>0</v>
      </c>
      <c r="RW32" s="46" cm="1">
        <f t="array" ref="RW32">ROUND(IFERROR(INDEX(ArchiveResults!$F$5:$IX$116,ComparisonData!A32,ComparisonData!$RW$1),0),5)</f>
        <v>0</v>
      </c>
      <c r="RX32" s="45" cm="1">
        <f t="array" ref="RX32">IFERROR(INDEX(ArchiveResults!$F$5:$IX$116,ComparisonData!A32,ComparisonData!$RX$1),0)</f>
        <v>0</v>
      </c>
      <c r="RY32" s="56">
        <v>27</v>
      </c>
      <c r="RZ32" s="53" t="str">
        <f t="shared" si="66"/>
        <v>Glamorgan Archives</v>
      </c>
      <c r="SA32" s="59">
        <f t="shared" si="368"/>
        <v>0</v>
      </c>
      <c r="SB32" s="59">
        <f t="shared" si="369"/>
        <v>0</v>
      </c>
      <c r="SC32" s="59">
        <f t="shared" si="370"/>
        <v>0</v>
      </c>
      <c r="SD32" s="59">
        <f t="shared" si="371"/>
        <v>0</v>
      </c>
      <c r="SE32" s="59">
        <f t="shared" si="372"/>
        <v>0</v>
      </c>
      <c r="SF32" s="58">
        <f t="shared" si="373"/>
        <v>0</v>
      </c>
      <c r="SG32" s="45">
        <f t="shared" si="374"/>
        <v>55</v>
      </c>
      <c r="SH32" s="45">
        <f t="shared" si="67"/>
        <v>2.7089999999999996</v>
      </c>
      <c r="SI32" s="45">
        <f t="shared" si="375"/>
        <v>1</v>
      </c>
      <c r="SJ32" s="45">
        <f t="shared" si="376"/>
        <v>2</v>
      </c>
      <c r="SK32" s="45">
        <f t="shared" si="377"/>
        <v>0</v>
      </c>
      <c r="SL32" s="46" cm="1">
        <f t="array" ref="SL32">ROUND(IFERROR(INDEX(ArchiveResults!$F$5:$IX$116,ComparisonData!A32,ComparisonData!$SL$1),0),5)</f>
        <v>0</v>
      </c>
      <c r="SM32" s="46" cm="1">
        <f t="array" ref="SM32">ROUND(IFERROR(INDEX(ArchiveResults!$F$5:$IX$116,ComparisonData!A32,ComparisonData!$SM$1),0),5)</f>
        <v>0</v>
      </c>
      <c r="SN32" s="46" cm="1">
        <f t="array" ref="SN32">ROUND(IFERROR(INDEX(ArchiveResults!$F$5:$IX$116,ComparisonData!A32,ComparisonData!$SN$1),0),5)</f>
        <v>0</v>
      </c>
      <c r="SO32" s="46" cm="1">
        <f t="array" ref="SO32">ROUND(IFERROR(INDEX(ArchiveResults!$F$5:$IX$116,ComparisonData!A32,ComparisonData!$SO$1),0),5)</f>
        <v>0</v>
      </c>
      <c r="SP32" s="45" cm="1">
        <f t="array" ref="SP32">IFERROR(INDEX(ArchiveResults!$F$5:$IX$116,ComparisonData!A32,ComparisonData!$SP$1),0)</f>
        <v>0</v>
      </c>
      <c r="SQ32" s="56">
        <v>27</v>
      </c>
      <c r="SR32" s="53" t="str">
        <f t="shared" si="68"/>
        <v>Glamorgan Archives</v>
      </c>
      <c r="SS32" s="59">
        <f t="shared" si="378"/>
        <v>0</v>
      </c>
      <c r="ST32" s="59">
        <f t="shared" si="379"/>
        <v>0</v>
      </c>
      <c r="SU32" s="59">
        <f t="shared" si="380"/>
        <v>0</v>
      </c>
      <c r="SV32" s="59">
        <f t="shared" si="381"/>
        <v>0</v>
      </c>
      <c r="SW32" s="59">
        <f t="shared" si="382"/>
        <v>0</v>
      </c>
      <c r="SX32" s="58">
        <f t="shared" si="383"/>
        <v>0</v>
      </c>
      <c r="SY32" s="45">
        <f t="shared" si="384"/>
        <v>55</v>
      </c>
      <c r="SZ32" s="45">
        <f t="shared" si="69"/>
        <v>2.7089999999999996</v>
      </c>
      <c r="TA32" s="45">
        <f t="shared" si="385"/>
        <v>1</v>
      </c>
      <c r="TB32" s="45">
        <f t="shared" si="386"/>
        <v>2</v>
      </c>
      <c r="TC32" s="45">
        <f t="shared" si="387"/>
        <v>0</v>
      </c>
      <c r="TD32" s="46" cm="1">
        <f t="array" ref="TD32">ROUND(IFERROR(INDEX(ArchiveResults!$F$5:$IX$116,ComparisonData!A32,ComparisonData!$TD$1),0),5)</f>
        <v>0</v>
      </c>
      <c r="TE32" s="46" cm="1">
        <f t="array" ref="TE32">ROUND(IFERROR(INDEX(ArchiveResults!$F$5:$IX$116,ComparisonData!A32,ComparisonData!$TE$1),0),5)</f>
        <v>0</v>
      </c>
      <c r="TF32" s="46" cm="1">
        <f t="array" ref="TF32">ROUND(IFERROR(INDEX(ArchiveResults!$F$5:$IX$116,ComparisonData!A32,ComparisonData!$TF$1),0),5)</f>
        <v>0</v>
      </c>
      <c r="TG32" s="46" cm="1">
        <f t="array" ref="TG32">ROUND(IFERROR(INDEX(ArchiveResults!$F$5:$IX$116,ComparisonData!A32,ComparisonData!$TG$1),0),5)</f>
        <v>0</v>
      </c>
      <c r="TH32" s="45" cm="1">
        <f t="array" ref="TH32">IFERROR(INDEX(ArchiveResults!$F$5:$IX$116,ComparisonData!A32,ComparisonData!$TH$1),0)</f>
        <v>0</v>
      </c>
      <c r="TI32" s="56">
        <v>27</v>
      </c>
      <c r="TJ32" s="53" t="str">
        <f t="shared" si="70"/>
        <v>Glamorgan Archives</v>
      </c>
      <c r="TK32" s="59">
        <f t="shared" si="388"/>
        <v>0</v>
      </c>
      <c r="TL32" s="59">
        <f t="shared" si="389"/>
        <v>0</v>
      </c>
      <c r="TM32" s="59">
        <f t="shared" si="390"/>
        <v>0</v>
      </c>
      <c r="TN32" s="59">
        <f t="shared" si="391"/>
        <v>0</v>
      </c>
      <c r="TO32" s="59">
        <f t="shared" si="392"/>
        <v>0</v>
      </c>
      <c r="TP32" s="58">
        <f t="shared" si="393"/>
        <v>0</v>
      </c>
      <c r="TQ32" s="45">
        <f t="shared" si="394"/>
        <v>55</v>
      </c>
      <c r="TR32" s="45">
        <f t="shared" si="71"/>
        <v>2.7089999999999996</v>
      </c>
      <c r="TS32" s="45">
        <f t="shared" si="395"/>
        <v>1</v>
      </c>
      <c r="TT32" s="45">
        <f t="shared" si="396"/>
        <v>2</v>
      </c>
      <c r="TU32" s="45">
        <f t="shared" si="397"/>
        <v>0</v>
      </c>
      <c r="TV32" s="46" cm="1">
        <f t="array" ref="TV32">ROUND(IFERROR(INDEX(ArchiveResults!$F$5:$IX$116,ComparisonData!A32,ComparisonData!$TV$1),0),5)</f>
        <v>0</v>
      </c>
      <c r="TW32" s="46" cm="1">
        <f t="array" ref="TW32">ROUND(IFERROR(INDEX(ArchiveResults!$F$5:$IX$116,ComparisonData!A32,ComparisonData!$TW$1),0),5)</f>
        <v>0</v>
      </c>
      <c r="TX32" s="46" cm="1">
        <f t="array" ref="TX32">ROUND(IFERROR(INDEX(ArchiveResults!$F$5:$IX$116,ComparisonData!A32,ComparisonData!$TX$1),0),5)</f>
        <v>0</v>
      </c>
      <c r="TY32" s="46" cm="1">
        <f t="array" ref="TY32">ROUND(IFERROR(INDEX(ArchiveResults!$F$5:$IX$116,ComparisonData!A32,ComparisonData!$TY$1),0),5)</f>
        <v>0</v>
      </c>
      <c r="TZ32" s="45" cm="1">
        <f t="array" ref="TZ32">IFERROR(INDEX(ArchiveResults!$F$5:$IX$116,ComparisonData!A32,ComparisonData!$TZ$1),0)</f>
        <v>0</v>
      </c>
      <c r="UA32" s="56">
        <v>27</v>
      </c>
      <c r="UB32" s="53" t="str">
        <f t="shared" si="72"/>
        <v>Glamorgan Archives</v>
      </c>
      <c r="UC32" s="60">
        <f t="shared" si="398"/>
        <v>0</v>
      </c>
      <c r="UD32" s="60">
        <f t="shared" si="399"/>
        <v>0</v>
      </c>
      <c r="UE32" s="60">
        <f t="shared" si="400"/>
        <v>0</v>
      </c>
      <c r="UF32" s="60">
        <f t="shared" si="401"/>
        <v>0</v>
      </c>
      <c r="UG32" s="60">
        <f t="shared" si="402"/>
        <v>0</v>
      </c>
      <c r="UH32" s="58">
        <f t="shared" si="403"/>
        <v>0</v>
      </c>
      <c r="UI32" s="46">
        <f t="shared" si="404"/>
        <v>55</v>
      </c>
      <c r="UJ32" s="46">
        <f t="shared" si="73"/>
        <v>2.7089999999999996</v>
      </c>
      <c r="UK32" s="46">
        <f t="shared" si="405"/>
        <v>1</v>
      </c>
      <c r="UL32" s="46">
        <f t="shared" si="406"/>
        <v>2</v>
      </c>
      <c r="UM32" s="46" cm="1">
        <f t="array" ref="UM32">ROUND(IFERROR(INDEX(ArchiveResults!$F$5:$IX$116,ComparisonData!A32,ComparisonData!$UM$1),0),5)</f>
        <v>0</v>
      </c>
      <c r="UN32" s="56">
        <v>27</v>
      </c>
      <c r="UO32" s="53" t="str">
        <f t="shared" si="74"/>
        <v>Glamorgan Archives</v>
      </c>
      <c r="UP32" s="46">
        <f t="shared" si="407"/>
        <v>0</v>
      </c>
      <c r="UQ32" s="76">
        <f t="shared" si="408"/>
        <v>0</v>
      </c>
      <c r="UR32" s="46">
        <f t="shared" si="409"/>
        <v>55</v>
      </c>
      <c r="US32" s="46">
        <f t="shared" si="75"/>
        <v>2.7089999999999996</v>
      </c>
      <c r="UT32" s="46">
        <f t="shared" si="410"/>
        <v>1</v>
      </c>
      <c r="UU32" s="46">
        <f t="shared" si="411"/>
        <v>2</v>
      </c>
      <c r="UV32" s="46">
        <f t="shared" si="412"/>
        <v>0</v>
      </c>
      <c r="UW32" s="46" cm="1">
        <f t="array" ref="UW32">ROUND(IFERROR(INDEX(ArchiveResults!$F$5:$IX$116,ComparisonData!A32,ComparisonData!$UW$1),0),5)</f>
        <v>0</v>
      </c>
      <c r="UX32" s="46" cm="1">
        <f t="array" ref="UX32">ROUND(IFERROR(INDEX(ArchiveResults!$F$5:$IX$116,ComparisonData!A32,ComparisonData!$UX$1),0),5)</f>
        <v>0</v>
      </c>
      <c r="UY32" s="46" cm="1">
        <f t="array" ref="UY32">ROUND(IFERROR(INDEX(ArchiveResults!$F$5:$IX$116,ComparisonData!A32,ComparisonData!$UY$1),0),5)</f>
        <v>0</v>
      </c>
      <c r="UZ32" s="46" cm="1">
        <f t="array" ref="UZ32">ROUND(IFERROR(INDEX(ArchiveResults!$F$5:$IX$116,ComparisonData!A32,ComparisonData!$UZ$1),0),5)</f>
        <v>0</v>
      </c>
      <c r="VA32" s="46" cm="1">
        <f t="array" ref="VA32">ROUND(IFERROR(INDEX(ArchiveResults!$F$5:$IX$116,ComparisonData!A32,ComparisonData!$VA$1),0),5)</f>
        <v>0</v>
      </c>
      <c r="VB32" s="56">
        <v>27</v>
      </c>
      <c r="VC32" s="53" t="str">
        <f t="shared" si="76"/>
        <v>Glamorgan Archives</v>
      </c>
      <c r="VD32" s="60">
        <f t="shared" si="413"/>
        <v>0</v>
      </c>
      <c r="VE32" s="60">
        <f t="shared" si="414"/>
        <v>0</v>
      </c>
      <c r="VF32" s="60">
        <f t="shared" si="415"/>
        <v>0</v>
      </c>
      <c r="VG32" s="60">
        <f t="shared" si="416"/>
        <v>0</v>
      </c>
      <c r="VH32" s="60">
        <f t="shared" si="417"/>
        <v>0</v>
      </c>
      <c r="VI32" s="76">
        <f t="shared" si="418"/>
        <v>0</v>
      </c>
      <c r="VJ32" s="46">
        <f t="shared" si="419"/>
        <v>55</v>
      </c>
      <c r="VK32" s="46">
        <f t="shared" si="77"/>
        <v>2.7089999999999996</v>
      </c>
      <c r="VL32" s="46">
        <f t="shared" si="420"/>
        <v>1</v>
      </c>
      <c r="VM32" s="46">
        <f t="shared" si="421"/>
        <v>2</v>
      </c>
      <c r="VN32" s="46" cm="1">
        <f t="array" ref="VN32">ROUND(IFERROR(INDEX(ArchiveResults!$F$5:$IX$116,ComparisonData!A32,ComparisonData!$VN$1),0),5)</f>
        <v>0</v>
      </c>
      <c r="VO32" s="46" cm="1">
        <f t="array" ref="VO32">ROUND(IFERROR(INDEX(ArchiveResults!$F$5:$IX$116,ComparisonData!A32,ComparisonData!$VO$1),0),5)</f>
        <v>0</v>
      </c>
      <c r="VP32" s="46" cm="1">
        <f t="array" ref="VP32">ROUND(IFERROR(INDEX(ArchiveResults!$F$5:$IX$116,ComparisonData!A32,ComparisonData!$VP$1),0),5)</f>
        <v>0</v>
      </c>
      <c r="VQ32" s="46" cm="1">
        <f t="array" ref="VQ32">ROUND(IFERROR(INDEX(ArchiveResults!$F$5:$IX$116,ComparisonData!A32,ComparisonData!$VQ$1),0),5)</f>
        <v>0</v>
      </c>
      <c r="VR32" s="56">
        <v>27</v>
      </c>
      <c r="VS32" s="53" t="str">
        <f t="shared" si="78"/>
        <v>Glamorgan Archives</v>
      </c>
      <c r="VT32" s="60">
        <f t="shared" si="422"/>
        <v>0</v>
      </c>
      <c r="VU32" s="60">
        <f t="shared" si="423"/>
        <v>0</v>
      </c>
      <c r="VV32" s="60">
        <f t="shared" si="424"/>
        <v>0</v>
      </c>
      <c r="VW32" s="60">
        <f t="shared" si="425"/>
        <v>0</v>
      </c>
      <c r="VX32" s="76">
        <f t="shared" si="426"/>
        <v>0</v>
      </c>
      <c r="VY32" s="46">
        <f t="shared" si="427"/>
        <v>55</v>
      </c>
      <c r="VZ32" s="46">
        <f t="shared" si="79"/>
        <v>2.7089999999999996</v>
      </c>
      <c r="WA32" s="46">
        <f t="shared" si="428"/>
        <v>1</v>
      </c>
      <c r="WB32" s="46">
        <f t="shared" si="429"/>
        <v>2</v>
      </c>
      <c r="WC32" s="46" cm="1">
        <f t="array" ref="WC32">ROUND(IFERROR(INDEX(ArchiveResults!$F$5:$IX$116,ComparisonData!A32,ComparisonData!$WC$1),0),5)</f>
        <v>0</v>
      </c>
      <c r="WD32" s="56">
        <v>27</v>
      </c>
      <c r="WE32" s="53" t="str">
        <f t="shared" si="80"/>
        <v>Glamorgan Archives</v>
      </c>
      <c r="WF32" s="46">
        <f t="shared" si="430"/>
        <v>0</v>
      </c>
      <c r="WG32" s="76">
        <f t="shared" si="431"/>
        <v>0</v>
      </c>
      <c r="WH32" s="46">
        <f t="shared" si="432"/>
        <v>55</v>
      </c>
      <c r="WI32" s="46">
        <f t="shared" si="81"/>
        <v>2.7089999999999996</v>
      </c>
      <c r="WJ32" s="46">
        <f t="shared" si="433"/>
        <v>1</v>
      </c>
      <c r="WK32" s="46">
        <f t="shared" si="434"/>
        <v>2</v>
      </c>
      <c r="WL32" s="46" cm="1">
        <f t="array" ref="WL32">ROUND(IFERROR(INDEX(ArchiveResults!$F$5:$IX$116,ComparisonData!A32,ComparisonData!$WL$1),0),5)</f>
        <v>0</v>
      </c>
      <c r="WM32" s="46" cm="1">
        <f t="array" ref="WM32">IFERROR(INDEX(ArchiveResults!$F$5:$IX$116,ComparisonData!A32,ComparisonData!$WM$1),0)</f>
        <v>0</v>
      </c>
      <c r="WN32" s="56">
        <v>27</v>
      </c>
      <c r="WO32" s="53" t="str">
        <f t="shared" si="82"/>
        <v>Glamorgan Archives</v>
      </c>
      <c r="WP32" s="60">
        <f t="shared" si="435"/>
        <v>0</v>
      </c>
      <c r="WQ32" s="60">
        <f t="shared" si="436"/>
        <v>0</v>
      </c>
      <c r="WR32" s="76">
        <f t="shared" si="437"/>
        <v>0</v>
      </c>
      <c r="WS32" s="46">
        <f t="shared" si="438"/>
        <v>55</v>
      </c>
      <c r="WT32" s="46">
        <f t="shared" si="83"/>
        <v>2.7089999999999996</v>
      </c>
      <c r="WU32" s="46">
        <f t="shared" si="439"/>
        <v>1</v>
      </c>
      <c r="WV32" s="46">
        <f t="shared" si="440"/>
        <v>2</v>
      </c>
      <c r="WW32" s="46" cm="1">
        <f t="array" ref="WW32">ROUND(VALUE(IFERROR(INDEX(ArchiveResults!$F$5:$IX$116,ComparisonData!A32,ComparisonData!$WW$1),0)),5)</f>
        <v>0</v>
      </c>
      <c r="WX32" s="46" cm="1">
        <f t="array" ref="WX32">ROUND(IFERROR(INDEX(ArchiveResults!$F$5:$IX$116,ComparisonData!A32,ComparisonData!$WX$1),0),5)</f>
        <v>0</v>
      </c>
      <c r="WY32" s="56">
        <v>27</v>
      </c>
      <c r="WZ32" s="53" t="str">
        <f t="shared" si="84"/>
        <v>Glamorgan Archives</v>
      </c>
      <c r="XA32" s="60">
        <f t="shared" si="85"/>
        <v>0</v>
      </c>
      <c r="XB32" s="60">
        <f t="shared" si="86"/>
        <v>0</v>
      </c>
      <c r="XC32" s="76">
        <f t="shared" si="441"/>
        <v>0</v>
      </c>
      <c r="XD32" s="46">
        <f t="shared" si="442"/>
        <v>55</v>
      </c>
      <c r="XE32" s="46">
        <f t="shared" si="87"/>
        <v>2.7089999999999996</v>
      </c>
      <c r="XF32" s="46">
        <f t="shared" si="443"/>
        <v>1</v>
      </c>
      <c r="XG32" s="46">
        <f t="shared" si="444"/>
        <v>2</v>
      </c>
      <c r="XH32" s="46" cm="1">
        <f t="array" ref="XH32">ROUND(VALUE(IFERROR(INDEX(ArchiveResults!$F$5:$IX$116,ComparisonData!A32,ComparisonData!$XH$1),0)),5)</f>
        <v>0</v>
      </c>
      <c r="XI32" s="46" cm="1">
        <f t="array" ref="XI32">ROUND(VALUE(IFERROR(INDEX(ArchiveResults!$F$5:$IX$116,ComparisonData!A32,ComparisonData!$XI$1),0)),5)</f>
        <v>0</v>
      </c>
      <c r="XJ32" s="56">
        <v>27</v>
      </c>
      <c r="XK32" s="53" t="str">
        <f t="shared" si="88"/>
        <v>Glamorgan Archives</v>
      </c>
      <c r="XL32" s="60">
        <f t="shared" si="445"/>
        <v>0</v>
      </c>
      <c r="XM32" s="60">
        <f t="shared" si="446"/>
        <v>0</v>
      </c>
      <c r="XN32" s="76">
        <f t="shared" si="447"/>
        <v>0</v>
      </c>
      <c r="XO32" s="46">
        <f t="shared" si="448"/>
        <v>55</v>
      </c>
      <c r="XP32" s="46">
        <f t="shared" si="89"/>
        <v>2.7089999999999996</v>
      </c>
      <c r="XQ32" s="46">
        <f t="shared" si="449"/>
        <v>1</v>
      </c>
      <c r="XR32" s="46">
        <f t="shared" si="450"/>
        <v>2</v>
      </c>
      <c r="XS32" s="46" cm="1">
        <f t="array" ref="XS32">ROUND(VALUE(IFERROR(INDEX(ArchiveResults!$F$5:$IX$116,ComparisonData!A32,ComparisonData!$XS$1),0)),5)</f>
        <v>0</v>
      </c>
      <c r="XT32" s="46" cm="1">
        <f t="array" ref="XT32">ROUND(VALUE(IFERROR(INDEX(ArchiveResults!$F$5:$IX$116,ComparisonData!A32,ComparisonData!$XT$1),0)),5)</f>
        <v>0</v>
      </c>
      <c r="XU32" s="56">
        <v>27</v>
      </c>
      <c r="XV32" s="53" t="str">
        <f t="shared" si="90"/>
        <v>Glamorgan Archives</v>
      </c>
      <c r="XW32" s="60">
        <f t="shared" si="451"/>
        <v>0</v>
      </c>
      <c r="XX32" s="60">
        <f t="shared" si="452"/>
        <v>0</v>
      </c>
      <c r="XY32" s="76">
        <f t="shared" si="453"/>
        <v>0</v>
      </c>
      <c r="XZ32" s="46">
        <f t="shared" si="454"/>
        <v>55</v>
      </c>
      <c r="YA32" s="46">
        <f t="shared" si="91"/>
        <v>2.7089999999999996</v>
      </c>
      <c r="YB32" s="46">
        <f t="shared" si="455"/>
        <v>1</v>
      </c>
      <c r="YC32" s="46">
        <f t="shared" si="456"/>
        <v>2</v>
      </c>
      <c r="YD32" s="46" cm="1">
        <f t="array" ref="YD32">ROUND(VALUE(IFERROR(INDEX(ArchiveResults!$F$5:$IX$116,ComparisonData!A32,ComparisonData!$YD$1),0)),5)</f>
        <v>0</v>
      </c>
      <c r="YE32" s="46" cm="1">
        <f t="array" ref="YE32">ROUND(VALUE(IFERROR(INDEX(ArchiveResults!$F$5:$IX$116,ComparisonData!A32,ComparisonData!$YE$1),0)),5)</f>
        <v>0</v>
      </c>
      <c r="YF32" s="56">
        <v>27</v>
      </c>
      <c r="YG32" s="53" t="str">
        <f t="shared" si="92"/>
        <v>Glamorgan Archives</v>
      </c>
      <c r="YH32" s="60">
        <f t="shared" si="457"/>
        <v>0</v>
      </c>
      <c r="YI32" s="60">
        <f t="shared" si="458"/>
        <v>0</v>
      </c>
      <c r="YJ32" s="76">
        <f t="shared" si="459"/>
        <v>0</v>
      </c>
      <c r="YK32" s="46">
        <f t="shared" si="460"/>
        <v>55</v>
      </c>
      <c r="YL32" s="46">
        <f t="shared" si="93"/>
        <v>2.7089999999999996</v>
      </c>
      <c r="YM32" s="46">
        <f t="shared" si="461"/>
        <v>1</v>
      </c>
      <c r="YN32" s="46">
        <f t="shared" si="462"/>
        <v>2</v>
      </c>
      <c r="YO32" s="46" cm="1">
        <f t="array" ref="YO32">ROUND(VALUE(IFERROR(INDEX(ArchiveResults!$F$5:$IX$116,ComparisonData!A32,ComparisonData!$YO$1),0)),5)</f>
        <v>0</v>
      </c>
      <c r="YP32" s="46" cm="1">
        <f t="array" ref="YP32">ROUND(VALUE(IFERROR(INDEX(ArchiveResults!$F$5:$IX$116,ComparisonData!A32,ComparisonData!$YP$1),0)),5)</f>
        <v>0</v>
      </c>
      <c r="YQ32" s="56">
        <v>27</v>
      </c>
      <c r="YR32" s="53" t="str">
        <f t="shared" si="94"/>
        <v>Glamorgan Archives</v>
      </c>
      <c r="YS32" s="60">
        <f t="shared" si="463"/>
        <v>0</v>
      </c>
      <c r="YT32" s="60">
        <f t="shared" si="464"/>
        <v>0</v>
      </c>
      <c r="YU32" s="76">
        <f t="shared" si="465"/>
        <v>0</v>
      </c>
      <c r="YV32" s="46">
        <f t="shared" si="466"/>
        <v>55</v>
      </c>
      <c r="YW32" s="46">
        <f t="shared" si="95"/>
        <v>2.7089999999999996</v>
      </c>
      <c r="YX32" s="46">
        <f t="shared" si="467"/>
        <v>1</v>
      </c>
      <c r="YY32" s="46">
        <f t="shared" si="468"/>
        <v>2</v>
      </c>
      <c r="YZ32" s="46">
        <f t="shared" si="469"/>
        <v>0</v>
      </c>
      <c r="ZA32" s="46" cm="1">
        <f t="array" ref="ZA32">ROUNDDOWN(VALUE(IFERROR(INDEX(ArchiveResults!$F$5:$IX$116,ComparisonData!A32,ComparisonData!$ZA$1),0)),5)</f>
        <v>0</v>
      </c>
      <c r="ZB32" s="46" cm="1">
        <f t="array" ref="ZB32">ROUNDDOWN(VALUE(IFERROR(INDEX(ArchiveResults!$F$5:$IX$116,ComparisonData!A32,ComparisonData!$ZB$1),0)),5)</f>
        <v>0</v>
      </c>
      <c r="ZC32" s="46" cm="1">
        <f t="array" ref="ZC32">ROUNDDOWN(VALUE(IFERROR(INDEX(ArchiveResults!$F$5:$IX$116,ComparisonData!A32,ComparisonData!$ZC$1),0)),5)</f>
        <v>0</v>
      </c>
      <c r="ZD32" s="46" cm="1">
        <f t="array" ref="ZD32">ROUNDDOWN(VALUE(IFERROR(INDEX(ArchiveResults!$F$5:$IX$116,ComparisonData!A32,ComparisonData!$ZD$1),0)),5)</f>
        <v>0</v>
      </c>
      <c r="ZE32" s="46" cm="1">
        <f t="array" ref="ZE32">ROUNDDOWN(VALUE(IFERROR(INDEX(ArchiveResults!$F$5:$IX$116,ComparisonData!A32,ComparisonData!$ZE$1),0)),5)</f>
        <v>0</v>
      </c>
      <c r="ZF32" s="56">
        <v>27</v>
      </c>
      <c r="ZG32" s="53" t="str">
        <f t="shared" si="96"/>
        <v>Glamorgan Archives</v>
      </c>
      <c r="ZH32" s="60">
        <f t="shared" si="470"/>
        <v>0</v>
      </c>
      <c r="ZI32" s="60">
        <f t="shared" si="471"/>
        <v>0</v>
      </c>
      <c r="ZJ32" s="60">
        <f t="shared" si="472"/>
        <v>0</v>
      </c>
      <c r="ZK32" s="60">
        <f t="shared" si="473"/>
        <v>0</v>
      </c>
      <c r="ZL32" s="60">
        <f t="shared" si="474"/>
        <v>0</v>
      </c>
      <c r="ZM32" s="76">
        <f t="shared" si="475"/>
        <v>0</v>
      </c>
      <c r="ZN32" s="46">
        <f t="shared" si="476"/>
        <v>55</v>
      </c>
      <c r="ZO32" s="46">
        <f t="shared" si="97"/>
        <v>2.7089999999999996</v>
      </c>
      <c r="ZP32" s="46">
        <f t="shared" si="477"/>
        <v>1</v>
      </c>
      <c r="ZQ32" s="46">
        <f t="shared" si="478"/>
        <v>2</v>
      </c>
      <c r="ZR32" s="46" cm="1">
        <f t="array" ref="ZR32">ROUND(VALUE(IFERROR(INDEX(ArchiveResults!$F$5:$IX$116,ComparisonData!A32,ComparisonData!$ZR$1),0)),5)</f>
        <v>0</v>
      </c>
      <c r="ZS32" s="56">
        <v>27</v>
      </c>
      <c r="ZT32" s="53" t="str">
        <f t="shared" si="98"/>
        <v>Glamorgan Archives</v>
      </c>
      <c r="ZU32" s="46">
        <f t="shared" si="479"/>
        <v>0</v>
      </c>
      <c r="ZV32" s="76">
        <f t="shared" si="480"/>
        <v>0</v>
      </c>
      <c r="ZW32" s="81" cm="1">
        <f t="array" ref="ZW32">ROUND((IFERROR(INDEX(ArchiveResults!$F$5:$IX$116,ComparisonData!A32,ComparisonData!$ZW$1),0)),5)</f>
        <v>0</v>
      </c>
      <c r="ZX32" s="81" cm="1">
        <f t="array" ref="ZX32">ROUND((IFERROR(INDEX(ArchiveResults!$F$5:$IX$116,ComparisonData!A32,ComparisonData!$ZX$1),0)),5)</f>
        <v>0</v>
      </c>
      <c r="ZY32" s="81" cm="1">
        <f t="array" ref="ZY32">ROUND((IFERROR(INDEX(ArchiveResults!$F$5:$IX$116,ComparisonData!A32,ComparisonData!$ZY$1),0)),5)</f>
        <v>0</v>
      </c>
      <c r="ZZ32" s="81" cm="1">
        <f t="array" ref="ZZ32">ROUND((IFERROR(INDEX(ArchiveResults!$F$5:$IX$116,ComparisonData!A32,ComparisonData!$ZZ$1),0)),5)</f>
        <v>0</v>
      </c>
      <c r="AAA32" s="81" cm="1">
        <f t="array" ref="AAA32">ROUND((IFERROR(INDEX(ArchiveResults!$F$5:$IX$116,ComparisonData!A32,ComparisonData!$AAA$1),0)),5)</f>
        <v>0</v>
      </c>
      <c r="AAB32" s="81" cm="1">
        <f t="array" ref="AAB32">ROUND((IFERROR(INDEX(ArchiveResults!$F$5:$IX$116,ComparisonData!A32,ComparisonData!$AAB$1),0)),5)</f>
        <v>0</v>
      </c>
      <c r="AAC32" s="81" cm="1">
        <f t="array" ref="AAC32">ROUND((IFERROR(INDEX(ArchiveResults!$F$5:$IX$116,ComparisonData!A32,ComparisonData!$AAC$1),0)),5)</f>
        <v>0</v>
      </c>
      <c r="AAD32" s="81" cm="1">
        <f t="array" ref="AAD32">ROUND((IFERROR(INDEX(ArchiveResults!$F$5:$IX$116,ComparisonData!A32,ComparisonData!$AAD$1),0)),5)</f>
        <v>0</v>
      </c>
      <c r="AAE32" s="81" cm="1">
        <f t="array" ref="AAE32">ROUND((IFERROR(INDEX(ArchiveResults!$F$5:$IX$116,ComparisonData!A32,ComparisonData!$AAE$1),0)),5)</f>
        <v>0</v>
      </c>
      <c r="AAF32" s="81" cm="1">
        <f t="array" ref="AAF32">ROUND((IFERROR(INDEX(ArchiveResults!$F$5:$IX$116,ComparisonData!A32,ComparisonData!$AAF$1),0)),5)</f>
        <v>0</v>
      </c>
      <c r="AAG32" s="46">
        <f t="shared" si="481"/>
        <v>55</v>
      </c>
      <c r="AAH32" s="46">
        <f t="shared" si="99"/>
        <v>2.7089999999999996</v>
      </c>
      <c r="AAI32" s="46">
        <f t="shared" si="482"/>
        <v>1</v>
      </c>
      <c r="AAJ32" s="46">
        <f t="shared" si="483"/>
        <v>2</v>
      </c>
      <c r="AAK32" s="46">
        <f t="shared" si="484"/>
        <v>0</v>
      </c>
      <c r="AAL32" s="46">
        <f t="shared" si="485"/>
        <v>0</v>
      </c>
      <c r="AAM32" s="46">
        <f t="shared" si="486"/>
        <v>0</v>
      </c>
      <c r="AAN32" s="46">
        <f t="shared" si="487"/>
        <v>0</v>
      </c>
      <c r="AAO32" s="46">
        <f t="shared" si="488"/>
        <v>0</v>
      </c>
      <c r="AAP32" s="46">
        <f t="shared" si="489"/>
        <v>0</v>
      </c>
      <c r="AAQ32" s="56">
        <v>27</v>
      </c>
      <c r="AAR32" s="53" t="str">
        <f t="shared" si="100"/>
        <v>Glamorgan Archives</v>
      </c>
      <c r="AAS32" s="60">
        <f t="shared" si="490"/>
        <v>0</v>
      </c>
      <c r="AAT32" s="60">
        <f t="shared" si="491"/>
        <v>0</v>
      </c>
      <c r="AAU32" s="60">
        <f t="shared" si="492"/>
        <v>0</v>
      </c>
      <c r="AAV32" s="60">
        <f t="shared" si="493"/>
        <v>0</v>
      </c>
      <c r="AAW32" s="60">
        <f t="shared" si="494"/>
        <v>0</v>
      </c>
      <c r="AAX32" s="76">
        <f t="shared" si="495"/>
        <v>0</v>
      </c>
      <c r="AAY32" s="46">
        <f t="shared" si="496"/>
        <v>55</v>
      </c>
      <c r="AAZ32" s="46">
        <f t="shared" si="101"/>
        <v>2.7089999999999996</v>
      </c>
      <c r="ABA32" s="46">
        <f t="shared" si="497"/>
        <v>1</v>
      </c>
      <c r="ABB32" s="46">
        <f t="shared" si="498"/>
        <v>2</v>
      </c>
      <c r="ABC32" s="46">
        <f t="shared" si="102"/>
        <v>0</v>
      </c>
      <c r="ABD32" s="46" cm="1">
        <f t="array" ref="ABD32">ROUND(VALUE(IFERROR(INDEX(ArchiveResults!$F$5:$IX$116,ComparisonData!A32,ComparisonData!$ABD$1),0)),5)</f>
        <v>0</v>
      </c>
      <c r="ABE32" s="46" cm="1">
        <f t="array" ref="ABE32">ROUND(VALUE(IFERROR(INDEX(ArchiveResults!$F$5:$IX$116,ComparisonData!A32,ComparisonData!$ABE$1),0)),5)</f>
        <v>0</v>
      </c>
      <c r="ABF32" s="46" cm="1">
        <f t="array" ref="ABF32">ROUND(VALUE(IFERROR(INDEX(ArchiveResults!$F$5:$IX$116,ComparisonData!A32,ComparisonData!$ABF$1),0)),5)</f>
        <v>0</v>
      </c>
      <c r="ABG32" s="46" cm="1">
        <f t="array" ref="ABG32">ROUND(VALUE(IFERROR(INDEX(ArchiveResults!$F$5:$IX$116,ComparisonData!A32,ComparisonData!$ABG$1),0)),5)</f>
        <v>0</v>
      </c>
      <c r="ABH32" s="46" cm="1">
        <f t="array" ref="ABH32">ROUND(VALUE(IFERROR(INDEX(ArchiveResults!$F$5:$IX$116,ComparisonData!A32,ComparisonData!$ABH$1),0)),5)</f>
        <v>0</v>
      </c>
      <c r="ABI32" s="56">
        <v>27</v>
      </c>
      <c r="ABJ32" s="53" t="str">
        <f t="shared" si="103"/>
        <v>Glamorgan Archives</v>
      </c>
      <c r="ABK32" s="60">
        <f t="shared" si="499"/>
        <v>0</v>
      </c>
      <c r="ABL32" s="60">
        <f t="shared" si="500"/>
        <v>0</v>
      </c>
      <c r="ABM32" s="60">
        <f t="shared" si="501"/>
        <v>0</v>
      </c>
      <c r="ABN32" s="60">
        <f t="shared" si="502"/>
        <v>0</v>
      </c>
      <c r="ABO32" s="60">
        <f t="shared" si="503"/>
        <v>0</v>
      </c>
      <c r="ABP32" s="76">
        <f t="shared" si="504"/>
        <v>0</v>
      </c>
      <c r="ABQ32" s="46">
        <f t="shared" si="505"/>
        <v>55</v>
      </c>
      <c r="ABR32" s="46">
        <f t="shared" si="104"/>
        <v>2.7089999999999996</v>
      </c>
      <c r="ABS32" s="46">
        <f t="shared" si="506"/>
        <v>1</v>
      </c>
      <c r="ABT32" s="46">
        <f t="shared" si="507"/>
        <v>2</v>
      </c>
      <c r="ABU32" s="46" cm="1">
        <f t="array" ref="ABU32">ROUND(VALUE(IFERROR(INDEX(ArchiveResults!$F$5:$IX$116,ComparisonData!A32,ComparisonData!$ABU$1),0)),5)</f>
        <v>0</v>
      </c>
      <c r="ABV32" s="46" cm="1">
        <f t="array" ref="ABV32">ROUND(VALUE(IFERROR(INDEX(ArchiveResults!$F$5:$IX$116,ComparisonData!A32,ComparisonData!$ABV$1),0)),5)</f>
        <v>0</v>
      </c>
      <c r="ABW32" s="46" cm="1">
        <f t="array" ref="ABW32">ROUND(VALUE(IFERROR(INDEX(ArchiveResults!$F$5:$IX$116,ComparisonData!A32,ComparisonData!$ABW$1),0)),5)</f>
        <v>0</v>
      </c>
      <c r="ABX32" s="46" cm="1">
        <f t="array" ref="ABX32">ROUND(VALUE(IFERROR(INDEX(ArchiveResults!$F$5:$IX$116,ComparisonData!A32,ComparisonData!$ABX$1),0)),5)</f>
        <v>0</v>
      </c>
      <c r="ABY32" s="46" cm="1">
        <f t="array" ref="ABY32">ROUND(VALUE(IFERROR(INDEX(ArchiveResults!$F$5:$IX$116,ComparisonData!A32,ComparisonData!$ABY$1),0)),5)</f>
        <v>0</v>
      </c>
      <c r="ABZ32" s="56">
        <v>27</v>
      </c>
      <c r="ACA32" s="53" t="str">
        <f t="shared" si="105"/>
        <v>Glamorgan Archives</v>
      </c>
      <c r="ACB32" s="60">
        <f t="shared" si="508"/>
        <v>0</v>
      </c>
      <c r="ACC32" s="60">
        <f t="shared" si="509"/>
        <v>0</v>
      </c>
      <c r="ACD32" s="60">
        <f t="shared" si="510"/>
        <v>0</v>
      </c>
      <c r="ACE32" s="60">
        <f t="shared" si="511"/>
        <v>0</v>
      </c>
      <c r="ACF32" s="60">
        <f t="shared" si="512"/>
        <v>0</v>
      </c>
      <c r="ACG32" s="76">
        <f t="shared" si="513"/>
        <v>0</v>
      </c>
      <c r="ACH32" s="46">
        <f t="shared" si="514"/>
        <v>55</v>
      </c>
      <c r="ACI32" s="46">
        <f t="shared" si="106"/>
        <v>2.7089999999999996</v>
      </c>
      <c r="ACJ32" s="46">
        <f t="shared" si="515"/>
        <v>1</v>
      </c>
      <c r="ACK32" s="46">
        <f t="shared" si="516"/>
        <v>2</v>
      </c>
      <c r="ACL32" s="46">
        <f t="shared" si="517"/>
        <v>0</v>
      </c>
      <c r="ACM32" s="46" cm="1">
        <f t="array" ref="ACM32">ROUND(IFERROR(INDEX(ArchiveResults!$F$5:$IX$116,ComparisonData!A32,ComparisonData!$ACM$1),0),5)</f>
        <v>0</v>
      </c>
      <c r="ACN32" s="46" cm="1">
        <f t="array" ref="ACN32">ROUND(IFERROR(INDEX(ArchiveResults!$F$5:$IX$116,ComparisonData!A32,ComparisonData!$ACN$1),0),5)</f>
        <v>0</v>
      </c>
      <c r="ACO32" s="56">
        <v>27</v>
      </c>
      <c r="ACP32" s="53" t="str">
        <f t="shared" si="107"/>
        <v>Glamorgan Archives</v>
      </c>
      <c r="ACQ32" s="60">
        <f t="shared" si="518"/>
        <v>0</v>
      </c>
      <c r="ACR32" s="60">
        <f t="shared" si="519"/>
        <v>0</v>
      </c>
      <c r="ACS32" s="76">
        <f t="shared" si="520"/>
        <v>0</v>
      </c>
      <c r="ACT32" s="46">
        <f t="shared" si="521"/>
        <v>55</v>
      </c>
      <c r="ACU32" s="46">
        <f t="shared" si="108"/>
        <v>2.7089999999999996</v>
      </c>
      <c r="ACV32" s="46">
        <f t="shared" si="522"/>
        <v>1</v>
      </c>
      <c r="ACW32" s="46">
        <f t="shared" si="523"/>
        <v>2</v>
      </c>
      <c r="ACX32" s="46">
        <f t="shared" si="524"/>
        <v>0</v>
      </c>
      <c r="ACY32" s="46" cm="1">
        <f t="array" ref="ACY32">ROUNDDOWN(IFERROR(INDEX(ArchiveResults!$F$5:$IX$116,ComparisonData!A32,ComparisonData!$ACY$1),0),5)</f>
        <v>0</v>
      </c>
      <c r="ACZ32" s="46" cm="1">
        <f t="array" ref="ACZ32">ROUNDDOWN(IFERROR(INDEX(ArchiveResults!$F$5:$IX$116,ComparisonData!A32,ComparisonData!$ACZ$1),0),5)</f>
        <v>0</v>
      </c>
      <c r="ADA32" s="46" cm="1">
        <f t="array" ref="ADA32">ROUNDDOWN(IFERROR(INDEX(ArchiveResults!$F$5:$IX$116,ComparisonData!A32,ComparisonData!$ADA$1),0),5)</f>
        <v>0</v>
      </c>
      <c r="ADB32" s="56">
        <v>27</v>
      </c>
      <c r="ADC32" s="53" t="str">
        <f t="shared" si="109"/>
        <v>Glamorgan Archives</v>
      </c>
      <c r="ADD32" s="60">
        <f t="shared" si="525"/>
        <v>0</v>
      </c>
      <c r="ADE32" s="60">
        <f t="shared" si="526"/>
        <v>0</v>
      </c>
      <c r="ADF32" s="60">
        <f t="shared" si="527"/>
        <v>0</v>
      </c>
      <c r="ADG32" s="76">
        <f t="shared" si="528"/>
        <v>0</v>
      </c>
    </row>
    <row r="33" spans="1:787" x14ac:dyDescent="0.25">
      <c r="A33" s="46" t="str">
        <f>IF(ISBLANK(ComparisonSelection!F29),"",ROW()-5)</f>
        <v/>
      </c>
      <c r="B33" s="53" t="s">
        <v>483</v>
      </c>
      <c r="C33" s="72">
        <v>0.84399999999999986</v>
      </c>
      <c r="D33" s="55">
        <f t="shared" si="110"/>
        <v>82</v>
      </c>
      <c r="E33" s="54">
        <f t="shared" si="111"/>
        <v>2.8439999999999999</v>
      </c>
      <c r="F33" s="54">
        <f t="shared" si="529"/>
        <v>1</v>
      </c>
      <c r="G33" s="72">
        <f t="shared" si="112"/>
        <v>2</v>
      </c>
      <c r="H33" s="72">
        <f t="shared" si="113"/>
        <v>0</v>
      </c>
      <c r="I33" s="46" cm="1">
        <f t="array" ref="I33">ROUND(IFERROR(INDEX(ArchiveResults!$F$5:$IX$116,ComparisonData!A33,ComparisonData!$I$1),0),5)</f>
        <v>0</v>
      </c>
      <c r="J33" s="46" cm="1">
        <f t="array" ref="J33">ROUND(IFERROR(INDEX(ArchiveResults!$F$5:$IX$116,ComparisonData!A33,ComparisonData!$J$1),0),5)</f>
        <v>0</v>
      </c>
      <c r="K33" s="56">
        <v>28</v>
      </c>
      <c r="L33" s="53" t="str">
        <f t="shared" si="114"/>
        <v>Glasgow City Archives</v>
      </c>
      <c r="M33" s="57">
        <f t="shared" si="0"/>
        <v>0</v>
      </c>
      <c r="N33" s="57">
        <f t="shared" si="1"/>
        <v>0</v>
      </c>
      <c r="O33" s="58">
        <f t="shared" si="115"/>
        <v>0</v>
      </c>
      <c r="P33" s="48">
        <f t="shared" si="116"/>
        <v>82</v>
      </c>
      <c r="Q33" s="54">
        <f t="shared" si="2"/>
        <v>2.8439999999999999</v>
      </c>
      <c r="R33" s="45">
        <f t="shared" si="117"/>
        <v>1</v>
      </c>
      <c r="S33" s="46">
        <f t="shared" si="118"/>
        <v>2</v>
      </c>
      <c r="T33" s="72">
        <f t="shared" si="119"/>
        <v>0</v>
      </c>
      <c r="U33" s="46" cm="1">
        <f t="array" ref="U33">ROUND(IFERROR(INDEX(ArchiveResults!$F$5:$IX$116,ComparisonData!A33,ComparisonData!$U$1),0),5)</f>
        <v>0</v>
      </c>
      <c r="V33" s="46" cm="1">
        <f t="array" ref="V33">ROUND(IFERROR(INDEX(ArchiveResults!$F$5:$IX$116,ComparisonData!A33,ComparisonData!$V$1),0),5)</f>
        <v>0</v>
      </c>
      <c r="W33" s="56">
        <v>28</v>
      </c>
      <c r="X33" s="53" t="str">
        <f t="shared" si="3"/>
        <v>Glasgow City Archives</v>
      </c>
      <c r="Y33" s="57">
        <f t="shared" si="120"/>
        <v>0</v>
      </c>
      <c r="Z33" s="57">
        <f t="shared" si="121"/>
        <v>0</v>
      </c>
      <c r="AA33" s="58">
        <f t="shared" si="122"/>
        <v>0</v>
      </c>
      <c r="AB33" s="45">
        <f t="shared" si="123"/>
        <v>82</v>
      </c>
      <c r="AC33" s="54">
        <f t="shared" si="4"/>
        <v>2.8439999999999999</v>
      </c>
      <c r="AD33" s="45">
        <f t="shared" si="124"/>
        <v>1</v>
      </c>
      <c r="AE33" s="45">
        <f t="shared" si="125"/>
        <v>2</v>
      </c>
      <c r="AF33" s="45">
        <f t="shared" si="126"/>
        <v>0</v>
      </c>
      <c r="AG33" s="46" cm="1">
        <f t="array" ref="AG33">ROUND(IFERROR(INDEX(ArchiveResults!$F$5:$IX$116,ComparisonData!A33,ComparisonData!$AG$1),0),5)</f>
        <v>0</v>
      </c>
      <c r="AH33" s="46" cm="1">
        <f t="array" ref="AH33">ROUND(IFERROR(INDEX(ArchiveResults!$F$5:$IX$116,ComparisonData!A33,ComparisonData!$AH$1),0),5)</f>
        <v>0</v>
      </c>
      <c r="AI33" s="56">
        <v>28</v>
      </c>
      <c r="AJ33" s="53" t="str">
        <f t="shared" si="5"/>
        <v>Glasgow City Archives</v>
      </c>
      <c r="AK33" s="59">
        <f t="shared" si="6"/>
        <v>0</v>
      </c>
      <c r="AL33" s="59">
        <f t="shared" si="7"/>
        <v>0</v>
      </c>
      <c r="AM33" s="58">
        <f t="shared" si="127"/>
        <v>0</v>
      </c>
      <c r="AN33" s="45">
        <f t="shared" si="128"/>
        <v>82</v>
      </c>
      <c r="AO33" s="54">
        <f t="shared" si="8"/>
        <v>2.8439999999999999</v>
      </c>
      <c r="AP33" s="45">
        <f t="shared" si="129"/>
        <v>1</v>
      </c>
      <c r="AQ33" s="45">
        <f t="shared" si="130"/>
        <v>2</v>
      </c>
      <c r="AR33" s="46" cm="1">
        <f t="array" ref="AR33">ROUND(IFERROR(INDEX(ArchiveResults!$F$5:$IX$116,ComparisonData!A33,ComparisonData!$AR$1),0),5)</f>
        <v>0</v>
      </c>
      <c r="AS33" s="46" cm="1">
        <f t="array" ref="AS33">ROUND(IFERROR(INDEX(ArchiveResults!$F$5:$IX$116,ComparisonData!A33,ComparisonData!$AS$1),0),5)</f>
        <v>0</v>
      </c>
      <c r="AT33" s="46" cm="1">
        <f t="array" ref="AT33">ROUND(IFERROR(INDEX(ArchiveResults!$F$5:$IX$116,ComparisonData!A33,ComparisonData!$AT$1),0),5)</f>
        <v>0</v>
      </c>
      <c r="AU33" s="46" cm="1">
        <f t="array" ref="AU33">ROUND(IFERROR(INDEX(ArchiveResults!$F$5:$IX$116,ComparisonData!A33,ComparisonData!$AU$1),0),5)</f>
        <v>0</v>
      </c>
      <c r="AV33" s="46" cm="1">
        <f t="array" ref="AV33">ROUND(IFERROR(INDEX(ArchiveResults!$F$5:$IX$116,ComparisonData!A33,ComparisonData!$AV$1),0),5)</f>
        <v>0</v>
      </c>
      <c r="AW33" s="46" cm="1">
        <f t="array" ref="AW33">ROUND(IFERROR(INDEX(ArchiveResults!$F$5:$IX$116,ComparisonData!A33,ComparisonData!$AW$1),0),5)</f>
        <v>0</v>
      </c>
      <c r="AX33" s="46" cm="1">
        <f t="array" ref="AX33">ROUND(IFERROR(INDEX(ArchiveResults!$F$5:$IX$116,ComparisonData!A33,ComparisonData!$AX$1),0),5)</f>
        <v>0</v>
      </c>
      <c r="AY33" s="46" cm="1">
        <f t="array" ref="AY33">ROUND(IFERROR(INDEX(ArchiveResults!$F$5:$IX$116,ComparisonData!A33,ComparisonData!$AY$1),0),5)</f>
        <v>0</v>
      </c>
      <c r="AZ33" s="46" cm="1">
        <f t="array" ref="AZ33">ROUND(IFERROR(INDEX(ArchiveResults!$F$5:$IX$116,ComparisonData!A33,ComparisonData!$AZ$1),0),5)</f>
        <v>0</v>
      </c>
      <c r="BA33" s="46" cm="1">
        <f t="array" ref="BA33">ROUND(IFERROR(INDEX(ArchiveResults!$F$5:$IX$116,ComparisonData!A33,ComparisonData!$BA$1),0),5)</f>
        <v>0</v>
      </c>
      <c r="BB33" s="56">
        <v>28</v>
      </c>
      <c r="BC33" s="53" t="str">
        <f t="shared" si="9"/>
        <v>Glasgow City Archives</v>
      </c>
      <c r="BD33" s="60">
        <f t="shared" si="131"/>
        <v>0</v>
      </c>
      <c r="BE33" s="60">
        <f t="shared" si="132"/>
        <v>0</v>
      </c>
      <c r="BF33" s="60">
        <f t="shared" si="133"/>
        <v>0</v>
      </c>
      <c r="BG33" s="60">
        <f t="shared" si="134"/>
        <v>0</v>
      </c>
      <c r="BH33" s="60">
        <f t="shared" si="135"/>
        <v>0</v>
      </c>
      <c r="BI33" s="60">
        <f t="shared" si="136"/>
        <v>0</v>
      </c>
      <c r="BJ33" s="60">
        <f t="shared" si="137"/>
        <v>0</v>
      </c>
      <c r="BK33" s="60">
        <f t="shared" si="138"/>
        <v>0</v>
      </c>
      <c r="BL33" s="60">
        <f t="shared" si="139"/>
        <v>0</v>
      </c>
      <c r="BM33" s="59">
        <f t="shared" si="140"/>
        <v>0</v>
      </c>
      <c r="BN33" s="58">
        <f t="shared" si="141"/>
        <v>0</v>
      </c>
      <c r="BO33" s="45">
        <f t="shared" si="142"/>
        <v>82</v>
      </c>
      <c r="BP33" s="54">
        <f t="shared" si="10"/>
        <v>2.8439999999999999</v>
      </c>
      <c r="BQ33" s="45">
        <f t="shared" si="143"/>
        <v>1</v>
      </c>
      <c r="BR33" s="45">
        <f t="shared" si="144"/>
        <v>2</v>
      </c>
      <c r="BS33" s="46" cm="1">
        <f t="array" ref="BS33">ROUND(IFERROR(INDEX(ArchiveResults!$F$5:$IX$116,ComparisonData!A33,ComparisonData!$BS$1),0),5)</f>
        <v>0</v>
      </c>
      <c r="BT33" s="46" cm="1">
        <f t="array" ref="BT33">ROUND(IFERROR(INDEX(ArchiveResults!$F$5:$IX$116,ComparisonData!A33,ComparisonData!$BT$1),0),5)</f>
        <v>0</v>
      </c>
      <c r="BU33" s="46" cm="1">
        <f t="array" ref="BU33">ROUND(IFERROR(INDEX(ArchiveResults!$F$5:$IX$116,ComparisonData!A33,ComparisonData!$BU$1),0),5)</f>
        <v>0</v>
      </c>
      <c r="BV33" s="46" cm="1">
        <f t="array" ref="BV33">ROUND(IFERROR(INDEX(ArchiveResults!$F$5:$IX$116,ComparisonData!A33,ComparisonData!$BV$1),0),5)</f>
        <v>0</v>
      </c>
      <c r="BW33" s="46" cm="1">
        <f t="array" ref="BW33">ROUND(IFERROR(INDEX(ArchiveResults!$F$5:$IX$116,ComparisonData!A33,ComparisonData!$BW$1),0),5)</f>
        <v>0</v>
      </c>
      <c r="BX33" s="46" cm="1">
        <f t="array" ref="BX33">ROUND(IFERROR(INDEX(ArchiveResults!$F$5:$IX$116,ComparisonData!A33,ComparisonData!$BX$1),0),5)</f>
        <v>0</v>
      </c>
      <c r="BY33" s="56">
        <v>28</v>
      </c>
      <c r="BZ33" s="53" t="str">
        <f t="shared" si="11"/>
        <v>Glasgow City Archives</v>
      </c>
      <c r="CA33" s="59">
        <f t="shared" si="145"/>
        <v>0</v>
      </c>
      <c r="CB33" s="59">
        <f t="shared" si="146"/>
        <v>0</v>
      </c>
      <c r="CC33" s="59">
        <f t="shared" si="147"/>
        <v>0</v>
      </c>
      <c r="CD33" s="59">
        <f t="shared" si="148"/>
        <v>0</v>
      </c>
      <c r="CE33" s="59">
        <f t="shared" si="149"/>
        <v>0</v>
      </c>
      <c r="CF33" s="59">
        <f t="shared" si="150"/>
        <v>0</v>
      </c>
      <c r="CG33" s="58">
        <f t="shared" si="151"/>
        <v>0</v>
      </c>
      <c r="CH33" s="45">
        <f t="shared" si="152"/>
        <v>82</v>
      </c>
      <c r="CI33" s="54">
        <f t="shared" si="12"/>
        <v>2.8439999999999999</v>
      </c>
      <c r="CJ33" s="45">
        <f t="shared" si="153"/>
        <v>1</v>
      </c>
      <c r="CK33" s="45">
        <f t="shared" si="154"/>
        <v>2</v>
      </c>
      <c r="CL33" s="46" cm="1">
        <f t="array" ref="CL33">ROUND(IFERROR(INDEX(ArchiveResults!$F$5:$IX$116,ComparisonData!A33,ComparisonData!$CL$1),0),5)</f>
        <v>0</v>
      </c>
      <c r="CM33" s="56">
        <v>28</v>
      </c>
      <c r="CN33" s="53" t="str">
        <f t="shared" si="13"/>
        <v>Glasgow City Archives</v>
      </c>
      <c r="CO33" s="45">
        <f t="shared" si="155"/>
        <v>0</v>
      </c>
      <c r="CP33" s="58">
        <f t="shared" si="156"/>
        <v>0</v>
      </c>
      <c r="CQ33" s="45">
        <f t="shared" si="157"/>
        <v>82</v>
      </c>
      <c r="CR33" s="54">
        <f t="shared" si="14"/>
        <v>2.8439999999999999</v>
      </c>
      <c r="CS33" s="45">
        <f t="shared" si="158"/>
        <v>1</v>
      </c>
      <c r="CT33" s="45">
        <f t="shared" si="159"/>
        <v>2</v>
      </c>
      <c r="CU33" s="46" cm="1">
        <f t="array" ref="CU33">ROUND(IFERROR(INDEX(ArchiveResults!$F$5:$IX$116,ComparisonData!A33,ComparisonData!$CU$1),0),5)</f>
        <v>0</v>
      </c>
      <c r="CV33" s="56">
        <v>28</v>
      </c>
      <c r="CW33" s="53" t="str">
        <f t="shared" si="15"/>
        <v>Glasgow City Archives</v>
      </c>
      <c r="CX33" s="45">
        <f t="shared" si="160"/>
        <v>0</v>
      </c>
      <c r="CY33" s="58">
        <f t="shared" si="161"/>
        <v>0</v>
      </c>
      <c r="CZ33" s="45">
        <f t="shared" si="162"/>
        <v>82</v>
      </c>
      <c r="DA33" s="54">
        <f t="shared" si="16"/>
        <v>2.8439999999999999</v>
      </c>
      <c r="DB33" s="45">
        <f t="shared" si="163"/>
        <v>1</v>
      </c>
      <c r="DC33" s="45">
        <f t="shared" si="164"/>
        <v>2</v>
      </c>
      <c r="DD33" s="46" cm="1">
        <f t="array" ref="DD33">ROUND(IFERROR(INDEX(ArchiveResults!$F$5:$IX$116,ComparisonData!A33,ComparisonData!$DD$1),0),5)</f>
        <v>0</v>
      </c>
      <c r="DE33" s="56">
        <v>28</v>
      </c>
      <c r="DF33" s="53" t="str">
        <f t="shared" si="17"/>
        <v>Glasgow City Archives</v>
      </c>
      <c r="DG33" s="45">
        <f t="shared" si="165"/>
        <v>0</v>
      </c>
      <c r="DH33" s="58">
        <f t="shared" si="166"/>
        <v>0</v>
      </c>
      <c r="DI33" s="45">
        <f t="shared" si="167"/>
        <v>82</v>
      </c>
      <c r="DJ33" s="54">
        <f t="shared" si="18"/>
        <v>2.8439999999999999</v>
      </c>
      <c r="DK33" s="45">
        <f t="shared" si="168"/>
        <v>1</v>
      </c>
      <c r="DL33" s="45">
        <f t="shared" si="169"/>
        <v>2</v>
      </c>
      <c r="DM33" s="46" cm="1">
        <f t="array" ref="DM33">ROUND(IFERROR(INDEX(ArchiveResults!$F$5:$IX$116,ComparisonData!A33,ComparisonData!$DM$1),0),5)</f>
        <v>0</v>
      </c>
      <c r="DN33" s="46" cm="1">
        <f t="array" ref="DN33">ROUND(IFERROR(INDEX(ArchiveResults!$F$5:$IX$116,ComparisonData!A33,ComparisonData!$DN$1),0),5)</f>
        <v>0</v>
      </c>
      <c r="DO33" s="46" cm="1">
        <f t="array" ref="DO33">ROUND(IFERROR(INDEX(ArchiveResults!$F$5:$IX$116,ComparisonData!A33,ComparisonData!$DO$1),0),5)</f>
        <v>0</v>
      </c>
      <c r="DP33" s="46" cm="1">
        <f t="array" ref="DP33">ROUND(IFERROR(INDEX(ArchiveResults!$F$5:$IX$116,ComparisonData!A33,ComparisonData!$DP$1),0),5)</f>
        <v>0</v>
      </c>
      <c r="DQ33" s="45" cm="1">
        <f t="array" ref="DQ33">IFERROR(INDEX(ArchiveResults!$F$5:$IX$116,ComparisonData!A33,ComparisonData!$DQ$1),0)</f>
        <v>0</v>
      </c>
      <c r="DR33" s="56">
        <v>28</v>
      </c>
      <c r="DS33" s="53" t="str">
        <f t="shared" si="19"/>
        <v>Glasgow City Archives</v>
      </c>
      <c r="DT33" s="59">
        <f t="shared" si="170"/>
        <v>0</v>
      </c>
      <c r="DU33" s="59">
        <f t="shared" si="171"/>
        <v>0</v>
      </c>
      <c r="DV33" s="59">
        <f t="shared" si="172"/>
        <v>0</v>
      </c>
      <c r="DW33" s="59">
        <f t="shared" si="173"/>
        <v>0</v>
      </c>
      <c r="DX33" s="59">
        <f t="shared" si="174"/>
        <v>0</v>
      </c>
      <c r="DY33" s="58">
        <f t="shared" si="175"/>
        <v>0</v>
      </c>
      <c r="DZ33" s="45">
        <f t="shared" si="176"/>
        <v>82</v>
      </c>
      <c r="EA33" s="54">
        <f t="shared" si="20"/>
        <v>2.8439999999999999</v>
      </c>
      <c r="EB33" s="45">
        <f t="shared" si="177"/>
        <v>1</v>
      </c>
      <c r="EC33" s="45">
        <f t="shared" si="178"/>
        <v>2</v>
      </c>
      <c r="ED33" s="46" cm="1">
        <f t="array" ref="ED33">ROUND(IFERROR(INDEX(ArchiveResults!$F$5:$IX$116,ComparisonData!A33,ComparisonData!$ED$1),0),5)</f>
        <v>0</v>
      </c>
      <c r="EE33" s="46" cm="1">
        <f t="array" ref="EE33">ROUND(IFERROR(INDEX(ArchiveResults!$F$5:$IX$116,ComparisonData!A33,ComparisonData!$EE$1),0),5)</f>
        <v>0</v>
      </c>
      <c r="EF33" s="46" cm="1">
        <f t="array" ref="EF33">ROUND(IFERROR(INDEX(ArchiveResults!$F$5:$IX$116,ComparisonData!A33,ComparisonData!$EF$1),0),5)</f>
        <v>0</v>
      </c>
      <c r="EG33" s="46" cm="1">
        <f t="array" ref="EG33">ROUND(IFERROR(INDEX(ArchiveResults!$F$5:$IX$116,ComparisonData!A33,ComparisonData!$EG$1),0),5)</f>
        <v>0</v>
      </c>
      <c r="EH33" s="45" cm="1">
        <f t="array" ref="EH33">IFERROR(INDEX(ArchiveResults!$F$5:$IX$116,ComparisonData!A33,ComparisonData!$EH$1),0)</f>
        <v>0</v>
      </c>
      <c r="EI33" s="56">
        <v>28</v>
      </c>
      <c r="EJ33" s="53" t="str">
        <f t="shared" si="21"/>
        <v>Glasgow City Archives</v>
      </c>
      <c r="EK33" s="59">
        <f t="shared" si="179"/>
        <v>0</v>
      </c>
      <c r="EL33" s="59">
        <f t="shared" si="180"/>
        <v>0</v>
      </c>
      <c r="EM33" s="59">
        <f t="shared" si="181"/>
        <v>0</v>
      </c>
      <c r="EN33" s="59">
        <f t="shared" si="182"/>
        <v>0</v>
      </c>
      <c r="EO33" s="59">
        <f t="shared" si="183"/>
        <v>0</v>
      </c>
      <c r="EP33" s="58">
        <f t="shared" si="184"/>
        <v>0</v>
      </c>
      <c r="EQ33" s="45">
        <f t="shared" si="185"/>
        <v>82</v>
      </c>
      <c r="ER33" s="54">
        <f t="shared" si="22"/>
        <v>2.8439999999999999</v>
      </c>
      <c r="ES33" s="45">
        <f t="shared" si="186"/>
        <v>1</v>
      </c>
      <c r="ET33" s="45">
        <f t="shared" si="187"/>
        <v>2</v>
      </c>
      <c r="EU33" s="46" cm="1">
        <f t="array" ref="EU33">ROUND(IFERROR(INDEX(ArchiveResults!$F$5:$IX$116,ComparisonData!A33,ComparisonData!$EU$1),0),5)</f>
        <v>0</v>
      </c>
      <c r="EV33" s="46" cm="1">
        <f t="array" ref="EV33">ROUND(IFERROR(INDEX(ArchiveResults!$F$5:$IX$116,ComparisonData!A33,ComparisonData!$EV$1),0),5)</f>
        <v>0</v>
      </c>
      <c r="EW33" s="46" cm="1">
        <f t="array" ref="EW33">ROUND(IFERROR(INDEX(ArchiveResults!$F$5:$IX$116,ComparisonData!A33,ComparisonData!$EW$1),0),5)</f>
        <v>0</v>
      </c>
      <c r="EX33" s="46" cm="1">
        <f t="array" ref="EX33">ROUND(IFERROR(INDEX(ArchiveResults!$F$5:$IX$116,ComparisonData!A33,ComparisonData!$EX$1),0),5)</f>
        <v>0</v>
      </c>
      <c r="EY33" s="45" cm="1">
        <f t="array" ref="EY33">IFERROR(INDEX(ArchiveResults!$F$5:$IX$116,ComparisonData!A33,ComparisonData!$EY$1),0)</f>
        <v>0</v>
      </c>
      <c r="EZ33" s="56">
        <v>28</v>
      </c>
      <c r="FA33" s="53" t="str">
        <f t="shared" si="23"/>
        <v>Glasgow City Archives</v>
      </c>
      <c r="FB33" s="59">
        <f t="shared" si="188"/>
        <v>0</v>
      </c>
      <c r="FC33" s="59">
        <f t="shared" si="189"/>
        <v>0</v>
      </c>
      <c r="FD33" s="59">
        <f t="shared" si="190"/>
        <v>0</v>
      </c>
      <c r="FE33" s="59">
        <f t="shared" si="191"/>
        <v>0</v>
      </c>
      <c r="FF33" s="59">
        <f t="shared" si="192"/>
        <v>0</v>
      </c>
      <c r="FG33" s="58">
        <f t="shared" si="193"/>
        <v>0</v>
      </c>
      <c r="FH33" s="45">
        <f t="shared" si="194"/>
        <v>82</v>
      </c>
      <c r="FI33" s="54">
        <f t="shared" si="24"/>
        <v>2.8439999999999999</v>
      </c>
      <c r="FJ33" s="45">
        <f t="shared" si="195"/>
        <v>1</v>
      </c>
      <c r="FK33" s="45">
        <f t="shared" si="196"/>
        <v>2</v>
      </c>
      <c r="FL33" s="46" cm="1">
        <f t="array" ref="FL33">ROUND(IFERROR(INDEX(ArchiveResults!$F$5:$IX$116,ComparisonData!A33,ComparisonData!$FL$1),0),5)</f>
        <v>0</v>
      </c>
      <c r="FM33" s="46" cm="1">
        <f t="array" ref="FM33">ROUND(IFERROR(INDEX(ArchiveResults!$F$5:$IX$116,ComparisonData!A33,ComparisonData!$FM$1),0),5)</f>
        <v>0</v>
      </c>
      <c r="FN33" s="46" cm="1">
        <f t="array" ref="FN33">ROUND(IFERROR(INDEX(ArchiveResults!$F$5:$IX$116,ComparisonData!A33,ComparisonData!$FN$1),0),5)</f>
        <v>0</v>
      </c>
      <c r="FO33" s="46" cm="1">
        <f t="array" ref="FO33">ROUND(IFERROR(INDEX(ArchiveResults!$F$5:$IX$116,ComparisonData!A33,ComparisonData!$FO$1),0),5)</f>
        <v>0</v>
      </c>
      <c r="FP33" s="45" cm="1">
        <f t="array" ref="FP33">IFERROR(INDEX(ArchiveResults!$F$5:$IX$116,ComparisonData!A33,ComparisonData!$FP$1),0)</f>
        <v>0</v>
      </c>
      <c r="FQ33" s="56">
        <v>28</v>
      </c>
      <c r="FR33" s="53" t="str">
        <f t="shared" si="25"/>
        <v>Glasgow City Archives</v>
      </c>
      <c r="FS33" s="59">
        <f t="shared" si="197"/>
        <v>0</v>
      </c>
      <c r="FT33" s="59">
        <f t="shared" si="198"/>
        <v>0</v>
      </c>
      <c r="FU33" s="59">
        <f t="shared" si="199"/>
        <v>0</v>
      </c>
      <c r="FV33" s="59">
        <f t="shared" si="200"/>
        <v>0</v>
      </c>
      <c r="FW33" s="59">
        <f t="shared" si="201"/>
        <v>0</v>
      </c>
      <c r="FX33" s="58">
        <f t="shared" si="202"/>
        <v>0</v>
      </c>
      <c r="FY33" s="45">
        <f t="shared" si="203"/>
        <v>82</v>
      </c>
      <c r="FZ33" s="45">
        <f t="shared" si="26"/>
        <v>2.8439999999999999</v>
      </c>
      <c r="GA33" s="45">
        <f t="shared" si="204"/>
        <v>1</v>
      </c>
      <c r="GB33" s="45">
        <f t="shared" si="205"/>
        <v>2</v>
      </c>
      <c r="GC33" s="46" cm="1">
        <f t="array" ref="GC33">ROUND(IFERROR(INDEX(ArchiveResults!$F$5:$IX$116,ComparisonData!A33,ComparisonData!$GC$1),0),5)</f>
        <v>0</v>
      </c>
      <c r="GD33" s="46" cm="1">
        <f t="array" ref="GD33">ROUND(IFERROR(INDEX(ArchiveResults!$F$5:$IX$116,ComparisonData!A33,ComparisonData!$GD$1),0),5)</f>
        <v>0</v>
      </c>
      <c r="GE33" s="46" cm="1">
        <f t="array" ref="GE33">ROUND(IFERROR(INDEX(ArchiveResults!$F$5:$IX$116,ComparisonData!A33,ComparisonData!$GE$1),0),5)</f>
        <v>0</v>
      </c>
      <c r="GF33" s="46" cm="1">
        <f t="array" ref="GF33">ROUND(IFERROR(INDEX(ArchiveResults!$F$5:$IX$116,ComparisonData!A33,ComparisonData!$GF$1),0),5)</f>
        <v>0</v>
      </c>
      <c r="GG33" s="45" cm="1">
        <f t="array" ref="GG33">IFERROR(INDEX(ArchiveResults!$F$5:$IX$116,ComparisonData!A33,ComparisonData!$GG$1),0)</f>
        <v>0</v>
      </c>
      <c r="GH33" s="56">
        <v>28</v>
      </c>
      <c r="GI33" s="53" t="str">
        <f t="shared" si="27"/>
        <v>Glasgow City Archives</v>
      </c>
      <c r="GJ33" s="59">
        <f t="shared" si="206"/>
        <v>0</v>
      </c>
      <c r="GK33" s="59">
        <f t="shared" si="207"/>
        <v>0</v>
      </c>
      <c r="GL33" s="59">
        <f t="shared" si="208"/>
        <v>0</v>
      </c>
      <c r="GM33" s="59">
        <f t="shared" si="209"/>
        <v>0</v>
      </c>
      <c r="GN33" s="59">
        <f t="shared" si="210"/>
        <v>0</v>
      </c>
      <c r="GO33" s="58">
        <f t="shared" si="211"/>
        <v>0</v>
      </c>
      <c r="GP33" s="45">
        <f t="shared" si="212"/>
        <v>82</v>
      </c>
      <c r="GQ33" s="45">
        <f t="shared" si="28"/>
        <v>2.8439999999999999</v>
      </c>
      <c r="GR33" s="45">
        <f t="shared" si="213"/>
        <v>1</v>
      </c>
      <c r="GS33" s="45">
        <f t="shared" si="214"/>
        <v>2</v>
      </c>
      <c r="GT33" s="46" cm="1">
        <f t="array" ref="GT33">ROUND(IFERROR(INDEX(ArchiveResults!$F$5:$IX$116,ComparisonData!A33,ComparisonData!$GT$1),0),5)</f>
        <v>0</v>
      </c>
      <c r="GU33" s="46" cm="1">
        <f t="array" ref="GU33">ROUND(IFERROR(INDEX(ArchiveResults!$F$5:$IX$116,ComparisonData!A33,ComparisonData!$GU$1),0),5)</f>
        <v>0</v>
      </c>
      <c r="GV33" s="46" cm="1">
        <f t="array" ref="GV33">ROUND(IFERROR(INDEX(ArchiveResults!$F$5:$IX$116,ComparisonData!A33,ComparisonData!$GV$1),0),5)</f>
        <v>0</v>
      </c>
      <c r="GW33" s="46" cm="1">
        <f t="array" ref="GW33">ROUND(IFERROR(INDEX(ArchiveResults!$F$5:$IX$116,ComparisonData!A33,ComparisonData!$GW$1),0),5)</f>
        <v>0</v>
      </c>
      <c r="GX33" s="45" cm="1">
        <f t="array" ref="GX33">IFERROR(INDEX(ArchiveResults!$F$5:$IX$116,ComparisonData!A33,ComparisonData!$GX$1),0)</f>
        <v>0</v>
      </c>
      <c r="GY33" s="56">
        <v>28</v>
      </c>
      <c r="GZ33" s="53" t="str">
        <f t="shared" si="29"/>
        <v>Glasgow City Archives</v>
      </c>
      <c r="HA33" s="59">
        <f t="shared" si="215"/>
        <v>0</v>
      </c>
      <c r="HB33" s="59">
        <f t="shared" si="216"/>
        <v>0</v>
      </c>
      <c r="HC33" s="59">
        <f t="shared" si="217"/>
        <v>0</v>
      </c>
      <c r="HD33" s="59">
        <f t="shared" si="218"/>
        <v>0</v>
      </c>
      <c r="HE33" s="59">
        <f t="shared" si="219"/>
        <v>0</v>
      </c>
      <c r="HF33" s="58">
        <f t="shared" si="220"/>
        <v>0</v>
      </c>
      <c r="HG33" s="45">
        <f t="shared" si="221"/>
        <v>82</v>
      </c>
      <c r="HH33" s="45">
        <f t="shared" si="30"/>
        <v>2.8439999999999999</v>
      </c>
      <c r="HI33" s="45">
        <f t="shared" si="222"/>
        <v>1</v>
      </c>
      <c r="HJ33" s="45">
        <f t="shared" si="223"/>
        <v>2</v>
      </c>
      <c r="HK33" s="46" cm="1">
        <f t="array" ref="HK33">ROUND(IFERROR(INDEX(ArchiveResults!$F$5:$IX$116,ComparisonData!A33,ComparisonData!$HK$1),0),5)</f>
        <v>0</v>
      </c>
      <c r="HL33" s="46" cm="1">
        <f t="array" ref="HL33">ROUND(IFERROR(INDEX(ArchiveResults!$F$5:$IX$116,ComparisonData!A33,ComparisonData!$HL$1),0),5)</f>
        <v>0</v>
      </c>
      <c r="HM33" s="46" cm="1">
        <f t="array" ref="HM33">ROUND(IFERROR(INDEX(ArchiveResults!$F$5:$IX$116,ComparisonData!A33,ComparisonData!$HM$1),0),5)</f>
        <v>0</v>
      </c>
      <c r="HN33" s="46" cm="1">
        <f t="array" ref="HN33">ROUND(IFERROR(INDEX(ArchiveResults!$F$5:$IX$116,ComparisonData!A33,ComparisonData!$HN$1),0),5)</f>
        <v>0</v>
      </c>
      <c r="HO33" s="45" cm="1">
        <f t="array" ref="HO33">IFERROR(INDEX(ArchiveResults!$F$5:$IX$116,ComparisonData!A33,ComparisonData!$HO$1),0)</f>
        <v>0</v>
      </c>
      <c r="HP33" s="56">
        <v>28</v>
      </c>
      <c r="HQ33" s="53" t="str">
        <f t="shared" si="31"/>
        <v>Glasgow City Archives</v>
      </c>
      <c r="HR33" s="59">
        <f t="shared" si="32"/>
        <v>0</v>
      </c>
      <c r="HS33" s="59">
        <f t="shared" si="33"/>
        <v>0</v>
      </c>
      <c r="HT33" s="59">
        <f t="shared" si="34"/>
        <v>0</v>
      </c>
      <c r="HU33" s="59">
        <f t="shared" si="35"/>
        <v>0</v>
      </c>
      <c r="HV33" s="59">
        <f t="shared" si="36"/>
        <v>0</v>
      </c>
      <c r="HW33" s="58">
        <f t="shared" si="224"/>
        <v>0</v>
      </c>
      <c r="HX33" s="45">
        <f t="shared" si="225"/>
        <v>82</v>
      </c>
      <c r="HY33" s="45">
        <f t="shared" si="37"/>
        <v>2.8439999999999999</v>
      </c>
      <c r="HZ33" s="45">
        <f t="shared" si="226"/>
        <v>1</v>
      </c>
      <c r="IA33" s="45">
        <f t="shared" si="227"/>
        <v>2</v>
      </c>
      <c r="IB33" s="45">
        <f t="shared" si="228"/>
        <v>0</v>
      </c>
      <c r="IC33" s="46" cm="1">
        <f t="array" ref="IC33">ROUND(IFERROR(INDEX(ArchiveResults!$F$5:$IX$116,ComparisonData!A33,ComparisonData!$IC$1),0),5)</f>
        <v>0</v>
      </c>
      <c r="ID33" s="46" cm="1">
        <f t="array" ref="ID33">ROUND(IFERROR(INDEX(ArchiveResults!$F$5:$IX$116,ComparisonData!A33,ComparisonData!$ID$1),0),5)</f>
        <v>0</v>
      </c>
      <c r="IE33" s="46" cm="1">
        <f t="array" ref="IE33">ROUND(IFERROR(INDEX(ArchiveResults!$F$5:$IX$116,ComparisonData!A33,ComparisonData!$IE$1),0),5)</f>
        <v>0</v>
      </c>
      <c r="IF33" s="46" cm="1">
        <f t="array" ref="IF33">ROUND(IFERROR(INDEX(ArchiveResults!$F$5:$IX$116,ComparisonData!A33,ComparisonData!$IF$1),0),5)</f>
        <v>0</v>
      </c>
      <c r="IG33" s="45" cm="1">
        <f t="array" ref="IG33">IFERROR(INDEX(ArchiveResults!$F$5:$IX$116,ComparisonData!A33,ComparisonData!$IG$1),0)</f>
        <v>0</v>
      </c>
      <c r="IH33" s="56">
        <v>28</v>
      </c>
      <c r="II33" s="53" t="str">
        <f t="shared" si="38"/>
        <v>Glasgow City Archives</v>
      </c>
      <c r="IJ33" s="59">
        <f t="shared" si="229"/>
        <v>0</v>
      </c>
      <c r="IK33" s="59">
        <f t="shared" si="230"/>
        <v>0</v>
      </c>
      <c r="IL33" s="59">
        <f t="shared" si="231"/>
        <v>0</v>
      </c>
      <c r="IM33" s="59">
        <f t="shared" si="232"/>
        <v>0</v>
      </c>
      <c r="IN33" s="59">
        <f t="shared" si="233"/>
        <v>0</v>
      </c>
      <c r="IO33" s="58">
        <f t="shared" si="234"/>
        <v>0</v>
      </c>
      <c r="IP33" s="45">
        <f t="shared" si="235"/>
        <v>82</v>
      </c>
      <c r="IQ33" s="45">
        <f t="shared" si="39"/>
        <v>2.8439999999999999</v>
      </c>
      <c r="IR33" s="45">
        <f t="shared" si="236"/>
        <v>1</v>
      </c>
      <c r="IS33" s="45">
        <f t="shared" si="237"/>
        <v>2</v>
      </c>
      <c r="IT33" s="46">
        <f t="shared" si="238"/>
        <v>0</v>
      </c>
      <c r="IU33" s="46" cm="1">
        <f t="array" ref="IU33">ROUND(IFERROR(INDEX(ArchiveResults!$F$5:$IX$116,ComparisonData!A33,ComparisonData!$IU$1),0),5)</f>
        <v>0</v>
      </c>
      <c r="IV33" s="46" cm="1">
        <f t="array" ref="IV33">ROUND(IFERROR(INDEX(ArchiveResults!$F$5:$IX$116,ComparisonData!A33,ComparisonData!$IV$1),0),5)</f>
        <v>0</v>
      </c>
      <c r="IW33" s="46" cm="1">
        <f t="array" ref="IW33">ROUND(IFERROR(INDEX(ArchiveResults!$F$5:$IX$116,ComparisonData!A33,ComparisonData!$IW$1),0),5)</f>
        <v>0</v>
      </c>
      <c r="IX33" s="46" cm="1">
        <f t="array" ref="IX33">ROUND(IFERROR(INDEX(ArchiveResults!$F$5:$IX$116,ComparisonData!A33,ComparisonData!$IX$1),0),5)</f>
        <v>0</v>
      </c>
      <c r="IY33" s="45" cm="1">
        <f t="array" ref="IY33">IFERROR(INDEX(ArchiveResults!$F$5:$IX$116,ComparisonData!A33,ComparisonData!$IY$1),0)</f>
        <v>0</v>
      </c>
      <c r="IZ33" s="56">
        <v>28</v>
      </c>
      <c r="JA33" s="53" t="str">
        <f t="shared" si="40"/>
        <v>Glasgow City Archives</v>
      </c>
      <c r="JB33" s="59">
        <f t="shared" si="239"/>
        <v>0</v>
      </c>
      <c r="JC33" s="59">
        <f t="shared" si="240"/>
        <v>0</v>
      </c>
      <c r="JD33" s="59">
        <f t="shared" si="241"/>
        <v>0</v>
      </c>
      <c r="JE33" s="59">
        <f t="shared" si="242"/>
        <v>0</v>
      </c>
      <c r="JF33" s="59">
        <f t="shared" si="243"/>
        <v>0</v>
      </c>
      <c r="JG33" s="58">
        <f t="shared" si="244"/>
        <v>0</v>
      </c>
      <c r="JH33" s="45">
        <f t="shared" si="245"/>
        <v>82</v>
      </c>
      <c r="JI33" s="45">
        <f t="shared" si="41"/>
        <v>2.8439999999999999</v>
      </c>
      <c r="JJ33" s="45">
        <f t="shared" si="246"/>
        <v>1</v>
      </c>
      <c r="JK33" s="45">
        <f t="shared" si="247"/>
        <v>2</v>
      </c>
      <c r="JL33" s="45">
        <f t="shared" si="248"/>
        <v>0</v>
      </c>
      <c r="JM33" s="46" cm="1">
        <f t="array" ref="JM33">ROUND(IFERROR(INDEX(ArchiveResults!$F$5:$IX$116,ComparisonData!A33,ComparisonData!$JM$1),0),5)</f>
        <v>0</v>
      </c>
      <c r="JN33" s="46" cm="1">
        <f t="array" ref="JN33">ROUND(IFERROR(INDEX(ArchiveResults!$F$5:$IX$116,ComparisonData!A33,ComparisonData!$JN$1),0),5)</f>
        <v>0</v>
      </c>
      <c r="JO33" s="46" cm="1">
        <f t="array" ref="JO33">ROUND(IFERROR(INDEX(ArchiveResults!$F$5:$IX$116,ComparisonData!A33,ComparisonData!$JO$1),0),5)</f>
        <v>0</v>
      </c>
      <c r="JP33" s="46" cm="1">
        <f t="array" ref="JP33">ROUND(IFERROR(INDEX(ArchiveResults!$F$5:$IX$116,ComparisonData!A33,ComparisonData!$JP$1),0),5)</f>
        <v>0</v>
      </c>
      <c r="JQ33" s="45" cm="1">
        <f t="array" ref="JQ33">IFERROR(INDEX(ArchiveResults!$F$5:$IX$116,ComparisonData!A33,ComparisonData!$JQ$1),0)</f>
        <v>0</v>
      </c>
      <c r="JR33" s="56">
        <v>28</v>
      </c>
      <c r="JS33" s="53" t="str">
        <f t="shared" si="42"/>
        <v>Glasgow City Archives</v>
      </c>
      <c r="JT33" s="59">
        <f t="shared" si="249"/>
        <v>0</v>
      </c>
      <c r="JU33" s="59">
        <f t="shared" si="250"/>
        <v>0</v>
      </c>
      <c r="JV33" s="59">
        <f t="shared" si="251"/>
        <v>0</v>
      </c>
      <c r="JW33" s="59">
        <f t="shared" si="252"/>
        <v>0</v>
      </c>
      <c r="JX33" s="59">
        <f t="shared" si="253"/>
        <v>0</v>
      </c>
      <c r="JY33" s="58">
        <f t="shared" si="254"/>
        <v>0</v>
      </c>
      <c r="JZ33" s="45">
        <f t="shared" si="255"/>
        <v>82</v>
      </c>
      <c r="KA33" s="45">
        <f t="shared" si="43"/>
        <v>2.8439999999999999</v>
      </c>
      <c r="KB33" s="45">
        <f t="shared" si="256"/>
        <v>1</v>
      </c>
      <c r="KC33" s="45">
        <f t="shared" si="257"/>
        <v>2</v>
      </c>
      <c r="KD33" s="45">
        <f t="shared" si="258"/>
        <v>0</v>
      </c>
      <c r="KE33" s="46" cm="1">
        <f t="array" ref="KE33">ROUND(IFERROR(INDEX(ArchiveResults!$F$5:$IX$116,ComparisonData!A33,ComparisonData!$KE$1),0),5)</f>
        <v>0</v>
      </c>
      <c r="KF33" s="46" cm="1">
        <f t="array" ref="KF33">ROUND(IFERROR(INDEX(ArchiveResults!$F$5:$IX$116,ComparisonData!A33,ComparisonData!$KF$1),0),5)</f>
        <v>0</v>
      </c>
      <c r="KG33" s="46" cm="1">
        <f t="array" ref="KG33">ROUND(IFERROR(INDEX(ArchiveResults!$F$5:$IX$116,ComparisonData!A33,ComparisonData!$KG$1),0),5)</f>
        <v>0</v>
      </c>
      <c r="KH33" s="46" cm="1">
        <f t="array" ref="KH33">ROUND(IFERROR(INDEX(ArchiveResults!$F$5:$IX$116,ComparisonData!A33,ComparisonData!$KH$1),0),5)</f>
        <v>0</v>
      </c>
      <c r="KI33" s="45" cm="1">
        <f t="array" ref="KI33">IFERROR(INDEX(ArchiveResults!$F$5:$IX$116,ComparisonData!A33,ComparisonData!$KI$1),0)</f>
        <v>0</v>
      </c>
      <c r="KJ33" s="56">
        <v>28</v>
      </c>
      <c r="KK33" s="53" t="str">
        <f t="shared" si="44"/>
        <v>Glasgow City Archives</v>
      </c>
      <c r="KL33" s="59">
        <f t="shared" si="259"/>
        <v>0</v>
      </c>
      <c r="KM33" s="59">
        <f t="shared" si="260"/>
        <v>0</v>
      </c>
      <c r="KN33" s="59">
        <f t="shared" si="261"/>
        <v>0</v>
      </c>
      <c r="KO33" s="59">
        <f t="shared" si="262"/>
        <v>0</v>
      </c>
      <c r="KP33" s="59">
        <f t="shared" si="263"/>
        <v>0</v>
      </c>
      <c r="KQ33" s="58">
        <f t="shared" si="264"/>
        <v>0</v>
      </c>
      <c r="KR33" s="45">
        <f t="shared" si="265"/>
        <v>82</v>
      </c>
      <c r="KS33" s="45">
        <f t="shared" si="45"/>
        <v>2.8439999999999999</v>
      </c>
      <c r="KT33" s="45">
        <f t="shared" si="266"/>
        <v>1</v>
      </c>
      <c r="KU33" s="45">
        <f t="shared" si="267"/>
        <v>2</v>
      </c>
      <c r="KV33" s="45">
        <f t="shared" si="268"/>
        <v>0</v>
      </c>
      <c r="KW33" s="46" cm="1">
        <f t="array" ref="KW33">ROUND(IFERROR(INDEX(ArchiveResults!$F$5:$IX$116,ComparisonData!A33,ComparisonData!$KW$1),0),5)</f>
        <v>0</v>
      </c>
      <c r="KX33" s="46" cm="1">
        <f t="array" ref="KX33">ROUND(IFERROR(INDEX(ArchiveResults!$F$5:$IX$116,ComparisonData!A33,ComparisonData!$KX$1),0),5)</f>
        <v>0</v>
      </c>
      <c r="KY33" s="46" cm="1">
        <f t="array" ref="KY33">ROUND(IFERROR(INDEX(ArchiveResults!$F$5:$IX$116,ComparisonData!A33,ComparisonData!$KY$1),0),5)</f>
        <v>0</v>
      </c>
      <c r="KZ33" s="46" cm="1">
        <f t="array" ref="KZ33">ROUND(IFERROR(INDEX(ArchiveResults!$F$5:$IX$116,ComparisonData!A33,ComparisonData!$KZ$1),0),5)</f>
        <v>0</v>
      </c>
      <c r="LA33" s="45" cm="1">
        <f t="array" ref="LA33">IFERROR(INDEX(ArchiveResults!$F$5:$IX$116,ComparisonData!A33,ComparisonData!$LA$1),0)</f>
        <v>0</v>
      </c>
      <c r="LB33" s="56">
        <v>28</v>
      </c>
      <c r="LC33" s="53" t="str">
        <f t="shared" si="46"/>
        <v>Glasgow City Archives</v>
      </c>
      <c r="LD33" s="59">
        <f t="shared" si="269"/>
        <v>0</v>
      </c>
      <c r="LE33" s="59">
        <f t="shared" si="270"/>
        <v>0</v>
      </c>
      <c r="LF33" s="59">
        <f t="shared" si="271"/>
        <v>0</v>
      </c>
      <c r="LG33" s="59">
        <f t="shared" si="272"/>
        <v>0</v>
      </c>
      <c r="LH33" s="59">
        <f t="shared" si="273"/>
        <v>0</v>
      </c>
      <c r="LI33" s="58">
        <f t="shared" si="274"/>
        <v>0</v>
      </c>
      <c r="LJ33" s="45">
        <f t="shared" si="275"/>
        <v>82</v>
      </c>
      <c r="LK33" s="45">
        <f t="shared" si="47"/>
        <v>2.8439999999999999</v>
      </c>
      <c r="LL33" s="45">
        <f t="shared" si="276"/>
        <v>1</v>
      </c>
      <c r="LM33" s="45">
        <f t="shared" si="277"/>
        <v>2</v>
      </c>
      <c r="LN33" s="45">
        <f t="shared" si="278"/>
        <v>0</v>
      </c>
      <c r="LO33" s="46" cm="1">
        <f t="array" ref="LO33">ROUND(IFERROR(INDEX(ArchiveResults!$F$5:$IX$116,ComparisonData!A33,ComparisonData!$LO$1),0),5)</f>
        <v>0</v>
      </c>
      <c r="LP33" s="46" cm="1">
        <f t="array" ref="LP33">ROUND(IFERROR(INDEX(ArchiveResults!$F$5:$IX$116,ComparisonData!A33,ComparisonData!$LP$1),0),5)</f>
        <v>0</v>
      </c>
      <c r="LQ33" s="46" cm="1">
        <f t="array" ref="LQ33">ROUND(IFERROR(INDEX(ArchiveResults!$F$5:$IX$116,ComparisonData!A33,ComparisonData!$LQ$1),0),5)</f>
        <v>0</v>
      </c>
      <c r="LR33" s="46" cm="1">
        <f t="array" ref="LR33">ROUND(IFERROR(INDEX(ArchiveResults!$F$5:$IX$116,ComparisonData!A33,ComparisonData!$LR$1),0),5)</f>
        <v>0</v>
      </c>
      <c r="LS33" s="45" cm="1">
        <f t="array" ref="LS33">IFERROR(INDEX(ArchiveResults!$F$5:$IX$116,ComparisonData!A33,ComparisonData!$LS$1),0)</f>
        <v>0</v>
      </c>
      <c r="LT33" s="56">
        <v>28</v>
      </c>
      <c r="LU33" s="53" t="str">
        <f t="shared" si="48"/>
        <v>Glasgow City Archives</v>
      </c>
      <c r="LV33" s="59">
        <f t="shared" si="279"/>
        <v>0</v>
      </c>
      <c r="LW33" s="59">
        <f t="shared" si="280"/>
        <v>0</v>
      </c>
      <c r="LX33" s="59">
        <f t="shared" si="281"/>
        <v>0</v>
      </c>
      <c r="LY33" s="59">
        <f t="shared" si="282"/>
        <v>0</v>
      </c>
      <c r="LZ33" s="59">
        <f t="shared" si="283"/>
        <v>0</v>
      </c>
      <c r="MA33" s="58">
        <f t="shared" si="284"/>
        <v>0</v>
      </c>
      <c r="MB33" s="45">
        <f t="shared" si="285"/>
        <v>82</v>
      </c>
      <c r="MC33" s="45">
        <f t="shared" si="49"/>
        <v>2.8439999999999999</v>
      </c>
      <c r="MD33" s="45">
        <f t="shared" si="286"/>
        <v>1</v>
      </c>
      <c r="ME33" s="45">
        <f t="shared" si="287"/>
        <v>2</v>
      </c>
      <c r="MF33" s="45">
        <f t="shared" si="288"/>
        <v>0</v>
      </c>
      <c r="MG33" s="46" cm="1">
        <f t="array" ref="MG33">ROUND(IFERROR(INDEX(ArchiveResults!$F$5:$IX$116,ComparisonData!A33,ComparisonData!$MG$1),0),5)</f>
        <v>0</v>
      </c>
      <c r="MH33" s="46" cm="1">
        <f t="array" ref="MH33">ROUND(IFERROR(INDEX(ArchiveResults!$F$5:$IX$116,ComparisonData!A33,ComparisonData!$MH$1),0),5)</f>
        <v>0</v>
      </c>
      <c r="MI33" s="46" cm="1">
        <f t="array" ref="MI33">ROUND(IFERROR(INDEX(ArchiveResults!$F$5:$IX$116,ComparisonData!A33,ComparisonData!$MI$1),0),5)</f>
        <v>0</v>
      </c>
      <c r="MJ33" s="46" cm="1">
        <f t="array" ref="MJ33">ROUND(IFERROR(INDEX(ArchiveResults!$F$5:$IX$116,ComparisonData!A33,ComparisonData!$MJ$1),0),5)</f>
        <v>0</v>
      </c>
      <c r="MK33" s="45" cm="1">
        <f t="array" ref="MK33">IFERROR(INDEX(ArchiveResults!$F$5:$IX$116,ComparisonData!A33,ComparisonData!$MK$1),0)</f>
        <v>0</v>
      </c>
      <c r="ML33" s="56">
        <v>28</v>
      </c>
      <c r="MM33" s="53" t="str">
        <f t="shared" si="50"/>
        <v>Glasgow City Archives</v>
      </c>
      <c r="MN33" s="59">
        <f t="shared" si="289"/>
        <v>0</v>
      </c>
      <c r="MO33" s="59">
        <f t="shared" si="290"/>
        <v>0</v>
      </c>
      <c r="MP33" s="59">
        <f t="shared" si="291"/>
        <v>0</v>
      </c>
      <c r="MQ33" s="59">
        <f t="shared" si="292"/>
        <v>0</v>
      </c>
      <c r="MR33" s="59">
        <f t="shared" si="293"/>
        <v>0</v>
      </c>
      <c r="MS33" s="58">
        <f t="shared" si="294"/>
        <v>0</v>
      </c>
      <c r="MT33" s="45">
        <f t="shared" si="295"/>
        <v>82</v>
      </c>
      <c r="MU33" s="45">
        <f t="shared" si="51"/>
        <v>2.8439999999999999</v>
      </c>
      <c r="MV33" s="45">
        <f t="shared" si="296"/>
        <v>1</v>
      </c>
      <c r="MW33" s="45">
        <f t="shared" si="297"/>
        <v>2</v>
      </c>
      <c r="MX33" s="45">
        <f t="shared" si="298"/>
        <v>0</v>
      </c>
      <c r="MY33" s="46" cm="1">
        <f t="array" ref="MY33">ROUND(IFERROR(INDEX(ArchiveResults!$F$5:$IX$116,ComparisonData!A33,ComparisonData!$MY$1),0),5)</f>
        <v>0</v>
      </c>
      <c r="MZ33" s="46" cm="1">
        <f t="array" ref="MZ33">ROUND(IFERROR(INDEX(ArchiveResults!$F$5:$IX$116,ComparisonData!A33,ComparisonData!$MZ$1),0),5)</f>
        <v>0</v>
      </c>
      <c r="NA33" s="46" cm="1">
        <f t="array" ref="NA33">ROUND(IFERROR(INDEX(ArchiveResults!$F$5:$IX$116,ComparisonData!A33,ComparisonData!$NA$1),0),5)</f>
        <v>0</v>
      </c>
      <c r="NB33" s="46" cm="1">
        <f t="array" ref="NB33">ROUND(IFERROR(INDEX(ArchiveResults!$F$5:$IX$116,ComparisonData!A33,ComparisonData!$NB$1),0),5)</f>
        <v>0</v>
      </c>
      <c r="NC33" s="45" cm="1">
        <f t="array" ref="NC33">IFERROR(INDEX(ArchiveResults!$F$5:$IX$116,ComparisonData!A33,ComparisonData!$NC$1),0)</f>
        <v>0</v>
      </c>
      <c r="ND33" s="56">
        <v>28</v>
      </c>
      <c r="NE33" s="53" t="str">
        <f t="shared" si="52"/>
        <v>Glasgow City Archives</v>
      </c>
      <c r="NF33" s="59">
        <f t="shared" si="299"/>
        <v>0</v>
      </c>
      <c r="NG33" s="59">
        <f t="shared" si="300"/>
        <v>0</v>
      </c>
      <c r="NH33" s="59">
        <f t="shared" si="301"/>
        <v>0</v>
      </c>
      <c r="NI33" s="59">
        <f t="shared" si="302"/>
        <v>0</v>
      </c>
      <c r="NJ33" s="59">
        <f t="shared" si="303"/>
        <v>0</v>
      </c>
      <c r="NK33" s="58">
        <f t="shared" si="304"/>
        <v>0</v>
      </c>
      <c r="NL33" s="45">
        <f t="shared" si="305"/>
        <v>82</v>
      </c>
      <c r="NM33" s="45">
        <f t="shared" si="53"/>
        <v>2.8439999999999999</v>
      </c>
      <c r="NN33" s="45">
        <f t="shared" si="306"/>
        <v>1</v>
      </c>
      <c r="NO33" s="45">
        <f t="shared" si="307"/>
        <v>2</v>
      </c>
      <c r="NP33" s="46" cm="1">
        <f t="array" ref="NP33">ROUND(IFERROR(INDEX(ArchiveResults!$F$5:$IX$116,ComparisonData!A33,ComparisonData!$NP$1),0),5)</f>
        <v>0</v>
      </c>
      <c r="NQ33" s="46" cm="1">
        <f t="array" ref="NQ33">ROUND(IFERROR(INDEX(ArchiveResults!$F$5:$IX$116,ComparisonData!A33,ComparisonData!$NQ$1),0),5)</f>
        <v>0</v>
      </c>
      <c r="NR33" s="46" cm="1">
        <f t="array" ref="NR33">ROUND(IFERROR(INDEX(ArchiveResults!$F$5:$IX$116,ComparisonData!A33,ComparisonData!$NR$1),0),5)</f>
        <v>0</v>
      </c>
      <c r="NS33" s="46" cm="1">
        <f t="array" ref="NS33">ROUND(IFERROR(INDEX(ArchiveResults!$F$5:$IX$116,ComparisonData!A33,ComparisonData!$NS$1),0),5)</f>
        <v>0</v>
      </c>
      <c r="NT33" s="45" cm="1">
        <f t="array" ref="NT33">IFERROR(INDEX(ArchiveResults!$F$5:$IX$116,ComparisonData!A33,ComparisonData!$NT$1),0)</f>
        <v>0</v>
      </c>
      <c r="NU33" s="56">
        <v>28</v>
      </c>
      <c r="NV33" s="53" t="str">
        <f t="shared" si="54"/>
        <v>Glasgow City Archives</v>
      </c>
      <c r="NW33" s="59">
        <f t="shared" si="308"/>
        <v>0</v>
      </c>
      <c r="NX33" s="59">
        <f t="shared" si="309"/>
        <v>0</v>
      </c>
      <c r="NY33" s="59">
        <f t="shared" si="310"/>
        <v>0</v>
      </c>
      <c r="NZ33" s="59">
        <f t="shared" si="311"/>
        <v>0</v>
      </c>
      <c r="OA33" s="59">
        <f t="shared" si="312"/>
        <v>0</v>
      </c>
      <c r="OB33" s="58">
        <f t="shared" si="313"/>
        <v>0</v>
      </c>
      <c r="OC33" s="45">
        <f t="shared" si="314"/>
        <v>82</v>
      </c>
      <c r="OD33" s="45">
        <f t="shared" si="55"/>
        <v>2.8439999999999999</v>
      </c>
      <c r="OE33" s="45">
        <f t="shared" si="315"/>
        <v>1</v>
      </c>
      <c r="OF33" s="45">
        <f t="shared" si="316"/>
        <v>2</v>
      </c>
      <c r="OG33" s="46">
        <f t="shared" si="317"/>
        <v>0</v>
      </c>
      <c r="OH33" s="46" cm="1">
        <f t="array" ref="OH33">ROUND(IFERROR(INDEX(ArchiveResults!$F$5:$IX$116,ComparisonData!A33,ComparisonData!$OH$1),0),5)</f>
        <v>0</v>
      </c>
      <c r="OI33" s="46" cm="1">
        <f t="array" ref="OI33">ROUND(IFERROR(INDEX(ArchiveResults!$F$5:$IX$116,ComparisonData!A33,ComparisonData!$OI$1),0),5)</f>
        <v>0</v>
      </c>
      <c r="OJ33" s="46" cm="1">
        <f t="array" ref="OJ33">ROUND(IFERROR(INDEX(ArchiveResults!$F$5:$IX$116,ComparisonData!A33,ComparisonData!$OJ$1),0),5)</f>
        <v>0</v>
      </c>
      <c r="OK33" s="46" cm="1">
        <f t="array" ref="OK33">ROUND(IFERROR(INDEX(ArchiveResults!$F$5:$IX$116,ComparisonData!A33,ComparisonData!$OK$1),0),5)</f>
        <v>0</v>
      </c>
      <c r="OL33" s="45" cm="1">
        <f t="array" ref="OL33">IFERROR(INDEX(ArchiveResults!$F$5:$IX$116,ComparisonData!A33,ComparisonData!$OL$1),0)</f>
        <v>0</v>
      </c>
      <c r="OM33" s="56">
        <v>28</v>
      </c>
      <c r="ON33" s="53" t="str">
        <f t="shared" si="56"/>
        <v>Glasgow City Archives</v>
      </c>
      <c r="OO33" s="59">
        <f t="shared" si="318"/>
        <v>0</v>
      </c>
      <c r="OP33" s="59">
        <f t="shared" si="319"/>
        <v>0</v>
      </c>
      <c r="OQ33" s="59">
        <f t="shared" si="320"/>
        <v>0</v>
      </c>
      <c r="OR33" s="59">
        <f t="shared" si="321"/>
        <v>0</v>
      </c>
      <c r="OS33" s="59">
        <f t="shared" si="322"/>
        <v>0</v>
      </c>
      <c r="OT33" s="58">
        <f t="shared" si="323"/>
        <v>0</v>
      </c>
      <c r="OU33" s="45">
        <f t="shared" si="324"/>
        <v>82</v>
      </c>
      <c r="OV33" s="45">
        <f t="shared" si="57"/>
        <v>2.8439999999999999</v>
      </c>
      <c r="OW33" s="45">
        <f t="shared" si="325"/>
        <v>1</v>
      </c>
      <c r="OX33" s="45">
        <f t="shared" si="326"/>
        <v>2</v>
      </c>
      <c r="OY33" s="45">
        <f t="shared" si="327"/>
        <v>0</v>
      </c>
      <c r="OZ33" s="46" cm="1">
        <f t="array" ref="OZ33">ROUND(IFERROR(INDEX(ArchiveResults!$F$5:$IX$116,ComparisonData!A33,ComparisonData!$OZ$1),0),5)</f>
        <v>0</v>
      </c>
      <c r="PA33" s="46" cm="1">
        <f t="array" ref="PA33">ROUND(IFERROR(INDEX(ArchiveResults!$F$5:$IX$116,ComparisonData!A33,ComparisonData!$PA$1),0),5)</f>
        <v>0</v>
      </c>
      <c r="PB33" s="46" cm="1">
        <f t="array" ref="PB33">ROUND(IFERROR(INDEX(ArchiveResults!$F$5:$IX$116,ComparisonData!A33,ComparisonData!$PB$1),0),5)</f>
        <v>0</v>
      </c>
      <c r="PC33" s="46" cm="1">
        <f t="array" ref="PC33">ROUND(IFERROR(INDEX(ArchiveResults!$F$5:$IX$116,ComparisonData!A33,ComparisonData!$PC$1),0),5)</f>
        <v>0</v>
      </c>
      <c r="PD33" s="45" cm="1">
        <f t="array" ref="PD33">IFERROR(INDEX(ArchiveResults!$F$5:$IX$116,ComparisonData!A33,ComparisonData!$PD$1),0)</f>
        <v>0</v>
      </c>
      <c r="PE33" s="56">
        <v>28</v>
      </c>
      <c r="PF33" s="53" t="str">
        <f t="shared" si="58"/>
        <v>Glasgow City Archives</v>
      </c>
      <c r="PG33" s="59">
        <f t="shared" si="328"/>
        <v>0</v>
      </c>
      <c r="PH33" s="59">
        <f t="shared" si="329"/>
        <v>0</v>
      </c>
      <c r="PI33" s="59">
        <f t="shared" si="330"/>
        <v>0</v>
      </c>
      <c r="PJ33" s="59">
        <f t="shared" si="331"/>
        <v>0</v>
      </c>
      <c r="PK33" s="59">
        <f t="shared" si="332"/>
        <v>0</v>
      </c>
      <c r="PL33" s="58">
        <f t="shared" si="333"/>
        <v>0</v>
      </c>
      <c r="PM33" s="45">
        <f t="shared" si="334"/>
        <v>82</v>
      </c>
      <c r="PN33" s="45">
        <f t="shared" si="59"/>
        <v>2.8439999999999999</v>
      </c>
      <c r="PO33" s="45">
        <f t="shared" si="335"/>
        <v>1</v>
      </c>
      <c r="PP33" s="45">
        <f t="shared" si="336"/>
        <v>2</v>
      </c>
      <c r="PQ33" s="45">
        <f t="shared" si="337"/>
        <v>0</v>
      </c>
      <c r="PR33" s="46" cm="1">
        <f t="array" ref="PR33">ROUND(IFERROR(INDEX(ArchiveResults!$F$5:$IX$116,ComparisonData!A33,ComparisonData!$PR$1),0),5)</f>
        <v>0</v>
      </c>
      <c r="PS33" s="46" cm="1">
        <f t="array" ref="PS33">ROUND(IFERROR(INDEX(ArchiveResults!$F$5:$IX$116,ComparisonData!A33,ComparisonData!$PS$1),0),5)</f>
        <v>0</v>
      </c>
      <c r="PT33" s="46" cm="1">
        <f t="array" ref="PT33">ROUND(IFERROR(INDEX(ArchiveResults!$F$5:$IX$116,ComparisonData!A33,ComparisonData!$PT$1),0),5)</f>
        <v>0</v>
      </c>
      <c r="PU33" s="46" cm="1">
        <f t="array" ref="PU33">ROUND(IFERROR(INDEX(ArchiveResults!$F$5:$IX$116,ComparisonData!A33,ComparisonData!$PU$1),0),5)</f>
        <v>0</v>
      </c>
      <c r="PV33" s="45" cm="1">
        <f t="array" ref="PV33">IFERROR(INDEX(ArchiveResults!$F$5:$IX$116,ComparisonData!A33,ComparisonData!$PV$1),0)</f>
        <v>0</v>
      </c>
      <c r="PW33" s="56">
        <v>28</v>
      </c>
      <c r="PX33" s="53" t="str">
        <f t="shared" si="60"/>
        <v>Glasgow City Archives</v>
      </c>
      <c r="PY33" s="59">
        <f t="shared" si="338"/>
        <v>0</v>
      </c>
      <c r="PZ33" s="59">
        <f t="shared" si="339"/>
        <v>0</v>
      </c>
      <c r="QA33" s="59">
        <f t="shared" si="340"/>
        <v>0</v>
      </c>
      <c r="QB33" s="59">
        <f t="shared" si="341"/>
        <v>0</v>
      </c>
      <c r="QC33" s="59">
        <f t="shared" si="342"/>
        <v>0</v>
      </c>
      <c r="QD33" s="58">
        <f t="shared" si="343"/>
        <v>0</v>
      </c>
      <c r="QE33" s="45">
        <f t="shared" si="344"/>
        <v>82</v>
      </c>
      <c r="QF33" s="45">
        <f t="shared" si="61"/>
        <v>2.8439999999999999</v>
      </c>
      <c r="QG33" s="45">
        <f t="shared" si="345"/>
        <v>1</v>
      </c>
      <c r="QH33" s="45">
        <f t="shared" si="346"/>
        <v>2</v>
      </c>
      <c r="QI33" s="45">
        <f t="shared" si="347"/>
        <v>0</v>
      </c>
      <c r="QJ33" s="46" cm="1">
        <f t="array" ref="QJ33">ROUND(IFERROR(INDEX(ArchiveResults!$F$5:$IX$116,ComparisonData!A33,ComparisonData!$QJ$1),0),5)</f>
        <v>0</v>
      </c>
      <c r="QK33" s="46" cm="1">
        <f t="array" ref="QK33">ROUND(IFERROR(INDEX(ArchiveResults!$F$5:$IX$116,ComparisonData!A33,ComparisonData!$QK$1),0),5)</f>
        <v>0</v>
      </c>
      <c r="QL33" s="46" cm="1">
        <f t="array" ref="QL33">ROUND(IFERROR(INDEX(ArchiveResults!$F$5:$IX$116,ComparisonData!A33,ComparisonData!$QL$1),0),5)</f>
        <v>0</v>
      </c>
      <c r="QM33" s="46" cm="1">
        <f t="array" ref="QM33">ROUND(IFERROR(INDEX(ArchiveResults!$F$5:$IX$116,ComparisonData!A33,ComparisonData!$QM$1),0),5)</f>
        <v>0</v>
      </c>
      <c r="QN33" s="45" cm="1">
        <f t="array" ref="QN33">IFERROR(INDEX(ArchiveResults!$F$5:$IX$116,ComparisonData!A33,ComparisonData!$QN$1),0)</f>
        <v>0</v>
      </c>
      <c r="QO33" s="56">
        <v>28</v>
      </c>
      <c r="QP33" s="53" t="str">
        <f t="shared" si="62"/>
        <v>Glasgow City Archives</v>
      </c>
      <c r="QQ33" s="59">
        <f t="shared" si="348"/>
        <v>0</v>
      </c>
      <c r="QR33" s="59">
        <f t="shared" si="349"/>
        <v>0</v>
      </c>
      <c r="QS33" s="59">
        <f t="shared" si="350"/>
        <v>0</v>
      </c>
      <c r="QT33" s="59">
        <f t="shared" si="351"/>
        <v>0</v>
      </c>
      <c r="QU33" s="59">
        <f t="shared" si="352"/>
        <v>0</v>
      </c>
      <c r="QV33" s="58">
        <f t="shared" si="353"/>
        <v>0</v>
      </c>
      <c r="QW33" s="45">
        <f t="shared" si="354"/>
        <v>82</v>
      </c>
      <c r="QX33" s="45">
        <f t="shared" si="63"/>
        <v>2.8439999999999999</v>
      </c>
      <c r="QY33" s="45">
        <f t="shared" si="355"/>
        <v>1</v>
      </c>
      <c r="QZ33" s="45">
        <f t="shared" si="356"/>
        <v>2</v>
      </c>
      <c r="RA33" s="45">
        <f t="shared" si="357"/>
        <v>0</v>
      </c>
      <c r="RB33" s="46" cm="1">
        <f t="array" ref="RB33">ROUND(IFERROR(INDEX(ArchiveResults!$F$5:$IX$116,ComparisonData!A33,ComparisonData!$RB$1),0),5)</f>
        <v>0</v>
      </c>
      <c r="RC33" s="46" cm="1">
        <f t="array" ref="RC33">ROUND(IFERROR(INDEX(ArchiveResults!$F$5:$IX$116,ComparisonData!A33,ComparisonData!$RC$1),0),5)</f>
        <v>0</v>
      </c>
      <c r="RD33" s="46" cm="1">
        <f t="array" ref="RD33">ROUND(IFERROR(INDEX(ArchiveResults!$F$5:$IX$116,ComparisonData!A33,ComparisonData!$RD$1),0),5)</f>
        <v>0</v>
      </c>
      <c r="RE33" s="46" cm="1">
        <f t="array" ref="RE33">ROUND(IFERROR(INDEX(ArchiveResults!$F$5:$IX$116,ComparisonData!A33,ComparisonData!$RE$1),0),5)</f>
        <v>0</v>
      </c>
      <c r="RF33" s="45" cm="1">
        <f t="array" ref="RF33">IFERROR(INDEX(ArchiveResults!$F$5:$IX$116,ComparisonData!A33,ComparisonData!$RF$1),0)</f>
        <v>0</v>
      </c>
      <c r="RG33" s="56">
        <v>28</v>
      </c>
      <c r="RH33" s="53" t="str">
        <f t="shared" si="64"/>
        <v>Glasgow City Archives</v>
      </c>
      <c r="RI33" s="59">
        <f t="shared" si="358"/>
        <v>0</v>
      </c>
      <c r="RJ33" s="59">
        <f t="shared" si="359"/>
        <v>0</v>
      </c>
      <c r="RK33" s="59">
        <f t="shared" si="360"/>
        <v>0</v>
      </c>
      <c r="RL33" s="59">
        <f t="shared" si="361"/>
        <v>0</v>
      </c>
      <c r="RM33" s="59">
        <f t="shared" si="362"/>
        <v>0</v>
      </c>
      <c r="RN33" s="58">
        <f t="shared" si="363"/>
        <v>0</v>
      </c>
      <c r="RO33" s="45">
        <f t="shared" si="364"/>
        <v>82</v>
      </c>
      <c r="RP33" s="45">
        <f t="shared" si="65"/>
        <v>2.8439999999999999</v>
      </c>
      <c r="RQ33" s="45">
        <f t="shared" si="365"/>
        <v>1</v>
      </c>
      <c r="RR33" s="45">
        <f t="shared" si="366"/>
        <v>2</v>
      </c>
      <c r="RS33" s="45">
        <f t="shared" si="367"/>
        <v>0</v>
      </c>
      <c r="RT33" s="46" cm="1">
        <f t="array" ref="RT33">ROUND(IFERROR(INDEX(ArchiveResults!$F$5:$IX$116,ComparisonData!A33,ComparisonData!$RT$1),0),5)</f>
        <v>0</v>
      </c>
      <c r="RU33" s="46" cm="1">
        <f t="array" ref="RU33">ROUND(IFERROR(INDEX(ArchiveResults!$F$5:$IX$116,ComparisonData!A33,ComparisonData!$RU$1),0),5)</f>
        <v>0</v>
      </c>
      <c r="RV33" s="46" cm="1">
        <f t="array" ref="RV33">ROUND(IFERROR(INDEX(ArchiveResults!$F$5:$IX$116,ComparisonData!A33,ComparisonData!$RV$1),0),5)</f>
        <v>0</v>
      </c>
      <c r="RW33" s="46" cm="1">
        <f t="array" ref="RW33">ROUND(IFERROR(INDEX(ArchiveResults!$F$5:$IX$116,ComparisonData!A33,ComparisonData!$RW$1),0),5)</f>
        <v>0</v>
      </c>
      <c r="RX33" s="45" cm="1">
        <f t="array" ref="RX33">IFERROR(INDEX(ArchiveResults!$F$5:$IX$116,ComparisonData!A33,ComparisonData!$RX$1),0)</f>
        <v>0</v>
      </c>
      <c r="RY33" s="56">
        <v>28</v>
      </c>
      <c r="RZ33" s="53" t="str">
        <f t="shared" si="66"/>
        <v>Glasgow City Archives</v>
      </c>
      <c r="SA33" s="59">
        <f t="shared" si="368"/>
        <v>0</v>
      </c>
      <c r="SB33" s="59">
        <f t="shared" si="369"/>
        <v>0</v>
      </c>
      <c r="SC33" s="59">
        <f t="shared" si="370"/>
        <v>0</v>
      </c>
      <c r="SD33" s="59">
        <f t="shared" si="371"/>
        <v>0</v>
      </c>
      <c r="SE33" s="59">
        <f t="shared" si="372"/>
        <v>0</v>
      </c>
      <c r="SF33" s="58">
        <f t="shared" si="373"/>
        <v>0</v>
      </c>
      <c r="SG33" s="45">
        <f t="shared" si="374"/>
        <v>82</v>
      </c>
      <c r="SH33" s="45">
        <f t="shared" si="67"/>
        <v>2.8439999999999999</v>
      </c>
      <c r="SI33" s="45">
        <f t="shared" si="375"/>
        <v>1</v>
      </c>
      <c r="SJ33" s="45">
        <f t="shared" si="376"/>
        <v>2</v>
      </c>
      <c r="SK33" s="45">
        <f t="shared" si="377"/>
        <v>0</v>
      </c>
      <c r="SL33" s="46" cm="1">
        <f t="array" ref="SL33">ROUND(IFERROR(INDEX(ArchiveResults!$F$5:$IX$116,ComparisonData!A33,ComparisonData!$SL$1),0),5)</f>
        <v>0</v>
      </c>
      <c r="SM33" s="46" cm="1">
        <f t="array" ref="SM33">ROUND(IFERROR(INDEX(ArchiveResults!$F$5:$IX$116,ComparisonData!A33,ComparisonData!$SM$1),0),5)</f>
        <v>0</v>
      </c>
      <c r="SN33" s="46" cm="1">
        <f t="array" ref="SN33">ROUND(IFERROR(INDEX(ArchiveResults!$F$5:$IX$116,ComparisonData!A33,ComparisonData!$SN$1),0),5)</f>
        <v>0</v>
      </c>
      <c r="SO33" s="46" cm="1">
        <f t="array" ref="SO33">ROUND(IFERROR(INDEX(ArchiveResults!$F$5:$IX$116,ComparisonData!A33,ComparisonData!$SO$1),0),5)</f>
        <v>0</v>
      </c>
      <c r="SP33" s="45" cm="1">
        <f t="array" ref="SP33">IFERROR(INDEX(ArchiveResults!$F$5:$IX$116,ComparisonData!A33,ComparisonData!$SP$1),0)</f>
        <v>0</v>
      </c>
      <c r="SQ33" s="56">
        <v>28</v>
      </c>
      <c r="SR33" s="53" t="str">
        <f t="shared" si="68"/>
        <v>Glasgow City Archives</v>
      </c>
      <c r="SS33" s="59">
        <f t="shared" si="378"/>
        <v>0</v>
      </c>
      <c r="ST33" s="59">
        <f t="shared" si="379"/>
        <v>0</v>
      </c>
      <c r="SU33" s="59">
        <f t="shared" si="380"/>
        <v>0</v>
      </c>
      <c r="SV33" s="59">
        <f t="shared" si="381"/>
        <v>0</v>
      </c>
      <c r="SW33" s="59">
        <f t="shared" si="382"/>
        <v>0</v>
      </c>
      <c r="SX33" s="58">
        <f t="shared" si="383"/>
        <v>0</v>
      </c>
      <c r="SY33" s="45">
        <f t="shared" si="384"/>
        <v>82</v>
      </c>
      <c r="SZ33" s="45">
        <f t="shared" si="69"/>
        <v>2.8439999999999999</v>
      </c>
      <c r="TA33" s="45">
        <f t="shared" si="385"/>
        <v>1</v>
      </c>
      <c r="TB33" s="45">
        <f t="shared" si="386"/>
        <v>2</v>
      </c>
      <c r="TC33" s="45">
        <f t="shared" si="387"/>
        <v>0</v>
      </c>
      <c r="TD33" s="46" cm="1">
        <f t="array" ref="TD33">ROUND(IFERROR(INDEX(ArchiveResults!$F$5:$IX$116,ComparisonData!A33,ComparisonData!$TD$1),0),5)</f>
        <v>0</v>
      </c>
      <c r="TE33" s="46" cm="1">
        <f t="array" ref="TE33">ROUND(IFERROR(INDEX(ArchiveResults!$F$5:$IX$116,ComparisonData!A33,ComparisonData!$TE$1),0),5)</f>
        <v>0</v>
      </c>
      <c r="TF33" s="46" cm="1">
        <f t="array" ref="TF33">ROUND(IFERROR(INDEX(ArchiveResults!$F$5:$IX$116,ComparisonData!A33,ComparisonData!$TF$1),0),5)</f>
        <v>0</v>
      </c>
      <c r="TG33" s="46" cm="1">
        <f t="array" ref="TG33">ROUND(IFERROR(INDEX(ArchiveResults!$F$5:$IX$116,ComparisonData!A33,ComparisonData!$TG$1),0),5)</f>
        <v>0</v>
      </c>
      <c r="TH33" s="45" cm="1">
        <f t="array" ref="TH33">IFERROR(INDEX(ArchiveResults!$F$5:$IX$116,ComparisonData!A33,ComparisonData!$TH$1),0)</f>
        <v>0</v>
      </c>
      <c r="TI33" s="56">
        <v>28</v>
      </c>
      <c r="TJ33" s="53" t="str">
        <f t="shared" si="70"/>
        <v>Glasgow City Archives</v>
      </c>
      <c r="TK33" s="59">
        <f t="shared" si="388"/>
        <v>0</v>
      </c>
      <c r="TL33" s="59">
        <f t="shared" si="389"/>
        <v>0</v>
      </c>
      <c r="TM33" s="59">
        <f t="shared" si="390"/>
        <v>0</v>
      </c>
      <c r="TN33" s="59">
        <f t="shared" si="391"/>
        <v>0</v>
      </c>
      <c r="TO33" s="59">
        <f t="shared" si="392"/>
        <v>0</v>
      </c>
      <c r="TP33" s="58">
        <f t="shared" si="393"/>
        <v>0</v>
      </c>
      <c r="TQ33" s="45">
        <f t="shared" si="394"/>
        <v>82</v>
      </c>
      <c r="TR33" s="45">
        <f t="shared" si="71"/>
        <v>2.8439999999999999</v>
      </c>
      <c r="TS33" s="45">
        <f t="shared" si="395"/>
        <v>1</v>
      </c>
      <c r="TT33" s="45">
        <f t="shared" si="396"/>
        <v>2</v>
      </c>
      <c r="TU33" s="45">
        <f t="shared" si="397"/>
        <v>0</v>
      </c>
      <c r="TV33" s="46" cm="1">
        <f t="array" ref="TV33">ROUND(IFERROR(INDEX(ArchiveResults!$F$5:$IX$116,ComparisonData!A33,ComparisonData!$TV$1),0),5)</f>
        <v>0</v>
      </c>
      <c r="TW33" s="46" cm="1">
        <f t="array" ref="TW33">ROUND(IFERROR(INDEX(ArchiveResults!$F$5:$IX$116,ComparisonData!A33,ComparisonData!$TW$1),0),5)</f>
        <v>0</v>
      </c>
      <c r="TX33" s="46" cm="1">
        <f t="array" ref="TX33">ROUND(IFERROR(INDEX(ArchiveResults!$F$5:$IX$116,ComparisonData!A33,ComparisonData!$TX$1),0),5)</f>
        <v>0</v>
      </c>
      <c r="TY33" s="46" cm="1">
        <f t="array" ref="TY33">ROUND(IFERROR(INDEX(ArchiveResults!$F$5:$IX$116,ComparisonData!A33,ComparisonData!$TY$1),0),5)</f>
        <v>0</v>
      </c>
      <c r="TZ33" s="45" cm="1">
        <f t="array" ref="TZ33">IFERROR(INDEX(ArchiveResults!$F$5:$IX$116,ComparisonData!A33,ComparisonData!$TZ$1),0)</f>
        <v>0</v>
      </c>
      <c r="UA33" s="56">
        <v>28</v>
      </c>
      <c r="UB33" s="53" t="str">
        <f t="shared" si="72"/>
        <v>Glasgow City Archives</v>
      </c>
      <c r="UC33" s="60">
        <f t="shared" si="398"/>
        <v>0</v>
      </c>
      <c r="UD33" s="60">
        <f t="shared" si="399"/>
        <v>0</v>
      </c>
      <c r="UE33" s="60">
        <f t="shared" si="400"/>
        <v>0</v>
      </c>
      <c r="UF33" s="60">
        <f t="shared" si="401"/>
        <v>0</v>
      </c>
      <c r="UG33" s="60">
        <f t="shared" si="402"/>
        <v>0</v>
      </c>
      <c r="UH33" s="58">
        <f t="shared" si="403"/>
        <v>0</v>
      </c>
      <c r="UI33" s="46">
        <f t="shared" si="404"/>
        <v>82</v>
      </c>
      <c r="UJ33" s="46">
        <f t="shared" si="73"/>
        <v>2.8439999999999999</v>
      </c>
      <c r="UK33" s="46">
        <f t="shared" si="405"/>
        <v>1</v>
      </c>
      <c r="UL33" s="46">
        <f t="shared" si="406"/>
        <v>2</v>
      </c>
      <c r="UM33" s="46" cm="1">
        <f t="array" ref="UM33">ROUND(IFERROR(INDEX(ArchiveResults!$F$5:$IX$116,ComparisonData!A33,ComparisonData!$UM$1),0),5)</f>
        <v>0</v>
      </c>
      <c r="UN33" s="56">
        <v>28</v>
      </c>
      <c r="UO33" s="53" t="str">
        <f t="shared" si="74"/>
        <v>Glasgow City Archives</v>
      </c>
      <c r="UP33" s="46">
        <f t="shared" si="407"/>
        <v>0</v>
      </c>
      <c r="UQ33" s="76">
        <f t="shared" si="408"/>
        <v>0</v>
      </c>
      <c r="UR33" s="46">
        <f t="shared" si="409"/>
        <v>82</v>
      </c>
      <c r="US33" s="46">
        <f t="shared" si="75"/>
        <v>2.8439999999999999</v>
      </c>
      <c r="UT33" s="46">
        <f t="shared" si="410"/>
        <v>1</v>
      </c>
      <c r="UU33" s="46">
        <f t="shared" si="411"/>
        <v>2</v>
      </c>
      <c r="UV33" s="46">
        <f t="shared" si="412"/>
        <v>0</v>
      </c>
      <c r="UW33" s="46" cm="1">
        <f t="array" ref="UW33">ROUND(IFERROR(INDEX(ArchiveResults!$F$5:$IX$116,ComparisonData!A33,ComparisonData!$UW$1),0),5)</f>
        <v>0</v>
      </c>
      <c r="UX33" s="46" cm="1">
        <f t="array" ref="UX33">ROUND(IFERROR(INDEX(ArchiveResults!$F$5:$IX$116,ComparisonData!A33,ComparisonData!$UX$1),0),5)</f>
        <v>0</v>
      </c>
      <c r="UY33" s="46" cm="1">
        <f t="array" ref="UY33">ROUND(IFERROR(INDEX(ArchiveResults!$F$5:$IX$116,ComparisonData!A33,ComparisonData!$UY$1),0),5)</f>
        <v>0</v>
      </c>
      <c r="UZ33" s="46" cm="1">
        <f t="array" ref="UZ33">ROUND(IFERROR(INDEX(ArchiveResults!$F$5:$IX$116,ComparisonData!A33,ComparisonData!$UZ$1),0),5)</f>
        <v>0</v>
      </c>
      <c r="VA33" s="46" cm="1">
        <f t="array" ref="VA33">ROUND(IFERROR(INDEX(ArchiveResults!$F$5:$IX$116,ComparisonData!A33,ComparisonData!$VA$1),0),5)</f>
        <v>0</v>
      </c>
      <c r="VB33" s="56">
        <v>28</v>
      </c>
      <c r="VC33" s="53" t="str">
        <f t="shared" si="76"/>
        <v>Glasgow City Archives</v>
      </c>
      <c r="VD33" s="60">
        <f t="shared" si="413"/>
        <v>0</v>
      </c>
      <c r="VE33" s="60">
        <f t="shared" si="414"/>
        <v>0</v>
      </c>
      <c r="VF33" s="60">
        <f t="shared" si="415"/>
        <v>0</v>
      </c>
      <c r="VG33" s="60">
        <f t="shared" si="416"/>
        <v>0</v>
      </c>
      <c r="VH33" s="60">
        <f t="shared" si="417"/>
        <v>0</v>
      </c>
      <c r="VI33" s="76">
        <f t="shared" si="418"/>
        <v>0</v>
      </c>
      <c r="VJ33" s="46">
        <f t="shared" si="419"/>
        <v>82</v>
      </c>
      <c r="VK33" s="46">
        <f t="shared" si="77"/>
        <v>2.8439999999999999</v>
      </c>
      <c r="VL33" s="46">
        <f t="shared" si="420"/>
        <v>1</v>
      </c>
      <c r="VM33" s="46">
        <f t="shared" si="421"/>
        <v>2</v>
      </c>
      <c r="VN33" s="46" cm="1">
        <f t="array" ref="VN33">ROUND(IFERROR(INDEX(ArchiveResults!$F$5:$IX$116,ComparisonData!A33,ComparisonData!$VN$1),0),5)</f>
        <v>0</v>
      </c>
      <c r="VO33" s="46" cm="1">
        <f t="array" ref="VO33">ROUND(IFERROR(INDEX(ArchiveResults!$F$5:$IX$116,ComparisonData!A33,ComparisonData!$VO$1),0),5)</f>
        <v>0</v>
      </c>
      <c r="VP33" s="46" cm="1">
        <f t="array" ref="VP33">ROUND(IFERROR(INDEX(ArchiveResults!$F$5:$IX$116,ComparisonData!A33,ComparisonData!$VP$1),0),5)</f>
        <v>0</v>
      </c>
      <c r="VQ33" s="46" cm="1">
        <f t="array" ref="VQ33">ROUND(IFERROR(INDEX(ArchiveResults!$F$5:$IX$116,ComparisonData!A33,ComparisonData!$VQ$1),0),5)</f>
        <v>0</v>
      </c>
      <c r="VR33" s="56">
        <v>28</v>
      </c>
      <c r="VS33" s="53" t="str">
        <f t="shared" si="78"/>
        <v>Glasgow City Archives</v>
      </c>
      <c r="VT33" s="60">
        <f t="shared" si="422"/>
        <v>0</v>
      </c>
      <c r="VU33" s="60">
        <f t="shared" si="423"/>
        <v>0</v>
      </c>
      <c r="VV33" s="60">
        <f t="shared" si="424"/>
        <v>0</v>
      </c>
      <c r="VW33" s="60">
        <f t="shared" si="425"/>
        <v>0</v>
      </c>
      <c r="VX33" s="76">
        <f t="shared" si="426"/>
        <v>0</v>
      </c>
      <c r="VY33" s="46">
        <f t="shared" si="427"/>
        <v>82</v>
      </c>
      <c r="VZ33" s="46">
        <f t="shared" si="79"/>
        <v>2.8439999999999999</v>
      </c>
      <c r="WA33" s="46">
        <f t="shared" si="428"/>
        <v>1</v>
      </c>
      <c r="WB33" s="46">
        <f t="shared" si="429"/>
        <v>2</v>
      </c>
      <c r="WC33" s="46" cm="1">
        <f t="array" ref="WC33">ROUND(IFERROR(INDEX(ArchiveResults!$F$5:$IX$116,ComparisonData!A33,ComparisonData!$WC$1),0),5)</f>
        <v>0</v>
      </c>
      <c r="WD33" s="56">
        <v>28</v>
      </c>
      <c r="WE33" s="53" t="str">
        <f t="shared" si="80"/>
        <v>Glasgow City Archives</v>
      </c>
      <c r="WF33" s="46">
        <f t="shared" si="430"/>
        <v>0</v>
      </c>
      <c r="WG33" s="76">
        <f t="shared" si="431"/>
        <v>0</v>
      </c>
      <c r="WH33" s="46">
        <f t="shared" si="432"/>
        <v>82</v>
      </c>
      <c r="WI33" s="46">
        <f t="shared" si="81"/>
        <v>2.8439999999999999</v>
      </c>
      <c r="WJ33" s="46">
        <f t="shared" si="433"/>
        <v>1</v>
      </c>
      <c r="WK33" s="46">
        <f t="shared" si="434"/>
        <v>2</v>
      </c>
      <c r="WL33" s="46" cm="1">
        <f t="array" ref="WL33">ROUND(IFERROR(INDEX(ArchiveResults!$F$5:$IX$116,ComparisonData!A33,ComparisonData!$WL$1),0),5)</f>
        <v>0</v>
      </c>
      <c r="WM33" s="46" cm="1">
        <f t="array" ref="WM33">IFERROR(INDEX(ArchiveResults!$F$5:$IX$116,ComparisonData!A33,ComparisonData!$WM$1),0)</f>
        <v>0</v>
      </c>
      <c r="WN33" s="56">
        <v>28</v>
      </c>
      <c r="WO33" s="53" t="str">
        <f t="shared" si="82"/>
        <v>Glasgow City Archives</v>
      </c>
      <c r="WP33" s="60">
        <f t="shared" si="435"/>
        <v>0</v>
      </c>
      <c r="WQ33" s="60">
        <f t="shared" si="436"/>
        <v>0</v>
      </c>
      <c r="WR33" s="76">
        <f t="shared" si="437"/>
        <v>0</v>
      </c>
      <c r="WS33" s="46">
        <f t="shared" si="438"/>
        <v>82</v>
      </c>
      <c r="WT33" s="46">
        <f t="shared" si="83"/>
        <v>2.8439999999999999</v>
      </c>
      <c r="WU33" s="46">
        <f t="shared" si="439"/>
        <v>1</v>
      </c>
      <c r="WV33" s="46">
        <f t="shared" si="440"/>
        <v>2</v>
      </c>
      <c r="WW33" s="46" cm="1">
        <f t="array" ref="WW33">ROUND(VALUE(IFERROR(INDEX(ArchiveResults!$F$5:$IX$116,ComparisonData!A33,ComparisonData!$WW$1),0)),5)</f>
        <v>0</v>
      </c>
      <c r="WX33" s="46" cm="1">
        <f t="array" ref="WX33">ROUND(IFERROR(INDEX(ArchiveResults!$F$5:$IX$116,ComparisonData!A33,ComparisonData!$WX$1),0),5)</f>
        <v>0</v>
      </c>
      <c r="WY33" s="56">
        <v>28</v>
      </c>
      <c r="WZ33" s="53" t="str">
        <f t="shared" si="84"/>
        <v>Glasgow City Archives</v>
      </c>
      <c r="XA33" s="60">
        <f t="shared" si="85"/>
        <v>0</v>
      </c>
      <c r="XB33" s="60">
        <f t="shared" si="86"/>
        <v>0</v>
      </c>
      <c r="XC33" s="76">
        <f t="shared" si="441"/>
        <v>0</v>
      </c>
      <c r="XD33" s="46">
        <f t="shared" si="442"/>
        <v>82</v>
      </c>
      <c r="XE33" s="46">
        <f t="shared" si="87"/>
        <v>2.8439999999999999</v>
      </c>
      <c r="XF33" s="46">
        <f t="shared" si="443"/>
        <v>1</v>
      </c>
      <c r="XG33" s="46">
        <f t="shared" si="444"/>
        <v>2</v>
      </c>
      <c r="XH33" s="46" cm="1">
        <f t="array" ref="XH33">ROUND(VALUE(IFERROR(INDEX(ArchiveResults!$F$5:$IX$116,ComparisonData!A33,ComparisonData!$XH$1),0)),5)</f>
        <v>0</v>
      </c>
      <c r="XI33" s="46" cm="1">
        <f t="array" ref="XI33">ROUND(VALUE(IFERROR(INDEX(ArchiveResults!$F$5:$IX$116,ComparisonData!A33,ComparisonData!$XI$1),0)),5)</f>
        <v>0</v>
      </c>
      <c r="XJ33" s="56">
        <v>28</v>
      </c>
      <c r="XK33" s="53" t="str">
        <f t="shared" si="88"/>
        <v>Glasgow City Archives</v>
      </c>
      <c r="XL33" s="60">
        <f t="shared" si="445"/>
        <v>0</v>
      </c>
      <c r="XM33" s="60">
        <f t="shared" si="446"/>
        <v>0</v>
      </c>
      <c r="XN33" s="76">
        <f t="shared" si="447"/>
        <v>0</v>
      </c>
      <c r="XO33" s="46">
        <f t="shared" si="448"/>
        <v>82</v>
      </c>
      <c r="XP33" s="46">
        <f t="shared" si="89"/>
        <v>2.8439999999999999</v>
      </c>
      <c r="XQ33" s="46">
        <f t="shared" si="449"/>
        <v>1</v>
      </c>
      <c r="XR33" s="46">
        <f t="shared" si="450"/>
        <v>2</v>
      </c>
      <c r="XS33" s="46" cm="1">
        <f t="array" ref="XS33">ROUND(VALUE(IFERROR(INDEX(ArchiveResults!$F$5:$IX$116,ComparisonData!A33,ComparisonData!$XS$1),0)),5)</f>
        <v>0</v>
      </c>
      <c r="XT33" s="46" cm="1">
        <f t="array" ref="XT33">ROUND(VALUE(IFERROR(INDEX(ArchiveResults!$F$5:$IX$116,ComparisonData!A33,ComparisonData!$XT$1),0)),5)</f>
        <v>0</v>
      </c>
      <c r="XU33" s="56">
        <v>28</v>
      </c>
      <c r="XV33" s="53" t="str">
        <f t="shared" si="90"/>
        <v>Glasgow City Archives</v>
      </c>
      <c r="XW33" s="60">
        <f t="shared" si="451"/>
        <v>0</v>
      </c>
      <c r="XX33" s="60">
        <f t="shared" si="452"/>
        <v>0</v>
      </c>
      <c r="XY33" s="76">
        <f t="shared" si="453"/>
        <v>0</v>
      </c>
      <c r="XZ33" s="46">
        <f t="shared" si="454"/>
        <v>82</v>
      </c>
      <c r="YA33" s="46">
        <f t="shared" si="91"/>
        <v>2.8439999999999999</v>
      </c>
      <c r="YB33" s="46">
        <f t="shared" si="455"/>
        <v>1</v>
      </c>
      <c r="YC33" s="46">
        <f t="shared" si="456"/>
        <v>2</v>
      </c>
      <c r="YD33" s="46" cm="1">
        <f t="array" ref="YD33">ROUND(VALUE(IFERROR(INDEX(ArchiveResults!$F$5:$IX$116,ComparisonData!A33,ComparisonData!$YD$1),0)),5)</f>
        <v>0</v>
      </c>
      <c r="YE33" s="46" cm="1">
        <f t="array" ref="YE33">ROUND(VALUE(IFERROR(INDEX(ArchiveResults!$F$5:$IX$116,ComparisonData!A33,ComparisonData!$YE$1),0)),5)</f>
        <v>0</v>
      </c>
      <c r="YF33" s="56">
        <v>28</v>
      </c>
      <c r="YG33" s="53" t="str">
        <f t="shared" si="92"/>
        <v>Glasgow City Archives</v>
      </c>
      <c r="YH33" s="60">
        <f t="shared" si="457"/>
        <v>0</v>
      </c>
      <c r="YI33" s="60">
        <f t="shared" si="458"/>
        <v>0</v>
      </c>
      <c r="YJ33" s="76">
        <f t="shared" si="459"/>
        <v>0</v>
      </c>
      <c r="YK33" s="46">
        <f t="shared" si="460"/>
        <v>82</v>
      </c>
      <c r="YL33" s="46">
        <f t="shared" si="93"/>
        <v>2.8439999999999999</v>
      </c>
      <c r="YM33" s="46">
        <f t="shared" si="461"/>
        <v>1</v>
      </c>
      <c r="YN33" s="46">
        <f t="shared" si="462"/>
        <v>2</v>
      </c>
      <c r="YO33" s="46" cm="1">
        <f t="array" ref="YO33">ROUND(VALUE(IFERROR(INDEX(ArchiveResults!$F$5:$IX$116,ComparisonData!A33,ComparisonData!$YO$1),0)),5)</f>
        <v>0</v>
      </c>
      <c r="YP33" s="46" cm="1">
        <f t="array" ref="YP33">ROUND(VALUE(IFERROR(INDEX(ArchiveResults!$F$5:$IX$116,ComparisonData!A33,ComparisonData!$YP$1),0)),5)</f>
        <v>0</v>
      </c>
      <c r="YQ33" s="56">
        <v>28</v>
      </c>
      <c r="YR33" s="53" t="str">
        <f t="shared" si="94"/>
        <v>Glasgow City Archives</v>
      </c>
      <c r="YS33" s="60">
        <f t="shared" si="463"/>
        <v>0</v>
      </c>
      <c r="YT33" s="60">
        <f t="shared" si="464"/>
        <v>0</v>
      </c>
      <c r="YU33" s="76">
        <f t="shared" si="465"/>
        <v>0</v>
      </c>
      <c r="YV33" s="46">
        <f t="shared" si="466"/>
        <v>82</v>
      </c>
      <c r="YW33" s="46">
        <f t="shared" si="95"/>
        <v>2.8439999999999999</v>
      </c>
      <c r="YX33" s="46">
        <f t="shared" si="467"/>
        <v>1</v>
      </c>
      <c r="YY33" s="46">
        <f t="shared" si="468"/>
        <v>2</v>
      </c>
      <c r="YZ33" s="46">
        <f t="shared" si="469"/>
        <v>0</v>
      </c>
      <c r="ZA33" s="46" cm="1">
        <f t="array" ref="ZA33">ROUNDDOWN(VALUE(IFERROR(INDEX(ArchiveResults!$F$5:$IX$116,ComparisonData!A33,ComparisonData!$ZA$1),0)),5)</f>
        <v>0</v>
      </c>
      <c r="ZB33" s="46" cm="1">
        <f t="array" ref="ZB33">ROUNDDOWN(VALUE(IFERROR(INDEX(ArchiveResults!$F$5:$IX$116,ComparisonData!A33,ComparisonData!$ZB$1),0)),5)</f>
        <v>0</v>
      </c>
      <c r="ZC33" s="46" cm="1">
        <f t="array" ref="ZC33">ROUNDDOWN(VALUE(IFERROR(INDEX(ArchiveResults!$F$5:$IX$116,ComparisonData!A33,ComparisonData!$ZC$1),0)),5)</f>
        <v>0</v>
      </c>
      <c r="ZD33" s="46" cm="1">
        <f t="array" ref="ZD33">ROUNDDOWN(VALUE(IFERROR(INDEX(ArchiveResults!$F$5:$IX$116,ComparisonData!A33,ComparisonData!$ZD$1),0)),5)</f>
        <v>0</v>
      </c>
      <c r="ZE33" s="46" cm="1">
        <f t="array" ref="ZE33">ROUNDDOWN(VALUE(IFERROR(INDEX(ArchiveResults!$F$5:$IX$116,ComparisonData!A33,ComparisonData!$ZE$1),0)),5)</f>
        <v>0</v>
      </c>
      <c r="ZF33" s="56">
        <v>28</v>
      </c>
      <c r="ZG33" s="53" t="str">
        <f t="shared" si="96"/>
        <v>Glasgow City Archives</v>
      </c>
      <c r="ZH33" s="60">
        <f t="shared" si="470"/>
        <v>0</v>
      </c>
      <c r="ZI33" s="60">
        <f t="shared" si="471"/>
        <v>0</v>
      </c>
      <c r="ZJ33" s="60">
        <f t="shared" si="472"/>
        <v>0</v>
      </c>
      <c r="ZK33" s="60">
        <f t="shared" si="473"/>
        <v>0</v>
      </c>
      <c r="ZL33" s="60">
        <f t="shared" si="474"/>
        <v>0</v>
      </c>
      <c r="ZM33" s="76">
        <f t="shared" si="475"/>
        <v>0</v>
      </c>
      <c r="ZN33" s="46">
        <f t="shared" si="476"/>
        <v>82</v>
      </c>
      <c r="ZO33" s="46">
        <f t="shared" si="97"/>
        <v>2.8439999999999999</v>
      </c>
      <c r="ZP33" s="46">
        <f t="shared" si="477"/>
        <v>1</v>
      </c>
      <c r="ZQ33" s="46">
        <f t="shared" si="478"/>
        <v>2</v>
      </c>
      <c r="ZR33" s="46" cm="1">
        <f t="array" ref="ZR33">ROUND(VALUE(IFERROR(INDEX(ArchiveResults!$F$5:$IX$116,ComparisonData!A33,ComparisonData!$ZR$1),0)),5)</f>
        <v>0</v>
      </c>
      <c r="ZS33" s="56">
        <v>28</v>
      </c>
      <c r="ZT33" s="53" t="str">
        <f t="shared" si="98"/>
        <v>Glasgow City Archives</v>
      </c>
      <c r="ZU33" s="46">
        <f t="shared" si="479"/>
        <v>0</v>
      </c>
      <c r="ZV33" s="76">
        <f t="shared" si="480"/>
        <v>0</v>
      </c>
      <c r="ZW33" s="81" cm="1">
        <f t="array" ref="ZW33">ROUND((IFERROR(INDEX(ArchiveResults!$F$5:$IX$116,ComparisonData!A33,ComparisonData!$ZW$1),0)),5)</f>
        <v>0</v>
      </c>
      <c r="ZX33" s="81" cm="1">
        <f t="array" ref="ZX33">ROUND((IFERROR(INDEX(ArchiveResults!$F$5:$IX$116,ComparisonData!A33,ComparisonData!$ZX$1),0)),5)</f>
        <v>0</v>
      </c>
      <c r="ZY33" s="81" cm="1">
        <f t="array" ref="ZY33">ROUND((IFERROR(INDEX(ArchiveResults!$F$5:$IX$116,ComparisonData!A33,ComparisonData!$ZY$1),0)),5)</f>
        <v>0</v>
      </c>
      <c r="ZZ33" s="81" cm="1">
        <f t="array" ref="ZZ33">ROUND((IFERROR(INDEX(ArchiveResults!$F$5:$IX$116,ComparisonData!A33,ComparisonData!$ZZ$1),0)),5)</f>
        <v>0</v>
      </c>
      <c r="AAA33" s="81" cm="1">
        <f t="array" ref="AAA33">ROUND((IFERROR(INDEX(ArchiveResults!$F$5:$IX$116,ComparisonData!A33,ComparisonData!$AAA$1),0)),5)</f>
        <v>0</v>
      </c>
      <c r="AAB33" s="81" cm="1">
        <f t="array" ref="AAB33">ROUND((IFERROR(INDEX(ArchiveResults!$F$5:$IX$116,ComparisonData!A33,ComparisonData!$AAB$1),0)),5)</f>
        <v>0</v>
      </c>
      <c r="AAC33" s="81" cm="1">
        <f t="array" ref="AAC33">ROUND((IFERROR(INDEX(ArchiveResults!$F$5:$IX$116,ComparisonData!A33,ComparisonData!$AAC$1),0)),5)</f>
        <v>0</v>
      </c>
      <c r="AAD33" s="81" cm="1">
        <f t="array" ref="AAD33">ROUND((IFERROR(INDEX(ArchiveResults!$F$5:$IX$116,ComparisonData!A33,ComparisonData!$AAD$1),0)),5)</f>
        <v>0</v>
      </c>
      <c r="AAE33" s="81" cm="1">
        <f t="array" ref="AAE33">ROUND((IFERROR(INDEX(ArchiveResults!$F$5:$IX$116,ComparisonData!A33,ComparisonData!$AAE$1),0)),5)</f>
        <v>0</v>
      </c>
      <c r="AAF33" s="81" cm="1">
        <f t="array" ref="AAF33">ROUND((IFERROR(INDEX(ArchiveResults!$F$5:$IX$116,ComparisonData!A33,ComparisonData!$AAF$1),0)),5)</f>
        <v>0</v>
      </c>
      <c r="AAG33" s="46">
        <f t="shared" si="481"/>
        <v>82</v>
      </c>
      <c r="AAH33" s="46">
        <f t="shared" si="99"/>
        <v>2.8439999999999999</v>
      </c>
      <c r="AAI33" s="46">
        <f t="shared" si="482"/>
        <v>1</v>
      </c>
      <c r="AAJ33" s="46">
        <f t="shared" si="483"/>
        <v>2</v>
      </c>
      <c r="AAK33" s="46">
        <f t="shared" si="484"/>
        <v>0</v>
      </c>
      <c r="AAL33" s="46">
        <f t="shared" si="485"/>
        <v>0</v>
      </c>
      <c r="AAM33" s="46">
        <f t="shared" si="486"/>
        <v>0</v>
      </c>
      <c r="AAN33" s="46">
        <f t="shared" si="487"/>
        <v>0</v>
      </c>
      <c r="AAO33" s="46">
        <f t="shared" si="488"/>
        <v>0</v>
      </c>
      <c r="AAP33" s="46">
        <f t="shared" si="489"/>
        <v>0</v>
      </c>
      <c r="AAQ33" s="56">
        <v>28</v>
      </c>
      <c r="AAR33" s="53" t="str">
        <f t="shared" si="100"/>
        <v>Glasgow City Archives</v>
      </c>
      <c r="AAS33" s="60">
        <f t="shared" si="490"/>
        <v>0</v>
      </c>
      <c r="AAT33" s="60">
        <f t="shared" si="491"/>
        <v>0</v>
      </c>
      <c r="AAU33" s="60">
        <f t="shared" si="492"/>
        <v>0</v>
      </c>
      <c r="AAV33" s="60">
        <f t="shared" si="493"/>
        <v>0</v>
      </c>
      <c r="AAW33" s="60">
        <f t="shared" si="494"/>
        <v>0</v>
      </c>
      <c r="AAX33" s="76">
        <f t="shared" si="495"/>
        <v>0</v>
      </c>
      <c r="AAY33" s="46">
        <f t="shared" si="496"/>
        <v>82</v>
      </c>
      <c r="AAZ33" s="46">
        <f t="shared" si="101"/>
        <v>2.8439999999999999</v>
      </c>
      <c r="ABA33" s="46">
        <f t="shared" si="497"/>
        <v>1</v>
      </c>
      <c r="ABB33" s="46">
        <f t="shared" si="498"/>
        <v>2</v>
      </c>
      <c r="ABC33" s="46">
        <f t="shared" si="102"/>
        <v>0</v>
      </c>
      <c r="ABD33" s="46" cm="1">
        <f t="array" ref="ABD33">ROUND(VALUE(IFERROR(INDEX(ArchiveResults!$F$5:$IX$116,ComparisonData!A33,ComparisonData!$ABD$1),0)),5)</f>
        <v>0</v>
      </c>
      <c r="ABE33" s="46" cm="1">
        <f t="array" ref="ABE33">ROUND(VALUE(IFERROR(INDEX(ArchiveResults!$F$5:$IX$116,ComparisonData!A33,ComparisonData!$ABE$1),0)),5)</f>
        <v>0</v>
      </c>
      <c r="ABF33" s="46" cm="1">
        <f t="array" ref="ABF33">ROUND(VALUE(IFERROR(INDEX(ArchiveResults!$F$5:$IX$116,ComparisonData!A33,ComparisonData!$ABF$1),0)),5)</f>
        <v>0</v>
      </c>
      <c r="ABG33" s="46" cm="1">
        <f t="array" ref="ABG33">ROUND(VALUE(IFERROR(INDEX(ArchiveResults!$F$5:$IX$116,ComparisonData!A33,ComparisonData!$ABG$1),0)),5)</f>
        <v>0</v>
      </c>
      <c r="ABH33" s="46" cm="1">
        <f t="array" ref="ABH33">ROUND(VALUE(IFERROR(INDEX(ArchiveResults!$F$5:$IX$116,ComparisonData!A33,ComparisonData!$ABH$1),0)),5)</f>
        <v>0</v>
      </c>
      <c r="ABI33" s="56">
        <v>28</v>
      </c>
      <c r="ABJ33" s="53" t="str">
        <f t="shared" si="103"/>
        <v>Glasgow City Archives</v>
      </c>
      <c r="ABK33" s="60">
        <f t="shared" si="499"/>
        <v>0</v>
      </c>
      <c r="ABL33" s="60">
        <f t="shared" si="500"/>
        <v>0</v>
      </c>
      <c r="ABM33" s="60">
        <f t="shared" si="501"/>
        <v>0</v>
      </c>
      <c r="ABN33" s="60">
        <f t="shared" si="502"/>
        <v>0</v>
      </c>
      <c r="ABO33" s="60">
        <f t="shared" si="503"/>
        <v>0</v>
      </c>
      <c r="ABP33" s="76">
        <f t="shared" si="504"/>
        <v>0</v>
      </c>
      <c r="ABQ33" s="46">
        <f t="shared" si="505"/>
        <v>82</v>
      </c>
      <c r="ABR33" s="46">
        <f t="shared" si="104"/>
        <v>2.8439999999999999</v>
      </c>
      <c r="ABS33" s="46">
        <f t="shared" si="506"/>
        <v>1</v>
      </c>
      <c r="ABT33" s="46">
        <f t="shared" si="507"/>
        <v>2</v>
      </c>
      <c r="ABU33" s="46" cm="1">
        <f t="array" ref="ABU33">ROUND(VALUE(IFERROR(INDEX(ArchiveResults!$F$5:$IX$116,ComparisonData!A33,ComparisonData!$ABU$1),0)),5)</f>
        <v>0</v>
      </c>
      <c r="ABV33" s="46" cm="1">
        <f t="array" ref="ABV33">ROUND(VALUE(IFERROR(INDEX(ArchiveResults!$F$5:$IX$116,ComparisonData!A33,ComparisonData!$ABV$1),0)),5)</f>
        <v>0</v>
      </c>
      <c r="ABW33" s="46" cm="1">
        <f t="array" ref="ABW33">ROUND(VALUE(IFERROR(INDEX(ArchiveResults!$F$5:$IX$116,ComparisonData!A33,ComparisonData!$ABW$1),0)),5)</f>
        <v>0</v>
      </c>
      <c r="ABX33" s="46" cm="1">
        <f t="array" ref="ABX33">ROUND(VALUE(IFERROR(INDEX(ArchiveResults!$F$5:$IX$116,ComparisonData!A33,ComparisonData!$ABX$1),0)),5)</f>
        <v>0</v>
      </c>
      <c r="ABY33" s="46" cm="1">
        <f t="array" ref="ABY33">ROUND(VALUE(IFERROR(INDEX(ArchiveResults!$F$5:$IX$116,ComparisonData!A33,ComparisonData!$ABY$1),0)),5)</f>
        <v>0</v>
      </c>
      <c r="ABZ33" s="56">
        <v>28</v>
      </c>
      <c r="ACA33" s="53" t="str">
        <f t="shared" si="105"/>
        <v>Glasgow City Archives</v>
      </c>
      <c r="ACB33" s="60">
        <f t="shared" si="508"/>
        <v>0</v>
      </c>
      <c r="ACC33" s="60">
        <f t="shared" si="509"/>
        <v>0</v>
      </c>
      <c r="ACD33" s="60">
        <f t="shared" si="510"/>
        <v>0</v>
      </c>
      <c r="ACE33" s="60">
        <f t="shared" si="511"/>
        <v>0</v>
      </c>
      <c r="ACF33" s="60">
        <f t="shared" si="512"/>
        <v>0</v>
      </c>
      <c r="ACG33" s="76">
        <f t="shared" si="513"/>
        <v>0</v>
      </c>
      <c r="ACH33" s="46">
        <f t="shared" si="514"/>
        <v>82</v>
      </c>
      <c r="ACI33" s="46">
        <f t="shared" si="106"/>
        <v>2.8439999999999999</v>
      </c>
      <c r="ACJ33" s="46">
        <f t="shared" si="515"/>
        <v>1</v>
      </c>
      <c r="ACK33" s="46">
        <f t="shared" si="516"/>
        <v>2</v>
      </c>
      <c r="ACL33" s="46">
        <f t="shared" si="517"/>
        <v>0</v>
      </c>
      <c r="ACM33" s="46" cm="1">
        <f t="array" ref="ACM33">ROUND(IFERROR(INDEX(ArchiveResults!$F$5:$IX$116,ComparisonData!A33,ComparisonData!$ACM$1),0),5)</f>
        <v>0</v>
      </c>
      <c r="ACN33" s="46" cm="1">
        <f t="array" ref="ACN33">ROUND(IFERROR(INDEX(ArchiveResults!$F$5:$IX$116,ComparisonData!A33,ComparisonData!$ACN$1),0),5)</f>
        <v>0</v>
      </c>
      <c r="ACO33" s="56">
        <v>28</v>
      </c>
      <c r="ACP33" s="53" t="str">
        <f t="shared" si="107"/>
        <v>Glasgow City Archives</v>
      </c>
      <c r="ACQ33" s="60">
        <f t="shared" si="518"/>
        <v>0</v>
      </c>
      <c r="ACR33" s="60">
        <f t="shared" si="519"/>
        <v>0</v>
      </c>
      <c r="ACS33" s="76">
        <f t="shared" si="520"/>
        <v>0</v>
      </c>
      <c r="ACT33" s="46">
        <f t="shared" si="521"/>
        <v>82</v>
      </c>
      <c r="ACU33" s="46">
        <f t="shared" si="108"/>
        <v>2.8439999999999999</v>
      </c>
      <c r="ACV33" s="46">
        <f t="shared" si="522"/>
        <v>1</v>
      </c>
      <c r="ACW33" s="46">
        <f t="shared" si="523"/>
        <v>2</v>
      </c>
      <c r="ACX33" s="46">
        <f t="shared" si="524"/>
        <v>0</v>
      </c>
      <c r="ACY33" s="46" cm="1">
        <f t="array" ref="ACY33">ROUNDDOWN(IFERROR(INDEX(ArchiveResults!$F$5:$IX$116,ComparisonData!A33,ComparisonData!$ACY$1),0),5)</f>
        <v>0</v>
      </c>
      <c r="ACZ33" s="46" cm="1">
        <f t="array" ref="ACZ33">ROUNDDOWN(IFERROR(INDEX(ArchiveResults!$F$5:$IX$116,ComparisonData!A33,ComparisonData!$ACZ$1),0),5)</f>
        <v>0</v>
      </c>
      <c r="ADA33" s="46" cm="1">
        <f t="array" ref="ADA33">ROUNDDOWN(IFERROR(INDEX(ArchiveResults!$F$5:$IX$116,ComparisonData!A33,ComparisonData!$ADA$1),0),5)</f>
        <v>0</v>
      </c>
      <c r="ADB33" s="56">
        <v>28</v>
      </c>
      <c r="ADC33" s="53" t="str">
        <f t="shared" si="109"/>
        <v>Glasgow City Archives</v>
      </c>
      <c r="ADD33" s="60">
        <f t="shared" si="525"/>
        <v>0</v>
      </c>
      <c r="ADE33" s="60">
        <f t="shared" si="526"/>
        <v>0</v>
      </c>
      <c r="ADF33" s="60">
        <f t="shared" si="527"/>
        <v>0</v>
      </c>
      <c r="ADG33" s="76">
        <f t="shared" si="528"/>
        <v>0</v>
      </c>
    </row>
    <row r="34" spans="1:787" x14ac:dyDescent="0.25">
      <c r="A34" s="46" t="str">
        <f>IF(ISBLANK(ComparisonSelection!F30),"",ROW()-5)</f>
        <v/>
      </c>
      <c r="B34" s="53" t="s">
        <v>484</v>
      </c>
      <c r="C34" s="72">
        <v>0.80899999999999983</v>
      </c>
      <c r="D34" s="55">
        <f t="shared" si="110"/>
        <v>75</v>
      </c>
      <c r="E34" s="54">
        <f t="shared" si="111"/>
        <v>2.8089999999999997</v>
      </c>
      <c r="F34" s="54">
        <f t="shared" si="529"/>
        <v>1</v>
      </c>
      <c r="G34" s="72">
        <f t="shared" si="112"/>
        <v>2</v>
      </c>
      <c r="H34" s="72">
        <f t="shared" si="113"/>
        <v>0</v>
      </c>
      <c r="I34" s="46" cm="1">
        <f t="array" ref="I34">ROUND(IFERROR(INDEX(ArchiveResults!$F$5:$IX$116,ComparisonData!A34,ComparisonData!$I$1),0),5)</f>
        <v>0</v>
      </c>
      <c r="J34" s="46" cm="1">
        <f t="array" ref="J34">ROUND(IFERROR(INDEX(ArchiveResults!$F$5:$IX$116,ComparisonData!A34,ComparisonData!$J$1),0),5)</f>
        <v>0</v>
      </c>
      <c r="K34" s="56">
        <v>29</v>
      </c>
      <c r="L34" s="53" t="str">
        <f t="shared" si="114"/>
        <v>Gloucestershire Archives</v>
      </c>
      <c r="M34" s="57">
        <f t="shared" si="0"/>
        <v>0</v>
      </c>
      <c r="N34" s="57">
        <f t="shared" si="1"/>
        <v>0</v>
      </c>
      <c r="O34" s="58">
        <f t="shared" si="115"/>
        <v>0</v>
      </c>
      <c r="P34" s="48">
        <f t="shared" si="116"/>
        <v>75</v>
      </c>
      <c r="Q34" s="54">
        <f t="shared" si="2"/>
        <v>2.8089999999999997</v>
      </c>
      <c r="R34" s="45">
        <f t="shared" si="117"/>
        <v>1</v>
      </c>
      <c r="S34" s="46">
        <f t="shared" si="118"/>
        <v>2</v>
      </c>
      <c r="T34" s="72">
        <f t="shared" si="119"/>
        <v>0</v>
      </c>
      <c r="U34" s="46" cm="1">
        <f t="array" ref="U34">ROUND(IFERROR(INDEX(ArchiveResults!$F$5:$IX$116,ComparisonData!A34,ComparisonData!$U$1),0),5)</f>
        <v>0</v>
      </c>
      <c r="V34" s="46" cm="1">
        <f t="array" ref="V34">ROUND(IFERROR(INDEX(ArchiveResults!$F$5:$IX$116,ComparisonData!A34,ComparisonData!$V$1),0),5)</f>
        <v>0</v>
      </c>
      <c r="W34" s="56">
        <v>29</v>
      </c>
      <c r="X34" s="53" t="str">
        <f t="shared" si="3"/>
        <v>Gloucestershire Archives</v>
      </c>
      <c r="Y34" s="57">
        <f t="shared" si="120"/>
        <v>0</v>
      </c>
      <c r="Z34" s="57">
        <f t="shared" si="121"/>
        <v>0</v>
      </c>
      <c r="AA34" s="58">
        <f t="shared" si="122"/>
        <v>0</v>
      </c>
      <c r="AB34" s="45">
        <f t="shared" si="123"/>
        <v>75</v>
      </c>
      <c r="AC34" s="54">
        <f t="shared" si="4"/>
        <v>2.8089999999999997</v>
      </c>
      <c r="AD34" s="45">
        <f t="shared" si="124"/>
        <v>1</v>
      </c>
      <c r="AE34" s="45">
        <f t="shared" si="125"/>
        <v>2</v>
      </c>
      <c r="AF34" s="45">
        <f t="shared" si="126"/>
        <v>0</v>
      </c>
      <c r="AG34" s="46" cm="1">
        <f t="array" ref="AG34">ROUND(IFERROR(INDEX(ArchiveResults!$F$5:$IX$116,ComparisonData!A34,ComparisonData!$AG$1),0),5)</f>
        <v>0</v>
      </c>
      <c r="AH34" s="46" cm="1">
        <f t="array" ref="AH34">ROUND(IFERROR(INDEX(ArchiveResults!$F$5:$IX$116,ComparisonData!A34,ComparisonData!$AH$1),0),5)</f>
        <v>0</v>
      </c>
      <c r="AI34" s="56">
        <v>29</v>
      </c>
      <c r="AJ34" s="53" t="str">
        <f t="shared" si="5"/>
        <v>Gloucestershire Archives</v>
      </c>
      <c r="AK34" s="59">
        <f t="shared" si="6"/>
        <v>0</v>
      </c>
      <c r="AL34" s="59">
        <f t="shared" si="7"/>
        <v>0</v>
      </c>
      <c r="AM34" s="58">
        <f t="shared" si="127"/>
        <v>0</v>
      </c>
      <c r="AN34" s="45">
        <f t="shared" si="128"/>
        <v>75</v>
      </c>
      <c r="AO34" s="54">
        <f t="shared" si="8"/>
        <v>2.8089999999999997</v>
      </c>
      <c r="AP34" s="45">
        <f t="shared" si="129"/>
        <v>1</v>
      </c>
      <c r="AQ34" s="45">
        <f t="shared" si="130"/>
        <v>2</v>
      </c>
      <c r="AR34" s="46" cm="1">
        <f t="array" ref="AR34">ROUND(IFERROR(INDEX(ArchiveResults!$F$5:$IX$116,ComparisonData!A34,ComparisonData!$AR$1),0),5)</f>
        <v>0</v>
      </c>
      <c r="AS34" s="46" cm="1">
        <f t="array" ref="AS34">ROUND(IFERROR(INDEX(ArchiveResults!$F$5:$IX$116,ComparisonData!A34,ComparisonData!$AS$1),0),5)</f>
        <v>0</v>
      </c>
      <c r="AT34" s="46" cm="1">
        <f t="array" ref="AT34">ROUND(IFERROR(INDEX(ArchiveResults!$F$5:$IX$116,ComparisonData!A34,ComparisonData!$AT$1),0),5)</f>
        <v>0</v>
      </c>
      <c r="AU34" s="46" cm="1">
        <f t="array" ref="AU34">ROUND(IFERROR(INDEX(ArchiveResults!$F$5:$IX$116,ComparisonData!A34,ComparisonData!$AU$1),0),5)</f>
        <v>0</v>
      </c>
      <c r="AV34" s="46" cm="1">
        <f t="array" ref="AV34">ROUND(IFERROR(INDEX(ArchiveResults!$F$5:$IX$116,ComparisonData!A34,ComparisonData!$AV$1),0),5)</f>
        <v>0</v>
      </c>
      <c r="AW34" s="46" cm="1">
        <f t="array" ref="AW34">ROUND(IFERROR(INDEX(ArchiveResults!$F$5:$IX$116,ComparisonData!A34,ComparisonData!$AW$1),0),5)</f>
        <v>0</v>
      </c>
      <c r="AX34" s="46" cm="1">
        <f t="array" ref="AX34">ROUND(IFERROR(INDEX(ArchiveResults!$F$5:$IX$116,ComparisonData!A34,ComparisonData!$AX$1),0),5)</f>
        <v>0</v>
      </c>
      <c r="AY34" s="46" cm="1">
        <f t="array" ref="AY34">ROUND(IFERROR(INDEX(ArchiveResults!$F$5:$IX$116,ComparisonData!A34,ComparisonData!$AY$1),0),5)</f>
        <v>0</v>
      </c>
      <c r="AZ34" s="46" cm="1">
        <f t="array" ref="AZ34">ROUND(IFERROR(INDEX(ArchiveResults!$F$5:$IX$116,ComparisonData!A34,ComparisonData!$AZ$1),0),5)</f>
        <v>0</v>
      </c>
      <c r="BA34" s="46" cm="1">
        <f t="array" ref="BA34">ROUND(IFERROR(INDEX(ArchiveResults!$F$5:$IX$116,ComparisonData!A34,ComparisonData!$BA$1),0),5)</f>
        <v>0</v>
      </c>
      <c r="BB34" s="56">
        <v>29</v>
      </c>
      <c r="BC34" s="53" t="str">
        <f t="shared" si="9"/>
        <v>Gloucestershire Archives</v>
      </c>
      <c r="BD34" s="60">
        <f t="shared" si="131"/>
        <v>0</v>
      </c>
      <c r="BE34" s="60">
        <f t="shared" si="132"/>
        <v>0</v>
      </c>
      <c r="BF34" s="60">
        <f t="shared" si="133"/>
        <v>0</v>
      </c>
      <c r="BG34" s="60">
        <f t="shared" si="134"/>
        <v>0</v>
      </c>
      <c r="BH34" s="60">
        <f t="shared" si="135"/>
        <v>0</v>
      </c>
      <c r="BI34" s="60">
        <f t="shared" si="136"/>
        <v>0</v>
      </c>
      <c r="BJ34" s="60">
        <f t="shared" si="137"/>
        <v>0</v>
      </c>
      <c r="BK34" s="60">
        <f t="shared" si="138"/>
        <v>0</v>
      </c>
      <c r="BL34" s="60">
        <f t="shared" si="139"/>
        <v>0</v>
      </c>
      <c r="BM34" s="59">
        <f t="shared" si="140"/>
        <v>0</v>
      </c>
      <c r="BN34" s="58">
        <f t="shared" si="141"/>
        <v>0</v>
      </c>
      <c r="BO34" s="45">
        <f t="shared" si="142"/>
        <v>75</v>
      </c>
      <c r="BP34" s="54">
        <f t="shared" si="10"/>
        <v>2.8089999999999997</v>
      </c>
      <c r="BQ34" s="45">
        <f t="shared" si="143"/>
        <v>1</v>
      </c>
      <c r="BR34" s="45">
        <f t="shared" si="144"/>
        <v>2</v>
      </c>
      <c r="BS34" s="46" cm="1">
        <f t="array" ref="BS34">ROUND(IFERROR(INDEX(ArchiveResults!$F$5:$IX$116,ComparisonData!A34,ComparisonData!$BS$1),0),5)</f>
        <v>0</v>
      </c>
      <c r="BT34" s="46" cm="1">
        <f t="array" ref="BT34">ROUND(IFERROR(INDEX(ArchiveResults!$F$5:$IX$116,ComparisonData!A34,ComparisonData!$BT$1),0),5)</f>
        <v>0</v>
      </c>
      <c r="BU34" s="46" cm="1">
        <f t="array" ref="BU34">ROUND(IFERROR(INDEX(ArchiveResults!$F$5:$IX$116,ComparisonData!A34,ComparisonData!$BU$1),0),5)</f>
        <v>0</v>
      </c>
      <c r="BV34" s="46" cm="1">
        <f t="array" ref="BV34">ROUND(IFERROR(INDEX(ArchiveResults!$F$5:$IX$116,ComparisonData!A34,ComparisonData!$BV$1),0),5)</f>
        <v>0</v>
      </c>
      <c r="BW34" s="46" cm="1">
        <f t="array" ref="BW34">ROUND(IFERROR(INDEX(ArchiveResults!$F$5:$IX$116,ComparisonData!A34,ComparisonData!$BW$1),0),5)</f>
        <v>0</v>
      </c>
      <c r="BX34" s="46" cm="1">
        <f t="array" ref="BX34">ROUND(IFERROR(INDEX(ArchiveResults!$F$5:$IX$116,ComparisonData!A34,ComparisonData!$BX$1),0),5)</f>
        <v>0</v>
      </c>
      <c r="BY34" s="56">
        <v>29</v>
      </c>
      <c r="BZ34" s="53" t="str">
        <f t="shared" si="11"/>
        <v>Gloucestershire Archives</v>
      </c>
      <c r="CA34" s="59">
        <f t="shared" si="145"/>
        <v>0</v>
      </c>
      <c r="CB34" s="59">
        <f t="shared" si="146"/>
        <v>0</v>
      </c>
      <c r="CC34" s="59">
        <f t="shared" si="147"/>
        <v>0</v>
      </c>
      <c r="CD34" s="59">
        <f t="shared" si="148"/>
        <v>0</v>
      </c>
      <c r="CE34" s="59">
        <f t="shared" si="149"/>
        <v>0</v>
      </c>
      <c r="CF34" s="59">
        <f t="shared" si="150"/>
        <v>0</v>
      </c>
      <c r="CG34" s="58">
        <f t="shared" si="151"/>
        <v>0</v>
      </c>
      <c r="CH34" s="45">
        <f t="shared" si="152"/>
        <v>75</v>
      </c>
      <c r="CI34" s="54">
        <f t="shared" si="12"/>
        <v>2.8089999999999997</v>
      </c>
      <c r="CJ34" s="45">
        <f t="shared" si="153"/>
        <v>1</v>
      </c>
      <c r="CK34" s="45">
        <f t="shared" si="154"/>
        <v>2</v>
      </c>
      <c r="CL34" s="46" cm="1">
        <f t="array" ref="CL34">ROUND(IFERROR(INDEX(ArchiveResults!$F$5:$IX$116,ComparisonData!A34,ComparisonData!$CL$1),0),5)</f>
        <v>0</v>
      </c>
      <c r="CM34" s="56">
        <v>29</v>
      </c>
      <c r="CN34" s="53" t="str">
        <f t="shared" si="13"/>
        <v>Gloucestershire Archives</v>
      </c>
      <c r="CO34" s="45">
        <f t="shared" si="155"/>
        <v>0</v>
      </c>
      <c r="CP34" s="58">
        <f t="shared" si="156"/>
        <v>0</v>
      </c>
      <c r="CQ34" s="45">
        <f t="shared" si="157"/>
        <v>75</v>
      </c>
      <c r="CR34" s="54">
        <f t="shared" si="14"/>
        <v>2.8089999999999997</v>
      </c>
      <c r="CS34" s="45">
        <f t="shared" si="158"/>
        <v>1</v>
      </c>
      <c r="CT34" s="45">
        <f t="shared" si="159"/>
        <v>2</v>
      </c>
      <c r="CU34" s="46" cm="1">
        <f t="array" ref="CU34">ROUND(IFERROR(INDEX(ArchiveResults!$F$5:$IX$116,ComparisonData!A34,ComparisonData!$CU$1),0),5)</f>
        <v>0</v>
      </c>
      <c r="CV34" s="56">
        <v>29</v>
      </c>
      <c r="CW34" s="53" t="str">
        <f t="shared" si="15"/>
        <v>Gloucestershire Archives</v>
      </c>
      <c r="CX34" s="45">
        <f t="shared" si="160"/>
        <v>0</v>
      </c>
      <c r="CY34" s="58">
        <f t="shared" si="161"/>
        <v>0</v>
      </c>
      <c r="CZ34" s="45">
        <f t="shared" si="162"/>
        <v>75</v>
      </c>
      <c r="DA34" s="54">
        <f t="shared" si="16"/>
        <v>2.8089999999999997</v>
      </c>
      <c r="DB34" s="45">
        <f t="shared" si="163"/>
        <v>1</v>
      </c>
      <c r="DC34" s="45">
        <f t="shared" si="164"/>
        <v>2</v>
      </c>
      <c r="DD34" s="46" cm="1">
        <f t="array" ref="DD34">ROUND(IFERROR(INDEX(ArchiveResults!$F$5:$IX$116,ComparisonData!A34,ComparisonData!$DD$1),0),5)</f>
        <v>0</v>
      </c>
      <c r="DE34" s="56">
        <v>29</v>
      </c>
      <c r="DF34" s="53" t="str">
        <f t="shared" si="17"/>
        <v>Gloucestershire Archives</v>
      </c>
      <c r="DG34" s="45">
        <f t="shared" si="165"/>
        <v>0</v>
      </c>
      <c r="DH34" s="58">
        <f t="shared" si="166"/>
        <v>0</v>
      </c>
      <c r="DI34" s="45">
        <f t="shared" si="167"/>
        <v>75</v>
      </c>
      <c r="DJ34" s="54">
        <f t="shared" si="18"/>
        <v>2.8089999999999997</v>
      </c>
      <c r="DK34" s="45">
        <f t="shared" si="168"/>
        <v>1</v>
      </c>
      <c r="DL34" s="45">
        <f t="shared" si="169"/>
        <v>2</v>
      </c>
      <c r="DM34" s="46" cm="1">
        <f t="array" ref="DM34">ROUND(IFERROR(INDEX(ArchiveResults!$F$5:$IX$116,ComparisonData!A34,ComparisonData!$DM$1),0),5)</f>
        <v>0</v>
      </c>
      <c r="DN34" s="46" cm="1">
        <f t="array" ref="DN34">ROUND(IFERROR(INDEX(ArchiveResults!$F$5:$IX$116,ComparisonData!A34,ComparisonData!$DN$1),0),5)</f>
        <v>0</v>
      </c>
      <c r="DO34" s="46" cm="1">
        <f t="array" ref="DO34">ROUND(IFERROR(INDEX(ArchiveResults!$F$5:$IX$116,ComparisonData!A34,ComparisonData!$DO$1),0),5)</f>
        <v>0</v>
      </c>
      <c r="DP34" s="46" cm="1">
        <f t="array" ref="DP34">ROUND(IFERROR(INDEX(ArchiveResults!$F$5:$IX$116,ComparisonData!A34,ComparisonData!$DP$1),0),5)</f>
        <v>0</v>
      </c>
      <c r="DQ34" s="45" cm="1">
        <f t="array" ref="DQ34">IFERROR(INDEX(ArchiveResults!$F$5:$IX$116,ComparisonData!A34,ComparisonData!$DQ$1),0)</f>
        <v>0</v>
      </c>
      <c r="DR34" s="56">
        <v>29</v>
      </c>
      <c r="DS34" s="53" t="str">
        <f t="shared" si="19"/>
        <v>Gloucestershire Archives</v>
      </c>
      <c r="DT34" s="59">
        <f t="shared" si="170"/>
        <v>0</v>
      </c>
      <c r="DU34" s="59">
        <f t="shared" si="171"/>
        <v>0</v>
      </c>
      <c r="DV34" s="59">
        <f t="shared" si="172"/>
        <v>0</v>
      </c>
      <c r="DW34" s="59">
        <f t="shared" si="173"/>
        <v>0</v>
      </c>
      <c r="DX34" s="59">
        <f t="shared" si="174"/>
        <v>0</v>
      </c>
      <c r="DY34" s="58">
        <f t="shared" si="175"/>
        <v>0</v>
      </c>
      <c r="DZ34" s="45">
        <f t="shared" si="176"/>
        <v>75</v>
      </c>
      <c r="EA34" s="54">
        <f t="shared" si="20"/>
        <v>2.8089999999999997</v>
      </c>
      <c r="EB34" s="45">
        <f t="shared" si="177"/>
        <v>1</v>
      </c>
      <c r="EC34" s="45">
        <f t="shared" si="178"/>
        <v>2</v>
      </c>
      <c r="ED34" s="46" cm="1">
        <f t="array" ref="ED34">ROUND(IFERROR(INDEX(ArchiveResults!$F$5:$IX$116,ComparisonData!A34,ComparisonData!$ED$1),0),5)</f>
        <v>0</v>
      </c>
      <c r="EE34" s="46" cm="1">
        <f t="array" ref="EE34">ROUND(IFERROR(INDEX(ArchiveResults!$F$5:$IX$116,ComparisonData!A34,ComparisonData!$EE$1),0),5)</f>
        <v>0</v>
      </c>
      <c r="EF34" s="46" cm="1">
        <f t="array" ref="EF34">ROUND(IFERROR(INDEX(ArchiveResults!$F$5:$IX$116,ComparisonData!A34,ComparisonData!$EF$1),0),5)</f>
        <v>0</v>
      </c>
      <c r="EG34" s="46" cm="1">
        <f t="array" ref="EG34">ROUND(IFERROR(INDEX(ArchiveResults!$F$5:$IX$116,ComparisonData!A34,ComparisonData!$EG$1),0),5)</f>
        <v>0</v>
      </c>
      <c r="EH34" s="45" cm="1">
        <f t="array" ref="EH34">IFERROR(INDEX(ArchiveResults!$F$5:$IX$116,ComparisonData!A34,ComparisonData!$EH$1),0)</f>
        <v>0</v>
      </c>
      <c r="EI34" s="56">
        <v>29</v>
      </c>
      <c r="EJ34" s="53" t="str">
        <f t="shared" si="21"/>
        <v>Gloucestershire Archives</v>
      </c>
      <c r="EK34" s="59">
        <f t="shared" si="179"/>
        <v>0</v>
      </c>
      <c r="EL34" s="59">
        <f t="shared" si="180"/>
        <v>0</v>
      </c>
      <c r="EM34" s="59">
        <f t="shared" si="181"/>
        <v>0</v>
      </c>
      <c r="EN34" s="59">
        <f t="shared" si="182"/>
        <v>0</v>
      </c>
      <c r="EO34" s="59">
        <f t="shared" si="183"/>
        <v>0</v>
      </c>
      <c r="EP34" s="58">
        <f t="shared" si="184"/>
        <v>0</v>
      </c>
      <c r="EQ34" s="45">
        <f t="shared" si="185"/>
        <v>75</v>
      </c>
      <c r="ER34" s="54">
        <f t="shared" si="22"/>
        <v>2.8089999999999997</v>
      </c>
      <c r="ES34" s="45">
        <f t="shared" si="186"/>
        <v>1</v>
      </c>
      <c r="ET34" s="45">
        <f t="shared" si="187"/>
        <v>2</v>
      </c>
      <c r="EU34" s="46" cm="1">
        <f t="array" ref="EU34">ROUND(IFERROR(INDEX(ArchiveResults!$F$5:$IX$116,ComparisonData!A34,ComparisonData!$EU$1),0),5)</f>
        <v>0</v>
      </c>
      <c r="EV34" s="46" cm="1">
        <f t="array" ref="EV34">ROUND(IFERROR(INDEX(ArchiveResults!$F$5:$IX$116,ComparisonData!A34,ComparisonData!$EV$1),0),5)</f>
        <v>0</v>
      </c>
      <c r="EW34" s="46" cm="1">
        <f t="array" ref="EW34">ROUND(IFERROR(INDEX(ArchiveResults!$F$5:$IX$116,ComparisonData!A34,ComparisonData!$EW$1),0),5)</f>
        <v>0</v>
      </c>
      <c r="EX34" s="46" cm="1">
        <f t="array" ref="EX34">ROUND(IFERROR(INDEX(ArchiveResults!$F$5:$IX$116,ComparisonData!A34,ComparisonData!$EX$1),0),5)</f>
        <v>0</v>
      </c>
      <c r="EY34" s="45" cm="1">
        <f t="array" ref="EY34">IFERROR(INDEX(ArchiveResults!$F$5:$IX$116,ComparisonData!A34,ComparisonData!$EY$1),0)</f>
        <v>0</v>
      </c>
      <c r="EZ34" s="56">
        <v>29</v>
      </c>
      <c r="FA34" s="53" t="str">
        <f t="shared" si="23"/>
        <v>Gloucestershire Archives</v>
      </c>
      <c r="FB34" s="59">
        <f t="shared" si="188"/>
        <v>0</v>
      </c>
      <c r="FC34" s="59">
        <f t="shared" si="189"/>
        <v>0</v>
      </c>
      <c r="FD34" s="59">
        <f t="shared" si="190"/>
        <v>0</v>
      </c>
      <c r="FE34" s="59">
        <f t="shared" si="191"/>
        <v>0</v>
      </c>
      <c r="FF34" s="59">
        <f t="shared" si="192"/>
        <v>0</v>
      </c>
      <c r="FG34" s="58">
        <f t="shared" si="193"/>
        <v>0</v>
      </c>
      <c r="FH34" s="45">
        <f t="shared" si="194"/>
        <v>75</v>
      </c>
      <c r="FI34" s="54">
        <f t="shared" si="24"/>
        <v>2.8089999999999997</v>
      </c>
      <c r="FJ34" s="45">
        <f t="shared" si="195"/>
        <v>1</v>
      </c>
      <c r="FK34" s="45">
        <f t="shared" si="196"/>
        <v>2</v>
      </c>
      <c r="FL34" s="46" cm="1">
        <f t="array" ref="FL34">ROUND(IFERROR(INDEX(ArchiveResults!$F$5:$IX$116,ComparisonData!A34,ComparisonData!$FL$1),0),5)</f>
        <v>0</v>
      </c>
      <c r="FM34" s="46" cm="1">
        <f t="array" ref="FM34">ROUND(IFERROR(INDEX(ArchiveResults!$F$5:$IX$116,ComparisonData!A34,ComparisonData!$FM$1),0),5)</f>
        <v>0</v>
      </c>
      <c r="FN34" s="46" cm="1">
        <f t="array" ref="FN34">ROUND(IFERROR(INDEX(ArchiveResults!$F$5:$IX$116,ComparisonData!A34,ComparisonData!$FN$1),0),5)</f>
        <v>0</v>
      </c>
      <c r="FO34" s="46" cm="1">
        <f t="array" ref="FO34">ROUND(IFERROR(INDEX(ArchiveResults!$F$5:$IX$116,ComparisonData!A34,ComparisonData!$FO$1),0),5)</f>
        <v>0</v>
      </c>
      <c r="FP34" s="45" cm="1">
        <f t="array" ref="FP34">IFERROR(INDEX(ArchiveResults!$F$5:$IX$116,ComparisonData!A34,ComparisonData!$FP$1),0)</f>
        <v>0</v>
      </c>
      <c r="FQ34" s="56">
        <v>29</v>
      </c>
      <c r="FR34" s="53" t="str">
        <f t="shared" si="25"/>
        <v>Gloucestershire Archives</v>
      </c>
      <c r="FS34" s="59">
        <f t="shared" si="197"/>
        <v>0</v>
      </c>
      <c r="FT34" s="59">
        <f t="shared" si="198"/>
        <v>0</v>
      </c>
      <c r="FU34" s="59">
        <f t="shared" si="199"/>
        <v>0</v>
      </c>
      <c r="FV34" s="59">
        <f t="shared" si="200"/>
        <v>0</v>
      </c>
      <c r="FW34" s="59">
        <f t="shared" si="201"/>
        <v>0</v>
      </c>
      <c r="FX34" s="58">
        <f t="shared" si="202"/>
        <v>0</v>
      </c>
      <c r="FY34" s="45">
        <f t="shared" si="203"/>
        <v>75</v>
      </c>
      <c r="FZ34" s="45">
        <f t="shared" si="26"/>
        <v>2.8089999999999997</v>
      </c>
      <c r="GA34" s="45">
        <f t="shared" si="204"/>
        <v>1</v>
      </c>
      <c r="GB34" s="45">
        <f t="shared" si="205"/>
        <v>2</v>
      </c>
      <c r="GC34" s="46" cm="1">
        <f t="array" ref="GC34">ROUND(IFERROR(INDEX(ArchiveResults!$F$5:$IX$116,ComparisonData!A34,ComparisonData!$GC$1),0),5)</f>
        <v>0</v>
      </c>
      <c r="GD34" s="46" cm="1">
        <f t="array" ref="GD34">ROUND(IFERROR(INDEX(ArchiveResults!$F$5:$IX$116,ComparisonData!A34,ComparisonData!$GD$1),0),5)</f>
        <v>0</v>
      </c>
      <c r="GE34" s="46" cm="1">
        <f t="array" ref="GE34">ROUND(IFERROR(INDEX(ArchiveResults!$F$5:$IX$116,ComparisonData!A34,ComparisonData!$GE$1),0),5)</f>
        <v>0</v>
      </c>
      <c r="GF34" s="46" cm="1">
        <f t="array" ref="GF34">ROUND(IFERROR(INDEX(ArchiveResults!$F$5:$IX$116,ComparisonData!A34,ComparisonData!$GF$1),0),5)</f>
        <v>0</v>
      </c>
      <c r="GG34" s="45" cm="1">
        <f t="array" ref="GG34">IFERROR(INDEX(ArchiveResults!$F$5:$IX$116,ComparisonData!A34,ComparisonData!$GG$1),0)</f>
        <v>0</v>
      </c>
      <c r="GH34" s="56">
        <v>29</v>
      </c>
      <c r="GI34" s="53" t="str">
        <f t="shared" si="27"/>
        <v>Gloucestershire Archives</v>
      </c>
      <c r="GJ34" s="59">
        <f t="shared" si="206"/>
        <v>0</v>
      </c>
      <c r="GK34" s="59">
        <f t="shared" si="207"/>
        <v>0</v>
      </c>
      <c r="GL34" s="59">
        <f t="shared" si="208"/>
        <v>0</v>
      </c>
      <c r="GM34" s="59">
        <f t="shared" si="209"/>
        <v>0</v>
      </c>
      <c r="GN34" s="59">
        <f t="shared" si="210"/>
        <v>0</v>
      </c>
      <c r="GO34" s="58">
        <f t="shared" si="211"/>
        <v>0</v>
      </c>
      <c r="GP34" s="45">
        <f t="shared" si="212"/>
        <v>75</v>
      </c>
      <c r="GQ34" s="45">
        <f t="shared" si="28"/>
        <v>2.8089999999999997</v>
      </c>
      <c r="GR34" s="45">
        <f t="shared" si="213"/>
        <v>1</v>
      </c>
      <c r="GS34" s="45">
        <f t="shared" si="214"/>
        <v>2</v>
      </c>
      <c r="GT34" s="46" cm="1">
        <f t="array" ref="GT34">ROUND(IFERROR(INDEX(ArchiveResults!$F$5:$IX$116,ComparisonData!A34,ComparisonData!$GT$1),0),5)</f>
        <v>0</v>
      </c>
      <c r="GU34" s="46" cm="1">
        <f t="array" ref="GU34">ROUND(IFERROR(INDEX(ArchiveResults!$F$5:$IX$116,ComparisonData!A34,ComparisonData!$GU$1),0),5)</f>
        <v>0</v>
      </c>
      <c r="GV34" s="46" cm="1">
        <f t="array" ref="GV34">ROUND(IFERROR(INDEX(ArchiveResults!$F$5:$IX$116,ComparisonData!A34,ComparisonData!$GV$1),0),5)</f>
        <v>0</v>
      </c>
      <c r="GW34" s="46" cm="1">
        <f t="array" ref="GW34">ROUND(IFERROR(INDEX(ArchiveResults!$F$5:$IX$116,ComparisonData!A34,ComparisonData!$GW$1),0),5)</f>
        <v>0</v>
      </c>
      <c r="GX34" s="45" cm="1">
        <f t="array" ref="GX34">IFERROR(INDEX(ArchiveResults!$F$5:$IX$116,ComparisonData!A34,ComparisonData!$GX$1),0)</f>
        <v>0</v>
      </c>
      <c r="GY34" s="56">
        <v>29</v>
      </c>
      <c r="GZ34" s="53" t="str">
        <f t="shared" si="29"/>
        <v>Gloucestershire Archives</v>
      </c>
      <c r="HA34" s="59">
        <f t="shared" si="215"/>
        <v>0</v>
      </c>
      <c r="HB34" s="59">
        <f t="shared" si="216"/>
        <v>0</v>
      </c>
      <c r="HC34" s="59">
        <f t="shared" si="217"/>
        <v>0</v>
      </c>
      <c r="HD34" s="59">
        <f t="shared" si="218"/>
        <v>0</v>
      </c>
      <c r="HE34" s="59">
        <f t="shared" si="219"/>
        <v>0</v>
      </c>
      <c r="HF34" s="58">
        <f t="shared" si="220"/>
        <v>0</v>
      </c>
      <c r="HG34" s="45">
        <f t="shared" si="221"/>
        <v>75</v>
      </c>
      <c r="HH34" s="45">
        <f t="shared" si="30"/>
        <v>2.8089999999999997</v>
      </c>
      <c r="HI34" s="45">
        <f t="shared" si="222"/>
        <v>1</v>
      </c>
      <c r="HJ34" s="45">
        <f t="shared" si="223"/>
        <v>2</v>
      </c>
      <c r="HK34" s="46" cm="1">
        <f t="array" ref="HK34">ROUND(IFERROR(INDEX(ArchiveResults!$F$5:$IX$116,ComparisonData!A34,ComparisonData!$HK$1),0),5)</f>
        <v>0</v>
      </c>
      <c r="HL34" s="46" cm="1">
        <f t="array" ref="HL34">ROUND(IFERROR(INDEX(ArchiveResults!$F$5:$IX$116,ComparisonData!A34,ComparisonData!$HL$1),0),5)</f>
        <v>0</v>
      </c>
      <c r="HM34" s="46" cm="1">
        <f t="array" ref="HM34">ROUND(IFERROR(INDEX(ArchiveResults!$F$5:$IX$116,ComparisonData!A34,ComparisonData!$HM$1),0),5)</f>
        <v>0</v>
      </c>
      <c r="HN34" s="46" cm="1">
        <f t="array" ref="HN34">ROUND(IFERROR(INDEX(ArchiveResults!$F$5:$IX$116,ComparisonData!A34,ComparisonData!$HN$1),0),5)</f>
        <v>0</v>
      </c>
      <c r="HO34" s="45" cm="1">
        <f t="array" ref="HO34">IFERROR(INDEX(ArchiveResults!$F$5:$IX$116,ComparisonData!A34,ComparisonData!$HO$1),0)</f>
        <v>0</v>
      </c>
      <c r="HP34" s="56">
        <v>29</v>
      </c>
      <c r="HQ34" s="53" t="str">
        <f t="shared" si="31"/>
        <v>Gloucestershire Archives</v>
      </c>
      <c r="HR34" s="59">
        <f t="shared" si="32"/>
        <v>0</v>
      </c>
      <c r="HS34" s="59">
        <f t="shared" si="33"/>
        <v>0</v>
      </c>
      <c r="HT34" s="59">
        <f t="shared" si="34"/>
        <v>0</v>
      </c>
      <c r="HU34" s="59">
        <f t="shared" si="35"/>
        <v>0</v>
      </c>
      <c r="HV34" s="59">
        <f t="shared" si="36"/>
        <v>0</v>
      </c>
      <c r="HW34" s="58">
        <f t="shared" si="224"/>
        <v>0</v>
      </c>
      <c r="HX34" s="45">
        <f t="shared" si="225"/>
        <v>75</v>
      </c>
      <c r="HY34" s="45">
        <f t="shared" si="37"/>
        <v>2.8089999999999997</v>
      </c>
      <c r="HZ34" s="45">
        <f t="shared" si="226"/>
        <v>1</v>
      </c>
      <c r="IA34" s="45">
        <f t="shared" si="227"/>
        <v>2</v>
      </c>
      <c r="IB34" s="45">
        <f t="shared" si="228"/>
        <v>0</v>
      </c>
      <c r="IC34" s="46" cm="1">
        <f t="array" ref="IC34">ROUND(IFERROR(INDEX(ArchiveResults!$F$5:$IX$116,ComparisonData!A34,ComparisonData!$IC$1),0),5)</f>
        <v>0</v>
      </c>
      <c r="ID34" s="46" cm="1">
        <f t="array" ref="ID34">ROUND(IFERROR(INDEX(ArchiveResults!$F$5:$IX$116,ComparisonData!A34,ComparisonData!$ID$1),0),5)</f>
        <v>0</v>
      </c>
      <c r="IE34" s="46" cm="1">
        <f t="array" ref="IE34">ROUND(IFERROR(INDEX(ArchiveResults!$F$5:$IX$116,ComparisonData!A34,ComparisonData!$IE$1),0),5)</f>
        <v>0</v>
      </c>
      <c r="IF34" s="46" cm="1">
        <f t="array" ref="IF34">ROUND(IFERROR(INDEX(ArchiveResults!$F$5:$IX$116,ComparisonData!A34,ComparisonData!$IF$1),0),5)</f>
        <v>0</v>
      </c>
      <c r="IG34" s="45" cm="1">
        <f t="array" ref="IG34">IFERROR(INDEX(ArchiveResults!$F$5:$IX$116,ComparisonData!A34,ComparisonData!$IG$1),0)</f>
        <v>0</v>
      </c>
      <c r="IH34" s="56">
        <v>29</v>
      </c>
      <c r="II34" s="53" t="str">
        <f t="shared" si="38"/>
        <v>Gloucestershire Archives</v>
      </c>
      <c r="IJ34" s="59">
        <f t="shared" si="229"/>
        <v>0</v>
      </c>
      <c r="IK34" s="59">
        <f t="shared" si="230"/>
        <v>0</v>
      </c>
      <c r="IL34" s="59">
        <f t="shared" si="231"/>
        <v>0</v>
      </c>
      <c r="IM34" s="59">
        <f t="shared" si="232"/>
        <v>0</v>
      </c>
      <c r="IN34" s="59">
        <f t="shared" si="233"/>
        <v>0</v>
      </c>
      <c r="IO34" s="58">
        <f t="shared" si="234"/>
        <v>0</v>
      </c>
      <c r="IP34" s="45">
        <f t="shared" si="235"/>
        <v>75</v>
      </c>
      <c r="IQ34" s="45">
        <f t="shared" si="39"/>
        <v>2.8089999999999997</v>
      </c>
      <c r="IR34" s="45">
        <f t="shared" si="236"/>
        <v>1</v>
      </c>
      <c r="IS34" s="45">
        <f t="shared" si="237"/>
        <v>2</v>
      </c>
      <c r="IT34" s="46">
        <f t="shared" si="238"/>
        <v>0</v>
      </c>
      <c r="IU34" s="46" cm="1">
        <f t="array" ref="IU34">ROUND(IFERROR(INDEX(ArchiveResults!$F$5:$IX$116,ComparisonData!A34,ComparisonData!$IU$1),0),5)</f>
        <v>0</v>
      </c>
      <c r="IV34" s="46" cm="1">
        <f t="array" ref="IV34">ROUND(IFERROR(INDEX(ArchiveResults!$F$5:$IX$116,ComparisonData!A34,ComparisonData!$IV$1),0),5)</f>
        <v>0</v>
      </c>
      <c r="IW34" s="46" cm="1">
        <f t="array" ref="IW34">ROUND(IFERROR(INDEX(ArchiveResults!$F$5:$IX$116,ComparisonData!A34,ComparisonData!$IW$1),0),5)</f>
        <v>0</v>
      </c>
      <c r="IX34" s="46" cm="1">
        <f t="array" ref="IX34">ROUND(IFERROR(INDEX(ArchiveResults!$F$5:$IX$116,ComparisonData!A34,ComparisonData!$IX$1),0),5)</f>
        <v>0</v>
      </c>
      <c r="IY34" s="45" cm="1">
        <f t="array" ref="IY34">IFERROR(INDEX(ArchiveResults!$F$5:$IX$116,ComparisonData!A34,ComparisonData!$IY$1),0)</f>
        <v>0</v>
      </c>
      <c r="IZ34" s="56">
        <v>29</v>
      </c>
      <c r="JA34" s="53" t="str">
        <f t="shared" si="40"/>
        <v>Gloucestershire Archives</v>
      </c>
      <c r="JB34" s="59">
        <f t="shared" si="239"/>
        <v>0</v>
      </c>
      <c r="JC34" s="59">
        <f t="shared" si="240"/>
        <v>0</v>
      </c>
      <c r="JD34" s="59">
        <f t="shared" si="241"/>
        <v>0</v>
      </c>
      <c r="JE34" s="59">
        <f t="shared" si="242"/>
        <v>0</v>
      </c>
      <c r="JF34" s="59">
        <f t="shared" si="243"/>
        <v>0</v>
      </c>
      <c r="JG34" s="58">
        <f t="shared" si="244"/>
        <v>0</v>
      </c>
      <c r="JH34" s="45">
        <f t="shared" si="245"/>
        <v>75</v>
      </c>
      <c r="JI34" s="45">
        <f t="shared" si="41"/>
        <v>2.8089999999999997</v>
      </c>
      <c r="JJ34" s="45">
        <f t="shared" si="246"/>
        <v>1</v>
      </c>
      <c r="JK34" s="45">
        <f t="shared" si="247"/>
        <v>2</v>
      </c>
      <c r="JL34" s="45">
        <f t="shared" si="248"/>
        <v>0</v>
      </c>
      <c r="JM34" s="46" cm="1">
        <f t="array" ref="JM34">ROUND(IFERROR(INDEX(ArchiveResults!$F$5:$IX$116,ComparisonData!A34,ComparisonData!$JM$1),0),5)</f>
        <v>0</v>
      </c>
      <c r="JN34" s="46" cm="1">
        <f t="array" ref="JN34">ROUND(IFERROR(INDEX(ArchiveResults!$F$5:$IX$116,ComparisonData!A34,ComparisonData!$JN$1),0),5)</f>
        <v>0</v>
      </c>
      <c r="JO34" s="46" cm="1">
        <f t="array" ref="JO34">ROUND(IFERROR(INDEX(ArchiveResults!$F$5:$IX$116,ComparisonData!A34,ComparisonData!$JO$1),0),5)</f>
        <v>0</v>
      </c>
      <c r="JP34" s="46" cm="1">
        <f t="array" ref="JP34">ROUND(IFERROR(INDEX(ArchiveResults!$F$5:$IX$116,ComparisonData!A34,ComparisonData!$JP$1),0),5)</f>
        <v>0</v>
      </c>
      <c r="JQ34" s="45" cm="1">
        <f t="array" ref="JQ34">IFERROR(INDEX(ArchiveResults!$F$5:$IX$116,ComparisonData!A34,ComparisonData!$JQ$1),0)</f>
        <v>0</v>
      </c>
      <c r="JR34" s="56">
        <v>29</v>
      </c>
      <c r="JS34" s="53" t="str">
        <f t="shared" si="42"/>
        <v>Gloucestershire Archives</v>
      </c>
      <c r="JT34" s="59">
        <f t="shared" si="249"/>
        <v>0</v>
      </c>
      <c r="JU34" s="59">
        <f t="shared" si="250"/>
        <v>0</v>
      </c>
      <c r="JV34" s="59">
        <f t="shared" si="251"/>
        <v>0</v>
      </c>
      <c r="JW34" s="59">
        <f t="shared" si="252"/>
        <v>0</v>
      </c>
      <c r="JX34" s="59">
        <f t="shared" si="253"/>
        <v>0</v>
      </c>
      <c r="JY34" s="58">
        <f t="shared" si="254"/>
        <v>0</v>
      </c>
      <c r="JZ34" s="45">
        <f t="shared" si="255"/>
        <v>75</v>
      </c>
      <c r="KA34" s="45">
        <f t="shared" si="43"/>
        <v>2.8089999999999997</v>
      </c>
      <c r="KB34" s="45">
        <f t="shared" si="256"/>
        <v>1</v>
      </c>
      <c r="KC34" s="45">
        <f t="shared" si="257"/>
        <v>2</v>
      </c>
      <c r="KD34" s="45">
        <f t="shared" si="258"/>
        <v>0</v>
      </c>
      <c r="KE34" s="46" cm="1">
        <f t="array" ref="KE34">ROUND(IFERROR(INDEX(ArchiveResults!$F$5:$IX$116,ComparisonData!A34,ComparisonData!$KE$1),0),5)</f>
        <v>0</v>
      </c>
      <c r="KF34" s="46" cm="1">
        <f t="array" ref="KF34">ROUND(IFERROR(INDEX(ArchiveResults!$F$5:$IX$116,ComparisonData!A34,ComparisonData!$KF$1),0),5)</f>
        <v>0</v>
      </c>
      <c r="KG34" s="46" cm="1">
        <f t="array" ref="KG34">ROUND(IFERROR(INDEX(ArchiveResults!$F$5:$IX$116,ComparisonData!A34,ComparisonData!$KG$1),0),5)</f>
        <v>0</v>
      </c>
      <c r="KH34" s="46" cm="1">
        <f t="array" ref="KH34">ROUND(IFERROR(INDEX(ArchiveResults!$F$5:$IX$116,ComparisonData!A34,ComparisonData!$KH$1),0),5)</f>
        <v>0</v>
      </c>
      <c r="KI34" s="45" cm="1">
        <f t="array" ref="KI34">IFERROR(INDEX(ArchiveResults!$F$5:$IX$116,ComparisonData!A34,ComparisonData!$KI$1),0)</f>
        <v>0</v>
      </c>
      <c r="KJ34" s="56">
        <v>29</v>
      </c>
      <c r="KK34" s="53" t="str">
        <f t="shared" si="44"/>
        <v>Gloucestershire Archives</v>
      </c>
      <c r="KL34" s="59">
        <f t="shared" si="259"/>
        <v>0</v>
      </c>
      <c r="KM34" s="59">
        <f t="shared" si="260"/>
        <v>0</v>
      </c>
      <c r="KN34" s="59">
        <f t="shared" si="261"/>
        <v>0</v>
      </c>
      <c r="KO34" s="59">
        <f t="shared" si="262"/>
        <v>0</v>
      </c>
      <c r="KP34" s="59">
        <f t="shared" si="263"/>
        <v>0</v>
      </c>
      <c r="KQ34" s="58">
        <f t="shared" si="264"/>
        <v>0</v>
      </c>
      <c r="KR34" s="45">
        <f t="shared" si="265"/>
        <v>75</v>
      </c>
      <c r="KS34" s="45">
        <f t="shared" si="45"/>
        <v>2.8089999999999997</v>
      </c>
      <c r="KT34" s="45">
        <f t="shared" si="266"/>
        <v>1</v>
      </c>
      <c r="KU34" s="45">
        <f t="shared" si="267"/>
        <v>2</v>
      </c>
      <c r="KV34" s="45">
        <f t="shared" si="268"/>
        <v>0</v>
      </c>
      <c r="KW34" s="46" cm="1">
        <f t="array" ref="KW34">ROUND(IFERROR(INDEX(ArchiveResults!$F$5:$IX$116,ComparisonData!A34,ComparisonData!$KW$1),0),5)</f>
        <v>0</v>
      </c>
      <c r="KX34" s="46" cm="1">
        <f t="array" ref="KX34">ROUND(IFERROR(INDEX(ArchiveResults!$F$5:$IX$116,ComparisonData!A34,ComparisonData!$KX$1),0),5)</f>
        <v>0</v>
      </c>
      <c r="KY34" s="46" cm="1">
        <f t="array" ref="KY34">ROUND(IFERROR(INDEX(ArchiveResults!$F$5:$IX$116,ComparisonData!A34,ComparisonData!$KY$1),0),5)</f>
        <v>0</v>
      </c>
      <c r="KZ34" s="46" cm="1">
        <f t="array" ref="KZ34">ROUND(IFERROR(INDEX(ArchiveResults!$F$5:$IX$116,ComparisonData!A34,ComparisonData!$KZ$1),0),5)</f>
        <v>0</v>
      </c>
      <c r="LA34" s="45" cm="1">
        <f t="array" ref="LA34">IFERROR(INDEX(ArchiveResults!$F$5:$IX$116,ComparisonData!A34,ComparisonData!$LA$1),0)</f>
        <v>0</v>
      </c>
      <c r="LB34" s="56">
        <v>29</v>
      </c>
      <c r="LC34" s="53" t="str">
        <f t="shared" si="46"/>
        <v>Gloucestershire Archives</v>
      </c>
      <c r="LD34" s="59">
        <f t="shared" si="269"/>
        <v>0</v>
      </c>
      <c r="LE34" s="59">
        <f t="shared" si="270"/>
        <v>0</v>
      </c>
      <c r="LF34" s="59">
        <f t="shared" si="271"/>
        <v>0</v>
      </c>
      <c r="LG34" s="59">
        <f t="shared" si="272"/>
        <v>0</v>
      </c>
      <c r="LH34" s="59">
        <f t="shared" si="273"/>
        <v>0</v>
      </c>
      <c r="LI34" s="58">
        <f t="shared" si="274"/>
        <v>0</v>
      </c>
      <c r="LJ34" s="45">
        <f t="shared" si="275"/>
        <v>75</v>
      </c>
      <c r="LK34" s="45">
        <f t="shared" si="47"/>
        <v>2.8089999999999997</v>
      </c>
      <c r="LL34" s="45">
        <f t="shared" si="276"/>
        <v>1</v>
      </c>
      <c r="LM34" s="45">
        <f t="shared" si="277"/>
        <v>2</v>
      </c>
      <c r="LN34" s="45">
        <f t="shared" si="278"/>
        <v>0</v>
      </c>
      <c r="LO34" s="46" cm="1">
        <f t="array" ref="LO34">ROUND(IFERROR(INDEX(ArchiveResults!$F$5:$IX$116,ComparisonData!A34,ComparisonData!$LO$1),0),5)</f>
        <v>0</v>
      </c>
      <c r="LP34" s="46" cm="1">
        <f t="array" ref="LP34">ROUND(IFERROR(INDEX(ArchiveResults!$F$5:$IX$116,ComparisonData!A34,ComparisonData!$LP$1),0),5)</f>
        <v>0</v>
      </c>
      <c r="LQ34" s="46" cm="1">
        <f t="array" ref="LQ34">ROUND(IFERROR(INDEX(ArchiveResults!$F$5:$IX$116,ComparisonData!A34,ComparisonData!$LQ$1),0),5)</f>
        <v>0</v>
      </c>
      <c r="LR34" s="46" cm="1">
        <f t="array" ref="LR34">ROUND(IFERROR(INDEX(ArchiveResults!$F$5:$IX$116,ComparisonData!A34,ComparisonData!$LR$1),0),5)</f>
        <v>0</v>
      </c>
      <c r="LS34" s="45" cm="1">
        <f t="array" ref="LS34">IFERROR(INDEX(ArchiveResults!$F$5:$IX$116,ComparisonData!A34,ComparisonData!$LS$1),0)</f>
        <v>0</v>
      </c>
      <c r="LT34" s="56">
        <v>29</v>
      </c>
      <c r="LU34" s="53" t="str">
        <f t="shared" si="48"/>
        <v>Gloucestershire Archives</v>
      </c>
      <c r="LV34" s="59">
        <f t="shared" si="279"/>
        <v>0</v>
      </c>
      <c r="LW34" s="59">
        <f t="shared" si="280"/>
        <v>0</v>
      </c>
      <c r="LX34" s="59">
        <f t="shared" si="281"/>
        <v>0</v>
      </c>
      <c r="LY34" s="59">
        <f t="shared" si="282"/>
        <v>0</v>
      </c>
      <c r="LZ34" s="59">
        <f t="shared" si="283"/>
        <v>0</v>
      </c>
      <c r="MA34" s="58">
        <f t="shared" si="284"/>
        <v>0</v>
      </c>
      <c r="MB34" s="45">
        <f t="shared" si="285"/>
        <v>75</v>
      </c>
      <c r="MC34" s="45">
        <f t="shared" si="49"/>
        <v>2.8089999999999997</v>
      </c>
      <c r="MD34" s="45">
        <f t="shared" si="286"/>
        <v>1</v>
      </c>
      <c r="ME34" s="45">
        <f t="shared" si="287"/>
        <v>2</v>
      </c>
      <c r="MF34" s="45">
        <f t="shared" si="288"/>
        <v>0</v>
      </c>
      <c r="MG34" s="46" cm="1">
        <f t="array" ref="MG34">ROUND(IFERROR(INDEX(ArchiveResults!$F$5:$IX$116,ComparisonData!A34,ComparisonData!$MG$1),0),5)</f>
        <v>0</v>
      </c>
      <c r="MH34" s="46" cm="1">
        <f t="array" ref="MH34">ROUND(IFERROR(INDEX(ArchiveResults!$F$5:$IX$116,ComparisonData!A34,ComparisonData!$MH$1),0),5)</f>
        <v>0</v>
      </c>
      <c r="MI34" s="46" cm="1">
        <f t="array" ref="MI34">ROUND(IFERROR(INDEX(ArchiveResults!$F$5:$IX$116,ComparisonData!A34,ComparisonData!$MI$1),0),5)</f>
        <v>0</v>
      </c>
      <c r="MJ34" s="46" cm="1">
        <f t="array" ref="MJ34">ROUND(IFERROR(INDEX(ArchiveResults!$F$5:$IX$116,ComparisonData!A34,ComparisonData!$MJ$1),0),5)</f>
        <v>0</v>
      </c>
      <c r="MK34" s="45" cm="1">
        <f t="array" ref="MK34">IFERROR(INDEX(ArchiveResults!$F$5:$IX$116,ComparisonData!A34,ComparisonData!$MK$1),0)</f>
        <v>0</v>
      </c>
      <c r="ML34" s="56">
        <v>29</v>
      </c>
      <c r="MM34" s="53" t="str">
        <f t="shared" si="50"/>
        <v>Gloucestershire Archives</v>
      </c>
      <c r="MN34" s="59">
        <f t="shared" si="289"/>
        <v>0</v>
      </c>
      <c r="MO34" s="59">
        <f t="shared" si="290"/>
        <v>0</v>
      </c>
      <c r="MP34" s="59">
        <f t="shared" si="291"/>
        <v>0</v>
      </c>
      <c r="MQ34" s="59">
        <f t="shared" si="292"/>
        <v>0</v>
      </c>
      <c r="MR34" s="59">
        <f t="shared" si="293"/>
        <v>0</v>
      </c>
      <c r="MS34" s="58">
        <f t="shared" si="294"/>
        <v>0</v>
      </c>
      <c r="MT34" s="45">
        <f t="shared" si="295"/>
        <v>75</v>
      </c>
      <c r="MU34" s="45">
        <f t="shared" si="51"/>
        <v>2.8089999999999997</v>
      </c>
      <c r="MV34" s="45">
        <f t="shared" si="296"/>
        <v>1</v>
      </c>
      <c r="MW34" s="45">
        <f t="shared" si="297"/>
        <v>2</v>
      </c>
      <c r="MX34" s="45">
        <f t="shared" si="298"/>
        <v>0</v>
      </c>
      <c r="MY34" s="46" cm="1">
        <f t="array" ref="MY34">ROUND(IFERROR(INDEX(ArchiveResults!$F$5:$IX$116,ComparisonData!A34,ComparisonData!$MY$1),0),5)</f>
        <v>0</v>
      </c>
      <c r="MZ34" s="46" cm="1">
        <f t="array" ref="MZ34">ROUND(IFERROR(INDEX(ArchiveResults!$F$5:$IX$116,ComparisonData!A34,ComparisonData!$MZ$1),0),5)</f>
        <v>0</v>
      </c>
      <c r="NA34" s="46" cm="1">
        <f t="array" ref="NA34">ROUND(IFERROR(INDEX(ArchiveResults!$F$5:$IX$116,ComparisonData!A34,ComparisonData!$NA$1),0),5)</f>
        <v>0</v>
      </c>
      <c r="NB34" s="46" cm="1">
        <f t="array" ref="NB34">ROUND(IFERROR(INDEX(ArchiveResults!$F$5:$IX$116,ComparisonData!A34,ComparisonData!$NB$1),0),5)</f>
        <v>0</v>
      </c>
      <c r="NC34" s="45" cm="1">
        <f t="array" ref="NC34">IFERROR(INDEX(ArchiveResults!$F$5:$IX$116,ComparisonData!A34,ComparisonData!$NC$1),0)</f>
        <v>0</v>
      </c>
      <c r="ND34" s="56">
        <v>29</v>
      </c>
      <c r="NE34" s="53" t="str">
        <f t="shared" si="52"/>
        <v>Gloucestershire Archives</v>
      </c>
      <c r="NF34" s="59">
        <f t="shared" si="299"/>
        <v>0</v>
      </c>
      <c r="NG34" s="59">
        <f t="shared" si="300"/>
        <v>0</v>
      </c>
      <c r="NH34" s="59">
        <f t="shared" si="301"/>
        <v>0</v>
      </c>
      <c r="NI34" s="59">
        <f t="shared" si="302"/>
        <v>0</v>
      </c>
      <c r="NJ34" s="59">
        <f t="shared" si="303"/>
        <v>0</v>
      </c>
      <c r="NK34" s="58">
        <f t="shared" si="304"/>
        <v>0</v>
      </c>
      <c r="NL34" s="45">
        <f t="shared" si="305"/>
        <v>75</v>
      </c>
      <c r="NM34" s="45">
        <f t="shared" si="53"/>
        <v>2.8089999999999997</v>
      </c>
      <c r="NN34" s="45">
        <f t="shared" si="306"/>
        <v>1</v>
      </c>
      <c r="NO34" s="45">
        <f t="shared" si="307"/>
        <v>2</v>
      </c>
      <c r="NP34" s="46" cm="1">
        <f t="array" ref="NP34">ROUND(IFERROR(INDEX(ArchiveResults!$F$5:$IX$116,ComparisonData!A34,ComparisonData!$NP$1),0),5)</f>
        <v>0</v>
      </c>
      <c r="NQ34" s="46" cm="1">
        <f t="array" ref="NQ34">ROUND(IFERROR(INDEX(ArchiveResults!$F$5:$IX$116,ComparisonData!A34,ComparisonData!$NQ$1),0),5)</f>
        <v>0</v>
      </c>
      <c r="NR34" s="46" cm="1">
        <f t="array" ref="NR34">ROUND(IFERROR(INDEX(ArchiveResults!$F$5:$IX$116,ComparisonData!A34,ComparisonData!$NR$1),0),5)</f>
        <v>0</v>
      </c>
      <c r="NS34" s="46" cm="1">
        <f t="array" ref="NS34">ROUND(IFERROR(INDEX(ArchiveResults!$F$5:$IX$116,ComparisonData!A34,ComparisonData!$NS$1),0),5)</f>
        <v>0</v>
      </c>
      <c r="NT34" s="45" cm="1">
        <f t="array" ref="NT34">IFERROR(INDEX(ArchiveResults!$F$5:$IX$116,ComparisonData!A34,ComparisonData!$NT$1),0)</f>
        <v>0</v>
      </c>
      <c r="NU34" s="56">
        <v>29</v>
      </c>
      <c r="NV34" s="53" t="str">
        <f t="shared" si="54"/>
        <v>Gloucestershire Archives</v>
      </c>
      <c r="NW34" s="59">
        <f t="shared" si="308"/>
        <v>0</v>
      </c>
      <c r="NX34" s="59">
        <f t="shared" si="309"/>
        <v>0</v>
      </c>
      <c r="NY34" s="59">
        <f t="shared" si="310"/>
        <v>0</v>
      </c>
      <c r="NZ34" s="59">
        <f t="shared" si="311"/>
        <v>0</v>
      </c>
      <c r="OA34" s="59">
        <f t="shared" si="312"/>
        <v>0</v>
      </c>
      <c r="OB34" s="58">
        <f t="shared" si="313"/>
        <v>0</v>
      </c>
      <c r="OC34" s="45">
        <f t="shared" si="314"/>
        <v>75</v>
      </c>
      <c r="OD34" s="45">
        <f t="shared" si="55"/>
        <v>2.8089999999999997</v>
      </c>
      <c r="OE34" s="45">
        <f t="shared" si="315"/>
        <v>1</v>
      </c>
      <c r="OF34" s="45">
        <f t="shared" si="316"/>
        <v>2</v>
      </c>
      <c r="OG34" s="46">
        <f t="shared" si="317"/>
        <v>0</v>
      </c>
      <c r="OH34" s="46" cm="1">
        <f t="array" ref="OH34">ROUND(IFERROR(INDEX(ArchiveResults!$F$5:$IX$116,ComparisonData!A34,ComparisonData!$OH$1),0),5)</f>
        <v>0</v>
      </c>
      <c r="OI34" s="46" cm="1">
        <f t="array" ref="OI34">ROUND(IFERROR(INDEX(ArchiveResults!$F$5:$IX$116,ComparisonData!A34,ComparisonData!$OI$1),0),5)</f>
        <v>0</v>
      </c>
      <c r="OJ34" s="46" cm="1">
        <f t="array" ref="OJ34">ROUND(IFERROR(INDEX(ArchiveResults!$F$5:$IX$116,ComparisonData!A34,ComparisonData!$OJ$1),0),5)</f>
        <v>0</v>
      </c>
      <c r="OK34" s="46" cm="1">
        <f t="array" ref="OK34">ROUND(IFERROR(INDEX(ArchiveResults!$F$5:$IX$116,ComparisonData!A34,ComparisonData!$OK$1),0),5)</f>
        <v>0</v>
      </c>
      <c r="OL34" s="45" cm="1">
        <f t="array" ref="OL34">IFERROR(INDEX(ArchiveResults!$F$5:$IX$116,ComparisonData!A34,ComparisonData!$OL$1),0)</f>
        <v>0</v>
      </c>
      <c r="OM34" s="56">
        <v>29</v>
      </c>
      <c r="ON34" s="53" t="str">
        <f t="shared" si="56"/>
        <v>Gloucestershire Archives</v>
      </c>
      <c r="OO34" s="59">
        <f t="shared" si="318"/>
        <v>0</v>
      </c>
      <c r="OP34" s="59">
        <f t="shared" si="319"/>
        <v>0</v>
      </c>
      <c r="OQ34" s="59">
        <f t="shared" si="320"/>
        <v>0</v>
      </c>
      <c r="OR34" s="59">
        <f t="shared" si="321"/>
        <v>0</v>
      </c>
      <c r="OS34" s="59">
        <f t="shared" si="322"/>
        <v>0</v>
      </c>
      <c r="OT34" s="58">
        <f t="shared" si="323"/>
        <v>0</v>
      </c>
      <c r="OU34" s="45">
        <f t="shared" si="324"/>
        <v>75</v>
      </c>
      <c r="OV34" s="45">
        <f t="shared" si="57"/>
        <v>2.8089999999999997</v>
      </c>
      <c r="OW34" s="45">
        <f t="shared" si="325"/>
        <v>1</v>
      </c>
      <c r="OX34" s="45">
        <f t="shared" si="326"/>
        <v>2</v>
      </c>
      <c r="OY34" s="45">
        <f t="shared" si="327"/>
        <v>0</v>
      </c>
      <c r="OZ34" s="46" cm="1">
        <f t="array" ref="OZ34">ROUND(IFERROR(INDEX(ArchiveResults!$F$5:$IX$116,ComparisonData!A34,ComparisonData!$OZ$1),0),5)</f>
        <v>0</v>
      </c>
      <c r="PA34" s="46" cm="1">
        <f t="array" ref="PA34">ROUND(IFERROR(INDEX(ArchiveResults!$F$5:$IX$116,ComparisonData!A34,ComparisonData!$PA$1),0),5)</f>
        <v>0</v>
      </c>
      <c r="PB34" s="46" cm="1">
        <f t="array" ref="PB34">ROUND(IFERROR(INDEX(ArchiveResults!$F$5:$IX$116,ComparisonData!A34,ComparisonData!$PB$1),0),5)</f>
        <v>0</v>
      </c>
      <c r="PC34" s="46" cm="1">
        <f t="array" ref="PC34">ROUND(IFERROR(INDEX(ArchiveResults!$F$5:$IX$116,ComparisonData!A34,ComparisonData!$PC$1),0),5)</f>
        <v>0</v>
      </c>
      <c r="PD34" s="45" cm="1">
        <f t="array" ref="PD34">IFERROR(INDEX(ArchiveResults!$F$5:$IX$116,ComparisonData!A34,ComparisonData!$PD$1),0)</f>
        <v>0</v>
      </c>
      <c r="PE34" s="56">
        <v>29</v>
      </c>
      <c r="PF34" s="53" t="str">
        <f t="shared" si="58"/>
        <v>Gloucestershire Archives</v>
      </c>
      <c r="PG34" s="59">
        <f t="shared" si="328"/>
        <v>0</v>
      </c>
      <c r="PH34" s="59">
        <f t="shared" si="329"/>
        <v>0</v>
      </c>
      <c r="PI34" s="59">
        <f t="shared" si="330"/>
        <v>0</v>
      </c>
      <c r="PJ34" s="59">
        <f t="shared" si="331"/>
        <v>0</v>
      </c>
      <c r="PK34" s="59">
        <f t="shared" si="332"/>
        <v>0</v>
      </c>
      <c r="PL34" s="58">
        <f t="shared" si="333"/>
        <v>0</v>
      </c>
      <c r="PM34" s="45">
        <f t="shared" si="334"/>
        <v>75</v>
      </c>
      <c r="PN34" s="45">
        <f t="shared" si="59"/>
        <v>2.8089999999999997</v>
      </c>
      <c r="PO34" s="45">
        <f t="shared" si="335"/>
        <v>1</v>
      </c>
      <c r="PP34" s="45">
        <f t="shared" si="336"/>
        <v>2</v>
      </c>
      <c r="PQ34" s="45">
        <f t="shared" si="337"/>
        <v>0</v>
      </c>
      <c r="PR34" s="46" cm="1">
        <f t="array" ref="PR34">ROUND(IFERROR(INDEX(ArchiveResults!$F$5:$IX$116,ComparisonData!A34,ComparisonData!$PR$1),0),5)</f>
        <v>0</v>
      </c>
      <c r="PS34" s="46" cm="1">
        <f t="array" ref="PS34">ROUND(IFERROR(INDEX(ArchiveResults!$F$5:$IX$116,ComparisonData!A34,ComparisonData!$PS$1),0),5)</f>
        <v>0</v>
      </c>
      <c r="PT34" s="46" cm="1">
        <f t="array" ref="PT34">ROUND(IFERROR(INDEX(ArchiveResults!$F$5:$IX$116,ComparisonData!A34,ComparisonData!$PT$1),0),5)</f>
        <v>0</v>
      </c>
      <c r="PU34" s="46" cm="1">
        <f t="array" ref="PU34">ROUND(IFERROR(INDEX(ArchiveResults!$F$5:$IX$116,ComparisonData!A34,ComparisonData!$PU$1),0),5)</f>
        <v>0</v>
      </c>
      <c r="PV34" s="45" cm="1">
        <f t="array" ref="PV34">IFERROR(INDEX(ArchiveResults!$F$5:$IX$116,ComparisonData!A34,ComparisonData!$PV$1),0)</f>
        <v>0</v>
      </c>
      <c r="PW34" s="56">
        <v>29</v>
      </c>
      <c r="PX34" s="53" t="str">
        <f t="shared" si="60"/>
        <v>Gloucestershire Archives</v>
      </c>
      <c r="PY34" s="59">
        <f t="shared" si="338"/>
        <v>0</v>
      </c>
      <c r="PZ34" s="59">
        <f t="shared" si="339"/>
        <v>0</v>
      </c>
      <c r="QA34" s="59">
        <f t="shared" si="340"/>
        <v>0</v>
      </c>
      <c r="QB34" s="59">
        <f t="shared" si="341"/>
        <v>0</v>
      </c>
      <c r="QC34" s="59">
        <f t="shared" si="342"/>
        <v>0</v>
      </c>
      <c r="QD34" s="58">
        <f t="shared" si="343"/>
        <v>0</v>
      </c>
      <c r="QE34" s="45">
        <f t="shared" si="344"/>
        <v>75</v>
      </c>
      <c r="QF34" s="45">
        <f t="shared" si="61"/>
        <v>2.8089999999999997</v>
      </c>
      <c r="QG34" s="45">
        <f t="shared" si="345"/>
        <v>1</v>
      </c>
      <c r="QH34" s="45">
        <f t="shared" si="346"/>
        <v>2</v>
      </c>
      <c r="QI34" s="45">
        <f t="shared" si="347"/>
        <v>0</v>
      </c>
      <c r="QJ34" s="46" cm="1">
        <f t="array" ref="QJ34">ROUND(IFERROR(INDEX(ArchiveResults!$F$5:$IX$116,ComparisonData!A34,ComparisonData!$QJ$1),0),5)</f>
        <v>0</v>
      </c>
      <c r="QK34" s="46" cm="1">
        <f t="array" ref="QK34">ROUND(IFERROR(INDEX(ArchiveResults!$F$5:$IX$116,ComparisonData!A34,ComparisonData!$QK$1),0),5)</f>
        <v>0</v>
      </c>
      <c r="QL34" s="46" cm="1">
        <f t="array" ref="QL34">ROUND(IFERROR(INDEX(ArchiveResults!$F$5:$IX$116,ComparisonData!A34,ComparisonData!$QL$1),0),5)</f>
        <v>0</v>
      </c>
      <c r="QM34" s="46" cm="1">
        <f t="array" ref="QM34">ROUND(IFERROR(INDEX(ArchiveResults!$F$5:$IX$116,ComparisonData!A34,ComparisonData!$QM$1),0),5)</f>
        <v>0</v>
      </c>
      <c r="QN34" s="45" cm="1">
        <f t="array" ref="QN34">IFERROR(INDEX(ArchiveResults!$F$5:$IX$116,ComparisonData!A34,ComparisonData!$QN$1),0)</f>
        <v>0</v>
      </c>
      <c r="QO34" s="56">
        <v>29</v>
      </c>
      <c r="QP34" s="53" t="str">
        <f t="shared" si="62"/>
        <v>Gloucestershire Archives</v>
      </c>
      <c r="QQ34" s="59">
        <f t="shared" si="348"/>
        <v>0</v>
      </c>
      <c r="QR34" s="59">
        <f t="shared" si="349"/>
        <v>0</v>
      </c>
      <c r="QS34" s="59">
        <f t="shared" si="350"/>
        <v>0</v>
      </c>
      <c r="QT34" s="59">
        <f t="shared" si="351"/>
        <v>0</v>
      </c>
      <c r="QU34" s="59">
        <f t="shared" si="352"/>
        <v>0</v>
      </c>
      <c r="QV34" s="58">
        <f t="shared" si="353"/>
        <v>0</v>
      </c>
      <c r="QW34" s="45">
        <f t="shared" si="354"/>
        <v>75</v>
      </c>
      <c r="QX34" s="45">
        <f t="shared" si="63"/>
        <v>2.8089999999999997</v>
      </c>
      <c r="QY34" s="45">
        <f t="shared" si="355"/>
        <v>1</v>
      </c>
      <c r="QZ34" s="45">
        <f t="shared" si="356"/>
        <v>2</v>
      </c>
      <c r="RA34" s="45">
        <f t="shared" si="357"/>
        <v>0</v>
      </c>
      <c r="RB34" s="46" cm="1">
        <f t="array" ref="RB34">ROUND(IFERROR(INDEX(ArchiveResults!$F$5:$IX$116,ComparisonData!A34,ComparisonData!$RB$1),0),5)</f>
        <v>0</v>
      </c>
      <c r="RC34" s="46" cm="1">
        <f t="array" ref="RC34">ROUND(IFERROR(INDEX(ArchiveResults!$F$5:$IX$116,ComparisonData!A34,ComparisonData!$RC$1),0),5)</f>
        <v>0</v>
      </c>
      <c r="RD34" s="46" cm="1">
        <f t="array" ref="RD34">ROUND(IFERROR(INDEX(ArchiveResults!$F$5:$IX$116,ComparisonData!A34,ComparisonData!$RD$1),0),5)</f>
        <v>0</v>
      </c>
      <c r="RE34" s="46" cm="1">
        <f t="array" ref="RE34">ROUND(IFERROR(INDEX(ArchiveResults!$F$5:$IX$116,ComparisonData!A34,ComparisonData!$RE$1),0),5)</f>
        <v>0</v>
      </c>
      <c r="RF34" s="45" cm="1">
        <f t="array" ref="RF34">IFERROR(INDEX(ArchiveResults!$F$5:$IX$116,ComparisonData!A34,ComparisonData!$RF$1),0)</f>
        <v>0</v>
      </c>
      <c r="RG34" s="56">
        <v>29</v>
      </c>
      <c r="RH34" s="53" t="str">
        <f t="shared" si="64"/>
        <v>Gloucestershire Archives</v>
      </c>
      <c r="RI34" s="59">
        <f t="shared" si="358"/>
        <v>0</v>
      </c>
      <c r="RJ34" s="59">
        <f t="shared" si="359"/>
        <v>0</v>
      </c>
      <c r="RK34" s="59">
        <f t="shared" si="360"/>
        <v>0</v>
      </c>
      <c r="RL34" s="59">
        <f t="shared" si="361"/>
        <v>0</v>
      </c>
      <c r="RM34" s="59">
        <f t="shared" si="362"/>
        <v>0</v>
      </c>
      <c r="RN34" s="58">
        <f t="shared" si="363"/>
        <v>0</v>
      </c>
      <c r="RO34" s="45">
        <f t="shared" si="364"/>
        <v>75</v>
      </c>
      <c r="RP34" s="45">
        <f t="shared" si="65"/>
        <v>2.8089999999999997</v>
      </c>
      <c r="RQ34" s="45">
        <f t="shared" si="365"/>
        <v>1</v>
      </c>
      <c r="RR34" s="45">
        <f t="shared" si="366"/>
        <v>2</v>
      </c>
      <c r="RS34" s="45">
        <f t="shared" si="367"/>
        <v>0</v>
      </c>
      <c r="RT34" s="46" cm="1">
        <f t="array" ref="RT34">ROUND(IFERROR(INDEX(ArchiveResults!$F$5:$IX$116,ComparisonData!A34,ComparisonData!$RT$1),0),5)</f>
        <v>0</v>
      </c>
      <c r="RU34" s="46" cm="1">
        <f t="array" ref="RU34">ROUND(IFERROR(INDEX(ArchiveResults!$F$5:$IX$116,ComparisonData!A34,ComparisonData!$RU$1),0),5)</f>
        <v>0</v>
      </c>
      <c r="RV34" s="46" cm="1">
        <f t="array" ref="RV34">ROUND(IFERROR(INDEX(ArchiveResults!$F$5:$IX$116,ComparisonData!A34,ComparisonData!$RV$1),0),5)</f>
        <v>0</v>
      </c>
      <c r="RW34" s="46" cm="1">
        <f t="array" ref="RW34">ROUND(IFERROR(INDEX(ArchiveResults!$F$5:$IX$116,ComparisonData!A34,ComparisonData!$RW$1),0),5)</f>
        <v>0</v>
      </c>
      <c r="RX34" s="45" cm="1">
        <f t="array" ref="RX34">IFERROR(INDEX(ArchiveResults!$F$5:$IX$116,ComparisonData!A34,ComparisonData!$RX$1),0)</f>
        <v>0</v>
      </c>
      <c r="RY34" s="56">
        <v>29</v>
      </c>
      <c r="RZ34" s="53" t="str">
        <f t="shared" si="66"/>
        <v>Gloucestershire Archives</v>
      </c>
      <c r="SA34" s="59">
        <f t="shared" si="368"/>
        <v>0</v>
      </c>
      <c r="SB34" s="59">
        <f t="shared" si="369"/>
        <v>0</v>
      </c>
      <c r="SC34" s="59">
        <f t="shared" si="370"/>
        <v>0</v>
      </c>
      <c r="SD34" s="59">
        <f t="shared" si="371"/>
        <v>0</v>
      </c>
      <c r="SE34" s="59">
        <f t="shared" si="372"/>
        <v>0</v>
      </c>
      <c r="SF34" s="58">
        <f t="shared" si="373"/>
        <v>0</v>
      </c>
      <c r="SG34" s="45">
        <f t="shared" si="374"/>
        <v>75</v>
      </c>
      <c r="SH34" s="45">
        <f t="shared" si="67"/>
        <v>2.8089999999999997</v>
      </c>
      <c r="SI34" s="45">
        <f t="shared" si="375"/>
        <v>1</v>
      </c>
      <c r="SJ34" s="45">
        <f t="shared" si="376"/>
        <v>2</v>
      </c>
      <c r="SK34" s="45">
        <f t="shared" si="377"/>
        <v>0</v>
      </c>
      <c r="SL34" s="46" cm="1">
        <f t="array" ref="SL34">ROUND(IFERROR(INDEX(ArchiveResults!$F$5:$IX$116,ComparisonData!A34,ComparisonData!$SL$1),0),5)</f>
        <v>0</v>
      </c>
      <c r="SM34" s="46" cm="1">
        <f t="array" ref="SM34">ROUND(IFERROR(INDEX(ArchiveResults!$F$5:$IX$116,ComparisonData!A34,ComparisonData!$SM$1),0),5)</f>
        <v>0</v>
      </c>
      <c r="SN34" s="46" cm="1">
        <f t="array" ref="SN34">ROUND(IFERROR(INDEX(ArchiveResults!$F$5:$IX$116,ComparisonData!A34,ComparisonData!$SN$1),0),5)</f>
        <v>0</v>
      </c>
      <c r="SO34" s="46" cm="1">
        <f t="array" ref="SO34">ROUND(IFERROR(INDEX(ArchiveResults!$F$5:$IX$116,ComparisonData!A34,ComparisonData!$SO$1),0),5)</f>
        <v>0</v>
      </c>
      <c r="SP34" s="45" cm="1">
        <f t="array" ref="SP34">IFERROR(INDEX(ArchiveResults!$F$5:$IX$116,ComparisonData!A34,ComparisonData!$SP$1),0)</f>
        <v>0</v>
      </c>
      <c r="SQ34" s="56">
        <v>29</v>
      </c>
      <c r="SR34" s="53" t="str">
        <f t="shared" si="68"/>
        <v>Gloucestershire Archives</v>
      </c>
      <c r="SS34" s="59">
        <f t="shared" si="378"/>
        <v>0</v>
      </c>
      <c r="ST34" s="59">
        <f t="shared" si="379"/>
        <v>0</v>
      </c>
      <c r="SU34" s="59">
        <f t="shared" si="380"/>
        <v>0</v>
      </c>
      <c r="SV34" s="59">
        <f t="shared" si="381"/>
        <v>0</v>
      </c>
      <c r="SW34" s="59">
        <f t="shared" si="382"/>
        <v>0</v>
      </c>
      <c r="SX34" s="58">
        <f t="shared" si="383"/>
        <v>0</v>
      </c>
      <c r="SY34" s="45">
        <f t="shared" si="384"/>
        <v>75</v>
      </c>
      <c r="SZ34" s="45">
        <f t="shared" si="69"/>
        <v>2.8089999999999997</v>
      </c>
      <c r="TA34" s="45">
        <f t="shared" si="385"/>
        <v>1</v>
      </c>
      <c r="TB34" s="45">
        <f t="shared" si="386"/>
        <v>2</v>
      </c>
      <c r="TC34" s="45">
        <f t="shared" si="387"/>
        <v>0</v>
      </c>
      <c r="TD34" s="46" cm="1">
        <f t="array" ref="TD34">ROUND(IFERROR(INDEX(ArchiveResults!$F$5:$IX$116,ComparisonData!A34,ComparisonData!$TD$1),0),5)</f>
        <v>0</v>
      </c>
      <c r="TE34" s="46" cm="1">
        <f t="array" ref="TE34">ROUND(IFERROR(INDEX(ArchiveResults!$F$5:$IX$116,ComparisonData!A34,ComparisonData!$TE$1),0),5)</f>
        <v>0</v>
      </c>
      <c r="TF34" s="46" cm="1">
        <f t="array" ref="TF34">ROUND(IFERROR(INDEX(ArchiveResults!$F$5:$IX$116,ComparisonData!A34,ComparisonData!$TF$1),0),5)</f>
        <v>0</v>
      </c>
      <c r="TG34" s="46" cm="1">
        <f t="array" ref="TG34">ROUND(IFERROR(INDEX(ArchiveResults!$F$5:$IX$116,ComparisonData!A34,ComparisonData!$TG$1),0),5)</f>
        <v>0</v>
      </c>
      <c r="TH34" s="45" cm="1">
        <f t="array" ref="TH34">IFERROR(INDEX(ArchiveResults!$F$5:$IX$116,ComparisonData!A34,ComparisonData!$TH$1),0)</f>
        <v>0</v>
      </c>
      <c r="TI34" s="56">
        <v>29</v>
      </c>
      <c r="TJ34" s="53" t="str">
        <f t="shared" si="70"/>
        <v>Gloucestershire Archives</v>
      </c>
      <c r="TK34" s="59">
        <f t="shared" si="388"/>
        <v>0</v>
      </c>
      <c r="TL34" s="59">
        <f t="shared" si="389"/>
        <v>0</v>
      </c>
      <c r="TM34" s="59">
        <f t="shared" si="390"/>
        <v>0</v>
      </c>
      <c r="TN34" s="59">
        <f t="shared" si="391"/>
        <v>0</v>
      </c>
      <c r="TO34" s="59">
        <f t="shared" si="392"/>
        <v>0</v>
      </c>
      <c r="TP34" s="58">
        <f t="shared" si="393"/>
        <v>0</v>
      </c>
      <c r="TQ34" s="45">
        <f t="shared" si="394"/>
        <v>75</v>
      </c>
      <c r="TR34" s="45">
        <f t="shared" si="71"/>
        <v>2.8089999999999997</v>
      </c>
      <c r="TS34" s="45">
        <f t="shared" si="395"/>
        <v>1</v>
      </c>
      <c r="TT34" s="45">
        <f t="shared" si="396"/>
        <v>2</v>
      </c>
      <c r="TU34" s="45">
        <f t="shared" si="397"/>
        <v>0</v>
      </c>
      <c r="TV34" s="46" cm="1">
        <f t="array" ref="TV34">ROUND(IFERROR(INDEX(ArchiveResults!$F$5:$IX$116,ComparisonData!A34,ComparisonData!$TV$1),0),5)</f>
        <v>0</v>
      </c>
      <c r="TW34" s="46" cm="1">
        <f t="array" ref="TW34">ROUND(IFERROR(INDEX(ArchiveResults!$F$5:$IX$116,ComparisonData!A34,ComparisonData!$TW$1),0),5)</f>
        <v>0</v>
      </c>
      <c r="TX34" s="46" cm="1">
        <f t="array" ref="TX34">ROUND(IFERROR(INDEX(ArchiveResults!$F$5:$IX$116,ComparisonData!A34,ComparisonData!$TX$1),0),5)</f>
        <v>0</v>
      </c>
      <c r="TY34" s="46" cm="1">
        <f t="array" ref="TY34">ROUND(IFERROR(INDEX(ArchiveResults!$F$5:$IX$116,ComparisonData!A34,ComparisonData!$TY$1),0),5)</f>
        <v>0</v>
      </c>
      <c r="TZ34" s="45" cm="1">
        <f t="array" ref="TZ34">IFERROR(INDEX(ArchiveResults!$F$5:$IX$116,ComparisonData!A34,ComparisonData!$TZ$1),0)</f>
        <v>0</v>
      </c>
      <c r="UA34" s="56">
        <v>29</v>
      </c>
      <c r="UB34" s="53" t="str">
        <f t="shared" si="72"/>
        <v>Gloucestershire Archives</v>
      </c>
      <c r="UC34" s="60">
        <f t="shared" si="398"/>
        <v>0</v>
      </c>
      <c r="UD34" s="60">
        <f t="shared" si="399"/>
        <v>0</v>
      </c>
      <c r="UE34" s="60">
        <f t="shared" si="400"/>
        <v>0</v>
      </c>
      <c r="UF34" s="60">
        <f t="shared" si="401"/>
        <v>0</v>
      </c>
      <c r="UG34" s="60">
        <f t="shared" si="402"/>
        <v>0</v>
      </c>
      <c r="UH34" s="58">
        <f t="shared" si="403"/>
        <v>0</v>
      </c>
      <c r="UI34" s="46">
        <f t="shared" si="404"/>
        <v>75</v>
      </c>
      <c r="UJ34" s="46">
        <f t="shared" si="73"/>
        <v>2.8089999999999997</v>
      </c>
      <c r="UK34" s="46">
        <f t="shared" si="405"/>
        <v>1</v>
      </c>
      <c r="UL34" s="46">
        <f t="shared" si="406"/>
        <v>2</v>
      </c>
      <c r="UM34" s="46" cm="1">
        <f t="array" ref="UM34">ROUND(IFERROR(INDEX(ArchiveResults!$F$5:$IX$116,ComparisonData!A34,ComparisonData!$UM$1),0),5)</f>
        <v>0</v>
      </c>
      <c r="UN34" s="56">
        <v>29</v>
      </c>
      <c r="UO34" s="53" t="str">
        <f t="shared" si="74"/>
        <v>Gloucestershire Archives</v>
      </c>
      <c r="UP34" s="46">
        <f t="shared" si="407"/>
        <v>0</v>
      </c>
      <c r="UQ34" s="76">
        <f t="shared" si="408"/>
        <v>0</v>
      </c>
      <c r="UR34" s="46">
        <f t="shared" si="409"/>
        <v>75</v>
      </c>
      <c r="US34" s="46">
        <f t="shared" si="75"/>
        <v>2.8089999999999997</v>
      </c>
      <c r="UT34" s="46">
        <f t="shared" si="410"/>
        <v>1</v>
      </c>
      <c r="UU34" s="46">
        <f t="shared" si="411"/>
        <v>2</v>
      </c>
      <c r="UV34" s="46">
        <f t="shared" si="412"/>
        <v>0</v>
      </c>
      <c r="UW34" s="46" cm="1">
        <f t="array" ref="UW34">ROUND(IFERROR(INDEX(ArchiveResults!$F$5:$IX$116,ComparisonData!A34,ComparisonData!$UW$1),0),5)</f>
        <v>0</v>
      </c>
      <c r="UX34" s="46" cm="1">
        <f t="array" ref="UX34">ROUND(IFERROR(INDEX(ArchiveResults!$F$5:$IX$116,ComparisonData!A34,ComparisonData!$UX$1),0),5)</f>
        <v>0</v>
      </c>
      <c r="UY34" s="46" cm="1">
        <f t="array" ref="UY34">ROUND(IFERROR(INDEX(ArchiveResults!$F$5:$IX$116,ComparisonData!A34,ComparisonData!$UY$1),0),5)</f>
        <v>0</v>
      </c>
      <c r="UZ34" s="46" cm="1">
        <f t="array" ref="UZ34">ROUND(IFERROR(INDEX(ArchiveResults!$F$5:$IX$116,ComparisonData!A34,ComparisonData!$UZ$1),0),5)</f>
        <v>0</v>
      </c>
      <c r="VA34" s="46" cm="1">
        <f t="array" ref="VA34">ROUND(IFERROR(INDEX(ArchiveResults!$F$5:$IX$116,ComparisonData!A34,ComparisonData!$VA$1),0),5)</f>
        <v>0</v>
      </c>
      <c r="VB34" s="56">
        <v>29</v>
      </c>
      <c r="VC34" s="53" t="str">
        <f t="shared" si="76"/>
        <v>Gloucestershire Archives</v>
      </c>
      <c r="VD34" s="60">
        <f t="shared" si="413"/>
        <v>0</v>
      </c>
      <c r="VE34" s="60">
        <f t="shared" si="414"/>
        <v>0</v>
      </c>
      <c r="VF34" s="60">
        <f t="shared" si="415"/>
        <v>0</v>
      </c>
      <c r="VG34" s="60">
        <f t="shared" si="416"/>
        <v>0</v>
      </c>
      <c r="VH34" s="60">
        <f t="shared" si="417"/>
        <v>0</v>
      </c>
      <c r="VI34" s="76">
        <f t="shared" si="418"/>
        <v>0</v>
      </c>
      <c r="VJ34" s="46">
        <f t="shared" si="419"/>
        <v>75</v>
      </c>
      <c r="VK34" s="46">
        <f t="shared" si="77"/>
        <v>2.8089999999999997</v>
      </c>
      <c r="VL34" s="46">
        <f t="shared" si="420"/>
        <v>1</v>
      </c>
      <c r="VM34" s="46">
        <f t="shared" si="421"/>
        <v>2</v>
      </c>
      <c r="VN34" s="46" cm="1">
        <f t="array" ref="VN34">ROUND(IFERROR(INDEX(ArchiveResults!$F$5:$IX$116,ComparisonData!A34,ComparisonData!$VN$1),0),5)</f>
        <v>0</v>
      </c>
      <c r="VO34" s="46" cm="1">
        <f t="array" ref="VO34">ROUND(IFERROR(INDEX(ArchiveResults!$F$5:$IX$116,ComparisonData!A34,ComparisonData!$VO$1),0),5)</f>
        <v>0</v>
      </c>
      <c r="VP34" s="46" cm="1">
        <f t="array" ref="VP34">ROUND(IFERROR(INDEX(ArchiveResults!$F$5:$IX$116,ComparisonData!A34,ComparisonData!$VP$1),0),5)</f>
        <v>0</v>
      </c>
      <c r="VQ34" s="46" cm="1">
        <f t="array" ref="VQ34">ROUND(IFERROR(INDEX(ArchiveResults!$F$5:$IX$116,ComparisonData!A34,ComparisonData!$VQ$1),0),5)</f>
        <v>0</v>
      </c>
      <c r="VR34" s="56">
        <v>29</v>
      </c>
      <c r="VS34" s="53" t="str">
        <f t="shared" si="78"/>
        <v>Gloucestershire Archives</v>
      </c>
      <c r="VT34" s="60">
        <f t="shared" si="422"/>
        <v>0</v>
      </c>
      <c r="VU34" s="60">
        <f t="shared" si="423"/>
        <v>0</v>
      </c>
      <c r="VV34" s="60">
        <f t="shared" si="424"/>
        <v>0</v>
      </c>
      <c r="VW34" s="60">
        <f t="shared" si="425"/>
        <v>0</v>
      </c>
      <c r="VX34" s="76">
        <f t="shared" si="426"/>
        <v>0</v>
      </c>
      <c r="VY34" s="46">
        <f t="shared" si="427"/>
        <v>75</v>
      </c>
      <c r="VZ34" s="46">
        <f t="shared" si="79"/>
        <v>2.8089999999999997</v>
      </c>
      <c r="WA34" s="46">
        <f t="shared" si="428"/>
        <v>1</v>
      </c>
      <c r="WB34" s="46">
        <f t="shared" si="429"/>
        <v>2</v>
      </c>
      <c r="WC34" s="46" cm="1">
        <f t="array" ref="WC34">ROUND(IFERROR(INDEX(ArchiveResults!$F$5:$IX$116,ComparisonData!A34,ComparisonData!$WC$1),0),5)</f>
        <v>0</v>
      </c>
      <c r="WD34" s="56">
        <v>29</v>
      </c>
      <c r="WE34" s="53" t="str">
        <f t="shared" si="80"/>
        <v>Gloucestershire Archives</v>
      </c>
      <c r="WF34" s="46">
        <f t="shared" si="430"/>
        <v>0</v>
      </c>
      <c r="WG34" s="76">
        <f t="shared" si="431"/>
        <v>0</v>
      </c>
      <c r="WH34" s="46">
        <f t="shared" si="432"/>
        <v>75</v>
      </c>
      <c r="WI34" s="46">
        <f t="shared" si="81"/>
        <v>2.8089999999999997</v>
      </c>
      <c r="WJ34" s="46">
        <f t="shared" si="433"/>
        <v>1</v>
      </c>
      <c r="WK34" s="46">
        <f t="shared" si="434"/>
        <v>2</v>
      </c>
      <c r="WL34" s="46" cm="1">
        <f t="array" ref="WL34">ROUND(IFERROR(INDEX(ArchiveResults!$F$5:$IX$116,ComparisonData!A34,ComparisonData!$WL$1),0),5)</f>
        <v>0</v>
      </c>
      <c r="WM34" s="46" cm="1">
        <f t="array" ref="WM34">IFERROR(INDEX(ArchiveResults!$F$5:$IX$116,ComparisonData!A34,ComparisonData!$WM$1),0)</f>
        <v>0</v>
      </c>
      <c r="WN34" s="56">
        <v>29</v>
      </c>
      <c r="WO34" s="53" t="str">
        <f t="shared" si="82"/>
        <v>Gloucestershire Archives</v>
      </c>
      <c r="WP34" s="60">
        <f t="shared" si="435"/>
        <v>0</v>
      </c>
      <c r="WQ34" s="60">
        <f t="shared" si="436"/>
        <v>0</v>
      </c>
      <c r="WR34" s="76">
        <f t="shared" si="437"/>
        <v>0</v>
      </c>
      <c r="WS34" s="46">
        <f t="shared" si="438"/>
        <v>75</v>
      </c>
      <c r="WT34" s="46">
        <f t="shared" si="83"/>
        <v>2.8089999999999997</v>
      </c>
      <c r="WU34" s="46">
        <f t="shared" si="439"/>
        <v>1</v>
      </c>
      <c r="WV34" s="46">
        <f t="shared" si="440"/>
        <v>2</v>
      </c>
      <c r="WW34" s="46" cm="1">
        <f t="array" ref="WW34">ROUND(VALUE(IFERROR(INDEX(ArchiveResults!$F$5:$IX$116,ComparisonData!A34,ComparisonData!$WW$1),0)),5)</f>
        <v>0</v>
      </c>
      <c r="WX34" s="46" cm="1">
        <f t="array" ref="WX34">ROUND(IFERROR(INDEX(ArchiveResults!$F$5:$IX$116,ComparisonData!A34,ComparisonData!$WX$1),0),5)</f>
        <v>0</v>
      </c>
      <c r="WY34" s="56">
        <v>29</v>
      </c>
      <c r="WZ34" s="53" t="str">
        <f t="shared" si="84"/>
        <v>Gloucestershire Archives</v>
      </c>
      <c r="XA34" s="60">
        <f t="shared" si="85"/>
        <v>0</v>
      </c>
      <c r="XB34" s="60">
        <f t="shared" si="86"/>
        <v>0</v>
      </c>
      <c r="XC34" s="76">
        <f t="shared" si="441"/>
        <v>0</v>
      </c>
      <c r="XD34" s="46">
        <f t="shared" si="442"/>
        <v>75</v>
      </c>
      <c r="XE34" s="46">
        <f t="shared" si="87"/>
        <v>2.8089999999999997</v>
      </c>
      <c r="XF34" s="46">
        <f t="shared" si="443"/>
        <v>1</v>
      </c>
      <c r="XG34" s="46">
        <f t="shared" si="444"/>
        <v>2</v>
      </c>
      <c r="XH34" s="46" cm="1">
        <f t="array" ref="XH34">ROUND(VALUE(IFERROR(INDEX(ArchiveResults!$F$5:$IX$116,ComparisonData!A34,ComparisonData!$XH$1),0)),5)</f>
        <v>0</v>
      </c>
      <c r="XI34" s="46" cm="1">
        <f t="array" ref="XI34">ROUND(VALUE(IFERROR(INDEX(ArchiveResults!$F$5:$IX$116,ComparisonData!A34,ComparisonData!$XI$1),0)),5)</f>
        <v>0</v>
      </c>
      <c r="XJ34" s="56">
        <v>29</v>
      </c>
      <c r="XK34" s="53" t="str">
        <f t="shared" si="88"/>
        <v>Gloucestershire Archives</v>
      </c>
      <c r="XL34" s="60">
        <f t="shared" si="445"/>
        <v>0</v>
      </c>
      <c r="XM34" s="60">
        <f t="shared" si="446"/>
        <v>0</v>
      </c>
      <c r="XN34" s="76">
        <f t="shared" si="447"/>
        <v>0</v>
      </c>
      <c r="XO34" s="46">
        <f t="shared" si="448"/>
        <v>75</v>
      </c>
      <c r="XP34" s="46">
        <f t="shared" si="89"/>
        <v>2.8089999999999997</v>
      </c>
      <c r="XQ34" s="46">
        <f t="shared" si="449"/>
        <v>1</v>
      </c>
      <c r="XR34" s="46">
        <f t="shared" si="450"/>
        <v>2</v>
      </c>
      <c r="XS34" s="46" cm="1">
        <f t="array" ref="XS34">ROUND(VALUE(IFERROR(INDEX(ArchiveResults!$F$5:$IX$116,ComparisonData!A34,ComparisonData!$XS$1),0)),5)</f>
        <v>0</v>
      </c>
      <c r="XT34" s="46" cm="1">
        <f t="array" ref="XT34">ROUND(VALUE(IFERROR(INDEX(ArchiveResults!$F$5:$IX$116,ComparisonData!A34,ComparisonData!$XT$1),0)),5)</f>
        <v>0</v>
      </c>
      <c r="XU34" s="56">
        <v>29</v>
      </c>
      <c r="XV34" s="53" t="str">
        <f t="shared" si="90"/>
        <v>Gloucestershire Archives</v>
      </c>
      <c r="XW34" s="60">
        <f t="shared" si="451"/>
        <v>0</v>
      </c>
      <c r="XX34" s="60">
        <f t="shared" si="452"/>
        <v>0</v>
      </c>
      <c r="XY34" s="76">
        <f t="shared" si="453"/>
        <v>0</v>
      </c>
      <c r="XZ34" s="46">
        <f t="shared" si="454"/>
        <v>75</v>
      </c>
      <c r="YA34" s="46">
        <f t="shared" si="91"/>
        <v>2.8089999999999997</v>
      </c>
      <c r="YB34" s="46">
        <f t="shared" si="455"/>
        <v>1</v>
      </c>
      <c r="YC34" s="46">
        <f t="shared" si="456"/>
        <v>2</v>
      </c>
      <c r="YD34" s="46" cm="1">
        <f t="array" ref="YD34">ROUND(VALUE(IFERROR(INDEX(ArchiveResults!$F$5:$IX$116,ComparisonData!A34,ComparisonData!$YD$1),0)),5)</f>
        <v>0</v>
      </c>
      <c r="YE34" s="46" cm="1">
        <f t="array" ref="YE34">ROUND(VALUE(IFERROR(INDEX(ArchiveResults!$F$5:$IX$116,ComparisonData!A34,ComparisonData!$YE$1),0)),5)</f>
        <v>0</v>
      </c>
      <c r="YF34" s="56">
        <v>29</v>
      </c>
      <c r="YG34" s="53" t="str">
        <f t="shared" si="92"/>
        <v>Gloucestershire Archives</v>
      </c>
      <c r="YH34" s="60">
        <f t="shared" si="457"/>
        <v>0</v>
      </c>
      <c r="YI34" s="60">
        <f t="shared" si="458"/>
        <v>0</v>
      </c>
      <c r="YJ34" s="76">
        <f t="shared" si="459"/>
        <v>0</v>
      </c>
      <c r="YK34" s="46">
        <f t="shared" si="460"/>
        <v>75</v>
      </c>
      <c r="YL34" s="46">
        <f t="shared" si="93"/>
        <v>2.8089999999999997</v>
      </c>
      <c r="YM34" s="46">
        <f t="shared" si="461"/>
        <v>1</v>
      </c>
      <c r="YN34" s="46">
        <f t="shared" si="462"/>
        <v>2</v>
      </c>
      <c r="YO34" s="46" cm="1">
        <f t="array" ref="YO34">ROUND(VALUE(IFERROR(INDEX(ArchiveResults!$F$5:$IX$116,ComparisonData!A34,ComparisonData!$YO$1),0)),5)</f>
        <v>0</v>
      </c>
      <c r="YP34" s="46" cm="1">
        <f t="array" ref="YP34">ROUND(VALUE(IFERROR(INDEX(ArchiveResults!$F$5:$IX$116,ComparisonData!A34,ComparisonData!$YP$1),0)),5)</f>
        <v>0</v>
      </c>
      <c r="YQ34" s="56">
        <v>29</v>
      </c>
      <c r="YR34" s="53" t="str">
        <f t="shared" si="94"/>
        <v>Gloucestershire Archives</v>
      </c>
      <c r="YS34" s="60">
        <f t="shared" si="463"/>
        <v>0</v>
      </c>
      <c r="YT34" s="60">
        <f t="shared" si="464"/>
        <v>0</v>
      </c>
      <c r="YU34" s="76">
        <f t="shared" si="465"/>
        <v>0</v>
      </c>
      <c r="YV34" s="46">
        <f t="shared" si="466"/>
        <v>75</v>
      </c>
      <c r="YW34" s="46">
        <f t="shared" si="95"/>
        <v>2.8089999999999997</v>
      </c>
      <c r="YX34" s="46">
        <f t="shared" si="467"/>
        <v>1</v>
      </c>
      <c r="YY34" s="46">
        <f t="shared" si="468"/>
        <v>2</v>
      </c>
      <c r="YZ34" s="46">
        <f t="shared" si="469"/>
        <v>0</v>
      </c>
      <c r="ZA34" s="46" cm="1">
        <f t="array" ref="ZA34">ROUNDDOWN(VALUE(IFERROR(INDEX(ArchiveResults!$F$5:$IX$116,ComparisonData!A34,ComparisonData!$ZA$1),0)),5)</f>
        <v>0</v>
      </c>
      <c r="ZB34" s="46" cm="1">
        <f t="array" ref="ZB34">ROUNDDOWN(VALUE(IFERROR(INDEX(ArchiveResults!$F$5:$IX$116,ComparisonData!A34,ComparisonData!$ZB$1),0)),5)</f>
        <v>0</v>
      </c>
      <c r="ZC34" s="46" cm="1">
        <f t="array" ref="ZC34">ROUNDDOWN(VALUE(IFERROR(INDEX(ArchiveResults!$F$5:$IX$116,ComparisonData!A34,ComparisonData!$ZC$1),0)),5)</f>
        <v>0</v>
      </c>
      <c r="ZD34" s="46" cm="1">
        <f t="array" ref="ZD34">ROUNDDOWN(VALUE(IFERROR(INDEX(ArchiveResults!$F$5:$IX$116,ComparisonData!A34,ComparisonData!$ZD$1),0)),5)</f>
        <v>0</v>
      </c>
      <c r="ZE34" s="46" cm="1">
        <f t="array" ref="ZE34">ROUNDDOWN(VALUE(IFERROR(INDEX(ArchiveResults!$F$5:$IX$116,ComparisonData!A34,ComparisonData!$ZE$1),0)),5)</f>
        <v>0</v>
      </c>
      <c r="ZF34" s="56">
        <v>29</v>
      </c>
      <c r="ZG34" s="53" t="str">
        <f t="shared" si="96"/>
        <v>Gloucestershire Archives</v>
      </c>
      <c r="ZH34" s="60">
        <f t="shared" si="470"/>
        <v>0</v>
      </c>
      <c r="ZI34" s="60">
        <f t="shared" si="471"/>
        <v>0</v>
      </c>
      <c r="ZJ34" s="60">
        <f t="shared" si="472"/>
        <v>0</v>
      </c>
      <c r="ZK34" s="60">
        <f t="shared" si="473"/>
        <v>0</v>
      </c>
      <c r="ZL34" s="60">
        <f t="shared" si="474"/>
        <v>0</v>
      </c>
      <c r="ZM34" s="76">
        <f t="shared" si="475"/>
        <v>0</v>
      </c>
      <c r="ZN34" s="46">
        <f t="shared" si="476"/>
        <v>75</v>
      </c>
      <c r="ZO34" s="46">
        <f t="shared" si="97"/>
        <v>2.8089999999999997</v>
      </c>
      <c r="ZP34" s="46">
        <f t="shared" si="477"/>
        <v>1</v>
      </c>
      <c r="ZQ34" s="46">
        <f t="shared" si="478"/>
        <v>2</v>
      </c>
      <c r="ZR34" s="46" cm="1">
        <f t="array" ref="ZR34">ROUND(VALUE(IFERROR(INDEX(ArchiveResults!$F$5:$IX$116,ComparisonData!A34,ComparisonData!$ZR$1),0)),5)</f>
        <v>0</v>
      </c>
      <c r="ZS34" s="56">
        <v>29</v>
      </c>
      <c r="ZT34" s="53" t="str">
        <f t="shared" si="98"/>
        <v>Gloucestershire Archives</v>
      </c>
      <c r="ZU34" s="46">
        <f t="shared" si="479"/>
        <v>0</v>
      </c>
      <c r="ZV34" s="76">
        <f t="shared" si="480"/>
        <v>0</v>
      </c>
      <c r="ZW34" s="81" cm="1">
        <f t="array" ref="ZW34">ROUND((IFERROR(INDEX(ArchiveResults!$F$5:$IX$116,ComparisonData!A34,ComparisonData!$ZW$1),0)),5)</f>
        <v>0</v>
      </c>
      <c r="ZX34" s="81" cm="1">
        <f t="array" ref="ZX34">ROUND((IFERROR(INDEX(ArchiveResults!$F$5:$IX$116,ComparisonData!A34,ComparisonData!$ZX$1),0)),5)</f>
        <v>0</v>
      </c>
      <c r="ZY34" s="81" cm="1">
        <f t="array" ref="ZY34">ROUND((IFERROR(INDEX(ArchiveResults!$F$5:$IX$116,ComparisonData!A34,ComparisonData!$ZY$1),0)),5)</f>
        <v>0</v>
      </c>
      <c r="ZZ34" s="81" cm="1">
        <f t="array" ref="ZZ34">ROUND((IFERROR(INDEX(ArchiveResults!$F$5:$IX$116,ComparisonData!A34,ComparisonData!$ZZ$1),0)),5)</f>
        <v>0</v>
      </c>
      <c r="AAA34" s="81" cm="1">
        <f t="array" ref="AAA34">ROUND((IFERROR(INDEX(ArchiveResults!$F$5:$IX$116,ComparisonData!A34,ComparisonData!$AAA$1),0)),5)</f>
        <v>0</v>
      </c>
      <c r="AAB34" s="81" cm="1">
        <f t="array" ref="AAB34">ROUND((IFERROR(INDEX(ArchiveResults!$F$5:$IX$116,ComparisonData!A34,ComparisonData!$AAB$1),0)),5)</f>
        <v>0</v>
      </c>
      <c r="AAC34" s="81" cm="1">
        <f t="array" ref="AAC34">ROUND((IFERROR(INDEX(ArchiveResults!$F$5:$IX$116,ComparisonData!A34,ComparisonData!$AAC$1),0)),5)</f>
        <v>0</v>
      </c>
      <c r="AAD34" s="81" cm="1">
        <f t="array" ref="AAD34">ROUND((IFERROR(INDEX(ArchiveResults!$F$5:$IX$116,ComparisonData!A34,ComparisonData!$AAD$1),0)),5)</f>
        <v>0</v>
      </c>
      <c r="AAE34" s="81" cm="1">
        <f t="array" ref="AAE34">ROUND((IFERROR(INDEX(ArchiveResults!$F$5:$IX$116,ComparisonData!A34,ComparisonData!$AAE$1),0)),5)</f>
        <v>0</v>
      </c>
      <c r="AAF34" s="81" cm="1">
        <f t="array" ref="AAF34">ROUND((IFERROR(INDEX(ArchiveResults!$F$5:$IX$116,ComparisonData!A34,ComparisonData!$AAF$1),0)),5)</f>
        <v>0</v>
      </c>
      <c r="AAG34" s="46">
        <f t="shared" si="481"/>
        <v>75</v>
      </c>
      <c r="AAH34" s="46">
        <f t="shared" si="99"/>
        <v>2.8089999999999997</v>
      </c>
      <c r="AAI34" s="46">
        <f t="shared" si="482"/>
        <v>1</v>
      </c>
      <c r="AAJ34" s="46">
        <f t="shared" si="483"/>
        <v>2</v>
      </c>
      <c r="AAK34" s="46">
        <f t="shared" si="484"/>
        <v>0</v>
      </c>
      <c r="AAL34" s="46">
        <f t="shared" si="485"/>
        <v>0</v>
      </c>
      <c r="AAM34" s="46">
        <f t="shared" si="486"/>
        <v>0</v>
      </c>
      <c r="AAN34" s="46">
        <f t="shared" si="487"/>
        <v>0</v>
      </c>
      <c r="AAO34" s="46">
        <f t="shared" si="488"/>
        <v>0</v>
      </c>
      <c r="AAP34" s="46">
        <f t="shared" si="489"/>
        <v>0</v>
      </c>
      <c r="AAQ34" s="56">
        <v>29</v>
      </c>
      <c r="AAR34" s="53" t="str">
        <f t="shared" si="100"/>
        <v>Gloucestershire Archives</v>
      </c>
      <c r="AAS34" s="60">
        <f t="shared" si="490"/>
        <v>0</v>
      </c>
      <c r="AAT34" s="60">
        <f t="shared" si="491"/>
        <v>0</v>
      </c>
      <c r="AAU34" s="60">
        <f t="shared" si="492"/>
        <v>0</v>
      </c>
      <c r="AAV34" s="60">
        <f t="shared" si="493"/>
        <v>0</v>
      </c>
      <c r="AAW34" s="60">
        <f t="shared" si="494"/>
        <v>0</v>
      </c>
      <c r="AAX34" s="76">
        <f t="shared" si="495"/>
        <v>0</v>
      </c>
      <c r="AAY34" s="46">
        <f t="shared" si="496"/>
        <v>75</v>
      </c>
      <c r="AAZ34" s="46">
        <f t="shared" si="101"/>
        <v>2.8089999999999997</v>
      </c>
      <c r="ABA34" s="46">
        <f t="shared" si="497"/>
        <v>1</v>
      </c>
      <c r="ABB34" s="46">
        <f t="shared" si="498"/>
        <v>2</v>
      </c>
      <c r="ABC34" s="46">
        <f t="shared" si="102"/>
        <v>0</v>
      </c>
      <c r="ABD34" s="46" cm="1">
        <f t="array" ref="ABD34">ROUND(VALUE(IFERROR(INDEX(ArchiveResults!$F$5:$IX$116,ComparisonData!A34,ComparisonData!$ABD$1),0)),5)</f>
        <v>0</v>
      </c>
      <c r="ABE34" s="46" cm="1">
        <f t="array" ref="ABE34">ROUND(VALUE(IFERROR(INDEX(ArchiveResults!$F$5:$IX$116,ComparisonData!A34,ComparisonData!$ABE$1),0)),5)</f>
        <v>0</v>
      </c>
      <c r="ABF34" s="46" cm="1">
        <f t="array" ref="ABF34">ROUND(VALUE(IFERROR(INDEX(ArchiveResults!$F$5:$IX$116,ComparisonData!A34,ComparisonData!$ABF$1),0)),5)</f>
        <v>0</v>
      </c>
      <c r="ABG34" s="46" cm="1">
        <f t="array" ref="ABG34">ROUND(VALUE(IFERROR(INDEX(ArchiveResults!$F$5:$IX$116,ComparisonData!A34,ComparisonData!$ABG$1),0)),5)</f>
        <v>0</v>
      </c>
      <c r="ABH34" s="46" cm="1">
        <f t="array" ref="ABH34">ROUND(VALUE(IFERROR(INDEX(ArchiveResults!$F$5:$IX$116,ComparisonData!A34,ComparisonData!$ABH$1),0)),5)</f>
        <v>0</v>
      </c>
      <c r="ABI34" s="56">
        <v>29</v>
      </c>
      <c r="ABJ34" s="53" t="str">
        <f t="shared" si="103"/>
        <v>Gloucestershire Archives</v>
      </c>
      <c r="ABK34" s="60">
        <f t="shared" si="499"/>
        <v>0</v>
      </c>
      <c r="ABL34" s="60">
        <f t="shared" si="500"/>
        <v>0</v>
      </c>
      <c r="ABM34" s="60">
        <f t="shared" si="501"/>
        <v>0</v>
      </c>
      <c r="ABN34" s="60">
        <f t="shared" si="502"/>
        <v>0</v>
      </c>
      <c r="ABO34" s="60">
        <f t="shared" si="503"/>
        <v>0</v>
      </c>
      <c r="ABP34" s="76">
        <f t="shared" si="504"/>
        <v>0</v>
      </c>
      <c r="ABQ34" s="46">
        <f t="shared" si="505"/>
        <v>75</v>
      </c>
      <c r="ABR34" s="46">
        <f t="shared" si="104"/>
        <v>2.8089999999999997</v>
      </c>
      <c r="ABS34" s="46">
        <f t="shared" si="506"/>
        <v>1</v>
      </c>
      <c r="ABT34" s="46">
        <f t="shared" si="507"/>
        <v>2</v>
      </c>
      <c r="ABU34" s="46" cm="1">
        <f t="array" ref="ABU34">ROUND(VALUE(IFERROR(INDEX(ArchiveResults!$F$5:$IX$116,ComparisonData!A34,ComparisonData!$ABU$1),0)),5)</f>
        <v>0</v>
      </c>
      <c r="ABV34" s="46" cm="1">
        <f t="array" ref="ABV34">ROUND(VALUE(IFERROR(INDEX(ArchiveResults!$F$5:$IX$116,ComparisonData!A34,ComparisonData!$ABV$1),0)),5)</f>
        <v>0</v>
      </c>
      <c r="ABW34" s="46" cm="1">
        <f t="array" ref="ABW34">ROUND(VALUE(IFERROR(INDEX(ArchiveResults!$F$5:$IX$116,ComparisonData!A34,ComparisonData!$ABW$1),0)),5)</f>
        <v>0</v>
      </c>
      <c r="ABX34" s="46" cm="1">
        <f t="array" ref="ABX34">ROUND(VALUE(IFERROR(INDEX(ArchiveResults!$F$5:$IX$116,ComparisonData!A34,ComparisonData!$ABX$1),0)),5)</f>
        <v>0</v>
      </c>
      <c r="ABY34" s="46" cm="1">
        <f t="array" ref="ABY34">ROUND(VALUE(IFERROR(INDEX(ArchiveResults!$F$5:$IX$116,ComparisonData!A34,ComparisonData!$ABY$1),0)),5)</f>
        <v>0</v>
      </c>
      <c r="ABZ34" s="56">
        <v>29</v>
      </c>
      <c r="ACA34" s="53" t="str">
        <f t="shared" si="105"/>
        <v>Gloucestershire Archives</v>
      </c>
      <c r="ACB34" s="60">
        <f t="shared" si="508"/>
        <v>0</v>
      </c>
      <c r="ACC34" s="60">
        <f t="shared" si="509"/>
        <v>0</v>
      </c>
      <c r="ACD34" s="60">
        <f t="shared" si="510"/>
        <v>0</v>
      </c>
      <c r="ACE34" s="60">
        <f t="shared" si="511"/>
        <v>0</v>
      </c>
      <c r="ACF34" s="60">
        <f t="shared" si="512"/>
        <v>0</v>
      </c>
      <c r="ACG34" s="76">
        <f t="shared" si="513"/>
        <v>0</v>
      </c>
      <c r="ACH34" s="46">
        <f t="shared" si="514"/>
        <v>75</v>
      </c>
      <c r="ACI34" s="46">
        <f t="shared" si="106"/>
        <v>2.8089999999999997</v>
      </c>
      <c r="ACJ34" s="46">
        <f t="shared" si="515"/>
        <v>1</v>
      </c>
      <c r="ACK34" s="46">
        <f t="shared" si="516"/>
        <v>2</v>
      </c>
      <c r="ACL34" s="46">
        <f t="shared" si="517"/>
        <v>0</v>
      </c>
      <c r="ACM34" s="46" cm="1">
        <f t="array" ref="ACM34">ROUND(IFERROR(INDEX(ArchiveResults!$F$5:$IX$116,ComparisonData!A34,ComparisonData!$ACM$1),0),5)</f>
        <v>0</v>
      </c>
      <c r="ACN34" s="46" cm="1">
        <f t="array" ref="ACN34">ROUND(IFERROR(INDEX(ArchiveResults!$F$5:$IX$116,ComparisonData!A34,ComparisonData!$ACN$1),0),5)</f>
        <v>0</v>
      </c>
      <c r="ACO34" s="56">
        <v>29</v>
      </c>
      <c r="ACP34" s="53" t="str">
        <f t="shared" si="107"/>
        <v>Gloucestershire Archives</v>
      </c>
      <c r="ACQ34" s="60">
        <f t="shared" si="518"/>
        <v>0</v>
      </c>
      <c r="ACR34" s="60">
        <f t="shared" si="519"/>
        <v>0</v>
      </c>
      <c r="ACS34" s="76">
        <f t="shared" si="520"/>
        <v>0</v>
      </c>
      <c r="ACT34" s="46">
        <f t="shared" si="521"/>
        <v>75</v>
      </c>
      <c r="ACU34" s="46">
        <f t="shared" si="108"/>
        <v>2.8089999999999997</v>
      </c>
      <c r="ACV34" s="46">
        <f t="shared" si="522"/>
        <v>1</v>
      </c>
      <c r="ACW34" s="46">
        <f t="shared" si="523"/>
        <v>2</v>
      </c>
      <c r="ACX34" s="46">
        <f t="shared" si="524"/>
        <v>0</v>
      </c>
      <c r="ACY34" s="46" cm="1">
        <f t="array" ref="ACY34">ROUNDDOWN(IFERROR(INDEX(ArchiveResults!$F$5:$IX$116,ComparisonData!A34,ComparisonData!$ACY$1),0),5)</f>
        <v>0</v>
      </c>
      <c r="ACZ34" s="46" cm="1">
        <f t="array" ref="ACZ34">ROUNDDOWN(IFERROR(INDEX(ArchiveResults!$F$5:$IX$116,ComparisonData!A34,ComparisonData!$ACZ$1),0),5)</f>
        <v>0</v>
      </c>
      <c r="ADA34" s="46" cm="1">
        <f t="array" ref="ADA34">ROUNDDOWN(IFERROR(INDEX(ArchiveResults!$F$5:$IX$116,ComparisonData!A34,ComparisonData!$ADA$1),0),5)</f>
        <v>0</v>
      </c>
      <c r="ADB34" s="56">
        <v>29</v>
      </c>
      <c r="ADC34" s="53" t="str">
        <f t="shared" si="109"/>
        <v>Gloucestershire Archives</v>
      </c>
      <c r="ADD34" s="60">
        <f t="shared" si="525"/>
        <v>0</v>
      </c>
      <c r="ADE34" s="60">
        <f t="shared" si="526"/>
        <v>0</v>
      </c>
      <c r="ADF34" s="60">
        <f t="shared" si="527"/>
        <v>0</v>
      </c>
      <c r="ADG34" s="76">
        <f t="shared" si="528"/>
        <v>0</v>
      </c>
    </row>
    <row r="35" spans="1:787" x14ac:dyDescent="0.25">
      <c r="A35" s="46" t="str">
        <f>IF(ISBLANK(ComparisonSelection!F31),"",ROW()-5)</f>
        <v/>
      </c>
      <c r="B35" s="53" t="s">
        <v>598</v>
      </c>
      <c r="C35" s="72">
        <v>0.68899999999999972</v>
      </c>
      <c r="D35" s="55">
        <f t="shared" si="110"/>
        <v>51</v>
      </c>
      <c r="E35" s="54">
        <f t="shared" si="111"/>
        <v>2.6889999999999996</v>
      </c>
      <c r="F35" s="54">
        <f t="shared" si="529"/>
        <v>1</v>
      </c>
      <c r="G35" s="72">
        <f t="shared" si="112"/>
        <v>2</v>
      </c>
      <c r="H35" s="72">
        <f t="shared" si="113"/>
        <v>0</v>
      </c>
      <c r="I35" s="46" cm="1">
        <f t="array" ref="I35">ROUND(IFERROR(INDEX(ArchiveResults!$F$5:$IX$116,ComparisonData!A35,ComparisonData!$I$1),0),5)</f>
        <v>0</v>
      </c>
      <c r="J35" s="46" cm="1">
        <f t="array" ref="J35">ROUND(IFERROR(INDEX(ArchiveResults!$F$5:$IX$116,ComparisonData!A35,ComparisonData!$J$1),0),5)</f>
        <v>0</v>
      </c>
      <c r="K35" s="56">
        <v>30</v>
      </c>
      <c r="L35" s="53" t="str">
        <f t="shared" si="114"/>
        <v>Gwent Archives</v>
      </c>
      <c r="M35" s="57">
        <f t="shared" si="0"/>
        <v>0</v>
      </c>
      <c r="N35" s="57">
        <f t="shared" si="1"/>
        <v>0</v>
      </c>
      <c r="O35" s="58">
        <f t="shared" si="115"/>
        <v>0</v>
      </c>
      <c r="P35" s="48">
        <f t="shared" si="116"/>
        <v>51</v>
      </c>
      <c r="Q35" s="54">
        <f t="shared" si="2"/>
        <v>2.6889999999999996</v>
      </c>
      <c r="R35" s="45">
        <f t="shared" si="117"/>
        <v>1</v>
      </c>
      <c r="S35" s="46">
        <f t="shared" si="118"/>
        <v>2</v>
      </c>
      <c r="T35" s="72">
        <f t="shared" si="119"/>
        <v>0</v>
      </c>
      <c r="U35" s="46" cm="1">
        <f t="array" ref="U35">ROUND(IFERROR(INDEX(ArchiveResults!$F$5:$IX$116,ComparisonData!A35,ComparisonData!$U$1),0),5)</f>
        <v>0</v>
      </c>
      <c r="V35" s="46" cm="1">
        <f t="array" ref="V35">ROUND(IFERROR(INDEX(ArchiveResults!$F$5:$IX$116,ComparisonData!A35,ComparisonData!$V$1),0),5)</f>
        <v>0</v>
      </c>
      <c r="W35" s="56">
        <v>30</v>
      </c>
      <c r="X35" s="53" t="str">
        <f t="shared" si="3"/>
        <v>Gwent Archives</v>
      </c>
      <c r="Y35" s="57">
        <f t="shared" si="120"/>
        <v>0</v>
      </c>
      <c r="Z35" s="57">
        <f t="shared" si="121"/>
        <v>0</v>
      </c>
      <c r="AA35" s="58">
        <f t="shared" si="122"/>
        <v>0</v>
      </c>
      <c r="AB35" s="45">
        <f t="shared" si="123"/>
        <v>51</v>
      </c>
      <c r="AC35" s="54">
        <f t="shared" si="4"/>
        <v>2.6889999999999996</v>
      </c>
      <c r="AD35" s="45">
        <f t="shared" si="124"/>
        <v>1</v>
      </c>
      <c r="AE35" s="45">
        <f t="shared" si="125"/>
        <v>2</v>
      </c>
      <c r="AF35" s="45">
        <f t="shared" si="126"/>
        <v>0</v>
      </c>
      <c r="AG35" s="46" cm="1">
        <f t="array" ref="AG35">ROUND(IFERROR(INDEX(ArchiveResults!$F$5:$IX$116,ComparisonData!A35,ComparisonData!$AG$1),0),5)</f>
        <v>0</v>
      </c>
      <c r="AH35" s="46" cm="1">
        <f t="array" ref="AH35">ROUND(IFERROR(INDEX(ArchiveResults!$F$5:$IX$116,ComparisonData!A35,ComparisonData!$AH$1),0),5)</f>
        <v>0</v>
      </c>
      <c r="AI35" s="56">
        <v>30</v>
      </c>
      <c r="AJ35" s="53" t="str">
        <f t="shared" si="5"/>
        <v>Gwent Archives</v>
      </c>
      <c r="AK35" s="59">
        <f t="shared" si="6"/>
        <v>0</v>
      </c>
      <c r="AL35" s="59">
        <f t="shared" si="7"/>
        <v>0</v>
      </c>
      <c r="AM35" s="58">
        <f t="shared" si="127"/>
        <v>0</v>
      </c>
      <c r="AN35" s="45">
        <f t="shared" si="128"/>
        <v>51</v>
      </c>
      <c r="AO35" s="54">
        <f t="shared" si="8"/>
        <v>2.6889999999999996</v>
      </c>
      <c r="AP35" s="45">
        <f t="shared" si="129"/>
        <v>1</v>
      </c>
      <c r="AQ35" s="45">
        <f t="shared" si="130"/>
        <v>2</v>
      </c>
      <c r="AR35" s="46" cm="1">
        <f t="array" ref="AR35">ROUND(IFERROR(INDEX(ArchiveResults!$F$5:$IX$116,ComparisonData!A35,ComparisonData!$AR$1),0),5)</f>
        <v>0</v>
      </c>
      <c r="AS35" s="46" cm="1">
        <f t="array" ref="AS35">ROUND(IFERROR(INDEX(ArchiveResults!$F$5:$IX$116,ComparisonData!A35,ComparisonData!$AS$1),0),5)</f>
        <v>0</v>
      </c>
      <c r="AT35" s="46" cm="1">
        <f t="array" ref="AT35">ROUND(IFERROR(INDEX(ArchiveResults!$F$5:$IX$116,ComparisonData!A35,ComparisonData!$AT$1),0),5)</f>
        <v>0</v>
      </c>
      <c r="AU35" s="46" cm="1">
        <f t="array" ref="AU35">ROUND(IFERROR(INDEX(ArchiveResults!$F$5:$IX$116,ComparisonData!A35,ComparisonData!$AU$1),0),5)</f>
        <v>0</v>
      </c>
      <c r="AV35" s="46" cm="1">
        <f t="array" ref="AV35">ROUND(IFERROR(INDEX(ArchiveResults!$F$5:$IX$116,ComparisonData!A35,ComparisonData!$AV$1),0),5)</f>
        <v>0</v>
      </c>
      <c r="AW35" s="46" cm="1">
        <f t="array" ref="AW35">ROUND(IFERROR(INDEX(ArchiveResults!$F$5:$IX$116,ComparisonData!A35,ComparisonData!$AW$1),0),5)</f>
        <v>0</v>
      </c>
      <c r="AX35" s="46" cm="1">
        <f t="array" ref="AX35">ROUND(IFERROR(INDEX(ArchiveResults!$F$5:$IX$116,ComparisonData!A35,ComparisonData!$AX$1),0),5)</f>
        <v>0</v>
      </c>
      <c r="AY35" s="46" cm="1">
        <f t="array" ref="AY35">ROUND(IFERROR(INDEX(ArchiveResults!$F$5:$IX$116,ComparisonData!A35,ComparisonData!$AY$1),0),5)</f>
        <v>0</v>
      </c>
      <c r="AZ35" s="46" cm="1">
        <f t="array" ref="AZ35">ROUND(IFERROR(INDEX(ArchiveResults!$F$5:$IX$116,ComparisonData!A35,ComparisonData!$AZ$1),0),5)</f>
        <v>0</v>
      </c>
      <c r="BA35" s="46" cm="1">
        <f t="array" ref="BA35">ROUND(IFERROR(INDEX(ArchiveResults!$F$5:$IX$116,ComparisonData!A35,ComparisonData!$BA$1),0),5)</f>
        <v>0</v>
      </c>
      <c r="BB35" s="56">
        <v>30</v>
      </c>
      <c r="BC35" s="53" t="str">
        <f t="shared" si="9"/>
        <v>Gwent Archives</v>
      </c>
      <c r="BD35" s="60">
        <f t="shared" si="131"/>
        <v>0</v>
      </c>
      <c r="BE35" s="60">
        <f t="shared" si="132"/>
        <v>0</v>
      </c>
      <c r="BF35" s="60">
        <f t="shared" si="133"/>
        <v>0</v>
      </c>
      <c r="BG35" s="60">
        <f t="shared" si="134"/>
        <v>0</v>
      </c>
      <c r="BH35" s="60">
        <f t="shared" si="135"/>
        <v>0</v>
      </c>
      <c r="BI35" s="60">
        <f t="shared" si="136"/>
        <v>0</v>
      </c>
      <c r="BJ35" s="60">
        <f t="shared" si="137"/>
        <v>0</v>
      </c>
      <c r="BK35" s="60">
        <f t="shared" si="138"/>
        <v>0</v>
      </c>
      <c r="BL35" s="60">
        <f t="shared" si="139"/>
        <v>0</v>
      </c>
      <c r="BM35" s="59">
        <f t="shared" si="140"/>
        <v>0</v>
      </c>
      <c r="BN35" s="58">
        <f t="shared" si="141"/>
        <v>0</v>
      </c>
      <c r="BO35" s="45">
        <f t="shared" si="142"/>
        <v>51</v>
      </c>
      <c r="BP35" s="54">
        <f t="shared" si="10"/>
        <v>2.6889999999999996</v>
      </c>
      <c r="BQ35" s="45">
        <f t="shared" si="143"/>
        <v>1</v>
      </c>
      <c r="BR35" s="45">
        <f t="shared" si="144"/>
        <v>2</v>
      </c>
      <c r="BS35" s="46" cm="1">
        <f t="array" ref="BS35">ROUND(IFERROR(INDEX(ArchiveResults!$F$5:$IX$116,ComparisonData!A35,ComparisonData!$BS$1),0),5)</f>
        <v>0</v>
      </c>
      <c r="BT35" s="46" cm="1">
        <f t="array" ref="BT35">ROUND(IFERROR(INDEX(ArchiveResults!$F$5:$IX$116,ComparisonData!A35,ComparisonData!$BT$1),0),5)</f>
        <v>0</v>
      </c>
      <c r="BU35" s="46" cm="1">
        <f t="array" ref="BU35">ROUND(IFERROR(INDEX(ArchiveResults!$F$5:$IX$116,ComparisonData!A35,ComparisonData!$BU$1),0),5)</f>
        <v>0</v>
      </c>
      <c r="BV35" s="46" cm="1">
        <f t="array" ref="BV35">ROUND(IFERROR(INDEX(ArchiveResults!$F$5:$IX$116,ComparisonData!A35,ComparisonData!$BV$1),0),5)</f>
        <v>0</v>
      </c>
      <c r="BW35" s="46" cm="1">
        <f t="array" ref="BW35">ROUND(IFERROR(INDEX(ArchiveResults!$F$5:$IX$116,ComparisonData!A35,ComparisonData!$BW$1),0),5)</f>
        <v>0</v>
      </c>
      <c r="BX35" s="46" cm="1">
        <f t="array" ref="BX35">ROUND(IFERROR(INDEX(ArchiveResults!$F$5:$IX$116,ComparisonData!A35,ComparisonData!$BX$1),0),5)</f>
        <v>0</v>
      </c>
      <c r="BY35" s="56">
        <v>30</v>
      </c>
      <c r="BZ35" s="53" t="str">
        <f t="shared" si="11"/>
        <v>Gwent Archives</v>
      </c>
      <c r="CA35" s="59">
        <f t="shared" si="145"/>
        <v>0</v>
      </c>
      <c r="CB35" s="59">
        <f t="shared" si="146"/>
        <v>0</v>
      </c>
      <c r="CC35" s="59">
        <f t="shared" si="147"/>
        <v>0</v>
      </c>
      <c r="CD35" s="59">
        <f t="shared" si="148"/>
        <v>0</v>
      </c>
      <c r="CE35" s="59">
        <f t="shared" si="149"/>
        <v>0</v>
      </c>
      <c r="CF35" s="59">
        <f t="shared" si="150"/>
        <v>0</v>
      </c>
      <c r="CG35" s="58">
        <f t="shared" si="151"/>
        <v>0</v>
      </c>
      <c r="CH35" s="45">
        <f t="shared" si="152"/>
        <v>51</v>
      </c>
      <c r="CI35" s="54">
        <f t="shared" si="12"/>
        <v>2.6889999999999996</v>
      </c>
      <c r="CJ35" s="45">
        <f t="shared" si="153"/>
        <v>1</v>
      </c>
      <c r="CK35" s="45">
        <f t="shared" si="154"/>
        <v>2</v>
      </c>
      <c r="CL35" s="46" cm="1">
        <f t="array" ref="CL35">ROUND(IFERROR(INDEX(ArchiveResults!$F$5:$IX$116,ComparisonData!A35,ComparisonData!$CL$1),0),5)</f>
        <v>0</v>
      </c>
      <c r="CM35" s="56">
        <v>30</v>
      </c>
      <c r="CN35" s="53" t="str">
        <f t="shared" si="13"/>
        <v>Gwent Archives</v>
      </c>
      <c r="CO35" s="45">
        <f t="shared" si="155"/>
        <v>0</v>
      </c>
      <c r="CP35" s="58">
        <f t="shared" si="156"/>
        <v>0</v>
      </c>
      <c r="CQ35" s="45">
        <f t="shared" si="157"/>
        <v>51</v>
      </c>
      <c r="CR35" s="54">
        <f t="shared" si="14"/>
        <v>2.6889999999999996</v>
      </c>
      <c r="CS35" s="45">
        <f t="shared" si="158"/>
        <v>1</v>
      </c>
      <c r="CT35" s="45">
        <f t="shared" si="159"/>
        <v>2</v>
      </c>
      <c r="CU35" s="46" cm="1">
        <f t="array" ref="CU35">ROUND(IFERROR(INDEX(ArchiveResults!$F$5:$IX$116,ComparisonData!A35,ComparisonData!$CU$1),0),5)</f>
        <v>0</v>
      </c>
      <c r="CV35" s="56">
        <v>30</v>
      </c>
      <c r="CW35" s="53" t="str">
        <f t="shared" si="15"/>
        <v>Gwent Archives</v>
      </c>
      <c r="CX35" s="45">
        <f t="shared" si="160"/>
        <v>0</v>
      </c>
      <c r="CY35" s="58">
        <f t="shared" si="161"/>
        <v>0</v>
      </c>
      <c r="CZ35" s="45">
        <f t="shared" si="162"/>
        <v>51</v>
      </c>
      <c r="DA35" s="54">
        <f t="shared" si="16"/>
        <v>2.6889999999999996</v>
      </c>
      <c r="DB35" s="45">
        <f t="shared" si="163"/>
        <v>1</v>
      </c>
      <c r="DC35" s="45">
        <f t="shared" si="164"/>
        <v>2</v>
      </c>
      <c r="DD35" s="46" cm="1">
        <f t="array" ref="DD35">ROUND(IFERROR(INDEX(ArchiveResults!$F$5:$IX$116,ComparisonData!A35,ComparisonData!$DD$1),0),5)</f>
        <v>0</v>
      </c>
      <c r="DE35" s="56">
        <v>30</v>
      </c>
      <c r="DF35" s="53" t="str">
        <f t="shared" si="17"/>
        <v>Gwent Archives</v>
      </c>
      <c r="DG35" s="45">
        <f t="shared" si="165"/>
        <v>0</v>
      </c>
      <c r="DH35" s="58">
        <f t="shared" si="166"/>
        <v>0</v>
      </c>
      <c r="DI35" s="45">
        <f t="shared" si="167"/>
        <v>51</v>
      </c>
      <c r="DJ35" s="54">
        <f t="shared" si="18"/>
        <v>2.6889999999999996</v>
      </c>
      <c r="DK35" s="45">
        <f t="shared" si="168"/>
        <v>1</v>
      </c>
      <c r="DL35" s="45">
        <f t="shared" si="169"/>
        <v>2</v>
      </c>
      <c r="DM35" s="46" cm="1">
        <f t="array" ref="DM35">ROUND(IFERROR(INDEX(ArchiveResults!$F$5:$IX$116,ComparisonData!A35,ComparisonData!$DM$1),0),5)</f>
        <v>0</v>
      </c>
      <c r="DN35" s="46" cm="1">
        <f t="array" ref="DN35">ROUND(IFERROR(INDEX(ArchiveResults!$F$5:$IX$116,ComparisonData!A35,ComparisonData!$DN$1),0),5)</f>
        <v>0</v>
      </c>
      <c r="DO35" s="46" cm="1">
        <f t="array" ref="DO35">ROUND(IFERROR(INDEX(ArchiveResults!$F$5:$IX$116,ComparisonData!A35,ComparisonData!$DO$1),0),5)</f>
        <v>0</v>
      </c>
      <c r="DP35" s="46" cm="1">
        <f t="array" ref="DP35">ROUND(IFERROR(INDEX(ArchiveResults!$F$5:$IX$116,ComparisonData!A35,ComparisonData!$DP$1),0),5)</f>
        <v>0</v>
      </c>
      <c r="DQ35" s="45" cm="1">
        <f t="array" ref="DQ35">IFERROR(INDEX(ArchiveResults!$F$5:$IX$116,ComparisonData!A35,ComparisonData!$DQ$1),0)</f>
        <v>0</v>
      </c>
      <c r="DR35" s="56">
        <v>30</v>
      </c>
      <c r="DS35" s="53" t="str">
        <f t="shared" si="19"/>
        <v>Gwent Archives</v>
      </c>
      <c r="DT35" s="59">
        <f t="shared" si="170"/>
        <v>0</v>
      </c>
      <c r="DU35" s="59">
        <f t="shared" si="171"/>
        <v>0</v>
      </c>
      <c r="DV35" s="59">
        <f t="shared" si="172"/>
        <v>0</v>
      </c>
      <c r="DW35" s="59">
        <f t="shared" si="173"/>
        <v>0</v>
      </c>
      <c r="DX35" s="59">
        <f t="shared" si="174"/>
        <v>0</v>
      </c>
      <c r="DY35" s="58">
        <f t="shared" si="175"/>
        <v>0</v>
      </c>
      <c r="DZ35" s="45">
        <f t="shared" si="176"/>
        <v>51</v>
      </c>
      <c r="EA35" s="54">
        <f t="shared" si="20"/>
        <v>2.6889999999999996</v>
      </c>
      <c r="EB35" s="45">
        <f t="shared" si="177"/>
        <v>1</v>
      </c>
      <c r="EC35" s="45">
        <f t="shared" si="178"/>
        <v>2</v>
      </c>
      <c r="ED35" s="46" cm="1">
        <f t="array" ref="ED35">ROUND(IFERROR(INDEX(ArchiveResults!$F$5:$IX$116,ComparisonData!A35,ComparisonData!$ED$1),0),5)</f>
        <v>0</v>
      </c>
      <c r="EE35" s="46" cm="1">
        <f t="array" ref="EE35">ROUND(IFERROR(INDEX(ArchiveResults!$F$5:$IX$116,ComparisonData!A35,ComparisonData!$EE$1),0),5)</f>
        <v>0</v>
      </c>
      <c r="EF35" s="46" cm="1">
        <f t="array" ref="EF35">ROUND(IFERROR(INDEX(ArchiveResults!$F$5:$IX$116,ComparisonData!A35,ComparisonData!$EF$1),0),5)</f>
        <v>0</v>
      </c>
      <c r="EG35" s="46" cm="1">
        <f t="array" ref="EG35">ROUND(IFERROR(INDEX(ArchiveResults!$F$5:$IX$116,ComparisonData!A35,ComparisonData!$EG$1),0),5)</f>
        <v>0</v>
      </c>
      <c r="EH35" s="45" cm="1">
        <f t="array" ref="EH35">IFERROR(INDEX(ArchiveResults!$F$5:$IX$116,ComparisonData!A35,ComparisonData!$EH$1),0)</f>
        <v>0</v>
      </c>
      <c r="EI35" s="56">
        <v>30</v>
      </c>
      <c r="EJ35" s="53" t="str">
        <f t="shared" si="21"/>
        <v>Gwent Archives</v>
      </c>
      <c r="EK35" s="59">
        <f t="shared" si="179"/>
        <v>0</v>
      </c>
      <c r="EL35" s="59">
        <f t="shared" si="180"/>
        <v>0</v>
      </c>
      <c r="EM35" s="59">
        <f t="shared" si="181"/>
        <v>0</v>
      </c>
      <c r="EN35" s="59">
        <f t="shared" si="182"/>
        <v>0</v>
      </c>
      <c r="EO35" s="59">
        <f t="shared" si="183"/>
        <v>0</v>
      </c>
      <c r="EP35" s="58">
        <f t="shared" si="184"/>
        <v>0</v>
      </c>
      <c r="EQ35" s="45">
        <f t="shared" si="185"/>
        <v>51</v>
      </c>
      <c r="ER35" s="54">
        <f t="shared" si="22"/>
        <v>2.6889999999999996</v>
      </c>
      <c r="ES35" s="45">
        <f t="shared" si="186"/>
        <v>1</v>
      </c>
      <c r="ET35" s="45">
        <f t="shared" si="187"/>
        <v>2</v>
      </c>
      <c r="EU35" s="46" cm="1">
        <f t="array" ref="EU35">ROUND(IFERROR(INDEX(ArchiveResults!$F$5:$IX$116,ComparisonData!A35,ComparisonData!$EU$1),0),5)</f>
        <v>0</v>
      </c>
      <c r="EV35" s="46" cm="1">
        <f t="array" ref="EV35">ROUND(IFERROR(INDEX(ArchiveResults!$F$5:$IX$116,ComparisonData!A35,ComparisonData!$EV$1),0),5)</f>
        <v>0</v>
      </c>
      <c r="EW35" s="46" cm="1">
        <f t="array" ref="EW35">ROUND(IFERROR(INDEX(ArchiveResults!$F$5:$IX$116,ComparisonData!A35,ComparisonData!$EW$1),0),5)</f>
        <v>0</v>
      </c>
      <c r="EX35" s="46" cm="1">
        <f t="array" ref="EX35">ROUND(IFERROR(INDEX(ArchiveResults!$F$5:$IX$116,ComparisonData!A35,ComparisonData!$EX$1),0),5)</f>
        <v>0</v>
      </c>
      <c r="EY35" s="45" cm="1">
        <f t="array" ref="EY35">IFERROR(INDEX(ArchiveResults!$F$5:$IX$116,ComparisonData!A35,ComparisonData!$EY$1),0)</f>
        <v>0</v>
      </c>
      <c r="EZ35" s="56">
        <v>30</v>
      </c>
      <c r="FA35" s="53" t="str">
        <f t="shared" si="23"/>
        <v>Gwent Archives</v>
      </c>
      <c r="FB35" s="59">
        <f t="shared" si="188"/>
        <v>0</v>
      </c>
      <c r="FC35" s="59">
        <f t="shared" si="189"/>
        <v>0</v>
      </c>
      <c r="FD35" s="59">
        <f t="shared" si="190"/>
        <v>0</v>
      </c>
      <c r="FE35" s="59">
        <f t="shared" si="191"/>
        <v>0</v>
      </c>
      <c r="FF35" s="59">
        <f t="shared" si="192"/>
        <v>0</v>
      </c>
      <c r="FG35" s="58">
        <f t="shared" si="193"/>
        <v>0</v>
      </c>
      <c r="FH35" s="45">
        <f t="shared" si="194"/>
        <v>51</v>
      </c>
      <c r="FI35" s="54">
        <f t="shared" si="24"/>
        <v>2.6889999999999996</v>
      </c>
      <c r="FJ35" s="45">
        <f t="shared" si="195"/>
        <v>1</v>
      </c>
      <c r="FK35" s="45">
        <f t="shared" si="196"/>
        <v>2</v>
      </c>
      <c r="FL35" s="46" cm="1">
        <f t="array" ref="FL35">ROUND(IFERROR(INDEX(ArchiveResults!$F$5:$IX$116,ComparisonData!A35,ComparisonData!$FL$1),0),5)</f>
        <v>0</v>
      </c>
      <c r="FM35" s="46" cm="1">
        <f t="array" ref="FM35">ROUND(IFERROR(INDEX(ArchiveResults!$F$5:$IX$116,ComparisonData!A35,ComparisonData!$FM$1),0),5)</f>
        <v>0</v>
      </c>
      <c r="FN35" s="46" cm="1">
        <f t="array" ref="FN35">ROUND(IFERROR(INDEX(ArchiveResults!$F$5:$IX$116,ComparisonData!A35,ComparisonData!$FN$1),0),5)</f>
        <v>0</v>
      </c>
      <c r="FO35" s="46" cm="1">
        <f t="array" ref="FO35">ROUND(IFERROR(INDEX(ArchiveResults!$F$5:$IX$116,ComparisonData!A35,ComparisonData!$FO$1),0),5)</f>
        <v>0</v>
      </c>
      <c r="FP35" s="45" cm="1">
        <f t="array" ref="FP35">IFERROR(INDEX(ArchiveResults!$F$5:$IX$116,ComparisonData!A35,ComparisonData!$FP$1),0)</f>
        <v>0</v>
      </c>
      <c r="FQ35" s="56">
        <v>30</v>
      </c>
      <c r="FR35" s="53" t="str">
        <f t="shared" si="25"/>
        <v>Gwent Archives</v>
      </c>
      <c r="FS35" s="59">
        <f t="shared" si="197"/>
        <v>0</v>
      </c>
      <c r="FT35" s="59">
        <f t="shared" si="198"/>
        <v>0</v>
      </c>
      <c r="FU35" s="59">
        <f t="shared" si="199"/>
        <v>0</v>
      </c>
      <c r="FV35" s="59">
        <f t="shared" si="200"/>
        <v>0</v>
      </c>
      <c r="FW35" s="59">
        <f t="shared" si="201"/>
        <v>0</v>
      </c>
      <c r="FX35" s="58">
        <f t="shared" si="202"/>
        <v>0</v>
      </c>
      <c r="FY35" s="45">
        <f t="shared" si="203"/>
        <v>51</v>
      </c>
      <c r="FZ35" s="45">
        <f t="shared" si="26"/>
        <v>2.6889999999999996</v>
      </c>
      <c r="GA35" s="45">
        <f t="shared" si="204"/>
        <v>1</v>
      </c>
      <c r="GB35" s="45">
        <f t="shared" si="205"/>
        <v>2</v>
      </c>
      <c r="GC35" s="46" cm="1">
        <f t="array" ref="GC35">ROUND(IFERROR(INDEX(ArchiveResults!$F$5:$IX$116,ComparisonData!A35,ComparisonData!$GC$1),0),5)</f>
        <v>0</v>
      </c>
      <c r="GD35" s="46" cm="1">
        <f t="array" ref="GD35">ROUND(IFERROR(INDEX(ArchiveResults!$F$5:$IX$116,ComparisonData!A35,ComparisonData!$GD$1),0),5)</f>
        <v>0</v>
      </c>
      <c r="GE35" s="46" cm="1">
        <f t="array" ref="GE35">ROUND(IFERROR(INDEX(ArchiveResults!$F$5:$IX$116,ComparisonData!A35,ComparisonData!$GE$1),0),5)</f>
        <v>0</v>
      </c>
      <c r="GF35" s="46" cm="1">
        <f t="array" ref="GF35">ROUND(IFERROR(INDEX(ArchiveResults!$F$5:$IX$116,ComparisonData!A35,ComparisonData!$GF$1),0),5)</f>
        <v>0</v>
      </c>
      <c r="GG35" s="45" cm="1">
        <f t="array" ref="GG35">IFERROR(INDEX(ArchiveResults!$F$5:$IX$116,ComparisonData!A35,ComparisonData!$GG$1),0)</f>
        <v>0</v>
      </c>
      <c r="GH35" s="56">
        <v>30</v>
      </c>
      <c r="GI35" s="53" t="str">
        <f t="shared" si="27"/>
        <v>Gwent Archives</v>
      </c>
      <c r="GJ35" s="59">
        <f t="shared" si="206"/>
        <v>0</v>
      </c>
      <c r="GK35" s="59">
        <f t="shared" si="207"/>
        <v>0</v>
      </c>
      <c r="GL35" s="59">
        <f t="shared" si="208"/>
        <v>0</v>
      </c>
      <c r="GM35" s="59">
        <f t="shared" si="209"/>
        <v>0</v>
      </c>
      <c r="GN35" s="59">
        <f t="shared" si="210"/>
        <v>0</v>
      </c>
      <c r="GO35" s="58">
        <f t="shared" si="211"/>
        <v>0</v>
      </c>
      <c r="GP35" s="45">
        <f t="shared" si="212"/>
        <v>51</v>
      </c>
      <c r="GQ35" s="45">
        <f t="shared" si="28"/>
        <v>2.6889999999999996</v>
      </c>
      <c r="GR35" s="45">
        <f t="shared" si="213"/>
        <v>1</v>
      </c>
      <c r="GS35" s="45">
        <f t="shared" si="214"/>
        <v>2</v>
      </c>
      <c r="GT35" s="46" cm="1">
        <f t="array" ref="GT35">ROUND(IFERROR(INDEX(ArchiveResults!$F$5:$IX$116,ComparisonData!A35,ComparisonData!$GT$1),0),5)</f>
        <v>0</v>
      </c>
      <c r="GU35" s="46" cm="1">
        <f t="array" ref="GU35">ROUND(IFERROR(INDEX(ArchiveResults!$F$5:$IX$116,ComparisonData!A35,ComparisonData!$GU$1),0),5)</f>
        <v>0</v>
      </c>
      <c r="GV35" s="46" cm="1">
        <f t="array" ref="GV35">ROUND(IFERROR(INDEX(ArchiveResults!$F$5:$IX$116,ComparisonData!A35,ComparisonData!$GV$1),0),5)</f>
        <v>0</v>
      </c>
      <c r="GW35" s="46" cm="1">
        <f t="array" ref="GW35">ROUND(IFERROR(INDEX(ArchiveResults!$F$5:$IX$116,ComparisonData!A35,ComparisonData!$GW$1),0),5)</f>
        <v>0</v>
      </c>
      <c r="GX35" s="45" cm="1">
        <f t="array" ref="GX35">IFERROR(INDEX(ArchiveResults!$F$5:$IX$116,ComparisonData!A35,ComparisonData!$GX$1),0)</f>
        <v>0</v>
      </c>
      <c r="GY35" s="56">
        <v>30</v>
      </c>
      <c r="GZ35" s="53" t="str">
        <f t="shared" si="29"/>
        <v>Gwent Archives</v>
      </c>
      <c r="HA35" s="59">
        <f t="shared" si="215"/>
        <v>0</v>
      </c>
      <c r="HB35" s="59">
        <f t="shared" si="216"/>
        <v>0</v>
      </c>
      <c r="HC35" s="59">
        <f t="shared" si="217"/>
        <v>0</v>
      </c>
      <c r="HD35" s="59">
        <f t="shared" si="218"/>
        <v>0</v>
      </c>
      <c r="HE35" s="59">
        <f t="shared" si="219"/>
        <v>0</v>
      </c>
      <c r="HF35" s="58">
        <f t="shared" si="220"/>
        <v>0</v>
      </c>
      <c r="HG35" s="45">
        <f t="shared" si="221"/>
        <v>51</v>
      </c>
      <c r="HH35" s="45">
        <f t="shared" si="30"/>
        <v>2.6889999999999996</v>
      </c>
      <c r="HI35" s="45">
        <f t="shared" si="222"/>
        <v>1</v>
      </c>
      <c r="HJ35" s="45">
        <f t="shared" si="223"/>
        <v>2</v>
      </c>
      <c r="HK35" s="46" cm="1">
        <f t="array" ref="HK35">ROUND(IFERROR(INDEX(ArchiveResults!$F$5:$IX$116,ComparisonData!A35,ComparisonData!$HK$1),0),5)</f>
        <v>0</v>
      </c>
      <c r="HL35" s="46" cm="1">
        <f t="array" ref="HL35">ROUND(IFERROR(INDEX(ArchiveResults!$F$5:$IX$116,ComparisonData!A35,ComparisonData!$HL$1),0),5)</f>
        <v>0</v>
      </c>
      <c r="HM35" s="46" cm="1">
        <f t="array" ref="HM35">ROUND(IFERROR(INDEX(ArchiveResults!$F$5:$IX$116,ComparisonData!A35,ComparisonData!$HM$1),0),5)</f>
        <v>0</v>
      </c>
      <c r="HN35" s="46" cm="1">
        <f t="array" ref="HN35">ROUND(IFERROR(INDEX(ArchiveResults!$F$5:$IX$116,ComparisonData!A35,ComparisonData!$HN$1),0),5)</f>
        <v>0</v>
      </c>
      <c r="HO35" s="45" cm="1">
        <f t="array" ref="HO35">IFERROR(INDEX(ArchiveResults!$F$5:$IX$116,ComparisonData!A35,ComparisonData!$HO$1),0)</f>
        <v>0</v>
      </c>
      <c r="HP35" s="56">
        <v>30</v>
      </c>
      <c r="HQ35" s="53" t="str">
        <f t="shared" si="31"/>
        <v>Gwent Archives</v>
      </c>
      <c r="HR35" s="59">
        <f t="shared" si="32"/>
        <v>0</v>
      </c>
      <c r="HS35" s="59">
        <f t="shared" si="33"/>
        <v>0</v>
      </c>
      <c r="HT35" s="59">
        <f t="shared" si="34"/>
        <v>0</v>
      </c>
      <c r="HU35" s="59">
        <f t="shared" si="35"/>
        <v>0</v>
      </c>
      <c r="HV35" s="59">
        <f t="shared" si="36"/>
        <v>0</v>
      </c>
      <c r="HW35" s="58">
        <f t="shared" si="224"/>
        <v>0</v>
      </c>
      <c r="HX35" s="45">
        <f t="shared" si="225"/>
        <v>51</v>
      </c>
      <c r="HY35" s="45">
        <f t="shared" si="37"/>
        <v>2.6889999999999996</v>
      </c>
      <c r="HZ35" s="45">
        <f t="shared" si="226"/>
        <v>1</v>
      </c>
      <c r="IA35" s="45">
        <f t="shared" si="227"/>
        <v>2</v>
      </c>
      <c r="IB35" s="45">
        <f t="shared" si="228"/>
        <v>0</v>
      </c>
      <c r="IC35" s="46" cm="1">
        <f t="array" ref="IC35">ROUND(IFERROR(INDEX(ArchiveResults!$F$5:$IX$116,ComparisonData!A35,ComparisonData!$IC$1),0),5)</f>
        <v>0</v>
      </c>
      <c r="ID35" s="46" cm="1">
        <f t="array" ref="ID35">ROUND(IFERROR(INDEX(ArchiveResults!$F$5:$IX$116,ComparisonData!A35,ComparisonData!$ID$1),0),5)</f>
        <v>0</v>
      </c>
      <c r="IE35" s="46" cm="1">
        <f t="array" ref="IE35">ROUND(IFERROR(INDEX(ArchiveResults!$F$5:$IX$116,ComparisonData!A35,ComparisonData!$IE$1),0),5)</f>
        <v>0</v>
      </c>
      <c r="IF35" s="46" cm="1">
        <f t="array" ref="IF35">ROUND(IFERROR(INDEX(ArchiveResults!$F$5:$IX$116,ComparisonData!A35,ComparisonData!$IF$1),0),5)</f>
        <v>0</v>
      </c>
      <c r="IG35" s="45" cm="1">
        <f t="array" ref="IG35">IFERROR(INDEX(ArchiveResults!$F$5:$IX$116,ComparisonData!A35,ComparisonData!$IG$1),0)</f>
        <v>0</v>
      </c>
      <c r="IH35" s="56">
        <v>30</v>
      </c>
      <c r="II35" s="53" t="str">
        <f t="shared" si="38"/>
        <v>Gwent Archives</v>
      </c>
      <c r="IJ35" s="59">
        <f t="shared" si="229"/>
        <v>0</v>
      </c>
      <c r="IK35" s="59">
        <f t="shared" si="230"/>
        <v>0</v>
      </c>
      <c r="IL35" s="59">
        <f t="shared" si="231"/>
        <v>0</v>
      </c>
      <c r="IM35" s="59">
        <f t="shared" si="232"/>
        <v>0</v>
      </c>
      <c r="IN35" s="59">
        <f t="shared" si="233"/>
        <v>0</v>
      </c>
      <c r="IO35" s="58">
        <f t="shared" si="234"/>
        <v>0</v>
      </c>
      <c r="IP35" s="45">
        <f t="shared" si="235"/>
        <v>51</v>
      </c>
      <c r="IQ35" s="45">
        <f t="shared" si="39"/>
        <v>2.6889999999999996</v>
      </c>
      <c r="IR35" s="45">
        <f t="shared" si="236"/>
        <v>1</v>
      </c>
      <c r="IS35" s="45">
        <f t="shared" si="237"/>
        <v>2</v>
      </c>
      <c r="IT35" s="46">
        <f t="shared" si="238"/>
        <v>0</v>
      </c>
      <c r="IU35" s="46" cm="1">
        <f t="array" ref="IU35">ROUND(IFERROR(INDEX(ArchiveResults!$F$5:$IX$116,ComparisonData!A35,ComparisonData!$IU$1),0),5)</f>
        <v>0</v>
      </c>
      <c r="IV35" s="46" cm="1">
        <f t="array" ref="IV35">ROUND(IFERROR(INDEX(ArchiveResults!$F$5:$IX$116,ComparisonData!A35,ComparisonData!$IV$1),0),5)</f>
        <v>0</v>
      </c>
      <c r="IW35" s="46" cm="1">
        <f t="array" ref="IW35">ROUND(IFERROR(INDEX(ArchiveResults!$F$5:$IX$116,ComparisonData!A35,ComparisonData!$IW$1),0),5)</f>
        <v>0</v>
      </c>
      <c r="IX35" s="46" cm="1">
        <f t="array" ref="IX35">ROUND(IFERROR(INDEX(ArchiveResults!$F$5:$IX$116,ComparisonData!A35,ComparisonData!$IX$1),0),5)</f>
        <v>0</v>
      </c>
      <c r="IY35" s="45" cm="1">
        <f t="array" ref="IY35">IFERROR(INDEX(ArchiveResults!$F$5:$IX$116,ComparisonData!A35,ComparisonData!$IY$1),0)</f>
        <v>0</v>
      </c>
      <c r="IZ35" s="56">
        <v>30</v>
      </c>
      <c r="JA35" s="53" t="str">
        <f t="shared" si="40"/>
        <v>Gwent Archives</v>
      </c>
      <c r="JB35" s="59">
        <f t="shared" si="239"/>
        <v>0</v>
      </c>
      <c r="JC35" s="59">
        <f t="shared" si="240"/>
        <v>0</v>
      </c>
      <c r="JD35" s="59">
        <f t="shared" si="241"/>
        <v>0</v>
      </c>
      <c r="JE35" s="59">
        <f t="shared" si="242"/>
        <v>0</v>
      </c>
      <c r="JF35" s="59">
        <f t="shared" si="243"/>
        <v>0</v>
      </c>
      <c r="JG35" s="58">
        <f t="shared" si="244"/>
        <v>0</v>
      </c>
      <c r="JH35" s="45">
        <f t="shared" si="245"/>
        <v>51</v>
      </c>
      <c r="JI35" s="45">
        <f t="shared" si="41"/>
        <v>2.6889999999999996</v>
      </c>
      <c r="JJ35" s="45">
        <f t="shared" si="246"/>
        <v>1</v>
      </c>
      <c r="JK35" s="45">
        <f t="shared" si="247"/>
        <v>2</v>
      </c>
      <c r="JL35" s="45">
        <f t="shared" si="248"/>
        <v>0</v>
      </c>
      <c r="JM35" s="46" cm="1">
        <f t="array" ref="JM35">ROUND(IFERROR(INDEX(ArchiveResults!$F$5:$IX$116,ComparisonData!A35,ComparisonData!$JM$1),0),5)</f>
        <v>0</v>
      </c>
      <c r="JN35" s="46" cm="1">
        <f t="array" ref="JN35">ROUND(IFERROR(INDEX(ArchiveResults!$F$5:$IX$116,ComparisonData!A35,ComparisonData!$JN$1),0),5)</f>
        <v>0</v>
      </c>
      <c r="JO35" s="46" cm="1">
        <f t="array" ref="JO35">ROUND(IFERROR(INDEX(ArchiveResults!$F$5:$IX$116,ComparisonData!A35,ComparisonData!$JO$1),0),5)</f>
        <v>0</v>
      </c>
      <c r="JP35" s="46" cm="1">
        <f t="array" ref="JP35">ROUND(IFERROR(INDEX(ArchiveResults!$F$5:$IX$116,ComparisonData!A35,ComparisonData!$JP$1),0),5)</f>
        <v>0</v>
      </c>
      <c r="JQ35" s="45" cm="1">
        <f t="array" ref="JQ35">IFERROR(INDEX(ArchiveResults!$F$5:$IX$116,ComparisonData!A35,ComparisonData!$JQ$1),0)</f>
        <v>0</v>
      </c>
      <c r="JR35" s="56">
        <v>30</v>
      </c>
      <c r="JS35" s="53" t="str">
        <f t="shared" si="42"/>
        <v>Gwent Archives</v>
      </c>
      <c r="JT35" s="59">
        <f t="shared" si="249"/>
        <v>0</v>
      </c>
      <c r="JU35" s="59">
        <f t="shared" si="250"/>
        <v>0</v>
      </c>
      <c r="JV35" s="59">
        <f t="shared" si="251"/>
        <v>0</v>
      </c>
      <c r="JW35" s="59">
        <f t="shared" si="252"/>
        <v>0</v>
      </c>
      <c r="JX35" s="59">
        <f t="shared" si="253"/>
        <v>0</v>
      </c>
      <c r="JY35" s="58">
        <f t="shared" si="254"/>
        <v>0</v>
      </c>
      <c r="JZ35" s="45">
        <f t="shared" si="255"/>
        <v>51</v>
      </c>
      <c r="KA35" s="45">
        <f t="shared" si="43"/>
        <v>2.6889999999999996</v>
      </c>
      <c r="KB35" s="45">
        <f t="shared" si="256"/>
        <v>1</v>
      </c>
      <c r="KC35" s="45">
        <f t="shared" si="257"/>
        <v>2</v>
      </c>
      <c r="KD35" s="45">
        <f t="shared" si="258"/>
        <v>0</v>
      </c>
      <c r="KE35" s="46" cm="1">
        <f t="array" ref="KE35">ROUND(IFERROR(INDEX(ArchiveResults!$F$5:$IX$116,ComparisonData!A35,ComparisonData!$KE$1),0),5)</f>
        <v>0</v>
      </c>
      <c r="KF35" s="46" cm="1">
        <f t="array" ref="KF35">ROUND(IFERROR(INDEX(ArchiveResults!$F$5:$IX$116,ComparisonData!A35,ComparisonData!$KF$1),0),5)</f>
        <v>0</v>
      </c>
      <c r="KG35" s="46" cm="1">
        <f t="array" ref="KG35">ROUND(IFERROR(INDEX(ArchiveResults!$F$5:$IX$116,ComparisonData!A35,ComparisonData!$KG$1),0),5)</f>
        <v>0</v>
      </c>
      <c r="KH35" s="46" cm="1">
        <f t="array" ref="KH35">ROUND(IFERROR(INDEX(ArchiveResults!$F$5:$IX$116,ComparisonData!A35,ComparisonData!$KH$1),0),5)</f>
        <v>0</v>
      </c>
      <c r="KI35" s="45" cm="1">
        <f t="array" ref="KI35">IFERROR(INDEX(ArchiveResults!$F$5:$IX$116,ComparisonData!A35,ComparisonData!$KI$1),0)</f>
        <v>0</v>
      </c>
      <c r="KJ35" s="56">
        <v>30</v>
      </c>
      <c r="KK35" s="53" t="str">
        <f t="shared" si="44"/>
        <v>Gwent Archives</v>
      </c>
      <c r="KL35" s="59">
        <f t="shared" si="259"/>
        <v>0</v>
      </c>
      <c r="KM35" s="59">
        <f t="shared" si="260"/>
        <v>0</v>
      </c>
      <c r="KN35" s="59">
        <f t="shared" si="261"/>
        <v>0</v>
      </c>
      <c r="KO35" s="59">
        <f t="shared" si="262"/>
        <v>0</v>
      </c>
      <c r="KP35" s="59">
        <f t="shared" si="263"/>
        <v>0</v>
      </c>
      <c r="KQ35" s="58">
        <f t="shared" si="264"/>
        <v>0</v>
      </c>
      <c r="KR35" s="45">
        <f t="shared" si="265"/>
        <v>51</v>
      </c>
      <c r="KS35" s="45">
        <f t="shared" si="45"/>
        <v>2.6889999999999996</v>
      </c>
      <c r="KT35" s="45">
        <f t="shared" si="266"/>
        <v>1</v>
      </c>
      <c r="KU35" s="45">
        <f t="shared" si="267"/>
        <v>2</v>
      </c>
      <c r="KV35" s="45">
        <f t="shared" si="268"/>
        <v>0</v>
      </c>
      <c r="KW35" s="46" cm="1">
        <f t="array" ref="KW35">ROUND(IFERROR(INDEX(ArchiveResults!$F$5:$IX$116,ComparisonData!A35,ComparisonData!$KW$1),0),5)</f>
        <v>0</v>
      </c>
      <c r="KX35" s="46" cm="1">
        <f t="array" ref="KX35">ROUND(IFERROR(INDEX(ArchiveResults!$F$5:$IX$116,ComparisonData!A35,ComparisonData!$KX$1),0),5)</f>
        <v>0</v>
      </c>
      <c r="KY35" s="46" cm="1">
        <f t="array" ref="KY35">ROUND(IFERROR(INDEX(ArchiveResults!$F$5:$IX$116,ComparisonData!A35,ComparisonData!$KY$1),0),5)</f>
        <v>0</v>
      </c>
      <c r="KZ35" s="46" cm="1">
        <f t="array" ref="KZ35">ROUND(IFERROR(INDEX(ArchiveResults!$F$5:$IX$116,ComparisonData!A35,ComparisonData!$KZ$1),0),5)</f>
        <v>0</v>
      </c>
      <c r="LA35" s="45" cm="1">
        <f t="array" ref="LA35">IFERROR(INDEX(ArchiveResults!$F$5:$IX$116,ComparisonData!A35,ComparisonData!$LA$1),0)</f>
        <v>0</v>
      </c>
      <c r="LB35" s="56">
        <v>30</v>
      </c>
      <c r="LC35" s="53" t="str">
        <f t="shared" si="46"/>
        <v>Gwent Archives</v>
      </c>
      <c r="LD35" s="59">
        <f t="shared" si="269"/>
        <v>0</v>
      </c>
      <c r="LE35" s="59">
        <f t="shared" si="270"/>
        <v>0</v>
      </c>
      <c r="LF35" s="59">
        <f t="shared" si="271"/>
        <v>0</v>
      </c>
      <c r="LG35" s="59">
        <f t="shared" si="272"/>
        <v>0</v>
      </c>
      <c r="LH35" s="59">
        <f t="shared" si="273"/>
        <v>0</v>
      </c>
      <c r="LI35" s="58">
        <f t="shared" si="274"/>
        <v>0</v>
      </c>
      <c r="LJ35" s="45">
        <f t="shared" si="275"/>
        <v>51</v>
      </c>
      <c r="LK35" s="45">
        <f t="shared" si="47"/>
        <v>2.6889999999999996</v>
      </c>
      <c r="LL35" s="45">
        <f t="shared" si="276"/>
        <v>1</v>
      </c>
      <c r="LM35" s="45">
        <f t="shared" si="277"/>
        <v>2</v>
      </c>
      <c r="LN35" s="45">
        <f t="shared" si="278"/>
        <v>0</v>
      </c>
      <c r="LO35" s="46" cm="1">
        <f t="array" ref="LO35">ROUND(IFERROR(INDEX(ArchiveResults!$F$5:$IX$116,ComparisonData!A35,ComparisonData!$LO$1),0),5)</f>
        <v>0</v>
      </c>
      <c r="LP35" s="46" cm="1">
        <f t="array" ref="LP35">ROUND(IFERROR(INDEX(ArchiveResults!$F$5:$IX$116,ComparisonData!A35,ComparisonData!$LP$1),0),5)</f>
        <v>0</v>
      </c>
      <c r="LQ35" s="46" cm="1">
        <f t="array" ref="LQ35">ROUND(IFERROR(INDEX(ArchiveResults!$F$5:$IX$116,ComparisonData!A35,ComparisonData!$LQ$1),0),5)</f>
        <v>0</v>
      </c>
      <c r="LR35" s="46" cm="1">
        <f t="array" ref="LR35">ROUND(IFERROR(INDEX(ArchiveResults!$F$5:$IX$116,ComparisonData!A35,ComparisonData!$LR$1),0),5)</f>
        <v>0</v>
      </c>
      <c r="LS35" s="45" cm="1">
        <f t="array" ref="LS35">IFERROR(INDEX(ArchiveResults!$F$5:$IX$116,ComparisonData!A35,ComparisonData!$LS$1),0)</f>
        <v>0</v>
      </c>
      <c r="LT35" s="56">
        <v>30</v>
      </c>
      <c r="LU35" s="53" t="str">
        <f t="shared" si="48"/>
        <v>Gwent Archives</v>
      </c>
      <c r="LV35" s="59">
        <f t="shared" si="279"/>
        <v>0</v>
      </c>
      <c r="LW35" s="59">
        <f t="shared" si="280"/>
        <v>0</v>
      </c>
      <c r="LX35" s="59">
        <f t="shared" si="281"/>
        <v>0</v>
      </c>
      <c r="LY35" s="59">
        <f t="shared" si="282"/>
        <v>0</v>
      </c>
      <c r="LZ35" s="59">
        <f t="shared" si="283"/>
        <v>0</v>
      </c>
      <c r="MA35" s="58">
        <f t="shared" si="284"/>
        <v>0</v>
      </c>
      <c r="MB35" s="45">
        <f t="shared" si="285"/>
        <v>51</v>
      </c>
      <c r="MC35" s="45">
        <f t="shared" si="49"/>
        <v>2.6889999999999996</v>
      </c>
      <c r="MD35" s="45">
        <f t="shared" si="286"/>
        <v>1</v>
      </c>
      <c r="ME35" s="45">
        <f t="shared" si="287"/>
        <v>2</v>
      </c>
      <c r="MF35" s="45">
        <f t="shared" si="288"/>
        <v>0</v>
      </c>
      <c r="MG35" s="46" cm="1">
        <f t="array" ref="MG35">ROUND(IFERROR(INDEX(ArchiveResults!$F$5:$IX$116,ComparisonData!A35,ComparisonData!$MG$1),0),5)</f>
        <v>0</v>
      </c>
      <c r="MH35" s="46" cm="1">
        <f t="array" ref="MH35">ROUND(IFERROR(INDEX(ArchiveResults!$F$5:$IX$116,ComparisonData!A35,ComparisonData!$MH$1),0),5)</f>
        <v>0</v>
      </c>
      <c r="MI35" s="46" cm="1">
        <f t="array" ref="MI35">ROUND(IFERROR(INDEX(ArchiveResults!$F$5:$IX$116,ComparisonData!A35,ComparisonData!$MI$1),0),5)</f>
        <v>0</v>
      </c>
      <c r="MJ35" s="46" cm="1">
        <f t="array" ref="MJ35">ROUND(IFERROR(INDEX(ArchiveResults!$F$5:$IX$116,ComparisonData!A35,ComparisonData!$MJ$1),0),5)</f>
        <v>0</v>
      </c>
      <c r="MK35" s="45" cm="1">
        <f t="array" ref="MK35">IFERROR(INDEX(ArchiveResults!$F$5:$IX$116,ComparisonData!A35,ComparisonData!$MK$1),0)</f>
        <v>0</v>
      </c>
      <c r="ML35" s="56">
        <v>30</v>
      </c>
      <c r="MM35" s="53" t="str">
        <f t="shared" si="50"/>
        <v>Gwent Archives</v>
      </c>
      <c r="MN35" s="59">
        <f t="shared" si="289"/>
        <v>0</v>
      </c>
      <c r="MO35" s="59">
        <f t="shared" si="290"/>
        <v>0</v>
      </c>
      <c r="MP35" s="59">
        <f t="shared" si="291"/>
        <v>0</v>
      </c>
      <c r="MQ35" s="59">
        <f t="shared" si="292"/>
        <v>0</v>
      </c>
      <c r="MR35" s="59">
        <f t="shared" si="293"/>
        <v>0</v>
      </c>
      <c r="MS35" s="58">
        <f t="shared" si="294"/>
        <v>0</v>
      </c>
      <c r="MT35" s="45">
        <f t="shared" si="295"/>
        <v>51</v>
      </c>
      <c r="MU35" s="45">
        <f t="shared" si="51"/>
        <v>2.6889999999999996</v>
      </c>
      <c r="MV35" s="45">
        <f t="shared" si="296"/>
        <v>1</v>
      </c>
      <c r="MW35" s="45">
        <f t="shared" si="297"/>
        <v>2</v>
      </c>
      <c r="MX35" s="45">
        <f t="shared" si="298"/>
        <v>0</v>
      </c>
      <c r="MY35" s="46" cm="1">
        <f t="array" ref="MY35">ROUND(IFERROR(INDEX(ArchiveResults!$F$5:$IX$116,ComparisonData!A35,ComparisonData!$MY$1),0),5)</f>
        <v>0</v>
      </c>
      <c r="MZ35" s="46" cm="1">
        <f t="array" ref="MZ35">ROUND(IFERROR(INDEX(ArchiveResults!$F$5:$IX$116,ComparisonData!A35,ComparisonData!$MZ$1),0),5)</f>
        <v>0</v>
      </c>
      <c r="NA35" s="46" cm="1">
        <f t="array" ref="NA35">ROUND(IFERROR(INDEX(ArchiveResults!$F$5:$IX$116,ComparisonData!A35,ComparisonData!$NA$1),0),5)</f>
        <v>0</v>
      </c>
      <c r="NB35" s="46" cm="1">
        <f t="array" ref="NB35">ROUND(IFERROR(INDEX(ArchiveResults!$F$5:$IX$116,ComparisonData!A35,ComparisonData!$NB$1),0),5)</f>
        <v>0</v>
      </c>
      <c r="NC35" s="45" cm="1">
        <f t="array" ref="NC35">IFERROR(INDEX(ArchiveResults!$F$5:$IX$116,ComparisonData!A35,ComparisonData!$NC$1),0)</f>
        <v>0</v>
      </c>
      <c r="ND35" s="56">
        <v>30</v>
      </c>
      <c r="NE35" s="53" t="str">
        <f t="shared" si="52"/>
        <v>Gwent Archives</v>
      </c>
      <c r="NF35" s="59">
        <f t="shared" si="299"/>
        <v>0</v>
      </c>
      <c r="NG35" s="59">
        <f t="shared" si="300"/>
        <v>0</v>
      </c>
      <c r="NH35" s="59">
        <f t="shared" si="301"/>
        <v>0</v>
      </c>
      <c r="NI35" s="59">
        <f t="shared" si="302"/>
        <v>0</v>
      </c>
      <c r="NJ35" s="59">
        <f t="shared" si="303"/>
        <v>0</v>
      </c>
      <c r="NK35" s="58">
        <f t="shared" si="304"/>
        <v>0</v>
      </c>
      <c r="NL35" s="45">
        <f t="shared" si="305"/>
        <v>51</v>
      </c>
      <c r="NM35" s="45">
        <f t="shared" si="53"/>
        <v>2.6889999999999996</v>
      </c>
      <c r="NN35" s="45">
        <f t="shared" si="306"/>
        <v>1</v>
      </c>
      <c r="NO35" s="45">
        <f t="shared" si="307"/>
        <v>2</v>
      </c>
      <c r="NP35" s="46" cm="1">
        <f t="array" ref="NP35">ROUND(IFERROR(INDEX(ArchiveResults!$F$5:$IX$116,ComparisonData!A35,ComparisonData!$NP$1),0),5)</f>
        <v>0</v>
      </c>
      <c r="NQ35" s="46" cm="1">
        <f t="array" ref="NQ35">ROUND(IFERROR(INDEX(ArchiveResults!$F$5:$IX$116,ComparisonData!A35,ComparisonData!$NQ$1),0),5)</f>
        <v>0</v>
      </c>
      <c r="NR35" s="46" cm="1">
        <f t="array" ref="NR35">ROUND(IFERROR(INDEX(ArchiveResults!$F$5:$IX$116,ComparisonData!A35,ComparisonData!$NR$1),0),5)</f>
        <v>0</v>
      </c>
      <c r="NS35" s="46" cm="1">
        <f t="array" ref="NS35">ROUND(IFERROR(INDEX(ArchiveResults!$F$5:$IX$116,ComparisonData!A35,ComparisonData!$NS$1),0),5)</f>
        <v>0</v>
      </c>
      <c r="NT35" s="45" cm="1">
        <f t="array" ref="NT35">IFERROR(INDEX(ArchiveResults!$F$5:$IX$116,ComparisonData!A35,ComparisonData!$NT$1),0)</f>
        <v>0</v>
      </c>
      <c r="NU35" s="56">
        <v>30</v>
      </c>
      <c r="NV35" s="53" t="str">
        <f t="shared" si="54"/>
        <v>Gwent Archives</v>
      </c>
      <c r="NW35" s="59">
        <f t="shared" si="308"/>
        <v>0</v>
      </c>
      <c r="NX35" s="59">
        <f t="shared" si="309"/>
        <v>0</v>
      </c>
      <c r="NY35" s="59">
        <f t="shared" si="310"/>
        <v>0</v>
      </c>
      <c r="NZ35" s="59">
        <f t="shared" si="311"/>
        <v>0</v>
      </c>
      <c r="OA35" s="59">
        <f t="shared" si="312"/>
        <v>0</v>
      </c>
      <c r="OB35" s="58">
        <f t="shared" si="313"/>
        <v>0</v>
      </c>
      <c r="OC35" s="45">
        <f t="shared" si="314"/>
        <v>51</v>
      </c>
      <c r="OD35" s="45">
        <f t="shared" si="55"/>
        <v>2.6889999999999996</v>
      </c>
      <c r="OE35" s="45">
        <f t="shared" si="315"/>
        <v>1</v>
      </c>
      <c r="OF35" s="45">
        <f t="shared" si="316"/>
        <v>2</v>
      </c>
      <c r="OG35" s="46">
        <f t="shared" si="317"/>
        <v>0</v>
      </c>
      <c r="OH35" s="46" cm="1">
        <f t="array" ref="OH35">ROUND(IFERROR(INDEX(ArchiveResults!$F$5:$IX$116,ComparisonData!A35,ComparisonData!$OH$1),0),5)</f>
        <v>0</v>
      </c>
      <c r="OI35" s="46" cm="1">
        <f t="array" ref="OI35">ROUND(IFERROR(INDEX(ArchiveResults!$F$5:$IX$116,ComparisonData!A35,ComparisonData!$OI$1),0),5)</f>
        <v>0</v>
      </c>
      <c r="OJ35" s="46" cm="1">
        <f t="array" ref="OJ35">ROUND(IFERROR(INDEX(ArchiveResults!$F$5:$IX$116,ComparisonData!A35,ComparisonData!$OJ$1),0),5)</f>
        <v>0</v>
      </c>
      <c r="OK35" s="46" cm="1">
        <f t="array" ref="OK35">ROUND(IFERROR(INDEX(ArchiveResults!$F$5:$IX$116,ComparisonData!A35,ComparisonData!$OK$1),0),5)</f>
        <v>0</v>
      </c>
      <c r="OL35" s="45" cm="1">
        <f t="array" ref="OL35">IFERROR(INDEX(ArchiveResults!$F$5:$IX$116,ComparisonData!A35,ComparisonData!$OL$1),0)</f>
        <v>0</v>
      </c>
      <c r="OM35" s="56">
        <v>30</v>
      </c>
      <c r="ON35" s="53" t="str">
        <f t="shared" si="56"/>
        <v>Gwent Archives</v>
      </c>
      <c r="OO35" s="59">
        <f t="shared" si="318"/>
        <v>0</v>
      </c>
      <c r="OP35" s="59">
        <f t="shared" si="319"/>
        <v>0</v>
      </c>
      <c r="OQ35" s="59">
        <f t="shared" si="320"/>
        <v>0</v>
      </c>
      <c r="OR35" s="59">
        <f t="shared" si="321"/>
        <v>0</v>
      </c>
      <c r="OS35" s="59">
        <f t="shared" si="322"/>
        <v>0</v>
      </c>
      <c r="OT35" s="58">
        <f t="shared" si="323"/>
        <v>0</v>
      </c>
      <c r="OU35" s="45">
        <f t="shared" si="324"/>
        <v>51</v>
      </c>
      <c r="OV35" s="45">
        <f t="shared" si="57"/>
        <v>2.6889999999999996</v>
      </c>
      <c r="OW35" s="45">
        <f t="shared" si="325"/>
        <v>1</v>
      </c>
      <c r="OX35" s="45">
        <f t="shared" si="326"/>
        <v>2</v>
      </c>
      <c r="OY35" s="45">
        <f t="shared" si="327"/>
        <v>0</v>
      </c>
      <c r="OZ35" s="46" cm="1">
        <f t="array" ref="OZ35">ROUND(IFERROR(INDEX(ArchiveResults!$F$5:$IX$116,ComparisonData!A35,ComparisonData!$OZ$1),0),5)</f>
        <v>0</v>
      </c>
      <c r="PA35" s="46" cm="1">
        <f t="array" ref="PA35">ROUND(IFERROR(INDEX(ArchiveResults!$F$5:$IX$116,ComparisonData!A35,ComparisonData!$PA$1),0),5)</f>
        <v>0</v>
      </c>
      <c r="PB35" s="46" cm="1">
        <f t="array" ref="PB35">ROUND(IFERROR(INDEX(ArchiveResults!$F$5:$IX$116,ComparisonData!A35,ComparisonData!$PB$1),0),5)</f>
        <v>0</v>
      </c>
      <c r="PC35" s="46" cm="1">
        <f t="array" ref="PC35">ROUND(IFERROR(INDEX(ArchiveResults!$F$5:$IX$116,ComparisonData!A35,ComparisonData!$PC$1),0),5)</f>
        <v>0</v>
      </c>
      <c r="PD35" s="45" cm="1">
        <f t="array" ref="PD35">IFERROR(INDEX(ArchiveResults!$F$5:$IX$116,ComparisonData!A35,ComparisonData!$PD$1),0)</f>
        <v>0</v>
      </c>
      <c r="PE35" s="56">
        <v>30</v>
      </c>
      <c r="PF35" s="53" t="str">
        <f t="shared" si="58"/>
        <v>Gwent Archives</v>
      </c>
      <c r="PG35" s="59">
        <f t="shared" si="328"/>
        <v>0</v>
      </c>
      <c r="PH35" s="59">
        <f t="shared" si="329"/>
        <v>0</v>
      </c>
      <c r="PI35" s="59">
        <f t="shared" si="330"/>
        <v>0</v>
      </c>
      <c r="PJ35" s="59">
        <f t="shared" si="331"/>
        <v>0</v>
      </c>
      <c r="PK35" s="59">
        <f t="shared" si="332"/>
        <v>0</v>
      </c>
      <c r="PL35" s="58">
        <f t="shared" si="333"/>
        <v>0</v>
      </c>
      <c r="PM35" s="45">
        <f t="shared" si="334"/>
        <v>51</v>
      </c>
      <c r="PN35" s="45">
        <f t="shared" si="59"/>
        <v>2.6889999999999996</v>
      </c>
      <c r="PO35" s="45">
        <f t="shared" si="335"/>
        <v>1</v>
      </c>
      <c r="PP35" s="45">
        <f t="shared" si="336"/>
        <v>2</v>
      </c>
      <c r="PQ35" s="45">
        <f t="shared" si="337"/>
        <v>0</v>
      </c>
      <c r="PR35" s="46" cm="1">
        <f t="array" ref="PR35">ROUND(IFERROR(INDEX(ArchiveResults!$F$5:$IX$116,ComparisonData!A35,ComparisonData!$PR$1),0),5)</f>
        <v>0</v>
      </c>
      <c r="PS35" s="46" cm="1">
        <f t="array" ref="PS35">ROUND(IFERROR(INDEX(ArchiveResults!$F$5:$IX$116,ComparisonData!A35,ComparisonData!$PS$1),0),5)</f>
        <v>0</v>
      </c>
      <c r="PT35" s="46" cm="1">
        <f t="array" ref="PT35">ROUND(IFERROR(INDEX(ArchiveResults!$F$5:$IX$116,ComparisonData!A35,ComparisonData!$PT$1),0),5)</f>
        <v>0</v>
      </c>
      <c r="PU35" s="46" cm="1">
        <f t="array" ref="PU35">ROUND(IFERROR(INDEX(ArchiveResults!$F$5:$IX$116,ComparisonData!A35,ComparisonData!$PU$1),0),5)</f>
        <v>0</v>
      </c>
      <c r="PV35" s="45" cm="1">
        <f t="array" ref="PV35">IFERROR(INDEX(ArchiveResults!$F$5:$IX$116,ComparisonData!A35,ComparisonData!$PV$1),0)</f>
        <v>0</v>
      </c>
      <c r="PW35" s="56">
        <v>30</v>
      </c>
      <c r="PX35" s="53" t="str">
        <f t="shared" si="60"/>
        <v>Gwent Archives</v>
      </c>
      <c r="PY35" s="59">
        <f t="shared" si="338"/>
        <v>0</v>
      </c>
      <c r="PZ35" s="59">
        <f t="shared" si="339"/>
        <v>0</v>
      </c>
      <c r="QA35" s="59">
        <f t="shared" si="340"/>
        <v>0</v>
      </c>
      <c r="QB35" s="59">
        <f t="shared" si="341"/>
        <v>0</v>
      </c>
      <c r="QC35" s="59">
        <f t="shared" si="342"/>
        <v>0</v>
      </c>
      <c r="QD35" s="58">
        <f t="shared" si="343"/>
        <v>0</v>
      </c>
      <c r="QE35" s="45">
        <f t="shared" si="344"/>
        <v>51</v>
      </c>
      <c r="QF35" s="45">
        <f t="shared" si="61"/>
        <v>2.6889999999999996</v>
      </c>
      <c r="QG35" s="45">
        <f t="shared" si="345"/>
        <v>1</v>
      </c>
      <c r="QH35" s="45">
        <f t="shared" si="346"/>
        <v>2</v>
      </c>
      <c r="QI35" s="45">
        <f t="shared" si="347"/>
        <v>0</v>
      </c>
      <c r="QJ35" s="46" cm="1">
        <f t="array" ref="QJ35">ROUND(IFERROR(INDEX(ArchiveResults!$F$5:$IX$116,ComparisonData!A35,ComparisonData!$QJ$1),0),5)</f>
        <v>0</v>
      </c>
      <c r="QK35" s="46" cm="1">
        <f t="array" ref="QK35">ROUND(IFERROR(INDEX(ArchiveResults!$F$5:$IX$116,ComparisonData!A35,ComparisonData!$QK$1),0),5)</f>
        <v>0</v>
      </c>
      <c r="QL35" s="46" cm="1">
        <f t="array" ref="QL35">ROUND(IFERROR(INDEX(ArchiveResults!$F$5:$IX$116,ComparisonData!A35,ComparisonData!$QL$1),0),5)</f>
        <v>0</v>
      </c>
      <c r="QM35" s="46" cm="1">
        <f t="array" ref="QM35">ROUND(IFERROR(INDEX(ArchiveResults!$F$5:$IX$116,ComparisonData!A35,ComparisonData!$QM$1),0),5)</f>
        <v>0</v>
      </c>
      <c r="QN35" s="45" cm="1">
        <f t="array" ref="QN35">IFERROR(INDEX(ArchiveResults!$F$5:$IX$116,ComparisonData!A35,ComparisonData!$QN$1),0)</f>
        <v>0</v>
      </c>
      <c r="QO35" s="56">
        <v>30</v>
      </c>
      <c r="QP35" s="53" t="str">
        <f t="shared" si="62"/>
        <v>Gwent Archives</v>
      </c>
      <c r="QQ35" s="59">
        <f t="shared" si="348"/>
        <v>0</v>
      </c>
      <c r="QR35" s="59">
        <f t="shared" si="349"/>
        <v>0</v>
      </c>
      <c r="QS35" s="59">
        <f t="shared" si="350"/>
        <v>0</v>
      </c>
      <c r="QT35" s="59">
        <f t="shared" si="351"/>
        <v>0</v>
      </c>
      <c r="QU35" s="59">
        <f t="shared" si="352"/>
        <v>0</v>
      </c>
      <c r="QV35" s="58">
        <f t="shared" si="353"/>
        <v>0</v>
      </c>
      <c r="QW35" s="45">
        <f t="shared" si="354"/>
        <v>51</v>
      </c>
      <c r="QX35" s="45">
        <f t="shared" si="63"/>
        <v>2.6889999999999996</v>
      </c>
      <c r="QY35" s="45">
        <f t="shared" si="355"/>
        <v>1</v>
      </c>
      <c r="QZ35" s="45">
        <f t="shared" si="356"/>
        <v>2</v>
      </c>
      <c r="RA35" s="45">
        <f t="shared" si="357"/>
        <v>0</v>
      </c>
      <c r="RB35" s="46" cm="1">
        <f t="array" ref="RB35">ROUND(IFERROR(INDEX(ArchiveResults!$F$5:$IX$116,ComparisonData!A35,ComparisonData!$RB$1),0),5)</f>
        <v>0</v>
      </c>
      <c r="RC35" s="46" cm="1">
        <f t="array" ref="RC35">ROUND(IFERROR(INDEX(ArchiveResults!$F$5:$IX$116,ComparisonData!A35,ComparisonData!$RC$1),0),5)</f>
        <v>0</v>
      </c>
      <c r="RD35" s="46" cm="1">
        <f t="array" ref="RD35">ROUND(IFERROR(INDEX(ArchiveResults!$F$5:$IX$116,ComparisonData!A35,ComparisonData!$RD$1),0),5)</f>
        <v>0</v>
      </c>
      <c r="RE35" s="46" cm="1">
        <f t="array" ref="RE35">ROUND(IFERROR(INDEX(ArchiveResults!$F$5:$IX$116,ComparisonData!A35,ComparisonData!$RE$1),0),5)</f>
        <v>0</v>
      </c>
      <c r="RF35" s="45" cm="1">
        <f t="array" ref="RF35">IFERROR(INDEX(ArchiveResults!$F$5:$IX$116,ComparisonData!A35,ComparisonData!$RF$1),0)</f>
        <v>0</v>
      </c>
      <c r="RG35" s="56">
        <v>30</v>
      </c>
      <c r="RH35" s="53" t="str">
        <f t="shared" si="64"/>
        <v>Gwent Archives</v>
      </c>
      <c r="RI35" s="59">
        <f t="shared" si="358"/>
        <v>0</v>
      </c>
      <c r="RJ35" s="59">
        <f t="shared" si="359"/>
        <v>0</v>
      </c>
      <c r="RK35" s="59">
        <f t="shared" si="360"/>
        <v>0</v>
      </c>
      <c r="RL35" s="59">
        <f t="shared" si="361"/>
        <v>0</v>
      </c>
      <c r="RM35" s="59">
        <f t="shared" si="362"/>
        <v>0</v>
      </c>
      <c r="RN35" s="58">
        <f t="shared" si="363"/>
        <v>0</v>
      </c>
      <c r="RO35" s="45">
        <f t="shared" si="364"/>
        <v>51</v>
      </c>
      <c r="RP35" s="45">
        <f t="shared" si="65"/>
        <v>2.6889999999999996</v>
      </c>
      <c r="RQ35" s="45">
        <f t="shared" si="365"/>
        <v>1</v>
      </c>
      <c r="RR35" s="45">
        <f t="shared" si="366"/>
        <v>2</v>
      </c>
      <c r="RS35" s="45">
        <f t="shared" si="367"/>
        <v>0</v>
      </c>
      <c r="RT35" s="46" cm="1">
        <f t="array" ref="RT35">ROUND(IFERROR(INDEX(ArchiveResults!$F$5:$IX$116,ComparisonData!A35,ComparisonData!$RT$1),0),5)</f>
        <v>0</v>
      </c>
      <c r="RU35" s="46" cm="1">
        <f t="array" ref="RU35">ROUND(IFERROR(INDEX(ArchiveResults!$F$5:$IX$116,ComparisonData!A35,ComparisonData!$RU$1),0),5)</f>
        <v>0</v>
      </c>
      <c r="RV35" s="46" cm="1">
        <f t="array" ref="RV35">ROUND(IFERROR(INDEX(ArchiveResults!$F$5:$IX$116,ComparisonData!A35,ComparisonData!$RV$1),0),5)</f>
        <v>0</v>
      </c>
      <c r="RW35" s="46" cm="1">
        <f t="array" ref="RW35">ROUND(IFERROR(INDEX(ArchiveResults!$F$5:$IX$116,ComparisonData!A35,ComparisonData!$RW$1),0),5)</f>
        <v>0</v>
      </c>
      <c r="RX35" s="45" cm="1">
        <f t="array" ref="RX35">IFERROR(INDEX(ArchiveResults!$F$5:$IX$116,ComparisonData!A35,ComparisonData!$RX$1),0)</f>
        <v>0</v>
      </c>
      <c r="RY35" s="56">
        <v>30</v>
      </c>
      <c r="RZ35" s="53" t="str">
        <f t="shared" si="66"/>
        <v>Gwent Archives</v>
      </c>
      <c r="SA35" s="59">
        <f t="shared" si="368"/>
        <v>0</v>
      </c>
      <c r="SB35" s="59">
        <f t="shared" si="369"/>
        <v>0</v>
      </c>
      <c r="SC35" s="59">
        <f t="shared" si="370"/>
        <v>0</v>
      </c>
      <c r="SD35" s="59">
        <f t="shared" si="371"/>
        <v>0</v>
      </c>
      <c r="SE35" s="59">
        <f t="shared" si="372"/>
        <v>0</v>
      </c>
      <c r="SF35" s="58">
        <f t="shared" si="373"/>
        <v>0</v>
      </c>
      <c r="SG35" s="45">
        <f t="shared" si="374"/>
        <v>51</v>
      </c>
      <c r="SH35" s="45">
        <f t="shared" si="67"/>
        <v>2.6889999999999996</v>
      </c>
      <c r="SI35" s="45">
        <f t="shared" si="375"/>
        <v>1</v>
      </c>
      <c r="SJ35" s="45">
        <f t="shared" si="376"/>
        <v>2</v>
      </c>
      <c r="SK35" s="45">
        <f t="shared" si="377"/>
        <v>0</v>
      </c>
      <c r="SL35" s="46" cm="1">
        <f t="array" ref="SL35">ROUND(IFERROR(INDEX(ArchiveResults!$F$5:$IX$116,ComparisonData!A35,ComparisonData!$SL$1),0),5)</f>
        <v>0</v>
      </c>
      <c r="SM35" s="46" cm="1">
        <f t="array" ref="SM35">ROUND(IFERROR(INDEX(ArchiveResults!$F$5:$IX$116,ComparisonData!A35,ComparisonData!$SM$1),0),5)</f>
        <v>0</v>
      </c>
      <c r="SN35" s="46" cm="1">
        <f t="array" ref="SN35">ROUND(IFERROR(INDEX(ArchiveResults!$F$5:$IX$116,ComparisonData!A35,ComparisonData!$SN$1),0),5)</f>
        <v>0</v>
      </c>
      <c r="SO35" s="46" cm="1">
        <f t="array" ref="SO35">ROUND(IFERROR(INDEX(ArchiveResults!$F$5:$IX$116,ComparisonData!A35,ComparisonData!$SO$1),0),5)</f>
        <v>0</v>
      </c>
      <c r="SP35" s="45" cm="1">
        <f t="array" ref="SP35">IFERROR(INDEX(ArchiveResults!$F$5:$IX$116,ComparisonData!A35,ComparisonData!$SP$1),0)</f>
        <v>0</v>
      </c>
      <c r="SQ35" s="56">
        <v>30</v>
      </c>
      <c r="SR35" s="53" t="str">
        <f t="shared" si="68"/>
        <v>Gwent Archives</v>
      </c>
      <c r="SS35" s="59">
        <f t="shared" si="378"/>
        <v>0</v>
      </c>
      <c r="ST35" s="59">
        <f t="shared" si="379"/>
        <v>0</v>
      </c>
      <c r="SU35" s="59">
        <f t="shared" si="380"/>
        <v>0</v>
      </c>
      <c r="SV35" s="59">
        <f t="shared" si="381"/>
        <v>0</v>
      </c>
      <c r="SW35" s="59">
        <f t="shared" si="382"/>
        <v>0</v>
      </c>
      <c r="SX35" s="58">
        <f t="shared" si="383"/>
        <v>0</v>
      </c>
      <c r="SY35" s="45">
        <f t="shared" si="384"/>
        <v>51</v>
      </c>
      <c r="SZ35" s="45">
        <f t="shared" si="69"/>
        <v>2.6889999999999996</v>
      </c>
      <c r="TA35" s="45">
        <f t="shared" si="385"/>
        <v>1</v>
      </c>
      <c r="TB35" s="45">
        <f t="shared" si="386"/>
        <v>2</v>
      </c>
      <c r="TC35" s="45">
        <f t="shared" si="387"/>
        <v>0</v>
      </c>
      <c r="TD35" s="46" cm="1">
        <f t="array" ref="TD35">ROUND(IFERROR(INDEX(ArchiveResults!$F$5:$IX$116,ComparisonData!A35,ComparisonData!$TD$1),0),5)</f>
        <v>0</v>
      </c>
      <c r="TE35" s="46" cm="1">
        <f t="array" ref="TE35">ROUND(IFERROR(INDEX(ArchiveResults!$F$5:$IX$116,ComparisonData!A35,ComparisonData!$TE$1),0),5)</f>
        <v>0</v>
      </c>
      <c r="TF35" s="46" cm="1">
        <f t="array" ref="TF35">ROUND(IFERROR(INDEX(ArchiveResults!$F$5:$IX$116,ComparisonData!A35,ComparisonData!$TF$1),0),5)</f>
        <v>0</v>
      </c>
      <c r="TG35" s="46" cm="1">
        <f t="array" ref="TG35">ROUND(IFERROR(INDEX(ArchiveResults!$F$5:$IX$116,ComparisonData!A35,ComparisonData!$TG$1),0),5)</f>
        <v>0</v>
      </c>
      <c r="TH35" s="45" cm="1">
        <f t="array" ref="TH35">IFERROR(INDEX(ArchiveResults!$F$5:$IX$116,ComparisonData!A35,ComparisonData!$TH$1),0)</f>
        <v>0</v>
      </c>
      <c r="TI35" s="56">
        <v>30</v>
      </c>
      <c r="TJ35" s="53" t="str">
        <f t="shared" si="70"/>
        <v>Gwent Archives</v>
      </c>
      <c r="TK35" s="59">
        <f t="shared" si="388"/>
        <v>0</v>
      </c>
      <c r="TL35" s="59">
        <f t="shared" si="389"/>
        <v>0</v>
      </c>
      <c r="TM35" s="59">
        <f t="shared" si="390"/>
        <v>0</v>
      </c>
      <c r="TN35" s="59">
        <f t="shared" si="391"/>
        <v>0</v>
      </c>
      <c r="TO35" s="59">
        <f t="shared" si="392"/>
        <v>0</v>
      </c>
      <c r="TP35" s="58">
        <f t="shared" si="393"/>
        <v>0</v>
      </c>
      <c r="TQ35" s="45">
        <f t="shared" si="394"/>
        <v>51</v>
      </c>
      <c r="TR35" s="45">
        <f t="shared" si="71"/>
        <v>2.6889999999999996</v>
      </c>
      <c r="TS35" s="45">
        <f t="shared" si="395"/>
        <v>1</v>
      </c>
      <c r="TT35" s="45">
        <f t="shared" si="396"/>
        <v>2</v>
      </c>
      <c r="TU35" s="45">
        <f t="shared" si="397"/>
        <v>0</v>
      </c>
      <c r="TV35" s="46" cm="1">
        <f t="array" ref="TV35">ROUND(IFERROR(INDEX(ArchiveResults!$F$5:$IX$116,ComparisonData!A35,ComparisonData!$TV$1),0),5)</f>
        <v>0</v>
      </c>
      <c r="TW35" s="46" cm="1">
        <f t="array" ref="TW35">ROUND(IFERROR(INDEX(ArchiveResults!$F$5:$IX$116,ComparisonData!A35,ComparisonData!$TW$1),0),5)</f>
        <v>0</v>
      </c>
      <c r="TX35" s="46" cm="1">
        <f t="array" ref="TX35">ROUND(IFERROR(INDEX(ArchiveResults!$F$5:$IX$116,ComparisonData!A35,ComparisonData!$TX$1),0),5)</f>
        <v>0</v>
      </c>
      <c r="TY35" s="46" cm="1">
        <f t="array" ref="TY35">ROUND(IFERROR(INDEX(ArchiveResults!$F$5:$IX$116,ComparisonData!A35,ComparisonData!$TY$1),0),5)</f>
        <v>0</v>
      </c>
      <c r="TZ35" s="45" cm="1">
        <f t="array" ref="TZ35">IFERROR(INDEX(ArchiveResults!$F$5:$IX$116,ComparisonData!A35,ComparisonData!$TZ$1),0)</f>
        <v>0</v>
      </c>
      <c r="UA35" s="56">
        <v>30</v>
      </c>
      <c r="UB35" s="53" t="str">
        <f t="shared" si="72"/>
        <v>Gwent Archives</v>
      </c>
      <c r="UC35" s="60">
        <f t="shared" si="398"/>
        <v>0</v>
      </c>
      <c r="UD35" s="60">
        <f t="shared" si="399"/>
        <v>0</v>
      </c>
      <c r="UE35" s="60">
        <f t="shared" si="400"/>
        <v>0</v>
      </c>
      <c r="UF35" s="60">
        <f t="shared" si="401"/>
        <v>0</v>
      </c>
      <c r="UG35" s="60">
        <f t="shared" si="402"/>
        <v>0</v>
      </c>
      <c r="UH35" s="58">
        <f t="shared" si="403"/>
        <v>0</v>
      </c>
      <c r="UI35" s="46">
        <f t="shared" si="404"/>
        <v>51</v>
      </c>
      <c r="UJ35" s="46">
        <f t="shared" si="73"/>
        <v>2.6889999999999996</v>
      </c>
      <c r="UK35" s="46">
        <f t="shared" si="405"/>
        <v>1</v>
      </c>
      <c r="UL35" s="46">
        <f t="shared" si="406"/>
        <v>2</v>
      </c>
      <c r="UM35" s="46" cm="1">
        <f t="array" ref="UM35">ROUND(IFERROR(INDEX(ArchiveResults!$F$5:$IX$116,ComparisonData!A35,ComparisonData!$UM$1),0),5)</f>
        <v>0</v>
      </c>
      <c r="UN35" s="56">
        <v>30</v>
      </c>
      <c r="UO35" s="53" t="str">
        <f t="shared" si="74"/>
        <v>Gwent Archives</v>
      </c>
      <c r="UP35" s="46">
        <f t="shared" si="407"/>
        <v>0</v>
      </c>
      <c r="UQ35" s="76">
        <f t="shared" si="408"/>
        <v>0</v>
      </c>
      <c r="UR35" s="46">
        <f t="shared" si="409"/>
        <v>51</v>
      </c>
      <c r="US35" s="46">
        <f t="shared" si="75"/>
        <v>2.6889999999999996</v>
      </c>
      <c r="UT35" s="46">
        <f t="shared" si="410"/>
        <v>1</v>
      </c>
      <c r="UU35" s="46">
        <f t="shared" si="411"/>
        <v>2</v>
      </c>
      <c r="UV35" s="46">
        <f t="shared" si="412"/>
        <v>0</v>
      </c>
      <c r="UW35" s="46" cm="1">
        <f t="array" ref="UW35">ROUND(IFERROR(INDEX(ArchiveResults!$F$5:$IX$116,ComparisonData!A35,ComparisonData!$UW$1),0),5)</f>
        <v>0</v>
      </c>
      <c r="UX35" s="46" cm="1">
        <f t="array" ref="UX35">ROUND(IFERROR(INDEX(ArchiveResults!$F$5:$IX$116,ComparisonData!A35,ComparisonData!$UX$1),0),5)</f>
        <v>0</v>
      </c>
      <c r="UY35" s="46" cm="1">
        <f t="array" ref="UY35">ROUND(IFERROR(INDEX(ArchiveResults!$F$5:$IX$116,ComparisonData!A35,ComparisonData!$UY$1),0),5)</f>
        <v>0</v>
      </c>
      <c r="UZ35" s="46" cm="1">
        <f t="array" ref="UZ35">ROUND(IFERROR(INDEX(ArchiveResults!$F$5:$IX$116,ComparisonData!A35,ComparisonData!$UZ$1),0),5)</f>
        <v>0</v>
      </c>
      <c r="VA35" s="46" cm="1">
        <f t="array" ref="VA35">ROUND(IFERROR(INDEX(ArchiveResults!$F$5:$IX$116,ComparisonData!A35,ComparisonData!$VA$1),0),5)</f>
        <v>0</v>
      </c>
      <c r="VB35" s="56">
        <v>30</v>
      </c>
      <c r="VC35" s="53" t="str">
        <f t="shared" si="76"/>
        <v>Gwent Archives</v>
      </c>
      <c r="VD35" s="60">
        <f t="shared" si="413"/>
        <v>0</v>
      </c>
      <c r="VE35" s="60">
        <f t="shared" si="414"/>
        <v>0</v>
      </c>
      <c r="VF35" s="60">
        <f t="shared" si="415"/>
        <v>0</v>
      </c>
      <c r="VG35" s="60">
        <f t="shared" si="416"/>
        <v>0</v>
      </c>
      <c r="VH35" s="60">
        <f t="shared" si="417"/>
        <v>0</v>
      </c>
      <c r="VI35" s="76">
        <f t="shared" si="418"/>
        <v>0</v>
      </c>
      <c r="VJ35" s="46">
        <f t="shared" si="419"/>
        <v>51</v>
      </c>
      <c r="VK35" s="46">
        <f t="shared" si="77"/>
        <v>2.6889999999999996</v>
      </c>
      <c r="VL35" s="46">
        <f t="shared" si="420"/>
        <v>1</v>
      </c>
      <c r="VM35" s="46">
        <f t="shared" si="421"/>
        <v>2</v>
      </c>
      <c r="VN35" s="46" cm="1">
        <f t="array" ref="VN35">ROUND(IFERROR(INDEX(ArchiveResults!$F$5:$IX$116,ComparisonData!A35,ComparisonData!$VN$1),0),5)</f>
        <v>0</v>
      </c>
      <c r="VO35" s="46" cm="1">
        <f t="array" ref="VO35">ROUND(IFERROR(INDEX(ArchiveResults!$F$5:$IX$116,ComparisonData!A35,ComparisonData!$VO$1),0),5)</f>
        <v>0</v>
      </c>
      <c r="VP35" s="46" cm="1">
        <f t="array" ref="VP35">ROUND(IFERROR(INDEX(ArchiveResults!$F$5:$IX$116,ComparisonData!A35,ComparisonData!$VP$1),0),5)</f>
        <v>0</v>
      </c>
      <c r="VQ35" s="46" cm="1">
        <f t="array" ref="VQ35">ROUND(IFERROR(INDEX(ArchiveResults!$F$5:$IX$116,ComparisonData!A35,ComparisonData!$VQ$1),0),5)</f>
        <v>0</v>
      </c>
      <c r="VR35" s="56">
        <v>30</v>
      </c>
      <c r="VS35" s="53" t="str">
        <f t="shared" si="78"/>
        <v>Gwent Archives</v>
      </c>
      <c r="VT35" s="60">
        <f t="shared" si="422"/>
        <v>0</v>
      </c>
      <c r="VU35" s="60">
        <f t="shared" si="423"/>
        <v>0</v>
      </c>
      <c r="VV35" s="60">
        <f t="shared" si="424"/>
        <v>0</v>
      </c>
      <c r="VW35" s="60">
        <f t="shared" si="425"/>
        <v>0</v>
      </c>
      <c r="VX35" s="76">
        <f t="shared" si="426"/>
        <v>0</v>
      </c>
      <c r="VY35" s="46">
        <f t="shared" si="427"/>
        <v>51</v>
      </c>
      <c r="VZ35" s="46">
        <f t="shared" si="79"/>
        <v>2.6889999999999996</v>
      </c>
      <c r="WA35" s="46">
        <f t="shared" si="428"/>
        <v>1</v>
      </c>
      <c r="WB35" s="46">
        <f t="shared" si="429"/>
        <v>2</v>
      </c>
      <c r="WC35" s="46" cm="1">
        <f t="array" ref="WC35">ROUND(IFERROR(INDEX(ArchiveResults!$F$5:$IX$116,ComparisonData!A35,ComparisonData!$WC$1),0),5)</f>
        <v>0</v>
      </c>
      <c r="WD35" s="56">
        <v>30</v>
      </c>
      <c r="WE35" s="53" t="str">
        <f t="shared" si="80"/>
        <v>Gwent Archives</v>
      </c>
      <c r="WF35" s="46">
        <f t="shared" si="430"/>
        <v>0</v>
      </c>
      <c r="WG35" s="76">
        <f t="shared" si="431"/>
        <v>0</v>
      </c>
      <c r="WH35" s="46">
        <f t="shared" si="432"/>
        <v>51</v>
      </c>
      <c r="WI35" s="46">
        <f t="shared" si="81"/>
        <v>2.6889999999999996</v>
      </c>
      <c r="WJ35" s="46">
        <f t="shared" si="433"/>
        <v>1</v>
      </c>
      <c r="WK35" s="46">
        <f t="shared" si="434"/>
        <v>2</v>
      </c>
      <c r="WL35" s="46" cm="1">
        <f t="array" ref="WL35">ROUND(IFERROR(INDEX(ArchiveResults!$F$5:$IX$116,ComparisonData!A35,ComparisonData!$WL$1),0),5)</f>
        <v>0</v>
      </c>
      <c r="WM35" s="46" cm="1">
        <f t="array" ref="WM35">IFERROR(INDEX(ArchiveResults!$F$5:$IX$116,ComparisonData!A35,ComparisonData!$WM$1),0)</f>
        <v>0</v>
      </c>
      <c r="WN35" s="56">
        <v>30</v>
      </c>
      <c r="WO35" s="53" t="str">
        <f t="shared" si="82"/>
        <v>Gwent Archives</v>
      </c>
      <c r="WP35" s="60">
        <f t="shared" si="435"/>
        <v>0</v>
      </c>
      <c r="WQ35" s="60">
        <f t="shared" si="436"/>
        <v>0</v>
      </c>
      <c r="WR35" s="76">
        <f t="shared" si="437"/>
        <v>0</v>
      </c>
      <c r="WS35" s="46">
        <f t="shared" si="438"/>
        <v>51</v>
      </c>
      <c r="WT35" s="46">
        <f t="shared" si="83"/>
        <v>2.6889999999999996</v>
      </c>
      <c r="WU35" s="46">
        <f t="shared" si="439"/>
        <v>1</v>
      </c>
      <c r="WV35" s="46">
        <f t="shared" si="440"/>
        <v>2</v>
      </c>
      <c r="WW35" s="46" cm="1">
        <f t="array" ref="WW35">ROUND(VALUE(IFERROR(INDEX(ArchiveResults!$F$5:$IX$116,ComparisonData!A35,ComparisonData!$WW$1),0)),5)</f>
        <v>0</v>
      </c>
      <c r="WX35" s="46" cm="1">
        <f t="array" ref="WX35">ROUND(IFERROR(INDEX(ArchiveResults!$F$5:$IX$116,ComparisonData!A35,ComparisonData!$WX$1),0),5)</f>
        <v>0</v>
      </c>
      <c r="WY35" s="56">
        <v>30</v>
      </c>
      <c r="WZ35" s="53" t="str">
        <f t="shared" si="84"/>
        <v>Gwent Archives</v>
      </c>
      <c r="XA35" s="60">
        <f t="shared" si="85"/>
        <v>0</v>
      </c>
      <c r="XB35" s="60">
        <f t="shared" si="86"/>
        <v>0</v>
      </c>
      <c r="XC35" s="76">
        <f t="shared" si="441"/>
        <v>0</v>
      </c>
      <c r="XD35" s="46">
        <f t="shared" si="442"/>
        <v>51</v>
      </c>
      <c r="XE35" s="46">
        <f t="shared" si="87"/>
        <v>2.6889999999999996</v>
      </c>
      <c r="XF35" s="46">
        <f t="shared" si="443"/>
        <v>1</v>
      </c>
      <c r="XG35" s="46">
        <f t="shared" si="444"/>
        <v>2</v>
      </c>
      <c r="XH35" s="46" cm="1">
        <f t="array" ref="XH35">ROUND(VALUE(IFERROR(INDEX(ArchiveResults!$F$5:$IX$116,ComparisonData!A35,ComparisonData!$XH$1),0)),5)</f>
        <v>0</v>
      </c>
      <c r="XI35" s="46" cm="1">
        <f t="array" ref="XI35">ROUND(VALUE(IFERROR(INDEX(ArchiveResults!$F$5:$IX$116,ComparisonData!A35,ComparisonData!$XI$1),0)),5)</f>
        <v>0</v>
      </c>
      <c r="XJ35" s="56">
        <v>30</v>
      </c>
      <c r="XK35" s="53" t="str">
        <f t="shared" si="88"/>
        <v>Gwent Archives</v>
      </c>
      <c r="XL35" s="60">
        <f t="shared" si="445"/>
        <v>0</v>
      </c>
      <c r="XM35" s="60">
        <f t="shared" si="446"/>
        <v>0</v>
      </c>
      <c r="XN35" s="76">
        <f t="shared" si="447"/>
        <v>0</v>
      </c>
      <c r="XO35" s="46">
        <f t="shared" si="448"/>
        <v>51</v>
      </c>
      <c r="XP35" s="46">
        <f t="shared" si="89"/>
        <v>2.6889999999999996</v>
      </c>
      <c r="XQ35" s="46">
        <f t="shared" si="449"/>
        <v>1</v>
      </c>
      <c r="XR35" s="46">
        <f t="shared" si="450"/>
        <v>2</v>
      </c>
      <c r="XS35" s="46" cm="1">
        <f t="array" ref="XS35">ROUND(VALUE(IFERROR(INDEX(ArchiveResults!$F$5:$IX$116,ComparisonData!A35,ComparisonData!$XS$1),0)),5)</f>
        <v>0</v>
      </c>
      <c r="XT35" s="46" cm="1">
        <f t="array" ref="XT35">ROUND(VALUE(IFERROR(INDEX(ArchiveResults!$F$5:$IX$116,ComparisonData!A35,ComparisonData!$XT$1),0)),5)</f>
        <v>0</v>
      </c>
      <c r="XU35" s="56">
        <v>30</v>
      </c>
      <c r="XV35" s="53" t="str">
        <f t="shared" si="90"/>
        <v>Gwent Archives</v>
      </c>
      <c r="XW35" s="60">
        <f t="shared" si="451"/>
        <v>0</v>
      </c>
      <c r="XX35" s="60">
        <f t="shared" si="452"/>
        <v>0</v>
      </c>
      <c r="XY35" s="76">
        <f t="shared" si="453"/>
        <v>0</v>
      </c>
      <c r="XZ35" s="46">
        <f t="shared" si="454"/>
        <v>51</v>
      </c>
      <c r="YA35" s="46">
        <f t="shared" si="91"/>
        <v>2.6889999999999996</v>
      </c>
      <c r="YB35" s="46">
        <f t="shared" si="455"/>
        <v>1</v>
      </c>
      <c r="YC35" s="46">
        <f t="shared" si="456"/>
        <v>2</v>
      </c>
      <c r="YD35" s="46" cm="1">
        <f t="array" ref="YD35">ROUND(VALUE(IFERROR(INDEX(ArchiveResults!$F$5:$IX$116,ComparisonData!A35,ComparisonData!$YD$1),0)),5)</f>
        <v>0</v>
      </c>
      <c r="YE35" s="46" cm="1">
        <f t="array" ref="YE35">ROUND(VALUE(IFERROR(INDEX(ArchiveResults!$F$5:$IX$116,ComparisonData!A35,ComparisonData!$YE$1),0)),5)</f>
        <v>0</v>
      </c>
      <c r="YF35" s="56">
        <v>30</v>
      </c>
      <c r="YG35" s="53" t="str">
        <f t="shared" si="92"/>
        <v>Gwent Archives</v>
      </c>
      <c r="YH35" s="60">
        <f t="shared" si="457"/>
        <v>0</v>
      </c>
      <c r="YI35" s="60">
        <f t="shared" si="458"/>
        <v>0</v>
      </c>
      <c r="YJ35" s="76">
        <f t="shared" si="459"/>
        <v>0</v>
      </c>
      <c r="YK35" s="46">
        <f t="shared" si="460"/>
        <v>51</v>
      </c>
      <c r="YL35" s="46">
        <f t="shared" si="93"/>
        <v>2.6889999999999996</v>
      </c>
      <c r="YM35" s="46">
        <f t="shared" si="461"/>
        <v>1</v>
      </c>
      <c r="YN35" s="46">
        <f t="shared" si="462"/>
        <v>2</v>
      </c>
      <c r="YO35" s="46" cm="1">
        <f t="array" ref="YO35">ROUND(VALUE(IFERROR(INDEX(ArchiveResults!$F$5:$IX$116,ComparisonData!A35,ComparisonData!$YO$1),0)),5)</f>
        <v>0</v>
      </c>
      <c r="YP35" s="46" cm="1">
        <f t="array" ref="YP35">ROUND(VALUE(IFERROR(INDEX(ArchiveResults!$F$5:$IX$116,ComparisonData!A35,ComparisonData!$YP$1),0)),5)</f>
        <v>0</v>
      </c>
      <c r="YQ35" s="56">
        <v>30</v>
      </c>
      <c r="YR35" s="53" t="str">
        <f t="shared" si="94"/>
        <v>Gwent Archives</v>
      </c>
      <c r="YS35" s="60">
        <f t="shared" si="463"/>
        <v>0</v>
      </c>
      <c r="YT35" s="60">
        <f t="shared" si="464"/>
        <v>0</v>
      </c>
      <c r="YU35" s="76">
        <f t="shared" si="465"/>
        <v>0</v>
      </c>
      <c r="YV35" s="46">
        <f t="shared" si="466"/>
        <v>51</v>
      </c>
      <c r="YW35" s="46">
        <f t="shared" si="95"/>
        <v>2.6889999999999996</v>
      </c>
      <c r="YX35" s="46">
        <f t="shared" si="467"/>
        <v>1</v>
      </c>
      <c r="YY35" s="46">
        <f t="shared" si="468"/>
        <v>2</v>
      </c>
      <c r="YZ35" s="46">
        <f t="shared" si="469"/>
        <v>0</v>
      </c>
      <c r="ZA35" s="46" cm="1">
        <f t="array" ref="ZA35">ROUNDDOWN(VALUE(IFERROR(INDEX(ArchiveResults!$F$5:$IX$116,ComparisonData!A35,ComparisonData!$ZA$1),0)),5)</f>
        <v>0</v>
      </c>
      <c r="ZB35" s="46" cm="1">
        <f t="array" ref="ZB35">ROUNDDOWN(VALUE(IFERROR(INDEX(ArchiveResults!$F$5:$IX$116,ComparisonData!A35,ComparisonData!$ZB$1),0)),5)</f>
        <v>0</v>
      </c>
      <c r="ZC35" s="46" cm="1">
        <f t="array" ref="ZC35">ROUNDDOWN(VALUE(IFERROR(INDEX(ArchiveResults!$F$5:$IX$116,ComparisonData!A35,ComparisonData!$ZC$1),0)),5)</f>
        <v>0</v>
      </c>
      <c r="ZD35" s="46" cm="1">
        <f t="array" ref="ZD35">ROUNDDOWN(VALUE(IFERROR(INDEX(ArchiveResults!$F$5:$IX$116,ComparisonData!A35,ComparisonData!$ZD$1),0)),5)</f>
        <v>0</v>
      </c>
      <c r="ZE35" s="46" cm="1">
        <f t="array" ref="ZE35">ROUNDDOWN(VALUE(IFERROR(INDEX(ArchiveResults!$F$5:$IX$116,ComparisonData!A35,ComparisonData!$ZE$1),0)),5)</f>
        <v>0</v>
      </c>
      <c r="ZF35" s="56">
        <v>30</v>
      </c>
      <c r="ZG35" s="53" t="str">
        <f t="shared" si="96"/>
        <v>Gwent Archives</v>
      </c>
      <c r="ZH35" s="60">
        <f t="shared" si="470"/>
        <v>0</v>
      </c>
      <c r="ZI35" s="60">
        <f t="shared" si="471"/>
        <v>0</v>
      </c>
      <c r="ZJ35" s="60">
        <f t="shared" si="472"/>
        <v>0</v>
      </c>
      <c r="ZK35" s="60">
        <f t="shared" si="473"/>
        <v>0</v>
      </c>
      <c r="ZL35" s="60">
        <f t="shared" si="474"/>
        <v>0</v>
      </c>
      <c r="ZM35" s="76">
        <f t="shared" si="475"/>
        <v>0</v>
      </c>
      <c r="ZN35" s="46">
        <f t="shared" si="476"/>
        <v>51</v>
      </c>
      <c r="ZO35" s="46">
        <f t="shared" si="97"/>
        <v>2.6889999999999996</v>
      </c>
      <c r="ZP35" s="46">
        <f t="shared" si="477"/>
        <v>1</v>
      </c>
      <c r="ZQ35" s="46">
        <f t="shared" si="478"/>
        <v>2</v>
      </c>
      <c r="ZR35" s="46" cm="1">
        <f t="array" ref="ZR35">ROUND(VALUE(IFERROR(INDEX(ArchiveResults!$F$5:$IX$116,ComparisonData!A35,ComparisonData!$ZR$1),0)),5)</f>
        <v>0</v>
      </c>
      <c r="ZS35" s="56">
        <v>30</v>
      </c>
      <c r="ZT35" s="53" t="str">
        <f t="shared" si="98"/>
        <v>Gwent Archives</v>
      </c>
      <c r="ZU35" s="46">
        <f t="shared" si="479"/>
        <v>0</v>
      </c>
      <c r="ZV35" s="76">
        <f t="shared" si="480"/>
        <v>0</v>
      </c>
      <c r="ZW35" s="81" cm="1">
        <f t="array" ref="ZW35">ROUND((IFERROR(INDEX(ArchiveResults!$F$5:$IX$116,ComparisonData!A35,ComparisonData!$ZW$1),0)),5)</f>
        <v>0</v>
      </c>
      <c r="ZX35" s="81" cm="1">
        <f t="array" ref="ZX35">ROUND((IFERROR(INDEX(ArchiveResults!$F$5:$IX$116,ComparisonData!A35,ComparisonData!$ZX$1),0)),5)</f>
        <v>0</v>
      </c>
      <c r="ZY35" s="81" cm="1">
        <f t="array" ref="ZY35">ROUND((IFERROR(INDEX(ArchiveResults!$F$5:$IX$116,ComparisonData!A35,ComparisonData!$ZY$1),0)),5)</f>
        <v>0</v>
      </c>
      <c r="ZZ35" s="81" cm="1">
        <f t="array" ref="ZZ35">ROUND((IFERROR(INDEX(ArchiveResults!$F$5:$IX$116,ComparisonData!A35,ComparisonData!$ZZ$1),0)),5)</f>
        <v>0</v>
      </c>
      <c r="AAA35" s="81" cm="1">
        <f t="array" ref="AAA35">ROUND((IFERROR(INDEX(ArchiveResults!$F$5:$IX$116,ComparisonData!A35,ComparisonData!$AAA$1),0)),5)</f>
        <v>0</v>
      </c>
      <c r="AAB35" s="81" cm="1">
        <f t="array" ref="AAB35">ROUND((IFERROR(INDEX(ArchiveResults!$F$5:$IX$116,ComparisonData!A35,ComparisonData!$AAB$1),0)),5)</f>
        <v>0</v>
      </c>
      <c r="AAC35" s="81" cm="1">
        <f t="array" ref="AAC35">ROUND((IFERROR(INDEX(ArchiveResults!$F$5:$IX$116,ComparisonData!A35,ComparisonData!$AAC$1),0)),5)</f>
        <v>0</v>
      </c>
      <c r="AAD35" s="81" cm="1">
        <f t="array" ref="AAD35">ROUND((IFERROR(INDEX(ArchiveResults!$F$5:$IX$116,ComparisonData!A35,ComparisonData!$AAD$1),0)),5)</f>
        <v>0</v>
      </c>
      <c r="AAE35" s="81" cm="1">
        <f t="array" ref="AAE35">ROUND((IFERROR(INDEX(ArchiveResults!$F$5:$IX$116,ComparisonData!A35,ComparisonData!$AAE$1),0)),5)</f>
        <v>0</v>
      </c>
      <c r="AAF35" s="81" cm="1">
        <f t="array" ref="AAF35">ROUND((IFERROR(INDEX(ArchiveResults!$F$5:$IX$116,ComparisonData!A35,ComparisonData!$AAF$1),0)),5)</f>
        <v>0</v>
      </c>
      <c r="AAG35" s="46">
        <f t="shared" si="481"/>
        <v>51</v>
      </c>
      <c r="AAH35" s="46">
        <f t="shared" si="99"/>
        <v>2.6889999999999996</v>
      </c>
      <c r="AAI35" s="46">
        <f t="shared" si="482"/>
        <v>1</v>
      </c>
      <c r="AAJ35" s="46">
        <f t="shared" si="483"/>
        <v>2</v>
      </c>
      <c r="AAK35" s="46">
        <f t="shared" si="484"/>
        <v>0</v>
      </c>
      <c r="AAL35" s="46">
        <f t="shared" si="485"/>
        <v>0</v>
      </c>
      <c r="AAM35" s="46">
        <f t="shared" si="486"/>
        <v>0</v>
      </c>
      <c r="AAN35" s="46">
        <f t="shared" si="487"/>
        <v>0</v>
      </c>
      <c r="AAO35" s="46">
        <f t="shared" si="488"/>
        <v>0</v>
      </c>
      <c r="AAP35" s="46">
        <f t="shared" si="489"/>
        <v>0</v>
      </c>
      <c r="AAQ35" s="56">
        <v>30</v>
      </c>
      <c r="AAR35" s="53" t="str">
        <f t="shared" si="100"/>
        <v>Gwent Archives</v>
      </c>
      <c r="AAS35" s="60">
        <f t="shared" si="490"/>
        <v>0</v>
      </c>
      <c r="AAT35" s="60">
        <f t="shared" si="491"/>
        <v>0</v>
      </c>
      <c r="AAU35" s="60">
        <f t="shared" si="492"/>
        <v>0</v>
      </c>
      <c r="AAV35" s="60">
        <f t="shared" si="493"/>
        <v>0</v>
      </c>
      <c r="AAW35" s="60">
        <f t="shared" si="494"/>
        <v>0</v>
      </c>
      <c r="AAX35" s="76">
        <f t="shared" si="495"/>
        <v>0</v>
      </c>
      <c r="AAY35" s="46">
        <f t="shared" si="496"/>
        <v>51</v>
      </c>
      <c r="AAZ35" s="46">
        <f t="shared" si="101"/>
        <v>2.6889999999999996</v>
      </c>
      <c r="ABA35" s="46">
        <f t="shared" si="497"/>
        <v>1</v>
      </c>
      <c r="ABB35" s="46">
        <f t="shared" si="498"/>
        <v>2</v>
      </c>
      <c r="ABC35" s="46">
        <f t="shared" si="102"/>
        <v>0</v>
      </c>
      <c r="ABD35" s="46" cm="1">
        <f t="array" ref="ABD35">ROUND(VALUE(IFERROR(INDEX(ArchiveResults!$F$5:$IX$116,ComparisonData!A35,ComparisonData!$ABD$1),0)),5)</f>
        <v>0</v>
      </c>
      <c r="ABE35" s="46" cm="1">
        <f t="array" ref="ABE35">ROUND(VALUE(IFERROR(INDEX(ArchiveResults!$F$5:$IX$116,ComparisonData!A35,ComparisonData!$ABE$1),0)),5)</f>
        <v>0</v>
      </c>
      <c r="ABF35" s="46" cm="1">
        <f t="array" ref="ABF35">ROUND(VALUE(IFERROR(INDEX(ArchiveResults!$F$5:$IX$116,ComparisonData!A35,ComparisonData!$ABF$1),0)),5)</f>
        <v>0</v>
      </c>
      <c r="ABG35" s="46" cm="1">
        <f t="array" ref="ABG35">ROUND(VALUE(IFERROR(INDEX(ArchiveResults!$F$5:$IX$116,ComparisonData!A35,ComparisonData!$ABG$1),0)),5)</f>
        <v>0</v>
      </c>
      <c r="ABH35" s="46" cm="1">
        <f t="array" ref="ABH35">ROUND(VALUE(IFERROR(INDEX(ArchiveResults!$F$5:$IX$116,ComparisonData!A35,ComparisonData!$ABH$1),0)),5)</f>
        <v>0</v>
      </c>
      <c r="ABI35" s="56">
        <v>30</v>
      </c>
      <c r="ABJ35" s="53" t="str">
        <f t="shared" si="103"/>
        <v>Gwent Archives</v>
      </c>
      <c r="ABK35" s="60">
        <f t="shared" si="499"/>
        <v>0</v>
      </c>
      <c r="ABL35" s="60">
        <f t="shared" si="500"/>
        <v>0</v>
      </c>
      <c r="ABM35" s="60">
        <f t="shared" si="501"/>
        <v>0</v>
      </c>
      <c r="ABN35" s="60">
        <f t="shared" si="502"/>
        <v>0</v>
      </c>
      <c r="ABO35" s="60">
        <f t="shared" si="503"/>
        <v>0</v>
      </c>
      <c r="ABP35" s="76">
        <f t="shared" si="504"/>
        <v>0</v>
      </c>
      <c r="ABQ35" s="46">
        <f t="shared" si="505"/>
        <v>51</v>
      </c>
      <c r="ABR35" s="46">
        <f t="shared" si="104"/>
        <v>2.6889999999999996</v>
      </c>
      <c r="ABS35" s="46">
        <f t="shared" si="506"/>
        <v>1</v>
      </c>
      <c r="ABT35" s="46">
        <f t="shared" si="507"/>
        <v>2</v>
      </c>
      <c r="ABU35" s="46" cm="1">
        <f t="array" ref="ABU35">ROUND(VALUE(IFERROR(INDEX(ArchiveResults!$F$5:$IX$116,ComparisonData!A35,ComparisonData!$ABU$1),0)),5)</f>
        <v>0</v>
      </c>
      <c r="ABV35" s="46" cm="1">
        <f t="array" ref="ABV35">ROUND(VALUE(IFERROR(INDEX(ArchiveResults!$F$5:$IX$116,ComparisonData!A35,ComparisonData!$ABV$1),0)),5)</f>
        <v>0</v>
      </c>
      <c r="ABW35" s="46" cm="1">
        <f t="array" ref="ABW35">ROUND(VALUE(IFERROR(INDEX(ArchiveResults!$F$5:$IX$116,ComparisonData!A35,ComparisonData!$ABW$1),0)),5)</f>
        <v>0</v>
      </c>
      <c r="ABX35" s="46" cm="1">
        <f t="array" ref="ABX35">ROUND(VALUE(IFERROR(INDEX(ArchiveResults!$F$5:$IX$116,ComparisonData!A35,ComparisonData!$ABX$1),0)),5)</f>
        <v>0</v>
      </c>
      <c r="ABY35" s="46" cm="1">
        <f t="array" ref="ABY35">ROUND(VALUE(IFERROR(INDEX(ArchiveResults!$F$5:$IX$116,ComparisonData!A35,ComparisonData!$ABY$1),0)),5)</f>
        <v>0</v>
      </c>
      <c r="ABZ35" s="56">
        <v>30</v>
      </c>
      <c r="ACA35" s="53" t="str">
        <f t="shared" si="105"/>
        <v>Gwent Archives</v>
      </c>
      <c r="ACB35" s="60">
        <f t="shared" si="508"/>
        <v>0</v>
      </c>
      <c r="ACC35" s="60">
        <f t="shared" si="509"/>
        <v>0</v>
      </c>
      <c r="ACD35" s="60">
        <f t="shared" si="510"/>
        <v>0</v>
      </c>
      <c r="ACE35" s="60">
        <f t="shared" si="511"/>
        <v>0</v>
      </c>
      <c r="ACF35" s="60">
        <f t="shared" si="512"/>
        <v>0</v>
      </c>
      <c r="ACG35" s="76">
        <f t="shared" si="513"/>
        <v>0</v>
      </c>
      <c r="ACH35" s="46">
        <f t="shared" si="514"/>
        <v>51</v>
      </c>
      <c r="ACI35" s="46">
        <f t="shared" si="106"/>
        <v>2.6889999999999996</v>
      </c>
      <c r="ACJ35" s="46">
        <f t="shared" si="515"/>
        <v>1</v>
      </c>
      <c r="ACK35" s="46">
        <f t="shared" si="516"/>
        <v>2</v>
      </c>
      <c r="ACL35" s="46">
        <f t="shared" si="517"/>
        <v>0</v>
      </c>
      <c r="ACM35" s="46" cm="1">
        <f t="array" ref="ACM35">ROUND(IFERROR(INDEX(ArchiveResults!$F$5:$IX$116,ComparisonData!A35,ComparisonData!$ACM$1),0),5)</f>
        <v>0</v>
      </c>
      <c r="ACN35" s="46" cm="1">
        <f t="array" ref="ACN35">ROUND(IFERROR(INDEX(ArchiveResults!$F$5:$IX$116,ComparisonData!A35,ComparisonData!$ACN$1),0),5)</f>
        <v>0</v>
      </c>
      <c r="ACO35" s="56">
        <v>30</v>
      </c>
      <c r="ACP35" s="53" t="str">
        <f t="shared" si="107"/>
        <v>Gwent Archives</v>
      </c>
      <c r="ACQ35" s="60">
        <f t="shared" si="518"/>
        <v>0</v>
      </c>
      <c r="ACR35" s="60">
        <f t="shared" si="519"/>
        <v>0</v>
      </c>
      <c r="ACS35" s="76">
        <f t="shared" si="520"/>
        <v>0</v>
      </c>
      <c r="ACT35" s="46">
        <f t="shared" si="521"/>
        <v>51</v>
      </c>
      <c r="ACU35" s="46">
        <f t="shared" si="108"/>
        <v>2.6889999999999996</v>
      </c>
      <c r="ACV35" s="46">
        <f t="shared" si="522"/>
        <v>1</v>
      </c>
      <c r="ACW35" s="46">
        <f t="shared" si="523"/>
        <v>2</v>
      </c>
      <c r="ACX35" s="46">
        <f t="shared" si="524"/>
        <v>0</v>
      </c>
      <c r="ACY35" s="46" cm="1">
        <f t="array" ref="ACY35">ROUNDDOWN(IFERROR(INDEX(ArchiveResults!$F$5:$IX$116,ComparisonData!A35,ComparisonData!$ACY$1),0),5)</f>
        <v>0</v>
      </c>
      <c r="ACZ35" s="46" cm="1">
        <f t="array" ref="ACZ35">ROUNDDOWN(IFERROR(INDEX(ArchiveResults!$F$5:$IX$116,ComparisonData!A35,ComparisonData!$ACZ$1),0),5)</f>
        <v>0</v>
      </c>
      <c r="ADA35" s="46" cm="1">
        <f t="array" ref="ADA35">ROUNDDOWN(IFERROR(INDEX(ArchiveResults!$F$5:$IX$116,ComparisonData!A35,ComparisonData!$ADA$1),0),5)</f>
        <v>0</v>
      </c>
      <c r="ADB35" s="56">
        <v>30</v>
      </c>
      <c r="ADC35" s="53" t="str">
        <f t="shared" si="109"/>
        <v>Gwent Archives</v>
      </c>
      <c r="ADD35" s="60">
        <f t="shared" si="525"/>
        <v>0</v>
      </c>
      <c r="ADE35" s="60">
        <f t="shared" si="526"/>
        <v>0</v>
      </c>
      <c r="ADF35" s="60">
        <f t="shared" si="527"/>
        <v>0</v>
      </c>
      <c r="ADG35" s="76">
        <f t="shared" si="528"/>
        <v>0</v>
      </c>
    </row>
    <row r="36" spans="1:787" x14ac:dyDescent="0.25">
      <c r="A36" s="46" t="str">
        <f>IF(ISBLANK(ComparisonSelection!F32),"",ROW()-5)</f>
        <v/>
      </c>
      <c r="B36" s="53" t="s">
        <v>485</v>
      </c>
      <c r="C36" s="72">
        <v>0.46399999999999952</v>
      </c>
      <c r="D36" s="55">
        <f t="shared" si="110"/>
        <v>6</v>
      </c>
      <c r="E36" s="54">
        <f t="shared" si="111"/>
        <v>2.4639999999999995</v>
      </c>
      <c r="F36" s="54">
        <f t="shared" si="529"/>
        <v>1</v>
      </c>
      <c r="G36" s="72">
        <f t="shared" si="112"/>
        <v>2</v>
      </c>
      <c r="H36" s="72">
        <f t="shared" si="113"/>
        <v>0</v>
      </c>
      <c r="I36" s="46" cm="1">
        <f t="array" ref="I36">ROUND(IFERROR(INDEX(ArchiveResults!$F$5:$IX$116,ComparisonData!A36,ComparisonData!$I$1),0),5)</f>
        <v>0</v>
      </c>
      <c r="J36" s="46" cm="1">
        <f t="array" ref="J36">ROUND(IFERROR(INDEX(ArchiveResults!$F$5:$IX$116,ComparisonData!A36,ComparisonData!$J$1),0),5)</f>
        <v>0</v>
      </c>
      <c r="K36" s="56">
        <v>31</v>
      </c>
      <c r="L36" s="53" t="str">
        <f t="shared" si="114"/>
        <v>Hackney Archives</v>
      </c>
      <c r="M36" s="57">
        <f t="shared" si="0"/>
        <v>0</v>
      </c>
      <c r="N36" s="57">
        <f t="shared" si="1"/>
        <v>0</v>
      </c>
      <c r="O36" s="58">
        <f t="shared" si="115"/>
        <v>0</v>
      </c>
      <c r="P36" s="48">
        <f t="shared" si="116"/>
        <v>6</v>
      </c>
      <c r="Q36" s="54">
        <f t="shared" si="2"/>
        <v>2.4639999999999995</v>
      </c>
      <c r="R36" s="45">
        <f t="shared" si="117"/>
        <v>1</v>
      </c>
      <c r="S36" s="46">
        <f t="shared" si="118"/>
        <v>2</v>
      </c>
      <c r="T36" s="72">
        <f t="shared" si="119"/>
        <v>0</v>
      </c>
      <c r="U36" s="46" cm="1">
        <f t="array" ref="U36">ROUND(IFERROR(INDEX(ArchiveResults!$F$5:$IX$116,ComparisonData!A36,ComparisonData!$U$1),0),5)</f>
        <v>0</v>
      </c>
      <c r="V36" s="46" cm="1">
        <f t="array" ref="V36">ROUND(IFERROR(INDEX(ArchiveResults!$F$5:$IX$116,ComparisonData!A36,ComparisonData!$V$1),0),5)</f>
        <v>0</v>
      </c>
      <c r="W36" s="56">
        <v>31</v>
      </c>
      <c r="X36" s="53" t="str">
        <f t="shared" si="3"/>
        <v>Hackney Archives</v>
      </c>
      <c r="Y36" s="57">
        <f t="shared" si="120"/>
        <v>0</v>
      </c>
      <c r="Z36" s="57">
        <f t="shared" si="121"/>
        <v>0</v>
      </c>
      <c r="AA36" s="58">
        <f t="shared" si="122"/>
        <v>0</v>
      </c>
      <c r="AB36" s="45">
        <f t="shared" si="123"/>
        <v>6</v>
      </c>
      <c r="AC36" s="54">
        <f t="shared" si="4"/>
        <v>2.4639999999999995</v>
      </c>
      <c r="AD36" s="45">
        <f t="shared" si="124"/>
        <v>1</v>
      </c>
      <c r="AE36" s="45">
        <f t="shared" si="125"/>
        <v>2</v>
      </c>
      <c r="AF36" s="45">
        <f t="shared" si="126"/>
        <v>0</v>
      </c>
      <c r="AG36" s="46" cm="1">
        <f t="array" ref="AG36">ROUND(IFERROR(INDEX(ArchiveResults!$F$5:$IX$116,ComparisonData!A36,ComparisonData!$AG$1),0),5)</f>
        <v>0</v>
      </c>
      <c r="AH36" s="46" cm="1">
        <f t="array" ref="AH36">ROUND(IFERROR(INDEX(ArchiveResults!$F$5:$IX$116,ComparisonData!A36,ComparisonData!$AH$1),0),5)</f>
        <v>0</v>
      </c>
      <c r="AI36" s="56">
        <v>31</v>
      </c>
      <c r="AJ36" s="53" t="str">
        <f t="shared" si="5"/>
        <v>Hackney Archives</v>
      </c>
      <c r="AK36" s="59">
        <f t="shared" si="6"/>
        <v>0</v>
      </c>
      <c r="AL36" s="59">
        <f t="shared" si="7"/>
        <v>0</v>
      </c>
      <c r="AM36" s="58">
        <f t="shared" si="127"/>
        <v>0</v>
      </c>
      <c r="AN36" s="45">
        <f t="shared" si="128"/>
        <v>6</v>
      </c>
      <c r="AO36" s="54">
        <f t="shared" si="8"/>
        <v>2.4639999999999995</v>
      </c>
      <c r="AP36" s="45">
        <f t="shared" si="129"/>
        <v>1</v>
      </c>
      <c r="AQ36" s="45">
        <f t="shared" si="130"/>
        <v>2</v>
      </c>
      <c r="AR36" s="46" cm="1">
        <f t="array" ref="AR36">ROUND(IFERROR(INDEX(ArchiveResults!$F$5:$IX$116,ComparisonData!A36,ComparisonData!$AR$1),0),5)</f>
        <v>0</v>
      </c>
      <c r="AS36" s="46" cm="1">
        <f t="array" ref="AS36">ROUND(IFERROR(INDEX(ArchiveResults!$F$5:$IX$116,ComparisonData!A36,ComparisonData!$AS$1),0),5)</f>
        <v>0</v>
      </c>
      <c r="AT36" s="46" cm="1">
        <f t="array" ref="AT36">ROUND(IFERROR(INDEX(ArchiveResults!$F$5:$IX$116,ComparisonData!A36,ComparisonData!$AT$1),0),5)</f>
        <v>0</v>
      </c>
      <c r="AU36" s="46" cm="1">
        <f t="array" ref="AU36">ROUND(IFERROR(INDEX(ArchiveResults!$F$5:$IX$116,ComparisonData!A36,ComparisonData!$AU$1),0),5)</f>
        <v>0</v>
      </c>
      <c r="AV36" s="46" cm="1">
        <f t="array" ref="AV36">ROUND(IFERROR(INDEX(ArchiveResults!$F$5:$IX$116,ComparisonData!A36,ComparisonData!$AV$1),0),5)</f>
        <v>0</v>
      </c>
      <c r="AW36" s="46" cm="1">
        <f t="array" ref="AW36">ROUND(IFERROR(INDEX(ArchiveResults!$F$5:$IX$116,ComparisonData!A36,ComparisonData!$AW$1),0),5)</f>
        <v>0</v>
      </c>
      <c r="AX36" s="46" cm="1">
        <f t="array" ref="AX36">ROUND(IFERROR(INDEX(ArchiveResults!$F$5:$IX$116,ComparisonData!A36,ComparisonData!$AX$1),0),5)</f>
        <v>0</v>
      </c>
      <c r="AY36" s="46" cm="1">
        <f t="array" ref="AY36">ROUND(IFERROR(INDEX(ArchiveResults!$F$5:$IX$116,ComparisonData!A36,ComparisonData!$AY$1),0),5)</f>
        <v>0</v>
      </c>
      <c r="AZ36" s="46" cm="1">
        <f t="array" ref="AZ36">ROUND(IFERROR(INDEX(ArchiveResults!$F$5:$IX$116,ComparisonData!A36,ComparisonData!$AZ$1),0),5)</f>
        <v>0</v>
      </c>
      <c r="BA36" s="46" cm="1">
        <f t="array" ref="BA36">ROUND(IFERROR(INDEX(ArchiveResults!$F$5:$IX$116,ComparisonData!A36,ComparisonData!$BA$1),0),5)</f>
        <v>0</v>
      </c>
      <c r="BB36" s="56">
        <v>31</v>
      </c>
      <c r="BC36" s="53" t="str">
        <f t="shared" si="9"/>
        <v>Hackney Archives</v>
      </c>
      <c r="BD36" s="60">
        <f t="shared" si="131"/>
        <v>0</v>
      </c>
      <c r="BE36" s="60">
        <f t="shared" si="132"/>
        <v>0</v>
      </c>
      <c r="BF36" s="60">
        <f t="shared" si="133"/>
        <v>0</v>
      </c>
      <c r="BG36" s="60">
        <f t="shared" si="134"/>
        <v>0</v>
      </c>
      <c r="BH36" s="60">
        <f t="shared" si="135"/>
        <v>0</v>
      </c>
      <c r="BI36" s="60">
        <f t="shared" si="136"/>
        <v>0</v>
      </c>
      <c r="BJ36" s="60">
        <f t="shared" si="137"/>
        <v>0</v>
      </c>
      <c r="BK36" s="60">
        <f t="shared" si="138"/>
        <v>0</v>
      </c>
      <c r="BL36" s="60">
        <f t="shared" si="139"/>
        <v>0</v>
      </c>
      <c r="BM36" s="59">
        <f t="shared" si="140"/>
        <v>0</v>
      </c>
      <c r="BN36" s="58">
        <f t="shared" si="141"/>
        <v>0</v>
      </c>
      <c r="BO36" s="45">
        <f t="shared" si="142"/>
        <v>6</v>
      </c>
      <c r="BP36" s="54">
        <f t="shared" si="10"/>
        <v>2.4639999999999995</v>
      </c>
      <c r="BQ36" s="45">
        <f t="shared" si="143"/>
        <v>1</v>
      </c>
      <c r="BR36" s="45">
        <f t="shared" si="144"/>
        <v>2</v>
      </c>
      <c r="BS36" s="46" cm="1">
        <f t="array" ref="BS36">ROUND(IFERROR(INDEX(ArchiveResults!$F$5:$IX$116,ComparisonData!A36,ComparisonData!$BS$1),0),5)</f>
        <v>0</v>
      </c>
      <c r="BT36" s="46" cm="1">
        <f t="array" ref="BT36">ROUND(IFERROR(INDEX(ArchiveResults!$F$5:$IX$116,ComparisonData!A36,ComparisonData!$BT$1),0),5)</f>
        <v>0</v>
      </c>
      <c r="BU36" s="46" cm="1">
        <f t="array" ref="BU36">ROUND(IFERROR(INDEX(ArchiveResults!$F$5:$IX$116,ComparisonData!A36,ComparisonData!$BU$1),0),5)</f>
        <v>0</v>
      </c>
      <c r="BV36" s="46" cm="1">
        <f t="array" ref="BV36">ROUND(IFERROR(INDEX(ArchiveResults!$F$5:$IX$116,ComparisonData!A36,ComparisonData!$BV$1),0),5)</f>
        <v>0</v>
      </c>
      <c r="BW36" s="46" cm="1">
        <f t="array" ref="BW36">ROUND(IFERROR(INDEX(ArchiveResults!$F$5:$IX$116,ComparisonData!A36,ComparisonData!$BW$1),0),5)</f>
        <v>0</v>
      </c>
      <c r="BX36" s="46" cm="1">
        <f t="array" ref="BX36">ROUND(IFERROR(INDEX(ArchiveResults!$F$5:$IX$116,ComparisonData!A36,ComparisonData!$BX$1),0),5)</f>
        <v>0</v>
      </c>
      <c r="BY36" s="56">
        <v>31</v>
      </c>
      <c r="BZ36" s="53" t="str">
        <f t="shared" si="11"/>
        <v>Hackney Archives</v>
      </c>
      <c r="CA36" s="59">
        <f t="shared" si="145"/>
        <v>0</v>
      </c>
      <c r="CB36" s="59">
        <f t="shared" si="146"/>
        <v>0</v>
      </c>
      <c r="CC36" s="59">
        <f t="shared" si="147"/>
        <v>0</v>
      </c>
      <c r="CD36" s="59">
        <f t="shared" si="148"/>
        <v>0</v>
      </c>
      <c r="CE36" s="59">
        <f t="shared" si="149"/>
        <v>0</v>
      </c>
      <c r="CF36" s="59">
        <f t="shared" si="150"/>
        <v>0</v>
      </c>
      <c r="CG36" s="58">
        <f t="shared" si="151"/>
        <v>0</v>
      </c>
      <c r="CH36" s="45">
        <f t="shared" si="152"/>
        <v>6</v>
      </c>
      <c r="CI36" s="54">
        <f t="shared" si="12"/>
        <v>2.4639999999999995</v>
      </c>
      <c r="CJ36" s="45">
        <f t="shared" si="153"/>
        <v>1</v>
      </c>
      <c r="CK36" s="45">
        <f t="shared" si="154"/>
        <v>2</v>
      </c>
      <c r="CL36" s="46" cm="1">
        <f t="array" ref="CL36">ROUND(IFERROR(INDEX(ArchiveResults!$F$5:$IX$116,ComparisonData!A36,ComparisonData!$CL$1),0),5)</f>
        <v>0</v>
      </c>
      <c r="CM36" s="56">
        <v>31</v>
      </c>
      <c r="CN36" s="53" t="str">
        <f t="shared" si="13"/>
        <v>Hackney Archives</v>
      </c>
      <c r="CO36" s="45">
        <f t="shared" si="155"/>
        <v>0</v>
      </c>
      <c r="CP36" s="58">
        <f t="shared" si="156"/>
        <v>0</v>
      </c>
      <c r="CQ36" s="45">
        <f t="shared" si="157"/>
        <v>6</v>
      </c>
      <c r="CR36" s="54">
        <f t="shared" si="14"/>
        <v>2.4639999999999995</v>
      </c>
      <c r="CS36" s="45">
        <f t="shared" si="158"/>
        <v>1</v>
      </c>
      <c r="CT36" s="45">
        <f t="shared" si="159"/>
        <v>2</v>
      </c>
      <c r="CU36" s="46" cm="1">
        <f t="array" ref="CU36">ROUND(IFERROR(INDEX(ArchiveResults!$F$5:$IX$116,ComparisonData!A36,ComparisonData!$CU$1),0),5)</f>
        <v>0</v>
      </c>
      <c r="CV36" s="56">
        <v>31</v>
      </c>
      <c r="CW36" s="53" t="str">
        <f t="shared" si="15"/>
        <v>Hackney Archives</v>
      </c>
      <c r="CX36" s="45">
        <f t="shared" si="160"/>
        <v>0</v>
      </c>
      <c r="CY36" s="58">
        <f t="shared" si="161"/>
        <v>0</v>
      </c>
      <c r="CZ36" s="45">
        <f t="shared" si="162"/>
        <v>6</v>
      </c>
      <c r="DA36" s="54">
        <f t="shared" si="16"/>
        <v>2.4639999999999995</v>
      </c>
      <c r="DB36" s="45">
        <f t="shared" si="163"/>
        <v>1</v>
      </c>
      <c r="DC36" s="45">
        <f t="shared" si="164"/>
        <v>2</v>
      </c>
      <c r="DD36" s="46" cm="1">
        <f t="array" ref="DD36">ROUND(IFERROR(INDEX(ArchiveResults!$F$5:$IX$116,ComparisonData!A36,ComparisonData!$DD$1),0),5)</f>
        <v>0</v>
      </c>
      <c r="DE36" s="56">
        <v>31</v>
      </c>
      <c r="DF36" s="53" t="str">
        <f t="shared" si="17"/>
        <v>Hackney Archives</v>
      </c>
      <c r="DG36" s="45">
        <f t="shared" si="165"/>
        <v>0</v>
      </c>
      <c r="DH36" s="58">
        <f t="shared" si="166"/>
        <v>0</v>
      </c>
      <c r="DI36" s="45">
        <f t="shared" si="167"/>
        <v>6</v>
      </c>
      <c r="DJ36" s="54">
        <f t="shared" si="18"/>
        <v>2.4639999999999995</v>
      </c>
      <c r="DK36" s="45">
        <f t="shared" si="168"/>
        <v>1</v>
      </c>
      <c r="DL36" s="45">
        <f t="shared" si="169"/>
        <v>2</v>
      </c>
      <c r="DM36" s="46" cm="1">
        <f t="array" ref="DM36">ROUND(IFERROR(INDEX(ArchiveResults!$F$5:$IX$116,ComparisonData!A36,ComparisonData!$DM$1),0),5)</f>
        <v>0</v>
      </c>
      <c r="DN36" s="46" cm="1">
        <f t="array" ref="DN36">ROUND(IFERROR(INDEX(ArchiveResults!$F$5:$IX$116,ComparisonData!A36,ComparisonData!$DN$1),0),5)</f>
        <v>0</v>
      </c>
      <c r="DO36" s="46" cm="1">
        <f t="array" ref="DO36">ROUND(IFERROR(INDEX(ArchiveResults!$F$5:$IX$116,ComparisonData!A36,ComparisonData!$DO$1),0),5)</f>
        <v>0</v>
      </c>
      <c r="DP36" s="46" cm="1">
        <f t="array" ref="DP36">ROUND(IFERROR(INDEX(ArchiveResults!$F$5:$IX$116,ComparisonData!A36,ComparisonData!$DP$1),0),5)</f>
        <v>0</v>
      </c>
      <c r="DQ36" s="45" cm="1">
        <f t="array" ref="DQ36">IFERROR(INDEX(ArchiveResults!$F$5:$IX$116,ComparisonData!A36,ComparisonData!$DQ$1),0)</f>
        <v>0</v>
      </c>
      <c r="DR36" s="56">
        <v>31</v>
      </c>
      <c r="DS36" s="53" t="str">
        <f t="shared" si="19"/>
        <v>Hackney Archives</v>
      </c>
      <c r="DT36" s="59">
        <f t="shared" si="170"/>
        <v>0</v>
      </c>
      <c r="DU36" s="59">
        <f t="shared" si="171"/>
        <v>0</v>
      </c>
      <c r="DV36" s="59">
        <f t="shared" si="172"/>
        <v>0</v>
      </c>
      <c r="DW36" s="59">
        <f t="shared" si="173"/>
        <v>0</v>
      </c>
      <c r="DX36" s="59">
        <f t="shared" si="174"/>
        <v>0</v>
      </c>
      <c r="DY36" s="58">
        <f t="shared" si="175"/>
        <v>0</v>
      </c>
      <c r="DZ36" s="45">
        <f t="shared" si="176"/>
        <v>6</v>
      </c>
      <c r="EA36" s="54">
        <f t="shared" si="20"/>
        <v>2.4639999999999995</v>
      </c>
      <c r="EB36" s="45">
        <f t="shared" si="177"/>
        <v>1</v>
      </c>
      <c r="EC36" s="45">
        <f t="shared" si="178"/>
        <v>2</v>
      </c>
      <c r="ED36" s="46" cm="1">
        <f t="array" ref="ED36">ROUND(IFERROR(INDEX(ArchiveResults!$F$5:$IX$116,ComparisonData!A36,ComparisonData!$ED$1),0),5)</f>
        <v>0</v>
      </c>
      <c r="EE36" s="46" cm="1">
        <f t="array" ref="EE36">ROUND(IFERROR(INDEX(ArchiveResults!$F$5:$IX$116,ComparisonData!A36,ComparisonData!$EE$1),0),5)</f>
        <v>0</v>
      </c>
      <c r="EF36" s="46" cm="1">
        <f t="array" ref="EF36">ROUND(IFERROR(INDEX(ArchiveResults!$F$5:$IX$116,ComparisonData!A36,ComparisonData!$EF$1),0),5)</f>
        <v>0</v>
      </c>
      <c r="EG36" s="46" cm="1">
        <f t="array" ref="EG36">ROUND(IFERROR(INDEX(ArchiveResults!$F$5:$IX$116,ComparisonData!A36,ComparisonData!$EG$1),0),5)</f>
        <v>0</v>
      </c>
      <c r="EH36" s="45" cm="1">
        <f t="array" ref="EH36">IFERROR(INDEX(ArchiveResults!$F$5:$IX$116,ComparisonData!A36,ComparisonData!$EH$1),0)</f>
        <v>0</v>
      </c>
      <c r="EI36" s="56">
        <v>31</v>
      </c>
      <c r="EJ36" s="53" t="str">
        <f t="shared" si="21"/>
        <v>Hackney Archives</v>
      </c>
      <c r="EK36" s="59">
        <f t="shared" si="179"/>
        <v>0</v>
      </c>
      <c r="EL36" s="59">
        <f t="shared" si="180"/>
        <v>0</v>
      </c>
      <c r="EM36" s="59">
        <f t="shared" si="181"/>
        <v>0</v>
      </c>
      <c r="EN36" s="59">
        <f t="shared" si="182"/>
        <v>0</v>
      </c>
      <c r="EO36" s="59">
        <f t="shared" si="183"/>
        <v>0</v>
      </c>
      <c r="EP36" s="58">
        <f t="shared" si="184"/>
        <v>0</v>
      </c>
      <c r="EQ36" s="45">
        <f t="shared" si="185"/>
        <v>6</v>
      </c>
      <c r="ER36" s="54">
        <f t="shared" si="22"/>
        <v>2.4639999999999995</v>
      </c>
      <c r="ES36" s="45">
        <f t="shared" si="186"/>
        <v>1</v>
      </c>
      <c r="ET36" s="45">
        <f t="shared" si="187"/>
        <v>2</v>
      </c>
      <c r="EU36" s="46" cm="1">
        <f t="array" ref="EU36">ROUND(IFERROR(INDEX(ArchiveResults!$F$5:$IX$116,ComparisonData!A36,ComparisonData!$EU$1),0),5)</f>
        <v>0</v>
      </c>
      <c r="EV36" s="46" cm="1">
        <f t="array" ref="EV36">ROUND(IFERROR(INDEX(ArchiveResults!$F$5:$IX$116,ComparisonData!A36,ComparisonData!$EV$1),0),5)</f>
        <v>0</v>
      </c>
      <c r="EW36" s="46" cm="1">
        <f t="array" ref="EW36">ROUND(IFERROR(INDEX(ArchiveResults!$F$5:$IX$116,ComparisonData!A36,ComparisonData!$EW$1),0),5)</f>
        <v>0</v>
      </c>
      <c r="EX36" s="46" cm="1">
        <f t="array" ref="EX36">ROUND(IFERROR(INDEX(ArchiveResults!$F$5:$IX$116,ComparisonData!A36,ComparisonData!$EX$1),0),5)</f>
        <v>0</v>
      </c>
      <c r="EY36" s="45" cm="1">
        <f t="array" ref="EY36">IFERROR(INDEX(ArchiveResults!$F$5:$IX$116,ComparisonData!A36,ComparisonData!$EY$1),0)</f>
        <v>0</v>
      </c>
      <c r="EZ36" s="56">
        <v>31</v>
      </c>
      <c r="FA36" s="53" t="str">
        <f t="shared" si="23"/>
        <v>Hackney Archives</v>
      </c>
      <c r="FB36" s="59">
        <f t="shared" si="188"/>
        <v>0</v>
      </c>
      <c r="FC36" s="59">
        <f t="shared" si="189"/>
        <v>0</v>
      </c>
      <c r="FD36" s="59">
        <f t="shared" si="190"/>
        <v>0</v>
      </c>
      <c r="FE36" s="59">
        <f t="shared" si="191"/>
        <v>0</v>
      </c>
      <c r="FF36" s="59">
        <f t="shared" si="192"/>
        <v>0</v>
      </c>
      <c r="FG36" s="58">
        <f t="shared" si="193"/>
        <v>0</v>
      </c>
      <c r="FH36" s="45">
        <f t="shared" si="194"/>
        <v>6</v>
      </c>
      <c r="FI36" s="54">
        <f t="shared" si="24"/>
        <v>2.4639999999999995</v>
      </c>
      <c r="FJ36" s="45">
        <f t="shared" si="195"/>
        <v>1</v>
      </c>
      <c r="FK36" s="45">
        <f t="shared" si="196"/>
        <v>2</v>
      </c>
      <c r="FL36" s="46" cm="1">
        <f t="array" ref="FL36">ROUND(IFERROR(INDEX(ArchiveResults!$F$5:$IX$116,ComparisonData!A36,ComparisonData!$FL$1),0),5)</f>
        <v>0</v>
      </c>
      <c r="FM36" s="46" cm="1">
        <f t="array" ref="FM36">ROUND(IFERROR(INDEX(ArchiveResults!$F$5:$IX$116,ComparisonData!A36,ComparisonData!$FM$1),0),5)</f>
        <v>0</v>
      </c>
      <c r="FN36" s="46" cm="1">
        <f t="array" ref="FN36">ROUND(IFERROR(INDEX(ArchiveResults!$F$5:$IX$116,ComparisonData!A36,ComparisonData!$FN$1),0),5)</f>
        <v>0</v>
      </c>
      <c r="FO36" s="46" cm="1">
        <f t="array" ref="FO36">ROUND(IFERROR(INDEX(ArchiveResults!$F$5:$IX$116,ComparisonData!A36,ComparisonData!$FO$1),0),5)</f>
        <v>0</v>
      </c>
      <c r="FP36" s="45" cm="1">
        <f t="array" ref="FP36">IFERROR(INDEX(ArchiveResults!$F$5:$IX$116,ComparisonData!A36,ComparisonData!$FP$1),0)</f>
        <v>0</v>
      </c>
      <c r="FQ36" s="56">
        <v>31</v>
      </c>
      <c r="FR36" s="53" t="str">
        <f t="shared" si="25"/>
        <v>Hackney Archives</v>
      </c>
      <c r="FS36" s="59">
        <f t="shared" si="197"/>
        <v>0</v>
      </c>
      <c r="FT36" s="59">
        <f t="shared" si="198"/>
        <v>0</v>
      </c>
      <c r="FU36" s="59">
        <f t="shared" si="199"/>
        <v>0</v>
      </c>
      <c r="FV36" s="59">
        <f t="shared" si="200"/>
        <v>0</v>
      </c>
      <c r="FW36" s="59">
        <f t="shared" si="201"/>
        <v>0</v>
      </c>
      <c r="FX36" s="58">
        <f t="shared" si="202"/>
        <v>0</v>
      </c>
      <c r="FY36" s="45">
        <f t="shared" si="203"/>
        <v>6</v>
      </c>
      <c r="FZ36" s="45">
        <f t="shared" si="26"/>
        <v>2.4639999999999995</v>
      </c>
      <c r="GA36" s="45">
        <f t="shared" si="204"/>
        <v>1</v>
      </c>
      <c r="GB36" s="45">
        <f t="shared" si="205"/>
        <v>2</v>
      </c>
      <c r="GC36" s="46" cm="1">
        <f t="array" ref="GC36">ROUND(IFERROR(INDEX(ArchiveResults!$F$5:$IX$116,ComparisonData!A36,ComparisonData!$GC$1),0),5)</f>
        <v>0</v>
      </c>
      <c r="GD36" s="46" cm="1">
        <f t="array" ref="GD36">ROUND(IFERROR(INDEX(ArchiveResults!$F$5:$IX$116,ComparisonData!A36,ComparisonData!$GD$1),0),5)</f>
        <v>0</v>
      </c>
      <c r="GE36" s="46" cm="1">
        <f t="array" ref="GE36">ROUND(IFERROR(INDEX(ArchiveResults!$F$5:$IX$116,ComparisonData!A36,ComparisonData!$GE$1),0),5)</f>
        <v>0</v>
      </c>
      <c r="GF36" s="46" cm="1">
        <f t="array" ref="GF36">ROUND(IFERROR(INDEX(ArchiveResults!$F$5:$IX$116,ComparisonData!A36,ComparisonData!$GF$1),0),5)</f>
        <v>0</v>
      </c>
      <c r="GG36" s="45" cm="1">
        <f t="array" ref="GG36">IFERROR(INDEX(ArchiveResults!$F$5:$IX$116,ComparisonData!A36,ComparisonData!$GG$1),0)</f>
        <v>0</v>
      </c>
      <c r="GH36" s="56">
        <v>31</v>
      </c>
      <c r="GI36" s="53" t="str">
        <f t="shared" si="27"/>
        <v>Hackney Archives</v>
      </c>
      <c r="GJ36" s="59">
        <f t="shared" si="206"/>
        <v>0</v>
      </c>
      <c r="GK36" s="59">
        <f t="shared" si="207"/>
        <v>0</v>
      </c>
      <c r="GL36" s="59">
        <f t="shared" si="208"/>
        <v>0</v>
      </c>
      <c r="GM36" s="59">
        <f t="shared" si="209"/>
        <v>0</v>
      </c>
      <c r="GN36" s="59">
        <f t="shared" si="210"/>
        <v>0</v>
      </c>
      <c r="GO36" s="58">
        <f t="shared" si="211"/>
        <v>0</v>
      </c>
      <c r="GP36" s="45">
        <f t="shared" si="212"/>
        <v>6</v>
      </c>
      <c r="GQ36" s="45">
        <f t="shared" si="28"/>
        <v>2.4639999999999995</v>
      </c>
      <c r="GR36" s="45">
        <f t="shared" si="213"/>
        <v>1</v>
      </c>
      <c r="GS36" s="45">
        <f t="shared" si="214"/>
        <v>2</v>
      </c>
      <c r="GT36" s="46" cm="1">
        <f t="array" ref="GT36">ROUND(IFERROR(INDEX(ArchiveResults!$F$5:$IX$116,ComparisonData!A36,ComparisonData!$GT$1),0),5)</f>
        <v>0</v>
      </c>
      <c r="GU36" s="46" cm="1">
        <f t="array" ref="GU36">ROUND(IFERROR(INDEX(ArchiveResults!$F$5:$IX$116,ComparisonData!A36,ComparisonData!$GU$1),0),5)</f>
        <v>0</v>
      </c>
      <c r="GV36" s="46" cm="1">
        <f t="array" ref="GV36">ROUND(IFERROR(INDEX(ArchiveResults!$F$5:$IX$116,ComparisonData!A36,ComparisonData!$GV$1),0),5)</f>
        <v>0</v>
      </c>
      <c r="GW36" s="46" cm="1">
        <f t="array" ref="GW36">ROUND(IFERROR(INDEX(ArchiveResults!$F$5:$IX$116,ComparisonData!A36,ComparisonData!$GW$1),0),5)</f>
        <v>0</v>
      </c>
      <c r="GX36" s="45" cm="1">
        <f t="array" ref="GX36">IFERROR(INDEX(ArchiveResults!$F$5:$IX$116,ComparisonData!A36,ComparisonData!$GX$1),0)</f>
        <v>0</v>
      </c>
      <c r="GY36" s="56">
        <v>31</v>
      </c>
      <c r="GZ36" s="53" t="str">
        <f t="shared" si="29"/>
        <v>Hackney Archives</v>
      </c>
      <c r="HA36" s="59">
        <f t="shared" si="215"/>
        <v>0</v>
      </c>
      <c r="HB36" s="59">
        <f t="shared" si="216"/>
        <v>0</v>
      </c>
      <c r="HC36" s="59">
        <f t="shared" si="217"/>
        <v>0</v>
      </c>
      <c r="HD36" s="59">
        <f t="shared" si="218"/>
        <v>0</v>
      </c>
      <c r="HE36" s="59">
        <f t="shared" si="219"/>
        <v>0</v>
      </c>
      <c r="HF36" s="58">
        <f t="shared" si="220"/>
        <v>0</v>
      </c>
      <c r="HG36" s="45">
        <f t="shared" si="221"/>
        <v>6</v>
      </c>
      <c r="HH36" s="45">
        <f t="shared" si="30"/>
        <v>2.4639999999999995</v>
      </c>
      <c r="HI36" s="45">
        <f t="shared" si="222"/>
        <v>1</v>
      </c>
      <c r="HJ36" s="45">
        <f t="shared" si="223"/>
        <v>2</v>
      </c>
      <c r="HK36" s="46" cm="1">
        <f t="array" ref="HK36">ROUND(IFERROR(INDEX(ArchiveResults!$F$5:$IX$116,ComparisonData!A36,ComparisonData!$HK$1),0),5)</f>
        <v>0</v>
      </c>
      <c r="HL36" s="46" cm="1">
        <f t="array" ref="HL36">ROUND(IFERROR(INDEX(ArchiveResults!$F$5:$IX$116,ComparisonData!A36,ComparisonData!$HL$1),0),5)</f>
        <v>0</v>
      </c>
      <c r="HM36" s="46" cm="1">
        <f t="array" ref="HM36">ROUND(IFERROR(INDEX(ArchiveResults!$F$5:$IX$116,ComparisonData!A36,ComparisonData!$HM$1),0),5)</f>
        <v>0</v>
      </c>
      <c r="HN36" s="46" cm="1">
        <f t="array" ref="HN36">ROUND(IFERROR(INDEX(ArchiveResults!$F$5:$IX$116,ComparisonData!A36,ComparisonData!$HN$1),0),5)</f>
        <v>0</v>
      </c>
      <c r="HO36" s="45" cm="1">
        <f t="array" ref="HO36">IFERROR(INDEX(ArchiveResults!$F$5:$IX$116,ComparisonData!A36,ComparisonData!$HO$1),0)</f>
        <v>0</v>
      </c>
      <c r="HP36" s="56">
        <v>31</v>
      </c>
      <c r="HQ36" s="53" t="str">
        <f t="shared" si="31"/>
        <v>Hackney Archives</v>
      </c>
      <c r="HR36" s="59">
        <f t="shared" si="32"/>
        <v>0</v>
      </c>
      <c r="HS36" s="59">
        <f t="shared" si="33"/>
        <v>0</v>
      </c>
      <c r="HT36" s="59">
        <f t="shared" si="34"/>
        <v>0</v>
      </c>
      <c r="HU36" s="59">
        <f t="shared" si="35"/>
        <v>0</v>
      </c>
      <c r="HV36" s="59">
        <f t="shared" si="36"/>
        <v>0</v>
      </c>
      <c r="HW36" s="58">
        <f t="shared" si="224"/>
        <v>0</v>
      </c>
      <c r="HX36" s="45">
        <f t="shared" si="225"/>
        <v>6</v>
      </c>
      <c r="HY36" s="45">
        <f t="shared" si="37"/>
        <v>2.4639999999999995</v>
      </c>
      <c r="HZ36" s="45">
        <f t="shared" si="226"/>
        <v>1</v>
      </c>
      <c r="IA36" s="45">
        <f t="shared" si="227"/>
        <v>2</v>
      </c>
      <c r="IB36" s="45">
        <f t="shared" si="228"/>
        <v>0</v>
      </c>
      <c r="IC36" s="46" cm="1">
        <f t="array" ref="IC36">ROUND(IFERROR(INDEX(ArchiveResults!$F$5:$IX$116,ComparisonData!A36,ComparisonData!$IC$1),0),5)</f>
        <v>0</v>
      </c>
      <c r="ID36" s="46" cm="1">
        <f t="array" ref="ID36">ROUND(IFERROR(INDEX(ArchiveResults!$F$5:$IX$116,ComparisonData!A36,ComparisonData!$ID$1),0),5)</f>
        <v>0</v>
      </c>
      <c r="IE36" s="46" cm="1">
        <f t="array" ref="IE36">ROUND(IFERROR(INDEX(ArchiveResults!$F$5:$IX$116,ComparisonData!A36,ComparisonData!$IE$1),0),5)</f>
        <v>0</v>
      </c>
      <c r="IF36" s="46" cm="1">
        <f t="array" ref="IF36">ROUND(IFERROR(INDEX(ArchiveResults!$F$5:$IX$116,ComparisonData!A36,ComparisonData!$IF$1),0),5)</f>
        <v>0</v>
      </c>
      <c r="IG36" s="45" cm="1">
        <f t="array" ref="IG36">IFERROR(INDEX(ArchiveResults!$F$5:$IX$116,ComparisonData!A36,ComparisonData!$IG$1),0)</f>
        <v>0</v>
      </c>
      <c r="IH36" s="56">
        <v>31</v>
      </c>
      <c r="II36" s="53" t="str">
        <f t="shared" si="38"/>
        <v>Hackney Archives</v>
      </c>
      <c r="IJ36" s="59">
        <f t="shared" si="229"/>
        <v>0</v>
      </c>
      <c r="IK36" s="59">
        <f t="shared" si="230"/>
        <v>0</v>
      </c>
      <c r="IL36" s="59">
        <f t="shared" si="231"/>
        <v>0</v>
      </c>
      <c r="IM36" s="59">
        <f t="shared" si="232"/>
        <v>0</v>
      </c>
      <c r="IN36" s="59">
        <f t="shared" si="233"/>
        <v>0</v>
      </c>
      <c r="IO36" s="58">
        <f t="shared" si="234"/>
        <v>0</v>
      </c>
      <c r="IP36" s="45">
        <f t="shared" si="235"/>
        <v>6</v>
      </c>
      <c r="IQ36" s="45">
        <f t="shared" si="39"/>
        <v>2.4639999999999995</v>
      </c>
      <c r="IR36" s="45">
        <f t="shared" si="236"/>
        <v>1</v>
      </c>
      <c r="IS36" s="45">
        <f t="shared" si="237"/>
        <v>2</v>
      </c>
      <c r="IT36" s="46">
        <f t="shared" si="238"/>
        <v>0</v>
      </c>
      <c r="IU36" s="46" cm="1">
        <f t="array" ref="IU36">ROUND(IFERROR(INDEX(ArchiveResults!$F$5:$IX$116,ComparisonData!A36,ComparisonData!$IU$1),0),5)</f>
        <v>0</v>
      </c>
      <c r="IV36" s="46" cm="1">
        <f t="array" ref="IV36">ROUND(IFERROR(INDEX(ArchiveResults!$F$5:$IX$116,ComparisonData!A36,ComparisonData!$IV$1),0),5)</f>
        <v>0</v>
      </c>
      <c r="IW36" s="46" cm="1">
        <f t="array" ref="IW36">ROUND(IFERROR(INDEX(ArchiveResults!$F$5:$IX$116,ComparisonData!A36,ComparisonData!$IW$1),0),5)</f>
        <v>0</v>
      </c>
      <c r="IX36" s="46" cm="1">
        <f t="array" ref="IX36">ROUND(IFERROR(INDEX(ArchiveResults!$F$5:$IX$116,ComparisonData!A36,ComparisonData!$IX$1),0),5)</f>
        <v>0</v>
      </c>
      <c r="IY36" s="45" cm="1">
        <f t="array" ref="IY36">IFERROR(INDEX(ArchiveResults!$F$5:$IX$116,ComparisonData!A36,ComparisonData!$IY$1),0)</f>
        <v>0</v>
      </c>
      <c r="IZ36" s="56">
        <v>31</v>
      </c>
      <c r="JA36" s="53" t="str">
        <f t="shared" si="40"/>
        <v>Hackney Archives</v>
      </c>
      <c r="JB36" s="59">
        <f t="shared" si="239"/>
        <v>0</v>
      </c>
      <c r="JC36" s="59">
        <f t="shared" si="240"/>
        <v>0</v>
      </c>
      <c r="JD36" s="59">
        <f t="shared" si="241"/>
        <v>0</v>
      </c>
      <c r="JE36" s="59">
        <f t="shared" si="242"/>
        <v>0</v>
      </c>
      <c r="JF36" s="59">
        <f t="shared" si="243"/>
        <v>0</v>
      </c>
      <c r="JG36" s="58">
        <f t="shared" si="244"/>
        <v>0</v>
      </c>
      <c r="JH36" s="45">
        <f t="shared" si="245"/>
        <v>6</v>
      </c>
      <c r="JI36" s="45">
        <f t="shared" si="41"/>
        <v>2.4639999999999995</v>
      </c>
      <c r="JJ36" s="45">
        <f t="shared" si="246"/>
        <v>1</v>
      </c>
      <c r="JK36" s="45">
        <f t="shared" si="247"/>
        <v>2</v>
      </c>
      <c r="JL36" s="45">
        <f t="shared" si="248"/>
        <v>0</v>
      </c>
      <c r="JM36" s="46" cm="1">
        <f t="array" ref="JM36">ROUND(IFERROR(INDEX(ArchiveResults!$F$5:$IX$116,ComparisonData!A36,ComparisonData!$JM$1),0),5)</f>
        <v>0</v>
      </c>
      <c r="JN36" s="46" cm="1">
        <f t="array" ref="JN36">ROUND(IFERROR(INDEX(ArchiveResults!$F$5:$IX$116,ComparisonData!A36,ComparisonData!$JN$1),0),5)</f>
        <v>0</v>
      </c>
      <c r="JO36" s="46" cm="1">
        <f t="array" ref="JO36">ROUND(IFERROR(INDEX(ArchiveResults!$F$5:$IX$116,ComparisonData!A36,ComparisonData!$JO$1),0),5)</f>
        <v>0</v>
      </c>
      <c r="JP36" s="46" cm="1">
        <f t="array" ref="JP36">ROUND(IFERROR(INDEX(ArchiveResults!$F$5:$IX$116,ComparisonData!A36,ComparisonData!$JP$1),0),5)</f>
        <v>0</v>
      </c>
      <c r="JQ36" s="45" cm="1">
        <f t="array" ref="JQ36">IFERROR(INDEX(ArchiveResults!$F$5:$IX$116,ComparisonData!A36,ComparisonData!$JQ$1),0)</f>
        <v>0</v>
      </c>
      <c r="JR36" s="56">
        <v>31</v>
      </c>
      <c r="JS36" s="53" t="str">
        <f t="shared" si="42"/>
        <v>Hackney Archives</v>
      </c>
      <c r="JT36" s="59">
        <f t="shared" si="249"/>
        <v>0</v>
      </c>
      <c r="JU36" s="59">
        <f t="shared" si="250"/>
        <v>0</v>
      </c>
      <c r="JV36" s="59">
        <f t="shared" si="251"/>
        <v>0</v>
      </c>
      <c r="JW36" s="59">
        <f t="shared" si="252"/>
        <v>0</v>
      </c>
      <c r="JX36" s="59">
        <f t="shared" si="253"/>
        <v>0</v>
      </c>
      <c r="JY36" s="58">
        <f t="shared" si="254"/>
        <v>0</v>
      </c>
      <c r="JZ36" s="45">
        <f t="shared" si="255"/>
        <v>6</v>
      </c>
      <c r="KA36" s="45">
        <f t="shared" si="43"/>
        <v>2.4639999999999995</v>
      </c>
      <c r="KB36" s="45">
        <f t="shared" si="256"/>
        <v>1</v>
      </c>
      <c r="KC36" s="45">
        <f t="shared" si="257"/>
        <v>2</v>
      </c>
      <c r="KD36" s="45">
        <f t="shared" si="258"/>
        <v>0</v>
      </c>
      <c r="KE36" s="46" cm="1">
        <f t="array" ref="KE36">ROUND(IFERROR(INDEX(ArchiveResults!$F$5:$IX$116,ComparisonData!A36,ComparisonData!$KE$1),0),5)</f>
        <v>0</v>
      </c>
      <c r="KF36" s="46" cm="1">
        <f t="array" ref="KF36">ROUND(IFERROR(INDEX(ArchiveResults!$F$5:$IX$116,ComparisonData!A36,ComparisonData!$KF$1),0),5)</f>
        <v>0</v>
      </c>
      <c r="KG36" s="46" cm="1">
        <f t="array" ref="KG36">ROUND(IFERROR(INDEX(ArchiveResults!$F$5:$IX$116,ComparisonData!A36,ComparisonData!$KG$1),0),5)</f>
        <v>0</v>
      </c>
      <c r="KH36" s="46" cm="1">
        <f t="array" ref="KH36">ROUND(IFERROR(INDEX(ArchiveResults!$F$5:$IX$116,ComparisonData!A36,ComparisonData!$KH$1),0),5)</f>
        <v>0</v>
      </c>
      <c r="KI36" s="45" cm="1">
        <f t="array" ref="KI36">IFERROR(INDEX(ArchiveResults!$F$5:$IX$116,ComparisonData!A36,ComparisonData!$KI$1),0)</f>
        <v>0</v>
      </c>
      <c r="KJ36" s="56">
        <v>31</v>
      </c>
      <c r="KK36" s="53" t="str">
        <f t="shared" si="44"/>
        <v>Hackney Archives</v>
      </c>
      <c r="KL36" s="59">
        <f t="shared" si="259"/>
        <v>0</v>
      </c>
      <c r="KM36" s="59">
        <f t="shared" si="260"/>
        <v>0</v>
      </c>
      <c r="KN36" s="59">
        <f t="shared" si="261"/>
        <v>0</v>
      </c>
      <c r="KO36" s="59">
        <f t="shared" si="262"/>
        <v>0</v>
      </c>
      <c r="KP36" s="59">
        <f t="shared" si="263"/>
        <v>0</v>
      </c>
      <c r="KQ36" s="58">
        <f t="shared" si="264"/>
        <v>0</v>
      </c>
      <c r="KR36" s="45">
        <f t="shared" si="265"/>
        <v>6</v>
      </c>
      <c r="KS36" s="45">
        <f t="shared" si="45"/>
        <v>2.4639999999999995</v>
      </c>
      <c r="KT36" s="45">
        <f t="shared" si="266"/>
        <v>1</v>
      </c>
      <c r="KU36" s="45">
        <f t="shared" si="267"/>
        <v>2</v>
      </c>
      <c r="KV36" s="45">
        <f t="shared" si="268"/>
        <v>0</v>
      </c>
      <c r="KW36" s="46" cm="1">
        <f t="array" ref="KW36">ROUND(IFERROR(INDEX(ArchiveResults!$F$5:$IX$116,ComparisonData!A36,ComparisonData!$KW$1),0),5)</f>
        <v>0</v>
      </c>
      <c r="KX36" s="46" cm="1">
        <f t="array" ref="KX36">ROUND(IFERROR(INDEX(ArchiveResults!$F$5:$IX$116,ComparisonData!A36,ComparisonData!$KX$1),0),5)</f>
        <v>0</v>
      </c>
      <c r="KY36" s="46" cm="1">
        <f t="array" ref="KY36">ROUND(IFERROR(INDEX(ArchiveResults!$F$5:$IX$116,ComparisonData!A36,ComparisonData!$KY$1),0),5)</f>
        <v>0</v>
      </c>
      <c r="KZ36" s="46" cm="1">
        <f t="array" ref="KZ36">ROUND(IFERROR(INDEX(ArchiveResults!$F$5:$IX$116,ComparisonData!A36,ComparisonData!$KZ$1),0),5)</f>
        <v>0</v>
      </c>
      <c r="LA36" s="45" cm="1">
        <f t="array" ref="LA36">IFERROR(INDEX(ArchiveResults!$F$5:$IX$116,ComparisonData!A36,ComparisonData!$LA$1),0)</f>
        <v>0</v>
      </c>
      <c r="LB36" s="56">
        <v>31</v>
      </c>
      <c r="LC36" s="53" t="str">
        <f t="shared" si="46"/>
        <v>Hackney Archives</v>
      </c>
      <c r="LD36" s="59">
        <f t="shared" si="269"/>
        <v>0</v>
      </c>
      <c r="LE36" s="59">
        <f t="shared" si="270"/>
        <v>0</v>
      </c>
      <c r="LF36" s="59">
        <f t="shared" si="271"/>
        <v>0</v>
      </c>
      <c r="LG36" s="59">
        <f t="shared" si="272"/>
        <v>0</v>
      </c>
      <c r="LH36" s="59">
        <f t="shared" si="273"/>
        <v>0</v>
      </c>
      <c r="LI36" s="58">
        <f t="shared" si="274"/>
        <v>0</v>
      </c>
      <c r="LJ36" s="45">
        <f t="shared" si="275"/>
        <v>6</v>
      </c>
      <c r="LK36" s="45">
        <f t="shared" si="47"/>
        <v>2.4639999999999995</v>
      </c>
      <c r="LL36" s="45">
        <f t="shared" si="276"/>
        <v>1</v>
      </c>
      <c r="LM36" s="45">
        <f t="shared" si="277"/>
        <v>2</v>
      </c>
      <c r="LN36" s="45">
        <f t="shared" si="278"/>
        <v>0</v>
      </c>
      <c r="LO36" s="46" cm="1">
        <f t="array" ref="LO36">ROUND(IFERROR(INDEX(ArchiveResults!$F$5:$IX$116,ComparisonData!A36,ComparisonData!$LO$1),0),5)</f>
        <v>0</v>
      </c>
      <c r="LP36" s="46" cm="1">
        <f t="array" ref="LP36">ROUND(IFERROR(INDEX(ArchiveResults!$F$5:$IX$116,ComparisonData!A36,ComparisonData!$LP$1),0),5)</f>
        <v>0</v>
      </c>
      <c r="LQ36" s="46" cm="1">
        <f t="array" ref="LQ36">ROUND(IFERROR(INDEX(ArchiveResults!$F$5:$IX$116,ComparisonData!A36,ComparisonData!$LQ$1),0),5)</f>
        <v>0</v>
      </c>
      <c r="LR36" s="46" cm="1">
        <f t="array" ref="LR36">ROUND(IFERROR(INDEX(ArchiveResults!$F$5:$IX$116,ComparisonData!A36,ComparisonData!$LR$1),0),5)</f>
        <v>0</v>
      </c>
      <c r="LS36" s="45" cm="1">
        <f t="array" ref="LS36">IFERROR(INDEX(ArchiveResults!$F$5:$IX$116,ComparisonData!A36,ComparisonData!$LS$1),0)</f>
        <v>0</v>
      </c>
      <c r="LT36" s="56">
        <v>31</v>
      </c>
      <c r="LU36" s="53" t="str">
        <f t="shared" si="48"/>
        <v>Hackney Archives</v>
      </c>
      <c r="LV36" s="59">
        <f t="shared" si="279"/>
        <v>0</v>
      </c>
      <c r="LW36" s="59">
        <f t="shared" si="280"/>
        <v>0</v>
      </c>
      <c r="LX36" s="59">
        <f t="shared" si="281"/>
        <v>0</v>
      </c>
      <c r="LY36" s="59">
        <f t="shared" si="282"/>
        <v>0</v>
      </c>
      <c r="LZ36" s="59">
        <f t="shared" si="283"/>
        <v>0</v>
      </c>
      <c r="MA36" s="58">
        <f t="shared" si="284"/>
        <v>0</v>
      </c>
      <c r="MB36" s="45">
        <f t="shared" si="285"/>
        <v>6</v>
      </c>
      <c r="MC36" s="45">
        <f t="shared" si="49"/>
        <v>2.4639999999999995</v>
      </c>
      <c r="MD36" s="45">
        <f t="shared" si="286"/>
        <v>1</v>
      </c>
      <c r="ME36" s="45">
        <f t="shared" si="287"/>
        <v>2</v>
      </c>
      <c r="MF36" s="45">
        <f t="shared" si="288"/>
        <v>0</v>
      </c>
      <c r="MG36" s="46" cm="1">
        <f t="array" ref="MG36">ROUND(IFERROR(INDEX(ArchiveResults!$F$5:$IX$116,ComparisonData!A36,ComparisonData!$MG$1),0),5)</f>
        <v>0</v>
      </c>
      <c r="MH36" s="46" cm="1">
        <f t="array" ref="MH36">ROUND(IFERROR(INDEX(ArchiveResults!$F$5:$IX$116,ComparisonData!A36,ComparisonData!$MH$1),0),5)</f>
        <v>0</v>
      </c>
      <c r="MI36" s="46" cm="1">
        <f t="array" ref="MI36">ROUND(IFERROR(INDEX(ArchiveResults!$F$5:$IX$116,ComparisonData!A36,ComparisonData!$MI$1),0),5)</f>
        <v>0</v>
      </c>
      <c r="MJ36" s="46" cm="1">
        <f t="array" ref="MJ36">ROUND(IFERROR(INDEX(ArchiveResults!$F$5:$IX$116,ComparisonData!A36,ComparisonData!$MJ$1),0),5)</f>
        <v>0</v>
      </c>
      <c r="MK36" s="45" cm="1">
        <f t="array" ref="MK36">IFERROR(INDEX(ArchiveResults!$F$5:$IX$116,ComparisonData!A36,ComparisonData!$MK$1),0)</f>
        <v>0</v>
      </c>
      <c r="ML36" s="56">
        <v>31</v>
      </c>
      <c r="MM36" s="53" t="str">
        <f t="shared" si="50"/>
        <v>Hackney Archives</v>
      </c>
      <c r="MN36" s="59">
        <f t="shared" si="289"/>
        <v>0</v>
      </c>
      <c r="MO36" s="59">
        <f t="shared" si="290"/>
        <v>0</v>
      </c>
      <c r="MP36" s="59">
        <f t="shared" si="291"/>
        <v>0</v>
      </c>
      <c r="MQ36" s="59">
        <f t="shared" si="292"/>
        <v>0</v>
      </c>
      <c r="MR36" s="59">
        <f t="shared" si="293"/>
        <v>0</v>
      </c>
      <c r="MS36" s="58">
        <f t="shared" si="294"/>
        <v>0</v>
      </c>
      <c r="MT36" s="45">
        <f t="shared" si="295"/>
        <v>6</v>
      </c>
      <c r="MU36" s="45">
        <f t="shared" si="51"/>
        <v>2.4639999999999995</v>
      </c>
      <c r="MV36" s="45">
        <f t="shared" si="296"/>
        <v>1</v>
      </c>
      <c r="MW36" s="45">
        <f t="shared" si="297"/>
        <v>2</v>
      </c>
      <c r="MX36" s="45">
        <f t="shared" si="298"/>
        <v>0</v>
      </c>
      <c r="MY36" s="46" cm="1">
        <f t="array" ref="MY36">ROUND(IFERROR(INDEX(ArchiveResults!$F$5:$IX$116,ComparisonData!A36,ComparisonData!$MY$1),0),5)</f>
        <v>0</v>
      </c>
      <c r="MZ36" s="46" cm="1">
        <f t="array" ref="MZ36">ROUND(IFERROR(INDEX(ArchiveResults!$F$5:$IX$116,ComparisonData!A36,ComparisonData!$MZ$1),0),5)</f>
        <v>0</v>
      </c>
      <c r="NA36" s="46" cm="1">
        <f t="array" ref="NA36">ROUND(IFERROR(INDEX(ArchiveResults!$F$5:$IX$116,ComparisonData!A36,ComparisonData!$NA$1),0),5)</f>
        <v>0</v>
      </c>
      <c r="NB36" s="46" cm="1">
        <f t="array" ref="NB36">ROUND(IFERROR(INDEX(ArchiveResults!$F$5:$IX$116,ComparisonData!A36,ComparisonData!$NB$1),0),5)</f>
        <v>0</v>
      </c>
      <c r="NC36" s="45" cm="1">
        <f t="array" ref="NC36">IFERROR(INDEX(ArchiveResults!$F$5:$IX$116,ComparisonData!A36,ComparisonData!$NC$1),0)</f>
        <v>0</v>
      </c>
      <c r="ND36" s="56">
        <v>31</v>
      </c>
      <c r="NE36" s="53" t="str">
        <f t="shared" si="52"/>
        <v>Hackney Archives</v>
      </c>
      <c r="NF36" s="59">
        <f t="shared" si="299"/>
        <v>0</v>
      </c>
      <c r="NG36" s="59">
        <f t="shared" si="300"/>
        <v>0</v>
      </c>
      <c r="NH36" s="59">
        <f t="shared" si="301"/>
        <v>0</v>
      </c>
      <c r="NI36" s="59">
        <f t="shared" si="302"/>
        <v>0</v>
      </c>
      <c r="NJ36" s="59">
        <f t="shared" si="303"/>
        <v>0</v>
      </c>
      <c r="NK36" s="58">
        <f t="shared" si="304"/>
        <v>0</v>
      </c>
      <c r="NL36" s="45">
        <f t="shared" si="305"/>
        <v>6</v>
      </c>
      <c r="NM36" s="45">
        <f t="shared" si="53"/>
        <v>2.4639999999999995</v>
      </c>
      <c r="NN36" s="45">
        <f t="shared" si="306"/>
        <v>1</v>
      </c>
      <c r="NO36" s="45">
        <f t="shared" si="307"/>
        <v>2</v>
      </c>
      <c r="NP36" s="46" cm="1">
        <f t="array" ref="NP36">ROUND(IFERROR(INDEX(ArchiveResults!$F$5:$IX$116,ComparisonData!A36,ComparisonData!$NP$1),0),5)</f>
        <v>0</v>
      </c>
      <c r="NQ36" s="46" cm="1">
        <f t="array" ref="NQ36">ROUND(IFERROR(INDEX(ArchiveResults!$F$5:$IX$116,ComparisonData!A36,ComparisonData!$NQ$1),0),5)</f>
        <v>0</v>
      </c>
      <c r="NR36" s="46" cm="1">
        <f t="array" ref="NR36">ROUND(IFERROR(INDEX(ArchiveResults!$F$5:$IX$116,ComparisonData!A36,ComparisonData!$NR$1),0),5)</f>
        <v>0</v>
      </c>
      <c r="NS36" s="46" cm="1">
        <f t="array" ref="NS36">ROUND(IFERROR(INDEX(ArchiveResults!$F$5:$IX$116,ComparisonData!A36,ComparisonData!$NS$1),0),5)</f>
        <v>0</v>
      </c>
      <c r="NT36" s="45" cm="1">
        <f t="array" ref="NT36">IFERROR(INDEX(ArchiveResults!$F$5:$IX$116,ComparisonData!A36,ComparisonData!$NT$1),0)</f>
        <v>0</v>
      </c>
      <c r="NU36" s="56">
        <v>31</v>
      </c>
      <c r="NV36" s="53" t="str">
        <f t="shared" si="54"/>
        <v>Hackney Archives</v>
      </c>
      <c r="NW36" s="59">
        <f t="shared" si="308"/>
        <v>0</v>
      </c>
      <c r="NX36" s="59">
        <f t="shared" si="309"/>
        <v>0</v>
      </c>
      <c r="NY36" s="59">
        <f t="shared" si="310"/>
        <v>0</v>
      </c>
      <c r="NZ36" s="59">
        <f t="shared" si="311"/>
        <v>0</v>
      </c>
      <c r="OA36" s="59">
        <f t="shared" si="312"/>
        <v>0</v>
      </c>
      <c r="OB36" s="58">
        <f t="shared" si="313"/>
        <v>0</v>
      </c>
      <c r="OC36" s="45">
        <f t="shared" si="314"/>
        <v>6</v>
      </c>
      <c r="OD36" s="45">
        <f t="shared" si="55"/>
        <v>2.4639999999999995</v>
      </c>
      <c r="OE36" s="45">
        <f t="shared" si="315"/>
        <v>1</v>
      </c>
      <c r="OF36" s="45">
        <f t="shared" si="316"/>
        <v>2</v>
      </c>
      <c r="OG36" s="46">
        <f t="shared" si="317"/>
        <v>0</v>
      </c>
      <c r="OH36" s="46" cm="1">
        <f t="array" ref="OH36">ROUND(IFERROR(INDEX(ArchiveResults!$F$5:$IX$116,ComparisonData!A36,ComparisonData!$OH$1),0),5)</f>
        <v>0</v>
      </c>
      <c r="OI36" s="46" cm="1">
        <f t="array" ref="OI36">ROUND(IFERROR(INDEX(ArchiveResults!$F$5:$IX$116,ComparisonData!A36,ComparisonData!$OI$1),0),5)</f>
        <v>0</v>
      </c>
      <c r="OJ36" s="46" cm="1">
        <f t="array" ref="OJ36">ROUND(IFERROR(INDEX(ArchiveResults!$F$5:$IX$116,ComparisonData!A36,ComparisonData!$OJ$1),0),5)</f>
        <v>0</v>
      </c>
      <c r="OK36" s="46" cm="1">
        <f t="array" ref="OK36">ROUND(IFERROR(INDEX(ArchiveResults!$F$5:$IX$116,ComparisonData!A36,ComparisonData!$OK$1),0),5)</f>
        <v>0</v>
      </c>
      <c r="OL36" s="45" cm="1">
        <f t="array" ref="OL36">IFERROR(INDEX(ArchiveResults!$F$5:$IX$116,ComparisonData!A36,ComparisonData!$OL$1),0)</f>
        <v>0</v>
      </c>
      <c r="OM36" s="56">
        <v>31</v>
      </c>
      <c r="ON36" s="53" t="str">
        <f t="shared" si="56"/>
        <v>Hackney Archives</v>
      </c>
      <c r="OO36" s="59">
        <f t="shared" si="318"/>
        <v>0</v>
      </c>
      <c r="OP36" s="59">
        <f t="shared" si="319"/>
        <v>0</v>
      </c>
      <c r="OQ36" s="59">
        <f t="shared" si="320"/>
        <v>0</v>
      </c>
      <c r="OR36" s="59">
        <f t="shared" si="321"/>
        <v>0</v>
      </c>
      <c r="OS36" s="59">
        <f t="shared" si="322"/>
        <v>0</v>
      </c>
      <c r="OT36" s="58">
        <f t="shared" si="323"/>
        <v>0</v>
      </c>
      <c r="OU36" s="45">
        <f t="shared" si="324"/>
        <v>6</v>
      </c>
      <c r="OV36" s="45">
        <f t="shared" si="57"/>
        <v>2.4639999999999995</v>
      </c>
      <c r="OW36" s="45">
        <f t="shared" si="325"/>
        <v>1</v>
      </c>
      <c r="OX36" s="45">
        <f t="shared" si="326"/>
        <v>2</v>
      </c>
      <c r="OY36" s="45">
        <f t="shared" si="327"/>
        <v>0</v>
      </c>
      <c r="OZ36" s="46" cm="1">
        <f t="array" ref="OZ36">ROUND(IFERROR(INDEX(ArchiveResults!$F$5:$IX$116,ComparisonData!A36,ComparisonData!$OZ$1),0),5)</f>
        <v>0</v>
      </c>
      <c r="PA36" s="46" cm="1">
        <f t="array" ref="PA36">ROUND(IFERROR(INDEX(ArchiveResults!$F$5:$IX$116,ComparisonData!A36,ComparisonData!$PA$1),0),5)</f>
        <v>0</v>
      </c>
      <c r="PB36" s="46" cm="1">
        <f t="array" ref="PB36">ROUND(IFERROR(INDEX(ArchiveResults!$F$5:$IX$116,ComparisonData!A36,ComparisonData!$PB$1),0),5)</f>
        <v>0</v>
      </c>
      <c r="PC36" s="46" cm="1">
        <f t="array" ref="PC36">ROUND(IFERROR(INDEX(ArchiveResults!$F$5:$IX$116,ComparisonData!A36,ComparisonData!$PC$1),0),5)</f>
        <v>0</v>
      </c>
      <c r="PD36" s="45" cm="1">
        <f t="array" ref="PD36">IFERROR(INDEX(ArchiveResults!$F$5:$IX$116,ComparisonData!A36,ComparisonData!$PD$1),0)</f>
        <v>0</v>
      </c>
      <c r="PE36" s="56">
        <v>31</v>
      </c>
      <c r="PF36" s="53" t="str">
        <f t="shared" si="58"/>
        <v>Hackney Archives</v>
      </c>
      <c r="PG36" s="59">
        <f t="shared" si="328"/>
        <v>0</v>
      </c>
      <c r="PH36" s="59">
        <f t="shared" si="329"/>
        <v>0</v>
      </c>
      <c r="PI36" s="59">
        <f t="shared" si="330"/>
        <v>0</v>
      </c>
      <c r="PJ36" s="59">
        <f t="shared" si="331"/>
        <v>0</v>
      </c>
      <c r="PK36" s="59">
        <f t="shared" si="332"/>
        <v>0</v>
      </c>
      <c r="PL36" s="58">
        <f t="shared" si="333"/>
        <v>0</v>
      </c>
      <c r="PM36" s="45">
        <f t="shared" si="334"/>
        <v>6</v>
      </c>
      <c r="PN36" s="45">
        <f t="shared" si="59"/>
        <v>2.4639999999999995</v>
      </c>
      <c r="PO36" s="45">
        <f t="shared" si="335"/>
        <v>1</v>
      </c>
      <c r="PP36" s="45">
        <f t="shared" si="336"/>
        <v>2</v>
      </c>
      <c r="PQ36" s="45">
        <f t="shared" si="337"/>
        <v>0</v>
      </c>
      <c r="PR36" s="46" cm="1">
        <f t="array" ref="PR36">ROUND(IFERROR(INDEX(ArchiveResults!$F$5:$IX$116,ComparisonData!A36,ComparisonData!$PR$1),0),5)</f>
        <v>0</v>
      </c>
      <c r="PS36" s="46" cm="1">
        <f t="array" ref="PS36">ROUND(IFERROR(INDEX(ArchiveResults!$F$5:$IX$116,ComparisonData!A36,ComparisonData!$PS$1),0),5)</f>
        <v>0</v>
      </c>
      <c r="PT36" s="46" cm="1">
        <f t="array" ref="PT36">ROUND(IFERROR(INDEX(ArchiveResults!$F$5:$IX$116,ComparisonData!A36,ComparisonData!$PT$1),0),5)</f>
        <v>0</v>
      </c>
      <c r="PU36" s="46" cm="1">
        <f t="array" ref="PU36">ROUND(IFERROR(INDEX(ArchiveResults!$F$5:$IX$116,ComparisonData!A36,ComparisonData!$PU$1),0),5)</f>
        <v>0</v>
      </c>
      <c r="PV36" s="45" cm="1">
        <f t="array" ref="PV36">IFERROR(INDEX(ArchiveResults!$F$5:$IX$116,ComparisonData!A36,ComparisonData!$PV$1),0)</f>
        <v>0</v>
      </c>
      <c r="PW36" s="56">
        <v>31</v>
      </c>
      <c r="PX36" s="53" t="str">
        <f t="shared" si="60"/>
        <v>Hackney Archives</v>
      </c>
      <c r="PY36" s="59">
        <f t="shared" si="338"/>
        <v>0</v>
      </c>
      <c r="PZ36" s="59">
        <f t="shared" si="339"/>
        <v>0</v>
      </c>
      <c r="QA36" s="59">
        <f t="shared" si="340"/>
        <v>0</v>
      </c>
      <c r="QB36" s="59">
        <f t="shared" si="341"/>
        <v>0</v>
      </c>
      <c r="QC36" s="59">
        <f t="shared" si="342"/>
        <v>0</v>
      </c>
      <c r="QD36" s="58">
        <f t="shared" si="343"/>
        <v>0</v>
      </c>
      <c r="QE36" s="45">
        <f t="shared" si="344"/>
        <v>6</v>
      </c>
      <c r="QF36" s="45">
        <f t="shared" si="61"/>
        <v>2.4639999999999995</v>
      </c>
      <c r="QG36" s="45">
        <f t="shared" si="345"/>
        <v>1</v>
      </c>
      <c r="QH36" s="45">
        <f t="shared" si="346"/>
        <v>2</v>
      </c>
      <c r="QI36" s="45">
        <f t="shared" si="347"/>
        <v>0</v>
      </c>
      <c r="QJ36" s="46" cm="1">
        <f t="array" ref="QJ36">ROUND(IFERROR(INDEX(ArchiveResults!$F$5:$IX$116,ComparisonData!A36,ComparisonData!$QJ$1),0),5)</f>
        <v>0</v>
      </c>
      <c r="QK36" s="46" cm="1">
        <f t="array" ref="QK36">ROUND(IFERROR(INDEX(ArchiveResults!$F$5:$IX$116,ComparisonData!A36,ComparisonData!$QK$1),0),5)</f>
        <v>0</v>
      </c>
      <c r="QL36" s="46" cm="1">
        <f t="array" ref="QL36">ROUND(IFERROR(INDEX(ArchiveResults!$F$5:$IX$116,ComparisonData!A36,ComparisonData!$QL$1),0),5)</f>
        <v>0</v>
      </c>
      <c r="QM36" s="46" cm="1">
        <f t="array" ref="QM36">ROUND(IFERROR(INDEX(ArchiveResults!$F$5:$IX$116,ComparisonData!A36,ComparisonData!$QM$1),0),5)</f>
        <v>0</v>
      </c>
      <c r="QN36" s="45" cm="1">
        <f t="array" ref="QN36">IFERROR(INDEX(ArchiveResults!$F$5:$IX$116,ComparisonData!A36,ComparisonData!$QN$1),0)</f>
        <v>0</v>
      </c>
      <c r="QO36" s="56">
        <v>31</v>
      </c>
      <c r="QP36" s="53" t="str">
        <f t="shared" si="62"/>
        <v>Hackney Archives</v>
      </c>
      <c r="QQ36" s="59">
        <f t="shared" si="348"/>
        <v>0</v>
      </c>
      <c r="QR36" s="59">
        <f t="shared" si="349"/>
        <v>0</v>
      </c>
      <c r="QS36" s="59">
        <f t="shared" si="350"/>
        <v>0</v>
      </c>
      <c r="QT36" s="59">
        <f t="shared" si="351"/>
        <v>0</v>
      </c>
      <c r="QU36" s="59">
        <f t="shared" si="352"/>
        <v>0</v>
      </c>
      <c r="QV36" s="58">
        <f t="shared" si="353"/>
        <v>0</v>
      </c>
      <c r="QW36" s="45">
        <f t="shared" si="354"/>
        <v>6</v>
      </c>
      <c r="QX36" s="45">
        <f t="shared" si="63"/>
        <v>2.4639999999999995</v>
      </c>
      <c r="QY36" s="45">
        <f t="shared" si="355"/>
        <v>1</v>
      </c>
      <c r="QZ36" s="45">
        <f t="shared" si="356"/>
        <v>2</v>
      </c>
      <c r="RA36" s="45">
        <f t="shared" si="357"/>
        <v>0</v>
      </c>
      <c r="RB36" s="46" cm="1">
        <f t="array" ref="RB36">ROUND(IFERROR(INDEX(ArchiveResults!$F$5:$IX$116,ComparisonData!A36,ComparisonData!$RB$1),0),5)</f>
        <v>0</v>
      </c>
      <c r="RC36" s="46" cm="1">
        <f t="array" ref="RC36">ROUND(IFERROR(INDEX(ArchiveResults!$F$5:$IX$116,ComparisonData!A36,ComparisonData!$RC$1),0),5)</f>
        <v>0</v>
      </c>
      <c r="RD36" s="46" cm="1">
        <f t="array" ref="RD36">ROUND(IFERROR(INDEX(ArchiveResults!$F$5:$IX$116,ComparisonData!A36,ComparisonData!$RD$1),0),5)</f>
        <v>0</v>
      </c>
      <c r="RE36" s="46" cm="1">
        <f t="array" ref="RE36">ROUND(IFERROR(INDEX(ArchiveResults!$F$5:$IX$116,ComparisonData!A36,ComparisonData!$RE$1),0),5)</f>
        <v>0</v>
      </c>
      <c r="RF36" s="45" cm="1">
        <f t="array" ref="RF36">IFERROR(INDEX(ArchiveResults!$F$5:$IX$116,ComparisonData!A36,ComparisonData!$RF$1),0)</f>
        <v>0</v>
      </c>
      <c r="RG36" s="56">
        <v>31</v>
      </c>
      <c r="RH36" s="53" t="str">
        <f t="shared" si="64"/>
        <v>Hackney Archives</v>
      </c>
      <c r="RI36" s="59">
        <f t="shared" si="358"/>
        <v>0</v>
      </c>
      <c r="RJ36" s="59">
        <f t="shared" si="359"/>
        <v>0</v>
      </c>
      <c r="RK36" s="59">
        <f t="shared" si="360"/>
        <v>0</v>
      </c>
      <c r="RL36" s="59">
        <f t="shared" si="361"/>
        <v>0</v>
      </c>
      <c r="RM36" s="59">
        <f t="shared" si="362"/>
        <v>0</v>
      </c>
      <c r="RN36" s="58">
        <f t="shared" si="363"/>
        <v>0</v>
      </c>
      <c r="RO36" s="45">
        <f t="shared" si="364"/>
        <v>6</v>
      </c>
      <c r="RP36" s="45">
        <f t="shared" si="65"/>
        <v>2.4639999999999995</v>
      </c>
      <c r="RQ36" s="45">
        <f t="shared" si="365"/>
        <v>1</v>
      </c>
      <c r="RR36" s="45">
        <f t="shared" si="366"/>
        <v>2</v>
      </c>
      <c r="RS36" s="45">
        <f t="shared" si="367"/>
        <v>0</v>
      </c>
      <c r="RT36" s="46" cm="1">
        <f t="array" ref="RT36">ROUND(IFERROR(INDEX(ArchiveResults!$F$5:$IX$116,ComparisonData!A36,ComparisonData!$RT$1),0),5)</f>
        <v>0</v>
      </c>
      <c r="RU36" s="46" cm="1">
        <f t="array" ref="RU36">ROUND(IFERROR(INDEX(ArchiveResults!$F$5:$IX$116,ComparisonData!A36,ComparisonData!$RU$1),0),5)</f>
        <v>0</v>
      </c>
      <c r="RV36" s="46" cm="1">
        <f t="array" ref="RV36">ROUND(IFERROR(INDEX(ArchiveResults!$F$5:$IX$116,ComparisonData!A36,ComparisonData!$RV$1),0),5)</f>
        <v>0</v>
      </c>
      <c r="RW36" s="46" cm="1">
        <f t="array" ref="RW36">ROUND(IFERROR(INDEX(ArchiveResults!$F$5:$IX$116,ComparisonData!A36,ComparisonData!$RW$1),0),5)</f>
        <v>0</v>
      </c>
      <c r="RX36" s="45" cm="1">
        <f t="array" ref="RX36">IFERROR(INDEX(ArchiveResults!$F$5:$IX$116,ComparisonData!A36,ComparisonData!$RX$1),0)</f>
        <v>0</v>
      </c>
      <c r="RY36" s="56">
        <v>31</v>
      </c>
      <c r="RZ36" s="53" t="str">
        <f t="shared" si="66"/>
        <v>Hackney Archives</v>
      </c>
      <c r="SA36" s="59">
        <f t="shared" si="368"/>
        <v>0</v>
      </c>
      <c r="SB36" s="59">
        <f t="shared" si="369"/>
        <v>0</v>
      </c>
      <c r="SC36" s="59">
        <f t="shared" si="370"/>
        <v>0</v>
      </c>
      <c r="SD36" s="59">
        <f t="shared" si="371"/>
        <v>0</v>
      </c>
      <c r="SE36" s="59">
        <f t="shared" si="372"/>
        <v>0</v>
      </c>
      <c r="SF36" s="58">
        <f t="shared" si="373"/>
        <v>0</v>
      </c>
      <c r="SG36" s="45">
        <f t="shared" si="374"/>
        <v>6</v>
      </c>
      <c r="SH36" s="45">
        <f t="shared" si="67"/>
        <v>2.4639999999999995</v>
      </c>
      <c r="SI36" s="45">
        <f t="shared" si="375"/>
        <v>1</v>
      </c>
      <c r="SJ36" s="45">
        <f t="shared" si="376"/>
        <v>2</v>
      </c>
      <c r="SK36" s="45">
        <f t="shared" si="377"/>
        <v>0</v>
      </c>
      <c r="SL36" s="46" cm="1">
        <f t="array" ref="SL36">ROUND(IFERROR(INDEX(ArchiveResults!$F$5:$IX$116,ComparisonData!A36,ComparisonData!$SL$1),0),5)</f>
        <v>0</v>
      </c>
      <c r="SM36" s="46" cm="1">
        <f t="array" ref="SM36">ROUND(IFERROR(INDEX(ArchiveResults!$F$5:$IX$116,ComparisonData!A36,ComparisonData!$SM$1),0),5)</f>
        <v>0</v>
      </c>
      <c r="SN36" s="46" cm="1">
        <f t="array" ref="SN36">ROUND(IFERROR(INDEX(ArchiveResults!$F$5:$IX$116,ComparisonData!A36,ComparisonData!$SN$1),0),5)</f>
        <v>0</v>
      </c>
      <c r="SO36" s="46" cm="1">
        <f t="array" ref="SO36">ROUND(IFERROR(INDEX(ArchiveResults!$F$5:$IX$116,ComparisonData!A36,ComparisonData!$SO$1),0),5)</f>
        <v>0</v>
      </c>
      <c r="SP36" s="45" cm="1">
        <f t="array" ref="SP36">IFERROR(INDEX(ArchiveResults!$F$5:$IX$116,ComparisonData!A36,ComparisonData!$SP$1),0)</f>
        <v>0</v>
      </c>
      <c r="SQ36" s="56">
        <v>31</v>
      </c>
      <c r="SR36" s="53" t="str">
        <f t="shared" si="68"/>
        <v>Hackney Archives</v>
      </c>
      <c r="SS36" s="59">
        <f t="shared" si="378"/>
        <v>0</v>
      </c>
      <c r="ST36" s="59">
        <f t="shared" si="379"/>
        <v>0</v>
      </c>
      <c r="SU36" s="59">
        <f t="shared" si="380"/>
        <v>0</v>
      </c>
      <c r="SV36" s="59">
        <f t="shared" si="381"/>
        <v>0</v>
      </c>
      <c r="SW36" s="59">
        <f t="shared" si="382"/>
        <v>0</v>
      </c>
      <c r="SX36" s="58">
        <f t="shared" si="383"/>
        <v>0</v>
      </c>
      <c r="SY36" s="45">
        <f t="shared" si="384"/>
        <v>6</v>
      </c>
      <c r="SZ36" s="45">
        <f t="shared" si="69"/>
        <v>2.4639999999999995</v>
      </c>
      <c r="TA36" s="45">
        <f t="shared" si="385"/>
        <v>1</v>
      </c>
      <c r="TB36" s="45">
        <f t="shared" si="386"/>
        <v>2</v>
      </c>
      <c r="TC36" s="45">
        <f t="shared" si="387"/>
        <v>0</v>
      </c>
      <c r="TD36" s="46" cm="1">
        <f t="array" ref="TD36">ROUND(IFERROR(INDEX(ArchiveResults!$F$5:$IX$116,ComparisonData!A36,ComparisonData!$TD$1),0),5)</f>
        <v>0</v>
      </c>
      <c r="TE36" s="46" cm="1">
        <f t="array" ref="TE36">ROUND(IFERROR(INDEX(ArchiveResults!$F$5:$IX$116,ComparisonData!A36,ComparisonData!$TE$1),0),5)</f>
        <v>0</v>
      </c>
      <c r="TF36" s="46" cm="1">
        <f t="array" ref="TF36">ROUND(IFERROR(INDEX(ArchiveResults!$F$5:$IX$116,ComparisonData!A36,ComparisonData!$TF$1),0),5)</f>
        <v>0</v>
      </c>
      <c r="TG36" s="46" cm="1">
        <f t="array" ref="TG36">ROUND(IFERROR(INDEX(ArchiveResults!$F$5:$IX$116,ComparisonData!A36,ComparisonData!$TG$1),0),5)</f>
        <v>0</v>
      </c>
      <c r="TH36" s="45" cm="1">
        <f t="array" ref="TH36">IFERROR(INDEX(ArchiveResults!$F$5:$IX$116,ComparisonData!A36,ComparisonData!$TH$1),0)</f>
        <v>0</v>
      </c>
      <c r="TI36" s="56">
        <v>31</v>
      </c>
      <c r="TJ36" s="53" t="str">
        <f t="shared" si="70"/>
        <v>Hackney Archives</v>
      </c>
      <c r="TK36" s="59">
        <f t="shared" si="388"/>
        <v>0</v>
      </c>
      <c r="TL36" s="59">
        <f t="shared" si="389"/>
        <v>0</v>
      </c>
      <c r="TM36" s="59">
        <f t="shared" si="390"/>
        <v>0</v>
      </c>
      <c r="TN36" s="59">
        <f t="shared" si="391"/>
        <v>0</v>
      </c>
      <c r="TO36" s="59">
        <f t="shared" si="392"/>
        <v>0</v>
      </c>
      <c r="TP36" s="58">
        <f t="shared" si="393"/>
        <v>0</v>
      </c>
      <c r="TQ36" s="45">
        <f t="shared" si="394"/>
        <v>6</v>
      </c>
      <c r="TR36" s="45">
        <f t="shared" si="71"/>
        <v>2.4639999999999995</v>
      </c>
      <c r="TS36" s="45">
        <f t="shared" si="395"/>
        <v>1</v>
      </c>
      <c r="TT36" s="45">
        <f t="shared" si="396"/>
        <v>2</v>
      </c>
      <c r="TU36" s="45">
        <f t="shared" si="397"/>
        <v>0</v>
      </c>
      <c r="TV36" s="46" cm="1">
        <f t="array" ref="TV36">ROUND(IFERROR(INDEX(ArchiveResults!$F$5:$IX$116,ComparisonData!A36,ComparisonData!$TV$1),0),5)</f>
        <v>0</v>
      </c>
      <c r="TW36" s="46" cm="1">
        <f t="array" ref="TW36">ROUND(IFERROR(INDEX(ArchiveResults!$F$5:$IX$116,ComparisonData!A36,ComparisonData!$TW$1),0),5)</f>
        <v>0</v>
      </c>
      <c r="TX36" s="46" cm="1">
        <f t="array" ref="TX36">ROUND(IFERROR(INDEX(ArchiveResults!$F$5:$IX$116,ComparisonData!A36,ComparisonData!$TX$1),0),5)</f>
        <v>0</v>
      </c>
      <c r="TY36" s="46" cm="1">
        <f t="array" ref="TY36">ROUND(IFERROR(INDEX(ArchiveResults!$F$5:$IX$116,ComparisonData!A36,ComparisonData!$TY$1),0),5)</f>
        <v>0</v>
      </c>
      <c r="TZ36" s="45" cm="1">
        <f t="array" ref="TZ36">IFERROR(INDEX(ArchiveResults!$F$5:$IX$116,ComparisonData!A36,ComparisonData!$TZ$1),0)</f>
        <v>0</v>
      </c>
      <c r="UA36" s="56">
        <v>31</v>
      </c>
      <c r="UB36" s="53" t="str">
        <f t="shared" si="72"/>
        <v>Hackney Archives</v>
      </c>
      <c r="UC36" s="60">
        <f t="shared" si="398"/>
        <v>0</v>
      </c>
      <c r="UD36" s="60">
        <f t="shared" si="399"/>
        <v>0</v>
      </c>
      <c r="UE36" s="60">
        <f t="shared" si="400"/>
        <v>0</v>
      </c>
      <c r="UF36" s="60">
        <f t="shared" si="401"/>
        <v>0</v>
      </c>
      <c r="UG36" s="60">
        <f t="shared" si="402"/>
        <v>0</v>
      </c>
      <c r="UH36" s="58">
        <f t="shared" si="403"/>
        <v>0</v>
      </c>
      <c r="UI36" s="46">
        <f t="shared" si="404"/>
        <v>6</v>
      </c>
      <c r="UJ36" s="46">
        <f t="shared" si="73"/>
        <v>2.4639999999999995</v>
      </c>
      <c r="UK36" s="46">
        <f t="shared" si="405"/>
        <v>1</v>
      </c>
      <c r="UL36" s="46">
        <f t="shared" si="406"/>
        <v>2</v>
      </c>
      <c r="UM36" s="46" cm="1">
        <f t="array" ref="UM36">ROUND(IFERROR(INDEX(ArchiveResults!$F$5:$IX$116,ComparisonData!A36,ComparisonData!$UM$1),0),5)</f>
        <v>0</v>
      </c>
      <c r="UN36" s="56">
        <v>31</v>
      </c>
      <c r="UO36" s="53" t="str">
        <f t="shared" si="74"/>
        <v>Hackney Archives</v>
      </c>
      <c r="UP36" s="46">
        <f t="shared" si="407"/>
        <v>0</v>
      </c>
      <c r="UQ36" s="76">
        <f t="shared" si="408"/>
        <v>0</v>
      </c>
      <c r="UR36" s="46">
        <f t="shared" si="409"/>
        <v>6</v>
      </c>
      <c r="US36" s="46">
        <f t="shared" si="75"/>
        <v>2.4639999999999995</v>
      </c>
      <c r="UT36" s="46">
        <f t="shared" si="410"/>
        <v>1</v>
      </c>
      <c r="UU36" s="46">
        <f t="shared" si="411"/>
        <v>2</v>
      </c>
      <c r="UV36" s="46">
        <f t="shared" si="412"/>
        <v>0</v>
      </c>
      <c r="UW36" s="46" cm="1">
        <f t="array" ref="UW36">ROUND(IFERROR(INDEX(ArchiveResults!$F$5:$IX$116,ComparisonData!A36,ComparisonData!$UW$1),0),5)</f>
        <v>0</v>
      </c>
      <c r="UX36" s="46" cm="1">
        <f t="array" ref="UX36">ROUND(IFERROR(INDEX(ArchiveResults!$F$5:$IX$116,ComparisonData!A36,ComparisonData!$UX$1),0),5)</f>
        <v>0</v>
      </c>
      <c r="UY36" s="46" cm="1">
        <f t="array" ref="UY36">ROUND(IFERROR(INDEX(ArchiveResults!$F$5:$IX$116,ComparisonData!A36,ComparisonData!$UY$1),0),5)</f>
        <v>0</v>
      </c>
      <c r="UZ36" s="46" cm="1">
        <f t="array" ref="UZ36">ROUND(IFERROR(INDEX(ArchiveResults!$F$5:$IX$116,ComparisonData!A36,ComparisonData!$UZ$1),0),5)</f>
        <v>0</v>
      </c>
      <c r="VA36" s="46" cm="1">
        <f t="array" ref="VA36">ROUND(IFERROR(INDEX(ArchiveResults!$F$5:$IX$116,ComparisonData!A36,ComparisonData!$VA$1),0),5)</f>
        <v>0</v>
      </c>
      <c r="VB36" s="56">
        <v>31</v>
      </c>
      <c r="VC36" s="53" t="str">
        <f t="shared" si="76"/>
        <v>Hackney Archives</v>
      </c>
      <c r="VD36" s="60">
        <f t="shared" si="413"/>
        <v>0</v>
      </c>
      <c r="VE36" s="60">
        <f t="shared" si="414"/>
        <v>0</v>
      </c>
      <c r="VF36" s="60">
        <f t="shared" si="415"/>
        <v>0</v>
      </c>
      <c r="VG36" s="60">
        <f t="shared" si="416"/>
        <v>0</v>
      </c>
      <c r="VH36" s="60">
        <f t="shared" si="417"/>
        <v>0</v>
      </c>
      <c r="VI36" s="76">
        <f t="shared" si="418"/>
        <v>0</v>
      </c>
      <c r="VJ36" s="46">
        <f t="shared" si="419"/>
        <v>6</v>
      </c>
      <c r="VK36" s="46">
        <f t="shared" si="77"/>
        <v>2.4639999999999995</v>
      </c>
      <c r="VL36" s="46">
        <f t="shared" si="420"/>
        <v>1</v>
      </c>
      <c r="VM36" s="46">
        <f t="shared" si="421"/>
        <v>2</v>
      </c>
      <c r="VN36" s="46" cm="1">
        <f t="array" ref="VN36">ROUND(IFERROR(INDEX(ArchiveResults!$F$5:$IX$116,ComparisonData!A36,ComparisonData!$VN$1),0),5)</f>
        <v>0</v>
      </c>
      <c r="VO36" s="46" cm="1">
        <f t="array" ref="VO36">ROUND(IFERROR(INDEX(ArchiveResults!$F$5:$IX$116,ComparisonData!A36,ComparisonData!$VO$1),0),5)</f>
        <v>0</v>
      </c>
      <c r="VP36" s="46" cm="1">
        <f t="array" ref="VP36">ROUND(IFERROR(INDEX(ArchiveResults!$F$5:$IX$116,ComparisonData!A36,ComparisonData!$VP$1),0),5)</f>
        <v>0</v>
      </c>
      <c r="VQ36" s="46" cm="1">
        <f t="array" ref="VQ36">ROUND(IFERROR(INDEX(ArchiveResults!$F$5:$IX$116,ComparisonData!A36,ComparisonData!$VQ$1),0),5)</f>
        <v>0</v>
      </c>
      <c r="VR36" s="56">
        <v>31</v>
      </c>
      <c r="VS36" s="53" t="str">
        <f t="shared" si="78"/>
        <v>Hackney Archives</v>
      </c>
      <c r="VT36" s="60">
        <f t="shared" si="422"/>
        <v>0</v>
      </c>
      <c r="VU36" s="60">
        <f t="shared" si="423"/>
        <v>0</v>
      </c>
      <c r="VV36" s="60">
        <f t="shared" si="424"/>
        <v>0</v>
      </c>
      <c r="VW36" s="60">
        <f t="shared" si="425"/>
        <v>0</v>
      </c>
      <c r="VX36" s="76">
        <f t="shared" si="426"/>
        <v>0</v>
      </c>
      <c r="VY36" s="46">
        <f t="shared" si="427"/>
        <v>6</v>
      </c>
      <c r="VZ36" s="46">
        <f t="shared" si="79"/>
        <v>2.4639999999999995</v>
      </c>
      <c r="WA36" s="46">
        <f t="shared" si="428"/>
        <v>1</v>
      </c>
      <c r="WB36" s="46">
        <f t="shared" si="429"/>
        <v>2</v>
      </c>
      <c r="WC36" s="46" cm="1">
        <f t="array" ref="WC36">ROUND(IFERROR(INDEX(ArchiveResults!$F$5:$IX$116,ComparisonData!A36,ComparisonData!$WC$1),0),5)</f>
        <v>0</v>
      </c>
      <c r="WD36" s="56">
        <v>31</v>
      </c>
      <c r="WE36" s="53" t="str">
        <f t="shared" si="80"/>
        <v>Hackney Archives</v>
      </c>
      <c r="WF36" s="46">
        <f t="shared" si="430"/>
        <v>0</v>
      </c>
      <c r="WG36" s="76">
        <f t="shared" si="431"/>
        <v>0</v>
      </c>
      <c r="WH36" s="46">
        <f t="shared" si="432"/>
        <v>6</v>
      </c>
      <c r="WI36" s="46">
        <f t="shared" si="81"/>
        <v>2.4639999999999995</v>
      </c>
      <c r="WJ36" s="46">
        <f t="shared" si="433"/>
        <v>1</v>
      </c>
      <c r="WK36" s="46">
        <f t="shared" si="434"/>
        <v>2</v>
      </c>
      <c r="WL36" s="46" cm="1">
        <f t="array" ref="WL36">ROUND(IFERROR(INDEX(ArchiveResults!$F$5:$IX$116,ComparisonData!A36,ComparisonData!$WL$1),0),5)</f>
        <v>0</v>
      </c>
      <c r="WM36" s="46" cm="1">
        <f t="array" ref="WM36">IFERROR(INDEX(ArchiveResults!$F$5:$IX$116,ComparisonData!A36,ComparisonData!$WM$1),0)</f>
        <v>0</v>
      </c>
      <c r="WN36" s="56">
        <v>31</v>
      </c>
      <c r="WO36" s="53" t="str">
        <f t="shared" si="82"/>
        <v>Hackney Archives</v>
      </c>
      <c r="WP36" s="60">
        <f t="shared" si="435"/>
        <v>0</v>
      </c>
      <c r="WQ36" s="60">
        <f t="shared" si="436"/>
        <v>0</v>
      </c>
      <c r="WR36" s="76">
        <f t="shared" si="437"/>
        <v>0</v>
      </c>
      <c r="WS36" s="46">
        <f t="shared" si="438"/>
        <v>6</v>
      </c>
      <c r="WT36" s="46">
        <f t="shared" si="83"/>
        <v>2.4639999999999995</v>
      </c>
      <c r="WU36" s="46">
        <f t="shared" si="439"/>
        <v>1</v>
      </c>
      <c r="WV36" s="46">
        <f t="shared" si="440"/>
        <v>2</v>
      </c>
      <c r="WW36" s="46" cm="1">
        <f t="array" ref="WW36">ROUND(VALUE(IFERROR(INDEX(ArchiveResults!$F$5:$IX$116,ComparisonData!A36,ComparisonData!$WW$1),0)),5)</f>
        <v>0</v>
      </c>
      <c r="WX36" s="46" cm="1">
        <f t="array" ref="WX36">ROUND(IFERROR(INDEX(ArchiveResults!$F$5:$IX$116,ComparisonData!A36,ComparisonData!$WX$1),0),5)</f>
        <v>0</v>
      </c>
      <c r="WY36" s="56">
        <v>31</v>
      </c>
      <c r="WZ36" s="53" t="str">
        <f t="shared" si="84"/>
        <v>Hackney Archives</v>
      </c>
      <c r="XA36" s="60">
        <f t="shared" si="85"/>
        <v>0</v>
      </c>
      <c r="XB36" s="60">
        <f t="shared" si="86"/>
        <v>0</v>
      </c>
      <c r="XC36" s="76">
        <f t="shared" si="441"/>
        <v>0</v>
      </c>
      <c r="XD36" s="46">
        <f t="shared" si="442"/>
        <v>6</v>
      </c>
      <c r="XE36" s="46">
        <f t="shared" si="87"/>
        <v>2.4639999999999995</v>
      </c>
      <c r="XF36" s="46">
        <f t="shared" si="443"/>
        <v>1</v>
      </c>
      <c r="XG36" s="46">
        <f t="shared" si="444"/>
        <v>2</v>
      </c>
      <c r="XH36" s="46" cm="1">
        <f t="array" ref="XH36">ROUND(VALUE(IFERROR(INDEX(ArchiveResults!$F$5:$IX$116,ComparisonData!A36,ComparisonData!$XH$1),0)),5)</f>
        <v>0</v>
      </c>
      <c r="XI36" s="46" cm="1">
        <f t="array" ref="XI36">ROUND(VALUE(IFERROR(INDEX(ArchiveResults!$F$5:$IX$116,ComparisonData!A36,ComparisonData!$XI$1),0)),5)</f>
        <v>0</v>
      </c>
      <c r="XJ36" s="56">
        <v>31</v>
      </c>
      <c r="XK36" s="53" t="str">
        <f t="shared" si="88"/>
        <v>Hackney Archives</v>
      </c>
      <c r="XL36" s="60">
        <f t="shared" si="445"/>
        <v>0</v>
      </c>
      <c r="XM36" s="60">
        <f t="shared" si="446"/>
        <v>0</v>
      </c>
      <c r="XN36" s="76">
        <f t="shared" si="447"/>
        <v>0</v>
      </c>
      <c r="XO36" s="46">
        <f t="shared" si="448"/>
        <v>6</v>
      </c>
      <c r="XP36" s="46">
        <f t="shared" si="89"/>
        <v>2.4639999999999995</v>
      </c>
      <c r="XQ36" s="46">
        <f t="shared" si="449"/>
        <v>1</v>
      </c>
      <c r="XR36" s="46">
        <f t="shared" si="450"/>
        <v>2</v>
      </c>
      <c r="XS36" s="46" cm="1">
        <f t="array" ref="XS36">ROUND(VALUE(IFERROR(INDEX(ArchiveResults!$F$5:$IX$116,ComparisonData!A36,ComparisonData!$XS$1),0)),5)</f>
        <v>0</v>
      </c>
      <c r="XT36" s="46" cm="1">
        <f t="array" ref="XT36">ROUND(VALUE(IFERROR(INDEX(ArchiveResults!$F$5:$IX$116,ComparisonData!A36,ComparisonData!$XT$1),0)),5)</f>
        <v>0</v>
      </c>
      <c r="XU36" s="56">
        <v>31</v>
      </c>
      <c r="XV36" s="53" t="str">
        <f t="shared" si="90"/>
        <v>Hackney Archives</v>
      </c>
      <c r="XW36" s="60">
        <f t="shared" si="451"/>
        <v>0</v>
      </c>
      <c r="XX36" s="60">
        <f t="shared" si="452"/>
        <v>0</v>
      </c>
      <c r="XY36" s="76">
        <f t="shared" si="453"/>
        <v>0</v>
      </c>
      <c r="XZ36" s="46">
        <f t="shared" si="454"/>
        <v>6</v>
      </c>
      <c r="YA36" s="46">
        <f t="shared" si="91"/>
        <v>2.4639999999999995</v>
      </c>
      <c r="YB36" s="46">
        <f t="shared" si="455"/>
        <v>1</v>
      </c>
      <c r="YC36" s="46">
        <f t="shared" si="456"/>
        <v>2</v>
      </c>
      <c r="YD36" s="46" cm="1">
        <f t="array" ref="YD36">ROUND(VALUE(IFERROR(INDEX(ArchiveResults!$F$5:$IX$116,ComparisonData!A36,ComparisonData!$YD$1),0)),5)</f>
        <v>0</v>
      </c>
      <c r="YE36" s="46" cm="1">
        <f t="array" ref="YE36">ROUND(VALUE(IFERROR(INDEX(ArchiveResults!$F$5:$IX$116,ComparisonData!A36,ComparisonData!$YE$1),0)),5)</f>
        <v>0</v>
      </c>
      <c r="YF36" s="56">
        <v>31</v>
      </c>
      <c r="YG36" s="53" t="str">
        <f t="shared" si="92"/>
        <v>Hackney Archives</v>
      </c>
      <c r="YH36" s="60">
        <f t="shared" si="457"/>
        <v>0</v>
      </c>
      <c r="YI36" s="60">
        <f t="shared" si="458"/>
        <v>0</v>
      </c>
      <c r="YJ36" s="76">
        <f t="shared" si="459"/>
        <v>0</v>
      </c>
      <c r="YK36" s="46">
        <f t="shared" si="460"/>
        <v>6</v>
      </c>
      <c r="YL36" s="46">
        <f t="shared" si="93"/>
        <v>2.4639999999999995</v>
      </c>
      <c r="YM36" s="46">
        <f t="shared" si="461"/>
        <v>1</v>
      </c>
      <c r="YN36" s="46">
        <f t="shared" si="462"/>
        <v>2</v>
      </c>
      <c r="YO36" s="46" cm="1">
        <f t="array" ref="YO36">ROUND(VALUE(IFERROR(INDEX(ArchiveResults!$F$5:$IX$116,ComparisonData!A36,ComparisonData!$YO$1),0)),5)</f>
        <v>0</v>
      </c>
      <c r="YP36" s="46" cm="1">
        <f t="array" ref="YP36">ROUND(VALUE(IFERROR(INDEX(ArchiveResults!$F$5:$IX$116,ComparisonData!A36,ComparisonData!$YP$1),0)),5)</f>
        <v>0</v>
      </c>
      <c r="YQ36" s="56">
        <v>31</v>
      </c>
      <c r="YR36" s="53" t="str">
        <f t="shared" si="94"/>
        <v>Hackney Archives</v>
      </c>
      <c r="YS36" s="60">
        <f t="shared" si="463"/>
        <v>0</v>
      </c>
      <c r="YT36" s="60">
        <f t="shared" si="464"/>
        <v>0</v>
      </c>
      <c r="YU36" s="76">
        <f t="shared" si="465"/>
        <v>0</v>
      </c>
      <c r="YV36" s="46">
        <f t="shared" si="466"/>
        <v>6</v>
      </c>
      <c r="YW36" s="46">
        <f t="shared" si="95"/>
        <v>2.4639999999999995</v>
      </c>
      <c r="YX36" s="46">
        <f t="shared" si="467"/>
        <v>1</v>
      </c>
      <c r="YY36" s="46">
        <f t="shared" si="468"/>
        <v>2</v>
      </c>
      <c r="YZ36" s="46">
        <f t="shared" si="469"/>
        <v>0</v>
      </c>
      <c r="ZA36" s="46" cm="1">
        <f t="array" ref="ZA36">ROUNDDOWN(VALUE(IFERROR(INDEX(ArchiveResults!$F$5:$IX$116,ComparisonData!A36,ComparisonData!$ZA$1),0)),5)</f>
        <v>0</v>
      </c>
      <c r="ZB36" s="46" cm="1">
        <f t="array" ref="ZB36">ROUNDDOWN(VALUE(IFERROR(INDEX(ArchiveResults!$F$5:$IX$116,ComparisonData!A36,ComparisonData!$ZB$1),0)),5)</f>
        <v>0</v>
      </c>
      <c r="ZC36" s="46" cm="1">
        <f t="array" ref="ZC36">ROUNDDOWN(VALUE(IFERROR(INDEX(ArchiveResults!$F$5:$IX$116,ComparisonData!A36,ComparisonData!$ZC$1),0)),5)</f>
        <v>0</v>
      </c>
      <c r="ZD36" s="46" cm="1">
        <f t="array" ref="ZD36">ROUNDDOWN(VALUE(IFERROR(INDEX(ArchiveResults!$F$5:$IX$116,ComparisonData!A36,ComparisonData!$ZD$1),0)),5)</f>
        <v>0</v>
      </c>
      <c r="ZE36" s="46" cm="1">
        <f t="array" ref="ZE36">ROUNDDOWN(VALUE(IFERROR(INDEX(ArchiveResults!$F$5:$IX$116,ComparisonData!A36,ComparisonData!$ZE$1),0)),5)</f>
        <v>0</v>
      </c>
      <c r="ZF36" s="56">
        <v>31</v>
      </c>
      <c r="ZG36" s="53" t="str">
        <f t="shared" si="96"/>
        <v>Hackney Archives</v>
      </c>
      <c r="ZH36" s="60">
        <f t="shared" si="470"/>
        <v>0</v>
      </c>
      <c r="ZI36" s="60">
        <f t="shared" si="471"/>
        <v>0</v>
      </c>
      <c r="ZJ36" s="60">
        <f t="shared" si="472"/>
        <v>0</v>
      </c>
      <c r="ZK36" s="60">
        <f t="shared" si="473"/>
        <v>0</v>
      </c>
      <c r="ZL36" s="60">
        <f t="shared" si="474"/>
        <v>0</v>
      </c>
      <c r="ZM36" s="76">
        <f t="shared" si="475"/>
        <v>0</v>
      </c>
      <c r="ZN36" s="46">
        <f t="shared" si="476"/>
        <v>6</v>
      </c>
      <c r="ZO36" s="46">
        <f t="shared" si="97"/>
        <v>2.4639999999999995</v>
      </c>
      <c r="ZP36" s="46">
        <f t="shared" si="477"/>
        <v>1</v>
      </c>
      <c r="ZQ36" s="46">
        <f t="shared" si="478"/>
        <v>2</v>
      </c>
      <c r="ZR36" s="46" cm="1">
        <f t="array" ref="ZR36">ROUND(VALUE(IFERROR(INDEX(ArchiveResults!$F$5:$IX$116,ComparisonData!A36,ComparisonData!$ZR$1),0)),5)</f>
        <v>0</v>
      </c>
      <c r="ZS36" s="56">
        <v>31</v>
      </c>
      <c r="ZT36" s="53" t="str">
        <f t="shared" si="98"/>
        <v>Hackney Archives</v>
      </c>
      <c r="ZU36" s="46">
        <f t="shared" si="479"/>
        <v>0</v>
      </c>
      <c r="ZV36" s="76">
        <f t="shared" si="480"/>
        <v>0</v>
      </c>
      <c r="ZW36" s="81" cm="1">
        <f t="array" ref="ZW36">ROUND((IFERROR(INDEX(ArchiveResults!$F$5:$IX$116,ComparisonData!A36,ComparisonData!$ZW$1),0)),5)</f>
        <v>0</v>
      </c>
      <c r="ZX36" s="81" cm="1">
        <f t="array" ref="ZX36">ROUND((IFERROR(INDEX(ArchiveResults!$F$5:$IX$116,ComparisonData!A36,ComparisonData!$ZX$1),0)),5)</f>
        <v>0</v>
      </c>
      <c r="ZY36" s="81" cm="1">
        <f t="array" ref="ZY36">ROUND((IFERROR(INDEX(ArchiveResults!$F$5:$IX$116,ComparisonData!A36,ComparisonData!$ZY$1),0)),5)</f>
        <v>0</v>
      </c>
      <c r="ZZ36" s="81" cm="1">
        <f t="array" ref="ZZ36">ROUND((IFERROR(INDEX(ArchiveResults!$F$5:$IX$116,ComparisonData!A36,ComparisonData!$ZZ$1),0)),5)</f>
        <v>0</v>
      </c>
      <c r="AAA36" s="81" cm="1">
        <f t="array" ref="AAA36">ROUND((IFERROR(INDEX(ArchiveResults!$F$5:$IX$116,ComparisonData!A36,ComparisonData!$AAA$1),0)),5)</f>
        <v>0</v>
      </c>
      <c r="AAB36" s="81" cm="1">
        <f t="array" ref="AAB36">ROUND((IFERROR(INDEX(ArchiveResults!$F$5:$IX$116,ComparisonData!A36,ComparisonData!$AAB$1),0)),5)</f>
        <v>0</v>
      </c>
      <c r="AAC36" s="81" cm="1">
        <f t="array" ref="AAC36">ROUND((IFERROR(INDEX(ArchiveResults!$F$5:$IX$116,ComparisonData!A36,ComparisonData!$AAC$1),0)),5)</f>
        <v>0</v>
      </c>
      <c r="AAD36" s="81" cm="1">
        <f t="array" ref="AAD36">ROUND((IFERROR(INDEX(ArchiveResults!$F$5:$IX$116,ComparisonData!A36,ComparisonData!$AAD$1),0)),5)</f>
        <v>0</v>
      </c>
      <c r="AAE36" s="81" cm="1">
        <f t="array" ref="AAE36">ROUND((IFERROR(INDEX(ArchiveResults!$F$5:$IX$116,ComparisonData!A36,ComparisonData!$AAE$1),0)),5)</f>
        <v>0</v>
      </c>
      <c r="AAF36" s="81" cm="1">
        <f t="array" ref="AAF36">ROUND((IFERROR(INDEX(ArchiveResults!$F$5:$IX$116,ComparisonData!A36,ComparisonData!$AAF$1),0)),5)</f>
        <v>0</v>
      </c>
      <c r="AAG36" s="46">
        <f t="shared" si="481"/>
        <v>6</v>
      </c>
      <c r="AAH36" s="46">
        <f t="shared" si="99"/>
        <v>2.4639999999999995</v>
      </c>
      <c r="AAI36" s="46">
        <f t="shared" si="482"/>
        <v>1</v>
      </c>
      <c r="AAJ36" s="46">
        <f t="shared" si="483"/>
        <v>2</v>
      </c>
      <c r="AAK36" s="46">
        <f t="shared" si="484"/>
        <v>0</v>
      </c>
      <c r="AAL36" s="46">
        <f t="shared" si="485"/>
        <v>0</v>
      </c>
      <c r="AAM36" s="46">
        <f t="shared" si="486"/>
        <v>0</v>
      </c>
      <c r="AAN36" s="46">
        <f t="shared" si="487"/>
        <v>0</v>
      </c>
      <c r="AAO36" s="46">
        <f t="shared" si="488"/>
        <v>0</v>
      </c>
      <c r="AAP36" s="46">
        <f t="shared" si="489"/>
        <v>0</v>
      </c>
      <c r="AAQ36" s="56">
        <v>31</v>
      </c>
      <c r="AAR36" s="53" t="str">
        <f t="shared" si="100"/>
        <v>Hackney Archives</v>
      </c>
      <c r="AAS36" s="60">
        <f t="shared" si="490"/>
        <v>0</v>
      </c>
      <c r="AAT36" s="60">
        <f t="shared" si="491"/>
        <v>0</v>
      </c>
      <c r="AAU36" s="60">
        <f t="shared" si="492"/>
        <v>0</v>
      </c>
      <c r="AAV36" s="60">
        <f t="shared" si="493"/>
        <v>0</v>
      </c>
      <c r="AAW36" s="60">
        <f t="shared" si="494"/>
        <v>0</v>
      </c>
      <c r="AAX36" s="76">
        <f t="shared" si="495"/>
        <v>0</v>
      </c>
      <c r="AAY36" s="46">
        <f t="shared" si="496"/>
        <v>6</v>
      </c>
      <c r="AAZ36" s="46">
        <f t="shared" si="101"/>
        <v>2.4639999999999995</v>
      </c>
      <c r="ABA36" s="46">
        <f t="shared" si="497"/>
        <v>1</v>
      </c>
      <c r="ABB36" s="46">
        <f t="shared" si="498"/>
        <v>2</v>
      </c>
      <c r="ABC36" s="46">
        <f t="shared" si="102"/>
        <v>0</v>
      </c>
      <c r="ABD36" s="46" cm="1">
        <f t="array" ref="ABD36">ROUND(VALUE(IFERROR(INDEX(ArchiveResults!$F$5:$IX$116,ComparisonData!A36,ComparisonData!$ABD$1),0)),5)</f>
        <v>0</v>
      </c>
      <c r="ABE36" s="46" cm="1">
        <f t="array" ref="ABE36">ROUND(VALUE(IFERROR(INDEX(ArchiveResults!$F$5:$IX$116,ComparisonData!A36,ComparisonData!$ABE$1),0)),5)</f>
        <v>0</v>
      </c>
      <c r="ABF36" s="46" cm="1">
        <f t="array" ref="ABF36">ROUND(VALUE(IFERROR(INDEX(ArchiveResults!$F$5:$IX$116,ComparisonData!A36,ComparisonData!$ABF$1),0)),5)</f>
        <v>0</v>
      </c>
      <c r="ABG36" s="46" cm="1">
        <f t="array" ref="ABG36">ROUND(VALUE(IFERROR(INDEX(ArchiveResults!$F$5:$IX$116,ComparisonData!A36,ComparisonData!$ABG$1),0)),5)</f>
        <v>0</v>
      </c>
      <c r="ABH36" s="46" cm="1">
        <f t="array" ref="ABH36">ROUND(VALUE(IFERROR(INDEX(ArchiveResults!$F$5:$IX$116,ComparisonData!A36,ComparisonData!$ABH$1),0)),5)</f>
        <v>0</v>
      </c>
      <c r="ABI36" s="56">
        <v>31</v>
      </c>
      <c r="ABJ36" s="53" t="str">
        <f t="shared" si="103"/>
        <v>Hackney Archives</v>
      </c>
      <c r="ABK36" s="60">
        <f t="shared" si="499"/>
        <v>0</v>
      </c>
      <c r="ABL36" s="60">
        <f t="shared" si="500"/>
        <v>0</v>
      </c>
      <c r="ABM36" s="60">
        <f t="shared" si="501"/>
        <v>0</v>
      </c>
      <c r="ABN36" s="60">
        <f t="shared" si="502"/>
        <v>0</v>
      </c>
      <c r="ABO36" s="60">
        <f t="shared" si="503"/>
        <v>0</v>
      </c>
      <c r="ABP36" s="76">
        <f t="shared" si="504"/>
        <v>0</v>
      </c>
      <c r="ABQ36" s="46">
        <f t="shared" si="505"/>
        <v>6</v>
      </c>
      <c r="ABR36" s="46">
        <f t="shared" si="104"/>
        <v>2.4639999999999995</v>
      </c>
      <c r="ABS36" s="46">
        <f t="shared" si="506"/>
        <v>1</v>
      </c>
      <c r="ABT36" s="46">
        <f t="shared" si="507"/>
        <v>2</v>
      </c>
      <c r="ABU36" s="46" cm="1">
        <f t="array" ref="ABU36">ROUND(VALUE(IFERROR(INDEX(ArchiveResults!$F$5:$IX$116,ComparisonData!A36,ComparisonData!$ABU$1),0)),5)</f>
        <v>0</v>
      </c>
      <c r="ABV36" s="46" cm="1">
        <f t="array" ref="ABV36">ROUND(VALUE(IFERROR(INDEX(ArchiveResults!$F$5:$IX$116,ComparisonData!A36,ComparisonData!$ABV$1),0)),5)</f>
        <v>0</v>
      </c>
      <c r="ABW36" s="46" cm="1">
        <f t="array" ref="ABW36">ROUND(VALUE(IFERROR(INDEX(ArchiveResults!$F$5:$IX$116,ComparisonData!A36,ComparisonData!$ABW$1),0)),5)</f>
        <v>0</v>
      </c>
      <c r="ABX36" s="46" cm="1">
        <f t="array" ref="ABX36">ROUND(VALUE(IFERROR(INDEX(ArchiveResults!$F$5:$IX$116,ComparisonData!A36,ComparisonData!$ABX$1),0)),5)</f>
        <v>0</v>
      </c>
      <c r="ABY36" s="46" cm="1">
        <f t="array" ref="ABY36">ROUND(VALUE(IFERROR(INDEX(ArchiveResults!$F$5:$IX$116,ComparisonData!A36,ComparisonData!$ABY$1),0)),5)</f>
        <v>0</v>
      </c>
      <c r="ABZ36" s="56">
        <v>31</v>
      </c>
      <c r="ACA36" s="53" t="str">
        <f t="shared" si="105"/>
        <v>Hackney Archives</v>
      </c>
      <c r="ACB36" s="60">
        <f t="shared" si="508"/>
        <v>0</v>
      </c>
      <c r="ACC36" s="60">
        <f t="shared" si="509"/>
        <v>0</v>
      </c>
      <c r="ACD36" s="60">
        <f t="shared" si="510"/>
        <v>0</v>
      </c>
      <c r="ACE36" s="60">
        <f t="shared" si="511"/>
        <v>0</v>
      </c>
      <c r="ACF36" s="60">
        <f t="shared" si="512"/>
        <v>0</v>
      </c>
      <c r="ACG36" s="76">
        <f t="shared" si="513"/>
        <v>0</v>
      </c>
      <c r="ACH36" s="46">
        <f t="shared" si="514"/>
        <v>6</v>
      </c>
      <c r="ACI36" s="46">
        <f t="shared" si="106"/>
        <v>2.4639999999999995</v>
      </c>
      <c r="ACJ36" s="46">
        <f t="shared" si="515"/>
        <v>1</v>
      </c>
      <c r="ACK36" s="46">
        <f t="shared" si="516"/>
        <v>2</v>
      </c>
      <c r="ACL36" s="46">
        <f t="shared" si="517"/>
        <v>0</v>
      </c>
      <c r="ACM36" s="46" cm="1">
        <f t="array" ref="ACM36">ROUND(IFERROR(INDEX(ArchiveResults!$F$5:$IX$116,ComparisonData!A36,ComparisonData!$ACM$1),0),5)</f>
        <v>0</v>
      </c>
      <c r="ACN36" s="46" cm="1">
        <f t="array" ref="ACN36">ROUND(IFERROR(INDEX(ArchiveResults!$F$5:$IX$116,ComparisonData!A36,ComparisonData!$ACN$1),0),5)</f>
        <v>0</v>
      </c>
      <c r="ACO36" s="56">
        <v>31</v>
      </c>
      <c r="ACP36" s="53" t="str">
        <f t="shared" si="107"/>
        <v>Hackney Archives</v>
      </c>
      <c r="ACQ36" s="60">
        <f t="shared" si="518"/>
        <v>0</v>
      </c>
      <c r="ACR36" s="60">
        <f t="shared" si="519"/>
        <v>0</v>
      </c>
      <c r="ACS36" s="76">
        <f t="shared" si="520"/>
        <v>0</v>
      </c>
      <c r="ACT36" s="46">
        <f t="shared" si="521"/>
        <v>6</v>
      </c>
      <c r="ACU36" s="46">
        <f t="shared" si="108"/>
        <v>2.4639999999999995</v>
      </c>
      <c r="ACV36" s="46">
        <f t="shared" si="522"/>
        <v>1</v>
      </c>
      <c r="ACW36" s="46">
        <f t="shared" si="523"/>
        <v>2</v>
      </c>
      <c r="ACX36" s="46">
        <f t="shared" si="524"/>
        <v>0</v>
      </c>
      <c r="ACY36" s="46" cm="1">
        <f t="array" ref="ACY36">ROUNDDOWN(IFERROR(INDEX(ArchiveResults!$F$5:$IX$116,ComparisonData!A36,ComparisonData!$ACY$1),0),5)</f>
        <v>0</v>
      </c>
      <c r="ACZ36" s="46" cm="1">
        <f t="array" ref="ACZ36">ROUNDDOWN(IFERROR(INDEX(ArchiveResults!$F$5:$IX$116,ComparisonData!A36,ComparisonData!$ACZ$1),0),5)</f>
        <v>0</v>
      </c>
      <c r="ADA36" s="46" cm="1">
        <f t="array" ref="ADA36">ROUNDDOWN(IFERROR(INDEX(ArchiveResults!$F$5:$IX$116,ComparisonData!A36,ComparisonData!$ADA$1),0),5)</f>
        <v>0</v>
      </c>
      <c r="ADB36" s="56">
        <v>31</v>
      </c>
      <c r="ADC36" s="53" t="str">
        <f t="shared" si="109"/>
        <v>Hackney Archives</v>
      </c>
      <c r="ADD36" s="60">
        <f t="shared" si="525"/>
        <v>0</v>
      </c>
      <c r="ADE36" s="60">
        <f t="shared" si="526"/>
        <v>0</v>
      </c>
      <c r="ADF36" s="60">
        <f t="shared" si="527"/>
        <v>0</v>
      </c>
      <c r="ADG36" s="76">
        <f t="shared" si="528"/>
        <v>0</v>
      </c>
    </row>
    <row r="37" spans="1:787" x14ac:dyDescent="0.25">
      <c r="A37" s="46" t="str">
        <f>IF(ISBLANK(ComparisonSelection!F33),"",ROW()-5)</f>
        <v/>
      </c>
      <c r="B37" s="53" t="s">
        <v>486</v>
      </c>
      <c r="C37" s="72">
        <v>0.58899999999999963</v>
      </c>
      <c r="D37" s="55">
        <f t="shared" si="110"/>
        <v>31</v>
      </c>
      <c r="E37" s="54">
        <f t="shared" si="111"/>
        <v>2.5889999999999995</v>
      </c>
      <c r="F37" s="54">
        <f t="shared" si="529"/>
        <v>1</v>
      </c>
      <c r="G37" s="72">
        <f t="shared" si="112"/>
        <v>2</v>
      </c>
      <c r="H37" s="72">
        <f t="shared" si="113"/>
        <v>0</v>
      </c>
      <c r="I37" s="46" cm="1">
        <f t="array" ref="I37">ROUND(IFERROR(INDEX(ArchiveResults!$F$5:$IX$116,ComparisonData!A37,ComparisonData!$I$1),0),5)</f>
        <v>0</v>
      </c>
      <c r="J37" s="46" cm="1">
        <f t="array" ref="J37">ROUND(IFERROR(INDEX(ArchiveResults!$F$5:$IX$116,ComparisonData!A37,ComparisonData!$J$1),0),5)</f>
        <v>0</v>
      </c>
      <c r="K37" s="56">
        <v>32</v>
      </c>
      <c r="L37" s="53" t="str">
        <f t="shared" si="114"/>
        <v>Hampshire Archives and Local Studies</v>
      </c>
      <c r="M37" s="57">
        <f t="shared" si="0"/>
        <v>0</v>
      </c>
      <c r="N37" s="57">
        <f t="shared" si="1"/>
        <v>0</v>
      </c>
      <c r="O37" s="58">
        <f t="shared" si="115"/>
        <v>0</v>
      </c>
      <c r="P37" s="48">
        <f t="shared" si="116"/>
        <v>31</v>
      </c>
      <c r="Q37" s="54">
        <f t="shared" si="2"/>
        <v>2.5889999999999995</v>
      </c>
      <c r="R37" s="45">
        <f t="shared" si="117"/>
        <v>1</v>
      </c>
      <c r="S37" s="46">
        <f t="shared" si="118"/>
        <v>2</v>
      </c>
      <c r="T37" s="72">
        <f t="shared" si="119"/>
        <v>0</v>
      </c>
      <c r="U37" s="46" cm="1">
        <f t="array" ref="U37">ROUND(IFERROR(INDEX(ArchiveResults!$F$5:$IX$116,ComparisonData!A37,ComparisonData!$U$1),0),5)</f>
        <v>0</v>
      </c>
      <c r="V37" s="46" cm="1">
        <f t="array" ref="V37">ROUND(IFERROR(INDEX(ArchiveResults!$F$5:$IX$116,ComparisonData!A37,ComparisonData!$V$1),0),5)</f>
        <v>0</v>
      </c>
      <c r="W37" s="56">
        <v>32</v>
      </c>
      <c r="X37" s="53" t="str">
        <f t="shared" si="3"/>
        <v>Hampshire Archives and Local Studies</v>
      </c>
      <c r="Y37" s="57">
        <f t="shared" si="120"/>
        <v>0</v>
      </c>
      <c r="Z37" s="57">
        <f t="shared" si="121"/>
        <v>0</v>
      </c>
      <c r="AA37" s="58">
        <f t="shared" si="122"/>
        <v>0</v>
      </c>
      <c r="AB37" s="45">
        <f t="shared" si="123"/>
        <v>31</v>
      </c>
      <c r="AC37" s="54">
        <f t="shared" si="4"/>
        <v>2.5889999999999995</v>
      </c>
      <c r="AD37" s="45">
        <f t="shared" si="124"/>
        <v>1</v>
      </c>
      <c r="AE37" s="45">
        <f t="shared" si="125"/>
        <v>2</v>
      </c>
      <c r="AF37" s="45">
        <f t="shared" si="126"/>
        <v>0</v>
      </c>
      <c r="AG37" s="46" cm="1">
        <f t="array" ref="AG37">ROUND(IFERROR(INDEX(ArchiveResults!$F$5:$IX$116,ComparisonData!A37,ComparisonData!$AG$1),0),5)</f>
        <v>0</v>
      </c>
      <c r="AH37" s="46" cm="1">
        <f t="array" ref="AH37">ROUND(IFERROR(INDEX(ArchiveResults!$F$5:$IX$116,ComparisonData!A37,ComparisonData!$AH$1),0),5)</f>
        <v>0</v>
      </c>
      <c r="AI37" s="56">
        <v>32</v>
      </c>
      <c r="AJ37" s="53" t="str">
        <f t="shared" si="5"/>
        <v>Hampshire Archives and Local Studies</v>
      </c>
      <c r="AK37" s="59">
        <f t="shared" si="6"/>
        <v>0</v>
      </c>
      <c r="AL37" s="59">
        <f t="shared" si="7"/>
        <v>0</v>
      </c>
      <c r="AM37" s="58">
        <f t="shared" si="127"/>
        <v>0</v>
      </c>
      <c r="AN37" s="45">
        <f t="shared" si="128"/>
        <v>31</v>
      </c>
      <c r="AO37" s="54">
        <f t="shared" si="8"/>
        <v>2.5889999999999995</v>
      </c>
      <c r="AP37" s="45">
        <f t="shared" si="129"/>
        <v>1</v>
      </c>
      <c r="AQ37" s="45">
        <f t="shared" si="130"/>
        <v>2</v>
      </c>
      <c r="AR37" s="46" cm="1">
        <f t="array" ref="AR37">ROUND(IFERROR(INDEX(ArchiveResults!$F$5:$IX$116,ComparisonData!A37,ComparisonData!$AR$1),0),5)</f>
        <v>0</v>
      </c>
      <c r="AS37" s="46" cm="1">
        <f t="array" ref="AS37">ROUND(IFERROR(INDEX(ArchiveResults!$F$5:$IX$116,ComparisonData!A37,ComparisonData!$AS$1),0),5)</f>
        <v>0</v>
      </c>
      <c r="AT37" s="46" cm="1">
        <f t="array" ref="AT37">ROUND(IFERROR(INDEX(ArchiveResults!$F$5:$IX$116,ComparisonData!A37,ComparisonData!$AT$1),0),5)</f>
        <v>0</v>
      </c>
      <c r="AU37" s="46" cm="1">
        <f t="array" ref="AU37">ROUND(IFERROR(INDEX(ArchiveResults!$F$5:$IX$116,ComparisonData!A37,ComparisonData!$AU$1),0),5)</f>
        <v>0</v>
      </c>
      <c r="AV37" s="46" cm="1">
        <f t="array" ref="AV37">ROUND(IFERROR(INDEX(ArchiveResults!$F$5:$IX$116,ComparisonData!A37,ComparisonData!$AV$1),0),5)</f>
        <v>0</v>
      </c>
      <c r="AW37" s="46" cm="1">
        <f t="array" ref="AW37">ROUND(IFERROR(INDEX(ArchiveResults!$F$5:$IX$116,ComparisonData!A37,ComparisonData!$AW$1),0),5)</f>
        <v>0</v>
      </c>
      <c r="AX37" s="46" cm="1">
        <f t="array" ref="AX37">ROUND(IFERROR(INDEX(ArchiveResults!$F$5:$IX$116,ComparisonData!A37,ComparisonData!$AX$1),0),5)</f>
        <v>0</v>
      </c>
      <c r="AY37" s="46" cm="1">
        <f t="array" ref="AY37">ROUND(IFERROR(INDEX(ArchiveResults!$F$5:$IX$116,ComparisonData!A37,ComparisonData!$AY$1),0),5)</f>
        <v>0</v>
      </c>
      <c r="AZ37" s="46" cm="1">
        <f t="array" ref="AZ37">ROUND(IFERROR(INDEX(ArchiveResults!$F$5:$IX$116,ComparisonData!A37,ComparisonData!$AZ$1),0),5)</f>
        <v>0</v>
      </c>
      <c r="BA37" s="46" cm="1">
        <f t="array" ref="BA37">ROUND(IFERROR(INDEX(ArchiveResults!$F$5:$IX$116,ComparisonData!A37,ComparisonData!$BA$1),0),5)</f>
        <v>0</v>
      </c>
      <c r="BB37" s="56">
        <v>32</v>
      </c>
      <c r="BC37" s="53" t="str">
        <f t="shared" si="9"/>
        <v>Hampshire Archives and Local Studies</v>
      </c>
      <c r="BD37" s="60">
        <f t="shared" si="131"/>
        <v>0</v>
      </c>
      <c r="BE37" s="60">
        <f t="shared" si="132"/>
        <v>0</v>
      </c>
      <c r="BF37" s="60">
        <f t="shared" si="133"/>
        <v>0</v>
      </c>
      <c r="BG37" s="60">
        <f t="shared" si="134"/>
        <v>0</v>
      </c>
      <c r="BH37" s="60">
        <f t="shared" si="135"/>
        <v>0</v>
      </c>
      <c r="BI37" s="60">
        <f t="shared" si="136"/>
        <v>0</v>
      </c>
      <c r="BJ37" s="60">
        <f t="shared" si="137"/>
        <v>0</v>
      </c>
      <c r="BK37" s="60">
        <f t="shared" si="138"/>
        <v>0</v>
      </c>
      <c r="BL37" s="60">
        <f t="shared" si="139"/>
        <v>0</v>
      </c>
      <c r="BM37" s="59">
        <f t="shared" si="140"/>
        <v>0</v>
      </c>
      <c r="BN37" s="58">
        <f t="shared" si="141"/>
        <v>0</v>
      </c>
      <c r="BO37" s="45">
        <f t="shared" si="142"/>
        <v>31</v>
      </c>
      <c r="BP37" s="54">
        <f t="shared" si="10"/>
        <v>2.5889999999999995</v>
      </c>
      <c r="BQ37" s="45">
        <f t="shared" si="143"/>
        <v>1</v>
      </c>
      <c r="BR37" s="45">
        <f t="shared" si="144"/>
        <v>2</v>
      </c>
      <c r="BS37" s="46" cm="1">
        <f t="array" ref="BS37">ROUND(IFERROR(INDEX(ArchiveResults!$F$5:$IX$116,ComparisonData!A37,ComparisonData!$BS$1),0),5)</f>
        <v>0</v>
      </c>
      <c r="BT37" s="46" cm="1">
        <f t="array" ref="BT37">ROUND(IFERROR(INDEX(ArchiveResults!$F$5:$IX$116,ComparisonData!A37,ComparisonData!$BT$1),0),5)</f>
        <v>0</v>
      </c>
      <c r="BU37" s="46" cm="1">
        <f t="array" ref="BU37">ROUND(IFERROR(INDEX(ArchiveResults!$F$5:$IX$116,ComparisonData!A37,ComparisonData!$BU$1),0),5)</f>
        <v>0</v>
      </c>
      <c r="BV37" s="46" cm="1">
        <f t="array" ref="BV37">ROUND(IFERROR(INDEX(ArchiveResults!$F$5:$IX$116,ComparisonData!A37,ComparisonData!$BV$1),0),5)</f>
        <v>0</v>
      </c>
      <c r="BW37" s="46" cm="1">
        <f t="array" ref="BW37">ROUND(IFERROR(INDEX(ArchiveResults!$F$5:$IX$116,ComparisonData!A37,ComparisonData!$BW$1),0),5)</f>
        <v>0</v>
      </c>
      <c r="BX37" s="46" cm="1">
        <f t="array" ref="BX37">ROUND(IFERROR(INDEX(ArchiveResults!$F$5:$IX$116,ComparisonData!A37,ComparisonData!$BX$1),0),5)</f>
        <v>0</v>
      </c>
      <c r="BY37" s="56">
        <v>32</v>
      </c>
      <c r="BZ37" s="53" t="str">
        <f t="shared" si="11"/>
        <v>Hampshire Archives and Local Studies</v>
      </c>
      <c r="CA37" s="59">
        <f t="shared" si="145"/>
        <v>0</v>
      </c>
      <c r="CB37" s="59">
        <f t="shared" si="146"/>
        <v>0</v>
      </c>
      <c r="CC37" s="59">
        <f t="shared" si="147"/>
        <v>0</v>
      </c>
      <c r="CD37" s="59">
        <f t="shared" si="148"/>
        <v>0</v>
      </c>
      <c r="CE37" s="59">
        <f t="shared" si="149"/>
        <v>0</v>
      </c>
      <c r="CF37" s="59">
        <f t="shared" si="150"/>
        <v>0</v>
      </c>
      <c r="CG37" s="58">
        <f t="shared" si="151"/>
        <v>0</v>
      </c>
      <c r="CH37" s="45">
        <f t="shared" si="152"/>
        <v>31</v>
      </c>
      <c r="CI37" s="54">
        <f t="shared" si="12"/>
        <v>2.5889999999999995</v>
      </c>
      <c r="CJ37" s="45">
        <f t="shared" si="153"/>
        <v>1</v>
      </c>
      <c r="CK37" s="45">
        <f t="shared" si="154"/>
        <v>2</v>
      </c>
      <c r="CL37" s="46" cm="1">
        <f t="array" ref="CL37">ROUND(IFERROR(INDEX(ArchiveResults!$F$5:$IX$116,ComparisonData!A37,ComparisonData!$CL$1),0),5)</f>
        <v>0</v>
      </c>
      <c r="CM37" s="56">
        <v>32</v>
      </c>
      <c r="CN37" s="53" t="str">
        <f t="shared" si="13"/>
        <v>Hampshire Archives and Local Studies</v>
      </c>
      <c r="CO37" s="45">
        <f t="shared" si="155"/>
        <v>0</v>
      </c>
      <c r="CP37" s="58">
        <f t="shared" si="156"/>
        <v>0</v>
      </c>
      <c r="CQ37" s="45">
        <f t="shared" si="157"/>
        <v>31</v>
      </c>
      <c r="CR37" s="54">
        <f t="shared" si="14"/>
        <v>2.5889999999999995</v>
      </c>
      <c r="CS37" s="45">
        <f t="shared" si="158"/>
        <v>1</v>
      </c>
      <c r="CT37" s="45">
        <f t="shared" si="159"/>
        <v>2</v>
      </c>
      <c r="CU37" s="46" cm="1">
        <f t="array" ref="CU37">ROUND(IFERROR(INDEX(ArchiveResults!$F$5:$IX$116,ComparisonData!A37,ComparisonData!$CU$1),0),5)</f>
        <v>0</v>
      </c>
      <c r="CV37" s="56">
        <v>32</v>
      </c>
      <c r="CW37" s="53" t="str">
        <f t="shared" si="15"/>
        <v>Hampshire Archives and Local Studies</v>
      </c>
      <c r="CX37" s="45">
        <f t="shared" si="160"/>
        <v>0</v>
      </c>
      <c r="CY37" s="58">
        <f t="shared" si="161"/>
        <v>0</v>
      </c>
      <c r="CZ37" s="45">
        <f t="shared" si="162"/>
        <v>31</v>
      </c>
      <c r="DA37" s="54">
        <f t="shared" si="16"/>
        <v>2.5889999999999995</v>
      </c>
      <c r="DB37" s="45">
        <f t="shared" si="163"/>
        <v>1</v>
      </c>
      <c r="DC37" s="45">
        <f t="shared" si="164"/>
        <v>2</v>
      </c>
      <c r="DD37" s="46" cm="1">
        <f t="array" ref="DD37">ROUND(IFERROR(INDEX(ArchiveResults!$F$5:$IX$116,ComparisonData!A37,ComparisonData!$DD$1),0),5)</f>
        <v>0</v>
      </c>
      <c r="DE37" s="56">
        <v>32</v>
      </c>
      <c r="DF37" s="53" t="str">
        <f t="shared" si="17"/>
        <v>Hampshire Archives and Local Studies</v>
      </c>
      <c r="DG37" s="45">
        <f t="shared" si="165"/>
        <v>0</v>
      </c>
      <c r="DH37" s="58">
        <f t="shared" si="166"/>
        <v>0</v>
      </c>
      <c r="DI37" s="45">
        <f t="shared" si="167"/>
        <v>31</v>
      </c>
      <c r="DJ37" s="54">
        <f t="shared" si="18"/>
        <v>2.5889999999999995</v>
      </c>
      <c r="DK37" s="45">
        <f t="shared" si="168"/>
        <v>1</v>
      </c>
      <c r="DL37" s="45">
        <f t="shared" si="169"/>
        <v>2</v>
      </c>
      <c r="DM37" s="46" cm="1">
        <f t="array" ref="DM37">ROUND(IFERROR(INDEX(ArchiveResults!$F$5:$IX$116,ComparisonData!A37,ComparisonData!$DM$1),0),5)</f>
        <v>0</v>
      </c>
      <c r="DN37" s="46" cm="1">
        <f t="array" ref="DN37">ROUND(IFERROR(INDEX(ArchiveResults!$F$5:$IX$116,ComparisonData!A37,ComparisonData!$DN$1),0),5)</f>
        <v>0</v>
      </c>
      <c r="DO37" s="46" cm="1">
        <f t="array" ref="DO37">ROUND(IFERROR(INDEX(ArchiveResults!$F$5:$IX$116,ComparisonData!A37,ComparisonData!$DO$1),0),5)</f>
        <v>0</v>
      </c>
      <c r="DP37" s="46" cm="1">
        <f t="array" ref="DP37">ROUND(IFERROR(INDEX(ArchiveResults!$F$5:$IX$116,ComparisonData!A37,ComparisonData!$DP$1),0),5)</f>
        <v>0</v>
      </c>
      <c r="DQ37" s="45" cm="1">
        <f t="array" ref="DQ37">IFERROR(INDEX(ArchiveResults!$F$5:$IX$116,ComparisonData!A37,ComparisonData!$DQ$1),0)</f>
        <v>0</v>
      </c>
      <c r="DR37" s="56">
        <v>32</v>
      </c>
      <c r="DS37" s="53" t="str">
        <f t="shared" si="19"/>
        <v>Hampshire Archives and Local Studies</v>
      </c>
      <c r="DT37" s="59">
        <f t="shared" si="170"/>
        <v>0</v>
      </c>
      <c r="DU37" s="59">
        <f t="shared" si="171"/>
        <v>0</v>
      </c>
      <c r="DV37" s="59">
        <f t="shared" si="172"/>
        <v>0</v>
      </c>
      <c r="DW37" s="59">
        <f t="shared" si="173"/>
        <v>0</v>
      </c>
      <c r="DX37" s="59">
        <f t="shared" si="174"/>
        <v>0</v>
      </c>
      <c r="DY37" s="58">
        <f t="shared" si="175"/>
        <v>0</v>
      </c>
      <c r="DZ37" s="45">
        <f t="shared" si="176"/>
        <v>31</v>
      </c>
      <c r="EA37" s="54">
        <f t="shared" si="20"/>
        <v>2.5889999999999995</v>
      </c>
      <c r="EB37" s="45">
        <f t="shared" si="177"/>
        <v>1</v>
      </c>
      <c r="EC37" s="45">
        <f t="shared" si="178"/>
        <v>2</v>
      </c>
      <c r="ED37" s="46" cm="1">
        <f t="array" ref="ED37">ROUND(IFERROR(INDEX(ArchiveResults!$F$5:$IX$116,ComparisonData!A37,ComparisonData!$ED$1),0),5)</f>
        <v>0</v>
      </c>
      <c r="EE37" s="46" cm="1">
        <f t="array" ref="EE37">ROUND(IFERROR(INDEX(ArchiveResults!$F$5:$IX$116,ComparisonData!A37,ComparisonData!$EE$1),0),5)</f>
        <v>0</v>
      </c>
      <c r="EF37" s="46" cm="1">
        <f t="array" ref="EF37">ROUND(IFERROR(INDEX(ArchiveResults!$F$5:$IX$116,ComparisonData!A37,ComparisonData!$EF$1),0),5)</f>
        <v>0</v>
      </c>
      <c r="EG37" s="46" cm="1">
        <f t="array" ref="EG37">ROUND(IFERROR(INDEX(ArchiveResults!$F$5:$IX$116,ComparisonData!A37,ComparisonData!$EG$1),0),5)</f>
        <v>0</v>
      </c>
      <c r="EH37" s="45" cm="1">
        <f t="array" ref="EH37">IFERROR(INDEX(ArchiveResults!$F$5:$IX$116,ComparisonData!A37,ComparisonData!$EH$1),0)</f>
        <v>0</v>
      </c>
      <c r="EI37" s="56">
        <v>32</v>
      </c>
      <c r="EJ37" s="53" t="str">
        <f t="shared" si="21"/>
        <v>Hampshire Archives and Local Studies</v>
      </c>
      <c r="EK37" s="59">
        <f t="shared" si="179"/>
        <v>0</v>
      </c>
      <c r="EL37" s="59">
        <f t="shared" si="180"/>
        <v>0</v>
      </c>
      <c r="EM37" s="59">
        <f t="shared" si="181"/>
        <v>0</v>
      </c>
      <c r="EN37" s="59">
        <f t="shared" si="182"/>
        <v>0</v>
      </c>
      <c r="EO37" s="59">
        <f t="shared" si="183"/>
        <v>0</v>
      </c>
      <c r="EP37" s="58">
        <f t="shared" si="184"/>
        <v>0</v>
      </c>
      <c r="EQ37" s="45">
        <f t="shared" si="185"/>
        <v>31</v>
      </c>
      <c r="ER37" s="54">
        <f t="shared" si="22"/>
        <v>2.5889999999999995</v>
      </c>
      <c r="ES37" s="45">
        <f t="shared" si="186"/>
        <v>1</v>
      </c>
      <c r="ET37" s="45">
        <f t="shared" si="187"/>
        <v>2</v>
      </c>
      <c r="EU37" s="46" cm="1">
        <f t="array" ref="EU37">ROUND(IFERROR(INDEX(ArchiveResults!$F$5:$IX$116,ComparisonData!A37,ComparisonData!$EU$1),0),5)</f>
        <v>0</v>
      </c>
      <c r="EV37" s="46" cm="1">
        <f t="array" ref="EV37">ROUND(IFERROR(INDEX(ArchiveResults!$F$5:$IX$116,ComparisonData!A37,ComparisonData!$EV$1),0),5)</f>
        <v>0</v>
      </c>
      <c r="EW37" s="46" cm="1">
        <f t="array" ref="EW37">ROUND(IFERROR(INDEX(ArchiveResults!$F$5:$IX$116,ComparisonData!A37,ComparisonData!$EW$1),0),5)</f>
        <v>0</v>
      </c>
      <c r="EX37" s="46" cm="1">
        <f t="array" ref="EX37">ROUND(IFERROR(INDEX(ArchiveResults!$F$5:$IX$116,ComparisonData!A37,ComparisonData!$EX$1),0),5)</f>
        <v>0</v>
      </c>
      <c r="EY37" s="45" cm="1">
        <f t="array" ref="EY37">IFERROR(INDEX(ArchiveResults!$F$5:$IX$116,ComparisonData!A37,ComparisonData!$EY$1),0)</f>
        <v>0</v>
      </c>
      <c r="EZ37" s="56">
        <v>32</v>
      </c>
      <c r="FA37" s="53" t="str">
        <f t="shared" si="23"/>
        <v>Hampshire Archives and Local Studies</v>
      </c>
      <c r="FB37" s="59">
        <f t="shared" si="188"/>
        <v>0</v>
      </c>
      <c r="FC37" s="59">
        <f t="shared" si="189"/>
        <v>0</v>
      </c>
      <c r="FD37" s="59">
        <f t="shared" si="190"/>
        <v>0</v>
      </c>
      <c r="FE37" s="59">
        <f t="shared" si="191"/>
        <v>0</v>
      </c>
      <c r="FF37" s="59">
        <f t="shared" si="192"/>
        <v>0</v>
      </c>
      <c r="FG37" s="58">
        <f t="shared" si="193"/>
        <v>0</v>
      </c>
      <c r="FH37" s="45">
        <f t="shared" si="194"/>
        <v>31</v>
      </c>
      <c r="FI37" s="54">
        <f t="shared" si="24"/>
        <v>2.5889999999999995</v>
      </c>
      <c r="FJ37" s="45">
        <f t="shared" si="195"/>
        <v>1</v>
      </c>
      <c r="FK37" s="45">
        <f t="shared" si="196"/>
        <v>2</v>
      </c>
      <c r="FL37" s="46" cm="1">
        <f t="array" ref="FL37">ROUND(IFERROR(INDEX(ArchiveResults!$F$5:$IX$116,ComparisonData!A37,ComparisonData!$FL$1),0),5)</f>
        <v>0</v>
      </c>
      <c r="FM37" s="46" cm="1">
        <f t="array" ref="FM37">ROUND(IFERROR(INDEX(ArchiveResults!$F$5:$IX$116,ComparisonData!A37,ComparisonData!$FM$1),0),5)</f>
        <v>0</v>
      </c>
      <c r="FN37" s="46" cm="1">
        <f t="array" ref="FN37">ROUND(IFERROR(INDEX(ArchiveResults!$F$5:$IX$116,ComparisonData!A37,ComparisonData!$FN$1),0),5)</f>
        <v>0</v>
      </c>
      <c r="FO37" s="46" cm="1">
        <f t="array" ref="FO37">ROUND(IFERROR(INDEX(ArchiveResults!$F$5:$IX$116,ComparisonData!A37,ComparisonData!$FO$1),0),5)</f>
        <v>0</v>
      </c>
      <c r="FP37" s="45" cm="1">
        <f t="array" ref="FP37">IFERROR(INDEX(ArchiveResults!$F$5:$IX$116,ComparisonData!A37,ComparisonData!$FP$1),0)</f>
        <v>0</v>
      </c>
      <c r="FQ37" s="56">
        <v>32</v>
      </c>
      <c r="FR37" s="53" t="str">
        <f t="shared" si="25"/>
        <v>Hampshire Archives and Local Studies</v>
      </c>
      <c r="FS37" s="59">
        <f t="shared" si="197"/>
        <v>0</v>
      </c>
      <c r="FT37" s="59">
        <f t="shared" si="198"/>
        <v>0</v>
      </c>
      <c r="FU37" s="59">
        <f t="shared" si="199"/>
        <v>0</v>
      </c>
      <c r="FV37" s="59">
        <f t="shared" si="200"/>
        <v>0</v>
      </c>
      <c r="FW37" s="59">
        <f t="shared" si="201"/>
        <v>0</v>
      </c>
      <c r="FX37" s="58">
        <f t="shared" si="202"/>
        <v>0</v>
      </c>
      <c r="FY37" s="45">
        <f t="shared" si="203"/>
        <v>31</v>
      </c>
      <c r="FZ37" s="45">
        <f t="shared" si="26"/>
        <v>2.5889999999999995</v>
      </c>
      <c r="GA37" s="45">
        <f t="shared" si="204"/>
        <v>1</v>
      </c>
      <c r="GB37" s="45">
        <f t="shared" si="205"/>
        <v>2</v>
      </c>
      <c r="GC37" s="46" cm="1">
        <f t="array" ref="GC37">ROUND(IFERROR(INDEX(ArchiveResults!$F$5:$IX$116,ComparisonData!A37,ComparisonData!$GC$1),0),5)</f>
        <v>0</v>
      </c>
      <c r="GD37" s="46" cm="1">
        <f t="array" ref="GD37">ROUND(IFERROR(INDEX(ArchiveResults!$F$5:$IX$116,ComparisonData!A37,ComparisonData!$GD$1),0),5)</f>
        <v>0</v>
      </c>
      <c r="GE37" s="46" cm="1">
        <f t="array" ref="GE37">ROUND(IFERROR(INDEX(ArchiveResults!$F$5:$IX$116,ComparisonData!A37,ComparisonData!$GE$1),0),5)</f>
        <v>0</v>
      </c>
      <c r="GF37" s="46" cm="1">
        <f t="array" ref="GF37">ROUND(IFERROR(INDEX(ArchiveResults!$F$5:$IX$116,ComparisonData!A37,ComparisonData!$GF$1),0),5)</f>
        <v>0</v>
      </c>
      <c r="GG37" s="45" cm="1">
        <f t="array" ref="GG37">IFERROR(INDEX(ArchiveResults!$F$5:$IX$116,ComparisonData!A37,ComparisonData!$GG$1),0)</f>
        <v>0</v>
      </c>
      <c r="GH37" s="56">
        <v>32</v>
      </c>
      <c r="GI37" s="53" t="str">
        <f t="shared" si="27"/>
        <v>Hampshire Archives and Local Studies</v>
      </c>
      <c r="GJ37" s="59">
        <f t="shared" si="206"/>
        <v>0</v>
      </c>
      <c r="GK37" s="59">
        <f t="shared" si="207"/>
        <v>0</v>
      </c>
      <c r="GL37" s="59">
        <f t="shared" si="208"/>
        <v>0</v>
      </c>
      <c r="GM37" s="59">
        <f t="shared" si="209"/>
        <v>0</v>
      </c>
      <c r="GN37" s="59">
        <f t="shared" si="210"/>
        <v>0</v>
      </c>
      <c r="GO37" s="58">
        <f t="shared" si="211"/>
        <v>0</v>
      </c>
      <c r="GP37" s="45">
        <f t="shared" si="212"/>
        <v>31</v>
      </c>
      <c r="GQ37" s="45">
        <f t="shared" si="28"/>
        <v>2.5889999999999995</v>
      </c>
      <c r="GR37" s="45">
        <f t="shared" si="213"/>
        <v>1</v>
      </c>
      <c r="GS37" s="45">
        <f t="shared" si="214"/>
        <v>2</v>
      </c>
      <c r="GT37" s="46" cm="1">
        <f t="array" ref="GT37">ROUND(IFERROR(INDEX(ArchiveResults!$F$5:$IX$116,ComparisonData!A37,ComparisonData!$GT$1),0),5)</f>
        <v>0</v>
      </c>
      <c r="GU37" s="46" cm="1">
        <f t="array" ref="GU37">ROUND(IFERROR(INDEX(ArchiveResults!$F$5:$IX$116,ComparisonData!A37,ComparisonData!$GU$1),0),5)</f>
        <v>0</v>
      </c>
      <c r="GV37" s="46" cm="1">
        <f t="array" ref="GV37">ROUND(IFERROR(INDEX(ArchiveResults!$F$5:$IX$116,ComparisonData!A37,ComparisonData!$GV$1),0),5)</f>
        <v>0</v>
      </c>
      <c r="GW37" s="46" cm="1">
        <f t="array" ref="GW37">ROUND(IFERROR(INDEX(ArchiveResults!$F$5:$IX$116,ComparisonData!A37,ComparisonData!$GW$1),0),5)</f>
        <v>0</v>
      </c>
      <c r="GX37" s="45" cm="1">
        <f t="array" ref="GX37">IFERROR(INDEX(ArchiveResults!$F$5:$IX$116,ComparisonData!A37,ComparisonData!$GX$1),0)</f>
        <v>0</v>
      </c>
      <c r="GY37" s="56">
        <v>32</v>
      </c>
      <c r="GZ37" s="53" t="str">
        <f t="shared" si="29"/>
        <v>Hampshire Archives and Local Studies</v>
      </c>
      <c r="HA37" s="59">
        <f t="shared" si="215"/>
        <v>0</v>
      </c>
      <c r="HB37" s="59">
        <f t="shared" si="216"/>
        <v>0</v>
      </c>
      <c r="HC37" s="59">
        <f t="shared" si="217"/>
        <v>0</v>
      </c>
      <c r="HD37" s="59">
        <f t="shared" si="218"/>
        <v>0</v>
      </c>
      <c r="HE37" s="59">
        <f t="shared" si="219"/>
        <v>0</v>
      </c>
      <c r="HF37" s="58">
        <f t="shared" si="220"/>
        <v>0</v>
      </c>
      <c r="HG37" s="45">
        <f t="shared" si="221"/>
        <v>31</v>
      </c>
      <c r="HH37" s="45">
        <f t="shared" si="30"/>
        <v>2.5889999999999995</v>
      </c>
      <c r="HI37" s="45">
        <f t="shared" si="222"/>
        <v>1</v>
      </c>
      <c r="HJ37" s="45">
        <f t="shared" si="223"/>
        <v>2</v>
      </c>
      <c r="HK37" s="46" cm="1">
        <f t="array" ref="HK37">ROUND(IFERROR(INDEX(ArchiveResults!$F$5:$IX$116,ComparisonData!A37,ComparisonData!$HK$1),0),5)</f>
        <v>0</v>
      </c>
      <c r="HL37" s="46" cm="1">
        <f t="array" ref="HL37">ROUND(IFERROR(INDEX(ArchiveResults!$F$5:$IX$116,ComparisonData!A37,ComparisonData!$HL$1),0),5)</f>
        <v>0</v>
      </c>
      <c r="HM37" s="46" cm="1">
        <f t="array" ref="HM37">ROUND(IFERROR(INDEX(ArchiveResults!$F$5:$IX$116,ComparisonData!A37,ComparisonData!$HM$1),0),5)</f>
        <v>0</v>
      </c>
      <c r="HN37" s="46" cm="1">
        <f t="array" ref="HN37">ROUND(IFERROR(INDEX(ArchiveResults!$F$5:$IX$116,ComparisonData!A37,ComparisonData!$HN$1),0),5)</f>
        <v>0</v>
      </c>
      <c r="HO37" s="45" cm="1">
        <f t="array" ref="HO37">IFERROR(INDEX(ArchiveResults!$F$5:$IX$116,ComparisonData!A37,ComparisonData!$HO$1),0)</f>
        <v>0</v>
      </c>
      <c r="HP37" s="56">
        <v>32</v>
      </c>
      <c r="HQ37" s="53" t="str">
        <f t="shared" si="31"/>
        <v>Hampshire Archives and Local Studies</v>
      </c>
      <c r="HR37" s="59">
        <f t="shared" si="32"/>
        <v>0</v>
      </c>
      <c r="HS37" s="59">
        <f t="shared" si="33"/>
        <v>0</v>
      </c>
      <c r="HT37" s="59">
        <f t="shared" si="34"/>
        <v>0</v>
      </c>
      <c r="HU37" s="59">
        <f t="shared" si="35"/>
        <v>0</v>
      </c>
      <c r="HV37" s="59">
        <f t="shared" si="36"/>
        <v>0</v>
      </c>
      <c r="HW37" s="58">
        <f t="shared" si="224"/>
        <v>0</v>
      </c>
      <c r="HX37" s="45">
        <f t="shared" si="225"/>
        <v>31</v>
      </c>
      <c r="HY37" s="45">
        <f t="shared" si="37"/>
        <v>2.5889999999999995</v>
      </c>
      <c r="HZ37" s="45">
        <f t="shared" si="226"/>
        <v>1</v>
      </c>
      <c r="IA37" s="45">
        <f t="shared" si="227"/>
        <v>2</v>
      </c>
      <c r="IB37" s="45">
        <f t="shared" si="228"/>
        <v>0</v>
      </c>
      <c r="IC37" s="46" cm="1">
        <f t="array" ref="IC37">ROUND(IFERROR(INDEX(ArchiveResults!$F$5:$IX$116,ComparisonData!A37,ComparisonData!$IC$1),0),5)</f>
        <v>0</v>
      </c>
      <c r="ID37" s="46" cm="1">
        <f t="array" ref="ID37">ROUND(IFERROR(INDEX(ArchiveResults!$F$5:$IX$116,ComparisonData!A37,ComparisonData!$ID$1),0),5)</f>
        <v>0</v>
      </c>
      <c r="IE37" s="46" cm="1">
        <f t="array" ref="IE37">ROUND(IFERROR(INDEX(ArchiveResults!$F$5:$IX$116,ComparisonData!A37,ComparisonData!$IE$1),0),5)</f>
        <v>0</v>
      </c>
      <c r="IF37" s="46" cm="1">
        <f t="array" ref="IF37">ROUND(IFERROR(INDEX(ArchiveResults!$F$5:$IX$116,ComparisonData!A37,ComparisonData!$IF$1),0),5)</f>
        <v>0</v>
      </c>
      <c r="IG37" s="45" cm="1">
        <f t="array" ref="IG37">IFERROR(INDEX(ArchiveResults!$F$5:$IX$116,ComparisonData!A37,ComparisonData!$IG$1),0)</f>
        <v>0</v>
      </c>
      <c r="IH37" s="56">
        <v>32</v>
      </c>
      <c r="II37" s="53" t="str">
        <f t="shared" si="38"/>
        <v>Hampshire Archives and Local Studies</v>
      </c>
      <c r="IJ37" s="59">
        <f t="shared" si="229"/>
        <v>0</v>
      </c>
      <c r="IK37" s="59">
        <f t="shared" si="230"/>
        <v>0</v>
      </c>
      <c r="IL37" s="59">
        <f t="shared" si="231"/>
        <v>0</v>
      </c>
      <c r="IM37" s="59">
        <f t="shared" si="232"/>
        <v>0</v>
      </c>
      <c r="IN37" s="59">
        <f t="shared" si="233"/>
        <v>0</v>
      </c>
      <c r="IO37" s="58">
        <f t="shared" si="234"/>
        <v>0</v>
      </c>
      <c r="IP37" s="45">
        <f t="shared" si="235"/>
        <v>31</v>
      </c>
      <c r="IQ37" s="45">
        <f t="shared" si="39"/>
        <v>2.5889999999999995</v>
      </c>
      <c r="IR37" s="45">
        <f t="shared" si="236"/>
        <v>1</v>
      </c>
      <c r="IS37" s="45">
        <f t="shared" si="237"/>
        <v>2</v>
      </c>
      <c r="IT37" s="46">
        <f t="shared" si="238"/>
        <v>0</v>
      </c>
      <c r="IU37" s="46" cm="1">
        <f t="array" ref="IU37">ROUND(IFERROR(INDEX(ArchiveResults!$F$5:$IX$116,ComparisonData!A37,ComparisonData!$IU$1),0),5)</f>
        <v>0</v>
      </c>
      <c r="IV37" s="46" cm="1">
        <f t="array" ref="IV37">ROUND(IFERROR(INDEX(ArchiveResults!$F$5:$IX$116,ComparisonData!A37,ComparisonData!$IV$1),0),5)</f>
        <v>0</v>
      </c>
      <c r="IW37" s="46" cm="1">
        <f t="array" ref="IW37">ROUND(IFERROR(INDEX(ArchiveResults!$F$5:$IX$116,ComparisonData!A37,ComparisonData!$IW$1),0),5)</f>
        <v>0</v>
      </c>
      <c r="IX37" s="46" cm="1">
        <f t="array" ref="IX37">ROUND(IFERROR(INDEX(ArchiveResults!$F$5:$IX$116,ComparisonData!A37,ComparisonData!$IX$1),0),5)</f>
        <v>0</v>
      </c>
      <c r="IY37" s="45" cm="1">
        <f t="array" ref="IY37">IFERROR(INDEX(ArchiveResults!$F$5:$IX$116,ComparisonData!A37,ComparisonData!$IY$1),0)</f>
        <v>0</v>
      </c>
      <c r="IZ37" s="56">
        <v>32</v>
      </c>
      <c r="JA37" s="53" t="str">
        <f t="shared" si="40"/>
        <v>Hampshire Archives and Local Studies</v>
      </c>
      <c r="JB37" s="59">
        <f t="shared" si="239"/>
        <v>0</v>
      </c>
      <c r="JC37" s="59">
        <f t="shared" si="240"/>
        <v>0</v>
      </c>
      <c r="JD37" s="59">
        <f t="shared" si="241"/>
        <v>0</v>
      </c>
      <c r="JE37" s="59">
        <f t="shared" si="242"/>
        <v>0</v>
      </c>
      <c r="JF37" s="59">
        <f t="shared" si="243"/>
        <v>0</v>
      </c>
      <c r="JG37" s="58">
        <f t="shared" si="244"/>
        <v>0</v>
      </c>
      <c r="JH37" s="45">
        <f t="shared" si="245"/>
        <v>31</v>
      </c>
      <c r="JI37" s="45">
        <f t="shared" si="41"/>
        <v>2.5889999999999995</v>
      </c>
      <c r="JJ37" s="45">
        <f t="shared" si="246"/>
        <v>1</v>
      </c>
      <c r="JK37" s="45">
        <f t="shared" si="247"/>
        <v>2</v>
      </c>
      <c r="JL37" s="45">
        <f t="shared" si="248"/>
        <v>0</v>
      </c>
      <c r="JM37" s="46" cm="1">
        <f t="array" ref="JM37">ROUND(IFERROR(INDEX(ArchiveResults!$F$5:$IX$116,ComparisonData!A37,ComparisonData!$JM$1),0),5)</f>
        <v>0</v>
      </c>
      <c r="JN37" s="46" cm="1">
        <f t="array" ref="JN37">ROUND(IFERROR(INDEX(ArchiveResults!$F$5:$IX$116,ComparisonData!A37,ComparisonData!$JN$1),0),5)</f>
        <v>0</v>
      </c>
      <c r="JO37" s="46" cm="1">
        <f t="array" ref="JO37">ROUND(IFERROR(INDEX(ArchiveResults!$F$5:$IX$116,ComparisonData!A37,ComparisonData!$JO$1),0),5)</f>
        <v>0</v>
      </c>
      <c r="JP37" s="46" cm="1">
        <f t="array" ref="JP37">ROUND(IFERROR(INDEX(ArchiveResults!$F$5:$IX$116,ComparisonData!A37,ComparisonData!$JP$1),0),5)</f>
        <v>0</v>
      </c>
      <c r="JQ37" s="45" cm="1">
        <f t="array" ref="JQ37">IFERROR(INDEX(ArchiveResults!$F$5:$IX$116,ComparisonData!A37,ComparisonData!$JQ$1),0)</f>
        <v>0</v>
      </c>
      <c r="JR37" s="56">
        <v>32</v>
      </c>
      <c r="JS37" s="53" t="str">
        <f t="shared" si="42"/>
        <v>Hampshire Archives and Local Studies</v>
      </c>
      <c r="JT37" s="59">
        <f t="shared" si="249"/>
        <v>0</v>
      </c>
      <c r="JU37" s="59">
        <f t="shared" si="250"/>
        <v>0</v>
      </c>
      <c r="JV37" s="59">
        <f t="shared" si="251"/>
        <v>0</v>
      </c>
      <c r="JW37" s="59">
        <f t="shared" si="252"/>
        <v>0</v>
      </c>
      <c r="JX37" s="59">
        <f t="shared" si="253"/>
        <v>0</v>
      </c>
      <c r="JY37" s="58">
        <f t="shared" si="254"/>
        <v>0</v>
      </c>
      <c r="JZ37" s="45">
        <f t="shared" si="255"/>
        <v>31</v>
      </c>
      <c r="KA37" s="45">
        <f t="shared" si="43"/>
        <v>2.5889999999999995</v>
      </c>
      <c r="KB37" s="45">
        <f t="shared" si="256"/>
        <v>1</v>
      </c>
      <c r="KC37" s="45">
        <f t="shared" si="257"/>
        <v>2</v>
      </c>
      <c r="KD37" s="45">
        <f t="shared" si="258"/>
        <v>0</v>
      </c>
      <c r="KE37" s="46" cm="1">
        <f t="array" ref="KE37">ROUND(IFERROR(INDEX(ArchiveResults!$F$5:$IX$116,ComparisonData!A37,ComparisonData!$KE$1),0),5)</f>
        <v>0</v>
      </c>
      <c r="KF37" s="46" cm="1">
        <f t="array" ref="KF37">ROUND(IFERROR(INDEX(ArchiveResults!$F$5:$IX$116,ComparisonData!A37,ComparisonData!$KF$1),0),5)</f>
        <v>0</v>
      </c>
      <c r="KG37" s="46" cm="1">
        <f t="array" ref="KG37">ROUND(IFERROR(INDEX(ArchiveResults!$F$5:$IX$116,ComparisonData!A37,ComparisonData!$KG$1),0),5)</f>
        <v>0</v>
      </c>
      <c r="KH37" s="46" cm="1">
        <f t="array" ref="KH37">ROUND(IFERROR(INDEX(ArchiveResults!$F$5:$IX$116,ComparisonData!A37,ComparisonData!$KH$1),0),5)</f>
        <v>0</v>
      </c>
      <c r="KI37" s="45" cm="1">
        <f t="array" ref="KI37">IFERROR(INDEX(ArchiveResults!$F$5:$IX$116,ComparisonData!A37,ComparisonData!$KI$1),0)</f>
        <v>0</v>
      </c>
      <c r="KJ37" s="56">
        <v>32</v>
      </c>
      <c r="KK37" s="53" t="str">
        <f t="shared" si="44"/>
        <v>Hampshire Archives and Local Studies</v>
      </c>
      <c r="KL37" s="59">
        <f t="shared" si="259"/>
        <v>0</v>
      </c>
      <c r="KM37" s="59">
        <f t="shared" si="260"/>
        <v>0</v>
      </c>
      <c r="KN37" s="59">
        <f t="shared" si="261"/>
        <v>0</v>
      </c>
      <c r="KO37" s="59">
        <f t="shared" si="262"/>
        <v>0</v>
      </c>
      <c r="KP37" s="59">
        <f t="shared" si="263"/>
        <v>0</v>
      </c>
      <c r="KQ37" s="58">
        <f t="shared" si="264"/>
        <v>0</v>
      </c>
      <c r="KR37" s="45">
        <f t="shared" si="265"/>
        <v>31</v>
      </c>
      <c r="KS37" s="45">
        <f t="shared" si="45"/>
        <v>2.5889999999999995</v>
      </c>
      <c r="KT37" s="45">
        <f t="shared" si="266"/>
        <v>1</v>
      </c>
      <c r="KU37" s="45">
        <f t="shared" si="267"/>
        <v>2</v>
      </c>
      <c r="KV37" s="45">
        <f t="shared" si="268"/>
        <v>0</v>
      </c>
      <c r="KW37" s="46" cm="1">
        <f t="array" ref="KW37">ROUND(IFERROR(INDEX(ArchiveResults!$F$5:$IX$116,ComparisonData!A37,ComparisonData!$KW$1),0),5)</f>
        <v>0</v>
      </c>
      <c r="KX37" s="46" cm="1">
        <f t="array" ref="KX37">ROUND(IFERROR(INDEX(ArchiveResults!$F$5:$IX$116,ComparisonData!A37,ComparisonData!$KX$1),0),5)</f>
        <v>0</v>
      </c>
      <c r="KY37" s="46" cm="1">
        <f t="array" ref="KY37">ROUND(IFERROR(INDEX(ArchiveResults!$F$5:$IX$116,ComparisonData!A37,ComparisonData!$KY$1),0),5)</f>
        <v>0</v>
      </c>
      <c r="KZ37" s="46" cm="1">
        <f t="array" ref="KZ37">ROUND(IFERROR(INDEX(ArchiveResults!$F$5:$IX$116,ComparisonData!A37,ComparisonData!$KZ$1),0),5)</f>
        <v>0</v>
      </c>
      <c r="LA37" s="45" cm="1">
        <f t="array" ref="LA37">IFERROR(INDEX(ArchiveResults!$F$5:$IX$116,ComparisonData!A37,ComparisonData!$LA$1),0)</f>
        <v>0</v>
      </c>
      <c r="LB37" s="56">
        <v>32</v>
      </c>
      <c r="LC37" s="53" t="str">
        <f t="shared" si="46"/>
        <v>Hampshire Archives and Local Studies</v>
      </c>
      <c r="LD37" s="59">
        <f t="shared" si="269"/>
        <v>0</v>
      </c>
      <c r="LE37" s="59">
        <f t="shared" si="270"/>
        <v>0</v>
      </c>
      <c r="LF37" s="59">
        <f t="shared" si="271"/>
        <v>0</v>
      </c>
      <c r="LG37" s="59">
        <f t="shared" si="272"/>
        <v>0</v>
      </c>
      <c r="LH37" s="59">
        <f t="shared" si="273"/>
        <v>0</v>
      </c>
      <c r="LI37" s="58">
        <f t="shared" si="274"/>
        <v>0</v>
      </c>
      <c r="LJ37" s="45">
        <f t="shared" si="275"/>
        <v>31</v>
      </c>
      <c r="LK37" s="45">
        <f t="shared" si="47"/>
        <v>2.5889999999999995</v>
      </c>
      <c r="LL37" s="45">
        <f t="shared" si="276"/>
        <v>1</v>
      </c>
      <c r="LM37" s="45">
        <f t="shared" si="277"/>
        <v>2</v>
      </c>
      <c r="LN37" s="45">
        <f t="shared" si="278"/>
        <v>0</v>
      </c>
      <c r="LO37" s="46" cm="1">
        <f t="array" ref="LO37">ROUND(IFERROR(INDEX(ArchiveResults!$F$5:$IX$116,ComparisonData!A37,ComparisonData!$LO$1),0),5)</f>
        <v>0</v>
      </c>
      <c r="LP37" s="46" cm="1">
        <f t="array" ref="LP37">ROUND(IFERROR(INDEX(ArchiveResults!$F$5:$IX$116,ComparisonData!A37,ComparisonData!$LP$1),0),5)</f>
        <v>0</v>
      </c>
      <c r="LQ37" s="46" cm="1">
        <f t="array" ref="LQ37">ROUND(IFERROR(INDEX(ArchiveResults!$F$5:$IX$116,ComparisonData!A37,ComparisonData!$LQ$1),0),5)</f>
        <v>0</v>
      </c>
      <c r="LR37" s="46" cm="1">
        <f t="array" ref="LR37">ROUND(IFERROR(INDEX(ArchiveResults!$F$5:$IX$116,ComparisonData!A37,ComparisonData!$LR$1),0),5)</f>
        <v>0</v>
      </c>
      <c r="LS37" s="45" cm="1">
        <f t="array" ref="LS37">IFERROR(INDEX(ArchiveResults!$F$5:$IX$116,ComparisonData!A37,ComparisonData!$LS$1),0)</f>
        <v>0</v>
      </c>
      <c r="LT37" s="56">
        <v>32</v>
      </c>
      <c r="LU37" s="53" t="str">
        <f t="shared" si="48"/>
        <v>Hampshire Archives and Local Studies</v>
      </c>
      <c r="LV37" s="59">
        <f t="shared" si="279"/>
        <v>0</v>
      </c>
      <c r="LW37" s="59">
        <f t="shared" si="280"/>
        <v>0</v>
      </c>
      <c r="LX37" s="59">
        <f t="shared" si="281"/>
        <v>0</v>
      </c>
      <c r="LY37" s="59">
        <f t="shared" si="282"/>
        <v>0</v>
      </c>
      <c r="LZ37" s="59">
        <f t="shared" si="283"/>
        <v>0</v>
      </c>
      <c r="MA37" s="58">
        <f t="shared" si="284"/>
        <v>0</v>
      </c>
      <c r="MB37" s="45">
        <f t="shared" si="285"/>
        <v>31</v>
      </c>
      <c r="MC37" s="45">
        <f t="shared" si="49"/>
        <v>2.5889999999999995</v>
      </c>
      <c r="MD37" s="45">
        <f t="shared" si="286"/>
        <v>1</v>
      </c>
      <c r="ME37" s="45">
        <f t="shared" si="287"/>
        <v>2</v>
      </c>
      <c r="MF37" s="45">
        <f t="shared" si="288"/>
        <v>0</v>
      </c>
      <c r="MG37" s="46" cm="1">
        <f t="array" ref="MG37">ROUND(IFERROR(INDEX(ArchiveResults!$F$5:$IX$116,ComparisonData!A37,ComparisonData!$MG$1),0),5)</f>
        <v>0</v>
      </c>
      <c r="MH37" s="46" cm="1">
        <f t="array" ref="MH37">ROUND(IFERROR(INDEX(ArchiveResults!$F$5:$IX$116,ComparisonData!A37,ComparisonData!$MH$1),0),5)</f>
        <v>0</v>
      </c>
      <c r="MI37" s="46" cm="1">
        <f t="array" ref="MI37">ROUND(IFERROR(INDEX(ArchiveResults!$F$5:$IX$116,ComparisonData!A37,ComparisonData!$MI$1),0),5)</f>
        <v>0</v>
      </c>
      <c r="MJ37" s="46" cm="1">
        <f t="array" ref="MJ37">ROUND(IFERROR(INDEX(ArchiveResults!$F$5:$IX$116,ComparisonData!A37,ComparisonData!$MJ$1),0),5)</f>
        <v>0</v>
      </c>
      <c r="MK37" s="45" cm="1">
        <f t="array" ref="MK37">IFERROR(INDEX(ArchiveResults!$F$5:$IX$116,ComparisonData!A37,ComparisonData!$MK$1),0)</f>
        <v>0</v>
      </c>
      <c r="ML37" s="56">
        <v>32</v>
      </c>
      <c r="MM37" s="53" t="str">
        <f t="shared" si="50"/>
        <v>Hampshire Archives and Local Studies</v>
      </c>
      <c r="MN37" s="59">
        <f t="shared" si="289"/>
        <v>0</v>
      </c>
      <c r="MO37" s="59">
        <f t="shared" si="290"/>
        <v>0</v>
      </c>
      <c r="MP37" s="59">
        <f t="shared" si="291"/>
        <v>0</v>
      </c>
      <c r="MQ37" s="59">
        <f t="shared" si="292"/>
        <v>0</v>
      </c>
      <c r="MR37" s="59">
        <f t="shared" si="293"/>
        <v>0</v>
      </c>
      <c r="MS37" s="58">
        <f t="shared" si="294"/>
        <v>0</v>
      </c>
      <c r="MT37" s="45">
        <f t="shared" si="295"/>
        <v>31</v>
      </c>
      <c r="MU37" s="45">
        <f t="shared" si="51"/>
        <v>2.5889999999999995</v>
      </c>
      <c r="MV37" s="45">
        <f t="shared" si="296"/>
        <v>1</v>
      </c>
      <c r="MW37" s="45">
        <f t="shared" si="297"/>
        <v>2</v>
      </c>
      <c r="MX37" s="45">
        <f t="shared" si="298"/>
        <v>0</v>
      </c>
      <c r="MY37" s="46" cm="1">
        <f t="array" ref="MY37">ROUND(IFERROR(INDEX(ArchiveResults!$F$5:$IX$116,ComparisonData!A37,ComparisonData!$MY$1),0),5)</f>
        <v>0</v>
      </c>
      <c r="MZ37" s="46" cm="1">
        <f t="array" ref="MZ37">ROUND(IFERROR(INDEX(ArchiveResults!$F$5:$IX$116,ComparisonData!A37,ComparisonData!$MZ$1),0),5)</f>
        <v>0</v>
      </c>
      <c r="NA37" s="46" cm="1">
        <f t="array" ref="NA37">ROUND(IFERROR(INDEX(ArchiveResults!$F$5:$IX$116,ComparisonData!A37,ComparisonData!$NA$1),0),5)</f>
        <v>0</v>
      </c>
      <c r="NB37" s="46" cm="1">
        <f t="array" ref="NB37">ROUND(IFERROR(INDEX(ArchiveResults!$F$5:$IX$116,ComparisonData!A37,ComparisonData!$NB$1),0),5)</f>
        <v>0</v>
      </c>
      <c r="NC37" s="45" cm="1">
        <f t="array" ref="NC37">IFERROR(INDEX(ArchiveResults!$F$5:$IX$116,ComparisonData!A37,ComparisonData!$NC$1),0)</f>
        <v>0</v>
      </c>
      <c r="ND37" s="56">
        <v>32</v>
      </c>
      <c r="NE37" s="53" t="str">
        <f t="shared" si="52"/>
        <v>Hampshire Archives and Local Studies</v>
      </c>
      <c r="NF37" s="59">
        <f t="shared" si="299"/>
        <v>0</v>
      </c>
      <c r="NG37" s="59">
        <f t="shared" si="300"/>
        <v>0</v>
      </c>
      <c r="NH37" s="59">
        <f t="shared" si="301"/>
        <v>0</v>
      </c>
      <c r="NI37" s="59">
        <f t="shared" si="302"/>
        <v>0</v>
      </c>
      <c r="NJ37" s="59">
        <f t="shared" si="303"/>
        <v>0</v>
      </c>
      <c r="NK37" s="58">
        <f t="shared" si="304"/>
        <v>0</v>
      </c>
      <c r="NL37" s="45">
        <f t="shared" si="305"/>
        <v>31</v>
      </c>
      <c r="NM37" s="45">
        <f t="shared" si="53"/>
        <v>2.5889999999999995</v>
      </c>
      <c r="NN37" s="45">
        <f t="shared" si="306"/>
        <v>1</v>
      </c>
      <c r="NO37" s="45">
        <f t="shared" si="307"/>
        <v>2</v>
      </c>
      <c r="NP37" s="46" cm="1">
        <f t="array" ref="NP37">ROUND(IFERROR(INDEX(ArchiveResults!$F$5:$IX$116,ComparisonData!A37,ComparisonData!$NP$1),0),5)</f>
        <v>0</v>
      </c>
      <c r="NQ37" s="46" cm="1">
        <f t="array" ref="NQ37">ROUND(IFERROR(INDEX(ArchiveResults!$F$5:$IX$116,ComparisonData!A37,ComparisonData!$NQ$1),0),5)</f>
        <v>0</v>
      </c>
      <c r="NR37" s="46" cm="1">
        <f t="array" ref="NR37">ROUND(IFERROR(INDEX(ArchiveResults!$F$5:$IX$116,ComparisonData!A37,ComparisonData!$NR$1),0),5)</f>
        <v>0</v>
      </c>
      <c r="NS37" s="46" cm="1">
        <f t="array" ref="NS37">ROUND(IFERROR(INDEX(ArchiveResults!$F$5:$IX$116,ComparisonData!A37,ComparisonData!$NS$1),0),5)</f>
        <v>0</v>
      </c>
      <c r="NT37" s="45" cm="1">
        <f t="array" ref="NT37">IFERROR(INDEX(ArchiveResults!$F$5:$IX$116,ComparisonData!A37,ComparisonData!$NT$1),0)</f>
        <v>0</v>
      </c>
      <c r="NU37" s="56">
        <v>32</v>
      </c>
      <c r="NV37" s="53" t="str">
        <f t="shared" si="54"/>
        <v>Hampshire Archives and Local Studies</v>
      </c>
      <c r="NW37" s="59">
        <f t="shared" si="308"/>
        <v>0</v>
      </c>
      <c r="NX37" s="59">
        <f t="shared" si="309"/>
        <v>0</v>
      </c>
      <c r="NY37" s="59">
        <f t="shared" si="310"/>
        <v>0</v>
      </c>
      <c r="NZ37" s="59">
        <f t="shared" si="311"/>
        <v>0</v>
      </c>
      <c r="OA37" s="59">
        <f t="shared" si="312"/>
        <v>0</v>
      </c>
      <c r="OB37" s="58">
        <f t="shared" si="313"/>
        <v>0</v>
      </c>
      <c r="OC37" s="45">
        <f t="shared" si="314"/>
        <v>31</v>
      </c>
      <c r="OD37" s="45">
        <f t="shared" si="55"/>
        <v>2.5889999999999995</v>
      </c>
      <c r="OE37" s="45">
        <f t="shared" si="315"/>
        <v>1</v>
      </c>
      <c r="OF37" s="45">
        <f t="shared" si="316"/>
        <v>2</v>
      </c>
      <c r="OG37" s="46">
        <f t="shared" si="317"/>
        <v>0</v>
      </c>
      <c r="OH37" s="46" cm="1">
        <f t="array" ref="OH37">ROUND(IFERROR(INDEX(ArchiveResults!$F$5:$IX$116,ComparisonData!A37,ComparisonData!$OH$1),0),5)</f>
        <v>0</v>
      </c>
      <c r="OI37" s="46" cm="1">
        <f t="array" ref="OI37">ROUND(IFERROR(INDEX(ArchiveResults!$F$5:$IX$116,ComparisonData!A37,ComparisonData!$OI$1),0),5)</f>
        <v>0</v>
      </c>
      <c r="OJ37" s="46" cm="1">
        <f t="array" ref="OJ37">ROUND(IFERROR(INDEX(ArchiveResults!$F$5:$IX$116,ComparisonData!A37,ComparisonData!$OJ$1),0),5)</f>
        <v>0</v>
      </c>
      <c r="OK37" s="46" cm="1">
        <f t="array" ref="OK37">ROUND(IFERROR(INDEX(ArchiveResults!$F$5:$IX$116,ComparisonData!A37,ComparisonData!$OK$1),0),5)</f>
        <v>0</v>
      </c>
      <c r="OL37" s="45" cm="1">
        <f t="array" ref="OL37">IFERROR(INDEX(ArchiveResults!$F$5:$IX$116,ComparisonData!A37,ComparisonData!$OL$1),0)</f>
        <v>0</v>
      </c>
      <c r="OM37" s="56">
        <v>32</v>
      </c>
      <c r="ON37" s="53" t="str">
        <f t="shared" si="56"/>
        <v>Hampshire Archives and Local Studies</v>
      </c>
      <c r="OO37" s="59">
        <f t="shared" si="318"/>
        <v>0</v>
      </c>
      <c r="OP37" s="59">
        <f t="shared" si="319"/>
        <v>0</v>
      </c>
      <c r="OQ37" s="59">
        <f t="shared" si="320"/>
        <v>0</v>
      </c>
      <c r="OR37" s="59">
        <f t="shared" si="321"/>
        <v>0</v>
      </c>
      <c r="OS37" s="59">
        <f t="shared" si="322"/>
        <v>0</v>
      </c>
      <c r="OT37" s="58">
        <f t="shared" si="323"/>
        <v>0</v>
      </c>
      <c r="OU37" s="45">
        <f t="shared" si="324"/>
        <v>31</v>
      </c>
      <c r="OV37" s="45">
        <f t="shared" si="57"/>
        <v>2.5889999999999995</v>
      </c>
      <c r="OW37" s="45">
        <f t="shared" si="325"/>
        <v>1</v>
      </c>
      <c r="OX37" s="45">
        <f t="shared" si="326"/>
        <v>2</v>
      </c>
      <c r="OY37" s="45">
        <f t="shared" si="327"/>
        <v>0</v>
      </c>
      <c r="OZ37" s="46" cm="1">
        <f t="array" ref="OZ37">ROUND(IFERROR(INDEX(ArchiveResults!$F$5:$IX$116,ComparisonData!A37,ComparisonData!$OZ$1),0),5)</f>
        <v>0</v>
      </c>
      <c r="PA37" s="46" cm="1">
        <f t="array" ref="PA37">ROUND(IFERROR(INDEX(ArchiveResults!$F$5:$IX$116,ComparisonData!A37,ComparisonData!$PA$1),0),5)</f>
        <v>0</v>
      </c>
      <c r="PB37" s="46" cm="1">
        <f t="array" ref="PB37">ROUND(IFERROR(INDEX(ArchiveResults!$F$5:$IX$116,ComparisonData!A37,ComparisonData!$PB$1),0),5)</f>
        <v>0</v>
      </c>
      <c r="PC37" s="46" cm="1">
        <f t="array" ref="PC37">ROUND(IFERROR(INDEX(ArchiveResults!$F$5:$IX$116,ComparisonData!A37,ComparisonData!$PC$1),0),5)</f>
        <v>0</v>
      </c>
      <c r="PD37" s="45" cm="1">
        <f t="array" ref="PD37">IFERROR(INDEX(ArchiveResults!$F$5:$IX$116,ComparisonData!A37,ComparisonData!$PD$1),0)</f>
        <v>0</v>
      </c>
      <c r="PE37" s="56">
        <v>32</v>
      </c>
      <c r="PF37" s="53" t="str">
        <f t="shared" si="58"/>
        <v>Hampshire Archives and Local Studies</v>
      </c>
      <c r="PG37" s="59">
        <f t="shared" si="328"/>
        <v>0</v>
      </c>
      <c r="PH37" s="59">
        <f t="shared" si="329"/>
        <v>0</v>
      </c>
      <c r="PI37" s="59">
        <f t="shared" si="330"/>
        <v>0</v>
      </c>
      <c r="PJ37" s="59">
        <f t="shared" si="331"/>
        <v>0</v>
      </c>
      <c r="PK37" s="59">
        <f t="shared" si="332"/>
        <v>0</v>
      </c>
      <c r="PL37" s="58">
        <f t="shared" si="333"/>
        <v>0</v>
      </c>
      <c r="PM37" s="45">
        <f t="shared" si="334"/>
        <v>31</v>
      </c>
      <c r="PN37" s="45">
        <f t="shared" si="59"/>
        <v>2.5889999999999995</v>
      </c>
      <c r="PO37" s="45">
        <f t="shared" si="335"/>
        <v>1</v>
      </c>
      <c r="PP37" s="45">
        <f t="shared" si="336"/>
        <v>2</v>
      </c>
      <c r="PQ37" s="45">
        <f t="shared" si="337"/>
        <v>0</v>
      </c>
      <c r="PR37" s="46" cm="1">
        <f t="array" ref="PR37">ROUND(IFERROR(INDEX(ArchiveResults!$F$5:$IX$116,ComparisonData!A37,ComparisonData!$PR$1),0),5)</f>
        <v>0</v>
      </c>
      <c r="PS37" s="46" cm="1">
        <f t="array" ref="PS37">ROUND(IFERROR(INDEX(ArchiveResults!$F$5:$IX$116,ComparisonData!A37,ComparisonData!$PS$1),0),5)</f>
        <v>0</v>
      </c>
      <c r="PT37" s="46" cm="1">
        <f t="array" ref="PT37">ROUND(IFERROR(INDEX(ArchiveResults!$F$5:$IX$116,ComparisonData!A37,ComparisonData!$PT$1),0),5)</f>
        <v>0</v>
      </c>
      <c r="PU37" s="46" cm="1">
        <f t="array" ref="PU37">ROUND(IFERROR(INDEX(ArchiveResults!$F$5:$IX$116,ComparisonData!A37,ComparisonData!$PU$1),0),5)</f>
        <v>0</v>
      </c>
      <c r="PV37" s="45" cm="1">
        <f t="array" ref="PV37">IFERROR(INDEX(ArchiveResults!$F$5:$IX$116,ComparisonData!A37,ComparisonData!$PV$1),0)</f>
        <v>0</v>
      </c>
      <c r="PW37" s="56">
        <v>32</v>
      </c>
      <c r="PX37" s="53" t="str">
        <f t="shared" si="60"/>
        <v>Hampshire Archives and Local Studies</v>
      </c>
      <c r="PY37" s="59">
        <f t="shared" si="338"/>
        <v>0</v>
      </c>
      <c r="PZ37" s="59">
        <f t="shared" si="339"/>
        <v>0</v>
      </c>
      <c r="QA37" s="59">
        <f t="shared" si="340"/>
        <v>0</v>
      </c>
      <c r="QB37" s="59">
        <f t="shared" si="341"/>
        <v>0</v>
      </c>
      <c r="QC37" s="59">
        <f t="shared" si="342"/>
        <v>0</v>
      </c>
      <c r="QD37" s="58">
        <f t="shared" si="343"/>
        <v>0</v>
      </c>
      <c r="QE37" s="45">
        <f t="shared" si="344"/>
        <v>31</v>
      </c>
      <c r="QF37" s="45">
        <f t="shared" si="61"/>
        <v>2.5889999999999995</v>
      </c>
      <c r="QG37" s="45">
        <f t="shared" si="345"/>
        <v>1</v>
      </c>
      <c r="QH37" s="45">
        <f t="shared" si="346"/>
        <v>2</v>
      </c>
      <c r="QI37" s="45">
        <f t="shared" si="347"/>
        <v>0</v>
      </c>
      <c r="QJ37" s="46" cm="1">
        <f t="array" ref="QJ37">ROUND(IFERROR(INDEX(ArchiveResults!$F$5:$IX$116,ComparisonData!A37,ComparisonData!$QJ$1),0),5)</f>
        <v>0</v>
      </c>
      <c r="QK37" s="46" cm="1">
        <f t="array" ref="QK37">ROUND(IFERROR(INDEX(ArchiveResults!$F$5:$IX$116,ComparisonData!A37,ComparisonData!$QK$1),0),5)</f>
        <v>0</v>
      </c>
      <c r="QL37" s="46" cm="1">
        <f t="array" ref="QL37">ROUND(IFERROR(INDEX(ArchiveResults!$F$5:$IX$116,ComparisonData!A37,ComparisonData!$QL$1),0),5)</f>
        <v>0</v>
      </c>
      <c r="QM37" s="46" cm="1">
        <f t="array" ref="QM37">ROUND(IFERROR(INDEX(ArchiveResults!$F$5:$IX$116,ComparisonData!A37,ComparisonData!$QM$1),0),5)</f>
        <v>0</v>
      </c>
      <c r="QN37" s="45" cm="1">
        <f t="array" ref="QN37">IFERROR(INDEX(ArchiveResults!$F$5:$IX$116,ComparisonData!A37,ComparisonData!$QN$1),0)</f>
        <v>0</v>
      </c>
      <c r="QO37" s="56">
        <v>32</v>
      </c>
      <c r="QP37" s="53" t="str">
        <f t="shared" si="62"/>
        <v>Hampshire Archives and Local Studies</v>
      </c>
      <c r="QQ37" s="59">
        <f t="shared" si="348"/>
        <v>0</v>
      </c>
      <c r="QR37" s="59">
        <f t="shared" si="349"/>
        <v>0</v>
      </c>
      <c r="QS37" s="59">
        <f t="shared" si="350"/>
        <v>0</v>
      </c>
      <c r="QT37" s="59">
        <f t="shared" si="351"/>
        <v>0</v>
      </c>
      <c r="QU37" s="59">
        <f t="shared" si="352"/>
        <v>0</v>
      </c>
      <c r="QV37" s="58">
        <f t="shared" si="353"/>
        <v>0</v>
      </c>
      <c r="QW37" s="45">
        <f t="shared" si="354"/>
        <v>31</v>
      </c>
      <c r="QX37" s="45">
        <f t="shared" si="63"/>
        <v>2.5889999999999995</v>
      </c>
      <c r="QY37" s="45">
        <f t="shared" si="355"/>
        <v>1</v>
      </c>
      <c r="QZ37" s="45">
        <f t="shared" si="356"/>
        <v>2</v>
      </c>
      <c r="RA37" s="45">
        <f t="shared" si="357"/>
        <v>0</v>
      </c>
      <c r="RB37" s="46" cm="1">
        <f t="array" ref="RB37">ROUND(IFERROR(INDEX(ArchiveResults!$F$5:$IX$116,ComparisonData!A37,ComparisonData!$RB$1),0),5)</f>
        <v>0</v>
      </c>
      <c r="RC37" s="46" cm="1">
        <f t="array" ref="RC37">ROUND(IFERROR(INDEX(ArchiveResults!$F$5:$IX$116,ComparisonData!A37,ComparisonData!$RC$1),0),5)</f>
        <v>0</v>
      </c>
      <c r="RD37" s="46" cm="1">
        <f t="array" ref="RD37">ROUND(IFERROR(INDEX(ArchiveResults!$F$5:$IX$116,ComparisonData!A37,ComparisonData!$RD$1),0),5)</f>
        <v>0</v>
      </c>
      <c r="RE37" s="46" cm="1">
        <f t="array" ref="RE37">ROUND(IFERROR(INDEX(ArchiveResults!$F$5:$IX$116,ComparisonData!A37,ComparisonData!$RE$1),0),5)</f>
        <v>0</v>
      </c>
      <c r="RF37" s="45" cm="1">
        <f t="array" ref="RF37">IFERROR(INDEX(ArchiveResults!$F$5:$IX$116,ComparisonData!A37,ComparisonData!$RF$1),0)</f>
        <v>0</v>
      </c>
      <c r="RG37" s="56">
        <v>32</v>
      </c>
      <c r="RH37" s="53" t="str">
        <f t="shared" si="64"/>
        <v>Hampshire Archives and Local Studies</v>
      </c>
      <c r="RI37" s="59">
        <f t="shared" si="358"/>
        <v>0</v>
      </c>
      <c r="RJ37" s="59">
        <f t="shared" si="359"/>
        <v>0</v>
      </c>
      <c r="RK37" s="59">
        <f t="shared" si="360"/>
        <v>0</v>
      </c>
      <c r="RL37" s="59">
        <f t="shared" si="361"/>
        <v>0</v>
      </c>
      <c r="RM37" s="59">
        <f t="shared" si="362"/>
        <v>0</v>
      </c>
      <c r="RN37" s="58">
        <f t="shared" si="363"/>
        <v>0</v>
      </c>
      <c r="RO37" s="45">
        <f t="shared" si="364"/>
        <v>31</v>
      </c>
      <c r="RP37" s="45">
        <f t="shared" si="65"/>
        <v>2.5889999999999995</v>
      </c>
      <c r="RQ37" s="45">
        <f t="shared" si="365"/>
        <v>1</v>
      </c>
      <c r="RR37" s="45">
        <f t="shared" si="366"/>
        <v>2</v>
      </c>
      <c r="RS37" s="45">
        <f t="shared" si="367"/>
        <v>0</v>
      </c>
      <c r="RT37" s="46" cm="1">
        <f t="array" ref="RT37">ROUND(IFERROR(INDEX(ArchiveResults!$F$5:$IX$116,ComparisonData!A37,ComparisonData!$RT$1),0),5)</f>
        <v>0</v>
      </c>
      <c r="RU37" s="46" cm="1">
        <f t="array" ref="RU37">ROUND(IFERROR(INDEX(ArchiveResults!$F$5:$IX$116,ComparisonData!A37,ComparisonData!$RU$1),0),5)</f>
        <v>0</v>
      </c>
      <c r="RV37" s="46" cm="1">
        <f t="array" ref="RV37">ROUND(IFERROR(INDEX(ArchiveResults!$F$5:$IX$116,ComparisonData!A37,ComparisonData!$RV$1),0),5)</f>
        <v>0</v>
      </c>
      <c r="RW37" s="46" cm="1">
        <f t="array" ref="RW37">ROUND(IFERROR(INDEX(ArchiveResults!$F$5:$IX$116,ComparisonData!A37,ComparisonData!$RW$1),0),5)</f>
        <v>0</v>
      </c>
      <c r="RX37" s="45" cm="1">
        <f t="array" ref="RX37">IFERROR(INDEX(ArchiveResults!$F$5:$IX$116,ComparisonData!A37,ComparisonData!$RX$1),0)</f>
        <v>0</v>
      </c>
      <c r="RY37" s="56">
        <v>32</v>
      </c>
      <c r="RZ37" s="53" t="str">
        <f t="shared" si="66"/>
        <v>Hampshire Archives and Local Studies</v>
      </c>
      <c r="SA37" s="59">
        <f t="shared" si="368"/>
        <v>0</v>
      </c>
      <c r="SB37" s="59">
        <f t="shared" si="369"/>
        <v>0</v>
      </c>
      <c r="SC37" s="59">
        <f t="shared" si="370"/>
        <v>0</v>
      </c>
      <c r="SD37" s="59">
        <f t="shared" si="371"/>
        <v>0</v>
      </c>
      <c r="SE37" s="59">
        <f t="shared" si="372"/>
        <v>0</v>
      </c>
      <c r="SF37" s="58">
        <f t="shared" si="373"/>
        <v>0</v>
      </c>
      <c r="SG37" s="45">
        <f t="shared" si="374"/>
        <v>31</v>
      </c>
      <c r="SH37" s="45">
        <f t="shared" si="67"/>
        <v>2.5889999999999995</v>
      </c>
      <c r="SI37" s="45">
        <f t="shared" si="375"/>
        <v>1</v>
      </c>
      <c r="SJ37" s="45">
        <f t="shared" si="376"/>
        <v>2</v>
      </c>
      <c r="SK37" s="45">
        <f t="shared" si="377"/>
        <v>0</v>
      </c>
      <c r="SL37" s="46" cm="1">
        <f t="array" ref="SL37">ROUND(IFERROR(INDEX(ArchiveResults!$F$5:$IX$116,ComparisonData!A37,ComparisonData!$SL$1),0),5)</f>
        <v>0</v>
      </c>
      <c r="SM37" s="46" cm="1">
        <f t="array" ref="SM37">ROUND(IFERROR(INDEX(ArchiveResults!$F$5:$IX$116,ComparisonData!A37,ComparisonData!$SM$1),0),5)</f>
        <v>0</v>
      </c>
      <c r="SN37" s="46" cm="1">
        <f t="array" ref="SN37">ROUND(IFERROR(INDEX(ArchiveResults!$F$5:$IX$116,ComparisonData!A37,ComparisonData!$SN$1),0),5)</f>
        <v>0</v>
      </c>
      <c r="SO37" s="46" cm="1">
        <f t="array" ref="SO37">ROUND(IFERROR(INDEX(ArchiveResults!$F$5:$IX$116,ComparisonData!A37,ComparisonData!$SO$1),0),5)</f>
        <v>0</v>
      </c>
      <c r="SP37" s="45" cm="1">
        <f t="array" ref="SP37">IFERROR(INDEX(ArchiveResults!$F$5:$IX$116,ComparisonData!A37,ComparisonData!$SP$1),0)</f>
        <v>0</v>
      </c>
      <c r="SQ37" s="56">
        <v>32</v>
      </c>
      <c r="SR37" s="53" t="str">
        <f t="shared" si="68"/>
        <v>Hampshire Archives and Local Studies</v>
      </c>
      <c r="SS37" s="59">
        <f t="shared" si="378"/>
        <v>0</v>
      </c>
      <c r="ST37" s="59">
        <f t="shared" si="379"/>
        <v>0</v>
      </c>
      <c r="SU37" s="59">
        <f t="shared" si="380"/>
        <v>0</v>
      </c>
      <c r="SV37" s="59">
        <f t="shared" si="381"/>
        <v>0</v>
      </c>
      <c r="SW37" s="59">
        <f t="shared" si="382"/>
        <v>0</v>
      </c>
      <c r="SX37" s="58">
        <f t="shared" si="383"/>
        <v>0</v>
      </c>
      <c r="SY37" s="45">
        <f t="shared" si="384"/>
        <v>31</v>
      </c>
      <c r="SZ37" s="45">
        <f t="shared" si="69"/>
        <v>2.5889999999999995</v>
      </c>
      <c r="TA37" s="45">
        <f t="shared" si="385"/>
        <v>1</v>
      </c>
      <c r="TB37" s="45">
        <f t="shared" si="386"/>
        <v>2</v>
      </c>
      <c r="TC37" s="45">
        <f t="shared" si="387"/>
        <v>0</v>
      </c>
      <c r="TD37" s="46" cm="1">
        <f t="array" ref="TD37">ROUND(IFERROR(INDEX(ArchiveResults!$F$5:$IX$116,ComparisonData!A37,ComparisonData!$TD$1),0),5)</f>
        <v>0</v>
      </c>
      <c r="TE37" s="46" cm="1">
        <f t="array" ref="TE37">ROUND(IFERROR(INDEX(ArchiveResults!$F$5:$IX$116,ComparisonData!A37,ComparisonData!$TE$1),0),5)</f>
        <v>0</v>
      </c>
      <c r="TF37" s="46" cm="1">
        <f t="array" ref="TF37">ROUND(IFERROR(INDEX(ArchiveResults!$F$5:$IX$116,ComparisonData!A37,ComparisonData!$TF$1),0),5)</f>
        <v>0</v>
      </c>
      <c r="TG37" s="46" cm="1">
        <f t="array" ref="TG37">ROUND(IFERROR(INDEX(ArchiveResults!$F$5:$IX$116,ComparisonData!A37,ComparisonData!$TG$1),0),5)</f>
        <v>0</v>
      </c>
      <c r="TH37" s="45" cm="1">
        <f t="array" ref="TH37">IFERROR(INDEX(ArchiveResults!$F$5:$IX$116,ComparisonData!A37,ComparisonData!$TH$1),0)</f>
        <v>0</v>
      </c>
      <c r="TI37" s="56">
        <v>32</v>
      </c>
      <c r="TJ37" s="53" t="str">
        <f t="shared" si="70"/>
        <v>Hampshire Archives and Local Studies</v>
      </c>
      <c r="TK37" s="59">
        <f t="shared" si="388"/>
        <v>0</v>
      </c>
      <c r="TL37" s="59">
        <f t="shared" si="389"/>
        <v>0</v>
      </c>
      <c r="TM37" s="59">
        <f t="shared" si="390"/>
        <v>0</v>
      </c>
      <c r="TN37" s="59">
        <f t="shared" si="391"/>
        <v>0</v>
      </c>
      <c r="TO37" s="59">
        <f t="shared" si="392"/>
        <v>0</v>
      </c>
      <c r="TP37" s="58">
        <f t="shared" si="393"/>
        <v>0</v>
      </c>
      <c r="TQ37" s="45">
        <f t="shared" si="394"/>
        <v>31</v>
      </c>
      <c r="TR37" s="45">
        <f t="shared" si="71"/>
        <v>2.5889999999999995</v>
      </c>
      <c r="TS37" s="45">
        <f t="shared" si="395"/>
        <v>1</v>
      </c>
      <c r="TT37" s="45">
        <f t="shared" si="396"/>
        <v>2</v>
      </c>
      <c r="TU37" s="45">
        <f t="shared" si="397"/>
        <v>0</v>
      </c>
      <c r="TV37" s="46" cm="1">
        <f t="array" ref="TV37">ROUND(IFERROR(INDEX(ArchiveResults!$F$5:$IX$116,ComparisonData!A37,ComparisonData!$TV$1),0),5)</f>
        <v>0</v>
      </c>
      <c r="TW37" s="46" cm="1">
        <f t="array" ref="TW37">ROUND(IFERROR(INDEX(ArchiveResults!$F$5:$IX$116,ComparisonData!A37,ComparisonData!$TW$1),0),5)</f>
        <v>0</v>
      </c>
      <c r="TX37" s="46" cm="1">
        <f t="array" ref="TX37">ROUND(IFERROR(INDEX(ArchiveResults!$F$5:$IX$116,ComparisonData!A37,ComparisonData!$TX$1),0),5)</f>
        <v>0</v>
      </c>
      <c r="TY37" s="46" cm="1">
        <f t="array" ref="TY37">ROUND(IFERROR(INDEX(ArchiveResults!$F$5:$IX$116,ComparisonData!A37,ComparisonData!$TY$1),0),5)</f>
        <v>0</v>
      </c>
      <c r="TZ37" s="45" cm="1">
        <f t="array" ref="TZ37">IFERROR(INDEX(ArchiveResults!$F$5:$IX$116,ComparisonData!A37,ComparisonData!$TZ$1),0)</f>
        <v>0</v>
      </c>
      <c r="UA37" s="56">
        <v>32</v>
      </c>
      <c r="UB37" s="53" t="str">
        <f t="shared" si="72"/>
        <v>Hampshire Archives and Local Studies</v>
      </c>
      <c r="UC37" s="60">
        <f t="shared" si="398"/>
        <v>0</v>
      </c>
      <c r="UD37" s="60">
        <f t="shared" si="399"/>
        <v>0</v>
      </c>
      <c r="UE37" s="60">
        <f t="shared" si="400"/>
        <v>0</v>
      </c>
      <c r="UF37" s="60">
        <f t="shared" si="401"/>
        <v>0</v>
      </c>
      <c r="UG37" s="60">
        <f t="shared" si="402"/>
        <v>0</v>
      </c>
      <c r="UH37" s="58">
        <f t="shared" si="403"/>
        <v>0</v>
      </c>
      <c r="UI37" s="46">
        <f t="shared" si="404"/>
        <v>31</v>
      </c>
      <c r="UJ37" s="46">
        <f t="shared" si="73"/>
        <v>2.5889999999999995</v>
      </c>
      <c r="UK37" s="46">
        <f t="shared" si="405"/>
        <v>1</v>
      </c>
      <c r="UL37" s="46">
        <f t="shared" si="406"/>
        <v>2</v>
      </c>
      <c r="UM37" s="46" cm="1">
        <f t="array" ref="UM37">ROUND(IFERROR(INDEX(ArchiveResults!$F$5:$IX$116,ComparisonData!A37,ComparisonData!$UM$1),0),5)</f>
        <v>0</v>
      </c>
      <c r="UN37" s="56">
        <v>32</v>
      </c>
      <c r="UO37" s="53" t="str">
        <f t="shared" si="74"/>
        <v>Hampshire Archives and Local Studies</v>
      </c>
      <c r="UP37" s="46">
        <f t="shared" si="407"/>
        <v>0</v>
      </c>
      <c r="UQ37" s="76">
        <f t="shared" si="408"/>
        <v>0</v>
      </c>
      <c r="UR37" s="46">
        <f t="shared" si="409"/>
        <v>31</v>
      </c>
      <c r="US37" s="46">
        <f t="shared" si="75"/>
        <v>2.5889999999999995</v>
      </c>
      <c r="UT37" s="46">
        <f t="shared" si="410"/>
        <v>1</v>
      </c>
      <c r="UU37" s="46">
        <f t="shared" si="411"/>
        <v>2</v>
      </c>
      <c r="UV37" s="46">
        <f t="shared" si="412"/>
        <v>0</v>
      </c>
      <c r="UW37" s="46" cm="1">
        <f t="array" ref="UW37">ROUND(IFERROR(INDEX(ArchiveResults!$F$5:$IX$116,ComparisonData!A37,ComparisonData!$UW$1),0),5)</f>
        <v>0</v>
      </c>
      <c r="UX37" s="46" cm="1">
        <f t="array" ref="UX37">ROUND(IFERROR(INDEX(ArchiveResults!$F$5:$IX$116,ComparisonData!A37,ComparisonData!$UX$1),0),5)</f>
        <v>0</v>
      </c>
      <c r="UY37" s="46" cm="1">
        <f t="array" ref="UY37">ROUND(IFERROR(INDEX(ArchiveResults!$F$5:$IX$116,ComparisonData!A37,ComparisonData!$UY$1),0),5)</f>
        <v>0</v>
      </c>
      <c r="UZ37" s="46" cm="1">
        <f t="array" ref="UZ37">ROUND(IFERROR(INDEX(ArchiveResults!$F$5:$IX$116,ComparisonData!A37,ComparisonData!$UZ$1),0),5)</f>
        <v>0</v>
      </c>
      <c r="VA37" s="46" cm="1">
        <f t="array" ref="VA37">ROUND(IFERROR(INDEX(ArchiveResults!$F$5:$IX$116,ComparisonData!A37,ComparisonData!$VA$1),0),5)</f>
        <v>0</v>
      </c>
      <c r="VB37" s="56">
        <v>32</v>
      </c>
      <c r="VC37" s="53" t="str">
        <f t="shared" si="76"/>
        <v>Hampshire Archives and Local Studies</v>
      </c>
      <c r="VD37" s="60">
        <f t="shared" si="413"/>
        <v>0</v>
      </c>
      <c r="VE37" s="60">
        <f t="shared" si="414"/>
        <v>0</v>
      </c>
      <c r="VF37" s="60">
        <f t="shared" si="415"/>
        <v>0</v>
      </c>
      <c r="VG37" s="60">
        <f t="shared" si="416"/>
        <v>0</v>
      </c>
      <c r="VH37" s="60">
        <f t="shared" si="417"/>
        <v>0</v>
      </c>
      <c r="VI37" s="76">
        <f t="shared" si="418"/>
        <v>0</v>
      </c>
      <c r="VJ37" s="46">
        <f t="shared" si="419"/>
        <v>31</v>
      </c>
      <c r="VK37" s="46">
        <f t="shared" si="77"/>
        <v>2.5889999999999995</v>
      </c>
      <c r="VL37" s="46">
        <f t="shared" si="420"/>
        <v>1</v>
      </c>
      <c r="VM37" s="46">
        <f t="shared" si="421"/>
        <v>2</v>
      </c>
      <c r="VN37" s="46" cm="1">
        <f t="array" ref="VN37">ROUND(IFERROR(INDEX(ArchiveResults!$F$5:$IX$116,ComparisonData!A37,ComparisonData!$VN$1),0),5)</f>
        <v>0</v>
      </c>
      <c r="VO37" s="46" cm="1">
        <f t="array" ref="VO37">ROUND(IFERROR(INDEX(ArchiveResults!$F$5:$IX$116,ComparisonData!A37,ComparisonData!$VO$1),0),5)</f>
        <v>0</v>
      </c>
      <c r="VP37" s="46" cm="1">
        <f t="array" ref="VP37">ROUND(IFERROR(INDEX(ArchiveResults!$F$5:$IX$116,ComparisonData!A37,ComparisonData!$VP$1),0),5)</f>
        <v>0</v>
      </c>
      <c r="VQ37" s="46" cm="1">
        <f t="array" ref="VQ37">ROUND(IFERROR(INDEX(ArchiveResults!$F$5:$IX$116,ComparisonData!A37,ComparisonData!$VQ$1),0),5)</f>
        <v>0</v>
      </c>
      <c r="VR37" s="56">
        <v>32</v>
      </c>
      <c r="VS37" s="53" t="str">
        <f t="shared" si="78"/>
        <v>Hampshire Archives and Local Studies</v>
      </c>
      <c r="VT37" s="60">
        <f t="shared" si="422"/>
        <v>0</v>
      </c>
      <c r="VU37" s="60">
        <f t="shared" si="423"/>
        <v>0</v>
      </c>
      <c r="VV37" s="60">
        <f t="shared" si="424"/>
        <v>0</v>
      </c>
      <c r="VW37" s="60">
        <f t="shared" si="425"/>
        <v>0</v>
      </c>
      <c r="VX37" s="76">
        <f t="shared" si="426"/>
        <v>0</v>
      </c>
      <c r="VY37" s="46">
        <f t="shared" si="427"/>
        <v>31</v>
      </c>
      <c r="VZ37" s="46">
        <f t="shared" si="79"/>
        <v>2.5889999999999995</v>
      </c>
      <c r="WA37" s="46">
        <f t="shared" si="428"/>
        <v>1</v>
      </c>
      <c r="WB37" s="46">
        <f t="shared" si="429"/>
        <v>2</v>
      </c>
      <c r="WC37" s="46" cm="1">
        <f t="array" ref="WC37">ROUND(IFERROR(INDEX(ArchiveResults!$F$5:$IX$116,ComparisonData!A37,ComparisonData!$WC$1),0),5)</f>
        <v>0</v>
      </c>
      <c r="WD37" s="56">
        <v>32</v>
      </c>
      <c r="WE37" s="53" t="str">
        <f t="shared" si="80"/>
        <v>Hampshire Archives and Local Studies</v>
      </c>
      <c r="WF37" s="46">
        <f t="shared" si="430"/>
        <v>0</v>
      </c>
      <c r="WG37" s="76">
        <f t="shared" si="431"/>
        <v>0</v>
      </c>
      <c r="WH37" s="46">
        <f t="shared" si="432"/>
        <v>31</v>
      </c>
      <c r="WI37" s="46">
        <f t="shared" si="81"/>
        <v>2.5889999999999995</v>
      </c>
      <c r="WJ37" s="46">
        <f t="shared" si="433"/>
        <v>1</v>
      </c>
      <c r="WK37" s="46">
        <f t="shared" si="434"/>
        <v>2</v>
      </c>
      <c r="WL37" s="46" cm="1">
        <f t="array" ref="WL37">ROUND(IFERROR(INDEX(ArchiveResults!$F$5:$IX$116,ComparisonData!A37,ComparisonData!$WL$1),0),5)</f>
        <v>0</v>
      </c>
      <c r="WM37" s="46" cm="1">
        <f t="array" ref="WM37">IFERROR(INDEX(ArchiveResults!$F$5:$IX$116,ComparisonData!A37,ComparisonData!$WM$1),0)</f>
        <v>0</v>
      </c>
      <c r="WN37" s="56">
        <v>32</v>
      </c>
      <c r="WO37" s="53" t="str">
        <f t="shared" si="82"/>
        <v>Hampshire Archives and Local Studies</v>
      </c>
      <c r="WP37" s="60">
        <f t="shared" si="435"/>
        <v>0</v>
      </c>
      <c r="WQ37" s="60">
        <f t="shared" si="436"/>
        <v>0</v>
      </c>
      <c r="WR37" s="76">
        <f t="shared" si="437"/>
        <v>0</v>
      </c>
      <c r="WS37" s="46">
        <f t="shared" si="438"/>
        <v>31</v>
      </c>
      <c r="WT37" s="46">
        <f t="shared" si="83"/>
        <v>2.5889999999999995</v>
      </c>
      <c r="WU37" s="46">
        <f t="shared" si="439"/>
        <v>1</v>
      </c>
      <c r="WV37" s="46">
        <f t="shared" si="440"/>
        <v>2</v>
      </c>
      <c r="WW37" s="46" cm="1">
        <f t="array" ref="WW37">ROUND(VALUE(IFERROR(INDEX(ArchiveResults!$F$5:$IX$116,ComparisonData!A37,ComparisonData!$WW$1),0)),5)</f>
        <v>0</v>
      </c>
      <c r="WX37" s="46" cm="1">
        <f t="array" ref="WX37">ROUND(IFERROR(INDEX(ArchiveResults!$F$5:$IX$116,ComparisonData!A37,ComparisonData!$WX$1),0),5)</f>
        <v>0</v>
      </c>
      <c r="WY37" s="56">
        <v>32</v>
      </c>
      <c r="WZ37" s="53" t="str">
        <f t="shared" si="84"/>
        <v>Hampshire Archives and Local Studies</v>
      </c>
      <c r="XA37" s="60">
        <f t="shared" si="85"/>
        <v>0</v>
      </c>
      <c r="XB37" s="60">
        <f t="shared" si="86"/>
        <v>0</v>
      </c>
      <c r="XC37" s="76">
        <f t="shared" si="441"/>
        <v>0</v>
      </c>
      <c r="XD37" s="46">
        <f t="shared" si="442"/>
        <v>31</v>
      </c>
      <c r="XE37" s="46">
        <f t="shared" si="87"/>
        <v>2.5889999999999995</v>
      </c>
      <c r="XF37" s="46">
        <f t="shared" si="443"/>
        <v>1</v>
      </c>
      <c r="XG37" s="46">
        <f t="shared" si="444"/>
        <v>2</v>
      </c>
      <c r="XH37" s="46" cm="1">
        <f t="array" ref="XH37">ROUND(VALUE(IFERROR(INDEX(ArchiveResults!$F$5:$IX$116,ComparisonData!A37,ComparisonData!$XH$1),0)),5)</f>
        <v>0</v>
      </c>
      <c r="XI37" s="46" cm="1">
        <f t="array" ref="XI37">ROUND(VALUE(IFERROR(INDEX(ArchiveResults!$F$5:$IX$116,ComparisonData!A37,ComparisonData!$XI$1),0)),5)</f>
        <v>0</v>
      </c>
      <c r="XJ37" s="56">
        <v>32</v>
      </c>
      <c r="XK37" s="53" t="str">
        <f t="shared" si="88"/>
        <v>Hampshire Archives and Local Studies</v>
      </c>
      <c r="XL37" s="60">
        <f t="shared" si="445"/>
        <v>0</v>
      </c>
      <c r="XM37" s="60">
        <f t="shared" si="446"/>
        <v>0</v>
      </c>
      <c r="XN37" s="76">
        <f t="shared" si="447"/>
        <v>0</v>
      </c>
      <c r="XO37" s="46">
        <f t="shared" si="448"/>
        <v>31</v>
      </c>
      <c r="XP37" s="46">
        <f t="shared" si="89"/>
        <v>2.5889999999999995</v>
      </c>
      <c r="XQ37" s="46">
        <f t="shared" si="449"/>
        <v>1</v>
      </c>
      <c r="XR37" s="46">
        <f t="shared" si="450"/>
        <v>2</v>
      </c>
      <c r="XS37" s="46" cm="1">
        <f t="array" ref="XS37">ROUND(VALUE(IFERROR(INDEX(ArchiveResults!$F$5:$IX$116,ComparisonData!A37,ComparisonData!$XS$1),0)),5)</f>
        <v>0</v>
      </c>
      <c r="XT37" s="46" cm="1">
        <f t="array" ref="XT37">ROUND(VALUE(IFERROR(INDEX(ArchiveResults!$F$5:$IX$116,ComparisonData!A37,ComparisonData!$XT$1),0)),5)</f>
        <v>0</v>
      </c>
      <c r="XU37" s="56">
        <v>32</v>
      </c>
      <c r="XV37" s="53" t="str">
        <f t="shared" si="90"/>
        <v>Hampshire Archives and Local Studies</v>
      </c>
      <c r="XW37" s="60">
        <f t="shared" si="451"/>
        <v>0</v>
      </c>
      <c r="XX37" s="60">
        <f t="shared" si="452"/>
        <v>0</v>
      </c>
      <c r="XY37" s="76">
        <f t="shared" si="453"/>
        <v>0</v>
      </c>
      <c r="XZ37" s="46">
        <f t="shared" si="454"/>
        <v>31</v>
      </c>
      <c r="YA37" s="46">
        <f t="shared" si="91"/>
        <v>2.5889999999999995</v>
      </c>
      <c r="YB37" s="46">
        <f t="shared" si="455"/>
        <v>1</v>
      </c>
      <c r="YC37" s="46">
        <f t="shared" si="456"/>
        <v>2</v>
      </c>
      <c r="YD37" s="46" cm="1">
        <f t="array" ref="YD37">ROUND(VALUE(IFERROR(INDEX(ArchiveResults!$F$5:$IX$116,ComparisonData!A37,ComparisonData!$YD$1),0)),5)</f>
        <v>0</v>
      </c>
      <c r="YE37" s="46" cm="1">
        <f t="array" ref="YE37">ROUND(VALUE(IFERROR(INDEX(ArchiveResults!$F$5:$IX$116,ComparisonData!A37,ComparisonData!$YE$1),0)),5)</f>
        <v>0</v>
      </c>
      <c r="YF37" s="56">
        <v>32</v>
      </c>
      <c r="YG37" s="53" t="str">
        <f t="shared" si="92"/>
        <v>Hampshire Archives and Local Studies</v>
      </c>
      <c r="YH37" s="60">
        <f t="shared" si="457"/>
        <v>0</v>
      </c>
      <c r="YI37" s="60">
        <f t="shared" si="458"/>
        <v>0</v>
      </c>
      <c r="YJ37" s="76">
        <f t="shared" si="459"/>
        <v>0</v>
      </c>
      <c r="YK37" s="46">
        <f t="shared" si="460"/>
        <v>31</v>
      </c>
      <c r="YL37" s="46">
        <f t="shared" si="93"/>
        <v>2.5889999999999995</v>
      </c>
      <c r="YM37" s="46">
        <f t="shared" si="461"/>
        <v>1</v>
      </c>
      <c r="YN37" s="46">
        <f t="shared" si="462"/>
        <v>2</v>
      </c>
      <c r="YO37" s="46" cm="1">
        <f t="array" ref="YO37">ROUND(VALUE(IFERROR(INDEX(ArchiveResults!$F$5:$IX$116,ComparisonData!A37,ComparisonData!$YO$1),0)),5)</f>
        <v>0</v>
      </c>
      <c r="YP37" s="46" cm="1">
        <f t="array" ref="YP37">ROUND(VALUE(IFERROR(INDEX(ArchiveResults!$F$5:$IX$116,ComparisonData!A37,ComparisonData!$YP$1),0)),5)</f>
        <v>0</v>
      </c>
      <c r="YQ37" s="56">
        <v>32</v>
      </c>
      <c r="YR37" s="53" t="str">
        <f t="shared" si="94"/>
        <v>Hampshire Archives and Local Studies</v>
      </c>
      <c r="YS37" s="60">
        <f t="shared" si="463"/>
        <v>0</v>
      </c>
      <c r="YT37" s="60">
        <f t="shared" si="464"/>
        <v>0</v>
      </c>
      <c r="YU37" s="76">
        <f t="shared" si="465"/>
        <v>0</v>
      </c>
      <c r="YV37" s="46">
        <f t="shared" si="466"/>
        <v>31</v>
      </c>
      <c r="YW37" s="46">
        <f t="shared" si="95"/>
        <v>2.5889999999999995</v>
      </c>
      <c r="YX37" s="46">
        <f t="shared" si="467"/>
        <v>1</v>
      </c>
      <c r="YY37" s="46">
        <f t="shared" si="468"/>
        <v>2</v>
      </c>
      <c r="YZ37" s="46">
        <f t="shared" si="469"/>
        <v>0</v>
      </c>
      <c r="ZA37" s="46" cm="1">
        <f t="array" ref="ZA37">ROUNDDOWN(VALUE(IFERROR(INDEX(ArchiveResults!$F$5:$IX$116,ComparisonData!A37,ComparisonData!$ZA$1),0)),5)</f>
        <v>0</v>
      </c>
      <c r="ZB37" s="46" cm="1">
        <f t="array" ref="ZB37">ROUNDDOWN(VALUE(IFERROR(INDEX(ArchiveResults!$F$5:$IX$116,ComparisonData!A37,ComparisonData!$ZB$1),0)),5)</f>
        <v>0</v>
      </c>
      <c r="ZC37" s="46" cm="1">
        <f t="array" ref="ZC37">ROUNDDOWN(VALUE(IFERROR(INDEX(ArchiveResults!$F$5:$IX$116,ComparisonData!A37,ComparisonData!$ZC$1),0)),5)</f>
        <v>0</v>
      </c>
      <c r="ZD37" s="46" cm="1">
        <f t="array" ref="ZD37">ROUNDDOWN(VALUE(IFERROR(INDEX(ArchiveResults!$F$5:$IX$116,ComparisonData!A37,ComparisonData!$ZD$1),0)),5)</f>
        <v>0</v>
      </c>
      <c r="ZE37" s="46" cm="1">
        <f t="array" ref="ZE37">ROUNDDOWN(VALUE(IFERROR(INDEX(ArchiveResults!$F$5:$IX$116,ComparisonData!A37,ComparisonData!$ZE$1),0)),5)</f>
        <v>0</v>
      </c>
      <c r="ZF37" s="56">
        <v>32</v>
      </c>
      <c r="ZG37" s="53" t="str">
        <f t="shared" si="96"/>
        <v>Hampshire Archives and Local Studies</v>
      </c>
      <c r="ZH37" s="60">
        <f t="shared" si="470"/>
        <v>0</v>
      </c>
      <c r="ZI37" s="60">
        <f t="shared" si="471"/>
        <v>0</v>
      </c>
      <c r="ZJ37" s="60">
        <f t="shared" si="472"/>
        <v>0</v>
      </c>
      <c r="ZK37" s="60">
        <f t="shared" si="473"/>
        <v>0</v>
      </c>
      <c r="ZL37" s="60">
        <f t="shared" si="474"/>
        <v>0</v>
      </c>
      <c r="ZM37" s="76">
        <f t="shared" si="475"/>
        <v>0</v>
      </c>
      <c r="ZN37" s="46">
        <f t="shared" si="476"/>
        <v>31</v>
      </c>
      <c r="ZO37" s="46">
        <f t="shared" si="97"/>
        <v>2.5889999999999995</v>
      </c>
      <c r="ZP37" s="46">
        <f t="shared" si="477"/>
        <v>1</v>
      </c>
      <c r="ZQ37" s="46">
        <f t="shared" si="478"/>
        <v>2</v>
      </c>
      <c r="ZR37" s="46" cm="1">
        <f t="array" ref="ZR37">ROUND(VALUE(IFERROR(INDEX(ArchiveResults!$F$5:$IX$116,ComparisonData!A37,ComparisonData!$ZR$1),0)),5)</f>
        <v>0</v>
      </c>
      <c r="ZS37" s="56">
        <v>32</v>
      </c>
      <c r="ZT37" s="53" t="str">
        <f t="shared" si="98"/>
        <v>Hampshire Archives and Local Studies</v>
      </c>
      <c r="ZU37" s="46">
        <f t="shared" si="479"/>
        <v>0</v>
      </c>
      <c r="ZV37" s="76">
        <f t="shared" si="480"/>
        <v>0</v>
      </c>
      <c r="ZW37" s="81" cm="1">
        <f t="array" ref="ZW37">ROUND((IFERROR(INDEX(ArchiveResults!$F$5:$IX$116,ComparisonData!A37,ComparisonData!$ZW$1),0)),5)</f>
        <v>0</v>
      </c>
      <c r="ZX37" s="81" cm="1">
        <f t="array" ref="ZX37">ROUND((IFERROR(INDEX(ArchiveResults!$F$5:$IX$116,ComparisonData!A37,ComparisonData!$ZX$1),0)),5)</f>
        <v>0</v>
      </c>
      <c r="ZY37" s="81" cm="1">
        <f t="array" ref="ZY37">ROUND((IFERROR(INDEX(ArchiveResults!$F$5:$IX$116,ComparisonData!A37,ComparisonData!$ZY$1),0)),5)</f>
        <v>0</v>
      </c>
      <c r="ZZ37" s="81" cm="1">
        <f t="array" ref="ZZ37">ROUND((IFERROR(INDEX(ArchiveResults!$F$5:$IX$116,ComparisonData!A37,ComparisonData!$ZZ$1),0)),5)</f>
        <v>0</v>
      </c>
      <c r="AAA37" s="81" cm="1">
        <f t="array" ref="AAA37">ROUND((IFERROR(INDEX(ArchiveResults!$F$5:$IX$116,ComparisonData!A37,ComparisonData!$AAA$1),0)),5)</f>
        <v>0</v>
      </c>
      <c r="AAB37" s="81" cm="1">
        <f t="array" ref="AAB37">ROUND((IFERROR(INDEX(ArchiveResults!$F$5:$IX$116,ComparisonData!A37,ComparisonData!$AAB$1),0)),5)</f>
        <v>0</v>
      </c>
      <c r="AAC37" s="81" cm="1">
        <f t="array" ref="AAC37">ROUND((IFERROR(INDEX(ArchiveResults!$F$5:$IX$116,ComparisonData!A37,ComparisonData!$AAC$1),0)),5)</f>
        <v>0</v>
      </c>
      <c r="AAD37" s="81" cm="1">
        <f t="array" ref="AAD37">ROUND((IFERROR(INDEX(ArchiveResults!$F$5:$IX$116,ComparisonData!A37,ComparisonData!$AAD$1),0)),5)</f>
        <v>0</v>
      </c>
      <c r="AAE37" s="81" cm="1">
        <f t="array" ref="AAE37">ROUND((IFERROR(INDEX(ArchiveResults!$F$5:$IX$116,ComparisonData!A37,ComparisonData!$AAE$1),0)),5)</f>
        <v>0</v>
      </c>
      <c r="AAF37" s="81" cm="1">
        <f t="array" ref="AAF37">ROUND((IFERROR(INDEX(ArchiveResults!$F$5:$IX$116,ComparisonData!A37,ComparisonData!$AAF$1),0)),5)</f>
        <v>0</v>
      </c>
      <c r="AAG37" s="46">
        <f t="shared" si="481"/>
        <v>31</v>
      </c>
      <c r="AAH37" s="46">
        <f t="shared" si="99"/>
        <v>2.5889999999999995</v>
      </c>
      <c r="AAI37" s="46">
        <f t="shared" si="482"/>
        <v>1</v>
      </c>
      <c r="AAJ37" s="46">
        <f t="shared" si="483"/>
        <v>2</v>
      </c>
      <c r="AAK37" s="46">
        <f t="shared" si="484"/>
        <v>0</v>
      </c>
      <c r="AAL37" s="46">
        <f t="shared" si="485"/>
        <v>0</v>
      </c>
      <c r="AAM37" s="46">
        <f t="shared" si="486"/>
        <v>0</v>
      </c>
      <c r="AAN37" s="46">
        <f t="shared" si="487"/>
        <v>0</v>
      </c>
      <c r="AAO37" s="46">
        <f t="shared" si="488"/>
        <v>0</v>
      </c>
      <c r="AAP37" s="46">
        <f t="shared" si="489"/>
        <v>0</v>
      </c>
      <c r="AAQ37" s="56">
        <v>32</v>
      </c>
      <c r="AAR37" s="53" t="str">
        <f t="shared" si="100"/>
        <v>Hampshire Archives and Local Studies</v>
      </c>
      <c r="AAS37" s="60">
        <f t="shared" si="490"/>
        <v>0</v>
      </c>
      <c r="AAT37" s="60">
        <f t="shared" si="491"/>
        <v>0</v>
      </c>
      <c r="AAU37" s="60">
        <f t="shared" si="492"/>
        <v>0</v>
      </c>
      <c r="AAV37" s="60">
        <f t="shared" si="493"/>
        <v>0</v>
      </c>
      <c r="AAW37" s="60">
        <f t="shared" si="494"/>
        <v>0</v>
      </c>
      <c r="AAX37" s="76">
        <f t="shared" si="495"/>
        <v>0</v>
      </c>
      <c r="AAY37" s="46">
        <f t="shared" si="496"/>
        <v>31</v>
      </c>
      <c r="AAZ37" s="46">
        <f t="shared" si="101"/>
        <v>2.5889999999999995</v>
      </c>
      <c r="ABA37" s="46">
        <f t="shared" si="497"/>
        <v>1</v>
      </c>
      <c r="ABB37" s="46">
        <f t="shared" si="498"/>
        <v>2</v>
      </c>
      <c r="ABC37" s="46">
        <f t="shared" si="102"/>
        <v>0</v>
      </c>
      <c r="ABD37" s="46" cm="1">
        <f t="array" ref="ABD37">ROUND(VALUE(IFERROR(INDEX(ArchiveResults!$F$5:$IX$116,ComparisonData!A37,ComparisonData!$ABD$1),0)),5)</f>
        <v>0</v>
      </c>
      <c r="ABE37" s="46" cm="1">
        <f t="array" ref="ABE37">ROUND(VALUE(IFERROR(INDEX(ArchiveResults!$F$5:$IX$116,ComparisonData!A37,ComparisonData!$ABE$1),0)),5)</f>
        <v>0</v>
      </c>
      <c r="ABF37" s="46" cm="1">
        <f t="array" ref="ABF37">ROUND(VALUE(IFERROR(INDEX(ArchiveResults!$F$5:$IX$116,ComparisonData!A37,ComparisonData!$ABF$1),0)),5)</f>
        <v>0</v>
      </c>
      <c r="ABG37" s="46" cm="1">
        <f t="array" ref="ABG37">ROUND(VALUE(IFERROR(INDEX(ArchiveResults!$F$5:$IX$116,ComparisonData!A37,ComparisonData!$ABG$1),0)),5)</f>
        <v>0</v>
      </c>
      <c r="ABH37" s="46" cm="1">
        <f t="array" ref="ABH37">ROUND(VALUE(IFERROR(INDEX(ArchiveResults!$F$5:$IX$116,ComparisonData!A37,ComparisonData!$ABH$1),0)),5)</f>
        <v>0</v>
      </c>
      <c r="ABI37" s="56">
        <v>32</v>
      </c>
      <c r="ABJ37" s="53" t="str">
        <f t="shared" si="103"/>
        <v>Hampshire Archives and Local Studies</v>
      </c>
      <c r="ABK37" s="60">
        <f t="shared" si="499"/>
        <v>0</v>
      </c>
      <c r="ABL37" s="60">
        <f t="shared" si="500"/>
        <v>0</v>
      </c>
      <c r="ABM37" s="60">
        <f t="shared" si="501"/>
        <v>0</v>
      </c>
      <c r="ABN37" s="60">
        <f t="shared" si="502"/>
        <v>0</v>
      </c>
      <c r="ABO37" s="60">
        <f t="shared" si="503"/>
        <v>0</v>
      </c>
      <c r="ABP37" s="76">
        <f t="shared" si="504"/>
        <v>0</v>
      </c>
      <c r="ABQ37" s="46">
        <f t="shared" si="505"/>
        <v>31</v>
      </c>
      <c r="ABR37" s="46">
        <f t="shared" si="104"/>
        <v>2.5889999999999995</v>
      </c>
      <c r="ABS37" s="46">
        <f t="shared" si="506"/>
        <v>1</v>
      </c>
      <c r="ABT37" s="46">
        <f t="shared" si="507"/>
        <v>2</v>
      </c>
      <c r="ABU37" s="46" cm="1">
        <f t="array" ref="ABU37">ROUND(VALUE(IFERROR(INDEX(ArchiveResults!$F$5:$IX$116,ComparisonData!A37,ComparisonData!$ABU$1),0)),5)</f>
        <v>0</v>
      </c>
      <c r="ABV37" s="46" cm="1">
        <f t="array" ref="ABV37">ROUND(VALUE(IFERROR(INDEX(ArchiveResults!$F$5:$IX$116,ComparisonData!A37,ComparisonData!$ABV$1),0)),5)</f>
        <v>0</v>
      </c>
      <c r="ABW37" s="46" cm="1">
        <f t="array" ref="ABW37">ROUND(VALUE(IFERROR(INDEX(ArchiveResults!$F$5:$IX$116,ComparisonData!A37,ComparisonData!$ABW$1),0)),5)</f>
        <v>0</v>
      </c>
      <c r="ABX37" s="46" cm="1">
        <f t="array" ref="ABX37">ROUND(VALUE(IFERROR(INDEX(ArchiveResults!$F$5:$IX$116,ComparisonData!A37,ComparisonData!$ABX$1),0)),5)</f>
        <v>0</v>
      </c>
      <c r="ABY37" s="46" cm="1">
        <f t="array" ref="ABY37">ROUND(VALUE(IFERROR(INDEX(ArchiveResults!$F$5:$IX$116,ComparisonData!A37,ComparisonData!$ABY$1),0)),5)</f>
        <v>0</v>
      </c>
      <c r="ABZ37" s="56">
        <v>32</v>
      </c>
      <c r="ACA37" s="53" t="str">
        <f t="shared" si="105"/>
        <v>Hampshire Archives and Local Studies</v>
      </c>
      <c r="ACB37" s="60">
        <f t="shared" si="508"/>
        <v>0</v>
      </c>
      <c r="ACC37" s="60">
        <f t="shared" si="509"/>
        <v>0</v>
      </c>
      <c r="ACD37" s="60">
        <f t="shared" si="510"/>
        <v>0</v>
      </c>
      <c r="ACE37" s="60">
        <f t="shared" si="511"/>
        <v>0</v>
      </c>
      <c r="ACF37" s="60">
        <f t="shared" si="512"/>
        <v>0</v>
      </c>
      <c r="ACG37" s="76">
        <f t="shared" si="513"/>
        <v>0</v>
      </c>
      <c r="ACH37" s="46">
        <f t="shared" si="514"/>
        <v>31</v>
      </c>
      <c r="ACI37" s="46">
        <f t="shared" si="106"/>
        <v>2.5889999999999995</v>
      </c>
      <c r="ACJ37" s="46">
        <f t="shared" si="515"/>
        <v>1</v>
      </c>
      <c r="ACK37" s="46">
        <f t="shared" si="516"/>
        <v>2</v>
      </c>
      <c r="ACL37" s="46">
        <f t="shared" si="517"/>
        <v>0</v>
      </c>
      <c r="ACM37" s="46" cm="1">
        <f t="array" ref="ACM37">ROUND(IFERROR(INDEX(ArchiveResults!$F$5:$IX$116,ComparisonData!A37,ComparisonData!$ACM$1),0),5)</f>
        <v>0</v>
      </c>
      <c r="ACN37" s="46" cm="1">
        <f t="array" ref="ACN37">ROUND(IFERROR(INDEX(ArchiveResults!$F$5:$IX$116,ComparisonData!A37,ComparisonData!$ACN$1),0),5)</f>
        <v>0</v>
      </c>
      <c r="ACO37" s="56">
        <v>32</v>
      </c>
      <c r="ACP37" s="53" t="str">
        <f t="shared" si="107"/>
        <v>Hampshire Archives and Local Studies</v>
      </c>
      <c r="ACQ37" s="60">
        <f t="shared" si="518"/>
        <v>0</v>
      </c>
      <c r="ACR37" s="60">
        <f t="shared" si="519"/>
        <v>0</v>
      </c>
      <c r="ACS37" s="76">
        <f t="shared" si="520"/>
        <v>0</v>
      </c>
      <c r="ACT37" s="46">
        <f t="shared" si="521"/>
        <v>31</v>
      </c>
      <c r="ACU37" s="46">
        <f t="shared" si="108"/>
        <v>2.5889999999999995</v>
      </c>
      <c r="ACV37" s="46">
        <f t="shared" si="522"/>
        <v>1</v>
      </c>
      <c r="ACW37" s="46">
        <f t="shared" si="523"/>
        <v>2</v>
      </c>
      <c r="ACX37" s="46">
        <f t="shared" si="524"/>
        <v>0</v>
      </c>
      <c r="ACY37" s="46" cm="1">
        <f t="array" ref="ACY37">ROUNDDOWN(IFERROR(INDEX(ArchiveResults!$F$5:$IX$116,ComparisonData!A37,ComparisonData!$ACY$1),0),5)</f>
        <v>0</v>
      </c>
      <c r="ACZ37" s="46" cm="1">
        <f t="array" ref="ACZ37">ROUNDDOWN(IFERROR(INDEX(ArchiveResults!$F$5:$IX$116,ComparisonData!A37,ComparisonData!$ACZ$1),0),5)</f>
        <v>0</v>
      </c>
      <c r="ADA37" s="46" cm="1">
        <f t="array" ref="ADA37">ROUNDDOWN(IFERROR(INDEX(ArchiveResults!$F$5:$IX$116,ComparisonData!A37,ComparisonData!$ADA$1),0),5)</f>
        <v>0</v>
      </c>
      <c r="ADB37" s="56">
        <v>32</v>
      </c>
      <c r="ADC37" s="53" t="str">
        <f t="shared" si="109"/>
        <v>Hampshire Archives and Local Studies</v>
      </c>
      <c r="ADD37" s="60">
        <f t="shared" si="525"/>
        <v>0</v>
      </c>
      <c r="ADE37" s="60">
        <f t="shared" si="526"/>
        <v>0</v>
      </c>
      <c r="ADF37" s="60">
        <f t="shared" si="527"/>
        <v>0</v>
      </c>
      <c r="ADG37" s="76">
        <f t="shared" si="528"/>
        <v>0</v>
      </c>
    </row>
    <row r="38" spans="1:787" x14ac:dyDescent="0.25">
      <c r="A38" s="46" t="str">
        <f>IF(ISBLANK(ComparisonSelection!F34),"",ROW()-5)</f>
        <v/>
      </c>
      <c r="B38" s="53" t="s">
        <v>487</v>
      </c>
      <c r="C38" s="72">
        <v>0.82899999999999985</v>
      </c>
      <c r="D38" s="55">
        <f t="shared" si="110"/>
        <v>79</v>
      </c>
      <c r="E38" s="54">
        <f t="shared" si="111"/>
        <v>2.8289999999999997</v>
      </c>
      <c r="F38" s="54">
        <f t="shared" si="529"/>
        <v>1</v>
      </c>
      <c r="G38" s="72">
        <f t="shared" si="112"/>
        <v>2</v>
      </c>
      <c r="H38" s="72">
        <f t="shared" si="113"/>
        <v>0</v>
      </c>
      <c r="I38" s="46" cm="1">
        <f t="array" ref="I38">ROUND(IFERROR(INDEX(ArchiveResults!$F$5:$IX$116,ComparisonData!A38,ComparisonData!$I$1),0),5)</f>
        <v>0</v>
      </c>
      <c r="J38" s="46" cm="1">
        <f t="array" ref="J38">ROUND(IFERROR(INDEX(ArchiveResults!$F$5:$IX$116,ComparisonData!A38,ComparisonData!$J$1),0),5)</f>
        <v>0</v>
      </c>
      <c r="K38" s="56">
        <v>33</v>
      </c>
      <c r="L38" s="53" t="str">
        <f t="shared" si="114"/>
        <v>Herefordshire Archive Service</v>
      </c>
      <c r="M38" s="57">
        <f t="shared" ref="M38:M69" si="530">INDEX($I$6:$I$117,MATCH(K38,$D$6:$D$117,0))</f>
        <v>0</v>
      </c>
      <c r="N38" s="57">
        <f t="shared" ref="N38:N69" si="531">INDEX($J$6:$J$117,MATCH(K38,$D$6:$D$117,0))</f>
        <v>0</v>
      </c>
      <c r="O38" s="58">
        <f t="shared" si="115"/>
        <v>0</v>
      </c>
      <c r="P38" s="48">
        <f t="shared" si="116"/>
        <v>79</v>
      </c>
      <c r="Q38" s="54">
        <f t="shared" ref="Q38:Q69" si="532">(C38*R38)+S38</f>
        <v>2.8289999999999997</v>
      </c>
      <c r="R38" s="45">
        <f t="shared" si="117"/>
        <v>1</v>
      </c>
      <c r="S38" s="46">
        <f t="shared" si="118"/>
        <v>2</v>
      </c>
      <c r="T38" s="72">
        <f t="shared" si="119"/>
        <v>0</v>
      </c>
      <c r="U38" s="46" cm="1">
        <f t="array" ref="U38">ROUND(IFERROR(INDEX(ArchiveResults!$F$5:$IX$116,ComparisonData!A38,ComparisonData!$U$1),0),5)</f>
        <v>0</v>
      </c>
      <c r="V38" s="46" cm="1">
        <f t="array" ref="V38">ROUND(IFERROR(INDEX(ArchiveResults!$F$5:$IX$116,ComparisonData!A38,ComparisonData!$V$1),0),5)</f>
        <v>0</v>
      </c>
      <c r="W38" s="56">
        <v>33</v>
      </c>
      <c r="X38" s="53" t="str">
        <f t="shared" ref="X38:X69" si="533">INDEX($B$6:$B$117,MATCH(W38,$P$6:$P$117,0))</f>
        <v>Herefordshire Archive Service</v>
      </c>
      <c r="Y38" s="57">
        <f t="shared" si="120"/>
        <v>0</v>
      </c>
      <c r="Z38" s="57">
        <f t="shared" si="121"/>
        <v>0</v>
      </c>
      <c r="AA38" s="58">
        <f t="shared" si="122"/>
        <v>0</v>
      </c>
      <c r="AB38" s="45">
        <f t="shared" si="123"/>
        <v>79</v>
      </c>
      <c r="AC38" s="54">
        <f t="shared" ref="AC38:AC69" si="534">(C38*AD38)+AE38</f>
        <v>2.8289999999999997</v>
      </c>
      <c r="AD38" s="45">
        <f t="shared" si="124"/>
        <v>1</v>
      </c>
      <c r="AE38" s="45">
        <f t="shared" si="125"/>
        <v>2</v>
      </c>
      <c r="AF38" s="45">
        <f t="shared" si="126"/>
        <v>0</v>
      </c>
      <c r="AG38" s="46" cm="1">
        <f t="array" ref="AG38">ROUND(IFERROR(INDEX(ArchiveResults!$F$5:$IX$116,ComparisonData!A38,ComparisonData!$AG$1),0),5)</f>
        <v>0</v>
      </c>
      <c r="AH38" s="46" cm="1">
        <f t="array" ref="AH38">ROUND(IFERROR(INDEX(ArchiveResults!$F$5:$IX$116,ComparisonData!A38,ComparisonData!$AH$1),0),5)</f>
        <v>0</v>
      </c>
      <c r="AI38" s="56">
        <v>33</v>
      </c>
      <c r="AJ38" s="53" t="str">
        <f t="shared" ref="AJ38:AJ69" si="535">INDEX($B$6:$B$117,MATCH(AI38,$AB$6:$AB$117,0))</f>
        <v>Herefordshire Archive Service</v>
      </c>
      <c r="AK38" s="59">
        <f t="shared" ref="AK38:AK69" si="536">INDEX($AG$6:$AG$117,MATCH(AI38,$AB$6:$AB$117,0))</f>
        <v>0</v>
      </c>
      <c r="AL38" s="59">
        <f t="shared" ref="AL38:AL69" si="537">INDEX($AH$6:$AH$117,MATCH(AI38,$AB$6:$AB$117,0))</f>
        <v>0</v>
      </c>
      <c r="AM38" s="58">
        <f t="shared" si="127"/>
        <v>0</v>
      </c>
      <c r="AN38" s="45">
        <f t="shared" si="128"/>
        <v>79</v>
      </c>
      <c r="AO38" s="54">
        <f t="shared" ref="AO38:AO69" si="538">(C38*AP38)+AQ38</f>
        <v>2.8289999999999997</v>
      </c>
      <c r="AP38" s="45">
        <f t="shared" si="129"/>
        <v>1</v>
      </c>
      <c r="AQ38" s="45">
        <f t="shared" si="130"/>
        <v>2</v>
      </c>
      <c r="AR38" s="46" cm="1">
        <f t="array" ref="AR38">ROUND(IFERROR(INDEX(ArchiveResults!$F$5:$IX$116,ComparisonData!A38,ComparisonData!$AR$1),0),5)</f>
        <v>0</v>
      </c>
      <c r="AS38" s="46" cm="1">
        <f t="array" ref="AS38">ROUND(IFERROR(INDEX(ArchiveResults!$F$5:$IX$116,ComparisonData!A38,ComparisonData!$AS$1),0),5)</f>
        <v>0</v>
      </c>
      <c r="AT38" s="46" cm="1">
        <f t="array" ref="AT38">ROUND(IFERROR(INDEX(ArchiveResults!$F$5:$IX$116,ComparisonData!A38,ComparisonData!$AT$1),0),5)</f>
        <v>0</v>
      </c>
      <c r="AU38" s="46" cm="1">
        <f t="array" ref="AU38">ROUND(IFERROR(INDEX(ArchiveResults!$F$5:$IX$116,ComparisonData!A38,ComparisonData!$AU$1),0),5)</f>
        <v>0</v>
      </c>
      <c r="AV38" s="46" cm="1">
        <f t="array" ref="AV38">ROUND(IFERROR(INDEX(ArchiveResults!$F$5:$IX$116,ComparisonData!A38,ComparisonData!$AV$1),0),5)</f>
        <v>0</v>
      </c>
      <c r="AW38" s="46" cm="1">
        <f t="array" ref="AW38">ROUND(IFERROR(INDEX(ArchiveResults!$F$5:$IX$116,ComparisonData!A38,ComparisonData!$AW$1),0),5)</f>
        <v>0</v>
      </c>
      <c r="AX38" s="46" cm="1">
        <f t="array" ref="AX38">ROUND(IFERROR(INDEX(ArchiveResults!$F$5:$IX$116,ComparisonData!A38,ComparisonData!$AX$1),0),5)</f>
        <v>0</v>
      </c>
      <c r="AY38" s="46" cm="1">
        <f t="array" ref="AY38">ROUND(IFERROR(INDEX(ArchiveResults!$F$5:$IX$116,ComparisonData!A38,ComparisonData!$AY$1),0),5)</f>
        <v>0</v>
      </c>
      <c r="AZ38" s="46" cm="1">
        <f t="array" ref="AZ38">ROUND(IFERROR(INDEX(ArchiveResults!$F$5:$IX$116,ComparisonData!A38,ComparisonData!$AZ$1),0),5)</f>
        <v>0</v>
      </c>
      <c r="BA38" s="46" cm="1">
        <f t="array" ref="BA38">ROUND(IFERROR(INDEX(ArchiveResults!$F$5:$IX$116,ComparisonData!A38,ComparisonData!$BA$1),0),5)</f>
        <v>0</v>
      </c>
      <c r="BB38" s="56">
        <v>33</v>
      </c>
      <c r="BC38" s="53" t="str">
        <f t="shared" ref="BC38:BC69" si="539">INDEX($B$6:$B$117,MATCH(BB38,$AN$6:$AN$117,0))</f>
        <v>Herefordshire Archive Service</v>
      </c>
      <c r="BD38" s="60">
        <f t="shared" si="131"/>
        <v>0</v>
      </c>
      <c r="BE38" s="60">
        <f t="shared" si="132"/>
        <v>0</v>
      </c>
      <c r="BF38" s="60">
        <f t="shared" si="133"/>
        <v>0</v>
      </c>
      <c r="BG38" s="60">
        <f t="shared" si="134"/>
        <v>0</v>
      </c>
      <c r="BH38" s="60">
        <f t="shared" si="135"/>
        <v>0</v>
      </c>
      <c r="BI38" s="60">
        <f t="shared" si="136"/>
        <v>0</v>
      </c>
      <c r="BJ38" s="60">
        <f t="shared" si="137"/>
        <v>0</v>
      </c>
      <c r="BK38" s="60">
        <f t="shared" si="138"/>
        <v>0</v>
      </c>
      <c r="BL38" s="60">
        <f t="shared" si="139"/>
        <v>0</v>
      </c>
      <c r="BM38" s="59">
        <f t="shared" si="140"/>
        <v>0</v>
      </c>
      <c r="BN38" s="58">
        <f t="shared" si="141"/>
        <v>0</v>
      </c>
      <c r="BO38" s="45">
        <f t="shared" si="142"/>
        <v>79</v>
      </c>
      <c r="BP38" s="54">
        <f t="shared" ref="BP38:BP69" si="540">(C38*BQ38)+BR38</f>
        <v>2.8289999999999997</v>
      </c>
      <c r="BQ38" s="45">
        <f t="shared" si="143"/>
        <v>1</v>
      </c>
      <c r="BR38" s="45">
        <f t="shared" si="144"/>
        <v>2</v>
      </c>
      <c r="BS38" s="46" cm="1">
        <f t="array" ref="BS38">ROUND(IFERROR(INDEX(ArchiveResults!$F$5:$IX$116,ComparisonData!A38,ComparisonData!$BS$1),0),5)</f>
        <v>0</v>
      </c>
      <c r="BT38" s="46" cm="1">
        <f t="array" ref="BT38">ROUND(IFERROR(INDEX(ArchiveResults!$F$5:$IX$116,ComparisonData!A38,ComparisonData!$BT$1),0),5)</f>
        <v>0</v>
      </c>
      <c r="BU38" s="46" cm="1">
        <f t="array" ref="BU38">ROUND(IFERROR(INDEX(ArchiveResults!$F$5:$IX$116,ComparisonData!A38,ComparisonData!$BU$1),0),5)</f>
        <v>0</v>
      </c>
      <c r="BV38" s="46" cm="1">
        <f t="array" ref="BV38">ROUND(IFERROR(INDEX(ArchiveResults!$F$5:$IX$116,ComparisonData!A38,ComparisonData!$BV$1),0),5)</f>
        <v>0</v>
      </c>
      <c r="BW38" s="46" cm="1">
        <f t="array" ref="BW38">ROUND(IFERROR(INDEX(ArchiveResults!$F$5:$IX$116,ComparisonData!A38,ComparisonData!$BW$1),0),5)</f>
        <v>0</v>
      </c>
      <c r="BX38" s="46" cm="1">
        <f t="array" ref="BX38">ROUND(IFERROR(INDEX(ArchiveResults!$F$5:$IX$116,ComparisonData!A38,ComparisonData!$BX$1),0),5)</f>
        <v>0</v>
      </c>
      <c r="BY38" s="56">
        <v>33</v>
      </c>
      <c r="BZ38" s="53" t="str">
        <f t="shared" ref="BZ38:BZ69" si="541">INDEX($B$6:$B$117,MATCH(BY38,$BO$6:$BO$117,0))</f>
        <v>Herefordshire Archive Service</v>
      </c>
      <c r="CA38" s="59">
        <f t="shared" si="145"/>
        <v>0</v>
      </c>
      <c r="CB38" s="59">
        <f t="shared" si="146"/>
        <v>0</v>
      </c>
      <c r="CC38" s="59">
        <f t="shared" si="147"/>
        <v>0</v>
      </c>
      <c r="CD38" s="59">
        <f t="shared" si="148"/>
        <v>0</v>
      </c>
      <c r="CE38" s="59">
        <f t="shared" si="149"/>
        <v>0</v>
      </c>
      <c r="CF38" s="59">
        <f t="shared" si="150"/>
        <v>0</v>
      </c>
      <c r="CG38" s="58">
        <f t="shared" si="151"/>
        <v>0</v>
      </c>
      <c r="CH38" s="45">
        <f t="shared" si="152"/>
        <v>79</v>
      </c>
      <c r="CI38" s="54">
        <f t="shared" ref="CI38:CI69" si="542">(C38*CJ38)+CK38</f>
        <v>2.8289999999999997</v>
      </c>
      <c r="CJ38" s="45">
        <f t="shared" si="153"/>
        <v>1</v>
      </c>
      <c r="CK38" s="45">
        <f t="shared" si="154"/>
        <v>2</v>
      </c>
      <c r="CL38" s="46" cm="1">
        <f t="array" ref="CL38">ROUND(IFERROR(INDEX(ArchiveResults!$F$5:$IX$116,ComparisonData!A38,ComparisonData!$CL$1),0),5)</f>
        <v>0</v>
      </c>
      <c r="CM38" s="56">
        <v>33</v>
      </c>
      <c r="CN38" s="53" t="str">
        <f t="shared" ref="CN38:CN69" si="543">INDEX($B$6:$B$117,MATCH(CM38,$CH$6:$CH$117,0))</f>
        <v>Herefordshire Archive Service</v>
      </c>
      <c r="CO38" s="45">
        <f t="shared" si="155"/>
        <v>0</v>
      </c>
      <c r="CP38" s="58">
        <f t="shared" si="156"/>
        <v>0</v>
      </c>
      <c r="CQ38" s="45">
        <f t="shared" si="157"/>
        <v>79</v>
      </c>
      <c r="CR38" s="54">
        <f t="shared" ref="CR38:CR69" si="544">(C38*CS38)+CT38</f>
        <v>2.8289999999999997</v>
      </c>
      <c r="CS38" s="45">
        <f t="shared" si="158"/>
        <v>1</v>
      </c>
      <c r="CT38" s="45">
        <f t="shared" si="159"/>
        <v>2</v>
      </c>
      <c r="CU38" s="46" cm="1">
        <f t="array" ref="CU38">ROUND(IFERROR(INDEX(ArchiveResults!$F$5:$IX$116,ComparisonData!A38,ComparisonData!$CU$1),0),5)</f>
        <v>0</v>
      </c>
      <c r="CV38" s="56">
        <v>33</v>
      </c>
      <c r="CW38" s="53" t="str">
        <f t="shared" ref="CW38:CW69" si="545">INDEX($B$6:$B$117,MATCH(CV38,$CQ$6:$CQ$117,0))</f>
        <v>Herefordshire Archive Service</v>
      </c>
      <c r="CX38" s="45">
        <f t="shared" si="160"/>
        <v>0</v>
      </c>
      <c r="CY38" s="58">
        <f t="shared" si="161"/>
        <v>0</v>
      </c>
      <c r="CZ38" s="45">
        <f t="shared" si="162"/>
        <v>79</v>
      </c>
      <c r="DA38" s="54">
        <f t="shared" ref="DA38:DA69" si="546">(C38*DB38)+DC38</f>
        <v>2.8289999999999997</v>
      </c>
      <c r="DB38" s="45">
        <f t="shared" si="163"/>
        <v>1</v>
      </c>
      <c r="DC38" s="45">
        <f t="shared" si="164"/>
        <v>2</v>
      </c>
      <c r="DD38" s="46" cm="1">
        <f t="array" ref="DD38">ROUND(IFERROR(INDEX(ArchiveResults!$F$5:$IX$116,ComparisonData!A38,ComparisonData!$DD$1),0),5)</f>
        <v>0</v>
      </c>
      <c r="DE38" s="56">
        <v>33</v>
      </c>
      <c r="DF38" s="53" t="str">
        <f t="shared" ref="DF38:DF69" si="547">INDEX($B$6:$B$117,MATCH(DE38,$CZ$6:$CZ$117,0))</f>
        <v>Herefordshire Archive Service</v>
      </c>
      <c r="DG38" s="45">
        <f t="shared" si="165"/>
        <v>0</v>
      </c>
      <c r="DH38" s="58">
        <f t="shared" si="166"/>
        <v>0</v>
      </c>
      <c r="DI38" s="45">
        <f t="shared" si="167"/>
        <v>79</v>
      </c>
      <c r="DJ38" s="54">
        <f t="shared" ref="DJ38:DJ69" si="548">(C38*DK38)+DL38</f>
        <v>2.8289999999999997</v>
      </c>
      <c r="DK38" s="45">
        <f t="shared" si="168"/>
        <v>1</v>
      </c>
      <c r="DL38" s="45">
        <f t="shared" si="169"/>
        <v>2</v>
      </c>
      <c r="DM38" s="46" cm="1">
        <f t="array" ref="DM38">ROUND(IFERROR(INDEX(ArchiveResults!$F$5:$IX$116,ComparisonData!A38,ComparisonData!$DM$1),0),5)</f>
        <v>0</v>
      </c>
      <c r="DN38" s="46" cm="1">
        <f t="array" ref="DN38">ROUND(IFERROR(INDEX(ArchiveResults!$F$5:$IX$116,ComparisonData!A38,ComparisonData!$DN$1),0),5)</f>
        <v>0</v>
      </c>
      <c r="DO38" s="46" cm="1">
        <f t="array" ref="DO38">ROUND(IFERROR(INDEX(ArchiveResults!$F$5:$IX$116,ComparisonData!A38,ComparisonData!$DO$1),0),5)</f>
        <v>0</v>
      </c>
      <c r="DP38" s="46" cm="1">
        <f t="array" ref="DP38">ROUND(IFERROR(INDEX(ArchiveResults!$F$5:$IX$116,ComparisonData!A38,ComparisonData!$DP$1),0),5)</f>
        <v>0</v>
      </c>
      <c r="DQ38" s="45" cm="1">
        <f t="array" ref="DQ38">IFERROR(INDEX(ArchiveResults!$F$5:$IX$116,ComparisonData!A38,ComparisonData!$DQ$1),0)</f>
        <v>0</v>
      </c>
      <c r="DR38" s="56">
        <v>33</v>
      </c>
      <c r="DS38" s="53" t="str">
        <f t="shared" ref="DS38:DS69" si="549">INDEX($B$6:$B$117,MATCH(DR38,$DI$6:$DI$117,0))</f>
        <v>Herefordshire Archive Service</v>
      </c>
      <c r="DT38" s="59">
        <f t="shared" si="170"/>
        <v>0</v>
      </c>
      <c r="DU38" s="59">
        <f t="shared" si="171"/>
        <v>0</v>
      </c>
      <c r="DV38" s="59">
        <f t="shared" si="172"/>
        <v>0</v>
      </c>
      <c r="DW38" s="59">
        <f t="shared" si="173"/>
        <v>0</v>
      </c>
      <c r="DX38" s="59">
        <f t="shared" si="174"/>
        <v>0</v>
      </c>
      <c r="DY38" s="58">
        <f t="shared" si="175"/>
        <v>0</v>
      </c>
      <c r="DZ38" s="45">
        <f t="shared" si="176"/>
        <v>79</v>
      </c>
      <c r="EA38" s="54">
        <f t="shared" ref="EA38:EA69" si="550">(C38*EB38)+EC38</f>
        <v>2.8289999999999997</v>
      </c>
      <c r="EB38" s="45">
        <f t="shared" si="177"/>
        <v>1</v>
      </c>
      <c r="EC38" s="45">
        <f t="shared" si="178"/>
        <v>2</v>
      </c>
      <c r="ED38" s="46" cm="1">
        <f t="array" ref="ED38">ROUND(IFERROR(INDEX(ArchiveResults!$F$5:$IX$116,ComparisonData!A38,ComparisonData!$ED$1),0),5)</f>
        <v>0</v>
      </c>
      <c r="EE38" s="46" cm="1">
        <f t="array" ref="EE38">ROUND(IFERROR(INDEX(ArchiveResults!$F$5:$IX$116,ComparisonData!A38,ComparisonData!$EE$1),0),5)</f>
        <v>0</v>
      </c>
      <c r="EF38" s="46" cm="1">
        <f t="array" ref="EF38">ROUND(IFERROR(INDEX(ArchiveResults!$F$5:$IX$116,ComparisonData!A38,ComparisonData!$EF$1),0),5)</f>
        <v>0</v>
      </c>
      <c r="EG38" s="46" cm="1">
        <f t="array" ref="EG38">ROUND(IFERROR(INDEX(ArchiveResults!$F$5:$IX$116,ComparisonData!A38,ComparisonData!$EG$1),0),5)</f>
        <v>0</v>
      </c>
      <c r="EH38" s="45" cm="1">
        <f t="array" ref="EH38">IFERROR(INDEX(ArchiveResults!$F$5:$IX$116,ComparisonData!A38,ComparisonData!$EH$1),0)</f>
        <v>0</v>
      </c>
      <c r="EI38" s="56">
        <v>33</v>
      </c>
      <c r="EJ38" s="53" t="str">
        <f t="shared" ref="EJ38:EJ69" si="551">INDEX($B$6:$B$117,MATCH(EI38,$DZ$6:$DZ$117,0))</f>
        <v>Herefordshire Archive Service</v>
      </c>
      <c r="EK38" s="59">
        <f t="shared" si="179"/>
        <v>0</v>
      </c>
      <c r="EL38" s="59">
        <f t="shared" si="180"/>
        <v>0</v>
      </c>
      <c r="EM38" s="59">
        <f t="shared" si="181"/>
        <v>0</v>
      </c>
      <c r="EN38" s="59">
        <f t="shared" si="182"/>
        <v>0</v>
      </c>
      <c r="EO38" s="59">
        <f t="shared" si="183"/>
        <v>0</v>
      </c>
      <c r="EP38" s="58">
        <f t="shared" si="184"/>
        <v>0</v>
      </c>
      <c r="EQ38" s="45">
        <f t="shared" si="185"/>
        <v>79</v>
      </c>
      <c r="ER38" s="54">
        <f t="shared" ref="ER38:ER69" si="552">(C38*ES38)+ET38</f>
        <v>2.8289999999999997</v>
      </c>
      <c r="ES38" s="45">
        <f t="shared" si="186"/>
        <v>1</v>
      </c>
      <c r="ET38" s="45">
        <f t="shared" si="187"/>
        <v>2</v>
      </c>
      <c r="EU38" s="46" cm="1">
        <f t="array" ref="EU38">ROUND(IFERROR(INDEX(ArchiveResults!$F$5:$IX$116,ComparisonData!A38,ComparisonData!$EU$1),0),5)</f>
        <v>0</v>
      </c>
      <c r="EV38" s="46" cm="1">
        <f t="array" ref="EV38">ROUND(IFERROR(INDEX(ArchiveResults!$F$5:$IX$116,ComparisonData!A38,ComparisonData!$EV$1),0),5)</f>
        <v>0</v>
      </c>
      <c r="EW38" s="46" cm="1">
        <f t="array" ref="EW38">ROUND(IFERROR(INDEX(ArchiveResults!$F$5:$IX$116,ComparisonData!A38,ComparisonData!$EW$1),0),5)</f>
        <v>0</v>
      </c>
      <c r="EX38" s="46" cm="1">
        <f t="array" ref="EX38">ROUND(IFERROR(INDEX(ArchiveResults!$F$5:$IX$116,ComparisonData!A38,ComparisonData!$EX$1),0),5)</f>
        <v>0</v>
      </c>
      <c r="EY38" s="45" cm="1">
        <f t="array" ref="EY38">IFERROR(INDEX(ArchiveResults!$F$5:$IX$116,ComparisonData!A38,ComparisonData!$EY$1),0)</f>
        <v>0</v>
      </c>
      <c r="EZ38" s="56">
        <v>33</v>
      </c>
      <c r="FA38" s="53" t="str">
        <f t="shared" ref="FA38:FA69" si="553">INDEX($B$6:$B$117,MATCH(EZ38,$EQ$6:$EQ$117,0))</f>
        <v>Herefordshire Archive Service</v>
      </c>
      <c r="FB38" s="59">
        <f t="shared" si="188"/>
        <v>0</v>
      </c>
      <c r="FC38" s="59">
        <f t="shared" si="189"/>
        <v>0</v>
      </c>
      <c r="FD38" s="59">
        <f t="shared" si="190"/>
        <v>0</v>
      </c>
      <c r="FE38" s="59">
        <f t="shared" si="191"/>
        <v>0</v>
      </c>
      <c r="FF38" s="59">
        <f t="shared" si="192"/>
        <v>0</v>
      </c>
      <c r="FG38" s="58">
        <f t="shared" si="193"/>
        <v>0</v>
      </c>
      <c r="FH38" s="45">
        <f t="shared" si="194"/>
        <v>79</v>
      </c>
      <c r="FI38" s="54">
        <f t="shared" ref="FI38:FI69" si="554">(C38*FJ38)+FK38</f>
        <v>2.8289999999999997</v>
      </c>
      <c r="FJ38" s="45">
        <f t="shared" si="195"/>
        <v>1</v>
      </c>
      <c r="FK38" s="45">
        <f t="shared" si="196"/>
        <v>2</v>
      </c>
      <c r="FL38" s="46" cm="1">
        <f t="array" ref="FL38">ROUND(IFERROR(INDEX(ArchiveResults!$F$5:$IX$116,ComparisonData!A38,ComparisonData!$FL$1),0),5)</f>
        <v>0</v>
      </c>
      <c r="FM38" s="46" cm="1">
        <f t="array" ref="FM38">ROUND(IFERROR(INDEX(ArchiveResults!$F$5:$IX$116,ComparisonData!A38,ComparisonData!$FM$1),0),5)</f>
        <v>0</v>
      </c>
      <c r="FN38" s="46" cm="1">
        <f t="array" ref="FN38">ROUND(IFERROR(INDEX(ArchiveResults!$F$5:$IX$116,ComparisonData!A38,ComparisonData!$FN$1),0),5)</f>
        <v>0</v>
      </c>
      <c r="FO38" s="46" cm="1">
        <f t="array" ref="FO38">ROUND(IFERROR(INDEX(ArchiveResults!$F$5:$IX$116,ComparisonData!A38,ComparisonData!$FO$1),0),5)</f>
        <v>0</v>
      </c>
      <c r="FP38" s="45" cm="1">
        <f t="array" ref="FP38">IFERROR(INDEX(ArchiveResults!$F$5:$IX$116,ComparisonData!A38,ComparisonData!$FP$1),0)</f>
        <v>0</v>
      </c>
      <c r="FQ38" s="56">
        <v>33</v>
      </c>
      <c r="FR38" s="53" t="str">
        <f t="shared" ref="FR38:FR69" si="555">INDEX($B$6:$B$117,MATCH(FQ38,$FH$6:$FH$117,0))</f>
        <v>Herefordshire Archive Service</v>
      </c>
      <c r="FS38" s="59">
        <f t="shared" si="197"/>
        <v>0</v>
      </c>
      <c r="FT38" s="59">
        <f t="shared" si="198"/>
        <v>0</v>
      </c>
      <c r="FU38" s="59">
        <f t="shared" si="199"/>
        <v>0</v>
      </c>
      <c r="FV38" s="59">
        <f t="shared" si="200"/>
        <v>0</v>
      </c>
      <c r="FW38" s="59">
        <f t="shared" si="201"/>
        <v>0</v>
      </c>
      <c r="FX38" s="58">
        <f t="shared" si="202"/>
        <v>0</v>
      </c>
      <c r="FY38" s="45">
        <f t="shared" si="203"/>
        <v>79</v>
      </c>
      <c r="FZ38" s="45">
        <f t="shared" ref="FZ38:FZ69" si="556">(C38*GA38)+GB38</f>
        <v>2.8289999999999997</v>
      </c>
      <c r="GA38" s="45">
        <f t="shared" si="204"/>
        <v>1</v>
      </c>
      <c r="GB38" s="45">
        <f t="shared" si="205"/>
        <v>2</v>
      </c>
      <c r="GC38" s="46" cm="1">
        <f t="array" ref="GC38">ROUND(IFERROR(INDEX(ArchiveResults!$F$5:$IX$116,ComparisonData!A38,ComparisonData!$GC$1),0),5)</f>
        <v>0</v>
      </c>
      <c r="GD38" s="46" cm="1">
        <f t="array" ref="GD38">ROUND(IFERROR(INDEX(ArchiveResults!$F$5:$IX$116,ComparisonData!A38,ComparisonData!$GD$1),0),5)</f>
        <v>0</v>
      </c>
      <c r="GE38" s="46" cm="1">
        <f t="array" ref="GE38">ROUND(IFERROR(INDEX(ArchiveResults!$F$5:$IX$116,ComparisonData!A38,ComparisonData!$GE$1),0),5)</f>
        <v>0</v>
      </c>
      <c r="GF38" s="46" cm="1">
        <f t="array" ref="GF38">ROUND(IFERROR(INDEX(ArchiveResults!$F$5:$IX$116,ComparisonData!A38,ComparisonData!$GF$1),0),5)</f>
        <v>0</v>
      </c>
      <c r="GG38" s="45" cm="1">
        <f t="array" ref="GG38">IFERROR(INDEX(ArchiveResults!$F$5:$IX$116,ComparisonData!A38,ComparisonData!$GG$1),0)</f>
        <v>0</v>
      </c>
      <c r="GH38" s="56">
        <v>33</v>
      </c>
      <c r="GI38" s="53" t="str">
        <f t="shared" ref="GI38:GI69" si="557">INDEX($B$6:$B$117,MATCH(GH38,$FY$6:$FY$117,0))</f>
        <v>Herefordshire Archive Service</v>
      </c>
      <c r="GJ38" s="59">
        <f t="shared" si="206"/>
        <v>0</v>
      </c>
      <c r="GK38" s="59">
        <f t="shared" si="207"/>
        <v>0</v>
      </c>
      <c r="GL38" s="59">
        <f t="shared" si="208"/>
        <v>0</v>
      </c>
      <c r="GM38" s="59">
        <f t="shared" si="209"/>
        <v>0</v>
      </c>
      <c r="GN38" s="59">
        <f t="shared" si="210"/>
        <v>0</v>
      </c>
      <c r="GO38" s="58">
        <f t="shared" si="211"/>
        <v>0</v>
      </c>
      <c r="GP38" s="45">
        <f t="shared" si="212"/>
        <v>79</v>
      </c>
      <c r="GQ38" s="45">
        <f t="shared" ref="GQ38:GQ69" si="558">(C38*GR38)+GS38</f>
        <v>2.8289999999999997</v>
      </c>
      <c r="GR38" s="45">
        <f t="shared" si="213"/>
        <v>1</v>
      </c>
      <c r="GS38" s="45">
        <f t="shared" si="214"/>
        <v>2</v>
      </c>
      <c r="GT38" s="46" cm="1">
        <f t="array" ref="GT38">ROUND(IFERROR(INDEX(ArchiveResults!$F$5:$IX$116,ComparisonData!A38,ComparisonData!$GT$1),0),5)</f>
        <v>0</v>
      </c>
      <c r="GU38" s="46" cm="1">
        <f t="array" ref="GU38">ROUND(IFERROR(INDEX(ArchiveResults!$F$5:$IX$116,ComparisonData!A38,ComparisonData!$GU$1),0),5)</f>
        <v>0</v>
      </c>
      <c r="GV38" s="46" cm="1">
        <f t="array" ref="GV38">ROUND(IFERROR(INDEX(ArchiveResults!$F$5:$IX$116,ComparisonData!A38,ComparisonData!$GV$1),0),5)</f>
        <v>0</v>
      </c>
      <c r="GW38" s="46" cm="1">
        <f t="array" ref="GW38">ROUND(IFERROR(INDEX(ArchiveResults!$F$5:$IX$116,ComparisonData!A38,ComparisonData!$GW$1),0),5)</f>
        <v>0</v>
      </c>
      <c r="GX38" s="45" cm="1">
        <f t="array" ref="GX38">IFERROR(INDEX(ArchiveResults!$F$5:$IX$116,ComparisonData!A38,ComparisonData!$GX$1),0)</f>
        <v>0</v>
      </c>
      <c r="GY38" s="56">
        <v>33</v>
      </c>
      <c r="GZ38" s="53" t="str">
        <f t="shared" ref="GZ38:GZ69" si="559">INDEX($B$6:$B$117,MATCH(GY38,$GP$6:$GP$117,0))</f>
        <v>Herefordshire Archive Service</v>
      </c>
      <c r="HA38" s="59">
        <f t="shared" si="215"/>
        <v>0</v>
      </c>
      <c r="HB38" s="59">
        <f t="shared" si="216"/>
        <v>0</v>
      </c>
      <c r="HC38" s="59">
        <f t="shared" si="217"/>
        <v>0</v>
      </c>
      <c r="HD38" s="59">
        <f t="shared" si="218"/>
        <v>0</v>
      </c>
      <c r="HE38" s="59">
        <f t="shared" si="219"/>
        <v>0</v>
      </c>
      <c r="HF38" s="58">
        <f t="shared" si="220"/>
        <v>0</v>
      </c>
      <c r="HG38" s="45">
        <f t="shared" si="221"/>
        <v>79</v>
      </c>
      <c r="HH38" s="45">
        <f t="shared" ref="HH38:HH69" si="560">(C38*HI38)+HJ38</f>
        <v>2.8289999999999997</v>
      </c>
      <c r="HI38" s="45">
        <f t="shared" si="222"/>
        <v>1</v>
      </c>
      <c r="HJ38" s="45">
        <f t="shared" si="223"/>
        <v>2</v>
      </c>
      <c r="HK38" s="46" cm="1">
        <f t="array" ref="HK38">ROUND(IFERROR(INDEX(ArchiveResults!$F$5:$IX$116,ComparisonData!A38,ComparisonData!$HK$1),0),5)</f>
        <v>0</v>
      </c>
      <c r="HL38" s="46" cm="1">
        <f t="array" ref="HL38">ROUND(IFERROR(INDEX(ArchiveResults!$F$5:$IX$116,ComparisonData!A38,ComparisonData!$HL$1),0),5)</f>
        <v>0</v>
      </c>
      <c r="HM38" s="46" cm="1">
        <f t="array" ref="HM38">ROUND(IFERROR(INDEX(ArchiveResults!$F$5:$IX$116,ComparisonData!A38,ComparisonData!$HM$1),0),5)</f>
        <v>0</v>
      </c>
      <c r="HN38" s="46" cm="1">
        <f t="array" ref="HN38">ROUND(IFERROR(INDEX(ArchiveResults!$F$5:$IX$116,ComparisonData!A38,ComparisonData!$HN$1),0),5)</f>
        <v>0</v>
      </c>
      <c r="HO38" s="45" cm="1">
        <f t="array" ref="HO38">IFERROR(INDEX(ArchiveResults!$F$5:$IX$116,ComparisonData!A38,ComparisonData!$HO$1),0)</f>
        <v>0</v>
      </c>
      <c r="HP38" s="56">
        <v>33</v>
      </c>
      <c r="HQ38" s="53" t="str">
        <f t="shared" ref="HQ38:HQ69" si="561">INDEX($B$6:$B$117,MATCH(HP38,$HG$6:$HG$117,0))</f>
        <v>Herefordshire Archive Service</v>
      </c>
      <c r="HR38" s="59">
        <f t="shared" ref="HR38:HR69" si="562">INDEX($HK$6:$HK$117,MATCH(HP38,$HG$6:$HG$117,0))</f>
        <v>0</v>
      </c>
      <c r="HS38" s="59">
        <f t="shared" ref="HS38:HS69" si="563">INDEX($HL$6:$HL$117,MATCH(HP38,$HG$6:$HG$117,0))</f>
        <v>0</v>
      </c>
      <c r="HT38" s="59">
        <f t="shared" ref="HT38:HT69" si="564">INDEX($HM$6:$HM$117,MATCH(HP38,$HG$6:$HG$117,0))</f>
        <v>0</v>
      </c>
      <c r="HU38" s="59">
        <f t="shared" ref="HU38:HU69" si="565">INDEX($HN$6:$HN$117,MATCH(HP38,$HG$6:$HG$117,0))</f>
        <v>0</v>
      </c>
      <c r="HV38" s="59">
        <f t="shared" ref="HV38:HV69" si="566">INDEX($HO$6:$HO$117,MATCH(HP38,$HG$6:$HG$117,0))</f>
        <v>0</v>
      </c>
      <c r="HW38" s="58">
        <f t="shared" si="224"/>
        <v>0</v>
      </c>
      <c r="HX38" s="45">
        <f t="shared" si="225"/>
        <v>79</v>
      </c>
      <c r="HY38" s="45">
        <f t="shared" ref="HY38:HY69" si="567">(C38*HZ38)+IA38</f>
        <v>2.8289999999999997</v>
      </c>
      <c r="HZ38" s="45">
        <f t="shared" si="226"/>
        <v>1</v>
      </c>
      <c r="IA38" s="45">
        <f t="shared" si="227"/>
        <v>2</v>
      </c>
      <c r="IB38" s="45">
        <f t="shared" si="228"/>
        <v>0</v>
      </c>
      <c r="IC38" s="46" cm="1">
        <f t="array" ref="IC38">ROUND(IFERROR(INDEX(ArchiveResults!$F$5:$IX$116,ComparisonData!A38,ComparisonData!$IC$1),0),5)</f>
        <v>0</v>
      </c>
      <c r="ID38" s="46" cm="1">
        <f t="array" ref="ID38">ROUND(IFERROR(INDEX(ArchiveResults!$F$5:$IX$116,ComparisonData!A38,ComparisonData!$ID$1),0),5)</f>
        <v>0</v>
      </c>
      <c r="IE38" s="46" cm="1">
        <f t="array" ref="IE38">ROUND(IFERROR(INDEX(ArchiveResults!$F$5:$IX$116,ComparisonData!A38,ComparisonData!$IE$1),0),5)</f>
        <v>0</v>
      </c>
      <c r="IF38" s="46" cm="1">
        <f t="array" ref="IF38">ROUND(IFERROR(INDEX(ArchiveResults!$F$5:$IX$116,ComparisonData!A38,ComparisonData!$IF$1),0),5)</f>
        <v>0</v>
      </c>
      <c r="IG38" s="45" cm="1">
        <f t="array" ref="IG38">IFERROR(INDEX(ArchiveResults!$F$5:$IX$116,ComparisonData!A38,ComparisonData!$IG$1),0)</f>
        <v>0</v>
      </c>
      <c r="IH38" s="56">
        <v>33</v>
      </c>
      <c r="II38" s="53" t="str">
        <f t="shared" ref="II38:II69" si="568">INDEX($B$6:$B$117,MATCH(IH38,$HX$6:$HX$117,0))</f>
        <v>Herefordshire Archive Service</v>
      </c>
      <c r="IJ38" s="59">
        <f t="shared" si="229"/>
        <v>0</v>
      </c>
      <c r="IK38" s="59">
        <f t="shared" si="230"/>
        <v>0</v>
      </c>
      <c r="IL38" s="59">
        <f t="shared" si="231"/>
        <v>0</v>
      </c>
      <c r="IM38" s="59">
        <f t="shared" si="232"/>
        <v>0</v>
      </c>
      <c r="IN38" s="59">
        <f t="shared" si="233"/>
        <v>0</v>
      </c>
      <c r="IO38" s="58">
        <f t="shared" si="234"/>
        <v>0</v>
      </c>
      <c r="IP38" s="45">
        <f t="shared" si="235"/>
        <v>79</v>
      </c>
      <c r="IQ38" s="45">
        <f t="shared" ref="IQ38:IQ69" si="569">(C38*IR38)+IS38</f>
        <v>2.8289999999999997</v>
      </c>
      <c r="IR38" s="45">
        <f t="shared" si="236"/>
        <v>1</v>
      </c>
      <c r="IS38" s="45">
        <f t="shared" si="237"/>
        <v>2</v>
      </c>
      <c r="IT38" s="46">
        <f t="shared" si="238"/>
        <v>0</v>
      </c>
      <c r="IU38" s="46" cm="1">
        <f t="array" ref="IU38">ROUND(IFERROR(INDEX(ArchiveResults!$F$5:$IX$116,ComparisonData!A38,ComparisonData!$IU$1),0),5)</f>
        <v>0</v>
      </c>
      <c r="IV38" s="46" cm="1">
        <f t="array" ref="IV38">ROUND(IFERROR(INDEX(ArchiveResults!$F$5:$IX$116,ComparisonData!A38,ComparisonData!$IV$1),0),5)</f>
        <v>0</v>
      </c>
      <c r="IW38" s="46" cm="1">
        <f t="array" ref="IW38">ROUND(IFERROR(INDEX(ArchiveResults!$F$5:$IX$116,ComparisonData!A38,ComparisonData!$IW$1),0),5)</f>
        <v>0</v>
      </c>
      <c r="IX38" s="46" cm="1">
        <f t="array" ref="IX38">ROUND(IFERROR(INDEX(ArchiveResults!$F$5:$IX$116,ComparisonData!A38,ComparisonData!$IX$1),0),5)</f>
        <v>0</v>
      </c>
      <c r="IY38" s="45" cm="1">
        <f t="array" ref="IY38">IFERROR(INDEX(ArchiveResults!$F$5:$IX$116,ComparisonData!A38,ComparisonData!$IY$1),0)</f>
        <v>0</v>
      </c>
      <c r="IZ38" s="56">
        <v>33</v>
      </c>
      <c r="JA38" s="53" t="str">
        <f t="shared" ref="JA38:JA69" si="570">INDEX($B$6:$B$117,MATCH(IZ38,$IP$6:$IP$117,0))</f>
        <v>Herefordshire Archive Service</v>
      </c>
      <c r="JB38" s="59">
        <f t="shared" si="239"/>
        <v>0</v>
      </c>
      <c r="JC38" s="59">
        <f t="shared" si="240"/>
        <v>0</v>
      </c>
      <c r="JD38" s="59">
        <f t="shared" si="241"/>
        <v>0</v>
      </c>
      <c r="JE38" s="59">
        <f t="shared" si="242"/>
        <v>0</v>
      </c>
      <c r="JF38" s="59">
        <f t="shared" si="243"/>
        <v>0</v>
      </c>
      <c r="JG38" s="58">
        <f t="shared" si="244"/>
        <v>0</v>
      </c>
      <c r="JH38" s="45">
        <f t="shared" si="245"/>
        <v>79</v>
      </c>
      <c r="JI38" s="45">
        <f t="shared" ref="JI38:JI69" si="571">(C38*JJ38)+JK38</f>
        <v>2.8289999999999997</v>
      </c>
      <c r="JJ38" s="45">
        <f t="shared" si="246"/>
        <v>1</v>
      </c>
      <c r="JK38" s="45">
        <f t="shared" si="247"/>
        <v>2</v>
      </c>
      <c r="JL38" s="45">
        <f t="shared" si="248"/>
        <v>0</v>
      </c>
      <c r="JM38" s="46" cm="1">
        <f t="array" ref="JM38">ROUND(IFERROR(INDEX(ArchiveResults!$F$5:$IX$116,ComparisonData!A38,ComparisonData!$JM$1),0),5)</f>
        <v>0</v>
      </c>
      <c r="JN38" s="46" cm="1">
        <f t="array" ref="JN38">ROUND(IFERROR(INDEX(ArchiveResults!$F$5:$IX$116,ComparisonData!A38,ComparisonData!$JN$1),0),5)</f>
        <v>0</v>
      </c>
      <c r="JO38" s="46" cm="1">
        <f t="array" ref="JO38">ROUND(IFERROR(INDEX(ArchiveResults!$F$5:$IX$116,ComparisonData!A38,ComparisonData!$JO$1),0),5)</f>
        <v>0</v>
      </c>
      <c r="JP38" s="46" cm="1">
        <f t="array" ref="JP38">ROUND(IFERROR(INDEX(ArchiveResults!$F$5:$IX$116,ComparisonData!A38,ComparisonData!$JP$1),0),5)</f>
        <v>0</v>
      </c>
      <c r="JQ38" s="45" cm="1">
        <f t="array" ref="JQ38">IFERROR(INDEX(ArchiveResults!$F$5:$IX$116,ComparisonData!A38,ComparisonData!$JQ$1),0)</f>
        <v>0</v>
      </c>
      <c r="JR38" s="56">
        <v>33</v>
      </c>
      <c r="JS38" s="53" t="str">
        <f t="shared" ref="JS38:JS69" si="572">INDEX($B$6:$B$117,MATCH(JR38,$JH$6:$JH$117,0))</f>
        <v>Herefordshire Archive Service</v>
      </c>
      <c r="JT38" s="59">
        <f t="shared" si="249"/>
        <v>0</v>
      </c>
      <c r="JU38" s="59">
        <f t="shared" si="250"/>
        <v>0</v>
      </c>
      <c r="JV38" s="59">
        <f t="shared" si="251"/>
        <v>0</v>
      </c>
      <c r="JW38" s="59">
        <f t="shared" si="252"/>
        <v>0</v>
      </c>
      <c r="JX38" s="59">
        <f t="shared" si="253"/>
        <v>0</v>
      </c>
      <c r="JY38" s="58">
        <f t="shared" si="254"/>
        <v>0</v>
      </c>
      <c r="JZ38" s="45">
        <f t="shared" si="255"/>
        <v>79</v>
      </c>
      <c r="KA38" s="45">
        <f t="shared" ref="KA38:KA69" si="573">(C38*KB38)+KC38</f>
        <v>2.8289999999999997</v>
      </c>
      <c r="KB38" s="45">
        <f t="shared" si="256"/>
        <v>1</v>
      </c>
      <c r="KC38" s="45">
        <f t="shared" si="257"/>
        <v>2</v>
      </c>
      <c r="KD38" s="45">
        <f t="shared" si="258"/>
        <v>0</v>
      </c>
      <c r="KE38" s="46" cm="1">
        <f t="array" ref="KE38">ROUND(IFERROR(INDEX(ArchiveResults!$F$5:$IX$116,ComparisonData!A38,ComparisonData!$KE$1),0),5)</f>
        <v>0</v>
      </c>
      <c r="KF38" s="46" cm="1">
        <f t="array" ref="KF38">ROUND(IFERROR(INDEX(ArchiveResults!$F$5:$IX$116,ComparisonData!A38,ComparisonData!$KF$1),0),5)</f>
        <v>0</v>
      </c>
      <c r="KG38" s="46" cm="1">
        <f t="array" ref="KG38">ROUND(IFERROR(INDEX(ArchiveResults!$F$5:$IX$116,ComparisonData!A38,ComparisonData!$KG$1),0),5)</f>
        <v>0</v>
      </c>
      <c r="KH38" s="46" cm="1">
        <f t="array" ref="KH38">ROUND(IFERROR(INDEX(ArchiveResults!$F$5:$IX$116,ComparisonData!A38,ComparisonData!$KH$1),0),5)</f>
        <v>0</v>
      </c>
      <c r="KI38" s="45" cm="1">
        <f t="array" ref="KI38">IFERROR(INDEX(ArchiveResults!$F$5:$IX$116,ComparisonData!A38,ComparisonData!$KI$1),0)</f>
        <v>0</v>
      </c>
      <c r="KJ38" s="56">
        <v>33</v>
      </c>
      <c r="KK38" s="53" t="str">
        <f t="shared" ref="KK38:KK69" si="574">INDEX($B$6:$B$117,MATCH(KJ38,$JZ$6:$JZ$117,0))</f>
        <v>Herefordshire Archive Service</v>
      </c>
      <c r="KL38" s="59">
        <f t="shared" si="259"/>
        <v>0</v>
      </c>
      <c r="KM38" s="59">
        <f t="shared" si="260"/>
        <v>0</v>
      </c>
      <c r="KN38" s="59">
        <f t="shared" si="261"/>
        <v>0</v>
      </c>
      <c r="KO38" s="59">
        <f t="shared" si="262"/>
        <v>0</v>
      </c>
      <c r="KP38" s="59">
        <f t="shared" si="263"/>
        <v>0</v>
      </c>
      <c r="KQ38" s="58">
        <f t="shared" si="264"/>
        <v>0</v>
      </c>
      <c r="KR38" s="45">
        <f t="shared" si="265"/>
        <v>79</v>
      </c>
      <c r="KS38" s="45">
        <f t="shared" ref="KS38:KS69" si="575">(C38*KT38)+KU38</f>
        <v>2.8289999999999997</v>
      </c>
      <c r="KT38" s="45">
        <f t="shared" si="266"/>
        <v>1</v>
      </c>
      <c r="KU38" s="45">
        <f t="shared" si="267"/>
        <v>2</v>
      </c>
      <c r="KV38" s="45">
        <f t="shared" si="268"/>
        <v>0</v>
      </c>
      <c r="KW38" s="46" cm="1">
        <f t="array" ref="KW38">ROUND(IFERROR(INDEX(ArchiveResults!$F$5:$IX$116,ComparisonData!A38,ComparisonData!$KW$1),0),5)</f>
        <v>0</v>
      </c>
      <c r="KX38" s="46" cm="1">
        <f t="array" ref="KX38">ROUND(IFERROR(INDEX(ArchiveResults!$F$5:$IX$116,ComparisonData!A38,ComparisonData!$KX$1),0),5)</f>
        <v>0</v>
      </c>
      <c r="KY38" s="46" cm="1">
        <f t="array" ref="KY38">ROUND(IFERROR(INDEX(ArchiveResults!$F$5:$IX$116,ComparisonData!A38,ComparisonData!$KY$1),0),5)</f>
        <v>0</v>
      </c>
      <c r="KZ38" s="46" cm="1">
        <f t="array" ref="KZ38">ROUND(IFERROR(INDEX(ArchiveResults!$F$5:$IX$116,ComparisonData!A38,ComparisonData!$KZ$1),0),5)</f>
        <v>0</v>
      </c>
      <c r="LA38" s="45" cm="1">
        <f t="array" ref="LA38">IFERROR(INDEX(ArchiveResults!$F$5:$IX$116,ComparisonData!A38,ComparisonData!$LA$1),0)</f>
        <v>0</v>
      </c>
      <c r="LB38" s="56">
        <v>33</v>
      </c>
      <c r="LC38" s="53" t="str">
        <f t="shared" ref="LC38:LC69" si="576">INDEX($B$6:$B$117,MATCH(LB38,$KR$6:$KR$117,0))</f>
        <v>Herefordshire Archive Service</v>
      </c>
      <c r="LD38" s="59">
        <f t="shared" si="269"/>
        <v>0</v>
      </c>
      <c r="LE38" s="59">
        <f t="shared" si="270"/>
        <v>0</v>
      </c>
      <c r="LF38" s="59">
        <f t="shared" si="271"/>
        <v>0</v>
      </c>
      <c r="LG38" s="59">
        <f t="shared" si="272"/>
        <v>0</v>
      </c>
      <c r="LH38" s="59">
        <f t="shared" si="273"/>
        <v>0</v>
      </c>
      <c r="LI38" s="58">
        <f t="shared" si="274"/>
        <v>0</v>
      </c>
      <c r="LJ38" s="45">
        <f t="shared" si="275"/>
        <v>79</v>
      </c>
      <c r="LK38" s="45">
        <f t="shared" ref="LK38:LK69" si="577">(C38*LL38)+LM38</f>
        <v>2.8289999999999997</v>
      </c>
      <c r="LL38" s="45">
        <f t="shared" si="276"/>
        <v>1</v>
      </c>
      <c r="LM38" s="45">
        <f t="shared" si="277"/>
        <v>2</v>
      </c>
      <c r="LN38" s="45">
        <f t="shared" si="278"/>
        <v>0</v>
      </c>
      <c r="LO38" s="46" cm="1">
        <f t="array" ref="LO38">ROUND(IFERROR(INDEX(ArchiveResults!$F$5:$IX$116,ComparisonData!A38,ComparisonData!$LO$1),0),5)</f>
        <v>0</v>
      </c>
      <c r="LP38" s="46" cm="1">
        <f t="array" ref="LP38">ROUND(IFERROR(INDEX(ArchiveResults!$F$5:$IX$116,ComparisonData!A38,ComparisonData!$LP$1),0),5)</f>
        <v>0</v>
      </c>
      <c r="LQ38" s="46" cm="1">
        <f t="array" ref="LQ38">ROUND(IFERROR(INDEX(ArchiveResults!$F$5:$IX$116,ComparisonData!A38,ComparisonData!$LQ$1),0),5)</f>
        <v>0</v>
      </c>
      <c r="LR38" s="46" cm="1">
        <f t="array" ref="LR38">ROUND(IFERROR(INDEX(ArchiveResults!$F$5:$IX$116,ComparisonData!A38,ComparisonData!$LR$1),0),5)</f>
        <v>0</v>
      </c>
      <c r="LS38" s="45" cm="1">
        <f t="array" ref="LS38">IFERROR(INDEX(ArchiveResults!$F$5:$IX$116,ComparisonData!A38,ComparisonData!$LS$1),0)</f>
        <v>0</v>
      </c>
      <c r="LT38" s="56">
        <v>33</v>
      </c>
      <c r="LU38" s="53" t="str">
        <f t="shared" ref="LU38:LU69" si="578">INDEX($B$6:$B$117,MATCH(LT38,$LJ$6:$LJ$117,0))</f>
        <v>Herefordshire Archive Service</v>
      </c>
      <c r="LV38" s="59">
        <f t="shared" si="279"/>
        <v>0</v>
      </c>
      <c r="LW38" s="59">
        <f t="shared" si="280"/>
        <v>0</v>
      </c>
      <c r="LX38" s="59">
        <f t="shared" si="281"/>
        <v>0</v>
      </c>
      <c r="LY38" s="59">
        <f t="shared" si="282"/>
        <v>0</v>
      </c>
      <c r="LZ38" s="59">
        <f t="shared" si="283"/>
        <v>0</v>
      </c>
      <c r="MA38" s="58">
        <f t="shared" si="284"/>
        <v>0</v>
      </c>
      <c r="MB38" s="45">
        <f t="shared" si="285"/>
        <v>79</v>
      </c>
      <c r="MC38" s="45">
        <f t="shared" ref="MC38:MC69" si="579">(C38*MD38)+ME38</f>
        <v>2.8289999999999997</v>
      </c>
      <c r="MD38" s="45">
        <f t="shared" si="286"/>
        <v>1</v>
      </c>
      <c r="ME38" s="45">
        <f t="shared" si="287"/>
        <v>2</v>
      </c>
      <c r="MF38" s="45">
        <f t="shared" si="288"/>
        <v>0</v>
      </c>
      <c r="MG38" s="46" cm="1">
        <f t="array" ref="MG38">ROUND(IFERROR(INDEX(ArchiveResults!$F$5:$IX$116,ComparisonData!A38,ComparisonData!$MG$1),0),5)</f>
        <v>0</v>
      </c>
      <c r="MH38" s="46" cm="1">
        <f t="array" ref="MH38">ROUND(IFERROR(INDEX(ArchiveResults!$F$5:$IX$116,ComparisonData!A38,ComparisonData!$MH$1),0),5)</f>
        <v>0</v>
      </c>
      <c r="MI38" s="46" cm="1">
        <f t="array" ref="MI38">ROUND(IFERROR(INDEX(ArchiveResults!$F$5:$IX$116,ComparisonData!A38,ComparisonData!$MI$1),0),5)</f>
        <v>0</v>
      </c>
      <c r="MJ38" s="46" cm="1">
        <f t="array" ref="MJ38">ROUND(IFERROR(INDEX(ArchiveResults!$F$5:$IX$116,ComparisonData!A38,ComparisonData!$MJ$1),0),5)</f>
        <v>0</v>
      </c>
      <c r="MK38" s="45" cm="1">
        <f t="array" ref="MK38">IFERROR(INDEX(ArchiveResults!$F$5:$IX$116,ComparisonData!A38,ComparisonData!$MK$1),0)</f>
        <v>0</v>
      </c>
      <c r="ML38" s="56">
        <v>33</v>
      </c>
      <c r="MM38" s="53" t="str">
        <f t="shared" ref="MM38:MM69" si="580">INDEX($B$6:$B$117,MATCH(ML38,$MB$6:$MB$117,0))</f>
        <v>Herefordshire Archive Service</v>
      </c>
      <c r="MN38" s="59">
        <f t="shared" si="289"/>
        <v>0</v>
      </c>
      <c r="MO38" s="59">
        <f t="shared" si="290"/>
        <v>0</v>
      </c>
      <c r="MP38" s="59">
        <f t="shared" si="291"/>
        <v>0</v>
      </c>
      <c r="MQ38" s="59">
        <f t="shared" si="292"/>
        <v>0</v>
      </c>
      <c r="MR38" s="59">
        <f t="shared" si="293"/>
        <v>0</v>
      </c>
      <c r="MS38" s="58">
        <f t="shared" si="294"/>
        <v>0</v>
      </c>
      <c r="MT38" s="45">
        <f t="shared" si="295"/>
        <v>79</v>
      </c>
      <c r="MU38" s="45">
        <f t="shared" ref="MU38:MU69" si="581">(C38*MV38)+MW38</f>
        <v>2.8289999999999997</v>
      </c>
      <c r="MV38" s="45">
        <f t="shared" si="296"/>
        <v>1</v>
      </c>
      <c r="MW38" s="45">
        <f t="shared" si="297"/>
        <v>2</v>
      </c>
      <c r="MX38" s="45">
        <f t="shared" si="298"/>
        <v>0</v>
      </c>
      <c r="MY38" s="46" cm="1">
        <f t="array" ref="MY38">ROUND(IFERROR(INDEX(ArchiveResults!$F$5:$IX$116,ComparisonData!A38,ComparisonData!$MY$1),0),5)</f>
        <v>0</v>
      </c>
      <c r="MZ38" s="46" cm="1">
        <f t="array" ref="MZ38">ROUND(IFERROR(INDEX(ArchiveResults!$F$5:$IX$116,ComparisonData!A38,ComparisonData!$MZ$1),0),5)</f>
        <v>0</v>
      </c>
      <c r="NA38" s="46" cm="1">
        <f t="array" ref="NA38">ROUND(IFERROR(INDEX(ArchiveResults!$F$5:$IX$116,ComparisonData!A38,ComparisonData!$NA$1),0),5)</f>
        <v>0</v>
      </c>
      <c r="NB38" s="46" cm="1">
        <f t="array" ref="NB38">ROUND(IFERROR(INDEX(ArchiveResults!$F$5:$IX$116,ComparisonData!A38,ComparisonData!$NB$1),0),5)</f>
        <v>0</v>
      </c>
      <c r="NC38" s="45" cm="1">
        <f t="array" ref="NC38">IFERROR(INDEX(ArchiveResults!$F$5:$IX$116,ComparisonData!A38,ComparisonData!$NC$1),0)</f>
        <v>0</v>
      </c>
      <c r="ND38" s="56">
        <v>33</v>
      </c>
      <c r="NE38" s="53" t="str">
        <f t="shared" ref="NE38:NE69" si="582">INDEX($B$6:$B$117,MATCH(ND38,$MT$6:$MT$117,0))</f>
        <v>Herefordshire Archive Service</v>
      </c>
      <c r="NF38" s="59">
        <f t="shared" si="299"/>
        <v>0</v>
      </c>
      <c r="NG38" s="59">
        <f t="shared" si="300"/>
        <v>0</v>
      </c>
      <c r="NH38" s="59">
        <f t="shared" si="301"/>
        <v>0</v>
      </c>
      <c r="NI38" s="59">
        <f t="shared" si="302"/>
        <v>0</v>
      </c>
      <c r="NJ38" s="59">
        <f t="shared" si="303"/>
        <v>0</v>
      </c>
      <c r="NK38" s="58">
        <f t="shared" si="304"/>
        <v>0</v>
      </c>
      <c r="NL38" s="45">
        <f t="shared" si="305"/>
        <v>79</v>
      </c>
      <c r="NM38" s="45">
        <f t="shared" ref="NM38:NM69" si="583">(C38*NN38)+NO38</f>
        <v>2.8289999999999997</v>
      </c>
      <c r="NN38" s="45">
        <f t="shared" si="306"/>
        <v>1</v>
      </c>
      <c r="NO38" s="45">
        <f t="shared" si="307"/>
        <v>2</v>
      </c>
      <c r="NP38" s="46" cm="1">
        <f t="array" ref="NP38">ROUND(IFERROR(INDEX(ArchiveResults!$F$5:$IX$116,ComparisonData!A38,ComparisonData!$NP$1),0),5)</f>
        <v>0</v>
      </c>
      <c r="NQ38" s="46" cm="1">
        <f t="array" ref="NQ38">ROUND(IFERROR(INDEX(ArchiveResults!$F$5:$IX$116,ComparisonData!A38,ComparisonData!$NQ$1),0),5)</f>
        <v>0</v>
      </c>
      <c r="NR38" s="46" cm="1">
        <f t="array" ref="NR38">ROUND(IFERROR(INDEX(ArchiveResults!$F$5:$IX$116,ComparisonData!A38,ComparisonData!$NR$1),0),5)</f>
        <v>0</v>
      </c>
      <c r="NS38" s="46" cm="1">
        <f t="array" ref="NS38">ROUND(IFERROR(INDEX(ArchiveResults!$F$5:$IX$116,ComparisonData!A38,ComparisonData!$NS$1),0),5)</f>
        <v>0</v>
      </c>
      <c r="NT38" s="45" cm="1">
        <f t="array" ref="NT38">IFERROR(INDEX(ArchiveResults!$F$5:$IX$116,ComparisonData!A38,ComparisonData!$NT$1),0)</f>
        <v>0</v>
      </c>
      <c r="NU38" s="56">
        <v>33</v>
      </c>
      <c r="NV38" s="53" t="str">
        <f t="shared" ref="NV38:NV69" si="584">INDEX($B$6:$B$117,MATCH(NU38,$NL$6:$NL$117,0))</f>
        <v>Herefordshire Archive Service</v>
      </c>
      <c r="NW38" s="59">
        <f t="shared" si="308"/>
        <v>0</v>
      </c>
      <c r="NX38" s="59">
        <f t="shared" si="309"/>
        <v>0</v>
      </c>
      <c r="NY38" s="59">
        <f t="shared" si="310"/>
        <v>0</v>
      </c>
      <c r="NZ38" s="59">
        <f t="shared" si="311"/>
        <v>0</v>
      </c>
      <c r="OA38" s="59">
        <f t="shared" si="312"/>
        <v>0</v>
      </c>
      <c r="OB38" s="58">
        <f t="shared" si="313"/>
        <v>0</v>
      </c>
      <c r="OC38" s="45">
        <f t="shared" si="314"/>
        <v>79</v>
      </c>
      <c r="OD38" s="45">
        <f t="shared" ref="OD38:OD69" si="585">(C38*OE38)+OF38</f>
        <v>2.8289999999999997</v>
      </c>
      <c r="OE38" s="45">
        <f t="shared" si="315"/>
        <v>1</v>
      </c>
      <c r="OF38" s="45">
        <f t="shared" si="316"/>
        <v>2</v>
      </c>
      <c r="OG38" s="46">
        <f t="shared" si="317"/>
        <v>0</v>
      </c>
      <c r="OH38" s="46" cm="1">
        <f t="array" ref="OH38">ROUND(IFERROR(INDEX(ArchiveResults!$F$5:$IX$116,ComparisonData!A38,ComparisonData!$OH$1),0),5)</f>
        <v>0</v>
      </c>
      <c r="OI38" s="46" cm="1">
        <f t="array" ref="OI38">ROUND(IFERROR(INDEX(ArchiveResults!$F$5:$IX$116,ComparisonData!A38,ComparisonData!$OI$1),0),5)</f>
        <v>0</v>
      </c>
      <c r="OJ38" s="46" cm="1">
        <f t="array" ref="OJ38">ROUND(IFERROR(INDEX(ArchiveResults!$F$5:$IX$116,ComparisonData!A38,ComparisonData!$OJ$1),0),5)</f>
        <v>0</v>
      </c>
      <c r="OK38" s="46" cm="1">
        <f t="array" ref="OK38">ROUND(IFERROR(INDEX(ArchiveResults!$F$5:$IX$116,ComparisonData!A38,ComparisonData!$OK$1),0),5)</f>
        <v>0</v>
      </c>
      <c r="OL38" s="45" cm="1">
        <f t="array" ref="OL38">IFERROR(INDEX(ArchiveResults!$F$5:$IX$116,ComparisonData!A38,ComparisonData!$OL$1),0)</f>
        <v>0</v>
      </c>
      <c r="OM38" s="56">
        <v>33</v>
      </c>
      <c r="ON38" s="53" t="str">
        <f t="shared" ref="ON38:ON69" si="586">INDEX($B$6:$B$117,MATCH(OM38,$OC$6:$OC$117,0))</f>
        <v>Herefordshire Archive Service</v>
      </c>
      <c r="OO38" s="59">
        <f t="shared" si="318"/>
        <v>0</v>
      </c>
      <c r="OP38" s="59">
        <f t="shared" si="319"/>
        <v>0</v>
      </c>
      <c r="OQ38" s="59">
        <f t="shared" si="320"/>
        <v>0</v>
      </c>
      <c r="OR38" s="59">
        <f t="shared" si="321"/>
        <v>0</v>
      </c>
      <c r="OS38" s="59">
        <f t="shared" si="322"/>
        <v>0</v>
      </c>
      <c r="OT38" s="58">
        <f t="shared" si="323"/>
        <v>0</v>
      </c>
      <c r="OU38" s="45">
        <f t="shared" si="324"/>
        <v>79</v>
      </c>
      <c r="OV38" s="45">
        <f t="shared" ref="OV38:OV69" si="587">(C38*OW38)+OX38</f>
        <v>2.8289999999999997</v>
      </c>
      <c r="OW38" s="45">
        <f t="shared" si="325"/>
        <v>1</v>
      </c>
      <c r="OX38" s="45">
        <f t="shared" si="326"/>
        <v>2</v>
      </c>
      <c r="OY38" s="45">
        <f t="shared" si="327"/>
        <v>0</v>
      </c>
      <c r="OZ38" s="46" cm="1">
        <f t="array" ref="OZ38">ROUND(IFERROR(INDEX(ArchiveResults!$F$5:$IX$116,ComparisonData!A38,ComparisonData!$OZ$1),0),5)</f>
        <v>0</v>
      </c>
      <c r="PA38" s="46" cm="1">
        <f t="array" ref="PA38">ROUND(IFERROR(INDEX(ArchiveResults!$F$5:$IX$116,ComparisonData!A38,ComparisonData!$PA$1),0),5)</f>
        <v>0</v>
      </c>
      <c r="PB38" s="46" cm="1">
        <f t="array" ref="PB38">ROUND(IFERROR(INDEX(ArchiveResults!$F$5:$IX$116,ComparisonData!A38,ComparisonData!$PB$1),0),5)</f>
        <v>0</v>
      </c>
      <c r="PC38" s="46" cm="1">
        <f t="array" ref="PC38">ROUND(IFERROR(INDEX(ArchiveResults!$F$5:$IX$116,ComparisonData!A38,ComparisonData!$PC$1),0),5)</f>
        <v>0</v>
      </c>
      <c r="PD38" s="45" cm="1">
        <f t="array" ref="PD38">IFERROR(INDEX(ArchiveResults!$F$5:$IX$116,ComparisonData!A38,ComparisonData!$PD$1),0)</f>
        <v>0</v>
      </c>
      <c r="PE38" s="56">
        <v>33</v>
      </c>
      <c r="PF38" s="53" t="str">
        <f t="shared" ref="PF38:PF69" si="588">INDEX($B$6:$B$117,MATCH(PE38,$OU$6:$OU$117,0))</f>
        <v>Herefordshire Archive Service</v>
      </c>
      <c r="PG38" s="59">
        <f t="shared" si="328"/>
        <v>0</v>
      </c>
      <c r="PH38" s="59">
        <f t="shared" si="329"/>
        <v>0</v>
      </c>
      <c r="PI38" s="59">
        <f t="shared" si="330"/>
        <v>0</v>
      </c>
      <c r="PJ38" s="59">
        <f t="shared" si="331"/>
        <v>0</v>
      </c>
      <c r="PK38" s="59">
        <f t="shared" si="332"/>
        <v>0</v>
      </c>
      <c r="PL38" s="58">
        <f t="shared" si="333"/>
        <v>0</v>
      </c>
      <c r="PM38" s="45">
        <f t="shared" si="334"/>
        <v>79</v>
      </c>
      <c r="PN38" s="45">
        <f t="shared" ref="PN38:PN69" si="589">(C38*PO38)+PP38</f>
        <v>2.8289999999999997</v>
      </c>
      <c r="PO38" s="45">
        <f t="shared" si="335"/>
        <v>1</v>
      </c>
      <c r="PP38" s="45">
        <f t="shared" si="336"/>
        <v>2</v>
      </c>
      <c r="PQ38" s="45">
        <f t="shared" si="337"/>
        <v>0</v>
      </c>
      <c r="PR38" s="46" cm="1">
        <f t="array" ref="PR38">ROUND(IFERROR(INDEX(ArchiveResults!$F$5:$IX$116,ComparisonData!A38,ComparisonData!$PR$1),0),5)</f>
        <v>0</v>
      </c>
      <c r="PS38" s="46" cm="1">
        <f t="array" ref="PS38">ROUND(IFERROR(INDEX(ArchiveResults!$F$5:$IX$116,ComparisonData!A38,ComparisonData!$PS$1),0),5)</f>
        <v>0</v>
      </c>
      <c r="PT38" s="46" cm="1">
        <f t="array" ref="PT38">ROUND(IFERROR(INDEX(ArchiveResults!$F$5:$IX$116,ComparisonData!A38,ComparisonData!$PT$1),0),5)</f>
        <v>0</v>
      </c>
      <c r="PU38" s="46" cm="1">
        <f t="array" ref="PU38">ROUND(IFERROR(INDEX(ArchiveResults!$F$5:$IX$116,ComparisonData!A38,ComparisonData!$PU$1),0),5)</f>
        <v>0</v>
      </c>
      <c r="PV38" s="45" cm="1">
        <f t="array" ref="PV38">IFERROR(INDEX(ArchiveResults!$F$5:$IX$116,ComparisonData!A38,ComparisonData!$PV$1),0)</f>
        <v>0</v>
      </c>
      <c r="PW38" s="56">
        <v>33</v>
      </c>
      <c r="PX38" s="53" t="str">
        <f t="shared" ref="PX38:PX69" si="590">INDEX($B$6:$B$117,MATCH(PW38,$PM$6:$PM$117,0))</f>
        <v>Herefordshire Archive Service</v>
      </c>
      <c r="PY38" s="59">
        <f t="shared" si="338"/>
        <v>0</v>
      </c>
      <c r="PZ38" s="59">
        <f t="shared" si="339"/>
        <v>0</v>
      </c>
      <c r="QA38" s="59">
        <f t="shared" si="340"/>
        <v>0</v>
      </c>
      <c r="QB38" s="59">
        <f t="shared" si="341"/>
        <v>0</v>
      </c>
      <c r="QC38" s="59">
        <f t="shared" si="342"/>
        <v>0</v>
      </c>
      <c r="QD38" s="58">
        <f t="shared" si="343"/>
        <v>0</v>
      </c>
      <c r="QE38" s="45">
        <f t="shared" si="344"/>
        <v>79</v>
      </c>
      <c r="QF38" s="45">
        <f t="shared" ref="QF38:QF69" si="591">(C38*QG38)+QH38</f>
        <v>2.8289999999999997</v>
      </c>
      <c r="QG38" s="45">
        <f t="shared" si="345"/>
        <v>1</v>
      </c>
      <c r="QH38" s="45">
        <f t="shared" si="346"/>
        <v>2</v>
      </c>
      <c r="QI38" s="45">
        <f t="shared" si="347"/>
        <v>0</v>
      </c>
      <c r="QJ38" s="46" cm="1">
        <f t="array" ref="QJ38">ROUND(IFERROR(INDEX(ArchiveResults!$F$5:$IX$116,ComparisonData!A38,ComparisonData!$QJ$1),0),5)</f>
        <v>0</v>
      </c>
      <c r="QK38" s="46" cm="1">
        <f t="array" ref="QK38">ROUND(IFERROR(INDEX(ArchiveResults!$F$5:$IX$116,ComparisonData!A38,ComparisonData!$QK$1),0),5)</f>
        <v>0</v>
      </c>
      <c r="QL38" s="46" cm="1">
        <f t="array" ref="QL38">ROUND(IFERROR(INDEX(ArchiveResults!$F$5:$IX$116,ComparisonData!A38,ComparisonData!$QL$1),0),5)</f>
        <v>0</v>
      </c>
      <c r="QM38" s="46" cm="1">
        <f t="array" ref="QM38">ROUND(IFERROR(INDEX(ArchiveResults!$F$5:$IX$116,ComparisonData!A38,ComparisonData!$QM$1),0),5)</f>
        <v>0</v>
      </c>
      <c r="QN38" s="45" cm="1">
        <f t="array" ref="QN38">IFERROR(INDEX(ArchiveResults!$F$5:$IX$116,ComparisonData!A38,ComparisonData!$QN$1),0)</f>
        <v>0</v>
      </c>
      <c r="QO38" s="56">
        <v>33</v>
      </c>
      <c r="QP38" s="53" t="str">
        <f t="shared" ref="QP38:QP69" si="592">INDEX($B$6:$B$117,MATCH(QO38,$QE$6:$QE$117,0))</f>
        <v>Herefordshire Archive Service</v>
      </c>
      <c r="QQ38" s="59">
        <f t="shared" si="348"/>
        <v>0</v>
      </c>
      <c r="QR38" s="59">
        <f t="shared" si="349"/>
        <v>0</v>
      </c>
      <c r="QS38" s="59">
        <f t="shared" si="350"/>
        <v>0</v>
      </c>
      <c r="QT38" s="59">
        <f t="shared" si="351"/>
        <v>0</v>
      </c>
      <c r="QU38" s="59">
        <f t="shared" si="352"/>
        <v>0</v>
      </c>
      <c r="QV38" s="58">
        <f t="shared" si="353"/>
        <v>0</v>
      </c>
      <c r="QW38" s="45">
        <f t="shared" si="354"/>
        <v>79</v>
      </c>
      <c r="QX38" s="45">
        <f t="shared" ref="QX38:QX69" si="593">(C38*QY38)+QZ38</f>
        <v>2.8289999999999997</v>
      </c>
      <c r="QY38" s="45">
        <f t="shared" si="355"/>
        <v>1</v>
      </c>
      <c r="QZ38" s="45">
        <f t="shared" si="356"/>
        <v>2</v>
      </c>
      <c r="RA38" s="45">
        <f t="shared" si="357"/>
        <v>0</v>
      </c>
      <c r="RB38" s="46" cm="1">
        <f t="array" ref="RB38">ROUND(IFERROR(INDEX(ArchiveResults!$F$5:$IX$116,ComparisonData!A38,ComparisonData!$RB$1),0),5)</f>
        <v>0</v>
      </c>
      <c r="RC38" s="46" cm="1">
        <f t="array" ref="RC38">ROUND(IFERROR(INDEX(ArchiveResults!$F$5:$IX$116,ComparisonData!A38,ComparisonData!$RC$1),0),5)</f>
        <v>0</v>
      </c>
      <c r="RD38" s="46" cm="1">
        <f t="array" ref="RD38">ROUND(IFERROR(INDEX(ArchiveResults!$F$5:$IX$116,ComparisonData!A38,ComparisonData!$RD$1),0),5)</f>
        <v>0</v>
      </c>
      <c r="RE38" s="46" cm="1">
        <f t="array" ref="RE38">ROUND(IFERROR(INDEX(ArchiveResults!$F$5:$IX$116,ComparisonData!A38,ComparisonData!$RE$1),0),5)</f>
        <v>0</v>
      </c>
      <c r="RF38" s="45" cm="1">
        <f t="array" ref="RF38">IFERROR(INDEX(ArchiveResults!$F$5:$IX$116,ComparisonData!A38,ComparisonData!$RF$1),0)</f>
        <v>0</v>
      </c>
      <c r="RG38" s="56">
        <v>33</v>
      </c>
      <c r="RH38" s="53" t="str">
        <f t="shared" ref="RH38:RH69" si="594">INDEX($B$6:$B$117,MATCH(RG38,$QW$6:$QW$117,0))</f>
        <v>Herefordshire Archive Service</v>
      </c>
      <c r="RI38" s="59">
        <f t="shared" si="358"/>
        <v>0</v>
      </c>
      <c r="RJ38" s="59">
        <f t="shared" si="359"/>
        <v>0</v>
      </c>
      <c r="RK38" s="59">
        <f t="shared" si="360"/>
        <v>0</v>
      </c>
      <c r="RL38" s="59">
        <f t="shared" si="361"/>
        <v>0</v>
      </c>
      <c r="RM38" s="59">
        <f t="shared" si="362"/>
        <v>0</v>
      </c>
      <c r="RN38" s="58">
        <f t="shared" si="363"/>
        <v>0</v>
      </c>
      <c r="RO38" s="45">
        <f t="shared" si="364"/>
        <v>79</v>
      </c>
      <c r="RP38" s="45">
        <f t="shared" ref="RP38:RP69" si="595">(C38*RQ38)+RR38</f>
        <v>2.8289999999999997</v>
      </c>
      <c r="RQ38" s="45">
        <f t="shared" si="365"/>
        <v>1</v>
      </c>
      <c r="RR38" s="45">
        <f t="shared" si="366"/>
        <v>2</v>
      </c>
      <c r="RS38" s="45">
        <f t="shared" si="367"/>
        <v>0</v>
      </c>
      <c r="RT38" s="46" cm="1">
        <f t="array" ref="RT38">ROUND(IFERROR(INDEX(ArchiveResults!$F$5:$IX$116,ComparisonData!A38,ComparisonData!$RT$1),0),5)</f>
        <v>0</v>
      </c>
      <c r="RU38" s="46" cm="1">
        <f t="array" ref="RU38">ROUND(IFERROR(INDEX(ArchiveResults!$F$5:$IX$116,ComparisonData!A38,ComparisonData!$RU$1),0),5)</f>
        <v>0</v>
      </c>
      <c r="RV38" s="46" cm="1">
        <f t="array" ref="RV38">ROUND(IFERROR(INDEX(ArchiveResults!$F$5:$IX$116,ComparisonData!A38,ComparisonData!$RV$1),0),5)</f>
        <v>0</v>
      </c>
      <c r="RW38" s="46" cm="1">
        <f t="array" ref="RW38">ROUND(IFERROR(INDEX(ArchiveResults!$F$5:$IX$116,ComparisonData!A38,ComparisonData!$RW$1),0),5)</f>
        <v>0</v>
      </c>
      <c r="RX38" s="45" cm="1">
        <f t="array" ref="RX38">IFERROR(INDEX(ArchiveResults!$F$5:$IX$116,ComparisonData!A38,ComparisonData!$RX$1),0)</f>
        <v>0</v>
      </c>
      <c r="RY38" s="56">
        <v>33</v>
      </c>
      <c r="RZ38" s="53" t="str">
        <f t="shared" ref="RZ38:RZ69" si="596">INDEX($B$6:$B$117,MATCH(RY38,$RO$6:$RO$117,0))</f>
        <v>Herefordshire Archive Service</v>
      </c>
      <c r="SA38" s="59">
        <f t="shared" si="368"/>
        <v>0</v>
      </c>
      <c r="SB38" s="59">
        <f t="shared" si="369"/>
        <v>0</v>
      </c>
      <c r="SC38" s="59">
        <f t="shared" si="370"/>
        <v>0</v>
      </c>
      <c r="SD38" s="59">
        <f t="shared" si="371"/>
        <v>0</v>
      </c>
      <c r="SE38" s="59">
        <f t="shared" si="372"/>
        <v>0</v>
      </c>
      <c r="SF38" s="58">
        <f t="shared" si="373"/>
        <v>0</v>
      </c>
      <c r="SG38" s="45">
        <f t="shared" si="374"/>
        <v>79</v>
      </c>
      <c r="SH38" s="45">
        <f t="shared" ref="SH38:SH69" si="597">(C38*SI38)+SJ38</f>
        <v>2.8289999999999997</v>
      </c>
      <c r="SI38" s="45">
        <f t="shared" si="375"/>
        <v>1</v>
      </c>
      <c r="SJ38" s="45">
        <f t="shared" si="376"/>
        <v>2</v>
      </c>
      <c r="SK38" s="45">
        <f t="shared" si="377"/>
        <v>0</v>
      </c>
      <c r="SL38" s="46" cm="1">
        <f t="array" ref="SL38">ROUND(IFERROR(INDEX(ArchiveResults!$F$5:$IX$116,ComparisonData!A38,ComparisonData!$SL$1),0),5)</f>
        <v>0</v>
      </c>
      <c r="SM38" s="46" cm="1">
        <f t="array" ref="SM38">ROUND(IFERROR(INDEX(ArchiveResults!$F$5:$IX$116,ComparisonData!A38,ComparisonData!$SM$1),0),5)</f>
        <v>0</v>
      </c>
      <c r="SN38" s="46" cm="1">
        <f t="array" ref="SN38">ROUND(IFERROR(INDEX(ArchiveResults!$F$5:$IX$116,ComparisonData!A38,ComparisonData!$SN$1),0),5)</f>
        <v>0</v>
      </c>
      <c r="SO38" s="46" cm="1">
        <f t="array" ref="SO38">ROUND(IFERROR(INDEX(ArchiveResults!$F$5:$IX$116,ComparisonData!A38,ComparisonData!$SO$1),0),5)</f>
        <v>0</v>
      </c>
      <c r="SP38" s="45" cm="1">
        <f t="array" ref="SP38">IFERROR(INDEX(ArchiveResults!$F$5:$IX$116,ComparisonData!A38,ComparisonData!$SP$1),0)</f>
        <v>0</v>
      </c>
      <c r="SQ38" s="56">
        <v>33</v>
      </c>
      <c r="SR38" s="53" t="str">
        <f t="shared" ref="SR38:SR69" si="598">INDEX($B$6:$B$117,MATCH(SQ38,$SG$6:$SG$117,0))</f>
        <v>Herefordshire Archive Service</v>
      </c>
      <c r="SS38" s="59">
        <f t="shared" si="378"/>
        <v>0</v>
      </c>
      <c r="ST38" s="59">
        <f t="shared" si="379"/>
        <v>0</v>
      </c>
      <c r="SU38" s="59">
        <f t="shared" si="380"/>
        <v>0</v>
      </c>
      <c r="SV38" s="59">
        <f t="shared" si="381"/>
        <v>0</v>
      </c>
      <c r="SW38" s="59">
        <f t="shared" si="382"/>
        <v>0</v>
      </c>
      <c r="SX38" s="58">
        <f t="shared" si="383"/>
        <v>0</v>
      </c>
      <c r="SY38" s="45">
        <f t="shared" si="384"/>
        <v>79</v>
      </c>
      <c r="SZ38" s="45">
        <f t="shared" ref="SZ38:SZ69" si="599">(C38*TA38)+TB38</f>
        <v>2.8289999999999997</v>
      </c>
      <c r="TA38" s="45">
        <f t="shared" si="385"/>
        <v>1</v>
      </c>
      <c r="TB38" s="45">
        <f t="shared" si="386"/>
        <v>2</v>
      </c>
      <c r="TC38" s="45">
        <f t="shared" si="387"/>
        <v>0</v>
      </c>
      <c r="TD38" s="46" cm="1">
        <f t="array" ref="TD38">ROUND(IFERROR(INDEX(ArchiveResults!$F$5:$IX$116,ComparisonData!A38,ComparisonData!$TD$1),0),5)</f>
        <v>0</v>
      </c>
      <c r="TE38" s="46" cm="1">
        <f t="array" ref="TE38">ROUND(IFERROR(INDEX(ArchiveResults!$F$5:$IX$116,ComparisonData!A38,ComparisonData!$TE$1),0),5)</f>
        <v>0</v>
      </c>
      <c r="TF38" s="46" cm="1">
        <f t="array" ref="TF38">ROUND(IFERROR(INDEX(ArchiveResults!$F$5:$IX$116,ComparisonData!A38,ComparisonData!$TF$1),0),5)</f>
        <v>0</v>
      </c>
      <c r="TG38" s="46" cm="1">
        <f t="array" ref="TG38">ROUND(IFERROR(INDEX(ArchiveResults!$F$5:$IX$116,ComparisonData!A38,ComparisonData!$TG$1),0),5)</f>
        <v>0</v>
      </c>
      <c r="TH38" s="45" cm="1">
        <f t="array" ref="TH38">IFERROR(INDEX(ArchiveResults!$F$5:$IX$116,ComparisonData!A38,ComparisonData!$TH$1),0)</f>
        <v>0</v>
      </c>
      <c r="TI38" s="56">
        <v>33</v>
      </c>
      <c r="TJ38" s="53" t="str">
        <f t="shared" ref="TJ38:TJ69" si="600">INDEX($B$6:$B$117,MATCH(TI38,$SY$6:$SY$117,0))</f>
        <v>Herefordshire Archive Service</v>
      </c>
      <c r="TK38" s="59">
        <f t="shared" si="388"/>
        <v>0</v>
      </c>
      <c r="TL38" s="59">
        <f t="shared" si="389"/>
        <v>0</v>
      </c>
      <c r="TM38" s="59">
        <f t="shared" si="390"/>
        <v>0</v>
      </c>
      <c r="TN38" s="59">
        <f t="shared" si="391"/>
        <v>0</v>
      </c>
      <c r="TO38" s="59">
        <f t="shared" si="392"/>
        <v>0</v>
      </c>
      <c r="TP38" s="58">
        <f t="shared" si="393"/>
        <v>0</v>
      </c>
      <c r="TQ38" s="45">
        <f t="shared" si="394"/>
        <v>79</v>
      </c>
      <c r="TR38" s="45">
        <f t="shared" ref="TR38:TR69" si="601">(C38*TS38)+TT38</f>
        <v>2.8289999999999997</v>
      </c>
      <c r="TS38" s="45">
        <f t="shared" si="395"/>
        <v>1</v>
      </c>
      <c r="TT38" s="45">
        <f t="shared" si="396"/>
        <v>2</v>
      </c>
      <c r="TU38" s="45">
        <f t="shared" si="397"/>
        <v>0</v>
      </c>
      <c r="TV38" s="46" cm="1">
        <f t="array" ref="TV38">ROUND(IFERROR(INDEX(ArchiveResults!$F$5:$IX$116,ComparisonData!A38,ComparisonData!$TV$1),0),5)</f>
        <v>0</v>
      </c>
      <c r="TW38" s="46" cm="1">
        <f t="array" ref="TW38">ROUND(IFERROR(INDEX(ArchiveResults!$F$5:$IX$116,ComparisonData!A38,ComparisonData!$TW$1),0),5)</f>
        <v>0</v>
      </c>
      <c r="TX38" s="46" cm="1">
        <f t="array" ref="TX38">ROUND(IFERROR(INDEX(ArchiveResults!$F$5:$IX$116,ComparisonData!A38,ComparisonData!$TX$1),0),5)</f>
        <v>0</v>
      </c>
      <c r="TY38" s="46" cm="1">
        <f t="array" ref="TY38">ROUND(IFERROR(INDEX(ArchiveResults!$F$5:$IX$116,ComparisonData!A38,ComparisonData!$TY$1),0),5)</f>
        <v>0</v>
      </c>
      <c r="TZ38" s="45" cm="1">
        <f t="array" ref="TZ38">IFERROR(INDEX(ArchiveResults!$F$5:$IX$116,ComparisonData!A38,ComparisonData!$TZ$1),0)</f>
        <v>0</v>
      </c>
      <c r="UA38" s="56">
        <v>33</v>
      </c>
      <c r="UB38" s="53" t="str">
        <f t="shared" ref="UB38:UB69" si="602">INDEX($B$6:$B$117,MATCH(UA38,$TQ$6:$TQ$117,0))</f>
        <v>Herefordshire Archive Service</v>
      </c>
      <c r="UC38" s="60">
        <f t="shared" si="398"/>
        <v>0</v>
      </c>
      <c r="UD38" s="60">
        <f t="shared" si="399"/>
        <v>0</v>
      </c>
      <c r="UE38" s="60">
        <f t="shared" si="400"/>
        <v>0</v>
      </c>
      <c r="UF38" s="60">
        <f t="shared" si="401"/>
        <v>0</v>
      </c>
      <c r="UG38" s="60">
        <f t="shared" si="402"/>
        <v>0</v>
      </c>
      <c r="UH38" s="58">
        <f t="shared" si="403"/>
        <v>0</v>
      </c>
      <c r="UI38" s="46">
        <f t="shared" si="404"/>
        <v>79</v>
      </c>
      <c r="UJ38" s="46">
        <f t="shared" ref="UJ38:UJ69" si="603">(C38*UK38)+UL38</f>
        <v>2.8289999999999997</v>
      </c>
      <c r="UK38" s="46">
        <f t="shared" si="405"/>
        <v>1</v>
      </c>
      <c r="UL38" s="46">
        <f t="shared" si="406"/>
        <v>2</v>
      </c>
      <c r="UM38" s="46" cm="1">
        <f t="array" ref="UM38">ROUND(IFERROR(INDEX(ArchiveResults!$F$5:$IX$116,ComparisonData!A38,ComparisonData!$UM$1),0),5)</f>
        <v>0</v>
      </c>
      <c r="UN38" s="56">
        <v>33</v>
      </c>
      <c r="UO38" s="53" t="str">
        <f t="shared" ref="UO38:UO69" si="604">INDEX($B$6:$B$117,MATCH(UN38,$UI$6:$UI$117,0))</f>
        <v>Herefordshire Archive Service</v>
      </c>
      <c r="UP38" s="46">
        <f t="shared" si="407"/>
        <v>0</v>
      </c>
      <c r="UQ38" s="76">
        <f t="shared" si="408"/>
        <v>0</v>
      </c>
      <c r="UR38" s="46">
        <f t="shared" si="409"/>
        <v>79</v>
      </c>
      <c r="US38" s="46">
        <f t="shared" ref="US38:US69" si="605">(C38*UT38)+UU38</f>
        <v>2.8289999999999997</v>
      </c>
      <c r="UT38" s="46">
        <f t="shared" si="410"/>
        <v>1</v>
      </c>
      <c r="UU38" s="46">
        <f t="shared" si="411"/>
        <v>2</v>
      </c>
      <c r="UV38" s="46">
        <f t="shared" si="412"/>
        <v>0</v>
      </c>
      <c r="UW38" s="46" cm="1">
        <f t="array" ref="UW38">ROUND(IFERROR(INDEX(ArchiveResults!$F$5:$IX$116,ComparisonData!A38,ComparisonData!$UW$1),0),5)</f>
        <v>0</v>
      </c>
      <c r="UX38" s="46" cm="1">
        <f t="array" ref="UX38">ROUND(IFERROR(INDEX(ArchiveResults!$F$5:$IX$116,ComparisonData!A38,ComparisonData!$UX$1),0),5)</f>
        <v>0</v>
      </c>
      <c r="UY38" s="46" cm="1">
        <f t="array" ref="UY38">ROUND(IFERROR(INDEX(ArchiveResults!$F$5:$IX$116,ComparisonData!A38,ComparisonData!$UY$1),0),5)</f>
        <v>0</v>
      </c>
      <c r="UZ38" s="46" cm="1">
        <f t="array" ref="UZ38">ROUND(IFERROR(INDEX(ArchiveResults!$F$5:$IX$116,ComparisonData!A38,ComparisonData!$UZ$1),0),5)</f>
        <v>0</v>
      </c>
      <c r="VA38" s="46" cm="1">
        <f t="array" ref="VA38">ROUND(IFERROR(INDEX(ArchiveResults!$F$5:$IX$116,ComparisonData!A38,ComparisonData!$VA$1),0),5)</f>
        <v>0</v>
      </c>
      <c r="VB38" s="56">
        <v>33</v>
      </c>
      <c r="VC38" s="53" t="str">
        <f t="shared" ref="VC38:VC69" si="606">INDEX($B$6:$B$117,MATCH(VB38,$UR$6:$UR$117,0))</f>
        <v>Herefordshire Archive Service</v>
      </c>
      <c r="VD38" s="60">
        <f t="shared" si="413"/>
        <v>0</v>
      </c>
      <c r="VE38" s="60">
        <f t="shared" si="414"/>
        <v>0</v>
      </c>
      <c r="VF38" s="60">
        <f t="shared" si="415"/>
        <v>0</v>
      </c>
      <c r="VG38" s="60">
        <f t="shared" si="416"/>
        <v>0</v>
      </c>
      <c r="VH38" s="60">
        <f t="shared" si="417"/>
        <v>0</v>
      </c>
      <c r="VI38" s="76">
        <f t="shared" si="418"/>
        <v>0</v>
      </c>
      <c r="VJ38" s="46">
        <f t="shared" si="419"/>
        <v>79</v>
      </c>
      <c r="VK38" s="46">
        <f t="shared" ref="VK38:VK69" si="607">(C38*VL38)+VM38</f>
        <v>2.8289999999999997</v>
      </c>
      <c r="VL38" s="46">
        <f t="shared" si="420"/>
        <v>1</v>
      </c>
      <c r="VM38" s="46">
        <f t="shared" si="421"/>
        <v>2</v>
      </c>
      <c r="VN38" s="46" cm="1">
        <f t="array" ref="VN38">ROUND(IFERROR(INDEX(ArchiveResults!$F$5:$IX$116,ComparisonData!A38,ComparisonData!$VN$1),0),5)</f>
        <v>0</v>
      </c>
      <c r="VO38" s="46" cm="1">
        <f t="array" ref="VO38">ROUND(IFERROR(INDEX(ArchiveResults!$F$5:$IX$116,ComparisonData!A38,ComparisonData!$VO$1),0),5)</f>
        <v>0</v>
      </c>
      <c r="VP38" s="46" cm="1">
        <f t="array" ref="VP38">ROUND(IFERROR(INDEX(ArchiveResults!$F$5:$IX$116,ComparisonData!A38,ComparisonData!$VP$1),0),5)</f>
        <v>0</v>
      </c>
      <c r="VQ38" s="46" cm="1">
        <f t="array" ref="VQ38">ROUND(IFERROR(INDEX(ArchiveResults!$F$5:$IX$116,ComparisonData!A38,ComparisonData!$VQ$1),0),5)</f>
        <v>0</v>
      </c>
      <c r="VR38" s="56">
        <v>33</v>
      </c>
      <c r="VS38" s="53" t="str">
        <f t="shared" ref="VS38:VS69" si="608">INDEX($B$6:$B$117,MATCH(VR38,$VJ$6:$VJ$117,0))</f>
        <v>Herefordshire Archive Service</v>
      </c>
      <c r="VT38" s="60">
        <f t="shared" si="422"/>
        <v>0</v>
      </c>
      <c r="VU38" s="60">
        <f t="shared" si="423"/>
        <v>0</v>
      </c>
      <c r="VV38" s="60">
        <f t="shared" si="424"/>
        <v>0</v>
      </c>
      <c r="VW38" s="60">
        <f t="shared" si="425"/>
        <v>0</v>
      </c>
      <c r="VX38" s="76">
        <f t="shared" si="426"/>
        <v>0</v>
      </c>
      <c r="VY38" s="46">
        <f t="shared" si="427"/>
        <v>79</v>
      </c>
      <c r="VZ38" s="46">
        <f t="shared" ref="VZ38:VZ69" si="609">(C38*WA38)+WB38</f>
        <v>2.8289999999999997</v>
      </c>
      <c r="WA38" s="46">
        <f t="shared" si="428"/>
        <v>1</v>
      </c>
      <c r="WB38" s="46">
        <f t="shared" si="429"/>
        <v>2</v>
      </c>
      <c r="WC38" s="46" cm="1">
        <f t="array" ref="WC38">ROUND(IFERROR(INDEX(ArchiveResults!$F$5:$IX$116,ComparisonData!A38,ComparisonData!$WC$1),0),5)</f>
        <v>0</v>
      </c>
      <c r="WD38" s="56">
        <v>33</v>
      </c>
      <c r="WE38" s="53" t="str">
        <f t="shared" ref="WE38:WE69" si="610">INDEX($B$6:$B$117,MATCH(WD38,$VY$6:$VY$117,0))</f>
        <v>Herefordshire Archive Service</v>
      </c>
      <c r="WF38" s="46">
        <f t="shared" si="430"/>
        <v>0</v>
      </c>
      <c r="WG38" s="76">
        <f t="shared" si="431"/>
        <v>0</v>
      </c>
      <c r="WH38" s="46">
        <f t="shared" si="432"/>
        <v>79</v>
      </c>
      <c r="WI38" s="46">
        <f t="shared" ref="WI38:WI69" si="611">(C38*WJ38)+WK38</f>
        <v>2.8289999999999997</v>
      </c>
      <c r="WJ38" s="46">
        <f t="shared" si="433"/>
        <v>1</v>
      </c>
      <c r="WK38" s="46">
        <f t="shared" si="434"/>
        <v>2</v>
      </c>
      <c r="WL38" s="46" cm="1">
        <f t="array" ref="WL38">ROUND(IFERROR(INDEX(ArchiveResults!$F$5:$IX$116,ComparisonData!A38,ComparisonData!$WL$1),0),5)</f>
        <v>0</v>
      </c>
      <c r="WM38" s="46" cm="1">
        <f t="array" ref="WM38">IFERROR(INDEX(ArchiveResults!$F$5:$IX$116,ComparisonData!A38,ComparisonData!$WM$1),0)</f>
        <v>0</v>
      </c>
      <c r="WN38" s="56">
        <v>33</v>
      </c>
      <c r="WO38" s="53" t="str">
        <f t="shared" ref="WO38:WO69" si="612">INDEX($B$6:$B$117,MATCH(WN38,$WH$6:$WH$117,0))</f>
        <v>Herefordshire Archive Service</v>
      </c>
      <c r="WP38" s="60">
        <f t="shared" si="435"/>
        <v>0</v>
      </c>
      <c r="WQ38" s="60">
        <f t="shared" si="436"/>
        <v>0</v>
      </c>
      <c r="WR38" s="76">
        <f t="shared" si="437"/>
        <v>0</v>
      </c>
      <c r="WS38" s="46">
        <f t="shared" si="438"/>
        <v>79</v>
      </c>
      <c r="WT38" s="46">
        <f t="shared" ref="WT38:WT69" si="613">(C38*WU38)+WV38</f>
        <v>2.8289999999999997</v>
      </c>
      <c r="WU38" s="46">
        <f t="shared" si="439"/>
        <v>1</v>
      </c>
      <c r="WV38" s="46">
        <f t="shared" si="440"/>
        <v>2</v>
      </c>
      <c r="WW38" s="46" cm="1">
        <f t="array" ref="WW38">ROUND(VALUE(IFERROR(INDEX(ArchiveResults!$F$5:$IX$116,ComparisonData!A38,ComparisonData!$WW$1),0)),5)</f>
        <v>0</v>
      </c>
      <c r="WX38" s="46" cm="1">
        <f t="array" ref="WX38">ROUND(IFERROR(INDEX(ArchiveResults!$F$5:$IX$116,ComparisonData!A38,ComparisonData!$WX$1),0),5)</f>
        <v>0</v>
      </c>
      <c r="WY38" s="56">
        <v>33</v>
      </c>
      <c r="WZ38" s="53" t="str">
        <f t="shared" ref="WZ38:WZ69" si="614">INDEX($B$6:$B$117,MATCH(WY38,$WS$6:$WS$117,0))</f>
        <v>Herefordshire Archive Service</v>
      </c>
      <c r="XA38" s="60">
        <f t="shared" ref="XA38:XA69" si="615">INDEX($WW$6:$WW$117,MATCH(WY38,$WS$6:$WS$117,0))</f>
        <v>0</v>
      </c>
      <c r="XB38" s="60">
        <f t="shared" ref="XB38:XB69" si="616">INDEX($WX$6:$WX$117,MATCH(WY38,$WS$6:$WS$117,0))</f>
        <v>0</v>
      </c>
      <c r="XC38" s="76">
        <f t="shared" si="441"/>
        <v>0</v>
      </c>
      <c r="XD38" s="46">
        <f t="shared" si="442"/>
        <v>79</v>
      </c>
      <c r="XE38" s="46">
        <f t="shared" ref="XE38:XE69" si="617">(C38*XF38)+XG38</f>
        <v>2.8289999999999997</v>
      </c>
      <c r="XF38" s="46">
        <f t="shared" si="443"/>
        <v>1</v>
      </c>
      <c r="XG38" s="46">
        <f t="shared" si="444"/>
        <v>2</v>
      </c>
      <c r="XH38" s="46" cm="1">
        <f t="array" ref="XH38">ROUND(VALUE(IFERROR(INDEX(ArchiveResults!$F$5:$IX$116,ComparisonData!A38,ComparisonData!$XH$1),0)),5)</f>
        <v>0</v>
      </c>
      <c r="XI38" s="46" cm="1">
        <f t="array" ref="XI38">ROUND(VALUE(IFERROR(INDEX(ArchiveResults!$F$5:$IX$116,ComparisonData!A38,ComparisonData!$XI$1),0)),5)</f>
        <v>0</v>
      </c>
      <c r="XJ38" s="56">
        <v>33</v>
      </c>
      <c r="XK38" s="53" t="str">
        <f t="shared" ref="XK38:XK69" si="618">INDEX($B$6:$B$117,MATCH(XJ38,$XD$6:$XD$117,0))</f>
        <v>Herefordshire Archive Service</v>
      </c>
      <c r="XL38" s="60">
        <f t="shared" si="445"/>
        <v>0</v>
      </c>
      <c r="XM38" s="60">
        <f t="shared" si="446"/>
        <v>0</v>
      </c>
      <c r="XN38" s="76">
        <f t="shared" si="447"/>
        <v>0</v>
      </c>
      <c r="XO38" s="46">
        <f t="shared" si="448"/>
        <v>79</v>
      </c>
      <c r="XP38" s="46">
        <f t="shared" ref="XP38:XP69" si="619">(C38*XQ38)+XR38</f>
        <v>2.8289999999999997</v>
      </c>
      <c r="XQ38" s="46">
        <f t="shared" si="449"/>
        <v>1</v>
      </c>
      <c r="XR38" s="46">
        <f t="shared" si="450"/>
        <v>2</v>
      </c>
      <c r="XS38" s="46" cm="1">
        <f t="array" ref="XS38">ROUND(VALUE(IFERROR(INDEX(ArchiveResults!$F$5:$IX$116,ComparisonData!A38,ComparisonData!$XS$1),0)),5)</f>
        <v>0</v>
      </c>
      <c r="XT38" s="46" cm="1">
        <f t="array" ref="XT38">ROUND(VALUE(IFERROR(INDEX(ArchiveResults!$F$5:$IX$116,ComparisonData!A38,ComparisonData!$XT$1),0)),5)</f>
        <v>0</v>
      </c>
      <c r="XU38" s="56">
        <v>33</v>
      </c>
      <c r="XV38" s="53" t="str">
        <f t="shared" ref="XV38:XV69" si="620">INDEX($B$6:$B$117,MATCH(XU38,$XO$6:$XO$117,0))</f>
        <v>Herefordshire Archive Service</v>
      </c>
      <c r="XW38" s="60">
        <f t="shared" si="451"/>
        <v>0</v>
      </c>
      <c r="XX38" s="60">
        <f t="shared" si="452"/>
        <v>0</v>
      </c>
      <c r="XY38" s="76">
        <f t="shared" si="453"/>
        <v>0</v>
      </c>
      <c r="XZ38" s="46">
        <f t="shared" si="454"/>
        <v>79</v>
      </c>
      <c r="YA38" s="46">
        <f t="shared" ref="YA38:YA69" si="621">(C38*YB38)+YC38</f>
        <v>2.8289999999999997</v>
      </c>
      <c r="YB38" s="46">
        <f t="shared" si="455"/>
        <v>1</v>
      </c>
      <c r="YC38" s="46">
        <f t="shared" si="456"/>
        <v>2</v>
      </c>
      <c r="YD38" s="46" cm="1">
        <f t="array" ref="YD38">ROUND(VALUE(IFERROR(INDEX(ArchiveResults!$F$5:$IX$116,ComparisonData!A38,ComparisonData!$YD$1),0)),5)</f>
        <v>0</v>
      </c>
      <c r="YE38" s="46" cm="1">
        <f t="array" ref="YE38">ROUND(VALUE(IFERROR(INDEX(ArchiveResults!$F$5:$IX$116,ComparisonData!A38,ComparisonData!$YE$1),0)),5)</f>
        <v>0</v>
      </c>
      <c r="YF38" s="56">
        <v>33</v>
      </c>
      <c r="YG38" s="53" t="str">
        <f t="shared" ref="YG38:YG69" si="622">INDEX($B$6:$B$117,MATCH(YF38,$XZ$6:$XZ$117,0))</f>
        <v>Herefordshire Archive Service</v>
      </c>
      <c r="YH38" s="60">
        <f t="shared" si="457"/>
        <v>0</v>
      </c>
      <c r="YI38" s="60">
        <f t="shared" si="458"/>
        <v>0</v>
      </c>
      <c r="YJ38" s="76">
        <f t="shared" si="459"/>
        <v>0</v>
      </c>
      <c r="YK38" s="46">
        <f t="shared" si="460"/>
        <v>79</v>
      </c>
      <c r="YL38" s="46">
        <f t="shared" ref="YL38:YL69" si="623">(C38*YM38)+YN38</f>
        <v>2.8289999999999997</v>
      </c>
      <c r="YM38" s="46">
        <f t="shared" si="461"/>
        <v>1</v>
      </c>
      <c r="YN38" s="46">
        <f t="shared" si="462"/>
        <v>2</v>
      </c>
      <c r="YO38" s="46" cm="1">
        <f t="array" ref="YO38">ROUND(VALUE(IFERROR(INDEX(ArchiveResults!$F$5:$IX$116,ComparisonData!A38,ComparisonData!$YO$1),0)),5)</f>
        <v>0</v>
      </c>
      <c r="YP38" s="46" cm="1">
        <f t="array" ref="YP38">ROUND(VALUE(IFERROR(INDEX(ArchiveResults!$F$5:$IX$116,ComparisonData!A38,ComparisonData!$YP$1),0)),5)</f>
        <v>0</v>
      </c>
      <c r="YQ38" s="56">
        <v>33</v>
      </c>
      <c r="YR38" s="53" t="str">
        <f t="shared" ref="YR38:YR69" si="624">INDEX($B$6:$B$117,MATCH(YQ38,$YK$6:$YK$117,0))</f>
        <v>Herefordshire Archive Service</v>
      </c>
      <c r="YS38" s="60">
        <f t="shared" si="463"/>
        <v>0</v>
      </c>
      <c r="YT38" s="60">
        <f t="shared" si="464"/>
        <v>0</v>
      </c>
      <c r="YU38" s="76">
        <f t="shared" si="465"/>
        <v>0</v>
      </c>
      <c r="YV38" s="46">
        <f t="shared" si="466"/>
        <v>79</v>
      </c>
      <c r="YW38" s="46">
        <f t="shared" ref="YW38:YW69" si="625">(C38*YX38)+YY38</f>
        <v>2.8289999999999997</v>
      </c>
      <c r="YX38" s="46">
        <f t="shared" si="467"/>
        <v>1</v>
      </c>
      <c r="YY38" s="46">
        <f t="shared" si="468"/>
        <v>2</v>
      </c>
      <c r="YZ38" s="46">
        <f t="shared" si="469"/>
        <v>0</v>
      </c>
      <c r="ZA38" s="46" cm="1">
        <f t="array" ref="ZA38">ROUNDDOWN(VALUE(IFERROR(INDEX(ArchiveResults!$F$5:$IX$116,ComparisonData!A38,ComparisonData!$ZA$1),0)),5)</f>
        <v>0</v>
      </c>
      <c r="ZB38" s="46" cm="1">
        <f t="array" ref="ZB38">ROUNDDOWN(VALUE(IFERROR(INDEX(ArchiveResults!$F$5:$IX$116,ComparisonData!A38,ComparisonData!$ZB$1),0)),5)</f>
        <v>0</v>
      </c>
      <c r="ZC38" s="46" cm="1">
        <f t="array" ref="ZC38">ROUNDDOWN(VALUE(IFERROR(INDEX(ArchiveResults!$F$5:$IX$116,ComparisonData!A38,ComparisonData!$ZC$1),0)),5)</f>
        <v>0</v>
      </c>
      <c r="ZD38" s="46" cm="1">
        <f t="array" ref="ZD38">ROUNDDOWN(VALUE(IFERROR(INDEX(ArchiveResults!$F$5:$IX$116,ComparisonData!A38,ComparisonData!$ZD$1),0)),5)</f>
        <v>0</v>
      </c>
      <c r="ZE38" s="46" cm="1">
        <f t="array" ref="ZE38">ROUNDDOWN(VALUE(IFERROR(INDEX(ArchiveResults!$F$5:$IX$116,ComparisonData!A38,ComparisonData!$ZE$1),0)),5)</f>
        <v>0</v>
      </c>
      <c r="ZF38" s="56">
        <v>33</v>
      </c>
      <c r="ZG38" s="53" t="str">
        <f t="shared" ref="ZG38:ZG69" si="626">INDEX($B$6:$B$117,MATCH(ZF38,$YV$6:$YV$117,0))</f>
        <v>Herefordshire Archive Service</v>
      </c>
      <c r="ZH38" s="60">
        <f t="shared" si="470"/>
        <v>0</v>
      </c>
      <c r="ZI38" s="60">
        <f t="shared" si="471"/>
        <v>0</v>
      </c>
      <c r="ZJ38" s="60">
        <f t="shared" si="472"/>
        <v>0</v>
      </c>
      <c r="ZK38" s="60">
        <f t="shared" si="473"/>
        <v>0</v>
      </c>
      <c r="ZL38" s="60">
        <f t="shared" si="474"/>
        <v>0</v>
      </c>
      <c r="ZM38" s="76">
        <f t="shared" si="475"/>
        <v>0</v>
      </c>
      <c r="ZN38" s="46">
        <f t="shared" si="476"/>
        <v>79</v>
      </c>
      <c r="ZO38" s="46">
        <f t="shared" ref="ZO38:ZO69" si="627">(C38*ZP38)+ZQ38</f>
        <v>2.8289999999999997</v>
      </c>
      <c r="ZP38" s="46">
        <f t="shared" si="477"/>
        <v>1</v>
      </c>
      <c r="ZQ38" s="46">
        <f t="shared" si="478"/>
        <v>2</v>
      </c>
      <c r="ZR38" s="46" cm="1">
        <f t="array" ref="ZR38">ROUND(VALUE(IFERROR(INDEX(ArchiveResults!$F$5:$IX$116,ComparisonData!A38,ComparisonData!$ZR$1),0)),5)</f>
        <v>0</v>
      </c>
      <c r="ZS38" s="56">
        <v>33</v>
      </c>
      <c r="ZT38" s="53" t="str">
        <f t="shared" ref="ZT38:ZT69" si="628">INDEX($B$6:$B$117,MATCH(ZS38,$ZN$6:$ZN$117,0))</f>
        <v>Herefordshire Archive Service</v>
      </c>
      <c r="ZU38" s="46">
        <f t="shared" si="479"/>
        <v>0</v>
      </c>
      <c r="ZV38" s="76">
        <f t="shared" si="480"/>
        <v>0</v>
      </c>
      <c r="ZW38" s="81" cm="1">
        <f t="array" ref="ZW38">ROUND((IFERROR(INDEX(ArchiveResults!$F$5:$IX$116,ComparisonData!A38,ComparisonData!$ZW$1),0)),5)</f>
        <v>0</v>
      </c>
      <c r="ZX38" s="81" cm="1">
        <f t="array" ref="ZX38">ROUND((IFERROR(INDEX(ArchiveResults!$F$5:$IX$116,ComparisonData!A38,ComparisonData!$ZX$1),0)),5)</f>
        <v>0</v>
      </c>
      <c r="ZY38" s="81" cm="1">
        <f t="array" ref="ZY38">ROUND((IFERROR(INDEX(ArchiveResults!$F$5:$IX$116,ComparisonData!A38,ComparisonData!$ZY$1),0)),5)</f>
        <v>0</v>
      </c>
      <c r="ZZ38" s="81" cm="1">
        <f t="array" ref="ZZ38">ROUND((IFERROR(INDEX(ArchiveResults!$F$5:$IX$116,ComparisonData!A38,ComparisonData!$ZZ$1),0)),5)</f>
        <v>0</v>
      </c>
      <c r="AAA38" s="81" cm="1">
        <f t="array" ref="AAA38">ROUND((IFERROR(INDEX(ArchiveResults!$F$5:$IX$116,ComparisonData!A38,ComparisonData!$AAA$1),0)),5)</f>
        <v>0</v>
      </c>
      <c r="AAB38" s="81" cm="1">
        <f t="array" ref="AAB38">ROUND((IFERROR(INDEX(ArchiveResults!$F$5:$IX$116,ComparisonData!A38,ComparisonData!$AAB$1),0)),5)</f>
        <v>0</v>
      </c>
      <c r="AAC38" s="81" cm="1">
        <f t="array" ref="AAC38">ROUND((IFERROR(INDEX(ArchiveResults!$F$5:$IX$116,ComparisonData!A38,ComparisonData!$AAC$1),0)),5)</f>
        <v>0</v>
      </c>
      <c r="AAD38" s="81" cm="1">
        <f t="array" ref="AAD38">ROUND((IFERROR(INDEX(ArchiveResults!$F$5:$IX$116,ComparisonData!A38,ComparisonData!$AAD$1),0)),5)</f>
        <v>0</v>
      </c>
      <c r="AAE38" s="81" cm="1">
        <f t="array" ref="AAE38">ROUND((IFERROR(INDEX(ArchiveResults!$F$5:$IX$116,ComparisonData!A38,ComparisonData!$AAE$1),0)),5)</f>
        <v>0</v>
      </c>
      <c r="AAF38" s="81" cm="1">
        <f t="array" ref="AAF38">ROUND((IFERROR(INDEX(ArchiveResults!$F$5:$IX$116,ComparisonData!A38,ComparisonData!$AAF$1),0)),5)</f>
        <v>0</v>
      </c>
      <c r="AAG38" s="46">
        <f t="shared" si="481"/>
        <v>79</v>
      </c>
      <c r="AAH38" s="46">
        <f t="shared" ref="AAH38:AAH69" si="629">(C38*AAI38)+AAJ38</f>
        <v>2.8289999999999997</v>
      </c>
      <c r="AAI38" s="46">
        <f t="shared" si="482"/>
        <v>1</v>
      </c>
      <c r="AAJ38" s="46">
        <f t="shared" si="483"/>
        <v>2</v>
      </c>
      <c r="AAK38" s="46">
        <f t="shared" si="484"/>
        <v>0</v>
      </c>
      <c r="AAL38" s="46">
        <f t="shared" si="485"/>
        <v>0</v>
      </c>
      <c r="AAM38" s="46">
        <f t="shared" si="486"/>
        <v>0</v>
      </c>
      <c r="AAN38" s="46">
        <f t="shared" si="487"/>
        <v>0</v>
      </c>
      <c r="AAO38" s="46">
        <f t="shared" si="488"/>
        <v>0</v>
      </c>
      <c r="AAP38" s="46">
        <f t="shared" si="489"/>
        <v>0</v>
      </c>
      <c r="AAQ38" s="56">
        <v>33</v>
      </c>
      <c r="AAR38" s="53" t="str">
        <f t="shared" ref="AAR38:AAR69" si="630">INDEX($B$6:$B$117,MATCH(AAQ38,$AAG$6:$AAG$117,0))</f>
        <v>Herefordshire Archive Service</v>
      </c>
      <c r="AAS38" s="60">
        <f t="shared" si="490"/>
        <v>0</v>
      </c>
      <c r="AAT38" s="60">
        <f t="shared" si="491"/>
        <v>0</v>
      </c>
      <c r="AAU38" s="60">
        <f t="shared" si="492"/>
        <v>0</v>
      </c>
      <c r="AAV38" s="60">
        <f t="shared" si="493"/>
        <v>0</v>
      </c>
      <c r="AAW38" s="60">
        <f t="shared" si="494"/>
        <v>0</v>
      </c>
      <c r="AAX38" s="76">
        <f t="shared" si="495"/>
        <v>0</v>
      </c>
      <c r="AAY38" s="46">
        <f t="shared" si="496"/>
        <v>79</v>
      </c>
      <c r="AAZ38" s="46">
        <f t="shared" ref="AAZ38:AAZ69" si="631">(C38*ABA38)+ABB38</f>
        <v>2.8289999999999997</v>
      </c>
      <c r="ABA38" s="46">
        <f t="shared" si="497"/>
        <v>1</v>
      </c>
      <c r="ABB38" s="46">
        <f t="shared" si="498"/>
        <v>2</v>
      </c>
      <c r="ABC38" s="46">
        <f t="shared" si="102"/>
        <v>0</v>
      </c>
      <c r="ABD38" s="46" cm="1">
        <f t="array" ref="ABD38">ROUND(VALUE(IFERROR(INDEX(ArchiveResults!$F$5:$IX$116,ComparisonData!A38,ComparisonData!$ABD$1),0)),5)</f>
        <v>0</v>
      </c>
      <c r="ABE38" s="46" cm="1">
        <f t="array" ref="ABE38">ROUND(VALUE(IFERROR(INDEX(ArchiveResults!$F$5:$IX$116,ComparisonData!A38,ComparisonData!$ABE$1),0)),5)</f>
        <v>0</v>
      </c>
      <c r="ABF38" s="46" cm="1">
        <f t="array" ref="ABF38">ROUND(VALUE(IFERROR(INDEX(ArchiveResults!$F$5:$IX$116,ComparisonData!A38,ComparisonData!$ABF$1),0)),5)</f>
        <v>0</v>
      </c>
      <c r="ABG38" s="46" cm="1">
        <f t="array" ref="ABG38">ROUND(VALUE(IFERROR(INDEX(ArchiveResults!$F$5:$IX$116,ComparisonData!A38,ComparisonData!$ABG$1),0)),5)</f>
        <v>0</v>
      </c>
      <c r="ABH38" s="46" cm="1">
        <f t="array" ref="ABH38">ROUND(VALUE(IFERROR(INDEX(ArchiveResults!$F$5:$IX$116,ComparisonData!A38,ComparisonData!$ABH$1),0)),5)</f>
        <v>0</v>
      </c>
      <c r="ABI38" s="56">
        <v>33</v>
      </c>
      <c r="ABJ38" s="53" t="str">
        <f t="shared" ref="ABJ38:ABJ69" si="632">INDEX($B$6:$B$117,MATCH(ABI38,$AAY$6:$AAY$117,0))</f>
        <v>Herefordshire Archive Service</v>
      </c>
      <c r="ABK38" s="60">
        <f t="shared" si="499"/>
        <v>0</v>
      </c>
      <c r="ABL38" s="60">
        <f t="shared" si="500"/>
        <v>0</v>
      </c>
      <c r="ABM38" s="60">
        <f t="shared" si="501"/>
        <v>0</v>
      </c>
      <c r="ABN38" s="60">
        <f t="shared" si="502"/>
        <v>0</v>
      </c>
      <c r="ABO38" s="60">
        <f t="shared" si="503"/>
        <v>0</v>
      </c>
      <c r="ABP38" s="76">
        <f t="shared" si="504"/>
        <v>0</v>
      </c>
      <c r="ABQ38" s="46">
        <f t="shared" si="505"/>
        <v>79</v>
      </c>
      <c r="ABR38" s="46">
        <f t="shared" ref="ABR38:ABR69" si="633">(C38*ABS38)+ABT38</f>
        <v>2.8289999999999997</v>
      </c>
      <c r="ABS38" s="46">
        <f t="shared" si="506"/>
        <v>1</v>
      </c>
      <c r="ABT38" s="46">
        <f t="shared" si="507"/>
        <v>2</v>
      </c>
      <c r="ABU38" s="46" cm="1">
        <f t="array" ref="ABU38">ROUND(VALUE(IFERROR(INDEX(ArchiveResults!$F$5:$IX$116,ComparisonData!A38,ComparisonData!$ABU$1),0)),5)</f>
        <v>0</v>
      </c>
      <c r="ABV38" s="46" cm="1">
        <f t="array" ref="ABV38">ROUND(VALUE(IFERROR(INDEX(ArchiveResults!$F$5:$IX$116,ComparisonData!A38,ComparisonData!$ABV$1),0)),5)</f>
        <v>0</v>
      </c>
      <c r="ABW38" s="46" cm="1">
        <f t="array" ref="ABW38">ROUND(VALUE(IFERROR(INDEX(ArchiveResults!$F$5:$IX$116,ComparisonData!A38,ComparisonData!$ABW$1),0)),5)</f>
        <v>0</v>
      </c>
      <c r="ABX38" s="46" cm="1">
        <f t="array" ref="ABX38">ROUND(VALUE(IFERROR(INDEX(ArchiveResults!$F$5:$IX$116,ComparisonData!A38,ComparisonData!$ABX$1),0)),5)</f>
        <v>0</v>
      </c>
      <c r="ABY38" s="46" cm="1">
        <f t="array" ref="ABY38">ROUND(VALUE(IFERROR(INDEX(ArchiveResults!$F$5:$IX$116,ComparisonData!A38,ComparisonData!$ABY$1),0)),5)</f>
        <v>0</v>
      </c>
      <c r="ABZ38" s="56">
        <v>33</v>
      </c>
      <c r="ACA38" s="53" t="str">
        <f t="shared" ref="ACA38:ACA69" si="634">INDEX($B$6:$B$117,MATCH(ABZ38,$ABQ$6:$ABQ$117,0))</f>
        <v>Herefordshire Archive Service</v>
      </c>
      <c r="ACB38" s="60">
        <f t="shared" si="508"/>
        <v>0</v>
      </c>
      <c r="ACC38" s="60">
        <f t="shared" si="509"/>
        <v>0</v>
      </c>
      <c r="ACD38" s="60">
        <f t="shared" si="510"/>
        <v>0</v>
      </c>
      <c r="ACE38" s="60">
        <f t="shared" si="511"/>
        <v>0</v>
      </c>
      <c r="ACF38" s="60">
        <f t="shared" si="512"/>
        <v>0</v>
      </c>
      <c r="ACG38" s="76">
        <f t="shared" si="513"/>
        <v>0</v>
      </c>
      <c r="ACH38" s="46">
        <f t="shared" si="514"/>
        <v>79</v>
      </c>
      <c r="ACI38" s="46">
        <f t="shared" ref="ACI38:ACI69" si="635">(C38*ACJ38)+ACK38</f>
        <v>2.8289999999999997</v>
      </c>
      <c r="ACJ38" s="46">
        <f t="shared" si="515"/>
        <v>1</v>
      </c>
      <c r="ACK38" s="46">
        <f t="shared" si="516"/>
        <v>2</v>
      </c>
      <c r="ACL38" s="46">
        <f t="shared" si="517"/>
        <v>0</v>
      </c>
      <c r="ACM38" s="46" cm="1">
        <f t="array" ref="ACM38">ROUND(IFERROR(INDEX(ArchiveResults!$F$5:$IX$116,ComparisonData!A38,ComparisonData!$ACM$1),0),5)</f>
        <v>0</v>
      </c>
      <c r="ACN38" s="46" cm="1">
        <f t="array" ref="ACN38">ROUND(IFERROR(INDEX(ArchiveResults!$F$5:$IX$116,ComparisonData!A38,ComparisonData!$ACN$1),0),5)</f>
        <v>0</v>
      </c>
      <c r="ACO38" s="56">
        <v>33</v>
      </c>
      <c r="ACP38" s="53" t="str">
        <f t="shared" ref="ACP38:ACP69" si="636">INDEX($B$6:$B$117,MATCH(ACO38,$ACH$6:$ACH$117,0))</f>
        <v>Herefordshire Archive Service</v>
      </c>
      <c r="ACQ38" s="60">
        <f t="shared" si="518"/>
        <v>0</v>
      </c>
      <c r="ACR38" s="60">
        <f t="shared" si="519"/>
        <v>0</v>
      </c>
      <c r="ACS38" s="76">
        <f t="shared" si="520"/>
        <v>0</v>
      </c>
      <c r="ACT38" s="46">
        <f t="shared" si="521"/>
        <v>79</v>
      </c>
      <c r="ACU38" s="46">
        <f t="shared" ref="ACU38:ACU69" si="637">(C38*ACV38)+ACW38</f>
        <v>2.8289999999999997</v>
      </c>
      <c r="ACV38" s="46">
        <f t="shared" si="522"/>
        <v>1</v>
      </c>
      <c r="ACW38" s="46">
        <f t="shared" si="523"/>
        <v>2</v>
      </c>
      <c r="ACX38" s="46">
        <f t="shared" si="524"/>
        <v>0</v>
      </c>
      <c r="ACY38" s="46" cm="1">
        <f t="array" ref="ACY38">ROUNDDOWN(IFERROR(INDEX(ArchiveResults!$F$5:$IX$116,ComparisonData!A38,ComparisonData!$ACY$1),0),5)</f>
        <v>0</v>
      </c>
      <c r="ACZ38" s="46" cm="1">
        <f t="array" ref="ACZ38">ROUNDDOWN(IFERROR(INDEX(ArchiveResults!$F$5:$IX$116,ComparisonData!A38,ComparisonData!$ACZ$1),0),5)</f>
        <v>0</v>
      </c>
      <c r="ADA38" s="46" cm="1">
        <f t="array" ref="ADA38">ROUNDDOWN(IFERROR(INDEX(ArchiveResults!$F$5:$IX$116,ComparisonData!A38,ComparisonData!$ADA$1),0),5)</f>
        <v>0</v>
      </c>
      <c r="ADB38" s="56">
        <v>33</v>
      </c>
      <c r="ADC38" s="53" t="str">
        <f t="shared" ref="ADC38:ADC69" si="638">INDEX($B$6:$B$117,MATCH(ADB38,$ACT$6:$ACT$117,0))</f>
        <v>Herefordshire Archive Service</v>
      </c>
      <c r="ADD38" s="60">
        <f t="shared" si="525"/>
        <v>0</v>
      </c>
      <c r="ADE38" s="60">
        <f t="shared" si="526"/>
        <v>0</v>
      </c>
      <c r="ADF38" s="60">
        <f t="shared" si="527"/>
        <v>0</v>
      </c>
      <c r="ADG38" s="76">
        <f t="shared" si="528"/>
        <v>0</v>
      </c>
    </row>
    <row r="39" spans="1:787" x14ac:dyDescent="0.25">
      <c r="A39" s="46" t="str">
        <f>IF(ISBLANK(ComparisonSelection!F35),"",ROW()-5)</f>
        <v/>
      </c>
      <c r="B39" s="53" t="s">
        <v>488</v>
      </c>
      <c r="C39" s="72">
        <v>0.87399999999999989</v>
      </c>
      <c r="D39" s="55">
        <f t="shared" si="110"/>
        <v>87</v>
      </c>
      <c r="E39" s="54">
        <f t="shared" si="111"/>
        <v>2.8739999999999997</v>
      </c>
      <c r="F39" s="54">
        <f t="shared" si="529"/>
        <v>1</v>
      </c>
      <c r="G39" s="72">
        <f t="shared" si="112"/>
        <v>2</v>
      </c>
      <c r="H39" s="72">
        <f t="shared" si="113"/>
        <v>0</v>
      </c>
      <c r="I39" s="46" cm="1">
        <f t="array" ref="I39">ROUND(IFERROR(INDEX(ArchiveResults!$F$5:$IX$116,ComparisonData!A39,ComparisonData!$I$1),0),5)</f>
        <v>0</v>
      </c>
      <c r="J39" s="46" cm="1">
        <f t="array" ref="J39">ROUND(IFERROR(INDEX(ArchiveResults!$F$5:$IX$116,ComparisonData!A39,ComparisonData!$J$1),0),5)</f>
        <v>0</v>
      </c>
      <c r="K39" s="56">
        <v>34</v>
      </c>
      <c r="L39" s="53" t="str">
        <f t="shared" si="114"/>
        <v>Heritage Quay - University of Huddersfield Archives</v>
      </c>
      <c r="M39" s="57">
        <f t="shared" si="530"/>
        <v>0</v>
      </c>
      <c r="N39" s="57">
        <f t="shared" si="531"/>
        <v>0</v>
      </c>
      <c r="O39" s="58">
        <f t="shared" si="115"/>
        <v>0</v>
      </c>
      <c r="P39" s="48">
        <f t="shared" si="116"/>
        <v>87</v>
      </c>
      <c r="Q39" s="54">
        <f t="shared" si="532"/>
        <v>2.8739999999999997</v>
      </c>
      <c r="R39" s="45">
        <f t="shared" si="117"/>
        <v>1</v>
      </c>
      <c r="S39" s="46">
        <f t="shared" si="118"/>
        <v>2</v>
      </c>
      <c r="T39" s="72">
        <f t="shared" si="119"/>
        <v>0</v>
      </c>
      <c r="U39" s="46" cm="1">
        <f t="array" ref="U39">ROUND(IFERROR(INDEX(ArchiveResults!$F$5:$IX$116,ComparisonData!A39,ComparisonData!$U$1),0),5)</f>
        <v>0</v>
      </c>
      <c r="V39" s="46" cm="1">
        <f t="array" ref="V39">ROUND(IFERROR(INDEX(ArchiveResults!$F$5:$IX$116,ComparisonData!A39,ComparisonData!$V$1),0),5)</f>
        <v>0</v>
      </c>
      <c r="W39" s="56">
        <v>34</v>
      </c>
      <c r="X39" s="53" t="str">
        <f t="shared" si="533"/>
        <v>Heritage Quay - University of Huddersfield Archives</v>
      </c>
      <c r="Y39" s="57">
        <f t="shared" si="120"/>
        <v>0</v>
      </c>
      <c r="Z39" s="57">
        <f t="shared" si="121"/>
        <v>0</v>
      </c>
      <c r="AA39" s="58">
        <f t="shared" si="122"/>
        <v>0</v>
      </c>
      <c r="AB39" s="45">
        <f t="shared" si="123"/>
        <v>87</v>
      </c>
      <c r="AC39" s="54">
        <f t="shared" si="534"/>
        <v>2.8739999999999997</v>
      </c>
      <c r="AD39" s="45">
        <f t="shared" si="124"/>
        <v>1</v>
      </c>
      <c r="AE39" s="45">
        <f t="shared" si="125"/>
        <v>2</v>
      </c>
      <c r="AF39" s="45">
        <f t="shared" si="126"/>
        <v>0</v>
      </c>
      <c r="AG39" s="46" cm="1">
        <f t="array" ref="AG39">ROUND(IFERROR(INDEX(ArchiveResults!$F$5:$IX$116,ComparisonData!A39,ComparisonData!$AG$1),0),5)</f>
        <v>0</v>
      </c>
      <c r="AH39" s="46" cm="1">
        <f t="array" ref="AH39">ROUND(IFERROR(INDEX(ArchiveResults!$F$5:$IX$116,ComparisonData!A39,ComparisonData!$AH$1),0),5)</f>
        <v>0</v>
      </c>
      <c r="AI39" s="56">
        <v>34</v>
      </c>
      <c r="AJ39" s="53" t="str">
        <f t="shared" si="535"/>
        <v>Heritage Quay - University of Huddersfield Archives</v>
      </c>
      <c r="AK39" s="59">
        <f t="shared" si="536"/>
        <v>0</v>
      </c>
      <c r="AL39" s="59">
        <f t="shared" si="537"/>
        <v>0</v>
      </c>
      <c r="AM39" s="58">
        <f t="shared" si="127"/>
        <v>0</v>
      </c>
      <c r="AN39" s="45">
        <f t="shared" si="128"/>
        <v>87</v>
      </c>
      <c r="AO39" s="54">
        <f t="shared" si="538"/>
        <v>2.8739999999999997</v>
      </c>
      <c r="AP39" s="45">
        <f t="shared" si="129"/>
        <v>1</v>
      </c>
      <c r="AQ39" s="45">
        <f t="shared" si="130"/>
        <v>2</v>
      </c>
      <c r="AR39" s="46" cm="1">
        <f t="array" ref="AR39">ROUND(IFERROR(INDEX(ArchiveResults!$F$5:$IX$116,ComparisonData!A39,ComparisonData!$AR$1),0),5)</f>
        <v>0</v>
      </c>
      <c r="AS39" s="46" cm="1">
        <f t="array" ref="AS39">ROUND(IFERROR(INDEX(ArchiveResults!$F$5:$IX$116,ComparisonData!A39,ComparisonData!$AS$1),0),5)</f>
        <v>0</v>
      </c>
      <c r="AT39" s="46" cm="1">
        <f t="array" ref="AT39">ROUND(IFERROR(INDEX(ArchiveResults!$F$5:$IX$116,ComparisonData!A39,ComparisonData!$AT$1),0),5)</f>
        <v>0</v>
      </c>
      <c r="AU39" s="46" cm="1">
        <f t="array" ref="AU39">ROUND(IFERROR(INDEX(ArchiveResults!$F$5:$IX$116,ComparisonData!A39,ComparisonData!$AU$1),0),5)</f>
        <v>0</v>
      </c>
      <c r="AV39" s="46" cm="1">
        <f t="array" ref="AV39">ROUND(IFERROR(INDEX(ArchiveResults!$F$5:$IX$116,ComparisonData!A39,ComparisonData!$AV$1),0),5)</f>
        <v>0</v>
      </c>
      <c r="AW39" s="46" cm="1">
        <f t="array" ref="AW39">ROUND(IFERROR(INDEX(ArchiveResults!$F$5:$IX$116,ComparisonData!A39,ComparisonData!$AW$1),0),5)</f>
        <v>0</v>
      </c>
      <c r="AX39" s="46" cm="1">
        <f t="array" ref="AX39">ROUND(IFERROR(INDEX(ArchiveResults!$F$5:$IX$116,ComparisonData!A39,ComparisonData!$AX$1),0),5)</f>
        <v>0</v>
      </c>
      <c r="AY39" s="46" cm="1">
        <f t="array" ref="AY39">ROUND(IFERROR(INDEX(ArchiveResults!$F$5:$IX$116,ComparisonData!A39,ComparisonData!$AY$1),0),5)</f>
        <v>0</v>
      </c>
      <c r="AZ39" s="46" cm="1">
        <f t="array" ref="AZ39">ROUND(IFERROR(INDEX(ArchiveResults!$F$5:$IX$116,ComparisonData!A39,ComparisonData!$AZ$1),0),5)</f>
        <v>0</v>
      </c>
      <c r="BA39" s="46" cm="1">
        <f t="array" ref="BA39">ROUND(IFERROR(INDEX(ArchiveResults!$F$5:$IX$116,ComparisonData!A39,ComparisonData!$BA$1),0),5)</f>
        <v>0</v>
      </c>
      <c r="BB39" s="56">
        <v>34</v>
      </c>
      <c r="BC39" s="53" t="str">
        <f t="shared" si="539"/>
        <v>Heritage Quay - University of Huddersfield Archives</v>
      </c>
      <c r="BD39" s="60">
        <f t="shared" si="131"/>
        <v>0</v>
      </c>
      <c r="BE39" s="60">
        <f t="shared" si="132"/>
        <v>0</v>
      </c>
      <c r="BF39" s="60">
        <f t="shared" si="133"/>
        <v>0</v>
      </c>
      <c r="BG39" s="60">
        <f t="shared" si="134"/>
        <v>0</v>
      </c>
      <c r="BH39" s="60">
        <f t="shared" si="135"/>
        <v>0</v>
      </c>
      <c r="BI39" s="60">
        <f t="shared" si="136"/>
        <v>0</v>
      </c>
      <c r="BJ39" s="60">
        <f t="shared" si="137"/>
        <v>0</v>
      </c>
      <c r="BK39" s="60">
        <f t="shared" si="138"/>
        <v>0</v>
      </c>
      <c r="BL39" s="60">
        <f t="shared" si="139"/>
        <v>0</v>
      </c>
      <c r="BM39" s="59">
        <f t="shared" si="140"/>
        <v>0</v>
      </c>
      <c r="BN39" s="58">
        <f t="shared" si="141"/>
        <v>0</v>
      </c>
      <c r="BO39" s="45">
        <f t="shared" si="142"/>
        <v>87</v>
      </c>
      <c r="BP39" s="54">
        <f t="shared" si="540"/>
        <v>2.8739999999999997</v>
      </c>
      <c r="BQ39" s="45">
        <f t="shared" si="143"/>
        <v>1</v>
      </c>
      <c r="BR39" s="45">
        <f t="shared" si="144"/>
        <v>2</v>
      </c>
      <c r="BS39" s="46" cm="1">
        <f t="array" ref="BS39">ROUND(IFERROR(INDEX(ArchiveResults!$F$5:$IX$116,ComparisonData!A39,ComparisonData!$BS$1),0),5)</f>
        <v>0</v>
      </c>
      <c r="BT39" s="46" cm="1">
        <f t="array" ref="BT39">ROUND(IFERROR(INDEX(ArchiveResults!$F$5:$IX$116,ComparisonData!A39,ComparisonData!$BT$1),0),5)</f>
        <v>0</v>
      </c>
      <c r="BU39" s="46" cm="1">
        <f t="array" ref="BU39">ROUND(IFERROR(INDEX(ArchiveResults!$F$5:$IX$116,ComparisonData!A39,ComparisonData!$BU$1),0),5)</f>
        <v>0</v>
      </c>
      <c r="BV39" s="46" cm="1">
        <f t="array" ref="BV39">ROUND(IFERROR(INDEX(ArchiveResults!$F$5:$IX$116,ComparisonData!A39,ComparisonData!$BV$1),0),5)</f>
        <v>0</v>
      </c>
      <c r="BW39" s="46" cm="1">
        <f t="array" ref="BW39">ROUND(IFERROR(INDEX(ArchiveResults!$F$5:$IX$116,ComparisonData!A39,ComparisonData!$BW$1),0),5)</f>
        <v>0</v>
      </c>
      <c r="BX39" s="46" cm="1">
        <f t="array" ref="BX39">ROUND(IFERROR(INDEX(ArchiveResults!$F$5:$IX$116,ComparisonData!A39,ComparisonData!$BX$1),0),5)</f>
        <v>0</v>
      </c>
      <c r="BY39" s="56">
        <v>34</v>
      </c>
      <c r="BZ39" s="53" t="str">
        <f t="shared" si="541"/>
        <v>Heritage Quay - University of Huddersfield Archives</v>
      </c>
      <c r="CA39" s="59">
        <f t="shared" si="145"/>
        <v>0</v>
      </c>
      <c r="CB39" s="59">
        <f t="shared" si="146"/>
        <v>0</v>
      </c>
      <c r="CC39" s="59">
        <f t="shared" si="147"/>
        <v>0</v>
      </c>
      <c r="CD39" s="59">
        <f t="shared" si="148"/>
        <v>0</v>
      </c>
      <c r="CE39" s="59">
        <f t="shared" si="149"/>
        <v>0</v>
      </c>
      <c r="CF39" s="59">
        <f t="shared" si="150"/>
        <v>0</v>
      </c>
      <c r="CG39" s="58">
        <f t="shared" si="151"/>
        <v>0</v>
      </c>
      <c r="CH39" s="45">
        <f t="shared" si="152"/>
        <v>87</v>
      </c>
      <c r="CI39" s="54">
        <f t="shared" si="542"/>
        <v>2.8739999999999997</v>
      </c>
      <c r="CJ39" s="45">
        <f t="shared" si="153"/>
        <v>1</v>
      </c>
      <c r="CK39" s="45">
        <f t="shared" si="154"/>
        <v>2</v>
      </c>
      <c r="CL39" s="46" cm="1">
        <f t="array" ref="CL39">ROUND(IFERROR(INDEX(ArchiveResults!$F$5:$IX$116,ComparisonData!A39,ComparisonData!$CL$1),0),5)</f>
        <v>0</v>
      </c>
      <c r="CM39" s="56">
        <v>34</v>
      </c>
      <c r="CN39" s="53" t="str">
        <f t="shared" si="543"/>
        <v>Heritage Quay - University of Huddersfield Archives</v>
      </c>
      <c r="CO39" s="45">
        <f t="shared" si="155"/>
        <v>0</v>
      </c>
      <c r="CP39" s="58">
        <f t="shared" si="156"/>
        <v>0</v>
      </c>
      <c r="CQ39" s="45">
        <f t="shared" si="157"/>
        <v>87</v>
      </c>
      <c r="CR39" s="54">
        <f t="shared" si="544"/>
        <v>2.8739999999999997</v>
      </c>
      <c r="CS39" s="45">
        <f t="shared" si="158"/>
        <v>1</v>
      </c>
      <c r="CT39" s="45">
        <f t="shared" si="159"/>
        <v>2</v>
      </c>
      <c r="CU39" s="46" cm="1">
        <f t="array" ref="CU39">ROUND(IFERROR(INDEX(ArchiveResults!$F$5:$IX$116,ComparisonData!A39,ComparisonData!$CU$1),0),5)</f>
        <v>0</v>
      </c>
      <c r="CV39" s="56">
        <v>34</v>
      </c>
      <c r="CW39" s="53" t="str">
        <f t="shared" si="545"/>
        <v>Heritage Quay - University of Huddersfield Archives</v>
      </c>
      <c r="CX39" s="45">
        <f t="shared" si="160"/>
        <v>0</v>
      </c>
      <c r="CY39" s="58">
        <f t="shared" si="161"/>
        <v>0</v>
      </c>
      <c r="CZ39" s="45">
        <f t="shared" si="162"/>
        <v>87</v>
      </c>
      <c r="DA39" s="54">
        <f t="shared" si="546"/>
        <v>2.8739999999999997</v>
      </c>
      <c r="DB39" s="45">
        <f t="shared" si="163"/>
        <v>1</v>
      </c>
      <c r="DC39" s="45">
        <f t="shared" si="164"/>
        <v>2</v>
      </c>
      <c r="DD39" s="46" cm="1">
        <f t="array" ref="DD39">ROUND(IFERROR(INDEX(ArchiveResults!$F$5:$IX$116,ComparisonData!A39,ComparisonData!$DD$1),0),5)</f>
        <v>0</v>
      </c>
      <c r="DE39" s="56">
        <v>34</v>
      </c>
      <c r="DF39" s="53" t="str">
        <f t="shared" si="547"/>
        <v>Heritage Quay - University of Huddersfield Archives</v>
      </c>
      <c r="DG39" s="45">
        <f t="shared" si="165"/>
        <v>0</v>
      </c>
      <c r="DH39" s="58">
        <f t="shared" si="166"/>
        <v>0</v>
      </c>
      <c r="DI39" s="45">
        <f t="shared" si="167"/>
        <v>87</v>
      </c>
      <c r="DJ39" s="54">
        <f t="shared" si="548"/>
        <v>2.8739999999999997</v>
      </c>
      <c r="DK39" s="45">
        <f t="shared" si="168"/>
        <v>1</v>
      </c>
      <c r="DL39" s="45">
        <f t="shared" si="169"/>
        <v>2</v>
      </c>
      <c r="DM39" s="46" cm="1">
        <f t="array" ref="DM39">ROUND(IFERROR(INDEX(ArchiveResults!$F$5:$IX$116,ComparisonData!A39,ComparisonData!$DM$1),0),5)</f>
        <v>0</v>
      </c>
      <c r="DN39" s="46" cm="1">
        <f t="array" ref="DN39">ROUND(IFERROR(INDEX(ArchiveResults!$F$5:$IX$116,ComparisonData!A39,ComparisonData!$DN$1),0),5)</f>
        <v>0</v>
      </c>
      <c r="DO39" s="46" cm="1">
        <f t="array" ref="DO39">ROUND(IFERROR(INDEX(ArchiveResults!$F$5:$IX$116,ComparisonData!A39,ComparisonData!$DO$1),0),5)</f>
        <v>0</v>
      </c>
      <c r="DP39" s="46" cm="1">
        <f t="array" ref="DP39">ROUND(IFERROR(INDEX(ArchiveResults!$F$5:$IX$116,ComparisonData!A39,ComparisonData!$DP$1),0),5)</f>
        <v>0</v>
      </c>
      <c r="DQ39" s="45" cm="1">
        <f t="array" ref="DQ39">IFERROR(INDEX(ArchiveResults!$F$5:$IX$116,ComparisonData!A39,ComparisonData!$DQ$1),0)</f>
        <v>0</v>
      </c>
      <c r="DR39" s="56">
        <v>34</v>
      </c>
      <c r="DS39" s="53" t="str">
        <f t="shared" si="549"/>
        <v>Heritage Quay - University of Huddersfield Archives</v>
      </c>
      <c r="DT39" s="59">
        <f t="shared" si="170"/>
        <v>0</v>
      </c>
      <c r="DU39" s="59">
        <f t="shared" si="171"/>
        <v>0</v>
      </c>
      <c r="DV39" s="59">
        <f t="shared" si="172"/>
        <v>0</v>
      </c>
      <c r="DW39" s="59">
        <f t="shared" si="173"/>
        <v>0</v>
      </c>
      <c r="DX39" s="59">
        <f t="shared" si="174"/>
        <v>0</v>
      </c>
      <c r="DY39" s="58">
        <f t="shared" si="175"/>
        <v>0</v>
      </c>
      <c r="DZ39" s="45">
        <f t="shared" si="176"/>
        <v>87</v>
      </c>
      <c r="EA39" s="54">
        <f t="shared" si="550"/>
        <v>2.8739999999999997</v>
      </c>
      <c r="EB39" s="45">
        <f t="shared" si="177"/>
        <v>1</v>
      </c>
      <c r="EC39" s="45">
        <f t="shared" si="178"/>
        <v>2</v>
      </c>
      <c r="ED39" s="46" cm="1">
        <f t="array" ref="ED39">ROUND(IFERROR(INDEX(ArchiveResults!$F$5:$IX$116,ComparisonData!A39,ComparisonData!$ED$1),0),5)</f>
        <v>0</v>
      </c>
      <c r="EE39" s="46" cm="1">
        <f t="array" ref="EE39">ROUND(IFERROR(INDEX(ArchiveResults!$F$5:$IX$116,ComparisonData!A39,ComparisonData!$EE$1),0),5)</f>
        <v>0</v>
      </c>
      <c r="EF39" s="46" cm="1">
        <f t="array" ref="EF39">ROUND(IFERROR(INDEX(ArchiveResults!$F$5:$IX$116,ComparisonData!A39,ComparisonData!$EF$1),0),5)</f>
        <v>0</v>
      </c>
      <c r="EG39" s="46" cm="1">
        <f t="array" ref="EG39">ROUND(IFERROR(INDEX(ArchiveResults!$F$5:$IX$116,ComparisonData!A39,ComparisonData!$EG$1),0),5)</f>
        <v>0</v>
      </c>
      <c r="EH39" s="45" cm="1">
        <f t="array" ref="EH39">IFERROR(INDEX(ArchiveResults!$F$5:$IX$116,ComparisonData!A39,ComparisonData!$EH$1),0)</f>
        <v>0</v>
      </c>
      <c r="EI39" s="56">
        <v>34</v>
      </c>
      <c r="EJ39" s="53" t="str">
        <f t="shared" si="551"/>
        <v>Heritage Quay - University of Huddersfield Archives</v>
      </c>
      <c r="EK39" s="59">
        <f t="shared" si="179"/>
        <v>0</v>
      </c>
      <c r="EL39" s="59">
        <f t="shared" si="180"/>
        <v>0</v>
      </c>
      <c r="EM39" s="59">
        <f t="shared" si="181"/>
        <v>0</v>
      </c>
      <c r="EN39" s="59">
        <f t="shared" si="182"/>
        <v>0</v>
      </c>
      <c r="EO39" s="59">
        <f t="shared" si="183"/>
        <v>0</v>
      </c>
      <c r="EP39" s="58">
        <f t="shared" si="184"/>
        <v>0</v>
      </c>
      <c r="EQ39" s="45">
        <f t="shared" si="185"/>
        <v>87</v>
      </c>
      <c r="ER39" s="54">
        <f t="shared" si="552"/>
        <v>2.8739999999999997</v>
      </c>
      <c r="ES39" s="45">
        <f t="shared" si="186"/>
        <v>1</v>
      </c>
      <c r="ET39" s="45">
        <f t="shared" si="187"/>
        <v>2</v>
      </c>
      <c r="EU39" s="46" cm="1">
        <f t="array" ref="EU39">ROUND(IFERROR(INDEX(ArchiveResults!$F$5:$IX$116,ComparisonData!A39,ComparisonData!$EU$1),0),5)</f>
        <v>0</v>
      </c>
      <c r="EV39" s="46" cm="1">
        <f t="array" ref="EV39">ROUND(IFERROR(INDEX(ArchiveResults!$F$5:$IX$116,ComparisonData!A39,ComparisonData!$EV$1),0),5)</f>
        <v>0</v>
      </c>
      <c r="EW39" s="46" cm="1">
        <f t="array" ref="EW39">ROUND(IFERROR(INDEX(ArchiveResults!$F$5:$IX$116,ComparisonData!A39,ComparisonData!$EW$1),0),5)</f>
        <v>0</v>
      </c>
      <c r="EX39" s="46" cm="1">
        <f t="array" ref="EX39">ROUND(IFERROR(INDEX(ArchiveResults!$F$5:$IX$116,ComparisonData!A39,ComparisonData!$EX$1),0),5)</f>
        <v>0</v>
      </c>
      <c r="EY39" s="45" cm="1">
        <f t="array" ref="EY39">IFERROR(INDEX(ArchiveResults!$F$5:$IX$116,ComparisonData!A39,ComparisonData!$EY$1),0)</f>
        <v>0</v>
      </c>
      <c r="EZ39" s="56">
        <v>34</v>
      </c>
      <c r="FA39" s="53" t="str">
        <f t="shared" si="553"/>
        <v>Heritage Quay - University of Huddersfield Archives</v>
      </c>
      <c r="FB39" s="59">
        <f t="shared" si="188"/>
        <v>0</v>
      </c>
      <c r="FC39" s="59">
        <f t="shared" si="189"/>
        <v>0</v>
      </c>
      <c r="FD39" s="59">
        <f t="shared" si="190"/>
        <v>0</v>
      </c>
      <c r="FE39" s="59">
        <f t="shared" si="191"/>
        <v>0</v>
      </c>
      <c r="FF39" s="59">
        <f t="shared" si="192"/>
        <v>0</v>
      </c>
      <c r="FG39" s="58">
        <f t="shared" si="193"/>
        <v>0</v>
      </c>
      <c r="FH39" s="45">
        <f t="shared" si="194"/>
        <v>87</v>
      </c>
      <c r="FI39" s="54">
        <f t="shared" si="554"/>
        <v>2.8739999999999997</v>
      </c>
      <c r="FJ39" s="45">
        <f t="shared" si="195"/>
        <v>1</v>
      </c>
      <c r="FK39" s="45">
        <f t="shared" si="196"/>
        <v>2</v>
      </c>
      <c r="FL39" s="46" cm="1">
        <f t="array" ref="FL39">ROUND(IFERROR(INDEX(ArchiveResults!$F$5:$IX$116,ComparisonData!A39,ComparisonData!$FL$1),0),5)</f>
        <v>0</v>
      </c>
      <c r="FM39" s="46" cm="1">
        <f t="array" ref="FM39">ROUND(IFERROR(INDEX(ArchiveResults!$F$5:$IX$116,ComparisonData!A39,ComparisonData!$FM$1),0),5)</f>
        <v>0</v>
      </c>
      <c r="FN39" s="46" cm="1">
        <f t="array" ref="FN39">ROUND(IFERROR(INDEX(ArchiveResults!$F$5:$IX$116,ComparisonData!A39,ComparisonData!$FN$1),0),5)</f>
        <v>0</v>
      </c>
      <c r="FO39" s="46" cm="1">
        <f t="array" ref="FO39">ROUND(IFERROR(INDEX(ArchiveResults!$F$5:$IX$116,ComparisonData!A39,ComparisonData!$FO$1),0),5)</f>
        <v>0</v>
      </c>
      <c r="FP39" s="45" cm="1">
        <f t="array" ref="FP39">IFERROR(INDEX(ArchiveResults!$F$5:$IX$116,ComparisonData!A39,ComparisonData!$FP$1),0)</f>
        <v>0</v>
      </c>
      <c r="FQ39" s="56">
        <v>34</v>
      </c>
      <c r="FR39" s="53" t="str">
        <f t="shared" si="555"/>
        <v>Heritage Quay - University of Huddersfield Archives</v>
      </c>
      <c r="FS39" s="59">
        <f t="shared" si="197"/>
        <v>0</v>
      </c>
      <c r="FT39" s="59">
        <f t="shared" si="198"/>
        <v>0</v>
      </c>
      <c r="FU39" s="59">
        <f t="shared" si="199"/>
        <v>0</v>
      </c>
      <c r="FV39" s="59">
        <f t="shared" si="200"/>
        <v>0</v>
      </c>
      <c r="FW39" s="59">
        <f t="shared" si="201"/>
        <v>0</v>
      </c>
      <c r="FX39" s="58">
        <f t="shared" si="202"/>
        <v>0</v>
      </c>
      <c r="FY39" s="45">
        <f t="shared" si="203"/>
        <v>87</v>
      </c>
      <c r="FZ39" s="45">
        <f t="shared" si="556"/>
        <v>2.8739999999999997</v>
      </c>
      <c r="GA39" s="45">
        <f t="shared" si="204"/>
        <v>1</v>
      </c>
      <c r="GB39" s="45">
        <f t="shared" si="205"/>
        <v>2</v>
      </c>
      <c r="GC39" s="46" cm="1">
        <f t="array" ref="GC39">ROUND(IFERROR(INDEX(ArchiveResults!$F$5:$IX$116,ComparisonData!A39,ComparisonData!$GC$1),0),5)</f>
        <v>0</v>
      </c>
      <c r="GD39" s="46" cm="1">
        <f t="array" ref="GD39">ROUND(IFERROR(INDEX(ArchiveResults!$F$5:$IX$116,ComparisonData!A39,ComparisonData!$GD$1),0),5)</f>
        <v>0</v>
      </c>
      <c r="GE39" s="46" cm="1">
        <f t="array" ref="GE39">ROUND(IFERROR(INDEX(ArchiveResults!$F$5:$IX$116,ComparisonData!A39,ComparisonData!$GE$1),0),5)</f>
        <v>0</v>
      </c>
      <c r="GF39" s="46" cm="1">
        <f t="array" ref="GF39">ROUND(IFERROR(INDEX(ArchiveResults!$F$5:$IX$116,ComparisonData!A39,ComparisonData!$GF$1),0),5)</f>
        <v>0</v>
      </c>
      <c r="GG39" s="45" cm="1">
        <f t="array" ref="GG39">IFERROR(INDEX(ArchiveResults!$F$5:$IX$116,ComparisonData!A39,ComparisonData!$GG$1),0)</f>
        <v>0</v>
      </c>
      <c r="GH39" s="56">
        <v>34</v>
      </c>
      <c r="GI39" s="53" t="str">
        <f t="shared" si="557"/>
        <v>Heritage Quay - University of Huddersfield Archives</v>
      </c>
      <c r="GJ39" s="59">
        <f t="shared" si="206"/>
        <v>0</v>
      </c>
      <c r="GK39" s="59">
        <f t="shared" si="207"/>
        <v>0</v>
      </c>
      <c r="GL39" s="59">
        <f t="shared" si="208"/>
        <v>0</v>
      </c>
      <c r="GM39" s="59">
        <f t="shared" si="209"/>
        <v>0</v>
      </c>
      <c r="GN39" s="59">
        <f t="shared" si="210"/>
        <v>0</v>
      </c>
      <c r="GO39" s="58">
        <f t="shared" si="211"/>
        <v>0</v>
      </c>
      <c r="GP39" s="45">
        <f t="shared" si="212"/>
        <v>87</v>
      </c>
      <c r="GQ39" s="45">
        <f t="shared" si="558"/>
        <v>2.8739999999999997</v>
      </c>
      <c r="GR39" s="45">
        <f t="shared" si="213"/>
        <v>1</v>
      </c>
      <c r="GS39" s="45">
        <f t="shared" si="214"/>
        <v>2</v>
      </c>
      <c r="GT39" s="46" cm="1">
        <f t="array" ref="GT39">ROUND(IFERROR(INDEX(ArchiveResults!$F$5:$IX$116,ComparisonData!A39,ComparisonData!$GT$1),0),5)</f>
        <v>0</v>
      </c>
      <c r="GU39" s="46" cm="1">
        <f t="array" ref="GU39">ROUND(IFERROR(INDEX(ArchiveResults!$F$5:$IX$116,ComparisonData!A39,ComparisonData!$GU$1),0),5)</f>
        <v>0</v>
      </c>
      <c r="GV39" s="46" cm="1">
        <f t="array" ref="GV39">ROUND(IFERROR(INDEX(ArchiveResults!$F$5:$IX$116,ComparisonData!A39,ComparisonData!$GV$1),0),5)</f>
        <v>0</v>
      </c>
      <c r="GW39" s="46" cm="1">
        <f t="array" ref="GW39">ROUND(IFERROR(INDEX(ArchiveResults!$F$5:$IX$116,ComparisonData!A39,ComparisonData!$GW$1),0),5)</f>
        <v>0</v>
      </c>
      <c r="GX39" s="45" cm="1">
        <f t="array" ref="GX39">IFERROR(INDEX(ArchiveResults!$F$5:$IX$116,ComparisonData!A39,ComparisonData!$GX$1),0)</f>
        <v>0</v>
      </c>
      <c r="GY39" s="56">
        <v>34</v>
      </c>
      <c r="GZ39" s="53" t="str">
        <f t="shared" si="559"/>
        <v>Heritage Quay - University of Huddersfield Archives</v>
      </c>
      <c r="HA39" s="59">
        <f t="shared" si="215"/>
        <v>0</v>
      </c>
      <c r="HB39" s="59">
        <f t="shared" si="216"/>
        <v>0</v>
      </c>
      <c r="HC39" s="59">
        <f t="shared" si="217"/>
        <v>0</v>
      </c>
      <c r="HD39" s="59">
        <f t="shared" si="218"/>
        <v>0</v>
      </c>
      <c r="HE39" s="59">
        <f t="shared" si="219"/>
        <v>0</v>
      </c>
      <c r="HF39" s="58">
        <f t="shared" si="220"/>
        <v>0</v>
      </c>
      <c r="HG39" s="45">
        <f t="shared" si="221"/>
        <v>87</v>
      </c>
      <c r="HH39" s="45">
        <f t="shared" si="560"/>
        <v>2.8739999999999997</v>
      </c>
      <c r="HI39" s="45">
        <f t="shared" si="222"/>
        <v>1</v>
      </c>
      <c r="HJ39" s="45">
        <f t="shared" si="223"/>
        <v>2</v>
      </c>
      <c r="HK39" s="46" cm="1">
        <f t="array" ref="HK39">ROUND(IFERROR(INDEX(ArchiveResults!$F$5:$IX$116,ComparisonData!A39,ComparisonData!$HK$1),0),5)</f>
        <v>0</v>
      </c>
      <c r="HL39" s="46" cm="1">
        <f t="array" ref="HL39">ROUND(IFERROR(INDEX(ArchiveResults!$F$5:$IX$116,ComparisonData!A39,ComparisonData!$HL$1),0),5)</f>
        <v>0</v>
      </c>
      <c r="HM39" s="46" cm="1">
        <f t="array" ref="HM39">ROUND(IFERROR(INDEX(ArchiveResults!$F$5:$IX$116,ComparisonData!A39,ComparisonData!$HM$1),0),5)</f>
        <v>0</v>
      </c>
      <c r="HN39" s="46" cm="1">
        <f t="array" ref="HN39">ROUND(IFERROR(INDEX(ArchiveResults!$F$5:$IX$116,ComparisonData!A39,ComparisonData!$HN$1),0),5)</f>
        <v>0</v>
      </c>
      <c r="HO39" s="45" cm="1">
        <f t="array" ref="HO39">IFERROR(INDEX(ArchiveResults!$F$5:$IX$116,ComparisonData!A39,ComparisonData!$HO$1),0)</f>
        <v>0</v>
      </c>
      <c r="HP39" s="56">
        <v>34</v>
      </c>
      <c r="HQ39" s="53" t="str">
        <f t="shared" si="561"/>
        <v>Heritage Quay - University of Huddersfield Archives</v>
      </c>
      <c r="HR39" s="59">
        <f t="shared" si="562"/>
        <v>0</v>
      </c>
      <c r="HS39" s="59">
        <f t="shared" si="563"/>
        <v>0</v>
      </c>
      <c r="HT39" s="59">
        <f t="shared" si="564"/>
        <v>0</v>
      </c>
      <c r="HU39" s="59">
        <f t="shared" si="565"/>
        <v>0</v>
      </c>
      <c r="HV39" s="59">
        <f t="shared" si="566"/>
        <v>0</v>
      </c>
      <c r="HW39" s="58">
        <f t="shared" si="224"/>
        <v>0</v>
      </c>
      <c r="HX39" s="45">
        <f t="shared" si="225"/>
        <v>87</v>
      </c>
      <c r="HY39" s="45">
        <f t="shared" si="567"/>
        <v>2.8739999999999997</v>
      </c>
      <c r="HZ39" s="45">
        <f t="shared" si="226"/>
        <v>1</v>
      </c>
      <c r="IA39" s="45">
        <f t="shared" si="227"/>
        <v>2</v>
      </c>
      <c r="IB39" s="45">
        <f t="shared" si="228"/>
        <v>0</v>
      </c>
      <c r="IC39" s="46" cm="1">
        <f t="array" ref="IC39">ROUND(IFERROR(INDEX(ArchiveResults!$F$5:$IX$116,ComparisonData!A39,ComparisonData!$IC$1),0),5)</f>
        <v>0</v>
      </c>
      <c r="ID39" s="46" cm="1">
        <f t="array" ref="ID39">ROUND(IFERROR(INDEX(ArchiveResults!$F$5:$IX$116,ComparisonData!A39,ComparisonData!$ID$1),0),5)</f>
        <v>0</v>
      </c>
      <c r="IE39" s="46" cm="1">
        <f t="array" ref="IE39">ROUND(IFERROR(INDEX(ArchiveResults!$F$5:$IX$116,ComparisonData!A39,ComparisonData!$IE$1),0),5)</f>
        <v>0</v>
      </c>
      <c r="IF39" s="46" cm="1">
        <f t="array" ref="IF39">ROUND(IFERROR(INDEX(ArchiveResults!$F$5:$IX$116,ComparisonData!A39,ComparisonData!$IF$1),0),5)</f>
        <v>0</v>
      </c>
      <c r="IG39" s="45" cm="1">
        <f t="array" ref="IG39">IFERROR(INDEX(ArchiveResults!$F$5:$IX$116,ComparisonData!A39,ComparisonData!$IG$1),0)</f>
        <v>0</v>
      </c>
      <c r="IH39" s="56">
        <v>34</v>
      </c>
      <c r="II39" s="53" t="str">
        <f t="shared" si="568"/>
        <v>Heritage Quay - University of Huddersfield Archives</v>
      </c>
      <c r="IJ39" s="59">
        <f t="shared" si="229"/>
        <v>0</v>
      </c>
      <c r="IK39" s="59">
        <f t="shared" si="230"/>
        <v>0</v>
      </c>
      <c r="IL39" s="59">
        <f t="shared" si="231"/>
        <v>0</v>
      </c>
      <c r="IM39" s="59">
        <f t="shared" si="232"/>
        <v>0</v>
      </c>
      <c r="IN39" s="59">
        <f t="shared" si="233"/>
        <v>0</v>
      </c>
      <c r="IO39" s="58">
        <f t="shared" si="234"/>
        <v>0</v>
      </c>
      <c r="IP39" s="45">
        <f t="shared" si="235"/>
        <v>87</v>
      </c>
      <c r="IQ39" s="45">
        <f t="shared" si="569"/>
        <v>2.8739999999999997</v>
      </c>
      <c r="IR39" s="45">
        <f t="shared" si="236"/>
        <v>1</v>
      </c>
      <c r="IS39" s="45">
        <f t="shared" si="237"/>
        <v>2</v>
      </c>
      <c r="IT39" s="46">
        <f t="shared" si="238"/>
        <v>0</v>
      </c>
      <c r="IU39" s="46" cm="1">
        <f t="array" ref="IU39">ROUND(IFERROR(INDEX(ArchiveResults!$F$5:$IX$116,ComparisonData!A39,ComparisonData!$IU$1),0),5)</f>
        <v>0</v>
      </c>
      <c r="IV39" s="46" cm="1">
        <f t="array" ref="IV39">ROUND(IFERROR(INDEX(ArchiveResults!$F$5:$IX$116,ComparisonData!A39,ComparisonData!$IV$1),0),5)</f>
        <v>0</v>
      </c>
      <c r="IW39" s="46" cm="1">
        <f t="array" ref="IW39">ROUND(IFERROR(INDEX(ArchiveResults!$F$5:$IX$116,ComparisonData!A39,ComparisonData!$IW$1),0),5)</f>
        <v>0</v>
      </c>
      <c r="IX39" s="46" cm="1">
        <f t="array" ref="IX39">ROUND(IFERROR(INDEX(ArchiveResults!$F$5:$IX$116,ComparisonData!A39,ComparisonData!$IX$1),0),5)</f>
        <v>0</v>
      </c>
      <c r="IY39" s="45" cm="1">
        <f t="array" ref="IY39">IFERROR(INDEX(ArchiveResults!$F$5:$IX$116,ComparisonData!A39,ComparisonData!$IY$1),0)</f>
        <v>0</v>
      </c>
      <c r="IZ39" s="56">
        <v>34</v>
      </c>
      <c r="JA39" s="53" t="str">
        <f t="shared" si="570"/>
        <v>Heritage Quay - University of Huddersfield Archives</v>
      </c>
      <c r="JB39" s="59">
        <f t="shared" si="239"/>
        <v>0</v>
      </c>
      <c r="JC39" s="59">
        <f t="shared" si="240"/>
        <v>0</v>
      </c>
      <c r="JD39" s="59">
        <f t="shared" si="241"/>
        <v>0</v>
      </c>
      <c r="JE39" s="59">
        <f t="shared" si="242"/>
        <v>0</v>
      </c>
      <c r="JF39" s="59">
        <f t="shared" si="243"/>
        <v>0</v>
      </c>
      <c r="JG39" s="58">
        <f t="shared" si="244"/>
        <v>0</v>
      </c>
      <c r="JH39" s="45">
        <f t="shared" si="245"/>
        <v>87</v>
      </c>
      <c r="JI39" s="45">
        <f t="shared" si="571"/>
        <v>2.8739999999999997</v>
      </c>
      <c r="JJ39" s="45">
        <f t="shared" si="246"/>
        <v>1</v>
      </c>
      <c r="JK39" s="45">
        <f t="shared" si="247"/>
        <v>2</v>
      </c>
      <c r="JL39" s="45">
        <f t="shared" si="248"/>
        <v>0</v>
      </c>
      <c r="JM39" s="46" cm="1">
        <f t="array" ref="JM39">ROUND(IFERROR(INDEX(ArchiveResults!$F$5:$IX$116,ComparisonData!A39,ComparisonData!$JM$1),0),5)</f>
        <v>0</v>
      </c>
      <c r="JN39" s="46" cm="1">
        <f t="array" ref="JN39">ROUND(IFERROR(INDEX(ArchiveResults!$F$5:$IX$116,ComparisonData!A39,ComparisonData!$JN$1),0),5)</f>
        <v>0</v>
      </c>
      <c r="JO39" s="46" cm="1">
        <f t="array" ref="JO39">ROUND(IFERROR(INDEX(ArchiveResults!$F$5:$IX$116,ComparisonData!A39,ComparisonData!$JO$1),0),5)</f>
        <v>0</v>
      </c>
      <c r="JP39" s="46" cm="1">
        <f t="array" ref="JP39">ROUND(IFERROR(INDEX(ArchiveResults!$F$5:$IX$116,ComparisonData!A39,ComparisonData!$JP$1),0),5)</f>
        <v>0</v>
      </c>
      <c r="JQ39" s="45" cm="1">
        <f t="array" ref="JQ39">IFERROR(INDEX(ArchiveResults!$F$5:$IX$116,ComparisonData!A39,ComparisonData!$JQ$1),0)</f>
        <v>0</v>
      </c>
      <c r="JR39" s="56">
        <v>34</v>
      </c>
      <c r="JS39" s="53" t="str">
        <f t="shared" si="572"/>
        <v>Heritage Quay - University of Huddersfield Archives</v>
      </c>
      <c r="JT39" s="59">
        <f t="shared" si="249"/>
        <v>0</v>
      </c>
      <c r="JU39" s="59">
        <f t="shared" si="250"/>
        <v>0</v>
      </c>
      <c r="JV39" s="59">
        <f t="shared" si="251"/>
        <v>0</v>
      </c>
      <c r="JW39" s="59">
        <f t="shared" si="252"/>
        <v>0</v>
      </c>
      <c r="JX39" s="59">
        <f t="shared" si="253"/>
        <v>0</v>
      </c>
      <c r="JY39" s="58">
        <f t="shared" si="254"/>
        <v>0</v>
      </c>
      <c r="JZ39" s="45">
        <f t="shared" si="255"/>
        <v>87</v>
      </c>
      <c r="KA39" s="45">
        <f t="shared" si="573"/>
        <v>2.8739999999999997</v>
      </c>
      <c r="KB39" s="45">
        <f t="shared" si="256"/>
        <v>1</v>
      </c>
      <c r="KC39" s="45">
        <f t="shared" si="257"/>
        <v>2</v>
      </c>
      <c r="KD39" s="45">
        <f t="shared" si="258"/>
        <v>0</v>
      </c>
      <c r="KE39" s="46" cm="1">
        <f t="array" ref="KE39">ROUND(IFERROR(INDEX(ArchiveResults!$F$5:$IX$116,ComparisonData!A39,ComparisonData!$KE$1),0),5)</f>
        <v>0</v>
      </c>
      <c r="KF39" s="46" cm="1">
        <f t="array" ref="KF39">ROUND(IFERROR(INDEX(ArchiveResults!$F$5:$IX$116,ComparisonData!A39,ComparisonData!$KF$1),0),5)</f>
        <v>0</v>
      </c>
      <c r="KG39" s="46" cm="1">
        <f t="array" ref="KG39">ROUND(IFERROR(INDEX(ArchiveResults!$F$5:$IX$116,ComparisonData!A39,ComparisonData!$KG$1),0),5)</f>
        <v>0</v>
      </c>
      <c r="KH39" s="46" cm="1">
        <f t="array" ref="KH39">ROUND(IFERROR(INDEX(ArchiveResults!$F$5:$IX$116,ComparisonData!A39,ComparisonData!$KH$1),0),5)</f>
        <v>0</v>
      </c>
      <c r="KI39" s="45" cm="1">
        <f t="array" ref="KI39">IFERROR(INDEX(ArchiveResults!$F$5:$IX$116,ComparisonData!A39,ComparisonData!$KI$1),0)</f>
        <v>0</v>
      </c>
      <c r="KJ39" s="56">
        <v>34</v>
      </c>
      <c r="KK39" s="53" t="str">
        <f t="shared" si="574"/>
        <v>Heritage Quay - University of Huddersfield Archives</v>
      </c>
      <c r="KL39" s="59">
        <f t="shared" si="259"/>
        <v>0</v>
      </c>
      <c r="KM39" s="59">
        <f t="shared" si="260"/>
        <v>0</v>
      </c>
      <c r="KN39" s="59">
        <f t="shared" si="261"/>
        <v>0</v>
      </c>
      <c r="KO39" s="59">
        <f t="shared" si="262"/>
        <v>0</v>
      </c>
      <c r="KP39" s="59">
        <f t="shared" si="263"/>
        <v>0</v>
      </c>
      <c r="KQ39" s="58">
        <f t="shared" si="264"/>
        <v>0</v>
      </c>
      <c r="KR39" s="45">
        <f t="shared" si="265"/>
        <v>87</v>
      </c>
      <c r="KS39" s="45">
        <f t="shared" si="575"/>
        <v>2.8739999999999997</v>
      </c>
      <c r="KT39" s="45">
        <f t="shared" si="266"/>
        <v>1</v>
      </c>
      <c r="KU39" s="45">
        <f t="shared" si="267"/>
        <v>2</v>
      </c>
      <c r="KV39" s="45">
        <f t="shared" si="268"/>
        <v>0</v>
      </c>
      <c r="KW39" s="46" cm="1">
        <f t="array" ref="KW39">ROUND(IFERROR(INDEX(ArchiveResults!$F$5:$IX$116,ComparisonData!A39,ComparisonData!$KW$1),0),5)</f>
        <v>0</v>
      </c>
      <c r="KX39" s="46" cm="1">
        <f t="array" ref="KX39">ROUND(IFERROR(INDEX(ArchiveResults!$F$5:$IX$116,ComparisonData!A39,ComparisonData!$KX$1),0),5)</f>
        <v>0</v>
      </c>
      <c r="KY39" s="46" cm="1">
        <f t="array" ref="KY39">ROUND(IFERROR(INDEX(ArchiveResults!$F$5:$IX$116,ComparisonData!A39,ComparisonData!$KY$1),0),5)</f>
        <v>0</v>
      </c>
      <c r="KZ39" s="46" cm="1">
        <f t="array" ref="KZ39">ROUND(IFERROR(INDEX(ArchiveResults!$F$5:$IX$116,ComparisonData!A39,ComparisonData!$KZ$1),0),5)</f>
        <v>0</v>
      </c>
      <c r="LA39" s="45" cm="1">
        <f t="array" ref="LA39">IFERROR(INDEX(ArchiveResults!$F$5:$IX$116,ComparisonData!A39,ComparisonData!$LA$1),0)</f>
        <v>0</v>
      </c>
      <c r="LB39" s="56">
        <v>34</v>
      </c>
      <c r="LC39" s="53" t="str">
        <f t="shared" si="576"/>
        <v>Heritage Quay - University of Huddersfield Archives</v>
      </c>
      <c r="LD39" s="59">
        <f t="shared" si="269"/>
        <v>0</v>
      </c>
      <c r="LE39" s="59">
        <f t="shared" si="270"/>
        <v>0</v>
      </c>
      <c r="LF39" s="59">
        <f t="shared" si="271"/>
        <v>0</v>
      </c>
      <c r="LG39" s="59">
        <f t="shared" si="272"/>
        <v>0</v>
      </c>
      <c r="LH39" s="59">
        <f t="shared" si="273"/>
        <v>0</v>
      </c>
      <c r="LI39" s="58">
        <f t="shared" si="274"/>
        <v>0</v>
      </c>
      <c r="LJ39" s="45">
        <f t="shared" si="275"/>
        <v>87</v>
      </c>
      <c r="LK39" s="45">
        <f t="shared" si="577"/>
        <v>2.8739999999999997</v>
      </c>
      <c r="LL39" s="45">
        <f t="shared" si="276"/>
        <v>1</v>
      </c>
      <c r="LM39" s="45">
        <f t="shared" si="277"/>
        <v>2</v>
      </c>
      <c r="LN39" s="45">
        <f t="shared" si="278"/>
        <v>0</v>
      </c>
      <c r="LO39" s="46" cm="1">
        <f t="array" ref="LO39">ROUND(IFERROR(INDEX(ArchiveResults!$F$5:$IX$116,ComparisonData!A39,ComparisonData!$LO$1),0),5)</f>
        <v>0</v>
      </c>
      <c r="LP39" s="46" cm="1">
        <f t="array" ref="LP39">ROUND(IFERROR(INDEX(ArchiveResults!$F$5:$IX$116,ComparisonData!A39,ComparisonData!$LP$1),0),5)</f>
        <v>0</v>
      </c>
      <c r="LQ39" s="46" cm="1">
        <f t="array" ref="LQ39">ROUND(IFERROR(INDEX(ArchiveResults!$F$5:$IX$116,ComparisonData!A39,ComparisonData!$LQ$1),0),5)</f>
        <v>0</v>
      </c>
      <c r="LR39" s="46" cm="1">
        <f t="array" ref="LR39">ROUND(IFERROR(INDEX(ArchiveResults!$F$5:$IX$116,ComparisonData!A39,ComparisonData!$LR$1),0),5)</f>
        <v>0</v>
      </c>
      <c r="LS39" s="45" cm="1">
        <f t="array" ref="LS39">IFERROR(INDEX(ArchiveResults!$F$5:$IX$116,ComparisonData!A39,ComparisonData!$LS$1),0)</f>
        <v>0</v>
      </c>
      <c r="LT39" s="56">
        <v>34</v>
      </c>
      <c r="LU39" s="53" t="str">
        <f t="shared" si="578"/>
        <v>Heritage Quay - University of Huddersfield Archives</v>
      </c>
      <c r="LV39" s="59">
        <f t="shared" si="279"/>
        <v>0</v>
      </c>
      <c r="LW39" s="59">
        <f t="shared" si="280"/>
        <v>0</v>
      </c>
      <c r="LX39" s="59">
        <f t="shared" si="281"/>
        <v>0</v>
      </c>
      <c r="LY39" s="59">
        <f t="shared" si="282"/>
        <v>0</v>
      </c>
      <c r="LZ39" s="59">
        <f t="shared" si="283"/>
        <v>0</v>
      </c>
      <c r="MA39" s="58">
        <f t="shared" si="284"/>
        <v>0</v>
      </c>
      <c r="MB39" s="45">
        <f t="shared" si="285"/>
        <v>87</v>
      </c>
      <c r="MC39" s="45">
        <f t="shared" si="579"/>
        <v>2.8739999999999997</v>
      </c>
      <c r="MD39" s="45">
        <f t="shared" si="286"/>
        <v>1</v>
      </c>
      <c r="ME39" s="45">
        <f t="shared" si="287"/>
        <v>2</v>
      </c>
      <c r="MF39" s="45">
        <f t="shared" si="288"/>
        <v>0</v>
      </c>
      <c r="MG39" s="46" cm="1">
        <f t="array" ref="MG39">ROUND(IFERROR(INDEX(ArchiveResults!$F$5:$IX$116,ComparisonData!A39,ComparisonData!$MG$1),0),5)</f>
        <v>0</v>
      </c>
      <c r="MH39" s="46" cm="1">
        <f t="array" ref="MH39">ROUND(IFERROR(INDEX(ArchiveResults!$F$5:$IX$116,ComparisonData!A39,ComparisonData!$MH$1),0),5)</f>
        <v>0</v>
      </c>
      <c r="MI39" s="46" cm="1">
        <f t="array" ref="MI39">ROUND(IFERROR(INDEX(ArchiveResults!$F$5:$IX$116,ComparisonData!A39,ComparisonData!$MI$1),0),5)</f>
        <v>0</v>
      </c>
      <c r="MJ39" s="46" cm="1">
        <f t="array" ref="MJ39">ROUND(IFERROR(INDEX(ArchiveResults!$F$5:$IX$116,ComparisonData!A39,ComparisonData!$MJ$1),0),5)</f>
        <v>0</v>
      </c>
      <c r="MK39" s="45" cm="1">
        <f t="array" ref="MK39">IFERROR(INDEX(ArchiveResults!$F$5:$IX$116,ComparisonData!A39,ComparisonData!$MK$1),0)</f>
        <v>0</v>
      </c>
      <c r="ML39" s="56">
        <v>34</v>
      </c>
      <c r="MM39" s="53" t="str">
        <f t="shared" si="580"/>
        <v>Heritage Quay - University of Huddersfield Archives</v>
      </c>
      <c r="MN39" s="59">
        <f t="shared" si="289"/>
        <v>0</v>
      </c>
      <c r="MO39" s="59">
        <f t="shared" si="290"/>
        <v>0</v>
      </c>
      <c r="MP39" s="59">
        <f t="shared" si="291"/>
        <v>0</v>
      </c>
      <c r="MQ39" s="59">
        <f t="shared" si="292"/>
        <v>0</v>
      </c>
      <c r="MR39" s="59">
        <f t="shared" si="293"/>
        <v>0</v>
      </c>
      <c r="MS39" s="58">
        <f t="shared" si="294"/>
        <v>0</v>
      </c>
      <c r="MT39" s="45">
        <f t="shared" si="295"/>
        <v>87</v>
      </c>
      <c r="MU39" s="45">
        <f t="shared" si="581"/>
        <v>2.8739999999999997</v>
      </c>
      <c r="MV39" s="45">
        <f t="shared" si="296"/>
        <v>1</v>
      </c>
      <c r="MW39" s="45">
        <f t="shared" si="297"/>
        <v>2</v>
      </c>
      <c r="MX39" s="45">
        <f t="shared" si="298"/>
        <v>0</v>
      </c>
      <c r="MY39" s="46" cm="1">
        <f t="array" ref="MY39">ROUND(IFERROR(INDEX(ArchiveResults!$F$5:$IX$116,ComparisonData!A39,ComparisonData!$MY$1),0),5)</f>
        <v>0</v>
      </c>
      <c r="MZ39" s="46" cm="1">
        <f t="array" ref="MZ39">ROUND(IFERROR(INDEX(ArchiveResults!$F$5:$IX$116,ComparisonData!A39,ComparisonData!$MZ$1),0),5)</f>
        <v>0</v>
      </c>
      <c r="NA39" s="46" cm="1">
        <f t="array" ref="NA39">ROUND(IFERROR(INDEX(ArchiveResults!$F$5:$IX$116,ComparisonData!A39,ComparisonData!$NA$1),0),5)</f>
        <v>0</v>
      </c>
      <c r="NB39" s="46" cm="1">
        <f t="array" ref="NB39">ROUND(IFERROR(INDEX(ArchiveResults!$F$5:$IX$116,ComparisonData!A39,ComparisonData!$NB$1),0),5)</f>
        <v>0</v>
      </c>
      <c r="NC39" s="45" cm="1">
        <f t="array" ref="NC39">IFERROR(INDEX(ArchiveResults!$F$5:$IX$116,ComparisonData!A39,ComparisonData!$NC$1),0)</f>
        <v>0</v>
      </c>
      <c r="ND39" s="56">
        <v>34</v>
      </c>
      <c r="NE39" s="53" t="str">
        <f t="shared" si="582"/>
        <v>Heritage Quay - University of Huddersfield Archives</v>
      </c>
      <c r="NF39" s="59">
        <f t="shared" si="299"/>
        <v>0</v>
      </c>
      <c r="NG39" s="59">
        <f t="shared" si="300"/>
        <v>0</v>
      </c>
      <c r="NH39" s="59">
        <f t="shared" si="301"/>
        <v>0</v>
      </c>
      <c r="NI39" s="59">
        <f t="shared" si="302"/>
        <v>0</v>
      </c>
      <c r="NJ39" s="59">
        <f t="shared" si="303"/>
        <v>0</v>
      </c>
      <c r="NK39" s="58">
        <f t="shared" si="304"/>
        <v>0</v>
      </c>
      <c r="NL39" s="45">
        <f t="shared" si="305"/>
        <v>87</v>
      </c>
      <c r="NM39" s="45">
        <f t="shared" si="583"/>
        <v>2.8739999999999997</v>
      </c>
      <c r="NN39" s="45">
        <f t="shared" si="306"/>
        <v>1</v>
      </c>
      <c r="NO39" s="45">
        <f t="shared" si="307"/>
        <v>2</v>
      </c>
      <c r="NP39" s="46" cm="1">
        <f t="array" ref="NP39">ROUND(IFERROR(INDEX(ArchiveResults!$F$5:$IX$116,ComparisonData!A39,ComparisonData!$NP$1),0),5)</f>
        <v>0</v>
      </c>
      <c r="NQ39" s="46" cm="1">
        <f t="array" ref="NQ39">ROUND(IFERROR(INDEX(ArchiveResults!$F$5:$IX$116,ComparisonData!A39,ComparisonData!$NQ$1),0),5)</f>
        <v>0</v>
      </c>
      <c r="NR39" s="46" cm="1">
        <f t="array" ref="NR39">ROUND(IFERROR(INDEX(ArchiveResults!$F$5:$IX$116,ComparisonData!A39,ComparisonData!$NR$1),0),5)</f>
        <v>0</v>
      </c>
      <c r="NS39" s="46" cm="1">
        <f t="array" ref="NS39">ROUND(IFERROR(INDEX(ArchiveResults!$F$5:$IX$116,ComparisonData!A39,ComparisonData!$NS$1),0),5)</f>
        <v>0</v>
      </c>
      <c r="NT39" s="45" cm="1">
        <f t="array" ref="NT39">IFERROR(INDEX(ArchiveResults!$F$5:$IX$116,ComparisonData!A39,ComparisonData!$NT$1),0)</f>
        <v>0</v>
      </c>
      <c r="NU39" s="56">
        <v>34</v>
      </c>
      <c r="NV39" s="53" t="str">
        <f t="shared" si="584"/>
        <v>Heritage Quay - University of Huddersfield Archives</v>
      </c>
      <c r="NW39" s="59">
        <f t="shared" si="308"/>
        <v>0</v>
      </c>
      <c r="NX39" s="59">
        <f t="shared" si="309"/>
        <v>0</v>
      </c>
      <c r="NY39" s="59">
        <f t="shared" si="310"/>
        <v>0</v>
      </c>
      <c r="NZ39" s="59">
        <f t="shared" si="311"/>
        <v>0</v>
      </c>
      <c r="OA39" s="59">
        <f t="shared" si="312"/>
        <v>0</v>
      </c>
      <c r="OB39" s="58">
        <f t="shared" si="313"/>
        <v>0</v>
      </c>
      <c r="OC39" s="45">
        <f t="shared" si="314"/>
        <v>87</v>
      </c>
      <c r="OD39" s="45">
        <f t="shared" si="585"/>
        <v>2.8739999999999997</v>
      </c>
      <c r="OE39" s="45">
        <f t="shared" si="315"/>
        <v>1</v>
      </c>
      <c r="OF39" s="45">
        <f t="shared" si="316"/>
        <v>2</v>
      </c>
      <c r="OG39" s="46">
        <f t="shared" si="317"/>
        <v>0</v>
      </c>
      <c r="OH39" s="46" cm="1">
        <f t="array" ref="OH39">ROUND(IFERROR(INDEX(ArchiveResults!$F$5:$IX$116,ComparisonData!A39,ComparisonData!$OH$1),0),5)</f>
        <v>0</v>
      </c>
      <c r="OI39" s="46" cm="1">
        <f t="array" ref="OI39">ROUND(IFERROR(INDEX(ArchiveResults!$F$5:$IX$116,ComparisonData!A39,ComparisonData!$OI$1),0),5)</f>
        <v>0</v>
      </c>
      <c r="OJ39" s="46" cm="1">
        <f t="array" ref="OJ39">ROUND(IFERROR(INDEX(ArchiveResults!$F$5:$IX$116,ComparisonData!A39,ComparisonData!$OJ$1),0),5)</f>
        <v>0</v>
      </c>
      <c r="OK39" s="46" cm="1">
        <f t="array" ref="OK39">ROUND(IFERROR(INDEX(ArchiveResults!$F$5:$IX$116,ComparisonData!A39,ComparisonData!$OK$1),0),5)</f>
        <v>0</v>
      </c>
      <c r="OL39" s="45" cm="1">
        <f t="array" ref="OL39">IFERROR(INDEX(ArchiveResults!$F$5:$IX$116,ComparisonData!A39,ComparisonData!$OL$1),0)</f>
        <v>0</v>
      </c>
      <c r="OM39" s="56">
        <v>34</v>
      </c>
      <c r="ON39" s="53" t="str">
        <f t="shared" si="586"/>
        <v>Heritage Quay - University of Huddersfield Archives</v>
      </c>
      <c r="OO39" s="59">
        <f t="shared" si="318"/>
        <v>0</v>
      </c>
      <c r="OP39" s="59">
        <f t="shared" si="319"/>
        <v>0</v>
      </c>
      <c r="OQ39" s="59">
        <f t="shared" si="320"/>
        <v>0</v>
      </c>
      <c r="OR39" s="59">
        <f t="shared" si="321"/>
        <v>0</v>
      </c>
      <c r="OS39" s="59">
        <f t="shared" si="322"/>
        <v>0</v>
      </c>
      <c r="OT39" s="58">
        <f t="shared" si="323"/>
        <v>0</v>
      </c>
      <c r="OU39" s="45">
        <f t="shared" si="324"/>
        <v>87</v>
      </c>
      <c r="OV39" s="45">
        <f t="shared" si="587"/>
        <v>2.8739999999999997</v>
      </c>
      <c r="OW39" s="45">
        <f t="shared" si="325"/>
        <v>1</v>
      </c>
      <c r="OX39" s="45">
        <f t="shared" si="326"/>
        <v>2</v>
      </c>
      <c r="OY39" s="45">
        <f t="shared" si="327"/>
        <v>0</v>
      </c>
      <c r="OZ39" s="46" cm="1">
        <f t="array" ref="OZ39">ROUND(IFERROR(INDEX(ArchiveResults!$F$5:$IX$116,ComparisonData!A39,ComparisonData!$OZ$1),0),5)</f>
        <v>0</v>
      </c>
      <c r="PA39" s="46" cm="1">
        <f t="array" ref="PA39">ROUND(IFERROR(INDEX(ArchiveResults!$F$5:$IX$116,ComparisonData!A39,ComparisonData!$PA$1),0),5)</f>
        <v>0</v>
      </c>
      <c r="PB39" s="46" cm="1">
        <f t="array" ref="PB39">ROUND(IFERROR(INDEX(ArchiveResults!$F$5:$IX$116,ComparisonData!A39,ComparisonData!$PB$1),0),5)</f>
        <v>0</v>
      </c>
      <c r="PC39" s="46" cm="1">
        <f t="array" ref="PC39">ROUND(IFERROR(INDEX(ArchiveResults!$F$5:$IX$116,ComparisonData!A39,ComparisonData!$PC$1),0),5)</f>
        <v>0</v>
      </c>
      <c r="PD39" s="45" cm="1">
        <f t="array" ref="PD39">IFERROR(INDEX(ArchiveResults!$F$5:$IX$116,ComparisonData!A39,ComparisonData!$PD$1),0)</f>
        <v>0</v>
      </c>
      <c r="PE39" s="56">
        <v>34</v>
      </c>
      <c r="PF39" s="53" t="str">
        <f t="shared" si="588"/>
        <v>Heritage Quay - University of Huddersfield Archives</v>
      </c>
      <c r="PG39" s="59">
        <f t="shared" si="328"/>
        <v>0</v>
      </c>
      <c r="PH39" s="59">
        <f t="shared" si="329"/>
        <v>0</v>
      </c>
      <c r="PI39" s="59">
        <f t="shared" si="330"/>
        <v>0</v>
      </c>
      <c r="PJ39" s="59">
        <f t="shared" si="331"/>
        <v>0</v>
      </c>
      <c r="PK39" s="59">
        <f t="shared" si="332"/>
        <v>0</v>
      </c>
      <c r="PL39" s="58">
        <f t="shared" si="333"/>
        <v>0</v>
      </c>
      <c r="PM39" s="45">
        <f t="shared" si="334"/>
        <v>87</v>
      </c>
      <c r="PN39" s="45">
        <f t="shared" si="589"/>
        <v>2.8739999999999997</v>
      </c>
      <c r="PO39" s="45">
        <f t="shared" si="335"/>
        <v>1</v>
      </c>
      <c r="PP39" s="45">
        <f t="shared" si="336"/>
        <v>2</v>
      </c>
      <c r="PQ39" s="45">
        <f t="shared" si="337"/>
        <v>0</v>
      </c>
      <c r="PR39" s="46" cm="1">
        <f t="array" ref="PR39">ROUND(IFERROR(INDEX(ArchiveResults!$F$5:$IX$116,ComparisonData!A39,ComparisonData!$PR$1),0),5)</f>
        <v>0</v>
      </c>
      <c r="PS39" s="46" cm="1">
        <f t="array" ref="PS39">ROUND(IFERROR(INDEX(ArchiveResults!$F$5:$IX$116,ComparisonData!A39,ComparisonData!$PS$1),0),5)</f>
        <v>0</v>
      </c>
      <c r="PT39" s="46" cm="1">
        <f t="array" ref="PT39">ROUND(IFERROR(INDEX(ArchiveResults!$F$5:$IX$116,ComparisonData!A39,ComparisonData!$PT$1),0),5)</f>
        <v>0</v>
      </c>
      <c r="PU39" s="46" cm="1">
        <f t="array" ref="PU39">ROUND(IFERROR(INDEX(ArchiveResults!$F$5:$IX$116,ComparisonData!A39,ComparisonData!$PU$1),0),5)</f>
        <v>0</v>
      </c>
      <c r="PV39" s="45" cm="1">
        <f t="array" ref="PV39">IFERROR(INDEX(ArchiveResults!$F$5:$IX$116,ComparisonData!A39,ComparisonData!$PV$1),0)</f>
        <v>0</v>
      </c>
      <c r="PW39" s="56">
        <v>34</v>
      </c>
      <c r="PX39" s="53" t="str">
        <f t="shared" si="590"/>
        <v>Heritage Quay - University of Huddersfield Archives</v>
      </c>
      <c r="PY39" s="59">
        <f t="shared" si="338"/>
        <v>0</v>
      </c>
      <c r="PZ39" s="59">
        <f t="shared" si="339"/>
        <v>0</v>
      </c>
      <c r="QA39" s="59">
        <f t="shared" si="340"/>
        <v>0</v>
      </c>
      <c r="QB39" s="59">
        <f t="shared" si="341"/>
        <v>0</v>
      </c>
      <c r="QC39" s="59">
        <f t="shared" si="342"/>
        <v>0</v>
      </c>
      <c r="QD39" s="58">
        <f t="shared" si="343"/>
        <v>0</v>
      </c>
      <c r="QE39" s="45">
        <f t="shared" si="344"/>
        <v>87</v>
      </c>
      <c r="QF39" s="45">
        <f t="shared" si="591"/>
        <v>2.8739999999999997</v>
      </c>
      <c r="QG39" s="45">
        <f t="shared" si="345"/>
        <v>1</v>
      </c>
      <c r="QH39" s="45">
        <f t="shared" si="346"/>
        <v>2</v>
      </c>
      <c r="QI39" s="45">
        <f t="shared" si="347"/>
        <v>0</v>
      </c>
      <c r="QJ39" s="46" cm="1">
        <f t="array" ref="QJ39">ROUND(IFERROR(INDEX(ArchiveResults!$F$5:$IX$116,ComparisonData!A39,ComparisonData!$QJ$1),0),5)</f>
        <v>0</v>
      </c>
      <c r="QK39" s="46" cm="1">
        <f t="array" ref="QK39">ROUND(IFERROR(INDEX(ArchiveResults!$F$5:$IX$116,ComparisonData!A39,ComparisonData!$QK$1),0),5)</f>
        <v>0</v>
      </c>
      <c r="QL39" s="46" cm="1">
        <f t="array" ref="QL39">ROUND(IFERROR(INDEX(ArchiveResults!$F$5:$IX$116,ComparisonData!A39,ComparisonData!$QL$1),0),5)</f>
        <v>0</v>
      </c>
      <c r="QM39" s="46" cm="1">
        <f t="array" ref="QM39">ROUND(IFERROR(INDEX(ArchiveResults!$F$5:$IX$116,ComparisonData!A39,ComparisonData!$QM$1),0),5)</f>
        <v>0</v>
      </c>
      <c r="QN39" s="45" cm="1">
        <f t="array" ref="QN39">IFERROR(INDEX(ArchiveResults!$F$5:$IX$116,ComparisonData!A39,ComparisonData!$QN$1),0)</f>
        <v>0</v>
      </c>
      <c r="QO39" s="56">
        <v>34</v>
      </c>
      <c r="QP39" s="53" t="str">
        <f t="shared" si="592"/>
        <v>Heritage Quay - University of Huddersfield Archives</v>
      </c>
      <c r="QQ39" s="59">
        <f t="shared" si="348"/>
        <v>0</v>
      </c>
      <c r="QR39" s="59">
        <f t="shared" si="349"/>
        <v>0</v>
      </c>
      <c r="QS39" s="59">
        <f t="shared" si="350"/>
        <v>0</v>
      </c>
      <c r="QT39" s="59">
        <f t="shared" si="351"/>
        <v>0</v>
      </c>
      <c r="QU39" s="59">
        <f t="shared" si="352"/>
        <v>0</v>
      </c>
      <c r="QV39" s="58">
        <f t="shared" si="353"/>
        <v>0</v>
      </c>
      <c r="QW39" s="45">
        <f t="shared" si="354"/>
        <v>87</v>
      </c>
      <c r="QX39" s="45">
        <f t="shared" si="593"/>
        <v>2.8739999999999997</v>
      </c>
      <c r="QY39" s="45">
        <f t="shared" si="355"/>
        <v>1</v>
      </c>
      <c r="QZ39" s="45">
        <f t="shared" si="356"/>
        <v>2</v>
      </c>
      <c r="RA39" s="45">
        <f t="shared" si="357"/>
        <v>0</v>
      </c>
      <c r="RB39" s="46" cm="1">
        <f t="array" ref="RB39">ROUND(IFERROR(INDEX(ArchiveResults!$F$5:$IX$116,ComparisonData!A39,ComparisonData!$RB$1),0),5)</f>
        <v>0</v>
      </c>
      <c r="RC39" s="46" cm="1">
        <f t="array" ref="RC39">ROUND(IFERROR(INDEX(ArchiveResults!$F$5:$IX$116,ComparisonData!A39,ComparisonData!$RC$1),0),5)</f>
        <v>0</v>
      </c>
      <c r="RD39" s="46" cm="1">
        <f t="array" ref="RD39">ROUND(IFERROR(INDEX(ArchiveResults!$F$5:$IX$116,ComparisonData!A39,ComparisonData!$RD$1),0),5)</f>
        <v>0</v>
      </c>
      <c r="RE39" s="46" cm="1">
        <f t="array" ref="RE39">ROUND(IFERROR(INDEX(ArchiveResults!$F$5:$IX$116,ComparisonData!A39,ComparisonData!$RE$1),0),5)</f>
        <v>0</v>
      </c>
      <c r="RF39" s="45" cm="1">
        <f t="array" ref="RF39">IFERROR(INDEX(ArchiveResults!$F$5:$IX$116,ComparisonData!A39,ComparisonData!$RF$1),0)</f>
        <v>0</v>
      </c>
      <c r="RG39" s="56">
        <v>34</v>
      </c>
      <c r="RH39" s="53" t="str">
        <f t="shared" si="594"/>
        <v>Heritage Quay - University of Huddersfield Archives</v>
      </c>
      <c r="RI39" s="59">
        <f t="shared" si="358"/>
        <v>0</v>
      </c>
      <c r="RJ39" s="59">
        <f t="shared" si="359"/>
        <v>0</v>
      </c>
      <c r="RK39" s="59">
        <f t="shared" si="360"/>
        <v>0</v>
      </c>
      <c r="RL39" s="59">
        <f t="shared" si="361"/>
        <v>0</v>
      </c>
      <c r="RM39" s="59">
        <f t="shared" si="362"/>
        <v>0</v>
      </c>
      <c r="RN39" s="58">
        <f t="shared" si="363"/>
        <v>0</v>
      </c>
      <c r="RO39" s="45">
        <f t="shared" si="364"/>
        <v>87</v>
      </c>
      <c r="RP39" s="45">
        <f t="shared" si="595"/>
        <v>2.8739999999999997</v>
      </c>
      <c r="RQ39" s="45">
        <f t="shared" si="365"/>
        <v>1</v>
      </c>
      <c r="RR39" s="45">
        <f t="shared" si="366"/>
        <v>2</v>
      </c>
      <c r="RS39" s="45">
        <f t="shared" si="367"/>
        <v>0</v>
      </c>
      <c r="RT39" s="46" cm="1">
        <f t="array" ref="RT39">ROUND(IFERROR(INDEX(ArchiveResults!$F$5:$IX$116,ComparisonData!A39,ComparisonData!$RT$1),0),5)</f>
        <v>0</v>
      </c>
      <c r="RU39" s="46" cm="1">
        <f t="array" ref="RU39">ROUND(IFERROR(INDEX(ArchiveResults!$F$5:$IX$116,ComparisonData!A39,ComparisonData!$RU$1),0),5)</f>
        <v>0</v>
      </c>
      <c r="RV39" s="46" cm="1">
        <f t="array" ref="RV39">ROUND(IFERROR(INDEX(ArchiveResults!$F$5:$IX$116,ComparisonData!A39,ComparisonData!$RV$1),0),5)</f>
        <v>0</v>
      </c>
      <c r="RW39" s="46" cm="1">
        <f t="array" ref="RW39">ROUND(IFERROR(INDEX(ArchiveResults!$F$5:$IX$116,ComparisonData!A39,ComparisonData!$RW$1),0),5)</f>
        <v>0</v>
      </c>
      <c r="RX39" s="45" cm="1">
        <f t="array" ref="RX39">IFERROR(INDEX(ArchiveResults!$F$5:$IX$116,ComparisonData!A39,ComparisonData!$RX$1),0)</f>
        <v>0</v>
      </c>
      <c r="RY39" s="56">
        <v>34</v>
      </c>
      <c r="RZ39" s="53" t="str">
        <f t="shared" si="596"/>
        <v>Heritage Quay - University of Huddersfield Archives</v>
      </c>
      <c r="SA39" s="59">
        <f t="shared" si="368"/>
        <v>0</v>
      </c>
      <c r="SB39" s="59">
        <f t="shared" si="369"/>
        <v>0</v>
      </c>
      <c r="SC39" s="59">
        <f t="shared" si="370"/>
        <v>0</v>
      </c>
      <c r="SD39" s="59">
        <f t="shared" si="371"/>
        <v>0</v>
      </c>
      <c r="SE39" s="59">
        <f t="shared" si="372"/>
        <v>0</v>
      </c>
      <c r="SF39" s="58">
        <f t="shared" si="373"/>
        <v>0</v>
      </c>
      <c r="SG39" s="45">
        <f t="shared" si="374"/>
        <v>87</v>
      </c>
      <c r="SH39" s="45">
        <f t="shared" si="597"/>
        <v>2.8739999999999997</v>
      </c>
      <c r="SI39" s="45">
        <f t="shared" si="375"/>
        <v>1</v>
      </c>
      <c r="SJ39" s="45">
        <f t="shared" si="376"/>
        <v>2</v>
      </c>
      <c r="SK39" s="45">
        <f t="shared" si="377"/>
        <v>0</v>
      </c>
      <c r="SL39" s="46" cm="1">
        <f t="array" ref="SL39">ROUND(IFERROR(INDEX(ArchiveResults!$F$5:$IX$116,ComparisonData!A39,ComparisonData!$SL$1),0),5)</f>
        <v>0</v>
      </c>
      <c r="SM39" s="46" cm="1">
        <f t="array" ref="SM39">ROUND(IFERROR(INDEX(ArchiveResults!$F$5:$IX$116,ComparisonData!A39,ComparisonData!$SM$1),0),5)</f>
        <v>0</v>
      </c>
      <c r="SN39" s="46" cm="1">
        <f t="array" ref="SN39">ROUND(IFERROR(INDEX(ArchiveResults!$F$5:$IX$116,ComparisonData!A39,ComparisonData!$SN$1),0),5)</f>
        <v>0</v>
      </c>
      <c r="SO39" s="46" cm="1">
        <f t="array" ref="SO39">ROUND(IFERROR(INDEX(ArchiveResults!$F$5:$IX$116,ComparisonData!A39,ComparisonData!$SO$1),0),5)</f>
        <v>0</v>
      </c>
      <c r="SP39" s="45" cm="1">
        <f t="array" ref="SP39">IFERROR(INDEX(ArchiveResults!$F$5:$IX$116,ComparisonData!A39,ComparisonData!$SP$1),0)</f>
        <v>0</v>
      </c>
      <c r="SQ39" s="56">
        <v>34</v>
      </c>
      <c r="SR39" s="53" t="str">
        <f t="shared" si="598"/>
        <v>Heritage Quay - University of Huddersfield Archives</v>
      </c>
      <c r="SS39" s="59">
        <f t="shared" si="378"/>
        <v>0</v>
      </c>
      <c r="ST39" s="59">
        <f t="shared" si="379"/>
        <v>0</v>
      </c>
      <c r="SU39" s="59">
        <f t="shared" si="380"/>
        <v>0</v>
      </c>
      <c r="SV39" s="59">
        <f t="shared" si="381"/>
        <v>0</v>
      </c>
      <c r="SW39" s="59">
        <f t="shared" si="382"/>
        <v>0</v>
      </c>
      <c r="SX39" s="58">
        <f t="shared" si="383"/>
        <v>0</v>
      </c>
      <c r="SY39" s="45">
        <f t="shared" si="384"/>
        <v>87</v>
      </c>
      <c r="SZ39" s="45">
        <f t="shared" si="599"/>
        <v>2.8739999999999997</v>
      </c>
      <c r="TA39" s="45">
        <f t="shared" si="385"/>
        <v>1</v>
      </c>
      <c r="TB39" s="45">
        <f t="shared" si="386"/>
        <v>2</v>
      </c>
      <c r="TC39" s="45">
        <f t="shared" si="387"/>
        <v>0</v>
      </c>
      <c r="TD39" s="46" cm="1">
        <f t="array" ref="TD39">ROUND(IFERROR(INDEX(ArchiveResults!$F$5:$IX$116,ComparisonData!A39,ComparisonData!$TD$1),0),5)</f>
        <v>0</v>
      </c>
      <c r="TE39" s="46" cm="1">
        <f t="array" ref="TE39">ROUND(IFERROR(INDEX(ArchiveResults!$F$5:$IX$116,ComparisonData!A39,ComparisonData!$TE$1),0),5)</f>
        <v>0</v>
      </c>
      <c r="TF39" s="46" cm="1">
        <f t="array" ref="TF39">ROUND(IFERROR(INDEX(ArchiveResults!$F$5:$IX$116,ComparisonData!A39,ComparisonData!$TF$1),0),5)</f>
        <v>0</v>
      </c>
      <c r="TG39" s="46" cm="1">
        <f t="array" ref="TG39">ROUND(IFERROR(INDEX(ArchiveResults!$F$5:$IX$116,ComparisonData!A39,ComparisonData!$TG$1),0),5)</f>
        <v>0</v>
      </c>
      <c r="TH39" s="45" cm="1">
        <f t="array" ref="TH39">IFERROR(INDEX(ArchiveResults!$F$5:$IX$116,ComparisonData!A39,ComparisonData!$TH$1),0)</f>
        <v>0</v>
      </c>
      <c r="TI39" s="56">
        <v>34</v>
      </c>
      <c r="TJ39" s="53" t="str">
        <f t="shared" si="600"/>
        <v>Heritage Quay - University of Huddersfield Archives</v>
      </c>
      <c r="TK39" s="59">
        <f t="shared" si="388"/>
        <v>0</v>
      </c>
      <c r="TL39" s="59">
        <f t="shared" si="389"/>
        <v>0</v>
      </c>
      <c r="TM39" s="59">
        <f t="shared" si="390"/>
        <v>0</v>
      </c>
      <c r="TN39" s="59">
        <f t="shared" si="391"/>
        <v>0</v>
      </c>
      <c r="TO39" s="59">
        <f t="shared" si="392"/>
        <v>0</v>
      </c>
      <c r="TP39" s="58">
        <f t="shared" si="393"/>
        <v>0</v>
      </c>
      <c r="TQ39" s="45">
        <f t="shared" si="394"/>
        <v>87</v>
      </c>
      <c r="TR39" s="45">
        <f t="shared" si="601"/>
        <v>2.8739999999999997</v>
      </c>
      <c r="TS39" s="45">
        <f t="shared" si="395"/>
        <v>1</v>
      </c>
      <c r="TT39" s="45">
        <f t="shared" si="396"/>
        <v>2</v>
      </c>
      <c r="TU39" s="45">
        <f t="shared" si="397"/>
        <v>0</v>
      </c>
      <c r="TV39" s="46" cm="1">
        <f t="array" ref="TV39">ROUND(IFERROR(INDEX(ArchiveResults!$F$5:$IX$116,ComparisonData!A39,ComparisonData!$TV$1),0),5)</f>
        <v>0</v>
      </c>
      <c r="TW39" s="46" cm="1">
        <f t="array" ref="TW39">ROUND(IFERROR(INDEX(ArchiveResults!$F$5:$IX$116,ComparisonData!A39,ComparisonData!$TW$1),0),5)</f>
        <v>0</v>
      </c>
      <c r="TX39" s="46" cm="1">
        <f t="array" ref="TX39">ROUND(IFERROR(INDEX(ArchiveResults!$F$5:$IX$116,ComparisonData!A39,ComparisonData!$TX$1),0),5)</f>
        <v>0</v>
      </c>
      <c r="TY39" s="46" cm="1">
        <f t="array" ref="TY39">ROUND(IFERROR(INDEX(ArchiveResults!$F$5:$IX$116,ComparisonData!A39,ComparisonData!$TY$1),0),5)</f>
        <v>0</v>
      </c>
      <c r="TZ39" s="45" cm="1">
        <f t="array" ref="TZ39">IFERROR(INDEX(ArchiveResults!$F$5:$IX$116,ComparisonData!A39,ComparisonData!$TZ$1),0)</f>
        <v>0</v>
      </c>
      <c r="UA39" s="56">
        <v>34</v>
      </c>
      <c r="UB39" s="53" t="str">
        <f t="shared" si="602"/>
        <v>Heritage Quay - University of Huddersfield Archives</v>
      </c>
      <c r="UC39" s="60">
        <f t="shared" si="398"/>
        <v>0</v>
      </c>
      <c r="UD39" s="60">
        <f t="shared" si="399"/>
        <v>0</v>
      </c>
      <c r="UE39" s="60">
        <f t="shared" si="400"/>
        <v>0</v>
      </c>
      <c r="UF39" s="60">
        <f t="shared" si="401"/>
        <v>0</v>
      </c>
      <c r="UG39" s="60">
        <f t="shared" si="402"/>
        <v>0</v>
      </c>
      <c r="UH39" s="58">
        <f t="shared" si="403"/>
        <v>0</v>
      </c>
      <c r="UI39" s="46">
        <f t="shared" si="404"/>
        <v>87</v>
      </c>
      <c r="UJ39" s="46">
        <f t="shared" si="603"/>
        <v>2.8739999999999997</v>
      </c>
      <c r="UK39" s="46">
        <f t="shared" si="405"/>
        <v>1</v>
      </c>
      <c r="UL39" s="46">
        <f t="shared" si="406"/>
        <v>2</v>
      </c>
      <c r="UM39" s="46" cm="1">
        <f t="array" ref="UM39">ROUND(IFERROR(INDEX(ArchiveResults!$F$5:$IX$116,ComparisonData!A39,ComparisonData!$UM$1),0),5)</f>
        <v>0</v>
      </c>
      <c r="UN39" s="56">
        <v>34</v>
      </c>
      <c r="UO39" s="53" t="str">
        <f t="shared" si="604"/>
        <v>Heritage Quay - University of Huddersfield Archives</v>
      </c>
      <c r="UP39" s="46">
        <f t="shared" si="407"/>
        <v>0</v>
      </c>
      <c r="UQ39" s="76">
        <f t="shared" si="408"/>
        <v>0</v>
      </c>
      <c r="UR39" s="46">
        <f t="shared" si="409"/>
        <v>87</v>
      </c>
      <c r="US39" s="46">
        <f t="shared" si="605"/>
        <v>2.8739999999999997</v>
      </c>
      <c r="UT39" s="46">
        <f t="shared" si="410"/>
        <v>1</v>
      </c>
      <c r="UU39" s="46">
        <f t="shared" si="411"/>
        <v>2</v>
      </c>
      <c r="UV39" s="46">
        <f t="shared" si="412"/>
        <v>0</v>
      </c>
      <c r="UW39" s="46" cm="1">
        <f t="array" ref="UW39">ROUND(IFERROR(INDEX(ArchiveResults!$F$5:$IX$116,ComparisonData!A39,ComparisonData!$UW$1),0),5)</f>
        <v>0</v>
      </c>
      <c r="UX39" s="46" cm="1">
        <f t="array" ref="UX39">ROUND(IFERROR(INDEX(ArchiveResults!$F$5:$IX$116,ComparisonData!A39,ComparisonData!$UX$1),0),5)</f>
        <v>0</v>
      </c>
      <c r="UY39" s="46" cm="1">
        <f t="array" ref="UY39">ROUND(IFERROR(INDEX(ArchiveResults!$F$5:$IX$116,ComparisonData!A39,ComparisonData!$UY$1),0),5)</f>
        <v>0</v>
      </c>
      <c r="UZ39" s="46" cm="1">
        <f t="array" ref="UZ39">ROUND(IFERROR(INDEX(ArchiveResults!$F$5:$IX$116,ComparisonData!A39,ComparisonData!$UZ$1),0),5)</f>
        <v>0</v>
      </c>
      <c r="VA39" s="46" cm="1">
        <f t="array" ref="VA39">ROUND(IFERROR(INDEX(ArchiveResults!$F$5:$IX$116,ComparisonData!A39,ComparisonData!$VA$1),0),5)</f>
        <v>0</v>
      </c>
      <c r="VB39" s="56">
        <v>34</v>
      </c>
      <c r="VC39" s="53" t="str">
        <f t="shared" si="606"/>
        <v>Heritage Quay - University of Huddersfield Archives</v>
      </c>
      <c r="VD39" s="60">
        <f t="shared" si="413"/>
        <v>0</v>
      </c>
      <c r="VE39" s="60">
        <f t="shared" si="414"/>
        <v>0</v>
      </c>
      <c r="VF39" s="60">
        <f t="shared" si="415"/>
        <v>0</v>
      </c>
      <c r="VG39" s="60">
        <f t="shared" si="416"/>
        <v>0</v>
      </c>
      <c r="VH39" s="60">
        <f t="shared" si="417"/>
        <v>0</v>
      </c>
      <c r="VI39" s="76">
        <f t="shared" si="418"/>
        <v>0</v>
      </c>
      <c r="VJ39" s="46">
        <f t="shared" si="419"/>
        <v>87</v>
      </c>
      <c r="VK39" s="46">
        <f t="shared" si="607"/>
        <v>2.8739999999999997</v>
      </c>
      <c r="VL39" s="46">
        <f t="shared" si="420"/>
        <v>1</v>
      </c>
      <c r="VM39" s="46">
        <f t="shared" si="421"/>
        <v>2</v>
      </c>
      <c r="VN39" s="46" cm="1">
        <f t="array" ref="VN39">ROUND(IFERROR(INDEX(ArchiveResults!$F$5:$IX$116,ComparisonData!A39,ComparisonData!$VN$1),0),5)</f>
        <v>0</v>
      </c>
      <c r="VO39" s="46" cm="1">
        <f t="array" ref="VO39">ROUND(IFERROR(INDEX(ArchiveResults!$F$5:$IX$116,ComparisonData!A39,ComparisonData!$VO$1),0),5)</f>
        <v>0</v>
      </c>
      <c r="VP39" s="46" cm="1">
        <f t="array" ref="VP39">ROUND(IFERROR(INDEX(ArchiveResults!$F$5:$IX$116,ComparisonData!A39,ComparisonData!$VP$1),0),5)</f>
        <v>0</v>
      </c>
      <c r="VQ39" s="46" cm="1">
        <f t="array" ref="VQ39">ROUND(IFERROR(INDEX(ArchiveResults!$F$5:$IX$116,ComparisonData!A39,ComparisonData!$VQ$1),0),5)</f>
        <v>0</v>
      </c>
      <c r="VR39" s="56">
        <v>34</v>
      </c>
      <c r="VS39" s="53" t="str">
        <f t="shared" si="608"/>
        <v>Heritage Quay - University of Huddersfield Archives</v>
      </c>
      <c r="VT39" s="60">
        <f t="shared" si="422"/>
        <v>0</v>
      </c>
      <c r="VU39" s="60">
        <f t="shared" si="423"/>
        <v>0</v>
      </c>
      <c r="VV39" s="60">
        <f t="shared" si="424"/>
        <v>0</v>
      </c>
      <c r="VW39" s="60">
        <f t="shared" si="425"/>
        <v>0</v>
      </c>
      <c r="VX39" s="76">
        <f t="shared" si="426"/>
        <v>0</v>
      </c>
      <c r="VY39" s="46">
        <f t="shared" si="427"/>
        <v>87</v>
      </c>
      <c r="VZ39" s="46">
        <f t="shared" si="609"/>
        <v>2.8739999999999997</v>
      </c>
      <c r="WA39" s="46">
        <f t="shared" si="428"/>
        <v>1</v>
      </c>
      <c r="WB39" s="46">
        <f t="shared" si="429"/>
        <v>2</v>
      </c>
      <c r="WC39" s="46" cm="1">
        <f t="array" ref="WC39">ROUND(IFERROR(INDEX(ArchiveResults!$F$5:$IX$116,ComparisonData!A39,ComparisonData!$WC$1),0),5)</f>
        <v>0</v>
      </c>
      <c r="WD39" s="56">
        <v>34</v>
      </c>
      <c r="WE39" s="53" t="str">
        <f t="shared" si="610"/>
        <v>Heritage Quay - University of Huddersfield Archives</v>
      </c>
      <c r="WF39" s="46">
        <f t="shared" si="430"/>
        <v>0</v>
      </c>
      <c r="WG39" s="76">
        <f t="shared" si="431"/>
        <v>0</v>
      </c>
      <c r="WH39" s="46">
        <f t="shared" si="432"/>
        <v>87</v>
      </c>
      <c r="WI39" s="46">
        <f t="shared" si="611"/>
        <v>2.8739999999999997</v>
      </c>
      <c r="WJ39" s="46">
        <f t="shared" si="433"/>
        <v>1</v>
      </c>
      <c r="WK39" s="46">
        <f t="shared" si="434"/>
        <v>2</v>
      </c>
      <c r="WL39" s="46" cm="1">
        <f t="array" ref="WL39">ROUND(IFERROR(INDEX(ArchiveResults!$F$5:$IX$116,ComparisonData!A39,ComparisonData!$WL$1),0),5)</f>
        <v>0</v>
      </c>
      <c r="WM39" s="46" cm="1">
        <f t="array" ref="WM39">IFERROR(INDEX(ArchiveResults!$F$5:$IX$116,ComparisonData!A39,ComparisonData!$WM$1),0)</f>
        <v>0</v>
      </c>
      <c r="WN39" s="56">
        <v>34</v>
      </c>
      <c r="WO39" s="53" t="str">
        <f t="shared" si="612"/>
        <v>Heritage Quay - University of Huddersfield Archives</v>
      </c>
      <c r="WP39" s="60">
        <f t="shared" si="435"/>
        <v>0</v>
      </c>
      <c r="WQ39" s="60">
        <f t="shared" si="436"/>
        <v>0</v>
      </c>
      <c r="WR39" s="76">
        <f t="shared" si="437"/>
        <v>0</v>
      </c>
      <c r="WS39" s="46">
        <f t="shared" si="438"/>
        <v>87</v>
      </c>
      <c r="WT39" s="46">
        <f t="shared" si="613"/>
        <v>2.8739999999999997</v>
      </c>
      <c r="WU39" s="46">
        <f t="shared" si="439"/>
        <v>1</v>
      </c>
      <c r="WV39" s="46">
        <f t="shared" si="440"/>
        <v>2</v>
      </c>
      <c r="WW39" s="46" cm="1">
        <f t="array" ref="WW39">ROUND(VALUE(IFERROR(INDEX(ArchiveResults!$F$5:$IX$116,ComparisonData!A39,ComparisonData!$WW$1),0)),5)</f>
        <v>0</v>
      </c>
      <c r="WX39" s="46" cm="1">
        <f t="array" ref="WX39">ROUND(IFERROR(INDEX(ArchiveResults!$F$5:$IX$116,ComparisonData!A39,ComparisonData!$WX$1),0),5)</f>
        <v>0</v>
      </c>
      <c r="WY39" s="56">
        <v>34</v>
      </c>
      <c r="WZ39" s="53" t="str">
        <f t="shared" si="614"/>
        <v>Heritage Quay - University of Huddersfield Archives</v>
      </c>
      <c r="XA39" s="60">
        <f t="shared" si="615"/>
        <v>0</v>
      </c>
      <c r="XB39" s="60">
        <f t="shared" si="616"/>
        <v>0</v>
      </c>
      <c r="XC39" s="76">
        <f t="shared" si="441"/>
        <v>0</v>
      </c>
      <c r="XD39" s="46">
        <f t="shared" si="442"/>
        <v>87</v>
      </c>
      <c r="XE39" s="46">
        <f t="shared" si="617"/>
        <v>2.8739999999999997</v>
      </c>
      <c r="XF39" s="46">
        <f t="shared" si="443"/>
        <v>1</v>
      </c>
      <c r="XG39" s="46">
        <f t="shared" si="444"/>
        <v>2</v>
      </c>
      <c r="XH39" s="46" cm="1">
        <f t="array" ref="XH39">ROUND(VALUE(IFERROR(INDEX(ArchiveResults!$F$5:$IX$116,ComparisonData!A39,ComparisonData!$XH$1),0)),5)</f>
        <v>0</v>
      </c>
      <c r="XI39" s="46" cm="1">
        <f t="array" ref="XI39">ROUND(VALUE(IFERROR(INDEX(ArchiveResults!$F$5:$IX$116,ComparisonData!A39,ComparisonData!$XI$1),0)),5)</f>
        <v>0</v>
      </c>
      <c r="XJ39" s="56">
        <v>34</v>
      </c>
      <c r="XK39" s="53" t="str">
        <f t="shared" si="618"/>
        <v>Heritage Quay - University of Huddersfield Archives</v>
      </c>
      <c r="XL39" s="60">
        <f t="shared" si="445"/>
        <v>0</v>
      </c>
      <c r="XM39" s="60">
        <f t="shared" si="446"/>
        <v>0</v>
      </c>
      <c r="XN39" s="76">
        <f t="shared" si="447"/>
        <v>0</v>
      </c>
      <c r="XO39" s="46">
        <f t="shared" si="448"/>
        <v>87</v>
      </c>
      <c r="XP39" s="46">
        <f t="shared" si="619"/>
        <v>2.8739999999999997</v>
      </c>
      <c r="XQ39" s="46">
        <f t="shared" si="449"/>
        <v>1</v>
      </c>
      <c r="XR39" s="46">
        <f t="shared" si="450"/>
        <v>2</v>
      </c>
      <c r="XS39" s="46" cm="1">
        <f t="array" ref="XS39">ROUND(VALUE(IFERROR(INDEX(ArchiveResults!$F$5:$IX$116,ComparisonData!A39,ComparisonData!$XS$1),0)),5)</f>
        <v>0</v>
      </c>
      <c r="XT39" s="46" cm="1">
        <f t="array" ref="XT39">ROUND(VALUE(IFERROR(INDEX(ArchiveResults!$F$5:$IX$116,ComparisonData!A39,ComparisonData!$XT$1),0)),5)</f>
        <v>0</v>
      </c>
      <c r="XU39" s="56">
        <v>34</v>
      </c>
      <c r="XV39" s="53" t="str">
        <f t="shared" si="620"/>
        <v>Heritage Quay - University of Huddersfield Archives</v>
      </c>
      <c r="XW39" s="60">
        <f t="shared" si="451"/>
        <v>0</v>
      </c>
      <c r="XX39" s="60">
        <f t="shared" si="452"/>
        <v>0</v>
      </c>
      <c r="XY39" s="76">
        <f t="shared" si="453"/>
        <v>0</v>
      </c>
      <c r="XZ39" s="46">
        <f t="shared" si="454"/>
        <v>87</v>
      </c>
      <c r="YA39" s="46">
        <f t="shared" si="621"/>
        <v>2.8739999999999997</v>
      </c>
      <c r="YB39" s="46">
        <f t="shared" si="455"/>
        <v>1</v>
      </c>
      <c r="YC39" s="46">
        <f t="shared" si="456"/>
        <v>2</v>
      </c>
      <c r="YD39" s="46" cm="1">
        <f t="array" ref="YD39">ROUND(VALUE(IFERROR(INDEX(ArchiveResults!$F$5:$IX$116,ComparisonData!A39,ComparisonData!$YD$1),0)),5)</f>
        <v>0</v>
      </c>
      <c r="YE39" s="46" cm="1">
        <f t="array" ref="YE39">ROUND(VALUE(IFERROR(INDEX(ArchiveResults!$F$5:$IX$116,ComparisonData!A39,ComparisonData!$YE$1),0)),5)</f>
        <v>0</v>
      </c>
      <c r="YF39" s="56">
        <v>34</v>
      </c>
      <c r="YG39" s="53" t="str">
        <f t="shared" si="622"/>
        <v>Heritage Quay - University of Huddersfield Archives</v>
      </c>
      <c r="YH39" s="60">
        <f t="shared" si="457"/>
        <v>0</v>
      </c>
      <c r="YI39" s="60">
        <f t="shared" si="458"/>
        <v>0</v>
      </c>
      <c r="YJ39" s="76">
        <f t="shared" si="459"/>
        <v>0</v>
      </c>
      <c r="YK39" s="46">
        <f t="shared" si="460"/>
        <v>87</v>
      </c>
      <c r="YL39" s="46">
        <f t="shared" si="623"/>
        <v>2.8739999999999997</v>
      </c>
      <c r="YM39" s="46">
        <f t="shared" si="461"/>
        <v>1</v>
      </c>
      <c r="YN39" s="46">
        <f t="shared" si="462"/>
        <v>2</v>
      </c>
      <c r="YO39" s="46" cm="1">
        <f t="array" ref="YO39">ROUND(VALUE(IFERROR(INDEX(ArchiveResults!$F$5:$IX$116,ComparisonData!A39,ComparisonData!$YO$1),0)),5)</f>
        <v>0</v>
      </c>
      <c r="YP39" s="46" cm="1">
        <f t="array" ref="YP39">ROUND(VALUE(IFERROR(INDEX(ArchiveResults!$F$5:$IX$116,ComparisonData!A39,ComparisonData!$YP$1),0)),5)</f>
        <v>0</v>
      </c>
      <c r="YQ39" s="56">
        <v>34</v>
      </c>
      <c r="YR39" s="53" t="str">
        <f t="shared" si="624"/>
        <v>Heritage Quay - University of Huddersfield Archives</v>
      </c>
      <c r="YS39" s="60">
        <f t="shared" si="463"/>
        <v>0</v>
      </c>
      <c r="YT39" s="60">
        <f t="shared" si="464"/>
        <v>0</v>
      </c>
      <c r="YU39" s="76">
        <f t="shared" si="465"/>
        <v>0</v>
      </c>
      <c r="YV39" s="46">
        <f t="shared" si="466"/>
        <v>87</v>
      </c>
      <c r="YW39" s="46">
        <f t="shared" si="625"/>
        <v>2.8739999999999997</v>
      </c>
      <c r="YX39" s="46">
        <f t="shared" si="467"/>
        <v>1</v>
      </c>
      <c r="YY39" s="46">
        <f t="shared" si="468"/>
        <v>2</v>
      </c>
      <c r="YZ39" s="46">
        <f t="shared" si="469"/>
        <v>0</v>
      </c>
      <c r="ZA39" s="46" cm="1">
        <f t="array" ref="ZA39">ROUNDDOWN(VALUE(IFERROR(INDEX(ArchiveResults!$F$5:$IX$116,ComparisonData!A39,ComparisonData!$ZA$1),0)),5)</f>
        <v>0</v>
      </c>
      <c r="ZB39" s="46" cm="1">
        <f t="array" ref="ZB39">ROUNDDOWN(VALUE(IFERROR(INDEX(ArchiveResults!$F$5:$IX$116,ComparisonData!A39,ComparisonData!$ZB$1),0)),5)</f>
        <v>0</v>
      </c>
      <c r="ZC39" s="46" cm="1">
        <f t="array" ref="ZC39">ROUNDDOWN(VALUE(IFERROR(INDEX(ArchiveResults!$F$5:$IX$116,ComparisonData!A39,ComparisonData!$ZC$1),0)),5)</f>
        <v>0</v>
      </c>
      <c r="ZD39" s="46" cm="1">
        <f t="array" ref="ZD39">ROUNDDOWN(VALUE(IFERROR(INDEX(ArchiveResults!$F$5:$IX$116,ComparisonData!A39,ComparisonData!$ZD$1),0)),5)</f>
        <v>0</v>
      </c>
      <c r="ZE39" s="46" cm="1">
        <f t="array" ref="ZE39">ROUNDDOWN(VALUE(IFERROR(INDEX(ArchiveResults!$F$5:$IX$116,ComparisonData!A39,ComparisonData!$ZE$1),0)),5)</f>
        <v>0</v>
      </c>
      <c r="ZF39" s="56">
        <v>34</v>
      </c>
      <c r="ZG39" s="53" t="str">
        <f t="shared" si="626"/>
        <v>Heritage Quay - University of Huddersfield Archives</v>
      </c>
      <c r="ZH39" s="60">
        <f t="shared" si="470"/>
        <v>0</v>
      </c>
      <c r="ZI39" s="60">
        <f t="shared" si="471"/>
        <v>0</v>
      </c>
      <c r="ZJ39" s="60">
        <f t="shared" si="472"/>
        <v>0</v>
      </c>
      <c r="ZK39" s="60">
        <f t="shared" si="473"/>
        <v>0</v>
      </c>
      <c r="ZL39" s="60">
        <f t="shared" si="474"/>
        <v>0</v>
      </c>
      <c r="ZM39" s="76">
        <f t="shared" si="475"/>
        <v>0</v>
      </c>
      <c r="ZN39" s="46">
        <f t="shared" si="476"/>
        <v>87</v>
      </c>
      <c r="ZO39" s="46">
        <f t="shared" si="627"/>
        <v>2.8739999999999997</v>
      </c>
      <c r="ZP39" s="46">
        <f t="shared" si="477"/>
        <v>1</v>
      </c>
      <c r="ZQ39" s="46">
        <f t="shared" si="478"/>
        <v>2</v>
      </c>
      <c r="ZR39" s="46" cm="1">
        <f t="array" ref="ZR39">ROUND(VALUE(IFERROR(INDEX(ArchiveResults!$F$5:$IX$116,ComparisonData!A39,ComparisonData!$ZR$1),0)),5)</f>
        <v>0</v>
      </c>
      <c r="ZS39" s="56">
        <v>34</v>
      </c>
      <c r="ZT39" s="53" t="str">
        <f t="shared" si="628"/>
        <v>Heritage Quay - University of Huddersfield Archives</v>
      </c>
      <c r="ZU39" s="46">
        <f t="shared" si="479"/>
        <v>0</v>
      </c>
      <c r="ZV39" s="76">
        <f t="shared" si="480"/>
        <v>0</v>
      </c>
      <c r="ZW39" s="81" cm="1">
        <f t="array" ref="ZW39">ROUND((IFERROR(INDEX(ArchiveResults!$F$5:$IX$116,ComparisonData!A39,ComparisonData!$ZW$1),0)),5)</f>
        <v>0</v>
      </c>
      <c r="ZX39" s="81" cm="1">
        <f t="array" ref="ZX39">ROUND((IFERROR(INDEX(ArchiveResults!$F$5:$IX$116,ComparisonData!A39,ComparisonData!$ZX$1),0)),5)</f>
        <v>0</v>
      </c>
      <c r="ZY39" s="81" cm="1">
        <f t="array" ref="ZY39">ROUND((IFERROR(INDEX(ArchiveResults!$F$5:$IX$116,ComparisonData!A39,ComparisonData!$ZY$1),0)),5)</f>
        <v>0</v>
      </c>
      <c r="ZZ39" s="81" cm="1">
        <f t="array" ref="ZZ39">ROUND((IFERROR(INDEX(ArchiveResults!$F$5:$IX$116,ComparisonData!A39,ComparisonData!$ZZ$1),0)),5)</f>
        <v>0</v>
      </c>
      <c r="AAA39" s="81" cm="1">
        <f t="array" ref="AAA39">ROUND((IFERROR(INDEX(ArchiveResults!$F$5:$IX$116,ComparisonData!A39,ComparisonData!$AAA$1),0)),5)</f>
        <v>0</v>
      </c>
      <c r="AAB39" s="81" cm="1">
        <f t="array" ref="AAB39">ROUND((IFERROR(INDEX(ArchiveResults!$F$5:$IX$116,ComparisonData!A39,ComparisonData!$AAB$1),0)),5)</f>
        <v>0</v>
      </c>
      <c r="AAC39" s="81" cm="1">
        <f t="array" ref="AAC39">ROUND((IFERROR(INDEX(ArchiveResults!$F$5:$IX$116,ComparisonData!A39,ComparisonData!$AAC$1),0)),5)</f>
        <v>0</v>
      </c>
      <c r="AAD39" s="81" cm="1">
        <f t="array" ref="AAD39">ROUND((IFERROR(INDEX(ArchiveResults!$F$5:$IX$116,ComparisonData!A39,ComparisonData!$AAD$1),0)),5)</f>
        <v>0</v>
      </c>
      <c r="AAE39" s="81" cm="1">
        <f t="array" ref="AAE39">ROUND((IFERROR(INDEX(ArchiveResults!$F$5:$IX$116,ComparisonData!A39,ComparisonData!$AAE$1),0)),5)</f>
        <v>0</v>
      </c>
      <c r="AAF39" s="81" cm="1">
        <f t="array" ref="AAF39">ROUND((IFERROR(INDEX(ArchiveResults!$F$5:$IX$116,ComparisonData!A39,ComparisonData!$AAF$1),0)),5)</f>
        <v>0</v>
      </c>
      <c r="AAG39" s="46">
        <f t="shared" si="481"/>
        <v>87</v>
      </c>
      <c r="AAH39" s="46">
        <f t="shared" si="629"/>
        <v>2.8739999999999997</v>
      </c>
      <c r="AAI39" s="46">
        <f t="shared" si="482"/>
        <v>1</v>
      </c>
      <c r="AAJ39" s="46">
        <f t="shared" si="483"/>
        <v>2</v>
      </c>
      <c r="AAK39" s="46">
        <f t="shared" si="484"/>
        <v>0</v>
      </c>
      <c r="AAL39" s="46">
        <f t="shared" si="485"/>
        <v>0</v>
      </c>
      <c r="AAM39" s="46">
        <f t="shared" si="486"/>
        <v>0</v>
      </c>
      <c r="AAN39" s="46">
        <f t="shared" si="487"/>
        <v>0</v>
      </c>
      <c r="AAO39" s="46">
        <f t="shared" si="488"/>
        <v>0</v>
      </c>
      <c r="AAP39" s="46">
        <f t="shared" si="489"/>
        <v>0</v>
      </c>
      <c r="AAQ39" s="56">
        <v>34</v>
      </c>
      <c r="AAR39" s="53" t="str">
        <f t="shared" si="630"/>
        <v>Heritage Quay - University of Huddersfield Archives</v>
      </c>
      <c r="AAS39" s="60">
        <f t="shared" si="490"/>
        <v>0</v>
      </c>
      <c r="AAT39" s="60">
        <f t="shared" si="491"/>
        <v>0</v>
      </c>
      <c r="AAU39" s="60">
        <f t="shared" si="492"/>
        <v>0</v>
      </c>
      <c r="AAV39" s="60">
        <f t="shared" si="493"/>
        <v>0</v>
      </c>
      <c r="AAW39" s="60">
        <f t="shared" si="494"/>
        <v>0</v>
      </c>
      <c r="AAX39" s="76">
        <f t="shared" si="495"/>
        <v>0</v>
      </c>
      <c r="AAY39" s="46">
        <f t="shared" si="496"/>
        <v>87</v>
      </c>
      <c r="AAZ39" s="46">
        <f t="shared" si="631"/>
        <v>2.8739999999999997</v>
      </c>
      <c r="ABA39" s="46">
        <f t="shared" si="497"/>
        <v>1</v>
      </c>
      <c r="ABB39" s="46">
        <f t="shared" si="498"/>
        <v>2</v>
      </c>
      <c r="ABC39" s="46">
        <f t="shared" si="102"/>
        <v>0</v>
      </c>
      <c r="ABD39" s="46" cm="1">
        <f t="array" ref="ABD39">ROUND(VALUE(IFERROR(INDEX(ArchiveResults!$F$5:$IX$116,ComparisonData!A39,ComparisonData!$ABD$1),0)),5)</f>
        <v>0</v>
      </c>
      <c r="ABE39" s="46" cm="1">
        <f t="array" ref="ABE39">ROUND(VALUE(IFERROR(INDEX(ArchiveResults!$F$5:$IX$116,ComparisonData!A39,ComparisonData!$ABE$1),0)),5)</f>
        <v>0</v>
      </c>
      <c r="ABF39" s="46" cm="1">
        <f t="array" ref="ABF39">ROUND(VALUE(IFERROR(INDEX(ArchiveResults!$F$5:$IX$116,ComparisonData!A39,ComparisonData!$ABF$1),0)),5)</f>
        <v>0</v>
      </c>
      <c r="ABG39" s="46" cm="1">
        <f t="array" ref="ABG39">ROUND(VALUE(IFERROR(INDEX(ArchiveResults!$F$5:$IX$116,ComparisonData!A39,ComparisonData!$ABG$1),0)),5)</f>
        <v>0</v>
      </c>
      <c r="ABH39" s="46" cm="1">
        <f t="array" ref="ABH39">ROUND(VALUE(IFERROR(INDEX(ArchiveResults!$F$5:$IX$116,ComparisonData!A39,ComparisonData!$ABH$1),0)),5)</f>
        <v>0</v>
      </c>
      <c r="ABI39" s="56">
        <v>34</v>
      </c>
      <c r="ABJ39" s="53" t="str">
        <f t="shared" si="632"/>
        <v>Heritage Quay - University of Huddersfield Archives</v>
      </c>
      <c r="ABK39" s="60">
        <f t="shared" si="499"/>
        <v>0</v>
      </c>
      <c r="ABL39" s="60">
        <f t="shared" si="500"/>
        <v>0</v>
      </c>
      <c r="ABM39" s="60">
        <f t="shared" si="501"/>
        <v>0</v>
      </c>
      <c r="ABN39" s="60">
        <f t="shared" si="502"/>
        <v>0</v>
      </c>
      <c r="ABO39" s="60">
        <f t="shared" si="503"/>
        <v>0</v>
      </c>
      <c r="ABP39" s="76">
        <f t="shared" si="504"/>
        <v>0</v>
      </c>
      <c r="ABQ39" s="46">
        <f t="shared" si="505"/>
        <v>87</v>
      </c>
      <c r="ABR39" s="46">
        <f t="shared" si="633"/>
        <v>2.8739999999999997</v>
      </c>
      <c r="ABS39" s="46">
        <f t="shared" si="506"/>
        <v>1</v>
      </c>
      <c r="ABT39" s="46">
        <f t="shared" si="507"/>
        <v>2</v>
      </c>
      <c r="ABU39" s="46" cm="1">
        <f t="array" ref="ABU39">ROUND(VALUE(IFERROR(INDEX(ArchiveResults!$F$5:$IX$116,ComparisonData!A39,ComparisonData!$ABU$1),0)),5)</f>
        <v>0</v>
      </c>
      <c r="ABV39" s="46" cm="1">
        <f t="array" ref="ABV39">ROUND(VALUE(IFERROR(INDEX(ArchiveResults!$F$5:$IX$116,ComparisonData!A39,ComparisonData!$ABV$1),0)),5)</f>
        <v>0</v>
      </c>
      <c r="ABW39" s="46" cm="1">
        <f t="array" ref="ABW39">ROUND(VALUE(IFERROR(INDEX(ArchiveResults!$F$5:$IX$116,ComparisonData!A39,ComparisonData!$ABW$1),0)),5)</f>
        <v>0</v>
      </c>
      <c r="ABX39" s="46" cm="1">
        <f t="array" ref="ABX39">ROUND(VALUE(IFERROR(INDEX(ArchiveResults!$F$5:$IX$116,ComparisonData!A39,ComparisonData!$ABX$1),0)),5)</f>
        <v>0</v>
      </c>
      <c r="ABY39" s="46" cm="1">
        <f t="array" ref="ABY39">ROUND(VALUE(IFERROR(INDEX(ArchiveResults!$F$5:$IX$116,ComparisonData!A39,ComparisonData!$ABY$1),0)),5)</f>
        <v>0</v>
      </c>
      <c r="ABZ39" s="56">
        <v>34</v>
      </c>
      <c r="ACA39" s="53" t="str">
        <f t="shared" si="634"/>
        <v>Heritage Quay - University of Huddersfield Archives</v>
      </c>
      <c r="ACB39" s="60">
        <f t="shared" si="508"/>
        <v>0</v>
      </c>
      <c r="ACC39" s="60">
        <f t="shared" si="509"/>
        <v>0</v>
      </c>
      <c r="ACD39" s="60">
        <f t="shared" si="510"/>
        <v>0</v>
      </c>
      <c r="ACE39" s="60">
        <f t="shared" si="511"/>
        <v>0</v>
      </c>
      <c r="ACF39" s="60">
        <f t="shared" si="512"/>
        <v>0</v>
      </c>
      <c r="ACG39" s="76">
        <f t="shared" si="513"/>
        <v>0</v>
      </c>
      <c r="ACH39" s="46">
        <f t="shared" si="514"/>
        <v>87</v>
      </c>
      <c r="ACI39" s="46">
        <f t="shared" si="635"/>
        <v>2.8739999999999997</v>
      </c>
      <c r="ACJ39" s="46">
        <f t="shared" si="515"/>
        <v>1</v>
      </c>
      <c r="ACK39" s="46">
        <f t="shared" si="516"/>
        <v>2</v>
      </c>
      <c r="ACL39" s="46">
        <f t="shared" si="517"/>
        <v>0</v>
      </c>
      <c r="ACM39" s="46" cm="1">
        <f t="array" ref="ACM39">ROUND(IFERROR(INDEX(ArchiveResults!$F$5:$IX$116,ComparisonData!A39,ComparisonData!$ACM$1),0),5)</f>
        <v>0</v>
      </c>
      <c r="ACN39" s="46" cm="1">
        <f t="array" ref="ACN39">ROUND(IFERROR(INDEX(ArchiveResults!$F$5:$IX$116,ComparisonData!A39,ComparisonData!$ACN$1),0),5)</f>
        <v>0</v>
      </c>
      <c r="ACO39" s="56">
        <v>34</v>
      </c>
      <c r="ACP39" s="53" t="str">
        <f t="shared" si="636"/>
        <v>Heritage Quay - University of Huddersfield Archives</v>
      </c>
      <c r="ACQ39" s="60">
        <f t="shared" si="518"/>
        <v>0</v>
      </c>
      <c r="ACR39" s="60">
        <f t="shared" si="519"/>
        <v>0</v>
      </c>
      <c r="ACS39" s="76">
        <f t="shared" si="520"/>
        <v>0</v>
      </c>
      <c r="ACT39" s="46">
        <f t="shared" si="521"/>
        <v>87</v>
      </c>
      <c r="ACU39" s="46">
        <f t="shared" si="637"/>
        <v>2.8739999999999997</v>
      </c>
      <c r="ACV39" s="46">
        <f t="shared" si="522"/>
        <v>1</v>
      </c>
      <c r="ACW39" s="46">
        <f t="shared" si="523"/>
        <v>2</v>
      </c>
      <c r="ACX39" s="46">
        <f t="shared" si="524"/>
        <v>0</v>
      </c>
      <c r="ACY39" s="46" cm="1">
        <f t="array" ref="ACY39">ROUNDDOWN(IFERROR(INDEX(ArchiveResults!$F$5:$IX$116,ComparisonData!A39,ComparisonData!$ACY$1),0),5)</f>
        <v>0</v>
      </c>
      <c r="ACZ39" s="46" cm="1">
        <f t="array" ref="ACZ39">ROUNDDOWN(IFERROR(INDEX(ArchiveResults!$F$5:$IX$116,ComparisonData!A39,ComparisonData!$ACZ$1),0),5)</f>
        <v>0</v>
      </c>
      <c r="ADA39" s="46" cm="1">
        <f t="array" ref="ADA39">ROUNDDOWN(IFERROR(INDEX(ArchiveResults!$F$5:$IX$116,ComparisonData!A39,ComparisonData!$ADA$1),0),5)</f>
        <v>0</v>
      </c>
      <c r="ADB39" s="56">
        <v>34</v>
      </c>
      <c r="ADC39" s="53" t="str">
        <f t="shared" si="638"/>
        <v>Heritage Quay - University of Huddersfield Archives</v>
      </c>
      <c r="ADD39" s="60">
        <f t="shared" si="525"/>
        <v>0</v>
      </c>
      <c r="ADE39" s="60">
        <f t="shared" si="526"/>
        <v>0</v>
      </c>
      <c r="ADF39" s="60">
        <f t="shared" si="527"/>
        <v>0</v>
      </c>
      <c r="ADG39" s="76">
        <f t="shared" si="528"/>
        <v>0</v>
      </c>
    </row>
    <row r="40" spans="1:787" x14ac:dyDescent="0.25">
      <c r="A40" s="46" t="str">
        <f>IF(ISBLANK(ComparisonSelection!F36),"",ROW()-5)</f>
        <v/>
      </c>
      <c r="B40" s="53" t="s">
        <v>489</v>
      </c>
      <c r="C40" s="72">
        <v>0.8889999999999999</v>
      </c>
      <c r="D40" s="55">
        <f t="shared" si="110"/>
        <v>90</v>
      </c>
      <c r="E40" s="54">
        <f t="shared" si="111"/>
        <v>2.8889999999999998</v>
      </c>
      <c r="F40" s="54">
        <f t="shared" si="529"/>
        <v>1</v>
      </c>
      <c r="G40" s="72">
        <f t="shared" si="112"/>
        <v>2</v>
      </c>
      <c r="H40" s="72">
        <f t="shared" si="113"/>
        <v>0</v>
      </c>
      <c r="I40" s="46" cm="1">
        <f t="array" ref="I40">ROUND(IFERROR(INDEX(ArchiveResults!$F$5:$IX$116,ComparisonData!A40,ComparisonData!$I$1),0),5)</f>
        <v>0</v>
      </c>
      <c r="J40" s="46" cm="1">
        <f t="array" ref="J40">ROUND(IFERROR(INDEX(ArchiveResults!$F$5:$IX$116,ComparisonData!A40,ComparisonData!$J$1),0),5)</f>
        <v>0</v>
      </c>
      <c r="K40" s="56">
        <v>35</v>
      </c>
      <c r="L40" s="53" t="str">
        <f t="shared" si="114"/>
        <v>Hertfordshire Archives and Local Studies</v>
      </c>
      <c r="M40" s="57">
        <f t="shared" si="530"/>
        <v>0</v>
      </c>
      <c r="N40" s="57">
        <f t="shared" si="531"/>
        <v>0</v>
      </c>
      <c r="O40" s="58">
        <f t="shared" si="115"/>
        <v>0</v>
      </c>
      <c r="P40" s="48">
        <f t="shared" si="116"/>
        <v>90</v>
      </c>
      <c r="Q40" s="54">
        <f t="shared" si="532"/>
        <v>2.8889999999999998</v>
      </c>
      <c r="R40" s="45">
        <f t="shared" si="117"/>
        <v>1</v>
      </c>
      <c r="S40" s="46">
        <f t="shared" si="118"/>
        <v>2</v>
      </c>
      <c r="T40" s="72">
        <f t="shared" si="119"/>
        <v>0</v>
      </c>
      <c r="U40" s="46" cm="1">
        <f t="array" ref="U40">ROUND(IFERROR(INDEX(ArchiveResults!$F$5:$IX$116,ComparisonData!A40,ComparisonData!$U$1),0),5)</f>
        <v>0</v>
      </c>
      <c r="V40" s="46" cm="1">
        <f t="array" ref="V40">ROUND(IFERROR(INDEX(ArchiveResults!$F$5:$IX$116,ComparisonData!A40,ComparisonData!$V$1),0),5)</f>
        <v>0</v>
      </c>
      <c r="W40" s="56">
        <v>35</v>
      </c>
      <c r="X40" s="53" t="str">
        <f t="shared" si="533"/>
        <v>Hertfordshire Archives and Local Studies</v>
      </c>
      <c r="Y40" s="57">
        <f t="shared" si="120"/>
        <v>0</v>
      </c>
      <c r="Z40" s="57">
        <f t="shared" si="121"/>
        <v>0</v>
      </c>
      <c r="AA40" s="58">
        <f t="shared" si="122"/>
        <v>0</v>
      </c>
      <c r="AB40" s="45">
        <f t="shared" si="123"/>
        <v>90</v>
      </c>
      <c r="AC40" s="54">
        <f t="shared" si="534"/>
        <v>2.8889999999999998</v>
      </c>
      <c r="AD40" s="45">
        <f t="shared" si="124"/>
        <v>1</v>
      </c>
      <c r="AE40" s="45">
        <f t="shared" si="125"/>
        <v>2</v>
      </c>
      <c r="AF40" s="45">
        <f t="shared" si="126"/>
        <v>0</v>
      </c>
      <c r="AG40" s="46" cm="1">
        <f t="array" ref="AG40">ROUND(IFERROR(INDEX(ArchiveResults!$F$5:$IX$116,ComparisonData!A40,ComparisonData!$AG$1),0),5)</f>
        <v>0</v>
      </c>
      <c r="AH40" s="46" cm="1">
        <f t="array" ref="AH40">ROUND(IFERROR(INDEX(ArchiveResults!$F$5:$IX$116,ComparisonData!A40,ComparisonData!$AH$1),0),5)</f>
        <v>0</v>
      </c>
      <c r="AI40" s="56">
        <v>35</v>
      </c>
      <c r="AJ40" s="53" t="str">
        <f t="shared" si="535"/>
        <v>Hertfordshire Archives and Local Studies</v>
      </c>
      <c r="AK40" s="59">
        <f t="shared" si="536"/>
        <v>0</v>
      </c>
      <c r="AL40" s="59">
        <f t="shared" si="537"/>
        <v>0</v>
      </c>
      <c r="AM40" s="58">
        <f t="shared" si="127"/>
        <v>0</v>
      </c>
      <c r="AN40" s="45">
        <f t="shared" si="128"/>
        <v>90</v>
      </c>
      <c r="AO40" s="54">
        <f t="shared" si="538"/>
        <v>2.8889999999999998</v>
      </c>
      <c r="AP40" s="45">
        <f t="shared" si="129"/>
        <v>1</v>
      </c>
      <c r="AQ40" s="45">
        <f t="shared" si="130"/>
        <v>2</v>
      </c>
      <c r="AR40" s="46" cm="1">
        <f t="array" ref="AR40">ROUND(IFERROR(INDEX(ArchiveResults!$F$5:$IX$116,ComparisonData!A40,ComparisonData!$AR$1),0),5)</f>
        <v>0</v>
      </c>
      <c r="AS40" s="46" cm="1">
        <f t="array" ref="AS40">ROUND(IFERROR(INDEX(ArchiveResults!$F$5:$IX$116,ComparisonData!A40,ComparisonData!$AS$1),0),5)</f>
        <v>0</v>
      </c>
      <c r="AT40" s="46" cm="1">
        <f t="array" ref="AT40">ROUND(IFERROR(INDEX(ArchiveResults!$F$5:$IX$116,ComparisonData!A40,ComparisonData!$AT$1),0),5)</f>
        <v>0</v>
      </c>
      <c r="AU40" s="46" cm="1">
        <f t="array" ref="AU40">ROUND(IFERROR(INDEX(ArchiveResults!$F$5:$IX$116,ComparisonData!A40,ComparisonData!$AU$1),0),5)</f>
        <v>0</v>
      </c>
      <c r="AV40" s="46" cm="1">
        <f t="array" ref="AV40">ROUND(IFERROR(INDEX(ArchiveResults!$F$5:$IX$116,ComparisonData!A40,ComparisonData!$AV$1),0),5)</f>
        <v>0</v>
      </c>
      <c r="AW40" s="46" cm="1">
        <f t="array" ref="AW40">ROUND(IFERROR(INDEX(ArchiveResults!$F$5:$IX$116,ComparisonData!A40,ComparisonData!$AW$1),0),5)</f>
        <v>0</v>
      </c>
      <c r="AX40" s="46" cm="1">
        <f t="array" ref="AX40">ROUND(IFERROR(INDEX(ArchiveResults!$F$5:$IX$116,ComparisonData!A40,ComparisonData!$AX$1),0),5)</f>
        <v>0</v>
      </c>
      <c r="AY40" s="46" cm="1">
        <f t="array" ref="AY40">ROUND(IFERROR(INDEX(ArchiveResults!$F$5:$IX$116,ComparisonData!A40,ComparisonData!$AY$1),0),5)</f>
        <v>0</v>
      </c>
      <c r="AZ40" s="46" cm="1">
        <f t="array" ref="AZ40">ROUND(IFERROR(INDEX(ArchiveResults!$F$5:$IX$116,ComparisonData!A40,ComparisonData!$AZ$1),0),5)</f>
        <v>0</v>
      </c>
      <c r="BA40" s="46" cm="1">
        <f t="array" ref="BA40">ROUND(IFERROR(INDEX(ArchiveResults!$F$5:$IX$116,ComparisonData!A40,ComparisonData!$BA$1),0),5)</f>
        <v>0</v>
      </c>
      <c r="BB40" s="56">
        <v>35</v>
      </c>
      <c r="BC40" s="53" t="str">
        <f t="shared" si="539"/>
        <v>Hertfordshire Archives and Local Studies</v>
      </c>
      <c r="BD40" s="60">
        <f t="shared" si="131"/>
        <v>0</v>
      </c>
      <c r="BE40" s="60">
        <f t="shared" si="132"/>
        <v>0</v>
      </c>
      <c r="BF40" s="60">
        <f t="shared" si="133"/>
        <v>0</v>
      </c>
      <c r="BG40" s="60">
        <f t="shared" si="134"/>
        <v>0</v>
      </c>
      <c r="BH40" s="60">
        <f t="shared" si="135"/>
        <v>0</v>
      </c>
      <c r="BI40" s="60">
        <f t="shared" si="136"/>
        <v>0</v>
      </c>
      <c r="BJ40" s="60">
        <f t="shared" si="137"/>
        <v>0</v>
      </c>
      <c r="BK40" s="60">
        <f t="shared" si="138"/>
        <v>0</v>
      </c>
      <c r="BL40" s="60">
        <f t="shared" si="139"/>
        <v>0</v>
      </c>
      <c r="BM40" s="59">
        <f t="shared" si="140"/>
        <v>0</v>
      </c>
      <c r="BN40" s="58">
        <f t="shared" si="141"/>
        <v>0</v>
      </c>
      <c r="BO40" s="45">
        <f t="shared" si="142"/>
        <v>90</v>
      </c>
      <c r="BP40" s="54">
        <f t="shared" si="540"/>
        <v>2.8889999999999998</v>
      </c>
      <c r="BQ40" s="45">
        <f t="shared" si="143"/>
        <v>1</v>
      </c>
      <c r="BR40" s="45">
        <f t="shared" si="144"/>
        <v>2</v>
      </c>
      <c r="BS40" s="46" cm="1">
        <f t="array" ref="BS40">ROUND(IFERROR(INDEX(ArchiveResults!$F$5:$IX$116,ComparisonData!A40,ComparisonData!$BS$1),0),5)</f>
        <v>0</v>
      </c>
      <c r="BT40" s="46" cm="1">
        <f t="array" ref="BT40">ROUND(IFERROR(INDEX(ArchiveResults!$F$5:$IX$116,ComparisonData!A40,ComparisonData!$BT$1),0),5)</f>
        <v>0</v>
      </c>
      <c r="BU40" s="46" cm="1">
        <f t="array" ref="BU40">ROUND(IFERROR(INDEX(ArchiveResults!$F$5:$IX$116,ComparisonData!A40,ComparisonData!$BU$1),0),5)</f>
        <v>0</v>
      </c>
      <c r="BV40" s="46" cm="1">
        <f t="array" ref="BV40">ROUND(IFERROR(INDEX(ArchiveResults!$F$5:$IX$116,ComparisonData!A40,ComparisonData!$BV$1),0),5)</f>
        <v>0</v>
      </c>
      <c r="BW40" s="46" cm="1">
        <f t="array" ref="BW40">ROUND(IFERROR(INDEX(ArchiveResults!$F$5:$IX$116,ComparisonData!A40,ComparisonData!$BW$1),0),5)</f>
        <v>0</v>
      </c>
      <c r="BX40" s="46" cm="1">
        <f t="array" ref="BX40">ROUND(IFERROR(INDEX(ArchiveResults!$F$5:$IX$116,ComparisonData!A40,ComparisonData!$BX$1),0),5)</f>
        <v>0</v>
      </c>
      <c r="BY40" s="56">
        <v>35</v>
      </c>
      <c r="BZ40" s="53" t="str">
        <f t="shared" si="541"/>
        <v>Hertfordshire Archives and Local Studies</v>
      </c>
      <c r="CA40" s="59">
        <f t="shared" si="145"/>
        <v>0</v>
      </c>
      <c r="CB40" s="59">
        <f t="shared" si="146"/>
        <v>0</v>
      </c>
      <c r="CC40" s="59">
        <f t="shared" si="147"/>
        <v>0</v>
      </c>
      <c r="CD40" s="59">
        <f t="shared" si="148"/>
        <v>0</v>
      </c>
      <c r="CE40" s="59">
        <f t="shared" si="149"/>
        <v>0</v>
      </c>
      <c r="CF40" s="59">
        <f t="shared" si="150"/>
        <v>0</v>
      </c>
      <c r="CG40" s="58">
        <f t="shared" si="151"/>
        <v>0</v>
      </c>
      <c r="CH40" s="45">
        <f t="shared" si="152"/>
        <v>90</v>
      </c>
      <c r="CI40" s="54">
        <f t="shared" si="542"/>
        <v>2.8889999999999998</v>
      </c>
      <c r="CJ40" s="45">
        <f t="shared" si="153"/>
        <v>1</v>
      </c>
      <c r="CK40" s="45">
        <f t="shared" si="154"/>
        <v>2</v>
      </c>
      <c r="CL40" s="46" cm="1">
        <f t="array" ref="CL40">ROUND(IFERROR(INDEX(ArchiveResults!$F$5:$IX$116,ComparisonData!A40,ComparisonData!$CL$1),0),5)</f>
        <v>0</v>
      </c>
      <c r="CM40" s="56">
        <v>35</v>
      </c>
      <c r="CN40" s="53" t="str">
        <f t="shared" si="543"/>
        <v>Hertfordshire Archives and Local Studies</v>
      </c>
      <c r="CO40" s="45">
        <f t="shared" si="155"/>
        <v>0</v>
      </c>
      <c r="CP40" s="58">
        <f t="shared" si="156"/>
        <v>0</v>
      </c>
      <c r="CQ40" s="45">
        <f t="shared" si="157"/>
        <v>90</v>
      </c>
      <c r="CR40" s="54">
        <f t="shared" si="544"/>
        <v>2.8889999999999998</v>
      </c>
      <c r="CS40" s="45">
        <f t="shared" si="158"/>
        <v>1</v>
      </c>
      <c r="CT40" s="45">
        <f t="shared" si="159"/>
        <v>2</v>
      </c>
      <c r="CU40" s="46" cm="1">
        <f t="array" ref="CU40">ROUND(IFERROR(INDEX(ArchiveResults!$F$5:$IX$116,ComparisonData!A40,ComparisonData!$CU$1),0),5)</f>
        <v>0</v>
      </c>
      <c r="CV40" s="56">
        <v>35</v>
      </c>
      <c r="CW40" s="53" t="str">
        <f t="shared" si="545"/>
        <v>Hertfordshire Archives and Local Studies</v>
      </c>
      <c r="CX40" s="45">
        <f t="shared" si="160"/>
        <v>0</v>
      </c>
      <c r="CY40" s="58">
        <f t="shared" si="161"/>
        <v>0</v>
      </c>
      <c r="CZ40" s="45">
        <f t="shared" si="162"/>
        <v>90</v>
      </c>
      <c r="DA40" s="54">
        <f t="shared" si="546"/>
        <v>2.8889999999999998</v>
      </c>
      <c r="DB40" s="45">
        <f t="shared" si="163"/>
        <v>1</v>
      </c>
      <c r="DC40" s="45">
        <f t="shared" si="164"/>
        <v>2</v>
      </c>
      <c r="DD40" s="46" cm="1">
        <f t="array" ref="DD40">ROUND(IFERROR(INDEX(ArchiveResults!$F$5:$IX$116,ComparisonData!A40,ComparisonData!$DD$1),0),5)</f>
        <v>0</v>
      </c>
      <c r="DE40" s="56">
        <v>35</v>
      </c>
      <c r="DF40" s="53" t="str">
        <f t="shared" si="547"/>
        <v>Hertfordshire Archives and Local Studies</v>
      </c>
      <c r="DG40" s="45">
        <f t="shared" si="165"/>
        <v>0</v>
      </c>
      <c r="DH40" s="58">
        <f t="shared" si="166"/>
        <v>0</v>
      </c>
      <c r="DI40" s="45">
        <f t="shared" si="167"/>
        <v>90</v>
      </c>
      <c r="DJ40" s="54">
        <f t="shared" si="548"/>
        <v>2.8889999999999998</v>
      </c>
      <c r="DK40" s="45">
        <f t="shared" si="168"/>
        <v>1</v>
      </c>
      <c r="DL40" s="45">
        <f t="shared" si="169"/>
        <v>2</v>
      </c>
      <c r="DM40" s="46" cm="1">
        <f t="array" ref="DM40">ROUND(IFERROR(INDEX(ArchiveResults!$F$5:$IX$116,ComparisonData!A40,ComparisonData!$DM$1),0),5)</f>
        <v>0</v>
      </c>
      <c r="DN40" s="46" cm="1">
        <f t="array" ref="DN40">ROUND(IFERROR(INDEX(ArchiveResults!$F$5:$IX$116,ComparisonData!A40,ComparisonData!$DN$1),0),5)</f>
        <v>0</v>
      </c>
      <c r="DO40" s="46" cm="1">
        <f t="array" ref="DO40">ROUND(IFERROR(INDEX(ArchiveResults!$F$5:$IX$116,ComparisonData!A40,ComparisonData!$DO$1),0),5)</f>
        <v>0</v>
      </c>
      <c r="DP40" s="46" cm="1">
        <f t="array" ref="DP40">ROUND(IFERROR(INDEX(ArchiveResults!$F$5:$IX$116,ComparisonData!A40,ComparisonData!$DP$1),0),5)</f>
        <v>0</v>
      </c>
      <c r="DQ40" s="45" cm="1">
        <f t="array" ref="DQ40">IFERROR(INDEX(ArchiveResults!$F$5:$IX$116,ComparisonData!A40,ComparisonData!$DQ$1),0)</f>
        <v>0</v>
      </c>
      <c r="DR40" s="56">
        <v>35</v>
      </c>
      <c r="DS40" s="53" t="str">
        <f t="shared" si="549"/>
        <v>Hertfordshire Archives and Local Studies</v>
      </c>
      <c r="DT40" s="59">
        <f t="shared" si="170"/>
        <v>0</v>
      </c>
      <c r="DU40" s="59">
        <f t="shared" si="171"/>
        <v>0</v>
      </c>
      <c r="DV40" s="59">
        <f t="shared" si="172"/>
        <v>0</v>
      </c>
      <c r="DW40" s="59">
        <f t="shared" si="173"/>
        <v>0</v>
      </c>
      <c r="DX40" s="59">
        <f t="shared" si="174"/>
        <v>0</v>
      </c>
      <c r="DY40" s="58">
        <f t="shared" si="175"/>
        <v>0</v>
      </c>
      <c r="DZ40" s="45">
        <f t="shared" si="176"/>
        <v>90</v>
      </c>
      <c r="EA40" s="54">
        <f t="shared" si="550"/>
        <v>2.8889999999999998</v>
      </c>
      <c r="EB40" s="45">
        <f t="shared" si="177"/>
        <v>1</v>
      </c>
      <c r="EC40" s="45">
        <f t="shared" si="178"/>
        <v>2</v>
      </c>
      <c r="ED40" s="46" cm="1">
        <f t="array" ref="ED40">ROUND(IFERROR(INDEX(ArchiveResults!$F$5:$IX$116,ComparisonData!A40,ComparisonData!$ED$1),0),5)</f>
        <v>0</v>
      </c>
      <c r="EE40" s="46" cm="1">
        <f t="array" ref="EE40">ROUND(IFERROR(INDEX(ArchiveResults!$F$5:$IX$116,ComparisonData!A40,ComparisonData!$EE$1),0),5)</f>
        <v>0</v>
      </c>
      <c r="EF40" s="46" cm="1">
        <f t="array" ref="EF40">ROUND(IFERROR(INDEX(ArchiveResults!$F$5:$IX$116,ComparisonData!A40,ComparisonData!$EF$1),0),5)</f>
        <v>0</v>
      </c>
      <c r="EG40" s="46" cm="1">
        <f t="array" ref="EG40">ROUND(IFERROR(INDEX(ArchiveResults!$F$5:$IX$116,ComparisonData!A40,ComparisonData!$EG$1),0),5)</f>
        <v>0</v>
      </c>
      <c r="EH40" s="45" cm="1">
        <f t="array" ref="EH40">IFERROR(INDEX(ArchiveResults!$F$5:$IX$116,ComparisonData!A40,ComparisonData!$EH$1),0)</f>
        <v>0</v>
      </c>
      <c r="EI40" s="56">
        <v>35</v>
      </c>
      <c r="EJ40" s="53" t="str">
        <f t="shared" si="551"/>
        <v>Hertfordshire Archives and Local Studies</v>
      </c>
      <c r="EK40" s="59">
        <f t="shared" si="179"/>
        <v>0</v>
      </c>
      <c r="EL40" s="59">
        <f t="shared" si="180"/>
        <v>0</v>
      </c>
      <c r="EM40" s="59">
        <f t="shared" si="181"/>
        <v>0</v>
      </c>
      <c r="EN40" s="59">
        <f t="shared" si="182"/>
        <v>0</v>
      </c>
      <c r="EO40" s="59">
        <f t="shared" si="183"/>
        <v>0</v>
      </c>
      <c r="EP40" s="58">
        <f t="shared" si="184"/>
        <v>0</v>
      </c>
      <c r="EQ40" s="45">
        <f t="shared" si="185"/>
        <v>90</v>
      </c>
      <c r="ER40" s="54">
        <f t="shared" si="552"/>
        <v>2.8889999999999998</v>
      </c>
      <c r="ES40" s="45">
        <f t="shared" si="186"/>
        <v>1</v>
      </c>
      <c r="ET40" s="45">
        <f t="shared" si="187"/>
        <v>2</v>
      </c>
      <c r="EU40" s="46" cm="1">
        <f t="array" ref="EU40">ROUND(IFERROR(INDEX(ArchiveResults!$F$5:$IX$116,ComparisonData!A40,ComparisonData!$EU$1),0),5)</f>
        <v>0</v>
      </c>
      <c r="EV40" s="46" cm="1">
        <f t="array" ref="EV40">ROUND(IFERROR(INDEX(ArchiveResults!$F$5:$IX$116,ComparisonData!A40,ComparisonData!$EV$1),0),5)</f>
        <v>0</v>
      </c>
      <c r="EW40" s="46" cm="1">
        <f t="array" ref="EW40">ROUND(IFERROR(INDEX(ArchiveResults!$F$5:$IX$116,ComparisonData!A40,ComparisonData!$EW$1),0),5)</f>
        <v>0</v>
      </c>
      <c r="EX40" s="46" cm="1">
        <f t="array" ref="EX40">ROUND(IFERROR(INDEX(ArchiveResults!$F$5:$IX$116,ComparisonData!A40,ComparisonData!$EX$1),0),5)</f>
        <v>0</v>
      </c>
      <c r="EY40" s="45" cm="1">
        <f t="array" ref="EY40">IFERROR(INDEX(ArchiveResults!$F$5:$IX$116,ComparisonData!A40,ComparisonData!$EY$1),0)</f>
        <v>0</v>
      </c>
      <c r="EZ40" s="56">
        <v>35</v>
      </c>
      <c r="FA40" s="53" t="str">
        <f t="shared" si="553"/>
        <v>Hertfordshire Archives and Local Studies</v>
      </c>
      <c r="FB40" s="59">
        <f t="shared" si="188"/>
        <v>0</v>
      </c>
      <c r="FC40" s="59">
        <f t="shared" si="189"/>
        <v>0</v>
      </c>
      <c r="FD40" s="59">
        <f t="shared" si="190"/>
        <v>0</v>
      </c>
      <c r="FE40" s="59">
        <f t="shared" si="191"/>
        <v>0</v>
      </c>
      <c r="FF40" s="59">
        <f t="shared" si="192"/>
        <v>0</v>
      </c>
      <c r="FG40" s="58">
        <f t="shared" si="193"/>
        <v>0</v>
      </c>
      <c r="FH40" s="45">
        <f t="shared" si="194"/>
        <v>90</v>
      </c>
      <c r="FI40" s="54">
        <f t="shared" si="554"/>
        <v>2.8889999999999998</v>
      </c>
      <c r="FJ40" s="45">
        <f t="shared" si="195"/>
        <v>1</v>
      </c>
      <c r="FK40" s="45">
        <f t="shared" si="196"/>
        <v>2</v>
      </c>
      <c r="FL40" s="46" cm="1">
        <f t="array" ref="FL40">ROUND(IFERROR(INDEX(ArchiveResults!$F$5:$IX$116,ComparisonData!A40,ComparisonData!$FL$1),0),5)</f>
        <v>0</v>
      </c>
      <c r="FM40" s="46" cm="1">
        <f t="array" ref="FM40">ROUND(IFERROR(INDEX(ArchiveResults!$F$5:$IX$116,ComparisonData!A40,ComparisonData!$FM$1),0),5)</f>
        <v>0</v>
      </c>
      <c r="FN40" s="46" cm="1">
        <f t="array" ref="FN40">ROUND(IFERROR(INDEX(ArchiveResults!$F$5:$IX$116,ComparisonData!A40,ComparisonData!$FN$1),0),5)</f>
        <v>0</v>
      </c>
      <c r="FO40" s="46" cm="1">
        <f t="array" ref="FO40">ROUND(IFERROR(INDEX(ArchiveResults!$F$5:$IX$116,ComparisonData!A40,ComparisonData!$FO$1),0),5)</f>
        <v>0</v>
      </c>
      <c r="FP40" s="45" cm="1">
        <f t="array" ref="FP40">IFERROR(INDEX(ArchiveResults!$F$5:$IX$116,ComparisonData!A40,ComparisonData!$FP$1),0)</f>
        <v>0</v>
      </c>
      <c r="FQ40" s="56">
        <v>35</v>
      </c>
      <c r="FR40" s="53" t="str">
        <f t="shared" si="555"/>
        <v>Hertfordshire Archives and Local Studies</v>
      </c>
      <c r="FS40" s="59">
        <f t="shared" si="197"/>
        <v>0</v>
      </c>
      <c r="FT40" s="59">
        <f t="shared" si="198"/>
        <v>0</v>
      </c>
      <c r="FU40" s="59">
        <f t="shared" si="199"/>
        <v>0</v>
      </c>
      <c r="FV40" s="59">
        <f t="shared" si="200"/>
        <v>0</v>
      </c>
      <c r="FW40" s="59">
        <f t="shared" si="201"/>
        <v>0</v>
      </c>
      <c r="FX40" s="58">
        <f t="shared" si="202"/>
        <v>0</v>
      </c>
      <c r="FY40" s="45">
        <f t="shared" si="203"/>
        <v>90</v>
      </c>
      <c r="FZ40" s="45">
        <f t="shared" si="556"/>
        <v>2.8889999999999998</v>
      </c>
      <c r="GA40" s="45">
        <f t="shared" si="204"/>
        <v>1</v>
      </c>
      <c r="GB40" s="45">
        <f t="shared" si="205"/>
        <v>2</v>
      </c>
      <c r="GC40" s="46" cm="1">
        <f t="array" ref="GC40">ROUND(IFERROR(INDEX(ArchiveResults!$F$5:$IX$116,ComparisonData!A40,ComparisonData!$GC$1),0),5)</f>
        <v>0</v>
      </c>
      <c r="GD40" s="46" cm="1">
        <f t="array" ref="GD40">ROUND(IFERROR(INDEX(ArchiveResults!$F$5:$IX$116,ComparisonData!A40,ComparisonData!$GD$1),0),5)</f>
        <v>0</v>
      </c>
      <c r="GE40" s="46" cm="1">
        <f t="array" ref="GE40">ROUND(IFERROR(INDEX(ArchiveResults!$F$5:$IX$116,ComparisonData!A40,ComparisonData!$GE$1),0),5)</f>
        <v>0</v>
      </c>
      <c r="GF40" s="46" cm="1">
        <f t="array" ref="GF40">ROUND(IFERROR(INDEX(ArchiveResults!$F$5:$IX$116,ComparisonData!A40,ComparisonData!$GF$1),0),5)</f>
        <v>0</v>
      </c>
      <c r="GG40" s="45" cm="1">
        <f t="array" ref="GG40">IFERROR(INDEX(ArchiveResults!$F$5:$IX$116,ComparisonData!A40,ComparisonData!$GG$1),0)</f>
        <v>0</v>
      </c>
      <c r="GH40" s="56">
        <v>35</v>
      </c>
      <c r="GI40" s="53" t="str">
        <f t="shared" si="557"/>
        <v>Hertfordshire Archives and Local Studies</v>
      </c>
      <c r="GJ40" s="59">
        <f t="shared" si="206"/>
        <v>0</v>
      </c>
      <c r="GK40" s="59">
        <f t="shared" si="207"/>
        <v>0</v>
      </c>
      <c r="GL40" s="59">
        <f t="shared" si="208"/>
        <v>0</v>
      </c>
      <c r="GM40" s="59">
        <f t="shared" si="209"/>
        <v>0</v>
      </c>
      <c r="GN40" s="59">
        <f t="shared" si="210"/>
        <v>0</v>
      </c>
      <c r="GO40" s="58">
        <f t="shared" si="211"/>
        <v>0</v>
      </c>
      <c r="GP40" s="45">
        <f t="shared" si="212"/>
        <v>90</v>
      </c>
      <c r="GQ40" s="45">
        <f t="shared" si="558"/>
        <v>2.8889999999999998</v>
      </c>
      <c r="GR40" s="45">
        <f t="shared" si="213"/>
        <v>1</v>
      </c>
      <c r="GS40" s="45">
        <f t="shared" si="214"/>
        <v>2</v>
      </c>
      <c r="GT40" s="46" cm="1">
        <f t="array" ref="GT40">ROUND(IFERROR(INDEX(ArchiveResults!$F$5:$IX$116,ComparisonData!A40,ComparisonData!$GT$1),0),5)</f>
        <v>0</v>
      </c>
      <c r="GU40" s="46" cm="1">
        <f t="array" ref="GU40">ROUND(IFERROR(INDEX(ArchiveResults!$F$5:$IX$116,ComparisonData!A40,ComparisonData!$GU$1),0),5)</f>
        <v>0</v>
      </c>
      <c r="GV40" s="46" cm="1">
        <f t="array" ref="GV40">ROUND(IFERROR(INDEX(ArchiveResults!$F$5:$IX$116,ComparisonData!A40,ComparisonData!$GV$1),0),5)</f>
        <v>0</v>
      </c>
      <c r="GW40" s="46" cm="1">
        <f t="array" ref="GW40">ROUND(IFERROR(INDEX(ArchiveResults!$F$5:$IX$116,ComparisonData!A40,ComparisonData!$GW$1),0),5)</f>
        <v>0</v>
      </c>
      <c r="GX40" s="45" cm="1">
        <f t="array" ref="GX40">IFERROR(INDEX(ArchiveResults!$F$5:$IX$116,ComparisonData!A40,ComparisonData!$GX$1),0)</f>
        <v>0</v>
      </c>
      <c r="GY40" s="56">
        <v>35</v>
      </c>
      <c r="GZ40" s="53" t="str">
        <f t="shared" si="559"/>
        <v>Hertfordshire Archives and Local Studies</v>
      </c>
      <c r="HA40" s="59">
        <f t="shared" si="215"/>
        <v>0</v>
      </c>
      <c r="HB40" s="59">
        <f t="shared" si="216"/>
        <v>0</v>
      </c>
      <c r="HC40" s="59">
        <f t="shared" si="217"/>
        <v>0</v>
      </c>
      <c r="HD40" s="59">
        <f t="shared" si="218"/>
        <v>0</v>
      </c>
      <c r="HE40" s="59">
        <f t="shared" si="219"/>
        <v>0</v>
      </c>
      <c r="HF40" s="58">
        <f t="shared" si="220"/>
        <v>0</v>
      </c>
      <c r="HG40" s="45">
        <f t="shared" si="221"/>
        <v>90</v>
      </c>
      <c r="HH40" s="45">
        <f t="shared" si="560"/>
        <v>2.8889999999999998</v>
      </c>
      <c r="HI40" s="45">
        <f t="shared" si="222"/>
        <v>1</v>
      </c>
      <c r="HJ40" s="45">
        <f t="shared" si="223"/>
        <v>2</v>
      </c>
      <c r="HK40" s="46" cm="1">
        <f t="array" ref="HK40">ROUND(IFERROR(INDEX(ArchiveResults!$F$5:$IX$116,ComparisonData!A40,ComparisonData!$HK$1),0),5)</f>
        <v>0</v>
      </c>
      <c r="HL40" s="46" cm="1">
        <f t="array" ref="HL40">ROUND(IFERROR(INDEX(ArchiveResults!$F$5:$IX$116,ComparisonData!A40,ComparisonData!$HL$1),0),5)</f>
        <v>0</v>
      </c>
      <c r="HM40" s="46" cm="1">
        <f t="array" ref="HM40">ROUND(IFERROR(INDEX(ArchiveResults!$F$5:$IX$116,ComparisonData!A40,ComparisonData!$HM$1),0),5)</f>
        <v>0</v>
      </c>
      <c r="HN40" s="46" cm="1">
        <f t="array" ref="HN40">ROUND(IFERROR(INDEX(ArchiveResults!$F$5:$IX$116,ComparisonData!A40,ComparisonData!$HN$1),0),5)</f>
        <v>0</v>
      </c>
      <c r="HO40" s="45" cm="1">
        <f t="array" ref="HO40">IFERROR(INDEX(ArchiveResults!$F$5:$IX$116,ComparisonData!A40,ComparisonData!$HO$1),0)</f>
        <v>0</v>
      </c>
      <c r="HP40" s="56">
        <v>35</v>
      </c>
      <c r="HQ40" s="53" t="str">
        <f t="shared" si="561"/>
        <v>Hertfordshire Archives and Local Studies</v>
      </c>
      <c r="HR40" s="59">
        <f t="shared" si="562"/>
        <v>0</v>
      </c>
      <c r="HS40" s="59">
        <f t="shared" si="563"/>
        <v>0</v>
      </c>
      <c r="HT40" s="59">
        <f t="shared" si="564"/>
        <v>0</v>
      </c>
      <c r="HU40" s="59">
        <f t="shared" si="565"/>
        <v>0</v>
      </c>
      <c r="HV40" s="59">
        <f t="shared" si="566"/>
        <v>0</v>
      </c>
      <c r="HW40" s="58">
        <f t="shared" si="224"/>
        <v>0</v>
      </c>
      <c r="HX40" s="45">
        <f t="shared" si="225"/>
        <v>90</v>
      </c>
      <c r="HY40" s="45">
        <f t="shared" si="567"/>
        <v>2.8889999999999998</v>
      </c>
      <c r="HZ40" s="45">
        <f t="shared" si="226"/>
        <v>1</v>
      </c>
      <c r="IA40" s="45">
        <f t="shared" si="227"/>
        <v>2</v>
      </c>
      <c r="IB40" s="45">
        <f t="shared" si="228"/>
        <v>0</v>
      </c>
      <c r="IC40" s="46" cm="1">
        <f t="array" ref="IC40">ROUND(IFERROR(INDEX(ArchiveResults!$F$5:$IX$116,ComparisonData!A40,ComparisonData!$IC$1),0),5)</f>
        <v>0</v>
      </c>
      <c r="ID40" s="46" cm="1">
        <f t="array" ref="ID40">ROUND(IFERROR(INDEX(ArchiveResults!$F$5:$IX$116,ComparisonData!A40,ComparisonData!$ID$1),0),5)</f>
        <v>0</v>
      </c>
      <c r="IE40" s="46" cm="1">
        <f t="array" ref="IE40">ROUND(IFERROR(INDEX(ArchiveResults!$F$5:$IX$116,ComparisonData!A40,ComparisonData!$IE$1),0),5)</f>
        <v>0</v>
      </c>
      <c r="IF40" s="46" cm="1">
        <f t="array" ref="IF40">ROUND(IFERROR(INDEX(ArchiveResults!$F$5:$IX$116,ComparisonData!A40,ComparisonData!$IF$1),0),5)</f>
        <v>0</v>
      </c>
      <c r="IG40" s="45" cm="1">
        <f t="array" ref="IG40">IFERROR(INDEX(ArchiveResults!$F$5:$IX$116,ComparisonData!A40,ComparisonData!$IG$1),0)</f>
        <v>0</v>
      </c>
      <c r="IH40" s="56">
        <v>35</v>
      </c>
      <c r="II40" s="53" t="str">
        <f t="shared" si="568"/>
        <v>Hertfordshire Archives and Local Studies</v>
      </c>
      <c r="IJ40" s="59">
        <f t="shared" si="229"/>
        <v>0</v>
      </c>
      <c r="IK40" s="59">
        <f t="shared" si="230"/>
        <v>0</v>
      </c>
      <c r="IL40" s="59">
        <f t="shared" si="231"/>
        <v>0</v>
      </c>
      <c r="IM40" s="59">
        <f t="shared" si="232"/>
        <v>0</v>
      </c>
      <c r="IN40" s="59">
        <f t="shared" si="233"/>
        <v>0</v>
      </c>
      <c r="IO40" s="58">
        <f t="shared" si="234"/>
        <v>0</v>
      </c>
      <c r="IP40" s="45">
        <f t="shared" si="235"/>
        <v>90</v>
      </c>
      <c r="IQ40" s="45">
        <f t="shared" si="569"/>
        <v>2.8889999999999998</v>
      </c>
      <c r="IR40" s="45">
        <f t="shared" si="236"/>
        <v>1</v>
      </c>
      <c r="IS40" s="45">
        <f t="shared" si="237"/>
        <v>2</v>
      </c>
      <c r="IT40" s="46">
        <f t="shared" si="238"/>
        <v>0</v>
      </c>
      <c r="IU40" s="46" cm="1">
        <f t="array" ref="IU40">ROUND(IFERROR(INDEX(ArchiveResults!$F$5:$IX$116,ComparisonData!A40,ComparisonData!$IU$1),0),5)</f>
        <v>0</v>
      </c>
      <c r="IV40" s="46" cm="1">
        <f t="array" ref="IV40">ROUND(IFERROR(INDEX(ArchiveResults!$F$5:$IX$116,ComparisonData!A40,ComparisonData!$IV$1),0),5)</f>
        <v>0</v>
      </c>
      <c r="IW40" s="46" cm="1">
        <f t="array" ref="IW40">ROUND(IFERROR(INDEX(ArchiveResults!$F$5:$IX$116,ComparisonData!A40,ComparisonData!$IW$1),0),5)</f>
        <v>0</v>
      </c>
      <c r="IX40" s="46" cm="1">
        <f t="array" ref="IX40">ROUND(IFERROR(INDEX(ArchiveResults!$F$5:$IX$116,ComparisonData!A40,ComparisonData!$IX$1),0),5)</f>
        <v>0</v>
      </c>
      <c r="IY40" s="45" cm="1">
        <f t="array" ref="IY40">IFERROR(INDEX(ArchiveResults!$F$5:$IX$116,ComparisonData!A40,ComparisonData!$IY$1),0)</f>
        <v>0</v>
      </c>
      <c r="IZ40" s="56">
        <v>35</v>
      </c>
      <c r="JA40" s="53" t="str">
        <f t="shared" si="570"/>
        <v>Hertfordshire Archives and Local Studies</v>
      </c>
      <c r="JB40" s="59">
        <f t="shared" si="239"/>
        <v>0</v>
      </c>
      <c r="JC40" s="59">
        <f t="shared" si="240"/>
        <v>0</v>
      </c>
      <c r="JD40" s="59">
        <f t="shared" si="241"/>
        <v>0</v>
      </c>
      <c r="JE40" s="59">
        <f t="shared" si="242"/>
        <v>0</v>
      </c>
      <c r="JF40" s="59">
        <f t="shared" si="243"/>
        <v>0</v>
      </c>
      <c r="JG40" s="58">
        <f t="shared" si="244"/>
        <v>0</v>
      </c>
      <c r="JH40" s="45">
        <f t="shared" si="245"/>
        <v>90</v>
      </c>
      <c r="JI40" s="45">
        <f t="shared" si="571"/>
        <v>2.8889999999999998</v>
      </c>
      <c r="JJ40" s="45">
        <f t="shared" si="246"/>
        <v>1</v>
      </c>
      <c r="JK40" s="45">
        <f t="shared" si="247"/>
        <v>2</v>
      </c>
      <c r="JL40" s="45">
        <f t="shared" si="248"/>
        <v>0</v>
      </c>
      <c r="JM40" s="46" cm="1">
        <f t="array" ref="JM40">ROUND(IFERROR(INDEX(ArchiveResults!$F$5:$IX$116,ComparisonData!A40,ComparisonData!$JM$1),0),5)</f>
        <v>0</v>
      </c>
      <c r="JN40" s="46" cm="1">
        <f t="array" ref="JN40">ROUND(IFERROR(INDEX(ArchiveResults!$F$5:$IX$116,ComparisonData!A40,ComparisonData!$JN$1),0),5)</f>
        <v>0</v>
      </c>
      <c r="JO40" s="46" cm="1">
        <f t="array" ref="JO40">ROUND(IFERROR(INDEX(ArchiveResults!$F$5:$IX$116,ComparisonData!A40,ComparisonData!$JO$1),0),5)</f>
        <v>0</v>
      </c>
      <c r="JP40" s="46" cm="1">
        <f t="array" ref="JP40">ROUND(IFERROR(INDEX(ArchiveResults!$F$5:$IX$116,ComparisonData!A40,ComparisonData!$JP$1),0),5)</f>
        <v>0</v>
      </c>
      <c r="JQ40" s="45" cm="1">
        <f t="array" ref="JQ40">IFERROR(INDEX(ArchiveResults!$F$5:$IX$116,ComparisonData!A40,ComparisonData!$JQ$1),0)</f>
        <v>0</v>
      </c>
      <c r="JR40" s="56">
        <v>35</v>
      </c>
      <c r="JS40" s="53" t="str">
        <f t="shared" si="572"/>
        <v>Hertfordshire Archives and Local Studies</v>
      </c>
      <c r="JT40" s="59">
        <f t="shared" si="249"/>
        <v>0</v>
      </c>
      <c r="JU40" s="59">
        <f t="shared" si="250"/>
        <v>0</v>
      </c>
      <c r="JV40" s="59">
        <f t="shared" si="251"/>
        <v>0</v>
      </c>
      <c r="JW40" s="59">
        <f t="shared" si="252"/>
        <v>0</v>
      </c>
      <c r="JX40" s="59">
        <f t="shared" si="253"/>
        <v>0</v>
      </c>
      <c r="JY40" s="58">
        <f t="shared" si="254"/>
        <v>0</v>
      </c>
      <c r="JZ40" s="45">
        <f t="shared" si="255"/>
        <v>90</v>
      </c>
      <c r="KA40" s="45">
        <f t="shared" si="573"/>
        <v>2.8889999999999998</v>
      </c>
      <c r="KB40" s="45">
        <f t="shared" si="256"/>
        <v>1</v>
      </c>
      <c r="KC40" s="45">
        <f t="shared" si="257"/>
        <v>2</v>
      </c>
      <c r="KD40" s="45">
        <f t="shared" si="258"/>
        <v>0</v>
      </c>
      <c r="KE40" s="46" cm="1">
        <f t="array" ref="KE40">ROUND(IFERROR(INDEX(ArchiveResults!$F$5:$IX$116,ComparisonData!A40,ComparisonData!$KE$1),0),5)</f>
        <v>0</v>
      </c>
      <c r="KF40" s="46" cm="1">
        <f t="array" ref="KF40">ROUND(IFERROR(INDEX(ArchiveResults!$F$5:$IX$116,ComparisonData!A40,ComparisonData!$KF$1),0),5)</f>
        <v>0</v>
      </c>
      <c r="KG40" s="46" cm="1">
        <f t="array" ref="KG40">ROUND(IFERROR(INDEX(ArchiveResults!$F$5:$IX$116,ComparisonData!A40,ComparisonData!$KG$1),0),5)</f>
        <v>0</v>
      </c>
      <c r="KH40" s="46" cm="1">
        <f t="array" ref="KH40">ROUND(IFERROR(INDEX(ArchiveResults!$F$5:$IX$116,ComparisonData!A40,ComparisonData!$KH$1),0),5)</f>
        <v>0</v>
      </c>
      <c r="KI40" s="45" cm="1">
        <f t="array" ref="KI40">IFERROR(INDEX(ArchiveResults!$F$5:$IX$116,ComparisonData!A40,ComparisonData!$KI$1),0)</f>
        <v>0</v>
      </c>
      <c r="KJ40" s="56">
        <v>35</v>
      </c>
      <c r="KK40" s="53" t="str">
        <f t="shared" si="574"/>
        <v>Hertfordshire Archives and Local Studies</v>
      </c>
      <c r="KL40" s="59">
        <f t="shared" si="259"/>
        <v>0</v>
      </c>
      <c r="KM40" s="59">
        <f t="shared" si="260"/>
        <v>0</v>
      </c>
      <c r="KN40" s="59">
        <f t="shared" si="261"/>
        <v>0</v>
      </c>
      <c r="KO40" s="59">
        <f t="shared" si="262"/>
        <v>0</v>
      </c>
      <c r="KP40" s="59">
        <f t="shared" si="263"/>
        <v>0</v>
      </c>
      <c r="KQ40" s="58">
        <f t="shared" si="264"/>
        <v>0</v>
      </c>
      <c r="KR40" s="45">
        <f t="shared" si="265"/>
        <v>90</v>
      </c>
      <c r="KS40" s="45">
        <f t="shared" si="575"/>
        <v>2.8889999999999998</v>
      </c>
      <c r="KT40" s="45">
        <f t="shared" si="266"/>
        <v>1</v>
      </c>
      <c r="KU40" s="45">
        <f t="shared" si="267"/>
        <v>2</v>
      </c>
      <c r="KV40" s="45">
        <f t="shared" si="268"/>
        <v>0</v>
      </c>
      <c r="KW40" s="46" cm="1">
        <f t="array" ref="KW40">ROUND(IFERROR(INDEX(ArchiveResults!$F$5:$IX$116,ComparisonData!A40,ComparisonData!$KW$1),0),5)</f>
        <v>0</v>
      </c>
      <c r="KX40" s="46" cm="1">
        <f t="array" ref="KX40">ROUND(IFERROR(INDEX(ArchiveResults!$F$5:$IX$116,ComparisonData!A40,ComparisonData!$KX$1),0),5)</f>
        <v>0</v>
      </c>
      <c r="KY40" s="46" cm="1">
        <f t="array" ref="KY40">ROUND(IFERROR(INDEX(ArchiveResults!$F$5:$IX$116,ComparisonData!A40,ComparisonData!$KY$1),0),5)</f>
        <v>0</v>
      </c>
      <c r="KZ40" s="46" cm="1">
        <f t="array" ref="KZ40">ROUND(IFERROR(INDEX(ArchiveResults!$F$5:$IX$116,ComparisonData!A40,ComparisonData!$KZ$1),0),5)</f>
        <v>0</v>
      </c>
      <c r="LA40" s="45" cm="1">
        <f t="array" ref="LA40">IFERROR(INDEX(ArchiveResults!$F$5:$IX$116,ComparisonData!A40,ComparisonData!$LA$1),0)</f>
        <v>0</v>
      </c>
      <c r="LB40" s="56">
        <v>35</v>
      </c>
      <c r="LC40" s="53" t="str">
        <f t="shared" si="576"/>
        <v>Hertfordshire Archives and Local Studies</v>
      </c>
      <c r="LD40" s="59">
        <f t="shared" si="269"/>
        <v>0</v>
      </c>
      <c r="LE40" s="59">
        <f t="shared" si="270"/>
        <v>0</v>
      </c>
      <c r="LF40" s="59">
        <f t="shared" si="271"/>
        <v>0</v>
      </c>
      <c r="LG40" s="59">
        <f t="shared" si="272"/>
        <v>0</v>
      </c>
      <c r="LH40" s="59">
        <f t="shared" si="273"/>
        <v>0</v>
      </c>
      <c r="LI40" s="58">
        <f t="shared" si="274"/>
        <v>0</v>
      </c>
      <c r="LJ40" s="45">
        <f t="shared" si="275"/>
        <v>90</v>
      </c>
      <c r="LK40" s="45">
        <f t="shared" si="577"/>
        <v>2.8889999999999998</v>
      </c>
      <c r="LL40" s="45">
        <f t="shared" si="276"/>
        <v>1</v>
      </c>
      <c r="LM40" s="45">
        <f t="shared" si="277"/>
        <v>2</v>
      </c>
      <c r="LN40" s="45">
        <f t="shared" si="278"/>
        <v>0</v>
      </c>
      <c r="LO40" s="46" cm="1">
        <f t="array" ref="LO40">ROUND(IFERROR(INDEX(ArchiveResults!$F$5:$IX$116,ComparisonData!A40,ComparisonData!$LO$1),0),5)</f>
        <v>0</v>
      </c>
      <c r="LP40" s="46" cm="1">
        <f t="array" ref="LP40">ROUND(IFERROR(INDEX(ArchiveResults!$F$5:$IX$116,ComparisonData!A40,ComparisonData!$LP$1),0),5)</f>
        <v>0</v>
      </c>
      <c r="LQ40" s="46" cm="1">
        <f t="array" ref="LQ40">ROUND(IFERROR(INDEX(ArchiveResults!$F$5:$IX$116,ComparisonData!A40,ComparisonData!$LQ$1),0),5)</f>
        <v>0</v>
      </c>
      <c r="LR40" s="46" cm="1">
        <f t="array" ref="LR40">ROUND(IFERROR(INDEX(ArchiveResults!$F$5:$IX$116,ComparisonData!A40,ComparisonData!$LR$1),0),5)</f>
        <v>0</v>
      </c>
      <c r="LS40" s="45" cm="1">
        <f t="array" ref="LS40">IFERROR(INDEX(ArchiveResults!$F$5:$IX$116,ComparisonData!A40,ComparisonData!$LS$1),0)</f>
        <v>0</v>
      </c>
      <c r="LT40" s="56">
        <v>35</v>
      </c>
      <c r="LU40" s="53" t="str">
        <f t="shared" si="578"/>
        <v>Hertfordshire Archives and Local Studies</v>
      </c>
      <c r="LV40" s="59">
        <f t="shared" si="279"/>
        <v>0</v>
      </c>
      <c r="LW40" s="59">
        <f t="shared" si="280"/>
        <v>0</v>
      </c>
      <c r="LX40" s="59">
        <f t="shared" si="281"/>
        <v>0</v>
      </c>
      <c r="LY40" s="59">
        <f t="shared" si="282"/>
        <v>0</v>
      </c>
      <c r="LZ40" s="59">
        <f t="shared" si="283"/>
        <v>0</v>
      </c>
      <c r="MA40" s="58">
        <f t="shared" si="284"/>
        <v>0</v>
      </c>
      <c r="MB40" s="45">
        <f t="shared" si="285"/>
        <v>90</v>
      </c>
      <c r="MC40" s="45">
        <f t="shared" si="579"/>
        <v>2.8889999999999998</v>
      </c>
      <c r="MD40" s="45">
        <f t="shared" si="286"/>
        <v>1</v>
      </c>
      <c r="ME40" s="45">
        <f t="shared" si="287"/>
        <v>2</v>
      </c>
      <c r="MF40" s="45">
        <f t="shared" si="288"/>
        <v>0</v>
      </c>
      <c r="MG40" s="46" cm="1">
        <f t="array" ref="MG40">ROUND(IFERROR(INDEX(ArchiveResults!$F$5:$IX$116,ComparisonData!A40,ComparisonData!$MG$1),0),5)</f>
        <v>0</v>
      </c>
      <c r="MH40" s="46" cm="1">
        <f t="array" ref="MH40">ROUND(IFERROR(INDEX(ArchiveResults!$F$5:$IX$116,ComparisonData!A40,ComparisonData!$MH$1),0),5)</f>
        <v>0</v>
      </c>
      <c r="MI40" s="46" cm="1">
        <f t="array" ref="MI40">ROUND(IFERROR(INDEX(ArchiveResults!$F$5:$IX$116,ComparisonData!A40,ComparisonData!$MI$1),0),5)</f>
        <v>0</v>
      </c>
      <c r="MJ40" s="46" cm="1">
        <f t="array" ref="MJ40">ROUND(IFERROR(INDEX(ArchiveResults!$F$5:$IX$116,ComparisonData!A40,ComparisonData!$MJ$1),0),5)</f>
        <v>0</v>
      </c>
      <c r="MK40" s="45" cm="1">
        <f t="array" ref="MK40">IFERROR(INDEX(ArchiveResults!$F$5:$IX$116,ComparisonData!A40,ComparisonData!$MK$1),0)</f>
        <v>0</v>
      </c>
      <c r="ML40" s="56">
        <v>35</v>
      </c>
      <c r="MM40" s="53" t="str">
        <f t="shared" si="580"/>
        <v>Hertfordshire Archives and Local Studies</v>
      </c>
      <c r="MN40" s="59">
        <f t="shared" si="289"/>
        <v>0</v>
      </c>
      <c r="MO40" s="59">
        <f t="shared" si="290"/>
        <v>0</v>
      </c>
      <c r="MP40" s="59">
        <f t="shared" si="291"/>
        <v>0</v>
      </c>
      <c r="MQ40" s="59">
        <f t="shared" si="292"/>
        <v>0</v>
      </c>
      <c r="MR40" s="59">
        <f t="shared" si="293"/>
        <v>0</v>
      </c>
      <c r="MS40" s="58">
        <f t="shared" si="294"/>
        <v>0</v>
      </c>
      <c r="MT40" s="45">
        <f t="shared" si="295"/>
        <v>90</v>
      </c>
      <c r="MU40" s="45">
        <f t="shared" si="581"/>
        <v>2.8889999999999998</v>
      </c>
      <c r="MV40" s="45">
        <f t="shared" si="296"/>
        <v>1</v>
      </c>
      <c r="MW40" s="45">
        <f t="shared" si="297"/>
        <v>2</v>
      </c>
      <c r="MX40" s="45">
        <f t="shared" si="298"/>
        <v>0</v>
      </c>
      <c r="MY40" s="46" cm="1">
        <f t="array" ref="MY40">ROUND(IFERROR(INDEX(ArchiveResults!$F$5:$IX$116,ComparisonData!A40,ComparisonData!$MY$1),0),5)</f>
        <v>0</v>
      </c>
      <c r="MZ40" s="46" cm="1">
        <f t="array" ref="MZ40">ROUND(IFERROR(INDEX(ArchiveResults!$F$5:$IX$116,ComparisonData!A40,ComparisonData!$MZ$1),0),5)</f>
        <v>0</v>
      </c>
      <c r="NA40" s="46" cm="1">
        <f t="array" ref="NA40">ROUND(IFERROR(INDEX(ArchiveResults!$F$5:$IX$116,ComparisonData!A40,ComparisonData!$NA$1),0),5)</f>
        <v>0</v>
      </c>
      <c r="NB40" s="46" cm="1">
        <f t="array" ref="NB40">ROUND(IFERROR(INDEX(ArchiveResults!$F$5:$IX$116,ComparisonData!A40,ComparisonData!$NB$1),0),5)</f>
        <v>0</v>
      </c>
      <c r="NC40" s="45" cm="1">
        <f t="array" ref="NC40">IFERROR(INDEX(ArchiveResults!$F$5:$IX$116,ComparisonData!A40,ComparisonData!$NC$1),0)</f>
        <v>0</v>
      </c>
      <c r="ND40" s="56">
        <v>35</v>
      </c>
      <c r="NE40" s="53" t="str">
        <f t="shared" si="582"/>
        <v>Hertfordshire Archives and Local Studies</v>
      </c>
      <c r="NF40" s="59">
        <f t="shared" si="299"/>
        <v>0</v>
      </c>
      <c r="NG40" s="59">
        <f t="shared" si="300"/>
        <v>0</v>
      </c>
      <c r="NH40" s="59">
        <f t="shared" si="301"/>
        <v>0</v>
      </c>
      <c r="NI40" s="59">
        <f t="shared" si="302"/>
        <v>0</v>
      </c>
      <c r="NJ40" s="59">
        <f t="shared" si="303"/>
        <v>0</v>
      </c>
      <c r="NK40" s="58">
        <f t="shared" si="304"/>
        <v>0</v>
      </c>
      <c r="NL40" s="45">
        <f t="shared" si="305"/>
        <v>90</v>
      </c>
      <c r="NM40" s="45">
        <f t="shared" si="583"/>
        <v>2.8889999999999998</v>
      </c>
      <c r="NN40" s="45">
        <f t="shared" si="306"/>
        <v>1</v>
      </c>
      <c r="NO40" s="45">
        <f t="shared" si="307"/>
        <v>2</v>
      </c>
      <c r="NP40" s="46" cm="1">
        <f t="array" ref="NP40">ROUND(IFERROR(INDEX(ArchiveResults!$F$5:$IX$116,ComparisonData!A40,ComparisonData!$NP$1),0),5)</f>
        <v>0</v>
      </c>
      <c r="NQ40" s="46" cm="1">
        <f t="array" ref="NQ40">ROUND(IFERROR(INDEX(ArchiveResults!$F$5:$IX$116,ComparisonData!A40,ComparisonData!$NQ$1),0),5)</f>
        <v>0</v>
      </c>
      <c r="NR40" s="46" cm="1">
        <f t="array" ref="NR40">ROUND(IFERROR(INDEX(ArchiveResults!$F$5:$IX$116,ComparisonData!A40,ComparisonData!$NR$1),0),5)</f>
        <v>0</v>
      </c>
      <c r="NS40" s="46" cm="1">
        <f t="array" ref="NS40">ROUND(IFERROR(INDEX(ArchiveResults!$F$5:$IX$116,ComparisonData!A40,ComparisonData!$NS$1),0),5)</f>
        <v>0</v>
      </c>
      <c r="NT40" s="45" cm="1">
        <f t="array" ref="NT40">IFERROR(INDEX(ArchiveResults!$F$5:$IX$116,ComparisonData!A40,ComparisonData!$NT$1),0)</f>
        <v>0</v>
      </c>
      <c r="NU40" s="56">
        <v>35</v>
      </c>
      <c r="NV40" s="53" t="str">
        <f t="shared" si="584"/>
        <v>Hertfordshire Archives and Local Studies</v>
      </c>
      <c r="NW40" s="59">
        <f t="shared" si="308"/>
        <v>0</v>
      </c>
      <c r="NX40" s="59">
        <f t="shared" si="309"/>
        <v>0</v>
      </c>
      <c r="NY40" s="59">
        <f t="shared" si="310"/>
        <v>0</v>
      </c>
      <c r="NZ40" s="59">
        <f t="shared" si="311"/>
        <v>0</v>
      </c>
      <c r="OA40" s="59">
        <f t="shared" si="312"/>
        <v>0</v>
      </c>
      <c r="OB40" s="58">
        <f t="shared" si="313"/>
        <v>0</v>
      </c>
      <c r="OC40" s="45">
        <f t="shared" si="314"/>
        <v>90</v>
      </c>
      <c r="OD40" s="45">
        <f t="shared" si="585"/>
        <v>2.8889999999999998</v>
      </c>
      <c r="OE40" s="45">
        <f t="shared" si="315"/>
        <v>1</v>
      </c>
      <c r="OF40" s="45">
        <f t="shared" si="316"/>
        <v>2</v>
      </c>
      <c r="OG40" s="46">
        <f t="shared" si="317"/>
        <v>0</v>
      </c>
      <c r="OH40" s="46" cm="1">
        <f t="array" ref="OH40">ROUND(IFERROR(INDEX(ArchiveResults!$F$5:$IX$116,ComparisonData!A40,ComparisonData!$OH$1),0),5)</f>
        <v>0</v>
      </c>
      <c r="OI40" s="46" cm="1">
        <f t="array" ref="OI40">ROUND(IFERROR(INDEX(ArchiveResults!$F$5:$IX$116,ComparisonData!A40,ComparisonData!$OI$1),0),5)</f>
        <v>0</v>
      </c>
      <c r="OJ40" s="46" cm="1">
        <f t="array" ref="OJ40">ROUND(IFERROR(INDEX(ArchiveResults!$F$5:$IX$116,ComparisonData!A40,ComparisonData!$OJ$1),0),5)</f>
        <v>0</v>
      </c>
      <c r="OK40" s="46" cm="1">
        <f t="array" ref="OK40">ROUND(IFERROR(INDEX(ArchiveResults!$F$5:$IX$116,ComparisonData!A40,ComparisonData!$OK$1),0),5)</f>
        <v>0</v>
      </c>
      <c r="OL40" s="45" cm="1">
        <f t="array" ref="OL40">IFERROR(INDEX(ArchiveResults!$F$5:$IX$116,ComparisonData!A40,ComparisonData!$OL$1),0)</f>
        <v>0</v>
      </c>
      <c r="OM40" s="56">
        <v>35</v>
      </c>
      <c r="ON40" s="53" t="str">
        <f t="shared" si="586"/>
        <v>Hertfordshire Archives and Local Studies</v>
      </c>
      <c r="OO40" s="59">
        <f t="shared" si="318"/>
        <v>0</v>
      </c>
      <c r="OP40" s="59">
        <f t="shared" si="319"/>
        <v>0</v>
      </c>
      <c r="OQ40" s="59">
        <f t="shared" si="320"/>
        <v>0</v>
      </c>
      <c r="OR40" s="59">
        <f t="shared" si="321"/>
        <v>0</v>
      </c>
      <c r="OS40" s="59">
        <f t="shared" si="322"/>
        <v>0</v>
      </c>
      <c r="OT40" s="58">
        <f t="shared" si="323"/>
        <v>0</v>
      </c>
      <c r="OU40" s="45">
        <f t="shared" si="324"/>
        <v>90</v>
      </c>
      <c r="OV40" s="45">
        <f t="shared" si="587"/>
        <v>2.8889999999999998</v>
      </c>
      <c r="OW40" s="45">
        <f t="shared" si="325"/>
        <v>1</v>
      </c>
      <c r="OX40" s="45">
        <f t="shared" si="326"/>
        <v>2</v>
      </c>
      <c r="OY40" s="45">
        <f t="shared" si="327"/>
        <v>0</v>
      </c>
      <c r="OZ40" s="46" cm="1">
        <f t="array" ref="OZ40">ROUND(IFERROR(INDEX(ArchiveResults!$F$5:$IX$116,ComparisonData!A40,ComparisonData!$OZ$1),0),5)</f>
        <v>0</v>
      </c>
      <c r="PA40" s="46" cm="1">
        <f t="array" ref="PA40">ROUND(IFERROR(INDEX(ArchiveResults!$F$5:$IX$116,ComparisonData!A40,ComparisonData!$PA$1),0),5)</f>
        <v>0</v>
      </c>
      <c r="PB40" s="46" cm="1">
        <f t="array" ref="PB40">ROUND(IFERROR(INDEX(ArchiveResults!$F$5:$IX$116,ComparisonData!A40,ComparisonData!$PB$1),0),5)</f>
        <v>0</v>
      </c>
      <c r="PC40" s="46" cm="1">
        <f t="array" ref="PC40">ROUND(IFERROR(INDEX(ArchiveResults!$F$5:$IX$116,ComparisonData!A40,ComparisonData!$PC$1),0),5)</f>
        <v>0</v>
      </c>
      <c r="PD40" s="45" cm="1">
        <f t="array" ref="PD40">IFERROR(INDEX(ArchiveResults!$F$5:$IX$116,ComparisonData!A40,ComparisonData!$PD$1),0)</f>
        <v>0</v>
      </c>
      <c r="PE40" s="56">
        <v>35</v>
      </c>
      <c r="PF40" s="53" t="str">
        <f t="shared" si="588"/>
        <v>Hertfordshire Archives and Local Studies</v>
      </c>
      <c r="PG40" s="59">
        <f t="shared" si="328"/>
        <v>0</v>
      </c>
      <c r="PH40" s="59">
        <f t="shared" si="329"/>
        <v>0</v>
      </c>
      <c r="PI40" s="59">
        <f t="shared" si="330"/>
        <v>0</v>
      </c>
      <c r="PJ40" s="59">
        <f t="shared" si="331"/>
        <v>0</v>
      </c>
      <c r="PK40" s="59">
        <f t="shared" si="332"/>
        <v>0</v>
      </c>
      <c r="PL40" s="58">
        <f t="shared" si="333"/>
        <v>0</v>
      </c>
      <c r="PM40" s="45">
        <f t="shared" si="334"/>
        <v>90</v>
      </c>
      <c r="PN40" s="45">
        <f t="shared" si="589"/>
        <v>2.8889999999999998</v>
      </c>
      <c r="PO40" s="45">
        <f t="shared" si="335"/>
        <v>1</v>
      </c>
      <c r="PP40" s="45">
        <f t="shared" si="336"/>
        <v>2</v>
      </c>
      <c r="PQ40" s="45">
        <f t="shared" si="337"/>
        <v>0</v>
      </c>
      <c r="PR40" s="46" cm="1">
        <f t="array" ref="PR40">ROUND(IFERROR(INDEX(ArchiveResults!$F$5:$IX$116,ComparisonData!A40,ComparisonData!$PR$1),0),5)</f>
        <v>0</v>
      </c>
      <c r="PS40" s="46" cm="1">
        <f t="array" ref="PS40">ROUND(IFERROR(INDEX(ArchiveResults!$F$5:$IX$116,ComparisonData!A40,ComparisonData!$PS$1),0),5)</f>
        <v>0</v>
      </c>
      <c r="PT40" s="46" cm="1">
        <f t="array" ref="PT40">ROUND(IFERROR(INDEX(ArchiveResults!$F$5:$IX$116,ComparisonData!A40,ComparisonData!$PT$1),0),5)</f>
        <v>0</v>
      </c>
      <c r="PU40" s="46" cm="1">
        <f t="array" ref="PU40">ROUND(IFERROR(INDEX(ArchiveResults!$F$5:$IX$116,ComparisonData!A40,ComparisonData!$PU$1),0),5)</f>
        <v>0</v>
      </c>
      <c r="PV40" s="45" cm="1">
        <f t="array" ref="PV40">IFERROR(INDEX(ArchiveResults!$F$5:$IX$116,ComparisonData!A40,ComparisonData!$PV$1),0)</f>
        <v>0</v>
      </c>
      <c r="PW40" s="56">
        <v>35</v>
      </c>
      <c r="PX40" s="53" t="str">
        <f t="shared" si="590"/>
        <v>Hertfordshire Archives and Local Studies</v>
      </c>
      <c r="PY40" s="59">
        <f t="shared" si="338"/>
        <v>0</v>
      </c>
      <c r="PZ40" s="59">
        <f t="shared" si="339"/>
        <v>0</v>
      </c>
      <c r="QA40" s="59">
        <f t="shared" si="340"/>
        <v>0</v>
      </c>
      <c r="QB40" s="59">
        <f t="shared" si="341"/>
        <v>0</v>
      </c>
      <c r="QC40" s="59">
        <f t="shared" si="342"/>
        <v>0</v>
      </c>
      <c r="QD40" s="58">
        <f t="shared" si="343"/>
        <v>0</v>
      </c>
      <c r="QE40" s="45">
        <f t="shared" si="344"/>
        <v>90</v>
      </c>
      <c r="QF40" s="45">
        <f t="shared" si="591"/>
        <v>2.8889999999999998</v>
      </c>
      <c r="QG40" s="45">
        <f t="shared" si="345"/>
        <v>1</v>
      </c>
      <c r="QH40" s="45">
        <f t="shared" si="346"/>
        <v>2</v>
      </c>
      <c r="QI40" s="45">
        <f t="shared" si="347"/>
        <v>0</v>
      </c>
      <c r="QJ40" s="46" cm="1">
        <f t="array" ref="QJ40">ROUND(IFERROR(INDEX(ArchiveResults!$F$5:$IX$116,ComparisonData!A40,ComparisonData!$QJ$1),0),5)</f>
        <v>0</v>
      </c>
      <c r="QK40" s="46" cm="1">
        <f t="array" ref="QK40">ROUND(IFERROR(INDEX(ArchiveResults!$F$5:$IX$116,ComparisonData!A40,ComparisonData!$QK$1),0),5)</f>
        <v>0</v>
      </c>
      <c r="QL40" s="46" cm="1">
        <f t="array" ref="QL40">ROUND(IFERROR(INDEX(ArchiveResults!$F$5:$IX$116,ComparisonData!A40,ComparisonData!$QL$1),0),5)</f>
        <v>0</v>
      </c>
      <c r="QM40" s="46" cm="1">
        <f t="array" ref="QM40">ROUND(IFERROR(INDEX(ArchiveResults!$F$5:$IX$116,ComparisonData!A40,ComparisonData!$QM$1),0),5)</f>
        <v>0</v>
      </c>
      <c r="QN40" s="45" cm="1">
        <f t="array" ref="QN40">IFERROR(INDEX(ArchiveResults!$F$5:$IX$116,ComparisonData!A40,ComparisonData!$QN$1),0)</f>
        <v>0</v>
      </c>
      <c r="QO40" s="56">
        <v>35</v>
      </c>
      <c r="QP40" s="53" t="str">
        <f t="shared" si="592"/>
        <v>Hertfordshire Archives and Local Studies</v>
      </c>
      <c r="QQ40" s="59">
        <f t="shared" si="348"/>
        <v>0</v>
      </c>
      <c r="QR40" s="59">
        <f t="shared" si="349"/>
        <v>0</v>
      </c>
      <c r="QS40" s="59">
        <f t="shared" si="350"/>
        <v>0</v>
      </c>
      <c r="QT40" s="59">
        <f t="shared" si="351"/>
        <v>0</v>
      </c>
      <c r="QU40" s="59">
        <f t="shared" si="352"/>
        <v>0</v>
      </c>
      <c r="QV40" s="58">
        <f t="shared" si="353"/>
        <v>0</v>
      </c>
      <c r="QW40" s="45">
        <f t="shared" si="354"/>
        <v>90</v>
      </c>
      <c r="QX40" s="45">
        <f t="shared" si="593"/>
        <v>2.8889999999999998</v>
      </c>
      <c r="QY40" s="45">
        <f t="shared" si="355"/>
        <v>1</v>
      </c>
      <c r="QZ40" s="45">
        <f t="shared" si="356"/>
        <v>2</v>
      </c>
      <c r="RA40" s="45">
        <f t="shared" si="357"/>
        <v>0</v>
      </c>
      <c r="RB40" s="46" cm="1">
        <f t="array" ref="RB40">ROUND(IFERROR(INDEX(ArchiveResults!$F$5:$IX$116,ComparisonData!A40,ComparisonData!$RB$1),0),5)</f>
        <v>0</v>
      </c>
      <c r="RC40" s="46" cm="1">
        <f t="array" ref="RC40">ROUND(IFERROR(INDEX(ArchiveResults!$F$5:$IX$116,ComparisonData!A40,ComparisonData!$RC$1),0),5)</f>
        <v>0</v>
      </c>
      <c r="RD40" s="46" cm="1">
        <f t="array" ref="RD40">ROUND(IFERROR(INDEX(ArchiveResults!$F$5:$IX$116,ComparisonData!A40,ComparisonData!$RD$1),0),5)</f>
        <v>0</v>
      </c>
      <c r="RE40" s="46" cm="1">
        <f t="array" ref="RE40">ROUND(IFERROR(INDEX(ArchiveResults!$F$5:$IX$116,ComparisonData!A40,ComparisonData!$RE$1),0),5)</f>
        <v>0</v>
      </c>
      <c r="RF40" s="45" cm="1">
        <f t="array" ref="RF40">IFERROR(INDEX(ArchiveResults!$F$5:$IX$116,ComparisonData!A40,ComparisonData!$RF$1),0)</f>
        <v>0</v>
      </c>
      <c r="RG40" s="56">
        <v>35</v>
      </c>
      <c r="RH40" s="53" t="str">
        <f t="shared" si="594"/>
        <v>Hertfordshire Archives and Local Studies</v>
      </c>
      <c r="RI40" s="59">
        <f t="shared" si="358"/>
        <v>0</v>
      </c>
      <c r="RJ40" s="59">
        <f t="shared" si="359"/>
        <v>0</v>
      </c>
      <c r="RK40" s="59">
        <f t="shared" si="360"/>
        <v>0</v>
      </c>
      <c r="RL40" s="59">
        <f t="shared" si="361"/>
        <v>0</v>
      </c>
      <c r="RM40" s="59">
        <f t="shared" si="362"/>
        <v>0</v>
      </c>
      <c r="RN40" s="58">
        <f t="shared" si="363"/>
        <v>0</v>
      </c>
      <c r="RO40" s="45">
        <f t="shared" si="364"/>
        <v>90</v>
      </c>
      <c r="RP40" s="45">
        <f t="shared" si="595"/>
        <v>2.8889999999999998</v>
      </c>
      <c r="RQ40" s="45">
        <f t="shared" si="365"/>
        <v>1</v>
      </c>
      <c r="RR40" s="45">
        <f t="shared" si="366"/>
        <v>2</v>
      </c>
      <c r="RS40" s="45">
        <f t="shared" si="367"/>
        <v>0</v>
      </c>
      <c r="RT40" s="46" cm="1">
        <f t="array" ref="RT40">ROUND(IFERROR(INDEX(ArchiveResults!$F$5:$IX$116,ComparisonData!A40,ComparisonData!$RT$1),0),5)</f>
        <v>0</v>
      </c>
      <c r="RU40" s="46" cm="1">
        <f t="array" ref="RU40">ROUND(IFERROR(INDEX(ArchiveResults!$F$5:$IX$116,ComparisonData!A40,ComparisonData!$RU$1),0),5)</f>
        <v>0</v>
      </c>
      <c r="RV40" s="46" cm="1">
        <f t="array" ref="RV40">ROUND(IFERROR(INDEX(ArchiveResults!$F$5:$IX$116,ComparisonData!A40,ComparisonData!$RV$1),0),5)</f>
        <v>0</v>
      </c>
      <c r="RW40" s="46" cm="1">
        <f t="array" ref="RW40">ROUND(IFERROR(INDEX(ArchiveResults!$F$5:$IX$116,ComparisonData!A40,ComparisonData!$RW$1),0),5)</f>
        <v>0</v>
      </c>
      <c r="RX40" s="45" cm="1">
        <f t="array" ref="RX40">IFERROR(INDEX(ArchiveResults!$F$5:$IX$116,ComparisonData!A40,ComparisonData!$RX$1),0)</f>
        <v>0</v>
      </c>
      <c r="RY40" s="56">
        <v>35</v>
      </c>
      <c r="RZ40" s="53" t="str">
        <f t="shared" si="596"/>
        <v>Hertfordshire Archives and Local Studies</v>
      </c>
      <c r="SA40" s="59">
        <f t="shared" si="368"/>
        <v>0</v>
      </c>
      <c r="SB40" s="59">
        <f t="shared" si="369"/>
        <v>0</v>
      </c>
      <c r="SC40" s="59">
        <f t="shared" si="370"/>
        <v>0</v>
      </c>
      <c r="SD40" s="59">
        <f t="shared" si="371"/>
        <v>0</v>
      </c>
      <c r="SE40" s="59">
        <f t="shared" si="372"/>
        <v>0</v>
      </c>
      <c r="SF40" s="58">
        <f t="shared" si="373"/>
        <v>0</v>
      </c>
      <c r="SG40" s="45">
        <f t="shared" si="374"/>
        <v>90</v>
      </c>
      <c r="SH40" s="45">
        <f t="shared" si="597"/>
        <v>2.8889999999999998</v>
      </c>
      <c r="SI40" s="45">
        <f t="shared" si="375"/>
        <v>1</v>
      </c>
      <c r="SJ40" s="45">
        <f t="shared" si="376"/>
        <v>2</v>
      </c>
      <c r="SK40" s="45">
        <f t="shared" si="377"/>
        <v>0</v>
      </c>
      <c r="SL40" s="46" cm="1">
        <f t="array" ref="SL40">ROUND(IFERROR(INDEX(ArchiveResults!$F$5:$IX$116,ComparisonData!A40,ComparisonData!$SL$1),0),5)</f>
        <v>0</v>
      </c>
      <c r="SM40" s="46" cm="1">
        <f t="array" ref="SM40">ROUND(IFERROR(INDEX(ArchiveResults!$F$5:$IX$116,ComparisonData!A40,ComparisonData!$SM$1),0),5)</f>
        <v>0</v>
      </c>
      <c r="SN40" s="46" cm="1">
        <f t="array" ref="SN40">ROUND(IFERROR(INDEX(ArchiveResults!$F$5:$IX$116,ComparisonData!A40,ComparisonData!$SN$1),0),5)</f>
        <v>0</v>
      </c>
      <c r="SO40" s="46" cm="1">
        <f t="array" ref="SO40">ROUND(IFERROR(INDEX(ArchiveResults!$F$5:$IX$116,ComparisonData!A40,ComparisonData!$SO$1),0),5)</f>
        <v>0</v>
      </c>
      <c r="SP40" s="45" cm="1">
        <f t="array" ref="SP40">IFERROR(INDEX(ArchiveResults!$F$5:$IX$116,ComparisonData!A40,ComparisonData!$SP$1),0)</f>
        <v>0</v>
      </c>
      <c r="SQ40" s="56">
        <v>35</v>
      </c>
      <c r="SR40" s="53" t="str">
        <f t="shared" si="598"/>
        <v>Hertfordshire Archives and Local Studies</v>
      </c>
      <c r="SS40" s="59">
        <f t="shared" si="378"/>
        <v>0</v>
      </c>
      <c r="ST40" s="59">
        <f t="shared" si="379"/>
        <v>0</v>
      </c>
      <c r="SU40" s="59">
        <f t="shared" si="380"/>
        <v>0</v>
      </c>
      <c r="SV40" s="59">
        <f t="shared" si="381"/>
        <v>0</v>
      </c>
      <c r="SW40" s="59">
        <f t="shared" si="382"/>
        <v>0</v>
      </c>
      <c r="SX40" s="58">
        <f t="shared" si="383"/>
        <v>0</v>
      </c>
      <c r="SY40" s="45">
        <f t="shared" si="384"/>
        <v>90</v>
      </c>
      <c r="SZ40" s="45">
        <f t="shared" si="599"/>
        <v>2.8889999999999998</v>
      </c>
      <c r="TA40" s="45">
        <f t="shared" si="385"/>
        <v>1</v>
      </c>
      <c r="TB40" s="45">
        <f t="shared" si="386"/>
        <v>2</v>
      </c>
      <c r="TC40" s="45">
        <f t="shared" si="387"/>
        <v>0</v>
      </c>
      <c r="TD40" s="46" cm="1">
        <f t="array" ref="TD40">ROUND(IFERROR(INDEX(ArchiveResults!$F$5:$IX$116,ComparisonData!A40,ComparisonData!$TD$1),0),5)</f>
        <v>0</v>
      </c>
      <c r="TE40" s="46" cm="1">
        <f t="array" ref="TE40">ROUND(IFERROR(INDEX(ArchiveResults!$F$5:$IX$116,ComparisonData!A40,ComparisonData!$TE$1),0),5)</f>
        <v>0</v>
      </c>
      <c r="TF40" s="46" cm="1">
        <f t="array" ref="TF40">ROUND(IFERROR(INDEX(ArchiveResults!$F$5:$IX$116,ComparisonData!A40,ComparisonData!$TF$1),0),5)</f>
        <v>0</v>
      </c>
      <c r="TG40" s="46" cm="1">
        <f t="array" ref="TG40">ROUND(IFERROR(INDEX(ArchiveResults!$F$5:$IX$116,ComparisonData!A40,ComparisonData!$TG$1),0),5)</f>
        <v>0</v>
      </c>
      <c r="TH40" s="45" cm="1">
        <f t="array" ref="TH40">IFERROR(INDEX(ArchiveResults!$F$5:$IX$116,ComparisonData!A40,ComparisonData!$TH$1),0)</f>
        <v>0</v>
      </c>
      <c r="TI40" s="56">
        <v>35</v>
      </c>
      <c r="TJ40" s="53" t="str">
        <f t="shared" si="600"/>
        <v>Hertfordshire Archives and Local Studies</v>
      </c>
      <c r="TK40" s="59">
        <f t="shared" si="388"/>
        <v>0</v>
      </c>
      <c r="TL40" s="59">
        <f t="shared" si="389"/>
        <v>0</v>
      </c>
      <c r="TM40" s="59">
        <f t="shared" si="390"/>
        <v>0</v>
      </c>
      <c r="TN40" s="59">
        <f t="shared" si="391"/>
        <v>0</v>
      </c>
      <c r="TO40" s="59">
        <f t="shared" si="392"/>
        <v>0</v>
      </c>
      <c r="TP40" s="58">
        <f t="shared" si="393"/>
        <v>0</v>
      </c>
      <c r="TQ40" s="45">
        <f t="shared" si="394"/>
        <v>90</v>
      </c>
      <c r="TR40" s="45">
        <f t="shared" si="601"/>
        <v>2.8889999999999998</v>
      </c>
      <c r="TS40" s="45">
        <f t="shared" si="395"/>
        <v>1</v>
      </c>
      <c r="TT40" s="45">
        <f t="shared" si="396"/>
        <v>2</v>
      </c>
      <c r="TU40" s="45">
        <f t="shared" si="397"/>
        <v>0</v>
      </c>
      <c r="TV40" s="46" cm="1">
        <f t="array" ref="TV40">ROUND(IFERROR(INDEX(ArchiveResults!$F$5:$IX$116,ComparisonData!A40,ComparisonData!$TV$1),0),5)</f>
        <v>0</v>
      </c>
      <c r="TW40" s="46" cm="1">
        <f t="array" ref="TW40">ROUND(IFERROR(INDEX(ArchiveResults!$F$5:$IX$116,ComparisonData!A40,ComparisonData!$TW$1),0),5)</f>
        <v>0</v>
      </c>
      <c r="TX40" s="46" cm="1">
        <f t="array" ref="TX40">ROUND(IFERROR(INDEX(ArchiveResults!$F$5:$IX$116,ComparisonData!A40,ComparisonData!$TX$1),0),5)</f>
        <v>0</v>
      </c>
      <c r="TY40" s="46" cm="1">
        <f t="array" ref="TY40">ROUND(IFERROR(INDEX(ArchiveResults!$F$5:$IX$116,ComparisonData!A40,ComparisonData!$TY$1),0),5)</f>
        <v>0</v>
      </c>
      <c r="TZ40" s="45" cm="1">
        <f t="array" ref="TZ40">IFERROR(INDEX(ArchiveResults!$F$5:$IX$116,ComparisonData!A40,ComparisonData!$TZ$1),0)</f>
        <v>0</v>
      </c>
      <c r="UA40" s="56">
        <v>35</v>
      </c>
      <c r="UB40" s="53" t="str">
        <f t="shared" si="602"/>
        <v>Hertfordshire Archives and Local Studies</v>
      </c>
      <c r="UC40" s="60">
        <f t="shared" si="398"/>
        <v>0</v>
      </c>
      <c r="UD40" s="60">
        <f t="shared" si="399"/>
        <v>0</v>
      </c>
      <c r="UE40" s="60">
        <f t="shared" si="400"/>
        <v>0</v>
      </c>
      <c r="UF40" s="60">
        <f t="shared" si="401"/>
        <v>0</v>
      </c>
      <c r="UG40" s="60">
        <f t="shared" si="402"/>
        <v>0</v>
      </c>
      <c r="UH40" s="58">
        <f t="shared" si="403"/>
        <v>0</v>
      </c>
      <c r="UI40" s="46">
        <f t="shared" si="404"/>
        <v>90</v>
      </c>
      <c r="UJ40" s="46">
        <f t="shared" si="603"/>
        <v>2.8889999999999998</v>
      </c>
      <c r="UK40" s="46">
        <f t="shared" si="405"/>
        <v>1</v>
      </c>
      <c r="UL40" s="46">
        <f t="shared" si="406"/>
        <v>2</v>
      </c>
      <c r="UM40" s="46" cm="1">
        <f t="array" ref="UM40">ROUND(IFERROR(INDEX(ArchiveResults!$F$5:$IX$116,ComparisonData!A40,ComparisonData!$UM$1),0),5)</f>
        <v>0</v>
      </c>
      <c r="UN40" s="56">
        <v>35</v>
      </c>
      <c r="UO40" s="53" t="str">
        <f t="shared" si="604"/>
        <v>Hertfordshire Archives and Local Studies</v>
      </c>
      <c r="UP40" s="46">
        <f t="shared" si="407"/>
        <v>0</v>
      </c>
      <c r="UQ40" s="76">
        <f t="shared" si="408"/>
        <v>0</v>
      </c>
      <c r="UR40" s="46">
        <f t="shared" si="409"/>
        <v>90</v>
      </c>
      <c r="US40" s="46">
        <f t="shared" si="605"/>
        <v>2.8889999999999998</v>
      </c>
      <c r="UT40" s="46">
        <f t="shared" si="410"/>
        <v>1</v>
      </c>
      <c r="UU40" s="46">
        <f t="shared" si="411"/>
        <v>2</v>
      </c>
      <c r="UV40" s="46">
        <f t="shared" si="412"/>
        <v>0</v>
      </c>
      <c r="UW40" s="46" cm="1">
        <f t="array" ref="UW40">ROUND(IFERROR(INDEX(ArchiveResults!$F$5:$IX$116,ComparisonData!A40,ComparisonData!$UW$1),0),5)</f>
        <v>0</v>
      </c>
      <c r="UX40" s="46" cm="1">
        <f t="array" ref="UX40">ROUND(IFERROR(INDEX(ArchiveResults!$F$5:$IX$116,ComparisonData!A40,ComparisonData!$UX$1),0),5)</f>
        <v>0</v>
      </c>
      <c r="UY40" s="46" cm="1">
        <f t="array" ref="UY40">ROUND(IFERROR(INDEX(ArchiveResults!$F$5:$IX$116,ComparisonData!A40,ComparisonData!$UY$1),0),5)</f>
        <v>0</v>
      </c>
      <c r="UZ40" s="46" cm="1">
        <f t="array" ref="UZ40">ROUND(IFERROR(INDEX(ArchiveResults!$F$5:$IX$116,ComparisonData!A40,ComparisonData!$UZ$1),0),5)</f>
        <v>0</v>
      </c>
      <c r="VA40" s="46" cm="1">
        <f t="array" ref="VA40">ROUND(IFERROR(INDEX(ArchiveResults!$F$5:$IX$116,ComparisonData!A40,ComparisonData!$VA$1),0),5)</f>
        <v>0</v>
      </c>
      <c r="VB40" s="56">
        <v>35</v>
      </c>
      <c r="VC40" s="53" t="str">
        <f t="shared" si="606"/>
        <v>Hertfordshire Archives and Local Studies</v>
      </c>
      <c r="VD40" s="60">
        <f t="shared" si="413"/>
        <v>0</v>
      </c>
      <c r="VE40" s="60">
        <f t="shared" si="414"/>
        <v>0</v>
      </c>
      <c r="VF40" s="60">
        <f t="shared" si="415"/>
        <v>0</v>
      </c>
      <c r="VG40" s="60">
        <f t="shared" si="416"/>
        <v>0</v>
      </c>
      <c r="VH40" s="60">
        <f t="shared" si="417"/>
        <v>0</v>
      </c>
      <c r="VI40" s="76">
        <f t="shared" si="418"/>
        <v>0</v>
      </c>
      <c r="VJ40" s="46">
        <f t="shared" si="419"/>
        <v>90</v>
      </c>
      <c r="VK40" s="46">
        <f t="shared" si="607"/>
        <v>2.8889999999999998</v>
      </c>
      <c r="VL40" s="46">
        <f t="shared" si="420"/>
        <v>1</v>
      </c>
      <c r="VM40" s="46">
        <f t="shared" si="421"/>
        <v>2</v>
      </c>
      <c r="VN40" s="46" cm="1">
        <f t="array" ref="VN40">ROUND(IFERROR(INDEX(ArchiveResults!$F$5:$IX$116,ComparisonData!A40,ComparisonData!$VN$1),0),5)</f>
        <v>0</v>
      </c>
      <c r="VO40" s="46" cm="1">
        <f t="array" ref="VO40">ROUND(IFERROR(INDEX(ArchiveResults!$F$5:$IX$116,ComparisonData!A40,ComparisonData!$VO$1),0),5)</f>
        <v>0</v>
      </c>
      <c r="VP40" s="46" cm="1">
        <f t="array" ref="VP40">ROUND(IFERROR(INDEX(ArchiveResults!$F$5:$IX$116,ComparisonData!A40,ComparisonData!$VP$1),0),5)</f>
        <v>0</v>
      </c>
      <c r="VQ40" s="46" cm="1">
        <f t="array" ref="VQ40">ROUND(IFERROR(INDEX(ArchiveResults!$F$5:$IX$116,ComparisonData!A40,ComparisonData!$VQ$1),0),5)</f>
        <v>0</v>
      </c>
      <c r="VR40" s="56">
        <v>35</v>
      </c>
      <c r="VS40" s="53" t="str">
        <f t="shared" si="608"/>
        <v>Hertfordshire Archives and Local Studies</v>
      </c>
      <c r="VT40" s="60">
        <f t="shared" si="422"/>
        <v>0</v>
      </c>
      <c r="VU40" s="60">
        <f t="shared" si="423"/>
        <v>0</v>
      </c>
      <c r="VV40" s="60">
        <f t="shared" si="424"/>
        <v>0</v>
      </c>
      <c r="VW40" s="60">
        <f t="shared" si="425"/>
        <v>0</v>
      </c>
      <c r="VX40" s="76">
        <f t="shared" si="426"/>
        <v>0</v>
      </c>
      <c r="VY40" s="46">
        <f t="shared" si="427"/>
        <v>90</v>
      </c>
      <c r="VZ40" s="46">
        <f t="shared" si="609"/>
        <v>2.8889999999999998</v>
      </c>
      <c r="WA40" s="46">
        <f t="shared" si="428"/>
        <v>1</v>
      </c>
      <c r="WB40" s="46">
        <f t="shared" si="429"/>
        <v>2</v>
      </c>
      <c r="WC40" s="46" cm="1">
        <f t="array" ref="WC40">ROUND(IFERROR(INDEX(ArchiveResults!$F$5:$IX$116,ComparisonData!A40,ComparisonData!$WC$1),0),5)</f>
        <v>0</v>
      </c>
      <c r="WD40" s="56">
        <v>35</v>
      </c>
      <c r="WE40" s="53" t="str">
        <f t="shared" si="610"/>
        <v>Hertfordshire Archives and Local Studies</v>
      </c>
      <c r="WF40" s="46">
        <f t="shared" si="430"/>
        <v>0</v>
      </c>
      <c r="WG40" s="76">
        <f t="shared" si="431"/>
        <v>0</v>
      </c>
      <c r="WH40" s="46">
        <f t="shared" si="432"/>
        <v>90</v>
      </c>
      <c r="WI40" s="46">
        <f t="shared" si="611"/>
        <v>2.8889999999999998</v>
      </c>
      <c r="WJ40" s="46">
        <f t="shared" si="433"/>
        <v>1</v>
      </c>
      <c r="WK40" s="46">
        <f t="shared" si="434"/>
        <v>2</v>
      </c>
      <c r="WL40" s="46" cm="1">
        <f t="array" ref="WL40">ROUND(IFERROR(INDEX(ArchiveResults!$F$5:$IX$116,ComparisonData!A40,ComparisonData!$WL$1),0),5)</f>
        <v>0</v>
      </c>
      <c r="WM40" s="46" cm="1">
        <f t="array" ref="WM40">IFERROR(INDEX(ArchiveResults!$F$5:$IX$116,ComparisonData!A40,ComparisonData!$WM$1),0)</f>
        <v>0</v>
      </c>
      <c r="WN40" s="56">
        <v>35</v>
      </c>
      <c r="WO40" s="53" t="str">
        <f t="shared" si="612"/>
        <v>Hertfordshire Archives and Local Studies</v>
      </c>
      <c r="WP40" s="60">
        <f t="shared" si="435"/>
        <v>0</v>
      </c>
      <c r="WQ40" s="60">
        <f t="shared" si="436"/>
        <v>0</v>
      </c>
      <c r="WR40" s="76">
        <f t="shared" si="437"/>
        <v>0</v>
      </c>
      <c r="WS40" s="46">
        <f t="shared" si="438"/>
        <v>90</v>
      </c>
      <c r="WT40" s="46">
        <f t="shared" si="613"/>
        <v>2.8889999999999998</v>
      </c>
      <c r="WU40" s="46">
        <f t="shared" si="439"/>
        <v>1</v>
      </c>
      <c r="WV40" s="46">
        <f t="shared" si="440"/>
        <v>2</v>
      </c>
      <c r="WW40" s="46" cm="1">
        <f t="array" ref="WW40">ROUND(VALUE(IFERROR(INDEX(ArchiveResults!$F$5:$IX$116,ComparisonData!A40,ComparisonData!$WW$1),0)),5)</f>
        <v>0</v>
      </c>
      <c r="WX40" s="46" cm="1">
        <f t="array" ref="WX40">ROUND(IFERROR(INDEX(ArchiveResults!$F$5:$IX$116,ComparisonData!A40,ComparisonData!$WX$1),0),5)</f>
        <v>0</v>
      </c>
      <c r="WY40" s="56">
        <v>35</v>
      </c>
      <c r="WZ40" s="53" t="str">
        <f t="shared" si="614"/>
        <v>Hertfordshire Archives and Local Studies</v>
      </c>
      <c r="XA40" s="60">
        <f t="shared" si="615"/>
        <v>0</v>
      </c>
      <c r="XB40" s="60">
        <f t="shared" si="616"/>
        <v>0</v>
      </c>
      <c r="XC40" s="76">
        <f t="shared" si="441"/>
        <v>0</v>
      </c>
      <c r="XD40" s="46">
        <f t="shared" si="442"/>
        <v>90</v>
      </c>
      <c r="XE40" s="46">
        <f t="shared" si="617"/>
        <v>2.8889999999999998</v>
      </c>
      <c r="XF40" s="46">
        <f t="shared" si="443"/>
        <v>1</v>
      </c>
      <c r="XG40" s="46">
        <f t="shared" si="444"/>
        <v>2</v>
      </c>
      <c r="XH40" s="46" cm="1">
        <f t="array" ref="XH40">ROUND(VALUE(IFERROR(INDEX(ArchiveResults!$F$5:$IX$116,ComparisonData!A40,ComparisonData!$XH$1),0)),5)</f>
        <v>0</v>
      </c>
      <c r="XI40" s="46" cm="1">
        <f t="array" ref="XI40">ROUND(VALUE(IFERROR(INDEX(ArchiveResults!$F$5:$IX$116,ComparisonData!A40,ComparisonData!$XI$1),0)),5)</f>
        <v>0</v>
      </c>
      <c r="XJ40" s="56">
        <v>35</v>
      </c>
      <c r="XK40" s="53" t="str">
        <f t="shared" si="618"/>
        <v>Hertfordshire Archives and Local Studies</v>
      </c>
      <c r="XL40" s="60">
        <f t="shared" si="445"/>
        <v>0</v>
      </c>
      <c r="XM40" s="60">
        <f t="shared" si="446"/>
        <v>0</v>
      </c>
      <c r="XN40" s="76">
        <f t="shared" si="447"/>
        <v>0</v>
      </c>
      <c r="XO40" s="46">
        <f t="shared" si="448"/>
        <v>90</v>
      </c>
      <c r="XP40" s="46">
        <f t="shared" si="619"/>
        <v>2.8889999999999998</v>
      </c>
      <c r="XQ40" s="46">
        <f t="shared" si="449"/>
        <v>1</v>
      </c>
      <c r="XR40" s="46">
        <f t="shared" si="450"/>
        <v>2</v>
      </c>
      <c r="XS40" s="46" cm="1">
        <f t="array" ref="XS40">ROUND(VALUE(IFERROR(INDEX(ArchiveResults!$F$5:$IX$116,ComparisonData!A40,ComparisonData!$XS$1),0)),5)</f>
        <v>0</v>
      </c>
      <c r="XT40" s="46" cm="1">
        <f t="array" ref="XT40">ROUND(VALUE(IFERROR(INDEX(ArchiveResults!$F$5:$IX$116,ComparisonData!A40,ComparisonData!$XT$1),0)),5)</f>
        <v>0</v>
      </c>
      <c r="XU40" s="56">
        <v>35</v>
      </c>
      <c r="XV40" s="53" t="str">
        <f t="shared" si="620"/>
        <v>Hertfordshire Archives and Local Studies</v>
      </c>
      <c r="XW40" s="60">
        <f t="shared" si="451"/>
        <v>0</v>
      </c>
      <c r="XX40" s="60">
        <f t="shared" si="452"/>
        <v>0</v>
      </c>
      <c r="XY40" s="76">
        <f t="shared" si="453"/>
        <v>0</v>
      </c>
      <c r="XZ40" s="46">
        <f t="shared" si="454"/>
        <v>90</v>
      </c>
      <c r="YA40" s="46">
        <f t="shared" si="621"/>
        <v>2.8889999999999998</v>
      </c>
      <c r="YB40" s="46">
        <f t="shared" si="455"/>
        <v>1</v>
      </c>
      <c r="YC40" s="46">
        <f t="shared" si="456"/>
        <v>2</v>
      </c>
      <c r="YD40" s="46" cm="1">
        <f t="array" ref="YD40">ROUND(VALUE(IFERROR(INDEX(ArchiveResults!$F$5:$IX$116,ComparisonData!A40,ComparisonData!$YD$1),0)),5)</f>
        <v>0</v>
      </c>
      <c r="YE40" s="46" cm="1">
        <f t="array" ref="YE40">ROUND(VALUE(IFERROR(INDEX(ArchiveResults!$F$5:$IX$116,ComparisonData!A40,ComparisonData!$YE$1),0)),5)</f>
        <v>0</v>
      </c>
      <c r="YF40" s="56">
        <v>35</v>
      </c>
      <c r="YG40" s="53" t="str">
        <f t="shared" si="622"/>
        <v>Hertfordshire Archives and Local Studies</v>
      </c>
      <c r="YH40" s="60">
        <f t="shared" si="457"/>
        <v>0</v>
      </c>
      <c r="YI40" s="60">
        <f t="shared" si="458"/>
        <v>0</v>
      </c>
      <c r="YJ40" s="76">
        <f t="shared" si="459"/>
        <v>0</v>
      </c>
      <c r="YK40" s="46">
        <f t="shared" si="460"/>
        <v>90</v>
      </c>
      <c r="YL40" s="46">
        <f t="shared" si="623"/>
        <v>2.8889999999999998</v>
      </c>
      <c r="YM40" s="46">
        <f t="shared" si="461"/>
        <v>1</v>
      </c>
      <c r="YN40" s="46">
        <f t="shared" si="462"/>
        <v>2</v>
      </c>
      <c r="YO40" s="46" cm="1">
        <f t="array" ref="YO40">ROUND(VALUE(IFERROR(INDEX(ArchiveResults!$F$5:$IX$116,ComparisonData!A40,ComparisonData!$YO$1),0)),5)</f>
        <v>0</v>
      </c>
      <c r="YP40" s="46" cm="1">
        <f t="array" ref="YP40">ROUND(VALUE(IFERROR(INDEX(ArchiveResults!$F$5:$IX$116,ComparisonData!A40,ComparisonData!$YP$1),0)),5)</f>
        <v>0</v>
      </c>
      <c r="YQ40" s="56">
        <v>35</v>
      </c>
      <c r="YR40" s="53" t="str">
        <f t="shared" si="624"/>
        <v>Hertfordshire Archives and Local Studies</v>
      </c>
      <c r="YS40" s="60">
        <f t="shared" si="463"/>
        <v>0</v>
      </c>
      <c r="YT40" s="60">
        <f t="shared" si="464"/>
        <v>0</v>
      </c>
      <c r="YU40" s="76">
        <f t="shared" si="465"/>
        <v>0</v>
      </c>
      <c r="YV40" s="46">
        <f t="shared" si="466"/>
        <v>90</v>
      </c>
      <c r="YW40" s="46">
        <f t="shared" si="625"/>
        <v>2.8889999999999998</v>
      </c>
      <c r="YX40" s="46">
        <f t="shared" si="467"/>
        <v>1</v>
      </c>
      <c r="YY40" s="46">
        <f t="shared" si="468"/>
        <v>2</v>
      </c>
      <c r="YZ40" s="46">
        <f t="shared" si="469"/>
        <v>0</v>
      </c>
      <c r="ZA40" s="46" cm="1">
        <f t="array" ref="ZA40">ROUNDDOWN(VALUE(IFERROR(INDEX(ArchiveResults!$F$5:$IX$116,ComparisonData!A40,ComparisonData!$ZA$1),0)),5)</f>
        <v>0</v>
      </c>
      <c r="ZB40" s="46" cm="1">
        <f t="array" ref="ZB40">ROUNDDOWN(VALUE(IFERROR(INDEX(ArchiveResults!$F$5:$IX$116,ComparisonData!A40,ComparisonData!$ZB$1),0)),5)</f>
        <v>0</v>
      </c>
      <c r="ZC40" s="46" cm="1">
        <f t="array" ref="ZC40">ROUNDDOWN(VALUE(IFERROR(INDEX(ArchiveResults!$F$5:$IX$116,ComparisonData!A40,ComparisonData!$ZC$1),0)),5)</f>
        <v>0</v>
      </c>
      <c r="ZD40" s="46" cm="1">
        <f t="array" ref="ZD40">ROUNDDOWN(VALUE(IFERROR(INDEX(ArchiveResults!$F$5:$IX$116,ComparisonData!A40,ComparisonData!$ZD$1),0)),5)</f>
        <v>0</v>
      </c>
      <c r="ZE40" s="46" cm="1">
        <f t="array" ref="ZE40">ROUNDDOWN(VALUE(IFERROR(INDEX(ArchiveResults!$F$5:$IX$116,ComparisonData!A40,ComparisonData!$ZE$1),0)),5)</f>
        <v>0</v>
      </c>
      <c r="ZF40" s="56">
        <v>35</v>
      </c>
      <c r="ZG40" s="53" t="str">
        <f t="shared" si="626"/>
        <v>Hertfordshire Archives and Local Studies</v>
      </c>
      <c r="ZH40" s="60">
        <f t="shared" si="470"/>
        <v>0</v>
      </c>
      <c r="ZI40" s="60">
        <f t="shared" si="471"/>
        <v>0</v>
      </c>
      <c r="ZJ40" s="60">
        <f t="shared" si="472"/>
        <v>0</v>
      </c>
      <c r="ZK40" s="60">
        <f t="shared" si="473"/>
        <v>0</v>
      </c>
      <c r="ZL40" s="60">
        <f t="shared" si="474"/>
        <v>0</v>
      </c>
      <c r="ZM40" s="76">
        <f t="shared" si="475"/>
        <v>0</v>
      </c>
      <c r="ZN40" s="46">
        <f t="shared" si="476"/>
        <v>90</v>
      </c>
      <c r="ZO40" s="46">
        <f t="shared" si="627"/>
        <v>2.8889999999999998</v>
      </c>
      <c r="ZP40" s="46">
        <f t="shared" si="477"/>
        <v>1</v>
      </c>
      <c r="ZQ40" s="46">
        <f t="shared" si="478"/>
        <v>2</v>
      </c>
      <c r="ZR40" s="46" cm="1">
        <f t="array" ref="ZR40">ROUND(VALUE(IFERROR(INDEX(ArchiveResults!$F$5:$IX$116,ComparisonData!A40,ComparisonData!$ZR$1),0)),5)</f>
        <v>0</v>
      </c>
      <c r="ZS40" s="56">
        <v>35</v>
      </c>
      <c r="ZT40" s="53" t="str">
        <f t="shared" si="628"/>
        <v>Hertfordshire Archives and Local Studies</v>
      </c>
      <c r="ZU40" s="46">
        <f t="shared" si="479"/>
        <v>0</v>
      </c>
      <c r="ZV40" s="76">
        <f t="shared" si="480"/>
        <v>0</v>
      </c>
      <c r="ZW40" s="81" cm="1">
        <f t="array" ref="ZW40">ROUND((IFERROR(INDEX(ArchiveResults!$F$5:$IX$116,ComparisonData!A40,ComparisonData!$ZW$1),0)),5)</f>
        <v>0</v>
      </c>
      <c r="ZX40" s="81" cm="1">
        <f t="array" ref="ZX40">ROUND((IFERROR(INDEX(ArchiveResults!$F$5:$IX$116,ComparisonData!A40,ComparisonData!$ZX$1),0)),5)</f>
        <v>0</v>
      </c>
      <c r="ZY40" s="81" cm="1">
        <f t="array" ref="ZY40">ROUND((IFERROR(INDEX(ArchiveResults!$F$5:$IX$116,ComparisonData!A40,ComparisonData!$ZY$1),0)),5)</f>
        <v>0</v>
      </c>
      <c r="ZZ40" s="81" cm="1">
        <f t="array" ref="ZZ40">ROUND((IFERROR(INDEX(ArchiveResults!$F$5:$IX$116,ComparisonData!A40,ComparisonData!$ZZ$1),0)),5)</f>
        <v>0</v>
      </c>
      <c r="AAA40" s="81" cm="1">
        <f t="array" ref="AAA40">ROUND((IFERROR(INDEX(ArchiveResults!$F$5:$IX$116,ComparisonData!A40,ComparisonData!$AAA$1),0)),5)</f>
        <v>0</v>
      </c>
      <c r="AAB40" s="81" cm="1">
        <f t="array" ref="AAB40">ROUND((IFERROR(INDEX(ArchiveResults!$F$5:$IX$116,ComparisonData!A40,ComparisonData!$AAB$1),0)),5)</f>
        <v>0</v>
      </c>
      <c r="AAC40" s="81" cm="1">
        <f t="array" ref="AAC40">ROUND((IFERROR(INDEX(ArchiveResults!$F$5:$IX$116,ComparisonData!A40,ComparisonData!$AAC$1),0)),5)</f>
        <v>0</v>
      </c>
      <c r="AAD40" s="81" cm="1">
        <f t="array" ref="AAD40">ROUND((IFERROR(INDEX(ArchiveResults!$F$5:$IX$116,ComparisonData!A40,ComparisonData!$AAD$1),0)),5)</f>
        <v>0</v>
      </c>
      <c r="AAE40" s="81" cm="1">
        <f t="array" ref="AAE40">ROUND((IFERROR(INDEX(ArchiveResults!$F$5:$IX$116,ComparisonData!A40,ComparisonData!$AAE$1),0)),5)</f>
        <v>0</v>
      </c>
      <c r="AAF40" s="81" cm="1">
        <f t="array" ref="AAF40">ROUND((IFERROR(INDEX(ArchiveResults!$F$5:$IX$116,ComparisonData!A40,ComparisonData!$AAF$1),0)),5)</f>
        <v>0</v>
      </c>
      <c r="AAG40" s="46">
        <f t="shared" si="481"/>
        <v>90</v>
      </c>
      <c r="AAH40" s="46">
        <f t="shared" si="629"/>
        <v>2.8889999999999998</v>
      </c>
      <c r="AAI40" s="46">
        <f t="shared" si="482"/>
        <v>1</v>
      </c>
      <c r="AAJ40" s="46">
        <f t="shared" si="483"/>
        <v>2</v>
      </c>
      <c r="AAK40" s="46">
        <f t="shared" si="484"/>
        <v>0</v>
      </c>
      <c r="AAL40" s="46">
        <f t="shared" si="485"/>
        <v>0</v>
      </c>
      <c r="AAM40" s="46">
        <f t="shared" si="486"/>
        <v>0</v>
      </c>
      <c r="AAN40" s="46">
        <f t="shared" si="487"/>
        <v>0</v>
      </c>
      <c r="AAO40" s="46">
        <f t="shared" si="488"/>
        <v>0</v>
      </c>
      <c r="AAP40" s="46">
        <f t="shared" si="489"/>
        <v>0</v>
      </c>
      <c r="AAQ40" s="56">
        <v>35</v>
      </c>
      <c r="AAR40" s="53" t="str">
        <f t="shared" si="630"/>
        <v>Hertfordshire Archives and Local Studies</v>
      </c>
      <c r="AAS40" s="60">
        <f t="shared" si="490"/>
        <v>0</v>
      </c>
      <c r="AAT40" s="60">
        <f t="shared" si="491"/>
        <v>0</v>
      </c>
      <c r="AAU40" s="60">
        <f t="shared" si="492"/>
        <v>0</v>
      </c>
      <c r="AAV40" s="60">
        <f t="shared" si="493"/>
        <v>0</v>
      </c>
      <c r="AAW40" s="60">
        <f t="shared" si="494"/>
        <v>0</v>
      </c>
      <c r="AAX40" s="76">
        <f t="shared" si="495"/>
        <v>0</v>
      </c>
      <c r="AAY40" s="46">
        <f t="shared" si="496"/>
        <v>90</v>
      </c>
      <c r="AAZ40" s="46">
        <f t="shared" si="631"/>
        <v>2.8889999999999998</v>
      </c>
      <c r="ABA40" s="46">
        <f t="shared" si="497"/>
        <v>1</v>
      </c>
      <c r="ABB40" s="46">
        <f t="shared" si="498"/>
        <v>2</v>
      </c>
      <c r="ABC40" s="46">
        <f t="shared" si="102"/>
        <v>0</v>
      </c>
      <c r="ABD40" s="46" cm="1">
        <f t="array" ref="ABD40">ROUND(VALUE(IFERROR(INDEX(ArchiveResults!$F$5:$IX$116,ComparisonData!A40,ComparisonData!$ABD$1),0)),5)</f>
        <v>0</v>
      </c>
      <c r="ABE40" s="46" cm="1">
        <f t="array" ref="ABE40">ROUND(VALUE(IFERROR(INDEX(ArchiveResults!$F$5:$IX$116,ComparisonData!A40,ComparisonData!$ABE$1),0)),5)</f>
        <v>0</v>
      </c>
      <c r="ABF40" s="46" cm="1">
        <f t="array" ref="ABF40">ROUND(VALUE(IFERROR(INDEX(ArchiveResults!$F$5:$IX$116,ComparisonData!A40,ComparisonData!$ABF$1),0)),5)</f>
        <v>0</v>
      </c>
      <c r="ABG40" s="46" cm="1">
        <f t="array" ref="ABG40">ROUND(VALUE(IFERROR(INDEX(ArchiveResults!$F$5:$IX$116,ComparisonData!A40,ComparisonData!$ABG$1),0)),5)</f>
        <v>0</v>
      </c>
      <c r="ABH40" s="46" cm="1">
        <f t="array" ref="ABH40">ROUND(VALUE(IFERROR(INDEX(ArchiveResults!$F$5:$IX$116,ComparisonData!A40,ComparisonData!$ABH$1),0)),5)</f>
        <v>0</v>
      </c>
      <c r="ABI40" s="56">
        <v>35</v>
      </c>
      <c r="ABJ40" s="53" t="str">
        <f t="shared" si="632"/>
        <v>Hertfordshire Archives and Local Studies</v>
      </c>
      <c r="ABK40" s="60">
        <f t="shared" si="499"/>
        <v>0</v>
      </c>
      <c r="ABL40" s="60">
        <f t="shared" si="500"/>
        <v>0</v>
      </c>
      <c r="ABM40" s="60">
        <f t="shared" si="501"/>
        <v>0</v>
      </c>
      <c r="ABN40" s="60">
        <f t="shared" si="502"/>
        <v>0</v>
      </c>
      <c r="ABO40" s="60">
        <f t="shared" si="503"/>
        <v>0</v>
      </c>
      <c r="ABP40" s="76">
        <f t="shared" si="504"/>
        <v>0</v>
      </c>
      <c r="ABQ40" s="46">
        <f t="shared" si="505"/>
        <v>90</v>
      </c>
      <c r="ABR40" s="46">
        <f t="shared" si="633"/>
        <v>2.8889999999999998</v>
      </c>
      <c r="ABS40" s="46">
        <f t="shared" si="506"/>
        <v>1</v>
      </c>
      <c r="ABT40" s="46">
        <f t="shared" si="507"/>
        <v>2</v>
      </c>
      <c r="ABU40" s="46" cm="1">
        <f t="array" ref="ABU40">ROUND(VALUE(IFERROR(INDEX(ArchiveResults!$F$5:$IX$116,ComparisonData!A40,ComparisonData!$ABU$1),0)),5)</f>
        <v>0</v>
      </c>
      <c r="ABV40" s="46" cm="1">
        <f t="array" ref="ABV40">ROUND(VALUE(IFERROR(INDEX(ArchiveResults!$F$5:$IX$116,ComparisonData!A40,ComparisonData!$ABV$1),0)),5)</f>
        <v>0</v>
      </c>
      <c r="ABW40" s="46" cm="1">
        <f t="array" ref="ABW40">ROUND(VALUE(IFERROR(INDEX(ArchiveResults!$F$5:$IX$116,ComparisonData!A40,ComparisonData!$ABW$1),0)),5)</f>
        <v>0</v>
      </c>
      <c r="ABX40" s="46" cm="1">
        <f t="array" ref="ABX40">ROUND(VALUE(IFERROR(INDEX(ArchiveResults!$F$5:$IX$116,ComparisonData!A40,ComparisonData!$ABX$1),0)),5)</f>
        <v>0</v>
      </c>
      <c r="ABY40" s="46" cm="1">
        <f t="array" ref="ABY40">ROUND(VALUE(IFERROR(INDEX(ArchiveResults!$F$5:$IX$116,ComparisonData!A40,ComparisonData!$ABY$1),0)),5)</f>
        <v>0</v>
      </c>
      <c r="ABZ40" s="56">
        <v>35</v>
      </c>
      <c r="ACA40" s="53" t="str">
        <f t="shared" si="634"/>
        <v>Hertfordshire Archives and Local Studies</v>
      </c>
      <c r="ACB40" s="60">
        <f t="shared" si="508"/>
        <v>0</v>
      </c>
      <c r="ACC40" s="60">
        <f t="shared" si="509"/>
        <v>0</v>
      </c>
      <c r="ACD40" s="60">
        <f t="shared" si="510"/>
        <v>0</v>
      </c>
      <c r="ACE40" s="60">
        <f t="shared" si="511"/>
        <v>0</v>
      </c>
      <c r="ACF40" s="60">
        <f t="shared" si="512"/>
        <v>0</v>
      </c>
      <c r="ACG40" s="76">
        <f t="shared" si="513"/>
        <v>0</v>
      </c>
      <c r="ACH40" s="46">
        <f t="shared" si="514"/>
        <v>90</v>
      </c>
      <c r="ACI40" s="46">
        <f t="shared" si="635"/>
        <v>2.8889999999999998</v>
      </c>
      <c r="ACJ40" s="46">
        <f t="shared" si="515"/>
        <v>1</v>
      </c>
      <c r="ACK40" s="46">
        <f t="shared" si="516"/>
        <v>2</v>
      </c>
      <c r="ACL40" s="46">
        <f t="shared" si="517"/>
        <v>0</v>
      </c>
      <c r="ACM40" s="46" cm="1">
        <f t="array" ref="ACM40">ROUND(IFERROR(INDEX(ArchiveResults!$F$5:$IX$116,ComparisonData!A40,ComparisonData!$ACM$1),0),5)</f>
        <v>0</v>
      </c>
      <c r="ACN40" s="46" cm="1">
        <f t="array" ref="ACN40">ROUND(IFERROR(INDEX(ArchiveResults!$F$5:$IX$116,ComparisonData!A40,ComparisonData!$ACN$1),0),5)</f>
        <v>0</v>
      </c>
      <c r="ACO40" s="56">
        <v>35</v>
      </c>
      <c r="ACP40" s="53" t="str">
        <f t="shared" si="636"/>
        <v>Hertfordshire Archives and Local Studies</v>
      </c>
      <c r="ACQ40" s="60">
        <f t="shared" si="518"/>
        <v>0</v>
      </c>
      <c r="ACR40" s="60">
        <f t="shared" si="519"/>
        <v>0</v>
      </c>
      <c r="ACS40" s="76">
        <f t="shared" si="520"/>
        <v>0</v>
      </c>
      <c r="ACT40" s="46">
        <f t="shared" si="521"/>
        <v>90</v>
      </c>
      <c r="ACU40" s="46">
        <f t="shared" si="637"/>
        <v>2.8889999999999998</v>
      </c>
      <c r="ACV40" s="46">
        <f t="shared" si="522"/>
        <v>1</v>
      </c>
      <c r="ACW40" s="46">
        <f t="shared" si="523"/>
        <v>2</v>
      </c>
      <c r="ACX40" s="46">
        <f t="shared" si="524"/>
        <v>0</v>
      </c>
      <c r="ACY40" s="46" cm="1">
        <f t="array" ref="ACY40">ROUNDDOWN(IFERROR(INDEX(ArchiveResults!$F$5:$IX$116,ComparisonData!A40,ComparisonData!$ACY$1),0),5)</f>
        <v>0</v>
      </c>
      <c r="ACZ40" s="46" cm="1">
        <f t="array" ref="ACZ40">ROUNDDOWN(IFERROR(INDEX(ArchiveResults!$F$5:$IX$116,ComparisonData!A40,ComparisonData!$ACZ$1),0),5)</f>
        <v>0</v>
      </c>
      <c r="ADA40" s="46" cm="1">
        <f t="array" ref="ADA40">ROUNDDOWN(IFERROR(INDEX(ArchiveResults!$F$5:$IX$116,ComparisonData!A40,ComparisonData!$ADA$1),0),5)</f>
        <v>0</v>
      </c>
      <c r="ADB40" s="56">
        <v>35</v>
      </c>
      <c r="ADC40" s="53" t="str">
        <f t="shared" si="638"/>
        <v>Hertfordshire Archives and Local Studies</v>
      </c>
      <c r="ADD40" s="60">
        <f t="shared" si="525"/>
        <v>0</v>
      </c>
      <c r="ADE40" s="60">
        <f t="shared" si="526"/>
        <v>0</v>
      </c>
      <c r="ADF40" s="60">
        <f t="shared" si="527"/>
        <v>0</v>
      </c>
      <c r="ADG40" s="76">
        <f t="shared" si="528"/>
        <v>0</v>
      </c>
    </row>
    <row r="41" spans="1:787" x14ac:dyDescent="0.25">
      <c r="A41" s="46" t="str">
        <f>IF(ISBLANK(ComparisonSelection!F37),"",ROW()-5)</f>
        <v/>
      </c>
      <c r="B41" s="53" t="s">
        <v>490</v>
      </c>
      <c r="C41" s="72">
        <v>0.6589999999999997</v>
      </c>
      <c r="D41" s="55">
        <f t="shared" si="110"/>
        <v>45</v>
      </c>
      <c r="E41" s="54">
        <f t="shared" si="111"/>
        <v>2.6589999999999998</v>
      </c>
      <c r="F41" s="54">
        <f t="shared" si="529"/>
        <v>1</v>
      </c>
      <c r="G41" s="72">
        <f t="shared" si="112"/>
        <v>2</v>
      </c>
      <c r="H41" s="72">
        <f t="shared" si="113"/>
        <v>0</v>
      </c>
      <c r="I41" s="46" cm="1">
        <f t="array" ref="I41">ROUND(IFERROR(INDEX(ArchiveResults!$F$5:$IX$116,ComparisonData!A41,ComparisonData!$I$1),0),5)</f>
        <v>0</v>
      </c>
      <c r="J41" s="46" cm="1">
        <f t="array" ref="J41">ROUND(IFERROR(INDEX(ArchiveResults!$F$5:$IX$116,ComparisonData!A41,ComparisonData!$J$1),0),5)</f>
        <v>0</v>
      </c>
      <c r="K41" s="56">
        <v>36</v>
      </c>
      <c r="L41" s="53" t="str">
        <f t="shared" si="114"/>
        <v>Highland Archive Service: Highland Archive Centre, Inverness</v>
      </c>
      <c r="M41" s="57">
        <f t="shared" si="530"/>
        <v>0</v>
      </c>
      <c r="N41" s="57">
        <f t="shared" si="531"/>
        <v>0</v>
      </c>
      <c r="O41" s="58">
        <f t="shared" si="115"/>
        <v>0</v>
      </c>
      <c r="P41" s="48">
        <f t="shared" si="116"/>
        <v>45</v>
      </c>
      <c r="Q41" s="54">
        <f t="shared" si="532"/>
        <v>2.6589999999999998</v>
      </c>
      <c r="R41" s="45">
        <f t="shared" si="117"/>
        <v>1</v>
      </c>
      <c r="S41" s="46">
        <f t="shared" si="118"/>
        <v>2</v>
      </c>
      <c r="T41" s="72">
        <f t="shared" si="119"/>
        <v>0</v>
      </c>
      <c r="U41" s="46" cm="1">
        <f t="array" ref="U41">ROUND(IFERROR(INDEX(ArchiveResults!$F$5:$IX$116,ComparisonData!A41,ComparisonData!$U$1),0),5)</f>
        <v>0</v>
      </c>
      <c r="V41" s="46" cm="1">
        <f t="array" ref="V41">ROUND(IFERROR(INDEX(ArchiveResults!$F$5:$IX$116,ComparisonData!A41,ComparisonData!$V$1),0),5)</f>
        <v>0</v>
      </c>
      <c r="W41" s="56">
        <v>36</v>
      </c>
      <c r="X41" s="53" t="str">
        <f t="shared" si="533"/>
        <v>Highland Archive Service: Highland Archive Centre, Inverness</v>
      </c>
      <c r="Y41" s="57">
        <f t="shared" si="120"/>
        <v>0</v>
      </c>
      <c r="Z41" s="57">
        <f t="shared" si="121"/>
        <v>0</v>
      </c>
      <c r="AA41" s="58">
        <f t="shared" si="122"/>
        <v>0</v>
      </c>
      <c r="AB41" s="45">
        <f t="shared" si="123"/>
        <v>45</v>
      </c>
      <c r="AC41" s="54">
        <f t="shared" si="534"/>
        <v>2.6589999999999998</v>
      </c>
      <c r="AD41" s="45">
        <f t="shared" si="124"/>
        <v>1</v>
      </c>
      <c r="AE41" s="45">
        <f t="shared" si="125"/>
        <v>2</v>
      </c>
      <c r="AF41" s="45">
        <f t="shared" si="126"/>
        <v>0</v>
      </c>
      <c r="AG41" s="46" cm="1">
        <f t="array" ref="AG41">ROUND(IFERROR(INDEX(ArchiveResults!$F$5:$IX$116,ComparisonData!A41,ComparisonData!$AG$1),0),5)</f>
        <v>0</v>
      </c>
      <c r="AH41" s="46" cm="1">
        <f t="array" ref="AH41">ROUND(IFERROR(INDEX(ArchiveResults!$F$5:$IX$116,ComparisonData!A41,ComparisonData!$AH$1),0),5)</f>
        <v>0</v>
      </c>
      <c r="AI41" s="56">
        <v>36</v>
      </c>
      <c r="AJ41" s="53" t="str">
        <f t="shared" si="535"/>
        <v>Highland Archive Service: Highland Archive Centre, Inverness</v>
      </c>
      <c r="AK41" s="59">
        <f t="shared" si="536"/>
        <v>0</v>
      </c>
      <c r="AL41" s="59">
        <f t="shared" si="537"/>
        <v>0</v>
      </c>
      <c r="AM41" s="58">
        <f t="shared" si="127"/>
        <v>0</v>
      </c>
      <c r="AN41" s="45">
        <f t="shared" si="128"/>
        <v>45</v>
      </c>
      <c r="AO41" s="54">
        <f t="shared" si="538"/>
        <v>2.6589999999999998</v>
      </c>
      <c r="AP41" s="45">
        <f t="shared" si="129"/>
        <v>1</v>
      </c>
      <c r="AQ41" s="45">
        <f t="shared" si="130"/>
        <v>2</v>
      </c>
      <c r="AR41" s="46" cm="1">
        <f t="array" ref="AR41">ROUND(IFERROR(INDEX(ArchiveResults!$F$5:$IX$116,ComparisonData!A41,ComparisonData!$AR$1),0),5)</f>
        <v>0</v>
      </c>
      <c r="AS41" s="46" cm="1">
        <f t="array" ref="AS41">ROUND(IFERROR(INDEX(ArchiveResults!$F$5:$IX$116,ComparisonData!A41,ComparisonData!$AS$1),0),5)</f>
        <v>0</v>
      </c>
      <c r="AT41" s="46" cm="1">
        <f t="array" ref="AT41">ROUND(IFERROR(INDEX(ArchiveResults!$F$5:$IX$116,ComparisonData!A41,ComparisonData!$AT$1),0),5)</f>
        <v>0</v>
      </c>
      <c r="AU41" s="46" cm="1">
        <f t="array" ref="AU41">ROUND(IFERROR(INDEX(ArchiveResults!$F$5:$IX$116,ComparisonData!A41,ComparisonData!$AU$1),0),5)</f>
        <v>0</v>
      </c>
      <c r="AV41" s="46" cm="1">
        <f t="array" ref="AV41">ROUND(IFERROR(INDEX(ArchiveResults!$F$5:$IX$116,ComparisonData!A41,ComparisonData!$AV$1),0),5)</f>
        <v>0</v>
      </c>
      <c r="AW41" s="46" cm="1">
        <f t="array" ref="AW41">ROUND(IFERROR(INDEX(ArchiveResults!$F$5:$IX$116,ComparisonData!A41,ComparisonData!$AW$1),0),5)</f>
        <v>0</v>
      </c>
      <c r="AX41" s="46" cm="1">
        <f t="array" ref="AX41">ROUND(IFERROR(INDEX(ArchiveResults!$F$5:$IX$116,ComparisonData!A41,ComparisonData!$AX$1),0),5)</f>
        <v>0</v>
      </c>
      <c r="AY41" s="46" cm="1">
        <f t="array" ref="AY41">ROUND(IFERROR(INDEX(ArchiveResults!$F$5:$IX$116,ComparisonData!A41,ComparisonData!$AY$1),0),5)</f>
        <v>0</v>
      </c>
      <c r="AZ41" s="46" cm="1">
        <f t="array" ref="AZ41">ROUND(IFERROR(INDEX(ArchiveResults!$F$5:$IX$116,ComparisonData!A41,ComparisonData!$AZ$1),0),5)</f>
        <v>0</v>
      </c>
      <c r="BA41" s="46" cm="1">
        <f t="array" ref="BA41">ROUND(IFERROR(INDEX(ArchiveResults!$F$5:$IX$116,ComparisonData!A41,ComparisonData!$BA$1),0),5)</f>
        <v>0</v>
      </c>
      <c r="BB41" s="56">
        <v>36</v>
      </c>
      <c r="BC41" s="53" t="str">
        <f t="shared" si="539"/>
        <v>Highland Archive Service: Highland Archive Centre, Inverness</v>
      </c>
      <c r="BD41" s="60">
        <f t="shared" si="131"/>
        <v>0</v>
      </c>
      <c r="BE41" s="60">
        <f t="shared" si="132"/>
        <v>0</v>
      </c>
      <c r="BF41" s="60">
        <f t="shared" si="133"/>
        <v>0</v>
      </c>
      <c r="BG41" s="60">
        <f t="shared" si="134"/>
        <v>0</v>
      </c>
      <c r="BH41" s="60">
        <f t="shared" si="135"/>
        <v>0</v>
      </c>
      <c r="BI41" s="60">
        <f t="shared" si="136"/>
        <v>0</v>
      </c>
      <c r="BJ41" s="60">
        <f t="shared" si="137"/>
        <v>0</v>
      </c>
      <c r="BK41" s="60">
        <f t="shared" si="138"/>
        <v>0</v>
      </c>
      <c r="BL41" s="60">
        <f t="shared" si="139"/>
        <v>0</v>
      </c>
      <c r="BM41" s="59">
        <f t="shared" si="140"/>
        <v>0</v>
      </c>
      <c r="BN41" s="58">
        <f t="shared" si="141"/>
        <v>0</v>
      </c>
      <c r="BO41" s="45">
        <f t="shared" si="142"/>
        <v>45</v>
      </c>
      <c r="BP41" s="54">
        <f t="shared" si="540"/>
        <v>2.6589999999999998</v>
      </c>
      <c r="BQ41" s="45">
        <f t="shared" si="143"/>
        <v>1</v>
      </c>
      <c r="BR41" s="45">
        <f t="shared" si="144"/>
        <v>2</v>
      </c>
      <c r="BS41" s="46" cm="1">
        <f t="array" ref="BS41">ROUND(IFERROR(INDEX(ArchiveResults!$F$5:$IX$116,ComparisonData!A41,ComparisonData!$BS$1),0),5)</f>
        <v>0</v>
      </c>
      <c r="BT41" s="46" cm="1">
        <f t="array" ref="BT41">ROUND(IFERROR(INDEX(ArchiveResults!$F$5:$IX$116,ComparisonData!A41,ComparisonData!$BT$1),0),5)</f>
        <v>0</v>
      </c>
      <c r="BU41" s="46" cm="1">
        <f t="array" ref="BU41">ROUND(IFERROR(INDEX(ArchiveResults!$F$5:$IX$116,ComparisonData!A41,ComparisonData!$BU$1),0),5)</f>
        <v>0</v>
      </c>
      <c r="BV41" s="46" cm="1">
        <f t="array" ref="BV41">ROUND(IFERROR(INDEX(ArchiveResults!$F$5:$IX$116,ComparisonData!A41,ComparisonData!$BV$1),0),5)</f>
        <v>0</v>
      </c>
      <c r="BW41" s="46" cm="1">
        <f t="array" ref="BW41">ROUND(IFERROR(INDEX(ArchiveResults!$F$5:$IX$116,ComparisonData!A41,ComparisonData!$BW$1),0),5)</f>
        <v>0</v>
      </c>
      <c r="BX41" s="46" cm="1">
        <f t="array" ref="BX41">ROUND(IFERROR(INDEX(ArchiveResults!$F$5:$IX$116,ComparisonData!A41,ComparisonData!$BX$1),0),5)</f>
        <v>0</v>
      </c>
      <c r="BY41" s="56">
        <v>36</v>
      </c>
      <c r="BZ41" s="53" t="str">
        <f t="shared" si="541"/>
        <v>Highland Archive Service: Highland Archive Centre, Inverness</v>
      </c>
      <c r="CA41" s="59">
        <f t="shared" si="145"/>
        <v>0</v>
      </c>
      <c r="CB41" s="59">
        <f t="shared" si="146"/>
        <v>0</v>
      </c>
      <c r="CC41" s="59">
        <f t="shared" si="147"/>
        <v>0</v>
      </c>
      <c r="CD41" s="59">
        <f t="shared" si="148"/>
        <v>0</v>
      </c>
      <c r="CE41" s="59">
        <f t="shared" si="149"/>
        <v>0</v>
      </c>
      <c r="CF41" s="59">
        <f t="shared" si="150"/>
        <v>0</v>
      </c>
      <c r="CG41" s="58">
        <f t="shared" si="151"/>
        <v>0</v>
      </c>
      <c r="CH41" s="45">
        <f t="shared" si="152"/>
        <v>45</v>
      </c>
      <c r="CI41" s="54">
        <f t="shared" si="542"/>
        <v>2.6589999999999998</v>
      </c>
      <c r="CJ41" s="45">
        <f t="shared" si="153"/>
        <v>1</v>
      </c>
      <c r="CK41" s="45">
        <f t="shared" si="154"/>
        <v>2</v>
      </c>
      <c r="CL41" s="46" cm="1">
        <f t="array" ref="CL41">ROUND(IFERROR(INDEX(ArchiveResults!$F$5:$IX$116,ComparisonData!A41,ComparisonData!$CL$1),0),5)</f>
        <v>0</v>
      </c>
      <c r="CM41" s="56">
        <v>36</v>
      </c>
      <c r="CN41" s="53" t="str">
        <f t="shared" si="543"/>
        <v>Highland Archive Service: Highland Archive Centre, Inverness</v>
      </c>
      <c r="CO41" s="45">
        <f t="shared" si="155"/>
        <v>0</v>
      </c>
      <c r="CP41" s="58">
        <f t="shared" si="156"/>
        <v>0</v>
      </c>
      <c r="CQ41" s="45">
        <f t="shared" si="157"/>
        <v>45</v>
      </c>
      <c r="CR41" s="54">
        <f t="shared" si="544"/>
        <v>2.6589999999999998</v>
      </c>
      <c r="CS41" s="45">
        <f t="shared" si="158"/>
        <v>1</v>
      </c>
      <c r="CT41" s="45">
        <f t="shared" si="159"/>
        <v>2</v>
      </c>
      <c r="CU41" s="46" cm="1">
        <f t="array" ref="CU41">ROUND(IFERROR(INDEX(ArchiveResults!$F$5:$IX$116,ComparisonData!A41,ComparisonData!$CU$1),0),5)</f>
        <v>0</v>
      </c>
      <c r="CV41" s="56">
        <v>36</v>
      </c>
      <c r="CW41" s="53" t="str">
        <f t="shared" si="545"/>
        <v>Highland Archive Service: Highland Archive Centre, Inverness</v>
      </c>
      <c r="CX41" s="45">
        <f t="shared" si="160"/>
        <v>0</v>
      </c>
      <c r="CY41" s="58">
        <f t="shared" si="161"/>
        <v>0</v>
      </c>
      <c r="CZ41" s="45">
        <f t="shared" si="162"/>
        <v>45</v>
      </c>
      <c r="DA41" s="54">
        <f t="shared" si="546"/>
        <v>2.6589999999999998</v>
      </c>
      <c r="DB41" s="45">
        <f t="shared" si="163"/>
        <v>1</v>
      </c>
      <c r="DC41" s="45">
        <f t="shared" si="164"/>
        <v>2</v>
      </c>
      <c r="DD41" s="46" cm="1">
        <f t="array" ref="DD41">ROUND(IFERROR(INDEX(ArchiveResults!$F$5:$IX$116,ComparisonData!A41,ComparisonData!$DD$1),0),5)</f>
        <v>0</v>
      </c>
      <c r="DE41" s="56">
        <v>36</v>
      </c>
      <c r="DF41" s="53" t="str">
        <f t="shared" si="547"/>
        <v>Highland Archive Service: Highland Archive Centre, Inverness</v>
      </c>
      <c r="DG41" s="45">
        <f t="shared" si="165"/>
        <v>0</v>
      </c>
      <c r="DH41" s="58">
        <f t="shared" si="166"/>
        <v>0</v>
      </c>
      <c r="DI41" s="45">
        <f t="shared" si="167"/>
        <v>45</v>
      </c>
      <c r="DJ41" s="54">
        <f t="shared" si="548"/>
        <v>2.6589999999999998</v>
      </c>
      <c r="DK41" s="45">
        <f t="shared" si="168"/>
        <v>1</v>
      </c>
      <c r="DL41" s="45">
        <f t="shared" si="169"/>
        <v>2</v>
      </c>
      <c r="DM41" s="46" cm="1">
        <f t="array" ref="DM41">ROUND(IFERROR(INDEX(ArchiveResults!$F$5:$IX$116,ComparisonData!A41,ComparisonData!$DM$1),0),5)</f>
        <v>0</v>
      </c>
      <c r="DN41" s="46" cm="1">
        <f t="array" ref="DN41">ROUND(IFERROR(INDEX(ArchiveResults!$F$5:$IX$116,ComparisonData!A41,ComparisonData!$DN$1),0),5)</f>
        <v>0</v>
      </c>
      <c r="DO41" s="46" cm="1">
        <f t="array" ref="DO41">ROUND(IFERROR(INDEX(ArchiveResults!$F$5:$IX$116,ComparisonData!A41,ComparisonData!$DO$1),0),5)</f>
        <v>0</v>
      </c>
      <c r="DP41" s="46" cm="1">
        <f t="array" ref="DP41">ROUND(IFERROR(INDEX(ArchiveResults!$F$5:$IX$116,ComparisonData!A41,ComparisonData!$DP$1),0),5)</f>
        <v>0</v>
      </c>
      <c r="DQ41" s="45" cm="1">
        <f t="array" ref="DQ41">IFERROR(INDEX(ArchiveResults!$F$5:$IX$116,ComparisonData!A41,ComparisonData!$DQ$1),0)</f>
        <v>0</v>
      </c>
      <c r="DR41" s="56">
        <v>36</v>
      </c>
      <c r="DS41" s="53" t="str">
        <f t="shared" si="549"/>
        <v>Highland Archive Service: Highland Archive Centre, Inverness</v>
      </c>
      <c r="DT41" s="59">
        <f t="shared" si="170"/>
        <v>0</v>
      </c>
      <c r="DU41" s="59">
        <f t="shared" si="171"/>
        <v>0</v>
      </c>
      <c r="DV41" s="59">
        <f t="shared" si="172"/>
        <v>0</v>
      </c>
      <c r="DW41" s="59">
        <f t="shared" si="173"/>
        <v>0</v>
      </c>
      <c r="DX41" s="59">
        <f t="shared" si="174"/>
        <v>0</v>
      </c>
      <c r="DY41" s="58">
        <f t="shared" si="175"/>
        <v>0</v>
      </c>
      <c r="DZ41" s="45">
        <f t="shared" si="176"/>
        <v>45</v>
      </c>
      <c r="EA41" s="54">
        <f t="shared" si="550"/>
        <v>2.6589999999999998</v>
      </c>
      <c r="EB41" s="45">
        <f t="shared" si="177"/>
        <v>1</v>
      </c>
      <c r="EC41" s="45">
        <f t="shared" si="178"/>
        <v>2</v>
      </c>
      <c r="ED41" s="46" cm="1">
        <f t="array" ref="ED41">ROUND(IFERROR(INDEX(ArchiveResults!$F$5:$IX$116,ComparisonData!A41,ComparisonData!$ED$1),0),5)</f>
        <v>0</v>
      </c>
      <c r="EE41" s="46" cm="1">
        <f t="array" ref="EE41">ROUND(IFERROR(INDEX(ArchiveResults!$F$5:$IX$116,ComparisonData!A41,ComparisonData!$EE$1),0),5)</f>
        <v>0</v>
      </c>
      <c r="EF41" s="46" cm="1">
        <f t="array" ref="EF41">ROUND(IFERROR(INDEX(ArchiveResults!$F$5:$IX$116,ComparisonData!A41,ComparisonData!$EF$1),0),5)</f>
        <v>0</v>
      </c>
      <c r="EG41" s="46" cm="1">
        <f t="array" ref="EG41">ROUND(IFERROR(INDEX(ArchiveResults!$F$5:$IX$116,ComparisonData!A41,ComparisonData!$EG$1),0),5)</f>
        <v>0</v>
      </c>
      <c r="EH41" s="45" cm="1">
        <f t="array" ref="EH41">IFERROR(INDEX(ArchiveResults!$F$5:$IX$116,ComparisonData!A41,ComparisonData!$EH$1),0)</f>
        <v>0</v>
      </c>
      <c r="EI41" s="56">
        <v>36</v>
      </c>
      <c r="EJ41" s="53" t="str">
        <f t="shared" si="551"/>
        <v>Highland Archive Service: Highland Archive Centre, Inverness</v>
      </c>
      <c r="EK41" s="59">
        <f t="shared" si="179"/>
        <v>0</v>
      </c>
      <c r="EL41" s="59">
        <f t="shared" si="180"/>
        <v>0</v>
      </c>
      <c r="EM41" s="59">
        <f t="shared" si="181"/>
        <v>0</v>
      </c>
      <c r="EN41" s="59">
        <f t="shared" si="182"/>
        <v>0</v>
      </c>
      <c r="EO41" s="59">
        <f t="shared" si="183"/>
        <v>0</v>
      </c>
      <c r="EP41" s="58">
        <f t="shared" si="184"/>
        <v>0</v>
      </c>
      <c r="EQ41" s="45">
        <f t="shared" si="185"/>
        <v>45</v>
      </c>
      <c r="ER41" s="54">
        <f t="shared" si="552"/>
        <v>2.6589999999999998</v>
      </c>
      <c r="ES41" s="45">
        <f t="shared" si="186"/>
        <v>1</v>
      </c>
      <c r="ET41" s="45">
        <f t="shared" si="187"/>
        <v>2</v>
      </c>
      <c r="EU41" s="46" cm="1">
        <f t="array" ref="EU41">ROUND(IFERROR(INDEX(ArchiveResults!$F$5:$IX$116,ComparisonData!A41,ComparisonData!$EU$1),0),5)</f>
        <v>0</v>
      </c>
      <c r="EV41" s="46" cm="1">
        <f t="array" ref="EV41">ROUND(IFERROR(INDEX(ArchiveResults!$F$5:$IX$116,ComparisonData!A41,ComparisonData!$EV$1),0),5)</f>
        <v>0</v>
      </c>
      <c r="EW41" s="46" cm="1">
        <f t="array" ref="EW41">ROUND(IFERROR(INDEX(ArchiveResults!$F$5:$IX$116,ComparisonData!A41,ComparisonData!$EW$1),0),5)</f>
        <v>0</v>
      </c>
      <c r="EX41" s="46" cm="1">
        <f t="array" ref="EX41">ROUND(IFERROR(INDEX(ArchiveResults!$F$5:$IX$116,ComparisonData!A41,ComparisonData!$EX$1),0),5)</f>
        <v>0</v>
      </c>
      <c r="EY41" s="45" cm="1">
        <f t="array" ref="EY41">IFERROR(INDEX(ArchiveResults!$F$5:$IX$116,ComparisonData!A41,ComparisonData!$EY$1),0)</f>
        <v>0</v>
      </c>
      <c r="EZ41" s="56">
        <v>36</v>
      </c>
      <c r="FA41" s="53" t="str">
        <f t="shared" si="553"/>
        <v>Highland Archive Service: Highland Archive Centre, Inverness</v>
      </c>
      <c r="FB41" s="59">
        <f t="shared" si="188"/>
        <v>0</v>
      </c>
      <c r="FC41" s="59">
        <f t="shared" si="189"/>
        <v>0</v>
      </c>
      <c r="FD41" s="59">
        <f t="shared" si="190"/>
        <v>0</v>
      </c>
      <c r="FE41" s="59">
        <f t="shared" si="191"/>
        <v>0</v>
      </c>
      <c r="FF41" s="59">
        <f t="shared" si="192"/>
        <v>0</v>
      </c>
      <c r="FG41" s="58">
        <f t="shared" si="193"/>
        <v>0</v>
      </c>
      <c r="FH41" s="45">
        <f t="shared" si="194"/>
        <v>45</v>
      </c>
      <c r="FI41" s="54">
        <f t="shared" si="554"/>
        <v>2.6589999999999998</v>
      </c>
      <c r="FJ41" s="45">
        <f t="shared" si="195"/>
        <v>1</v>
      </c>
      <c r="FK41" s="45">
        <f t="shared" si="196"/>
        <v>2</v>
      </c>
      <c r="FL41" s="46" cm="1">
        <f t="array" ref="FL41">ROUND(IFERROR(INDEX(ArchiveResults!$F$5:$IX$116,ComparisonData!A41,ComparisonData!$FL$1),0),5)</f>
        <v>0</v>
      </c>
      <c r="FM41" s="46" cm="1">
        <f t="array" ref="FM41">ROUND(IFERROR(INDEX(ArchiveResults!$F$5:$IX$116,ComparisonData!A41,ComparisonData!$FM$1),0),5)</f>
        <v>0</v>
      </c>
      <c r="FN41" s="46" cm="1">
        <f t="array" ref="FN41">ROUND(IFERROR(INDEX(ArchiveResults!$F$5:$IX$116,ComparisonData!A41,ComparisonData!$FN$1),0),5)</f>
        <v>0</v>
      </c>
      <c r="FO41" s="46" cm="1">
        <f t="array" ref="FO41">ROUND(IFERROR(INDEX(ArchiveResults!$F$5:$IX$116,ComparisonData!A41,ComparisonData!$FO$1),0),5)</f>
        <v>0</v>
      </c>
      <c r="FP41" s="45" cm="1">
        <f t="array" ref="FP41">IFERROR(INDEX(ArchiveResults!$F$5:$IX$116,ComparisonData!A41,ComparisonData!$FP$1),0)</f>
        <v>0</v>
      </c>
      <c r="FQ41" s="56">
        <v>36</v>
      </c>
      <c r="FR41" s="53" t="str">
        <f t="shared" si="555"/>
        <v>Highland Archive Service: Highland Archive Centre, Inverness</v>
      </c>
      <c r="FS41" s="59">
        <f t="shared" si="197"/>
        <v>0</v>
      </c>
      <c r="FT41" s="59">
        <f t="shared" si="198"/>
        <v>0</v>
      </c>
      <c r="FU41" s="59">
        <f t="shared" si="199"/>
        <v>0</v>
      </c>
      <c r="FV41" s="59">
        <f t="shared" si="200"/>
        <v>0</v>
      </c>
      <c r="FW41" s="59">
        <f t="shared" si="201"/>
        <v>0</v>
      </c>
      <c r="FX41" s="58">
        <f t="shared" si="202"/>
        <v>0</v>
      </c>
      <c r="FY41" s="45">
        <f t="shared" si="203"/>
        <v>45</v>
      </c>
      <c r="FZ41" s="45">
        <f t="shared" si="556"/>
        <v>2.6589999999999998</v>
      </c>
      <c r="GA41" s="45">
        <f t="shared" si="204"/>
        <v>1</v>
      </c>
      <c r="GB41" s="45">
        <f t="shared" si="205"/>
        <v>2</v>
      </c>
      <c r="GC41" s="46" cm="1">
        <f t="array" ref="GC41">ROUND(IFERROR(INDEX(ArchiveResults!$F$5:$IX$116,ComparisonData!A41,ComparisonData!$GC$1),0),5)</f>
        <v>0</v>
      </c>
      <c r="GD41" s="46" cm="1">
        <f t="array" ref="GD41">ROUND(IFERROR(INDEX(ArchiveResults!$F$5:$IX$116,ComparisonData!A41,ComparisonData!$GD$1),0),5)</f>
        <v>0</v>
      </c>
      <c r="GE41" s="46" cm="1">
        <f t="array" ref="GE41">ROUND(IFERROR(INDEX(ArchiveResults!$F$5:$IX$116,ComparisonData!A41,ComparisonData!$GE$1),0),5)</f>
        <v>0</v>
      </c>
      <c r="GF41" s="46" cm="1">
        <f t="array" ref="GF41">ROUND(IFERROR(INDEX(ArchiveResults!$F$5:$IX$116,ComparisonData!A41,ComparisonData!$GF$1),0),5)</f>
        <v>0</v>
      </c>
      <c r="GG41" s="45" cm="1">
        <f t="array" ref="GG41">IFERROR(INDEX(ArchiveResults!$F$5:$IX$116,ComparisonData!A41,ComparisonData!$GG$1),0)</f>
        <v>0</v>
      </c>
      <c r="GH41" s="56">
        <v>36</v>
      </c>
      <c r="GI41" s="53" t="str">
        <f t="shared" si="557"/>
        <v>Highland Archive Service: Highland Archive Centre, Inverness</v>
      </c>
      <c r="GJ41" s="59">
        <f t="shared" si="206"/>
        <v>0</v>
      </c>
      <c r="GK41" s="59">
        <f t="shared" si="207"/>
        <v>0</v>
      </c>
      <c r="GL41" s="59">
        <f t="shared" si="208"/>
        <v>0</v>
      </c>
      <c r="GM41" s="59">
        <f t="shared" si="209"/>
        <v>0</v>
      </c>
      <c r="GN41" s="59">
        <f t="shared" si="210"/>
        <v>0</v>
      </c>
      <c r="GO41" s="58">
        <f t="shared" si="211"/>
        <v>0</v>
      </c>
      <c r="GP41" s="45">
        <f t="shared" si="212"/>
        <v>45</v>
      </c>
      <c r="GQ41" s="45">
        <f t="shared" si="558"/>
        <v>2.6589999999999998</v>
      </c>
      <c r="GR41" s="45">
        <f t="shared" si="213"/>
        <v>1</v>
      </c>
      <c r="GS41" s="45">
        <f t="shared" si="214"/>
        <v>2</v>
      </c>
      <c r="GT41" s="46" cm="1">
        <f t="array" ref="GT41">ROUND(IFERROR(INDEX(ArchiveResults!$F$5:$IX$116,ComparisonData!A41,ComparisonData!$GT$1),0),5)</f>
        <v>0</v>
      </c>
      <c r="GU41" s="46" cm="1">
        <f t="array" ref="GU41">ROUND(IFERROR(INDEX(ArchiveResults!$F$5:$IX$116,ComparisonData!A41,ComparisonData!$GU$1),0),5)</f>
        <v>0</v>
      </c>
      <c r="GV41" s="46" cm="1">
        <f t="array" ref="GV41">ROUND(IFERROR(INDEX(ArchiveResults!$F$5:$IX$116,ComparisonData!A41,ComparisonData!$GV$1),0),5)</f>
        <v>0</v>
      </c>
      <c r="GW41" s="46" cm="1">
        <f t="array" ref="GW41">ROUND(IFERROR(INDEX(ArchiveResults!$F$5:$IX$116,ComparisonData!A41,ComparisonData!$GW$1),0),5)</f>
        <v>0</v>
      </c>
      <c r="GX41" s="45" cm="1">
        <f t="array" ref="GX41">IFERROR(INDEX(ArchiveResults!$F$5:$IX$116,ComparisonData!A41,ComparisonData!$GX$1),0)</f>
        <v>0</v>
      </c>
      <c r="GY41" s="56">
        <v>36</v>
      </c>
      <c r="GZ41" s="53" t="str">
        <f t="shared" si="559"/>
        <v>Highland Archive Service: Highland Archive Centre, Inverness</v>
      </c>
      <c r="HA41" s="59">
        <f t="shared" si="215"/>
        <v>0</v>
      </c>
      <c r="HB41" s="59">
        <f t="shared" si="216"/>
        <v>0</v>
      </c>
      <c r="HC41" s="59">
        <f t="shared" si="217"/>
        <v>0</v>
      </c>
      <c r="HD41" s="59">
        <f t="shared" si="218"/>
        <v>0</v>
      </c>
      <c r="HE41" s="59">
        <f t="shared" si="219"/>
        <v>0</v>
      </c>
      <c r="HF41" s="58">
        <f t="shared" si="220"/>
        <v>0</v>
      </c>
      <c r="HG41" s="45">
        <f t="shared" si="221"/>
        <v>45</v>
      </c>
      <c r="HH41" s="45">
        <f t="shared" si="560"/>
        <v>2.6589999999999998</v>
      </c>
      <c r="HI41" s="45">
        <f t="shared" si="222"/>
        <v>1</v>
      </c>
      <c r="HJ41" s="45">
        <f t="shared" si="223"/>
        <v>2</v>
      </c>
      <c r="HK41" s="46" cm="1">
        <f t="array" ref="HK41">ROUND(IFERROR(INDEX(ArchiveResults!$F$5:$IX$116,ComparisonData!A41,ComparisonData!$HK$1),0),5)</f>
        <v>0</v>
      </c>
      <c r="HL41" s="46" cm="1">
        <f t="array" ref="HL41">ROUND(IFERROR(INDEX(ArchiveResults!$F$5:$IX$116,ComparisonData!A41,ComparisonData!$HL$1),0),5)</f>
        <v>0</v>
      </c>
      <c r="HM41" s="46" cm="1">
        <f t="array" ref="HM41">ROUND(IFERROR(INDEX(ArchiveResults!$F$5:$IX$116,ComparisonData!A41,ComparisonData!$HM$1),0),5)</f>
        <v>0</v>
      </c>
      <c r="HN41" s="46" cm="1">
        <f t="array" ref="HN41">ROUND(IFERROR(INDEX(ArchiveResults!$F$5:$IX$116,ComparisonData!A41,ComparisonData!$HN$1),0),5)</f>
        <v>0</v>
      </c>
      <c r="HO41" s="45" cm="1">
        <f t="array" ref="HO41">IFERROR(INDEX(ArchiveResults!$F$5:$IX$116,ComparisonData!A41,ComparisonData!$HO$1),0)</f>
        <v>0</v>
      </c>
      <c r="HP41" s="56">
        <v>36</v>
      </c>
      <c r="HQ41" s="53" t="str">
        <f t="shared" si="561"/>
        <v>Highland Archive Service: Highland Archive Centre, Inverness</v>
      </c>
      <c r="HR41" s="59">
        <f t="shared" si="562"/>
        <v>0</v>
      </c>
      <c r="HS41" s="59">
        <f t="shared" si="563"/>
        <v>0</v>
      </c>
      <c r="HT41" s="59">
        <f t="shared" si="564"/>
        <v>0</v>
      </c>
      <c r="HU41" s="59">
        <f t="shared" si="565"/>
        <v>0</v>
      </c>
      <c r="HV41" s="59">
        <f t="shared" si="566"/>
        <v>0</v>
      </c>
      <c r="HW41" s="58">
        <f t="shared" si="224"/>
        <v>0</v>
      </c>
      <c r="HX41" s="45">
        <f t="shared" si="225"/>
        <v>45</v>
      </c>
      <c r="HY41" s="45">
        <f t="shared" si="567"/>
        <v>2.6589999999999998</v>
      </c>
      <c r="HZ41" s="45">
        <f t="shared" si="226"/>
        <v>1</v>
      </c>
      <c r="IA41" s="45">
        <f t="shared" si="227"/>
        <v>2</v>
      </c>
      <c r="IB41" s="45">
        <f t="shared" si="228"/>
        <v>0</v>
      </c>
      <c r="IC41" s="46" cm="1">
        <f t="array" ref="IC41">ROUND(IFERROR(INDEX(ArchiveResults!$F$5:$IX$116,ComparisonData!A41,ComparisonData!$IC$1),0),5)</f>
        <v>0</v>
      </c>
      <c r="ID41" s="46" cm="1">
        <f t="array" ref="ID41">ROUND(IFERROR(INDEX(ArchiveResults!$F$5:$IX$116,ComparisonData!A41,ComparisonData!$ID$1),0),5)</f>
        <v>0</v>
      </c>
      <c r="IE41" s="46" cm="1">
        <f t="array" ref="IE41">ROUND(IFERROR(INDEX(ArchiveResults!$F$5:$IX$116,ComparisonData!A41,ComparisonData!$IE$1),0),5)</f>
        <v>0</v>
      </c>
      <c r="IF41" s="46" cm="1">
        <f t="array" ref="IF41">ROUND(IFERROR(INDEX(ArchiveResults!$F$5:$IX$116,ComparisonData!A41,ComparisonData!$IF$1),0),5)</f>
        <v>0</v>
      </c>
      <c r="IG41" s="45" cm="1">
        <f t="array" ref="IG41">IFERROR(INDEX(ArchiveResults!$F$5:$IX$116,ComparisonData!A41,ComparisonData!$IG$1),0)</f>
        <v>0</v>
      </c>
      <c r="IH41" s="56">
        <v>36</v>
      </c>
      <c r="II41" s="53" t="str">
        <f t="shared" si="568"/>
        <v>Highland Archive Service: Highland Archive Centre, Inverness</v>
      </c>
      <c r="IJ41" s="59">
        <f t="shared" si="229"/>
        <v>0</v>
      </c>
      <c r="IK41" s="59">
        <f t="shared" si="230"/>
        <v>0</v>
      </c>
      <c r="IL41" s="59">
        <f t="shared" si="231"/>
        <v>0</v>
      </c>
      <c r="IM41" s="59">
        <f t="shared" si="232"/>
        <v>0</v>
      </c>
      <c r="IN41" s="59">
        <f t="shared" si="233"/>
        <v>0</v>
      </c>
      <c r="IO41" s="58">
        <f t="shared" si="234"/>
        <v>0</v>
      </c>
      <c r="IP41" s="45">
        <f t="shared" si="235"/>
        <v>45</v>
      </c>
      <c r="IQ41" s="45">
        <f t="shared" si="569"/>
        <v>2.6589999999999998</v>
      </c>
      <c r="IR41" s="45">
        <f t="shared" si="236"/>
        <v>1</v>
      </c>
      <c r="IS41" s="45">
        <f t="shared" si="237"/>
        <v>2</v>
      </c>
      <c r="IT41" s="46">
        <f t="shared" si="238"/>
        <v>0</v>
      </c>
      <c r="IU41" s="46" cm="1">
        <f t="array" ref="IU41">ROUND(IFERROR(INDEX(ArchiveResults!$F$5:$IX$116,ComparisonData!A41,ComparisonData!$IU$1),0),5)</f>
        <v>0</v>
      </c>
      <c r="IV41" s="46" cm="1">
        <f t="array" ref="IV41">ROUND(IFERROR(INDEX(ArchiveResults!$F$5:$IX$116,ComparisonData!A41,ComparisonData!$IV$1),0),5)</f>
        <v>0</v>
      </c>
      <c r="IW41" s="46" cm="1">
        <f t="array" ref="IW41">ROUND(IFERROR(INDEX(ArchiveResults!$F$5:$IX$116,ComparisonData!A41,ComparisonData!$IW$1),0),5)</f>
        <v>0</v>
      </c>
      <c r="IX41" s="46" cm="1">
        <f t="array" ref="IX41">ROUND(IFERROR(INDEX(ArchiveResults!$F$5:$IX$116,ComparisonData!A41,ComparisonData!$IX$1),0),5)</f>
        <v>0</v>
      </c>
      <c r="IY41" s="45" cm="1">
        <f t="array" ref="IY41">IFERROR(INDEX(ArchiveResults!$F$5:$IX$116,ComparisonData!A41,ComparisonData!$IY$1),0)</f>
        <v>0</v>
      </c>
      <c r="IZ41" s="56">
        <v>36</v>
      </c>
      <c r="JA41" s="53" t="str">
        <f t="shared" si="570"/>
        <v>Highland Archive Service: Highland Archive Centre, Inverness</v>
      </c>
      <c r="JB41" s="59">
        <f t="shared" si="239"/>
        <v>0</v>
      </c>
      <c r="JC41" s="59">
        <f t="shared" si="240"/>
        <v>0</v>
      </c>
      <c r="JD41" s="59">
        <f t="shared" si="241"/>
        <v>0</v>
      </c>
      <c r="JE41" s="59">
        <f t="shared" si="242"/>
        <v>0</v>
      </c>
      <c r="JF41" s="59">
        <f t="shared" si="243"/>
        <v>0</v>
      </c>
      <c r="JG41" s="58">
        <f t="shared" si="244"/>
        <v>0</v>
      </c>
      <c r="JH41" s="45">
        <f t="shared" si="245"/>
        <v>45</v>
      </c>
      <c r="JI41" s="45">
        <f t="shared" si="571"/>
        <v>2.6589999999999998</v>
      </c>
      <c r="JJ41" s="45">
        <f t="shared" si="246"/>
        <v>1</v>
      </c>
      <c r="JK41" s="45">
        <f t="shared" si="247"/>
        <v>2</v>
      </c>
      <c r="JL41" s="45">
        <f t="shared" si="248"/>
        <v>0</v>
      </c>
      <c r="JM41" s="46" cm="1">
        <f t="array" ref="JM41">ROUND(IFERROR(INDEX(ArchiveResults!$F$5:$IX$116,ComparisonData!A41,ComparisonData!$JM$1),0),5)</f>
        <v>0</v>
      </c>
      <c r="JN41" s="46" cm="1">
        <f t="array" ref="JN41">ROUND(IFERROR(INDEX(ArchiveResults!$F$5:$IX$116,ComparisonData!A41,ComparisonData!$JN$1),0),5)</f>
        <v>0</v>
      </c>
      <c r="JO41" s="46" cm="1">
        <f t="array" ref="JO41">ROUND(IFERROR(INDEX(ArchiveResults!$F$5:$IX$116,ComparisonData!A41,ComparisonData!$JO$1),0),5)</f>
        <v>0</v>
      </c>
      <c r="JP41" s="46" cm="1">
        <f t="array" ref="JP41">ROUND(IFERROR(INDEX(ArchiveResults!$F$5:$IX$116,ComparisonData!A41,ComparisonData!$JP$1),0),5)</f>
        <v>0</v>
      </c>
      <c r="JQ41" s="45" cm="1">
        <f t="array" ref="JQ41">IFERROR(INDEX(ArchiveResults!$F$5:$IX$116,ComparisonData!A41,ComparisonData!$JQ$1),0)</f>
        <v>0</v>
      </c>
      <c r="JR41" s="56">
        <v>36</v>
      </c>
      <c r="JS41" s="53" t="str">
        <f t="shared" si="572"/>
        <v>Highland Archive Service: Highland Archive Centre, Inverness</v>
      </c>
      <c r="JT41" s="59">
        <f t="shared" si="249"/>
        <v>0</v>
      </c>
      <c r="JU41" s="59">
        <f t="shared" si="250"/>
        <v>0</v>
      </c>
      <c r="JV41" s="59">
        <f t="shared" si="251"/>
        <v>0</v>
      </c>
      <c r="JW41" s="59">
        <f t="shared" si="252"/>
        <v>0</v>
      </c>
      <c r="JX41" s="59">
        <f t="shared" si="253"/>
        <v>0</v>
      </c>
      <c r="JY41" s="58">
        <f t="shared" si="254"/>
        <v>0</v>
      </c>
      <c r="JZ41" s="45">
        <f t="shared" si="255"/>
        <v>45</v>
      </c>
      <c r="KA41" s="45">
        <f t="shared" si="573"/>
        <v>2.6589999999999998</v>
      </c>
      <c r="KB41" s="45">
        <f t="shared" si="256"/>
        <v>1</v>
      </c>
      <c r="KC41" s="45">
        <f t="shared" si="257"/>
        <v>2</v>
      </c>
      <c r="KD41" s="45">
        <f t="shared" si="258"/>
        <v>0</v>
      </c>
      <c r="KE41" s="46" cm="1">
        <f t="array" ref="KE41">ROUND(IFERROR(INDEX(ArchiveResults!$F$5:$IX$116,ComparisonData!A41,ComparisonData!$KE$1),0),5)</f>
        <v>0</v>
      </c>
      <c r="KF41" s="46" cm="1">
        <f t="array" ref="KF41">ROUND(IFERROR(INDEX(ArchiveResults!$F$5:$IX$116,ComparisonData!A41,ComparisonData!$KF$1),0),5)</f>
        <v>0</v>
      </c>
      <c r="KG41" s="46" cm="1">
        <f t="array" ref="KG41">ROUND(IFERROR(INDEX(ArchiveResults!$F$5:$IX$116,ComparisonData!A41,ComparisonData!$KG$1),0),5)</f>
        <v>0</v>
      </c>
      <c r="KH41" s="46" cm="1">
        <f t="array" ref="KH41">ROUND(IFERROR(INDEX(ArchiveResults!$F$5:$IX$116,ComparisonData!A41,ComparisonData!$KH$1),0),5)</f>
        <v>0</v>
      </c>
      <c r="KI41" s="45" cm="1">
        <f t="array" ref="KI41">IFERROR(INDEX(ArchiveResults!$F$5:$IX$116,ComparisonData!A41,ComparisonData!$KI$1),0)</f>
        <v>0</v>
      </c>
      <c r="KJ41" s="56">
        <v>36</v>
      </c>
      <c r="KK41" s="53" t="str">
        <f t="shared" si="574"/>
        <v>Highland Archive Service: Highland Archive Centre, Inverness</v>
      </c>
      <c r="KL41" s="59">
        <f t="shared" si="259"/>
        <v>0</v>
      </c>
      <c r="KM41" s="59">
        <f t="shared" si="260"/>
        <v>0</v>
      </c>
      <c r="KN41" s="59">
        <f t="shared" si="261"/>
        <v>0</v>
      </c>
      <c r="KO41" s="59">
        <f t="shared" si="262"/>
        <v>0</v>
      </c>
      <c r="KP41" s="59">
        <f t="shared" si="263"/>
        <v>0</v>
      </c>
      <c r="KQ41" s="58">
        <f t="shared" si="264"/>
        <v>0</v>
      </c>
      <c r="KR41" s="45">
        <f t="shared" si="265"/>
        <v>45</v>
      </c>
      <c r="KS41" s="45">
        <f t="shared" si="575"/>
        <v>2.6589999999999998</v>
      </c>
      <c r="KT41" s="45">
        <f t="shared" si="266"/>
        <v>1</v>
      </c>
      <c r="KU41" s="45">
        <f t="shared" si="267"/>
        <v>2</v>
      </c>
      <c r="KV41" s="45">
        <f t="shared" si="268"/>
        <v>0</v>
      </c>
      <c r="KW41" s="46" cm="1">
        <f t="array" ref="KW41">ROUND(IFERROR(INDEX(ArchiveResults!$F$5:$IX$116,ComparisonData!A41,ComparisonData!$KW$1),0),5)</f>
        <v>0</v>
      </c>
      <c r="KX41" s="46" cm="1">
        <f t="array" ref="KX41">ROUND(IFERROR(INDEX(ArchiveResults!$F$5:$IX$116,ComparisonData!A41,ComparisonData!$KX$1),0),5)</f>
        <v>0</v>
      </c>
      <c r="KY41" s="46" cm="1">
        <f t="array" ref="KY41">ROUND(IFERROR(INDEX(ArchiveResults!$F$5:$IX$116,ComparisonData!A41,ComparisonData!$KY$1),0),5)</f>
        <v>0</v>
      </c>
      <c r="KZ41" s="46" cm="1">
        <f t="array" ref="KZ41">ROUND(IFERROR(INDEX(ArchiveResults!$F$5:$IX$116,ComparisonData!A41,ComparisonData!$KZ$1),0),5)</f>
        <v>0</v>
      </c>
      <c r="LA41" s="45" cm="1">
        <f t="array" ref="LA41">IFERROR(INDEX(ArchiveResults!$F$5:$IX$116,ComparisonData!A41,ComparisonData!$LA$1),0)</f>
        <v>0</v>
      </c>
      <c r="LB41" s="56">
        <v>36</v>
      </c>
      <c r="LC41" s="53" t="str">
        <f t="shared" si="576"/>
        <v>Highland Archive Service: Highland Archive Centre, Inverness</v>
      </c>
      <c r="LD41" s="59">
        <f t="shared" si="269"/>
        <v>0</v>
      </c>
      <c r="LE41" s="59">
        <f t="shared" si="270"/>
        <v>0</v>
      </c>
      <c r="LF41" s="59">
        <f t="shared" si="271"/>
        <v>0</v>
      </c>
      <c r="LG41" s="59">
        <f t="shared" si="272"/>
        <v>0</v>
      </c>
      <c r="LH41" s="59">
        <f t="shared" si="273"/>
        <v>0</v>
      </c>
      <c r="LI41" s="58">
        <f t="shared" si="274"/>
        <v>0</v>
      </c>
      <c r="LJ41" s="45">
        <f t="shared" si="275"/>
        <v>45</v>
      </c>
      <c r="LK41" s="45">
        <f t="shared" si="577"/>
        <v>2.6589999999999998</v>
      </c>
      <c r="LL41" s="45">
        <f t="shared" si="276"/>
        <v>1</v>
      </c>
      <c r="LM41" s="45">
        <f t="shared" si="277"/>
        <v>2</v>
      </c>
      <c r="LN41" s="45">
        <f t="shared" si="278"/>
        <v>0</v>
      </c>
      <c r="LO41" s="46" cm="1">
        <f t="array" ref="LO41">ROUND(IFERROR(INDEX(ArchiveResults!$F$5:$IX$116,ComparisonData!A41,ComparisonData!$LO$1),0),5)</f>
        <v>0</v>
      </c>
      <c r="LP41" s="46" cm="1">
        <f t="array" ref="LP41">ROUND(IFERROR(INDEX(ArchiveResults!$F$5:$IX$116,ComparisonData!A41,ComparisonData!$LP$1),0),5)</f>
        <v>0</v>
      </c>
      <c r="LQ41" s="46" cm="1">
        <f t="array" ref="LQ41">ROUND(IFERROR(INDEX(ArchiveResults!$F$5:$IX$116,ComparisonData!A41,ComparisonData!$LQ$1),0),5)</f>
        <v>0</v>
      </c>
      <c r="LR41" s="46" cm="1">
        <f t="array" ref="LR41">ROUND(IFERROR(INDEX(ArchiveResults!$F$5:$IX$116,ComparisonData!A41,ComparisonData!$LR$1),0),5)</f>
        <v>0</v>
      </c>
      <c r="LS41" s="45" cm="1">
        <f t="array" ref="LS41">IFERROR(INDEX(ArchiveResults!$F$5:$IX$116,ComparisonData!A41,ComparisonData!$LS$1),0)</f>
        <v>0</v>
      </c>
      <c r="LT41" s="56">
        <v>36</v>
      </c>
      <c r="LU41" s="53" t="str">
        <f t="shared" si="578"/>
        <v>Highland Archive Service: Highland Archive Centre, Inverness</v>
      </c>
      <c r="LV41" s="59">
        <f t="shared" si="279"/>
        <v>0</v>
      </c>
      <c r="LW41" s="59">
        <f t="shared" si="280"/>
        <v>0</v>
      </c>
      <c r="LX41" s="59">
        <f t="shared" si="281"/>
        <v>0</v>
      </c>
      <c r="LY41" s="59">
        <f t="shared" si="282"/>
        <v>0</v>
      </c>
      <c r="LZ41" s="59">
        <f t="shared" si="283"/>
        <v>0</v>
      </c>
      <c r="MA41" s="58">
        <f t="shared" si="284"/>
        <v>0</v>
      </c>
      <c r="MB41" s="45">
        <f t="shared" si="285"/>
        <v>45</v>
      </c>
      <c r="MC41" s="45">
        <f t="shared" si="579"/>
        <v>2.6589999999999998</v>
      </c>
      <c r="MD41" s="45">
        <f t="shared" si="286"/>
        <v>1</v>
      </c>
      <c r="ME41" s="45">
        <f t="shared" si="287"/>
        <v>2</v>
      </c>
      <c r="MF41" s="45">
        <f t="shared" si="288"/>
        <v>0</v>
      </c>
      <c r="MG41" s="46" cm="1">
        <f t="array" ref="MG41">ROUND(IFERROR(INDEX(ArchiveResults!$F$5:$IX$116,ComparisonData!A41,ComparisonData!$MG$1),0),5)</f>
        <v>0</v>
      </c>
      <c r="MH41" s="46" cm="1">
        <f t="array" ref="MH41">ROUND(IFERROR(INDEX(ArchiveResults!$F$5:$IX$116,ComparisonData!A41,ComparisonData!$MH$1),0),5)</f>
        <v>0</v>
      </c>
      <c r="MI41" s="46" cm="1">
        <f t="array" ref="MI41">ROUND(IFERROR(INDEX(ArchiveResults!$F$5:$IX$116,ComparisonData!A41,ComparisonData!$MI$1),0),5)</f>
        <v>0</v>
      </c>
      <c r="MJ41" s="46" cm="1">
        <f t="array" ref="MJ41">ROUND(IFERROR(INDEX(ArchiveResults!$F$5:$IX$116,ComparisonData!A41,ComparisonData!$MJ$1),0),5)</f>
        <v>0</v>
      </c>
      <c r="MK41" s="45" cm="1">
        <f t="array" ref="MK41">IFERROR(INDEX(ArchiveResults!$F$5:$IX$116,ComparisonData!A41,ComparisonData!$MK$1),0)</f>
        <v>0</v>
      </c>
      <c r="ML41" s="56">
        <v>36</v>
      </c>
      <c r="MM41" s="53" t="str">
        <f t="shared" si="580"/>
        <v>Highland Archive Service: Highland Archive Centre, Inverness</v>
      </c>
      <c r="MN41" s="59">
        <f t="shared" si="289"/>
        <v>0</v>
      </c>
      <c r="MO41" s="59">
        <f t="shared" si="290"/>
        <v>0</v>
      </c>
      <c r="MP41" s="59">
        <f t="shared" si="291"/>
        <v>0</v>
      </c>
      <c r="MQ41" s="59">
        <f t="shared" si="292"/>
        <v>0</v>
      </c>
      <c r="MR41" s="59">
        <f t="shared" si="293"/>
        <v>0</v>
      </c>
      <c r="MS41" s="58">
        <f t="shared" si="294"/>
        <v>0</v>
      </c>
      <c r="MT41" s="45">
        <f t="shared" si="295"/>
        <v>45</v>
      </c>
      <c r="MU41" s="45">
        <f t="shared" si="581"/>
        <v>2.6589999999999998</v>
      </c>
      <c r="MV41" s="45">
        <f t="shared" si="296"/>
        <v>1</v>
      </c>
      <c r="MW41" s="45">
        <f t="shared" si="297"/>
        <v>2</v>
      </c>
      <c r="MX41" s="45">
        <f t="shared" si="298"/>
        <v>0</v>
      </c>
      <c r="MY41" s="46" cm="1">
        <f t="array" ref="MY41">ROUND(IFERROR(INDEX(ArchiveResults!$F$5:$IX$116,ComparisonData!A41,ComparisonData!$MY$1),0),5)</f>
        <v>0</v>
      </c>
      <c r="MZ41" s="46" cm="1">
        <f t="array" ref="MZ41">ROUND(IFERROR(INDEX(ArchiveResults!$F$5:$IX$116,ComparisonData!A41,ComparisonData!$MZ$1),0),5)</f>
        <v>0</v>
      </c>
      <c r="NA41" s="46" cm="1">
        <f t="array" ref="NA41">ROUND(IFERROR(INDEX(ArchiveResults!$F$5:$IX$116,ComparisonData!A41,ComparisonData!$NA$1),0),5)</f>
        <v>0</v>
      </c>
      <c r="NB41" s="46" cm="1">
        <f t="array" ref="NB41">ROUND(IFERROR(INDEX(ArchiveResults!$F$5:$IX$116,ComparisonData!A41,ComparisonData!$NB$1),0),5)</f>
        <v>0</v>
      </c>
      <c r="NC41" s="45" cm="1">
        <f t="array" ref="NC41">IFERROR(INDEX(ArchiveResults!$F$5:$IX$116,ComparisonData!A41,ComparisonData!$NC$1),0)</f>
        <v>0</v>
      </c>
      <c r="ND41" s="56">
        <v>36</v>
      </c>
      <c r="NE41" s="53" t="str">
        <f t="shared" si="582"/>
        <v>Highland Archive Service: Highland Archive Centre, Inverness</v>
      </c>
      <c r="NF41" s="59">
        <f t="shared" si="299"/>
        <v>0</v>
      </c>
      <c r="NG41" s="59">
        <f t="shared" si="300"/>
        <v>0</v>
      </c>
      <c r="NH41" s="59">
        <f t="shared" si="301"/>
        <v>0</v>
      </c>
      <c r="NI41" s="59">
        <f t="shared" si="302"/>
        <v>0</v>
      </c>
      <c r="NJ41" s="59">
        <f t="shared" si="303"/>
        <v>0</v>
      </c>
      <c r="NK41" s="58">
        <f t="shared" si="304"/>
        <v>0</v>
      </c>
      <c r="NL41" s="45">
        <f t="shared" si="305"/>
        <v>45</v>
      </c>
      <c r="NM41" s="45">
        <f t="shared" si="583"/>
        <v>2.6589999999999998</v>
      </c>
      <c r="NN41" s="45">
        <f t="shared" si="306"/>
        <v>1</v>
      </c>
      <c r="NO41" s="45">
        <f t="shared" si="307"/>
        <v>2</v>
      </c>
      <c r="NP41" s="46" cm="1">
        <f t="array" ref="NP41">ROUND(IFERROR(INDEX(ArchiveResults!$F$5:$IX$116,ComparisonData!A41,ComparisonData!$NP$1),0),5)</f>
        <v>0</v>
      </c>
      <c r="NQ41" s="46" cm="1">
        <f t="array" ref="NQ41">ROUND(IFERROR(INDEX(ArchiveResults!$F$5:$IX$116,ComparisonData!A41,ComparisonData!$NQ$1),0),5)</f>
        <v>0</v>
      </c>
      <c r="NR41" s="46" cm="1">
        <f t="array" ref="NR41">ROUND(IFERROR(INDEX(ArchiveResults!$F$5:$IX$116,ComparisonData!A41,ComparisonData!$NR$1),0),5)</f>
        <v>0</v>
      </c>
      <c r="NS41" s="46" cm="1">
        <f t="array" ref="NS41">ROUND(IFERROR(INDEX(ArchiveResults!$F$5:$IX$116,ComparisonData!A41,ComparisonData!$NS$1),0),5)</f>
        <v>0</v>
      </c>
      <c r="NT41" s="45" cm="1">
        <f t="array" ref="NT41">IFERROR(INDEX(ArchiveResults!$F$5:$IX$116,ComparisonData!A41,ComparisonData!$NT$1),0)</f>
        <v>0</v>
      </c>
      <c r="NU41" s="56">
        <v>36</v>
      </c>
      <c r="NV41" s="53" t="str">
        <f t="shared" si="584"/>
        <v>Highland Archive Service: Highland Archive Centre, Inverness</v>
      </c>
      <c r="NW41" s="59">
        <f t="shared" si="308"/>
        <v>0</v>
      </c>
      <c r="NX41" s="59">
        <f t="shared" si="309"/>
        <v>0</v>
      </c>
      <c r="NY41" s="59">
        <f t="shared" si="310"/>
        <v>0</v>
      </c>
      <c r="NZ41" s="59">
        <f t="shared" si="311"/>
        <v>0</v>
      </c>
      <c r="OA41" s="59">
        <f t="shared" si="312"/>
        <v>0</v>
      </c>
      <c r="OB41" s="58">
        <f t="shared" si="313"/>
        <v>0</v>
      </c>
      <c r="OC41" s="45">
        <f t="shared" si="314"/>
        <v>45</v>
      </c>
      <c r="OD41" s="45">
        <f t="shared" si="585"/>
        <v>2.6589999999999998</v>
      </c>
      <c r="OE41" s="45">
        <f t="shared" si="315"/>
        <v>1</v>
      </c>
      <c r="OF41" s="45">
        <f t="shared" si="316"/>
        <v>2</v>
      </c>
      <c r="OG41" s="46">
        <f t="shared" si="317"/>
        <v>0</v>
      </c>
      <c r="OH41" s="46" cm="1">
        <f t="array" ref="OH41">ROUND(IFERROR(INDEX(ArchiveResults!$F$5:$IX$116,ComparisonData!A41,ComparisonData!$OH$1),0),5)</f>
        <v>0</v>
      </c>
      <c r="OI41" s="46" cm="1">
        <f t="array" ref="OI41">ROUND(IFERROR(INDEX(ArchiveResults!$F$5:$IX$116,ComparisonData!A41,ComparisonData!$OI$1),0),5)</f>
        <v>0</v>
      </c>
      <c r="OJ41" s="46" cm="1">
        <f t="array" ref="OJ41">ROUND(IFERROR(INDEX(ArchiveResults!$F$5:$IX$116,ComparisonData!A41,ComparisonData!$OJ$1),0),5)</f>
        <v>0</v>
      </c>
      <c r="OK41" s="46" cm="1">
        <f t="array" ref="OK41">ROUND(IFERROR(INDEX(ArchiveResults!$F$5:$IX$116,ComparisonData!A41,ComparisonData!$OK$1),0),5)</f>
        <v>0</v>
      </c>
      <c r="OL41" s="45" cm="1">
        <f t="array" ref="OL41">IFERROR(INDEX(ArchiveResults!$F$5:$IX$116,ComparisonData!A41,ComparisonData!$OL$1),0)</f>
        <v>0</v>
      </c>
      <c r="OM41" s="56">
        <v>36</v>
      </c>
      <c r="ON41" s="53" t="str">
        <f t="shared" si="586"/>
        <v>Highland Archive Service: Highland Archive Centre, Inverness</v>
      </c>
      <c r="OO41" s="59">
        <f t="shared" si="318"/>
        <v>0</v>
      </c>
      <c r="OP41" s="59">
        <f t="shared" si="319"/>
        <v>0</v>
      </c>
      <c r="OQ41" s="59">
        <f t="shared" si="320"/>
        <v>0</v>
      </c>
      <c r="OR41" s="59">
        <f t="shared" si="321"/>
        <v>0</v>
      </c>
      <c r="OS41" s="59">
        <f t="shared" si="322"/>
        <v>0</v>
      </c>
      <c r="OT41" s="58">
        <f t="shared" si="323"/>
        <v>0</v>
      </c>
      <c r="OU41" s="45">
        <f t="shared" si="324"/>
        <v>45</v>
      </c>
      <c r="OV41" s="45">
        <f t="shared" si="587"/>
        <v>2.6589999999999998</v>
      </c>
      <c r="OW41" s="45">
        <f t="shared" si="325"/>
        <v>1</v>
      </c>
      <c r="OX41" s="45">
        <f t="shared" si="326"/>
        <v>2</v>
      </c>
      <c r="OY41" s="45">
        <f t="shared" si="327"/>
        <v>0</v>
      </c>
      <c r="OZ41" s="46" cm="1">
        <f t="array" ref="OZ41">ROUND(IFERROR(INDEX(ArchiveResults!$F$5:$IX$116,ComparisonData!A41,ComparisonData!$OZ$1),0),5)</f>
        <v>0</v>
      </c>
      <c r="PA41" s="46" cm="1">
        <f t="array" ref="PA41">ROUND(IFERROR(INDEX(ArchiveResults!$F$5:$IX$116,ComparisonData!A41,ComparisonData!$PA$1),0),5)</f>
        <v>0</v>
      </c>
      <c r="PB41" s="46" cm="1">
        <f t="array" ref="PB41">ROUND(IFERROR(INDEX(ArchiveResults!$F$5:$IX$116,ComparisonData!A41,ComparisonData!$PB$1),0),5)</f>
        <v>0</v>
      </c>
      <c r="PC41" s="46" cm="1">
        <f t="array" ref="PC41">ROUND(IFERROR(INDEX(ArchiveResults!$F$5:$IX$116,ComparisonData!A41,ComparisonData!$PC$1),0),5)</f>
        <v>0</v>
      </c>
      <c r="PD41" s="45" cm="1">
        <f t="array" ref="PD41">IFERROR(INDEX(ArchiveResults!$F$5:$IX$116,ComparisonData!A41,ComparisonData!$PD$1),0)</f>
        <v>0</v>
      </c>
      <c r="PE41" s="56">
        <v>36</v>
      </c>
      <c r="PF41" s="53" t="str">
        <f t="shared" si="588"/>
        <v>Highland Archive Service: Highland Archive Centre, Inverness</v>
      </c>
      <c r="PG41" s="59">
        <f t="shared" si="328"/>
        <v>0</v>
      </c>
      <c r="PH41" s="59">
        <f t="shared" si="329"/>
        <v>0</v>
      </c>
      <c r="PI41" s="59">
        <f t="shared" si="330"/>
        <v>0</v>
      </c>
      <c r="PJ41" s="59">
        <f t="shared" si="331"/>
        <v>0</v>
      </c>
      <c r="PK41" s="59">
        <f t="shared" si="332"/>
        <v>0</v>
      </c>
      <c r="PL41" s="58">
        <f t="shared" si="333"/>
        <v>0</v>
      </c>
      <c r="PM41" s="45">
        <f t="shared" si="334"/>
        <v>45</v>
      </c>
      <c r="PN41" s="45">
        <f t="shared" si="589"/>
        <v>2.6589999999999998</v>
      </c>
      <c r="PO41" s="45">
        <f t="shared" si="335"/>
        <v>1</v>
      </c>
      <c r="PP41" s="45">
        <f t="shared" si="336"/>
        <v>2</v>
      </c>
      <c r="PQ41" s="45">
        <f t="shared" si="337"/>
        <v>0</v>
      </c>
      <c r="PR41" s="46" cm="1">
        <f t="array" ref="PR41">ROUND(IFERROR(INDEX(ArchiveResults!$F$5:$IX$116,ComparisonData!A41,ComparisonData!$PR$1),0),5)</f>
        <v>0</v>
      </c>
      <c r="PS41" s="46" cm="1">
        <f t="array" ref="PS41">ROUND(IFERROR(INDEX(ArchiveResults!$F$5:$IX$116,ComparisonData!A41,ComparisonData!$PS$1),0),5)</f>
        <v>0</v>
      </c>
      <c r="PT41" s="46" cm="1">
        <f t="array" ref="PT41">ROUND(IFERROR(INDEX(ArchiveResults!$F$5:$IX$116,ComparisonData!A41,ComparisonData!$PT$1),0),5)</f>
        <v>0</v>
      </c>
      <c r="PU41" s="46" cm="1">
        <f t="array" ref="PU41">ROUND(IFERROR(INDEX(ArchiveResults!$F$5:$IX$116,ComparisonData!A41,ComparisonData!$PU$1),0),5)</f>
        <v>0</v>
      </c>
      <c r="PV41" s="45" cm="1">
        <f t="array" ref="PV41">IFERROR(INDEX(ArchiveResults!$F$5:$IX$116,ComparisonData!A41,ComparisonData!$PV$1),0)</f>
        <v>0</v>
      </c>
      <c r="PW41" s="56">
        <v>36</v>
      </c>
      <c r="PX41" s="53" t="str">
        <f t="shared" si="590"/>
        <v>Highland Archive Service: Highland Archive Centre, Inverness</v>
      </c>
      <c r="PY41" s="59">
        <f t="shared" si="338"/>
        <v>0</v>
      </c>
      <c r="PZ41" s="59">
        <f t="shared" si="339"/>
        <v>0</v>
      </c>
      <c r="QA41" s="59">
        <f t="shared" si="340"/>
        <v>0</v>
      </c>
      <c r="QB41" s="59">
        <f t="shared" si="341"/>
        <v>0</v>
      </c>
      <c r="QC41" s="59">
        <f t="shared" si="342"/>
        <v>0</v>
      </c>
      <c r="QD41" s="58">
        <f t="shared" si="343"/>
        <v>0</v>
      </c>
      <c r="QE41" s="45">
        <f t="shared" si="344"/>
        <v>45</v>
      </c>
      <c r="QF41" s="45">
        <f t="shared" si="591"/>
        <v>2.6589999999999998</v>
      </c>
      <c r="QG41" s="45">
        <f t="shared" si="345"/>
        <v>1</v>
      </c>
      <c r="QH41" s="45">
        <f t="shared" si="346"/>
        <v>2</v>
      </c>
      <c r="QI41" s="45">
        <f t="shared" si="347"/>
        <v>0</v>
      </c>
      <c r="QJ41" s="46" cm="1">
        <f t="array" ref="QJ41">ROUND(IFERROR(INDEX(ArchiveResults!$F$5:$IX$116,ComparisonData!A41,ComparisonData!$QJ$1),0),5)</f>
        <v>0</v>
      </c>
      <c r="QK41" s="46" cm="1">
        <f t="array" ref="QK41">ROUND(IFERROR(INDEX(ArchiveResults!$F$5:$IX$116,ComparisonData!A41,ComparisonData!$QK$1),0),5)</f>
        <v>0</v>
      </c>
      <c r="QL41" s="46" cm="1">
        <f t="array" ref="QL41">ROUND(IFERROR(INDEX(ArchiveResults!$F$5:$IX$116,ComparisonData!A41,ComparisonData!$QL$1),0),5)</f>
        <v>0</v>
      </c>
      <c r="QM41" s="46" cm="1">
        <f t="array" ref="QM41">ROUND(IFERROR(INDEX(ArchiveResults!$F$5:$IX$116,ComparisonData!A41,ComparisonData!$QM$1),0),5)</f>
        <v>0</v>
      </c>
      <c r="QN41" s="45" cm="1">
        <f t="array" ref="QN41">IFERROR(INDEX(ArchiveResults!$F$5:$IX$116,ComparisonData!A41,ComparisonData!$QN$1),0)</f>
        <v>0</v>
      </c>
      <c r="QO41" s="56">
        <v>36</v>
      </c>
      <c r="QP41" s="53" t="str">
        <f t="shared" si="592"/>
        <v>Highland Archive Service: Highland Archive Centre, Inverness</v>
      </c>
      <c r="QQ41" s="59">
        <f t="shared" si="348"/>
        <v>0</v>
      </c>
      <c r="QR41" s="59">
        <f t="shared" si="349"/>
        <v>0</v>
      </c>
      <c r="QS41" s="59">
        <f t="shared" si="350"/>
        <v>0</v>
      </c>
      <c r="QT41" s="59">
        <f t="shared" si="351"/>
        <v>0</v>
      </c>
      <c r="QU41" s="59">
        <f t="shared" si="352"/>
        <v>0</v>
      </c>
      <c r="QV41" s="58">
        <f t="shared" si="353"/>
        <v>0</v>
      </c>
      <c r="QW41" s="45">
        <f t="shared" si="354"/>
        <v>45</v>
      </c>
      <c r="QX41" s="45">
        <f t="shared" si="593"/>
        <v>2.6589999999999998</v>
      </c>
      <c r="QY41" s="45">
        <f t="shared" si="355"/>
        <v>1</v>
      </c>
      <c r="QZ41" s="45">
        <f t="shared" si="356"/>
        <v>2</v>
      </c>
      <c r="RA41" s="45">
        <f t="shared" si="357"/>
        <v>0</v>
      </c>
      <c r="RB41" s="46" cm="1">
        <f t="array" ref="RB41">ROUND(IFERROR(INDEX(ArchiveResults!$F$5:$IX$116,ComparisonData!A41,ComparisonData!$RB$1),0),5)</f>
        <v>0</v>
      </c>
      <c r="RC41" s="46" cm="1">
        <f t="array" ref="RC41">ROUND(IFERROR(INDEX(ArchiveResults!$F$5:$IX$116,ComparisonData!A41,ComparisonData!$RC$1),0),5)</f>
        <v>0</v>
      </c>
      <c r="RD41" s="46" cm="1">
        <f t="array" ref="RD41">ROUND(IFERROR(INDEX(ArchiveResults!$F$5:$IX$116,ComparisonData!A41,ComparisonData!$RD$1),0),5)</f>
        <v>0</v>
      </c>
      <c r="RE41" s="46" cm="1">
        <f t="array" ref="RE41">ROUND(IFERROR(INDEX(ArchiveResults!$F$5:$IX$116,ComparisonData!A41,ComparisonData!$RE$1),0),5)</f>
        <v>0</v>
      </c>
      <c r="RF41" s="45" cm="1">
        <f t="array" ref="RF41">IFERROR(INDEX(ArchiveResults!$F$5:$IX$116,ComparisonData!A41,ComparisonData!$RF$1),0)</f>
        <v>0</v>
      </c>
      <c r="RG41" s="56">
        <v>36</v>
      </c>
      <c r="RH41" s="53" t="str">
        <f t="shared" si="594"/>
        <v>Highland Archive Service: Highland Archive Centre, Inverness</v>
      </c>
      <c r="RI41" s="59">
        <f t="shared" si="358"/>
        <v>0</v>
      </c>
      <c r="RJ41" s="59">
        <f t="shared" si="359"/>
        <v>0</v>
      </c>
      <c r="RK41" s="59">
        <f t="shared" si="360"/>
        <v>0</v>
      </c>
      <c r="RL41" s="59">
        <f t="shared" si="361"/>
        <v>0</v>
      </c>
      <c r="RM41" s="59">
        <f t="shared" si="362"/>
        <v>0</v>
      </c>
      <c r="RN41" s="58">
        <f t="shared" si="363"/>
        <v>0</v>
      </c>
      <c r="RO41" s="45">
        <f t="shared" si="364"/>
        <v>45</v>
      </c>
      <c r="RP41" s="45">
        <f t="shared" si="595"/>
        <v>2.6589999999999998</v>
      </c>
      <c r="RQ41" s="45">
        <f t="shared" si="365"/>
        <v>1</v>
      </c>
      <c r="RR41" s="45">
        <f t="shared" si="366"/>
        <v>2</v>
      </c>
      <c r="RS41" s="45">
        <f t="shared" si="367"/>
        <v>0</v>
      </c>
      <c r="RT41" s="46" cm="1">
        <f t="array" ref="RT41">ROUND(IFERROR(INDEX(ArchiveResults!$F$5:$IX$116,ComparisonData!A41,ComparisonData!$RT$1),0),5)</f>
        <v>0</v>
      </c>
      <c r="RU41" s="46" cm="1">
        <f t="array" ref="RU41">ROUND(IFERROR(INDEX(ArchiveResults!$F$5:$IX$116,ComparisonData!A41,ComparisonData!$RU$1),0),5)</f>
        <v>0</v>
      </c>
      <c r="RV41" s="46" cm="1">
        <f t="array" ref="RV41">ROUND(IFERROR(INDEX(ArchiveResults!$F$5:$IX$116,ComparisonData!A41,ComparisonData!$RV$1),0),5)</f>
        <v>0</v>
      </c>
      <c r="RW41" s="46" cm="1">
        <f t="array" ref="RW41">ROUND(IFERROR(INDEX(ArchiveResults!$F$5:$IX$116,ComparisonData!A41,ComparisonData!$RW$1),0),5)</f>
        <v>0</v>
      </c>
      <c r="RX41" s="45" cm="1">
        <f t="array" ref="RX41">IFERROR(INDEX(ArchiveResults!$F$5:$IX$116,ComparisonData!A41,ComparisonData!$RX$1),0)</f>
        <v>0</v>
      </c>
      <c r="RY41" s="56">
        <v>36</v>
      </c>
      <c r="RZ41" s="53" t="str">
        <f t="shared" si="596"/>
        <v>Highland Archive Service: Highland Archive Centre, Inverness</v>
      </c>
      <c r="SA41" s="59">
        <f t="shared" si="368"/>
        <v>0</v>
      </c>
      <c r="SB41" s="59">
        <f t="shared" si="369"/>
        <v>0</v>
      </c>
      <c r="SC41" s="59">
        <f t="shared" si="370"/>
        <v>0</v>
      </c>
      <c r="SD41" s="59">
        <f t="shared" si="371"/>
        <v>0</v>
      </c>
      <c r="SE41" s="59">
        <f t="shared" si="372"/>
        <v>0</v>
      </c>
      <c r="SF41" s="58">
        <f t="shared" si="373"/>
        <v>0</v>
      </c>
      <c r="SG41" s="45">
        <f t="shared" si="374"/>
        <v>45</v>
      </c>
      <c r="SH41" s="45">
        <f t="shared" si="597"/>
        <v>2.6589999999999998</v>
      </c>
      <c r="SI41" s="45">
        <f t="shared" si="375"/>
        <v>1</v>
      </c>
      <c r="SJ41" s="45">
        <f t="shared" si="376"/>
        <v>2</v>
      </c>
      <c r="SK41" s="45">
        <f t="shared" si="377"/>
        <v>0</v>
      </c>
      <c r="SL41" s="46" cm="1">
        <f t="array" ref="SL41">ROUND(IFERROR(INDEX(ArchiveResults!$F$5:$IX$116,ComparisonData!A41,ComparisonData!$SL$1),0),5)</f>
        <v>0</v>
      </c>
      <c r="SM41" s="46" cm="1">
        <f t="array" ref="SM41">ROUND(IFERROR(INDEX(ArchiveResults!$F$5:$IX$116,ComparisonData!A41,ComparisonData!$SM$1),0),5)</f>
        <v>0</v>
      </c>
      <c r="SN41" s="46" cm="1">
        <f t="array" ref="SN41">ROUND(IFERROR(INDEX(ArchiveResults!$F$5:$IX$116,ComparisonData!A41,ComparisonData!$SN$1),0),5)</f>
        <v>0</v>
      </c>
      <c r="SO41" s="46" cm="1">
        <f t="array" ref="SO41">ROUND(IFERROR(INDEX(ArchiveResults!$F$5:$IX$116,ComparisonData!A41,ComparisonData!$SO$1),0),5)</f>
        <v>0</v>
      </c>
      <c r="SP41" s="45" cm="1">
        <f t="array" ref="SP41">IFERROR(INDEX(ArchiveResults!$F$5:$IX$116,ComparisonData!A41,ComparisonData!$SP$1),0)</f>
        <v>0</v>
      </c>
      <c r="SQ41" s="56">
        <v>36</v>
      </c>
      <c r="SR41" s="53" t="str">
        <f t="shared" si="598"/>
        <v>Highland Archive Service: Highland Archive Centre, Inverness</v>
      </c>
      <c r="SS41" s="59">
        <f t="shared" si="378"/>
        <v>0</v>
      </c>
      <c r="ST41" s="59">
        <f t="shared" si="379"/>
        <v>0</v>
      </c>
      <c r="SU41" s="59">
        <f t="shared" si="380"/>
        <v>0</v>
      </c>
      <c r="SV41" s="59">
        <f t="shared" si="381"/>
        <v>0</v>
      </c>
      <c r="SW41" s="59">
        <f t="shared" si="382"/>
        <v>0</v>
      </c>
      <c r="SX41" s="58">
        <f t="shared" si="383"/>
        <v>0</v>
      </c>
      <c r="SY41" s="45">
        <f t="shared" si="384"/>
        <v>45</v>
      </c>
      <c r="SZ41" s="45">
        <f t="shared" si="599"/>
        <v>2.6589999999999998</v>
      </c>
      <c r="TA41" s="45">
        <f t="shared" si="385"/>
        <v>1</v>
      </c>
      <c r="TB41" s="45">
        <f t="shared" si="386"/>
        <v>2</v>
      </c>
      <c r="TC41" s="45">
        <f t="shared" si="387"/>
        <v>0</v>
      </c>
      <c r="TD41" s="46" cm="1">
        <f t="array" ref="TD41">ROUND(IFERROR(INDEX(ArchiveResults!$F$5:$IX$116,ComparisonData!A41,ComparisonData!$TD$1),0),5)</f>
        <v>0</v>
      </c>
      <c r="TE41" s="46" cm="1">
        <f t="array" ref="TE41">ROUND(IFERROR(INDEX(ArchiveResults!$F$5:$IX$116,ComparisonData!A41,ComparisonData!$TE$1),0),5)</f>
        <v>0</v>
      </c>
      <c r="TF41" s="46" cm="1">
        <f t="array" ref="TF41">ROUND(IFERROR(INDEX(ArchiveResults!$F$5:$IX$116,ComparisonData!A41,ComparisonData!$TF$1),0),5)</f>
        <v>0</v>
      </c>
      <c r="TG41" s="46" cm="1">
        <f t="array" ref="TG41">ROUND(IFERROR(INDEX(ArchiveResults!$F$5:$IX$116,ComparisonData!A41,ComparisonData!$TG$1),0),5)</f>
        <v>0</v>
      </c>
      <c r="TH41" s="45" cm="1">
        <f t="array" ref="TH41">IFERROR(INDEX(ArchiveResults!$F$5:$IX$116,ComparisonData!A41,ComparisonData!$TH$1),0)</f>
        <v>0</v>
      </c>
      <c r="TI41" s="56">
        <v>36</v>
      </c>
      <c r="TJ41" s="53" t="str">
        <f t="shared" si="600"/>
        <v>Highland Archive Service: Highland Archive Centre, Inverness</v>
      </c>
      <c r="TK41" s="59">
        <f t="shared" si="388"/>
        <v>0</v>
      </c>
      <c r="TL41" s="59">
        <f t="shared" si="389"/>
        <v>0</v>
      </c>
      <c r="TM41" s="59">
        <f t="shared" si="390"/>
        <v>0</v>
      </c>
      <c r="TN41" s="59">
        <f t="shared" si="391"/>
        <v>0</v>
      </c>
      <c r="TO41" s="59">
        <f t="shared" si="392"/>
        <v>0</v>
      </c>
      <c r="TP41" s="58">
        <f t="shared" si="393"/>
        <v>0</v>
      </c>
      <c r="TQ41" s="45">
        <f t="shared" si="394"/>
        <v>45</v>
      </c>
      <c r="TR41" s="45">
        <f t="shared" si="601"/>
        <v>2.6589999999999998</v>
      </c>
      <c r="TS41" s="45">
        <f t="shared" si="395"/>
        <v>1</v>
      </c>
      <c r="TT41" s="45">
        <f t="shared" si="396"/>
        <v>2</v>
      </c>
      <c r="TU41" s="45">
        <f t="shared" si="397"/>
        <v>0</v>
      </c>
      <c r="TV41" s="46" cm="1">
        <f t="array" ref="TV41">ROUND(IFERROR(INDEX(ArchiveResults!$F$5:$IX$116,ComparisonData!A41,ComparisonData!$TV$1),0),5)</f>
        <v>0</v>
      </c>
      <c r="TW41" s="46" cm="1">
        <f t="array" ref="TW41">ROUND(IFERROR(INDEX(ArchiveResults!$F$5:$IX$116,ComparisonData!A41,ComparisonData!$TW$1),0),5)</f>
        <v>0</v>
      </c>
      <c r="TX41" s="46" cm="1">
        <f t="array" ref="TX41">ROUND(IFERROR(INDEX(ArchiveResults!$F$5:$IX$116,ComparisonData!A41,ComparisonData!$TX$1),0),5)</f>
        <v>0</v>
      </c>
      <c r="TY41" s="46" cm="1">
        <f t="array" ref="TY41">ROUND(IFERROR(INDEX(ArchiveResults!$F$5:$IX$116,ComparisonData!A41,ComparisonData!$TY$1),0),5)</f>
        <v>0</v>
      </c>
      <c r="TZ41" s="45" cm="1">
        <f t="array" ref="TZ41">IFERROR(INDEX(ArchiveResults!$F$5:$IX$116,ComparisonData!A41,ComparisonData!$TZ$1),0)</f>
        <v>0</v>
      </c>
      <c r="UA41" s="56">
        <v>36</v>
      </c>
      <c r="UB41" s="53" t="str">
        <f t="shared" si="602"/>
        <v>Highland Archive Service: Highland Archive Centre, Inverness</v>
      </c>
      <c r="UC41" s="60">
        <f t="shared" si="398"/>
        <v>0</v>
      </c>
      <c r="UD41" s="60">
        <f t="shared" si="399"/>
        <v>0</v>
      </c>
      <c r="UE41" s="60">
        <f t="shared" si="400"/>
        <v>0</v>
      </c>
      <c r="UF41" s="60">
        <f t="shared" si="401"/>
        <v>0</v>
      </c>
      <c r="UG41" s="60">
        <f t="shared" si="402"/>
        <v>0</v>
      </c>
      <c r="UH41" s="58">
        <f t="shared" si="403"/>
        <v>0</v>
      </c>
      <c r="UI41" s="46">
        <f t="shared" si="404"/>
        <v>45</v>
      </c>
      <c r="UJ41" s="46">
        <f t="shared" si="603"/>
        <v>2.6589999999999998</v>
      </c>
      <c r="UK41" s="46">
        <f t="shared" si="405"/>
        <v>1</v>
      </c>
      <c r="UL41" s="46">
        <f t="shared" si="406"/>
        <v>2</v>
      </c>
      <c r="UM41" s="46" cm="1">
        <f t="array" ref="UM41">ROUND(IFERROR(INDEX(ArchiveResults!$F$5:$IX$116,ComparisonData!A41,ComparisonData!$UM$1),0),5)</f>
        <v>0</v>
      </c>
      <c r="UN41" s="56">
        <v>36</v>
      </c>
      <c r="UO41" s="53" t="str">
        <f t="shared" si="604"/>
        <v>Highland Archive Service: Highland Archive Centre, Inverness</v>
      </c>
      <c r="UP41" s="46">
        <f t="shared" si="407"/>
        <v>0</v>
      </c>
      <c r="UQ41" s="76">
        <f t="shared" si="408"/>
        <v>0</v>
      </c>
      <c r="UR41" s="46">
        <f t="shared" si="409"/>
        <v>45</v>
      </c>
      <c r="US41" s="46">
        <f t="shared" si="605"/>
        <v>2.6589999999999998</v>
      </c>
      <c r="UT41" s="46">
        <f t="shared" si="410"/>
        <v>1</v>
      </c>
      <c r="UU41" s="46">
        <f t="shared" si="411"/>
        <v>2</v>
      </c>
      <c r="UV41" s="46">
        <f t="shared" si="412"/>
        <v>0</v>
      </c>
      <c r="UW41" s="46" cm="1">
        <f t="array" ref="UW41">ROUND(IFERROR(INDEX(ArchiveResults!$F$5:$IX$116,ComparisonData!A41,ComparisonData!$UW$1),0),5)</f>
        <v>0</v>
      </c>
      <c r="UX41" s="46" cm="1">
        <f t="array" ref="UX41">ROUND(IFERROR(INDEX(ArchiveResults!$F$5:$IX$116,ComparisonData!A41,ComparisonData!$UX$1),0),5)</f>
        <v>0</v>
      </c>
      <c r="UY41" s="46" cm="1">
        <f t="array" ref="UY41">ROUND(IFERROR(INDEX(ArchiveResults!$F$5:$IX$116,ComparisonData!A41,ComparisonData!$UY$1),0),5)</f>
        <v>0</v>
      </c>
      <c r="UZ41" s="46" cm="1">
        <f t="array" ref="UZ41">ROUND(IFERROR(INDEX(ArchiveResults!$F$5:$IX$116,ComparisonData!A41,ComparisonData!$UZ$1),0),5)</f>
        <v>0</v>
      </c>
      <c r="VA41" s="46" cm="1">
        <f t="array" ref="VA41">ROUND(IFERROR(INDEX(ArchiveResults!$F$5:$IX$116,ComparisonData!A41,ComparisonData!$VA$1),0),5)</f>
        <v>0</v>
      </c>
      <c r="VB41" s="56">
        <v>36</v>
      </c>
      <c r="VC41" s="53" t="str">
        <f t="shared" si="606"/>
        <v>Highland Archive Service: Highland Archive Centre, Inverness</v>
      </c>
      <c r="VD41" s="60">
        <f t="shared" si="413"/>
        <v>0</v>
      </c>
      <c r="VE41" s="60">
        <f t="shared" si="414"/>
        <v>0</v>
      </c>
      <c r="VF41" s="60">
        <f t="shared" si="415"/>
        <v>0</v>
      </c>
      <c r="VG41" s="60">
        <f t="shared" si="416"/>
        <v>0</v>
      </c>
      <c r="VH41" s="60">
        <f t="shared" si="417"/>
        <v>0</v>
      </c>
      <c r="VI41" s="76">
        <f t="shared" si="418"/>
        <v>0</v>
      </c>
      <c r="VJ41" s="46">
        <f t="shared" si="419"/>
        <v>45</v>
      </c>
      <c r="VK41" s="46">
        <f t="shared" si="607"/>
        <v>2.6589999999999998</v>
      </c>
      <c r="VL41" s="46">
        <f t="shared" si="420"/>
        <v>1</v>
      </c>
      <c r="VM41" s="46">
        <f t="shared" si="421"/>
        <v>2</v>
      </c>
      <c r="VN41" s="46" cm="1">
        <f t="array" ref="VN41">ROUND(IFERROR(INDEX(ArchiveResults!$F$5:$IX$116,ComparisonData!A41,ComparisonData!$VN$1),0),5)</f>
        <v>0</v>
      </c>
      <c r="VO41" s="46" cm="1">
        <f t="array" ref="VO41">ROUND(IFERROR(INDEX(ArchiveResults!$F$5:$IX$116,ComparisonData!A41,ComparisonData!$VO$1),0),5)</f>
        <v>0</v>
      </c>
      <c r="VP41" s="46" cm="1">
        <f t="array" ref="VP41">ROUND(IFERROR(INDEX(ArchiveResults!$F$5:$IX$116,ComparisonData!A41,ComparisonData!$VP$1),0),5)</f>
        <v>0</v>
      </c>
      <c r="VQ41" s="46" cm="1">
        <f t="array" ref="VQ41">ROUND(IFERROR(INDEX(ArchiveResults!$F$5:$IX$116,ComparisonData!A41,ComparisonData!$VQ$1),0),5)</f>
        <v>0</v>
      </c>
      <c r="VR41" s="56">
        <v>36</v>
      </c>
      <c r="VS41" s="53" t="str">
        <f t="shared" si="608"/>
        <v>Highland Archive Service: Highland Archive Centre, Inverness</v>
      </c>
      <c r="VT41" s="60">
        <f t="shared" si="422"/>
        <v>0</v>
      </c>
      <c r="VU41" s="60">
        <f t="shared" si="423"/>
        <v>0</v>
      </c>
      <c r="VV41" s="60">
        <f t="shared" si="424"/>
        <v>0</v>
      </c>
      <c r="VW41" s="60">
        <f t="shared" si="425"/>
        <v>0</v>
      </c>
      <c r="VX41" s="76">
        <f t="shared" si="426"/>
        <v>0</v>
      </c>
      <c r="VY41" s="46">
        <f t="shared" si="427"/>
        <v>45</v>
      </c>
      <c r="VZ41" s="46">
        <f t="shared" si="609"/>
        <v>2.6589999999999998</v>
      </c>
      <c r="WA41" s="46">
        <f t="shared" si="428"/>
        <v>1</v>
      </c>
      <c r="WB41" s="46">
        <f t="shared" si="429"/>
        <v>2</v>
      </c>
      <c r="WC41" s="46" cm="1">
        <f t="array" ref="WC41">ROUND(IFERROR(INDEX(ArchiveResults!$F$5:$IX$116,ComparisonData!A41,ComparisonData!$WC$1),0),5)</f>
        <v>0</v>
      </c>
      <c r="WD41" s="56">
        <v>36</v>
      </c>
      <c r="WE41" s="53" t="str">
        <f t="shared" si="610"/>
        <v>Highland Archive Service: Highland Archive Centre, Inverness</v>
      </c>
      <c r="WF41" s="46">
        <f t="shared" si="430"/>
        <v>0</v>
      </c>
      <c r="WG41" s="76">
        <f t="shared" si="431"/>
        <v>0</v>
      </c>
      <c r="WH41" s="46">
        <f t="shared" si="432"/>
        <v>45</v>
      </c>
      <c r="WI41" s="46">
        <f t="shared" si="611"/>
        <v>2.6589999999999998</v>
      </c>
      <c r="WJ41" s="46">
        <f t="shared" si="433"/>
        <v>1</v>
      </c>
      <c r="WK41" s="46">
        <f t="shared" si="434"/>
        <v>2</v>
      </c>
      <c r="WL41" s="46" cm="1">
        <f t="array" ref="WL41">ROUND(IFERROR(INDEX(ArchiveResults!$F$5:$IX$116,ComparisonData!A41,ComparisonData!$WL$1),0),5)</f>
        <v>0</v>
      </c>
      <c r="WM41" s="46" cm="1">
        <f t="array" ref="WM41">IFERROR(INDEX(ArchiveResults!$F$5:$IX$116,ComparisonData!A41,ComparisonData!$WM$1),0)</f>
        <v>0</v>
      </c>
      <c r="WN41" s="56">
        <v>36</v>
      </c>
      <c r="WO41" s="53" t="str">
        <f t="shared" si="612"/>
        <v>Highland Archive Service: Highland Archive Centre, Inverness</v>
      </c>
      <c r="WP41" s="60">
        <f t="shared" si="435"/>
        <v>0</v>
      </c>
      <c r="WQ41" s="60">
        <f t="shared" si="436"/>
        <v>0</v>
      </c>
      <c r="WR41" s="76">
        <f t="shared" si="437"/>
        <v>0</v>
      </c>
      <c r="WS41" s="46">
        <f t="shared" si="438"/>
        <v>45</v>
      </c>
      <c r="WT41" s="46">
        <f t="shared" si="613"/>
        <v>2.6589999999999998</v>
      </c>
      <c r="WU41" s="46">
        <f t="shared" si="439"/>
        <v>1</v>
      </c>
      <c r="WV41" s="46">
        <f t="shared" si="440"/>
        <v>2</v>
      </c>
      <c r="WW41" s="46" cm="1">
        <f t="array" ref="WW41">ROUND(VALUE(IFERROR(INDEX(ArchiveResults!$F$5:$IX$116,ComparisonData!A41,ComparisonData!$WW$1),0)),5)</f>
        <v>0</v>
      </c>
      <c r="WX41" s="46" cm="1">
        <f t="array" ref="WX41">ROUND(IFERROR(INDEX(ArchiveResults!$F$5:$IX$116,ComparisonData!A41,ComparisonData!$WX$1),0),5)</f>
        <v>0</v>
      </c>
      <c r="WY41" s="56">
        <v>36</v>
      </c>
      <c r="WZ41" s="53" t="str">
        <f t="shared" si="614"/>
        <v>Highland Archive Service: Highland Archive Centre, Inverness</v>
      </c>
      <c r="XA41" s="60">
        <f t="shared" si="615"/>
        <v>0</v>
      </c>
      <c r="XB41" s="60">
        <f t="shared" si="616"/>
        <v>0</v>
      </c>
      <c r="XC41" s="76">
        <f t="shared" si="441"/>
        <v>0</v>
      </c>
      <c r="XD41" s="46">
        <f t="shared" si="442"/>
        <v>45</v>
      </c>
      <c r="XE41" s="46">
        <f t="shared" si="617"/>
        <v>2.6589999999999998</v>
      </c>
      <c r="XF41" s="46">
        <f t="shared" si="443"/>
        <v>1</v>
      </c>
      <c r="XG41" s="46">
        <f t="shared" si="444"/>
        <v>2</v>
      </c>
      <c r="XH41" s="46" cm="1">
        <f t="array" ref="XH41">ROUND(VALUE(IFERROR(INDEX(ArchiveResults!$F$5:$IX$116,ComparisonData!A41,ComparisonData!$XH$1),0)),5)</f>
        <v>0</v>
      </c>
      <c r="XI41" s="46" cm="1">
        <f t="array" ref="XI41">ROUND(VALUE(IFERROR(INDEX(ArchiveResults!$F$5:$IX$116,ComparisonData!A41,ComparisonData!$XI$1),0)),5)</f>
        <v>0</v>
      </c>
      <c r="XJ41" s="56">
        <v>36</v>
      </c>
      <c r="XK41" s="53" t="str">
        <f t="shared" si="618"/>
        <v>Highland Archive Service: Highland Archive Centre, Inverness</v>
      </c>
      <c r="XL41" s="60">
        <f t="shared" si="445"/>
        <v>0</v>
      </c>
      <c r="XM41" s="60">
        <f t="shared" si="446"/>
        <v>0</v>
      </c>
      <c r="XN41" s="76">
        <f t="shared" si="447"/>
        <v>0</v>
      </c>
      <c r="XO41" s="46">
        <f t="shared" si="448"/>
        <v>45</v>
      </c>
      <c r="XP41" s="46">
        <f t="shared" si="619"/>
        <v>2.6589999999999998</v>
      </c>
      <c r="XQ41" s="46">
        <f t="shared" si="449"/>
        <v>1</v>
      </c>
      <c r="XR41" s="46">
        <f t="shared" si="450"/>
        <v>2</v>
      </c>
      <c r="XS41" s="46" cm="1">
        <f t="array" ref="XS41">ROUND(VALUE(IFERROR(INDEX(ArchiveResults!$F$5:$IX$116,ComparisonData!A41,ComparisonData!$XS$1),0)),5)</f>
        <v>0</v>
      </c>
      <c r="XT41" s="46" cm="1">
        <f t="array" ref="XT41">ROUND(VALUE(IFERROR(INDEX(ArchiveResults!$F$5:$IX$116,ComparisonData!A41,ComparisonData!$XT$1),0)),5)</f>
        <v>0</v>
      </c>
      <c r="XU41" s="56">
        <v>36</v>
      </c>
      <c r="XV41" s="53" t="str">
        <f t="shared" si="620"/>
        <v>Highland Archive Service: Highland Archive Centre, Inverness</v>
      </c>
      <c r="XW41" s="60">
        <f t="shared" si="451"/>
        <v>0</v>
      </c>
      <c r="XX41" s="60">
        <f t="shared" si="452"/>
        <v>0</v>
      </c>
      <c r="XY41" s="76">
        <f t="shared" si="453"/>
        <v>0</v>
      </c>
      <c r="XZ41" s="46">
        <f t="shared" si="454"/>
        <v>45</v>
      </c>
      <c r="YA41" s="46">
        <f t="shared" si="621"/>
        <v>2.6589999999999998</v>
      </c>
      <c r="YB41" s="46">
        <f t="shared" si="455"/>
        <v>1</v>
      </c>
      <c r="YC41" s="46">
        <f t="shared" si="456"/>
        <v>2</v>
      </c>
      <c r="YD41" s="46" cm="1">
        <f t="array" ref="YD41">ROUND(VALUE(IFERROR(INDEX(ArchiveResults!$F$5:$IX$116,ComparisonData!A41,ComparisonData!$YD$1),0)),5)</f>
        <v>0</v>
      </c>
      <c r="YE41" s="46" cm="1">
        <f t="array" ref="YE41">ROUND(VALUE(IFERROR(INDEX(ArchiveResults!$F$5:$IX$116,ComparisonData!A41,ComparisonData!$YE$1),0)),5)</f>
        <v>0</v>
      </c>
      <c r="YF41" s="56">
        <v>36</v>
      </c>
      <c r="YG41" s="53" t="str">
        <f t="shared" si="622"/>
        <v>Highland Archive Service: Highland Archive Centre, Inverness</v>
      </c>
      <c r="YH41" s="60">
        <f t="shared" si="457"/>
        <v>0</v>
      </c>
      <c r="YI41" s="60">
        <f t="shared" si="458"/>
        <v>0</v>
      </c>
      <c r="YJ41" s="76">
        <f t="shared" si="459"/>
        <v>0</v>
      </c>
      <c r="YK41" s="46">
        <f t="shared" si="460"/>
        <v>45</v>
      </c>
      <c r="YL41" s="46">
        <f t="shared" si="623"/>
        <v>2.6589999999999998</v>
      </c>
      <c r="YM41" s="46">
        <f t="shared" si="461"/>
        <v>1</v>
      </c>
      <c r="YN41" s="46">
        <f t="shared" si="462"/>
        <v>2</v>
      </c>
      <c r="YO41" s="46" cm="1">
        <f t="array" ref="YO41">ROUND(VALUE(IFERROR(INDEX(ArchiveResults!$F$5:$IX$116,ComparisonData!A41,ComparisonData!$YO$1),0)),5)</f>
        <v>0</v>
      </c>
      <c r="YP41" s="46" cm="1">
        <f t="array" ref="YP41">ROUND(VALUE(IFERROR(INDEX(ArchiveResults!$F$5:$IX$116,ComparisonData!A41,ComparisonData!$YP$1),0)),5)</f>
        <v>0</v>
      </c>
      <c r="YQ41" s="56">
        <v>36</v>
      </c>
      <c r="YR41" s="53" t="str">
        <f t="shared" si="624"/>
        <v>Highland Archive Service: Highland Archive Centre, Inverness</v>
      </c>
      <c r="YS41" s="60">
        <f t="shared" si="463"/>
        <v>0</v>
      </c>
      <c r="YT41" s="60">
        <f t="shared" si="464"/>
        <v>0</v>
      </c>
      <c r="YU41" s="76">
        <f t="shared" si="465"/>
        <v>0</v>
      </c>
      <c r="YV41" s="46">
        <f t="shared" si="466"/>
        <v>45</v>
      </c>
      <c r="YW41" s="46">
        <f t="shared" si="625"/>
        <v>2.6589999999999998</v>
      </c>
      <c r="YX41" s="46">
        <f t="shared" si="467"/>
        <v>1</v>
      </c>
      <c r="YY41" s="46">
        <f t="shared" si="468"/>
        <v>2</v>
      </c>
      <c r="YZ41" s="46">
        <f t="shared" si="469"/>
        <v>0</v>
      </c>
      <c r="ZA41" s="46" cm="1">
        <f t="array" ref="ZA41">ROUNDDOWN(VALUE(IFERROR(INDEX(ArchiveResults!$F$5:$IX$116,ComparisonData!A41,ComparisonData!$ZA$1),0)),5)</f>
        <v>0</v>
      </c>
      <c r="ZB41" s="46" cm="1">
        <f t="array" ref="ZB41">ROUNDDOWN(VALUE(IFERROR(INDEX(ArchiveResults!$F$5:$IX$116,ComparisonData!A41,ComparisonData!$ZB$1),0)),5)</f>
        <v>0</v>
      </c>
      <c r="ZC41" s="46" cm="1">
        <f t="array" ref="ZC41">ROUNDDOWN(VALUE(IFERROR(INDEX(ArchiveResults!$F$5:$IX$116,ComparisonData!A41,ComparisonData!$ZC$1),0)),5)</f>
        <v>0</v>
      </c>
      <c r="ZD41" s="46" cm="1">
        <f t="array" ref="ZD41">ROUNDDOWN(VALUE(IFERROR(INDEX(ArchiveResults!$F$5:$IX$116,ComparisonData!A41,ComparisonData!$ZD$1),0)),5)</f>
        <v>0</v>
      </c>
      <c r="ZE41" s="46" cm="1">
        <f t="array" ref="ZE41">ROUNDDOWN(VALUE(IFERROR(INDEX(ArchiveResults!$F$5:$IX$116,ComparisonData!A41,ComparisonData!$ZE$1),0)),5)</f>
        <v>0</v>
      </c>
      <c r="ZF41" s="56">
        <v>36</v>
      </c>
      <c r="ZG41" s="53" t="str">
        <f t="shared" si="626"/>
        <v>Highland Archive Service: Highland Archive Centre, Inverness</v>
      </c>
      <c r="ZH41" s="60">
        <f t="shared" si="470"/>
        <v>0</v>
      </c>
      <c r="ZI41" s="60">
        <f t="shared" si="471"/>
        <v>0</v>
      </c>
      <c r="ZJ41" s="60">
        <f t="shared" si="472"/>
        <v>0</v>
      </c>
      <c r="ZK41" s="60">
        <f t="shared" si="473"/>
        <v>0</v>
      </c>
      <c r="ZL41" s="60">
        <f t="shared" si="474"/>
        <v>0</v>
      </c>
      <c r="ZM41" s="76">
        <f t="shared" si="475"/>
        <v>0</v>
      </c>
      <c r="ZN41" s="46">
        <f t="shared" si="476"/>
        <v>45</v>
      </c>
      <c r="ZO41" s="46">
        <f t="shared" si="627"/>
        <v>2.6589999999999998</v>
      </c>
      <c r="ZP41" s="46">
        <f t="shared" si="477"/>
        <v>1</v>
      </c>
      <c r="ZQ41" s="46">
        <f t="shared" si="478"/>
        <v>2</v>
      </c>
      <c r="ZR41" s="46" cm="1">
        <f t="array" ref="ZR41">ROUND(VALUE(IFERROR(INDEX(ArchiveResults!$F$5:$IX$116,ComparisonData!A41,ComparisonData!$ZR$1),0)),5)</f>
        <v>0</v>
      </c>
      <c r="ZS41" s="56">
        <v>36</v>
      </c>
      <c r="ZT41" s="53" t="str">
        <f t="shared" si="628"/>
        <v>Highland Archive Service: Highland Archive Centre, Inverness</v>
      </c>
      <c r="ZU41" s="46">
        <f t="shared" si="479"/>
        <v>0</v>
      </c>
      <c r="ZV41" s="76">
        <f t="shared" si="480"/>
        <v>0</v>
      </c>
      <c r="ZW41" s="81" cm="1">
        <f t="array" ref="ZW41">ROUND((IFERROR(INDEX(ArchiveResults!$F$5:$IX$116,ComparisonData!A41,ComparisonData!$ZW$1),0)),5)</f>
        <v>0</v>
      </c>
      <c r="ZX41" s="81" cm="1">
        <f t="array" ref="ZX41">ROUND((IFERROR(INDEX(ArchiveResults!$F$5:$IX$116,ComparisonData!A41,ComparisonData!$ZX$1),0)),5)</f>
        <v>0</v>
      </c>
      <c r="ZY41" s="81" cm="1">
        <f t="array" ref="ZY41">ROUND((IFERROR(INDEX(ArchiveResults!$F$5:$IX$116,ComparisonData!A41,ComparisonData!$ZY$1),0)),5)</f>
        <v>0</v>
      </c>
      <c r="ZZ41" s="81" cm="1">
        <f t="array" ref="ZZ41">ROUND((IFERROR(INDEX(ArchiveResults!$F$5:$IX$116,ComparisonData!A41,ComparisonData!$ZZ$1),0)),5)</f>
        <v>0</v>
      </c>
      <c r="AAA41" s="81" cm="1">
        <f t="array" ref="AAA41">ROUND((IFERROR(INDEX(ArchiveResults!$F$5:$IX$116,ComparisonData!A41,ComparisonData!$AAA$1),0)),5)</f>
        <v>0</v>
      </c>
      <c r="AAB41" s="81" cm="1">
        <f t="array" ref="AAB41">ROUND((IFERROR(INDEX(ArchiveResults!$F$5:$IX$116,ComparisonData!A41,ComparisonData!$AAB$1),0)),5)</f>
        <v>0</v>
      </c>
      <c r="AAC41" s="81" cm="1">
        <f t="array" ref="AAC41">ROUND((IFERROR(INDEX(ArchiveResults!$F$5:$IX$116,ComparisonData!A41,ComparisonData!$AAC$1),0)),5)</f>
        <v>0</v>
      </c>
      <c r="AAD41" s="81" cm="1">
        <f t="array" ref="AAD41">ROUND((IFERROR(INDEX(ArchiveResults!$F$5:$IX$116,ComparisonData!A41,ComparisonData!$AAD$1),0)),5)</f>
        <v>0</v>
      </c>
      <c r="AAE41" s="81" cm="1">
        <f t="array" ref="AAE41">ROUND((IFERROR(INDEX(ArchiveResults!$F$5:$IX$116,ComparisonData!A41,ComparisonData!$AAE$1),0)),5)</f>
        <v>0</v>
      </c>
      <c r="AAF41" s="81" cm="1">
        <f t="array" ref="AAF41">ROUND((IFERROR(INDEX(ArchiveResults!$F$5:$IX$116,ComparisonData!A41,ComparisonData!$AAF$1),0)),5)</f>
        <v>0</v>
      </c>
      <c r="AAG41" s="46">
        <f t="shared" si="481"/>
        <v>45</v>
      </c>
      <c r="AAH41" s="46">
        <f t="shared" si="629"/>
        <v>2.6589999999999998</v>
      </c>
      <c r="AAI41" s="46">
        <f t="shared" si="482"/>
        <v>1</v>
      </c>
      <c r="AAJ41" s="46">
        <f t="shared" si="483"/>
        <v>2</v>
      </c>
      <c r="AAK41" s="46">
        <f t="shared" si="484"/>
        <v>0</v>
      </c>
      <c r="AAL41" s="46">
        <f t="shared" si="485"/>
        <v>0</v>
      </c>
      <c r="AAM41" s="46">
        <f t="shared" si="486"/>
        <v>0</v>
      </c>
      <c r="AAN41" s="46">
        <f t="shared" si="487"/>
        <v>0</v>
      </c>
      <c r="AAO41" s="46">
        <f t="shared" si="488"/>
        <v>0</v>
      </c>
      <c r="AAP41" s="46">
        <f t="shared" si="489"/>
        <v>0</v>
      </c>
      <c r="AAQ41" s="56">
        <v>36</v>
      </c>
      <c r="AAR41" s="53" t="str">
        <f t="shared" si="630"/>
        <v>Highland Archive Service: Highland Archive Centre, Inverness</v>
      </c>
      <c r="AAS41" s="60">
        <f t="shared" si="490"/>
        <v>0</v>
      </c>
      <c r="AAT41" s="60">
        <f t="shared" si="491"/>
        <v>0</v>
      </c>
      <c r="AAU41" s="60">
        <f t="shared" si="492"/>
        <v>0</v>
      </c>
      <c r="AAV41" s="60">
        <f t="shared" si="493"/>
        <v>0</v>
      </c>
      <c r="AAW41" s="60">
        <f t="shared" si="494"/>
        <v>0</v>
      </c>
      <c r="AAX41" s="76">
        <f t="shared" si="495"/>
        <v>0</v>
      </c>
      <c r="AAY41" s="46">
        <f t="shared" si="496"/>
        <v>45</v>
      </c>
      <c r="AAZ41" s="46">
        <f t="shared" si="631"/>
        <v>2.6589999999999998</v>
      </c>
      <c r="ABA41" s="46">
        <f t="shared" si="497"/>
        <v>1</v>
      </c>
      <c r="ABB41" s="46">
        <f t="shared" si="498"/>
        <v>2</v>
      </c>
      <c r="ABC41" s="46">
        <f t="shared" si="102"/>
        <v>0</v>
      </c>
      <c r="ABD41" s="46" cm="1">
        <f t="array" ref="ABD41">ROUND(VALUE(IFERROR(INDEX(ArchiveResults!$F$5:$IX$116,ComparisonData!A41,ComparisonData!$ABD$1),0)),5)</f>
        <v>0</v>
      </c>
      <c r="ABE41" s="46" cm="1">
        <f t="array" ref="ABE41">ROUND(VALUE(IFERROR(INDEX(ArchiveResults!$F$5:$IX$116,ComparisonData!A41,ComparisonData!$ABE$1),0)),5)</f>
        <v>0</v>
      </c>
      <c r="ABF41" s="46" cm="1">
        <f t="array" ref="ABF41">ROUND(VALUE(IFERROR(INDEX(ArchiveResults!$F$5:$IX$116,ComparisonData!A41,ComparisonData!$ABF$1),0)),5)</f>
        <v>0</v>
      </c>
      <c r="ABG41" s="46" cm="1">
        <f t="array" ref="ABG41">ROUND(VALUE(IFERROR(INDEX(ArchiveResults!$F$5:$IX$116,ComparisonData!A41,ComparisonData!$ABG$1),0)),5)</f>
        <v>0</v>
      </c>
      <c r="ABH41" s="46" cm="1">
        <f t="array" ref="ABH41">ROUND(VALUE(IFERROR(INDEX(ArchiveResults!$F$5:$IX$116,ComparisonData!A41,ComparisonData!$ABH$1),0)),5)</f>
        <v>0</v>
      </c>
      <c r="ABI41" s="56">
        <v>36</v>
      </c>
      <c r="ABJ41" s="53" t="str">
        <f t="shared" si="632"/>
        <v>Highland Archive Service: Highland Archive Centre, Inverness</v>
      </c>
      <c r="ABK41" s="60">
        <f t="shared" si="499"/>
        <v>0</v>
      </c>
      <c r="ABL41" s="60">
        <f t="shared" si="500"/>
        <v>0</v>
      </c>
      <c r="ABM41" s="60">
        <f t="shared" si="501"/>
        <v>0</v>
      </c>
      <c r="ABN41" s="60">
        <f t="shared" si="502"/>
        <v>0</v>
      </c>
      <c r="ABO41" s="60">
        <f t="shared" si="503"/>
        <v>0</v>
      </c>
      <c r="ABP41" s="76">
        <f t="shared" si="504"/>
        <v>0</v>
      </c>
      <c r="ABQ41" s="46">
        <f t="shared" si="505"/>
        <v>45</v>
      </c>
      <c r="ABR41" s="46">
        <f t="shared" si="633"/>
        <v>2.6589999999999998</v>
      </c>
      <c r="ABS41" s="46">
        <f t="shared" si="506"/>
        <v>1</v>
      </c>
      <c r="ABT41" s="46">
        <f t="shared" si="507"/>
        <v>2</v>
      </c>
      <c r="ABU41" s="46" cm="1">
        <f t="array" ref="ABU41">ROUND(VALUE(IFERROR(INDEX(ArchiveResults!$F$5:$IX$116,ComparisonData!A41,ComparisonData!$ABU$1),0)),5)</f>
        <v>0</v>
      </c>
      <c r="ABV41" s="46" cm="1">
        <f t="array" ref="ABV41">ROUND(VALUE(IFERROR(INDEX(ArchiveResults!$F$5:$IX$116,ComparisonData!A41,ComparisonData!$ABV$1),0)),5)</f>
        <v>0</v>
      </c>
      <c r="ABW41" s="46" cm="1">
        <f t="array" ref="ABW41">ROUND(VALUE(IFERROR(INDEX(ArchiveResults!$F$5:$IX$116,ComparisonData!A41,ComparisonData!$ABW$1),0)),5)</f>
        <v>0</v>
      </c>
      <c r="ABX41" s="46" cm="1">
        <f t="array" ref="ABX41">ROUND(VALUE(IFERROR(INDEX(ArchiveResults!$F$5:$IX$116,ComparisonData!A41,ComparisonData!$ABX$1),0)),5)</f>
        <v>0</v>
      </c>
      <c r="ABY41" s="46" cm="1">
        <f t="array" ref="ABY41">ROUND(VALUE(IFERROR(INDEX(ArchiveResults!$F$5:$IX$116,ComparisonData!A41,ComparisonData!$ABY$1),0)),5)</f>
        <v>0</v>
      </c>
      <c r="ABZ41" s="56">
        <v>36</v>
      </c>
      <c r="ACA41" s="53" t="str">
        <f t="shared" si="634"/>
        <v>Highland Archive Service: Highland Archive Centre, Inverness</v>
      </c>
      <c r="ACB41" s="60">
        <f t="shared" si="508"/>
        <v>0</v>
      </c>
      <c r="ACC41" s="60">
        <f t="shared" si="509"/>
        <v>0</v>
      </c>
      <c r="ACD41" s="60">
        <f t="shared" si="510"/>
        <v>0</v>
      </c>
      <c r="ACE41" s="60">
        <f t="shared" si="511"/>
        <v>0</v>
      </c>
      <c r="ACF41" s="60">
        <f t="shared" si="512"/>
        <v>0</v>
      </c>
      <c r="ACG41" s="76">
        <f t="shared" si="513"/>
        <v>0</v>
      </c>
      <c r="ACH41" s="46">
        <f t="shared" si="514"/>
        <v>45</v>
      </c>
      <c r="ACI41" s="46">
        <f t="shared" si="635"/>
        <v>2.6589999999999998</v>
      </c>
      <c r="ACJ41" s="46">
        <f t="shared" si="515"/>
        <v>1</v>
      </c>
      <c r="ACK41" s="46">
        <f t="shared" si="516"/>
        <v>2</v>
      </c>
      <c r="ACL41" s="46">
        <f t="shared" si="517"/>
        <v>0</v>
      </c>
      <c r="ACM41" s="46" cm="1">
        <f t="array" ref="ACM41">ROUND(IFERROR(INDEX(ArchiveResults!$F$5:$IX$116,ComparisonData!A41,ComparisonData!$ACM$1),0),5)</f>
        <v>0</v>
      </c>
      <c r="ACN41" s="46" cm="1">
        <f t="array" ref="ACN41">ROUND(IFERROR(INDEX(ArchiveResults!$F$5:$IX$116,ComparisonData!A41,ComparisonData!$ACN$1),0),5)</f>
        <v>0</v>
      </c>
      <c r="ACO41" s="56">
        <v>36</v>
      </c>
      <c r="ACP41" s="53" t="str">
        <f t="shared" si="636"/>
        <v>Highland Archive Service: Highland Archive Centre, Inverness</v>
      </c>
      <c r="ACQ41" s="60">
        <f t="shared" si="518"/>
        <v>0</v>
      </c>
      <c r="ACR41" s="60">
        <f t="shared" si="519"/>
        <v>0</v>
      </c>
      <c r="ACS41" s="76">
        <f t="shared" si="520"/>
        <v>0</v>
      </c>
      <c r="ACT41" s="46">
        <f t="shared" si="521"/>
        <v>45</v>
      </c>
      <c r="ACU41" s="46">
        <f t="shared" si="637"/>
        <v>2.6589999999999998</v>
      </c>
      <c r="ACV41" s="46">
        <f t="shared" si="522"/>
        <v>1</v>
      </c>
      <c r="ACW41" s="46">
        <f t="shared" si="523"/>
        <v>2</v>
      </c>
      <c r="ACX41" s="46">
        <f t="shared" si="524"/>
        <v>0</v>
      </c>
      <c r="ACY41" s="46" cm="1">
        <f t="array" ref="ACY41">ROUNDDOWN(IFERROR(INDEX(ArchiveResults!$F$5:$IX$116,ComparisonData!A41,ComparisonData!$ACY$1),0),5)</f>
        <v>0</v>
      </c>
      <c r="ACZ41" s="46" cm="1">
        <f t="array" ref="ACZ41">ROUNDDOWN(IFERROR(INDEX(ArchiveResults!$F$5:$IX$116,ComparisonData!A41,ComparisonData!$ACZ$1),0),5)</f>
        <v>0</v>
      </c>
      <c r="ADA41" s="46" cm="1">
        <f t="array" ref="ADA41">ROUNDDOWN(IFERROR(INDEX(ArchiveResults!$F$5:$IX$116,ComparisonData!A41,ComparisonData!$ADA$1),0),5)</f>
        <v>0</v>
      </c>
      <c r="ADB41" s="56">
        <v>36</v>
      </c>
      <c r="ADC41" s="53" t="str">
        <f t="shared" si="638"/>
        <v>Highland Archive Service: Highland Archive Centre, Inverness</v>
      </c>
      <c r="ADD41" s="60">
        <f t="shared" si="525"/>
        <v>0</v>
      </c>
      <c r="ADE41" s="60">
        <f t="shared" si="526"/>
        <v>0</v>
      </c>
      <c r="ADF41" s="60">
        <f t="shared" si="527"/>
        <v>0</v>
      </c>
      <c r="ADG41" s="76">
        <f t="shared" si="528"/>
        <v>0</v>
      </c>
    </row>
    <row r="42" spans="1:787" x14ac:dyDescent="0.25">
      <c r="A42" s="46" t="str">
        <f>IF(ISBLANK(ComparisonSelection!F38),"",ROW()-5)</f>
        <v/>
      </c>
      <c r="B42" s="53" t="s">
        <v>491</v>
      </c>
      <c r="C42" s="72">
        <v>0.89399999999999991</v>
      </c>
      <c r="D42" s="55">
        <f t="shared" si="110"/>
        <v>91</v>
      </c>
      <c r="E42" s="54">
        <f t="shared" si="111"/>
        <v>2.8940000000000001</v>
      </c>
      <c r="F42" s="54">
        <f t="shared" si="529"/>
        <v>1</v>
      </c>
      <c r="G42" s="72">
        <f t="shared" si="112"/>
        <v>2</v>
      </c>
      <c r="H42" s="72">
        <f t="shared" si="113"/>
        <v>0</v>
      </c>
      <c r="I42" s="46" cm="1">
        <f t="array" ref="I42">ROUND(IFERROR(INDEX(ArchiveResults!$F$5:$IX$116,ComparisonData!A42,ComparisonData!$I$1),0),5)</f>
        <v>0</v>
      </c>
      <c r="J42" s="46" cm="1">
        <f t="array" ref="J42">ROUND(IFERROR(INDEX(ArchiveResults!$F$5:$IX$116,ComparisonData!A42,ComparisonData!$J$1),0),5)</f>
        <v>0</v>
      </c>
      <c r="K42" s="56">
        <v>37</v>
      </c>
      <c r="L42" s="53" t="str">
        <f t="shared" si="114"/>
        <v>Highland Archive Service: Lochaber Archive Centre</v>
      </c>
      <c r="M42" s="57">
        <f t="shared" si="530"/>
        <v>0</v>
      </c>
      <c r="N42" s="57">
        <f t="shared" si="531"/>
        <v>0</v>
      </c>
      <c r="O42" s="58">
        <f t="shared" si="115"/>
        <v>0</v>
      </c>
      <c r="P42" s="48">
        <f t="shared" si="116"/>
        <v>91</v>
      </c>
      <c r="Q42" s="54">
        <f t="shared" si="532"/>
        <v>2.8940000000000001</v>
      </c>
      <c r="R42" s="45">
        <f t="shared" si="117"/>
        <v>1</v>
      </c>
      <c r="S42" s="46">
        <f t="shared" si="118"/>
        <v>2</v>
      </c>
      <c r="T42" s="72">
        <f t="shared" si="119"/>
        <v>0</v>
      </c>
      <c r="U42" s="46" cm="1">
        <f t="array" ref="U42">ROUND(IFERROR(INDEX(ArchiveResults!$F$5:$IX$116,ComparisonData!A42,ComparisonData!$U$1),0),5)</f>
        <v>0</v>
      </c>
      <c r="V42" s="46" cm="1">
        <f t="array" ref="V42">ROUND(IFERROR(INDEX(ArchiveResults!$F$5:$IX$116,ComparisonData!A42,ComparisonData!$V$1),0),5)</f>
        <v>0</v>
      </c>
      <c r="W42" s="56">
        <v>37</v>
      </c>
      <c r="X42" s="53" t="str">
        <f t="shared" si="533"/>
        <v>Highland Archive Service: Lochaber Archive Centre</v>
      </c>
      <c r="Y42" s="57">
        <f t="shared" si="120"/>
        <v>0</v>
      </c>
      <c r="Z42" s="57">
        <f t="shared" si="121"/>
        <v>0</v>
      </c>
      <c r="AA42" s="58">
        <f t="shared" si="122"/>
        <v>0</v>
      </c>
      <c r="AB42" s="45">
        <f t="shared" si="123"/>
        <v>91</v>
      </c>
      <c r="AC42" s="54">
        <f t="shared" si="534"/>
        <v>2.8940000000000001</v>
      </c>
      <c r="AD42" s="45">
        <f t="shared" si="124"/>
        <v>1</v>
      </c>
      <c r="AE42" s="45">
        <f t="shared" si="125"/>
        <v>2</v>
      </c>
      <c r="AF42" s="45">
        <f t="shared" si="126"/>
        <v>0</v>
      </c>
      <c r="AG42" s="46" cm="1">
        <f t="array" ref="AG42">ROUND(IFERROR(INDEX(ArchiveResults!$F$5:$IX$116,ComparisonData!A42,ComparisonData!$AG$1),0),5)</f>
        <v>0</v>
      </c>
      <c r="AH42" s="46" cm="1">
        <f t="array" ref="AH42">ROUND(IFERROR(INDEX(ArchiveResults!$F$5:$IX$116,ComparisonData!A42,ComparisonData!$AH$1),0),5)</f>
        <v>0</v>
      </c>
      <c r="AI42" s="56">
        <v>37</v>
      </c>
      <c r="AJ42" s="53" t="str">
        <f t="shared" si="535"/>
        <v>Highland Archive Service: Lochaber Archive Centre</v>
      </c>
      <c r="AK42" s="59">
        <f t="shared" si="536"/>
        <v>0</v>
      </c>
      <c r="AL42" s="59">
        <f t="shared" si="537"/>
        <v>0</v>
      </c>
      <c r="AM42" s="58">
        <f t="shared" si="127"/>
        <v>0</v>
      </c>
      <c r="AN42" s="45">
        <f t="shared" si="128"/>
        <v>91</v>
      </c>
      <c r="AO42" s="54">
        <f t="shared" si="538"/>
        <v>2.8940000000000001</v>
      </c>
      <c r="AP42" s="45">
        <f t="shared" si="129"/>
        <v>1</v>
      </c>
      <c r="AQ42" s="45">
        <f t="shared" si="130"/>
        <v>2</v>
      </c>
      <c r="AR42" s="46" cm="1">
        <f t="array" ref="AR42">ROUND(IFERROR(INDEX(ArchiveResults!$F$5:$IX$116,ComparisonData!A42,ComparisonData!$AR$1),0),5)</f>
        <v>0</v>
      </c>
      <c r="AS42" s="46" cm="1">
        <f t="array" ref="AS42">ROUND(IFERROR(INDEX(ArchiveResults!$F$5:$IX$116,ComparisonData!A42,ComparisonData!$AS$1),0),5)</f>
        <v>0</v>
      </c>
      <c r="AT42" s="46" cm="1">
        <f t="array" ref="AT42">ROUND(IFERROR(INDEX(ArchiveResults!$F$5:$IX$116,ComparisonData!A42,ComparisonData!$AT$1),0),5)</f>
        <v>0</v>
      </c>
      <c r="AU42" s="46" cm="1">
        <f t="array" ref="AU42">ROUND(IFERROR(INDEX(ArchiveResults!$F$5:$IX$116,ComparisonData!A42,ComparisonData!$AU$1),0),5)</f>
        <v>0</v>
      </c>
      <c r="AV42" s="46" cm="1">
        <f t="array" ref="AV42">ROUND(IFERROR(INDEX(ArchiveResults!$F$5:$IX$116,ComparisonData!A42,ComparisonData!$AV$1),0),5)</f>
        <v>0</v>
      </c>
      <c r="AW42" s="46" cm="1">
        <f t="array" ref="AW42">ROUND(IFERROR(INDEX(ArchiveResults!$F$5:$IX$116,ComparisonData!A42,ComparisonData!$AW$1),0),5)</f>
        <v>0</v>
      </c>
      <c r="AX42" s="46" cm="1">
        <f t="array" ref="AX42">ROUND(IFERROR(INDEX(ArchiveResults!$F$5:$IX$116,ComparisonData!A42,ComparisonData!$AX$1),0),5)</f>
        <v>0</v>
      </c>
      <c r="AY42" s="46" cm="1">
        <f t="array" ref="AY42">ROUND(IFERROR(INDEX(ArchiveResults!$F$5:$IX$116,ComparisonData!A42,ComparisonData!$AY$1),0),5)</f>
        <v>0</v>
      </c>
      <c r="AZ42" s="46" cm="1">
        <f t="array" ref="AZ42">ROUND(IFERROR(INDEX(ArchiveResults!$F$5:$IX$116,ComparisonData!A42,ComparisonData!$AZ$1),0),5)</f>
        <v>0</v>
      </c>
      <c r="BA42" s="46" cm="1">
        <f t="array" ref="BA42">ROUND(IFERROR(INDEX(ArchiveResults!$F$5:$IX$116,ComparisonData!A42,ComparisonData!$BA$1),0),5)</f>
        <v>0</v>
      </c>
      <c r="BB42" s="56">
        <v>37</v>
      </c>
      <c r="BC42" s="53" t="str">
        <f t="shared" si="539"/>
        <v>Highland Archive Service: Lochaber Archive Centre</v>
      </c>
      <c r="BD42" s="60">
        <f t="shared" si="131"/>
        <v>0</v>
      </c>
      <c r="BE42" s="60">
        <f t="shared" si="132"/>
        <v>0</v>
      </c>
      <c r="BF42" s="60">
        <f t="shared" si="133"/>
        <v>0</v>
      </c>
      <c r="BG42" s="60">
        <f t="shared" si="134"/>
        <v>0</v>
      </c>
      <c r="BH42" s="60">
        <f t="shared" si="135"/>
        <v>0</v>
      </c>
      <c r="BI42" s="60">
        <f t="shared" si="136"/>
        <v>0</v>
      </c>
      <c r="BJ42" s="60">
        <f t="shared" si="137"/>
        <v>0</v>
      </c>
      <c r="BK42" s="60">
        <f t="shared" si="138"/>
        <v>0</v>
      </c>
      <c r="BL42" s="60">
        <f t="shared" si="139"/>
        <v>0</v>
      </c>
      <c r="BM42" s="59">
        <f t="shared" si="140"/>
        <v>0</v>
      </c>
      <c r="BN42" s="58">
        <f t="shared" si="141"/>
        <v>0</v>
      </c>
      <c r="BO42" s="45">
        <f t="shared" si="142"/>
        <v>91</v>
      </c>
      <c r="BP42" s="54">
        <f t="shared" si="540"/>
        <v>2.8940000000000001</v>
      </c>
      <c r="BQ42" s="45">
        <f t="shared" si="143"/>
        <v>1</v>
      </c>
      <c r="BR42" s="45">
        <f t="shared" si="144"/>
        <v>2</v>
      </c>
      <c r="BS42" s="46" cm="1">
        <f t="array" ref="BS42">ROUND(IFERROR(INDEX(ArchiveResults!$F$5:$IX$116,ComparisonData!A42,ComparisonData!$BS$1),0),5)</f>
        <v>0</v>
      </c>
      <c r="BT42" s="46" cm="1">
        <f t="array" ref="BT42">ROUND(IFERROR(INDEX(ArchiveResults!$F$5:$IX$116,ComparisonData!A42,ComparisonData!$BT$1),0),5)</f>
        <v>0</v>
      </c>
      <c r="BU42" s="46" cm="1">
        <f t="array" ref="BU42">ROUND(IFERROR(INDEX(ArchiveResults!$F$5:$IX$116,ComparisonData!A42,ComparisonData!$BU$1),0),5)</f>
        <v>0</v>
      </c>
      <c r="BV42" s="46" cm="1">
        <f t="array" ref="BV42">ROUND(IFERROR(INDEX(ArchiveResults!$F$5:$IX$116,ComparisonData!A42,ComparisonData!$BV$1),0),5)</f>
        <v>0</v>
      </c>
      <c r="BW42" s="46" cm="1">
        <f t="array" ref="BW42">ROUND(IFERROR(INDEX(ArchiveResults!$F$5:$IX$116,ComparisonData!A42,ComparisonData!$BW$1),0),5)</f>
        <v>0</v>
      </c>
      <c r="BX42" s="46" cm="1">
        <f t="array" ref="BX42">ROUND(IFERROR(INDEX(ArchiveResults!$F$5:$IX$116,ComparisonData!A42,ComparisonData!$BX$1),0),5)</f>
        <v>0</v>
      </c>
      <c r="BY42" s="56">
        <v>37</v>
      </c>
      <c r="BZ42" s="53" t="str">
        <f t="shared" si="541"/>
        <v>Highland Archive Service: Lochaber Archive Centre</v>
      </c>
      <c r="CA42" s="59">
        <f t="shared" si="145"/>
        <v>0</v>
      </c>
      <c r="CB42" s="59">
        <f t="shared" si="146"/>
        <v>0</v>
      </c>
      <c r="CC42" s="59">
        <f t="shared" si="147"/>
        <v>0</v>
      </c>
      <c r="CD42" s="59">
        <f t="shared" si="148"/>
        <v>0</v>
      </c>
      <c r="CE42" s="59">
        <f t="shared" si="149"/>
        <v>0</v>
      </c>
      <c r="CF42" s="59">
        <f t="shared" si="150"/>
        <v>0</v>
      </c>
      <c r="CG42" s="58">
        <f t="shared" si="151"/>
        <v>0</v>
      </c>
      <c r="CH42" s="45">
        <f t="shared" si="152"/>
        <v>91</v>
      </c>
      <c r="CI42" s="54">
        <f t="shared" si="542"/>
        <v>2.8940000000000001</v>
      </c>
      <c r="CJ42" s="45">
        <f t="shared" si="153"/>
        <v>1</v>
      </c>
      <c r="CK42" s="45">
        <f t="shared" si="154"/>
        <v>2</v>
      </c>
      <c r="CL42" s="46" cm="1">
        <f t="array" ref="CL42">ROUND(IFERROR(INDEX(ArchiveResults!$F$5:$IX$116,ComparisonData!A42,ComparisonData!$CL$1),0),5)</f>
        <v>0</v>
      </c>
      <c r="CM42" s="56">
        <v>37</v>
      </c>
      <c r="CN42" s="53" t="str">
        <f t="shared" si="543"/>
        <v>Highland Archive Service: Lochaber Archive Centre</v>
      </c>
      <c r="CO42" s="45">
        <f t="shared" si="155"/>
        <v>0</v>
      </c>
      <c r="CP42" s="58">
        <f t="shared" si="156"/>
        <v>0</v>
      </c>
      <c r="CQ42" s="45">
        <f t="shared" si="157"/>
        <v>91</v>
      </c>
      <c r="CR42" s="54">
        <f t="shared" si="544"/>
        <v>2.8940000000000001</v>
      </c>
      <c r="CS42" s="45">
        <f t="shared" si="158"/>
        <v>1</v>
      </c>
      <c r="CT42" s="45">
        <f t="shared" si="159"/>
        <v>2</v>
      </c>
      <c r="CU42" s="46" cm="1">
        <f t="array" ref="CU42">ROUND(IFERROR(INDEX(ArchiveResults!$F$5:$IX$116,ComparisonData!A42,ComparisonData!$CU$1),0),5)</f>
        <v>0</v>
      </c>
      <c r="CV42" s="56">
        <v>37</v>
      </c>
      <c r="CW42" s="53" t="str">
        <f t="shared" si="545"/>
        <v>Highland Archive Service: Lochaber Archive Centre</v>
      </c>
      <c r="CX42" s="45">
        <f t="shared" si="160"/>
        <v>0</v>
      </c>
      <c r="CY42" s="58">
        <f t="shared" si="161"/>
        <v>0</v>
      </c>
      <c r="CZ42" s="45">
        <f t="shared" si="162"/>
        <v>91</v>
      </c>
      <c r="DA42" s="54">
        <f t="shared" si="546"/>
        <v>2.8940000000000001</v>
      </c>
      <c r="DB42" s="45">
        <f t="shared" si="163"/>
        <v>1</v>
      </c>
      <c r="DC42" s="45">
        <f t="shared" si="164"/>
        <v>2</v>
      </c>
      <c r="DD42" s="46" cm="1">
        <f t="array" ref="DD42">ROUND(IFERROR(INDEX(ArchiveResults!$F$5:$IX$116,ComparisonData!A42,ComparisonData!$DD$1),0),5)</f>
        <v>0</v>
      </c>
      <c r="DE42" s="56">
        <v>37</v>
      </c>
      <c r="DF42" s="53" t="str">
        <f t="shared" si="547"/>
        <v>Highland Archive Service: Lochaber Archive Centre</v>
      </c>
      <c r="DG42" s="45">
        <f t="shared" si="165"/>
        <v>0</v>
      </c>
      <c r="DH42" s="58">
        <f t="shared" si="166"/>
        <v>0</v>
      </c>
      <c r="DI42" s="45">
        <f t="shared" si="167"/>
        <v>91</v>
      </c>
      <c r="DJ42" s="54">
        <f t="shared" si="548"/>
        <v>2.8940000000000001</v>
      </c>
      <c r="DK42" s="45">
        <f t="shared" si="168"/>
        <v>1</v>
      </c>
      <c r="DL42" s="45">
        <f t="shared" si="169"/>
        <v>2</v>
      </c>
      <c r="DM42" s="46" cm="1">
        <f t="array" ref="DM42">ROUND(IFERROR(INDEX(ArchiveResults!$F$5:$IX$116,ComparisonData!A42,ComparisonData!$DM$1),0),5)</f>
        <v>0</v>
      </c>
      <c r="DN42" s="46" cm="1">
        <f t="array" ref="DN42">ROUND(IFERROR(INDEX(ArchiveResults!$F$5:$IX$116,ComparisonData!A42,ComparisonData!$DN$1),0),5)</f>
        <v>0</v>
      </c>
      <c r="DO42" s="46" cm="1">
        <f t="array" ref="DO42">ROUND(IFERROR(INDEX(ArchiveResults!$F$5:$IX$116,ComparisonData!A42,ComparisonData!$DO$1),0),5)</f>
        <v>0</v>
      </c>
      <c r="DP42" s="46" cm="1">
        <f t="array" ref="DP42">ROUND(IFERROR(INDEX(ArchiveResults!$F$5:$IX$116,ComparisonData!A42,ComparisonData!$DP$1),0),5)</f>
        <v>0</v>
      </c>
      <c r="DQ42" s="45" cm="1">
        <f t="array" ref="DQ42">IFERROR(INDEX(ArchiveResults!$F$5:$IX$116,ComparisonData!A42,ComparisonData!$DQ$1),0)</f>
        <v>0</v>
      </c>
      <c r="DR42" s="56">
        <v>37</v>
      </c>
      <c r="DS42" s="53" t="str">
        <f t="shared" si="549"/>
        <v>Highland Archive Service: Lochaber Archive Centre</v>
      </c>
      <c r="DT42" s="59">
        <f t="shared" si="170"/>
        <v>0</v>
      </c>
      <c r="DU42" s="59">
        <f t="shared" si="171"/>
        <v>0</v>
      </c>
      <c r="DV42" s="59">
        <f t="shared" si="172"/>
        <v>0</v>
      </c>
      <c r="DW42" s="59">
        <f t="shared" si="173"/>
        <v>0</v>
      </c>
      <c r="DX42" s="59">
        <f t="shared" si="174"/>
        <v>0</v>
      </c>
      <c r="DY42" s="58">
        <f t="shared" si="175"/>
        <v>0</v>
      </c>
      <c r="DZ42" s="45">
        <f t="shared" si="176"/>
        <v>91</v>
      </c>
      <c r="EA42" s="54">
        <f t="shared" si="550"/>
        <v>2.8940000000000001</v>
      </c>
      <c r="EB42" s="45">
        <f t="shared" si="177"/>
        <v>1</v>
      </c>
      <c r="EC42" s="45">
        <f t="shared" si="178"/>
        <v>2</v>
      </c>
      <c r="ED42" s="46" cm="1">
        <f t="array" ref="ED42">ROUND(IFERROR(INDEX(ArchiveResults!$F$5:$IX$116,ComparisonData!A42,ComparisonData!$ED$1),0),5)</f>
        <v>0</v>
      </c>
      <c r="EE42" s="46" cm="1">
        <f t="array" ref="EE42">ROUND(IFERROR(INDEX(ArchiveResults!$F$5:$IX$116,ComparisonData!A42,ComparisonData!$EE$1),0),5)</f>
        <v>0</v>
      </c>
      <c r="EF42" s="46" cm="1">
        <f t="array" ref="EF42">ROUND(IFERROR(INDEX(ArchiveResults!$F$5:$IX$116,ComparisonData!A42,ComparisonData!$EF$1),0),5)</f>
        <v>0</v>
      </c>
      <c r="EG42" s="46" cm="1">
        <f t="array" ref="EG42">ROUND(IFERROR(INDEX(ArchiveResults!$F$5:$IX$116,ComparisonData!A42,ComparisonData!$EG$1),0),5)</f>
        <v>0</v>
      </c>
      <c r="EH42" s="45" cm="1">
        <f t="array" ref="EH42">IFERROR(INDEX(ArchiveResults!$F$5:$IX$116,ComparisonData!A42,ComparisonData!$EH$1),0)</f>
        <v>0</v>
      </c>
      <c r="EI42" s="56">
        <v>37</v>
      </c>
      <c r="EJ42" s="53" t="str">
        <f t="shared" si="551"/>
        <v>Highland Archive Service: Lochaber Archive Centre</v>
      </c>
      <c r="EK42" s="59">
        <f t="shared" si="179"/>
        <v>0</v>
      </c>
      <c r="EL42" s="59">
        <f t="shared" si="180"/>
        <v>0</v>
      </c>
      <c r="EM42" s="59">
        <f t="shared" si="181"/>
        <v>0</v>
      </c>
      <c r="EN42" s="59">
        <f t="shared" si="182"/>
        <v>0</v>
      </c>
      <c r="EO42" s="59">
        <f t="shared" si="183"/>
        <v>0</v>
      </c>
      <c r="EP42" s="58">
        <f t="shared" si="184"/>
        <v>0</v>
      </c>
      <c r="EQ42" s="45">
        <f t="shared" si="185"/>
        <v>91</v>
      </c>
      <c r="ER42" s="54">
        <f t="shared" si="552"/>
        <v>2.8940000000000001</v>
      </c>
      <c r="ES42" s="45">
        <f t="shared" si="186"/>
        <v>1</v>
      </c>
      <c r="ET42" s="45">
        <f t="shared" si="187"/>
        <v>2</v>
      </c>
      <c r="EU42" s="46" cm="1">
        <f t="array" ref="EU42">ROUND(IFERROR(INDEX(ArchiveResults!$F$5:$IX$116,ComparisonData!A42,ComparisonData!$EU$1),0),5)</f>
        <v>0</v>
      </c>
      <c r="EV42" s="46" cm="1">
        <f t="array" ref="EV42">ROUND(IFERROR(INDEX(ArchiveResults!$F$5:$IX$116,ComparisonData!A42,ComparisonData!$EV$1),0),5)</f>
        <v>0</v>
      </c>
      <c r="EW42" s="46" cm="1">
        <f t="array" ref="EW42">ROUND(IFERROR(INDEX(ArchiveResults!$F$5:$IX$116,ComparisonData!A42,ComparisonData!$EW$1),0),5)</f>
        <v>0</v>
      </c>
      <c r="EX42" s="46" cm="1">
        <f t="array" ref="EX42">ROUND(IFERROR(INDEX(ArchiveResults!$F$5:$IX$116,ComparisonData!A42,ComparisonData!$EX$1),0),5)</f>
        <v>0</v>
      </c>
      <c r="EY42" s="45" cm="1">
        <f t="array" ref="EY42">IFERROR(INDEX(ArchiveResults!$F$5:$IX$116,ComparisonData!A42,ComparisonData!$EY$1),0)</f>
        <v>0</v>
      </c>
      <c r="EZ42" s="56">
        <v>37</v>
      </c>
      <c r="FA42" s="53" t="str">
        <f t="shared" si="553"/>
        <v>Highland Archive Service: Lochaber Archive Centre</v>
      </c>
      <c r="FB42" s="59">
        <f t="shared" si="188"/>
        <v>0</v>
      </c>
      <c r="FC42" s="59">
        <f t="shared" si="189"/>
        <v>0</v>
      </c>
      <c r="FD42" s="59">
        <f t="shared" si="190"/>
        <v>0</v>
      </c>
      <c r="FE42" s="59">
        <f t="shared" si="191"/>
        <v>0</v>
      </c>
      <c r="FF42" s="59">
        <f t="shared" si="192"/>
        <v>0</v>
      </c>
      <c r="FG42" s="58">
        <f t="shared" si="193"/>
        <v>0</v>
      </c>
      <c r="FH42" s="45">
        <f t="shared" si="194"/>
        <v>91</v>
      </c>
      <c r="FI42" s="54">
        <f t="shared" si="554"/>
        <v>2.8940000000000001</v>
      </c>
      <c r="FJ42" s="45">
        <f t="shared" si="195"/>
        <v>1</v>
      </c>
      <c r="FK42" s="45">
        <f t="shared" si="196"/>
        <v>2</v>
      </c>
      <c r="FL42" s="46" cm="1">
        <f t="array" ref="FL42">ROUND(IFERROR(INDEX(ArchiveResults!$F$5:$IX$116,ComparisonData!A42,ComparisonData!$FL$1),0),5)</f>
        <v>0</v>
      </c>
      <c r="FM42" s="46" cm="1">
        <f t="array" ref="FM42">ROUND(IFERROR(INDEX(ArchiveResults!$F$5:$IX$116,ComparisonData!A42,ComparisonData!$FM$1),0),5)</f>
        <v>0</v>
      </c>
      <c r="FN42" s="46" cm="1">
        <f t="array" ref="FN42">ROUND(IFERROR(INDEX(ArchiveResults!$F$5:$IX$116,ComparisonData!A42,ComparisonData!$FN$1),0),5)</f>
        <v>0</v>
      </c>
      <c r="FO42" s="46" cm="1">
        <f t="array" ref="FO42">ROUND(IFERROR(INDEX(ArchiveResults!$F$5:$IX$116,ComparisonData!A42,ComparisonData!$FO$1),0),5)</f>
        <v>0</v>
      </c>
      <c r="FP42" s="45" cm="1">
        <f t="array" ref="FP42">IFERROR(INDEX(ArchiveResults!$F$5:$IX$116,ComparisonData!A42,ComparisonData!$FP$1),0)</f>
        <v>0</v>
      </c>
      <c r="FQ42" s="56">
        <v>37</v>
      </c>
      <c r="FR42" s="53" t="str">
        <f t="shared" si="555"/>
        <v>Highland Archive Service: Lochaber Archive Centre</v>
      </c>
      <c r="FS42" s="59">
        <f t="shared" si="197"/>
        <v>0</v>
      </c>
      <c r="FT42" s="59">
        <f t="shared" si="198"/>
        <v>0</v>
      </c>
      <c r="FU42" s="59">
        <f t="shared" si="199"/>
        <v>0</v>
      </c>
      <c r="FV42" s="59">
        <f t="shared" si="200"/>
        <v>0</v>
      </c>
      <c r="FW42" s="59">
        <f t="shared" si="201"/>
        <v>0</v>
      </c>
      <c r="FX42" s="58">
        <f t="shared" si="202"/>
        <v>0</v>
      </c>
      <c r="FY42" s="45">
        <f t="shared" si="203"/>
        <v>91</v>
      </c>
      <c r="FZ42" s="45">
        <f t="shared" si="556"/>
        <v>2.8940000000000001</v>
      </c>
      <c r="GA42" s="45">
        <f t="shared" si="204"/>
        <v>1</v>
      </c>
      <c r="GB42" s="45">
        <f t="shared" si="205"/>
        <v>2</v>
      </c>
      <c r="GC42" s="46" cm="1">
        <f t="array" ref="GC42">ROUND(IFERROR(INDEX(ArchiveResults!$F$5:$IX$116,ComparisonData!A42,ComparisonData!$GC$1),0),5)</f>
        <v>0</v>
      </c>
      <c r="GD42" s="46" cm="1">
        <f t="array" ref="GD42">ROUND(IFERROR(INDEX(ArchiveResults!$F$5:$IX$116,ComparisonData!A42,ComparisonData!$GD$1),0),5)</f>
        <v>0</v>
      </c>
      <c r="GE42" s="46" cm="1">
        <f t="array" ref="GE42">ROUND(IFERROR(INDEX(ArchiveResults!$F$5:$IX$116,ComparisonData!A42,ComparisonData!$GE$1),0),5)</f>
        <v>0</v>
      </c>
      <c r="GF42" s="46" cm="1">
        <f t="array" ref="GF42">ROUND(IFERROR(INDEX(ArchiveResults!$F$5:$IX$116,ComparisonData!A42,ComparisonData!$GF$1),0),5)</f>
        <v>0</v>
      </c>
      <c r="GG42" s="45" cm="1">
        <f t="array" ref="GG42">IFERROR(INDEX(ArchiveResults!$F$5:$IX$116,ComparisonData!A42,ComparisonData!$GG$1),0)</f>
        <v>0</v>
      </c>
      <c r="GH42" s="56">
        <v>37</v>
      </c>
      <c r="GI42" s="53" t="str">
        <f t="shared" si="557"/>
        <v>Highland Archive Service: Lochaber Archive Centre</v>
      </c>
      <c r="GJ42" s="59">
        <f t="shared" si="206"/>
        <v>0</v>
      </c>
      <c r="GK42" s="59">
        <f t="shared" si="207"/>
        <v>0</v>
      </c>
      <c r="GL42" s="59">
        <f t="shared" si="208"/>
        <v>0</v>
      </c>
      <c r="GM42" s="59">
        <f t="shared" si="209"/>
        <v>0</v>
      </c>
      <c r="GN42" s="59">
        <f t="shared" si="210"/>
        <v>0</v>
      </c>
      <c r="GO42" s="58">
        <f t="shared" si="211"/>
        <v>0</v>
      </c>
      <c r="GP42" s="45">
        <f t="shared" si="212"/>
        <v>91</v>
      </c>
      <c r="GQ42" s="45">
        <f t="shared" si="558"/>
        <v>2.8940000000000001</v>
      </c>
      <c r="GR42" s="45">
        <f t="shared" si="213"/>
        <v>1</v>
      </c>
      <c r="GS42" s="45">
        <f t="shared" si="214"/>
        <v>2</v>
      </c>
      <c r="GT42" s="46" cm="1">
        <f t="array" ref="GT42">ROUND(IFERROR(INDEX(ArchiveResults!$F$5:$IX$116,ComparisonData!A42,ComparisonData!$GT$1),0),5)</f>
        <v>0</v>
      </c>
      <c r="GU42" s="46" cm="1">
        <f t="array" ref="GU42">ROUND(IFERROR(INDEX(ArchiveResults!$F$5:$IX$116,ComparisonData!A42,ComparisonData!$GU$1),0),5)</f>
        <v>0</v>
      </c>
      <c r="GV42" s="46" cm="1">
        <f t="array" ref="GV42">ROUND(IFERROR(INDEX(ArchiveResults!$F$5:$IX$116,ComparisonData!A42,ComparisonData!$GV$1),0),5)</f>
        <v>0</v>
      </c>
      <c r="GW42" s="46" cm="1">
        <f t="array" ref="GW42">ROUND(IFERROR(INDEX(ArchiveResults!$F$5:$IX$116,ComparisonData!A42,ComparisonData!$GW$1),0),5)</f>
        <v>0</v>
      </c>
      <c r="GX42" s="45" cm="1">
        <f t="array" ref="GX42">IFERROR(INDEX(ArchiveResults!$F$5:$IX$116,ComparisonData!A42,ComparisonData!$GX$1),0)</f>
        <v>0</v>
      </c>
      <c r="GY42" s="56">
        <v>37</v>
      </c>
      <c r="GZ42" s="53" t="str">
        <f t="shared" si="559"/>
        <v>Highland Archive Service: Lochaber Archive Centre</v>
      </c>
      <c r="HA42" s="59">
        <f t="shared" si="215"/>
        <v>0</v>
      </c>
      <c r="HB42" s="59">
        <f t="shared" si="216"/>
        <v>0</v>
      </c>
      <c r="HC42" s="59">
        <f t="shared" si="217"/>
        <v>0</v>
      </c>
      <c r="HD42" s="59">
        <f t="shared" si="218"/>
        <v>0</v>
      </c>
      <c r="HE42" s="59">
        <f t="shared" si="219"/>
        <v>0</v>
      </c>
      <c r="HF42" s="58">
        <f t="shared" si="220"/>
        <v>0</v>
      </c>
      <c r="HG42" s="45">
        <f t="shared" si="221"/>
        <v>91</v>
      </c>
      <c r="HH42" s="45">
        <f t="shared" si="560"/>
        <v>2.8940000000000001</v>
      </c>
      <c r="HI42" s="45">
        <f t="shared" si="222"/>
        <v>1</v>
      </c>
      <c r="HJ42" s="45">
        <f t="shared" si="223"/>
        <v>2</v>
      </c>
      <c r="HK42" s="46" cm="1">
        <f t="array" ref="HK42">ROUND(IFERROR(INDEX(ArchiveResults!$F$5:$IX$116,ComparisonData!A42,ComparisonData!$HK$1),0),5)</f>
        <v>0</v>
      </c>
      <c r="HL42" s="46" cm="1">
        <f t="array" ref="HL42">ROUND(IFERROR(INDEX(ArchiveResults!$F$5:$IX$116,ComparisonData!A42,ComparisonData!$HL$1),0),5)</f>
        <v>0</v>
      </c>
      <c r="HM42" s="46" cm="1">
        <f t="array" ref="HM42">ROUND(IFERROR(INDEX(ArchiveResults!$F$5:$IX$116,ComparisonData!A42,ComparisonData!$HM$1),0),5)</f>
        <v>0</v>
      </c>
      <c r="HN42" s="46" cm="1">
        <f t="array" ref="HN42">ROUND(IFERROR(INDEX(ArchiveResults!$F$5:$IX$116,ComparisonData!A42,ComparisonData!$HN$1),0),5)</f>
        <v>0</v>
      </c>
      <c r="HO42" s="45" cm="1">
        <f t="array" ref="HO42">IFERROR(INDEX(ArchiveResults!$F$5:$IX$116,ComparisonData!A42,ComparisonData!$HO$1),0)</f>
        <v>0</v>
      </c>
      <c r="HP42" s="56">
        <v>37</v>
      </c>
      <c r="HQ42" s="53" t="str">
        <f t="shared" si="561"/>
        <v>Highland Archive Service: Lochaber Archive Centre</v>
      </c>
      <c r="HR42" s="59">
        <f t="shared" si="562"/>
        <v>0</v>
      </c>
      <c r="HS42" s="59">
        <f t="shared" si="563"/>
        <v>0</v>
      </c>
      <c r="HT42" s="59">
        <f t="shared" si="564"/>
        <v>0</v>
      </c>
      <c r="HU42" s="59">
        <f t="shared" si="565"/>
        <v>0</v>
      </c>
      <c r="HV42" s="59">
        <f t="shared" si="566"/>
        <v>0</v>
      </c>
      <c r="HW42" s="58">
        <f t="shared" si="224"/>
        <v>0</v>
      </c>
      <c r="HX42" s="45">
        <f t="shared" si="225"/>
        <v>91</v>
      </c>
      <c r="HY42" s="45">
        <f t="shared" si="567"/>
        <v>2.8940000000000001</v>
      </c>
      <c r="HZ42" s="45">
        <f t="shared" si="226"/>
        <v>1</v>
      </c>
      <c r="IA42" s="45">
        <f t="shared" si="227"/>
        <v>2</v>
      </c>
      <c r="IB42" s="45">
        <f t="shared" si="228"/>
        <v>0</v>
      </c>
      <c r="IC42" s="46" cm="1">
        <f t="array" ref="IC42">ROUND(IFERROR(INDEX(ArchiveResults!$F$5:$IX$116,ComparisonData!A42,ComparisonData!$IC$1),0),5)</f>
        <v>0</v>
      </c>
      <c r="ID42" s="46" cm="1">
        <f t="array" ref="ID42">ROUND(IFERROR(INDEX(ArchiveResults!$F$5:$IX$116,ComparisonData!A42,ComparisonData!$ID$1),0),5)</f>
        <v>0</v>
      </c>
      <c r="IE42" s="46" cm="1">
        <f t="array" ref="IE42">ROUND(IFERROR(INDEX(ArchiveResults!$F$5:$IX$116,ComparisonData!A42,ComparisonData!$IE$1),0),5)</f>
        <v>0</v>
      </c>
      <c r="IF42" s="46" cm="1">
        <f t="array" ref="IF42">ROUND(IFERROR(INDEX(ArchiveResults!$F$5:$IX$116,ComparisonData!A42,ComparisonData!$IF$1),0),5)</f>
        <v>0</v>
      </c>
      <c r="IG42" s="45" cm="1">
        <f t="array" ref="IG42">IFERROR(INDEX(ArchiveResults!$F$5:$IX$116,ComparisonData!A42,ComparisonData!$IG$1),0)</f>
        <v>0</v>
      </c>
      <c r="IH42" s="56">
        <v>37</v>
      </c>
      <c r="II42" s="53" t="str">
        <f t="shared" si="568"/>
        <v>Highland Archive Service: Lochaber Archive Centre</v>
      </c>
      <c r="IJ42" s="59">
        <f t="shared" si="229"/>
        <v>0</v>
      </c>
      <c r="IK42" s="59">
        <f t="shared" si="230"/>
        <v>0</v>
      </c>
      <c r="IL42" s="59">
        <f t="shared" si="231"/>
        <v>0</v>
      </c>
      <c r="IM42" s="59">
        <f t="shared" si="232"/>
        <v>0</v>
      </c>
      <c r="IN42" s="59">
        <f t="shared" si="233"/>
        <v>0</v>
      </c>
      <c r="IO42" s="58">
        <f t="shared" si="234"/>
        <v>0</v>
      </c>
      <c r="IP42" s="45">
        <f t="shared" si="235"/>
        <v>91</v>
      </c>
      <c r="IQ42" s="45">
        <f t="shared" si="569"/>
        <v>2.8940000000000001</v>
      </c>
      <c r="IR42" s="45">
        <f t="shared" si="236"/>
        <v>1</v>
      </c>
      <c r="IS42" s="45">
        <f t="shared" si="237"/>
        <v>2</v>
      </c>
      <c r="IT42" s="46">
        <f t="shared" si="238"/>
        <v>0</v>
      </c>
      <c r="IU42" s="46" cm="1">
        <f t="array" ref="IU42">ROUND(IFERROR(INDEX(ArchiveResults!$F$5:$IX$116,ComparisonData!A42,ComparisonData!$IU$1),0),5)</f>
        <v>0</v>
      </c>
      <c r="IV42" s="46" cm="1">
        <f t="array" ref="IV42">ROUND(IFERROR(INDEX(ArchiveResults!$F$5:$IX$116,ComparisonData!A42,ComparisonData!$IV$1),0),5)</f>
        <v>0</v>
      </c>
      <c r="IW42" s="46" cm="1">
        <f t="array" ref="IW42">ROUND(IFERROR(INDEX(ArchiveResults!$F$5:$IX$116,ComparisonData!A42,ComparisonData!$IW$1),0),5)</f>
        <v>0</v>
      </c>
      <c r="IX42" s="46" cm="1">
        <f t="array" ref="IX42">ROUND(IFERROR(INDEX(ArchiveResults!$F$5:$IX$116,ComparisonData!A42,ComparisonData!$IX$1),0),5)</f>
        <v>0</v>
      </c>
      <c r="IY42" s="45" cm="1">
        <f t="array" ref="IY42">IFERROR(INDEX(ArchiveResults!$F$5:$IX$116,ComparisonData!A42,ComparisonData!$IY$1),0)</f>
        <v>0</v>
      </c>
      <c r="IZ42" s="56">
        <v>37</v>
      </c>
      <c r="JA42" s="53" t="str">
        <f t="shared" si="570"/>
        <v>Highland Archive Service: Lochaber Archive Centre</v>
      </c>
      <c r="JB42" s="59">
        <f t="shared" si="239"/>
        <v>0</v>
      </c>
      <c r="JC42" s="59">
        <f t="shared" si="240"/>
        <v>0</v>
      </c>
      <c r="JD42" s="59">
        <f t="shared" si="241"/>
        <v>0</v>
      </c>
      <c r="JE42" s="59">
        <f t="shared" si="242"/>
        <v>0</v>
      </c>
      <c r="JF42" s="59">
        <f t="shared" si="243"/>
        <v>0</v>
      </c>
      <c r="JG42" s="58">
        <f t="shared" si="244"/>
        <v>0</v>
      </c>
      <c r="JH42" s="45">
        <f t="shared" si="245"/>
        <v>91</v>
      </c>
      <c r="JI42" s="45">
        <f t="shared" si="571"/>
        <v>2.8940000000000001</v>
      </c>
      <c r="JJ42" s="45">
        <f t="shared" si="246"/>
        <v>1</v>
      </c>
      <c r="JK42" s="45">
        <f t="shared" si="247"/>
        <v>2</v>
      </c>
      <c r="JL42" s="45">
        <f t="shared" si="248"/>
        <v>0</v>
      </c>
      <c r="JM42" s="46" cm="1">
        <f t="array" ref="JM42">ROUND(IFERROR(INDEX(ArchiveResults!$F$5:$IX$116,ComparisonData!A42,ComparisonData!$JM$1),0),5)</f>
        <v>0</v>
      </c>
      <c r="JN42" s="46" cm="1">
        <f t="array" ref="JN42">ROUND(IFERROR(INDEX(ArchiveResults!$F$5:$IX$116,ComparisonData!A42,ComparisonData!$JN$1),0),5)</f>
        <v>0</v>
      </c>
      <c r="JO42" s="46" cm="1">
        <f t="array" ref="JO42">ROUND(IFERROR(INDEX(ArchiveResults!$F$5:$IX$116,ComparisonData!A42,ComparisonData!$JO$1),0),5)</f>
        <v>0</v>
      </c>
      <c r="JP42" s="46" cm="1">
        <f t="array" ref="JP42">ROUND(IFERROR(INDEX(ArchiveResults!$F$5:$IX$116,ComparisonData!A42,ComparisonData!$JP$1),0),5)</f>
        <v>0</v>
      </c>
      <c r="JQ42" s="45" cm="1">
        <f t="array" ref="JQ42">IFERROR(INDEX(ArchiveResults!$F$5:$IX$116,ComparisonData!A42,ComparisonData!$JQ$1),0)</f>
        <v>0</v>
      </c>
      <c r="JR42" s="56">
        <v>37</v>
      </c>
      <c r="JS42" s="53" t="str">
        <f t="shared" si="572"/>
        <v>Highland Archive Service: Lochaber Archive Centre</v>
      </c>
      <c r="JT42" s="59">
        <f t="shared" si="249"/>
        <v>0</v>
      </c>
      <c r="JU42" s="59">
        <f t="shared" si="250"/>
        <v>0</v>
      </c>
      <c r="JV42" s="59">
        <f t="shared" si="251"/>
        <v>0</v>
      </c>
      <c r="JW42" s="59">
        <f t="shared" si="252"/>
        <v>0</v>
      </c>
      <c r="JX42" s="59">
        <f t="shared" si="253"/>
        <v>0</v>
      </c>
      <c r="JY42" s="58">
        <f t="shared" si="254"/>
        <v>0</v>
      </c>
      <c r="JZ42" s="45">
        <f t="shared" si="255"/>
        <v>91</v>
      </c>
      <c r="KA42" s="45">
        <f t="shared" si="573"/>
        <v>2.8940000000000001</v>
      </c>
      <c r="KB42" s="45">
        <f t="shared" si="256"/>
        <v>1</v>
      </c>
      <c r="KC42" s="45">
        <f t="shared" si="257"/>
        <v>2</v>
      </c>
      <c r="KD42" s="45">
        <f t="shared" si="258"/>
        <v>0</v>
      </c>
      <c r="KE42" s="46" cm="1">
        <f t="array" ref="KE42">ROUND(IFERROR(INDEX(ArchiveResults!$F$5:$IX$116,ComparisonData!A42,ComparisonData!$KE$1),0),5)</f>
        <v>0</v>
      </c>
      <c r="KF42" s="46" cm="1">
        <f t="array" ref="KF42">ROUND(IFERROR(INDEX(ArchiveResults!$F$5:$IX$116,ComparisonData!A42,ComparisonData!$KF$1),0),5)</f>
        <v>0</v>
      </c>
      <c r="KG42" s="46" cm="1">
        <f t="array" ref="KG42">ROUND(IFERROR(INDEX(ArchiveResults!$F$5:$IX$116,ComparisonData!A42,ComparisonData!$KG$1),0),5)</f>
        <v>0</v>
      </c>
      <c r="KH42" s="46" cm="1">
        <f t="array" ref="KH42">ROUND(IFERROR(INDEX(ArchiveResults!$F$5:$IX$116,ComparisonData!A42,ComparisonData!$KH$1),0),5)</f>
        <v>0</v>
      </c>
      <c r="KI42" s="45" cm="1">
        <f t="array" ref="KI42">IFERROR(INDEX(ArchiveResults!$F$5:$IX$116,ComparisonData!A42,ComparisonData!$KI$1),0)</f>
        <v>0</v>
      </c>
      <c r="KJ42" s="56">
        <v>37</v>
      </c>
      <c r="KK42" s="53" t="str">
        <f t="shared" si="574"/>
        <v>Highland Archive Service: Lochaber Archive Centre</v>
      </c>
      <c r="KL42" s="59">
        <f t="shared" si="259"/>
        <v>0</v>
      </c>
      <c r="KM42" s="59">
        <f t="shared" si="260"/>
        <v>0</v>
      </c>
      <c r="KN42" s="59">
        <f t="shared" si="261"/>
        <v>0</v>
      </c>
      <c r="KO42" s="59">
        <f t="shared" si="262"/>
        <v>0</v>
      </c>
      <c r="KP42" s="59">
        <f t="shared" si="263"/>
        <v>0</v>
      </c>
      <c r="KQ42" s="58">
        <f t="shared" si="264"/>
        <v>0</v>
      </c>
      <c r="KR42" s="45">
        <f t="shared" si="265"/>
        <v>91</v>
      </c>
      <c r="KS42" s="45">
        <f t="shared" si="575"/>
        <v>2.8940000000000001</v>
      </c>
      <c r="KT42" s="45">
        <f t="shared" si="266"/>
        <v>1</v>
      </c>
      <c r="KU42" s="45">
        <f t="shared" si="267"/>
        <v>2</v>
      </c>
      <c r="KV42" s="45">
        <f t="shared" si="268"/>
        <v>0</v>
      </c>
      <c r="KW42" s="46" cm="1">
        <f t="array" ref="KW42">ROUND(IFERROR(INDEX(ArchiveResults!$F$5:$IX$116,ComparisonData!A42,ComparisonData!$KW$1),0),5)</f>
        <v>0</v>
      </c>
      <c r="KX42" s="46" cm="1">
        <f t="array" ref="KX42">ROUND(IFERROR(INDEX(ArchiveResults!$F$5:$IX$116,ComparisonData!A42,ComparisonData!$KX$1),0),5)</f>
        <v>0</v>
      </c>
      <c r="KY42" s="46" cm="1">
        <f t="array" ref="KY42">ROUND(IFERROR(INDEX(ArchiveResults!$F$5:$IX$116,ComparisonData!A42,ComparisonData!$KY$1),0),5)</f>
        <v>0</v>
      </c>
      <c r="KZ42" s="46" cm="1">
        <f t="array" ref="KZ42">ROUND(IFERROR(INDEX(ArchiveResults!$F$5:$IX$116,ComparisonData!A42,ComparisonData!$KZ$1),0),5)</f>
        <v>0</v>
      </c>
      <c r="LA42" s="45" cm="1">
        <f t="array" ref="LA42">IFERROR(INDEX(ArchiveResults!$F$5:$IX$116,ComparisonData!A42,ComparisonData!$LA$1),0)</f>
        <v>0</v>
      </c>
      <c r="LB42" s="56">
        <v>37</v>
      </c>
      <c r="LC42" s="53" t="str">
        <f t="shared" si="576"/>
        <v>Highland Archive Service: Lochaber Archive Centre</v>
      </c>
      <c r="LD42" s="59">
        <f t="shared" si="269"/>
        <v>0</v>
      </c>
      <c r="LE42" s="59">
        <f t="shared" si="270"/>
        <v>0</v>
      </c>
      <c r="LF42" s="59">
        <f t="shared" si="271"/>
        <v>0</v>
      </c>
      <c r="LG42" s="59">
        <f t="shared" si="272"/>
        <v>0</v>
      </c>
      <c r="LH42" s="59">
        <f t="shared" si="273"/>
        <v>0</v>
      </c>
      <c r="LI42" s="58">
        <f t="shared" si="274"/>
        <v>0</v>
      </c>
      <c r="LJ42" s="45">
        <f t="shared" si="275"/>
        <v>91</v>
      </c>
      <c r="LK42" s="45">
        <f t="shared" si="577"/>
        <v>2.8940000000000001</v>
      </c>
      <c r="LL42" s="45">
        <f t="shared" si="276"/>
        <v>1</v>
      </c>
      <c r="LM42" s="45">
        <f t="shared" si="277"/>
        <v>2</v>
      </c>
      <c r="LN42" s="45">
        <f t="shared" si="278"/>
        <v>0</v>
      </c>
      <c r="LO42" s="46" cm="1">
        <f t="array" ref="LO42">ROUND(IFERROR(INDEX(ArchiveResults!$F$5:$IX$116,ComparisonData!A42,ComparisonData!$LO$1),0),5)</f>
        <v>0</v>
      </c>
      <c r="LP42" s="46" cm="1">
        <f t="array" ref="LP42">ROUND(IFERROR(INDEX(ArchiveResults!$F$5:$IX$116,ComparisonData!A42,ComparisonData!$LP$1),0),5)</f>
        <v>0</v>
      </c>
      <c r="LQ42" s="46" cm="1">
        <f t="array" ref="LQ42">ROUND(IFERROR(INDEX(ArchiveResults!$F$5:$IX$116,ComparisonData!A42,ComparisonData!$LQ$1),0),5)</f>
        <v>0</v>
      </c>
      <c r="LR42" s="46" cm="1">
        <f t="array" ref="LR42">ROUND(IFERROR(INDEX(ArchiveResults!$F$5:$IX$116,ComparisonData!A42,ComparisonData!$LR$1),0),5)</f>
        <v>0</v>
      </c>
      <c r="LS42" s="45" cm="1">
        <f t="array" ref="LS42">IFERROR(INDEX(ArchiveResults!$F$5:$IX$116,ComparisonData!A42,ComparisonData!$LS$1),0)</f>
        <v>0</v>
      </c>
      <c r="LT42" s="56">
        <v>37</v>
      </c>
      <c r="LU42" s="53" t="str">
        <f t="shared" si="578"/>
        <v>Highland Archive Service: Lochaber Archive Centre</v>
      </c>
      <c r="LV42" s="59">
        <f t="shared" si="279"/>
        <v>0</v>
      </c>
      <c r="LW42" s="59">
        <f t="shared" si="280"/>
        <v>0</v>
      </c>
      <c r="LX42" s="59">
        <f t="shared" si="281"/>
        <v>0</v>
      </c>
      <c r="LY42" s="59">
        <f t="shared" si="282"/>
        <v>0</v>
      </c>
      <c r="LZ42" s="59">
        <f t="shared" si="283"/>
        <v>0</v>
      </c>
      <c r="MA42" s="58">
        <f t="shared" si="284"/>
        <v>0</v>
      </c>
      <c r="MB42" s="45">
        <f t="shared" si="285"/>
        <v>91</v>
      </c>
      <c r="MC42" s="45">
        <f t="shared" si="579"/>
        <v>2.8940000000000001</v>
      </c>
      <c r="MD42" s="45">
        <f t="shared" si="286"/>
        <v>1</v>
      </c>
      <c r="ME42" s="45">
        <f t="shared" si="287"/>
        <v>2</v>
      </c>
      <c r="MF42" s="45">
        <f t="shared" si="288"/>
        <v>0</v>
      </c>
      <c r="MG42" s="46" cm="1">
        <f t="array" ref="MG42">ROUND(IFERROR(INDEX(ArchiveResults!$F$5:$IX$116,ComparisonData!A42,ComparisonData!$MG$1),0),5)</f>
        <v>0</v>
      </c>
      <c r="MH42" s="46" cm="1">
        <f t="array" ref="MH42">ROUND(IFERROR(INDEX(ArchiveResults!$F$5:$IX$116,ComparisonData!A42,ComparisonData!$MH$1),0),5)</f>
        <v>0</v>
      </c>
      <c r="MI42" s="46" cm="1">
        <f t="array" ref="MI42">ROUND(IFERROR(INDEX(ArchiveResults!$F$5:$IX$116,ComparisonData!A42,ComparisonData!$MI$1),0),5)</f>
        <v>0</v>
      </c>
      <c r="MJ42" s="46" cm="1">
        <f t="array" ref="MJ42">ROUND(IFERROR(INDEX(ArchiveResults!$F$5:$IX$116,ComparisonData!A42,ComparisonData!$MJ$1),0),5)</f>
        <v>0</v>
      </c>
      <c r="MK42" s="45" cm="1">
        <f t="array" ref="MK42">IFERROR(INDEX(ArchiveResults!$F$5:$IX$116,ComparisonData!A42,ComparisonData!$MK$1),0)</f>
        <v>0</v>
      </c>
      <c r="ML42" s="56">
        <v>37</v>
      </c>
      <c r="MM42" s="53" t="str">
        <f t="shared" si="580"/>
        <v>Highland Archive Service: Lochaber Archive Centre</v>
      </c>
      <c r="MN42" s="59">
        <f t="shared" si="289"/>
        <v>0</v>
      </c>
      <c r="MO42" s="59">
        <f t="shared" si="290"/>
        <v>0</v>
      </c>
      <c r="MP42" s="59">
        <f t="shared" si="291"/>
        <v>0</v>
      </c>
      <c r="MQ42" s="59">
        <f t="shared" si="292"/>
        <v>0</v>
      </c>
      <c r="MR42" s="59">
        <f t="shared" si="293"/>
        <v>0</v>
      </c>
      <c r="MS42" s="58">
        <f t="shared" si="294"/>
        <v>0</v>
      </c>
      <c r="MT42" s="45">
        <f t="shared" si="295"/>
        <v>91</v>
      </c>
      <c r="MU42" s="45">
        <f t="shared" si="581"/>
        <v>2.8940000000000001</v>
      </c>
      <c r="MV42" s="45">
        <f t="shared" si="296"/>
        <v>1</v>
      </c>
      <c r="MW42" s="45">
        <f t="shared" si="297"/>
        <v>2</v>
      </c>
      <c r="MX42" s="45">
        <f t="shared" si="298"/>
        <v>0</v>
      </c>
      <c r="MY42" s="46" cm="1">
        <f t="array" ref="MY42">ROUND(IFERROR(INDEX(ArchiveResults!$F$5:$IX$116,ComparisonData!A42,ComparisonData!$MY$1),0),5)</f>
        <v>0</v>
      </c>
      <c r="MZ42" s="46" cm="1">
        <f t="array" ref="MZ42">ROUND(IFERROR(INDEX(ArchiveResults!$F$5:$IX$116,ComparisonData!A42,ComparisonData!$MZ$1),0),5)</f>
        <v>0</v>
      </c>
      <c r="NA42" s="46" cm="1">
        <f t="array" ref="NA42">ROUND(IFERROR(INDEX(ArchiveResults!$F$5:$IX$116,ComparisonData!A42,ComparisonData!$NA$1),0),5)</f>
        <v>0</v>
      </c>
      <c r="NB42" s="46" cm="1">
        <f t="array" ref="NB42">ROUND(IFERROR(INDEX(ArchiveResults!$F$5:$IX$116,ComparisonData!A42,ComparisonData!$NB$1),0),5)</f>
        <v>0</v>
      </c>
      <c r="NC42" s="45" cm="1">
        <f t="array" ref="NC42">IFERROR(INDEX(ArchiveResults!$F$5:$IX$116,ComparisonData!A42,ComparisonData!$NC$1),0)</f>
        <v>0</v>
      </c>
      <c r="ND42" s="56">
        <v>37</v>
      </c>
      <c r="NE42" s="53" t="str">
        <f t="shared" si="582"/>
        <v>Highland Archive Service: Lochaber Archive Centre</v>
      </c>
      <c r="NF42" s="59">
        <f t="shared" si="299"/>
        <v>0</v>
      </c>
      <c r="NG42" s="59">
        <f t="shared" si="300"/>
        <v>0</v>
      </c>
      <c r="NH42" s="59">
        <f t="shared" si="301"/>
        <v>0</v>
      </c>
      <c r="NI42" s="59">
        <f t="shared" si="302"/>
        <v>0</v>
      </c>
      <c r="NJ42" s="59">
        <f t="shared" si="303"/>
        <v>0</v>
      </c>
      <c r="NK42" s="58">
        <f t="shared" si="304"/>
        <v>0</v>
      </c>
      <c r="NL42" s="45">
        <f t="shared" si="305"/>
        <v>91</v>
      </c>
      <c r="NM42" s="45">
        <f t="shared" si="583"/>
        <v>2.8940000000000001</v>
      </c>
      <c r="NN42" s="45">
        <f t="shared" si="306"/>
        <v>1</v>
      </c>
      <c r="NO42" s="45">
        <f t="shared" si="307"/>
        <v>2</v>
      </c>
      <c r="NP42" s="46" cm="1">
        <f t="array" ref="NP42">ROUND(IFERROR(INDEX(ArchiveResults!$F$5:$IX$116,ComparisonData!A42,ComparisonData!$NP$1),0),5)</f>
        <v>0</v>
      </c>
      <c r="NQ42" s="46" cm="1">
        <f t="array" ref="NQ42">ROUND(IFERROR(INDEX(ArchiveResults!$F$5:$IX$116,ComparisonData!A42,ComparisonData!$NQ$1),0),5)</f>
        <v>0</v>
      </c>
      <c r="NR42" s="46" cm="1">
        <f t="array" ref="NR42">ROUND(IFERROR(INDEX(ArchiveResults!$F$5:$IX$116,ComparisonData!A42,ComparisonData!$NR$1),0),5)</f>
        <v>0</v>
      </c>
      <c r="NS42" s="46" cm="1">
        <f t="array" ref="NS42">ROUND(IFERROR(INDEX(ArchiveResults!$F$5:$IX$116,ComparisonData!A42,ComparisonData!$NS$1),0),5)</f>
        <v>0</v>
      </c>
      <c r="NT42" s="45" cm="1">
        <f t="array" ref="NT42">IFERROR(INDEX(ArchiveResults!$F$5:$IX$116,ComparisonData!A42,ComparisonData!$NT$1),0)</f>
        <v>0</v>
      </c>
      <c r="NU42" s="56">
        <v>37</v>
      </c>
      <c r="NV42" s="53" t="str">
        <f t="shared" si="584"/>
        <v>Highland Archive Service: Lochaber Archive Centre</v>
      </c>
      <c r="NW42" s="59">
        <f t="shared" si="308"/>
        <v>0</v>
      </c>
      <c r="NX42" s="59">
        <f t="shared" si="309"/>
        <v>0</v>
      </c>
      <c r="NY42" s="59">
        <f t="shared" si="310"/>
        <v>0</v>
      </c>
      <c r="NZ42" s="59">
        <f t="shared" si="311"/>
        <v>0</v>
      </c>
      <c r="OA42" s="59">
        <f t="shared" si="312"/>
        <v>0</v>
      </c>
      <c r="OB42" s="58">
        <f t="shared" si="313"/>
        <v>0</v>
      </c>
      <c r="OC42" s="45">
        <f t="shared" si="314"/>
        <v>91</v>
      </c>
      <c r="OD42" s="45">
        <f t="shared" si="585"/>
        <v>2.8940000000000001</v>
      </c>
      <c r="OE42" s="45">
        <f t="shared" si="315"/>
        <v>1</v>
      </c>
      <c r="OF42" s="45">
        <f t="shared" si="316"/>
        <v>2</v>
      </c>
      <c r="OG42" s="46">
        <f t="shared" si="317"/>
        <v>0</v>
      </c>
      <c r="OH42" s="46" cm="1">
        <f t="array" ref="OH42">ROUND(IFERROR(INDEX(ArchiveResults!$F$5:$IX$116,ComparisonData!A42,ComparisonData!$OH$1),0),5)</f>
        <v>0</v>
      </c>
      <c r="OI42" s="46" cm="1">
        <f t="array" ref="OI42">ROUND(IFERROR(INDEX(ArchiveResults!$F$5:$IX$116,ComparisonData!A42,ComparisonData!$OI$1),0),5)</f>
        <v>0</v>
      </c>
      <c r="OJ42" s="46" cm="1">
        <f t="array" ref="OJ42">ROUND(IFERROR(INDEX(ArchiveResults!$F$5:$IX$116,ComparisonData!A42,ComparisonData!$OJ$1),0),5)</f>
        <v>0</v>
      </c>
      <c r="OK42" s="46" cm="1">
        <f t="array" ref="OK42">ROUND(IFERROR(INDEX(ArchiveResults!$F$5:$IX$116,ComparisonData!A42,ComparisonData!$OK$1),0),5)</f>
        <v>0</v>
      </c>
      <c r="OL42" s="45" cm="1">
        <f t="array" ref="OL42">IFERROR(INDEX(ArchiveResults!$F$5:$IX$116,ComparisonData!A42,ComparisonData!$OL$1),0)</f>
        <v>0</v>
      </c>
      <c r="OM42" s="56">
        <v>37</v>
      </c>
      <c r="ON42" s="53" t="str">
        <f t="shared" si="586"/>
        <v>Highland Archive Service: Lochaber Archive Centre</v>
      </c>
      <c r="OO42" s="59">
        <f t="shared" si="318"/>
        <v>0</v>
      </c>
      <c r="OP42" s="59">
        <f t="shared" si="319"/>
        <v>0</v>
      </c>
      <c r="OQ42" s="59">
        <f t="shared" si="320"/>
        <v>0</v>
      </c>
      <c r="OR42" s="59">
        <f t="shared" si="321"/>
        <v>0</v>
      </c>
      <c r="OS42" s="59">
        <f t="shared" si="322"/>
        <v>0</v>
      </c>
      <c r="OT42" s="58">
        <f t="shared" si="323"/>
        <v>0</v>
      </c>
      <c r="OU42" s="45">
        <f t="shared" si="324"/>
        <v>91</v>
      </c>
      <c r="OV42" s="45">
        <f t="shared" si="587"/>
        <v>2.8940000000000001</v>
      </c>
      <c r="OW42" s="45">
        <f t="shared" si="325"/>
        <v>1</v>
      </c>
      <c r="OX42" s="45">
        <f t="shared" si="326"/>
        <v>2</v>
      </c>
      <c r="OY42" s="45">
        <f t="shared" si="327"/>
        <v>0</v>
      </c>
      <c r="OZ42" s="46" cm="1">
        <f t="array" ref="OZ42">ROUND(IFERROR(INDEX(ArchiveResults!$F$5:$IX$116,ComparisonData!A42,ComparisonData!$OZ$1),0),5)</f>
        <v>0</v>
      </c>
      <c r="PA42" s="46" cm="1">
        <f t="array" ref="PA42">ROUND(IFERROR(INDEX(ArchiveResults!$F$5:$IX$116,ComparisonData!A42,ComparisonData!$PA$1),0),5)</f>
        <v>0</v>
      </c>
      <c r="PB42" s="46" cm="1">
        <f t="array" ref="PB42">ROUND(IFERROR(INDEX(ArchiveResults!$F$5:$IX$116,ComparisonData!A42,ComparisonData!$PB$1),0),5)</f>
        <v>0</v>
      </c>
      <c r="PC42" s="46" cm="1">
        <f t="array" ref="PC42">ROUND(IFERROR(INDEX(ArchiveResults!$F$5:$IX$116,ComparisonData!A42,ComparisonData!$PC$1),0),5)</f>
        <v>0</v>
      </c>
      <c r="PD42" s="45" cm="1">
        <f t="array" ref="PD42">IFERROR(INDEX(ArchiveResults!$F$5:$IX$116,ComparisonData!A42,ComparisonData!$PD$1),0)</f>
        <v>0</v>
      </c>
      <c r="PE42" s="56">
        <v>37</v>
      </c>
      <c r="PF42" s="53" t="str">
        <f t="shared" si="588"/>
        <v>Highland Archive Service: Lochaber Archive Centre</v>
      </c>
      <c r="PG42" s="59">
        <f t="shared" si="328"/>
        <v>0</v>
      </c>
      <c r="PH42" s="59">
        <f t="shared" si="329"/>
        <v>0</v>
      </c>
      <c r="PI42" s="59">
        <f t="shared" si="330"/>
        <v>0</v>
      </c>
      <c r="PJ42" s="59">
        <f t="shared" si="331"/>
        <v>0</v>
      </c>
      <c r="PK42" s="59">
        <f t="shared" si="332"/>
        <v>0</v>
      </c>
      <c r="PL42" s="58">
        <f t="shared" si="333"/>
        <v>0</v>
      </c>
      <c r="PM42" s="45">
        <f t="shared" si="334"/>
        <v>91</v>
      </c>
      <c r="PN42" s="45">
        <f t="shared" si="589"/>
        <v>2.8940000000000001</v>
      </c>
      <c r="PO42" s="45">
        <f t="shared" si="335"/>
        <v>1</v>
      </c>
      <c r="PP42" s="45">
        <f t="shared" si="336"/>
        <v>2</v>
      </c>
      <c r="PQ42" s="45">
        <f t="shared" si="337"/>
        <v>0</v>
      </c>
      <c r="PR42" s="46" cm="1">
        <f t="array" ref="PR42">ROUND(IFERROR(INDEX(ArchiveResults!$F$5:$IX$116,ComparisonData!A42,ComparisonData!$PR$1),0),5)</f>
        <v>0</v>
      </c>
      <c r="PS42" s="46" cm="1">
        <f t="array" ref="PS42">ROUND(IFERROR(INDEX(ArchiveResults!$F$5:$IX$116,ComparisonData!A42,ComparisonData!$PS$1),0),5)</f>
        <v>0</v>
      </c>
      <c r="PT42" s="46" cm="1">
        <f t="array" ref="PT42">ROUND(IFERROR(INDEX(ArchiveResults!$F$5:$IX$116,ComparisonData!A42,ComparisonData!$PT$1),0),5)</f>
        <v>0</v>
      </c>
      <c r="PU42" s="46" cm="1">
        <f t="array" ref="PU42">ROUND(IFERROR(INDEX(ArchiveResults!$F$5:$IX$116,ComparisonData!A42,ComparisonData!$PU$1),0),5)</f>
        <v>0</v>
      </c>
      <c r="PV42" s="45" cm="1">
        <f t="array" ref="PV42">IFERROR(INDEX(ArchiveResults!$F$5:$IX$116,ComparisonData!A42,ComparisonData!$PV$1),0)</f>
        <v>0</v>
      </c>
      <c r="PW42" s="56">
        <v>37</v>
      </c>
      <c r="PX42" s="53" t="str">
        <f t="shared" si="590"/>
        <v>Highland Archive Service: Lochaber Archive Centre</v>
      </c>
      <c r="PY42" s="59">
        <f t="shared" si="338"/>
        <v>0</v>
      </c>
      <c r="PZ42" s="59">
        <f t="shared" si="339"/>
        <v>0</v>
      </c>
      <c r="QA42" s="59">
        <f t="shared" si="340"/>
        <v>0</v>
      </c>
      <c r="QB42" s="59">
        <f t="shared" si="341"/>
        <v>0</v>
      </c>
      <c r="QC42" s="59">
        <f t="shared" si="342"/>
        <v>0</v>
      </c>
      <c r="QD42" s="58">
        <f t="shared" si="343"/>
        <v>0</v>
      </c>
      <c r="QE42" s="45">
        <f t="shared" si="344"/>
        <v>91</v>
      </c>
      <c r="QF42" s="45">
        <f t="shared" si="591"/>
        <v>2.8940000000000001</v>
      </c>
      <c r="QG42" s="45">
        <f t="shared" si="345"/>
        <v>1</v>
      </c>
      <c r="QH42" s="45">
        <f t="shared" si="346"/>
        <v>2</v>
      </c>
      <c r="QI42" s="45">
        <f t="shared" si="347"/>
        <v>0</v>
      </c>
      <c r="QJ42" s="46" cm="1">
        <f t="array" ref="QJ42">ROUND(IFERROR(INDEX(ArchiveResults!$F$5:$IX$116,ComparisonData!A42,ComparisonData!$QJ$1),0),5)</f>
        <v>0</v>
      </c>
      <c r="QK42" s="46" cm="1">
        <f t="array" ref="QK42">ROUND(IFERROR(INDEX(ArchiveResults!$F$5:$IX$116,ComparisonData!A42,ComparisonData!$QK$1),0),5)</f>
        <v>0</v>
      </c>
      <c r="QL42" s="46" cm="1">
        <f t="array" ref="QL42">ROUND(IFERROR(INDEX(ArchiveResults!$F$5:$IX$116,ComparisonData!A42,ComparisonData!$QL$1),0),5)</f>
        <v>0</v>
      </c>
      <c r="QM42" s="46" cm="1">
        <f t="array" ref="QM42">ROUND(IFERROR(INDEX(ArchiveResults!$F$5:$IX$116,ComparisonData!A42,ComparisonData!$QM$1),0),5)</f>
        <v>0</v>
      </c>
      <c r="QN42" s="45" cm="1">
        <f t="array" ref="QN42">IFERROR(INDEX(ArchiveResults!$F$5:$IX$116,ComparisonData!A42,ComparisonData!$QN$1),0)</f>
        <v>0</v>
      </c>
      <c r="QO42" s="56">
        <v>37</v>
      </c>
      <c r="QP42" s="53" t="str">
        <f t="shared" si="592"/>
        <v>Highland Archive Service: Lochaber Archive Centre</v>
      </c>
      <c r="QQ42" s="59">
        <f t="shared" si="348"/>
        <v>0</v>
      </c>
      <c r="QR42" s="59">
        <f t="shared" si="349"/>
        <v>0</v>
      </c>
      <c r="QS42" s="59">
        <f t="shared" si="350"/>
        <v>0</v>
      </c>
      <c r="QT42" s="59">
        <f t="shared" si="351"/>
        <v>0</v>
      </c>
      <c r="QU42" s="59">
        <f t="shared" si="352"/>
        <v>0</v>
      </c>
      <c r="QV42" s="58">
        <f t="shared" si="353"/>
        <v>0</v>
      </c>
      <c r="QW42" s="45">
        <f t="shared" si="354"/>
        <v>91</v>
      </c>
      <c r="QX42" s="45">
        <f t="shared" si="593"/>
        <v>2.8940000000000001</v>
      </c>
      <c r="QY42" s="45">
        <f t="shared" si="355"/>
        <v>1</v>
      </c>
      <c r="QZ42" s="45">
        <f t="shared" si="356"/>
        <v>2</v>
      </c>
      <c r="RA42" s="45">
        <f t="shared" si="357"/>
        <v>0</v>
      </c>
      <c r="RB42" s="46" cm="1">
        <f t="array" ref="RB42">ROUND(IFERROR(INDEX(ArchiveResults!$F$5:$IX$116,ComparisonData!A42,ComparisonData!$RB$1),0),5)</f>
        <v>0</v>
      </c>
      <c r="RC42" s="46" cm="1">
        <f t="array" ref="RC42">ROUND(IFERROR(INDEX(ArchiveResults!$F$5:$IX$116,ComparisonData!A42,ComparisonData!$RC$1),0),5)</f>
        <v>0</v>
      </c>
      <c r="RD42" s="46" cm="1">
        <f t="array" ref="RD42">ROUND(IFERROR(INDEX(ArchiveResults!$F$5:$IX$116,ComparisonData!A42,ComparisonData!$RD$1),0),5)</f>
        <v>0</v>
      </c>
      <c r="RE42" s="46" cm="1">
        <f t="array" ref="RE42">ROUND(IFERROR(INDEX(ArchiveResults!$F$5:$IX$116,ComparisonData!A42,ComparisonData!$RE$1),0),5)</f>
        <v>0</v>
      </c>
      <c r="RF42" s="45" cm="1">
        <f t="array" ref="RF42">IFERROR(INDEX(ArchiveResults!$F$5:$IX$116,ComparisonData!A42,ComparisonData!$RF$1),0)</f>
        <v>0</v>
      </c>
      <c r="RG42" s="56">
        <v>37</v>
      </c>
      <c r="RH42" s="53" t="str">
        <f t="shared" si="594"/>
        <v>Highland Archive Service: Lochaber Archive Centre</v>
      </c>
      <c r="RI42" s="59">
        <f t="shared" si="358"/>
        <v>0</v>
      </c>
      <c r="RJ42" s="59">
        <f t="shared" si="359"/>
        <v>0</v>
      </c>
      <c r="RK42" s="59">
        <f t="shared" si="360"/>
        <v>0</v>
      </c>
      <c r="RL42" s="59">
        <f t="shared" si="361"/>
        <v>0</v>
      </c>
      <c r="RM42" s="59">
        <f t="shared" si="362"/>
        <v>0</v>
      </c>
      <c r="RN42" s="58">
        <f t="shared" si="363"/>
        <v>0</v>
      </c>
      <c r="RO42" s="45">
        <f t="shared" si="364"/>
        <v>91</v>
      </c>
      <c r="RP42" s="45">
        <f t="shared" si="595"/>
        <v>2.8940000000000001</v>
      </c>
      <c r="RQ42" s="45">
        <f t="shared" si="365"/>
        <v>1</v>
      </c>
      <c r="RR42" s="45">
        <f t="shared" si="366"/>
        <v>2</v>
      </c>
      <c r="RS42" s="45">
        <f t="shared" si="367"/>
        <v>0</v>
      </c>
      <c r="RT42" s="46" cm="1">
        <f t="array" ref="RT42">ROUND(IFERROR(INDEX(ArchiveResults!$F$5:$IX$116,ComparisonData!A42,ComparisonData!$RT$1),0),5)</f>
        <v>0</v>
      </c>
      <c r="RU42" s="46" cm="1">
        <f t="array" ref="RU42">ROUND(IFERROR(INDEX(ArchiveResults!$F$5:$IX$116,ComparisonData!A42,ComparisonData!$RU$1),0),5)</f>
        <v>0</v>
      </c>
      <c r="RV42" s="46" cm="1">
        <f t="array" ref="RV42">ROUND(IFERROR(INDEX(ArchiveResults!$F$5:$IX$116,ComparisonData!A42,ComparisonData!$RV$1),0),5)</f>
        <v>0</v>
      </c>
      <c r="RW42" s="46" cm="1">
        <f t="array" ref="RW42">ROUND(IFERROR(INDEX(ArchiveResults!$F$5:$IX$116,ComparisonData!A42,ComparisonData!$RW$1),0),5)</f>
        <v>0</v>
      </c>
      <c r="RX42" s="45" cm="1">
        <f t="array" ref="RX42">IFERROR(INDEX(ArchiveResults!$F$5:$IX$116,ComparisonData!A42,ComparisonData!$RX$1),0)</f>
        <v>0</v>
      </c>
      <c r="RY42" s="56">
        <v>37</v>
      </c>
      <c r="RZ42" s="53" t="str">
        <f t="shared" si="596"/>
        <v>Highland Archive Service: Lochaber Archive Centre</v>
      </c>
      <c r="SA42" s="59">
        <f t="shared" si="368"/>
        <v>0</v>
      </c>
      <c r="SB42" s="59">
        <f t="shared" si="369"/>
        <v>0</v>
      </c>
      <c r="SC42" s="59">
        <f t="shared" si="370"/>
        <v>0</v>
      </c>
      <c r="SD42" s="59">
        <f t="shared" si="371"/>
        <v>0</v>
      </c>
      <c r="SE42" s="59">
        <f t="shared" si="372"/>
        <v>0</v>
      </c>
      <c r="SF42" s="58">
        <f t="shared" si="373"/>
        <v>0</v>
      </c>
      <c r="SG42" s="45">
        <f t="shared" si="374"/>
        <v>91</v>
      </c>
      <c r="SH42" s="45">
        <f t="shared" si="597"/>
        <v>2.8940000000000001</v>
      </c>
      <c r="SI42" s="45">
        <f t="shared" si="375"/>
        <v>1</v>
      </c>
      <c r="SJ42" s="45">
        <f t="shared" si="376"/>
        <v>2</v>
      </c>
      <c r="SK42" s="45">
        <f t="shared" si="377"/>
        <v>0</v>
      </c>
      <c r="SL42" s="46" cm="1">
        <f t="array" ref="SL42">ROUND(IFERROR(INDEX(ArchiveResults!$F$5:$IX$116,ComparisonData!A42,ComparisonData!$SL$1),0),5)</f>
        <v>0</v>
      </c>
      <c r="SM42" s="46" cm="1">
        <f t="array" ref="SM42">ROUND(IFERROR(INDEX(ArchiveResults!$F$5:$IX$116,ComparisonData!A42,ComparisonData!$SM$1),0),5)</f>
        <v>0</v>
      </c>
      <c r="SN42" s="46" cm="1">
        <f t="array" ref="SN42">ROUND(IFERROR(INDEX(ArchiveResults!$F$5:$IX$116,ComparisonData!A42,ComparisonData!$SN$1),0),5)</f>
        <v>0</v>
      </c>
      <c r="SO42" s="46" cm="1">
        <f t="array" ref="SO42">ROUND(IFERROR(INDEX(ArchiveResults!$F$5:$IX$116,ComparisonData!A42,ComparisonData!$SO$1),0),5)</f>
        <v>0</v>
      </c>
      <c r="SP42" s="45" cm="1">
        <f t="array" ref="SP42">IFERROR(INDEX(ArchiveResults!$F$5:$IX$116,ComparisonData!A42,ComparisonData!$SP$1),0)</f>
        <v>0</v>
      </c>
      <c r="SQ42" s="56">
        <v>37</v>
      </c>
      <c r="SR42" s="53" t="str">
        <f t="shared" si="598"/>
        <v>Highland Archive Service: Lochaber Archive Centre</v>
      </c>
      <c r="SS42" s="59">
        <f t="shared" si="378"/>
        <v>0</v>
      </c>
      <c r="ST42" s="59">
        <f t="shared" si="379"/>
        <v>0</v>
      </c>
      <c r="SU42" s="59">
        <f t="shared" si="380"/>
        <v>0</v>
      </c>
      <c r="SV42" s="59">
        <f t="shared" si="381"/>
        <v>0</v>
      </c>
      <c r="SW42" s="59">
        <f t="shared" si="382"/>
        <v>0</v>
      </c>
      <c r="SX42" s="58">
        <f t="shared" si="383"/>
        <v>0</v>
      </c>
      <c r="SY42" s="45">
        <f t="shared" si="384"/>
        <v>91</v>
      </c>
      <c r="SZ42" s="45">
        <f t="shared" si="599"/>
        <v>2.8940000000000001</v>
      </c>
      <c r="TA42" s="45">
        <f t="shared" si="385"/>
        <v>1</v>
      </c>
      <c r="TB42" s="45">
        <f t="shared" si="386"/>
        <v>2</v>
      </c>
      <c r="TC42" s="45">
        <f t="shared" si="387"/>
        <v>0</v>
      </c>
      <c r="TD42" s="46" cm="1">
        <f t="array" ref="TD42">ROUND(IFERROR(INDEX(ArchiveResults!$F$5:$IX$116,ComparisonData!A42,ComparisonData!$TD$1),0),5)</f>
        <v>0</v>
      </c>
      <c r="TE42" s="46" cm="1">
        <f t="array" ref="TE42">ROUND(IFERROR(INDEX(ArchiveResults!$F$5:$IX$116,ComparisonData!A42,ComparisonData!$TE$1),0),5)</f>
        <v>0</v>
      </c>
      <c r="TF42" s="46" cm="1">
        <f t="array" ref="TF42">ROUND(IFERROR(INDEX(ArchiveResults!$F$5:$IX$116,ComparisonData!A42,ComparisonData!$TF$1),0),5)</f>
        <v>0</v>
      </c>
      <c r="TG42" s="46" cm="1">
        <f t="array" ref="TG42">ROUND(IFERROR(INDEX(ArchiveResults!$F$5:$IX$116,ComparisonData!A42,ComparisonData!$TG$1),0),5)</f>
        <v>0</v>
      </c>
      <c r="TH42" s="45" cm="1">
        <f t="array" ref="TH42">IFERROR(INDEX(ArchiveResults!$F$5:$IX$116,ComparisonData!A42,ComparisonData!$TH$1),0)</f>
        <v>0</v>
      </c>
      <c r="TI42" s="56">
        <v>37</v>
      </c>
      <c r="TJ42" s="53" t="str">
        <f t="shared" si="600"/>
        <v>Highland Archive Service: Lochaber Archive Centre</v>
      </c>
      <c r="TK42" s="59">
        <f t="shared" si="388"/>
        <v>0</v>
      </c>
      <c r="TL42" s="59">
        <f t="shared" si="389"/>
        <v>0</v>
      </c>
      <c r="TM42" s="59">
        <f t="shared" si="390"/>
        <v>0</v>
      </c>
      <c r="TN42" s="59">
        <f t="shared" si="391"/>
        <v>0</v>
      </c>
      <c r="TO42" s="59">
        <f t="shared" si="392"/>
        <v>0</v>
      </c>
      <c r="TP42" s="58">
        <f t="shared" si="393"/>
        <v>0</v>
      </c>
      <c r="TQ42" s="45">
        <f t="shared" si="394"/>
        <v>91</v>
      </c>
      <c r="TR42" s="45">
        <f t="shared" si="601"/>
        <v>2.8940000000000001</v>
      </c>
      <c r="TS42" s="45">
        <f t="shared" si="395"/>
        <v>1</v>
      </c>
      <c r="TT42" s="45">
        <f t="shared" si="396"/>
        <v>2</v>
      </c>
      <c r="TU42" s="45">
        <f t="shared" si="397"/>
        <v>0</v>
      </c>
      <c r="TV42" s="46" cm="1">
        <f t="array" ref="TV42">ROUND(IFERROR(INDEX(ArchiveResults!$F$5:$IX$116,ComparisonData!A42,ComparisonData!$TV$1),0),5)</f>
        <v>0</v>
      </c>
      <c r="TW42" s="46" cm="1">
        <f t="array" ref="TW42">ROUND(IFERROR(INDEX(ArchiveResults!$F$5:$IX$116,ComparisonData!A42,ComparisonData!$TW$1),0),5)</f>
        <v>0</v>
      </c>
      <c r="TX42" s="46" cm="1">
        <f t="array" ref="TX42">ROUND(IFERROR(INDEX(ArchiveResults!$F$5:$IX$116,ComparisonData!A42,ComparisonData!$TX$1),0),5)</f>
        <v>0</v>
      </c>
      <c r="TY42" s="46" cm="1">
        <f t="array" ref="TY42">ROUND(IFERROR(INDEX(ArchiveResults!$F$5:$IX$116,ComparisonData!A42,ComparisonData!$TY$1),0),5)</f>
        <v>0</v>
      </c>
      <c r="TZ42" s="45" cm="1">
        <f t="array" ref="TZ42">IFERROR(INDEX(ArchiveResults!$F$5:$IX$116,ComparisonData!A42,ComparisonData!$TZ$1),0)</f>
        <v>0</v>
      </c>
      <c r="UA42" s="56">
        <v>37</v>
      </c>
      <c r="UB42" s="53" t="str">
        <f t="shared" si="602"/>
        <v>Highland Archive Service: Lochaber Archive Centre</v>
      </c>
      <c r="UC42" s="60">
        <f t="shared" si="398"/>
        <v>0</v>
      </c>
      <c r="UD42" s="60">
        <f t="shared" si="399"/>
        <v>0</v>
      </c>
      <c r="UE42" s="60">
        <f t="shared" si="400"/>
        <v>0</v>
      </c>
      <c r="UF42" s="60">
        <f t="shared" si="401"/>
        <v>0</v>
      </c>
      <c r="UG42" s="60">
        <f t="shared" si="402"/>
        <v>0</v>
      </c>
      <c r="UH42" s="58">
        <f t="shared" si="403"/>
        <v>0</v>
      </c>
      <c r="UI42" s="46">
        <f t="shared" si="404"/>
        <v>91</v>
      </c>
      <c r="UJ42" s="46">
        <f t="shared" si="603"/>
        <v>2.8940000000000001</v>
      </c>
      <c r="UK42" s="46">
        <f t="shared" si="405"/>
        <v>1</v>
      </c>
      <c r="UL42" s="46">
        <f t="shared" si="406"/>
        <v>2</v>
      </c>
      <c r="UM42" s="46" cm="1">
        <f t="array" ref="UM42">ROUND(IFERROR(INDEX(ArchiveResults!$F$5:$IX$116,ComparisonData!A42,ComparisonData!$UM$1),0),5)</f>
        <v>0</v>
      </c>
      <c r="UN42" s="56">
        <v>37</v>
      </c>
      <c r="UO42" s="53" t="str">
        <f t="shared" si="604"/>
        <v>Highland Archive Service: Lochaber Archive Centre</v>
      </c>
      <c r="UP42" s="46">
        <f t="shared" si="407"/>
        <v>0</v>
      </c>
      <c r="UQ42" s="76">
        <f t="shared" si="408"/>
        <v>0</v>
      </c>
      <c r="UR42" s="46">
        <f t="shared" si="409"/>
        <v>91</v>
      </c>
      <c r="US42" s="46">
        <f t="shared" si="605"/>
        <v>2.8940000000000001</v>
      </c>
      <c r="UT42" s="46">
        <f t="shared" si="410"/>
        <v>1</v>
      </c>
      <c r="UU42" s="46">
        <f t="shared" si="411"/>
        <v>2</v>
      </c>
      <c r="UV42" s="46">
        <f t="shared" si="412"/>
        <v>0</v>
      </c>
      <c r="UW42" s="46" cm="1">
        <f t="array" ref="UW42">ROUND(IFERROR(INDEX(ArchiveResults!$F$5:$IX$116,ComparisonData!A42,ComparisonData!$UW$1),0),5)</f>
        <v>0</v>
      </c>
      <c r="UX42" s="46" cm="1">
        <f t="array" ref="UX42">ROUND(IFERROR(INDEX(ArchiveResults!$F$5:$IX$116,ComparisonData!A42,ComparisonData!$UX$1),0),5)</f>
        <v>0</v>
      </c>
      <c r="UY42" s="46" cm="1">
        <f t="array" ref="UY42">ROUND(IFERROR(INDEX(ArchiveResults!$F$5:$IX$116,ComparisonData!A42,ComparisonData!$UY$1),0),5)</f>
        <v>0</v>
      </c>
      <c r="UZ42" s="46" cm="1">
        <f t="array" ref="UZ42">ROUND(IFERROR(INDEX(ArchiveResults!$F$5:$IX$116,ComparisonData!A42,ComparisonData!$UZ$1),0),5)</f>
        <v>0</v>
      </c>
      <c r="VA42" s="46" cm="1">
        <f t="array" ref="VA42">ROUND(IFERROR(INDEX(ArchiveResults!$F$5:$IX$116,ComparisonData!A42,ComparisonData!$VA$1),0),5)</f>
        <v>0</v>
      </c>
      <c r="VB42" s="56">
        <v>37</v>
      </c>
      <c r="VC42" s="53" t="str">
        <f t="shared" si="606"/>
        <v>Highland Archive Service: Lochaber Archive Centre</v>
      </c>
      <c r="VD42" s="60">
        <f t="shared" si="413"/>
        <v>0</v>
      </c>
      <c r="VE42" s="60">
        <f t="shared" si="414"/>
        <v>0</v>
      </c>
      <c r="VF42" s="60">
        <f t="shared" si="415"/>
        <v>0</v>
      </c>
      <c r="VG42" s="60">
        <f t="shared" si="416"/>
        <v>0</v>
      </c>
      <c r="VH42" s="60">
        <f t="shared" si="417"/>
        <v>0</v>
      </c>
      <c r="VI42" s="76">
        <f t="shared" si="418"/>
        <v>0</v>
      </c>
      <c r="VJ42" s="46">
        <f t="shared" si="419"/>
        <v>91</v>
      </c>
      <c r="VK42" s="46">
        <f t="shared" si="607"/>
        <v>2.8940000000000001</v>
      </c>
      <c r="VL42" s="46">
        <f t="shared" si="420"/>
        <v>1</v>
      </c>
      <c r="VM42" s="46">
        <f t="shared" si="421"/>
        <v>2</v>
      </c>
      <c r="VN42" s="46" cm="1">
        <f t="array" ref="VN42">ROUND(IFERROR(INDEX(ArchiveResults!$F$5:$IX$116,ComparisonData!A42,ComparisonData!$VN$1),0),5)</f>
        <v>0</v>
      </c>
      <c r="VO42" s="46" cm="1">
        <f t="array" ref="VO42">ROUND(IFERROR(INDEX(ArchiveResults!$F$5:$IX$116,ComparisonData!A42,ComparisonData!$VO$1),0),5)</f>
        <v>0</v>
      </c>
      <c r="VP42" s="46" cm="1">
        <f t="array" ref="VP42">ROUND(IFERROR(INDEX(ArchiveResults!$F$5:$IX$116,ComparisonData!A42,ComparisonData!$VP$1),0),5)</f>
        <v>0</v>
      </c>
      <c r="VQ42" s="46" cm="1">
        <f t="array" ref="VQ42">ROUND(IFERROR(INDEX(ArchiveResults!$F$5:$IX$116,ComparisonData!A42,ComparisonData!$VQ$1),0),5)</f>
        <v>0</v>
      </c>
      <c r="VR42" s="56">
        <v>37</v>
      </c>
      <c r="VS42" s="53" t="str">
        <f t="shared" si="608"/>
        <v>Highland Archive Service: Lochaber Archive Centre</v>
      </c>
      <c r="VT42" s="60">
        <f t="shared" si="422"/>
        <v>0</v>
      </c>
      <c r="VU42" s="60">
        <f t="shared" si="423"/>
        <v>0</v>
      </c>
      <c r="VV42" s="60">
        <f t="shared" si="424"/>
        <v>0</v>
      </c>
      <c r="VW42" s="60">
        <f t="shared" si="425"/>
        <v>0</v>
      </c>
      <c r="VX42" s="76">
        <f t="shared" si="426"/>
        <v>0</v>
      </c>
      <c r="VY42" s="46">
        <f t="shared" si="427"/>
        <v>91</v>
      </c>
      <c r="VZ42" s="46">
        <f t="shared" si="609"/>
        <v>2.8940000000000001</v>
      </c>
      <c r="WA42" s="46">
        <f t="shared" si="428"/>
        <v>1</v>
      </c>
      <c r="WB42" s="46">
        <f t="shared" si="429"/>
        <v>2</v>
      </c>
      <c r="WC42" s="46" cm="1">
        <f t="array" ref="WC42">ROUND(IFERROR(INDEX(ArchiveResults!$F$5:$IX$116,ComparisonData!A42,ComparisonData!$WC$1),0),5)</f>
        <v>0</v>
      </c>
      <c r="WD42" s="56">
        <v>37</v>
      </c>
      <c r="WE42" s="53" t="str">
        <f t="shared" si="610"/>
        <v>Highland Archive Service: Lochaber Archive Centre</v>
      </c>
      <c r="WF42" s="46">
        <f t="shared" si="430"/>
        <v>0</v>
      </c>
      <c r="WG42" s="76">
        <f t="shared" si="431"/>
        <v>0</v>
      </c>
      <c r="WH42" s="46">
        <f t="shared" si="432"/>
        <v>91</v>
      </c>
      <c r="WI42" s="46">
        <f t="shared" si="611"/>
        <v>2.8940000000000001</v>
      </c>
      <c r="WJ42" s="46">
        <f t="shared" si="433"/>
        <v>1</v>
      </c>
      <c r="WK42" s="46">
        <f t="shared" si="434"/>
        <v>2</v>
      </c>
      <c r="WL42" s="46" cm="1">
        <f t="array" ref="WL42">ROUND(IFERROR(INDEX(ArchiveResults!$F$5:$IX$116,ComparisonData!A42,ComparisonData!$WL$1),0),5)</f>
        <v>0</v>
      </c>
      <c r="WM42" s="46" cm="1">
        <f t="array" ref="WM42">IFERROR(INDEX(ArchiveResults!$F$5:$IX$116,ComparisonData!A42,ComparisonData!$WM$1),0)</f>
        <v>0</v>
      </c>
      <c r="WN42" s="56">
        <v>37</v>
      </c>
      <c r="WO42" s="53" t="str">
        <f t="shared" si="612"/>
        <v>Highland Archive Service: Lochaber Archive Centre</v>
      </c>
      <c r="WP42" s="60">
        <f t="shared" si="435"/>
        <v>0</v>
      </c>
      <c r="WQ42" s="60">
        <f t="shared" si="436"/>
        <v>0</v>
      </c>
      <c r="WR42" s="76">
        <f t="shared" si="437"/>
        <v>0</v>
      </c>
      <c r="WS42" s="46">
        <f t="shared" si="438"/>
        <v>91</v>
      </c>
      <c r="WT42" s="46">
        <f t="shared" si="613"/>
        <v>2.8940000000000001</v>
      </c>
      <c r="WU42" s="46">
        <f t="shared" si="439"/>
        <v>1</v>
      </c>
      <c r="WV42" s="46">
        <f t="shared" si="440"/>
        <v>2</v>
      </c>
      <c r="WW42" s="46" cm="1">
        <f t="array" ref="WW42">ROUND(VALUE(IFERROR(INDEX(ArchiveResults!$F$5:$IX$116,ComparisonData!A42,ComparisonData!$WW$1),0)),5)</f>
        <v>0</v>
      </c>
      <c r="WX42" s="46" cm="1">
        <f t="array" ref="WX42">ROUND(IFERROR(INDEX(ArchiveResults!$F$5:$IX$116,ComparisonData!A42,ComparisonData!$WX$1),0),5)</f>
        <v>0</v>
      </c>
      <c r="WY42" s="56">
        <v>37</v>
      </c>
      <c r="WZ42" s="53" t="str">
        <f t="shared" si="614"/>
        <v>Highland Archive Service: Lochaber Archive Centre</v>
      </c>
      <c r="XA42" s="60">
        <f t="shared" si="615"/>
        <v>0</v>
      </c>
      <c r="XB42" s="60">
        <f t="shared" si="616"/>
        <v>0</v>
      </c>
      <c r="XC42" s="76">
        <f t="shared" si="441"/>
        <v>0</v>
      </c>
      <c r="XD42" s="46">
        <f t="shared" si="442"/>
        <v>91</v>
      </c>
      <c r="XE42" s="46">
        <f t="shared" si="617"/>
        <v>2.8940000000000001</v>
      </c>
      <c r="XF42" s="46">
        <f t="shared" si="443"/>
        <v>1</v>
      </c>
      <c r="XG42" s="46">
        <f t="shared" si="444"/>
        <v>2</v>
      </c>
      <c r="XH42" s="46" cm="1">
        <f t="array" ref="XH42">ROUND(VALUE(IFERROR(INDEX(ArchiveResults!$F$5:$IX$116,ComparisonData!A42,ComparisonData!$XH$1),0)),5)</f>
        <v>0</v>
      </c>
      <c r="XI42" s="46" cm="1">
        <f t="array" ref="XI42">ROUND(VALUE(IFERROR(INDEX(ArchiveResults!$F$5:$IX$116,ComparisonData!A42,ComparisonData!$XI$1),0)),5)</f>
        <v>0</v>
      </c>
      <c r="XJ42" s="56">
        <v>37</v>
      </c>
      <c r="XK42" s="53" t="str">
        <f t="shared" si="618"/>
        <v>Highland Archive Service: Lochaber Archive Centre</v>
      </c>
      <c r="XL42" s="60">
        <f t="shared" si="445"/>
        <v>0</v>
      </c>
      <c r="XM42" s="60">
        <f t="shared" si="446"/>
        <v>0</v>
      </c>
      <c r="XN42" s="76">
        <f t="shared" si="447"/>
        <v>0</v>
      </c>
      <c r="XO42" s="46">
        <f t="shared" si="448"/>
        <v>91</v>
      </c>
      <c r="XP42" s="46">
        <f t="shared" si="619"/>
        <v>2.8940000000000001</v>
      </c>
      <c r="XQ42" s="46">
        <f t="shared" si="449"/>
        <v>1</v>
      </c>
      <c r="XR42" s="46">
        <f t="shared" si="450"/>
        <v>2</v>
      </c>
      <c r="XS42" s="46" cm="1">
        <f t="array" ref="XS42">ROUND(VALUE(IFERROR(INDEX(ArchiveResults!$F$5:$IX$116,ComparisonData!A42,ComparisonData!$XS$1),0)),5)</f>
        <v>0</v>
      </c>
      <c r="XT42" s="46" cm="1">
        <f t="array" ref="XT42">ROUND(VALUE(IFERROR(INDEX(ArchiveResults!$F$5:$IX$116,ComparisonData!A42,ComparisonData!$XT$1),0)),5)</f>
        <v>0</v>
      </c>
      <c r="XU42" s="56">
        <v>37</v>
      </c>
      <c r="XV42" s="53" t="str">
        <f t="shared" si="620"/>
        <v>Highland Archive Service: Lochaber Archive Centre</v>
      </c>
      <c r="XW42" s="60">
        <f t="shared" si="451"/>
        <v>0</v>
      </c>
      <c r="XX42" s="60">
        <f t="shared" si="452"/>
        <v>0</v>
      </c>
      <c r="XY42" s="76">
        <f t="shared" si="453"/>
        <v>0</v>
      </c>
      <c r="XZ42" s="46">
        <f t="shared" si="454"/>
        <v>91</v>
      </c>
      <c r="YA42" s="46">
        <f t="shared" si="621"/>
        <v>2.8940000000000001</v>
      </c>
      <c r="YB42" s="46">
        <f t="shared" si="455"/>
        <v>1</v>
      </c>
      <c r="YC42" s="46">
        <f t="shared" si="456"/>
        <v>2</v>
      </c>
      <c r="YD42" s="46" cm="1">
        <f t="array" ref="YD42">ROUND(VALUE(IFERROR(INDEX(ArchiveResults!$F$5:$IX$116,ComparisonData!A42,ComparisonData!$YD$1),0)),5)</f>
        <v>0</v>
      </c>
      <c r="YE42" s="46" cm="1">
        <f t="array" ref="YE42">ROUND(VALUE(IFERROR(INDEX(ArchiveResults!$F$5:$IX$116,ComparisonData!A42,ComparisonData!$YE$1),0)),5)</f>
        <v>0</v>
      </c>
      <c r="YF42" s="56">
        <v>37</v>
      </c>
      <c r="YG42" s="53" t="str">
        <f t="shared" si="622"/>
        <v>Highland Archive Service: Lochaber Archive Centre</v>
      </c>
      <c r="YH42" s="60">
        <f t="shared" si="457"/>
        <v>0</v>
      </c>
      <c r="YI42" s="60">
        <f t="shared" si="458"/>
        <v>0</v>
      </c>
      <c r="YJ42" s="76">
        <f t="shared" si="459"/>
        <v>0</v>
      </c>
      <c r="YK42" s="46">
        <f t="shared" si="460"/>
        <v>91</v>
      </c>
      <c r="YL42" s="46">
        <f t="shared" si="623"/>
        <v>2.8940000000000001</v>
      </c>
      <c r="YM42" s="46">
        <f t="shared" si="461"/>
        <v>1</v>
      </c>
      <c r="YN42" s="46">
        <f t="shared" si="462"/>
        <v>2</v>
      </c>
      <c r="YO42" s="46" cm="1">
        <f t="array" ref="YO42">ROUND(VALUE(IFERROR(INDEX(ArchiveResults!$F$5:$IX$116,ComparisonData!A42,ComparisonData!$YO$1),0)),5)</f>
        <v>0</v>
      </c>
      <c r="YP42" s="46" cm="1">
        <f t="array" ref="YP42">ROUND(VALUE(IFERROR(INDEX(ArchiveResults!$F$5:$IX$116,ComparisonData!A42,ComparisonData!$YP$1),0)),5)</f>
        <v>0</v>
      </c>
      <c r="YQ42" s="56">
        <v>37</v>
      </c>
      <c r="YR42" s="53" t="str">
        <f t="shared" si="624"/>
        <v>Highland Archive Service: Lochaber Archive Centre</v>
      </c>
      <c r="YS42" s="60">
        <f t="shared" si="463"/>
        <v>0</v>
      </c>
      <c r="YT42" s="60">
        <f t="shared" si="464"/>
        <v>0</v>
      </c>
      <c r="YU42" s="76">
        <f t="shared" si="465"/>
        <v>0</v>
      </c>
      <c r="YV42" s="46">
        <f t="shared" si="466"/>
        <v>91</v>
      </c>
      <c r="YW42" s="46">
        <f t="shared" si="625"/>
        <v>2.8940000000000001</v>
      </c>
      <c r="YX42" s="46">
        <f t="shared" si="467"/>
        <v>1</v>
      </c>
      <c r="YY42" s="46">
        <f t="shared" si="468"/>
        <v>2</v>
      </c>
      <c r="YZ42" s="46">
        <f t="shared" si="469"/>
        <v>0</v>
      </c>
      <c r="ZA42" s="46" cm="1">
        <f t="array" ref="ZA42">ROUNDDOWN(VALUE(IFERROR(INDEX(ArchiveResults!$F$5:$IX$116,ComparisonData!A42,ComparisonData!$ZA$1),0)),5)</f>
        <v>0</v>
      </c>
      <c r="ZB42" s="46" cm="1">
        <f t="array" ref="ZB42">ROUNDDOWN(VALUE(IFERROR(INDEX(ArchiveResults!$F$5:$IX$116,ComparisonData!A42,ComparisonData!$ZB$1),0)),5)</f>
        <v>0</v>
      </c>
      <c r="ZC42" s="46" cm="1">
        <f t="array" ref="ZC42">ROUNDDOWN(VALUE(IFERROR(INDEX(ArchiveResults!$F$5:$IX$116,ComparisonData!A42,ComparisonData!$ZC$1),0)),5)</f>
        <v>0</v>
      </c>
      <c r="ZD42" s="46" cm="1">
        <f t="array" ref="ZD42">ROUNDDOWN(VALUE(IFERROR(INDEX(ArchiveResults!$F$5:$IX$116,ComparisonData!A42,ComparisonData!$ZD$1),0)),5)</f>
        <v>0</v>
      </c>
      <c r="ZE42" s="46" cm="1">
        <f t="array" ref="ZE42">ROUNDDOWN(VALUE(IFERROR(INDEX(ArchiveResults!$F$5:$IX$116,ComparisonData!A42,ComparisonData!$ZE$1),0)),5)</f>
        <v>0</v>
      </c>
      <c r="ZF42" s="56">
        <v>37</v>
      </c>
      <c r="ZG42" s="53" t="str">
        <f t="shared" si="626"/>
        <v>Highland Archive Service: Lochaber Archive Centre</v>
      </c>
      <c r="ZH42" s="60">
        <f t="shared" si="470"/>
        <v>0</v>
      </c>
      <c r="ZI42" s="60">
        <f t="shared" si="471"/>
        <v>0</v>
      </c>
      <c r="ZJ42" s="60">
        <f t="shared" si="472"/>
        <v>0</v>
      </c>
      <c r="ZK42" s="60">
        <f t="shared" si="473"/>
        <v>0</v>
      </c>
      <c r="ZL42" s="60">
        <f t="shared" si="474"/>
        <v>0</v>
      </c>
      <c r="ZM42" s="76">
        <f t="shared" si="475"/>
        <v>0</v>
      </c>
      <c r="ZN42" s="46">
        <f t="shared" si="476"/>
        <v>91</v>
      </c>
      <c r="ZO42" s="46">
        <f t="shared" si="627"/>
        <v>2.8940000000000001</v>
      </c>
      <c r="ZP42" s="46">
        <f t="shared" si="477"/>
        <v>1</v>
      </c>
      <c r="ZQ42" s="46">
        <f t="shared" si="478"/>
        <v>2</v>
      </c>
      <c r="ZR42" s="46" cm="1">
        <f t="array" ref="ZR42">ROUND(VALUE(IFERROR(INDEX(ArchiveResults!$F$5:$IX$116,ComparisonData!A42,ComparisonData!$ZR$1),0)),5)</f>
        <v>0</v>
      </c>
      <c r="ZS42" s="56">
        <v>37</v>
      </c>
      <c r="ZT42" s="53" t="str">
        <f t="shared" si="628"/>
        <v>Highland Archive Service: Lochaber Archive Centre</v>
      </c>
      <c r="ZU42" s="46">
        <f t="shared" si="479"/>
        <v>0</v>
      </c>
      <c r="ZV42" s="76">
        <f t="shared" si="480"/>
        <v>0</v>
      </c>
      <c r="ZW42" s="81" cm="1">
        <f t="array" ref="ZW42">ROUND((IFERROR(INDEX(ArchiveResults!$F$5:$IX$116,ComparisonData!A42,ComparisonData!$ZW$1),0)),5)</f>
        <v>0</v>
      </c>
      <c r="ZX42" s="81" cm="1">
        <f t="array" ref="ZX42">ROUND((IFERROR(INDEX(ArchiveResults!$F$5:$IX$116,ComparisonData!A42,ComparisonData!$ZX$1),0)),5)</f>
        <v>0</v>
      </c>
      <c r="ZY42" s="81" cm="1">
        <f t="array" ref="ZY42">ROUND((IFERROR(INDEX(ArchiveResults!$F$5:$IX$116,ComparisonData!A42,ComparisonData!$ZY$1),0)),5)</f>
        <v>0</v>
      </c>
      <c r="ZZ42" s="81" cm="1">
        <f t="array" ref="ZZ42">ROUND((IFERROR(INDEX(ArchiveResults!$F$5:$IX$116,ComparisonData!A42,ComparisonData!$ZZ$1),0)),5)</f>
        <v>0</v>
      </c>
      <c r="AAA42" s="81" cm="1">
        <f t="array" ref="AAA42">ROUND((IFERROR(INDEX(ArchiveResults!$F$5:$IX$116,ComparisonData!A42,ComparisonData!$AAA$1),0)),5)</f>
        <v>0</v>
      </c>
      <c r="AAB42" s="81" cm="1">
        <f t="array" ref="AAB42">ROUND((IFERROR(INDEX(ArchiveResults!$F$5:$IX$116,ComparisonData!A42,ComparisonData!$AAB$1),0)),5)</f>
        <v>0</v>
      </c>
      <c r="AAC42" s="81" cm="1">
        <f t="array" ref="AAC42">ROUND((IFERROR(INDEX(ArchiveResults!$F$5:$IX$116,ComparisonData!A42,ComparisonData!$AAC$1),0)),5)</f>
        <v>0</v>
      </c>
      <c r="AAD42" s="81" cm="1">
        <f t="array" ref="AAD42">ROUND((IFERROR(INDEX(ArchiveResults!$F$5:$IX$116,ComparisonData!A42,ComparisonData!$AAD$1),0)),5)</f>
        <v>0</v>
      </c>
      <c r="AAE42" s="81" cm="1">
        <f t="array" ref="AAE42">ROUND((IFERROR(INDEX(ArchiveResults!$F$5:$IX$116,ComparisonData!A42,ComparisonData!$AAE$1),0)),5)</f>
        <v>0</v>
      </c>
      <c r="AAF42" s="81" cm="1">
        <f t="array" ref="AAF42">ROUND((IFERROR(INDEX(ArchiveResults!$F$5:$IX$116,ComparisonData!A42,ComparisonData!$AAF$1),0)),5)</f>
        <v>0</v>
      </c>
      <c r="AAG42" s="46">
        <f t="shared" si="481"/>
        <v>91</v>
      </c>
      <c r="AAH42" s="46">
        <f t="shared" si="629"/>
        <v>2.8940000000000001</v>
      </c>
      <c r="AAI42" s="46">
        <f t="shared" si="482"/>
        <v>1</v>
      </c>
      <c r="AAJ42" s="46">
        <f t="shared" si="483"/>
        <v>2</v>
      </c>
      <c r="AAK42" s="46">
        <f t="shared" si="484"/>
        <v>0</v>
      </c>
      <c r="AAL42" s="46">
        <f t="shared" si="485"/>
        <v>0</v>
      </c>
      <c r="AAM42" s="46">
        <f t="shared" si="486"/>
        <v>0</v>
      </c>
      <c r="AAN42" s="46">
        <f t="shared" si="487"/>
        <v>0</v>
      </c>
      <c r="AAO42" s="46">
        <f t="shared" si="488"/>
        <v>0</v>
      </c>
      <c r="AAP42" s="46">
        <f t="shared" si="489"/>
        <v>0</v>
      </c>
      <c r="AAQ42" s="56">
        <v>37</v>
      </c>
      <c r="AAR42" s="53" t="str">
        <f t="shared" si="630"/>
        <v>Highland Archive Service: Lochaber Archive Centre</v>
      </c>
      <c r="AAS42" s="60">
        <f t="shared" si="490"/>
        <v>0</v>
      </c>
      <c r="AAT42" s="60">
        <f t="shared" si="491"/>
        <v>0</v>
      </c>
      <c r="AAU42" s="60">
        <f t="shared" si="492"/>
        <v>0</v>
      </c>
      <c r="AAV42" s="60">
        <f t="shared" si="493"/>
        <v>0</v>
      </c>
      <c r="AAW42" s="60">
        <f t="shared" si="494"/>
        <v>0</v>
      </c>
      <c r="AAX42" s="76">
        <f t="shared" si="495"/>
        <v>0</v>
      </c>
      <c r="AAY42" s="46">
        <f t="shared" si="496"/>
        <v>91</v>
      </c>
      <c r="AAZ42" s="46">
        <f t="shared" si="631"/>
        <v>2.8940000000000001</v>
      </c>
      <c r="ABA42" s="46">
        <f t="shared" si="497"/>
        <v>1</v>
      </c>
      <c r="ABB42" s="46">
        <f t="shared" si="498"/>
        <v>2</v>
      </c>
      <c r="ABC42" s="46">
        <f t="shared" si="102"/>
        <v>0</v>
      </c>
      <c r="ABD42" s="46" cm="1">
        <f t="array" ref="ABD42">ROUND(VALUE(IFERROR(INDEX(ArchiveResults!$F$5:$IX$116,ComparisonData!A42,ComparisonData!$ABD$1),0)),5)</f>
        <v>0</v>
      </c>
      <c r="ABE42" s="46" cm="1">
        <f t="array" ref="ABE42">ROUND(VALUE(IFERROR(INDEX(ArchiveResults!$F$5:$IX$116,ComparisonData!A42,ComparisonData!$ABE$1),0)),5)</f>
        <v>0</v>
      </c>
      <c r="ABF42" s="46" cm="1">
        <f t="array" ref="ABF42">ROUND(VALUE(IFERROR(INDEX(ArchiveResults!$F$5:$IX$116,ComparisonData!A42,ComparisonData!$ABF$1),0)),5)</f>
        <v>0</v>
      </c>
      <c r="ABG42" s="46" cm="1">
        <f t="array" ref="ABG42">ROUND(VALUE(IFERROR(INDEX(ArchiveResults!$F$5:$IX$116,ComparisonData!A42,ComparisonData!$ABG$1),0)),5)</f>
        <v>0</v>
      </c>
      <c r="ABH42" s="46" cm="1">
        <f t="array" ref="ABH42">ROUND(VALUE(IFERROR(INDEX(ArchiveResults!$F$5:$IX$116,ComparisonData!A42,ComparisonData!$ABH$1),0)),5)</f>
        <v>0</v>
      </c>
      <c r="ABI42" s="56">
        <v>37</v>
      </c>
      <c r="ABJ42" s="53" t="str">
        <f t="shared" si="632"/>
        <v>Highland Archive Service: Lochaber Archive Centre</v>
      </c>
      <c r="ABK42" s="60">
        <f t="shared" si="499"/>
        <v>0</v>
      </c>
      <c r="ABL42" s="60">
        <f t="shared" si="500"/>
        <v>0</v>
      </c>
      <c r="ABM42" s="60">
        <f t="shared" si="501"/>
        <v>0</v>
      </c>
      <c r="ABN42" s="60">
        <f t="shared" si="502"/>
        <v>0</v>
      </c>
      <c r="ABO42" s="60">
        <f t="shared" si="503"/>
        <v>0</v>
      </c>
      <c r="ABP42" s="76">
        <f t="shared" si="504"/>
        <v>0</v>
      </c>
      <c r="ABQ42" s="46">
        <f t="shared" si="505"/>
        <v>91</v>
      </c>
      <c r="ABR42" s="46">
        <f t="shared" si="633"/>
        <v>2.8940000000000001</v>
      </c>
      <c r="ABS42" s="46">
        <f t="shared" si="506"/>
        <v>1</v>
      </c>
      <c r="ABT42" s="46">
        <f t="shared" si="507"/>
        <v>2</v>
      </c>
      <c r="ABU42" s="46" cm="1">
        <f t="array" ref="ABU42">ROUND(VALUE(IFERROR(INDEX(ArchiveResults!$F$5:$IX$116,ComparisonData!A42,ComparisonData!$ABU$1),0)),5)</f>
        <v>0</v>
      </c>
      <c r="ABV42" s="46" cm="1">
        <f t="array" ref="ABV42">ROUND(VALUE(IFERROR(INDEX(ArchiveResults!$F$5:$IX$116,ComparisonData!A42,ComparisonData!$ABV$1),0)),5)</f>
        <v>0</v>
      </c>
      <c r="ABW42" s="46" cm="1">
        <f t="array" ref="ABW42">ROUND(VALUE(IFERROR(INDEX(ArchiveResults!$F$5:$IX$116,ComparisonData!A42,ComparisonData!$ABW$1),0)),5)</f>
        <v>0</v>
      </c>
      <c r="ABX42" s="46" cm="1">
        <f t="array" ref="ABX42">ROUND(VALUE(IFERROR(INDEX(ArchiveResults!$F$5:$IX$116,ComparisonData!A42,ComparisonData!$ABX$1),0)),5)</f>
        <v>0</v>
      </c>
      <c r="ABY42" s="46" cm="1">
        <f t="array" ref="ABY42">ROUND(VALUE(IFERROR(INDEX(ArchiveResults!$F$5:$IX$116,ComparisonData!A42,ComparisonData!$ABY$1),0)),5)</f>
        <v>0</v>
      </c>
      <c r="ABZ42" s="56">
        <v>37</v>
      </c>
      <c r="ACA42" s="53" t="str">
        <f t="shared" si="634"/>
        <v>Highland Archive Service: Lochaber Archive Centre</v>
      </c>
      <c r="ACB42" s="60">
        <f t="shared" si="508"/>
        <v>0</v>
      </c>
      <c r="ACC42" s="60">
        <f t="shared" si="509"/>
        <v>0</v>
      </c>
      <c r="ACD42" s="60">
        <f t="shared" si="510"/>
        <v>0</v>
      </c>
      <c r="ACE42" s="60">
        <f t="shared" si="511"/>
        <v>0</v>
      </c>
      <c r="ACF42" s="60">
        <f t="shared" si="512"/>
        <v>0</v>
      </c>
      <c r="ACG42" s="76">
        <f t="shared" si="513"/>
        <v>0</v>
      </c>
      <c r="ACH42" s="46">
        <f t="shared" si="514"/>
        <v>91</v>
      </c>
      <c r="ACI42" s="46">
        <f t="shared" si="635"/>
        <v>2.8940000000000001</v>
      </c>
      <c r="ACJ42" s="46">
        <f t="shared" si="515"/>
        <v>1</v>
      </c>
      <c r="ACK42" s="46">
        <f t="shared" si="516"/>
        <v>2</v>
      </c>
      <c r="ACL42" s="46">
        <f t="shared" si="517"/>
        <v>0</v>
      </c>
      <c r="ACM42" s="46" cm="1">
        <f t="array" ref="ACM42">ROUND(IFERROR(INDEX(ArchiveResults!$F$5:$IX$116,ComparisonData!A42,ComparisonData!$ACM$1),0),5)</f>
        <v>0</v>
      </c>
      <c r="ACN42" s="46" cm="1">
        <f t="array" ref="ACN42">ROUND(IFERROR(INDEX(ArchiveResults!$F$5:$IX$116,ComparisonData!A42,ComparisonData!$ACN$1),0),5)</f>
        <v>0</v>
      </c>
      <c r="ACO42" s="56">
        <v>37</v>
      </c>
      <c r="ACP42" s="53" t="str">
        <f t="shared" si="636"/>
        <v>Highland Archive Service: Lochaber Archive Centre</v>
      </c>
      <c r="ACQ42" s="60">
        <f t="shared" si="518"/>
        <v>0</v>
      </c>
      <c r="ACR42" s="60">
        <f t="shared" si="519"/>
        <v>0</v>
      </c>
      <c r="ACS42" s="76">
        <f t="shared" si="520"/>
        <v>0</v>
      </c>
      <c r="ACT42" s="46">
        <f t="shared" si="521"/>
        <v>91</v>
      </c>
      <c r="ACU42" s="46">
        <f t="shared" si="637"/>
        <v>2.8940000000000001</v>
      </c>
      <c r="ACV42" s="46">
        <f t="shared" si="522"/>
        <v>1</v>
      </c>
      <c r="ACW42" s="46">
        <f t="shared" si="523"/>
        <v>2</v>
      </c>
      <c r="ACX42" s="46">
        <f t="shared" si="524"/>
        <v>0</v>
      </c>
      <c r="ACY42" s="46" cm="1">
        <f t="array" ref="ACY42">ROUNDDOWN(IFERROR(INDEX(ArchiveResults!$F$5:$IX$116,ComparisonData!A42,ComparisonData!$ACY$1),0),5)</f>
        <v>0</v>
      </c>
      <c r="ACZ42" s="46" cm="1">
        <f t="array" ref="ACZ42">ROUNDDOWN(IFERROR(INDEX(ArchiveResults!$F$5:$IX$116,ComparisonData!A42,ComparisonData!$ACZ$1),0),5)</f>
        <v>0</v>
      </c>
      <c r="ADA42" s="46" cm="1">
        <f t="array" ref="ADA42">ROUNDDOWN(IFERROR(INDEX(ArchiveResults!$F$5:$IX$116,ComparisonData!A42,ComparisonData!$ADA$1),0),5)</f>
        <v>0</v>
      </c>
      <c r="ADB42" s="56">
        <v>37</v>
      </c>
      <c r="ADC42" s="53" t="str">
        <f t="shared" si="638"/>
        <v>Highland Archive Service: Lochaber Archive Centre</v>
      </c>
      <c r="ADD42" s="60">
        <f t="shared" si="525"/>
        <v>0</v>
      </c>
      <c r="ADE42" s="60">
        <f t="shared" si="526"/>
        <v>0</v>
      </c>
      <c r="ADF42" s="60">
        <f t="shared" si="527"/>
        <v>0</v>
      </c>
      <c r="ADG42" s="76">
        <f t="shared" si="528"/>
        <v>0</v>
      </c>
    </row>
    <row r="43" spans="1:787" x14ac:dyDescent="0.25">
      <c r="A43" s="46" t="str">
        <f>IF(ISBLANK(ComparisonSelection!F39),"",ROW()-5)</f>
        <v/>
      </c>
      <c r="B43" s="53" t="s">
        <v>492</v>
      </c>
      <c r="C43" s="72">
        <v>0.69899999999999973</v>
      </c>
      <c r="D43" s="55">
        <f t="shared" si="110"/>
        <v>53</v>
      </c>
      <c r="E43" s="54">
        <f t="shared" si="111"/>
        <v>2.6989999999999998</v>
      </c>
      <c r="F43" s="54">
        <f t="shared" si="529"/>
        <v>1</v>
      </c>
      <c r="G43" s="72">
        <f t="shared" si="112"/>
        <v>2</v>
      </c>
      <c r="H43" s="72">
        <f t="shared" si="113"/>
        <v>0</v>
      </c>
      <c r="I43" s="46" cm="1">
        <f t="array" ref="I43">ROUND(IFERROR(INDEX(ArchiveResults!$F$5:$IX$116,ComparisonData!A43,ComparisonData!$I$1),0),5)</f>
        <v>0</v>
      </c>
      <c r="J43" s="46" cm="1">
        <f t="array" ref="J43">ROUND(IFERROR(INDEX(ArchiveResults!$F$5:$IX$116,ComparisonData!A43,ComparisonData!$J$1),0),5)</f>
        <v>0</v>
      </c>
      <c r="K43" s="56">
        <v>38</v>
      </c>
      <c r="L43" s="53" t="str">
        <f t="shared" si="114"/>
        <v>Highland Archive Service: Skye and Lochalsh Archive Centre</v>
      </c>
      <c r="M43" s="57">
        <f t="shared" si="530"/>
        <v>0</v>
      </c>
      <c r="N43" s="57">
        <f t="shared" si="531"/>
        <v>0</v>
      </c>
      <c r="O43" s="58">
        <f t="shared" si="115"/>
        <v>0</v>
      </c>
      <c r="P43" s="48">
        <f t="shared" si="116"/>
        <v>53</v>
      </c>
      <c r="Q43" s="54">
        <f t="shared" si="532"/>
        <v>2.6989999999999998</v>
      </c>
      <c r="R43" s="45">
        <f t="shared" si="117"/>
        <v>1</v>
      </c>
      <c r="S43" s="46">
        <f t="shared" si="118"/>
        <v>2</v>
      </c>
      <c r="T43" s="72">
        <f t="shared" si="119"/>
        <v>0</v>
      </c>
      <c r="U43" s="46" cm="1">
        <f t="array" ref="U43">ROUND(IFERROR(INDEX(ArchiveResults!$F$5:$IX$116,ComparisonData!A43,ComparisonData!$U$1),0),5)</f>
        <v>0</v>
      </c>
      <c r="V43" s="46" cm="1">
        <f t="array" ref="V43">ROUND(IFERROR(INDEX(ArchiveResults!$F$5:$IX$116,ComparisonData!A43,ComparisonData!$V$1),0),5)</f>
        <v>0</v>
      </c>
      <c r="W43" s="56">
        <v>38</v>
      </c>
      <c r="X43" s="53" t="str">
        <f t="shared" si="533"/>
        <v>Highland Archive Service: Skye and Lochalsh Archive Centre</v>
      </c>
      <c r="Y43" s="57">
        <f t="shared" si="120"/>
        <v>0</v>
      </c>
      <c r="Z43" s="57">
        <f t="shared" si="121"/>
        <v>0</v>
      </c>
      <c r="AA43" s="58">
        <f t="shared" si="122"/>
        <v>0</v>
      </c>
      <c r="AB43" s="45">
        <f t="shared" si="123"/>
        <v>53</v>
      </c>
      <c r="AC43" s="54">
        <f t="shared" si="534"/>
        <v>2.6989999999999998</v>
      </c>
      <c r="AD43" s="45">
        <f t="shared" si="124"/>
        <v>1</v>
      </c>
      <c r="AE43" s="45">
        <f t="shared" si="125"/>
        <v>2</v>
      </c>
      <c r="AF43" s="45">
        <f t="shared" si="126"/>
        <v>0</v>
      </c>
      <c r="AG43" s="46" cm="1">
        <f t="array" ref="AG43">ROUND(IFERROR(INDEX(ArchiveResults!$F$5:$IX$116,ComparisonData!A43,ComparisonData!$AG$1),0),5)</f>
        <v>0</v>
      </c>
      <c r="AH43" s="46" cm="1">
        <f t="array" ref="AH43">ROUND(IFERROR(INDEX(ArchiveResults!$F$5:$IX$116,ComparisonData!A43,ComparisonData!$AH$1),0),5)</f>
        <v>0</v>
      </c>
      <c r="AI43" s="56">
        <v>38</v>
      </c>
      <c r="AJ43" s="53" t="str">
        <f t="shared" si="535"/>
        <v>Highland Archive Service: Skye and Lochalsh Archive Centre</v>
      </c>
      <c r="AK43" s="59">
        <f t="shared" si="536"/>
        <v>0</v>
      </c>
      <c r="AL43" s="59">
        <f t="shared" si="537"/>
        <v>0</v>
      </c>
      <c r="AM43" s="58">
        <f t="shared" si="127"/>
        <v>0</v>
      </c>
      <c r="AN43" s="45">
        <f t="shared" si="128"/>
        <v>53</v>
      </c>
      <c r="AO43" s="54">
        <f t="shared" si="538"/>
        <v>2.6989999999999998</v>
      </c>
      <c r="AP43" s="45">
        <f t="shared" si="129"/>
        <v>1</v>
      </c>
      <c r="AQ43" s="45">
        <f t="shared" si="130"/>
        <v>2</v>
      </c>
      <c r="AR43" s="46" cm="1">
        <f t="array" ref="AR43">ROUND(IFERROR(INDEX(ArchiveResults!$F$5:$IX$116,ComparisonData!A43,ComparisonData!$AR$1),0),5)</f>
        <v>0</v>
      </c>
      <c r="AS43" s="46" cm="1">
        <f t="array" ref="AS43">ROUND(IFERROR(INDEX(ArchiveResults!$F$5:$IX$116,ComparisonData!A43,ComparisonData!$AS$1),0),5)</f>
        <v>0</v>
      </c>
      <c r="AT43" s="46" cm="1">
        <f t="array" ref="AT43">ROUND(IFERROR(INDEX(ArchiveResults!$F$5:$IX$116,ComparisonData!A43,ComparisonData!$AT$1),0),5)</f>
        <v>0</v>
      </c>
      <c r="AU43" s="46" cm="1">
        <f t="array" ref="AU43">ROUND(IFERROR(INDEX(ArchiveResults!$F$5:$IX$116,ComparisonData!A43,ComparisonData!$AU$1),0),5)</f>
        <v>0</v>
      </c>
      <c r="AV43" s="46" cm="1">
        <f t="array" ref="AV43">ROUND(IFERROR(INDEX(ArchiveResults!$F$5:$IX$116,ComparisonData!A43,ComparisonData!$AV$1),0),5)</f>
        <v>0</v>
      </c>
      <c r="AW43" s="46" cm="1">
        <f t="array" ref="AW43">ROUND(IFERROR(INDEX(ArchiveResults!$F$5:$IX$116,ComparisonData!A43,ComparisonData!$AW$1),0),5)</f>
        <v>0</v>
      </c>
      <c r="AX43" s="46" cm="1">
        <f t="array" ref="AX43">ROUND(IFERROR(INDEX(ArchiveResults!$F$5:$IX$116,ComparisonData!A43,ComparisonData!$AX$1),0),5)</f>
        <v>0</v>
      </c>
      <c r="AY43" s="46" cm="1">
        <f t="array" ref="AY43">ROUND(IFERROR(INDEX(ArchiveResults!$F$5:$IX$116,ComparisonData!A43,ComparisonData!$AY$1),0),5)</f>
        <v>0</v>
      </c>
      <c r="AZ43" s="46" cm="1">
        <f t="array" ref="AZ43">ROUND(IFERROR(INDEX(ArchiveResults!$F$5:$IX$116,ComparisonData!A43,ComparisonData!$AZ$1),0),5)</f>
        <v>0</v>
      </c>
      <c r="BA43" s="46" cm="1">
        <f t="array" ref="BA43">ROUND(IFERROR(INDEX(ArchiveResults!$F$5:$IX$116,ComparisonData!A43,ComparisonData!$BA$1),0),5)</f>
        <v>0</v>
      </c>
      <c r="BB43" s="56">
        <v>38</v>
      </c>
      <c r="BC43" s="53" t="str">
        <f t="shared" si="539"/>
        <v>Highland Archive Service: Skye and Lochalsh Archive Centre</v>
      </c>
      <c r="BD43" s="60">
        <f t="shared" si="131"/>
        <v>0</v>
      </c>
      <c r="BE43" s="60">
        <f t="shared" si="132"/>
        <v>0</v>
      </c>
      <c r="BF43" s="60">
        <f t="shared" si="133"/>
        <v>0</v>
      </c>
      <c r="BG43" s="60">
        <f t="shared" si="134"/>
        <v>0</v>
      </c>
      <c r="BH43" s="60">
        <f t="shared" si="135"/>
        <v>0</v>
      </c>
      <c r="BI43" s="60">
        <f t="shared" si="136"/>
        <v>0</v>
      </c>
      <c r="BJ43" s="60">
        <f t="shared" si="137"/>
        <v>0</v>
      </c>
      <c r="BK43" s="60">
        <f t="shared" si="138"/>
        <v>0</v>
      </c>
      <c r="BL43" s="60">
        <f t="shared" si="139"/>
        <v>0</v>
      </c>
      <c r="BM43" s="59">
        <f t="shared" si="140"/>
        <v>0</v>
      </c>
      <c r="BN43" s="58">
        <f t="shared" si="141"/>
        <v>0</v>
      </c>
      <c r="BO43" s="45">
        <f t="shared" si="142"/>
        <v>53</v>
      </c>
      <c r="BP43" s="54">
        <f t="shared" si="540"/>
        <v>2.6989999999999998</v>
      </c>
      <c r="BQ43" s="45">
        <f t="shared" si="143"/>
        <v>1</v>
      </c>
      <c r="BR43" s="45">
        <f t="shared" si="144"/>
        <v>2</v>
      </c>
      <c r="BS43" s="46" cm="1">
        <f t="array" ref="BS43">ROUND(IFERROR(INDEX(ArchiveResults!$F$5:$IX$116,ComparisonData!A43,ComparisonData!$BS$1),0),5)</f>
        <v>0</v>
      </c>
      <c r="BT43" s="46" cm="1">
        <f t="array" ref="BT43">ROUND(IFERROR(INDEX(ArchiveResults!$F$5:$IX$116,ComparisonData!A43,ComparisonData!$BT$1),0),5)</f>
        <v>0</v>
      </c>
      <c r="BU43" s="46" cm="1">
        <f t="array" ref="BU43">ROUND(IFERROR(INDEX(ArchiveResults!$F$5:$IX$116,ComparisonData!A43,ComparisonData!$BU$1),0),5)</f>
        <v>0</v>
      </c>
      <c r="BV43" s="46" cm="1">
        <f t="array" ref="BV43">ROUND(IFERROR(INDEX(ArchiveResults!$F$5:$IX$116,ComparisonData!A43,ComparisonData!$BV$1),0),5)</f>
        <v>0</v>
      </c>
      <c r="BW43" s="46" cm="1">
        <f t="array" ref="BW43">ROUND(IFERROR(INDEX(ArchiveResults!$F$5:$IX$116,ComparisonData!A43,ComparisonData!$BW$1),0),5)</f>
        <v>0</v>
      </c>
      <c r="BX43" s="46" cm="1">
        <f t="array" ref="BX43">ROUND(IFERROR(INDEX(ArchiveResults!$F$5:$IX$116,ComparisonData!A43,ComparisonData!$BX$1),0),5)</f>
        <v>0</v>
      </c>
      <c r="BY43" s="56">
        <v>38</v>
      </c>
      <c r="BZ43" s="53" t="str">
        <f t="shared" si="541"/>
        <v>Highland Archive Service: Skye and Lochalsh Archive Centre</v>
      </c>
      <c r="CA43" s="59">
        <f t="shared" si="145"/>
        <v>0</v>
      </c>
      <c r="CB43" s="59">
        <f t="shared" si="146"/>
        <v>0</v>
      </c>
      <c r="CC43" s="59">
        <f t="shared" si="147"/>
        <v>0</v>
      </c>
      <c r="CD43" s="59">
        <f t="shared" si="148"/>
        <v>0</v>
      </c>
      <c r="CE43" s="59">
        <f t="shared" si="149"/>
        <v>0</v>
      </c>
      <c r="CF43" s="59">
        <f t="shared" si="150"/>
        <v>0</v>
      </c>
      <c r="CG43" s="58">
        <f t="shared" si="151"/>
        <v>0</v>
      </c>
      <c r="CH43" s="45">
        <f t="shared" si="152"/>
        <v>53</v>
      </c>
      <c r="CI43" s="54">
        <f t="shared" si="542"/>
        <v>2.6989999999999998</v>
      </c>
      <c r="CJ43" s="45">
        <f t="shared" si="153"/>
        <v>1</v>
      </c>
      <c r="CK43" s="45">
        <f t="shared" si="154"/>
        <v>2</v>
      </c>
      <c r="CL43" s="46" cm="1">
        <f t="array" ref="CL43">ROUND(IFERROR(INDEX(ArchiveResults!$F$5:$IX$116,ComparisonData!A43,ComparisonData!$CL$1),0),5)</f>
        <v>0</v>
      </c>
      <c r="CM43" s="56">
        <v>38</v>
      </c>
      <c r="CN43" s="53" t="str">
        <f t="shared" si="543"/>
        <v>Highland Archive Service: Skye and Lochalsh Archive Centre</v>
      </c>
      <c r="CO43" s="45">
        <f t="shared" si="155"/>
        <v>0</v>
      </c>
      <c r="CP43" s="58">
        <f t="shared" si="156"/>
        <v>0</v>
      </c>
      <c r="CQ43" s="45">
        <f t="shared" si="157"/>
        <v>53</v>
      </c>
      <c r="CR43" s="54">
        <f t="shared" si="544"/>
        <v>2.6989999999999998</v>
      </c>
      <c r="CS43" s="45">
        <f t="shared" si="158"/>
        <v>1</v>
      </c>
      <c r="CT43" s="45">
        <f t="shared" si="159"/>
        <v>2</v>
      </c>
      <c r="CU43" s="46" cm="1">
        <f t="array" ref="CU43">ROUND(IFERROR(INDEX(ArchiveResults!$F$5:$IX$116,ComparisonData!A43,ComparisonData!$CU$1),0),5)</f>
        <v>0</v>
      </c>
      <c r="CV43" s="56">
        <v>38</v>
      </c>
      <c r="CW43" s="53" t="str">
        <f t="shared" si="545"/>
        <v>Highland Archive Service: Skye and Lochalsh Archive Centre</v>
      </c>
      <c r="CX43" s="45">
        <f t="shared" si="160"/>
        <v>0</v>
      </c>
      <c r="CY43" s="58">
        <f t="shared" si="161"/>
        <v>0</v>
      </c>
      <c r="CZ43" s="45">
        <f t="shared" si="162"/>
        <v>53</v>
      </c>
      <c r="DA43" s="54">
        <f t="shared" si="546"/>
        <v>2.6989999999999998</v>
      </c>
      <c r="DB43" s="45">
        <f t="shared" si="163"/>
        <v>1</v>
      </c>
      <c r="DC43" s="45">
        <f t="shared" si="164"/>
        <v>2</v>
      </c>
      <c r="DD43" s="46" cm="1">
        <f t="array" ref="DD43">ROUND(IFERROR(INDEX(ArchiveResults!$F$5:$IX$116,ComparisonData!A43,ComparisonData!$DD$1),0),5)</f>
        <v>0</v>
      </c>
      <c r="DE43" s="56">
        <v>38</v>
      </c>
      <c r="DF43" s="53" t="str">
        <f t="shared" si="547"/>
        <v>Highland Archive Service: Skye and Lochalsh Archive Centre</v>
      </c>
      <c r="DG43" s="45">
        <f t="shared" si="165"/>
        <v>0</v>
      </c>
      <c r="DH43" s="58">
        <f t="shared" si="166"/>
        <v>0</v>
      </c>
      <c r="DI43" s="45">
        <f t="shared" si="167"/>
        <v>53</v>
      </c>
      <c r="DJ43" s="54">
        <f t="shared" si="548"/>
        <v>2.6989999999999998</v>
      </c>
      <c r="DK43" s="45">
        <f t="shared" si="168"/>
        <v>1</v>
      </c>
      <c r="DL43" s="45">
        <f t="shared" si="169"/>
        <v>2</v>
      </c>
      <c r="DM43" s="46" cm="1">
        <f t="array" ref="DM43">ROUND(IFERROR(INDEX(ArchiveResults!$F$5:$IX$116,ComparisonData!A43,ComparisonData!$DM$1),0),5)</f>
        <v>0</v>
      </c>
      <c r="DN43" s="46" cm="1">
        <f t="array" ref="DN43">ROUND(IFERROR(INDEX(ArchiveResults!$F$5:$IX$116,ComparisonData!A43,ComparisonData!$DN$1),0),5)</f>
        <v>0</v>
      </c>
      <c r="DO43" s="46" cm="1">
        <f t="array" ref="DO43">ROUND(IFERROR(INDEX(ArchiveResults!$F$5:$IX$116,ComparisonData!A43,ComparisonData!$DO$1),0),5)</f>
        <v>0</v>
      </c>
      <c r="DP43" s="46" cm="1">
        <f t="array" ref="DP43">ROUND(IFERROR(INDEX(ArchiveResults!$F$5:$IX$116,ComparisonData!A43,ComparisonData!$DP$1),0),5)</f>
        <v>0</v>
      </c>
      <c r="DQ43" s="45" cm="1">
        <f t="array" ref="DQ43">IFERROR(INDEX(ArchiveResults!$F$5:$IX$116,ComparisonData!A43,ComparisonData!$DQ$1),0)</f>
        <v>0</v>
      </c>
      <c r="DR43" s="56">
        <v>38</v>
      </c>
      <c r="DS43" s="53" t="str">
        <f t="shared" si="549"/>
        <v>Highland Archive Service: Skye and Lochalsh Archive Centre</v>
      </c>
      <c r="DT43" s="59">
        <f t="shared" si="170"/>
        <v>0</v>
      </c>
      <c r="DU43" s="59">
        <f t="shared" si="171"/>
        <v>0</v>
      </c>
      <c r="DV43" s="59">
        <f t="shared" si="172"/>
        <v>0</v>
      </c>
      <c r="DW43" s="59">
        <f t="shared" si="173"/>
        <v>0</v>
      </c>
      <c r="DX43" s="59">
        <f t="shared" si="174"/>
        <v>0</v>
      </c>
      <c r="DY43" s="58">
        <f t="shared" si="175"/>
        <v>0</v>
      </c>
      <c r="DZ43" s="45">
        <f t="shared" si="176"/>
        <v>53</v>
      </c>
      <c r="EA43" s="54">
        <f t="shared" si="550"/>
        <v>2.6989999999999998</v>
      </c>
      <c r="EB43" s="45">
        <f t="shared" si="177"/>
        <v>1</v>
      </c>
      <c r="EC43" s="45">
        <f t="shared" si="178"/>
        <v>2</v>
      </c>
      <c r="ED43" s="46" cm="1">
        <f t="array" ref="ED43">ROUND(IFERROR(INDEX(ArchiveResults!$F$5:$IX$116,ComparisonData!A43,ComparisonData!$ED$1),0),5)</f>
        <v>0</v>
      </c>
      <c r="EE43" s="46" cm="1">
        <f t="array" ref="EE43">ROUND(IFERROR(INDEX(ArchiveResults!$F$5:$IX$116,ComparisonData!A43,ComparisonData!$EE$1),0),5)</f>
        <v>0</v>
      </c>
      <c r="EF43" s="46" cm="1">
        <f t="array" ref="EF43">ROUND(IFERROR(INDEX(ArchiveResults!$F$5:$IX$116,ComparisonData!A43,ComparisonData!$EF$1),0),5)</f>
        <v>0</v>
      </c>
      <c r="EG43" s="46" cm="1">
        <f t="array" ref="EG43">ROUND(IFERROR(INDEX(ArchiveResults!$F$5:$IX$116,ComparisonData!A43,ComparisonData!$EG$1),0),5)</f>
        <v>0</v>
      </c>
      <c r="EH43" s="45" cm="1">
        <f t="array" ref="EH43">IFERROR(INDEX(ArchiveResults!$F$5:$IX$116,ComparisonData!A43,ComparisonData!$EH$1),0)</f>
        <v>0</v>
      </c>
      <c r="EI43" s="56">
        <v>38</v>
      </c>
      <c r="EJ43" s="53" t="str">
        <f t="shared" si="551"/>
        <v>Highland Archive Service: Skye and Lochalsh Archive Centre</v>
      </c>
      <c r="EK43" s="59">
        <f t="shared" si="179"/>
        <v>0</v>
      </c>
      <c r="EL43" s="59">
        <f t="shared" si="180"/>
        <v>0</v>
      </c>
      <c r="EM43" s="59">
        <f t="shared" si="181"/>
        <v>0</v>
      </c>
      <c r="EN43" s="59">
        <f t="shared" si="182"/>
        <v>0</v>
      </c>
      <c r="EO43" s="59">
        <f t="shared" si="183"/>
        <v>0</v>
      </c>
      <c r="EP43" s="58">
        <f t="shared" si="184"/>
        <v>0</v>
      </c>
      <c r="EQ43" s="45">
        <f t="shared" si="185"/>
        <v>53</v>
      </c>
      <c r="ER43" s="54">
        <f t="shared" si="552"/>
        <v>2.6989999999999998</v>
      </c>
      <c r="ES43" s="45">
        <f t="shared" si="186"/>
        <v>1</v>
      </c>
      <c r="ET43" s="45">
        <f t="shared" si="187"/>
        <v>2</v>
      </c>
      <c r="EU43" s="46" cm="1">
        <f t="array" ref="EU43">ROUND(IFERROR(INDEX(ArchiveResults!$F$5:$IX$116,ComparisonData!A43,ComparisonData!$EU$1),0),5)</f>
        <v>0</v>
      </c>
      <c r="EV43" s="46" cm="1">
        <f t="array" ref="EV43">ROUND(IFERROR(INDEX(ArchiveResults!$F$5:$IX$116,ComparisonData!A43,ComparisonData!$EV$1),0),5)</f>
        <v>0</v>
      </c>
      <c r="EW43" s="46" cm="1">
        <f t="array" ref="EW43">ROUND(IFERROR(INDEX(ArchiveResults!$F$5:$IX$116,ComparisonData!A43,ComparisonData!$EW$1),0),5)</f>
        <v>0</v>
      </c>
      <c r="EX43" s="46" cm="1">
        <f t="array" ref="EX43">ROUND(IFERROR(INDEX(ArchiveResults!$F$5:$IX$116,ComparisonData!A43,ComparisonData!$EX$1),0),5)</f>
        <v>0</v>
      </c>
      <c r="EY43" s="45" cm="1">
        <f t="array" ref="EY43">IFERROR(INDEX(ArchiveResults!$F$5:$IX$116,ComparisonData!A43,ComparisonData!$EY$1),0)</f>
        <v>0</v>
      </c>
      <c r="EZ43" s="56">
        <v>38</v>
      </c>
      <c r="FA43" s="53" t="str">
        <f t="shared" si="553"/>
        <v>Highland Archive Service: Skye and Lochalsh Archive Centre</v>
      </c>
      <c r="FB43" s="59">
        <f t="shared" si="188"/>
        <v>0</v>
      </c>
      <c r="FC43" s="59">
        <f t="shared" si="189"/>
        <v>0</v>
      </c>
      <c r="FD43" s="59">
        <f t="shared" si="190"/>
        <v>0</v>
      </c>
      <c r="FE43" s="59">
        <f t="shared" si="191"/>
        <v>0</v>
      </c>
      <c r="FF43" s="59">
        <f t="shared" si="192"/>
        <v>0</v>
      </c>
      <c r="FG43" s="58">
        <f t="shared" si="193"/>
        <v>0</v>
      </c>
      <c r="FH43" s="45">
        <f t="shared" si="194"/>
        <v>53</v>
      </c>
      <c r="FI43" s="54">
        <f t="shared" si="554"/>
        <v>2.6989999999999998</v>
      </c>
      <c r="FJ43" s="45">
        <f t="shared" si="195"/>
        <v>1</v>
      </c>
      <c r="FK43" s="45">
        <f t="shared" si="196"/>
        <v>2</v>
      </c>
      <c r="FL43" s="46" cm="1">
        <f t="array" ref="FL43">ROUND(IFERROR(INDEX(ArchiveResults!$F$5:$IX$116,ComparisonData!A43,ComparisonData!$FL$1),0),5)</f>
        <v>0</v>
      </c>
      <c r="FM43" s="46" cm="1">
        <f t="array" ref="FM43">ROUND(IFERROR(INDEX(ArchiveResults!$F$5:$IX$116,ComparisonData!A43,ComparisonData!$FM$1),0),5)</f>
        <v>0</v>
      </c>
      <c r="FN43" s="46" cm="1">
        <f t="array" ref="FN43">ROUND(IFERROR(INDEX(ArchiveResults!$F$5:$IX$116,ComparisonData!A43,ComparisonData!$FN$1),0),5)</f>
        <v>0</v>
      </c>
      <c r="FO43" s="46" cm="1">
        <f t="array" ref="FO43">ROUND(IFERROR(INDEX(ArchiveResults!$F$5:$IX$116,ComparisonData!A43,ComparisonData!$FO$1),0),5)</f>
        <v>0</v>
      </c>
      <c r="FP43" s="45" cm="1">
        <f t="array" ref="FP43">IFERROR(INDEX(ArchiveResults!$F$5:$IX$116,ComparisonData!A43,ComparisonData!$FP$1),0)</f>
        <v>0</v>
      </c>
      <c r="FQ43" s="56">
        <v>38</v>
      </c>
      <c r="FR43" s="53" t="str">
        <f t="shared" si="555"/>
        <v>Highland Archive Service: Skye and Lochalsh Archive Centre</v>
      </c>
      <c r="FS43" s="59">
        <f t="shared" si="197"/>
        <v>0</v>
      </c>
      <c r="FT43" s="59">
        <f t="shared" si="198"/>
        <v>0</v>
      </c>
      <c r="FU43" s="59">
        <f t="shared" si="199"/>
        <v>0</v>
      </c>
      <c r="FV43" s="59">
        <f t="shared" si="200"/>
        <v>0</v>
      </c>
      <c r="FW43" s="59">
        <f t="shared" si="201"/>
        <v>0</v>
      </c>
      <c r="FX43" s="58">
        <f t="shared" si="202"/>
        <v>0</v>
      </c>
      <c r="FY43" s="45">
        <f t="shared" si="203"/>
        <v>53</v>
      </c>
      <c r="FZ43" s="45">
        <f t="shared" si="556"/>
        <v>2.6989999999999998</v>
      </c>
      <c r="GA43" s="45">
        <f t="shared" si="204"/>
        <v>1</v>
      </c>
      <c r="GB43" s="45">
        <f t="shared" si="205"/>
        <v>2</v>
      </c>
      <c r="GC43" s="46" cm="1">
        <f t="array" ref="GC43">ROUND(IFERROR(INDEX(ArchiveResults!$F$5:$IX$116,ComparisonData!A43,ComparisonData!$GC$1),0),5)</f>
        <v>0</v>
      </c>
      <c r="GD43" s="46" cm="1">
        <f t="array" ref="GD43">ROUND(IFERROR(INDEX(ArchiveResults!$F$5:$IX$116,ComparisonData!A43,ComparisonData!$GD$1),0),5)</f>
        <v>0</v>
      </c>
      <c r="GE43" s="46" cm="1">
        <f t="array" ref="GE43">ROUND(IFERROR(INDEX(ArchiveResults!$F$5:$IX$116,ComparisonData!A43,ComparisonData!$GE$1),0),5)</f>
        <v>0</v>
      </c>
      <c r="GF43" s="46" cm="1">
        <f t="array" ref="GF43">ROUND(IFERROR(INDEX(ArchiveResults!$F$5:$IX$116,ComparisonData!A43,ComparisonData!$GF$1),0),5)</f>
        <v>0</v>
      </c>
      <c r="GG43" s="45" cm="1">
        <f t="array" ref="GG43">IFERROR(INDEX(ArchiveResults!$F$5:$IX$116,ComparisonData!A43,ComparisonData!$GG$1),0)</f>
        <v>0</v>
      </c>
      <c r="GH43" s="56">
        <v>38</v>
      </c>
      <c r="GI43" s="53" t="str">
        <f t="shared" si="557"/>
        <v>Highland Archive Service: Skye and Lochalsh Archive Centre</v>
      </c>
      <c r="GJ43" s="59">
        <f t="shared" si="206"/>
        <v>0</v>
      </c>
      <c r="GK43" s="59">
        <f t="shared" si="207"/>
        <v>0</v>
      </c>
      <c r="GL43" s="59">
        <f t="shared" si="208"/>
        <v>0</v>
      </c>
      <c r="GM43" s="59">
        <f t="shared" si="209"/>
        <v>0</v>
      </c>
      <c r="GN43" s="59">
        <f t="shared" si="210"/>
        <v>0</v>
      </c>
      <c r="GO43" s="58">
        <f t="shared" si="211"/>
        <v>0</v>
      </c>
      <c r="GP43" s="45">
        <f t="shared" si="212"/>
        <v>53</v>
      </c>
      <c r="GQ43" s="45">
        <f t="shared" si="558"/>
        <v>2.6989999999999998</v>
      </c>
      <c r="GR43" s="45">
        <f t="shared" si="213"/>
        <v>1</v>
      </c>
      <c r="GS43" s="45">
        <f t="shared" si="214"/>
        <v>2</v>
      </c>
      <c r="GT43" s="46" cm="1">
        <f t="array" ref="GT43">ROUND(IFERROR(INDEX(ArchiveResults!$F$5:$IX$116,ComparisonData!A43,ComparisonData!$GT$1),0),5)</f>
        <v>0</v>
      </c>
      <c r="GU43" s="46" cm="1">
        <f t="array" ref="GU43">ROUND(IFERROR(INDEX(ArchiveResults!$F$5:$IX$116,ComparisonData!A43,ComparisonData!$GU$1),0),5)</f>
        <v>0</v>
      </c>
      <c r="GV43" s="46" cm="1">
        <f t="array" ref="GV43">ROUND(IFERROR(INDEX(ArchiveResults!$F$5:$IX$116,ComparisonData!A43,ComparisonData!$GV$1),0),5)</f>
        <v>0</v>
      </c>
      <c r="GW43" s="46" cm="1">
        <f t="array" ref="GW43">ROUND(IFERROR(INDEX(ArchiveResults!$F$5:$IX$116,ComparisonData!A43,ComparisonData!$GW$1),0),5)</f>
        <v>0</v>
      </c>
      <c r="GX43" s="45" cm="1">
        <f t="array" ref="GX43">IFERROR(INDEX(ArchiveResults!$F$5:$IX$116,ComparisonData!A43,ComparisonData!$GX$1),0)</f>
        <v>0</v>
      </c>
      <c r="GY43" s="56">
        <v>38</v>
      </c>
      <c r="GZ43" s="53" t="str">
        <f t="shared" si="559"/>
        <v>Highland Archive Service: Skye and Lochalsh Archive Centre</v>
      </c>
      <c r="HA43" s="59">
        <f t="shared" si="215"/>
        <v>0</v>
      </c>
      <c r="HB43" s="59">
        <f t="shared" si="216"/>
        <v>0</v>
      </c>
      <c r="HC43" s="59">
        <f t="shared" si="217"/>
        <v>0</v>
      </c>
      <c r="HD43" s="59">
        <f t="shared" si="218"/>
        <v>0</v>
      </c>
      <c r="HE43" s="59">
        <f t="shared" si="219"/>
        <v>0</v>
      </c>
      <c r="HF43" s="58">
        <f t="shared" si="220"/>
        <v>0</v>
      </c>
      <c r="HG43" s="45">
        <f t="shared" si="221"/>
        <v>53</v>
      </c>
      <c r="HH43" s="45">
        <f t="shared" si="560"/>
        <v>2.6989999999999998</v>
      </c>
      <c r="HI43" s="45">
        <f t="shared" si="222"/>
        <v>1</v>
      </c>
      <c r="HJ43" s="45">
        <f t="shared" si="223"/>
        <v>2</v>
      </c>
      <c r="HK43" s="46" cm="1">
        <f t="array" ref="HK43">ROUND(IFERROR(INDEX(ArchiveResults!$F$5:$IX$116,ComparisonData!A43,ComparisonData!$HK$1),0),5)</f>
        <v>0</v>
      </c>
      <c r="HL43" s="46" cm="1">
        <f t="array" ref="HL43">ROUND(IFERROR(INDEX(ArchiveResults!$F$5:$IX$116,ComparisonData!A43,ComparisonData!$HL$1),0),5)</f>
        <v>0</v>
      </c>
      <c r="HM43" s="46" cm="1">
        <f t="array" ref="HM43">ROUND(IFERROR(INDEX(ArchiveResults!$F$5:$IX$116,ComparisonData!A43,ComparisonData!$HM$1),0),5)</f>
        <v>0</v>
      </c>
      <c r="HN43" s="46" cm="1">
        <f t="array" ref="HN43">ROUND(IFERROR(INDEX(ArchiveResults!$F$5:$IX$116,ComparisonData!A43,ComparisonData!$HN$1),0),5)</f>
        <v>0</v>
      </c>
      <c r="HO43" s="45" cm="1">
        <f t="array" ref="HO43">IFERROR(INDEX(ArchiveResults!$F$5:$IX$116,ComparisonData!A43,ComparisonData!$HO$1),0)</f>
        <v>0</v>
      </c>
      <c r="HP43" s="56">
        <v>38</v>
      </c>
      <c r="HQ43" s="53" t="str">
        <f t="shared" si="561"/>
        <v>Highland Archive Service: Skye and Lochalsh Archive Centre</v>
      </c>
      <c r="HR43" s="59">
        <f t="shared" si="562"/>
        <v>0</v>
      </c>
      <c r="HS43" s="59">
        <f t="shared" si="563"/>
        <v>0</v>
      </c>
      <c r="HT43" s="59">
        <f t="shared" si="564"/>
        <v>0</v>
      </c>
      <c r="HU43" s="59">
        <f t="shared" si="565"/>
        <v>0</v>
      </c>
      <c r="HV43" s="59">
        <f t="shared" si="566"/>
        <v>0</v>
      </c>
      <c r="HW43" s="58">
        <f t="shared" si="224"/>
        <v>0</v>
      </c>
      <c r="HX43" s="45">
        <f t="shared" si="225"/>
        <v>53</v>
      </c>
      <c r="HY43" s="45">
        <f t="shared" si="567"/>
        <v>2.6989999999999998</v>
      </c>
      <c r="HZ43" s="45">
        <f t="shared" si="226"/>
        <v>1</v>
      </c>
      <c r="IA43" s="45">
        <f t="shared" si="227"/>
        <v>2</v>
      </c>
      <c r="IB43" s="45">
        <f t="shared" si="228"/>
        <v>0</v>
      </c>
      <c r="IC43" s="46" cm="1">
        <f t="array" ref="IC43">ROUND(IFERROR(INDEX(ArchiveResults!$F$5:$IX$116,ComparisonData!A43,ComparisonData!$IC$1),0),5)</f>
        <v>0</v>
      </c>
      <c r="ID43" s="46" cm="1">
        <f t="array" ref="ID43">ROUND(IFERROR(INDEX(ArchiveResults!$F$5:$IX$116,ComparisonData!A43,ComparisonData!$ID$1),0),5)</f>
        <v>0</v>
      </c>
      <c r="IE43" s="46" cm="1">
        <f t="array" ref="IE43">ROUND(IFERROR(INDEX(ArchiveResults!$F$5:$IX$116,ComparisonData!A43,ComparisonData!$IE$1),0),5)</f>
        <v>0</v>
      </c>
      <c r="IF43" s="46" cm="1">
        <f t="array" ref="IF43">ROUND(IFERROR(INDEX(ArchiveResults!$F$5:$IX$116,ComparisonData!A43,ComparisonData!$IF$1),0),5)</f>
        <v>0</v>
      </c>
      <c r="IG43" s="45" cm="1">
        <f t="array" ref="IG43">IFERROR(INDEX(ArchiveResults!$F$5:$IX$116,ComparisonData!A43,ComparisonData!$IG$1),0)</f>
        <v>0</v>
      </c>
      <c r="IH43" s="56">
        <v>38</v>
      </c>
      <c r="II43" s="53" t="str">
        <f t="shared" si="568"/>
        <v>Highland Archive Service: Skye and Lochalsh Archive Centre</v>
      </c>
      <c r="IJ43" s="59">
        <f t="shared" si="229"/>
        <v>0</v>
      </c>
      <c r="IK43" s="59">
        <f t="shared" si="230"/>
        <v>0</v>
      </c>
      <c r="IL43" s="59">
        <f t="shared" si="231"/>
        <v>0</v>
      </c>
      <c r="IM43" s="59">
        <f t="shared" si="232"/>
        <v>0</v>
      </c>
      <c r="IN43" s="59">
        <f t="shared" si="233"/>
        <v>0</v>
      </c>
      <c r="IO43" s="58">
        <f t="shared" si="234"/>
        <v>0</v>
      </c>
      <c r="IP43" s="45">
        <f t="shared" si="235"/>
        <v>53</v>
      </c>
      <c r="IQ43" s="45">
        <f t="shared" si="569"/>
        <v>2.6989999999999998</v>
      </c>
      <c r="IR43" s="45">
        <f t="shared" si="236"/>
        <v>1</v>
      </c>
      <c r="IS43" s="45">
        <f t="shared" si="237"/>
        <v>2</v>
      </c>
      <c r="IT43" s="46">
        <f t="shared" si="238"/>
        <v>0</v>
      </c>
      <c r="IU43" s="46" cm="1">
        <f t="array" ref="IU43">ROUND(IFERROR(INDEX(ArchiveResults!$F$5:$IX$116,ComparisonData!A43,ComparisonData!$IU$1),0),5)</f>
        <v>0</v>
      </c>
      <c r="IV43" s="46" cm="1">
        <f t="array" ref="IV43">ROUND(IFERROR(INDEX(ArchiveResults!$F$5:$IX$116,ComparisonData!A43,ComparisonData!$IV$1),0),5)</f>
        <v>0</v>
      </c>
      <c r="IW43" s="46" cm="1">
        <f t="array" ref="IW43">ROUND(IFERROR(INDEX(ArchiveResults!$F$5:$IX$116,ComparisonData!A43,ComparisonData!$IW$1),0),5)</f>
        <v>0</v>
      </c>
      <c r="IX43" s="46" cm="1">
        <f t="array" ref="IX43">ROUND(IFERROR(INDEX(ArchiveResults!$F$5:$IX$116,ComparisonData!A43,ComparisonData!$IX$1),0),5)</f>
        <v>0</v>
      </c>
      <c r="IY43" s="45" cm="1">
        <f t="array" ref="IY43">IFERROR(INDEX(ArchiveResults!$F$5:$IX$116,ComparisonData!A43,ComparisonData!$IY$1),0)</f>
        <v>0</v>
      </c>
      <c r="IZ43" s="56">
        <v>38</v>
      </c>
      <c r="JA43" s="53" t="str">
        <f t="shared" si="570"/>
        <v>Highland Archive Service: Skye and Lochalsh Archive Centre</v>
      </c>
      <c r="JB43" s="59">
        <f t="shared" si="239"/>
        <v>0</v>
      </c>
      <c r="JC43" s="59">
        <f t="shared" si="240"/>
        <v>0</v>
      </c>
      <c r="JD43" s="59">
        <f t="shared" si="241"/>
        <v>0</v>
      </c>
      <c r="JE43" s="59">
        <f t="shared" si="242"/>
        <v>0</v>
      </c>
      <c r="JF43" s="59">
        <f t="shared" si="243"/>
        <v>0</v>
      </c>
      <c r="JG43" s="58">
        <f t="shared" si="244"/>
        <v>0</v>
      </c>
      <c r="JH43" s="45">
        <f t="shared" si="245"/>
        <v>53</v>
      </c>
      <c r="JI43" s="45">
        <f t="shared" si="571"/>
        <v>2.6989999999999998</v>
      </c>
      <c r="JJ43" s="45">
        <f t="shared" si="246"/>
        <v>1</v>
      </c>
      <c r="JK43" s="45">
        <f t="shared" si="247"/>
        <v>2</v>
      </c>
      <c r="JL43" s="45">
        <f t="shared" si="248"/>
        <v>0</v>
      </c>
      <c r="JM43" s="46" cm="1">
        <f t="array" ref="JM43">ROUND(IFERROR(INDEX(ArchiveResults!$F$5:$IX$116,ComparisonData!A43,ComparisonData!$JM$1),0),5)</f>
        <v>0</v>
      </c>
      <c r="JN43" s="46" cm="1">
        <f t="array" ref="JN43">ROUND(IFERROR(INDEX(ArchiveResults!$F$5:$IX$116,ComparisonData!A43,ComparisonData!$JN$1),0),5)</f>
        <v>0</v>
      </c>
      <c r="JO43" s="46" cm="1">
        <f t="array" ref="JO43">ROUND(IFERROR(INDEX(ArchiveResults!$F$5:$IX$116,ComparisonData!A43,ComparisonData!$JO$1),0),5)</f>
        <v>0</v>
      </c>
      <c r="JP43" s="46" cm="1">
        <f t="array" ref="JP43">ROUND(IFERROR(INDEX(ArchiveResults!$F$5:$IX$116,ComparisonData!A43,ComparisonData!$JP$1),0),5)</f>
        <v>0</v>
      </c>
      <c r="JQ43" s="45" cm="1">
        <f t="array" ref="JQ43">IFERROR(INDEX(ArchiveResults!$F$5:$IX$116,ComparisonData!A43,ComparisonData!$JQ$1),0)</f>
        <v>0</v>
      </c>
      <c r="JR43" s="56">
        <v>38</v>
      </c>
      <c r="JS43" s="53" t="str">
        <f t="shared" si="572"/>
        <v>Highland Archive Service: Skye and Lochalsh Archive Centre</v>
      </c>
      <c r="JT43" s="59">
        <f t="shared" si="249"/>
        <v>0</v>
      </c>
      <c r="JU43" s="59">
        <f t="shared" si="250"/>
        <v>0</v>
      </c>
      <c r="JV43" s="59">
        <f t="shared" si="251"/>
        <v>0</v>
      </c>
      <c r="JW43" s="59">
        <f t="shared" si="252"/>
        <v>0</v>
      </c>
      <c r="JX43" s="59">
        <f t="shared" si="253"/>
        <v>0</v>
      </c>
      <c r="JY43" s="58">
        <f t="shared" si="254"/>
        <v>0</v>
      </c>
      <c r="JZ43" s="45">
        <f t="shared" si="255"/>
        <v>53</v>
      </c>
      <c r="KA43" s="45">
        <f t="shared" si="573"/>
        <v>2.6989999999999998</v>
      </c>
      <c r="KB43" s="45">
        <f t="shared" si="256"/>
        <v>1</v>
      </c>
      <c r="KC43" s="45">
        <f t="shared" si="257"/>
        <v>2</v>
      </c>
      <c r="KD43" s="45">
        <f t="shared" si="258"/>
        <v>0</v>
      </c>
      <c r="KE43" s="46" cm="1">
        <f t="array" ref="KE43">ROUND(IFERROR(INDEX(ArchiveResults!$F$5:$IX$116,ComparisonData!A43,ComparisonData!$KE$1),0),5)</f>
        <v>0</v>
      </c>
      <c r="KF43" s="46" cm="1">
        <f t="array" ref="KF43">ROUND(IFERROR(INDEX(ArchiveResults!$F$5:$IX$116,ComparisonData!A43,ComparisonData!$KF$1),0),5)</f>
        <v>0</v>
      </c>
      <c r="KG43" s="46" cm="1">
        <f t="array" ref="KG43">ROUND(IFERROR(INDEX(ArchiveResults!$F$5:$IX$116,ComparisonData!A43,ComparisonData!$KG$1),0),5)</f>
        <v>0</v>
      </c>
      <c r="KH43" s="46" cm="1">
        <f t="array" ref="KH43">ROUND(IFERROR(INDEX(ArchiveResults!$F$5:$IX$116,ComparisonData!A43,ComparisonData!$KH$1),0),5)</f>
        <v>0</v>
      </c>
      <c r="KI43" s="45" cm="1">
        <f t="array" ref="KI43">IFERROR(INDEX(ArchiveResults!$F$5:$IX$116,ComparisonData!A43,ComparisonData!$KI$1),0)</f>
        <v>0</v>
      </c>
      <c r="KJ43" s="56">
        <v>38</v>
      </c>
      <c r="KK43" s="53" t="str">
        <f t="shared" si="574"/>
        <v>Highland Archive Service: Skye and Lochalsh Archive Centre</v>
      </c>
      <c r="KL43" s="59">
        <f t="shared" si="259"/>
        <v>0</v>
      </c>
      <c r="KM43" s="59">
        <f t="shared" si="260"/>
        <v>0</v>
      </c>
      <c r="KN43" s="59">
        <f t="shared" si="261"/>
        <v>0</v>
      </c>
      <c r="KO43" s="59">
        <f t="shared" si="262"/>
        <v>0</v>
      </c>
      <c r="KP43" s="59">
        <f t="shared" si="263"/>
        <v>0</v>
      </c>
      <c r="KQ43" s="58">
        <f t="shared" si="264"/>
        <v>0</v>
      </c>
      <c r="KR43" s="45">
        <f t="shared" si="265"/>
        <v>53</v>
      </c>
      <c r="KS43" s="45">
        <f t="shared" si="575"/>
        <v>2.6989999999999998</v>
      </c>
      <c r="KT43" s="45">
        <f t="shared" si="266"/>
        <v>1</v>
      </c>
      <c r="KU43" s="45">
        <f t="shared" si="267"/>
        <v>2</v>
      </c>
      <c r="KV43" s="45">
        <f t="shared" si="268"/>
        <v>0</v>
      </c>
      <c r="KW43" s="46" cm="1">
        <f t="array" ref="KW43">ROUND(IFERROR(INDEX(ArchiveResults!$F$5:$IX$116,ComparisonData!A43,ComparisonData!$KW$1),0),5)</f>
        <v>0</v>
      </c>
      <c r="KX43" s="46" cm="1">
        <f t="array" ref="KX43">ROUND(IFERROR(INDEX(ArchiveResults!$F$5:$IX$116,ComparisonData!A43,ComparisonData!$KX$1),0),5)</f>
        <v>0</v>
      </c>
      <c r="KY43" s="46" cm="1">
        <f t="array" ref="KY43">ROUND(IFERROR(INDEX(ArchiveResults!$F$5:$IX$116,ComparisonData!A43,ComparisonData!$KY$1),0),5)</f>
        <v>0</v>
      </c>
      <c r="KZ43" s="46" cm="1">
        <f t="array" ref="KZ43">ROUND(IFERROR(INDEX(ArchiveResults!$F$5:$IX$116,ComparisonData!A43,ComparisonData!$KZ$1),0),5)</f>
        <v>0</v>
      </c>
      <c r="LA43" s="45" cm="1">
        <f t="array" ref="LA43">IFERROR(INDEX(ArchiveResults!$F$5:$IX$116,ComparisonData!A43,ComparisonData!$LA$1),0)</f>
        <v>0</v>
      </c>
      <c r="LB43" s="56">
        <v>38</v>
      </c>
      <c r="LC43" s="53" t="str">
        <f t="shared" si="576"/>
        <v>Highland Archive Service: Skye and Lochalsh Archive Centre</v>
      </c>
      <c r="LD43" s="59">
        <f t="shared" si="269"/>
        <v>0</v>
      </c>
      <c r="LE43" s="59">
        <f t="shared" si="270"/>
        <v>0</v>
      </c>
      <c r="LF43" s="59">
        <f t="shared" si="271"/>
        <v>0</v>
      </c>
      <c r="LG43" s="59">
        <f t="shared" si="272"/>
        <v>0</v>
      </c>
      <c r="LH43" s="59">
        <f t="shared" si="273"/>
        <v>0</v>
      </c>
      <c r="LI43" s="58">
        <f t="shared" si="274"/>
        <v>0</v>
      </c>
      <c r="LJ43" s="45">
        <f t="shared" si="275"/>
        <v>53</v>
      </c>
      <c r="LK43" s="45">
        <f t="shared" si="577"/>
        <v>2.6989999999999998</v>
      </c>
      <c r="LL43" s="45">
        <f t="shared" si="276"/>
        <v>1</v>
      </c>
      <c r="LM43" s="45">
        <f t="shared" si="277"/>
        <v>2</v>
      </c>
      <c r="LN43" s="45">
        <f t="shared" si="278"/>
        <v>0</v>
      </c>
      <c r="LO43" s="46" cm="1">
        <f t="array" ref="LO43">ROUND(IFERROR(INDEX(ArchiveResults!$F$5:$IX$116,ComparisonData!A43,ComparisonData!$LO$1),0),5)</f>
        <v>0</v>
      </c>
      <c r="LP43" s="46" cm="1">
        <f t="array" ref="LP43">ROUND(IFERROR(INDEX(ArchiveResults!$F$5:$IX$116,ComparisonData!A43,ComparisonData!$LP$1),0),5)</f>
        <v>0</v>
      </c>
      <c r="LQ43" s="46" cm="1">
        <f t="array" ref="LQ43">ROUND(IFERROR(INDEX(ArchiveResults!$F$5:$IX$116,ComparisonData!A43,ComparisonData!$LQ$1),0),5)</f>
        <v>0</v>
      </c>
      <c r="LR43" s="46" cm="1">
        <f t="array" ref="LR43">ROUND(IFERROR(INDEX(ArchiveResults!$F$5:$IX$116,ComparisonData!A43,ComparisonData!$LR$1),0),5)</f>
        <v>0</v>
      </c>
      <c r="LS43" s="45" cm="1">
        <f t="array" ref="LS43">IFERROR(INDEX(ArchiveResults!$F$5:$IX$116,ComparisonData!A43,ComparisonData!$LS$1),0)</f>
        <v>0</v>
      </c>
      <c r="LT43" s="56">
        <v>38</v>
      </c>
      <c r="LU43" s="53" t="str">
        <f t="shared" si="578"/>
        <v>Highland Archive Service: Skye and Lochalsh Archive Centre</v>
      </c>
      <c r="LV43" s="59">
        <f t="shared" si="279"/>
        <v>0</v>
      </c>
      <c r="LW43" s="59">
        <f t="shared" si="280"/>
        <v>0</v>
      </c>
      <c r="LX43" s="59">
        <f t="shared" si="281"/>
        <v>0</v>
      </c>
      <c r="LY43" s="59">
        <f t="shared" si="282"/>
        <v>0</v>
      </c>
      <c r="LZ43" s="59">
        <f t="shared" si="283"/>
        <v>0</v>
      </c>
      <c r="MA43" s="58">
        <f t="shared" si="284"/>
        <v>0</v>
      </c>
      <c r="MB43" s="45">
        <f t="shared" si="285"/>
        <v>53</v>
      </c>
      <c r="MC43" s="45">
        <f t="shared" si="579"/>
        <v>2.6989999999999998</v>
      </c>
      <c r="MD43" s="45">
        <f t="shared" si="286"/>
        <v>1</v>
      </c>
      <c r="ME43" s="45">
        <f t="shared" si="287"/>
        <v>2</v>
      </c>
      <c r="MF43" s="45">
        <f t="shared" si="288"/>
        <v>0</v>
      </c>
      <c r="MG43" s="46" cm="1">
        <f t="array" ref="MG43">ROUND(IFERROR(INDEX(ArchiveResults!$F$5:$IX$116,ComparisonData!A43,ComparisonData!$MG$1),0),5)</f>
        <v>0</v>
      </c>
      <c r="MH43" s="46" cm="1">
        <f t="array" ref="MH43">ROUND(IFERROR(INDEX(ArchiveResults!$F$5:$IX$116,ComparisonData!A43,ComparisonData!$MH$1),0),5)</f>
        <v>0</v>
      </c>
      <c r="MI43" s="46" cm="1">
        <f t="array" ref="MI43">ROUND(IFERROR(INDEX(ArchiveResults!$F$5:$IX$116,ComparisonData!A43,ComparisonData!$MI$1),0),5)</f>
        <v>0</v>
      </c>
      <c r="MJ43" s="46" cm="1">
        <f t="array" ref="MJ43">ROUND(IFERROR(INDEX(ArchiveResults!$F$5:$IX$116,ComparisonData!A43,ComparisonData!$MJ$1),0),5)</f>
        <v>0</v>
      </c>
      <c r="MK43" s="45" cm="1">
        <f t="array" ref="MK43">IFERROR(INDEX(ArchiveResults!$F$5:$IX$116,ComparisonData!A43,ComparisonData!$MK$1),0)</f>
        <v>0</v>
      </c>
      <c r="ML43" s="56">
        <v>38</v>
      </c>
      <c r="MM43" s="53" t="str">
        <f t="shared" si="580"/>
        <v>Highland Archive Service: Skye and Lochalsh Archive Centre</v>
      </c>
      <c r="MN43" s="59">
        <f t="shared" si="289"/>
        <v>0</v>
      </c>
      <c r="MO43" s="59">
        <f t="shared" si="290"/>
        <v>0</v>
      </c>
      <c r="MP43" s="59">
        <f t="shared" si="291"/>
        <v>0</v>
      </c>
      <c r="MQ43" s="59">
        <f t="shared" si="292"/>
        <v>0</v>
      </c>
      <c r="MR43" s="59">
        <f t="shared" si="293"/>
        <v>0</v>
      </c>
      <c r="MS43" s="58">
        <f t="shared" si="294"/>
        <v>0</v>
      </c>
      <c r="MT43" s="45">
        <f t="shared" si="295"/>
        <v>53</v>
      </c>
      <c r="MU43" s="45">
        <f t="shared" si="581"/>
        <v>2.6989999999999998</v>
      </c>
      <c r="MV43" s="45">
        <f t="shared" si="296"/>
        <v>1</v>
      </c>
      <c r="MW43" s="45">
        <f t="shared" si="297"/>
        <v>2</v>
      </c>
      <c r="MX43" s="45">
        <f t="shared" si="298"/>
        <v>0</v>
      </c>
      <c r="MY43" s="46" cm="1">
        <f t="array" ref="MY43">ROUND(IFERROR(INDEX(ArchiveResults!$F$5:$IX$116,ComparisonData!A43,ComparisonData!$MY$1),0),5)</f>
        <v>0</v>
      </c>
      <c r="MZ43" s="46" cm="1">
        <f t="array" ref="MZ43">ROUND(IFERROR(INDEX(ArchiveResults!$F$5:$IX$116,ComparisonData!A43,ComparisonData!$MZ$1),0),5)</f>
        <v>0</v>
      </c>
      <c r="NA43" s="46" cm="1">
        <f t="array" ref="NA43">ROUND(IFERROR(INDEX(ArchiveResults!$F$5:$IX$116,ComparisonData!A43,ComparisonData!$NA$1),0),5)</f>
        <v>0</v>
      </c>
      <c r="NB43" s="46" cm="1">
        <f t="array" ref="NB43">ROUND(IFERROR(INDEX(ArchiveResults!$F$5:$IX$116,ComparisonData!A43,ComparisonData!$NB$1),0),5)</f>
        <v>0</v>
      </c>
      <c r="NC43" s="45" cm="1">
        <f t="array" ref="NC43">IFERROR(INDEX(ArchiveResults!$F$5:$IX$116,ComparisonData!A43,ComparisonData!$NC$1),0)</f>
        <v>0</v>
      </c>
      <c r="ND43" s="56">
        <v>38</v>
      </c>
      <c r="NE43" s="53" t="str">
        <f t="shared" si="582"/>
        <v>Highland Archive Service: Skye and Lochalsh Archive Centre</v>
      </c>
      <c r="NF43" s="59">
        <f t="shared" si="299"/>
        <v>0</v>
      </c>
      <c r="NG43" s="59">
        <f t="shared" si="300"/>
        <v>0</v>
      </c>
      <c r="NH43" s="59">
        <f t="shared" si="301"/>
        <v>0</v>
      </c>
      <c r="NI43" s="59">
        <f t="shared" si="302"/>
        <v>0</v>
      </c>
      <c r="NJ43" s="59">
        <f t="shared" si="303"/>
        <v>0</v>
      </c>
      <c r="NK43" s="58">
        <f t="shared" si="304"/>
        <v>0</v>
      </c>
      <c r="NL43" s="45">
        <f t="shared" si="305"/>
        <v>53</v>
      </c>
      <c r="NM43" s="45">
        <f t="shared" si="583"/>
        <v>2.6989999999999998</v>
      </c>
      <c r="NN43" s="45">
        <f t="shared" si="306"/>
        <v>1</v>
      </c>
      <c r="NO43" s="45">
        <f t="shared" si="307"/>
        <v>2</v>
      </c>
      <c r="NP43" s="46" cm="1">
        <f t="array" ref="NP43">ROUND(IFERROR(INDEX(ArchiveResults!$F$5:$IX$116,ComparisonData!A43,ComparisonData!$NP$1),0),5)</f>
        <v>0</v>
      </c>
      <c r="NQ43" s="46" cm="1">
        <f t="array" ref="NQ43">ROUND(IFERROR(INDEX(ArchiveResults!$F$5:$IX$116,ComparisonData!A43,ComparisonData!$NQ$1),0),5)</f>
        <v>0</v>
      </c>
      <c r="NR43" s="46" cm="1">
        <f t="array" ref="NR43">ROUND(IFERROR(INDEX(ArchiveResults!$F$5:$IX$116,ComparisonData!A43,ComparisonData!$NR$1),0),5)</f>
        <v>0</v>
      </c>
      <c r="NS43" s="46" cm="1">
        <f t="array" ref="NS43">ROUND(IFERROR(INDEX(ArchiveResults!$F$5:$IX$116,ComparisonData!A43,ComparisonData!$NS$1),0),5)</f>
        <v>0</v>
      </c>
      <c r="NT43" s="45" cm="1">
        <f t="array" ref="NT43">IFERROR(INDEX(ArchiveResults!$F$5:$IX$116,ComparisonData!A43,ComparisonData!$NT$1),0)</f>
        <v>0</v>
      </c>
      <c r="NU43" s="56">
        <v>38</v>
      </c>
      <c r="NV43" s="53" t="str">
        <f t="shared" si="584"/>
        <v>Highland Archive Service: Skye and Lochalsh Archive Centre</v>
      </c>
      <c r="NW43" s="59">
        <f t="shared" si="308"/>
        <v>0</v>
      </c>
      <c r="NX43" s="59">
        <f t="shared" si="309"/>
        <v>0</v>
      </c>
      <c r="NY43" s="59">
        <f t="shared" si="310"/>
        <v>0</v>
      </c>
      <c r="NZ43" s="59">
        <f t="shared" si="311"/>
        <v>0</v>
      </c>
      <c r="OA43" s="59">
        <f t="shared" si="312"/>
        <v>0</v>
      </c>
      <c r="OB43" s="58">
        <f t="shared" si="313"/>
        <v>0</v>
      </c>
      <c r="OC43" s="45">
        <f t="shared" si="314"/>
        <v>53</v>
      </c>
      <c r="OD43" s="45">
        <f t="shared" si="585"/>
        <v>2.6989999999999998</v>
      </c>
      <c r="OE43" s="45">
        <f t="shared" si="315"/>
        <v>1</v>
      </c>
      <c r="OF43" s="45">
        <f t="shared" si="316"/>
        <v>2</v>
      </c>
      <c r="OG43" s="46">
        <f t="shared" si="317"/>
        <v>0</v>
      </c>
      <c r="OH43" s="46" cm="1">
        <f t="array" ref="OH43">ROUND(IFERROR(INDEX(ArchiveResults!$F$5:$IX$116,ComparisonData!A43,ComparisonData!$OH$1),0),5)</f>
        <v>0</v>
      </c>
      <c r="OI43" s="46" cm="1">
        <f t="array" ref="OI43">ROUND(IFERROR(INDEX(ArchiveResults!$F$5:$IX$116,ComparisonData!A43,ComparisonData!$OI$1),0),5)</f>
        <v>0</v>
      </c>
      <c r="OJ43" s="46" cm="1">
        <f t="array" ref="OJ43">ROUND(IFERROR(INDEX(ArchiveResults!$F$5:$IX$116,ComparisonData!A43,ComparisonData!$OJ$1),0),5)</f>
        <v>0</v>
      </c>
      <c r="OK43" s="46" cm="1">
        <f t="array" ref="OK43">ROUND(IFERROR(INDEX(ArchiveResults!$F$5:$IX$116,ComparisonData!A43,ComparisonData!$OK$1),0),5)</f>
        <v>0</v>
      </c>
      <c r="OL43" s="45" cm="1">
        <f t="array" ref="OL43">IFERROR(INDEX(ArchiveResults!$F$5:$IX$116,ComparisonData!A43,ComparisonData!$OL$1),0)</f>
        <v>0</v>
      </c>
      <c r="OM43" s="56">
        <v>38</v>
      </c>
      <c r="ON43" s="53" t="str">
        <f t="shared" si="586"/>
        <v>Highland Archive Service: Skye and Lochalsh Archive Centre</v>
      </c>
      <c r="OO43" s="59">
        <f t="shared" si="318"/>
        <v>0</v>
      </c>
      <c r="OP43" s="59">
        <f t="shared" si="319"/>
        <v>0</v>
      </c>
      <c r="OQ43" s="59">
        <f t="shared" si="320"/>
        <v>0</v>
      </c>
      <c r="OR43" s="59">
        <f t="shared" si="321"/>
        <v>0</v>
      </c>
      <c r="OS43" s="59">
        <f t="shared" si="322"/>
        <v>0</v>
      </c>
      <c r="OT43" s="58">
        <f t="shared" si="323"/>
        <v>0</v>
      </c>
      <c r="OU43" s="45">
        <f t="shared" si="324"/>
        <v>53</v>
      </c>
      <c r="OV43" s="45">
        <f t="shared" si="587"/>
        <v>2.6989999999999998</v>
      </c>
      <c r="OW43" s="45">
        <f t="shared" si="325"/>
        <v>1</v>
      </c>
      <c r="OX43" s="45">
        <f t="shared" si="326"/>
        <v>2</v>
      </c>
      <c r="OY43" s="45">
        <f t="shared" si="327"/>
        <v>0</v>
      </c>
      <c r="OZ43" s="46" cm="1">
        <f t="array" ref="OZ43">ROUND(IFERROR(INDEX(ArchiveResults!$F$5:$IX$116,ComparisonData!A43,ComparisonData!$OZ$1),0),5)</f>
        <v>0</v>
      </c>
      <c r="PA43" s="46" cm="1">
        <f t="array" ref="PA43">ROUND(IFERROR(INDEX(ArchiveResults!$F$5:$IX$116,ComparisonData!A43,ComparisonData!$PA$1),0),5)</f>
        <v>0</v>
      </c>
      <c r="PB43" s="46" cm="1">
        <f t="array" ref="PB43">ROUND(IFERROR(INDEX(ArchiveResults!$F$5:$IX$116,ComparisonData!A43,ComparisonData!$PB$1),0),5)</f>
        <v>0</v>
      </c>
      <c r="PC43" s="46" cm="1">
        <f t="array" ref="PC43">ROUND(IFERROR(INDEX(ArchiveResults!$F$5:$IX$116,ComparisonData!A43,ComparisonData!$PC$1),0),5)</f>
        <v>0</v>
      </c>
      <c r="PD43" s="45" cm="1">
        <f t="array" ref="PD43">IFERROR(INDEX(ArchiveResults!$F$5:$IX$116,ComparisonData!A43,ComparisonData!$PD$1),0)</f>
        <v>0</v>
      </c>
      <c r="PE43" s="56">
        <v>38</v>
      </c>
      <c r="PF43" s="53" t="str">
        <f t="shared" si="588"/>
        <v>Highland Archive Service: Skye and Lochalsh Archive Centre</v>
      </c>
      <c r="PG43" s="59">
        <f t="shared" si="328"/>
        <v>0</v>
      </c>
      <c r="PH43" s="59">
        <f t="shared" si="329"/>
        <v>0</v>
      </c>
      <c r="PI43" s="59">
        <f t="shared" si="330"/>
        <v>0</v>
      </c>
      <c r="PJ43" s="59">
        <f t="shared" si="331"/>
        <v>0</v>
      </c>
      <c r="PK43" s="59">
        <f t="shared" si="332"/>
        <v>0</v>
      </c>
      <c r="PL43" s="58">
        <f t="shared" si="333"/>
        <v>0</v>
      </c>
      <c r="PM43" s="45">
        <f t="shared" si="334"/>
        <v>53</v>
      </c>
      <c r="PN43" s="45">
        <f t="shared" si="589"/>
        <v>2.6989999999999998</v>
      </c>
      <c r="PO43" s="45">
        <f t="shared" si="335"/>
        <v>1</v>
      </c>
      <c r="PP43" s="45">
        <f t="shared" si="336"/>
        <v>2</v>
      </c>
      <c r="PQ43" s="45">
        <f t="shared" si="337"/>
        <v>0</v>
      </c>
      <c r="PR43" s="46" cm="1">
        <f t="array" ref="PR43">ROUND(IFERROR(INDEX(ArchiveResults!$F$5:$IX$116,ComparisonData!A43,ComparisonData!$PR$1),0),5)</f>
        <v>0</v>
      </c>
      <c r="PS43" s="46" cm="1">
        <f t="array" ref="PS43">ROUND(IFERROR(INDEX(ArchiveResults!$F$5:$IX$116,ComparisonData!A43,ComparisonData!$PS$1),0),5)</f>
        <v>0</v>
      </c>
      <c r="PT43" s="46" cm="1">
        <f t="array" ref="PT43">ROUND(IFERROR(INDEX(ArchiveResults!$F$5:$IX$116,ComparisonData!A43,ComparisonData!$PT$1),0),5)</f>
        <v>0</v>
      </c>
      <c r="PU43" s="46" cm="1">
        <f t="array" ref="PU43">ROUND(IFERROR(INDEX(ArchiveResults!$F$5:$IX$116,ComparisonData!A43,ComparisonData!$PU$1),0),5)</f>
        <v>0</v>
      </c>
      <c r="PV43" s="45" cm="1">
        <f t="array" ref="PV43">IFERROR(INDEX(ArchiveResults!$F$5:$IX$116,ComparisonData!A43,ComparisonData!$PV$1),0)</f>
        <v>0</v>
      </c>
      <c r="PW43" s="56">
        <v>38</v>
      </c>
      <c r="PX43" s="53" t="str">
        <f t="shared" si="590"/>
        <v>Highland Archive Service: Skye and Lochalsh Archive Centre</v>
      </c>
      <c r="PY43" s="59">
        <f t="shared" si="338"/>
        <v>0</v>
      </c>
      <c r="PZ43" s="59">
        <f t="shared" si="339"/>
        <v>0</v>
      </c>
      <c r="QA43" s="59">
        <f t="shared" si="340"/>
        <v>0</v>
      </c>
      <c r="QB43" s="59">
        <f t="shared" si="341"/>
        <v>0</v>
      </c>
      <c r="QC43" s="59">
        <f t="shared" si="342"/>
        <v>0</v>
      </c>
      <c r="QD43" s="58">
        <f t="shared" si="343"/>
        <v>0</v>
      </c>
      <c r="QE43" s="45">
        <f t="shared" si="344"/>
        <v>53</v>
      </c>
      <c r="QF43" s="45">
        <f t="shared" si="591"/>
        <v>2.6989999999999998</v>
      </c>
      <c r="QG43" s="45">
        <f t="shared" si="345"/>
        <v>1</v>
      </c>
      <c r="QH43" s="45">
        <f t="shared" si="346"/>
        <v>2</v>
      </c>
      <c r="QI43" s="45">
        <f t="shared" si="347"/>
        <v>0</v>
      </c>
      <c r="QJ43" s="46" cm="1">
        <f t="array" ref="QJ43">ROUND(IFERROR(INDEX(ArchiveResults!$F$5:$IX$116,ComparisonData!A43,ComparisonData!$QJ$1),0),5)</f>
        <v>0</v>
      </c>
      <c r="QK43" s="46" cm="1">
        <f t="array" ref="QK43">ROUND(IFERROR(INDEX(ArchiveResults!$F$5:$IX$116,ComparisonData!A43,ComparisonData!$QK$1),0),5)</f>
        <v>0</v>
      </c>
      <c r="QL43" s="46" cm="1">
        <f t="array" ref="QL43">ROUND(IFERROR(INDEX(ArchiveResults!$F$5:$IX$116,ComparisonData!A43,ComparisonData!$QL$1),0),5)</f>
        <v>0</v>
      </c>
      <c r="QM43" s="46" cm="1">
        <f t="array" ref="QM43">ROUND(IFERROR(INDEX(ArchiveResults!$F$5:$IX$116,ComparisonData!A43,ComparisonData!$QM$1),0),5)</f>
        <v>0</v>
      </c>
      <c r="QN43" s="45" cm="1">
        <f t="array" ref="QN43">IFERROR(INDEX(ArchiveResults!$F$5:$IX$116,ComparisonData!A43,ComparisonData!$QN$1),0)</f>
        <v>0</v>
      </c>
      <c r="QO43" s="56">
        <v>38</v>
      </c>
      <c r="QP43" s="53" t="str">
        <f t="shared" si="592"/>
        <v>Highland Archive Service: Skye and Lochalsh Archive Centre</v>
      </c>
      <c r="QQ43" s="59">
        <f t="shared" si="348"/>
        <v>0</v>
      </c>
      <c r="QR43" s="59">
        <f t="shared" si="349"/>
        <v>0</v>
      </c>
      <c r="QS43" s="59">
        <f t="shared" si="350"/>
        <v>0</v>
      </c>
      <c r="QT43" s="59">
        <f t="shared" si="351"/>
        <v>0</v>
      </c>
      <c r="QU43" s="59">
        <f t="shared" si="352"/>
        <v>0</v>
      </c>
      <c r="QV43" s="58">
        <f t="shared" si="353"/>
        <v>0</v>
      </c>
      <c r="QW43" s="45">
        <f t="shared" si="354"/>
        <v>53</v>
      </c>
      <c r="QX43" s="45">
        <f t="shared" si="593"/>
        <v>2.6989999999999998</v>
      </c>
      <c r="QY43" s="45">
        <f t="shared" si="355"/>
        <v>1</v>
      </c>
      <c r="QZ43" s="45">
        <f t="shared" si="356"/>
        <v>2</v>
      </c>
      <c r="RA43" s="45">
        <f t="shared" si="357"/>
        <v>0</v>
      </c>
      <c r="RB43" s="46" cm="1">
        <f t="array" ref="RB43">ROUND(IFERROR(INDEX(ArchiveResults!$F$5:$IX$116,ComparisonData!A43,ComparisonData!$RB$1),0),5)</f>
        <v>0</v>
      </c>
      <c r="RC43" s="46" cm="1">
        <f t="array" ref="RC43">ROUND(IFERROR(INDEX(ArchiveResults!$F$5:$IX$116,ComparisonData!A43,ComparisonData!$RC$1),0),5)</f>
        <v>0</v>
      </c>
      <c r="RD43" s="46" cm="1">
        <f t="array" ref="RD43">ROUND(IFERROR(INDEX(ArchiveResults!$F$5:$IX$116,ComparisonData!A43,ComparisonData!$RD$1),0),5)</f>
        <v>0</v>
      </c>
      <c r="RE43" s="46" cm="1">
        <f t="array" ref="RE43">ROUND(IFERROR(INDEX(ArchiveResults!$F$5:$IX$116,ComparisonData!A43,ComparisonData!$RE$1),0),5)</f>
        <v>0</v>
      </c>
      <c r="RF43" s="45" cm="1">
        <f t="array" ref="RF43">IFERROR(INDEX(ArchiveResults!$F$5:$IX$116,ComparisonData!A43,ComparisonData!$RF$1),0)</f>
        <v>0</v>
      </c>
      <c r="RG43" s="56">
        <v>38</v>
      </c>
      <c r="RH43" s="53" t="str">
        <f t="shared" si="594"/>
        <v>Highland Archive Service: Skye and Lochalsh Archive Centre</v>
      </c>
      <c r="RI43" s="59">
        <f t="shared" si="358"/>
        <v>0</v>
      </c>
      <c r="RJ43" s="59">
        <f t="shared" si="359"/>
        <v>0</v>
      </c>
      <c r="RK43" s="59">
        <f t="shared" si="360"/>
        <v>0</v>
      </c>
      <c r="RL43" s="59">
        <f t="shared" si="361"/>
        <v>0</v>
      </c>
      <c r="RM43" s="59">
        <f t="shared" si="362"/>
        <v>0</v>
      </c>
      <c r="RN43" s="58">
        <f t="shared" si="363"/>
        <v>0</v>
      </c>
      <c r="RO43" s="45">
        <f t="shared" si="364"/>
        <v>53</v>
      </c>
      <c r="RP43" s="45">
        <f t="shared" si="595"/>
        <v>2.6989999999999998</v>
      </c>
      <c r="RQ43" s="45">
        <f t="shared" si="365"/>
        <v>1</v>
      </c>
      <c r="RR43" s="45">
        <f t="shared" si="366"/>
        <v>2</v>
      </c>
      <c r="RS43" s="45">
        <f t="shared" si="367"/>
        <v>0</v>
      </c>
      <c r="RT43" s="46" cm="1">
        <f t="array" ref="RT43">ROUND(IFERROR(INDEX(ArchiveResults!$F$5:$IX$116,ComparisonData!A43,ComparisonData!$RT$1),0),5)</f>
        <v>0</v>
      </c>
      <c r="RU43" s="46" cm="1">
        <f t="array" ref="RU43">ROUND(IFERROR(INDEX(ArchiveResults!$F$5:$IX$116,ComparisonData!A43,ComparisonData!$RU$1),0),5)</f>
        <v>0</v>
      </c>
      <c r="RV43" s="46" cm="1">
        <f t="array" ref="RV43">ROUND(IFERROR(INDEX(ArchiveResults!$F$5:$IX$116,ComparisonData!A43,ComparisonData!$RV$1),0),5)</f>
        <v>0</v>
      </c>
      <c r="RW43" s="46" cm="1">
        <f t="array" ref="RW43">ROUND(IFERROR(INDEX(ArchiveResults!$F$5:$IX$116,ComparisonData!A43,ComparisonData!$RW$1),0),5)</f>
        <v>0</v>
      </c>
      <c r="RX43" s="45" cm="1">
        <f t="array" ref="RX43">IFERROR(INDEX(ArchiveResults!$F$5:$IX$116,ComparisonData!A43,ComparisonData!$RX$1),0)</f>
        <v>0</v>
      </c>
      <c r="RY43" s="56">
        <v>38</v>
      </c>
      <c r="RZ43" s="53" t="str">
        <f t="shared" si="596"/>
        <v>Highland Archive Service: Skye and Lochalsh Archive Centre</v>
      </c>
      <c r="SA43" s="59">
        <f t="shared" si="368"/>
        <v>0</v>
      </c>
      <c r="SB43" s="59">
        <f t="shared" si="369"/>
        <v>0</v>
      </c>
      <c r="SC43" s="59">
        <f t="shared" si="370"/>
        <v>0</v>
      </c>
      <c r="SD43" s="59">
        <f t="shared" si="371"/>
        <v>0</v>
      </c>
      <c r="SE43" s="59">
        <f t="shared" si="372"/>
        <v>0</v>
      </c>
      <c r="SF43" s="58">
        <f t="shared" si="373"/>
        <v>0</v>
      </c>
      <c r="SG43" s="45">
        <f t="shared" si="374"/>
        <v>53</v>
      </c>
      <c r="SH43" s="45">
        <f t="shared" si="597"/>
        <v>2.6989999999999998</v>
      </c>
      <c r="SI43" s="45">
        <f t="shared" si="375"/>
        <v>1</v>
      </c>
      <c r="SJ43" s="45">
        <f t="shared" si="376"/>
        <v>2</v>
      </c>
      <c r="SK43" s="45">
        <f t="shared" si="377"/>
        <v>0</v>
      </c>
      <c r="SL43" s="46" cm="1">
        <f t="array" ref="SL43">ROUND(IFERROR(INDEX(ArchiveResults!$F$5:$IX$116,ComparisonData!A43,ComparisonData!$SL$1),0),5)</f>
        <v>0</v>
      </c>
      <c r="SM43" s="46" cm="1">
        <f t="array" ref="SM43">ROUND(IFERROR(INDEX(ArchiveResults!$F$5:$IX$116,ComparisonData!A43,ComparisonData!$SM$1),0),5)</f>
        <v>0</v>
      </c>
      <c r="SN43" s="46" cm="1">
        <f t="array" ref="SN43">ROUND(IFERROR(INDEX(ArchiveResults!$F$5:$IX$116,ComparisonData!A43,ComparisonData!$SN$1),0),5)</f>
        <v>0</v>
      </c>
      <c r="SO43" s="46" cm="1">
        <f t="array" ref="SO43">ROUND(IFERROR(INDEX(ArchiveResults!$F$5:$IX$116,ComparisonData!A43,ComparisonData!$SO$1),0),5)</f>
        <v>0</v>
      </c>
      <c r="SP43" s="45" cm="1">
        <f t="array" ref="SP43">IFERROR(INDEX(ArchiveResults!$F$5:$IX$116,ComparisonData!A43,ComparisonData!$SP$1),0)</f>
        <v>0</v>
      </c>
      <c r="SQ43" s="56">
        <v>38</v>
      </c>
      <c r="SR43" s="53" t="str">
        <f t="shared" si="598"/>
        <v>Highland Archive Service: Skye and Lochalsh Archive Centre</v>
      </c>
      <c r="SS43" s="59">
        <f t="shared" si="378"/>
        <v>0</v>
      </c>
      <c r="ST43" s="59">
        <f t="shared" si="379"/>
        <v>0</v>
      </c>
      <c r="SU43" s="59">
        <f t="shared" si="380"/>
        <v>0</v>
      </c>
      <c r="SV43" s="59">
        <f t="shared" si="381"/>
        <v>0</v>
      </c>
      <c r="SW43" s="59">
        <f t="shared" si="382"/>
        <v>0</v>
      </c>
      <c r="SX43" s="58">
        <f t="shared" si="383"/>
        <v>0</v>
      </c>
      <c r="SY43" s="45">
        <f t="shared" si="384"/>
        <v>53</v>
      </c>
      <c r="SZ43" s="45">
        <f t="shared" si="599"/>
        <v>2.6989999999999998</v>
      </c>
      <c r="TA43" s="45">
        <f t="shared" si="385"/>
        <v>1</v>
      </c>
      <c r="TB43" s="45">
        <f t="shared" si="386"/>
        <v>2</v>
      </c>
      <c r="TC43" s="45">
        <f t="shared" si="387"/>
        <v>0</v>
      </c>
      <c r="TD43" s="46" cm="1">
        <f t="array" ref="TD43">ROUND(IFERROR(INDEX(ArchiveResults!$F$5:$IX$116,ComparisonData!A43,ComparisonData!$TD$1),0),5)</f>
        <v>0</v>
      </c>
      <c r="TE43" s="46" cm="1">
        <f t="array" ref="TE43">ROUND(IFERROR(INDEX(ArchiveResults!$F$5:$IX$116,ComparisonData!A43,ComparisonData!$TE$1),0),5)</f>
        <v>0</v>
      </c>
      <c r="TF43" s="46" cm="1">
        <f t="array" ref="TF43">ROUND(IFERROR(INDEX(ArchiveResults!$F$5:$IX$116,ComparisonData!A43,ComparisonData!$TF$1),0),5)</f>
        <v>0</v>
      </c>
      <c r="TG43" s="46" cm="1">
        <f t="array" ref="TG43">ROUND(IFERROR(INDEX(ArchiveResults!$F$5:$IX$116,ComparisonData!A43,ComparisonData!$TG$1),0),5)</f>
        <v>0</v>
      </c>
      <c r="TH43" s="45" cm="1">
        <f t="array" ref="TH43">IFERROR(INDEX(ArchiveResults!$F$5:$IX$116,ComparisonData!A43,ComparisonData!$TH$1),0)</f>
        <v>0</v>
      </c>
      <c r="TI43" s="56">
        <v>38</v>
      </c>
      <c r="TJ43" s="53" t="str">
        <f t="shared" si="600"/>
        <v>Highland Archive Service: Skye and Lochalsh Archive Centre</v>
      </c>
      <c r="TK43" s="59">
        <f t="shared" si="388"/>
        <v>0</v>
      </c>
      <c r="TL43" s="59">
        <f t="shared" si="389"/>
        <v>0</v>
      </c>
      <c r="TM43" s="59">
        <f t="shared" si="390"/>
        <v>0</v>
      </c>
      <c r="TN43" s="59">
        <f t="shared" si="391"/>
        <v>0</v>
      </c>
      <c r="TO43" s="59">
        <f t="shared" si="392"/>
        <v>0</v>
      </c>
      <c r="TP43" s="58">
        <f t="shared" si="393"/>
        <v>0</v>
      </c>
      <c r="TQ43" s="45">
        <f t="shared" si="394"/>
        <v>53</v>
      </c>
      <c r="TR43" s="45">
        <f t="shared" si="601"/>
        <v>2.6989999999999998</v>
      </c>
      <c r="TS43" s="45">
        <f t="shared" si="395"/>
        <v>1</v>
      </c>
      <c r="TT43" s="45">
        <f t="shared" si="396"/>
        <v>2</v>
      </c>
      <c r="TU43" s="45">
        <f t="shared" si="397"/>
        <v>0</v>
      </c>
      <c r="TV43" s="46" cm="1">
        <f t="array" ref="TV43">ROUND(IFERROR(INDEX(ArchiveResults!$F$5:$IX$116,ComparisonData!A43,ComparisonData!$TV$1),0),5)</f>
        <v>0</v>
      </c>
      <c r="TW43" s="46" cm="1">
        <f t="array" ref="TW43">ROUND(IFERROR(INDEX(ArchiveResults!$F$5:$IX$116,ComparisonData!A43,ComparisonData!$TW$1),0),5)</f>
        <v>0</v>
      </c>
      <c r="TX43" s="46" cm="1">
        <f t="array" ref="TX43">ROUND(IFERROR(INDEX(ArchiveResults!$F$5:$IX$116,ComparisonData!A43,ComparisonData!$TX$1),0),5)</f>
        <v>0</v>
      </c>
      <c r="TY43" s="46" cm="1">
        <f t="array" ref="TY43">ROUND(IFERROR(INDEX(ArchiveResults!$F$5:$IX$116,ComparisonData!A43,ComparisonData!$TY$1),0),5)</f>
        <v>0</v>
      </c>
      <c r="TZ43" s="45" cm="1">
        <f t="array" ref="TZ43">IFERROR(INDEX(ArchiveResults!$F$5:$IX$116,ComparisonData!A43,ComparisonData!$TZ$1),0)</f>
        <v>0</v>
      </c>
      <c r="UA43" s="56">
        <v>38</v>
      </c>
      <c r="UB43" s="53" t="str">
        <f t="shared" si="602"/>
        <v>Highland Archive Service: Skye and Lochalsh Archive Centre</v>
      </c>
      <c r="UC43" s="60">
        <f t="shared" si="398"/>
        <v>0</v>
      </c>
      <c r="UD43" s="60">
        <f t="shared" si="399"/>
        <v>0</v>
      </c>
      <c r="UE43" s="60">
        <f t="shared" si="400"/>
        <v>0</v>
      </c>
      <c r="UF43" s="60">
        <f t="shared" si="401"/>
        <v>0</v>
      </c>
      <c r="UG43" s="60">
        <f t="shared" si="402"/>
        <v>0</v>
      </c>
      <c r="UH43" s="58">
        <f t="shared" si="403"/>
        <v>0</v>
      </c>
      <c r="UI43" s="46">
        <f t="shared" si="404"/>
        <v>53</v>
      </c>
      <c r="UJ43" s="46">
        <f t="shared" si="603"/>
        <v>2.6989999999999998</v>
      </c>
      <c r="UK43" s="46">
        <f t="shared" si="405"/>
        <v>1</v>
      </c>
      <c r="UL43" s="46">
        <f t="shared" si="406"/>
        <v>2</v>
      </c>
      <c r="UM43" s="46" cm="1">
        <f t="array" ref="UM43">ROUND(IFERROR(INDEX(ArchiveResults!$F$5:$IX$116,ComparisonData!A43,ComparisonData!$UM$1),0),5)</f>
        <v>0</v>
      </c>
      <c r="UN43" s="56">
        <v>38</v>
      </c>
      <c r="UO43" s="53" t="str">
        <f t="shared" si="604"/>
        <v>Highland Archive Service: Skye and Lochalsh Archive Centre</v>
      </c>
      <c r="UP43" s="46">
        <f t="shared" si="407"/>
        <v>0</v>
      </c>
      <c r="UQ43" s="76">
        <f t="shared" si="408"/>
        <v>0</v>
      </c>
      <c r="UR43" s="46">
        <f t="shared" si="409"/>
        <v>53</v>
      </c>
      <c r="US43" s="46">
        <f t="shared" si="605"/>
        <v>2.6989999999999998</v>
      </c>
      <c r="UT43" s="46">
        <f t="shared" si="410"/>
        <v>1</v>
      </c>
      <c r="UU43" s="46">
        <f t="shared" si="411"/>
        <v>2</v>
      </c>
      <c r="UV43" s="46">
        <f t="shared" si="412"/>
        <v>0</v>
      </c>
      <c r="UW43" s="46" cm="1">
        <f t="array" ref="UW43">ROUND(IFERROR(INDEX(ArchiveResults!$F$5:$IX$116,ComparisonData!A43,ComparisonData!$UW$1),0),5)</f>
        <v>0</v>
      </c>
      <c r="UX43" s="46" cm="1">
        <f t="array" ref="UX43">ROUND(IFERROR(INDEX(ArchiveResults!$F$5:$IX$116,ComparisonData!A43,ComparisonData!$UX$1),0),5)</f>
        <v>0</v>
      </c>
      <c r="UY43" s="46" cm="1">
        <f t="array" ref="UY43">ROUND(IFERROR(INDEX(ArchiveResults!$F$5:$IX$116,ComparisonData!A43,ComparisonData!$UY$1),0),5)</f>
        <v>0</v>
      </c>
      <c r="UZ43" s="46" cm="1">
        <f t="array" ref="UZ43">ROUND(IFERROR(INDEX(ArchiveResults!$F$5:$IX$116,ComparisonData!A43,ComparisonData!$UZ$1),0),5)</f>
        <v>0</v>
      </c>
      <c r="VA43" s="46" cm="1">
        <f t="array" ref="VA43">ROUND(IFERROR(INDEX(ArchiveResults!$F$5:$IX$116,ComparisonData!A43,ComparisonData!$VA$1),0),5)</f>
        <v>0</v>
      </c>
      <c r="VB43" s="56">
        <v>38</v>
      </c>
      <c r="VC43" s="53" t="str">
        <f t="shared" si="606"/>
        <v>Highland Archive Service: Skye and Lochalsh Archive Centre</v>
      </c>
      <c r="VD43" s="60">
        <f t="shared" si="413"/>
        <v>0</v>
      </c>
      <c r="VE43" s="60">
        <f t="shared" si="414"/>
        <v>0</v>
      </c>
      <c r="VF43" s="60">
        <f t="shared" si="415"/>
        <v>0</v>
      </c>
      <c r="VG43" s="60">
        <f t="shared" si="416"/>
        <v>0</v>
      </c>
      <c r="VH43" s="60">
        <f t="shared" si="417"/>
        <v>0</v>
      </c>
      <c r="VI43" s="76">
        <f t="shared" si="418"/>
        <v>0</v>
      </c>
      <c r="VJ43" s="46">
        <f t="shared" si="419"/>
        <v>53</v>
      </c>
      <c r="VK43" s="46">
        <f t="shared" si="607"/>
        <v>2.6989999999999998</v>
      </c>
      <c r="VL43" s="46">
        <f t="shared" si="420"/>
        <v>1</v>
      </c>
      <c r="VM43" s="46">
        <f t="shared" si="421"/>
        <v>2</v>
      </c>
      <c r="VN43" s="46" cm="1">
        <f t="array" ref="VN43">ROUND(IFERROR(INDEX(ArchiveResults!$F$5:$IX$116,ComparisonData!A43,ComparisonData!$VN$1),0),5)</f>
        <v>0</v>
      </c>
      <c r="VO43" s="46" cm="1">
        <f t="array" ref="VO43">ROUND(IFERROR(INDEX(ArchiveResults!$F$5:$IX$116,ComparisonData!A43,ComparisonData!$VO$1),0),5)</f>
        <v>0</v>
      </c>
      <c r="VP43" s="46" cm="1">
        <f t="array" ref="VP43">ROUND(IFERROR(INDEX(ArchiveResults!$F$5:$IX$116,ComparisonData!A43,ComparisonData!$VP$1),0),5)</f>
        <v>0</v>
      </c>
      <c r="VQ43" s="46" cm="1">
        <f t="array" ref="VQ43">ROUND(IFERROR(INDEX(ArchiveResults!$F$5:$IX$116,ComparisonData!A43,ComparisonData!$VQ$1),0),5)</f>
        <v>0</v>
      </c>
      <c r="VR43" s="56">
        <v>38</v>
      </c>
      <c r="VS43" s="53" t="str">
        <f t="shared" si="608"/>
        <v>Highland Archive Service: Skye and Lochalsh Archive Centre</v>
      </c>
      <c r="VT43" s="60">
        <f t="shared" si="422"/>
        <v>0</v>
      </c>
      <c r="VU43" s="60">
        <f t="shared" si="423"/>
        <v>0</v>
      </c>
      <c r="VV43" s="60">
        <f t="shared" si="424"/>
        <v>0</v>
      </c>
      <c r="VW43" s="60">
        <f t="shared" si="425"/>
        <v>0</v>
      </c>
      <c r="VX43" s="76">
        <f t="shared" si="426"/>
        <v>0</v>
      </c>
      <c r="VY43" s="46">
        <f t="shared" si="427"/>
        <v>53</v>
      </c>
      <c r="VZ43" s="46">
        <f t="shared" si="609"/>
        <v>2.6989999999999998</v>
      </c>
      <c r="WA43" s="46">
        <f t="shared" si="428"/>
        <v>1</v>
      </c>
      <c r="WB43" s="46">
        <f t="shared" si="429"/>
        <v>2</v>
      </c>
      <c r="WC43" s="46" cm="1">
        <f t="array" ref="WC43">ROUND(IFERROR(INDEX(ArchiveResults!$F$5:$IX$116,ComparisonData!A43,ComparisonData!$WC$1),0),5)</f>
        <v>0</v>
      </c>
      <c r="WD43" s="56">
        <v>38</v>
      </c>
      <c r="WE43" s="53" t="str">
        <f t="shared" si="610"/>
        <v>Highland Archive Service: Skye and Lochalsh Archive Centre</v>
      </c>
      <c r="WF43" s="46">
        <f t="shared" si="430"/>
        <v>0</v>
      </c>
      <c r="WG43" s="76">
        <f t="shared" si="431"/>
        <v>0</v>
      </c>
      <c r="WH43" s="46">
        <f t="shared" si="432"/>
        <v>53</v>
      </c>
      <c r="WI43" s="46">
        <f t="shared" si="611"/>
        <v>2.6989999999999998</v>
      </c>
      <c r="WJ43" s="46">
        <f t="shared" si="433"/>
        <v>1</v>
      </c>
      <c r="WK43" s="46">
        <f t="shared" si="434"/>
        <v>2</v>
      </c>
      <c r="WL43" s="46" cm="1">
        <f t="array" ref="WL43">ROUND(IFERROR(INDEX(ArchiveResults!$F$5:$IX$116,ComparisonData!A43,ComparisonData!$WL$1),0),5)</f>
        <v>0</v>
      </c>
      <c r="WM43" s="46" cm="1">
        <f t="array" ref="WM43">IFERROR(INDEX(ArchiveResults!$F$5:$IX$116,ComparisonData!A43,ComparisonData!$WM$1),0)</f>
        <v>0</v>
      </c>
      <c r="WN43" s="56">
        <v>38</v>
      </c>
      <c r="WO43" s="53" t="str">
        <f t="shared" si="612"/>
        <v>Highland Archive Service: Skye and Lochalsh Archive Centre</v>
      </c>
      <c r="WP43" s="60">
        <f t="shared" si="435"/>
        <v>0</v>
      </c>
      <c r="WQ43" s="60">
        <f t="shared" si="436"/>
        <v>0</v>
      </c>
      <c r="WR43" s="76">
        <f t="shared" si="437"/>
        <v>0</v>
      </c>
      <c r="WS43" s="46">
        <f t="shared" si="438"/>
        <v>53</v>
      </c>
      <c r="WT43" s="46">
        <f t="shared" si="613"/>
        <v>2.6989999999999998</v>
      </c>
      <c r="WU43" s="46">
        <f t="shared" si="439"/>
        <v>1</v>
      </c>
      <c r="WV43" s="46">
        <f t="shared" si="440"/>
        <v>2</v>
      </c>
      <c r="WW43" s="46" cm="1">
        <f t="array" ref="WW43">ROUND(VALUE(IFERROR(INDEX(ArchiveResults!$F$5:$IX$116,ComparisonData!A43,ComparisonData!$WW$1),0)),5)</f>
        <v>0</v>
      </c>
      <c r="WX43" s="46" cm="1">
        <f t="array" ref="WX43">ROUND(IFERROR(INDEX(ArchiveResults!$F$5:$IX$116,ComparisonData!A43,ComparisonData!$WX$1),0),5)</f>
        <v>0</v>
      </c>
      <c r="WY43" s="56">
        <v>38</v>
      </c>
      <c r="WZ43" s="53" t="str">
        <f t="shared" si="614"/>
        <v>Highland Archive Service: Skye and Lochalsh Archive Centre</v>
      </c>
      <c r="XA43" s="60">
        <f t="shared" si="615"/>
        <v>0</v>
      </c>
      <c r="XB43" s="60">
        <f t="shared" si="616"/>
        <v>0</v>
      </c>
      <c r="XC43" s="76">
        <f t="shared" si="441"/>
        <v>0</v>
      </c>
      <c r="XD43" s="46">
        <f t="shared" si="442"/>
        <v>53</v>
      </c>
      <c r="XE43" s="46">
        <f t="shared" si="617"/>
        <v>2.6989999999999998</v>
      </c>
      <c r="XF43" s="46">
        <f t="shared" si="443"/>
        <v>1</v>
      </c>
      <c r="XG43" s="46">
        <f t="shared" si="444"/>
        <v>2</v>
      </c>
      <c r="XH43" s="46" cm="1">
        <f t="array" ref="XH43">ROUND(VALUE(IFERROR(INDEX(ArchiveResults!$F$5:$IX$116,ComparisonData!A43,ComparisonData!$XH$1),0)),5)</f>
        <v>0</v>
      </c>
      <c r="XI43" s="46" cm="1">
        <f t="array" ref="XI43">ROUND(VALUE(IFERROR(INDEX(ArchiveResults!$F$5:$IX$116,ComparisonData!A43,ComparisonData!$XI$1),0)),5)</f>
        <v>0</v>
      </c>
      <c r="XJ43" s="56">
        <v>38</v>
      </c>
      <c r="XK43" s="53" t="str">
        <f t="shared" si="618"/>
        <v>Highland Archive Service: Skye and Lochalsh Archive Centre</v>
      </c>
      <c r="XL43" s="60">
        <f t="shared" si="445"/>
        <v>0</v>
      </c>
      <c r="XM43" s="60">
        <f t="shared" si="446"/>
        <v>0</v>
      </c>
      <c r="XN43" s="76">
        <f t="shared" si="447"/>
        <v>0</v>
      </c>
      <c r="XO43" s="46">
        <f t="shared" si="448"/>
        <v>53</v>
      </c>
      <c r="XP43" s="46">
        <f t="shared" si="619"/>
        <v>2.6989999999999998</v>
      </c>
      <c r="XQ43" s="46">
        <f t="shared" si="449"/>
        <v>1</v>
      </c>
      <c r="XR43" s="46">
        <f t="shared" si="450"/>
        <v>2</v>
      </c>
      <c r="XS43" s="46" cm="1">
        <f t="array" ref="XS43">ROUND(VALUE(IFERROR(INDEX(ArchiveResults!$F$5:$IX$116,ComparisonData!A43,ComparisonData!$XS$1),0)),5)</f>
        <v>0</v>
      </c>
      <c r="XT43" s="46" cm="1">
        <f t="array" ref="XT43">ROUND(VALUE(IFERROR(INDEX(ArchiveResults!$F$5:$IX$116,ComparisonData!A43,ComparisonData!$XT$1),0)),5)</f>
        <v>0</v>
      </c>
      <c r="XU43" s="56">
        <v>38</v>
      </c>
      <c r="XV43" s="53" t="str">
        <f t="shared" si="620"/>
        <v>Highland Archive Service: Skye and Lochalsh Archive Centre</v>
      </c>
      <c r="XW43" s="60">
        <f t="shared" si="451"/>
        <v>0</v>
      </c>
      <c r="XX43" s="60">
        <f t="shared" si="452"/>
        <v>0</v>
      </c>
      <c r="XY43" s="76">
        <f t="shared" si="453"/>
        <v>0</v>
      </c>
      <c r="XZ43" s="46">
        <f t="shared" si="454"/>
        <v>53</v>
      </c>
      <c r="YA43" s="46">
        <f t="shared" si="621"/>
        <v>2.6989999999999998</v>
      </c>
      <c r="YB43" s="46">
        <f t="shared" si="455"/>
        <v>1</v>
      </c>
      <c r="YC43" s="46">
        <f t="shared" si="456"/>
        <v>2</v>
      </c>
      <c r="YD43" s="46" cm="1">
        <f t="array" ref="YD43">ROUND(VALUE(IFERROR(INDEX(ArchiveResults!$F$5:$IX$116,ComparisonData!A43,ComparisonData!$YD$1),0)),5)</f>
        <v>0</v>
      </c>
      <c r="YE43" s="46" cm="1">
        <f t="array" ref="YE43">ROUND(VALUE(IFERROR(INDEX(ArchiveResults!$F$5:$IX$116,ComparisonData!A43,ComparisonData!$YE$1),0)),5)</f>
        <v>0</v>
      </c>
      <c r="YF43" s="56">
        <v>38</v>
      </c>
      <c r="YG43" s="53" t="str">
        <f t="shared" si="622"/>
        <v>Highland Archive Service: Skye and Lochalsh Archive Centre</v>
      </c>
      <c r="YH43" s="60">
        <f t="shared" si="457"/>
        <v>0</v>
      </c>
      <c r="YI43" s="60">
        <f t="shared" si="458"/>
        <v>0</v>
      </c>
      <c r="YJ43" s="76">
        <f t="shared" si="459"/>
        <v>0</v>
      </c>
      <c r="YK43" s="46">
        <f t="shared" si="460"/>
        <v>53</v>
      </c>
      <c r="YL43" s="46">
        <f t="shared" si="623"/>
        <v>2.6989999999999998</v>
      </c>
      <c r="YM43" s="46">
        <f t="shared" si="461"/>
        <v>1</v>
      </c>
      <c r="YN43" s="46">
        <f t="shared" si="462"/>
        <v>2</v>
      </c>
      <c r="YO43" s="46" cm="1">
        <f t="array" ref="YO43">ROUND(VALUE(IFERROR(INDEX(ArchiveResults!$F$5:$IX$116,ComparisonData!A43,ComparisonData!$YO$1),0)),5)</f>
        <v>0</v>
      </c>
      <c r="YP43" s="46" cm="1">
        <f t="array" ref="YP43">ROUND(VALUE(IFERROR(INDEX(ArchiveResults!$F$5:$IX$116,ComparisonData!A43,ComparisonData!$YP$1),0)),5)</f>
        <v>0</v>
      </c>
      <c r="YQ43" s="56">
        <v>38</v>
      </c>
      <c r="YR43" s="53" t="str">
        <f t="shared" si="624"/>
        <v>Highland Archive Service: Skye and Lochalsh Archive Centre</v>
      </c>
      <c r="YS43" s="60">
        <f t="shared" si="463"/>
        <v>0</v>
      </c>
      <c r="YT43" s="60">
        <f t="shared" si="464"/>
        <v>0</v>
      </c>
      <c r="YU43" s="76">
        <f t="shared" si="465"/>
        <v>0</v>
      </c>
      <c r="YV43" s="46">
        <f t="shared" si="466"/>
        <v>53</v>
      </c>
      <c r="YW43" s="46">
        <f t="shared" si="625"/>
        <v>2.6989999999999998</v>
      </c>
      <c r="YX43" s="46">
        <f t="shared" si="467"/>
        <v>1</v>
      </c>
      <c r="YY43" s="46">
        <f t="shared" si="468"/>
        <v>2</v>
      </c>
      <c r="YZ43" s="46">
        <f t="shared" si="469"/>
        <v>0</v>
      </c>
      <c r="ZA43" s="46" cm="1">
        <f t="array" ref="ZA43">ROUNDDOWN(VALUE(IFERROR(INDEX(ArchiveResults!$F$5:$IX$116,ComparisonData!A43,ComparisonData!$ZA$1),0)),5)</f>
        <v>0</v>
      </c>
      <c r="ZB43" s="46" cm="1">
        <f t="array" ref="ZB43">ROUNDDOWN(VALUE(IFERROR(INDEX(ArchiveResults!$F$5:$IX$116,ComparisonData!A43,ComparisonData!$ZB$1),0)),5)</f>
        <v>0</v>
      </c>
      <c r="ZC43" s="46" cm="1">
        <f t="array" ref="ZC43">ROUNDDOWN(VALUE(IFERROR(INDEX(ArchiveResults!$F$5:$IX$116,ComparisonData!A43,ComparisonData!$ZC$1),0)),5)</f>
        <v>0</v>
      </c>
      <c r="ZD43" s="46" cm="1">
        <f t="array" ref="ZD43">ROUNDDOWN(VALUE(IFERROR(INDEX(ArchiveResults!$F$5:$IX$116,ComparisonData!A43,ComparisonData!$ZD$1),0)),5)</f>
        <v>0</v>
      </c>
      <c r="ZE43" s="46" cm="1">
        <f t="array" ref="ZE43">ROUNDDOWN(VALUE(IFERROR(INDEX(ArchiveResults!$F$5:$IX$116,ComparisonData!A43,ComparisonData!$ZE$1),0)),5)</f>
        <v>0</v>
      </c>
      <c r="ZF43" s="56">
        <v>38</v>
      </c>
      <c r="ZG43" s="53" t="str">
        <f t="shared" si="626"/>
        <v>Highland Archive Service: Skye and Lochalsh Archive Centre</v>
      </c>
      <c r="ZH43" s="60">
        <f t="shared" si="470"/>
        <v>0</v>
      </c>
      <c r="ZI43" s="60">
        <f t="shared" si="471"/>
        <v>0</v>
      </c>
      <c r="ZJ43" s="60">
        <f t="shared" si="472"/>
        <v>0</v>
      </c>
      <c r="ZK43" s="60">
        <f t="shared" si="473"/>
        <v>0</v>
      </c>
      <c r="ZL43" s="60">
        <f t="shared" si="474"/>
        <v>0</v>
      </c>
      <c r="ZM43" s="76">
        <f t="shared" si="475"/>
        <v>0</v>
      </c>
      <c r="ZN43" s="46">
        <f t="shared" si="476"/>
        <v>53</v>
      </c>
      <c r="ZO43" s="46">
        <f t="shared" si="627"/>
        <v>2.6989999999999998</v>
      </c>
      <c r="ZP43" s="46">
        <f t="shared" si="477"/>
        <v>1</v>
      </c>
      <c r="ZQ43" s="46">
        <f t="shared" si="478"/>
        <v>2</v>
      </c>
      <c r="ZR43" s="46" cm="1">
        <f t="array" ref="ZR43">ROUND(VALUE(IFERROR(INDEX(ArchiveResults!$F$5:$IX$116,ComparisonData!A43,ComparisonData!$ZR$1),0)),5)</f>
        <v>0</v>
      </c>
      <c r="ZS43" s="56">
        <v>38</v>
      </c>
      <c r="ZT43" s="53" t="str">
        <f t="shared" si="628"/>
        <v>Highland Archive Service: Skye and Lochalsh Archive Centre</v>
      </c>
      <c r="ZU43" s="46">
        <f t="shared" si="479"/>
        <v>0</v>
      </c>
      <c r="ZV43" s="76">
        <f t="shared" si="480"/>
        <v>0</v>
      </c>
      <c r="ZW43" s="81" cm="1">
        <f t="array" ref="ZW43">ROUND((IFERROR(INDEX(ArchiveResults!$F$5:$IX$116,ComparisonData!A43,ComparisonData!$ZW$1),0)),5)</f>
        <v>0</v>
      </c>
      <c r="ZX43" s="81" cm="1">
        <f t="array" ref="ZX43">ROUND((IFERROR(INDEX(ArchiveResults!$F$5:$IX$116,ComparisonData!A43,ComparisonData!$ZX$1),0)),5)</f>
        <v>0</v>
      </c>
      <c r="ZY43" s="81" cm="1">
        <f t="array" ref="ZY43">ROUND((IFERROR(INDEX(ArchiveResults!$F$5:$IX$116,ComparisonData!A43,ComparisonData!$ZY$1),0)),5)</f>
        <v>0</v>
      </c>
      <c r="ZZ43" s="81" cm="1">
        <f t="array" ref="ZZ43">ROUND((IFERROR(INDEX(ArchiveResults!$F$5:$IX$116,ComparisonData!A43,ComparisonData!$ZZ$1),0)),5)</f>
        <v>0</v>
      </c>
      <c r="AAA43" s="81" cm="1">
        <f t="array" ref="AAA43">ROUND((IFERROR(INDEX(ArchiveResults!$F$5:$IX$116,ComparisonData!A43,ComparisonData!$AAA$1),0)),5)</f>
        <v>0</v>
      </c>
      <c r="AAB43" s="81" cm="1">
        <f t="array" ref="AAB43">ROUND((IFERROR(INDEX(ArchiveResults!$F$5:$IX$116,ComparisonData!A43,ComparisonData!$AAB$1),0)),5)</f>
        <v>0</v>
      </c>
      <c r="AAC43" s="81" cm="1">
        <f t="array" ref="AAC43">ROUND((IFERROR(INDEX(ArchiveResults!$F$5:$IX$116,ComparisonData!A43,ComparisonData!$AAC$1),0)),5)</f>
        <v>0</v>
      </c>
      <c r="AAD43" s="81" cm="1">
        <f t="array" ref="AAD43">ROUND((IFERROR(INDEX(ArchiveResults!$F$5:$IX$116,ComparisonData!A43,ComparisonData!$AAD$1),0)),5)</f>
        <v>0</v>
      </c>
      <c r="AAE43" s="81" cm="1">
        <f t="array" ref="AAE43">ROUND((IFERROR(INDEX(ArchiveResults!$F$5:$IX$116,ComparisonData!A43,ComparisonData!$AAE$1),0)),5)</f>
        <v>0</v>
      </c>
      <c r="AAF43" s="81" cm="1">
        <f t="array" ref="AAF43">ROUND((IFERROR(INDEX(ArchiveResults!$F$5:$IX$116,ComparisonData!A43,ComparisonData!$AAF$1),0)),5)</f>
        <v>0</v>
      </c>
      <c r="AAG43" s="46">
        <f t="shared" si="481"/>
        <v>53</v>
      </c>
      <c r="AAH43" s="46">
        <f t="shared" si="629"/>
        <v>2.6989999999999998</v>
      </c>
      <c r="AAI43" s="46">
        <f t="shared" si="482"/>
        <v>1</v>
      </c>
      <c r="AAJ43" s="46">
        <f t="shared" si="483"/>
        <v>2</v>
      </c>
      <c r="AAK43" s="46">
        <f t="shared" si="484"/>
        <v>0</v>
      </c>
      <c r="AAL43" s="46">
        <f t="shared" si="485"/>
        <v>0</v>
      </c>
      <c r="AAM43" s="46">
        <f t="shared" si="486"/>
        <v>0</v>
      </c>
      <c r="AAN43" s="46">
        <f t="shared" si="487"/>
        <v>0</v>
      </c>
      <c r="AAO43" s="46">
        <f t="shared" si="488"/>
        <v>0</v>
      </c>
      <c r="AAP43" s="46">
        <f t="shared" si="489"/>
        <v>0</v>
      </c>
      <c r="AAQ43" s="56">
        <v>38</v>
      </c>
      <c r="AAR43" s="53" t="str">
        <f t="shared" si="630"/>
        <v>Highland Archive Service: Skye and Lochalsh Archive Centre</v>
      </c>
      <c r="AAS43" s="60">
        <f t="shared" si="490"/>
        <v>0</v>
      </c>
      <c r="AAT43" s="60">
        <f t="shared" si="491"/>
        <v>0</v>
      </c>
      <c r="AAU43" s="60">
        <f t="shared" si="492"/>
        <v>0</v>
      </c>
      <c r="AAV43" s="60">
        <f t="shared" si="493"/>
        <v>0</v>
      </c>
      <c r="AAW43" s="60">
        <f t="shared" si="494"/>
        <v>0</v>
      </c>
      <c r="AAX43" s="76">
        <f t="shared" si="495"/>
        <v>0</v>
      </c>
      <c r="AAY43" s="46">
        <f t="shared" si="496"/>
        <v>53</v>
      </c>
      <c r="AAZ43" s="46">
        <f t="shared" si="631"/>
        <v>2.6989999999999998</v>
      </c>
      <c r="ABA43" s="46">
        <f t="shared" si="497"/>
        <v>1</v>
      </c>
      <c r="ABB43" s="46">
        <f t="shared" si="498"/>
        <v>2</v>
      </c>
      <c r="ABC43" s="46">
        <f t="shared" si="102"/>
        <v>0</v>
      </c>
      <c r="ABD43" s="46" cm="1">
        <f t="array" ref="ABD43">ROUND(VALUE(IFERROR(INDEX(ArchiveResults!$F$5:$IX$116,ComparisonData!A43,ComparisonData!$ABD$1),0)),5)</f>
        <v>0</v>
      </c>
      <c r="ABE43" s="46" cm="1">
        <f t="array" ref="ABE43">ROUND(VALUE(IFERROR(INDEX(ArchiveResults!$F$5:$IX$116,ComparisonData!A43,ComparisonData!$ABE$1),0)),5)</f>
        <v>0</v>
      </c>
      <c r="ABF43" s="46" cm="1">
        <f t="array" ref="ABF43">ROUND(VALUE(IFERROR(INDEX(ArchiveResults!$F$5:$IX$116,ComparisonData!A43,ComparisonData!$ABF$1),0)),5)</f>
        <v>0</v>
      </c>
      <c r="ABG43" s="46" cm="1">
        <f t="array" ref="ABG43">ROUND(VALUE(IFERROR(INDEX(ArchiveResults!$F$5:$IX$116,ComparisonData!A43,ComparisonData!$ABG$1),0)),5)</f>
        <v>0</v>
      </c>
      <c r="ABH43" s="46" cm="1">
        <f t="array" ref="ABH43">ROUND(VALUE(IFERROR(INDEX(ArchiveResults!$F$5:$IX$116,ComparisonData!A43,ComparisonData!$ABH$1),0)),5)</f>
        <v>0</v>
      </c>
      <c r="ABI43" s="56">
        <v>38</v>
      </c>
      <c r="ABJ43" s="53" t="str">
        <f t="shared" si="632"/>
        <v>Highland Archive Service: Skye and Lochalsh Archive Centre</v>
      </c>
      <c r="ABK43" s="60">
        <f t="shared" si="499"/>
        <v>0</v>
      </c>
      <c r="ABL43" s="60">
        <f t="shared" si="500"/>
        <v>0</v>
      </c>
      <c r="ABM43" s="60">
        <f t="shared" si="501"/>
        <v>0</v>
      </c>
      <c r="ABN43" s="60">
        <f t="shared" si="502"/>
        <v>0</v>
      </c>
      <c r="ABO43" s="60">
        <f t="shared" si="503"/>
        <v>0</v>
      </c>
      <c r="ABP43" s="76">
        <f t="shared" si="504"/>
        <v>0</v>
      </c>
      <c r="ABQ43" s="46">
        <f t="shared" si="505"/>
        <v>53</v>
      </c>
      <c r="ABR43" s="46">
        <f t="shared" si="633"/>
        <v>2.6989999999999998</v>
      </c>
      <c r="ABS43" s="46">
        <f t="shared" si="506"/>
        <v>1</v>
      </c>
      <c r="ABT43" s="46">
        <f t="shared" si="507"/>
        <v>2</v>
      </c>
      <c r="ABU43" s="46" cm="1">
        <f t="array" ref="ABU43">ROUND(VALUE(IFERROR(INDEX(ArchiveResults!$F$5:$IX$116,ComparisonData!A43,ComparisonData!$ABU$1),0)),5)</f>
        <v>0</v>
      </c>
      <c r="ABV43" s="46" cm="1">
        <f t="array" ref="ABV43">ROUND(VALUE(IFERROR(INDEX(ArchiveResults!$F$5:$IX$116,ComparisonData!A43,ComparisonData!$ABV$1),0)),5)</f>
        <v>0</v>
      </c>
      <c r="ABW43" s="46" cm="1">
        <f t="array" ref="ABW43">ROUND(VALUE(IFERROR(INDEX(ArchiveResults!$F$5:$IX$116,ComparisonData!A43,ComparisonData!$ABW$1),0)),5)</f>
        <v>0</v>
      </c>
      <c r="ABX43" s="46" cm="1">
        <f t="array" ref="ABX43">ROUND(VALUE(IFERROR(INDEX(ArchiveResults!$F$5:$IX$116,ComparisonData!A43,ComparisonData!$ABX$1),0)),5)</f>
        <v>0</v>
      </c>
      <c r="ABY43" s="46" cm="1">
        <f t="array" ref="ABY43">ROUND(VALUE(IFERROR(INDEX(ArchiveResults!$F$5:$IX$116,ComparisonData!A43,ComparisonData!$ABY$1),0)),5)</f>
        <v>0</v>
      </c>
      <c r="ABZ43" s="56">
        <v>38</v>
      </c>
      <c r="ACA43" s="53" t="str">
        <f t="shared" si="634"/>
        <v>Highland Archive Service: Skye and Lochalsh Archive Centre</v>
      </c>
      <c r="ACB43" s="60">
        <f t="shared" si="508"/>
        <v>0</v>
      </c>
      <c r="ACC43" s="60">
        <f t="shared" si="509"/>
        <v>0</v>
      </c>
      <c r="ACD43" s="60">
        <f t="shared" si="510"/>
        <v>0</v>
      </c>
      <c r="ACE43" s="60">
        <f t="shared" si="511"/>
        <v>0</v>
      </c>
      <c r="ACF43" s="60">
        <f t="shared" si="512"/>
        <v>0</v>
      </c>
      <c r="ACG43" s="76">
        <f t="shared" si="513"/>
        <v>0</v>
      </c>
      <c r="ACH43" s="46">
        <f t="shared" si="514"/>
        <v>53</v>
      </c>
      <c r="ACI43" s="46">
        <f t="shared" si="635"/>
        <v>2.6989999999999998</v>
      </c>
      <c r="ACJ43" s="46">
        <f t="shared" si="515"/>
        <v>1</v>
      </c>
      <c r="ACK43" s="46">
        <f t="shared" si="516"/>
        <v>2</v>
      </c>
      <c r="ACL43" s="46">
        <f t="shared" si="517"/>
        <v>0</v>
      </c>
      <c r="ACM43" s="46" cm="1">
        <f t="array" ref="ACM43">ROUND(IFERROR(INDEX(ArchiveResults!$F$5:$IX$116,ComparisonData!A43,ComparisonData!$ACM$1),0),5)</f>
        <v>0</v>
      </c>
      <c r="ACN43" s="46" cm="1">
        <f t="array" ref="ACN43">ROUND(IFERROR(INDEX(ArchiveResults!$F$5:$IX$116,ComparisonData!A43,ComparisonData!$ACN$1),0),5)</f>
        <v>0</v>
      </c>
      <c r="ACO43" s="56">
        <v>38</v>
      </c>
      <c r="ACP43" s="53" t="str">
        <f t="shared" si="636"/>
        <v>Highland Archive Service: Skye and Lochalsh Archive Centre</v>
      </c>
      <c r="ACQ43" s="60">
        <f t="shared" si="518"/>
        <v>0</v>
      </c>
      <c r="ACR43" s="60">
        <f t="shared" si="519"/>
        <v>0</v>
      </c>
      <c r="ACS43" s="76">
        <f t="shared" si="520"/>
        <v>0</v>
      </c>
      <c r="ACT43" s="46">
        <f t="shared" si="521"/>
        <v>53</v>
      </c>
      <c r="ACU43" s="46">
        <f t="shared" si="637"/>
        <v>2.6989999999999998</v>
      </c>
      <c r="ACV43" s="46">
        <f t="shared" si="522"/>
        <v>1</v>
      </c>
      <c r="ACW43" s="46">
        <f t="shared" si="523"/>
        <v>2</v>
      </c>
      <c r="ACX43" s="46">
        <f t="shared" si="524"/>
        <v>0</v>
      </c>
      <c r="ACY43" s="46" cm="1">
        <f t="array" ref="ACY43">ROUNDDOWN(IFERROR(INDEX(ArchiveResults!$F$5:$IX$116,ComparisonData!A43,ComparisonData!$ACY$1),0),5)</f>
        <v>0</v>
      </c>
      <c r="ACZ43" s="46" cm="1">
        <f t="array" ref="ACZ43">ROUNDDOWN(IFERROR(INDEX(ArchiveResults!$F$5:$IX$116,ComparisonData!A43,ComparisonData!$ACZ$1),0),5)</f>
        <v>0</v>
      </c>
      <c r="ADA43" s="46" cm="1">
        <f t="array" ref="ADA43">ROUNDDOWN(IFERROR(INDEX(ArchiveResults!$F$5:$IX$116,ComparisonData!A43,ComparisonData!$ADA$1),0),5)</f>
        <v>0</v>
      </c>
      <c r="ADB43" s="56">
        <v>38</v>
      </c>
      <c r="ADC43" s="53" t="str">
        <f t="shared" si="638"/>
        <v>Highland Archive Service: Skye and Lochalsh Archive Centre</v>
      </c>
      <c r="ADD43" s="60">
        <f t="shared" si="525"/>
        <v>0</v>
      </c>
      <c r="ADE43" s="60">
        <f t="shared" si="526"/>
        <v>0</v>
      </c>
      <c r="ADF43" s="60">
        <f t="shared" si="527"/>
        <v>0</v>
      </c>
      <c r="ADG43" s="76">
        <f t="shared" si="528"/>
        <v>0</v>
      </c>
    </row>
    <row r="44" spans="1:787" x14ac:dyDescent="0.25">
      <c r="A44" s="46" t="str">
        <f>IF(ISBLANK(ComparisonSelection!F40),"",ROW()-5)</f>
        <v/>
      </c>
      <c r="B44" s="53" t="s">
        <v>493</v>
      </c>
      <c r="C44" s="72">
        <v>0.48399999999999954</v>
      </c>
      <c r="D44" s="55">
        <f t="shared" si="110"/>
        <v>10</v>
      </c>
      <c r="E44" s="54">
        <f t="shared" si="111"/>
        <v>2.4839999999999995</v>
      </c>
      <c r="F44" s="54">
        <f t="shared" si="529"/>
        <v>1</v>
      </c>
      <c r="G44" s="72">
        <f t="shared" si="112"/>
        <v>2</v>
      </c>
      <c r="H44" s="72">
        <f t="shared" si="113"/>
        <v>0</v>
      </c>
      <c r="I44" s="46" cm="1">
        <f t="array" ref="I44">ROUND(IFERROR(INDEX(ArchiveResults!$F$5:$IX$116,ComparisonData!A44,ComparisonData!$I$1),0),5)</f>
        <v>0</v>
      </c>
      <c r="J44" s="46" cm="1">
        <f t="array" ref="J44">ROUND(IFERROR(INDEX(ArchiveResults!$F$5:$IX$116,ComparisonData!A44,ComparisonData!$J$1),0),5)</f>
        <v>0</v>
      </c>
      <c r="K44" s="56">
        <v>39</v>
      </c>
      <c r="L44" s="53" t="str">
        <f t="shared" si="114"/>
        <v>Highland Archive Service: The Nuclear and Caithness Archive</v>
      </c>
      <c r="M44" s="57">
        <f t="shared" si="530"/>
        <v>0</v>
      </c>
      <c r="N44" s="57">
        <f t="shared" si="531"/>
        <v>0</v>
      </c>
      <c r="O44" s="58">
        <f t="shared" si="115"/>
        <v>0</v>
      </c>
      <c r="P44" s="48">
        <f t="shared" si="116"/>
        <v>10</v>
      </c>
      <c r="Q44" s="54">
        <f t="shared" si="532"/>
        <v>2.4839999999999995</v>
      </c>
      <c r="R44" s="45">
        <f t="shared" si="117"/>
        <v>1</v>
      </c>
      <c r="S44" s="46">
        <f t="shared" si="118"/>
        <v>2</v>
      </c>
      <c r="T44" s="72">
        <f t="shared" si="119"/>
        <v>0</v>
      </c>
      <c r="U44" s="46" cm="1">
        <f t="array" ref="U44">ROUND(IFERROR(INDEX(ArchiveResults!$F$5:$IX$116,ComparisonData!A44,ComparisonData!$U$1),0),5)</f>
        <v>0</v>
      </c>
      <c r="V44" s="46" cm="1">
        <f t="array" ref="V44">ROUND(IFERROR(INDEX(ArchiveResults!$F$5:$IX$116,ComparisonData!A44,ComparisonData!$V$1),0),5)</f>
        <v>0</v>
      </c>
      <c r="W44" s="56">
        <v>39</v>
      </c>
      <c r="X44" s="53" t="str">
        <f t="shared" si="533"/>
        <v>Highland Archive Service: The Nuclear and Caithness Archive</v>
      </c>
      <c r="Y44" s="57">
        <f t="shared" si="120"/>
        <v>0</v>
      </c>
      <c r="Z44" s="57">
        <f t="shared" si="121"/>
        <v>0</v>
      </c>
      <c r="AA44" s="58">
        <f t="shared" si="122"/>
        <v>0</v>
      </c>
      <c r="AB44" s="45">
        <f t="shared" si="123"/>
        <v>10</v>
      </c>
      <c r="AC44" s="54">
        <f t="shared" si="534"/>
        <v>2.4839999999999995</v>
      </c>
      <c r="AD44" s="45">
        <f t="shared" si="124"/>
        <v>1</v>
      </c>
      <c r="AE44" s="45">
        <f t="shared" si="125"/>
        <v>2</v>
      </c>
      <c r="AF44" s="45">
        <f t="shared" si="126"/>
        <v>0</v>
      </c>
      <c r="AG44" s="46" cm="1">
        <f t="array" ref="AG44">ROUND(IFERROR(INDEX(ArchiveResults!$F$5:$IX$116,ComparisonData!A44,ComparisonData!$AG$1),0),5)</f>
        <v>0</v>
      </c>
      <c r="AH44" s="46" cm="1">
        <f t="array" ref="AH44">ROUND(IFERROR(INDEX(ArchiveResults!$F$5:$IX$116,ComparisonData!A44,ComparisonData!$AH$1),0),5)</f>
        <v>0</v>
      </c>
      <c r="AI44" s="56">
        <v>39</v>
      </c>
      <c r="AJ44" s="53" t="str">
        <f t="shared" si="535"/>
        <v>Highland Archive Service: The Nuclear and Caithness Archive</v>
      </c>
      <c r="AK44" s="59">
        <f t="shared" si="536"/>
        <v>0</v>
      </c>
      <c r="AL44" s="59">
        <f t="shared" si="537"/>
        <v>0</v>
      </c>
      <c r="AM44" s="58">
        <f t="shared" si="127"/>
        <v>0</v>
      </c>
      <c r="AN44" s="45">
        <f t="shared" si="128"/>
        <v>10</v>
      </c>
      <c r="AO44" s="54">
        <f t="shared" si="538"/>
        <v>2.4839999999999995</v>
      </c>
      <c r="AP44" s="45">
        <f t="shared" si="129"/>
        <v>1</v>
      </c>
      <c r="AQ44" s="45">
        <f t="shared" si="130"/>
        <v>2</v>
      </c>
      <c r="AR44" s="46" cm="1">
        <f t="array" ref="AR44">ROUND(IFERROR(INDEX(ArchiveResults!$F$5:$IX$116,ComparisonData!A44,ComparisonData!$AR$1),0),5)</f>
        <v>0</v>
      </c>
      <c r="AS44" s="46" cm="1">
        <f t="array" ref="AS44">ROUND(IFERROR(INDEX(ArchiveResults!$F$5:$IX$116,ComparisonData!A44,ComparisonData!$AS$1),0),5)</f>
        <v>0</v>
      </c>
      <c r="AT44" s="46" cm="1">
        <f t="array" ref="AT44">ROUND(IFERROR(INDEX(ArchiveResults!$F$5:$IX$116,ComparisonData!A44,ComparisonData!$AT$1),0),5)</f>
        <v>0</v>
      </c>
      <c r="AU44" s="46" cm="1">
        <f t="array" ref="AU44">ROUND(IFERROR(INDEX(ArchiveResults!$F$5:$IX$116,ComparisonData!A44,ComparisonData!$AU$1),0),5)</f>
        <v>0</v>
      </c>
      <c r="AV44" s="46" cm="1">
        <f t="array" ref="AV44">ROUND(IFERROR(INDEX(ArchiveResults!$F$5:$IX$116,ComparisonData!A44,ComparisonData!$AV$1),0),5)</f>
        <v>0</v>
      </c>
      <c r="AW44" s="46" cm="1">
        <f t="array" ref="AW44">ROUND(IFERROR(INDEX(ArchiveResults!$F$5:$IX$116,ComparisonData!A44,ComparisonData!$AW$1),0),5)</f>
        <v>0</v>
      </c>
      <c r="AX44" s="46" cm="1">
        <f t="array" ref="AX44">ROUND(IFERROR(INDEX(ArchiveResults!$F$5:$IX$116,ComparisonData!A44,ComparisonData!$AX$1),0),5)</f>
        <v>0</v>
      </c>
      <c r="AY44" s="46" cm="1">
        <f t="array" ref="AY44">ROUND(IFERROR(INDEX(ArchiveResults!$F$5:$IX$116,ComparisonData!A44,ComparisonData!$AY$1),0),5)</f>
        <v>0</v>
      </c>
      <c r="AZ44" s="46" cm="1">
        <f t="array" ref="AZ44">ROUND(IFERROR(INDEX(ArchiveResults!$F$5:$IX$116,ComparisonData!A44,ComparisonData!$AZ$1),0),5)</f>
        <v>0</v>
      </c>
      <c r="BA44" s="46" cm="1">
        <f t="array" ref="BA44">ROUND(IFERROR(INDEX(ArchiveResults!$F$5:$IX$116,ComparisonData!A44,ComparisonData!$BA$1),0),5)</f>
        <v>0</v>
      </c>
      <c r="BB44" s="56">
        <v>39</v>
      </c>
      <c r="BC44" s="53" t="str">
        <f t="shared" si="539"/>
        <v>Highland Archive Service: The Nuclear and Caithness Archive</v>
      </c>
      <c r="BD44" s="60">
        <f t="shared" si="131"/>
        <v>0</v>
      </c>
      <c r="BE44" s="60">
        <f t="shared" si="132"/>
        <v>0</v>
      </c>
      <c r="BF44" s="60">
        <f t="shared" si="133"/>
        <v>0</v>
      </c>
      <c r="BG44" s="60">
        <f t="shared" si="134"/>
        <v>0</v>
      </c>
      <c r="BH44" s="60">
        <f t="shared" si="135"/>
        <v>0</v>
      </c>
      <c r="BI44" s="60">
        <f t="shared" si="136"/>
        <v>0</v>
      </c>
      <c r="BJ44" s="60">
        <f t="shared" si="137"/>
        <v>0</v>
      </c>
      <c r="BK44" s="60">
        <f t="shared" si="138"/>
        <v>0</v>
      </c>
      <c r="BL44" s="60">
        <f t="shared" si="139"/>
        <v>0</v>
      </c>
      <c r="BM44" s="59">
        <f t="shared" si="140"/>
        <v>0</v>
      </c>
      <c r="BN44" s="58">
        <f t="shared" si="141"/>
        <v>0</v>
      </c>
      <c r="BO44" s="45">
        <f t="shared" si="142"/>
        <v>10</v>
      </c>
      <c r="BP44" s="54">
        <f t="shared" si="540"/>
        <v>2.4839999999999995</v>
      </c>
      <c r="BQ44" s="45">
        <f t="shared" si="143"/>
        <v>1</v>
      </c>
      <c r="BR44" s="45">
        <f t="shared" si="144"/>
        <v>2</v>
      </c>
      <c r="BS44" s="46" cm="1">
        <f t="array" ref="BS44">ROUND(IFERROR(INDEX(ArchiveResults!$F$5:$IX$116,ComparisonData!A44,ComparisonData!$BS$1),0),5)</f>
        <v>0</v>
      </c>
      <c r="BT44" s="46" cm="1">
        <f t="array" ref="BT44">ROUND(IFERROR(INDEX(ArchiveResults!$F$5:$IX$116,ComparisonData!A44,ComparisonData!$BT$1),0),5)</f>
        <v>0</v>
      </c>
      <c r="BU44" s="46" cm="1">
        <f t="array" ref="BU44">ROUND(IFERROR(INDEX(ArchiveResults!$F$5:$IX$116,ComparisonData!A44,ComparisonData!$BU$1),0),5)</f>
        <v>0</v>
      </c>
      <c r="BV44" s="46" cm="1">
        <f t="array" ref="BV44">ROUND(IFERROR(INDEX(ArchiveResults!$F$5:$IX$116,ComparisonData!A44,ComparisonData!$BV$1),0),5)</f>
        <v>0</v>
      </c>
      <c r="BW44" s="46" cm="1">
        <f t="array" ref="BW44">ROUND(IFERROR(INDEX(ArchiveResults!$F$5:$IX$116,ComparisonData!A44,ComparisonData!$BW$1),0),5)</f>
        <v>0</v>
      </c>
      <c r="BX44" s="46" cm="1">
        <f t="array" ref="BX44">ROUND(IFERROR(INDEX(ArchiveResults!$F$5:$IX$116,ComparisonData!A44,ComparisonData!$BX$1),0),5)</f>
        <v>0</v>
      </c>
      <c r="BY44" s="56">
        <v>39</v>
      </c>
      <c r="BZ44" s="53" t="str">
        <f t="shared" si="541"/>
        <v>Highland Archive Service: The Nuclear and Caithness Archive</v>
      </c>
      <c r="CA44" s="59">
        <f t="shared" si="145"/>
        <v>0</v>
      </c>
      <c r="CB44" s="59">
        <f t="shared" si="146"/>
        <v>0</v>
      </c>
      <c r="CC44" s="59">
        <f t="shared" si="147"/>
        <v>0</v>
      </c>
      <c r="CD44" s="59">
        <f t="shared" si="148"/>
        <v>0</v>
      </c>
      <c r="CE44" s="59">
        <f t="shared" si="149"/>
        <v>0</v>
      </c>
      <c r="CF44" s="59">
        <f t="shared" si="150"/>
        <v>0</v>
      </c>
      <c r="CG44" s="58">
        <f t="shared" si="151"/>
        <v>0</v>
      </c>
      <c r="CH44" s="45">
        <f t="shared" si="152"/>
        <v>10</v>
      </c>
      <c r="CI44" s="54">
        <f t="shared" si="542"/>
        <v>2.4839999999999995</v>
      </c>
      <c r="CJ44" s="45">
        <f t="shared" si="153"/>
        <v>1</v>
      </c>
      <c r="CK44" s="45">
        <f t="shared" si="154"/>
        <v>2</v>
      </c>
      <c r="CL44" s="46" cm="1">
        <f t="array" ref="CL44">ROUND(IFERROR(INDEX(ArchiveResults!$F$5:$IX$116,ComparisonData!A44,ComparisonData!$CL$1),0),5)</f>
        <v>0</v>
      </c>
      <c r="CM44" s="56">
        <v>39</v>
      </c>
      <c r="CN44" s="53" t="str">
        <f t="shared" si="543"/>
        <v>Highland Archive Service: The Nuclear and Caithness Archive</v>
      </c>
      <c r="CO44" s="45">
        <f t="shared" si="155"/>
        <v>0</v>
      </c>
      <c r="CP44" s="58">
        <f t="shared" si="156"/>
        <v>0</v>
      </c>
      <c r="CQ44" s="45">
        <f t="shared" si="157"/>
        <v>10</v>
      </c>
      <c r="CR44" s="54">
        <f t="shared" si="544"/>
        <v>2.4839999999999995</v>
      </c>
      <c r="CS44" s="45">
        <f t="shared" si="158"/>
        <v>1</v>
      </c>
      <c r="CT44" s="45">
        <f t="shared" si="159"/>
        <v>2</v>
      </c>
      <c r="CU44" s="46" cm="1">
        <f t="array" ref="CU44">ROUND(IFERROR(INDEX(ArchiveResults!$F$5:$IX$116,ComparisonData!A44,ComparisonData!$CU$1),0),5)</f>
        <v>0</v>
      </c>
      <c r="CV44" s="56">
        <v>39</v>
      </c>
      <c r="CW44" s="53" t="str">
        <f t="shared" si="545"/>
        <v>Highland Archive Service: The Nuclear and Caithness Archive</v>
      </c>
      <c r="CX44" s="45">
        <f t="shared" si="160"/>
        <v>0</v>
      </c>
      <c r="CY44" s="58">
        <f t="shared" si="161"/>
        <v>0</v>
      </c>
      <c r="CZ44" s="45">
        <f t="shared" si="162"/>
        <v>10</v>
      </c>
      <c r="DA44" s="54">
        <f t="shared" si="546"/>
        <v>2.4839999999999995</v>
      </c>
      <c r="DB44" s="45">
        <f t="shared" si="163"/>
        <v>1</v>
      </c>
      <c r="DC44" s="45">
        <f t="shared" si="164"/>
        <v>2</v>
      </c>
      <c r="DD44" s="46" cm="1">
        <f t="array" ref="DD44">ROUND(IFERROR(INDEX(ArchiveResults!$F$5:$IX$116,ComparisonData!A44,ComparisonData!$DD$1),0),5)</f>
        <v>0</v>
      </c>
      <c r="DE44" s="56">
        <v>39</v>
      </c>
      <c r="DF44" s="53" t="str">
        <f t="shared" si="547"/>
        <v>Highland Archive Service: The Nuclear and Caithness Archive</v>
      </c>
      <c r="DG44" s="45">
        <f t="shared" si="165"/>
        <v>0</v>
      </c>
      <c r="DH44" s="58">
        <f t="shared" si="166"/>
        <v>0</v>
      </c>
      <c r="DI44" s="45">
        <f t="shared" si="167"/>
        <v>10</v>
      </c>
      <c r="DJ44" s="54">
        <f t="shared" si="548"/>
        <v>2.4839999999999995</v>
      </c>
      <c r="DK44" s="45">
        <f t="shared" si="168"/>
        <v>1</v>
      </c>
      <c r="DL44" s="45">
        <f t="shared" si="169"/>
        <v>2</v>
      </c>
      <c r="DM44" s="46" cm="1">
        <f t="array" ref="DM44">ROUND(IFERROR(INDEX(ArchiveResults!$F$5:$IX$116,ComparisonData!A44,ComparisonData!$DM$1),0),5)</f>
        <v>0</v>
      </c>
      <c r="DN44" s="46" cm="1">
        <f t="array" ref="DN44">ROUND(IFERROR(INDEX(ArchiveResults!$F$5:$IX$116,ComparisonData!A44,ComparisonData!$DN$1),0),5)</f>
        <v>0</v>
      </c>
      <c r="DO44" s="46" cm="1">
        <f t="array" ref="DO44">ROUND(IFERROR(INDEX(ArchiveResults!$F$5:$IX$116,ComparisonData!A44,ComparisonData!$DO$1),0),5)</f>
        <v>0</v>
      </c>
      <c r="DP44" s="46" cm="1">
        <f t="array" ref="DP44">ROUND(IFERROR(INDEX(ArchiveResults!$F$5:$IX$116,ComparisonData!A44,ComparisonData!$DP$1),0),5)</f>
        <v>0</v>
      </c>
      <c r="DQ44" s="45" cm="1">
        <f t="array" ref="DQ44">IFERROR(INDEX(ArchiveResults!$F$5:$IX$116,ComparisonData!A44,ComparisonData!$DQ$1),0)</f>
        <v>0</v>
      </c>
      <c r="DR44" s="56">
        <v>39</v>
      </c>
      <c r="DS44" s="53" t="str">
        <f t="shared" si="549"/>
        <v>Highland Archive Service: The Nuclear and Caithness Archive</v>
      </c>
      <c r="DT44" s="59">
        <f t="shared" si="170"/>
        <v>0</v>
      </c>
      <c r="DU44" s="59">
        <f t="shared" si="171"/>
        <v>0</v>
      </c>
      <c r="DV44" s="59">
        <f t="shared" si="172"/>
        <v>0</v>
      </c>
      <c r="DW44" s="59">
        <f t="shared" si="173"/>
        <v>0</v>
      </c>
      <c r="DX44" s="59">
        <f t="shared" si="174"/>
        <v>0</v>
      </c>
      <c r="DY44" s="58">
        <f t="shared" si="175"/>
        <v>0</v>
      </c>
      <c r="DZ44" s="45">
        <f t="shared" si="176"/>
        <v>10</v>
      </c>
      <c r="EA44" s="54">
        <f t="shared" si="550"/>
        <v>2.4839999999999995</v>
      </c>
      <c r="EB44" s="45">
        <f t="shared" si="177"/>
        <v>1</v>
      </c>
      <c r="EC44" s="45">
        <f t="shared" si="178"/>
        <v>2</v>
      </c>
      <c r="ED44" s="46" cm="1">
        <f t="array" ref="ED44">ROUND(IFERROR(INDEX(ArchiveResults!$F$5:$IX$116,ComparisonData!A44,ComparisonData!$ED$1),0),5)</f>
        <v>0</v>
      </c>
      <c r="EE44" s="46" cm="1">
        <f t="array" ref="EE44">ROUND(IFERROR(INDEX(ArchiveResults!$F$5:$IX$116,ComparisonData!A44,ComparisonData!$EE$1),0),5)</f>
        <v>0</v>
      </c>
      <c r="EF44" s="46" cm="1">
        <f t="array" ref="EF44">ROUND(IFERROR(INDEX(ArchiveResults!$F$5:$IX$116,ComparisonData!A44,ComparisonData!$EF$1),0),5)</f>
        <v>0</v>
      </c>
      <c r="EG44" s="46" cm="1">
        <f t="array" ref="EG44">ROUND(IFERROR(INDEX(ArchiveResults!$F$5:$IX$116,ComparisonData!A44,ComparisonData!$EG$1),0),5)</f>
        <v>0</v>
      </c>
      <c r="EH44" s="45" cm="1">
        <f t="array" ref="EH44">IFERROR(INDEX(ArchiveResults!$F$5:$IX$116,ComparisonData!A44,ComparisonData!$EH$1),0)</f>
        <v>0</v>
      </c>
      <c r="EI44" s="56">
        <v>39</v>
      </c>
      <c r="EJ44" s="53" t="str">
        <f t="shared" si="551"/>
        <v>Highland Archive Service: The Nuclear and Caithness Archive</v>
      </c>
      <c r="EK44" s="59">
        <f t="shared" si="179"/>
        <v>0</v>
      </c>
      <c r="EL44" s="59">
        <f t="shared" si="180"/>
        <v>0</v>
      </c>
      <c r="EM44" s="59">
        <f t="shared" si="181"/>
        <v>0</v>
      </c>
      <c r="EN44" s="59">
        <f t="shared" si="182"/>
        <v>0</v>
      </c>
      <c r="EO44" s="59">
        <f t="shared" si="183"/>
        <v>0</v>
      </c>
      <c r="EP44" s="58">
        <f t="shared" si="184"/>
        <v>0</v>
      </c>
      <c r="EQ44" s="45">
        <f t="shared" si="185"/>
        <v>10</v>
      </c>
      <c r="ER44" s="54">
        <f t="shared" si="552"/>
        <v>2.4839999999999995</v>
      </c>
      <c r="ES44" s="45">
        <f t="shared" si="186"/>
        <v>1</v>
      </c>
      <c r="ET44" s="45">
        <f t="shared" si="187"/>
        <v>2</v>
      </c>
      <c r="EU44" s="46" cm="1">
        <f t="array" ref="EU44">ROUND(IFERROR(INDEX(ArchiveResults!$F$5:$IX$116,ComparisonData!A44,ComparisonData!$EU$1),0),5)</f>
        <v>0</v>
      </c>
      <c r="EV44" s="46" cm="1">
        <f t="array" ref="EV44">ROUND(IFERROR(INDEX(ArchiveResults!$F$5:$IX$116,ComparisonData!A44,ComparisonData!$EV$1),0),5)</f>
        <v>0</v>
      </c>
      <c r="EW44" s="46" cm="1">
        <f t="array" ref="EW44">ROUND(IFERROR(INDEX(ArchiveResults!$F$5:$IX$116,ComparisonData!A44,ComparisonData!$EW$1),0),5)</f>
        <v>0</v>
      </c>
      <c r="EX44" s="46" cm="1">
        <f t="array" ref="EX44">ROUND(IFERROR(INDEX(ArchiveResults!$F$5:$IX$116,ComparisonData!A44,ComparisonData!$EX$1),0),5)</f>
        <v>0</v>
      </c>
      <c r="EY44" s="45" cm="1">
        <f t="array" ref="EY44">IFERROR(INDEX(ArchiveResults!$F$5:$IX$116,ComparisonData!A44,ComparisonData!$EY$1),0)</f>
        <v>0</v>
      </c>
      <c r="EZ44" s="56">
        <v>39</v>
      </c>
      <c r="FA44" s="53" t="str">
        <f t="shared" si="553"/>
        <v>Highland Archive Service: The Nuclear and Caithness Archive</v>
      </c>
      <c r="FB44" s="59">
        <f t="shared" si="188"/>
        <v>0</v>
      </c>
      <c r="FC44" s="59">
        <f t="shared" si="189"/>
        <v>0</v>
      </c>
      <c r="FD44" s="59">
        <f t="shared" si="190"/>
        <v>0</v>
      </c>
      <c r="FE44" s="59">
        <f t="shared" si="191"/>
        <v>0</v>
      </c>
      <c r="FF44" s="59">
        <f t="shared" si="192"/>
        <v>0</v>
      </c>
      <c r="FG44" s="58">
        <f t="shared" si="193"/>
        <v>0</v>
      </c>
      <c r="FH44" s="45">
        <f t="shared" si="194"/>
        <v>10</v>
      </c>
      <c r="FI44" s="54">
        <f t="shared" si="554"/>
        <v>2.4839999999999995</v>
      </c>
      <c r="FJ44" s="45">
        <f t="shared" si="195"/>
        <v>1</v>
      </c>
      <c r="FK44" s="45">
        <f t="shared" si="196"/>
        <v>2</v>
      </c>
      <c r="FL44" s="46" cm="1">
        <f t="array" ref="FL44">ROUND(IFERROR(INDEX(ArchiveResults!$F$5:$IX$116,ComparisonData!A44,ComparisonData!$FL$1),0),5)</f>
        <v>0</v>
      </c>
      <c r="FM44" s="46" cm="1">
        <f t="array" ref="FM44">ROUND(IFERROR(INDEX(ArchiveResults!$F$5:$IX$116,ComparisonData!A44,ComparisonData!$FM$1),0),5)</f>
        <v>0</v>
      </c>
      <c r="FN44" s="46" cm="1">
        <f t="array" ref="FN44">ROUND(IFERROR(INDEX(ArchiveResults!$F$5:$IX$116,ComparisonData!A44,ComparisonData!$FN$1),0),5)</f>
        <v>0</v>
      </c>
      <c r="FO44" s="46" cm="1">
        <f t="array" ref="FO44">ROUND(IFERROR(INDEX(ArchiveResults!$F$5:$IX$116,ComparisonData!A44,ComparisonData!$FO$1),0),5)</f>
        <v>0</v>
      </c>
      <c r="FP44" s="45" cm="1">
        <f t="array" ref="FP44">IFERROR(INDEX(ArchiveResults!$F$5:$IX$116,ComparisonData!A44,ComparisonData!$FP$1),0)</f>
        <v>0</v>
      </c>
      <c r="FQ44" s="56">
        <v>39</v>
      </c>
      <c r="FR44" s="53" t="str">
        <f t="shared" si="555"/>
        <v>Highland Archive Service: The Nuclear and Caithness Archive</v>
      </c>
      <c r="FS44" s="59">
        <f t="shared" si="197"/>
        <v>0</v>
      </c>
      <c r="FT44" s="59">
        <f t="shared" si="198"/>
        <v>0</v>
      </c>
      <c r="FU44" s="59">
        <f t="shared" si="199"/>
        <v>0</v>
      </c>
      <c r="FV44" s="59">
        <f t="shared" si="200"/>
        <v>0</v>
      </c>
      <c r="FW44" s="59">
        <f t="shared" si="201"/>
        <v>0</v>
      </c>
      <c r="FX44" s="58">
        <f t="shared" si="202"/>
        <v>0</v>
      </c>
      <c r="FY44" s="45">
        <f t="shared" si="203"/>
        <v>10</v>
      </c>
      <c r="FZ44" s="45">
        <f t="shared" si="556"/>
        <v>2.4839999999999995</v>
      </c>
      <c r="GA44" s="45">
        <f t="shared" si="204"/>
        <v>1</v>
      </c>
      <c r="GB44" s="45">
        <f t="shared" si="205"/>
        <v>2</v>
      </c>
      <c r="GC44" s="46" cm="1">
        <f t="array" ref="GC44">ROUND(IFERROR(INDEX(ArchiveResults!$F$5:$IX$116,ComparisonData!A44,ComparisonData!$GC$1),0),5)</f>
        <v>0</v>
      </c>
      <c r="GD44" s="46" cm="1">
        <f t="array" ref="GD44">ROUND(IFERROR(INDEX(ArchiveResults!$F$5:$IX$116,ComparisonData!A44,ComparisonData!$GD$1),0),5)</f>
        <v>0</v>
      </c>
      <c r="GE44" s="46" cm="1">
        <f t="array" ref="GE44">ROUND(IFERROR(INDEX(ArchiveResults!$F$5:$IX$116,ComparisonData!A44,ComparisonData!$GE$1),0),5)</f>
        <v>0</v>
      </c>
      <c r="GF44" s="46" cm="1">
        <f t="array" ref="GF44">ROUND(IFERROR(INDEX(ArchiveResults!$F$5:$IX$116,ComparisonData!A44,ComparisonData!$GF$1),0),5)</f>
        <v>0</v>
      </c>
      <c r="GG44" s="45" cm="1">
        <f t="array" ref="GG44">IFERROR(INDEX(ArchiveResults!$F$5:$IX$116,ComparisonData!A44,ComparisonData!$GG$1),0)</f>
        <v>0</v>
      </c>
      <c r="GH44" s="56">
        <v>39</v>
      </c>
      <c r="GI44" s="53" t="str">
        <f t="shared" si="557"/>
        <v>Highland Archive Service: The Nuclear and Caithness Archive</v>
      </c>
      <c r="GJ44" s="59">
        <f t="shared" si="206"/>
        <v>0</v>
      </c>
      <c r="GK44" s="59">
        <f t="shared" si="207"/>
        <v>0</v>
      </c>
      <c r="GL44" s="59">
        <f t="shared" si="208"/>
        <v>0</v>
      </c>
      <c r="GM44" s="59">
        <f t="shared" si="209"/>
        <v>0</v>
      </c>
      <c r="GN44" s="59">
        <f t="shared" si="210"/>
        <v>0</v>
      </c>
      <c r="GO44" s="58">
        <f t="shared" si="211"/>
        <v>0</v>
      </c>
      <c r="GP44" s="45">
        <f t="shared" si="212"/>
        <v>10</v>
      </c>
      <c r="GQ44" s="45">
        <f t="shared" si="558"/>
        <v>2.4839999999999995</v>
      </c>
      <c r="GR44" s="45">
        <f t="shared" si="213"/>
        <v>1</v>
      </c>
      <c r="GS44" s="45">
        <f t="shared" si="214"/>
        <v>2</v>
      </c>
      <c r="GT44" s="46" cm="1">
        <f t="array" ref="GT44">ROUND(IFERROR(INDEX(ArchiveResults!$F$5:$IX$116,ComparisonData!A44,ComparisonData!$GT$1),0),5)</f>
        <v>0</v>
      </c>
      <c r="GU44" s="46" cm="1">
        <f t="array" ref="GU44">ROUND(IFERROR(INDEX(ArchiveResults!$F$5:$IX$116,ComparisonData!A44,ComparisonData!$GU$1),0),5)</f>
        <v>0</v>
      </c>
      <c r="GV44" s="46" cm="1">
        <f t="array" ref="GV44">ROUND(IFERROR(INDEX(ArchiveResults!$F$5:$IX$116,ComparisonData!A44,ComparisonData!$GV$1),0),5)</f>
        <v>0</v>
      </c>
      <c r="GW44" s="46" cm="1">
        <f t="array" ref="GW44">ROUND(IFERROR(INDEX(ArchiveResults!$F$5:$IX$116,ComparisonData!A44,ComparisonData!$GW$1),0),5)</f>
        <v>0</v>
      </c>
      <c r="GX44" s="45" cm="1">
        <f t="array" ref="GX44">IFERROR(INDEX(ArchiveResults!$F$5:$IX$116,ComparisonData!A44,ComparisonData!$GX$1),0)</f>
        <v>0</v>
      </c>
      <c r="GY44" s="56">
        <v>39</v>
      </c>
      <c r="GZ44" s="53" t="str">
        <f t="shared" si="559"/>
        <v>Highland Archive Service: The Nuclear and Caithness Archive</v>
      </c>
      <c r="HA44" s="59">
        <f t="shared" si="215"/>
        <v>0</v>
      </c>
      <c r="HB44" s="59">
        <f t="shared" si="216"/>
        <v>0</v>
      </c>
      <c r="HC44" s="59">
        <f t="shared" si="217"/>
        <v>0</v>
      </c>
      <c r="HD44" s="59">
        <f t="shared" si="218"/>
        <v>0</v>
      </c>
      <c r="HE44" s="59">
        <f t="shared" si="219"/>
        <v>0</v>
      </c>
      <c r="HF44" s="58">
        <f t="shared" si="220"/>
        <v>0</v>
      </c>
      <c r="HG44" s="45">
        <f t="shared" si="221"/>
        <v>10</v>
      </c>
      <c r="HH44" s="45">
        <f t="shared" si="560"/>
        <v>2.4839999999999995</v>
      </c>
      <c r="HI44" s="45">
        <f t="shared" si="222"/>
        <v>1</v>
      </c>
      <c r="HJ44" s="45">
        <f t="shared" si="223"/>
        <v>2</v>
      </c>
      <c r="HK44" s="46" cm="1">
        <f t="array" ref="HK44">ROUND(IFERROR(INDEX(ArchiveResults!$F$5:$IX$116,ComparisonData!A44,ComparisonData!$HK$1),0),5)</f>
        <v>0</v>
      </c>
      <c r="HL44" s="46" cm="1">
        <f t="array" ref="HL44">ROUND(IFERROR(INDEX(ArchiveResults!$F$5:$IX$116,ComparisonData!A44,ComparisonData!$HL$1),0),5)</f>
        <v>0</v>
      </c>
      <c r="HM44" s="46" cm="1">
        <f t="array" ref="HM44">ROUND(IFERROR(INDEX(ArchiveResults!$F$5:$IX$116,ComparisonData!A44,ComparisonData!$HM$1),0),5)</f>
        <v>0</v>
      </c>
      <c r="HN44" s="46" cm="1">
        <f t="array" ref="HN44">ROUND(IFERROR(INDEX(ArchiveResults!$F$5:$IX$116,ComparisonData!A44,ComparisonData!$HN$1),0),5)</f>
        <v>0</v>
      </c>
      <c r="HO44" s="45" cm="1">
        <f t="array" ref="HO44">IFERROR(INDEX(ArchiveResults!$F$5:$IX$116,ComparisonData!A44,ComparisonData!$HO$1),0)</f>
        <v>0</v>
      </c>
      <c r="HP44" s="56">
        <v>39</v>
      </c>
      <c r="HQ44" s="53" t="str">
        <f t="shared" si="561"/>
        <v>Highland Archive Service: The Nuclear and Caithness Archive</v>
      </c>
      <c r="HR44" s="59">
        <f t="shared" si="562"/>
        <v>0</v>
      </c>
      <c r="HS44" s="59">
        <f t="shared" si="563"/>
        <v>0</v>
      </c>
      <c r="HT44" s="59">
        <f t="shared" si="564"/>
        <v>0</v>
      </c>
      <c r="HU44" s="59">
        <f t="shared" si="565"/>
        <v>0</v>
      </c>
      <c r="HV44" s="59">
        <f t="shared" si="566"/>
        <v>0</v>
      </c>
      <c r="HW44" s="58">
        <f t="shared" si="224"/>
        <v>0</v>
      </c>
      <c r="HX44" s="45">
        <f t="shared" si="225"/>
        <v>10</v>
      </c>
      <c r="HY44" s="45">
        <f t="shared" si="567"/>
        <v>2.4839999999999995</v>
      </c>
      <c r="HZ44" s="45">
        <f t="shared" si="226"/>
        <v>1</v>
      </c>
      <c r="IA44" s="45">
        <f t="shared" si="227"/>
        <v>2</v>
      </c>
      <c r="IB44" s="45">
        <f t="shared" si="228"/>
        <v>0</v>
      </c>
      <c r="IC44" s="46" cm="1">
        <f t="array" ref="IC44">ROUND(IFERROR(INDEX(ArchiveResults!$F$5:$IX$116,ComparisonData!A44,ComparisonData!$IC$1),0),5)</f>
        <v>0</v>
      </c>
      <c r="ID44" s="46" cm="1">
        <f t="array" ref="ID44">ROUND(IFERROR(INDEX(ArchiveResults!$F$5:$IX$116,ComparisonData!A44,ComparisonData!$ID$1),0),5)</f>
        <v>0</v>
      </c>
      <c r="IE44" s="46" cm="1">
        <f t="array" ref="IE44">ROUND(IFERROR(INDEX(ArchiveResults!$F$5:$IX$116,ComparisonData!A44,ComparisonData!$IE$1),0),5)</f>
        <v>0</v>
      </c>
      <c r="IF44" s="46" cm="1">
        <f t="array" ref="IF44">ROUND(IFERROR(INDEX(ArchiveResults!$F$5:$IX$116,ComparisonData!A44,ComparisonData!$IF$1),0),5)</f>
        <v>0</v>
      </c>
      <c r="IG44" s="45" cm="1">
        <f t="array" ref="IG44">IFERROR(INDEX(ArchiveResults!$F$5:$IX$116,ComparisonData!A44,ComparisonData!$IG$1),0)</f>
        <v>0</v>
      </c>
      <c r="IH44" s="56">
        <v>39</v>
      </c>
      <c r="II44" s="53" t="str">
        <f t="shared" si="568"/>
        <v>Highland Archive Service: The Nuclear and Caithness Archive</v>
      </c>
      <c r="IJ44" s="59">
        <f t="shared" si="229"/>
        <v>0</v>
      </c>
      <c r="IK44" s="59">
        <f t="shared" si="230"/>
        <v>0</v>
      </c>
      <c r="IL44" s="59">
        <f t="shared" si="231"/>
        <v>0</v>
      </c>
      <c r="IM44" s="59">
        <f t="shared" si="232"/>
        <v>0</v>
      </c>
      <c r="IN44" s="59">
        <f t="shared" si="233"/>
        <v>0</v>
      </c>
      <c r="IO44" s="58">
        <f t="shared" si="234"/>
        <v>0</v>
      </c>
      <c r="IP44" s="45">
        <f t="shared" si="235"/>
        <v>10</v>
      </c>
      <c r="IQ44" s="45">
        <f t="shared" si="569"/>
        <v>2.4839999999999995</v>
      </c>
      <c r="IR44" s="45">
        <f t="shared" si="236"/>
        <v>1</v>
      </c>
      <c r="IS44" s="45">
        <f t="shared" si="237"/>
        <v>2</v>
      </c>
      <c r="IT44" s="46">
        <f t="shared" si="238"/>
        <v>0</v>
      </c>
      <c r="IU44" s="46" cm="1">
        <f t="array" ref="IU44">ROUND(IFERROR(INDEX(ArchiveResults!$F$5:$IX$116,ComparisonData!A44,ComparisonData!$IU$1),0),5)</f>
        <v>0</v>
      </c>
      <c r="IV44" s="46" cm="1">
        <f t="array" ref="IV44">ROUND(IFERROR(INDEX(ArchiveResults!$F$5:$IX$116,ComparisonData!A44,ComparisonData!$IV$1),0),5)</f>
        <v>0</v>
      </c>
      <c r="IW44" s="46" cm="1">
        <f t="array" ref="IW44">ROUND(IFERROR(INDEX(ArchiveResults!$F$5:$IX$116,ComparisonData!A44,ComparisonData!$IW$1),0),5)</f>
        <v>0</v>
      </c>
      <c r="IX44" s="46" cm="1">
        <f t="array" ref="IX44">ROUND(IFERROR(INDEX(ArchiveResults!$F$5:$IX$116,ComparisonData!A44,ComparisonData!$IX$1),0),5)</f>
        <v>0</v>
      </c>
      <c r="IY44" s="45" cm="1">
        <f t="array" ref="IY44">IFERROR(INDEX(ArchiveResults!$F$5:$IX$116,ComparisonData!A44,ComparisonData!$IY$1),0)</f>
        <v>0</v>
      </c>
      <c r="IZ44" s="56">
        <v>39</v>
      </c>
      <c r="JA44" s="53" t="str">
        <f t="shared" si="570"/>
        <v>Highland Archive Service: The Nuclear and Caithness Archive</v>
      </c>
      <c r="JB44" s="59">
        <f t="shared" si="239"/>
        <v>0</v>
      </c>
      <c r="JC44" s="59">
        <f t="shared" si="240"/>
        <v>0</v>
      </c>
      <c r="JD44" s="59">
        <f t="shared" si="241"/>
        <v>0</v>
      </c>
      <c r="JE44" s="59">
        <f t="shared" si="242"/>
        <v>0</v>
      </c>
      <c r="JF44" s="59">
        <f t="shared" si="243"/>
        <v>0</v>
      </c>
      <c r="JG44" s="58">
        <f t="shared" si="244"/>
        <v>0</v>
      </c>
      <c r="JH44" s="45">
        <f t="shared" si="245"/>
        <v>10</v>
      </c>
      <c r="JI44" s="45">
        <f t="shared" si="571"/>
        <v>2.4839999999999995</v>
      </c>
      <c r="JJ44" s="45">
        <f t="shared" si="246"/>
        <v>1</v>
      </c>
      <c r="JK44" s="45">
        <f t="shared" si="247"/>
        <v>2</v>
      </c>
      <c r="JL44" s="45">
        <f t="shared" si="248"/>
        <v>0</v>
      </c>
      <c r="JM44" s="46" cm="1">
        <f t="array" ref="JM44">ROUND(IFERROR(INDEX(ArchiveResults!$F$5:$IX$116,ComparisonData!A44,ComparisonData!$JM$1),0),5)</f>
        <v>0</v>
      </c>
      <c r="JN44" s="46" cm="1">
        <f t="array" ref="JN44">ROUND(IFERROR(INDEX(ArchiveResults!$F$5:$IX$116,ComparisonData!A44,ComparisonData!$JN$1),0),5)</f>
        <v>0</v>
      </c>
      <c r="JO44" s="46" cm="1">
        <f t="array" ref="JO44">ROUND(IFERROR(INDEX(ArchiveResults!$F$5:$IX$116,ComparisonData!A44,ComparisonData!$JO$1),0),5)</f>
        <v>0</v>
      </c>
      <c r="JP44" s="46" cm="1">
        <f t="array" ref="JP44">ROUND(IFERROR(INDEX(ArchiveResults!$F$5:$IX$116,ComparisonData!A44,ComparisonData!$JP$1),0),5)</f>
        <v>0</v>
      </c>
      <c r="JQ44" s="45" cm="1">
        <f t="array" ref="JQ44">IFERROR(INDEX(ArchiveResults!$F$5:$IX$116,ComparisonData!A44,ComparisonData!$JQ$1),0)</f>
        <v>0</v>
      </c>
      <c r="JR44" s="56">
        <v>39</v>
      </c>
      <c r="JS44" s="53" t="str">
        <f t="shared" si="572"/>
        <v>Highland Archive Service: The Nuclear and Caithness Archive</v>
      </c>
      <c r="JT44" s="59">
        <f t="shared" si="249"/>
        <v>0</v>
      </c>
      <c r="JU44" s="59">
        <f t="shared" si="250"/>
        <v>0</v>
      </c>
      <c r="JV44" s="59">
        <f t="shared" si="251"/>
        <v>0</v>
      </c>
      <c r="JW44" s="59">
        <f t="shared" si="252"/>
        <v>0</v>
      </c>
      <c r="JX44" s="59">
        <f t="shared" si="253"/>
        <v>0</v>
      </c>
      <c r="JY44" s="58">
        <f t="shared" si="254"/>
        <v>0</v>
      </c>
      <c r="JZ44" s="45">
        <f t="shared" si="255"/>
        <v>10</v>
      </c>
      <c r="KA44" s="45">
        <f t="shared" si="573"/>
        <v>2.4839999999999995</v>
      </c>
      <c r="KB44" s="45">
        <f t="shared" si="256"/>
        <v>1</v>
      </c>
      <c r="KC44" s="45">
        <f t="shared" si="257"/>
        <v>2</v>
      </c>
      <c r="KD44" s="45">
        <f t="shared" si="258"/>
        <v>0</v>
      </c>
      <c r="KE44" s="46" cm="1">
        <f t="array" ref="KE44">ROUND(IFERROR(INDEX(ArchiveResults!$F$5:$IX$116,ComparisonData!A44,ComparisonData!$KE$1),0),5)</f>
        <v>0</v>
      </c>
      <c r="KF44" s="46" cm="1">
        <f t="array" ref="KF44">ROUND(IFERROR(INDEX(ArchiveResults!$F$5:$IX$116,ComparisonData!A44,ComparisonData!$KF$1),0),5)</f>
        <v>0</v>
      </c>
      <c r="KG44" s="46" cm="1">
        <f t="array" ref="KG44">ROUND(IFERROR(INDEX(ArchiveResults!$F$5:$IX$116,ComparisonData!A44,ComparisonData!$KG$1),0),5)</f>
        <v>0</v>
      </c>
      <c r="KH44" s="46" cm="1">
        <f t="array" ref="KH44">ROUND(IFERROR(INDEX(ArchiveResults!$F$5:$IX$116,ComparisonData!A44,ComparisonData!$KH$1),0),5)</f>
        <v>0</v>
      </c>
      <c r="KI44" s="45" cm="1">
        <f t="array" ref="KI44">IFERROR(INDEX(ArchiveResults!$F$5:$IX$116,ComparisonData!A44,ComparisonData!$KI$1),0)</f>
        <v>0</v>
      </c>
      <c r="KJ44" s="56">
        <v>39</v>
      </c>
      <c r="KK44" s="53" t="str">
        <f t="shared" si="574"/>
        <v>Highland Archive Service: The Nuclear and Caithness Archive</v>
      </c>
      <c r="KL44" s="59">
        <f t="shared" si="259"/>
        <v>0</v>
      </c>
      <c r="KM44" s="59">
        <f t="shared" si="260"/>
        <v>0</v>
      </c>
      <c r="KN44" s="59">
        <f t="shared" si="261"/>
        <v>0</v>
      </c>
      <c r="KO44" s="59">
        <f t="shared" si="262"/>
        <v>0</v>
      </c>
      <c r="KP44" s="59">
        <f t="shared" si="263"/>
        <v>0</v>
      </c>
      <c r="KQ44" s="58">
        <f t="shared" si="264"/>
        <v>0</v>
      </c>
      <c r="KR44" s="45">
        <f t="shared" si="265"/>
        <v>10</v>
      </c>
      <c r="KS44" s="45">
        <f t="shared" si="575"/>
        <v>2.4839999999999995</v>
      </c>
      <c r="KT44" s="45">
        <f t="shared" si="266"/>
        <v>1</v>
      </c>
      <c r="KU44" s="45">
        <f t="shared" si="267"/>
        <v>2</v>
      </c>
      <c r="KV44" s="45">
        <f t="shared" si="268"/>
        <v>0</v>
      </c>
      <c r="KW44" s="46" cm="1">
        <f t="array" ref="KW44">ROUND(IFERROR(INDEX(ArchiveResults!$F$5:$IX$116,ComparisonData!A44,ComparisonData!$KW$1),0),5)</f>
        <v>0</v>
      </c>
      <c r="KX44" s="46" cm="1">
        <f t="array" ref="KX44">ROUND(IFERROR(INDEX(ArchiveResults!$F$5:$IX$116,ComparisonData!A44,ComparisonData!$KX$1),0),5)</f>
        <v>0</v>
      </c>
      <c r="KY44" s="46" cm="1">
        <f t="array" ref="KY44">ROUND(IFERROR(INDEX(ArchiveResults!$F$5:$IX$116,ComparisonData!A44,ComparisonData!$KY$1),0),5)</f>
        <v>0</v>
      </c>
      <c r="KZ44" s="46" cm="1">
        <f t="array" ref="KZ44">ROUND(IFERROR(INDEX(ArchiveResults!$F$5:$IX$116,ComparisonData!A44,ComparisonData!$KZ$1),0),5)</f>
        <v>0</v>
      </c>
      <c r="LA44" s="45" cm="1">
        <f t="array" ref="LA44">IFERROR(INDEX(ArchiveResults!$F$5:$IX$116,ComparisonData!A44,ComparisonData!$LA$1),0)</f>
        <v>0</v>
      </c>
      <c r="LB44" s="56">
        <v>39</v>
      </c>
      <c r="LC44" s="53" t="str">
        <f t="shared" si="576"/>
        <v>Highland Archive Service: The Nuclear and Caithness Archive</v>
      </c>
      <c r="LD44" s="59">
        <f t="shared" si="269"/>
        <v>0</v>
      </c>
      <c r="LE44" s="59">
        <f t="shared" si="270"/>
        <v>0</v>
      </c>
      <c r="LF44" s="59">
        <f t="shared" si="271"/>
        <v>0</v>
      </c>
      <c r="LG44" s="59">
        <f t="shared" si="272"/>
        <v>0</v>
      </c>
      <c r="LH44" s="59">
        <f t="shared" si="273"/>
        <v>0</v>
      </c>
      <c r="LI44" s="58">
        <f t="shared" si="274"/>
        <v>0</v>
      </c>
      <c r="LJ44" s="45">
        <f t="shared" si="275"/>
        <v>10</v>
      </c>
      <c r="LK44" s="45">
        <f t="shared" si="577"/>
        <v>2.4839999999999995</v>
      </c>
      <c r="LL44" s="45">
        <f t="shared" si="276"/>
        <v>1</v>
      </c>
      <c r="LM44" s="45">
        <f t="shared" si="277"/>
        <v>2</v>
      </c>
      <c r="LN44" s="45">
        <f t="shared" si="278"/>
        <v>0</v>
      </c>
      <c r="LO44" s="46" cm="1">
        <f t="array" ref="LO44">ROUND(IFERROR(INDEX(ArchiveResults!$F$5:$IX$116,ComparisonData!A44,ComparisonData!$LO$1),0),5)</f>
        <v>0</v>
      </c>
      <c r="LP44" s="46" cm="1">
        <f t="array" ref="LP44">ROUND(IFERROR(INDEX(ArchiveResults!$F$5:$IX$116,ComparisonData!A44,ComparisonData!$LP$1),0),5)</f>
        <v>0</v>
      </c>
      <c r="LQ44" s="46" cm="1">
        <f t="array" ref="LQ44">ROUND(IFERROR(INDEX(ArchiveResults!$F$5:$IX$116,ComparisonData!A44,ComparisonData!$LQ$1),0),5)</f>
        <v>0</v>
      </c>
      <c r="LR44" s="46" cm="1">
        <f t="array" ref="LR44">ROUND(IFERROR(INDEX(ArchiveResults!$F$5:$IX$116,ComparisonData!A44,ComparisonData!$LR$1),0),5)</f>
        <v>0</v>
      </c>
      <c r="LS44" s="45" cm="1">
        <f t="array" ref="LS44">IFERROR(INDEX(ArchiveResults!$F$5:$IX$116,ComparisonData!A44,ComparisonData!$LS$1),0)</f>
        <v>0</v>
      </c>
      <c r="LT44" s="56">
        <v>39</v>
      </c>
      <c r="LU44" s="53" t="str">
        <f t="shared" si="578"/>
        <v>Highland Archive Service: The Nuclear and Caithness Archive</v>
      </c>
      <c r="LV44" s="59">
        <f t="shared" si="279"/>
        <v>0</v>
      </c>
      <c r="LW44" s="59">
        <f t="shared" si="280"/>
        <v>0</v>
      </c>
      <c r="LX44" s="59">
        <f t="shared" si="281"/>
        <v>0</v>
      </c>
      <c r="LY44" s="59">
        <f t="shared" si="282"/>
        <v>0</v>
      </c>
      <c r="LZ44" s="59">
        <f t="shared" si="283"/>
        <v>0</v>
      </c>
      <c r="MA44" s="58">
        <f t="shared" si="284"/>
        <v>0</v>
      </c>
      <c r="MB44" s="45">
        <f t="shared" si="285"/>
        <v>10</v>
      </c>
      <c r="MC44" s="45">
        <f t="shared" si="579"/>
        <v>2.4839999999999995</v>
      </c>
      <c r="MD44" s="45">
        <f t="shared" si="286"/>
        <v>1</v>
      </c>
      <c r="ME44" s="45">
        <f t="shared" si="287"/>
        <v>2</v>
      </c>
      <c r="MF44" s="45">
        <f t="shared" si="288"/>
        <v>0</v>
      </c>
      <c r="MG44" s="46" cm="1">
        <f t="array" ref="MG44">ROUND(IFERROR(INDEX(ArchiveResults!$F$5:$IX$116,ComparisonData!A44,ComparisonData!$MG$1),0),5)</f>
        <v>0</v>
      </c>
      <c r="MH44" s="46" cm="1">
        <f t="array" ref="MH44">ROUND(IFERROR(INDEX(ArchiveResults!$F$5:$IX$116,ComparisonData!A44,ComparisonData!$MH$1),0),5)</f>
        <v>0</v>
      </c>
      <c r="MI44" s="46" cm="1">
        <f t="array" ref="MI44">ROUND(IFERROR(INDEX(ArchiveResults!$F$5:$IX$116,ComparisonData!A44,ComparisonData!$MI$1),0),5)</f>
        <v>0</v>
      </c>
      <c r="MJ44" s="46" cm="1">
        <f t="array" ref="MJ44">ROUND(IFERROR(INDEX(ArchiveResults!$F$5:$IX$116,ComparisonData!A44,ComparisonData!$MJ$1),0),5)</f>
        <v>0</v>
      </c>
      <c r="MK44" s="45" cm="1">
        <f t="array" ref="MK44">IFERROR(INDEX(ArchiveResults!$F$5:$IX$116,ComparisonData!A44,ComparisonData!$MK$1),0)</f>
        <v>0</v>
      </c>
      <c r="ML44" s="56">
        <v>39</v>
      </c>
      <c r="MM44" s="53" t="str">
        <f t="shared" si="580"/>
        <v>Highland Archive Service: The Nuclear and Caithness Archive</v>
      </c>
      <c r="MN44" s="59">
        <f t="shared" si="289"/>
        <v>0</v>
      </c>
      <c r="MO44" s="59">
        <f t="shared" si="290"/>
        <v>0</v>
      </c>
      <c r="MP44" s="59">
        <f t="shared" si="291"/>
        <v>0</v>
      </c>
      <c r="MQ44" s="59">
        <f t="shared" si="292"/>
        <v>0</v>
      </c>
      <c r="MR44" s="59">
        <f t="shared" si="293"/>
        <v>0</v>
      </c>
      <c r="MS44" s="58">
        <f t="shared" si="294"/>
        <v>0</v>
      </c>
      <c r="MT44" s="45">
        <f t="shared" si="295"/>
        <v>10</v>
      </c>
      <c r="MU44" s="45">
        <f t="shared" si="581"/>
        <v>2.4839999999999995</v>
      </c>
      <c r="MV44" s="45">
        <f t="shared" si="296"/>
        <v>1</v>
      </c>
      <c r="MW44" s="45">
        <f t="shared" si="297"/>
        <v>2</v>
      </c>
      <c r="MX44" s="45">
        <f t="shared" si="298"/>
        <v>0</v>
      </c>
      <c r="MY44" s="46" cm="1">
        <f t="array" ref="MY44">ROUND(IFERROR(INDEX(ArchiveResults!$F$5:$IX$116,ComparisonData!A44,ComparisonData!$MY$1),0),5)</f>
        <v>0</v>
      </c>
      <c r="MZ44" s="46" cm="1">
        <f t="array" ref="MZ44">ROUND(IFERROR(INDEX(ArchiveResults!$F$5:$IX$116,ComparisonData!A44,ComparisonData!$MZ$1),0),5)</f>
        <v>0</v>
      </c>
      <c r="NA44" s="46" cm="1">
        <f t="array" ref="NA44">ROUND(IFERROR(INDEX(ArchiveResults!$F$5:$IX$116,ComparisonData!A44,ComparisonData!$NA$1),0),5)</f>
        <v>0</v>
      </c>
      <c r="NB44" s="46" cm="1">
        <f t="array" ref="NB44">ROUND(IFERROR(INDEX(ArchiveResults!$F$5:$IX$116,ComparisonData!A44,ComparisonData!$NB$1),0),5)</f>
        <v>0</v>
      </c>
      <c r="NC44" s="45" cm="1">
        <f t="array" ref="NC44">IFERROR(INDEX(ArchiveResults!$F$5:$IX$116,ComparisonData!A44,ComparisonData!$NC$1),0)</f>
        <v>0</v>
      </c>
      <c r="ND44" s="56">
        <v>39</v>
      </c>
      <c r="NE44" s="53" t="str">
        <f t="shared" si="582"/>
        <v>Highland Archive Service: The Nuclear and Caithness Archive</v>
      </c>
      <c r="NF44" s="59">
        <f t="shared" si="299"/>
        <v>0</v>
      </c>
      <c r="NG44" s="59">
        <f t="shared" si="300"/>
        <v>0</v>
      </c>
      <c r="NH44" s="59">
        <f t="shared" si="301"/>
        <v>0</v>
      </c>
      <c r="NI44" s="59">
        <f t="shared" si="302"/>
        <v>0</v>
      </c>
      <c r="NJ44" s="59">
        <f t="shared" si="303"/>
        <v>0</v>
      </c>
      <c r="NK44" s="58">
        <f t="shared" si="304"/>
        <v>0</v>
      </c>
      <c r="NL44" s="45">
        <f t="shared" si="305"/>
        <v>10</v>
      </c>
      <c r="NM44" s="45">
        <f t="shared" si="583"/>
        <v>2.4839999999999995</v>
      </c>
      <c r="NN44" s="45">
        <f t="shared" si="306"/>
        <v>1</v>
      </c>
      <c r="NO44" s="45">
        <f t="shared" si="307"/>
        <v>2</v>
      </c>
      <c r="NP44" s="46" cm="1">
        <f t="array" ref="NP44">ROUND(IFERROR(INDEX(ArchiveResults!$F$5:$IX$116,ComparisonData!A44,ComparisonData!$NP$1),0),5)</f>
        <v>0</v>
      </c>
      <c r="NQ44" s="46" cm="1">
        <f t="array" ref="NQ44">ROUND(IFERROR(INDEX(ArchiveResults!$F$5:$IX$116,ComparisonData!A44,ComparisonData!$NQ$1),0),5)</f>
        <v>0</v>
      </c>
      <c r="NR44" s="46" cm="1">
        <f t="array" ref="NR44">ROUND(IFERROR(INDEX(ArchiveResults!$F$5:$IX$116,ComparisonData!A44,ComparisonData!$NR$1),0),5)</f>
        <v>0</v>
      </c>
      <c r="NS44" s="46" cm="1">
        <f t="array" ref="NS44">ROUND(IFERROR(INDEX(ArchiveResults!$F$5:$IX$116,ComparisonData!A44,ComparisonData!$NS$1),0),5)</f>
        <v>0</v>
      </c>
      <c r="NT44" s="45" cm="1">
        <f t="array" ref="NT44">IFERROR(INDEX(ArchiveResults!$F$5:$IX$116,ComparisonData!A44,ComparisonData!$NT$1),0)</f>
        <v>0</v>
      </c>
      <c r="NU44" s="56">
        <v>39</v>
      </c>
      <c r="NV44" s="53" t="str">
        <f t="shared" si="584"/>
        <v>Highland Archive Service: The Nuclear and Caithness Archive</v>
      </c>
      <c r="NW44" s="59">
        <f t="shared" si="308"/>
        <v>0</v>
      </c>
      <c r="NX44" s="59">
        <f t="shared" si="309"/>
        <v>0</v>
      </c>
      <c r="NY44" s="59">
        <f t="shared" si="310"/>
        <v>0</v>
      </c>
      <c r="NZ44" s="59">
        <f t="shared" si="311"/>
        <v>0</v>
      </c>
      <c r="OA44" s="59">
        <f t="shared" si="312"/>
        <v>0</v>
      </c>
      <c r="OB44" s="58">
        <f t="shared" si="313"/>
        <v>0</v>
      </c>
      <c r="OC44" s="45">
        <f t="shared" si="314"/>
        <v>10</v>
      </c>
      <c r="OD44" s="45">
        <f t="shared" si="585"/>
        <v>2.4839999999999995</v>
      </c>
      <c r="OE44" s="45">
        <f t="shared" si="315"/>
        <v>1</v>
      </c>
      <c r="OF44" s="45">
        <f t="shared" si="316"/>
        <v>2</v>
      </c>
      <c r="OG44" s="46">
        <f t="shared" si="317"/>
        <v>0</v>
      </c>
      <c r="OH44" s="46" cm="1">
        <f t="array" ref="OH44">ROUND(IFERROR(INDEX(ArchiveResults!$F$5:$IX$116,ComparisonData!A44,ComparisonData!$OH$1),0),5)</f>
        <v>0</v>
      </c>
      <c r="OI44" s="46" cm="1">
        <f t="array" ref="OI44">ROUND(IFERROR(INDEX(ArchiveResults!$F$5:$IX$116,ComparisonData!A44,ComparisonData!$OI$1),0),5)</f>
        <v>0</v>
      </c>
      <c r="OJ44" s="46" cm="1">
        <f t="array" ref="OJ44">ROUND(IFERROR(INDEX(ArchiveResults!$F$5:$IX$116,ComparisonData!A44,ComparisonData!$OJ$1),0),5)</f>
        <v>0</v>
      </c>
      <c r="OK44" s="46" cm="1">
        <f t="array" ref="OK44">ROUND(IFERROR(INDEX(ArchiveResults!$F$5:$IX$116,ComparisonData!A44,ComparisonData!$OK$1),0),5)</f>
        <v>0</v>
      </c>
      <c r="OL44" s="45" cm="1">
        <f t="array" ref="OL44">IFERROR(INDEX(ArchiveResults!$F$5:$IX$116,ComparisonData!A44,ComparisonData!$OL$1),0)</f>
        <v>0</v>
      </c>
      <c r="OM44" s="56">
        <v>39</v>
      </c>
      <c r="ON44" s="53" t="str">
        <f t="shared" si="586"/>
        <v>Highland Archive Service: The Nuclear and Caithness Archive</v>
      </c>
      <c r="OO44" s="59">
        <f t="shared" si="318"/>
        <v>0</v>
      </c>
      <c r="OP44" s="59">
        <f t="shared" si="319"/>
        <v>0</v>
      </c>
      <c r="OQ44" s="59">
        <f t="shared" si="320"/>
        <v>0</v>
      </c>
      <c r="OR44" s="59">
        <f t="shared" si="321"/>
        <v>0</v>
      </c>
      <c r="OS44" s="59">
        <f t="shared" si="322"/>
        <v>0</v>
      </c>
      <c r="OT44" s="58">
        <f t="shared" si="323"/>
        <v>0</v>
      </c>
      <c r="OU44" s="45">
        <f t="shared" si="324"/>
        <v>10</v>
      </c>
      <c r="OV44" s="45">
        <f t="shared" si="587"/>
        <v>2.4839999999999995</v>
      </c>
      <c r="OW44" s="45">
        <f t="shared" si="325"/>
        <v>1</v>
      </c>
      <c r="OX44" s="45">
        <f t="shared" si="326"/>
        <v>2</v>
      </c>
      <c r="OY44" s="45">
        <f t="shared" si="327"/>
        <v>0</v>
      </c>
      <c r="OZ44" s="46" cm="1">
        <f t="array" ref="OZ44">ROUND(IFERROR(INDEX(ArchiveResults!$F$5:$IX$116,ComparisonData!A44,ComparisonData!$OZ$1),0),5)</f>
        <v>0</v>
      </c>
      <c r="PA44" s="46" cm="1">
        <f t="array" ref="PA44">ROUND(IFERROR(INDEX(ArchiveResults!$F$5:$IX$116,ComparisonData!A44,ComparisonData!$PA$1),0),5)</f>
        <v>0</v>
      </c>
      <c r="PB44" s="46" cm="1">
        <f t="array" ref="PB44">ROUND(IFERROR(INDEX(ArchiveResults!$F$5:$IX$116,ComparisonData!A44,ComparisonData!$PB$1),0),5)</f>
        <v>0</v>
      </c>
      <c r="PC44" s="46" cm="1">
        <f t="array" ref="PC44">ROUND(IFERROR(INDEX(ArchiveResults!$F$5:$IX$116,ComparisonData!A44,ComparisonData!$PC$1),0),5)</f>
        <v>0</v>
      </c>
      <c r="PD44" s="45" cm="1">
        <f t="array" ref="PD44">IFERROR(INDEX(ArchiveResults!$F$5:$IX$116,ComparisonData!A44,ComparisonData!$PD$1),0)</f>
        <v>0</v>
      </c>
      <c r="PE44" s="56">
        <v>39</v>
      </c>
      <c r="PF44" s="53" t="str">
        <f t="shared" si="588"/>
        <v>Highland Archive Service: The Nuclear and Caithness Archive</v>
      </c>
      <c r="PG44" s="59">
        <f t="shared" si="328"/>
        <v>0</v>
      </c>
      <c r="PH44" s="59">
        <f t="shared" si="329"/>
        <v>0</v>
      </c>
      <c r="PI44" s="59">
        <f t="shared" si="330"/>
        <v>0</v>
      </c>
      <c r="PJ44" s="59">
        <f t="shared" si="331"/>
        <v>0</v>
      </c>
      <c r="PK44" s="59">
        <f t="shared" si="332"/>
        <v>0</v>
      </c>
      <c r="PL44" s="58">
        <f t="shared" si="333"/>
        <v>0</v>
      </c>
      <c r="PM44" s="45">
        <f t="shared" si="334"/>
        <v>10</v>
      </c>
      <c r="PN44" s="45">
        <f t="shared" si="589"/>
        <v>2.4839999999999995</v>
      </c>
      <c r="PO44" s="45">
        <f t="shared" si="335"/>
        <v>1</v>
      </c>
      <c r="PP44" s="45">
        <f t="shared" si="336"/>
        <v>2</v>
      </c>
      <c r="PQ44" s="45">
        <f t="shared" si="337"/>
        <v>0</v>
      </c>
      <c r="PR44" s="46" cm="1">
        <f t="array" ref="PR44">ROUND(IFERROR(INDEX(ArchiveResults!$F$5:$IX$116,ComparisonData!A44,ComparisonData!$PR$1),0),5)</f>
        <v>0</v>
      </c>
      <c r="PS44" s="46" cm="1">
        <f t="array" ref="PS44">ROUND(IFERROR(INDEX(ArchiveResults!$F$5:$IX$116,ComparisonData!A44,ComparisonData!$PS$1),0),5)</f>
        <v>0</v>
      </c>
      <c r="PT44" s="46" cm="1">
        <f t="array" ref="PT44">ROUND(IFERROR(INDEX(ArchiveResults!$F$5:$IX$116,ComparisonData!A44,ComparisonData!$PT$1),0),5)</f>
        <v>0</v>
      </c>
      <c r="PU44" s="46" cm="1">
        <f t="array" ref="PU44">ROUND(IFERROR(INDEX(ArchiveResults!$F$5:$IX$116,ComparisonData!A44,ComparisonData!$PU$1),0),5)</f>
        <v>0</v>
      </c>
      <c r="PV44" s="45" cm="1">
        <f t="array" ref="PV44">IFERROR(INDEX(ArchiveResults!$F$5:$IX$116,ComparisonData!A44,ComparisonData!$PV$1),0)</f>
        <v>0</v>
      </c>
      <c r="PW44" s="56">
        <v>39</v>
      </c>
      <c r="PX44" s="53" t="str">
        <f t="shared" si="590"/>
        <v>Highland Archive Service: The Nuclear and Caithness Archive</v>
      </c>
      <c r="PY44" s="59">
        <f t="shared" si="338"/>
        <v>0</v>
      </c>
      <c r="PZ44" s="59">
        <f t="shared" si="339"/>
        <v>0</v>
      </c>
      <c r="QA44" s="59">
        <f t="shared" si="340"/>
        <v>0</v>
      </c>
      <c r="QB44" s="59">
        <f t="shared" si="341"/>
        <v>0</v>
      </c>
      <c r="QC44" s="59">
        <f t="shared" si="342"/>
        <v>0</v>
      </c>
      <c r="QD44" s="58">
        <f t="shared" si="343"/>
        <v>0</v>
      </c>
      <c r="QE44" s="45">
        <f t="shared" si="344"/>
        <v>10</v>
      </c>
      <c r="QF44" s="45">
        <f t="shared" si="591"/>
        <v>2.4839999999999995</v>
      </c>
      <c r="QG44" s="45">
        <f t="shared" si="345"/>
        <v>1</v>
      </c>
      <c r="QH44" s="45">
        <f t="shared" si="346"/>
        <v>2</v>
      </c>
      <c r="QI44" s="45">
        <f t="shared" si="347"/>
        <v>0</v>
      </c>
      <c r="QJ44" s="46" cm="1">
        <f t="array" ref="QJ44">ROUND(IFERROR(INDEX(ArchiveResults!$F$5:$IX$116,ComparisonData!A44,ComparisonData!$QJ$1),0),5)</f>
        <v>0</v>
      </c>
      <c r="QK44" s="46" cm="1">
        <f t="array" ref="QK44">ROUND(IFERROR(INDEX(ArchiveResults!$F$5:$IX$116,ComparisonData!A44,ComparisonData!$QK$1),0),5)</f>
        <v>0</v>
      </c>
      <c r="QL44" s="46" cm="1">
        <f t="array" ref="QL44">ROUND(IFERROR(INDEX(ArchiveResults!$F$5:$IX$116,ComparisonData!A44,ComparisonData!$QL$1),0),5)</f>
        <v>0</v>
      </c>
      <c r="QM44" s="46" cm="1">
        <f t="array" ref="QM44">ROUND(IFERROR(INDEX(ArchiveResults!$F$5:$IX$116,ComparisonData!A44,ComparisonData!$QM$1),0),5)</f>
        <v>0</v>
      </c>
      <c r="QN44" s="45" cm="1">
        <f t="array" ref="QN44">IFERROR(INDEX(ArchiveResults!$F$5:$IX$116,ComparisonData!A44,ComparisonData!$QN$1),0)</f>
        <v>0</v>
      </c>
      <c r="QO44" s="56">
        <v>39</v>
      </c>
      <c r="QP44" s="53" t="str">
        <f t="shared" si="592"/>
        <v>Highland Archive Service: The Nuclear and Caithness Archive</v>
      </c>
      <c r="QQ44" s="59">
        <f t="shared" si="348"/>
        <v>0</v>
      </c>
      <c r="QR44" s="59">
        <f t="shared" si="349"/>
        <v>0</v>
      </c>
      <c r="QS44" s="59">
        <f t="shared" si="350"/>
        <v>0</v>
      </c>
      <c r="QT44" s="59">
        <f t="shared" si="351"/>
        <v>0</v>
      </c>
      <c r="QU44" s="59">
        <f t="shared" si="352"/>
        <v>0</v>
      </c>
      <c r="QV44" s="58">
        <f t="shared" si="353"/>
        <v>0</v>
      </c>
      <c r="QW44" s="45">
        <f t="shared" si="354"/>
        <v>10</v>
      </c>
      <c r="QX44" s="45">
        <f t="shared" si="593"/>
        <v>2.4839999999999995</v>
      </c>
      <c r="QY44" s="45">
        <f t="shared" si="355"/>
        <v>1</v>
      </c>
      <c r="QZ44" s="45">
        <f t="shared" si="356"/>
        <v>2</v>
      </c>
      <c r="RA44" s="45">
        <f t="shared" si="357"/>
        <v>0</v>
      </c>
      <c r="RB44" s="46" cm="1">
        <f t="array" ref="RB44">ROUND(IFERROR(INDEX(ArchiveResults!$F$5:$IX$116,ComparisonData!A44,ComparisonData!$RB$1),0),5)</f>
        <v>0</v>
      </c>
      <c r="RC44" s="46" cm="1">
        <f t="array" ref="RC44">ROUND(IFERROR(INDEX(ArchiveResults!$F$5:$IX$116,ComparisonData!A44,ComparisonData!$RC$1),0),5)</f>
        <v>0</v>
      </c>
      <c r="RD44" s="46" cm="1">
        <f t="array" ref="RD44">ROUND(IFERROR(INDEX(ArchiveResults!$F$5:$IX$116,ComparisonData!A44,ComparisonData!$RD$1),0),5)</f>
        <v>0</v>
      </c>
      <c r="RE44" s="46" cm="1">
        <f t="array" ref="RE44">ROUND(IFERROR(INDEX(ArchiveResults!$F$5:$IX$116,ComparisonData!A44,ComparisonData!$RE$1),0),5)</f>
        <v>0</v>
      </c>
      <c r="RF44" s="45" cm="1">
        <f t="array" ref="RF44">IFERROR(INDEX(ArchiveResults!$F$5:$IX$116,ComparisonData!A44,ComparisonData!$RF$1),0)</f>
        <v>0</v>
      </c>
      <c r="RG44" s="56">
        <v>39</v>
      </c>
      <c r="RH44" s="53" t="str">
        <f t="shared" si="594"/>
        <v>Highland Archive Service: The Nuclear and Caithness Archive</v>
      </c>
      <c r="RI44" s="59">
        <f t="shared" si="358"/>
        <v>0</v>
      </c>
      <c r="RJ44" s="59">
        <f t="shared" si="359"/>
        <v>0</v>
      </c>
      <c r="RK44" s="59">
        <f t="shared" si="360"/>
        <v>0</v>
      </c>
      <c r="RL44" s="59">
        <f t="shared" si="361"/>
        <v>0</v>
      </c>
      <c r="RM44" s="59">
        <f t="shared" si="362"/>
        <v>0</v>
      </c>
      <c r="RN44" s="58">
        <f t="shared" si="363"/>
        <v>0</v>
      </c>
      <c r="RO44" s="45">
        <f t="shared" si="364"/>
        <v>10</v>
      </c>
      <c r="RP44" s="45">
        <f t="shared" si="595"/>
        <v>2.4839999999999995</v>
      </c>
      <c r="RQ44" s="45">
        <f t="shared" si="365"/>
        <v>1</v>
      </c>
      <c r="RR44" s="45">
        <f t="shared" si="366"/>
        <v>2</v>
      </c>
      <c r="RS44" s="45">
        <f t="shared" si="367"/>
        <v>0</v>
      </c>
      <c r="RT44" s="46" cm="1">
        <f t="array" ref="RT44">ROUND(IFERROR(INDEX(ArchiveResults!$F$5:$IX$116,ComparisonData!A44,ComparisonData!$RT$1),0),5)</f>
        <v>0</v>
      </c>
      <c r="RU44" s="46" cm="1">
        <f t="array" ref="RU44">ROUND(IFERROR(INDEX(ArchiveResults!$F$5:$IX$116,ComparisonData!A44,ComparisonData!$RU$1),0),5)</f>
        <v>0</v>
      </c>
      <c r="RV44" s="46" cm="1">
        <f t="array" ref="RV44">ROUND(IFERROR(INDEX(ArchiveResults!$F$5:$IX$116,ComparisonData!A44,ComparisonData!$RV$1),0),5)</f>
        <v>0</v>
      </c>
      <c r="RW44" s="46" cm="1">
        <f t="array" ref="RW44">ROUND(IFERROR(INDEX(ArchiveResults!$F$5:$IX$116,ComparisonData!A44,ComparisonData!$RW$1),0),5)</f>
        <v>0</v>
      </c>
      <c r="RX44" s="45" cm="1">
        <f t="array" ref="RX44">IFERROR(INDEX(ArchiveResults!$F$5:$IX$116,ComparisonData!A44,ComparisonData!$RX$1),0)</f>
        <v>0</v>
      </c>
      <c r="RY44" s="56">
        <v>39</v>
      </c>
      <c r="RZ44" s="53" t="str">
        <f t="shared" si="596"/>
        <v>Highland Archive Service: The Nuclear and Caithness Archive</v>
      </c>
      <c r="SA44" s="59">
        <f t="shared" si="368"/>
        <v>0</v>
      </c>
      <c r="SB44" s="59">
        <f t="shared" si="369"/>
        <v>0</v>
      </c>
      <c r="SC44" s="59">
        <f t="shared" si="370"/>
        <v>0</v>
      </c>
      <c r="SD44" s="59">
        <f t="shared" si="371"/>
        <v>0</v>
      </c>
      <c r="SE44" s="59">
        <f t="shared" si="372"/>
        <v>0</v>
      </c>
      <c r="SF44" s="58">
        <f t="shared" si="373"/>
        <v>0</v>
      </c>
      <c r="SG44" s="45">
        <f t="shared" si="374"/>
        <v>10</v>
      </c>
      <c r="SH44" s="45">
        <f t="shared" si="597"/>
        <v>2.4839999999999995</v>
      </c>
      <c r="SI44" s="45">
        <f t="shared" si="375"/>
        <v>1</v>
      </c>
      <c r="SJ44" s="45">
        <f t="shared" si="376"/>
        <v>2</v>
      </c>
      <c r="SK44" s="45">
        <f t="shared" si="377"/>
        <v>0</v>
      </c>
      <c r="SL44" s="46" cm="1">
        <f t="array" ref="SL44">ROUND(IFERROR(INDEX(ArchiveResults!$F$5:$IX$116,ComparisonData!A44,ComparisonData!$SL$1),0),5)</f>
        <v>0</v>
      </c>
      <c r="SM44" s="46" cm="1">
        <f t="array" ref="SM44">ROUND(IFERROR(INDEX(ArchiveResults!$F$5:$IX$116,ComparisonData!A44,ComparisonData!$SM$1),0),5)</f>
        <v>0</v>
      </c>
      <c r="SN44" s="46" cm="1">
        <f t="array" ref="SN44">ROUND(IFERROR(INDEX(ArchiveResults!$F$5:$IX$116,ComparisonData!A44,ComparisonData!$SN$1),0),5)</f>
        <v>0</v>
      </c>
      <c r="SO44" s="46" cm="1">
        <f t="array" ref="SO44">ROUND(IFERROR(INDEX(ArchiveResults!$F$5:$IX$116,ComparisonData!A44,ComparisonData!$SO$1),0),5)</f>
        <v>0</v>
      </c>
      <c r="SP44" s="45" cm="1">
        <f t="array" ref="SP44">IFERROR(INDEX(ArchiveResults!$F$5:$IX$116,ComparisonData!A44,ComparisonData!$SP$1),0)</f>
        <v>0</v>
      </c>
      <c r="SQ44" s="56">
        <v>39</v>
      </c>
      <c r="SR44" s="53" t="str">
        <f t="shared" si="598"/>
        <v>Highland Archive Service: The Nuclear and Caithness Archive</v>
      </c>
      <c r="SS44" s="59">
        <f t="shared" si="378"/>
        <v>0</v>
      </c>
      <c r="ST44" s="59">
        <f t="shared" si="379"/>
        <v>0</v>
      </c>
      <c r="SU44" s="59">
        <f t="shared" si="380"/>
        <v>0</v>
      </c>
      <c r="SV44" s="59">
        <f t="shared" si="381"/>
        <v>0</v>
      </c>
      <c r="SW44" s="59">
        <f t="shared" si="382"/>
        <v>0</v>
      </c>
      <c r="SX44" s="58">
        <f t="shared" si="383"/>
        <v>0</v>
      </c>
      <c r="SY44" s="45">
        <f t="shared" si="384"/>
        <v>10</v>
      </c>
      <c r="SZ44" s="45">
        <f t="shared" si="599"/>
        <v>2.4839999999999995</v>
      </c>
      <c r="TA44" s="45">
        <f t="shared" si="385"/>
        <v>1</v>
      </c>
      <c r="TB44" s="45">
        <f t="shared" si="386"/>
        <v>2</v>
      </c>
      <c r="TC44" s="45">
        <f t="shared" si="387"/>
        <v>0</v>
      </c>
      <c r="TD44" s="46" cm="1">
        <f t="array" ref="TD44">ROUND(IFERROR(INDEX(ArchiveResults!$F$5:$IX$116,ComparisonData!A44,ComparisonData!$TD$1),0),5)</f>
        <v>0</v>
      </c>
      <c r="TE44" s="46" cm="1">
        <f t="array" ref="TE44">ROUND(IFERROR(INDEX(ArchiveResults!$F$5:$IX$116,ComparisonData!A44,ComparisonData!$TE$1),0),5)</f>
        <v>0</v>
      </c>
      <c r="TF44" s="46" cm="1">
        <f t="array" ref="TF44">ROUND(IFERROR(INDEX(ArchiveResults!$F$5:$IX$116,ComparisonData!A44,ComparisonData!$TF$1),0),5)</f>
        <v>0</v>
      </c>
      <c r="TG44" s="46" cm="1">
        <f t="array" ref="TG44">ROUND(IFERROR(INDEX(ArchiveResults!$F$5:$IX$116,ComparisonData!A44,ComparisonData!$TG$1),0),5)</f>
        <v>0</v>
      </c>
      <c r="TH44" s="45" cm="1">
        <f t="array" ref="TH44">IFERROR(INDEX(ArchiveResults!$F$5:$IX$116,ComparisonData!A44,ComparisonData!$TH$1),0)</f>
        <v>0</v>
      </c>
      <c r="TI44" s="56">
        <v>39</v>
      </c>
      <c r="TJ44" s="53" t="str">
        <f t="shared" si="600"/>
        <v>Highland Archive Service: The Nuclear and Caithness Archive</v>
      </c>
      <c r="TK44" s="59">
        <f t="shared" si="388"/>
        <v>0</v>
      </c>
      <c r="TL44" s="59">
        <f t="shared" si="389"/>
        <v>0</v>
      </c>
      <c r="TM44" s="59">
        <f t="shared" si="390"/>
        <v>0</v>
      </c>
      <c r="TN44" s="59">
        <f t="shared" si="391"/>
        <v>0</v>
      </c>
      <c r="TO44" s="59">
        <f t="shared" si="392"/>
        <v>0</v>
      </c>
      <c r="TP44" s="58">
        <f t="shared" si="393"/>
        <v>0</v>
      </c>
      <c r="TQ44" s="45">
        <f t="shared" si="394"/>
        <v>10</v>
      </c>
      <c r="TR44" s="45">
        <f t="shared" si="601"/>
        <v>2.4839999999999995</v>
      </c>
      <c r="TS44" s="45">
        <f t="shared" si="395"/>
        <v>1</v>
      </c>
      <c r="TT44" s="45">
        <f t="shared" si="396"/>
        <v>2</v>
      </c>
      <c r="TU44" s="45">
        <f t="shared" si="397"/>
        <v>0</v>
      </c>
      <c r="TV44" s="46" cm="1">
        <f t="array" ref="TV44">ROUND(IFERROR(INDEX(ArchiveResults!$F$5:$IX$116,ComparisonData!A44,ComparisonData!$TV$1),0),5)</f>
        <v>0</v>
      </c>
      <c r="TW44" s="46" cm="1">
        <f t="array" ref="TW44">ROUND(IFERROR(INDEX(ArchiveResults!$F$5:$IX$116,ComparisonData!A44,ComparisonData!$TW$1),0),5)</f>
        <v>0</v>
      </c>
      <c r="TX44" s="46" cm="1">
        <f t="array" ref="TX44">ROUND(IFERROR(INDEX(ArchiveResults!$F$5:$IX$116,ComparisonData!A44,ComparisonData!$TX$1),0),5)</f>
        <v>0</v>
      </c>
      <c r="TY44" s="46" cm="1">
        <f t="array" ref="TY44">ROUND(IFERROR(INDEX(ArchiveResults!$F$5:$IX$116,ComparisonData!A44,ComparisonData!$TY$1),0),5)</f>
        <v>0</v>
      </c>
      <c r="TZ44" s="45" cm="1">
        <f t="array" ref="TZ44">IFERROR(INDEX(ArchiveResults!$F$5:$IX$116,ComparisonData!A44,ComparisonData!$TZ$1),0)</f>
        <v>0</v>
      </c>
      <c r="UA44" s="56">
        <v>39</v>
      </c>
      <c r="UB44" s="53" t="str">
        <f t="shared" si="602"/>
        <v>Highland Archive Service: The Nuclear and Caithness Archive</v>
      </c>
      <c r="UC44" s="60">
        <f t="shared" si="398"/>
        <v>0</v>
      </c>
      <c r="UD44" s="60">
        <f t="shared" si="399"/>
        <v>0</v>
      </c>
      <c r="UE44" s="60">
        <f t="shared" si="400"/>
        <v>0</v>
      </c>
      <c r="UF44" s="60">
        <f t="shared" si="401"/>
        <v>0</v>
      </c>
      <c r="UG44" s="60">
        <f t="shared" si="402"/>
        <v>0</v>
      </c>
      <c r="UH44" s="58">
        <f t="shared" si="403"/>
        <v>0</v>
      </c>
      <c r="UI44" s="46">
        <f t="shared" si="404"/>
        <v>10</v>
      </c>
      <c r="UJ44" s="46">
        <f t="shared" si="603"/>
        <v>2.4839999999999995</v>
      </c>
      <c r="UK44" s="46">
        <f t="shared" si="405"/>
        <v>1</v>
      </c>
      <c r="UL44" s="46">
        <f t="shared" si="406"/>
        <v>2</v>
      </c>
      <c r="UM44" s="46" cm="1">
        <f t="array" ref="UM44">ROUND(IFERROR(INDEX(ArchiveResults!$F$5:$IX$116,ComparisonData!A44,ComparisonData!$UM$1),0),5)</f>
        <v>0</v>
      </c>
      <c r="UN44" s="56">
        <v>39</v>
      </c>
      <c r="UO44" s="53" t="str">
        <f t="shared" si="604"/>
        <v>Highland Archive Service: The Nuclear and Caithness Archive</v>
      </c>
      <c r="UP44" s="46">
        <f t="shared" si="407"/>
        <v>0</v>
      </c>
      <c r="UQ44" s="76">
        <f t="shared" si="408"/>
        <v>0</v>
      </c>
      <c r="UR44" s="46">
        <f t="shared" si="409"/>
        <v>10</v>
      </c>
      <c r="US44" s="46">
        <f t="shared" si="605"/>
        <v>2.4839999999999995</v>
      </c>
      <c r="UT44" s="46">
        <f t="shared" si="410"/>
        <v>1</v>
      </c>
      <c r="UU44" s="46">
        <f t="shared" si="411"/>
        <v>2</v>
      </c>
      <c r="UV44" s="46">
        <f t="shared" si="412"/>
        <v>0</v>
      </c>
      <c r="UW44" s="46" cm="1">
        <f t="array" ref="UW44">ROUND(IFERROR(INDEX(ArchiveResults!$F$5:$IX$116,ComparisonData!A44,ComparisonData!$UW$1),0),5)</f>
        <v>0</v>
      </c>
      <c r="UX44" s="46" cm="1">
        <f t="array" ref="UX44">ROUND(IFERROR(INDEX(ArchiveResults!$F$5:$IX$116,ComparisonData!A44,ComparisonData!$UX$1),0),5)</f>
        <v>0</v>
      </c>
      <c r="UY44" s="46" cm="1">
        <f t="array" ref="UY44">ROUND(IFERROR(INDEX(ArchiveResults!$F$5:$IX$116,ComparisonData!A44,ComparisonData!$UY$1),0),5)</f>
        <v>0</v>
      </c>
      <c r="UZ44" s="46" cm="1">
        <f t="array" ref="UZ44">ROUND(IFERROR(INDEX(ArchiveResults!$F$5:$IX$116,ComparisonData!A44,ComparisonData!$UZ$1),0),5)</f>
        <v>0</v>
      </c>
      <c r="VA44" s="46" cm="1">
        <f t="array" ref="VA44">ROUND(IFERROR(INDEX(ArchiveResults!$F$5:$IX$116,ComparisonData!A44,ComparisonData!$VA$1),0),5)</f>
        <v>0</v>
      </c>
      <c r="VB44" s="56">
        <v>39</v>
      </c>
      <c r="VC44" s="53" t="str">
        <f t="shared" si="606"/>
        <v>Highland Archive Service: The Nuclear and Caithness Archive</v>
      </c>
      <c r="VD44" s="60">
        <f t="shared" si="413"/>
        <v>0</v>
      </c>
      <c r="VE44" s="60">
        <f t="shared" si="414"/>
        <v>0</v>
      </c>
      <c r="VF44" s="60">
        <f t="shared" si="415"/>
        <v>0</v>
      </c>
      <c r="VG44" s="60">
        <f t="shared" si="416"/>
        <v>0</v>
      </c>
      <c r="VH44" s="60">
        <f t="shared" si="417"/>
        <v>0</v>
      </c>
      <c r="VI44" s="76">
        <f t="shared" si="418"/>
        <v>0</v>
      </c>
      <c r="VJ44" s="46">
        <f t="shared" si="419"/>
        <v>10</v>
      </c>
      <c r="VK44" s="46">
        <f t="shared" si="607"/>
        <v>2.4839999999999995</v>
      </c>
      <c r="VL44" s="46">
        <f t="shared" si="420"/>
        <v>1</v>
      </c>
      <c r="VM44" s="46">
        <f t="shared" si="421"/>
        <v>2</v>
      </c>
      <c r="VN44" s="46" cm="1">
        <f t="array" ref="VN44">ROUND(IFERROR(INDEX(ArchiveResults!$F$5:$IX$116,ComparisonData!A44,ComparisonData!$VN$1),0),5)</f>
        <v>0</v>
      </c>
      <c r="VO44" s="46" cm="1">
        <f t="array" ref="VO44">ROUND(IFERROR(INDEX(ArchiveResults!$F$5:$IX$116,ComparisonData!A44,ComparisonData!$VO$1),0),5)</f>
        <v>0</v>
      </c>
      <c r="VP44" s="46" cm="1">
        <f t="array" ref="VP44">ROUND(IFERROR(INDEX(ArchiveResults!$F$5:$IX$116,ComparisonData!A44,ComparisonData!$VP$1),0),5)</f>
        <v>0</v>
      </c>
      <c r="VQ44" s="46" cm="1">
        <f t="array" ref="VQ44">ROUND(IFERROR(INDEX(ArchiveResults!$F$5:$IX$116,ComparisonData!A44,ComparisonData!$VQ$1),0),5)</f>
        <v>0</v>
      </c>
      <c r="VR44" s="56">
        <v>39</v>
      </c>
      <c r="VS44" s="53" t="str">
        <f t="shared" si="608"/>
        <v>Highland Archive Service: The Nuclear and Caithness Archive</v>
      </c>
      <c r="VT44" s="60">
        <f t="shared" si="422"/>
        <v>0</v>
      </c>
      <c r="VU44" s="60">
        <f t="shared" si="423"/>
        <v>0</v>
      </c>
      <c r="VV44" s="60">
        <f t="shared" si="424"/>
        <v>0</v>
      </c>
      <c r="VW44" s="60">
        <f t="shared" si="425"/>
        <v>0</v>
      </c>
      <c r="VX44" s="76">
        <f t="shared" si="426"/>
        <v>0</v>
      </c>
      <c r="VY44" s="46">
        <f t="shared" si="427"/>
        <v>10</v>
      </c>
      <c r="VZ44" s="46">
        <f t="shared" si="609"/>
        <v>2.4839999999999995</v>
      </c>
      <c r="WA44" s="46">
        <f t="shared" si="428"/>
        <v>1</v>
      </c>
      <c r="WB44" s="46">
        <f t="shared" si="429"/>
        <v>2</v>
      </c>
      <c r="WC44" s="46" cm="1">
        <f t="array" ref="WC44">ROUND(IFERROR(INDEX(ArchiveResults!$F$5:$IX$116,ComparisonData!A44,ComparisonData!$WC$1),0),5)</f>
        <v>0</v>
      </c>
      <c r="WD44" s="56">
        <v>39</v>
      </c>
      <c r="WE44" s="53" t="str">
        <f t="shared" si="610"/>
        <v>Highland Archive Service: The Nuclear and Caithness Archive</v>
      </c>
      <c r="WF44" s="46">
        <f t="shared" si="430"/>
        <v>0</v>
      </c>
      <c r="WG44" s="76">
        <f t="shared" si="431"/>
        <v>0</v>
      </c>
      <c r="WH44" s="46">
        <f t="shared" si="432"/>
        <v>10</v>
      </c>
      <c r="WI44" s="46">
        <f t="shared" si="611"/>
        <v>2.4839999999999995</v>
      </c>
      <c r="WJ44" s="46">
        <f t="shared" si="433"/>
        <v>1</v>
      </c>
      <c r="WK44" s="46">
        <f t="shared" si="434"/>
        <v>2</v>
      </c>
      <c r="WL44" s="46" cm="1">
        <f t="array" ref="WL44">ROUND(IFERROR(INDEX(ArchiveResults!$F$5:$IX$116,ComparisonData!A44,ComparisonData!$WL$1),0),5)</f>
        <v>0</v>
      </c>
      <c r="WM44" s="46" cm="1">
        <f t="array" ref="WM44">IFERROR(INDEX(ArchiveResults!$F$5:$IX$116,ComparisonData!A44,ComparisonData!$WM$1),0)</f>
        <v>0</v>
      </c>
      <c r="WN44" s="56">
        <v>39</v>
      </c>
      <c r="WO44" s="53" t="str">
        <f t="shared" si="612"/>
        <v>Highland Archive Service: The Nuclear and Caithness Archive</v>
      </c>
      <c r="WP44" s="60">
        <f t="shared" si="435"/>
        <v>0</v>
      </c>
      <c r="WQ44" s="60">
        <f t="shared" si="436"/>
        <v>0</v>
      </c>
      <c r="WR44" s="76">
        <f t="shared" si="437"/>
        <v>0</v>
      </c>
      <c r="WS44" s="46">
        <f t="shared" si="438"/>
        <v>10</v>
      </c>
      <c r="WT44" s="46">
        <f t="shared" si="613"/>
        <v>2.4839999999999995</v>
      </c>
      <c r="WU44" s="46">
        <f t="shared" si="439"/>
        <v>1</v>
      </c>
      <c r="WV44" s="46">
        <f t="shared" si="440"/>
        <v>2</v>
      </c>
      <c r="WW44" s="46" cm="1">
        <f t="array" ref="WW44">ROUND(VALUE(IFERROR(INDEX(ArchiveResults!$F$5:$IX$116,ComparisonData!A44,ComparisonData!$WW$1),0)),5)</f>
        <v>0</v>
      </c>
      <c r="WX44" s="46" cm="1">
        <f t="array" ref="WX44">ROUND(IFERROR(INDEX(ArchiveResults!$F$5:$IX$116,ComparisonData!A44,ComparisonData!$WX$1),0),5)</f>
        <v>0</v>
      </c>
      <c r="WY44" s="56">
        <v>39</v>
      </c>
      <c r="WZ44" s="53" t="str">
        <f t="shared" si="614"/>
        <v>Highland Archive Service: The Nuclear and Caithness Archive</v>
      </c>
      <c r="XA44" s="60">
        <f t="shared" si="615"/>
        <v>0</v>
      </c>
      <c r="XB44" s="60">
        <f t="shared" si="616"/>
        <v>0</v>
      </c>
      <c r="XC44" s="76">
        <f t="shared" si="441"/>
        <v>0</v>
      </c>
      <c r="XD44" s="46">
        <f t="shared" si="442"/>
        <v>10</v>
      </c>
      <c r="XE44" s="46">
        <f t="shared" si="617"/>
        <v>2.4839999999999995</v>
      </c>
      <c r="XF44" s="46">
        <f t="shared" si="443"/>
        <v>1</v>
      </c>
      <c r="XG44" s="46">
        <f t="shared" si="444"/>
        <v>2</v>
      </c>
      <c r="XH44" s="46" cm="1">
        <f t="array" ref="XH44">ROUND(VALUE(IFERROR(INDEX(ArchiveResults!$F$5:$IX$116,ComparisonData!A44,ComparisonData!$XH$1),0)),5)</f>
        <v>0</v>
      </c>
      <c r="XI44" s="46" cm="1">
        <f t="array" ref="XI44">ROUND(VALUE(IFERROR(INDEX(ArchiveResults!$F$5:$IX$116,ComparisonData!A44,ComparisonData!$XI$1),0)),5)</f>
        <v>0</v>
      </c>
      <c r="XJ44" s="56">
        <v>39</v>
      </c>
      <c r="XK44" s="53" t="str">
        <f t="shared" si="618"/>
        <v>Highland Archive Service: The Nuclear and Caithness Archive</v>
      </c>
      <c r="XL44" s="60">
        <f t="shared" si="445"/>
        <v>0</v>
      </c>
      <c r="XM44" s="60">
        <f t="shared" si="446"/>
        <v>0</v>
      </c>
      <c r="XN44" s="76">
        <f t="shared" si="447"/>
        <v>0</v>
      </c>
      <c r="XO44" s="46">
        <f t="shared" si="448"/>
        <v>10</v>
      </c>
      <c r="XP44" s="46">
        <f t="shared" si="619"/>
        <v>2.4839999999999995</v>
      </c>
      <c r="XQ44" s="46">
        <f t="shared" si="449"/>
        <v>1</v>
      </c>
      <c r="XR44" s="46">
        <f t="shared" si="450"/>
        <v>2</v>
      </c>
      <c r="XS44" s="46" cm="1">
        <f t="array" ref="XS44">ROUND(VALUE(IFERROR(INDEX(ArchiveResults!$F$5:$IX$116,ComparisonData!A44,ComparisonData!$XS$1),0)),5)</f>
        <v>0</v>
      </c>
      <c r="XT44" s="46" cm="1">
        <f t="array" ref="XT44">ROUND(VALUE(IFERROR(INDEX(ArchiveResults!$F$5:$IX$116,ComparisonData!A44,ComparisonData!$XT$1),0)),5)</f>
        <v>0</v>
      </c>
      <c r="XU44" s="56">
        <v>39</v>
      </c>
      <c r="XV44" s="53" t="str">
        <f t="shared" si="620"/>
        <v>Highland Archive Service: The Nuclear and Caithness Archive</v>
      </c>
      <c r="XW44" s="60">
        <f t="shared" si="451"/>
        <v>0</v>
      </c>
      <c r="XX44" s="60">
        <f t="shared" si="452"/>
        <v>0</v>
      </c>
      <c r="XY44" s="76">
        <f t="shared" si="453"/>
        <v>0</v>
      </c>
      <c r="XZ44" s="46">
        <f t="shared" si="454"/>
        <v>10</v>
      </c>
      <c r="YA44" s="46">
        <f t="shared" si="621"/>
        <v>2.4839999999999995</v>
      </c>
      <c r="YB44" s="46">
        <f t="shared" si="455"/>
        <v>1</v>
      </c>
      <c r="YC44" s="46">
        <f t="shared" si="456"/>
        <v>2</v>
      </c>
      <c r="YD44" s="46" cm="1">
        <f t="array" ref="YD44">ROUND(VALUE(IFERROR(INDEX(ArchiveResults!$F$5:$IX$116,ComparisonData!A44,ComparisonData!$YD$1),0)),5)</f>
        <v>0</v>
      </c>
      <c r="YE44" s="46" cm="1">
        <f t="array" ref="YE44">ROUND(VALUE(IFERROR(INDEX(ArchiveResults!$F$5:$IX$116,ComparisonData!A44,ComparisonData!$YE$1),0)),5)</f>
        <v>0</v>
      </c>
      <c r="YF44" s="56">
        <v>39</v>
      </c>
      <c r="YG44" s="53" t="str">
        <f t="shared" si="622"/>
        <v>Highland Archive Service: The Nuclear and Caithness Archive</v>
      </c>
      <c r="YH44" s="60">
        <f t="shared" si="457"/>
        <v>0</v>
      </c>
      <c r="YI44" s="60">
        <f t="shared" si="458"/>
        <v>0</v>
      </c>
      <c r="YJ44" s="76">
        <f t="shared" si="459"/>
        <v>0</v>
      </c>
      <c r="YK44" s="46">
        <f t="shared" si="460"/>
        <v>10</v>
      </c>
      <c r="YL44" s="46">
        <f t="shared" si="623"/>
        <v>2.4839999999999995</v>
      </c>
      <c r="YM44" s="46">
        <f t="shared" si="461"/>
        <v>1</v>
      </c>
      <c r="YN44" s="46">
        <f t="shared" si="462"/>
        <v>2</v>
      </c>
      <c r="YO44" s="46" cm="1">
        <f t="array" ref="YO44">ROUND(VALUE(IFERROR(INDEX(ArchiveResults!$F$5:$IX$116,ComparisonData!A44,ComparisonData!$YO$1),0)),5)</f>
        <v>0</v>
      </c>
      <c r="YP44" s="46" cm="1">
        <f t="array" ref="YP44">ROUND(VALUE(IFERROR(INDEX(ArchiveResults!$F$5:$IX$116,ComparisonData!A44,ComparisonData!$YP$1),0)),5)</f>
        <v>0</v>
      </c>
      <c r="YQ44" s="56">
        <v>39</v>
      </c>
      <c r="YR44" s="53" t="str">
        <f t="shared" si="624"/>
        <v>Highland Archive Service: The Nuclear and Caithness Archive</v>
      </c>
      <c r="YS44" s="60">
        <f t="shared" si="463"/>
        <v>0</v>
      </c>
      <c r="YT44" s="60">
        <f t="shared" si="464"/>
        <v>0</v>
      </c>
      <c r="YU44" s="76">
        <f t="shared" si="465"/>
        <v>0</v>
      </c>
      <c r="YV44" s="46">
        <f t="shared" si="466"/>
        <v>10</v>
      </c>
      <c r="YW44" s="46">
        <f t="shared" si="625"/>
        <v>2.4839999999999995</v>
      </c>
      <c r="YX44" s="46">
        <f t="shared" si="467"/>
        <v>1</v>
      </c>
      <c r="YY44" s="46">
        <f t="shared" si="468"/>
        <v>2</v>
      </c>
      <c r="YZ44" s="46">
        <f t="shared" si="469"/>
        <v>0</v>
      </c>
      <c r="ZA44" s="46" cm="1">
        <f t="array" ref="ZA44">ROUNDDOWN(VALUE(IFERROR(INDEX(ArchiveResults!$F$5:$IX$116,ComparisonData!A44,ComparisonData!$ZA$1),0)),5)</f>
        <v>0</v>
      </c>
      <c r="ZB44" s="46" cm="1">
        <f t="array" ref="ZB44">ROUNDDOWN(VALUE(IFERROR(INDEX(ArchiveResults!$F$5:$IX$116,ComparisonData!A44,ComparisonData!$ZB$1),0)),5)</f>
        <v>0</v>
      </c>
      <c r="ZC44" s="46" cm="1">
        <f t="array" ref="ZC44">ROUNDDOWN(VALUE(IFERROR(INDEX(ArchiveResults!$F$5:$IX$116,ComparisonData!A44,ComparisonData!$ZC$1),0)),5)</f>
        <v>0</v>
      </c>
      <c r="ZD44" s="46" cm="1">
        <f t="array" ref="ZD44">ROUNDDOWN(VALUE(IFERROR(INDEX(ArchiveResults!$F$5:$IX$116,ComparisonData!A44,ComparisonData!$ZD$1),0)),5)</f>
        <v>0</v>
      </c>
      <c r="ZE44" s="46" cm="1">
        <f t="array" ref="ZE44">ROUNDDOWN(VALUE(IFERROR(INDEX(ArchiveResults!$F$5:$IX$116,ComparisonData!A44,ComparisonData!$ZE$1),0)),5)</f>
        <v>0</v>
      </c>
      <c r="ZF44" s="56">
        <v>39</v>
      </c>
      <c r="ZG44" s="53" t="str">
        <f t="shared" si="626"/>
        <v>Highland Archive Service: The Nuclear and Caithness Archive</v>
      </c>
      <c r="ZH44" s="60">
        <f t="shared" si="470"/>
        <v>0</v>
      </c>
      <c r="ZI44" s="60">
        <f t="shared" si="471"/>
        <v>0</v>
      </c>
      <c r="ZJ44" s="60">
        <f t="shared" si="472"/>
        <v>0</v>
      </c>
      <c r="ZK44" s="60">
        <f t="shared" si="473"/>
        <v>0</v>
      </c>
      <c r="ZL44" s="60">
        <f t="shared" si="474"/>
        <v>0</v>
      </c>
      <c r="ZM44" s="76">
        <f t="shared" si="475"/>
        <v>0</v>
      </c>
      <c r="ZN44" s="46">
        <f t="shared" si="476"/>
        <v>10</v>
      </c>
      <c r="ZO44" s="46">
        <f t="shared" si="627"/>
        <v>2.4839999999999995</v>
      </c>
      <c r="ZP44" s="46">
        <f t="shared" si="477"/>
        <v>1</v>
      </c>
      <c r="ZQ44" s="46">
        <f t="shared" si="478"/>
        <v>2</v>
      </c>
      <c r="ZR44" s="46" cm="1">
        <f t="array" ref="ZR44">ROUND(VALUE(IFERROR(INDEX(ArchiveResults!$F$5:$IX$116,ComparisonData!A44,ComparisonData!$ZR$1),0)),5)</f>
        <v>0</v>
      </c>
      <c r="ZS44" s="56">
        <v>39</v>
      </c>
      <c r="ZT44" s="53" t="str">
        <f t="shared" si="628"/>
        <v>Highland Archive Service: The Nuclear and Caithness Archive</v>
      </c>
      <c r="ZU44" s="46">
        <f t="shared" si="479"/>
        <v>0</v>
      </c>
      <c r="ZV44" s="76">
        <f t="shared" si="480"/>
        <v>0</v>
      </c>
      <c r="ZW44" s="81" cm="1">
        <f t="array" ref="ZW44">ROUND((IFERROR(INDEX(ArchiveResults!$F$5:$IX$116,ComparisonData!A44,ComparisonData!$ZW$1),0)),5)</f>
        <v>0</v>
      </c>
      <c r="ZX44" s="81" cm="1">
        <f t="array" ref="ZX44">ROUND((IFERROR(INDEX(ArchiveResults!$F$5:$IX$116,ComparisonData!A44,ComparisonData!$ZX$1),0)),5)</f>
        <v>0</v>
      </c>
      <c r="ZY44" s="81" cm="1">
        <f t="array" ref="ZY44">ROUND((IFERROR(INDEX(ArchiveResults!$F$5:$IX$116,ComparisonData!A44,ComparisonData!$ZY$1),0)),5)</f>
        <v>0</v>
      </c>
      <c r="ZZ44" s="81" cm="1">
        <f t="array" ref="ZZ44">ROUND((IFERROR(INDEX(ArchiveResults!$F$5:$IX$116,ComparisonData!A44,ComparisonData!$ZZ$1),0)),5)</f>
        <v>0</v>
      </c>
      <c r="AAA44" s="81" cm="1">
        <f t="array" ref="AAA44">ROUND((IFERROR(INDEX(ArchiveResults!$F$5:$IX$116,ComparisonData!A44,ComparisonData!$AAA$1),0)),5)</f>
        <v>0</v>
      </c>
      <c r="AAB44" s="81" cm="1">
        <f t="array" ref="AAB44">ROUND((IFERROR(INDEX(ArchiveResults!$F$5:$IX$116,ComparisonData!A44,ComparisonData!$AAB$1),0)),5)</f>
        <v>0</v>
      </c>
      <c r="AAC44" s="81" cm="1">
        <f t="array" ref="AAC44">ROUND((IFERROR(INDEX(ArchiveResults!$F$5:$IX$116,ComparisonData!A44,ComparisonData!$AAC$1),0)),5)</f>
        <v>0</v>
      </c>
      <c r="AAD44" s="81" cm="1">
        <f t="array" ref="AAD44">ROUND((IFERROR(INDEX(ArchiveResults!$F$5:$IX$116,ComparisonData!A44,ComparisonData!$AAD$1),0)),5)</f>
        <v>0</v>
      </c>
      <c r="AAE44" s="81" cm="1">
        <f t="array" ref="AAE44">ROUND((IFERROR(INDEX(ArchiveResults!$F$5:$IX$116,ComparisonData!A44,ComparisonData!$AAE$1),0)),5)</f>
        <v>0</v>
      </c>
      <c r="AAF44" s="81" cm="1">
        <f t="array" ref="AAF44">ROUND((IFERROR(INDEX(ArchiveResults!$F$5:$IX$116,ComparisonData!A44,ComparisonData!$AAF$1),0)),5)</f>
        <v>0</v>
      </c>
      <c r="AAG44" s="46">
        <f t="shared" si="481"/>
        <v>10</v>
      </c>
      <c r="AAH44" s="46">
        <f t="shared" si="629"/>
        <v>2.4839999999999995</v>
      </c>
      <c r="AAI44" s="46">
        <f t="shared" si="482"/>
        <v>1</v>
      </c>
      <c r="AAJ44" s="46">
        <f t="shared" si="483"/>
        <v>2</v>
      </c>
      <c r="AAK44" s="46">
        <f t="shared" si="484"/>
        <v>0</v>
      </c>
      <c r="AAL44" s="46">
        <f t="shared" si="485"/>
        <v>0</v>
      </c>
      <c r="AAM44" s="46">
        <f t="shared" si="486"/>
        <v>0</v>
      </c>
      <c r="AAN44" s="46">
        <f t="shared" si="487"/>
        <v>0</v>
      </c>
      <c r="AAO44" s="46">
        <f t="shared" si="488"/>
        <v>0</v>
      </c>
      <c r="AAP44" s="46">
        <f t="shared" si="489"/>
        <v>0</v>
      </c>
      <c r="AAQ44" s="56">
        <v>39</v>
      </c>
      <c r="AAR44" s="53" t="str">
        <f t="shared" si="630"/>
        <v>Highland Archive Service: The Nuclear and Caithness Archive</v>
      </c>
      <c r="AAS44" s="60">
        <f t="shared" si="490"/>
        <v>0</v>
      </c>
      <c r="AAT44" s="60">
        <f t="shared" si="491"/>
        <v>0</v>
      </c>
      <c r="AAU44" s="60">
        <f t="shared" si="492"/>
        <v>0</v>
      </c>
      <c r="AAV44" s="60">
        <f t="shared" si="493"/>
        <v>0</v>
      </c>
      <c r="AAW44" s="60">
        <f t="shared" si="494"/>
        <v>0</v>
      </c>
      <c r="AAX44" s="76">
        <f t="shared" si="495"/>
        <v>0</v>
      </c>
      <c r="AAY44" s="46">
        <f t="shared" si="496"/>
        <v>10</v>
      </c>
      <c r="AAZ44" s="46">
        <f t="shared" si="631"/>
        <v>2.4839999999999995</v>
      </c>
      <c r="ABA44" s="46">
        <f t="shared" si="497"/>
        <v>1</v>
      </c>
      <c r="ABB44" s="46">
        <f t="shared" si="498"/>
        <v>2</v>
      </c>
      <c r="ABC44" s="46">
        <f t="shared" si="102"/>
        <v>0</v>
      </c>
      <c r="ABD44" s="46" cm="1">
        <f t="array" ref="ABD44">ROUND(VALUE(IFERROR(INDEX(ArchiveResults!$F$5:$IX$116,ComparisonData!A44,ComparisonData!$ABD$1),0)),5)</f>
        <v>0</v>
      </c>
      <c r="ABE44" s="46" cm="1">
        <f t="array" ref="ABE44">ROUND(VALUE(IFERROR(INDEX(ArchiveResults!$F$5:$IX$116,ComparisonData!A44,ComparisonData!$ABE$1),0)),5)</f>
        <v>0</v>
      </c>
      <c r="ABF44" s="46" cm="1">
        <f t="array" ref="ABF44">ROUND(VALUE(IFERROR(INDEX(ArchiveResults!$F$5:$IX$116,ComparisonData!A44,ComparisonData!$ABF$1),0)),5)</f>
        <v>0</v>
      </c>
      <c r="ABG44" s="46" cm="1">
        <f t="array" ref="ABG44">ROUND(VALUE(IFERROR(INDEX(ArchiveResults!$F$5:$IX$116,ComparisonData!A44,ComparisonData!$ABG$1),0)),5)</f>
        <v>0</v>
      </c>
      <c r="ABH44" s="46" cm="1">
        <f t="array" ref="ABH44">ROUND(VALUE(IFERROR(INDEX(ArchiveResults!$F$5:$IX$116,ComparisonData!A44,ComparisonData!$ABH$1),0)),5)</f>
        <v>0</v>
      </c>
      <c r="ABI44" s="56">
        <v>39</v>
      </c>
      <c r="ABJ44" s="53" t="str">
        <f t="shared" si="632"/>
        <v>Highland Archive Service: The Nuclear and Caithness Archive</v>
      </c>
      <c r="ABK44" s="60">
        <f t="shared" si="499"/>
        <v>0</v>
      </c>
      <c r="ABL44" s="60">
        <f t="shared" si="500"/>
        <v>0</v>
      </c>
      <c r="ABM44" s="60">
        <f t="shared" si="501"/>
        <v>0</v>
      </c>
      <c r="ABN44" s="60">
        <f t="shared" si="502"/>
        <v>0</v>
      </c>
      <c r="ABO44" s="60">
        <f t="shared" si="503"/>
        <v>0</v>
      </c>
      <c r="ABP44" s="76">
        <f t="shared" si="504"/>
        <v>0</v>
      </c>
      <c r="ABQ44" s="46">
        <f t="shared" si="505"/>
        <v>10</v>
      </c>
      <c r="ABR44" s="46">
        <f t="shared" si="633"/>
        <v>2.4839999999999995</v>
      </c>
      <c r="ABS44" s="46">
        <f t="shared" si="506"/>
        <v>1</v>
      </c>
      <c r="ABT44" s="46">
        <f t="shared" si="507"/>
        <v>2</v>
      </c>
      <c r="ABU44" s="46" cm="1">
        <f t="array" ref="ABU44">ROUND(VALUE(IFERROR(INDEX(ArchiveResults!$F$5:$IX$116,ComparisonData!A44,ComparisonData!$ABU$1),0)),5)</f>
        <v>0</v>
      </c>
      <c r="ABV44" s="46" cm="1">
        <f t="array" ref="ABV44">ROUND(VALUE(IFERROR(INDEX(ArchiveResults!$F$5:$IX$116,ComparisonData!A44,ComparisonData!$ABV$1),0)),5)</f>
        <v>0</v>
      </c>
      <c r="ABW44" s="46" cm="1">
        <f t="array" ref="ABW44">ROUND(VALUE(IFERROR(INDEX(ArchiveResults!$F$5:$IX$116,ComparisonData!A44,ComparisonData!$ABW$1),0)),5)</f>
        <v>0</v>
      </c>
      <c r="ABX44" s="46" cm="1">
        <f t="array" ref="ABX44">ROUND(VALUE(IFERROR(INDEX(ArchiveResults!$F$5:$IX$116,ComparisonData!A44,ComparisonData!$ABX$1),0)),5)</f>
        <v>0</v>
      </c>
      <c r="ABY44" s="46" cm="1">
        <f t="array" ref="ABY44">ROUND(VALUE(IFERROR(INDEX(ArchiveResults!$F$5:$IX$116,ComparisonData!A44,ComparisonData!$ABY$1),0)),5)</f>
        <v>0</v>
      </c>
      <c r="ABZ44" s="56">
        <v>39</v>
      </c>
      <c r="ACA44" s="53" t="str">
        <f t="shared" si="634"/>
        <v>Highland Archive Service: The Nuclear and Caithness Archive</v>
      </c>
      <c r="ACB44" s="60">
        <f t="shared" si="508"/>
        <v>0</v>
      </c>
      <c r="ACC44" s="60">
        <f t="shared" si="509"/>
        <v>0</v>
      </c>
      <c r="ACD44" s="60">
        <f t="shared" si="510"/>
        <v>0</v>
      </c>
      <c r="ACE44" s="60">
        <f t="shared" si="511"/>
        <v>0</v>
      </c>
      <c r="ACF44" s="60">
        <f t="shared" si="512"/>
        <v>0</v>
      </c>
      <c r="ACG44" s="76">
        <f t="shared" si="513"/>
        <v>0</v>
      </c>
      <c r="ACH44" s="46">
        <f t="shared" si="514"/>
        <v>10</v>
      </c>
      <c r="ACI44" s="46">
        <f t="shared" si="635"/>
        <v>2.4839999999999995</v>
      </c>
      <c r="ACJ44" s="46">
        <f t="shared" si="515"/>
        <v>1</v>
      </c>
      <c r="ACK44" s="46">
        <f t="shared" si="516"/>
        <v>2</v>
      </c>
      <c r="ACL44" s="46">
        <f t="shared" si="517"/>
        <v>0</v>
      </c>
      <c r="ACM44" s="46" cm="1">
        <f t="array" ref="ACM44">ROUND(IFERROR(INDEX(ArchiveResults!$F$5:$IX$116,ComparisonData!A44,ComparisonData!$ACM$1),0),5)</f>
        <v>0</v>
      </c>
      <c r="ACN44" s="46" cm="1">
        <f t="array" ref="ACN44">ROUND(IFERROR(INDEX(ArchiveResults!$F$5:$IX$116,ComparisonData!A44,ComparisonData!$ACN$1),0),5)</f>
        <v>0</v>
      </c>
      <c r="ACO44" s="56">
        <v>39</v>
      </c>
      <c r="ACP44" s="53" t="str">
        <f t="shared" si="636"/>
        <v>Highland Archive Service: The Nuclear and Caithness Archive</v>
      </c>
      <c r="ACQ44" s="60">
        <f t="shared" si="518"/>
        <v>0</v>
      </c>
      <c r="ACR44" s="60">
        <f t="shared" si="519"/>
        <v>0</v>
      </c>
      <c r="ACS44" s="76">
        <f t="shared" si="520"/>
        <v>0</v>
      </c>
      <c r="ACT44" s="46">
        <f t="shared" si="521"/>
        <v>10</v>
      </c>
      <c r="ACU44" s="46">
        <f t="shared" si="637"/>
        <v>2.4839999999999995</v>
      </c>
      <c r="ACV44" s="46">
        <f t="shared" si="522"/>
        <v>1</v>
      </c>
      <c r="ACW44" s="46">
        <f t="shared" si="523"/>
        <v>2</v>
      </c>
      <c r="ACX44" s="46">
        <f t="shared" si="524"/>
        <v>0</v>
      </c>
      <c r="ACY44" s="46" cm="1">
        <f t="array" ref="ACY44">ROUNDDOWN(IFERROR(INDEX(ArchiveResults!$F$5:$IX$116,ComparisonData!A44,ComparisonData!$ACY$1),0),5)</f>
        <v>0</v>
      </c>
      <c r="ACZ44" s="46" cm="1">
        <f t="array" ref="ACZ44">ROUNDDOWN(IFERROR(INDEX(ArchiveResults!$F$5:$IX$116,ComparisonData!A44,ComparisonData!$ACZ$1),0),5)</f>
        <v>0</v>
      </c>
      <c r="ADA44" s="46" cm="1">
        <f t="array" ref="ADA44">ROUNDDOWN(IFERROR(INDEX(ArchiveResults!$F$5:$IX$116,ComparisonData!A44,ComparisonData!$ADA$1),0),5)</f>
        <v>0</v>
      </c>
      <c r="ADB44" s="56">
        <v>39</v>
      </c>
      <c r="ADC44" s="53" t="str">
        <f t="shared" si="638"/>
        <v>Highland Archive Service: The Nuclear and Caithness Archive</v>
      </c>
      <c r="ADD44" s="60">
        <f t="shared" si="525"/>
        <v>0</v>
      </c>
      <c r="ADE44" s="60">
        <f t="shared" si="526"/>
        <v>0</v>
      </c>
      <c r="ADF44" s="60">
        <f t="shared" si="527"/>
        <v>0</v>
      </c>
      <c r="ADG44" s="76">
        <f t="shared" si="528"/>
        <v>0</v>
      </c>
    </row>
    <row r="45" spans="1:787" x14ac:dyDescent="0.25">
      <c r="A45" s="46" t="str">
        <f>IF(ISBLANK(ComparisonSelection!F41),"",ROW()-5)</f>
        <v/>
      </c>
      <c r="B45" s="53" t="s">
        <v>494</v>
      </c>
      <c r="C45" s="72">
        <v>0.69399999999999973</v>
      </c>
      <c r="D45" s="55">
        <f t="shared" si="110"/>
        <v>52</v>
      </c>
      <c r="E45" s="54">
        <f t="shared" si="111"/>
        <v>2.694</v>
      </c>
      <c r="F45" s="54">
        <f t="shared" si="529"/>
        <v>1</v>
      </c>
      <c r="G45" s="72">
        <f t="shared" si="112"/>
        <v>2</v>
      </c>
      <c r="H45" s="72">
        <f t="shared" si="113"/>
        <v>0</v>
      </c>
      <c r="I45" s="46" cm="1">
        <f t="array" ref="I45">ROUND(IFERROR(INDEX(ArchiveResults!$F$5:$IX$116,ComparisonData!A45,ComparisonData!$I$1),0),5)</f>
        <v>0</v>
      </c>
      <c r="J45" s="46" cm="1">
        <f t="array" ref="J45">ROUND(IFERROR(INDEX(ArchiveResults!$F$5:$IX$116,ComparisonData!A45,ComparisonData!$J$1),0),5)</f>
        <v>0</v>
      </c>
      <c r="K45" s="56">
        <v>40</v>
      </c>
      <c r="L45" s="53" t="str">
        <f t="shared" si="114"/>
        <v>Historic England Archive</v>
      </c>
      <c r="M45" s="57">
        <f t="shared" si="530"/>
        <v>0</v>
      </c>
      <c r="N45" s="57">
        <f t="shared" si="531"/>
        <v>0</v>
      </c>
      <c r="O45" s="58">
        <f t="shared" si="115"/>
        <v>0</v>
      </c>
      <c r="P45" s="48">
        <f t="shared" si="116"/>
        <v>52</v>
      </c>
      <c r="Q45" s="54">
        <f t="shared" si="532"/>
        <v>2.694</v>
      </c>
      <c r="R45" s="45">
        <f t="shared" si="117"/>
        <v>1</v>
      </c>
      <c r="S45" s="46">
        <f t="shared" si="118"/>
        <v>2</v>
      </c>
      <c r="T45" s="72">
        <f t="shared" si="119"/>
        <v>0</v>
      </c>
      <c r="U45" s="46" cm="1">
        <f t="array" ref="U45">ROUND(IFERROR(INDEX(ArchiveResults!$F$5:$IX$116,ComparisonData!A45,ComparisonData!$U$1),0),5)</f>
        <v>0</v>
      </c>
      <c r="V45" s="46" cm="1">
        <f t="array" ref="V45">ROUND(IFERROR(INDEX(ArchiveResults!$F$5:$IX$116,ComparisonData!A45,ComparisonData!$V$1),0),5)</f>
        <v>0</v>
      </c>
      <c r="W45" s="56">
        <v>40</v>
      </c>
      <c r="X45" s="53" t="str">
        <f t="shared" si="533"/>
        <v>Historic England Archive</v>
      </c>
      <c r="Y45" s="57">
        <f t="shared" si="120"/>
        <v>0</v>
      </c>
      <c r="Z45" s="57">
        <f t="shared" si="121"/>
        <v>0</v>
      </c>
      <c r="AA45" s="58">
        <f t="shared" si="122"/>
        <v>0</v>
      </c>
      <c r="AB45" s="45">
        <f t="shared" si="123"/>
        <v>52</v>
      </c>
      <c r="AC45" s="54">
        <f t="shared" si="534"/>
        <v>2.694</v>
      </c>
      <c r="AD45" s="45">
        <f t="shared" si="124"/>
        <v>1</v>
      </c>
      <c r="AE45" s="45">
        <f t="shared" si="125"/>
        <v>2</v>
      </c>
      <c r="AF45" s="45">
        <f t="shared" si="126"/>
        <v>0</v>
      </c>
      <c r="AG45" s="46" cm="1">
        <f t="array" ref="AG45">ROUND(IFERROR(INDEX(ArchiveResults!$F$5:$IX$116,ComparisonData!A45,ComparisonData!$AG$1),0),5)</f>
        <v>0</v>
      </c>
      <c r="AH45" s="46" cm="1">
        <f t="array" ref="AH45">ROUND(IFERROR(INDEX(ArchiveResults!$F$5:$IX$116,ComparisonData!A45,ComparisonData!$AH$1),0),5)</f>
        <v>0</v>
      </c>
      <c r="AI45" s="56">
        <v>40</v>
      </c>
      <c r="AJ45" s="53" t="str">
        <f t="shared" si="535"/>
        <v>Historic England Archive</v>
      </c>
      <c r="AK45" s="59">
        <f t="shared" si="536"/>
        <v>0</v>
      </c>
      <c r="AL45" s="59">
        <f t="shared" si="537"/>
        <v>0</v>
      </c>
      <c r="AM45" s="58">
        <f t="shared" si="127"/>
        <v>0</v>
      </c>
      <c r="AN45" s="45">
        <f t="shared" si="128"/>
        <v>52</v>
      </c>
      <c r="AO45" s="54">
        <f t="shared" si="538"/>
        <v>2.694</v>
      </c>
      <c r="AP45" s="45">
        <f t="shared" si="129"/>
        <v>1</v>
      </c>
      <c r="AQ45" s="45">
        <f t="shared" si="130"/>
        <v>2</v>
      </c>
      <c r="AR45" s="46" cm="1">
        <f t="array" ref="AR45">ROUND(IFERROR(INDEX(ArchiveResults!$F$5:$IX$116,ComparisonData!A45,ComparisonData!$AR$1),0),5)</f>
        <v>0</v>
      </c>
      <c r="AS45" s="46" cm="1">
        <f t="array" ref="AS45">ROUND(IFERROR(INDEX(ArchiveResults!$F$5:$IX$116,ComparisonData!A45,ComparisonData!$AS$1),0),5)</f>
        <v>0</v>
      </c>
      <c r="AT45" s="46" cm="1">
        <f t="array" ref="AT45">ROUND(IFERROR(INDEX(ArchiveResults!$F$5:$IX$116,ComparisonData!A45,ComparisonData!$AT$1),0),5)</f>
        <v>0</v>
      </c>
      <c r="AU45" s="46" cm="1">
        <f t="array" ref="AU45">ROUND(IFERROR(INDEX(ArchiveResults!$F$5:$IX$116,ComparisonData!A45,ComparisonData!$AU$1),0),5)</f>
        <v>0</v>
      </c>
      <c r="AV45" s="46" cm="1">
        <f t="array" ref="AV45">ROUND(IFERROR(INDEX(ArchiveResults!$F$5:$IX$116,ComparisonData!A45,ComparisonData!$AV$1),0),5)</f>
        <v>0</v>
      </c>
      <c r="AW45" s="46" cm="1">
        <f t="array" ref="AW45">ROUND(IFERROR(INDEX(ArchiveResults!$F$5:$IX$116,ComparisonData!A45,ComparisonData!$AW$1),0),5)</f>
        <v>0</v>
      </c>
      <c r="AX45" s="46" cm="1">
        <f t="array" ref="AX45">ROUND(IFERROR(INDEX(ArchiveResults!$F$5:$IX$116,ComparisonData!A45,ComparisonData!$AX$1),0),5)</f>
        <v>0</v>
      </c>
      <c r="AY45" s="46" cm="1">
        <f t="array" ref="AY45">ROUND(IFERROR(INDEX(ArchiveResults!$F$5:$IX$116,ComparisonData!A45,ComparisonData!$AY$1),0),5)</f>
        <v>0</v>
      </c>
      <c r="AZ45" s="46" cm="1">
        <f t="array" ref="AZ45">ROUND(IFERROR(INDEX(ArchiveResults!$F$5:$IX$116,ComparisonData!A45,ComparisonData!$AZ$1),0),5)</f>
        <v>0</v>
      </c>
      <c r="BA45" s="46" cm="1">
        <f t="array" ref="BA45">ROUND(IFERROR(INDEX(ArchiveResults!$F$5:$IX$116,ComparisonData!A45,ComparisonData!$BA$1),0),5)</f>
        <v>0</v>
      </c>
      <c r="BB45" s="56">
        <v>40</v>
      </c>
      <c r="BC45" s="53" t="str">
        <f t="shared" si="539"/>
        <v>Historic England Archive</v>
      </c>
      <c r="BD45" s="60">
        <f t="shared" si="131"/>
        <v>0</v>
      </c>
      <c r="BE45" s="60">
        <f t="shared" si="132"/>
        <v>0</v>
      </c>
      <c r="BF45" s="60">
        <f t="shared" si="133"/>
        <v>0</v>
      </c>
      <c r="BG45" s="60">
        <f t="shared" si="134"/>
        <v>0</v>
      </c>
      <c r="BH45" s="60">
        <f t="shared" si="135"/>
        <v>0</v>
      </c>
      <c r="BI45" s="60">
        <f t="shared" si="136"/>
        <v>0</v>
      </c>
      <c r="BJ45" s="60">
        <f t="shared" si="137"/>
        <v>0</v>
      </c>
      <c r="BK45" s="60">
        <f t="shared" si="138"/>
        <v>0</v>
      </c>
      <c r="BL45" s="60">
        <f t="shared" si="139"/>
        <v>0</v>
      </c>
      <c r="BM45" s="59">
        <f t="shared" si="140"/>
        <v>0</v>
      </c>
      <c r="BN45" s="58">
        <f t="shared" si="141"/>
        <v>0</v>
      </c>
      <c r="BO45" s="45">
        <f t="shared" si="142"/>
        <v>52</v>
      </c>
      <c r="BP45" s="54">
        <f t="shared" si="540"/>
        <v>2.694</v>
      </c>
      <c r="BQ45" s="45">
        <f t="shared" si="143"/>
        <v>1</v>
      </c>
      <c r="BR45" s="45">
        <f t="shared" si="144"/>
        <v>2</v>
      </c>
      <c r="BS45" s="46" cm="1">
        <f t="array" ref="BS45">ROUND(IFERROR(INDEX(ArchiveResults!$F$5:$IX$116,ComparisonData!A45,ComparisonData!$BS$1),0),5)</f>
        <v>0</v>
      </c>
      <c r="BT45" s="46" cm="1">
        <f t="array" ref="BT45">ROUND(IFERROR(INDEX(ArchiveResults!$F$5:$IX$116,ComparisonData!A45,ComparisonData!$BT$1),0),5)</f>
        <v>0</v>
      </c>
      <c r="BU45" s="46" cm="1">
        <f t="array" ref="BU45">ROUND(IFERROR(INDEX(ArchiveResults!$F$5:$IX$116,ComparisonData!A45,ComparisonData!$BU$1),0),5)</f>
        <v>0</v>
      </c>
      <c r="BV45" s="46" cm="1">
        <f t="array" ref="BV45">ROUND(IFERROR(INDEX(ArchiveResults!$F$5:$IX$116,ComparisonData!A45,ComparisonData!$BV$1),0),5)</f>
        <v>0</v>
      </c>
      <c r="BW45" s="46" cm="1">
        <f t="array" ref="BW45">ROUND(IFERROR(INDEX(ArchiveResults!$F$5:$IX$116,ComparisonData!A45,ComparisonData!$BW$1),0),5)</f>
        <v>0</v>
      </c>
      <c r="BX45" s="46" cm="1">
        <f t="array" ref="BX45">ROUND(IFERROR(INDEX(ArchiveResults!$F$5:$IX$116,ComparisonData!A45,ComparisonData!$BX$1),0),5)</f>
        <v>0</v>
      </c>
      <c r="BY45" s="56">
        <v>40</v>
      </c>
      <c r="BZ45" s="53" t="str">
        <f t="shared" si="541"/>
        <v>Historic England Archive</v>
      </c>
      <c r="CA45" s="59">
        <f t="shared" si="145"/>
        <v>0</v>
      </c>
      <c r="CB45" s="59">
        <f t="shared" si="146"/>
        <v>0</v>
      </c>
      <c r="CC45" s="59">
        <f t="shared" si="147"/>
        <v>0</v>
      </c>
      <c r="CD45" s="59">
        <f t="shared" si="148"/>
        <v>0</v>
      </c>
      <c r="CE45" s="59">
        <f t="shared" si="149"/>
        <v>0</v>
      </c>
      <c r="CF45" s="59">
        <f t="shared" si="150"/>
        <v>0</v>
      </c>
      <c r="CG45" s="58">
        <f t="shared" si="151"/>
        <v>0</v>
      </c>
      <c r="CH45" s="45">
        <f t="shared" si="152"/>
        <v>52</v>
      </c>
      <c r="CI45" s="54">
        <f t="shared" si="542"/>
        <v>2.694</v>
      </c>
      <c r="CJ45" s="45">
        <f t="shared" si="153"/>
        <v>1</v>
      </c>
      <c r="CK45" s="45">
        <f t="shared" si="154"/>
        <v>2</v>
      </c>
      <c r="CL45" s="46" cm="1">
        <f t="array" ref="CL45">ROUND(IFERROR(INDEX(ArchiveResults!$F$5:$IX$116,ComparisonData!A45,ComparisonData!$CL$1),0),5)</f>
        <v>0</v>
      </c>
      <c r="CM45" s="56">
        <v>40</v>
      </c>
      <c r="CN45" s="53" t="str">
        <f t="shared" si="543"/>
        <v>Historic England Archive</v>
      </c>
      <c r="CO45" s="45">
        <f t="shared" si="155"/>
        <v>0</v>
      </c>
      <c r="CP45" s="58">
        <f t="shared" si="156"/>
        <v>0</v>
      </c>
      <c r="CQ45" s="45">
        <f t="shared" si="157"/>
        <v>52</v>
      </c>
      <c r="CR45" s="54">
        <f t="shared" si="544"/>
        <v>2.694</v>
      </c>
      <c r="CS45" s="45">
        <f t="shared" si="158"/>
        <v>1</v>
      </c>
      <c r="CT45" s="45">
        <f t="shared" si="159"/>
        <v>2</v>
      </c>
      <c r="CU45" s="46" cm="1">
        <f t="array" ref="CU45">ROUND(IFERROR(INDEX(ArchiveResults!$F$5:$IX$116,ComparisonData!A45,ComparisonData!$CU$1),0),5)</f>
        <v>0</v>
      </c>
      <c r="CV45" s="56">
        <v>40</v>
      </c>
      <c r="CW45" s="53" t="str">
        <f t="shared" si="545"/>
        <v>Historic England Archive</v>
      </c>
      <c r="CX45" s="45">
        <f t="shared" si="160"/>
        <v>0</v>
      </c>
      <c r="CY45" s="58">
        <f t="shared" si="161"/>
        <v>0</v>
      </c>
      <c r="CZ45" s="45">
        <f t="shared" si="162"/>
        <v>52</v>
      </c>
      <c r="DA45" s="54">
        <f t="shared" si="546"/>
        <v>2.694</v>
      </c>
      <c r="DB45" s="45">
        <f t="shared" si="163"/>
        <v>1</v>
      </c>
      <c r="DC45" s="45">
        <f t="shared" si="164"/>
        <v>2</v>
      </c>
      <c r="DD45" s="46" cm="1">
        <f t="array" ref="DD45">ROUND(IFERROR(INDEX(ArchiveResults!$F$5:$IX$116,ComparisonData!A45,ComparisonData!$DD$1),0),5)</f>
        <v>0</v>
      </c>
      <c r="DE45" s="56">
        <v>40</v>
      </c>
      <c r="DF45" s="53" t="str">
        <f t="shared" si="547"/>
        <v>Historic England Archive</v>
      </c>
      <c r="DG45" s="45">
        <f t="shared" si="165"/>
        <v>0</v>
      </c>
      <c r="DH45" s="58">
        <f t="shared" si="166"/>
        <v>0</v>
      </c>
      <c r="DI45" s="45">
        <f t="shared" si="167"/>
        <v>52</v>
      </c>
      <c r="DJ45" s="54">
        <f t="shared" si="548"/>
        <v>2.694</v>
      </c>
      <c r="DK45" s="45">
        <f t="shared" si="168"/>
        <v>1</v>
      </c>
      <c r="DL45" s="45">
        <f t="shared" si="169"/>
        <v>2</v>
      </c>
      <c r="DM45" s="46" cm="1">
        <f t="array" ref="DM45">ROUND(IFERROR(INDEX(ArchiveResults!$F$5:$IX$116,ComparisonData!A45,ComparisonData!$DM$1),0),5)</f>
        <v>0</v>
      </c>
      <c r="DN45" s="46" cm="1">
        <f t="array" ref="DN45">ROUND(IFERROR(INDEX(ArchiveResults!$F$5:$IX$116,ComparisonData!A45,ComparisonData!$DN$1),0),5)</f>
        <v>0</v>
      </c>
      <c r="DO45" s="46" cm="1">
        <f t="array" ref="DO45">ROUND(IFERROR(INDEX(ArchiveResults!$F$5:$IX$116,ComparisonData!A45,ComparisonData!$DO$1),0),5)</f>
        <v>0</v>
      </c>
      <c r="DP45" s="46" cm="1">
        <f t="array" ref="DP45">ROUND(IFERROR(INDEX(ArchiveResults!$F$5:$IX$116,ComparisonData!A45,ComparisonData!$DP$1),0),5)</f>
        <v>0</v>
      </c>
      <c r="DQ45" s="45" cm="1">
        <f t="array" ref="DQ45">IFERROR(INDEX(ArchiveResults!$F$5:$IX$116,ComparisonData!A45,ComparisonData!$DQ$1),0)</f>
        <v>0</v>
      </c>
      <c r="DR45" s="56">
        <v>40</v>
      </c>
      <c r="DS45" s="53" t="str">
        <f t="shared" si="549"/>
        <v>Historic England Archive</v>
      </c>
      <c r="DT45" s="59">
        <f t="shared" si="170"/>
        <v>0</v>
      </c>
      <c r="DU45" s="59">
        <f t="shared" si="171"/>
        <v>0</v>
      </c>
      <c r="DV45" s="59">
        <f t="shared" si="172"/>
        <v>0</v>
      </c>
      <c r="DW45" s="59">
        <f t="shared" si="173"/>
        <v>0</v>
      </c>
      <c r="DX45" s="59">
        <f t="shared" si="174"/>
        <v>0</v>
      </c>
      <c r="DY45" s="58">
        <f t="shared" si="175"/>
        <v>0</v>
      </c>
      <c r="DZ45" s="45">
        <f t="shared" si="176"/>
        <v>52</v>
      </c>
      <c r="EA45" s="54">
        <f t="shared" si="550"/>
        <v>2.694</v>
      </c>
      <c r="EB45" s="45">
        <f t="shared" si="177"/>
        <v>1</v>
      </c>
      <c r="EC45" s="45">
        <f t="shared" si="178"/>
        <v>2</v>
      </c>
      <c r="ED45" s="46" cm="1">
        <f t="array" ref="ED45">ROUND(IFERROR(INDEX(ArchiveResults!$F$5:$IX$116,ComparisonData!A45,ComparisonData!$ED$1),0),5)</f>
        <v>0</v>
      </c>
      <c r="EE45" s="46" cm="1">
        <f t="array" ref="EE45">ROUND(IFERROR(INDEX(ArchiveResults!$F$5:$IX$116,ComparisonData!A45,ComparisonData!$EE$1),0),5)</f>
        <v>0</v>
      </c>
      <c r="EF45" s="46" cm="1">
        <f t="array" ref="EF45">ROUND(IFERROR(INDEX(ArchiveResults!$F$5:$IX$116,ComparisonData!A45,ComparisonData!$EF$1),0),5)</f>
        <v>0</v>
      </c>
      <c r="EG45" s="46" cm="1">
        <f t="array" ref="EG45">ROUND(IFERROR(INDEX(ArchiveResults!$F$5:$IX$116,ComparisonData!A45,ComparisonData!$EG$1),0),5)</f>
        <v>0</v>
      </c>
      <c r="EH45" s="45" cm="1">
        <f t="array" ref="EH45">IFERROR(INDEX(ArchiveResults!$F$5:$IX$116,ComparisonData!A45,ComparisonData!$EH$1),0)</f>
        <v>0</v>
      </c>
      <c r="EI45" s="56">
        <v>40</v>
      </c>
      <c r="EJ45" s="53" t="str">
        <f t="shared" si="551"/>
        <v>Historic England Archive</v>
      </c>
      <c r="EK45" s="59">
        <f t="shared" si="179"/>
        <v>0</v>
      </c>
      <c r="EL45" s="59">
        <f t="shared" si="180"/>
        <v>0</v>
      </c>
      <c r="EM45" s="59">
        <f t="shared" si="181"/>
        <v>0</v>
      </c>
      <c r="EN45" s="59">
        <f t="shared" si="182"/>
        <v>0</v>
      </c>
      <c r="EO45" s="59">
        <f t="shared" si="183"/>
        <v>0</v>
      </c>
      <c r="EP45" s="58">
        <f t="shared" si="184"/>
        <v>0</v>
      </c>
      <c r="EQ45" s="45">
        <f t="shared" si="185"/>
        <v>52</v>
      </c>
      <c r="ER45" s="54">
        <f t="shared" si="552"/>
        <v>2.694</v>
      </c>
      <c r="ES45" s="45">
        <f t="shared" si="186"/>
        <v>1</v>
      </c>
      <c r="ET45" s="45">
        <f t="shared" si="187"/>
        <v>2</v>
      </c>
      <c r="EU45" s="46" cm="1">
        <f t="array" ref="EU45">ROUND(IFERROR(INDEX(ArchiveResults!$F$5:$IX$116,ComparisonData!A45,ComparisonData!$EU$1),0),5)</f>
        <v>0</v>
      </c>
      <c r="EV45" s="46" cm="1">
        <f t="array" ref="EV45">ROUND(IFERROR(INDEX(ArchiveResults!$F$5:$IX$116,ComparisonData!A45,ComparisonData!$EV$1),0),5)</f>
        <v>0</v>
      </c>
      <c r="EW45" s="46" cm="1">
        <f t="array" ref="EW45">ROUND(IFERROR(INDEX(ArchiveResults!$F$5:$IX$116,ComparisonData!A45,ComparisonData!$EW$1),0),5)</f>
        <v>0</v>
      </c>
      <c r="EX45" s="46" cm="1">
        <f t="array" ref="EX45">ROUND(IFERROR(INDEX(ArchiveResults!$F$5:$IX$116,ComparisonData!A45,ComparisonData!$EX$1),0),5)</f>
        <v>0</v>
      </c>
      <c r="EY45" s="45" cm="1">
        <f t="array" ref="EY45">IFERROR(INDEX(ArchiveResults!$F$5:$IX$116,ComparisonData!A45,ComparisonData!$EY$1),0)</f>
        <v>0</v>
      </c>
      <c r="EZ45" s="56">
        <v>40</v>
      </c>
      <c r="FA45" s="53" t="str">
        <f t="shared" si="553"/>
        <v>Historic England Archive</v>
      </c>
      <c r="FB45" s="59">
        <f t="shared" si="188"/>
        <v>0</v>
      </c>
      <c r="FC45" s="59">
        <f t="shared" si="189"/>
        <v>0</v>
      </c>
      <c r="FD45" s="59">
        <f t="shared" si="190"/>
        <v>0</v>
      </c>
      <c r="FE45" s="59">
        <f t="shared" si="191"/>
        <v>0</v>
      </c>
      <c r="FF45" s="59">
        <f t="shared" si="192"/>
        <v>0</v>
      </c>
      <c r="FG45" s="58">
        <f t="shared" si="193"/>
        <v>0</v>
      </c>
      <c r="FH45" s="45">
        <f t="shared" si="194"/>
        <v>52</v>
      </c>
      <c r="FI45" s="54">
        <f t="shared" si="554"/>
        <v>2.694</v>
      </c>
      <c r="FJ45" s="45">
        <f t="shared" si="195"/>
        <v>1</v>
      </c>
      <c r="FK45" s="45">
        <f t="shared" si="196"/>
        <v>2</v>
      </c>
      <c r="FL45" s="46" cm="1">
        <f t="array" ref="FL45">ROUND(IFERROR(INDEX(ArchiveResults!$F$5:$IX$116,ComparisonData!A45,ComparisonData!$FL$1),0),5)</f>
        <v>0</v>
      </c>
      <c r="FM45" s="46" cm="1">
        <f t="array" ref="FM45">ROUND(IFERROR(INDEX(ArchiveResults!$F$5:$IX$116,ComparisonData!A45,ComparisonData!$FM$1),0),5)</f>
        <v>0</v>
      </c>
      <c r="FN45" s="46" cm="1">
        <f t="array" ref="FN45">ROUND(IFERROR(INDEX(ArchiveResults!$F$5:$IX$116,ComparisonData!A45,ComparisonData!$FN$1),0),5)</f>
        <v>0</v>
      </c>
      <c r="FO45" s="46" cm="1">
        <f t="array" ref="FO45">ROUND(IFERROR(INDEX(ArchiveResults!$F$5:$IX$116,ComparisonData!A45,ComparisonData!$FO$1),0),5)</f>
        <v>0</v>
      </c>
      <c r="FP45" s="45" cm="1">
        <f t="array" ref="FP45">IFERROR(INDEX(ArchiveResults!$F$5:$IX$116,ComparisonData!A45,ComparisonData!$FP$1),0)</f>
        <v>0</v>
      </c>
      <c r="FQ45" s="56">
        <v>40</v>
      </c>
      <c r="FR45" s="53" t="str">
        <f t="shared" si="555"/>
        <v>Historic England Archive</v>
      </c>
      <c r="FS45" s="59">
        <f t="shared" si="197"/>
        <v>0</v>
      </c>
      <c r="FT45" s="59">
        <f t="shared" si="198"/>
        <v>0</v>
      </c>
      <c r="FU45" s="59">
        <f t="shared" si="199"/>
        <v>0</v>
      </c>
      <c r="FV45" s="59">
        <f t="shared" si="200"/>
        <v>0</v>
      </c>
      <c r="FW45" s="59">
        <f t="shared" si="201"/>
        <v>0</v>
      </c>
      <c r="FX45" s="58">
        <f t="shared" si="202"/>
        <v>0</v>
      </c>
      <c r="FY45" s="45">
        <f t="shared" si="203"/>
        <v>52</v>
      </c>
      <c r="FZ45" s="45">
        <f t="shared" si="556"/>
        <v>2.694</v>
      </c>
      <c r="GA45" s="45">
        <f t="shared" si="204"/>
        <v>1</v>
      </c>
      <c r="GB45" s="45">
        <f t="shared" si="205"/>
        <v>2</v>
      </c>
      <c r="GC45" s="46" cm="1">
        <f t="array" ref="GC45">ROUND(IFERROR(INDEX(ArchiveResults!$F$5:$IX$116,ComparisonData!A45,ComparisonData!$GC$1),0),5)</f>
        <v>0</v>
      </c>
      <c r="GD45" s="46" cm="1">
        <f t="array" ref="GD45">ROUND(IFERROR(INDEX(ArchiveResults!$F$5:$IX$116,ComparisonData!A45,ComparisonData!$GD$1),0),5)</f>
        <v>0</v>
      </c>
      <c r="GE45" s="46" cm="1">
        <f t="array" ref="GE45">ROUND(IFERROR(INDEX(ArchiveResults!$F$5:$IX$116,ComparisonData!A45,ComparisonData!$GE$1),0),5)</f>
        <v>0</v>
      </c>
      <c r="GF45" s="46" cm="1">
        <f t="array" ref="GF45">ROUND(IFERROR(INDEX(ArchiveResults!$F$5:$IX$116,ComparisonData!A45,ComparisonData!$GF$1),0),5)</f>
        <v>0</v>
      </c>
      <c r="GG45" s="45" cm="1">
        <f t="array" ref="GG45">IFERROR(INDEX(ArchiveResults!$F$5:$IX$116,ComparisonData!A45,ComparisonData!$GG$1),0)</f>
        <v>0</v>
      </c>
      <c r="GH45" s="56">
        <v>40</v>
      </c>
      <c r="GI45" s="53" t="str">
        <f t="shared" si="557"/>
        <v>Historic England Archive</v>
      </c>
      <c r="GJ45" s="59">
        <f t="shared" si="206"/>
        <v>0</v>
      </c>
      <c r="GK45" s="59">
        <f t="shared" si="207"/>
        <v>0</v>
      </c>
      <c r="GL45" s="59">
        <f t="shared" si="208"/>
        <v>0</v>
      </c>
      <c r="GM45" s="59">
        <f t="shared" si="209"/>
        <v>0</v>
      </c>
      <c r="GN45" s="59">
        <f t="shared" si="210"/>
        <v>0</v>
      </c>
      <c r="GO45" s="58">
        <f t="shared" si="211"/>
        <v>0</v>
      </c>
      <c r="GP45" s="45">
        <f t="shared" si="212"/>
        <v>52</v>
      </c>
      <c r="GQ45" s="45">
        <f t="shared" si="558"/>
        <v>2.694</v>
      </c>
      <c r="GR45" s="45">
        <f t="shared" si="213"/>
        <v>1</v>
      </c>
      <c r="GS45" s="45">
        <f t="shared" si="214"/>
        <v>2</v>
      </c>
      <c r="GT45" s="46" cm="1">
        <f t="array" ref="GT45">ROUND(IFERROR(INDEX(ArchiveResults!$F$5:$IX$116,ComparisonData!A45,ComparisonData!$GT$1),0),5)</f>
        <v>0</v>
      </c>
      <c r="GU45" s="46" cm="1">
        <f t="array" ref="GU45">ROUND(IFERROR(INDEX(ArchiveResults!$F$5:$IX$116,ComparisonData!A45,ComparisonData!$GU$1),0),5)</f>
        <v>0</v>
      </c>
      <c r="GV45" s="46" cm="1">
        <f t="array" ref="GV45">ROUND(IFERROR(INDEX(ArchiveResults!$F$5:$IX$116,ComparisonData!A45,ComparisonData!$GV$1),0),5)</f>
        <v>0</v>
      </c>
      <c r="GW45" s="46" cm="1">
        <f t="array" ref="GW45">ROUND(IFERROR(INDEX(ArchiveResults!$F$5:$IX$116,ComparisonData!A45,ComparisonData!$GW$1),0),5)</f>
        <v>0</v>
      </c>
      <c r="GX45" s="45" cm="1">
        <f t="array" ref="GX45">IFERROR(INDEX(ArchiveResults!$F$5:$IX$116,ComparisonData!A45,ComparisonData!$GX$1),0)</f>
        <v>0</v>
      </c>
      <c r="GY45" s="56">
        <v>40</v>
      </c>
      <c r="GZ45" s="53" t="str">
        <f t="shared" si="559"/>
        <v>Historic England Archive</v>
      </c>
      <c r="HA45" s="59">
        <f t="shared" si="215"/>
        <v>0</v>
      </c>
      <c r="HB45" s="59">
        <f t="shared" si="216"/>
        <v>0</v>
      </c>
      <c r="HC45" s="59">
        <f t="shared" si="217"/>
        <v>0</v>
      </c>
      <c r="HD45" s="59">
        <f t="shared" si="218"/>
        <v>0</v>
      </c>
      <c r="HE45" s="59">
        <f t="shared" si="219"/>
        <v>0</v>
      </c>
      <c r="HF45" s="58">
        <f t="shared" si="220"/>
        <v>0</v>
      </c>
      <c r="HG45" s="45">
        <f t="shared" si="221"/>
        <v>52</v>
      </c>
      <c r="HH45" s="45">
        <f t="shared" si="560"/>
        <v>2.694</v>
      </c>
      <c r="HI45" s="45">
        <f t="shared" si="222"/>
        <v>1</v>
      </c>
      <c r="HJ45" s="45">
        <f t="shared" si="223"/>
        <v>2</v>
      </c>
      <c r="HK45" s="46" cm="1">
        <f t="array" ref="HK45">ROUND(IFERROR(INDEX(ArchiveResults!$F$5:$IX$116,ComparisonData!A45,ComparisonData!$HK$1),0),5)</f>
        <v>0</v>
      </c>
      <c r="HL45" s="46" cm="1">
        <f t="array" ref="HL45">ROUND(IFERROR(INDEX(ArchiveResults!$F$5:$IX$116,ComparisonData!A45,ComparisonData!$HL$1),0),5)</f>
        <v>0</v>
      </c>
      <c r="HM45" s="46" cm="1">
        <f t="array" ref="HM45">ROUND(IFERROR(INDEX(ArchiveResults!$F$5:$IX$116,ComparisonData!A45,ComparisonData!$HM$1),0),5)</f>
        <v>0</v>
      </c>
      <c r="HN45" s="46" cm="1">
        <f t="array" ref="HN45">ROUND(IFERROR(INDEX(ArchiveResults!$F$5:$IX$116,ComparisonData!A45,ComparisonData!$HN$1),0),5)</f>
        <v>0</v>
      </c>
      <c r="HO45" s="45" cm="1">
        <f t="array" ref="HO45">IFERROR(INDEX(ArchiveResults!$F$5:$IX$116,ComparisonData!A45,ComparisonData!$HO$1),0)</f>
        <v>0</v>
      </c>
      <c r="HP45" s="56">
        <v>40</v>
      </c>
      <c r="HQ45" s="53" t="str">
        <f t="shared" si="561"/>
        <v>Historic England Archive</v>
      </c>
      <c r="HR45" s="59">
        <f t="shared" si="562"/>
        <v>0</v>
      </c>
      <c r="HS45" s="59">
        <f t="shared" si="563"/>
        <v>0</v>
      </c>
      <c r="HT45" s="59">
        <f t="shared" si="564"/>
        <v>0</v>
      </c>
      <c r="HU45" s="59">
        <f t="shared" si="565"/>
        <v>0</v>
      </c>
      <c r="HV45" s="59">
        <f t="shared" si="566"/>
        <v>0</v>
      </c>
      <c r="HW45" s="58">
        <f t="shared" si="224"/>
        <v>0</v>
      </c>
      <c r="HX45" s="45">
        <f t="shared" si="225"/>
        <v>52</v>
      </c>
      <c r="HY45" s="45">
        <f t="shared" si="567"/>
        <v>2.694</v>
      </c>
      <c r="HZ45" s="45">
        <f t="shared" si="226"/>
        <v>1</v>
      </c>
      <c r="IA45" s="45">
        <f t="shared" si="227"/>
        <v>2</v>
      </c>
      <c r="IB45" s="45">
        <f t="shared" si="228"/>
        <v>0</v>
      </c>
      <c r="IC45" s="46" cm="1">
        <f t="array" ref="IC45">ROUND(IFERROR(INDEX(ArchiveResults!$F$5:$IX$116,ComparisonData!A45,ComparisonData!$IC$1),0),5)</f>
        <v>0</v>
      </c>
      <c r="ID45" s="46" cm="1">
        <f t="array" ref="ID45">ROUND(IFERROR(INDEX(ArchiveResults!$F$5:$IX$116,ComparisonData!A45,ComparisonData!$ID$1),0),5)</f>
        <v>0</v>
      </c>
      <c r="IE45" s="46" cm="1">
        <f t="array" ref="IE45">ROUND(IFERROR(INDEX(ArchiveResults!$F$5:$IX$116,ComparisonData!A45,ComparisonData!$IE$1),0),5)</f>
        <v>0</v>
      </c>
      <c r="IF45" s="46" cm="1">
        <f t="array" ref="IF45">ROUND(IFERROR(INDEX(ArchiveResults!$F$5:$IX$116,ComparisonData!A45,ComparisonData!$IF$1),0),5)</f>
        <v>0</v>
      </c>
      <c r="IG45" s="45" cm="1">
        <f t="array" ref="IG45">IFERROR(INDEX(ArchiveResults!$F$5:$IX$116,ComparisonData!A45,ComparisonData!$IG$1),0)</f>
        <v>0</v>
      </c>
      <c r="IH45" s="56">
        <v>40</v>
      </c>
      <c r="II45" s="53" t="str">
        <f t="shared" si="568"/>
        <v>Historic England Archive</v>
      </c>
      <c r="IJ45" s="59">
        <f t="shared" si="229"/>
        <v>0</v>
      </c>
      <c r="IK45" s="59">
        <f t="shared" si="230"/>
        <v>0</v>
      </c>
      <c r="IL45" s="59">
        <f t="shared" si="231"/>
        <v>0</v>
      </c>
      <c r="IM45" s="59">
        <f t="shared" si="232"/>
        <v>0</v>
      </c>
      <c r="IN45" s="59">
        <f t="shared" si="233"/>
        <v>0</v>
      </c>
      <c r="IO45" s="58">
        <f t="shared" si="234"/>
        <v>0</v>
      </c>
      <c r="IP45" s="45">
        <f t="shared" si="235"/>
        <v>52</v>
      </c>
      <c r="IQ45" s="45">
        <f t="shared" si="569"/>
        <v>2.694</v>
      </c>
      <c r="IR45" s="45">
        <f t="shared" si="236"/>
        <v>1</v>
      </c>
      <c r="IS45" s="45">
        <f t="shared" si="237"/>
        <v>2</v>
      </c>
      <c r="IT45" s="46">
        <f t="shared" si="238"/>
        <v>0</v>
      </c>
      <c r="IU45" s="46" cm="1">
        <f t="array" ref="IU45">ROUND(IFERROR(INDEX(ArchiveResults!$F$5:$IX$116,ComparisonData!A45,ComparisonData!$IU$1),0),5)</f>
        <v>0</v>
      </c>
      <c r="IV45" s="46" cm="1">
        <f t="array" ref="IV45">ROUND(IFERROR(INDEX(ArchiveResults!$F$5:$IX$116,ComparisonData!A45,ComparisonData!$IV$1),0),5)</f>
        <v>0</v>
      </c>
      <c r="IW45" s="46" cm="1">
        <f t="array" ref="IW45">ROUND(IFERROR(INDEX(ArchiveResults!$F$5:$IX$116,ComparisonData!A45,ComparisonData!$IW$1),0),5)</f>
        <v>0</v>
      </c>
      <c r="IX45" s="46" cm="1">
        <f t="array" ref="IX45">ROUND(IFERROR(INDEX(ArchiveResults!$F$5:$IX$116,ComparisonData!A45,ComparisonData!$IX$1),0),5)</f>
        <v>0</v>
      </c>
      <c r="IY45" s="45" cm="1">
        <f t="array" ref="IY45">IFERROR(INDEX(ArchiveResults!$F$5:$IX$116,ComparisonData!A45,ComparisonData!$IY$1),0)</f>
        <v>0</v>
      </c>
      <c r="IZ45" s="56">
        <v>40</v>
      </c>
      <c r="JA45" s="53" t="str">
        <f t="shared" si="570"/>
        <v>Historic England Archive</v>
      </c>
      <c r="JB45" s="59">
        <f t="shared" si="239"/>
        <v>0</v>
      </c>
      <c r="JC45" s="59">
        <f t="shared" si="240"/>
        <v>0</v>
      </c>
      <c r="JD45" s="59">
        <f t="shared" si="241"/>
        <v>0</v>
      </c>
      <c r="JE45" s="59">
        <f t="shared" si="242"/>
        <v>0</v>
      </c>
      <c r="JF45" s="59">
        <f t="shared" si="243"/>
        <v>0</v>
      </c>
      <c r="JG45" s="58">
        <f t="shared" si="244"/>
        <v>0</v>
      </c>
      <c r="JH45" s="45">
        <f t="shared" si="245"/>
        <v>52</v>
      </c>
      <c r="JI45" s="45">
        <f t="shared" si="571"/>
        <v>2.694</v>
      </c>
      <c r="JJ45" s="45">
        <f t="shared" si="246"/>
        <v>1</v>
      </c>
      <c r="JK45" s="45">
        <f t="shared" si="247"/>
        <v>2</v>
      </c>
      <c r="JL45" s="45">
        <f t="shared" si="248"/>
        <v>0</v>
      </c>
      <c r="JM45" s="46" cm="1">
        <f t="array" ref="JM45">ROUND(IFERROR(INDEX(ArchiveResults!$F$5:$IX$116,ComparisonData!A45,ComparisonData!$JM$1),0),5)</f>
        <v>0</v>
      </c>
      <c r="JN45" s="46" cm="1">
        <f t="array" ref="JN45">ROUND(IFERROR(INDEX(ArchiveResults!$F$5:$IX$116,ComparisonData!A45,ComparisonData!$JN$1),0),5)</f>
        <v>0</v>
      </c>
      <c r="JO45" s="46" cm="1">
        <f t="array" ref="JO45">ROUND(IFERROR(INDEX(ArchiveResults!$F$5:$IX$116,ComparisonData!A45,ComparisonData!$JO$1),0),5)</f>
        <v>0</v>
      </c>
      <c r="JP45" s="46" cm="1">
        <f t="array" ref="JP45">ROUND(IFERROR(INDEX(ArchiveResults!$F$5:$IX$116,ComparisonData!A45,ComparisonData!$JP$1),0),5)</f>
        <v>0</v>
      </c>
      <c r="JQ45" s="45" cm="1">
        <f t="array" ref="JQ45">IFERROR(INDEX(ArchiveResults!$F$5:$IX$116,ComparisonData!A45,ComparisonData!$JQ$1),0)</f>
        <v>0</v>
      </c>
      <c r="JR45" s="56">
        <v>40</v>
      </c>
      <c r="JS45" s="53" t="str">
        <f t="shared" si="572"/>
        <v>Historic England Archive</v>
      </c>
      <c r="JT45" s="59">
        <f t="shared" si="249"/>
        <v>0</v>
      </c>
      <c r="JU45" s="59">
        <f t="shared" si="250"/>
        <v>0</v>
      </c>
      <c r="JV45" s="59">
        <f t="shared" si="251"/>
        <v>0</v>
      </c>
      <c r="JW45" s="59">
        <f t="shared" si="252"/>
        <v>0</v>
      </c>
      <c r="JX45" s="59">
        <f t="shared" si="253"/>
        <v>0</v>
      </c>
      <c r="JY45" s="58">
        <f t="shared" si="254"/>
        <v>0</v>
      </c>
      <c r="JZ45" s="45">
        <f t="shared" si="255"/>
        <v>52</v>
      </c>
      <c r="KA45" s="45">
        <f t="shared" si="573"/>
        <v>2.694</v>
      </c>
      <c r="KB45" s="45">
        <f t="shared" si="256"/>
        <v>1</v>
      </c>
      <c r="KC45" s="45">
        <f t="shared" si="257"/>
        <v>2</v>
      </c>
      <c r="KD45" s="45">
        <f t="shared" si="258"/>
        <v>0</v>
      </c>
      <c r="KE45" s="46" cm="1">
        <f t="array" ref="KE45">ROUND(IFERROR(INDEX(ArchiveResults!$F$5:$IX$116,ComparisonData!A45,ComparisonData!$KE$1),0),5)</f>
        <v>0</v>
      </c>
      <c r="KF45" s="46" cm="1">
        <f t="array" ref="KF45">ROUND(IFERROR(INDEX(ArchiveResults!$F$5:$IX$116,ComparisonData!A45,ComparisonData!$KF$1),0),5)</f>
        <v>0</v>
      </c>
      <c r="KG45" s="46" cm="1">
        <f t="array" ref="KG45">ROUND(IFERROR(INDEX(ArchiveResults!$F$5:$IX$116,ComparisonData!A45,ComparisonData!$KG$1),0),5)</f>
        <v>0</v>
      </c>
      <c r="KH45" s="46" cm="1">
        <f t="array" ref="KH45">ROUND(IFERROR(INDEX(ArchiveResults!$F$5:$IX$116,ComparisonData!A45,ComparisonData!$KH$1),0),5)</f>
        <v>0</v>
      </c>
      <c r="KI45" s="45" cm="1">
        <f t="array" ref="KI45">IFERROR(INDEX(ArchiveResults!$F$5:$IX$116,ComparisonData!A45,ComparisonData!$KI$1),0)</f>
        <v>0</v>
      </c>
      <c r="KJ45" s="56">
        <v>40</v>
      </c>
      <c r="KK45" s="53" t="str">
        <f t="shared" si="574"/>
        <v>Historic England Archive</v>
      </c>
      <c r="KL45" s="59">
        <f t="shared" si="259"/>
        <v>0</v>
      </c>
      <c r="KM45" s="59">
        <f t="shared" si="260"/>
        <v>0</v>
      </c>
      <c r="KN45" s="59">
        <f t="shared" si="261"/>
        <v>0</v>
      </c>
      <c r="KO45" s="59">
        <f t="shared" si="262"/>
        <v>0</v>
      </c>
      <c r="KP45" s="59">
        <f t="shared" si="263"/>
        <v>0</v>
      </c>
      <c r="KQ45" s="58">
        <f t="shared" si="264"/>
        <v>0</v>
      </c>
      <c r="KR45" s="45">
        <f t="shared" si="265"/>
        <v>52</v>
      </c>
      <c r="KS45" s="45">
        <f t="shared" si="575"/>
        <v>2.694</v>
      </c>
      <c r="KT45" s="45">
        <f t="shared" si="266"/>
        <v>1</v>
      </c>
      <c r="KU45" s="45">
        <f t="shared" si="267"/>
        <v>2</v>
      </c>
      <c r="KV45" s="45">
        <f t="shared" si="268"/>
        <v>0</v>
      </c>
      <c r="KW45" s="46" cm="1">
        <f t="array" ref="KW45">ROUND(IFERROR(INDEX(ArchiveResults!$F$5:$IX$116,ComparisonData!A45,ComparisonData!$KW$1),0),5)</f>
        <v>0</v>
      </c>
      <c r="KX45" s="46" cm="1">
        <f t="array" ref="KX45">ROUND(IFERROR(INDEX(ArchiveResults!$F$5:$IX$116,ComparisonData!A45,ComparisonData!$KX$1),0),5)</f>
        <v>0</v>
      </c>
      <c r="KY45" s="46" cm="1">
        <f t="array" ref="KY45">ROUND(IFERROR(INDEX(ArchiveResults!$F$5:$IX$116,ComparisonData!A45,ComparisonData!$KY$1),0),5)</f>
        <v>0</v>
      </c>
      <c r="KZ45" s="46" cm="1">
        <f t="array" ref="KZ45">ROUND(IFERROR(INDEX(ArchiveResults!$F$5:$IX$116,ComparisonData!A45,ComparisonData!$KZ$1),0),5)</f>
        <v>0</v>
      </c>
      <c r="LA45" s="45" cm="1">
        <f t="array" ref="LA45">IFERROR(INDEX(ArchiveResults!$F$5:$IX$116,ComparisonData!A45,ComparisonData!$LA$1),0)</f>
        <v>0</v>
      </c>
      <c r="LB45" s="56">
        <v>40</v>
      </c>
      <c r="LC45" s="53" t="str">
        <f t="shared" si="576"/>
        <v>Historic England Archive</v>
      </c>
      <c r="LD45" s="59">
        <f t="shared" si="269"/>
        <v>0</v>
      </c>
      <c r="LE45" s="59">
        <f t="shared" si="270"/>
        <v>0</v>
      </c>
      <c r="LF45" s="59">
        <f t="shared" si="271"/>
        <v>0</v>
      </c>
      <c r="LG45" s="59">
        <f t="shared" si="272"/>
        <v>0</v>
      </c>
      <c r="LH45" s="59">
        <f t="shared" si="273"/>
        <v>0</v>
      </c>
      <c r="LI45" s="58">
        <f t="shared" si="274"/>
        <v>0</v>
      </c>
      <c r="LJ45" s="45">
        <f t="shared" si="275"/>
        <v>52</v>
      </c>
      <c r="LK45" s="45">
        <f t="shared" si="577"/>
        <v>2.694</v>
      </c>
      <c r="LL45" s="45">
        <f t="shared" si="276"/>
        <v>1</v>
      </c>
      <c r="LM45" s="45">
        <f t="shared" si="277"/>
        <v>2</v>
      </c>
      <c r="LN45" s="45">
        <f t="shared" si="278"/>
        <v>0</v>
      </c>
      <c r="LO45" s="46" cm="1">
        <f t="array" ref="LO45">ROUND(IFERROR(INDEX(ArchiveResults!$F$5:$IX$116,ComparisonData!A45,ComparisonData!$LO$1),0),5)</f>
        <v>0</v>
      </c>
      <c r="LP45" s="46" cm="1">
        <f t="array" ref="LP45">ROUND(IFERROR(INDEX(ArchiveResults!$F$5:$IX$116,ComparisonData!A45,ComparisonData!$LP$1),0),5)</f>
        <v>0</v>
      </c>
      <c r="LQ45" s="46" cm="1">
        <f t="array" ref="LQ45">ROUND(IFERROR(INDEX(ArchiveResults!$F$5:$IX$116,ComparisonData!A45,ComparisonData!$LQ$1),0),5)</f>
        <v>0</v>
      </c>
      <c r="LR45" s="46" cm="1">
        <f t="array" ref="LR45">ROUND(IFERROR(INDEX(ArchiveResults!$F$5:$IX$116,ComparisonData!A45,ComparisonData!$LR$1),0),5)</f>
        <v>0</v>
      </c>
      <c r="LS45" s="45" cm="1">
        <f t="array" ref="LS45">IFERROR(INDEX(ArchiveResults!$F$5:$IX$116,ComparisonData!A45,ComparisonData!$LS$1),0)</f>
        <v>0</v>
      </c>
      <c r="LT45" s="56">
        <v>40</v>
      </c>
      <c r="LU45" s="53" t="str">
        <f t="shared" si="578"/>
        <v>Historic England Archive</v>
      </c>
      <c r="LV45" s="59">
        <f t="shared" si="279"/>
        <v>0</v>
      </c>
      <c r="LW45" s="59">
        <f t="shared" si="280"/>
        <v>0</v>
      </c>
      <c r="LX45" s="59">
        <f t="shared" si="281"/>
        <v>0</v>
      </c>
      <c r="LY45" s="59">
        <f t="shared" si="282"/>
        <v>0</v>
      </c>
      <c r="LZ45" s="59">
        <f t="shared" si="283"/>
        <v>0</v>
      </c>
      <c r="MA45" s="58">
        <f t="shared" si="284"/>
        <v>0</v>
      </c>
      <c r="MB45" s="45">
        <f t="shared" si="285"/>
        <v>52</v>
      </c>
      <c r="MC45" s="45">
        <f t="shared" si="579"/>
        <v>2.694</v>
      </c>
      <c r="MD45" s="45">
        <f t="shared" si="286"/>
        <v>1</v>
      </c>
      <c r="ME45" s="45">
        <f t="shared" si="287"/>
        <v>2</v>
      </c>
      <c r="MF45" s="45">
        <f t="shared" si="288"/>
        <v>0</v>
      </c>
      <c r="MG45" s="46" cm="1">
        <f t="array" ref="MG45">ROUND(IFERROR(INDEX(ArchiveResults!$F$5:$IX$116,ComparisonData!A45,ComparisonData!$MG$1),0),5)</f>
        <v>0</v>
      </c>
      <c r="MH45" s="46" cm="1">
        <f t="array" ref="MH45">ROUND(IFERROR(INDEX(ArchiveResults!$F$5:$IX$116,ComparisonData!A45,ComparisonData!$MH$1),0),5)</f>
        <v>0</v>
      </c>
      <c r="MI45" s="46" cm="1">
        <f t="array" ref="MI45">ROUND(IFERROR(INDEX(ArchiveResults!$F$5:$IX$116,ComparisonData!A45,ComparisonData!$MI$1),0),5)</f>
        <v>0</v>
      </c>
      <c r="MJ45" s="46" cm="1">
        <f t="array" ref="MJ45">ROUND(IFERROR(INDEX(ArchiveResults!$F$5:$IX$116,ComparisonData!A45,ComparisonData!$MJ$1),0),5)</f>
        <v>0</v>
      </c>
      <c r="MK45" s="45" cm="1">
        <f t="array" ref="MK45">IFERROR(INDEX(ArchiveResults!$F$5:$IX$116,ComparisonData!A45,ComparisonData!$MK$1),0)</f>
        <v>0</v>
      </c>
      <c r="ML45" s="56">
        <v>40</v>
      </c>
      <c r="MM45" s="53" t="str">
        <f t="shared" si="580"/>
        <v>Historic England Archive</v>
      </c>
      <c r="MN45" s="59">
        <f t="shared" si="289"/>
        <v>0</v>
      </c>
      <c r="MO45" s="59">
        <f t="shared" si="290"/>
        <v>0</v>
      </c>
      <c r="MP45" s="59">
        <f t="shared" si="291"/>
        <v>0</v>
      </c>
      <c r="MQ45" s="59">
        <f t="shared" si="292"/>
        <v>0</v>
      </c>
      <c r="MR45" s="59">
        <f t="shared" si="293"/>
        <v>0</v>
      </c>
      <c r="MS45" s="58">
        <f t="shared" si="294"/>
        <v>0</v>
      </c>
      <c r="MT45" s="45">
        <f t="shared" si="295"/>
        <v>52</v>
      </c>
      <c r="MU45" s="45">
        <f t="shared" si="581"/>
        <v>2.694</v>
      </c>
      <c r="MV45" s="45">
        <f t="shared" si="296"/>
        <v>1</v>
      </c>
      <c r="MW45" s="45">
        <f t="shared" si="297"/>
        <v>2</v>
      </c>
      <c r="MX45" s="45">
        <f t="shared" si="298"/>
        <v>0</v>
      </c>
      <c r="MY45" s="46" cm="1">
        <f t="array" ref="MY45">ROUND(IFERROR(INDEX(ArchiveResults!$F$5:$IX$116,ComparisonData!A45,ComparisonData!$MY$1),0),5)</f>
        <v>0</v>
      </c>
      <c r="MZ45" s="46" cm="1">
        <f t="array" ref="MZ45">ROUND(IFERROR(INDEX(ArchiveResults!$F$5:$IX$116,ComparisonData!A45,ComparisonData!$MZ$1),0),5)</f>
        <v>0</v>
      </c>
      <c r="NA45" s="46" cm="1">
        <f t="array" ref="NA45">ROUND(IFERROR(INDEX(ArchiveResults!$F$5:$IX$116,ComparisonData!A45,ComparisonData!$NA$1),0),5)</f>
        <v>0</v>
      </c>
      <c r="NB45" s="46" cm="1">
        <f t="array" ref="NB45">ROUND(IFERROR(INDEX(ArchiveResults!$F$5:$IX$116,ComparisonData!A45,ComparisonData!$NB$1),0),5)</f>
        <v>0</v>
      </c>
      <c r="NC45" s="45" cm="1">
        <f t="array" ref="NC45">IFERROR(INDEX(ArchiveResults!$F$5:$IX$116,ComparisonData!A45,ComparisonData!$NC$1),0)</f>
        <v>0</v>
      </c>
      <c r="ND45" s="56">
        <v>40</v>
      </c>
      <c r="NE45" s="53" t="str">
        <f t="shared" si="582"/>
        <v>Historic England Archive</v>
      </c>
      <c r="NF45" s="59">
        <f t="shared" si="299"/>
        <v>0</v>
      </c>
      <c r="NG45" s="59">
        <f t="shared" si="300"/>
        <v>0</v>
      </c>
      <c r="NH45" s="59">
        <f t="shared" si="301"/>
        <v>0</v>
      </c>
      <c r="NI45" s="59">
        <f t="shared" si="302"/>
        <v>0</v>
      </c>
      <c r="NJ45" s="59">
        <f t="shared" si="303"/>
        <v>0</v>
      </c>
      <c r="NK45" s="58">
        <f t="shared" si="304"/>
        <v>0</v>
      </c>
      <c r="NL45" s="45">
        <f t="shared" si="305"/>
        <v>52</v>
      </c>
      <c r="NM45" s="45">
        <f t="shared" si="583"/>
        <v>2.694</v>
      </c>
      <c r="NN45" s="45">
        <f t="shared" si="306"/>
        <v>1</v>
      </c>
      <c r="NO45" s="45">
        <f t="shared" si="307"/>
        <v>2</v>
      </c>
      <c r="NP45" s="46" cm="1">
        <f t="array" ref="NP45">ROUND(IFERROR(INDEX(ArchiveResults!$F$5:$IX$116,ComparisonData!A45,ComparisonData!$NP$1),0),5)</f>
        <v>0</v>
      </c>
      <c r="NQ45" s="46" cm="1">
        <f t="array" ref="NQ45">ROUND(IFERROR(INDEX(ArchiveResults!$F$5:$IX$116,ComparisonData!A45,ComparisonData!$NQ$1),0),5)</f>
        <v>0</v>
      </c>
      <c r="NR45" s="46" cm="1">
        <f t="array" ref="NR45">ROUND(IFERROR(INDEX(ArchiveResults!$F$5:$IX$116,ComparisonData!A45,ComparisonData!$NR$1),0),5)</f>
        <v>0</v>
      </c>
      <c r="NS45" s="46" cm="1">
        <f t="array" ref="NS45">ROUND(IFERROR(INDEX(ArchiveResults!$F$5:$IX$116,ComparisonData!A45,ComparisonData!$NS$1),0),5)</f>
        <v>0</v>
      </c>
      <c r="NT45" s="45" cm="1">
        <f t="array" ref="NT45">IFERROR(INDEX(ArchiveResults!$F$5:$IX$116,ComparisonData!A45,ComparisonData!$NT$1),0)</f>
        <v>0</v>
      </c>
      <c r="NU45" s="56">
        <v>40</v>
      </c>
      <c r="NV45" s="53" t="str">
        <f t="shared" si="584"/>
        <v>Historic England Archive</v>
      </c>
      <c r="NW45" s="59">
        <f t="shared" si="308"/>
        <v>0</v>
      </c>
      <c r="NX45" s="59">
        <f t="shared" si="309"/>
        <v>0</v>
      </c>
      <c r="NY45" s="59">
        <f t="shared" si="310"/>
        <v>0</v>
      </c>
      <c r="NZ45" s="59">
        <f t="shared" si="311"/>
        <v>0</v>
      </c>
      <c r="OA45" s="59">
        <f t="shared" si="312"/>
        <v>0</v>
      </c>
      <c r="OB45" s="58">
        <f t="shared" si="313"/>
        <v>0</v>
      </c>
      <c r="OC45" s="45">
        <f t="shared" si="314"/>
        <v>52</v>
      </c>
      <c r="OD45" s="45">
        <f t="shared" si="585"/>
        <v>2.694</v>
      </c>
      <c r="OE45" s="45">
        <f t="shared" si="315"/>
        <v>1</v>
      </c>
      <c r="OF45" s="45">
        <f t="shared" si="316"/>
        <v>2</v>
      </c>
      <c r="OG45" s="46">
        <f t="shared" si="317"/>
        <v>0</v>
      </c>
      <c r="OH45" s="46" cm="1">
        <f t="array" ref="OH45">ROUND(IFERROR(INDEX(ArchiveResults!$F$5:$IX$116,ComparisonData!A45,ComparisonData!$OH$1),0),5)</f>
        <v>0</v>
      </c>
      <c r="OI45" s="46" cm="1">
        <f t="array" ref="OI45">ROUND(IFERROR(INDEX(ArchiveResults!$F$5:$IX$116,ComparisonData!A45,ComparisonData!$OI$1),0),5)</f>
        <v>0</v>
      </c>
      <c r="OJ45" s="46" cm="1">
        <f t="array" ref="OJ45">ROUND(IFERROR(INDEX(ArchiveResults!$F$5:$IX$116,ComparisonData!A45,ComparisonData!$OJ$1),0),5)</f>
        <v>0</v>
      </c>
      <c r="OK45" s="46" cm="1">
        <f t="array" ref="OK45">ROUND(IFERROR(INDEX(ArchiveResults!$F$5:$IX$116,ComparisonData!A45,ComparisonData!$OK$1),0),5)</f>
        <v>0</v>
      </c>
      <c r="OL45" s="45" cm="1">
        <f t="array" ref="OL45">IFERROR(INDEX(ArchiveResults!$F$5:$IX$116,ComparisonData!A45,ComparisonData!$OL$1),0)</f>
        <v>0</v>
      </c>
      <c r="OM45" s="56">
        <v>40</v>
      </c>
      <c r="ON45" s="53" t="str">
        <f t="shared" si="586"/>
        <v>Historic England Archive</v>
      </c>
      <c r="OO45" s="59">
        <f t="shared" si="318"/>
        <v>0</v>
      </c>
      <c r="OP45" s="59">
        <f t="shared" si="319"/>
        <v>0</v>
      </c>
      <c r="OQ45" s="59">
        <f t="shared" si="320"/>
        <v>0</v>
      </c>
      <c r="OR45" s="59">
        <f t="shared" si="321"/>
        <v>0</v>
      </c>
      <c r="OS45" s="59">
        <f t="shared" si="322"/>
        <v>0</v>
      </c>
      <c r="OT45" s="58">
        <f t="shared" si="323"/>
        <v>0</v>
      </c>
      <c r="OU45" s="45">
        <f t="shared" si="324"/>
        <v>52</v>
      </c>
      <c r="OV45" s="45">
        <f t="shared" si="587"/>
        <v>2.694</v>
      </c>
      <c r="OW45" s="45">
        <f t="shared" si="325"/>
        <v>1</v>
      </c>
      <c r="OX45" s="45">
        <f t="shared" si="326"/>
        <v>2</v>
      </c>
      <c r="OY45" s="45">
        <f t="shared" si="327"/>
        <v>0</v>
      </c>
      <c r="OZ45" s="46" cm="1">
        <f t="array" ref="OZ45">ROUND(IFERROR(INDEX(ArchiveResults!$F$5:$IX$116,ComparisonData!A45,ComparisonData!$OZ$1),0),5)</f>
        <v>0</v>
      </c>
      <c r="PA45" s="46" cm="1">
        <f t="array" ref="PA45">ROUND(IFERROR(INDEX(ArchiveResults!$F$5:$IX$116,ComparisonData!A45,ComparisonData!$PA$1),0),5)</f>
        <v>0</v>
      </c>
      <c r="PB45" s="46" cm="1">
        <f t="array" ref="PB45">ROUND(IFERROR(INDEX(ArchiveResults!$F$5:$IX$116,ComparisonData!A45,ComparisonData!$PB$1),0),5)</f>
        <v>0</v>
      </c>
      <c r="PC45" s="46" cm="1">
        <f t="array" ref="PC45">ROUND(IFERROR(INDEX(ArchiveResults!$F$5:$IX$116,ComparisonData!A45,ComparisonData!$PC$1),0),5)</f>
        <v>0</v>
      </c>
      <c r="PD45" s="45" cm="1">
        <f t="array" ref="PD45">IFERROR(INDEX(ArchiveResults!$F$5:$IX$116,ComparisonData!A45,ComparisonData!$PD$1),0)</f>
        <v>0</v>
      </c>
      <c r="PE45" s="56">
        <v>40</v>
      </c>
      <c r="PF45" s="53" t="str">
        <f t="shared" si="588"/>
        <v>Historic England Archive</v>
      </c>
      <c r="PG45" s="59">
        <f t="shared" si="328"/>
        <v>0</v>
      </c>
      <c r="PH45" s="59">
        <f t="shared" si="329"/>
        <v>0</v>
      </c>
      <c r="PI45" s="59">
        <f t="shared" si="330"/>
        <v>0</v>
      </c>
      <c r="PJ45" s="59">
        <f t="shared" si="331"/>
        <v>0</v>
      </c>
      <c r="PK45" s="59">
        <f t="shared" si="332"/>
        <v>0</v>
      </c>
      <c r="PL45" s="58">
        <f t="shared" si="333"/>
        <v>0</v>
      </c>
      <c r="PM45" s="45">
        <f t="shared" si="334"/>
        <v>52</v>
      </c>
      <c r="PN45" s="45">
        <f t="shared" si="589"/>
        <v>2.694</v>
      </c>
      <c r="PO45" s="45">
        <f t="shared" si="335"/>
        <v>1</v>
      </c>
      <c r="PP45" s="45">
        <f t="shared" si="336"/>
        <v>2</v>
      </c>
      <c r="PQ45" s="45">
        <f t="shared" si="337"/>
        <v>0</v>
      </c>
      <c r="PR45" s="46" cm="1">
        <f t="array" ref="PR45">ROUND(IFERROR(INDEX(ArchiveResults!$F$5:$IX$116,ComparisonData!A45,ComparisonData!$PR$1),0),5)</f>
        <v>0</v>
      </c>
      <c r="PS45" s="46" cm="1">
        <f t="array" ref="PS45">ROUND(IFERROR(INDEX(ArchiveResults!$F$5:$IX$116,ComparisonData!A45,ComparisonData!$PS$1),0),5)</f>
        <v>0</v>
      </c>
      <c r="PT45" s="46" cm="1">
        <f t="array" ref="PT45">ROUND(IFERROR(INDEX(ArchiveResults!$F$5:$IX$116,ComparisonData!A45,ComparisonData!$PT$1),0),5)</f>
        <v>0</v>
      </c>
      <c r="PU45" s="46" cm="1">
        <f t="array" ref="PU45">ROUND(IFERROR(INDEX(ArchiveResults!$F$5:$IX$116,ComparisonData!A45,ComparisonData!$PU$1),0),5)</f>
        <v>0</v>
      </c>
      <c r="PV45" s="45" cm="1">
        <f t="array" ref="PV45">IFERROR(INDEX(ArchiveResults!$F$5:$IX$116,ComparisonData!A45,ComparisonData!$PV$1),0)</f>
        <v>0</v>
      </c>
      <c r="PW45" s="56">
        <v>40</v>
      </c>
      <c r="PX45" s="53" t="str">
        <f t="shared" si="590"/>
        <v>Historic England Archive</v>
      </c>
      <c r="PY45" s="59">
        <f t="shared" si="338"/>
        <v>0</v>
      </c>
      <c r="PZ45" s="59">
        <f t="shared" si="339"/>
        <v>0</v>
      </c>
      <c r="QA45" s="59">
        <f t="shared" si="340"/>
        <v>0</v>
      </c>
      <c r="QB45" s="59">
        <f t="shared" si="341"/>
        <v>0</v>
      </c>
      <c r="QC45" s="59">
        <f t="shared" si="342"/>
        <v>0</v>
      </c>
      <c r="QD45" s="58">
        <f t="shared" si="343"/>
        <v>0</v>
      </c>
      <c r="QE45" s="45">
        <f t="shared" si="344"/>
        <v>52</v>
      </c>
      <c r="QF45" s="45">
        <f t="shared" si="591"/>
        <v>2.694</v>
      </c>
      <c r="QG45" s="45">
        <f t="shared" si="345"/>
        <v>1</v>
      </c>
      <c r="QH45" s="45">
        <f t="shared" si="346"/>
        <v>2</v>
      </c>
      <c r="QI45" s="45">
        <f t="shared" si="347"/>
        <v>0</v>
      </c>
      <c r="QJ45" s="46" cm="1">
        <f t="array" ref="QJ45">ROUND(IFERROR(INDEX(ArchiveResults!$F$5:$IX$116,ComparisonData!A45,ComparisonData!$QJ$1),0),5)</f>
        <v>0</v>
      </c>
      <c r="QK45" s="46" cm="1">
        <f t="array" ref="QK45">ROUND(IFERROR(INDEX(ArchiveResults!$F$5:$IX$116,ComparisonData!A45,ComparisonData!$QK$1),0),5)</f>
        <v>0</v>
      </c>
      <c r="QL45" s="46" cm="1">
        <f t="array" ref="QL45">ROUND(IFERROR(INDEX(ArchiveResults!$F$5:$IX$116,ComparisonData!A45,ComparisonData!$QL$1),0),5)</f>
        <v>0</v>
      </c>
      <c r="QM45" s="46" cm="1">
        <f t="array" ref="QM45">ROUND(IFERROR(INDEX(ArchiveResults!$F$5:$IX$116,ComparisonData!A45,ComparisonData!$QM$1),0),5)</f>
        <v>0</v>
      </c>
      <c r="QN45" s="45" cm="1">
        <f t="array" ref="QN45">IFERROR(INDEX(ArchiveResults!$F$5:$IX$116,ComparisonData!A45,ComparisonData!$QN$1),0)</f>
        <v>0</v>
      </c>
      <c r="QO45" s="56">
        <v>40</v>
      </c>
      <c r="QP45" s="53" t="str">
        <f t="shared" si="592"/>
        <v>Historic England Archive</v>
      </c>
      <c r="QQ45" s="59">
        <f t="shared" si="348"/>
        <v>0</v>
      </c>
      <c r="QR45" s="59">
        <f t="shared" si="349"/>
        <v>0</v>
      </c>
      <c r="QS45" s="59">
        <f t="shared" si="350"/>
        <v>0</v>
      </c>
      <c r="QT45" s="59">
        <f t="shared" si="351"/>
        <v>0</v>
      </c>
      <c r="QU45" s="59">
        <f t="shared" si="352"/>
        <v>0</v>
      </c>
      <c r="QV45" s="58">
        <f t="shared" si="353"/>
        <v>0</v>
      </c>
      <c r="QW45" s="45">
        <f t="shared" si="354"/>
        <v>52</v>
      </c>
      <c r="QX45" s="45">
        <f t="shared" si="593"/>
        <v>2.694</v>
      </c>
      <c r="QY45" s="45">
        <f t="shared" si="355"/>
        <v>1</v>
      </c>
      <c r="QZ45" s="45">
        <f t="shared" si="356"/>
        <v>2</v>
      </c>
      <c r="RA45" s="45">
        <f t="shared" si="357"/>
        <v>0</v>
      </c>
      <c r="RB45" s="46" cm="1">
        <f t="array" ref="RB45">ROUND(IFERROR(INDEX(ArchiveResults!$F$5:$IX$116,ComparisonData!A45,ComparisonData!$RB$1),0),5)</f>
        <v>0</v>
      </c>
      <c r="RC45" s="46" cm="1">
        <f t="array" ref="RC45">ROUND(IFERROR(INDEX(ArchiveResults!$F$5:$IX$116,ComparisonData!A45,ComparisonData!$RC$1),0),5)</f>
        <v>0</v>
      </c>
      <c r="RD45" s="46" cm="1">
        <f t="array" ref="RD45">ROUND(IFERROR(INDEX(ArchiveResults!$F$5:$IX$116,ComparisonData!A45,ComparisonData!$RD$1),0),5)</f>
        <v>0</v>
      </c>
      <c r="RE45" s="46" cm="1">
        <f t="array" ref="RE45">ROUND(IFERROR(INDEX(ArchiveResults!$F$5:$IX$116,ComparisonData!A45,ComparisonData!$RE$1),0),5)</f>
        <v>0</v>
      </c>
      <c r="RF45" s="45" cm="1">
        <f t="array" ref="RF45">IFERROR(INDEX(ArchiveResults!$F$5:$IX$116,ComparisonData!A45,ComparisonData!$RF$1),0)</f>
        <v>0</v>
      </c>
      <c r="RG45" s="56">
        <v>40</v>
      </c>
      <c r="RH45" s="53" t="str">
        <f t="shared" si="594"/>
        <v>Historic England Archive</v>
      </c>
      <c r="RI45" s="59">
        <f t="shared" si="358"/>
        <v>0</v>
      </c>
      <c r="RJ45" s="59">
        <f t="shared" si="359"/>
        <v>0</v>
      </c>
      <c r="RK45" s="59">
        <f t="shared" si="360"/>
        <v>0</v>
      </c>
      <c r="RL45" s="59">
        <f t="shared" si="361"/>
        <v>0</v>
      </c>
      <c r="RM45" s="59">
        <f t="shared" si="362"/>
        <v>0</v>
      </c>
      <c r="RN45" s="58">
        <f t="shared" si="363"/>
        <v>0</v>
      </c>
      <c r="RO45" s="45">
        <f t="shared" si="364"/>
        <v>52</v>
      </c>
      <c r="RP45" s="45">
        <f t="shared" si="595"/>
        <v>2.694</v>
      </c>
      <c r="RQ45" s="45">
        <f t="shared" si="365"/>
        <v>1</v>
      </c>
      <c r="RR45" s="45">
        <f t="shared" si="366"/>
        <v>2</v>
      </c>
      <c r="RS45" s="45">
        <f t="shared" si="367"/>
        <v>0</v>
      </c>
      <c r="RT45" s="46" cm="1">
        <f t="array" ref="RT45">ROUND(IFERROR(INDEX(ArchiveResults!$F$5:$IX$116,ComparisonData!A45,ComparisonData!$RT$1),0),5)</f>
        <v>0</v>
      </c>
      <c r="RU45" s="46" cm="1">
        <f t="array" ref="RU45">ROUND(IFERROR(INDEX(ArchiveResults!$F$5:$IX$116,ComparisonData!A45,ComparisonData!$RU$1),0),5)</f>
        <v>0</v>
      </c>
      <c r="RV45" s="46" cm="1">
        <f t="array" ref="RV45">ROUND(IFERROR(INDEX(ArchiveResults!$F$5:$IX$116,ComparisonData!A45,ComparisonData!$RV$1),0),5)</f>
        <v>0</v>
      </c>
      <c r="RW45" s="46" cm="1">
        <f t="array" ref="RW45">ROUND(IFERROR(INDEX(ArchiveResults!$F$5:$IX$116,ComparisonData!A45,ComparisonData!$RW$1),0),5)</f>
        <v>0</v>
      </c>
      <c r="RX45" s="45" cm="1">
        <f t="array" ref="RX45">IFERROR(INDEX(ArchiveResults!$F$5:$IX$116,ComparisonData!A45,ComparisonData!$RX$1),0)</f>
        <v>0</v>
      </c>
      <c r="RY45" s="56">
        <v>40</v>
      </c>
      <c r="RZ45" s="53" t="str">
        <f t="shared" si="596"/>
        <v>Historic England Archive</v>
      </c>
      <c r="SA45" s="59">
        <f t="shared" si="368"/>
        <v>0</v>
      </c>
      <c r="SB45" s="59">
        <f t="shared" si="369"/>
        <v>0</v>
      </c>
      <c r="SC45" s="59">
        <f t="shared" si="370"/>
        <v>0</v>
      </c>
      <c r="SD45" s="59">
        <f t="shared" si="371"/>
        <v>0</v>
      </c>
      <c r="SE45" s="59">
        <f t="shared" si="372"/>
        <v>0</v>
      </c>
      <c r="SF45" s="58">
        <f t="shared" si="373"/>
        <v>0</v>
      </c>
      <c r="SG45" s="45">
        <f t="shared" si="374"/>
        <v>52</v>
      </c>
      <c r="SH45" s="45">
        <f t="shared" si="597"/>
        <v>2.694</v>
      </c>
      <c r="SI45" s="45">
        <f t="shared" si="375"/>
        <v>1</v>
      </c>
      <c r="SJ45" s="45">
        <f t="shared" si="376"/>
        <v>2</v>
      </c>
      <c r="SK45" s="45">
        <f t="shared" si="377"/>
        <v>0</v>
      </c>
      <c r="SL45" s="46" cm="1">
        <f t="array" ref="SL45">ROUND(IFERROR(INDEX(ArchiveResults!$F$5:$IX$116,ComparisonData!A45,ComparisonData!$SL$1),0),5)</f>
        <v>0</v>
      </c>
      <c r="SM45" s="46" cm="1">
        <f t="array" ref="SM45">ROUND(IFERROR(INDEX(ArchiveResults!$F$5:$IX$116,ComparisonData!A45,ComparisonData!$SM$1),0),5)</f>
        <v>0</v>
      </c>
      <c r="SN45" s="46" cm="1">
        <f t="array" ref="SN45">ROUND(IFERROR(INDEX(ArchiveResults!$F$5:$IX$116,ComparisonData!A45,ComparisonData!$SN$1),0),5)</f>
        <v>0</v>
      </c>
      <c r="SO45" s="46" cm="1">
        <f t="array" ref="SO45">ROUND(IFERROR(INDEX(ArchiveResults!$F$5:$IX$116,ComparisonData!A45,ComparisonData!$SO$1),0),5)</f>
        <v>0</v>
      </c>
      <c r="SP45" s="45" cm="1">
        <f t="array" ref="SP45">IFERROR(INDEX(ArchiveResults!$F$5:$IX$116,ComparisonData!A45,ComparisonData!$SP$1),0)</f>
        <v>0</v>
      </c>
      <c r="SQ45" s="56">
        <v>40</v>
      </c>
      <c r="SR45" s="53" t="str">
        <f t="shared" si="598"/>
        <v>Historic England Archive</v>
      </c>
      <c r="SS45" s="59">
        <f t="shared" si="378"/>
        <v>0</v>
      </c>
      <c r="ST45" s="59">
        <f t="shared" si="379"/>
        <v>0</v>
      </c>
      <c r="SU45" s="59">
        <f t="shared" si="380"/>
        <v>0</v>
      </c>
      <c r="SV45" s="59">
        <f t="shared" si="381"/>
        <v>0</v>
      </c>
      <c r="SW45" s="59">
        <f t="shared" si="382"/>
        <v>0</v>
      </c>
      <c r="SX45" s="58">
        <f t="shared" si="383"/>
        <v>0</v>
      </c>
      <c r="SY45" s="45">
        <f t="shared" si="384"/>
        <v>52</v>
      </c>
      <c r="SZ45" s="45">
        <f t="shared" si="599"/>
        <v>2.694</v>
      </c>
      <c r="TA45" s="45">
        <f t="shared" si="385"/>
        <v>1</v>
      </c>
      <c r="TB45" s="45">
        <f t="shared" si="386"/>
        <v>2</v>
      </c>
      <c r="TC45" s="45">
        <f t="shared" si="387"/>
        <v>0</v>
      </c>
      <c r="TD45" s="46" cm="1">
        <f t="array" ref="TD45">ROUND(IFERROR(INDEX(ArchiveResults!$F$5:$IX$116,ComparisonData!A45,ComparisonData!$TD$1),0),5)</f>
        <v>0</v>
      </c>
      <c r="TE45" s="46" cm="1">
        <f t="array" ref="TE45">ROUND(IFERROR(INDEX(ArchiveResults!$F$5:$IX$116,ComparisonData!A45,ComparisonData!$TE$1),0),5)</f>
        <v>0</v>
      </c>
      <c r="TF45" s="46" cm="1">
        <f t="array" ref="TF45">ROUND(IFERROR(INDEX(ArchiveResults!$F$5:$IX$116,ComparisonData!A45,ComparisonData!$TF$1),0),5)</f>
        <v>0</v>
      </c>
      <c r="TG45" s="46" cm="1">
        <f t="array" ref="TG45">ROUND(IFERROR(INDEX(ArchiveResults!$F$5:$IX$116,ComparisonData!A45,ComparisonData!$TG$1),0),5)</f>
        <v>0</v>
      </c>
      <c r="TH45" s="45" cm="1">
        <f t="array" ref="TH45">IFERROR(INDEX(ArchiveResults!$F$5:$IX$116,ComparisonData!A45,ComparisonData!$TH$1),0)</f>
        <v>0</v>
      </c>
      <c r="TI45" s="56">
        <v>40</v>
      </c>
      <c r="TJ45" s="53" t="str">
        <f t="shared" si="600"/>
        <v>Historic England Archive</v>
      </c>
      <c r="TK45" s="59">
        <f t="shared" si="388"/>
        <v>0</v>
      </c>
      <c r="TL45" s="59">
        <f t="shared" si="389"/>
        <v>0</v>
      </c>
      <c r="TM45" s="59">
        <f t="shared" si="390"/>
        <v>0</v>
      </c>
      <c r="TN45" s="59">
        <f t="shared" si="391"/>
        <v>0</v>
      </c>
      <c r="TO45" s="59">
        <f t="shared" si="392"/>
        <v>0</v>
      </c>
      <c r="TP45" s="58">
        <f t="shared" si="393"/>
        <v>0</v>
      </c>
      <c r="TQ45" s="45">
        <f t="shared" si="394"/>
        <v>52</v>
      </c>
      <c r="TR45" s="45">
        <f t="shared" si="601"/>
        <v>2.694</v>
      </c>
      <c r="TS45" s="45">
        <f t="shared" si="395"/>
        <v>1</v>
      </c>
      <c r="TT45" s="45">
        <f t="shared" si="396"/>
        <v>2</v>
      </c>
      <c r="TU45" s="45">
        <f t="shared" si="397"/>
        <v>0</v>
      </c>
      <c r="TV45" s="46" cm="1">
        <f t="array" ref="TV45">ROUND(IFERROR(INDEX(ArchiveResults!$F$5:$IX$116,ComparisonData!A45,ComparisonData!$TV$1),0),5)</f>
        <v>0</v>
      </c>
      <c r="TW45" s="46" cm="1">
        <f t="array" ref="TW45">ROUND(IFERROR(INDEX(ArchiveResults!$F$5:$IX$116,ComparisonData!A45,ComparisonData!$TW$1),0),5)</f>
        <v>0</v>
      </c>
      <c r="TX45" s="46" cm="1">
        <f t="array" ref="TX45">ROUND(IFERROR(INDEX(ArchiveResults!$F$5:$IX$116,ComparisonData!A45,ComparisonData!$TX$1),0),5)</f>
        <v>0</v>
      </c>
      <c r="TY45" s="46" cm="1">
        <f t="array" ref="TY45">ROUND(IFERROR(INDEX(ArchiveResults!$F$5:$IX$116,ComparisonData!A45,ComparisonData!$TY$1),0),5)</f>
        <v>0</v>
      </c>
      <c r="TZ45" s="45" cm="1">
        <f t="array" ref="TZ45">IFERROR(INDEX(ArchiveResults!$F$5:$IX$116,ComparisonData!A45,ComparisonData!$TZ$1),0)</f>
        <v>0</v>
      </c>
      <c r="UA45" s="56">
        <v>40</v>
      </c>
      <c r="UB45" s="53" t="str">
        <f t="shared" si="602"/>
        <v>Historic England Archive</v>
      </c>
      <c r="UC45" s="60">
        <f t="shared" si="398"/>
        <v>0</v>
      </c>
      <c r="UD45" s="60">
        <f t="shared" si="399"/>
        <v>0</v>
      </c>
      <c r="UE45" s="60">
        <f t="shared" si="400"/>
        <v>0</v>
      </c>
      <c r="UF45" s="60">
        <f t="shared" si="401"/>
        <v>0</v>
      </c>
      <c r="UG45" s="60">
        <f t="shared" si="402"/>
        <v>0</v>
      </c>
      <c r="UH45" s="58">
        <f t="shared" si="403"/>
        <v>0</v>
      </c>
      <c r="UI45" s="46">
        <f t="shared" si="404"/>
        <v>52</v>
      </c>
      <c r="UJ45" s="46">
        <f t="shared" si="603"/>
        <v>2.694</v>
      </c>
      <c r="UK45" s="46">
        <f t="shared" si="405"/>
        <v>1</v>
      </c>
      <c r="UL45" s="46">
        <f t="shared" si="406"/>
        <v>2</v>
      </c>
      <c r="UM45" s="46" cm="1">
        <f t="array" ref="UM45">ROUND(IFERROR(INDEX(ArchiveResults!$F$5:$IX$116,ComparisonData!A45,ComparisonData!$UM$1),0),5)</f>
        <v>0</v>
      </c>
      <c r="UN45" s="56">
        <v>40</v>
      </c>
      <c r="UO45" s="53" t="str">
        <f t="shared" si="604"/>
        <v>Historic England Archive</v>
      </c>
      <c r="UP45" s="46">
        <f t="shared" si="407"/>
        <v>0</v>
      </c>
      <c r="UQ45" s="76">
        <f t="shared" si="408"/>
        <v>0</v>
      </c>
      <c r="UR45" s="46">
        <f t="shared" si="409"/>
        <v>52</v>
      </c>
      <c r="US45" s="46">
        <f t="shared" si="605"/>
        <v>2.694</v>
      </c>
      <c r="UT45" s="46">
        <f t="shared" si="410"/>
        <v>1</v>
      </c>
      <c r="UU45" s="46">
        <f t="shared" si="411"/>
        <v>2</v>
      </c>
      <c r="UV45" s="46">
        <f t="shared" si="412"/>
        <v>0</v>
      </c>
      <c r="UW45" s="46" cm="1">
        <f t="array" ref="UW45">ROUND(IFERROR(INDEX(ArchiveResults!$F$5:$IX$116,ComparisonData!A45,ComparisonData!$UW$1),0),5)</f>
        <v>0</v>
      </c>
      <c r="UX45" s="46" cm="1">
        <f t="array" ref="UX45">ROUND(IFERROR(INDEX(ArchiveResults!$F$5:$IX$116,ComparisonData!A45,ComparisonData!$UX$1),0),5)</f>
        <v>0</v>
      </c>
      <c r="UY45" s="46" cm="1">
        <f t="array" ref="UY45">ROUND(IFERROR(INDEX(ArchiveResults!$F$5:$IX$116,ComparisonData!A45,ComparisonData!$UY$1),0),5)</f>
        <v>0</v>
      </c>
      <c r="UZ45" s="46" cm="1">
        <f t="array" ref="UZ45">ROUND(IFERROR(INDEX(ArchiveResults!$F$5:$IX$116,ComparisonData!A45,ComparisonData!$UZ$1),0),5)</f>
        <v>0</v>
      </c>
      <c r="VA45" s="46" cm="1">
        <f t="array" ref="VA45">ROUND(IFERROR(INDEX(ArchiveResults!$F$5:$IX$116,ComparisonData!A45,ComparisonData!$VA$1),0),5)</f>
        <v>0</v>
      </c>
      <c r="VB45" s="56">
        <v>40</v>
      </c>
      <c r="VC45" s="53" t="str">
        <f t="shared" si="606"/>
        <v>Historic England Archive</v>
      </c>
      <c r="VD45" s="60">
        <f t="shared" si="413"/>
        <v>0</v>
      </c>
      <c r="VE45" s="60">
        <f t="shared" si="414"/>
        <v>0</v>
      </c>
      <c r="VF45" s="60">
        <f t="shared" si="415"/>
        <v>0</v>
      </c>
      <c r="VG45" s="60">
        <f t="shared" si="416"/>
        <v>0</v>
      </c>
      <c r="VH45" s="60">
        <f t="shared" si="417"/>
        <v>0</v>
      </c>
      <c r="VI45" s="76">
        <f t="shared" si="418"/>
        <v>0</v>
      </c>
      <c r="VJ45" s="46">
        <f t="shared" si="419"/>
        <v>52</v>
      </c>
      <c r="VK45" s="46">
        <f t="shared" si="607"/>
        <v>2.694</v>
      </c>
      <c r="VL45" s="46">
        <f t="shared" si="420"/>
        <v>1</v>
      </c>
      <c r="VM45" s="46">
        <f t="shared" si="421"/>
        <v>2</v>
      </c>
      <c r="VN45" s="46" cm="1">
        <f t="array" ref="VN45">ROUND(IFERROR(INDEX(ArchiveResults!$F$5:$IX$116,ComparisonData!A45,ComparisonData!$VN$1),0),5)</f>
        <v>0</v>
      </c>
      <c r="VO45" s="46" cm="1">
        <f t="array" ref="VO45">ROUND(IFERROR(INDEX(ArchiveResults!$F$5:$IX$116,ComparisonData!A45,ComparisonData!$VO$1),0),5)</f>
        <v>0</v>
      </c>
      <c r="VP45" s="46" cm="1">
        <f t="array" ref="VP45">ROUND(IFERROR(INDEX(ArchiveResults!$F$5:$IX$116,ComparisonData!A45,ComparisonData!$VP$1),0),5)</f>
        <v>0</v>
      </c>
      <c r="VQ45" s="46" cm="1">
        <f t="array" ref="VQ45">ROUND(IFERROR(INDEX(ArchiveResults!$F$5:$IX$116,ComparisonData!A45,ComparisonData!$VQ$1),0),5)</f>
        <v>0</v>
      </c>
      <c r="VR45" s="56">
        <v>40</v>
      </c>
      <c r="VS45" s="53" t="str">
        <f t="shared" si="608"/>
        <v>Historic England Archive</v>
      </c>
      <c r="VT45" s="60">
        <f t="shared" si="422"/>
        <v>0</v>
      </c>
      <c r="VU45" s="60">
        <f t="shared" si="423"/>
        <v>0</v>
      </c>
      <c r="VV45" s="60">
        <f t="shared" si="424"/>
        <v>0</v>
      </c>
      <c r="VW45" s="60">
        <f t="shared" si="425"/>
        <v>0</v>
      </c>
      <c r="VX45" s="76">
        <f t="shared" si="426"/>
        <v>0</v>
      </c>
      <c r="VY45" s="46">
        <f t="shared" si="427"/>
        <v>52</v>
      </c>
      <c r="VZ45" s="46">
        <f t="shared" si="609"/>
        <v>2.694</v>
      </c>
      <c r="WA45" s="46">
        <f t="shared" si="428"/>
        <v>1</v>
      </c>
      <c r="WB45" s="46">
        <f t="shared" si="429"/>
        <v>2</v>
      </c>
      <c r="WC45" s="46" cm="1">
        <f t="array" ref="WC45">ROUND(IFERROR(INDEX(ArchiveResults!$F$5:$IX$116,ComparisonData!A45,ComparisonData!$WC$1),0),5)</f>
        <v>0</v>
      </c>
      <c r="WD45" s="56">
        <v>40</v>
      </c>
      <c r="WE45" s="53" t="str">
        <f t="shared" si="610"/>
        <v>Historic England Archive</v>
      </c>
      <c r="WF45" s="46">
        <f t="shared" si="430"/>
        <v>0</v>
      </c>
      <c r="WG45" s="76">
        <f t="shared" si="431"/>
        <v>0</v>
      </c>
      <c r="WH45" s="46">
        <f t="shared" si="432"/>
        <v>52</v>
      </c>
      <c r="WI45" s="46">
        <f t="shared" si="611"/>
        <v>2.694</v>
      </c>
      <c r="WJ45" s="46">
        <f t="shared" si="433"/>
        <v>1</v>
      </c>
      <c r="WK45" s="46">
        <f t="shared" si="434"/>
        <v>2</v>
      </c>
      <c r="WL45" s="46" cm="1">
        <f t="array" ref="WL45">ROUND(IFERROR(INDEX(ArchiveResults!$F$5:$IX$116,ComparisonData!A45,ComparisonData!$WL$1),0),5)</f>
        <v>0</v>
      </c>
      <c r="WM45" s="46" cm="1">
        <f t="array" ref="WM45">IFERROR(INDEX(ArchiveResults!$F$5:$IX$116,ComparisonData!A45,ComparisonData!$WM$1),0)</f>
        <v>0</v>
      </c>
      <c r="WN45" s="56">
        <v>40</v>
      </c>
      <c r="WO45" s="53" t="str">
        <f t="shared" si="612"/>
        <v>Historic England Archive</v>
      </c>
      <c r="WP45" s="60">
        <f t="shared" si="435"/>
        <v>0</v>
      </c>
      <c r="WQ45" s="60">
        <f t="shared" si="436"/>
        <v>0</v>
      </c>
      <c r="WR45" s="76">
        <f t="shared" si="437"/>
        <v>0</v>
      </c>
      <c r="WS45" s="46">
        <f t="shared" si="438"/>
        <v>52</v>
      </c>
      <c r="WT45" s="46">
        <f t="shared" si="613"/>
        <v>2.694</v>
      </c>
      <c r="WU45" s="46">
        <f t="shared" si="439"/>
        <v>1</v>
      </c>
      <c r="WV45" s="46">
        <f t="shared" si="440"/>
        <v>2</v>
      </c>
      <c r="WW45" s="46" cm="1">
        <f t="array" ref="WW45">ROUND(VALUE(IFERROR(INDEX(ArchiveResults!$F$5:$IX$116,ComparisonData!A45,ComparisonData!$WW$1),0)),5)</f>
        <v>0</v>
      </c>
      <c r="WX45" s="46" cm="1">
        <f t="array" ref="WX45">ROUND(IFERROR(INDEX(ArchiveResults!$F$5:$IX$116,ComparisonData!A45,ComparisonData!$WX$1),0),5)</f>
        <v>0</v>
      </c>
      <c r="WY45" s="56">
        <v>40</v>
      </c>
      <c r="WZ45" s="53" t="str">
        <f t="shared" si="614"/>
        <v>Historic England Archive</v>
      </c>
      <c r="XA45" s="60">
        <f t="shared" si="615"/>
        <v>0</v>
      </c>
      <c r="XB45" s="60">
        <f t="shared" si="616"/>
        <v>0</v>
      </c>
      <c r="XC45" s="76">
        <f t="shared" si="441"/>
        <v>0</v>
      </c>
      <c r="XD45" s="46">
        <f t="shared" si="442"/>
        <v>52</v>
      </c>
      <c r="XE45" s="46">
        <f t="shared" si="617"/>
        <v>2.694</v>
      </c>
      <c r="XF45" s="46">
        <f t="shared" si="443"/>
        <v>1</v>
      </c>
      <c r="XG45" s="46">
        <f t="shared" si="444"/>
        <v>2</v>
      </c>
      <c r="XH45" s="46" cm="1">
        <f t="array" ref="XH45">ROUND(VALUE(IFERROR(INDEX(ArchiveResults!$F$5:$IX$116,ComparisonData!A45,ComparisonData!$XH$1),0)),5)</f>
        <v>0</v>
      </c>
      <c r="XI45" s="46" cm="1">
        <f t="array" ref="XI45">ROUND(VALUE(IFERROR(INDEX(ArchiveResults!$F$5:$IX$116,ComparisonData!A45,ComparisonData!$XI$1),0)),5)</f>
        <v>0</v>
      </c>
      <c r="XJ45" s="56">
        <v>40</v>
      </c>
      <c r="XK45" s="53" t="str">
        <f t="shared" si="618"/>
        <v>Historic England Archive</v>
      </c>
      <c r="XL45" s="60">
        <f t="shared" si="445"/>
        <v>0</v>
      </c>
      <c r="XM45" s="60">
        <f t="shared" si="446"/>
        <v>0</v>
      </c>
      <c r="XN45" s="76">
        <f t="shared" si="447"/>
        <v>0</v>
      </c>
      <c r="XO45" s="46">
        <f t="shared" si="448"/>
        <v>52</v>
      </c>
      <c r="XP45" s="46">
        <f t="shared" si="619"/>
        <v>2.694</v>
      </c>
      <c r="XQ45" s="46">
        <f t="shared" si="449"/>
        <v>1</v>
      </c>
      <c r="XR45" s="46">
        <f t="shared" si="450"/>
        <v>2</v>
      </c>
      <c r="XS45" s="46" cm="1">
        <f t="array" ref="XS45">ROUND(VALUE(IFERROR(INDEX(ArchiveResults!$F$5:$IX$116,ComparisonData!A45,ComparisonData!$XS$1),0)),5)</f>
        <v>0</v>
      </c>
      <c r="XT45" s="46" cm="1">
        <f t="array" ref="XT45">ROUND(VALUE(IFERROR(INDEX(ArchiveResults!$F$5:$IX$116,ComparisonData!A45,ComparisonData!$XT$1),0)),5)</f>
        <v>0</v>
      </c>
      <c r="XU45" s="56">
        <v>40</v>
      </c>
      <c r="XV45" s="53" t="str">
        <f t="shared" si="620"/>
        <v>Historic England Archive</v>
      </c>
      <c r="XW45" s="60">
        <f t="shared" si="451"/>
        <v>0</v>
      </c>
      <c r="XX45" s="60">
        <f t="shared" si="452"/>
        <v>0</v>
      </c>
      <c r="XY45" s="76">
        <f t="shared" si="453"/>
        <v>0</v>
      </c>
      <c r="XZ45" s="46">
        <f t="shared" si="454"/>
        <v>52</v>
      </c>
      <c r="YA45" s="46">
        <f t="shared" si="621"/>
        <v>2.694</v>
      </c>
      <c r="YB45" s="46">
        <f t="shared" si="455"/>
        <v>1</v>
      </c>
      <c r="YC45" s="46">
        <f t="shared" si="456"/>
        <v>2</v>
      </c>
      <c r="YD45" s="46" cm="1">
        <f t="array" ref="YD45">ROUND(VALUE(IFERROR(INDEX(ArchiveResults!$F$5:$IX$116,ComparisonData!A45,ComparisonData!$YD$1),0)),5)</f>
        <v>0</v>
      </c>
      <c r="YE45" s="46" cm="1">
        <f t="array" ref="YE45">ROUND(VALUE(IFERROR(INDEX(ArchiveResults!$F$5:$IX$116,ComparisonData!A45,ComparisonData!$YE$1),0)),5)</f>
        <v>0</v>
      </c>
      <c r="YF45" s="56">
        <v>40</v>
      </c>
      <c r="YG45" s="53" t="str">
        <f t="shared" si="622"/>
        <v>Historic England Archive</v>
      </c>
      <c r="YH45" s="60">
        <f t="shared" si="457"/>
        <v>0</v>
      </c>
      <c r="YI45" s="60">
        <f t="shared" si="458"/>
        <v>0</v>
      </c>
      <c r="YJ45" s="76">
        <f t="shared" si="459"/>
        <v>0</v>
      </c>
      <c r="YK45" s="46">
        <f t="shared" si="460"/>
        <v>52</v>
      </c>
      <c r="YL45" s="46">
        <f t="shared" si="623"/>
        <v>2.694</v>
      </c>
      <c r="YM45" s="46">
        <f t="shared" si="461"/>
        <v>1</v>
      </c>
      <c r="YN45" s="46">
        <f t="shared" si="462"/>
        <v>2</v>
      </c>
      <c r="YO45" s="46" cm="1">
        <f t="array" ref="YO45">ROUND(VALUE(IFERROR(INDEX(ArchiveResults!$F$5:$IX$116,ComparisonData!A45,ComparisonData!$YO$1),0)),5)</f>
        <v>0</v>
      </c>
      <c r="YP45" s="46" cm="1">
        <f t="array" ref="YP45">ROUND(VALUE(IFERROR(INDEX(ArchiveResults!$F$5:$IX$116,ComparisonData!A45,ComparisonData!$YP$1),0)),5)</f>
        <v>0</v>
      </c>
      <c r="YQ45" s="56">
        <v>40</v>
      </c>
      <c r="YR45" s="53" t="str">
        <f t="shared" si="624"/>
        <v>Historic England Archive</v>
      </c>
      <c r="YS45" s="60">
        <f t="shared" si="463"/>
        <v>0</v>
      </c>
      <c r="YT45" s="60">
        <f t="shared" si="464"/>
        <v>0</v>
      </c>
      <c r="YU45" s="76">
        <f t="shared" si="465"/>
        <v>0</v>
      </c>
      <c r="YV45" s="46">
        <f t="shared" si="466"/>
        <v>52</v>
      </c>
      <c r="YW45" s="46">
        <f t="shared" si="625"/>
        <v>2.694</v>
      </c>
      <c r="YX45" s="46">
        <f t="shared" si="467"/>
        <v>1</v>
      </c>
      <c r="YY45" s="46">
        <f t="shared" si="468"/>
        <v>2</v>
      </c>
      <c r="YZ45" s="46">
        <f t="shared" si="469"/>
        <v>0</v>
      </c>
      <c r="ZA45" s="46" cm="1">
        <f t="array" ref="ZA45">ROUNDDOWN(VALUE(IFERROR(INDEX(ArchiveResults!$F$5:$IX$116,ComparisonData!A45,ComparisonData!$ZA$1),0)),5)</f>
        <v>0</v>
      </c>
      <c r="ZB45" s="46" cm="1">
        <f t="array" ref="ZB45">ROUNDDOWN(VALUE(IFERROR(INDEX(ArchiveResults!$F$5:$IX$116,ComparisonData!A45,ComparisonData!$ZB$1),0)),5)</f>
        <v>0</v>
      </c>
      <c r="ZC45" s="46" cm="1">
        <f t="array" ref="ZC45">ROUNDDOWN(VALUE(IFERROR(INDEX(ArchiveResults!$F$5:$IX$116,ComparisonData!A45,ComparisonData!$ZC$1),0)),5)</f>
        <v>0</v>
      </c>
      <c r="ZD45" s="46" cm="1">
        <f t="array" ref="ZD45">ROUNDDOWN(VALUE(IFERROR(INDEX(ArchiveResults!$F$5:$IX$116,ComparisonData!A45,ComparisonData!$ZD$1),0)),5)</f>
        <v>0</v>
      </c>
      <c r="ZE45" s="46" cm="1">
        <f t="array" ref="ZE45">ROUNDDOWN(VALUE(IFERROR(INDEX(ArchiveResults!$F$5:$IX$116,ComparisonData!A45,ComparisonData!$ZE$1),0)),5)</f>
        <v>0</v>
      </c>
      <c r="ZF45" s="56">
        <v>40</v>
      </c>
      <c r="ZG45" s="53" t="str">
        <f t="shared" si="626"/>
        <v>Historic England Archive</v>
      </c>
      <c r="ZH45" s="60">
        <f t="shared" si="470"/>
        <v>0</v>
      </c>
      <c r="ZI45" s="60">
        <f t="shared" si="471"/>
        <v>0</v>
      </c>
      <c r="ZJ45" s="60">
        <f t="shared" si="472"/>
        <v>0</v>
      </c>
      <c r="ZK45" s="60">
        <f t="shared" si="473"/>
        <v>0</v>
      </c>
      <c r="ZL45" s="60">
        <f t="shared" si="474"/>
        <v>0</v>
      </c>
      <c r="ZM45" s="76">
        <f t="shared" si="475"/>
        <v>0</v>
      </c>
      <c r="ZN45" s="46">
        <f t="shared" si="476"/>
        <v>52</v>
      </c>
      <c r="ZO45" s="46">
        <f t="shared" si="627"/>
        <v>2.694</v>
      </c>
      <c r="ZP45" s="46">
        <f t="shared" si="477"/>
        <v>1</v>
      </c>
      <c r="ZQ45" s="46">
        <f t="shared" si="478"/>
        <v>2</v>
      </c>
      <c r="ZR45" s="46" cm="1">
        <f t="array" ref="ZR45">ROUND(VALUE(IFERROR(INDEX(ArchiveResults!$F$5:$IX$116,ComparisonData!A45,ComparisonData!$ZR$1),0)),5)</f>
        <v>0</v>
      </c>
      <c r="ZS45" s="56">
        <v>40</v>
      </c>
      <c r="ZT45" s="53" t="str">
        <f t="shared" si="628"/>
        <v>Historic England Archive</v>
      </c>
      <c r="ZU45" s="46">
        <f t="shared" si="479"/>
        <v>0</v>
      </c>
      <c r="ZV45" s="76">
        <f t="shared" si="480"/>
        <v>0</v>
      </c>
      <c r="ZW45" s="81" cm="1">
        <f t="array" ref="ZW45">ROUND((IFERROR(INDEX(ArchiveResults!$F$5:$IX$116,ComparisonData!A45,ComparisonData!$ZW$1),0)),5)</f>
        <v>0</v>
      </c>
      <c r="ZX45" s="81" cm="1">
        <f t="array" ref="ZX45">ROUND((IFERROR(INDEX(ArchiveResults!$F$5:$IX$116,ComparisonData!A45,ComparisonData!$ZX$1),0)),5)</f>
        <v>0</v>
      </c>
      <c r="ZY45" s="81" cm="1">
        <f t="array" ref="ZY45">ROUND((IFERROR(INDEX(ArchiveResults!$F$5:$IX$116,ComparisonData!A45,ComparisonData!$ZY$1),0)),5)</f>
        <v>0</v>
      </c>
      <c r="ZZ45" s="81" cm="1">
        <f t="array" ref="ZZ45">ROUND((IFERROR(INDEX(ArchiveResults!$F$5:$IX$116,ComparisonData!A45,ComparisonData!$ZZ$1),0)),5)</f>
        <v>0</v>
      </c>
      <c r="AAA45" s="81" cm="1">
        <f t="array" ref="AAA45">ROUND((IFERROR(INDEX(ArchiveResults!$F$5:$IX$116,ComparisonData!A45,ComparisonData!$AAA$1),0)),5)</f>
        <v>0</v>
      </c>
      <c r="AAB45" s="81" cm="1">
        <f t="array" ref="AAB45">ROUND((IFERROR(INDEX(ArchiveResults!$F$5:$IX$116,ComparisonData!A45,ComparisonData!$AAB$1),0)),5)</f>
        <v>0</v>
      </c>
      <c r="AAC45" s="81" cm="1">
        <f t="array" ref="AAC45">ROUND((IFERROR(INDEX(ArchiveResults!$F$5:$IX$116,ComparisonData!A45,ComparisonData!$AAC$1),0)),5)</f>
        <v>0</v>
      </c>
      <c r="AAD45" s="81" cm="1">
        <f t="array" ref="AAD45">ROUND((IFERROR(INDEX(ArchiveResults!$F$5:$IX$116,ComparisonData!A45,ComparisonData!$AAD$1),0)),5)</f>
        <v>0</v>
      </c>
      <c r="AAE45" s="81" cm="1">
        <f t="array" ref="AAE45">ROUND((IFERROR(INDEX(ArchiveResults!$F$5:$IX$116,ComparisonData!A45,ComparisonData!$AAE$1),0)),5)</f>
        <v>0</v>
      </c>
      <c r="AAF45" s="81" cm="1">
        <f t="array" ref="AAF45">ROUND((IFERROR(INDEX(ArchiveResults!$F$5:$IX$116,ComparisonData!A45,ComparisonData!$AAF$1),0)),5)</f>
        <v>0</v>
      </c>
      <c r="AAG45" s="46">
        <f t="shared" si="481"/>
        <v>52</v>
      </c>
      <c r="AAH45" s="46">
        <f t="shared" si="629"/>
        <v>2.694</v>
      </c>
      <c r="AAI45" s="46">
        <f t="shared" si="482"/>
        <v>1</v>
      </c>
      <c r="AAJ45" s="46">
        <f t="shared" si="483"/>
        <v>2</v>
      </c>
      <c r="AAK45" s="46">
        <f t="shared" si="484"/>
        <v>0</v>
      </c>
      <c r="AAL45" s="46">
        <f t="shared" si="485"/>
        <v>0</v>
      </c>
      <c r="AAM45" s="46">
        <f t="shared" si="486"/>
        <v>0</v>
      </c>
      <c r="AAN45" s="46">
        <f t="shared" si="487"/>
        <v>0</v>
      </c>
      <c r="AAO45" s="46">
        <f t="shared" si="488"/>
        <v>0</v>
      </c>
      <c r="AAP45" s="46">
        <f t="shared" si="489"/>
        <v>0</v>
      </c>
      <c r="AAQ45" s="56">
        <v>40</v>
      </c>
      <c r="AAR45" s="53" t="str">
        <f t="shared" si="630"/>
        <v>Historic England Archive</v>
      </c>
      <c r="AAS45" s="60">
        <f t="shared" si="490"/>
        <v>0</v>
      </c>
      <c r="AAT45" s="60">
        <f t="shared" si="491"/>
        <v>0</v>
      </c>
      <c r="AAU45" s="60">
        <f t="shared" si="492"/>
        <v>0</v>
      </c>
      <c r="AAV45" s="60">
        <f t="shared" si="493"/>
        <v>0</v>
      </c>
      <c r="AAW45" s="60">
        <f t="shared" si="494"/>
        <v>0</v>
      </c>
      <c r="AAX45" s="76">
        <f t="shared" si="495"/>
        <v>0</v>
      </c>
      <c r="AAY45" s="46">
        <f t="shared" si="496"/>
        <v>52</v>
      </c>
      <c r="AAZ45" s="46">
        <f t="shared" si="631"/>
        <v>2.694</v>
      </c>
      <c r="ABA45" s="46">
        <f t="shared" si="497"/>
        <v>1</v>
      </c>
      <c r="ABB45" s="46">
        <f t="shared" si="498"/>
        <v>2</v>
      </c>
      <c r="ABC45" s="46">
        <f t="shared" si="102"/>
        <v>0</v>
      </c>
      <c r="ABD45" s="46" cm="1">
        <f t="array" ref="ABD45">ROUND(VALUE(IFERROR(INDEX(ArchiveResults!$F$5:$IX$116,ComparisonData!A45,ComparisonData!$ABD$1),0)),5)</f>
        <v>0</v>
      </c>
      <c r="ABE45" s="46" cm="1">
        <f t="array" ref="ABE45">ROUND(VALUE(IFERROR(INDEX(ArchiveResults!$F$5:$IX$116,ComparisonData!A45,ComparisonData!$ABE$1),0)),5)</f>
        <v>0</v>
      </c>
      <c r="ABF45" s="46" cm="1">
        <f t="array" ref="ABF45">ROUND(VALUE(IFERROR(INDEX(ArchiveResults!$F$5:$IX$116,ComparisonData!A45,ComparisonData!$ABF$1),0)),5)</f>
        <v>0</v>
      </c>
      <c r="ABG45" s="46" cm="1">
        <f t="array" ref="ABG45">ROUND(VALUE(IFERROR(INDEX(ArchiveResults!$F$5:$IX$116,ComparisonData!A45,ComparisonData!$ABG$1),0)),5)</f>
        <v>0</v>
      </c>
      <c r="ABH45" s="46" cm="1">
        <f t="array" ref="ABH45">ROUND(VALUE(IFERROR(INDEX(ArchiveResults!$F$5:$IX$116,ComparisonData!A45,ComparisonData!$ABH$1),0)),5)</f>
        <v>0</v>
      </c>
      <c r="ABI45" s="56">
        <v>40</v>
      </c>
      <c r="ABJ45" s="53" t="str">
        <f t="shared" si="632"/>
        <v>Historic England Archive</v>
      </c>
      <c r="ABK45" s="60">
        <f t="shared" si="499"/>
        <v>0</v>
      </c>
      <c r="ABL45" s="60">
        <f t="shared" si="500"/>
        <v>0</v>
      </c>
      <c r="ABM45" s="60">
        <f t="shared" si="501"/>
        <v>0</v>
      </c>
      <c r="ABN45" s="60">
        <f t="shared" si="502"/>
        <v>0</v>
      </c>
      <c r="ABO45" s="60">
        <f t="shared" si="503"/>
        <v>0</v>
      </c>
      <c r="ABP45" s="76">
        <f t="shared" si="504"/>
        <v>0</v>
      </c>
      <c r="ABQ45" s="46">
        <f t="shared" si="505"/>
        <v>52</v>
      </c>
      <c r="ABR45" s="46">
        <f t="shared" si="633"/>
        <v>2.694</v>
      </c>
      <c r="ABS45" s="46">
        <f t="shared" si="506"/>
        <v>1</v>
      </c>
      <c r="ABT45" s="46">
        <f t="shared" si="507"/>
        <v>2</v>
      </c>
      <c r="ABU45" s="46" cm="1">
        <f t="array" ref="ABU45">ROUND(VALUE(IFERROR(INDEX(ArchiveResults!$F$5:$IX$116,ComparisonData!A45,ComparisonData!$ABU$1),0)),5)</f>
        <v>0</v>
      </c>
      <c r="ABV45" s="46" cm="1">
        <f t="array" ref="ABV45">ROUND(VALUE(IFERROR(INDEX(ArchiveResults!$F$5:$IX$116,ComparisonData!A45,ComparisonData!$ABV$1),0)),5)</f>
        <v>0</v>
      </c>
      <c r="ABW45" s="46" cm="1">
        <f t="array" ref="ABW45">ROUND(VALUE(IFERROR(INDEX(ArchiveResults!$F$5:$IX$116,ComparisonData!A45,ComparisonData!$ABW$1),0)),5)</f>
        <v>0</v>
      </c>
      <c r="ABX45" s="46" cm="1">
        <f t="array" ref="ABX45">ROUND(VALUE(IFERROR(INDEX(ArchiveResults!$F$5:$IX$116,ComparisonData!A45,ComparisonData!$ABX$1),0)),5)</f>
        <v>0</v>
      </c>
      <c r="ABY45" s="46" cm="1">
        <f t="array" ref="ABY45">ROUND(VALUE(IFERROR(INDEX(ArchiveResults!$F$5:$IX$116,ComparisonData!A45,ComparisonData!$ABY$1),0)),5)</f>
        <v>0</v>
      </c>
      <c r="ABZ45" s="56">
        <v>40</v>
      </c>
      <c r="ACA45" s="53" t="str">
        <f t="shared" si="634"/>
        <v>Historic England Archive</v>
      </c>
      <c r="ACB45" s="60">
        <f t="shared" si="508"/>
        <v>0</v>
      </c>
      <c r="ACC45" s="60">
        <f t="shared" si="509"/>
        <v>0</v>
      </c>
      <c r="ACD45" s="60">
        <f t="shared" si="510"/>
        <v>0</v>
      </c>
      <c r="ACE45" s="60">
        <f t="shared" si="511"/>
        <v>0</v>
      </c>
      <c r="ACF45" s="60">
        <f t="shared" si="512"/>
        <v>0</v>
      </c>
      <c r="ACG45" s="76">
        <f t="shared" si="513"/>
        <v>0</v>
      </c>
      <c r="ACH45" s="46">
        <f t="shared" si="514"/>
        <v>52</v>
      </c>
      <c r="ACI45" s="46">
        <f t="shared" si="635"/>
        <v>2.694</v>
      </c>
      <c r="ACJ45" s="46">
        <f t="shared" si="515"/>
        <v>1</v>
      </c>
      <c r="ACK45" s="46">
        <f t="shared" si="516"/>
        <v>2</v>
      </c>
      <c r="ACL45" s="46">
        <f t="shared" si="517"/>
        <v>0</v>
      </c>
      <c r="ACM45" s="46" cm="1">
        <f t="array" ref="ACM45">ROUND(IFERROR(INDEX(ArchiveResults!$F$5:$IX$116,ComparisonData!A45,ComparisonData!$ACM$1),0),5)</f>
        <v>0</v>
      </c>
      <c r="ACN45" s="46" cm="1">
        <f t="array" ref="ACN45">ROUND(IFERROR(INDEX(ArchiveResults!$F$5:$IX$116,ComparisonData!A45,ComparisonData!$ACN$1),0),5)</f>
        <v>0</v>
      </c>
      <c r="ACO45" s="56">
        <v>40</v>
      </c>
      <c r="ACP45" s="53" t="str">
        <f t="shared" si="636"/>
        <v>Historic England Archive</v>
      </c>
      <c r="ACQ45" s="60">
        <f t="shared" si="518"/>
        <v>0</v>
      </c>
      <c r="ACR45" s="60">
        <f t="shared" si="519"/>
        <v>0</v>
      </c>
      <c r="ACS45" s="76">
        <f t="shared" si="520"/>
        <v>0</v>
      </c>
      <c r="ACT45" s="46">
        <f t="shared" si="521"/>
        <v>52</v>
      </c>
      <c r="ACU45" s="46">
        <f t="shared" si="637"/>
        <v>2.694</v>
      </c>
      <c r="ACV45" s="46">
        <f t="shared" si="522"/>
        <v>1</v>
      </c>
      <c r="ACW45" s="46">
        <f t="shared" si="523"/>
        <v>2</v>
      </c>
      <c r="ACX45" s="46">
        <f t="shared" si="524"/>
        <v>0</v>
      </c>
      <c r="ACY45" s="46" cm="1">
        <f t="array" ref="ACY45">ROUNDDOWN(IFERROR(INDEX(ArchiveResults!$F$5:$IX$116,ComparisonData!A45,ComparisonData!$ACY$1),0),5)</f>
        <v>0</v>
      </c>
      <c r="ACZ45" s="46" cm="1">
        <f t="array" ref="ACZ45">ROUNDDOWN(IFERROR(INDEX(ArchiveResults!$F$5:$IX$116,ComparisonData!A45,ComparisonData!$ACZ$1),0),5)</f>
        <v>0</v>
      </c>
      <c r="ADA45" s="46" cm="1">
        <f t="array" ref="ADA45">ROUNDDOWN(IFERROR(INDEX(ArchiveResults!$F$5:$IX$116,ComparisonData!A45,ComparisonData!$ADA$1),0),5)</f>
        <v>0</v>
      </c>
      <c r="ADB45" s="56">
        <v>40</v>
      </c>
      <c r="ADC45" s="53" t="str">
        <f t="shared" si="638"/>
        <v>Historic England Archive</v>
      </c>
      <c r="ADD45" s="60">
        <f t="shared" si="525"/>
        <v>0</v>
      </c>
      <c r="ADE45" s="60">
        <f t="shared" si="526"/>
        <v>0</v>
      </c>
      <c r="ADF45" s="60">
        <f t="shared" si="527"/>
        <v>0</v>
      </c>
      <c r="ADG45" s="76">
        <f t="shared" si="528"/>
        <v>0</v>
      </c>
    </row>
    <row r="46" spans="1:787" x14ac:dyDescent="0.25">
      <c r="A46" s="46" t="str">
        <f>IF(ISBLANK(ComparisonSelection!F42),"",ROW()-5)</f>
        <v/>
      </c>
      <c r="B46" s="53" t="s">
        <v>495</v>
      </c>
      <c r="C46" s="72">
        <v>0.48899999999999955</v>
      </c>
      <c r="D46" s="55">
        <f t="shared" si="110"/>
        <v>11</v>
      </c>
      <c r="E46" s="54">
        <f t="shared" si="111"/>
        <v>2.4889999999999994</v>
      </c>
      <c r="F46" s="54">
        <f t="shared" si="529"/>
        <v>1</v>
      </c>
      <c r="G46" s="72">
        <f t="shared" si="112"/>
        <v>2</v>
      </c>
      <c r="H46" s="72">
        <f t="shared" si="113"/>
        <v>0</v>
      </c>
      <c r="I46" s="46" cm="1">
        <f t="array" ref="I46">ROUND(IFERROR(INDEX(ArchiveResults!$F$5:$IX$116,ComparisonData!A46,ComparisonData!$I$1),0),5)</f>
        <v>0</v>
      </c>
      <c r="J46" s="46" cm="1">
        <f t="array" ref="J46">ROUND(IFERROR(INDEX(ArchiveResults!$F$5:$IX$116,ComparisonData!A46,ComparisonData!$J$1),0),5)</f>
        <v>0</v>
      </c>
      <c r="K46" s="56">
        <v>41</v>
      </c>
      <c r="L46" s="53" t="str">
        <f t="shared" si="114"/>
        <v>Historic Environment Scotland</v>
      </c>
      <c r="M46" s="57">
        <f t="shared" si="530"/>
        <v>0</v>
      </c>
      <c r="N46" s="57">
        <f t="shared" si="531"/>
        <v>0</v>
      </c>
      <c r="O46" s="58">
        <f t="shared" si="115"/>
        <v>0</v>
      </c>
      <c r="P46" s="48">
        <f t="shared" si="116"/>
        <v>11</v>
      </c>
      <c r="Q46" s="54">
        <f t="shared" si="532"/>
        <v>2.4889999999999994</v>
      </c>
      <c r="R46" s="45">
        <f t="shared" si="117"/>
        <v>1</v>
      </c>
      <c r="S46" s="46">
        <f t="shared" si="118"/>
        <v>2</v>
      </c>
      <c r="T46" s="72">
        <f t="shared" si="119"/>
        <v>0</v>
      </c>
      <c r="U46" s="46" cm="1">
        <f t="array" ref="U46">ROUND(IFERROR(INDEX(ArchiveResults!$F$5:$IX$116,ComparisonData!A46,ComparisonData!$U$1),0),5)</f>
        <v>0</v>
      </c>
      <c r="V46" s="46" cm="1">
        <f t="array" ref="V46">ROUND(IFERROR(INDEX(ArchiveResults!$F$5:$IX$116,ComparisonData!A46,ComparisonData!$V$1),0),5)</f>
        <v>0</v>
      </c>
      <c r="W46" s="56">
        <v>41</v>
      </c>
      <c r="X46" s="53" t="str">
        <f t="shared" si="533"/>
        <v>Historic Environment Scotland</v>
      </c>
      <c r="Y46" s="57">
        <f t="shared" si="120"/>
        <v>0</v>
      </c>
      <c r="Z46" s="57">
        <f t="shared" si="121"/>
        <v>0</v>
      </c>
      <c r="AA46" s="58">
        <f t="shared" si="122"/>
        <v>0</v>
      </c>
      <c r="AB46" s="45">
        <f t="shared" si="123"/>
        <v>11</v>
      </c>
      <c r="AC46" s="54">
        <f t="shared" si="534"/>
        <v>2.4889999999999994</v>
      </c>
      <c r="AD46" s="45">
        <f t="shared" si="124"/>
        <v>1</v>
      </c>
      <c r="AE46" s="45">
        <f t="shared" si="125"/>
        <v>2</v>
      </c>
      <c r="AF46" s="45">
        <f t="shared" si="126"/>
        <v>0</v>
      </c>
      <c r="AG46" s="46" cm="1">
        <f t="array" ref="AG46">ROUND(IFERROR(INDEX(ArchiveResults!$F$5:$IX$116,ComparisonData!A46,ComparisonData!$AG$1),0),5)</f>
        <v>0</v>
      </c>
      <c r="AH46" s="46" cm="1">
        <f t="array" ref="AH46">ROUND(IFERROR(INDEX(ArchiveResults!$F$5:$IX$116,ComparisonData!A46,ComparisonData!$AH$1),0),5)</f>
        <v>0</v>
      </c>
      <c r="AI46" s="56">
        <v>41</v>
      </c>
      <c r="AJ46" s="53" t="str">
        <f t="shared" si="535"/>
        <v>Historic Environment Scotland</v>
      </c>
      <c r="AK46" s="59">
        <f t="shared" si="536"/>
        <v>0</v>
      </c>
      <c r="AL46" s="59">
        <f t="shared" si="537"/>
        <v>0</v>
      </c>
      <c r="AM46" s="58">
        <f t="shared" si="127"/>
        <v>0</v>
      </c>
      <c r="AN46" s="45">
        <f t="shared" si="128"/>
        <v>11</v>
      </c>
      <c r="AO46" s="54">
        <f t="shared" si="538"/>
        <v>2.4889999999999994</v>
      </c>
      <c r="AP46" s="45">
        <f t="shared" si="129"/>
        <v>1</v>
      </c>
      <c r="AQ46" s="45">
        <f t="shared" si="130"/>
        <v>2</v>
      </c>
      <c r="AR46" s="46" cm="1">
        <f t="array" ref="AR46">ROUND(IFERROR(INDEX(ArchiveResults!$F$5:$IX$116,ComparisonData!A46,ComparisonData!$AR$1),0),5)</f>
        <v>0</v>
      </c>
      <c r="AS46" s="46" cm="1">
        <f t="array" ref="AS46">ROUND(IFERROR(INDEX(ArchiveResults!$F$5:$IX$116,ComparisonData!A46,ComparisonData!$AS$1),0),5)</f>
        <v>0</v>
      </c>
      <c r="AT46" s="46" cm="1">
        <f t="array" ref="AT46">ROUND(IFERROR(INDEX(ArchiveResults!$F$5:$IX$116,ComparisonData!A46,ComparisonData!$AT$1),0),5)</f>
        <v>0</v>
      </c>
      <c r="AU46" s="46" cm="1">
        <f t="array" ref="AU46">ROUND(IFERROR(INDEX(ArchiveResults!$F$5:$IX$116,ComparisonData!A46,ComparisonData!$AU$1),0),5)</f>
        <v>0</v>
      </c>
      <c r="AV46" s="46" cm="1">
        <f t="array" ref="AV46">ROUND(IFERROR(INDEX(ArchiveResults!$F$5:$IX$116,ComparisonData!A46,ComparisonData!$AV$1),0),5)</f>
        <v>0</v>
      </c>
      <c r="AW46" s="46" cm="1">
        <f t="array" ref="AW46">ROUND(IFERROR(INDEX(ArchiveResults!$F$5:$IX$116,ComparisonData!A46,ComparisonData!$AW$1),0),5)</f>
        <v>0</v>
      </c>
      <c r="AX46" s="46" cm="1">
        <f t="array" ref="AX46">ROUND(IFERROR(INDEX(ArchiveResults!$F$5:$IX$116,ComparisonData!A46,ComparisonData!$AX$1),0),5)</f>
        <v>0</v>
      </c>
      <c r="AY46" s="46" cm="1">
        <f t="array" ref="AY46">ROUND(IFERROR(INDEX(ArchiveResults!$F$5:$IX$116,ComparisonData!A46,ComparisonData!$AY$1),0),5)</f>
        <v>0</v>
      </c>
      <c r="AZ46" s="46" cm="1">
        <f t="array" ref="AZ46">ROUND(IFERROR(INDEX(ArchiveResults!$F$5:$IX$116,ComparisonData!A46,ComparisonData!$AZ$1),0),5)</f>
        <v>0</v>
      </c>
      <c r="BA46" s="46" cm="1">
        <f t="array" ref="BA46">ROUND(IFERROR(INDEX(ArchiveResults!$F$5:$IX$116,ComparisonData!A46,ComparisonData!$BA$1),0),5)</f>
        <v>0</v>
      </c>
      <c r="BB46" s="56">
        <v>41</v>
      </c>
      <c r="BC46" s="53" t="str">
        <f t="shared" si="539"/>
        <v>Historic Environment Scotland</v>
      </c>
      <c r="BD46" s="60">
        <f t="shared" si="131"/>
        <v>0</v>
      </c>
      <c r="BE46" s="60">
        <f t="shared" si="132"/>
        <v>0</v>
      </c>
      <c r="BF46" s="60">
        <f t="shared" si="133"/>
        <v>0</v>
      </c>
      <c r="BG46" s="60">
        <f t="shared" si="134"/>
        <v>0</v>
      </c>
      <c r="BH46" s="60">
        <f t="shared" si="135"/>
        <v>0</v>
      </c>
      <c r="BI46" s="60">
        <f t="shared" si="136"/>
        <v>0</v>
      </c>
      <c r="BJ46" s="60">
        <f t="shared" si="137"/>
        <v>0</v>
      </c>
      <c r="BK46" s="60">
        <f t="shared" si="138"/>
        <v>0</v>
      </c>
      <c r="BL46" s="60">
        <f t="shared" si="139"/>
        <v>0</v>
      </c>
      <c r="BM46" s="59">
        <f t="shared" si="140"/>
        <v>0</v>
      </c>
      <c r="BN46" s="58">
        <f t="shared" si="141"/>
        <v>0</v>
      </c>
      <c r="BO46" s="45">
        <f t="shared" si="142"/>
        <v>11</v>
      </c>
      <c r="BP46" s="54">
        <f t="shared" si="540"/>
        <v>2.4889999999999994</v>
      </c>
      <c r="BQ46" s="45">
        <f t="shared" si="143"/>
        <v>1</v>
      </c>
      <c r="BR46" s="45">
        <f t="shared" si="144"/>
        <v>2</v>
      </c>
      <c r="BS46" s="46" cm="1">
        <f t="array" ref="BS46">ROUND(IFERROR(INDEX(ArchiveResults!$F$5:$IX$116,ComparisonData!A46,ComparisonData!$BS$1),0),5)</f>
        <v>0</v>
      </c>
      <c r="BT46" s="46" cm="1">
        <f t="array" ref="BT46">ROUND(IFERROR(INDEX(ArchiveResults!$F$5:$IX$116,ComparisonData!A46,ComparisonData!$BT$1),0),5)</f>
        <v>0</v>
      </c>
      <c r="BU46" s="46" cm="1">
        <f t="array" ref="BU46">ROUND(IFERROR(INDEX(ArchiveResults!$F$5:$IX$116,ComparisonData!A46,ComparisonData!$BU$1),0),5)</f>
        <v>0</v>
      </c>
      <c r="BV46" s="46" cm="1">
        <f t="array" ref="BV46">ROUND(IFERROR(INDEX(ArchiveResults!$F$5:$IX$116,ComparisonData!A46,ComparisonData!$BV$1),0),5)</f>
        <v>0</v>
      </c>
      <c r="BW46" s="46" cm="1">
        <f t="array" ref="BW46">ROUND(IFERROR(INDEX(ArchiveResults!$F$5:$IX$116,ComparisonData!A46,ComparisonData!$BW$1),0),5)</f>
        <v>0</v>
      </c>
      <c r="BX46" s="46" cm="1">
        <f t="array" ref="BX46">ROUND(IFERROR(INDEX(ArchiveResults!$F$5:$IX$116,ComparisonData!A46,ComparisonData!$BX$1),0),5)</f>
        <v>0</v>
      </c>
      <c r="BY46" s="56">
        <v>41</v>
      </c>
      <c r="BZ46" s="53" t="str">
        <f t="shared" si="541"/>
        <v>Historic Environment Scotland</v>
      </c>
      <c r="CA46" s="59">
        <f t="shared" si="145"/>
        <v>0</v>
      </c>
      <c r="CB46" s="59">
        <f t="shared" si="146"/>
        <v>0</v>
      </c>
      <c r="CC46" s="59">
        <f t="shared" si="147"/>
        <v>0</v>
      </c>
      <c r="CD46" s="59">
        <f t="shared" si="148"/>
        <v>0</v>
      </c>
      <c r="CE46" s="59">
        <f t="shared" si="149"/>
        <v>0</v>
      </c>
      <c r="CF46" s="59">
        <f t="shared" si="150"/>
        <v>0</v>
      </c>
      <c r="CG46" s="58">
        <f t="shared" si="151"/>
        <v>0</v>
      </c>
      <c r="CH46" s="45">
        <f t="shared" si="152"/>
        <v>11</v>
      </c>
      <c r="CI46" s="54">
        <f t="shared" si="542"/>
        <v>2.4889999999999994</v>
      </c>
      <c r="CJ46" s="45">
        <f t="shared" si="153"/>
        <v>1</v>
      </c>
      <c r="CK46" s="45">
        <f t="shared" si="154"/>
        <v>2</v>
      </c>
      <c r="CL46" s="46" cm="1">
        <f t="array" ref="CL46">ROUND(IFERROR(INDEX(ArchiveResults!$F$5:$IX$116,ComparisonData!A46,ComparisonData!$CL$1),0),5)</f>
        <v>0</v>
      </c>
      <c r="CM46" s="56">
        <v>41</v>
      </c>
      <c r="CN46" s="53" t="str">
        <f t="shared" si="543"/>
        <v>Historic Environment Scotland</v>
      </c>
      <c r="CO46" s="45">
        <f t="shared" si="155"/>
        <v>0</v>
      </c>
      <c r="CP46" s="58">
        <f t="shared" si="156"/>
        <v>0</v>
      </c>
      <c r="CQ46" s="45">
        <f t="shared" si="157"/>
        <v>11</v>
      </c>
      <c r="CR46" s="54">
        <f t="shared" si="544"/>
        <v>2.4889999999999994</v>
      </c>
      <c r="CS46" s="45">
        <f t="shared" si="158"/>
        <v>1</v>
      </c>
      <c r="CT46" s="45">
        <f t="shared" si="159"/>
        <v>2</v>
      </c>
      <c r="CU46" s="46" cm="1">
        <f t="array" ref="CU46">ROUND(IFERROR(INDEX(ArchiveResults!$F$5:$IX$116,ComparisonData!A46,ComparisonData!$CU$1),0),5)</f>
        <v>0</v>
      </c>
      <c r="CV46" s="56">
        <v>41</v>
      </c>
      <c r="CW46" s="53" t="str">
        <f t="shared" si="545"/>
        <v>Historic Environment Scotland</v>
      </c>
      <c r="CX46" s="45">
        <f t="shared" si="160"/>
        <v>0</v>
      </c>
      <c r="CY46" s="58">
        <f t="shared" si="161"/>
        <v>0</v>
      </c>
      <c r="CZ46" s="45">
        <f t="shared" si="162"/>
        <v>11</v>
      </c>
      <c r="DA46" s="54">
        <f t="shared" si="546"/>
        <v>2.4889999999999994</v>
      </c>
      <c r="DB46" s="45">
        <f t="shared" si="163"/>
        <v>1</v>
      </c>
      <c r="DC46" s="45">
        <f t="shared" si="164"/>
        <v>2</v>
      </c>
      <c r="DD46" s="46" cm="1">
        <f t="array" ref="DD46">ROUND(IFERROR(INDEX(ArchiveResults!$F$5:$IX$116,ComparisonData!A46,ComparisonData!$DD$1),0),5)</f>
        <v>0</v>
      </c>
      <c r="DE46" s="56">
        <v>41</v>
      </c>
      <c r="DF46" s="53" t="str">
        <f t="shared" si="547"/>
        <v>Historic Environment Scotland</v>
      </c>
      <c r="DG46" s="45">
        <f t="shared" si="165"/>
        <v>0</v>
      </c>
      <c r="DH46" s="58">
        <f t="shared" si="166"/>
        <v>0</v>
      </c>
      <c r="DI46" s="45">
        <f t="shared" si="167"/>
        <v>11</v>
      </c>
      <c r="DJ46" s="54">
        <f t="shared" si="548"/>
        <v>2.4889999999999994</v>
      </c>
      <c r="DK46" s="45">
        <f t="shared" si="168"/>
        <v>1</v>
      </c>
      <c r="DL46" s="45">
        <f t="shared" si="169"/>
        <v>2</v>
      </c>
      <c r="DM46" s="46" cm="1">
        <f t="array" ref="DM46">ROUND(IFERROR(INDEX(ArchiveResults!$F$5:$IX$116,ComparisonData!A46,ComparisonData!$DM$1),0),5)</f>
        <v>0</v>
      </c>
      <c r="DN46" s="46" cm="1">
        <f t="array" ref="DN46">ROUND(IFERROR(INDEX(ArchiveResults!$F$5:$IX$116,ComparisonData!A46,ComparisonData!$DN$1),0),5)</f>
        <v>0</v>
      </c>
      <c r="DO46" s="46" cm="1">
        <f t="array" ref="DO46">ROUND(IFERROR(INDEX(ArchiveResults!$F$5:$IX$116,ComparisonData!A46,ComparisonData!$DO$1),0),5)</f>
        <v>0</v>
      </c>
      <c r="DP46" s="46" cm="1">
        <f t="array" ref="DP46">ROUND(IFERROR(INDEX(ArchiveResults!$F$5:$IX$116,ComparisonData!A46,ComparisonData!$DP$1),0),5)</f>
        <v>0</v>
      </c>
      <c r="DQ46" s="45" cm="1">
        <f t="array" ref="DQ46">IFERROR(INDEX(ArchiveResults!$F$5:$IX$116,ComparisonData!A46,ComparisonData!$DQ$1),0)</f>
        <v>0</v>
      </c>
      <c r="DR46" s="56">
        <v>41</v>
      </c>
      <c r="DS46" s="53" t="str">
        <f t="shared" si="549"/>
        <v>Historic Environment Scotland</v>
      </c>
      <c r="DT46" s="59">
        <f t="shared" si="170"/>
        <v>0</v>
      </c>
      <c r="DU46" s="59">
        <f t="shared" si="171"/>
        <v>0</v>
      </c>
      <c r="DV46" s="59">
        <f t="shared" si="172"/>
        <v>0</v>
      </c>
      <c r="DW46" s="59">
        <f t="shared" si="173"/>
        <v>0</v>
      </c>
      <c r="DX46" s="59">
        <f t="shared" si="174"/>
        <v>0</v>
      </c>
      <c r="DY46" s="58">
        <f t="shared" si="175"/>
        <v>0</v>
      </c>
      <c r="DZ46" s="45">
        <f t="shared" si="176"/>
        <v>11</v>
      </c>
      <c r="EA46" s="54">
        <f t="shared" si="550"/>
        <v>2.4889999999999994</v>
      </c>
      <c r="EB46" s="45">
        <f t="shared" si="177"/>
        <v>1</v>
      </c>
      <c r="EC46" s="45">
        <f t="shared" si="178"/>
        <v>2</v>
      </c>
      <c r="ED46" s="46" cm="1">
        <f t="array" ref="ED46">ROUND(IFERROR(INDEX(ArchiveResults!$F$5:$IX$116,ComparisonData!A46,ComparisonData!$ED$1),0),5)</f>
        <v>0</v>
      </c>
      <c r="EE46" s="46" cm="1">
        <f t="array" ref="EE46">ROUND(IFERROR(INDEX(ArchiveResults!$F$5:$IX$116,ComparisonData!A46,ComparisonData!$EE$1),0),5)</f>
        <v>0</v>
      </c>
      <c r="EF46" s="46" cm="1">
        <f t="array" ref="EF46">ROUND(IFERROR(INDEX(ArchiveResults!$F$5:$IX$116,ComparisonData!A46,ComparisonData!$EF$1),0),5)</f>
        <v>0</v>
      </c>
      <c r="EG46" s="46" cm="1">
        <f t="array" ref="EG46">ROUND(IFERROR(INDEX(ArchiveResults!$F$5:$IX$116,ComparisonData!A46,ComparisonData!$EG$1),0),5)</f>
        <v>0</v>
      </c>
      <c r="EH46" s="45" cm="1">
        <f t="array" ref="EH46">IFERROR(INDEX(ArchiveResults!$F$5:$IX$116,ComparisonData!A46,ComparisonData!$EH$1),0)</f>
        <v>0</v>
      </c>
      <c r="EI46" s="56">
        <v>41</v>
      </c>
      <c r="EJ46" s="53" t="str">
        <f t="shared" si="551"/>
        <v>Historic Environment Scotland</v>
      </c>
      <c r="EK46" s="59">
        <f t="shared" si="179"/>
        <v>0</v>
      </c>
      <c r="EL46" s="59">
        <f t="shared" si="180"/>
        <v>0</v>
      </c>
      <c r="EM46" s="59">
        <f t="shared" si="181"/>
        <v>0</v>
      </c>
      <c r="EN46" s="59">
        <f t="shared" si="182"/>
        <v>0</v>
      </c>
      <c r="EO46" s="59">
        <f t="shared" si="183"/>
        <v>0</v>
      </c>
      <c r="EP46" s="58">
        <f t="shared" si="184"/>
        <v>0</v>
      </c>
      <c r="EQ46" s="45">
        <f t="shared" si="185"/>
        <v>11</v>
      </c>
      <c r="ER46" s="54">
        <f t="shared" si="552"/>
        <v>2.4889999999999994</v>
      </c>
      <c r="ES46" s="45">
        <f t="shared" si="186"/>
        <v>1</v>
      </c>
      <c r="ET46" s="45">
        <f t="shared" si="187"/>
        <v>2</v>
      </c>
      <c r="EU46" s="46" cm="1">
        <f t="array" ref="EU46">ROUND(IFERROR(INDEX(ArchiveResults!$F$5:$IX$116,ComparisonData!A46,ComparisonData!$EU$1),0),5)</f>
        <v>0</v>
      </c>
      <c r="EV46" s="46" cm="1">
        <f t="array" ref="EV46">ROUND(IFERROR(INDEX(ArchiveResults!$F$5:$IX$116,ComparisonData!A46,ComparisonData!$EV$1),0),5)</f>
        <v>0</v>
      </c>
      <c r="EW46" s="46" cm="1">
        <f t="array" ref="EW46">ROUND(IFERROR(INDEX(ArchiveResults!$F$5:$IX$116,ComparisonData!A46,ComparisonData!$EW$1),0),5)</f>
        <v>0</v>
      </c>
      <c r="EX46" s="46" cm="1">
        <f t="array" ref="EX46">ROUND(IFERROR(INDEX(ArchiveResults!$F$5:$IX$116,ComparisonData!A46,ComparisonData!$EX$1),0),5)</f>
        <v>0</v>
      </c>
      <c r="EY46" s="45" cm="1">
        <f t="array" ref="EY46">IFERROR(INDEX(ArchiveResults!$F$5:$IX$116,ComparisonData!A46,ComparisonData!$EY$1),0)</f>
        <v>0</v>
      </c>
      <c r="EZ46" s="56">
        <v>41</v>
      </c>
      <c r="FA46" s="53" t="str">
        <f t="shared" si="553"/>
        <v>Historic Environment Scotland</v>
      </c>
      <c r="FB46" s="59">
        <f t="shared" si="188"/>
        <v>0</v>
      </c>
      <c r="FC46" s="59">
        <f t="shared" si="189"/>
        <v>0</v>
      </c>
      <c r="FD46" s="59">
        <f t="shared" si="190"/>
        <v>0</v>
      </c>
      <c r="FE46" s="59">
        <f t="shared" si="191"/>
        <v>0</v>
      </c>
      <c r="FF46" s="59">
        <f t="shared" si="192"/>
        <v>0</v>
      </c>
      <c r="FG46" s="58">
        <f t="shared" si="193"/>
        <v>0</v>
      </c>
      <c r="FH46" s="45">
        <f t="shared" si="194"/>
        <v>11</v>
      </c>
      <c r="FI46" s="54">
        <f t="shared" si="554"/>
        <v>2.4889999999999994</v>
      </c>
      <c r="FJ46" s="45">
        <f t="shared" si="195"/>
        <v>1</v>
      </c>
      <c r="FK46" s="45">
        <f t="shared" si="196"/>
        <v>2</v>
      </c>
      <c r="FL46" s="46" cm="1">
        <f t="array" ref="FL46">ROUND(IFERROR(INDEX(ArchiveResults!$F$5:$IX$116,ComparisonData!A46,ComparisonData!$FL$1),0),5)</f>
        <v>0</v>
      </c>
      <c r="FM46" s="46" cm="1">
        <f t="array" ref="FM46">ROUND(IFERROR(INDEX(ArchiveResults!$F$5:$IX$116,ComparisonData!A46,ComparisonData!$FM$1),0),5)</f>
        <v>0</v>
      </c>
      <c r="FN46" s="46" cm="1">
        <f t="array" ref="FN46">ROUND(IFERROR(INDEX(ArchiveResults!$F$5:$IX$116,ComparisonData!A46,ComparisonData!$FN$1),0),5)</f>
        <v>0</v>
      </c>
      <c r="FO46" s="46" cm="1">
        <f t="array" ref="FO46">ROUND(IFERROR(INDEX(ArchiveResults!$F$5:$IX$116,ComparisonData!A46,ComparisonData!$FO$1),0),5)</f>
        <v>0</v>
      </c>
      <c r="FP46" s="45" cm="1">
        <f t="array" ref="FP46">IFERROR(INDEX(ArchiveResults!$F$5:$IX$116,ComparisonData!A46,ComparisonData!$FP$1),0)</f>
        <v>0</v>
      </c>
      <c r="FQ46" s="56">
        <v>41</v>
      </c>
      <c r="FR46" s="53" t="str">
        <f t="shared" si="555"/>
        <v>Historic Environment Scotland</v>
      </c>
      <c r="FS46" s="59">
        <f t="shared" si="197"/>
        <v>0</v>
      </c>
      <c r="FT46" s="59">
        <f t="shared" si="198"/>
        <v>0</v>
      </c>
      <c r="FU46" s="59">
        <f t="shared" si="199"/>
        <v>0</v>
      </c>
      <c r="FV46" s="59">
        <f t="shared" si="200"/>
        <v>0</v>
      </c>
      <c r="FW46" s="59">
        <f t="shared" si="201"/>
        <v>0</v>
      </c>
      <c r="FX46" s="58">
        <f t="shared" si="202"/>
        <v>0</v>
      </c>
      <c r="FY46" s="45">
        <f t="shared" si="203"/>
        <v>11</v>
      </c>
      <c r="FZ46" s="45">
        <f t="shared" si="556"/>
        <v>2.4889999999999994</v>
      </c>
      <c r="GA46" s="45">
        <f t="shared" si="204"/>
        <v>1</v>
      </c>
      <c r="GB46" s="45">
        <f t="shared" si="205"/>
        <v>2</v>
      </c>
      <c r="GC46" s="46" cm="1">
        <f t="array" ref="GC46">ROUND(IFERROR(INDEX(ArchiveResults!$F$5:$IX$116,ComparisonData!A46,ComparisonData!$GC$1),0),5)</f>
        <v>0</v>
      </c>
      <c r="GD46" s="46" cm="1">
        <f t="array" ref="GD46">ROUND(IFERROR(INDEX(ArchiveResults!$F$5:$IX$116,ComparisonData!A46,ComparisonData!$GD$1),0),5)</f>
        <v>0</v>
      </c>
      <c r="GE46" s="46" cm="1">
        <f t="array" ref="GE46">ROUND(IFERROR(INDEX(ArchiveResults!$F$5:$IX$116,ComparisonData!A46,ComparisonData!$GE$1),0),5)</f>
        <v>0</v>
      </c>
      <c r="GF46" s="46" cm="1">
        <f t="array" ref="GF46">ROUND(IFERROR(INDEX(ArchiveResults!$F$5:$IX$116,ComparisonData!A46,ComparisonData!$GF$1),0),5)</f>
        <v>0</v>
      </c>
      <c r="GG46" s="45" cm="1">
        <f t="array" ref="GG46">IFERROR(INDEX(ArchiveResults!$F$5:$IX$116,ComparisonData!A46,ComparisonData!$GG$1),0)</f>
        <v>0</v>
      </c>
      <c r="GH46" s="56">
        <v>41</v>
      </c>
      <c r="GI46" s="53" t="str">
        <f t="shared" si="557"/>
        <v>Historic Environment Scotland</v>
      </c>
      <c r="GJ46" s="59">
        <f t="shared" si="206"/>
        <v>0</v>
      </c>
      <c r="GK46" s="59">
        <f t="shared" si="207"/>
        <v>0</v>
      </c>
      <c r="GL46" s="59">
        <f t="shared" si="208"/>
        <v>0</v>
      </c>
      <c r="GM46" s="59">
        <f t="shared" si="209"/>
        <v>0</v>
      </c>
      <c r="GN46" s="59">
        <f t="shared" si="210"/>
        <v>0</v>
      </c>
      <c r="GO46" s="58">
        <f t="shared" si="211"/>
        <v>0</v>
      </c>
      <c r="GP46" s="45">
        <f t="shared" si="212"/>
        <v>11</v>
      </c>
      <c r="GQ46" s="45">
        <f t="shared" si="558"/>
        <v>2.4889999999999994</v>
      </c>
      <c r="GR46" s="45">
        <f t="shared" si="213"/>
        <v>1</v>
      </c>
      <c r="GS46" s="45">
        <f t="shared" si="214"/>
        <v>2</v>
      </c>
      <c r="GT46" s="46" cm="1">
        <f t="array" ref="GT46">ROUND(IFERROR(INDEX(ArchiveResults!$F$5:$IX$116,ComparisonData!A46,ComparisonData!$GT$1),0),5)</f>
        <v>0</v>
      </c>
      <c r="GU46" s="46" cm="1">
        <f t="array" ref="GU46">ROUND(IFERROR(INDEX(ArchiveResults!$F$5:$IX$116,ComparisonData!A46,ComparisonData!$GU$1),0),5)</f>
        <v>0</v>
      </c>
      <c r="GV46" s="46" cm="1">
        <f t="array" ref="GV46">ROUND(IFERROR(INDEX(ArchiveResults!$F$5:$IX$116,ComparisonData!A46,ComparisonData!$GV$1),0),5)</f>
        <v>0</v>
      </c>
      <c r="GW46" s="46" cm="1">
        <f t="array" ref="GW46">ROUND(IFERROR(INDEX(ArchiveResults!$F$5:$IX$116,ComparisonData!A46,ComparisonData!$GW$1),0),5)</f>
        <v>0</v>
      </c>
      <c r="GX46" s="45" cm="1">
        <f t="array" ref="GX46">IFERROR(INDEX(ArchiveResults!$F$5:$IX$116,ComparisonData!A46,ComparisonData!$GX$1),0)</f>
        <v>0</v>
      </c>
      <c r="GY46" s="56">
        <v>41</v>
      </c>
      <c r="GZ46" s="53" t="str">
        <f t="shared" si="559"/>
        <v>Historic Environment Scotland</v>
      </c>
      <c r="HA46" s="59">
        <f t="shared" si="215"/>
        <v>0</v>
      </c>
      <c r="HB46" s="59">
        <f t="shared" si="216"/>
        <v>0</v>
      </c>
      <c r="HC46" s="59">
        <f t="shared" si="217"/>
        <v>0</v>
      </c>
      <c r="HD46" s="59">
        <f t="shared" si="218"/>
        <v>0</v>
      </c>
      <c r="HE46" s="59">
        <f t="shared" si="219"/>
        <v>0</v>
      </c>
      <c r="HF46" s="58">
        <f t="shared" si="220"/>
        <v>0</v>
      </c>
      <c r="HG46" s="45">
        <f t="shared" si="221"/>
        <v>11</v>
      </c>
      <c r="HH46" s="45">
        <f t="shared" si="560"/>
        <v>2.4889999999999994</v>
      </c>
      <c r="HI46" s="45">
        <f t="shared" si="222"/>
        <v>1</v>
      </c>
      <c r="HJ46" s="45">
        <f t="shared" si="223"/>
        <v>2</v>
      </c>
      <c r="HK46" s="46" cm="1">
        <f t="array" ref="HK46">ROUND(IFERROR(INDEX(ArchiveResults!$F$5:$IX$116,ComparisonData!A46,ComparisonData!$HK$1),0),5)</f>
        <v>0</v>
      </c>
      <c r="HL46" s="46" cm="1">
        <f t="array" ref="HL46">ROUND(IFERROR(INDEX(ArchiveResults!$F$5:$IX$116,ComparisonData!A46,ComparisonData!$HL$1),0),5)</f>
        <v>0</v>
      </c>
      <c r="HM46" s="46" cm="1">
        <f t="array" ref="HM46">ROUND(IFERROR(INDEX(ArchiveResults!$F$5:$IX$116,ComparisonData!A46,ComparisonData!$HM$1),0),5)</f>
        <v>0</v>
      </c>
      <c r="HN46" s="46" cm="1">
        <f t="array" ref="HN46">ROUND(IFERROR(INDEX(ArchiveResults!$F$5:$IX$116,ComparisonData!A46,ComparisonData!$HN$1),0),5)</f>
        <v>0</v>
      </c>
      <c r="HO46" s="45" cm="1">
        <f t="array" ref="HO46">IFERROR(INDEX(ArchiveResults!$F$5:$IX$116,ComparisonData!A46,ComparisonData!$HO$1),0)</f>
        <v>0</v>
      </c>
      <c r="HP46" s="56">
        <v>41</v>
      </c>
      <c r="HQ46" s="53" t="str">
        <f t="shared" si="561"/>
        <v>Historic Environment Scotland</v>
      </c>
      <c r="HR46" s="59">
        <f t="shared" si="562"/>
        <v>0</v>
      </c>
      <c r="HS46" s="59">
        <f t="shared" si="563"/>
        <v>0</v>
      </c>
      <c r="HT46" s="59">
        <f t="shared" si="564"/>
        <v>0</v>
      </c>
      <c r="HU46" s="59">
        <f t="shared" si="565"/>
        <v>0</v>
      </c>
      <c r="HV46" s="59">
        <f t="shared" si="566"/>
        <v>0</v>
      </c>
      <c r="HW46" s="58">
        <f t="shared" si="224"/>
        <v>0</v>
      </c>
      <c r="HX46" s="45">
        <f t="shared" si="225"/>
        <v>11</v>
      </c>
      <c r="HY46" s="45">
        <f t="shared" si="567"/>
        <v>2.4889999999999994</v>
      </c>
      <c r="HZ46" s="45">
        <f t="shared" si="226"/>
        <v>1</v>
      </c>
      <c r="IA46" s="45">
        <f t="shared" si="227"/>
        <v>2</v>
      </c>
      <c r="IB46" s="45">
        <f t="shared" si="228"/>
        <v>0</v>
      </c>
      <c r="IC46" s="46" cm="1">
        <f t="array" ref="IC46">ROUND(IFERROR(INDEX(ArchiveResults!$F$5:$IX$116,ComparisonData!A46,ComparisonData!$IC$1),0),5)</f>
        <v>0</v>
      </c>
      <c r="ID46" s="46" cm="1">
        <f t="array" ref="ID46">ROUND(IFERROR(INDEX(ArchiveResults!$F$5:$IX$116,ComparisonData!A46,ComparisonData!$ID$1),0),5)</f>
        <v>0</v>
      </c>
      <c r="IE46" s="46" cm="1">
        <f t="array" ref="IE46">ROUND(IFERROR(INDEX(ArchiveResults!$F$5:$IX$116,ComparisonData!A46,ComparisonData!$IE$1),0),5)</f>
        <v>0</v>
      </c>
      <c r="IF46" s="46" cm="1">
        <f t="array" ref="IF46">ROUND(IFERROR(INDEX(ArchiveResults!$F$5:$IX$116,ComparisonData!A46,ComparisonData!$IF$1),0),5)</f>
        <v>0</v>
      </c>
      <c r="IG46" s="45" cm="1">
        <f t="array" ref="IG46">IFERROR(INDEX(ArchiveResults!$F$5:$IX$116,ComparisonData!A46,ComparisonData!$IG$1),0)</f>
        <v>0</v>
      </c>
      <c r="IH46" s="56">
        <v>41</v>
      </c>
      <c r="II46" s="53" t="str">
        <f t="shared" si="568"/>
        <v>Historic Environment Scotland</v>
      </c>
      <c r="IJ46" s="59">
        <f t="shared" si="229"/>
        <v>0</v>
      </c>
      <c r="IK46" s="59">
        <f t="shared" si="230"/>
        <v>0</v>
      </c>
      <c r="IL46" s="59">
        <f t="shared" si="231"/>
        <v>0</v>
      </c>
      <c r="IM46" s="59">
        <f t="shared" si="232"/>
        <v>0</v>
      </c>
      <c r="IN46" s="59">
        <f t="shared" si="233"/>
        <v>0</v>
      </c>
      <c r="IO46" s="58">
        <f t="shared" si="234"/>
        <v>0</v>
      </c>
      <c r="IP46" s="45">
        <f t="shared" si="235"/>
        <v>11</v>
      </c>
      <c r="IQ46" s="45">
        <f t="shared" si="569"/>
        <v>2.4889999999999994</v>
      </c>
      <c r="IR46" s="45">
        <f t="shared" si="236"/>
        <v>1</v>
      </c>
      <c r="IS46" s="45">
        <f t="shared" si="237"/>
        <v>2</v>
      </c>
      <c r="IT46" s="46">
        <f t="shared" si="238"/>
        <v>0</v>
      </c>
      <c r="IU46" s="46" cm="1">
        <f t="array" ref="IU46">ROUND(IFERROR(INDEX(ArchiveResults!$F$5:$IX$116,ComparisonData!A46,ComparisonData!$IU$1),0),5)</f>
        <v>0</v>
      </c>
      <c r="IV46" s="46" cm="1">
        <f t="array" ref="IV46">ROUND(IFERROR(INDEX(ArchiveResults!$F$5:$IX$116,ComparisonData!A46,ComparisonData!$IV$1),0),5)</f>
        <v>0</v>
      </c>
      <c r="IW46" s="46" cm="1">
        <f t="array" ref="IW46">ROUND(IFERROR(INDEX(ArchiveResults!$F$5:$IX$116,ComparisonData!A46,ComparisonData!$IW$1),0),5)</f>
        <v>0</v>
      </c>
      <c r="IX46" s="46" cm="1">
        <f t="array" ref="IX46">ROUND(IFERROR(INDEX(ArchiveResults!$F$5:$IX$116,ComparisonData!A46,ComparisonData!$IX$1),0),5)</f>
        <v>0</v>
      </c>
      <c r="IY46" s="45" cm="1">
        <f t="array" ref="IY46">IFERROR(INDEX(ArchiveResults!$F$5:$IX$116,ComparisonData!A46,ComparisonData!$IY$1),0)</f>
        <v>0</v>
      </c>
      <c r="IZ46" s="56">
        <v>41</v>
      </c>
      <c r="JA46" s="53" t="str">
        <f t="shared" si="570"/>
        <v>Historic Environment Scotland</v>
      </c>
      <c r="JB46" s="59">
        <f t="shared" si="239"/>
        <v>0</v>
      </c>
      <c r="JC46" s="59">
        <f t="shared" si="240"/>
        <v>0</v>
      </c>
      <c r="JD46" s="59">
        <f t="shared" si="241"/>
        <v>0</v>
      </c>
      <c r="JE46" s="59">
        <f t="shared" si="242"/>
        <v>0</v>
      </c>
      <c r="JF46" s="59">
        <f t="shared" si="243"/>
        <v>0</v>
      </c>
      <c r="JG46" s="58">
        <f t="shared" si="244"/>
        <v>0</v>
      </c>
      <c r="JH46" s="45">
        <f t="shared" si="245"/>
        <v>11</v>
      </c>
      <c r="JI46" s="45">
        <f t="shared" si="571"/>
        <v>2.4889999999999994</v>
      </c>
      <c r="JJ46" s="45">
        <f t="shared" si="246"/>
        <v>1</v>
      </c>
      <c r="JK46" s="45">
        <f t="shared" si="247"/>
        <v>2</v>
      </c>
      <c r="JL46" s="45">
        <f t="shared" si="248"/>
        <v>0</v>
      </c>
      <c r="JM46" s="46" cm="1">
        <f t="array" ref="JM46">ROUND(IFERROR(INDEX(ArchiveResults!$F$5:$IX$116,ComparisonData!A46,ComparisonData!$JM$1),0),5)</f>
        <v>0</v>
      </c>
      <c r="JN46" s="46" cm="1">
        <f t="array" ref="JN46">ROUND(IFERROR(INDEX(ArchiveResults!$F$5:$IX$116,ComparisonData!A46,ComparisonData!$JN$1),0),5)</f>
        <v>0</v>
      </c>
      <c r="JO46" s="46" cm="1">
        <f t="array" ref="JO46">ROUND(IFERROR(INDEX(ArchiveResults!$F$5:$IX$116,ComparisonData!A46,ComparisonData!$JO$1),0),5)</f>
        <v>0</v>
      </c>
      <c r="JP46" s="46" cm="1">
        <f t="array" ref="JP46">ROUND(IFERROR(INDEX(ArchiveResults!$F$5:$IX$116,ComparisonData!A46,ComparisonData!$JP$1),0),5)</f>
        <v>0</v>
      </c>
      <c r="JQ46" s="45" cm="1">
        <f t="array" ref="JQ46">IFERROR(INDEX(ArchiveResults!$F$5:$IX$116,ComparisonData!A46,ComparisonData!$JQ$1),0)</f>
        <v>0</v>
      </c>
      <c r="JR46" s="56">
        <v>41</v>
      </c>
      <c r="JS46" s="53" t="str">
        <f t="shared" si="572"/>
        <v>Historic Environment Scotland</v>
      </c>
      <c r="JT46" s="59">
        <f t="shared" si="249"/>
        <v>0</v>
      </c>
      <c r="JU46" s="59">
        <f t="shared" si="250"/>
        <v>0</v>
      </c>
      <c r="JV46" s="59">
        <f t="shared" si="251"/>
        <v>0</v>
      </c>
      <c r="JW46" s="59">
        <f t="shared" si="252"/>
        <v>0</v>
      </c>
      <c r="JX46" s="59">
        <f t="shared" si="253"/>
        <v>0</v>
      </c>
      <c r="JY46" s="58">
        <f t="shared" si="254"/>
        <v>0</v>
      </c>
      <c r="JZ46" s="45">
        <f t="shared" si="255"/>
        <v>11</v>
      </c>
      <c r="KA46" s="45">
        <f t="shared" si="573"/>
        <v>2.4889999999999994</v>
      </c>
      <c r="KB46" s="45">
        <f t="shared" si="256"/>
        <v>1</v>
      </c>
      <c r="KC46" s="45">
        <f t="shared" si="257"/>
        <v>2</v>
      </c>
      <c r="KD46" s="45">
        <f t="shared" si="258"/>
        <v>0</v>
      </c>
      <c r="KE46" s="46" cm="1">
        <f t="array" ref="KE46">ROUND(IFERROR(INDEX(ArchiveResults!$F$5:$IX$116,ComparisonData!A46,ComparisonData!$KE$1),0),5)</f>
        <v>0</v>
      </c>
      <c r="KF46" s="46" cm="1">
        <f t="array" ref="KF46">ROUND(IFERROR(INDEX(ArchiveResults!$F$5:$IX$116,ComparisonData!A46,ComparisonData!$KF$1),0),5)</f>
        <v>0</v>
      </c>
      <c r="KG46" s="46" cm="1">
        <f t="array" ref="KG46">ROUND(IFERROR(INDEX(ArchiveResults!$F$5:$IX$116,ComparisonData!A46,ComparisonData!$KG$1),0),5)</f>
        <v>0</v>
      </c>
      <c r="KH46" s="46" cm="1">
        <f t="array" ref="KH46">ROUND(IFERROR(INDEX(ArchiveResults!$F$5:$IX$116,ComparisonData!A46,ComparisonData!$KH$1),0),5)</f>
        <v>0</v>
      </c>
      <c r="KI46" s="45" cm="1">
        <f t="array" ref="KI46">IFERROR(INDEX(ArchiveResults!$F$5:$IX$116,ComparisonData!A46,ComparisonData!$KI$1),0)</f>
        <v>0</v>
      </c>
      <c r="KJ46" s="56">
        <v>41</v>
      </c>
      <c r="KK46" s="53" t="str">
        <f t="shared" si="574"/>
        <v>Historic Environment Scotland</v>
      </c>
      <c r="KL46" s="59">
        <f t="shared" si="259"/>
        <v>0</v>
      </c>
      <c r="KM46" s="59">
        <f t="shared" si="260"/>
        <v>0</v>
      </c>
      <c r="KN46" s="59">
        <f t="shared" si="261"/>
        <v>0</v>
      </c>
      <c r="KO46" s="59">
        <f t="shared" si="262"/>
        <v>0</v>
      </c>
      <c r="KP46" s="59">
        <f t="shared" si="263"/>
        <v>0</v>
      </c>
      <c r="KQ46" s="58">
        <f t="shared" si="264"/>
        <v>0</v>
      </c>
      <c r="KR46" s="45">
        <f t="shared" si="265"/>
        <v>11</v>
      </c>
      <c r="KS46" s="45">
        <f t="shared" si="575"/>
        <v>2.4889999999999994</v>
      </c>
      <c r="KT46" s="45">
        <f t="shared" si="266"/>
        <v>1</v>
      </c>
      <c r="KU46" s="45">
        <f t="shared" si="267"/>
        <v>2</v>
      </c>
      <c r="KV46" s="45">
        <f t="shared" si="268"/>
        <v>0</v>
      </c>
      <c r="KW46" s="46" cm="1">
        <f t="array" ref="KW46">ROUND(IFERROR(INDEX(ArchiveResults!$F$5:$IX$116,ComparisonData!A46,ComparisonData!$KW$1),0),5)</f>
        <v>0</v>
      </c>
      <c r="KX46" s="46" cm="1">
        <f t="array" ref="KX46">ROUND(IFERROR(INDEX(ArchiveResults!$F$5:$IX$116,ComparisonData!A46,ComparisonData!$KX$1),0),5)</f>
        <v>0</v>
      </c>
      <c r="KY46" s="46" cm="1">
        <f t="array" ref="KY46">ROUND(IFERROR(INDEX(ArchiveResults!$F$5:$IX$116,ComparisonData!A46,ComparisonData!$KY$1),0),5)</f>
        <v>0</v>
      </c>
      <c r="KZ46" s="46" cm="1">
        <f t="array" ref="KZ46">ROUND(IFERROR(INDEX(ArchiveResults!$F$5:$IX$116,ComparisonData!A46,ComparisonData!$KZ$1),0),5)</f>
        <v>0</v>
      </c>
      <c r="LA46" s="45" cm="1">
        <f t="array" ref="LA46">IFERROR(INDEX(ArchiveResults!$F$5:$IX$116,ComparisonData!A46,ComparisonData!$LA$1),0)</f>
        <v>0</v>
      </c>
      <c r="LB46" s="56">
        <v>41</v>
      </c>
      <c r="LC46" s="53" t="str">
        <f t="shared" si="576"/>
        <v>Historic Environment Scotland</v>
      </c>
      <c r="LD46" s="59">
        <f t="shared" si="269"/>
        <v>0</v>
      </c>
      <c r="LE46" s="59">
        <f t="shared" si="270"/>
        <v>0</v>
      </c>
      <c r="LF46" s="59">
        <f t="shared" si="271"/>
        <v>0</v>
      </c>
      <c r="LG46" s="59">
        <f t="shared" si="272"/>
        <v>0</v>
      </c>
      <c r="LH46" s="59">
        <f t="shared" si="273"/>
        <v>0</v>
      </c>
      <c r="LI46" s="58">
        <f t="shared" si="274"/>
        <v>0</v>
      </c>
      <c r="LJ46" s="45">
        <f t="shared" si="275"/>
        <v>11</v>
      </c>
      <c r="LK46" s="45">
        <f t="shared" si="577"/>
        <v>2.4889999999999994</v>
      </c>
      <c r="LL46" s="45">
        <f t="shared" si="276"/>
        <v>1</v>
      </c>
      <c r="LM46" s="45">
        <f t="shared" si="277"/>
        <v>2</v>
      </c>
      <c r="LN46" s="45">
        <f t="shared" si="278"/>
        <v>0</v>
      </c>
      <c r="LO46" s="46" cm="1">
        <f t="array" ref="LO46">ROUND(IFERROR(INDEX(ArchiveResults!$F$5:$IX$116,ComparisonData!A46,ComparisonData!$LO$1),0),5)</f>
        <v>0</v>
      </c>
      <c r="LP46" s="46" cm="1">
        <f t="array" ref="LP46">ROUND(IFERROR(INDEX(ArchiveResults!$F$5:$IX$116,ComparisonData!A46,ComparisonData!$LP$1),0),5)</f>
        <v>0</v>
      </c>
      <c r="LQ46" s="46" cm="1">
        <f t="array" ref="LQ46">ROUND(IFERROR(INDEX(ArchiveResults!$F$5:$IX$116,ComparisonData!A46,ComparisonData!$LQ$1),0),5)</f>
        <v>0</v>
      </c>
      <c r="LR46" s="46" cm="1">
        <f t="array" ref="LR46">ROUND(IFERROR(INDEX(ArchiveResults!$F$5:$IX$116,ComparisonData!A46,ComparisonData!$LR$1),0),5)</f>
        <v>0</v>
      </c>
      <c r="LS46" s="45" cm="1">
        <f t="array" ref="LS46">IFERROR(INDEX(ArchiveResults!$F$5:$IX$116,ComparisonData!A46,ComparisonData!$LS$1),0)</f>
        <v>0</v>
      </c>
      <c r="LT46" s="56">
        <v>41</v>
      </c>
      <c r="LU46" s="53" t="str">
        <f t="shared" si="578"/>
        <v>Historic Environment Scotland</v>
      </c>
      <c r="LV46" s="59">
        <f t="shared" si="279"/>
        <v>0</v>
      </c>
      <c r="LW46" s="59">
        <f t="shared" si="280"/>
        <v>0</v>
      </c>
      <c r="LX46" s="59">
        <f t="shared" si="281"/>
        <v>0</v>
      </c>
      <c r="LY46" s="59">
        <f t="shared" si="282"/>
        <v>0</v>
      </c>
      <c r="LZ46" s="59">
        <f t="shared" si="283"/>
        <v>0</v>
      </c>
      <c r="MA46" s="58">
        <f t="shared" si="284"/>
        <v>0</v>
      </c>
      <c r="MB46" s="45">
        <f t="shared" si="285"/>
        <v>11</v>
      </c>
      <c r="MC46" s="45">
        <f t="shared" si="579"/>
        <v>2.4889999999999994</v>
      </c>
      <c r="MD46" s="45">
        <f t="shared" si="286"/>
        <v>1</v>
      </c>
      <c r="ME46" s="45">
        <f t="shared" si="287"/>
        <v>2</v>
      </c>
      <c r="MF46" s="45">
        <f t="shared" si="288"/>
        <v>0</v>
      </c>
      <c r="MG46" s="46" cm="1">
        <f t="array" ref="MG46">ROUND(IFERROR(INDEX(ArchiveResults!$F$5:$IX$116,ComparisonData!A46,ComparisonData!$MG$1),0),5)</f>
        <v>0</v>
      </c>
      <c r="MH46" s="46" cm="1">
        <f t="array" ref="MH46">ROUND(IFERROR(INDEX(ArchiveResults!$F$5:$IX$116,ComparisonData!A46,ComparisonData!$MH$1),0),5)</f>
        <v>0</v>
      </c>
      <c r="MI46" s="46" cm="1">
        <f t="array" ref="MI46">ROUND(IFERROR(INDEX(ArchiveResults!$F$5:$IX$116,ComparisonData!A46,ComparisonData!$MI$1),0),5)</f>
        <v>0</v>
      </c>
      <c r="MJ46" s="46" cm="1">
        <f t="array" ref="MJ46">ROUND(IFERROR(INDEX(ArchiveResults!$F$5:$IX$116,ComparisonData!A46,ComparisonData!$MJ$1),0),5)</f>
        <v>0</v>
      </c>
      <c r="MK46" s="45" cm="1">
        <f t="array" ref="MK46">IFERROR(INDEX(ArchiveResults!$F$5:$IX$116,ComparisonData!A46,ComparisonData!$MK$1),0)</f>
        <v>0</v>
      </c>
      <c r="ML46" s="56">
        <v>41</v>
      </c>
      <c r="MM46" s="53" t="str">
        <f t="shared" si="580"/>
        <v>Historic Environment Scotland</v>
      </c>
      <c r="MN46" s="59">
        <f t="shared" si="289"/>
        <v>0</v>
      </c>
      <c r="MO46" s="59">
        <f t="shared" si="290"/>
        <v>0</v>
      </c>
      <c r="MP46" s="59">
        <f t="shared" si="291"/>
        <v>0</v>
      </c>
      <c r="MQ46" s="59">
        <f t="shared" si="292"/>
        <v>0</v>
      </c>
      <c r="MR46" s="59">
        <f t="shared" si="293"/>
        <v>0</v>
      </c>
      <c r="MS46" s="58">
        <f t="shared" si="294"/>
        <v>0</v>
      </c>
      <c r="MT46" s="45">
        <f t="shared" si="295"/>
        <v>11</v>
      </c>
      <c r="MU46" s="45">
        <f t="shared" si="581"/>
        <v>2.4889999999999994</v>
      </c>
      <c r="MV46" s="45">
        <f t="shared" si="296"/>
        <v>1</v>
      </c>
      <c r="MW46" s="45">
        <f t="shared" si="297"/>
        <v>2</v>
      </c>
      <c r="MX46" s="45">
        <f t="shared" si="298"/>
        <v>0</v>
      </c>
      <c r="MY46" s="46" cm="1">
        <f t="array" ref="MY46">ROUND(IFERROR(INDEX(ArchiveResults!$F$5:$IX$116,ComparisonData!A46,ComparisonData!$MY$1),0),5)</f>
        <v>0</v>
      </c>
      <c r="MZ46" s="46" cm="1">
        <f t="array" ref="MZ46">ROUND(IFERROR(INDEX(ArchiveResults!$F$5:$IX$116,ComparisonData!A46,ComparisonData!$MZ$1),0),5)</f>
        <v>0</v>
      </c>
      <c r="NA46" s="46" cm="1">
        <f t="array" ref="NA46">ROUND(IFERROR(INDEX(ArchiveResults!$F$5:$IX$116,ComparisonData!A46,ComparisonData!$NA$1),0),5)</f>
        <v>0</v>
      </c>
      <c r="NB46" s="46" cm="1">
        <f t="array" ref="NB46">ROUND(IFERROR(INDEX(ArchiveResults!$F$5:$IX$116,ComparisonData!A46,ComparisonData!$NB$1),0),5)</f>
        <v>0</v>
      </c>
      <c r="NC46" s="45" cm="1">
        <f t="array" ref="NC46">IFERROR(INDEX(ArchiveResults!$F$5:$IX$116,ComparisonData!A46,ComparisonData!$NC$1),0)</f>
        <v>0</v>
      </c>
      <c r="ND46" s="56">
        <v>41</v>
      </c>
      <c r="NE46" s="53" t="str">
        <f t="shared" si="582"/>
        <v>Historic Environment Scotland</v>
      </c>
      <c r="NF46" s="59">
        <f t="shared" si="299"/>
        <v>0</v>
      </c>
      <c r="NG46" s="59">
        <f t="shared" si="300"/>
        <v>0</v>
      </c>
      <c r="NH46" s="59">
        <f t="shared" si="301"/>
        <v>0</v>
      </c>
      <c r="NI46" s="59">
        <f t="shared" si="302"/>
        <v>0</v>
      </c>
      <c r="NJ46" s="59">
        <f t="shared" si="303"/>
        <v>0</v>
      </c>
      <c r="NK46" s="58">
        <f t="shared" si="304"/>
        <v>0</v>
      </c>
      <c r="NL46" s="45">
        <f t="shared" si="305"/>
        <v>11</v>
      </c>
      <c r="NM46" s="45">
        <f t="shared" si="583"/>
        <v>2.4889999999999994</v>
      </c>
      <c r="NN46" s="45">
        <f t="shared" si="306"/>
        <v>1</v>
      </c>
      <c r="NO46" s="45">
        <f t="shared" si="307"/>
        <v>2</v>
      </c>
      <c r="NP46" s="46" cm="1">
        <f t="array" ref="NP46">ROUND(IFERROR(INDEX(ArchiveResults!$F$5:$IX$116,ComparisonData!A46,ComparisonData!$NP$1),0),5)</f>
        <v>0</v>
      </c>
      <c r="NQ46" s="46" cm="1">
        <f t="array" ref="NQ46">ROUND(IFERROR(INDEX(ArchiveResults!$F$5:$IX$116,ComparisonData!A46,ComparisonData!$NQ$1),0),5)</f>
        <v>0</v>
      </c>
      <c r="NR46" s="46" cm="1">
        <f t="array" ref="NR46">ROUND(IFERROR(INDEX(ArchiveResults!$F$5:$IX$116,ComparisonData!A46,ComparisonData!$NR$1),0),5)</f>
        <v>0</v>
      </c>
      <c r="NS46" s="46" cm="1">
        <f t="array" ref="NS46">ROUND(IFERROR(INDEX(ArchiveResults!$F$5:$IX$116,ComparisonData!A46,ComparisonData!$NS$1),0),5)</f>
        <v>0</v>
      </c>
      <c r="NT46" s="45" cm="1">
        <f t="array" ref="NT46">IFERROR(INDEX(ArchiveResults!$F$5:$IX$116,ComparisonData!A46,ComparisonData!$NT$1),0)</f>
        <v>0</v>
      </c>
      <c r="NU46" s="56">
        <v>41</v>
      </c>
      <c r="NV46" s="53" t="str">
        <f t="shared" si="584"/>
        <v>Historic Environment Scotland</v>
      </c>
      <c r="NW46" s="59">
        <f t="shared" si="308"/>
        <v>0</v>
      </c>
      <c r="NX46" s="59">
        <f t="shared" si="309"/>
        <v>0</v>
      </c>
      <c r="NY46" s="59">
        <f t="shared" si="310"/>
        <v>0</v>
      </c>
      <c r="NZ46" s="59">
        <f t="shared" si="311"/>
        <v>0</v>
      </c>
      <c r="OA46" s="59">
        <f t="shared" si="312"/>
        <v>0</v>
      </c>
      <c r="OB46" s="58">
        <f t="shared" si="313"/>
        <v>0</v>
      </c>
      <c r="OC46" s="45">
        <f t="shared" si="314"/>
        <v>11</v>
      </c>
      <c r="OD46" s="45">
        <f t="shared" si="585"/>
        <v>2.4889999999999994</v>
      </c>
      <c r="OE46" s="45">
        <f t="shared" si="315"/>
        <v>1</v>
      </c>
      <c r="OF46" s="45">
        <f t="shared" si="316"/>
        <v>2</v>
      </c>
      <c r="OG46" s="46">
        <f t="shared" si="317"/>
        <v>0</v>
      </c>
      <c r="OH46" s="46" cm="1">
        <f t="array" ref="OH46">ROUND(IFERROR(INDEX(ArchiveResults!$F$5:$IX$116,ComparisonData!A46,ComparisonData!$OH$1),0),5)</f>
        <v>0</v>
      </c>
      <c r="OI46" s="46" cm="1">
        <f t="array" ref="OI46">ROUND(IFERROR(INDEX(ArchiveResults!$F$5:$IX$116,ComparisonData!A46,ComparisonData!$OI$1),0),5)</f>
        <v>0</v>
      </c>
      <c r="OJ46" s="46" cm="1">
        <f t="array" ref="OJ46">ROUND(IFERROR(INDEX(ArchiveResults!$F$5:$IX$116,ComparisonData!A46,ComparisonData!$OJ$1),0),5)</f>
        <v>0</v>
      </c>
      <c r="OK46" s="46" cm="1">
        <f t="array" ref="OK46">ROUND(IFERROR(INDEX(ArchiveResults!$F$5:$IX$116,ComparisonData!A46,ComparisonData!$OK$1),0),5)</f>
        <v>0</v>
      </c>
      <c r="OL46" s="45" cm="1">
        <f t="array" ref="OL46">IFERROR(INDEX(ArchiveResults!$F$5:$IX$116,ComparisonData!A46,ComparisonData!$OL$1),0)</f>
        <v>0</v>
      </c>
      <c r="OM46" s="56">
        <v>41</v>
      </c>
      <c r="ON46" s="53" t="str">
        <f t="shared" si="586"/>
        <v>Historic Environment Scotland</v>
      </c>
      <c r="OO46" s="59">
        <f t="shared" si="318"/>
        <v>0</v>
      </c>
      <c r="OP46" s="59">
        <f t="shared" si="319"/>
        <v>0</v>
      </c>
      <c r="OQ46" s="59">
        <f t="shared" si="320"/>
        <v>0</v>
      </c>
      <c r="OR46" s="59">
        <f t="shared" si="321"/>
        <v>0</v>
      </c>
      <c r="OS46" s="59">
        <f t="shared" si="322"/>
        <v>0</v>
      </c>
      <c r="OT46" s="58">
        <f t="shared" si="323"/>
        <v>0</v>
      </c>
      <c r="OU46" s="45">
        <f t="shared" si="324"/>
        <v>11</v>
      </c>
      <c r="OV46" s="45">
        <f t="shared" si="587"/>
        <v>2.4889999999999994</v>
      </c>
      <c r="OW46" s="45">
        <f t="shared" si="325"/>
        <v>1</v>
      </c>
      <c r="OX46" s="45">
        <f t="shared" si="326"/>
        <v>2</v>
      </c>
      <c r="OY46" s="45">
        <f t="shared" si="327"/>
        <v>0</v>
      </c>
      <c r="OZ46" s="46" cm="1">
        <f t="array" ref="OZ46">ROUND(IFERROR(INDEX(ArchiveResults!$F$5:$IX$116,ComparisonData!A46,ComparisonData!$OZ$1),0),5)</f>
        <v>0</v>
      </c>
      <c r="PA46" s="46" cm="1">
        <f t="array" ref="PA46">ROUND(IFERROR(INDEX(ArchiveResults!$F$5:$IX$116,ComparisonData!A46,ComparisonData!$PA$1),0),5)</f>
        <v>0</v>
      </c>
      <c r="PB46" s="46" cm="1">
        <f t="array" ref="PB46">ROUND(IFERROR(INDEX(ArchiveResults!$F$5:$IX$116,ComparisonData!A46,ComparisonData!$PB$1),0),5)</f>
        <v>0</v>
      </c>
      <c r="PC46" s="46" cm="1">
        <f t="array" ref="PC46">ROUND(IFERROR(INDEX(ArchiveResults!$F$5:$IX$116,ComparisonData!A46,ComparisonData!$PC$1),0),5)</f>
        <v>0</v>
      </c>
      <c r="PD46" s="45" cm="1">
        <f t="array" ref="PD46">IFERROR(INDEX(ArchiveResults!$F$5:$IX$116,ComparisonData!A46,ComparisonData!$PD$1),0)</f>
        <v>0</v>
      </c>
      <c r="PE46" s="56">
        <v>41</v>
      </c>
      <c r="PF46" s="53" t="str">
        <f t="shared" si="588"/>
        <v>Historic Environment Scotland</v>
      </c>
      <c r="PG46" s="59">
        <f t="shared" si="328"/>
        <v>0</v>
      </c>
      <c r="PH46" s="59">
        <f t="shared" si="329"/>
        <v>0</v>
      </c>
      <c r="PI46" s="59">
        <f t="shared" si="330"/>
        <v>0</v>
      </c>
      <c r="PJ46" s="59">
        <f t="shared" si="331"/>
        <v>0</v>
      </c>
      <c r="PK46" s="59">
        <f t="shared" si="332"/>
        <v>0</v>
      </c>
      <c r="PL46" s="58">
        <f t="shared" si="333"/>
        <v>0</v>
      </c>
      <c r="PM46" s="45">
        <f t="shared" si="334"/>
        <v>11</v>
      </c>
      <c r="PN46" s="45">
        <f t="shared" si="589"/>
        <v>2.4889999999999994</v>
      </c>
      <c r="PO46" s="45">
        <f t="shared" si="335"/>
        <v>1</v>
      </c>
      <c r="PP46" s="45">
        <f t="shared" si="336"/>
        <v>2</v>
      </c>
      <c r="PQ46" s="45">
        <f t="shared" si="337"/>
        <v>0</v>
      </c>
      <c r="PR46" s="46" cm="1">
        <f t="array" ref="PR46">ROUND(IFERROR(INDEX(ArchiveResults!$F$5:$IX$116,ComparisonData!A46,ComparisonData!$PR$1),0),5)</f>
        <v>0</v>
      </c>
      <c r="PS46" s="46" cm="1">
        <f t="array" ref="PS46">ROUND(IFERROR(INDEX(ArchiveResults!$F$5:$IX$116,ComparisonData!A46,ComparisonData!$PS$1),0),5)</f>
        <v>0</v>
      </c>
      <c r="PT46" s="46" cm="1">
        <f t="array" ref="PT46">ROUND(IFERROR(INDEX(ArchiveResults!$F$5:$IX$116,ComparisonData!A46,ComparisonData!$PT$1),0),5)</f>
        <v>0</v>
      </c>
      <c r="PU46" s="46" cm="1">
        <f t="array" ref="PU46">ROUND(IFERROR(INDEX(ArchiveResults!$F$5:$IX$116,ComparisonData!A46,ComparisonData!$PU$1),0),5)</f>
        <v>0</v>
      </c>
      <c r="PV46" s="45" cm="1">
        <f t="array" ref="PV46">IFERROR(INDEX(ArchiveResults!$F$5:$IX$116,ComparisonData!A46,ComparisonData!$PV$1),0)</f>
        <v>0</v>
      </c>
      <c r="PW46" s="56">
        <v>41</v>
      </c>
      <c r="PX46" s="53" t="str">
        <f t="shared" si="590"/>
        <v>Historic Environment Scotland</v>
      </c>
      <c r="PY46" s="59">
        <f t="shared" si="338"/>
        <v>0</v>
      </c>
      <c r="PZ46" s="59">
        <f t="shared" si="339"/>
        <v>0</v>
      </c>
      <c r="QA46" s="59">
        <f t="shared" si="340"/>
        <v>0</v>
      </c>
      <c r="QB46" s="59">
        <f t="shared" si="341"/>
        <v>0</v>
      </c>
      <c r="QC46" s="59">
        <f t="shared" si="342"/>
        <v>0</v>
      </c>
      <c r="QD46" s="58">
        <f t="shared" si="343"/>
        <v>0</v>
      </c>
      <c r="QE46" s="45">
        <f t="shared" si="344"/>
        <v>11</v>
      </c>
      <c r="QF46" s="45">
        <f t="shared" si="591"/>
        <v>2.4889999999999994</v>
      </c>
      <c r="QG46" s="45">
        <f t="shared" si="345"/>
        <v>1</v>
      </c>
      <c r="QH46" s="45">
        <f t="shared" si="346"/>
        <v>2</v>
      </c>
      <c r="QI46" s="45">
        <f t="shared" si="347"/>
        <v>0</v>
      </c>
      <c r="QJ46" s="46" cm="1">
        <f t="array" ref="QJ46">ROUND(IFERROR(INDEX(ArchiveResults!$F$5:$IX$116,ComparisonData!A46,ComparisonData!$QJ$1),0),5)</f>
        <v>0</v>
      </c>
      <c r="QK46" s="46" cm="1">
        <f t="array" ref="QK46">ROUND(IFERROR(INDEX(ArchiveResults!$F$5:$IX$116,ComparisonData!A46,ComparisonData!$QK$1),0),5)</f>
        <v>0</v>
      </c>
      <c r="QL46" s="46" cm="1">
        <f t="array" ref="QL46">ROUND(IFERROR(INDEX(ArchiveResults!$F$5:$IX$116,ComparisonData!A46,ComparisonData!$QL$1),0),5)</f>
        <v>0</v>
      </c>
      <c r="QM46" s="46" cm="1">
        <f t="array" ref="QM46">ROUND(IFERROR(INDEX(ArchiveResults!$F$5:$IX$116,ComparisonData!A46,ComparisonData!$QM$1),0),5)</f>
        <v>0</v>
      </c>
      <c r="QN46" s="45" cm="1">
        <f t="array" ref="QN46">IFERROR(INDEX(ArchiveResults!$F$5:$IX$116,ComparisonData!A46,ComparisonData!$QN$1),0)</f>
        <v>0</v>
      </c>
      <c r="QO46" s="56">
        <v>41</v>
      </c>
      <c r="QP46" s="53" t="str">
        <f t="shared" si="592"/>
        <v>Historic Environment Scotland</v>
      </c>
      <c r="QQ46" s="59">
        <f t="shared" si="348"/>
        <v>0</v>
      </c>
      <c r="QR46" s="59">
        <f t="shared" si="349"/>
        <v>0</v>
      </c>
      <c r="QS46" s="59">
        <f t="shared" si="350"/>
        <v>0</v>
      </c>
      <c r="QT46" s="59">
        <f t="shared" si="351"/>
        <v>0</v>
      </c>
      <c r="QU46" s="59">
        <f t="shared" si="352"/>
        <v>0</v>
      </c>
      <c r="QV46" s="58">
        <f t="shared" si="353"/>
        <v>0</v>
      </c>
      <c r="QW46" s="45">
        <f t="shared" si="354"/>
        <v>11</v>
      </c>
      <c r="QX46" s="45">
        <f t="shared" si="593"/>
        <v>2.4889999999999994</v>
      </c>
      <c r="QY46" s="45">
        <f t="shared" si="355"/>
        <v>1</v>
      </c>
      <c r="QZ46" s="45">
        <f t="shared" si="356"/>
        <v>2</v>
      </c>
      <c r="RA46" s="45">
        <f t="shared" si="357"/>
        <v>0</v>
      </c>
      <c r="RB46" s="46" cm="1">
        <f t="array" ref="RB46">ROUND(IFERROR(INDEX(ArchiveResults!$F$5:$IX$116,ComparisonData!A46,ComparisonData!$RB$1),0),5)</f>
        <v>0</v>
      </c>
      <c r="RC46" s="46" cm="1">
        <f t="array" ref="RC46">ROUND(IFERROR(INDEX(ArchiveResults!$F$5:$IX$116,ComparisonData!A46,ComparisonData!$RC$1),0),5)</f>
        <v>0</v>
      </c>
      <c r="RD46" s="46" cm="1">
        <f t="array" ref="RD46">ROUND(IFERROR(INDEX(ArchiveResults!$F$5:$IX$116,ComparisonData!A46,ComparisonData!$RD$1),0),5)</f>
        <v>0</v>
      </c>
      <c r="RE46" s="46" cm="1">
        <f t="array" ref="RE46">ROUND(IFERROR(INDEX(ArchiveResults!$F$5:$IX$116,ComparisonData!A46,ComparisonData!$RE$1),0),5)</f>
        <v>0</v>
      </c>
      <c r="RF46" s="45" cm="1">
        <f t="array" ref="RF46">IFERROR(INDEX(ArchiveResults!$F$5:$IX$116,ComparisonData!A46,ComparisonData!$RF$1),0)</f>
        <v>0</v>
      </c>
      <c r="RG46" s="56">
        <v>41</v>
      </c>
      <c r="RH46" s="53" t="str">
        <f t="shared" si="594"/>
        <v>Historic Environment Scotland</v>
      </c>
      <c r="RI46" s="59">
        <f t="shared" si="358"/>
        <v>0</v>
      </c>
      <c r="RJ46" s="59">
        <f t="shared" si="359"/>
        <v>0</v>
      </c>
      <c r="RK46" s="59">
        <f t="shared" si="360"/>
        <v>0</v>
      </c>
      <c r="RL46" s="59">
        <f t="shared" si="361"/>
        <v>0</v>
      </c>
      <c r="RM46" s="59">
        <f t="shared" si="362"/>
        <v>0</v>
      </c>
      <c r="RN46" s="58">
        <f t="shared" si="363"/>
        <v>0</v>
      </c>
      <c r="RO46" s="45">
        <f t="shared" si="364"/>
        <v>11</v>
      </c>
      <c r="RP46" s="45">
        <f t="shared" si="595"/>
        <v>2.4889999999999994</v>
      </c>
      <c r="RQ46" s="45">
        <f t="shared" si="365"/>
        <v>1</v>
      </c>
      <c r="RR46" s="45">
        <f t="shared" si="366"/>
        <v>2</v>
      </c>
      <c r="RS46" s="45">
        <f t="shared" si="367"/>
        <v>0</v>
      </c>
      <c r="RT46" s="46" cm="1">
        <f t="array" ref="RT46">ROUND(IFERROR(INDEX(ArchiveResults!$F$5:$IX$116,ComparisonData!A46,ComparisonData!$RT$1),0),5)</f>
        <v>0</v>
      </c>
      <c r="RU46" s="46" cm="1">
        <f t="array" ref="RU46">ROUND(IFERROR(INDEX(ArchiveResults!$F$5:$IX$116,ComparisonData!A46,ComparisonData!$RU$1),0),5)</f>
        <v>0</v>
      </c>
      <c r="RV46" s="46" cm="1">
        <f t="array" ref="RV46">ROUND(IFERROR(INDEX(ArchiveResults!$F$5:$IX$116,ComparisonData!A46,ComparisonData!$RV$1),0),5)</f>
        <v>0</v>
      </c>
      <c r="RW46" s="46" cm="1">
        <f t="array" ref="RW46">ROUND(IFERROR(INDEX(ArchiveResults!$F$5:$IX$116,ComparisonData!A46,ComparisonData!$RW$1),0),5)</f>
        <v>0</v>
      </c>
      <c r="RX46" s="45" cm="1">
        <f t="array" ref="RX46">IFERROR(INDEX(ArchiveResults!$F$5:$IX$116,ComparisonData!A46,ComparisonData!$RX$1),0)</f>
        <v>0</v>
      </c>
      <c r="RY46" s="56">
        <v>41</v>
      </c>
      <c r="RZ46" s="53" t="str">
        <f t="shared" si="596"/>
        <v>Historic Environment Scotland</v>
      </c>
      <c r="SA46" s="59">
        <f t="shared" si="368"/>
        <v>0</v>
      </c>
      <c r="SB46" s="59">
        <f t="shared" si="369"/>
        <v>0</v>
      </c>
      <c r="SC46" s="59">
        <f t="shared" si="370"/>
        <v>0</v>
      </c>
      <c r="SD46" s="59">
        <f t="shared" si="371"/>
        <v>0</v>
      </c>
      <c r="SE46" s="59">
        <f t="shared" si="372"/>
        <v>0</v>
      </c>
      <c r="SF46" s="58">
        <f t="shared" si="373"/>
        <v>0</v>
      </c>
      <c r="SG46" s="45">
        <f t="shared" si="374"/>
        <v>11</v>
      </c>
      <c r="SH46" s="45">
        <f t="shared" si="597"/>
        <v>2.4889999999999994</v>
      </c>
      <c r="SI46" s="45">
        <f t="shared" si="375"/>
        <v>1</v>
      </c>
      <c r="SJ46" s="45">
        <f t="shared" si="376"/>
        <v>2</v>
      </c>
      <c r="SK46" s="45">
        <f t="shared" si="377"/>
        <v>0</v>
      </c>
      <c r="SL46" s="46" cm="1">
        <f t="array" ref="SL46">ROUND(IFERROR(INDEX(ArchiveResults!$F$5:$IX$116,ComparisonData!A46,ComparisonData!$SL$1),0),5)</f>
        <v>0</v>
      </c>
      <c r="SM46" s="46" cm="1">
        <f t="array" ref="SM46">ROUND(IFERROR(INDEX(ArchiveResults!$F$5:$IX$116,ComparisonData!A46,ComparisonData!$SM$1),0),5)</f>
        <v>0</v>
      </c>
      <c r="SN46" s="46" cm="1">
        <f t="array" ref="SN46">ROUND(IFERROR(INDEX(ArchiveResults!$F$5:$IX$116,ComparisonData!A46,ComparisonData!$SN$1),0),5)</f>
        <v>0</v>
      </c>
      <c r="SO46" s="46" cm="1">
        <f t="array" ref="SO46">ROUND(IFERROR(INDEX(ArchiveResults!$F$5:$IX$116,ComparisonData!A46,ComparisonData!$SO$1),0),5)</f>
        <v>0</v>
      </c>
      <c r="SP46" s="45" cm="1">
        <f t="array" ref="SP46">IFERROR(INDEX(ArchiveResults!$F$5:$IX$116,ComparisonData!A46,ComparisonData!$SP$1),0)</f>
        <v>0</v>
      </c>
      <c r="SQ46" s="56">
        <v>41</v>
      </c>
      <c r="SR46" s="53" t="str">
        <f t="shared" si="598"/>
        <v>Historic Environment Scotland</v>
      </c>
      <c r="SS46" s="59">
        <f t="shared" si="378"/>
        <v>0</v>
      </c>
      <c r="ST46" s="59">
        <f t="shared" si="379"/>
        <v>0</v>
      </c>
      <c r="SU46" s="59">
        <f t="shared" si="380"/>
        <v>0</v>
      </c>
      <c r="SV46" s="59">
        <f t="shared" si="381"/>
        <v>0</v>
      </c>
      <c r="SW46" s="59">
        <f t="shared" si="382"/>
        <v>0</v>
      </c>
      <c r="SX46" s="58">
        <f t="shared" si="383"/>
        <v>0</v>
      </c>
      <c r="SY46" s="45">
        <f t="shared" si="384"/>
        <v>11</v>
      </c>
      <c r="SZ46" s="45">
        <f t="shared" si="599"/>
        <v>2.4889999999999994</v>
      </c>
      <c r="TA46" s="45">
        <f t="shared" si="385"/>
        <v>1</v>
      </c>
      <c r="TB46" s="45">
        <f t="shared" si="386"/>
        <v>2</v>
      </c>
      <c r="TC46" s="45">
        <f t="shared" si="387"/>
        <v>0</v>
      </c>
      <c r="TD46" s="46" cm="1">
        <f t="array" ref="TD46">ROUND(IFERROR(INDEX(ArchiveResults!$F$5:$IX$116,ComparisonData!A46,ComparisonData!$TD$1),0),5)</f>
        <v>0</v>
      </c>
      <c r="TE46" s="46" cm="1">
        <f t="array" ref="TE46">ROUND(IFERROR(INDEX(ArchiveResults!$F$5:$IX$116,ComparisonData!A46,ComparisonData!$TE$1),0),5)</f>
        <v>0</v>
      </c>
      <c r="TF46" s="46" cm="1">
        <f t="array" ref="TF46">ROUND(IFERROR(INDEX(ArchiveResults!$F$5:$IX$116,ComparisonData!A46,ComparisonData!$TF$1),0),5)</f>
        <v>0</v>
      </c>
      <c r="TG46" s="46" cm="1">
        <f t="array" ref="TG46">ROUND(IFERROR(INDEX(ArchiveResults!$F$5:$IX$116,ComparisonData!A46,ComparisonData!$TG$1),0),5)</f>
        <v>0</v>
      </c>
      <c r="TH46" s="45" cm="1">
        <f t="array" ref="TH46">IFERROR(INDEX(ArchiveResults!$F$5:$IX$116,ComparisonData!A46,ComparisonData!$TH$1),0)</f>
        <v>0</v>
      </c>
      <c r="TI46" s="56">
        <v>41</v>
      </c>
      <c r="TJ46" s="53" t="str">
        <f t="shared" si="600"/>
        <v>Historic Environment Scotland</v>
      </c>
      <c r="TK46" s="59">
        <f t="shared" si="388"/>
        <v>0</v>
      </c>
      <c r="TL46" s="59">
        <f t="shared" si="389"/>
        <v>0</v>
      </c>
      <c r="TM46" s="59">
        <f t="shared" si="390"/>
        <v>0</v>
      </c>
      <c r="TN46" s="59">
        <f t="shared" si="391"/>
        <v>0</v>
      </c>
      <c r="TO46" s="59">
        <f t="shared" si="392"/>
        <v>0</v>
      </c>
      <c r="TP46" s="58">
        <f t="shared" si="393"/>
        <v>0</v>
      </c>
      <c r="TQ46" s="45">
        <f t="shared" si="394"/>
        <v>11</v>
      </c>
      <c r="TR46" s="45">
        <f t="shared" si="601"/>
        <v>2.4889999999999994</v>
      </c>
      <c r="TS46" s="45">
        <f t="shared" si="395"/>
        <v>1</v>
      </c>
      <c r="TT46" s="45">
        <f t="shared" si="396"/>
        <v>2</v>
      </c>
      <c r="TU46" s="45">
        <f t="shared" si="397"/>
        <v>0</v>
      </c>
      <c r="TV46" s="46" cm="1">
        <f t="array" ref="TV46">ROUND(IFERROR(INDEX(ArchiveResults!$F$5:$IX$116,ComparisonData!A46,ComparisonData!$TV$1),0),5)</f>
        <v>0</v>
      </c>
      <c r="TW46" s="46" cm="1">
        <f t="array" ref="TW46">ROUND(IFERROR(INDEX(ArchiveResults!$F$5:$IX$116,ComparisonData!A46,ComparisonData!$TW$1),0),5)</f>
        <v>0</v>
      </c>
      <c r="TX46" s="46" cm="1">
        <f t="array" ref="TX46">ROUND(IFERROR(INDEX(ArchiveResults!$F$5:$IX$116,ComparisonData!A46,ComparisonData!$TX$1),0),5)</f>
        <v>0</v>
      </c>
      <c r="TY46" s="46" cm="1">
        <f t="array" ref="TY46">ROUND(IFERROR(INDEX(ArchiveResults!$F$5:$IX$116,ComparisonData!A46,ComparisonData!$TY$1),0),5)</f>
        <v>0</v>
      </c>
      <c r="TZ46" s="45" cm="1">
        <f t="array" ref="TZ46">IFERROR(INDEX(ArchiveResults!$F$5:$IX$116,ComparisonData!A46,ComparisonData!$TZ$1),0)</f>
        <v>0</v>
      </c>
      <c r="UA46" s="56">
        <v>41</v>
      </c>
      <c r="UB46" s="53" t="str">
        <f t="shared" si="602"/>
        <v>Historic Environment Scotland</v>
      </c>
      <c r="UC46" s="60">
        <f t="shared" si="398"/>
        <v>0</v>
      </c>
      <c r="UD46" s="60">
        <f t="shared" si="399"/>
        <v>0</v>
      </c>
      <c r="UE46" s="60">
        <f t="shared" si="400"/>
        <v>0</v>
      </c>
      <c r="UF46" s="60">
        <f t="shared" si="401"/>
        <v>0</v>
      </c>
      <c r="UG46" s="60">
        <f t="shared" si="402"/>
        <v>0</v>
      </c>
      <c r="UH46" s="58">
        <f t="shared" si="403"/>
        <v>0</v>
      </c>
      <c r="UI46" s="46">
        <f t="shared" si="404"/>
        <v>11</v>
      </c>
      <c r="UJ46" s="46">
        <f t="shared" si="603"/>
        <v>2.4889999999999994</v>
      </c>
      <c r="UK46" s="46">
        <f t="shared" si="405"/>
        <v>1</v>
      </c>
      <c r="UL46" s="46">
        <f t="shared" si="406"/>
        <v>2</v>
      </c>
      <c r="UM46" s="46" cm="1">
        <f t="array" ref="UM46">ROUND(IFERROR(INDEX(ArchiveResults!$F$5:$IX$116,ComparisonData!A46,ComparisonData!$UM$1),0),5)</f>
        <v>0</v>
      </c>
      <c r="UN46" s="56">
        <v>41</v>
      </c>
      <c r="UO46" s="53" t="str">
        <f t="shared" si="604"/>
        <v>Historic Environment Scotland</v>
      </c>
      <c r="UP46" s="46">
        <f t="shared" si="407"/>
        <v>0</v>
      </c>
      <c r="UQ46" s="76">
        <f t="shared" si="408"/>
        <v>0</v>
      </c>
      <c r="UR46" s="46">
        <f t="shared" si="409"/>
        <v>11</v>
      </c>
      <c r="US46" s="46">
        <f t="shared" si="605"/>
        <v>2.4889999999999994</v>
      </c>
      <c r="UT46" s="46">
        <f t="shared" si="410"/>
        <v>1</v>
      </c>
      <c r="UU46" s="46">
        <f t="shared" si="411"/>
        <v>2</v>
      </c>
      <c r="UV46" s="46">
        <f t="shared" si="412"/>
        <v>0</v>
      </c>
      <c r="UW46" s="46" cm="1">
        <f t="array" ref="UW46">ROUND(IFERROR(INDEX(ArchiveResults!$F$5:$IX$116,ComparisonData!A46,ComparisonData!$UW$1),0),5)</f>
        <v>0</v>
      </c>
      <c r="UX46" s="46" cm="1">
        <f t="array" ref="UX46">ROUND(IFERROR(INDEX(ArchiveResults!$F$5:$IX$116,ComparisonData!A46,ComparisonData!$UX$1),0),5)</f>
        <v>0</v>
      </c>
      <c r="UY46" s="46" cm="1">
        <f t="array" ref="UY46">ROUND(IFERROR(INDEX(ArchiveResults!$F$5:$IX$116,ComparisonData!A46,ComparisonData!$UY$1),0),5)</f>
        <v>0</v>
      </c>
      <c r="UZ46" s="46" cm="1">
        <f t="array" ref="UZ46">ROUND(IFERROR(INDEX(ArchiveResults!$F$5:$IX$116,ComparisonData!A46,ComparisonData!$UZ$1),0),5)</f>
        <v>0</v>
      </c>
      <c r="VA46" s="46" cm="1">
        <f t="array" ref="VA46">ROUND(IFERROR(INDEX(ArchiveResults!$F$5:$IX$116,ComparisonData!A46,ComparisonData!$VA$1),0),5)</f>
        <v>0</v>
      </c>
      <c r="VB46" s="56">
        <v>41</v>
      </c>
      <c r="VC46" s="53" t="str">
        <f t="shared" si="606"/>
        <v>Historic Environment Scotland</v>
      </c>
      <c r="VD46" s="60">
        <f t="shared" si="413"/>
        <v>0</v>
      </c>
      <c r="VE46" s="60">
        <f t="shared" si="414"/>
        <v>0</v>
      </c>
      <c r="VF46" s="60">
        <f t="shared" si="415"/>
        <v>0</v>
      </c>
      <c r="VG46" s="60">
        <f t="shared" si="416"/>
        <v>0</v>
      </c>
      <c r="VH46" s="60">
        <f t="shared" si="417"/>
        <v>0</v>
      </c>
      <c r="VI46" s="76">
        <f t="shared" si="418"/>
        <v>0</v>
      </c>
      <c r="VJ46" s="46">
        <f t="shared" si="419"/>
        <v>11</v>
      </c>
      <c r="VK46" s="46">
        <f t="shared" si="607"/>
        <v>2.4889999999999994</v>
      </c>
      <c r="VL46" s="46">
        <f t="shared" si="420"/>
        <v>1</v>
      </c>
      <c r="VM46" s="46">
        <f t="shared" si="421"/>
        <v>2</v>
      </c>
      <c r="VN46" s="46" cm="1">
        <f t="array" ref="VN46">ROUND(IFERROR(INDEX(ArchiveResults!$F$5:$IX$116,ComparisonData!A46,ComparisonData!$VN$1),0),5)</f>
        <v>0</v>
      </c>
      <c r="VO46" s="46" cm="1">
        <f t="array" ref="VO46">ROUND(IFERROR(INDEX(ArchiveResults!$F$5:$IX$116,ComparisonData!A46,ComparisonData!$VO$1),0),5)</f>
        <v>0</v>
      </c>
      <c r="VP46" s="46" cm="1">
        <f t="array" ref="VP46">ROUND(IFERROR(INDEX(ArchiveResults!$F$5:$IX$116,ComparisonData!A46,ComparisonData!$VP$1),0),5)</f>
        <v>0</v>
      </c>
      <c r="VQ46" s="46" cm="1">
        <f t="array" ref="VQ46">ROUND(IFERROR(INDEX(ArchiveResults!$F$5:$IX$116,ComparisonData!A46,ComparisonData!$VQ$1),0),5)</f>
        <v>0</v>
      </c>
      <c r="VR46" s="56">
        <v>41</v>
      </c>
      <c r="VS46" s="53" t="str">
        <f t="shared" si="608"/>
        <v>Historic Environment Scotland</v>
      </c>
      <c r="VT46" s="60">
        <f t="shared" si="422"/>
        <v>0</v>
      </c>
      <c r="VU46" s="60">
        <f t="shared" si="423"/>
        <v>0</v>
      </c>
      <c r="VV46" s="60">
        <f t="shared" si="424"/>
        <v>0</v>
      </c>
      <c r="VW46" s="60">
        <f t="shared" si="425"/>
        <v>0</v>
      </c>
      <c r="VX46" s="76">
        <f t="shared" si="426"/>
        <v>0</v>
      </c>
      <c r="VY46" s="46">
        <f t="shared" si="427"/>
        <v>11</v>
      </c>
      <c r="VZ46" s="46">
        <f t="shared" si="609"/>
        <v>2.4889999999999994</v>
      </c>
      <c r="WA46" s="46">
        <f t="shared" si="428"/>
        <v>1</v>
      </c>
      <c r="WB46" s="46">
        <f t="shared" si="429"/>
        <v>2</v>
      </c>
      <c r="WC46" s="46" cm="1">
        <f t="array" ref="WC46">ROUND(IFERROR(INDEX(ArchiveResults!$F$5:$IX$116,ComparisonData!A46,ComparisonData!$WC$1),0),5)</f>
        <v>0</v>
      </c>
      <c r="WD46" s="56">
        <v>41</v>
      </c>
      <c r="WE46" s="53" t="str">
        <f t="shared" si="610"/>
        <v>Historic Environment Scotland</v>
      </c>
      <c r="WF46" s="46">
        <f t="shared" si="430"/>
        <v>0</v>
      </c>
      <c r="WG46" s="76">
        <f t="shared" si="431"/>
        <v>0</v>
      </c>
      <c r="WH46" s="46">
        <f t="shared" si="432"/>
        <v>11</v>
      </c>
      <c r="WI46" s="46">
        <f t="shared" si="611"/>
        <v>2.4889999999999994</v>
      </c>
      <c r="WJ46" s="46">
        <f t="shared" si="433"/>
        <v>1</v>
      </c>
      <c r="WK46" s="46">
        <f t="shared" si="434"/>
        <v>2</v>
      </c>
      <c r="WL46" s="46" cm="1">
        <f t="array" ref="WL46">ROUND(IFERROR(INDEX(ArchiveResults!$F$5:$IX$116,ComparisonData!A46,ComparisonData!$WL$1),0),5)</f>
        <v>0</v>
      </c>
      <c r="WM46" s="46" cm="1">
        <f t="array" ref="WM46">IFERROR(INDEX(ArchiveResults!$F$5:$IX$116,ComparisonData!A46,ComparisonData!$WM$1),0)</f>
        <v>0</v>
      </c>
      <c r="WN46" s="56">
        <v>41</v>
      </c>
      <c r="WO46" s="53" t="str">
        <f t="shared" si="612"/>
        <v>Historic Environment Scotland</v>
      </c>
      <c r="WP46" s="60">
        <f t="shared" si="435"/>
        <v>0</v>
      </c>
      <c r="WQ46" s="60">
        <f t="shared" si="436"/>
        <v>0</v>
      </c>
      <c r="WR46" s="76">
        <f t="shared" si="437"/>
        <v>0</v>
      </c>
      <c r="WS46" s="46">
        <f t="shared" si="438"/>
        <v>11</v>
      </c>
      <c r="WT46" s="46">
        <f t="shared" si="613"/>
        <v>2.4889999999999994</v>
      </c>
      <c r="WU46" s="46">
        <f t="shared" si="439"/>
        <v>1</v>
      </c>
      <c r="WV46" s="46">
        <f t="shared" si="440"/>
        <v>2</v>
      </c>
      <c r="WW46" s="46" cm="1">
        <f t="array" ref="WW46">ROUND(VALUE(IFERROR(INDEX(ArchiveResults!$F$5:$IX$116,ComparisonData!A46,ComparisonData!$WW$1),0)),5)</f>
        <v>0</v>
      </c>
      <c r="WX46" s="46" cm="1">
        <f t="array" ref="WX46">ROUND(IFERROR(INDEX(ArchiveResults!$F$5:$IX$116,ComparisonData!A46,ComparisonData!$WX$1),0),5)</f>
        <v>0</v>
      </c>
      <c r="WY46" s="56">
        <v>41</v>
      </c>
      <c r="WZ46" s="53" t="str">
        <f t="shared" si="614"/>
        <v>Historic Environment Scotland</v>
      </c>
      <c r="XA46" s="60">
        <f t="shared" si="615"/>
        <v>0</v>
      </c>
      <c r="XB46" s="60">
        <f t="shared" si="616"/>
        <v>0</v>
      </c>
      <c r="XC46" s="76">
        <f t="shared" si="441"/>
        <v>0</v>
      </c>
      <c r="XD46" s="46">
        <f t="shared" si="442"/>
        <v>11</v>
      </c>
      <c r="XE46" s="46">
        <f t="shared" si="617"/>
        <v>2.4889999999999994</v>
      </c>
      <c r="XF46" s="46">
        <f t="shared" si="443"/>
        <v>1</v>
      </c>
      <c r="XG46" s="46">
        <f t="shared" si="444"/>
        <v>2</v>
      </c>
      <c r="XH46" s="46" cm="1">
        <f t="array" ref="XH46">ROUND(VALUE(IFERROR(INDEX(ArchiveResults!$F$5:$IX$116,ComparisonData!A46,ComparisonData!$XH$1),0)),5)</f>
        <v>0</v>
      </c>
      <c r="XI46" s="46" cm="1">
        <f t="array" ref="XI46">ROUND(VALUE(IFERROR(INDEX(ArchiveResults!$F$5:$IX$116,ComparisonData!A46,ComparisonData!$XI$1),0)),5)</f>
        <v>0</v>
      </c>
      <c r="XJ46" s="56">
        <v>41</v>
      </c>
      <c r="XK46" s="53" t="str">
        <f t="shared" si="618"/>
        <v>Historic Environment Scotland</v>
      </c>
      <c r="XL46" s="60">
        <f t="shared" si="445"/>
        <v>0</v>
      </c>
      <c r="XM46" s="60">
        <f t="shared" si="446"/>
        <v>0</v>
      </c>
      <c r="XN46" s="76">
        <f t="shared" si="447"/>
        <v>0</v>
      </c>
      <c r="XO46" s="46">
        <f t="shared" si="448"/>
        <v>11</v>
      </c>
      <c r="XP46" s="46">
        <f t="shared" si="619"/>
        <v>2.4889999999999994</v>
      </c>
      <c r="XQ46" s="46">
        <f t="shared" si="449"/>
        <v>1</v>
      </c>
      <c r="XR46" s="46">
        <f t="shared" si="450"/>
        <v>2</v>
      </c>
      <c r="XS46" s="46" cm="1">
        <f t="array" ref="XS46">ROUND(VALUE(IFERROR(INDEX(ArchiveResults!$F$5:$IX$116,ComparisonData!A46,ComparisonData!$XS$1),0)),5)</f>
        <v>0</v>
      </c>
      <c r="XT46" s="46" cm="1">
        <f t="array" ref="XT46">ROUND(VALUE(IFERROR(INDEX(ArchiveResults!$F$5:$IX$116,ComparisonData!A46,ComparisonData!$XT$1),0)),5)</f>
        <v>0</v>
      </c>
      <c r="XU46" s="56">
        <v>41</v>
      </c>
      <c r="XV46" s="53" t="str">
        <f t="shared" si="620"/>
        <v>Historic Environment Scotland</v>
      </c>
      <c r="XW46" s="60">
        <f t="shared" si="451"/>
        <v>0</v>
      </c>
      <c r="XX46" s="60">
        <f t="shared" si="452"/>
        <v>0</v>
      </c>
      <c r="XY46" s="76">
        <f t="shared" si="453"/>
        <v>0</v>
      </c>
      <c r="XZ46" s="46">
        <f t="shared" si="454"/>
        <v>11</v>
      </c>
      <c r="YA46" s="46">
        <f t="shared" si="621"/>
        <v>2.4889999999999994</v>
      </c>
      <c r="YB46" s="46">
        <f t="shared" si="455"/>
        <v>1</v>
      </c>
      <c r="YC46" s="46">
        <f t="shared" si="456"/>
        <v>2</v>
      </c>
      <c r="YD46" s="46" cm="1">
        <f t="array" ref="YD46">ROUND(VALUE(IFERROR(INDEX(ArchiveResults!$F$5:$IX$116,ComparisonData!A46,ComparisonData!$YD$1),0)),5)</f>
        <v>0</v>
      </c>
      <c r="YE46" s="46" cm="1">
        <f t="array" ref="YE46">ROUND(VALUE(IFERROR(INDEX(ArchiveResults!$F$5:$IX$116,ComparisonData!A46,ComparisonData!$YE$1),0)),5)</f>
        <v>0</v>
      </c>
      <c r="YF46" s="56">
        <v>41</v>
      </c>
      <c r="YG46" s="53" t="str">
        <f t="shared" si="622"/>
        <v>Historic Environment Scotland</v>
      </c>
      <c r="YH46" s="60">
        <f t="shared" si="457"/>
        <v>0</v>
      </c>
      <c r="YI46" s="60">
        <f t="shared" si="458"/>
        <v>0</v>
      </c>
      <c r="YJ46" s="76">
        <f t="shared" si="459"/>
        <v>0</v>
      </c>
      <c r="YK46" s="46">
        <f t="shared" si="460"/>
        <v>11</v>
      </c>
      <c r="YL46" s="46">
        <f t="shared" si="623"/>
        <v>2.4889999999999994</v>
      </c>
      <c r="YM46" s="46">
        <f t="shared" si="461"/>
        <v>1</v>
      </c>
      <c r="YN46" s="46">
        <f t="shared" si="462"/>
        <v>2</v>
      </c>
      <c r="YO46" s="46" cm="1">
        <f t="array" ref="YO46">ROUND(VALUE(IFERROR(INDEX(ArchiveResults!$F$5:$IX$116,ComparisonData!A46,ComparisonData!$YO$1),0)),5)</f>
        <v>0</v>
      </c>
      <c r="YP46" s="46" cm="1">
        <f t="array" ref="YP46">ROUND(VALUE(IFERROR(INDEX(ArchiveResults!$F$5:$IX$116,ComparisonData!A46,ComparisonData!$YP$1),0)),5)</f>
        <v>0</v>
      </c>
      <c r="YQ46" s="56">
        <v>41</v>
      </c>
      <c r="YR46" s="53" t="str">
        <f t="shared" si="624"/>
        <v>Historic Environment Scotland</v>
      </c>
      <c r="YS46" s="60">
        <f t="shared" si="463"/>
        <v>0</v>
      </c>
      <c r="YT46" s="60">
        <f t="shared" si="464"/>
        <v>0</v>
      </c>
      <c r="YU46" s="76">
        <f t="shared" si="465"/>
        <v>0</v>
      </c>
      <c r="YV46" s="46">
        <f t="shared" si="466"/>
        <v>11</v>
      </c>
      <c r="YW46" s="46">
        <f t="shared" si="625"/>
        <v>2.4889999999999994</v>
      </c>
      <c r="YX46" s="46">
        <f t="shared" si="467"/>
        <v>1</v>
      </c>
      <c r="YY46" s="46">
        <f t="shared" si="468"/>
        <v>2</v>
      </c>
      <c r="YZ46" s="46">
        <f t="shared" si="469"/>
        <v>0</v>
      </c>
      <c r="ZA46" s="46" cm="1">
        <f t="array" ref="ZA46">ROUNDDOWN(VALUE(IFERROR(INDEX(ArchiveResults!$F$5:$IX$116,ComparisonData!A46,ComparisonData!$ZA$1),0)),5)</f>
        <v>0</v>
      </c>
      <c r="ZB46" s="46" cm="1">
        <f t="array" ref="ZB46">ROUNDDOWN(VALUE(IFERROR(INDEX(ArchiveResults!$F$5:$IX$116,ComparisonData!A46,ComparisonData!$ZB$1),0)),5)</f>
        <v>0</v>
      </c>
      <c r="ZC46" s="46" cm="1">
        <f t="array" ref="ZC46">ROUNDDOWN(VALUE(IFERROR(INDEX(ArchiveResults!$F$5:$IX$116,ComparisonData!A46,ComparisonData!$ZC$1),0)),5)</f>
        <v>0</v>
      </c>
      <c r="ZD46" s="46" cm="1">
        <f t="array" ref="ZD46">ROUNDDOWN(VALUE(IFERROR(INDEX(ArchiveResults!$F$5:$IX$116,ComparisonData!A46,ComparisonData!$ZD$1),0)),5)</f>
        <v>0</v>
      </c>
      <c r="ZE46" s="46" cm="1">
        <f t="array" ref="ZE46">ROUNDDOWN(VALUE(IFERROR(INDEX(ArchiveResults!$F$5:$IX$116,ComparisonData!A46,ComparisonData!$ZE$1),0)),5)</f>
        <v>0</v>
      </c>
      <c r="ZF46" s="56">
        <v>41</v>
      </c>
      <c r="ZG46" s="53" t="str">
        <f t="shared" si="626"/>
        <v>Historic Environment Scotland</v>
      </c>
      <c r="ZH46" s="60">
        <f t="shared" si="470"/>
        <v>0</v>
      </c>
      <c r="ZI46" s="60">
        <f t="shared" si="471"/>
        <v>0</v>
      </c>
      <c r="ZJ46" s="60">
        <f t="shared" si="472"/>
        <v>0</v>
      </c>
      <c r="ZK46" s="60">
        <f t="shared" si="473"/>
        <v>0</v>
      </c>
      <c r="ZL46" s="60">
        <f t="shared" si="474"/>
        <v>0</v>
      </c>
      <c r="ZM46" s="76">
        <f t="shared" si="475"/>
        <v>0</v>
      </c>
      <c r="ZN46" s="46">
        <f t="shared" si="476"/>
        <v>11</v>
      </c>
      <c r="ZO46" s="46">
        <f t="shared" si="627"/>
        <v>2.4889999999999994</v>
      </c>
      <c r="ZP46" s="46">
        <f t="shared" si="477"/>
        <v>1</v>
      </c>
      <c r="ZQ46" s="46">
        <f t="shared" si="478"/>
        <v>2</v>
      </c>
      <c r="ZR46" s="46" cm="1">
        <f t="array" ref="ZR46">ROUND(VALUE(IFERROR(INDEX(ArchiveResults!$F$5:$IX$116,ComparisonData!A46,ComparisonData!$ZR$1),0)),5)</f>
        <v>0</v>
      </c>
      <c r="ZS46" s="56">
        <v>41</v>
      </c>
      <c r="ZT46" s="53" t="str">
        <f t="shared" si="628"/>
        <v>Historic Environment Scotland</v>
      </c>
      <c r="ZU46" s="46">
        <f t="shared" si="479"/>
        <v>0</v>
      </c>
      <c r="ZV46" s="76">
        <f t="shared" si="480"/>
        <v>0</v>
      </c>
      <c r="ZW46" s="81" cm="1">
        <f t="array" ref="ZW46">ROUND((IFERROR(INDEX(ArchiveResults!$F$5:$IX$116,ComparisonData!A46,ComparisonData!$ZW$1),0)),5)</f>
        <v>0</v>
      </c>
      <c r="ZX46" s="81" cm="1">
        <f t="array" ref="ZX46">ROUND((IFERROR(INDEX(ArchiveResults!$F$5:$IX$116,ComparisonData!A46,ComparisonData!$ZX$1),0)),5)</f>
        <v>0</v>
      </c>
      <c r="ZY46" s="81" cm="1">
        <f t="array" ref="ZY46">ROUND((IFERROR(INDEX(ArchiveResults!$F$5:$IX$116,ComparisonData!A46,ComparisonData!$ZY$1),0)),5)</f>
        <v>0</v>
      </c>
      <c r="ZZ46" s="81" cm="1">
        <f t="array" ref="ZZ46">ROUND((IFERROR(INDEX(ArchiveResults!$F$5:$IX$116,ComparisonData!A46,ComparisonData!$ZZ$1),0)),5)</f>
        <v>0</v>
      </c>
      <c r="AAA46" s="81" cm="1">
        <f t="array" ref="AAA46">ROUND((IFERROR(INDEX(ArchiveResults!$F$5:$IX$116,ComparisonData!A46,ComparisonData!$AAA$1),0)),5)</f>
        <v>0</v>
      </c>
      <c r="AAB46" s="81" cm="1">
        <f t="array" ref="AAB46">ROUND((IFERROR(INDEX(ArchiveResults!$F$5:$IX$116,ComparisonData!A46,ComparisonData!$AAB$1),0)),5)</f>
        <v>0</v>
      </c>
      <c r="AAC46" s="81" cm="1">
        <f t="array" ref="AAC46">ROUND((IFERROR(INDEX(ArchiveResults!$F$5:$IX$116,ComparisonData!A46,ComparisonData!$AAC$1),0)),5)</f>
        <v>0</v>
      </c>
      <c r="AAD46" s="81" cm="1">
        <f t="array" ref="AAD46">ROUND((IFERROR(INDEX(ArchiveResults!$F$5:$IX$116,ComparisonData!A46,ComparisonData!$AAD$1),0)),5)</f>
        <v>0</v>
      </c>
      <c r="AAE46" s="81" cm="1">
        <f t="array" ref="AAE46">ROUND((IFERROR(INDEX(ArchiveResults!$F$5:$IX$116,ComparisonData!A46,ComparisonData!$AAE$1),0)),5)</f>
        <v>0</v>
      </c>
      <c r="AAF46" s="81" cm="1">
        <f t="array" ref="AAF46">ROUND((IFERROR(INDEX(ArchiveResults!$F$5:$IX$116,ComparisonData!A46,ComparisonData!$AAF$1),0)),5)</f>
        <v>0</v>
      </c>
      <c r="AAG46" s="46">
        <f t="shared" si="481"/>
        <v>11</v>
      </c>
      <c r="AAH46" s="46">
        <f t="shared" si="629"/>
        <v>2.4889999999999994</v>
      </c>
      <c r="AAI46" s="46">
        <f t="shared" si="482"/>
        <v>1</v>
      </c>
      <c r="AAJ46" s="46">
        <f t="shared" si="483"/>
        <v>2</v>
      </c>
      <c r="AAK46" s="46">
        <f t="shared" si="484"/>
        <v>0</v>
      </c>
      <c r="AAL46" s="46">
        <f t="shared" si="485"/>
        <v>0</v>
      </c>
      <c r="AAM46" s="46">
        <f t="shared" si="486"/>
        <v>0</v>
      </c>
      <c r="AAN46" s="46">
        <f t="shared" si="487"/>
        <v>0</v>
      </c>
      <c r="AAO46" s="46">
        <f t="shared" si="488"/>
        <v>0</v>
      </c>
      <c r="AAP46" s="46">
        <f t="shared" si="489"/>
        <v>0</v>
      </c>
      <c r="AAQ46" s="56">
        <v>41</v>
      </c>
      <c r="AAR46" s="53" t="str">
        <f t="shared" si="630"/>
        <v>Historic Environment Scotland</v>
      </c>
      <c r="AAS46" s="60">
        <f t="shared" si="490"/>
        <v>0</v>
      </c>
      <c r="AAT46" s="60">
        <f t="shared" si="491"/>
        <v>0</v>
      </c>
      <c r="AAU46" s="60">
        <f t="shared" si="492"/>
        <v>0</v>
      </c>
      <c r="AAV46" s="60">
        <f t="shared" si="493"/>
        <v>0</v>
      </c>
      <c r="AAW46" s="60">
        <f t="shared" si="494"/>
        <v>0</v>
      </c>
      <c r="AAX46" s="76">
        <f t="shared" si="495"/>
        <v>0</v>
      </c>
      <c r="AAY46" s="46">
        <f t="shared" si="496"/>
        <v>11</v>
      </c>
      <c r="AAZ46" s="46">
        <f t="shared" si="631"/>
        <v>2.4889999999999994</v>
      </c>
      <c r="ABA46" s="46">
        <f t="shared" si="497"/>
        <v>1</v>
      </c>
      <c r="ABB46" s="46">
        <f t="shared" si="498"/>
        <v>2</v>
      </c>
      <c r="ABC46" s="46">
        <f t="shared" si="102"/>
        <v>0</v>
      </c>
      <c r="ABD46" s="46" cm="1">
        <f t="array" ref="ABD46">ROUND(VALUE(IFERROR(INDEX(ArchiveResults!$F$5:$IX$116,ComparisonData!A46,ComparisonData!$ABD$1),0)),5)</f>
        <v>0</v>
      </c>
      <c r="ABE46" s="46" cm="1">
        <f t="array" ref="ABE46">ROUND(VALUE(IFERROR(INDEX(ArchiveResults!$F$5:$IX$116,ComparisonData!A46,ComparisonData!$ABE$1),0)),5)</f>
        <v>0</v>
      </c>
      <c r="ABF46" s="46" cm="1">
        <f t="array" ref="ABF46">ROUND(VALUE(IFERROR(INDEX(ArchiveResults!$F$5:$IX$116,ComparisonData!A46,ComparisonData!$ABF$1),0)),5)</f>
        <v>0</v>
      </c>
      <c r="ABG46" s="46" cm="1">
        <f t="array" ref="ABG46">ROUND(VALUE(IFERROR(INDEX(ArchiveResults!$F$5:$IX$116,ComparisonData!A46,ComparisonData!$ABG$1),0)),5)</f>
        <v>0</v>
      </c>
      <c r="ABH46" s="46" cm="1">
        <f t="array" ref="ABH46">ROUND(VALUE(IFERROR(INDEX(ArchiveResults!$F$5:$IX$116,ComparisonData!A46,ComparisonData!$ABH$1),0)),5)</f>
        <v>0</v>
      </c>
      <c r="ABI46" s="56">
        <v>41</v>
      </c>
      <c r="ABJ46" s="53" t="str">
        <f t="shared" si="632"/>
        <v>Historic Environment Scotland</v>
      </c>
      <c r="ABK46" s="60">
        <f t="shared" si="499"/>
        <v>0</v>
      </c>
      <c r="ABL46" s="60">
        <f t="shared" si="500"/>
        <v>0</v>
      </c>
      <c r="ABM46" s="60">
        <f t="shared" si="501"/>
        <v>0</v>
      </c>
      <c r="ABN46" s="60">
        <f t="shared" si="502"/>
        <v>0</v>
      </c>
      <c r="ABO46" s="60">
        <f t="shared" si="503"/>
        <v>0</v>
      </c>
      <c r="ABP46" s="76">
        <f t="shared" si="504"/>
        <v>0</v>
      </c>
      <c r="ABQ46" s="46">
        <f t="shared" si="505"/>
        <v>11</v>
      </c>
      <c r="ABR46" s="46">
        <f t="shared" si="633"/>
        <v>2.4889999999999994</v>
      </c>
      <c r="ABS46" s="46">
        <f t="shared" si="506"/>
        <v>1</v>
      </c>
      <c r="ABT46" s="46">
        <f t="shared" si="507"/>
        <v>2</v>
      </c>
      <c r="ABU46" s="46" cm="1">
        <f t="array" ref="ABU46">ROUND(VALUE(IFERROR(INDEX(ArchiveResults!$F$5:$IX$116,ComparisonData!A46,ComparisonData!$ABU$1),0)),5)</f>
        <v>0</v>
      </c>
      <c r="ABV46" s="46" cm="1">
        <f t="array" ref="ABV46">ROUND(VALUE(IFERROR(INDEX(ArchiveResults!$F$5:$IX$116,ComparisonData!A46,ComparisonData!$ABV$1),0)),5)</f>
        <v>0</v>
      </c>
      <c r="ABW46" s="46" cm="1">
        <f t="array" ref="ABW46">ROUND(VALUE(IFERROR(INDEX(ArchiveResults!$F$5:$IX$116,ComparisonData!A46,ComparisonData!$ABW$1),0)),5)</f>
        <v>0</v>
      </c>
      <c r="ABX46" s="46" cm="1">
        <f t="array" ref="ABX46">ROUND(VALUE(IFERROR(INDEX(ArchiveResults!$F$5:$IX$116,ComparisonData!A46,ComparisonData!$ABX$1),0)),5)</f>
        <v>0</v>
      </c>
      <c r="ABY46" s="46" cm="1">
        <f t="array" ref="ABY46">ROUND(VALUE(IFERROR(INDEX(ArchiveResults!$F$5:$IX$116,ComparisonData!A46,ComparisonData!$ABY$1),0)),5)</f>
        <v>0</v>
      </c>
      <c r="ABZ46" s="56">
        <v>41</v>
      </c>
      <c r="ACA46" s="53" t="str">
        <f t="shared" si="634"/>
        <v>Historic Environment Scotland</v>
      </c>
      <c r="ACB46" s="60">
        <f t="shared" si="508"/>
        <v>0</v>
      </c>
      <c r="ACC46" s="60">
        <f t="shared" si="509"/>
        <v>0</v>
      </c>
      <c r="ACD46" s="60">
        <f t="shared" si="510"/>
        <v>0</v>
      </c>
      <c r="ACE46" s="60">
        <f t="shared" si="511"/>
        <v>0</v>
      </c>
      <c r="ACF46" s="60">
        <f t="shared" si="512"/>
        <v>0</v>
      </c>
      <c r="ACG46" s="76">
        <f t="shared" si="513"/>
        <v>0</v>
      </c>
      <c r="ACH46" s="46">
        <f t="shared" si="514"/>
        <v>11</v>
      </c>
      <c r="ACI46" s="46">
        <f t="shared" si="635"/>
        <v>2.4889999999999994</v>
      </c>
      <c r="ACJ46" s="46">
        <f t="shared" si="515"/>
        <v>1</v>
      </c>
      <c r="ACK46" s="46">
        <f t="shared" si="516"/>
        <v>2</v>
      </c>
      <c r="ACL46" s="46">
        <f t="shared" si="517"/>
        <v>0</v>
      </c>
      <c r="ACM46" s="46" cm="1">
        <f t="array" ref="ACM46">ROUND(IFERROR(INDEX(ArchiveResults!$F$5:$IX$116,ComparisonData!A46,ComparisonData!$ACM$1),0),5)</f>
        <v>0</v>
      </c>
      <c r="ACN46" s="46" cm="1">
        <f t="array" ref="ACN46">ROUND(IFERROR(INDEX(ArchiveResults!$F$5:$IX$116,ComparisonData!A46,ComparisonData!$ACN$1),0),5)</f>
        <v>0</v>
      </c>
      <c r="ACO46" s="56">
        <v>41</v>
      </c>
      <c r="ACP46" s="53" t="str">
        <f t="shared" si="636"/>
        <v>Historic Environment Scotland</v>
      </c>
      <c r="ACQ46" s="60">
        <f t="shared" si="518"/>
        <v>0</v>
      </c>
      <c r="ACR46" s="60">
        <f t="shared" si="519"/>
        <v>0</v>
      </c>
      <c r="ACS46" s="76">
        <f t="shared" si="520"/>
        <v>0</v>
      </c>
      <c r="ACT46" s="46">
        <f t="shared" si="521"/>
        <v>11</v>
      </c>
      <c r="ACU46" s="46">
        <f t="shared" si="637"/>
        <v>2.4889999999999994</v>
      </c>
      <c r="ACV46" s="46">
        <f t="shared" si="522"/>
        <v>1</v>
      </c>
      <c r="ACW46" s="46">
        <f t="shared" si="523"/>
        <v>2</v>
      </c>
      <c r="ACX46" s="46">
        <f t="shared" si="524"/>
        <v>0</v>
      </c>
      <c r="ACY46" s="46" cm="1">
        <f t="array" ref="ACY46">ROUNDDOWN(IFERROR(INDEX(ArchiveResults!$F$5:$IX$116,ComparisonData!A46,ComparisonData!$ACY$1),0),5)</f>
        <v>0</v>
      </c>
      <c r="ACZ46" s="46" cm="1">
        <f t="array" ref="ACZ46">ROUNDDOWN(IFERROR(INDEX(ArchiveResults!$F$5:$IX$116,ComparisonData!A46,ComparisonData!$ACZ$1),0),5)</f>
        <v>0</v>
      </c>
      <c r="ADA46" s="46" cm="1">
        <f t="array" ref="ADA46">ROUNDDOWN(IFERROR(INDEX(ArchiveResults!$F$5:$IX$116,ComparisonData!A46,ComparisonData!$ADA$1),0),5)</f>
        <v>0</v>
      </c>
      <c r="ADB46" s="56">
        <v>41</v>
      </c>
      <c r="ADC46" s="53" t="str">
        <f t="shared" si="638"/>
        <v>Historic Environment Scotland</v>
      </c>
      <c r="ADD46" s="60">
        <f t="shared" si="525"/>
        <v>0</v>
      </c>
      <c r="ADE46" s="60">
        <f t="shared" si="526"/>
        <v>0</v>
      </c>
      <c r="ADF46" s="60">
        <f t="shared" si="527"/>
        <v>0</v>
      </c>
      <c r="ADG46" s="76">
        <f t="shared" si="528"/>
        <v>0</v>
      </c>
    </row>
    <row r="47" spans="1:787" x14ac:dyDescent="0.25">
      <c r="A47" s="46" t="str">
        <f>IF(ISBLANK(ComparisonSelection!F43),"",ROW()-5)</f>
        <v/>
      </c>
      <c r="B47" s="53" t="s">
        <v>496</v>
      </c>
      <c r="C47" s="72">
        <v>0.94899999999999995</v>
      </c>
      <c r="D47" s="55">
        <f t="shared" si="110"/>
        <v>102</v>
      </c>
      <c r="E47" s="54">
        <f t="shared" si="111"/>
        <v>2.9489999999999998</v>
      </c>
      <c r="F47" s="54">
        <f t="shared" si="529"/>
        <v>1</v>
      </c>
      <c r="G47" s="72">
        <f t="shared" si="112"/>
        <v>2</v>
      </c>
      <c r="H47" s="72">
        <f t="shared" si="113"/>
        <v>0</v>
      </c>
      <c r="I47" s="46" cm="1">
        <f t="array" ref="I47">ROUND(IFERROR(INDEX(ArchiveResults!$F$5:$IX$116,ComparisonData!A47,ComparisonData!$I$1),0),5)</f>
        <v>0</v>
      </c>
      <c r="J47" s="46" cm="1">
        <f t="array" ref="J47">ROUND(IFERROR(INDEX(ArchiveResults!$F$5:$IX$116,ComparisonData!A47,ComparisonData!$J$1),0),5)</f>
        <v>0</v>
      </c>
      <c r="K47" s="56">
        <v>42</v>
      </c>
      <c r="L47" s="53" t="str">
        <f t="shared" si="114"/>
        <v>Huntingdonshire Archives</v>
      </c>
      <c r="M47" s="57">
        <f t="shared" si="530"/>
        <v>0</v>
      </c>
      <c r="N47" s="57">
        <f t="shared" si="531"/>
        <v>0</v>
      </c>
      <c r="O47" s="58">
        <f t="shared" si="115"/>
        <v>0</v>
      </c>
      <c r="P47" s="48">
        <f t="shared" si="116"/>
        <v>102</v>
      </c>
      <c r="Q47" s="54">
        <f t="shared" si="532"/>
        <v>2.9489999999999998</v>
      </c>
      <c r="R47" s="45">
        <f t="shared" si="117"/>
        <v>1</v>
      </c>
      <c r="S47" s="46">
        <f t="shared" si="118"/>
        <v>2</v>
      </c>
      <c r="T47" s="72">
        <f t="shared" si="119"/>
        <v>0</v>
      </c>
      <c r="U47" s="46" cm="1">
        <f t="array" ref="U47">ROUND(IFERROR(INDEX(ArchiveResults!$F$5:$IX$116,ComparisonData!A47,ComparisonData!$U$1),0),5)</f>
        <v>0</v>
      </c>
      <c r="V47" s="46" cm="1">
        <f t="array" ref="V47">ROUND(IFERROR(INDEX(ArchiveResults!$F$5:$IX$116,ComparisonData!A47,ComparisonData!$V$1),0),5)</f>
        <v>0</v>
      </c>
      <c r="W47" s="56">
        <v>42</v>
      </c>
      <c r="X47" s="53" t="str">
        <f t="shared" si="533"/>
        <v>Huntingdonshire Archives</v>
      </c>
      <c r="Y47" s="57">
        <f t="shared" si="120"/>
        <v>0</v>
      </c>
      <c r="Z47" s="57">
        <f t="shared" si="121"/>
        <v>0</v>
      </c>
      <c r="AA47" s="58">
        <f t="shared" si="122"/>
        <v>0</v>
      </c>
      <c r="AB47" s="45">
        <f t="shared" si="123"/>
        <v>102</v>
      </c>
      <c r="AC47" s="54">
        <f t="shared" si="534"/>
        <v>2.9489999999999998</v>
      </c>
      <c r="AD47" s="45">
        <f t="shared" si="124"/>
        <v>1</v>
      </c>
      <c r="AE47" s="45">
        <f t="shared" si="125"/>
        <v>2</v>
      </c>
      <c r="AF47" s="45">
        <f t="shared" si="126"/>
        <v>0</v>
      </c>
      <c r="AG47" s="46" cm="1">
        <f t="array" ref="AG47">ROUND(IFERROR(INDEX(ArchiveResults!$F$5:$IX$116,ComparisonData!A47,ComparisonData!$AG$1),0),5)</f>
        <v>0</v>
      </c>
      <c r="AH47" s="46" cm="1">
        <f t="array" ref="AH47">ROUND(IFERROR(INDEX(ArchiveResults!$F$5:$IX$116,ComparisonData!A47,ComparisonData!$AH$1),0),5)</f>
        <v>0</v>
      </c>
      <c r="AI47" s="56">
        <v>42</v>
      </c>
      <c r="AJ47" s="53" t="str">
        <f t="shared" si="535"/>
        <v>Huntingdonshire Archives</v>
      </c>
      <c r="AK47" s="59">
        <f t="shared" si="536"/>
        <v>0</v>
      </c>
      <c r="AL47" s="59">
        <f t="shared" si="537"/>
        <v>0</v>
      </c>
      <c r="AM47" s="58">
        <f t="shared" si="127"/>
        <v>0</v>
      </c>
      <c r="AN47" s="45">
        <f t="shared" si="128"/>
        <v>102</v>
      </c>
      <c r="AO47" s="54">
        <f t="shared" si="538"/>
        <v>2.9489999999999998</v>
      </c>
      <c r="AP47" s="45">
        <f t="shared" si="129"/>
        <v>1</v>
      </c>
      <c r="AQ47" s="45">
        <f t="shared" si="130"/>
        <v>2</v>
      </c>
      <c r="AR47" s="46" cm="1">
        <f t="array" ref="AR47">ROUND(IFERROR(INDEX(ArchiveResults!$F$5:$IX$116,ComparisonData!A47,ComparisonData!$AR$1),0),5)</f>
        <v>0</v>
      </c>
      <c r="AS47" s="46" cm="1">
        <f t="array" ref="AS47">ROUND(IFERROR(INDEX(ArchiveResults!$F$5:$IX$116,ComparisonData!A47,ComparisonData!$AS$1),0),5)</f>
        <v>0</v>
      </c>
      <c r="AT47" s="46" cm="1">
        <f t="array" ref="AT47">ROUND(IFERROR(INDEX(ArchiveResults!$F$5:$IX$116,ComparisonData!A47,ComparisonData!$AT$1),0),5)</f>
        <v>0</v>
      </c>
      <c r="AU47" s="46" cm="1">
        <f t="array" ref="AU47">ROUND(IFERROR(INDEX(ArchiveResults!$F$5:$IX$116,ComparisonData!A47,ComparisonData!$AU$1),0),5)</f>
        <v>0</v>
      </c>
      <c r="AV47" s="46" cm="1">
        <f t="array" ref="AV47">ROUND(IFERROR(INDEX(ArchiveResults!$F$5:$IX$116,ComparisonData!A47,ComparisonData!$AV$1),0),5)</f>
        <v>0</v>
      </c>
      <c r="AW47" s="46" cm="1">
        <f t="array" ref="AW47">ROUND(IFERROR(INDEX(ArchiveResults!$F$5:$IX$116,ComparisonData!A47,ComparisonData!$AW$1),0),5)</f>
        <v>0</v>
      </c>
      <c r="AX47" s="46" cm="1">
        <f t="array" ref="AX47">ROUND(IFERROR(INDEX(ArchiveResults!$F$5:$IX$116,ComparisonData!A47,ComparisonData!$AX$1),0),5)</f>
        <v>0</v>
      </c>
      <c r="AY47" s="46" cm="1">
        <f t="array" ref="AY47">ROUND(IFERROR(INDEX(ArchiveResults!$F$5:$IX$116,ComparisonData!A47,ComparisonData!$AY$1),0),5)</f>
        <v>0</v>
      </c>
      <c r="AZ47" s="46" cm="1">
        <f t="array" ref="AZ47">ROUND(IFERROR(INDEX(ArchiveResults!$F$5:$IX$116,ComparisonData!A47,ComparisonData!$AZ$1),0),5)</f>
        <v>0</v>
      </c>
      <c r="BA47" s="46" cm="1">
        <f t="array" ref="BA47">ROUND(IFERROR(INDEX(ArchiveResults!$F$5:$IX$116,ComparisonData!A47,ComparisonData!$BA$1),0),5)</f>
        <v>0</v>
      </c>
      <c r="BB47" s="56">
        <v>42</v>
      </c>
      <c r="BC47" s="53" t="str">
        <f t="shared" si="539"/>
        <v>Huntingdonshire Archives</v>
      </c>
      <c r="BD47" s="60">
        <f t="shared" si="131"/>
        <v>0</v>
      </c>
      <c r="BE47" s="60">
        <f t="shared" si="132"/>
        <v>0</v>
      </c>
      <c r="BF47" s="60">
        <f t="shared" si="133"/>
        <v>0</v>
      </c>
      <c r="BG47" s="60">
        <f t="shared" si="134"/>
        <v>0</v>
      </c>
      <c r="BH47" s="60">
        <f t="shared" si="135"/>
        <v>0</v>
      </c>
      <c r="BI47" s="60">
        <f t="shared" si="136"/>
        <v>0</v>
      </c>
      <c r="BJ47" s="60">
        <f t="shared" si="137"/>
        <v>0</v>
      </c>
      <c r="BK47" s="60">
        <f t="shared" si="138"/>
        <v>0</v>
      </c>
      <c r="BL47" s="60">
        <f t="shared" si="139"/>
        <v>0</v>
      </c>
      <c r="BM47" s="59">
        <f t="shared" si="140"/>
        <v>0</v>
      </c>
      <c r="BN47" s="58">
        <f t="shared" si="141"/>
        <v>0</v>
      </c>
      <c r="BO47" s="45">
        <f t="shared" si="142"/>
        <v>102</v>
      </c>
      <c r="BP47" s="54">
        <f t="shared" si="540"/>
        <v>2.9489999999999998</v>
      </c>
      <c r="BQ47" s="45">
        <f t="shared" si="143"/>
        <v>1</v>
      </c>
      <c r="BR47" s="45">
        <f t="shared" si="144"/>
        <v>2</v>
      </c>
      <c r="BS47" s="46" cm="1">
        <f t="array" ref="BS47">ROUND(IFERROR(INDEX(ArchiveResults!$F$5:$IX$116,ComparisonData!A47,ComparisonData!$BS$1),0),5)</f>
        <v>0</v>
      </c>
      <c r="BT47" s="46" cm="1">
        <f t="array" ref="BT47">ROUND(IFERROR(INDEX(ArchiveResults!$F$5:$IX$116,ComparisonData!A47,ComparisonData!$BT$1),0),5)</f>
        <v>0</v>
      </c>
      <c r="BU47" s="46" cm="1">
        <f t="array" ref="BU47">ROUND(IFERROR(INDEX(ArchiveResults!$F$5:$IX$116,ComparisonData!A47,ComparisonData!$BU$1),0),5)</f>
        <v>0</v>
      </c>
      <c r="BV47" s="46" cm="1">
        <f t="array" ref="BV47">ROUND(IFERROR(INDEX(ArchiveResults!$F$5:$IX$116,ComparisonData!A47,ComparisonData!$BV$1),0),5)</f>
        <v>0</v>
      </c>
      <c r="BW47" s="46" cm="1">
        <f t="array" ref="BW47">ROUND(IFERROR(INDEX(ArchiveResults!$F$5:$IX$116,ComparisonData!A47,ComparisonData!$BW$1),0),5)</f>
        <v>0</v>
      </c>
      <c r="BX47" s="46" cm="1">
        <f t="array" ref="BX47">ROUND(IFERROR(INDEX(ArchiveResults!$F$5:$IX$116,ComparisonData!A47,ComparisonData!$BX$1),0),5)</f>
        <v>0</v>
      </c>
      <c r="BY47" s="56">
        <v>42</v>
      </c>
      <c r="BZ47" s="53" t="str">
        <f t="shared" si="541"/>
        <v>Huntingdonshire Archives</v>
      </c>
      <c r="CA47" s="59">
        <f t="shared" si="145"/>
        <v>0</v>
      </c>
      <c r="CB47" s="59">
        <f t="shared" si="146"/>
        <v>0</v>
      </c>
      <c r="CC47" s="59">
        <f t="shared" si="147"/>
        <v>0</v>
      </c>
      <c r="CD47" s="59">
        <f t="shared" si="148"/>
        <v>0</v>
      </c>
      <c r="CE47" s="59">
        <f t="shared" si="149"/>
        <v>0</v>
      </c>
      <c r="CF47" s="59">
        <f t="shared" si="150"/>
        <v>0</v>
      </c>
      <c r="CG47" s="58">
        <f t="shared" si="151"/>
        <v>0</v>
      </c>
      <c r="CH47" s="45">
        <f t="shared" si="152"/>
        <v>102</v>
      </c>
      <c r="CI47" s="54">
        <f t="shared" si="542"/>
        <v>2.9489999999999998</v>
      </c>
      <c r="CJ47" s="45">
        <f t="shared" si="153"/>
        <v>1</v>
      </c>
      <c r="CK47" s="45">
        <f t="shared" si="154"/>
        <v>2</v>
      </c>
      <c r="CL47" s="46" cm="1">
        <f t="array" ref="CL47">ROUND(IFERROR(INDEX(ArchiveResults!$F$5:$IX$116,ComparisonData!A47,ComparisonData!$CL$1),0),5)</f>
        <v>0</v>
      </c>
      <c r="CM47" s="56">
        <v>42</v>
      </c>
      <c r="CN47" s="53" t="str">
        <f t="shared" si="543"/>
        <v>Huntingdonshire Archives</v>
      </c>
      <c r="CO47" s="45">
        <f t="shared" si="155"/>
        <v>0</v>
      </c>
      <c r="CP47" s="58">
        <f t="shared" si="156"/>
        <v>0</v>
      </c>
      <c r="CQ47" s="45">
        <f t="shared" si="157"/>
        <v>102</v>
      </c>
      <c r="CR47" s="54">
        <f t="shared" si="544"/>
        <v>2.9489999999999998</v>
      </c>
      <c r="CS47" s="45">
        <f t="shared" si="158"/>
        <v>1</v>
      </c>
      <c r="CT47" s="45">
        <f t="shared" si="159"/>
        <v>2</v>
      </c>
      <c r="CU47" s="46" cm="1">
        <f t="array" ref="CU47">ROUND(IFERROR(INDEX(ArchiveResults!$F$5:$IX$116,ComparisonData!A47,ComparisonData!$CU$1),0),5)</f>
        <v>0</v>
      </c>
      <c r="CV47" s="56">
        <v>42</v>
      </c>
      <c r="CW47" s="53" t="str">
        <f t="shared" si="545"/>
        <v>Huntingdonshire Archives</v>
      </c>
      <c r="CX47" s="45">
        <f t="shared" si="160"/>
        <v>0</v>
      </c>
      <c r="CY47" s="58">
        <f t="shared" si="161"/>
        <v>0</v>
      </c>
      <c r="CZ47" s="45">
        <f t="shared" si="162"/>
        <v>102</v>
      </c>
      <c r="DA47" s="54">
        <f t="shared" si="546"/>
        <v>2.9489999999999998</v>
      </c>
      <c r="DB47" s="45">
        <f t="shared" si="163"/>
        <v>1</v>
      </c>
      <c r="DC47" s="45">
        <f t="shared" si="164"/>
        <v>2</v>
      </c>
      <c r="DD47" s="46" cm="1">
        <f t="array" ref="DD47">ROUND(IFERROR(INDEX(ArchiveResults!$F$5:$IX$116,ComparisonData!A47,ComparisonData!$DD$1),0),5)</f>
        <v>0</v>
      </c>
      <c r="DE47" s="56">
        <v>42</v>
      </c>
      <c r="DF47" s="53" t="str">
        <f t="shared" si="547"/>
        <v>Huntingdonshire Archives</v>
      </c>
      <c r="DG47" s="45">
        <f t="shared" si="165"/>
        <v>0</v>
      </c>
      <c r="DH47" s="58">
        <f t="shared" si="166"/>
        <v>0</v>
      </c>
      <c r="DI47" s="45">
        <f t="shared" si="167"/>
        <v>102</v>
      </c>
      <c r="DJ47" s="54">
        <f t="shared" si="548"/>
        <v>2.9489999999999998</v>
      </c>
      <c r="DK47" s="45">
        <f t="shared" si="168"/>
        <v>1</v>
      </c>
      <c r="DL47" s="45">
        <f t="shared" si="169"/>
        <v>2</v>
      </c>
      <c r="DM47" s="46" cm="1">
        <f t="array" ref="DM47">ROUND(IFERROR(INDEX(ArchiveResults!$F$5:$IX$116,ComparisonData!A47,ComparisonData!$DM$1),0),5)</f>
        <v>0</v>
      </c>
      <c r="DN47" s="46" cm="1">
        <f t="array" ref="DN47">ROUND(IFERROR(INDEX(ArchiveResults!$F$5:$IX$116,ComparisonData!A47,ComparisonData!$DN$1),0),5)</f>
        <v>0</v>
      </c>
      <c r="DO47" s="46" cm="1">
        <f t="array" ref="DO47">ROUND(IFERROR(INDEX(ArchiveResults!$F$5:$IX$116,ComparisonData!A47,ComparisonData!$DO$1),0),5)</f>
        <v>0</v>
      </c>
      <c r="DP47" s="46" cm="1">
        <f t="array" ref="DP47">ROUND(IFERROR(INDEX(ArchiveResults!$F$5:$IX$116,ComparisonData!A47,ComparisonData!$DP$1),0),5)</f>
        <v>0</v>
      </c>
      <c r="DQ47" s="45" cm="1">
        <f t="array" ref="DQ47">IFERROR(INDEX(ArchiveResults!$F$5:$IX$116,ComparisonData!A47,ComparisonData!$DQ$1),0)</f>
        <v>0</v>
      </c>
      <c r="DR47" s="56">
        <v>42</v>
      </c>
      <c r="DS47" s="53" t="str">
        <f t="shared" si="549"/>
        <v>Huntingdonshire Archives</v>
      </c>
      <c r="DT47" s="59">
        <f t="shared" si="170"/>
        <v>0</v>
      </c>
      <c r="DU47" s="59">
        <f t="shared" si="171"/>
        <v>0</v>
      </c>
      <c r="DV47" s="59">
        <f t="shared" si="172"/>
        <v>0</v>
      </c>
      <c r="DW47" s="59">
        <f t="shared" si="173"/>
        <v>0</v>
      </c>
      <c r="DX47" s="59">
        <f t="shared" si="174"/>
        <v>0</v>
      </c>
      <c r="DY47" s="58">
        <f t="shared" si="175"/>
        <v>0</v>
      </c>
      <c r="DZ47" s="45">
        <f t="shared" si="176"/>
        <v>102</v>
      </c>
      <c r="EA47" s="54">
        <f t="shared" si="550"/>
        <v>2.9489999999999998</v>
      </c>
      <c r="EB47" s="45">
        <f t="shared" si="177"/>
        <v>1</v>
      </c>
      <c r="EC47" s="45">
        <f t="shared" si="178"/>
        <v>2</v>
      </c>
      <c r="ED47" s="46" cm="1">
        <f t="array" ref="ED47">ROUND(IFERROR(INDEX(ArchiveResults!$F$5:$IX$116,ComparisonData!A47,ComparisonData!$ED$1),0),5)</f>
        <v>0</v>
      </c>
      <c r="EE47" s="46" cm="1">
        <f t="array" ref="EE47">ROUND(IFERROR(INDEX(ArchiveResults!$F$5:$IX$116,ComparisonData!A47,ComparisonData!$EE$1),0),5)</f>
        <v>0</v>
      </c>
      <c r="EF47" s="46" cm="1">
        <f t="array" ref="EF47">ROUND(IFERROR(INDEX(ArchiveResults!$F$5:$IX$116,ComparisonData!A47,ComparisonData!$EF$1),0),5)</f>
        <v>0</v>
      </c>
      <c r="EG47" s="46" cm="1">
        <f t="array" ref="EG47">ROUND(IFERROR(INDEX(ArchiveResults!$F$5:$IX$116,ComparisonData!A47,ComparisonData!$EG$1),0),5)</f>
        <v>0</v>
      </c>
      <c r="EH47" s="45" cm="1">
        <f t="array" ref="EH47">IFERROR(INDEX(ArchiveResults!$F$5:$IX$116,ComparisonData!A47,ComparisonData!$EH$1),0)</f>
        <v>0</v>
      </c>
      <c r="EI47" s="56">
        <v>42</v>
      </c>
      <c r="EJ47" s="53" t="str">
        <f t="shared" si="551"/>
        <v>Huntingdonshire Archives</v>
      </c>
      <c r="EK47" s="59">
        <f t="shared" si="179"/>
        <v>0</v>
      </c>
      <c r="EL47" s="59">
        <f t="shared" si="180"/>
        <v>0</v>
      </c>
      <c r="EM47" s="59">
        <f t="shared" si="181"/>
        <v>0</v>
      </c>
      <c r="EN47" s="59">
        <f t="shared" si="182"/>
        <v>0</v>
      </c>
      <c r="EO47" s="59">
        <f t="shared" si="183"/>
        <v>0</v>
      </c>
      <c r="EP47" s="58">
        <f t="shared" si="184"/>
        <v>0</v>
      </c>
      <c r="EQ47" s="45">
        <f t="shared" si="185"/>
        <v>102</v>
      </c>
      <c r="ER47" s="54">
        <f t="shared" si="552"/>
        <v>2.9489999999999998</v>
      </c>
      <c r="ES47" s="45">
        <f t="shared" si="186"/>
        <v>1</v>
      </c>
      <c r="ET47" s="45">
        <f t="shared" si="187"/>
        <v>2</v>
      </c>
      <c r="EU47" s="46" cm="1">
        <f t="array" ref="EU47">ROUND(IFERROR(INDEX(ArchiveResults!$F$5:$IX$116,ComparisonData!A47,ComparisonData!$EU$1),0),5)</f>
        <v>0</v>
      </c>
      <c r="EV47" s="46" cm="1">
        <f t="array" ref="EV47">ROUND(IFERROR(INDEX(ArchiveResults!$F$5:$IX$116,ComparisonData!A47,ComparisonData!$EV$1),0),5)</f>
        <v>0</v>
      </c>
      <c r="EW47" s="46" cm="1">
        <f t="array" ref="EW47">ROUND(IFERROR(INDEX(ArchiveResults!$F$5:$IX$116,ComparisonData!A47,ComparisonData!$EW$1),0),5)</f>
        <v>0</v>
      </c>
      <c r="EX47" s="46" cm="1">
        <f t="array" ref="EX47">ROUND(IFERROR(INDEX(ArchiveResults!$F$5:$IX$116,ComparisonData!A47,ComparisonData!$EX$1),0),5)</f>
        <v>0</v>
      </c>
      <c r="EY47" s="45" cm="1">
        <f t="array" ref="EY47">IFERROR(INDEX(ArchiveResults!$F$5:$IX$116,ComparisonData!A47,ComparisonData!$EY$1),0)</f>
        <v>0</v>
      </c>
      <c r="EZ47" s="56">
        <v>42</v>
      </c>
      <c r="FA47" s="53" t="str">
        <f t="shared" si="553"/>
        <v>Huntingdonshire Archives</v>
      </c>
      <c r="FB47" s="59">
        <f t="shared" si="188"/>
        <v>0</v>
      </c>
      <c r="FC47" s="59">
        <f t="shared" si="189"/>
        <v>0</v>
      </c>
      <c r="FD47" s="59">
        <f t="shared" si="190"/>
        <v>0</v>
      </c>
      <c r="FE47" s="59">
        <f t="shared" si="191"/>
        <v>0</v>
      </c>
      <c r="FF47" s="59">
        <f t="shared" si="192"/>
        <v>0</v>
      </c>
      <c r="FG47" s="58">
        <f t="shared" si="193"/>
        <v>0</v>
      </c>
      <c r="FH47" s="45">
        <f t="shared" si="194"/>
        <v>102</v>
      </c>
      <c r="FI47" s="54">
        <f t="shared" si="554"/>
        <v>2.9489999999999998</v>
      </c>
      <c r="FJ47" s="45">
        <f t="shared" si="195"/>
        <v>1</v>
      </c>
      <c r="FK47" s="45">
        <f t="shared" si="196"/>
        <v>2</v>
      </c>
      <c r="FL47" s="46" cm="1">
        <f t="array" ref="FL47">ROUND(IFERROR(INDEX(ArchiveResults!$F$5:$IX$116,ComparisonData!A47,ComparisonData!$FL$1),0),5)</f>
        <v>0</v>
      </c>
      <c r="FM47" s="46" cm="1">
        <f t="array" ref="FM47">ROUND(IFERROR(INDEX(ArchiveResults!$F$5:$IX$116,ComparisonData!A47,ComparisonData!$FM$1),0),5)</f>
        <v>0</v>
      </c>
      <c r="FN47" s="46" cm="1">
        <f t="array" ref="FN47">ROUND(IFERROR(INDEX(ArchiveResults!$F$5:$IX$116,ComparisonData!A47,ComparisonData!$FN$1),0),5)</f>
        <v>0</v>
      </c>
      <c r="FO47" s="46" cm="1">
        <f t="array" ref="FO47">ROUND(IFERROR(INDEX(ArchiveResults!$F$5:$IX$116,ComparisonData!A47,ComparisonData!$FO$1),0),5)</f>
        <v>0</v>
      </c>
      <c r="FP47" s="45" cm="1">
        <f t="array" ref="FP47">IFERROR(INDEX(ArchiveResults!$F$5:$IX$116,ComparisonData!A47,ComparisonData!$FP$1),0)</f>
        <v>0</v>
      </c>
      <c r="FQ47" s="56">
        <v>42</v>
      </c>
      <c r="FR47" s="53" t="str">
        <f t="shared" si="555"/>
        <v>Huntingdonshire Archives</v>
      </c>
      <c r="FS47" s="59">
        <f t="shared" si="197"/>
        <v>0</v>
      </c>
      <c r="FT47" s="59">
        <f t="shared" si="198"/>
        <v>0</v>
      </c>
      <c r="FU47" s="59">
        <f t="shared" si="199"/>
        <v>0</v>
      </c>
      <c r="FV47" s="59">
        <f t="shared" si="200"/>
        <v>0</v>
      </c>
      <c r="FW47" s="59">
        <f t="shared" si="201"/>
        <v>0</v>
      </c>
      <c r="FX47" s="58">
        <f t="shared" si="202"/>
        <v>0</v>
      </c>
      <c r="FY47" s="45">
        <f t="shared" si="203"/>
        <v>102</v>
      </c>
      <c r="FZ47" s="45">
        <f t="shared" si="556"/>
        <v>2.9489999999999998</v>
      </c>
      <c r="GA47" s="45">
        <f t="shared" si="204"/>
        <v>1</v>
      </c>
      <c r="GB47" s="45">
        <f t="shared" si="205"/>
        <v>2</v>
      </c>
      <c r="GC47" s="46" cm="1">
        <f t="array" ref="GC47">ROUND(IFERROR(INDEX(ArchiveResults!$F$5:$IX$116,ComparisonData!A47,ComparisonData!$GC$1),0),5)</f>
        <v>0</v>
      </c>
      <c r="GD47" s="46" cm="1">
        <f t="array" ref="GD47">ROUND(IFERROR(INDEX(ArchiveResults!$F$5:$IX$116,ComparisonData!A47,ComparisonData!$GD$1),0),5)</f>
        <v>0</v>
      </c>
      <c r="GE47" s="46" cm="1">
        <f t="array" ref="GE47">ROUND(IFERROR(INDEX(ArchiveResults!$F$5:$IX$116,ComparisonData!A47,ComparisonData!$GE$1),0),5)</f>
        <v>0</v>
      </c>
      <c r="GF47" s="46" cm="1">
        <f t="array" ref="GF47">ROUND(IFERROR(INDEX(ArchiveResults!$F$5:$IX$116,ComparisonData!A47,ComparisonData!$GF$1),0),5)</f>
        <v>0</v>
      </c>
      <c r="GG47" s="45" cm="1">
        <f t="array" ref="GG47">IFERROR(INDEX(ArchiveResults!$F$5:$IX$116,ComparisonData!A47,ComparisonData!$GG$1),0)</f>
        <v>0</v>
      </c>
      <c r="GH47" s="56">
        <v>42</v>
      </c>
      <c r="GI47" s="53" t="str">
        <f t="shared" si="557"/>
        <v>Huntingdonshire Archives</v>
      </c>
      <c r="GJ47" s="59">
        <f t="shared" si="206"/>
        <v>0</v>
      </c>
      <c r="GK47" s="59">
        <f t="shared" si="207"/>
        <v>0</v>
      </c>
      <c r="GL47" s="59">
        <f t="shared" si="208"/>
        <v>0</v>
      </c>
      <c r="GM47" s="59">
        <f t="shared" si="209"/>
        <v>0</v>
      </c>
      <c r="GN47" s="59">
        <f t="shared" si="210"/>
        <v>0</v>
      </c>
      <c r="GO47" s="58">
        <f t="shared" si="211"/>
        <v>0</v>
      </c>
      <c r="GP47" s="45">
        <f t="shared" si="212"/>
        <v>102</v>
      </c>
      <c r="GQ47" s="45">
        <f t="shared" si="558"/>
        <v>2.9489999999999998</v>
      </c>
      <c r="GR47" s="45">
        <f t="shared" si="213"/>
        <v>1</v>
      </c>
      <c r="GS47" s="45">
        <f t="shared" si="214"/>
        <v>2</v>
      </c>
      <c r="GT47" s="46" cm="1">
        <f t="array" ref="GT47">ROUND(IFERROR(INDEX(ArchiveResults!$F$5:$IX$116,ComparisonData!A47,ComparisonData!$GT$1),0),5)</f>
        <v>0</v>
      </c>
      <c r="GU47" s="46" cm="1">
        <f t="array" ref="GU47">ROUND(IFERROR(INDEX(ArchiveResults!$F$5:$IX$116,ComparisonData!A47,ComparisonData!$GU$1),0),5)</f>
        <v>0</v>
      </c>
      <c r="GV47" s="46" cm="1">
        <f t="array" ref="GV47">ROUND(IFERROR(INDEX(ArchiveResults!$F$5:$IX$116,ComparisonData!A47,ComparisonData!$GV$1),0),5)</f>
        <v>0</v>
      </c>
      <c r="GW47" s="46" cm="1">
        <f t="array" ref="GW47">ROUND(IFERROR(INDEX(ArchiveResults!$F$5:$IX$116,ComparisonData!A47,ComparisonData!$GW$1),0),5)</f>
        <v>0</v>
      </c>
      <c r="GX47" s="45" cm="1">
        <f t="array" ref="GX47">IFERROR(INDEX(ArchiveResults!$F$5:$IX$116,ComparisonData!A47,ComparisonData!$GX$1),0)</f>
        <v>0</v>
      </c>
      <c r="GY47" s="56">
        <v>42</v>
      </c>
      <c r="GZ47" s="53" t="str">
        <f t="shared" si="559"/>
        <v>Huntingdonshire Archives</v>
      </c>
      <c r="HA47" s="59">
        <f t="shared" si="215"/>
        <v>0</v>
      </c>
      <c r="HB47" s="59">
        <f t="shared" si="216"/>
        <v>0</v>
      </c>
      <c r="HC47" s="59">
        <f t="shared" si="217"/>
        <v>0</v>
      </c>
      <c r="HD47" s="59">
        <f t="shared" si="218"/>
        <v>0</v>
      </c>
      <c r="HE47" s="59">
        <f t="shared" si="219"/>
        <v>0</v>
      </c>
      <c r="HF47" s="58">
        <f t="shared" si="220"/>
        <v>0</v>
      </c>
      <c r="HG47" s="45">
        <f t="shared" si="221"/>
        <v>102</v>
      </c>
      <c r="HH47" s="45">
        <f t="shared" si="560"/>
        <v>2.9489999999999998</v>
      </c>
      <c r="HI47" s="45">
        <f t="shared" si="222"/>
        <v>1</v>
      </c>
      <c r="HJ47" s="45">
        <f t="shared" si="223"/>
        <v>2</v>
      </c>
      <c r="HK47" s="46" cm="1">
        <f t="array" ref="HK47">ROUND(IFERROR(INDEX(ArchiveResults!$F$5:$IX$116,ComparisonData!A47,ComparisonData!$HK$1),0),5)</f>
        <v>0</v>
      </c>
      <c r="HL47" s="46" cm="1">
        <f t="array" ref="HL47">ROUND(IFERROR(INDEX(ArchiveResults!$F$5:$IX$116,ComparisonData!A47,ComparisonData!$HL$1),0),5)</f>
        <v>0</v>
      </c>
      <c r="HM47" s="46" cm="1">
        <f t="array" ref="HM47">ROUND(IFERROR(INDEX(ArchiveResults!$F$5:$IX$116,ComparisonData!A47,ComparisonData!$HM$1),0),5)</f>
        <v>0</v>
      </c>
      <c r="HN47" s="46" cm="1">
        <f t="array" ref="HN47">ROUND(IFERROR(INDEX(ArchiveResults!$F$5:$IX$116,ComparisonData!A47,ComparisonData!$HN$1),0),5)</f>
        <v>0</v>
      </c>
      <c r="HO47" s="45" cm="1">
        <f t="array" ref="HO47">IFERROR(INDEX(ArchiveResults!$F$5:$IX$116,ComparisonData!A47,ComparisonData!$HO$1),0)</f>
        <v>0</v>
      </c>
      <c r="HP47" s="56">
        <v>42</v>
      </c>
      <c r="HQ47" s="53" t="str">
        <f t="shared" si="561"/>
        <v>Huntingdonshire Archives</v>
      </c>
      <c r="HR47" s="59">
        <f t="shared" si="562"/>
        <v>0</v>
      </c>
      <c r="HS47" s="59">
        <f t="shared" si="563"/>
        <v>0</v>
      </c>
      <c r="HT47" s="59">
        <f t="shared" si="564"/>
        <v>0</v>
      </c>
      <c r="HU47" s="59">
        <f t="shared" si="565"/>
        <v>0</v>
      </c>
      <c r="HV47" s="59">
        <f t="shared" si="566"/>
        <v>0</v>
      </c>
      <c r="HW47" s="58">
        <f t="shared" si="224"/>
        <v>0</v>
      </c>
      <c r="HX47" s="45">
        <f t="shared" si="225"/>
        <v>102</v>
      </c>
      <c r="HY47" s="45">
        <f t="shared" si="567"/>
        <v>2.9489999999999998</v>
      </c>
      <c r="HZ47" s="45">
        <f t="shared" si="226"/>
        <v>1</v>
      </c>
      <c r="IA47" s="45">
        <f t="shared" si="227"/>
        <v>2</v>
      </c>
      <c r="IB47" s="45">
        <f t="shared" si="228"/>
        <v>0</v>
      </c>
      <c r="IC47" s="46" cm="1">
        <f t="array" ref="IC47">ROUND(IFERROR(INDEX(ArchiveResults!$F$5:$IX$116,ComparisonData!A47,ComparisonData!$IC$1),0),5)</f>
        <v>0</v>
      </c>
      <c r="ID47" s="46" cm="1">
        <f t="array" ref="ID47">ROUND(IFERROR(INDEX(ArchiveResults!$F$5:$IX$116,ComparisonData!A47,ComparisonData!$ID$1),0),5)</f>
        <v>0</v>
      </c>
      <c r="IE47" s="46" cm="1">
        <f t="array" ref="IE47">ROUND(IFERROR(INDEX(ArchiveResults!$F$5:$IX$116,ComparisonData!A47,ComparisonData!$IE$1),0),5)</f>
        <v>0</v>
      </c>
      <c r="IF47" s="46" cm="1">
        <f t="array" ref="IF47">ROUND(IFERROR(INDEX(ArchiveResults!$F$5:$IX$116,ComparisonData!A47,ComparisonData!$IF$1),0),5)</f>
        <v>0</v>
      </c>
      <c r="IG47" s="45" cm="1">
        <f t="array" ref="IG47">IFERROR(INDEX(ArchiveResults!$F$5:$IX$116,ComparisonData!A47,ComparisonData!$IG$1),0)</f>
        <v>0</v>
      </c>
      <c r="IH47" s="56">
        <v>42</v>
      </c>
      <c r="II47" s="53" t="str">
        <f t="shared" si="568"/>
        <v>Huntingdonshire Archives</v>
      </c>
      <c r="IJ47" s="59">
        <f t="shared" si="229"/>
        <v>0</v>
      </c>
      <c r="IK47" s="59">
        <f t="shared" si="230"/>
        <v>0</v>
      </c>
      <c r="IL47" s="59">
        <f t="shared" si="231"/>
        <v>0</v>
      </c>
      <c r="IM47" s="59">
        <f t="shared" si="232"/>
        <v>0</v>
      </c>
      <c r="IN47" s="59">
        <f t="shared" si="233"/>
        <v>0</v>
      </c>
      <c r="IO47" s="58">
        <f t="shared" si="234"/>
        <v>0</v>
      </c>
      <c r="IP47" s="45">
        <f t="shared" si="235"/>
        <v>102</v>
      </c>
      <c r="IQ47" s="45">
        <f t="shared" si="569"/>
        <v>2.9489999999999998</v>
      </c>
      <c r="IR47" s="45">
        <f t="shared" si="236"/>
        <v>1</v>
      </c>
      <c r="IS47" s="45">
        <f t="shared" si="237"/>
        <v>2</v>
      </c>
      <c r="IT47" s="46">
        <f t="shared" si="238"/>
        <v>0</v>
      </c>
      <c r="IU47" s="46" cm="1">
        <f t="array" ref="IU47">ROUND(IFERROR(INDEX(ArchiveResults!$F$5:$IX$116,ComparisonData!A47,ComparisonData!$IU$1),0),5)</f>
        <v>0</v>
      </c>
      <c r="IV47" s="46" cm="1">
        <f t="array" ref="IV47">ROUND(IFERROR(INDEX(ArchiveResults!$F$5:$IX$116,ComparisonData!A47,ComparisonData!$IV$1),0),5)</f>
        <v>0</v>
      </c>
      <c r="IW47" s="46" cm="1">
        <f t="array" ref="IW47">ROUND(IFERROR(INDEX(ArchiveResults!$F$5:$IX$116,ComparisonData!A47,ComparisonData!$IW$1),0),5)</f>
        <v>0</v>
      </c>
      <c r="IX47" s="46" cm="1">
        <f t="array" ref="IX47">ROUND(IFERROR(INDEX(ArchiveResults!$F$5:$IX$116,ComparisonData!A47,ComparisonData!$IX$1),0),5)</f>
        <v>0</v>
      </c>
      <c r="IY47" s="45" cm="1">
        <f t="array" ref="IY47">IFERROR(INDEX(ArchiveResults!$F$5:$IX$116,ComparisonData!A47,ComparisonData!$IY$1),0)</f>
        <v>0</v>
      </c>
      <c r="IZ47" s="56">
        <v>42</v>
      </c>
      <c r="JA47" s="53" t="str">
        <f t="shared" si="570"/>
        <v>Huntingdonshire Archives</v>
      </c>
      <c r="JB47" s="59">
        <f t="shared" si="239"/>
        <v>0</v>
      </c>
      <c r="JC47" s="59">
        <f t="shared" si="240"/>
        <v>0</v>
      </c>
      <c r="JD47" s="59">
        <f t="shared" si="241"/>
        <v>0</v>
      </c>
      <c r="JE47" s="59">
        <f t="shared" si="242"/>
        <v>0</v>
      </c>
      <c r="JF47" s="59">
        <f t="shared" si="243"/>
        <v>0</v>
      </c>
      <c r="JG47" s="58">
        <f t="shared" si="244"/>
        <v>0</v>
      </c>
      <c r="JH47" s="45">
        <f t="shared" si="245"/>
        <v>102</v>
      </c>
      <c r="JI47" s="45">
        <f t="shared" si="571"/>
        <v>2.9489999999999998</v>
      </c>
      <c r="JJ47" s="45">
        <f t="shared" si="246"/>
        <v>1</v>
      </c>
      <c r="JK47" s="45">
        <f t="shared" si="247"/>
        <v>2</v>
      </c>
      <c r="JL47" s="45">
        <f t="shared" si="248"/>
        <v>0</v>
      </c>
      <c r="JM47" s="46" cm="1">
        <f t="array" ref="JM47">ROUND(IFERROR(INDEX(ArchiveResults!$F$5:$IX$116,ComparisonData!A47,ComparisonData!$JM$1),0),5)</f>
        <v>0</v>
      </c>
      <c r="JN47" s="46" cm="1">
        <f t="array" ref="JN47">ROUND(IFERROR(INDEX(ArchiveResults!$F$5:$IX$116,ComparisonData!A47,ComparisonData!$JN$1),0),5)</f>
        <v>0</v>
      </c>
      <c r="JO47" s="46" cm="1">
        <f t="array" ref="JO47">ROUND(IFERROR(INDEX(ArchiveResults!$F$5:$IX$116,ComparisonData!A47,ComparisonData!$JO$1),0),5)</f>
        <v>0</v>
      </c>
      <c r="JP47" s="46" cm="1">
        <f t="array" ref="JP47">ROUND(IFERROR(INDEX(ArchiveResults!$F$5:$IX$116,ComparisonData!A47,ComparisonData!$JP$1),0),5)</f>
        <v>0</v>
      </c>
      <c r="JQ47" s="45" cm="1">
        <f t="array" ref="JQ47">IFERROR(INDEX(ArchiveResults!$F$5:$IX$116,ComparisonData!A47,ComparisonData!$JQ$1),0)</f>
        <v>0</v>
      </c>
      <c r="JR47" s="56">
        <v>42</v>
      </c>
      <c r="JS47" s="53" t="str">
        <f t="shared" si="572"/>
        <v>Huntingdonshire Archives</v>
      </c>
      <c r="JT47" s="59">
        <f t="shared" si="249"/>
        <v>0</v>
      </c>
      <c r="JU47" s="59">
        <f t="shared" si="250"/>
        <v>0</v>
      </c>
      <c r="JV47" s="59">
        <f t="shared" si="251"/>
        <v>0</v>
      </c>
      <c r="JW47" s="59">
        <f t="shared" si="252"/>
        <v>0</v>
      </c>
      <c r="JX47" s="59">
        <f t="shared" si="253"/>
        <v>0</v>
      </c>
      <c r="JY47" s="58">
        <f t="shared" si="254"/>
        <v>0</v>
      </c>
      <c r="JZ47" s="45">
        <f t="shared" si="255"/>
        <v>102</v>
      </c>
      <c r="KA47" s="45">
        <f t="shared" si="573"/>
        <v>2.9489999999999998</v>
      </c>
      <c r="KB47" s="45">
        <f t="shared" si="256"/>
        <v>1</v>
      </c>
      <c r="KC47" s="45">
        <f t="shared" si="257"/>
        <v>2</v>
      </c>
      <c r="KD47" s="45">
        <f t="shared" si="258"/>
        <v>0</v>
      </c>
      <c r="KE47" s="46" cm="1">
        <f t="array" ref="KE47">ROUND(IFERROR(INDEX(ArchiveResults!$F$5:$IX$116,ComparisonData!A47,ComparisonData!$KE$1),0),5)</f>
        <v>0</v>
      </c>
      <c r="KF47" s="46" cm="1">
        <f t="array" ref="KF47">ROUND(IFERROR(INDEX(ArchiveResults!$F$5:$IX$116,ComparisonData!A47,ComparisonData!$KF$1),0),5)</f>
        <v>0</v>
      </c>
      <c r="KG47" s="46" cm="1">
        <f t="array" ref="KG47">ROUND(IFERROR(INDEX(ArchiveResults!$F$5:$IX$116,ComparisonData!A47,ComparisonData!$KG$1),0),5)</f>
        <v>0</v>
      </c>
      <c r="KH47" s="46" cm="1">
        <f t="array" ref="KH47">ROUND(IFERROR(INDEX(ArchiveResults!$F$5:$IX$116,ComparisonData!A47,ComparisonData!$KH$1),0),5)</f>
        <v>0</v>
      </c>
      <c r="KI47" s="45" cm="1">
        <f t="array" ref="KI47">IFERROR(INDEX(ArchiveResults!$F$5:$IX$116,ComparisonData!A47,ComparisonData!$KI$1),0)</f>
        <v>0</v>
      </c>
      <c r="KJ47" s="56">
        <v>42</v>
      </c>
      <c r="KK47" s="53" t="str">
        <f t="shared" si="574"/>
        <v>Huntingdonshire Archives</v>
      </c>
      <c r="KL47" s="59">
        <f t="shared" si="259"/>
        <v>0</v>
      </c>
      <c r="KM47" s="59">
        <f t="shared" si="260"/>
        <v>0</v>
      </c>
      <c r="KN47" s="59">
        <f t="shared" si="261"/>
        <v>0</v>
      </c>
      <c r="KO47" s="59">
        <f t="shared" si="262"/>
        <v>0</v>
      </c>
      <c r="KP47" s="59">
        <f t="shared" si="263"/>
        <v>0</v>
      </c>
      <c r="KQ47" s="58">
        <f t="shared" si="264"/>
        <v>0</v>
      </c>
      <c r="KR47" s="45">
        <f t="shared" si="265"/>
        <v>102</v>
      </c>
      <c r="KS47" s="45">
        <f t="shared" si="575"/>
        <v>2.9489999999999998</v>
      </c>
      <c r="KT47" s="45">
        <f t="shared" si="266"/>
        <v>1</v>
      </c>
      <c r="KU47" s="45">
        <f t="shared" si="267"/>
        <v>2</v>
      </c>
      <c r="KV47" s="45">
        <f t="shared" si="268"/>
        <v>0</v>
      </c>
      <c r="KW47" s="46" cm="1">
        <f t="array" ref="KW47">ROUND(IFERROR(INDEX(ArchiveResults!$F$5:$IX$116,ComparisonData!A47,ComparisonData!$KW$1),0),5)</f>
        <v>0</v>
      </c>
      <c r="KX47" s="46" cm="1">
        <f t="array" ref="KX47">ROUND(IFERROR(INDEX(ArchiveResults!$F$5:$IX$116,ComparisonData!A47,ComparisonData!$KX$1),0),5)</f>
        <v>0</v>
      </c>
      <c r="KY47" s="46" cm="1">
        <f t="array" ref="KY47">ROUND(IFERROR(INDEX(ArchiveResults!$F$5:$IX$116,ComparisonData!A47,ComparisonData!$KY$1),0),5)</f>
        <v>0</v>
      </c>
      <c r="KZ47" s="46" cm="1">
        <f t="array" ref="KZ47">ROUND(IFERROR(INDEX(ArchiveResults!$F$5:$IX$116,ComparisonData!A47,ComparisonData!$KZ$1),0),5)</f>
        <v>0</v>
      </c>
      <c r="LA47" s="45" cm="1">
        <f t="array" ref="LA47">IFERROR(INDEX(ArchiveResults!$F$5:$IX$116,ComparisonData!A47,ComparisonData!$LA$1),0)</f>
        <v>0</v>
      </c>
      <c r="LB47" s="56">
        <v>42</v>
      </c>
      <c r="LC47" s="53" t="str">
        <f t="shared" si="576"/>
        <v>Huntingdonshire Archives</v>
      </c>
      <c r="LD47" s="59">
        <f t="shared" si="269"/>
        <v>0</v>
      </c>
      <c r="LE47" s="59">
        <f t="shared" si="270"/>
        <v>0</v>
      </c>
      <c r="LF47" s="59">
        <f t="shared" si="271"/>
        <v>0</v>
      </c>
      <c r="LG47" s="59">
        <f t="shared" si="272"/>
        <v>0</v>
      </c>
      <c r="LH47" s="59">
        <f t="shared" si="273"/>
        <v>0</v>
      </c>
      <c r="LI47" s="58">
        <f t="shared" si="274"/>
        <v>0</v>
      </c>
      <c r="LJ47" s="45">
        <f t="shared" si="275"/>
        <v>102</v>
      </c>
      <c r="LK47" s="45">
        <f t="shared" si="577"/>
        <v>2.9489999999999998</v>
      </c>
      <c r="LL47" s="45">
        <f t="shared" si="276"/>
        <v>1</v>
      </c>
      <c r="LM47" s="45">
        <f t="shared" si="277"/>
        <v>2</v>
      </c>
      <c r="LN47" s="45">
        <f t="shared" si="278"/>
        <v>0</v>
      </c>
      <c r="LO47" s="46" cm="1">
        <f t="array" ref="LO47">ROUND(IFERROR(INDEX(ArchiveResults!$F$5:$IX$116,ComparisonData!A47,ComparisonData!$LO$1),0),5)</f>
        <v>0</v>
      </c>
      <c r="LP47" s="46" cm="1">
        <f t="array" ref="LP47">ROUND(IFERROR(INDEX(ArchiveResults!$F$5:$IX$116,ComparisonData!A47,ComparisonData!$LP$1),0),5)</f>
        <v>0</v>
      </c>
      <c r="LQ47" s="46" cm="1">
        <f t="array" ref="LQ47">ROUND(IFERROR(INDEX(ArchiveResults!$F$5:$IX$116,ComparisonData!A47,ComparisonData!$LQ$1),0),5)</f>
        <v>0</v>
      </c>
      <c r="LR47" s="46" cm="1">
        <f t="array" ref="LR47">ROUND(IFERROR(INDEX(ArchiveResults!$F$5:$IX$116,ComparisonData!A47,ComparisonData!$LR$1),0),5)</f>
        <v>0</v>
      </c>
      <c r="LS47" s="45" cm="1">
        <f t="array" ref="LS47">IFERROR(INDEX(ArchiveResults!$F$5:$IX$116,ComparisonData!A47,ComparisonData!$LS$1),0)</f>
        <v>0</v>
      </c>
      <c r="LT47" s="56">
        <v>42</v>
      </c>
      <c r="LU47" s="53" t="str">
        <f t="shared" si="578"/>
        <v>Huntingdonshire Archives</v>
      </c>
      <c r="LV47" s="59">
        <f t="shared" si="279"/>
        <v>0</v>
      </c>
      <c r="LW47" s="59">
        <f t="shared" si="280"/>
        <v>0</v>
      </c>
      <c r="LX47" s="59">
        <f t="shared" si="281"/>
        <v>0</v>
      </c>
      <c r="LY47" s="59">
        <f t="shared" si="282"/>
        <v>0</v>
      </c>
      <c r="LZ47" s="59">
        <f t="shared" si="283"/>
        <v>0</v>
      </c>
      <c r="MA47" s="58">
        <f t="shared" si="284"/>
        <v>0</v>
      </c>
      <c r="MB47" s="45">
        <f t="shared" si="285"/>
        <v>102</v>
      </c>
      <c r="MC47" s="45">
        <f t="shared" si="579"/>
        <v>2.9489999999999998</v>
      </c>
      <c r="MD47" s="45">
        <f t="shared" si="286"/>
        <v>1</v>
      </c>
      <c r="ME47" s="45">
        <f t="shared" si="287"/>
        <v>2</v>
      </c>
      <c r="MF47" s="45">
        <f t="shared" si="288"/>
        <v>0</v>
      </c>
      <c r="MG47" s="46" cm="1">
        <f t="array" ref="MG47">ROUND(IFERROR(INDEX(ArchiveResults!$F$5:$IX$116,ComparisonData!A47,ComparisonData!$MG$1),0),5)</f>
        <v>0</v>
      </c>
      <c r="MH47" s="46" cm="1">
        <f t="array" ref="MH47">ROUND(IFERROR(INDEX(ArchiveResults!$F$5:$IX$116,ComparisonData!A47,ComparisonData!$MH$1),0),5)</f>
        <v>0</v>
      </c>
      <c r="MI47" s="46" cm="1">
        <f t="array" ref="MI47">ROUND(IFERROR(INDEX(ArchiveResults!$F$5:$IX$116,ComparisonData!A47,ComparisonData!$MI$1),0),5)</f>
        <v>0</v>
      </c>
      <c r="MJ47" s="46" cm="1">
        <f t="array" ref="MJ47">ROUND(IFERROR(INDEX(ArchiveResults!$F$5:$IX$116,ComparisonData!A47,ComparisonData!$MJ$1),0),5)</f>
        <v>0</v>
      </c>
      <c r="MK47" s="45" cm="1">
        <f t="array" ref="MK47">IFERROR(INDEX(ArchiveResults!$F$5:$IX$116,ComparisonData!A47,ComparisonData!$MK$1),0)</f>
        <v>0</v>
      </c>
      <c r="ML47" s="56">
        <v>42</v>
      </c>
      <c r="MM47" s="53" t="str">
        <f t="shared" si="580"/>
        <v>Huntingdonshire Archives</v>
      </c>
      <c r="MN47" s="59">
        <f t="shared" si="289"/>
        <v>0</v>
      </c>
      <c r="MO47" s="59">
        <f t="shared" si="290"/>
        <v>0</v>
      </c>
      <c r="MP47" s="59">
        <f t="shared" si="291"/>
        <v>0</v>
      </c>
      <c r="MQ47" s="59">
        <f t="shared" si="292"/>
        <v>0</v>
      </c>
      <c r="MR47" s="59">
        <f t="shared" si="293"/>
        <v>0</v>
      </c>
      <c r="MS47" s="58">
        <f t="shared" si="294"/>
        <v>0</v>
      </c>
      <c r="MT47" s="45">
        <f t="shared" si="295"/>
        <v>102</v>
      </c>
      <c r="MU47" s="45">
        <f t="shared" si="581"/>
        <v>2.9489999999999998</v>
      </c>
      <c r="MV47" s="45">
        <f t="shared" si="296"/>
        <v>1</v>
      </c>
      <c r="MW47" s="45">
        <f t="shared" si="297"/>
        <v>2</v>
      </c>
      <c r="MX47" s="45">
        <f t="shared" si="298"/>
        <v>0</v>
      </c>
      <c r="MY47" s="46" cm="1">
        <f t="array" ref="MY47">ROUND(IFERROR(INDEX(ArchiveResults!$F$5:$IX$116,ComparisonData!A47,ComparisonData!$MY$1),0),5)</f>
        <v>0</v>
      </c>
      <c r="MZ47" s="46" cm="1">
        <f t="array" ref="MZ47">ROUND(IFERROR(INDEX(ArchiveResults!$F$5:$IX$116,ComparisonData!A47,ComparisonData!$MZ$1),0),5)</f>
        <v>0</v>
      </c>
      <c r="NA47" s="46" cm="1">
        <f t="array" ref="NA47">ROUND(IFERROR(INDEX(ArchiveResults!$F$5:$IX$116,ComparisonData!A47,ComparisonData!$NA$1),0),5)</f>
        <v>0</v>
      </c>
      <c r="NB47" s="46" cm="1">
        <f t="array" ref="NB47">ROUND(IFERROR(INDEX(ArchiveResults!$F$5:$IX$116,ComparisonData!A47,ComparisonData!$NB$1),0),5)</f>
        <v>0</v>
      </c>
      <c r="NC47" s="45" cm="1">
        <f t="array" ref="NC47">IFERROR(INDEX(ArchiveResults!$F$5:$IX$116,ComparisonData!A47,ComparisonData!$NC$1),0)</f>
        <v>0</v>
      </c>
      <c r="ND47" s="56">
        <v>42</v>
      </c>
      <c r="NE47" s="53" t="str">
        <f t="shared" si="582"/>
        <v>Huntingdonshire Archives</v>
      </c>
      <c r="NF47" s="59">
        <f t="shared" si="299"/>
        <v>0</v>
      </c>
      <c r="NG47" s="59">
        <f t="shared" si="300"/>
        <v>0</v>
      </c>
      <c r="NH47" s="59">
        <f t="shared" si="301"/>
        <v>0</v>
      </c>
      <c r="NI47" s="59">
        <f t="shared" si="302"/>
        <v>0</v>
      </c>
      <c r="NJ47" s="59">
        <f t="shared" si="303"/>
        <v>0</v>
      </c>
      <c r="NK47" s="58">
        <f t="shared" si="304"/>
        <v>0</v>
      </c>
      <c r="NL47" s="45">
        <f t="shared" si="305"/>
        <v>102</v>
      </c>
      <c r="NM47" s="45">
        <f t="shared" si="583"/>
        <v>2.9489999999999998</v>
      </c>
      <c r="NN47" s="45">
        <f t="shared" si="306"/>
        <v>1</v>
      </c>
      <c r="NO47" s="45">
        <f t="shared" si="307"/>
        <v>2</v>
      </c>
      <c r="NP47" s="46" cm="1">
        <f t="array" ref="NP47">ROUND(IFERROR(INDEX(ArchiveResults!$F$5:$IX$116,ComparisonData!A47,ComparisonData!$NP$1),0),5)</f>
        <v>0</v>
      </c>
      <c r="NQ47" s="46" cm="1">
        <f t="array" ref="NQ47">ROUND(IFERROR(INDEX(ArchiveResults!$F$5:$IX$116,ComparisonData!A47,ComparisonData!$NQ$1),0),5)</f>
        <v>0</v>
      </c>
      <c r="NR47" s="46" cm="1">
        <f t="array" ref="NR47">ROUND(IFERROR(INDEX(ArchiveResults!$F$5:$IX$116,ComparisonData!A47,ComparisonData!$NR$1),0),5)</f>
        <v>0</v>
      </c>
      <c r="NS47" s="46" cm="1">
        <f t="array" ref="NS47">ROUND(IFERROR(INDEX(ArchiveResults!$F$5:$IX$116,ComparisonData!A47,ComparisonData!$NS$1),0),5)</f>
        <v>0</v>
      </c>
      <c r="NT47" s="45" cm="1">
        <f t="array" ref="NT47">IFERROR(INDEX(ArchiveResults!$F$5:$IX$116,ComparisonData!A47,ComparisonData!$NT$1),0)</f>
        <v>0</v>
      </c>
      <c r="NU47" s="56">
        <v>42</v>
      </c>
      <c r="NV47" s="53" t="str">
        <f t="shared" si="584"/>
        <v>Huntingdonshire Archives</v>
      </c>
      <c r="NW47" s="59">
        <f t="shared" si="308"/>
        <v>0</v>
      </c>
      <c r="NX47" s="59">
        <f t="shared" si="309"/>
        <v>0</v>
      </c>
      <c r="NY47" s="59">
        <f t="shared" si="310"/>
        <v>0</v>
      </c>
      <c r="NZ47" s="59">
        <f t="shared" si="311"/>
        <v>0</v>
      </c>
      <c r="OA47" s="59">
        <f t="shared" si="312"/>
        <v>0</v>
      </c>
      <c r="OB47" s="58">
        <f t="shared" si="313"/>
        <v>0</v>
      </c>
      <c r="OC47" s="45">
        <f t="shared" si="314"/>
        <v>102</v>
      </c>
      <c r="OD47" s="45">
        <f t="shared" si="585"/>
        <v>2.9489999999999998</v>
      </c>
      <c r="OE47" s="45">
        <f t="shared" si="315"/>
        <v>1</v>
      </c>
      <c r="OF47" s="45">
        <f t="shared" si="316"/>
        <v>2</v>
      </c>
      <c r="OG47" s="46">
        <f t="shared" si="317"/>
        <v>0</v>
      </c>
      <c r="OH47" s="46" cm="1">
        <f t="array" ref="OH47">ROUND(IFERROR(INDEX(ArchiveResults!$F$5:$IX$116,ComparisonData!A47,ComparisonData!$OH$1),0),5)</f>
        <v>0</v>
      </c>
      <c r="OI47" s="46" cm="1">
        <f t="array" ref="OI47">ROUND(IFERROR(INDEX(ArchiveResults!$F$5:$IX$116,ComparisonData!A47,ComparisonData!$OI$1),0),5)</f>
        <v>0</v>
      </c>
      <c r="OJ47" s="46" cm="1">
        <f t="array" ref="OJ47">ROUND(IFERROR(INDEX(ArchiveResults!$F$5:$IX$116,ComparisonData!A47,ComparisonData!$OJ$1),0),5)</f>
        <v>0</v>
      </c>
      <c r="OK47" s="46" cm="1">
        <f t="array" ref="OK47">ROUND(IFERROR(INDEX(ArchiveResults!$F$5:$IX$116,ComparisonData!A47,ComparisonData!$OK$1),0),5)</f>
        <v>0</v>
      </c>
      <c r="OL47" s="45" cm="1">
        <f t="array" ref="OL47">IFERROR(INDEX(ArchiveResults!$F$5:$IX$116,ComparisonData!A47,ComparisonData!$OL$1),0)</f>
        <v>0</v>
      </c>
      <c r="OM47" s="56">
        <v>42</v>
      </c>
      <c r="ON47" s="53" t="str">
        <f t="shared" si="586"/>
        <v>Huntingdonshire Archives</v>
      </c>
      <c r="OO47" s="59">
        <f t="shared" si="318"/>
        <v>0</v>
      </c>
      <c r="OP47" s="59">
        <f t="shared" si="319"/>
        <v>0</v>
      </c>
      <c r="OQ47" s="59">
        <f t="shared" si="320"/>
        <v>0</v>
      </c>
      <c r="OR47" s="59">
        <f t="shared" si="321"/>
        <v>0</v>
      </c>
      <c r="OS47" s="59">
        <f t="shared" si="322"/>
        <v>0</v>
      </c>
      <c r="OT47" s="58">
        <f t="shared" si="323"/>
        <v>0</v>
      </c>
      <c r="OU47" s="45">
        <f t="shared" si="324"/>
        <v>102</v>
      </c>
      <c r="OV47" s="45">
        <f t="shared" si="587"/>
        <v>2.9489999999999998</v>
      </c>
      <c r="OW47" s="45">
        <f t="shared" si="325"/>
        <v>1</v>
      </c>
      <c r="OX47" s="45">
        <f t="shared" si="326"/>
        <v>2</v>
      </c>
      <c r="OY47" s="45">
        <f t="shared" si="327"/>
        <v>0</v>
      </c>
      <c r="OZ47" s="46" cm="1">
        <f t="array" ref="OZ47">ROUND(IFERROR(INDEX(ArchiveResults!$F$5:$IX$116,ComparisonData!A47,ComparisonData!$OZ$1),0),5)</f>
        <v>0</v>
      </c>
      <c r="PA47" s="46" cm="1">
        <f t="array" ref="PA47">ROUND(IFERROR(INDEX(ArchiveResults!$F$5:$IX$116,ComparisonData!A47,ComparisonData!$PA$1),0),5)</f>
        <v>0</v>
      </c>
      <c r="PB47" s="46" cm="1">
        <f t="array" ref="PB47">ROUND(IFERROR(INDEX(ArchiveResults!$F$5:$IX$116,ComparisonData!A47,ComparisonData!$PB$1),0),5)</f>
        <v>0</v>
      </c>
      <c r="PC47" s="46" cm="1">
        <f t="array" ref="PC47">ROUND(IFERROR(INDEX(ArchiveResults!$F$5:$IX$116,ComparisonData!A47,ComparisonData!$PC$1),0),5)</f>
        <v>0</v>
      </c>
      <c r="PD47" s="45" cm="1">
        <f t="array" ref="PD47">IFERROR(INDEX(ArchiveResults!$F$5:$IX$116,ComparisonData!A47,ComparisonData!$PD$1),0)</f>
        <v>0</v>
      </c>
      <c r="PE47" s="56">
        <v>42</v>
      </c>
      <c r="PF47" s="53" t="str">
        <f t="shared" si="588"/>
        <v>Huntingdonshire Archives</v>
      </c>
      <c r="PG47" s="59">
        <f t="shared" si="328"/>
        <v>0</v>
      </c>
      <c r="PH47" s="59">
        <f t="shared" si="329"/>
        <v>0</v>
      </c>
      <c r="PI47" s="59">
        <f t="shared" si="330"/>
        <v>0</v>
      </c>
      <c r="PJ47" s="59">
        <f t="shared" si="331"/>
        <v>0</v>
      </c>
      <c r="PK47" s="59">
        <f t="shared" si="332"/>
        <v>0</v>
      </c>
      <c r="PL47" s="58">
        <f t="shared" si="333"/>
        <v>0</v>
      </c>
      <c r="PM47" s="45">
        <f t="shared" si="334"/>
        <v>102</v>
      </c>
      <c r="PN47" s="45">
        <f t="shared" si="589"/>
        <v>2.9489999999999998</v>
      </c>
      <c r="PO47" s="45">
        <f t="shared" si="335"/>
        <v>1</v>
      </c>
      <c r="PP47" s="45">
        <f t="shared" si="336"/>
        <v>2</v>
      </c>
      <c r="PQ47" s="45">
        <f t="shared" si="337"/>
        <v>0</v>
      </c>
      <c r="PR47" s="46" cm="1">
        <f t="array" ref="PR47">ROUND(IFERROR(INDEX(ArchiveResults!$F$5:$IX$116,ComparisonData!A47,ComparisonData!$PR$1),0),5)</f>
        <v>0</v>
      </c>
      <c r="PS47" s="46" cm="1">
        <f t="array" ref="PS47">ROUND(IFERROR(INDEX(ArchiveResults!$F$5:$IX$116,ComparisonData!A47,ComparisonData!$PS$1),0),5)</f>
        <v>0</v>
      </c>
      <c r="PT47" s="46" cm="1">
        <f t="array" ref="PT47">ROUND(IFERROR(INDEX(ArchiveResults!$F$5:$IX$116,ComparisonData!A47,ComparisonData!$PT$1),0),5)</f>
        <v>0</v>
      </c>
      <c r="PU47" s="46" cm="1">
        <f t="array" ref="PU47">ROUND(IFERROR(INDEX(ArchiveResults!$F$5:$IX$116,ComparisonData!A47,ComparisonData!$PU$1),0),5)</f>
        <v>0</v>
      </c>
      <c r="PV47" s="45" cm="1">
        <f t="array" ref="PV47">IFERROR(INDEX(ArchiveResults!$F$5:$IX$116,ComparisonData!A47,ComparisonData!$PV$1),0)</f>
        <v>0</v>
      </c>
      <c r="PW47" s="56">
        <v>42</v>
      </c>
      <c r="PX47" s="53" t="str">
        <f t="shared" si="590"/>
        <v>Huntingdonshire Archives</v>
      </c>
      <c r="PY47" s="59">
        <f t="shared" si="338"/>
        <v>0</v>
      </c>
      <c r="PZ47" s="59">
        <f t="shared" si="339"/>
        <v>0</v>
      </c>
      <c r="QA47" s="59">
        <f t="shared" si="340"/>
        <v>0</v>
      </c>
      <c r="QB47" s="59">
        <f t="shared" si="341"/>
        <v>0</v>
      </c>
      <c r="QC47" s="59">
        <f t="shared" si="342"/>
        <v>0</v>
      </c>
      <c r="QD47" s="58">
        <f t="shared" si="343"/>
        <v>0</v>
      </c>
      <c r="QE47" s="45">
        <f t="shared" si="344"/>
        <v>102</v>
      </c>
      <c r="QF47" s="45">
        <f t="shared" si="591"/>
        <v>2.9489999999999998</v>
      </c>
      <c r="QG47" s="45">
        <f t="shared" si="345"/>
        <v>1</v>
      </c>
      <c r="QH47" s="45">
        <f t="shared" si="346"/>
        <v>2</v>
      </c>
      <c r="QI47" s="45">
        <f t="shared" si="347"/>
        <v>0</v>
      </c>
      <c r="QJ47" s="46" cm="1">
        <f t="array" ref="QJ47">ROUND(IFERROR(INDEX(ArchiveResults!$F$5:$IX$116,ComparisonData!A47,ComparisonData!$QJ$1),0),5)</f>
        <v>0</v>
      </c>
      <c r="QK47" s="46" cm="1">
        <f t="array" ref="QK47">ROUND(IFERROR(INDEX(ArchiveResults!$F$5:$IX$116,ComparisonData!A47,ComparisonData!$QK$1),0),5)</f>
        <v>0</v>
      </c>
      <c r="QL47" s="46" cm="1">
        <f t="array" ref="QL47">ROUND(IFERROR(INDEX(ArchiveResults!$F$5:$IX$116,ComparisonData!A47,ComparisonData!$QL$1),0),5)</f>
        <v>0</v>
      </c>
      <c r="QM47" s="46" cm="1">
        <f t="array" ref="QM47">ROUND(IFERROR(INDEX(ArchiveResults!$F$5:$IX$116,ComparisonData!A47,ComparisonData!$QM$1),0),5)</f>
        <v>0</v>
      </c>
      <c r="QN47" s="45" cm="1">
        <f t="array" ref="QN47">IFERROR(INDEX(ArchiveResults!$F$5:$IX$116,ComparisonData!A47,ComparisonData!$QN$1),0)</f>
        <v>0</v>
      </c>
      <c r="QO47" s="56">
        <v>42</v>
      </c>
      <c r="QP47" s="53" t="str">
        <f t="shared" si="592"/>
        <v>Huntingdonshire Archives</v>
      </c>
      <c r="QQ47" s="59">
        <f t="shared" si="348"/>
        <v>0</v>
      </c>
      <c r="QR47" s="59">
        <f t="shared" si="349"/>
        <v>0</v>
      </c>
      <c r="QS47" s="59">
        <f t="shared" si="350"/>
        <v>0</v>
      </c>
      <c r="QT47" s="59">
        <f t="shared" si="351"/>
        <v>0</v>
      </c>
      <c r="QU47" s="59">
        <f t="shared" si="352"/>
        <v>0</v>
      </c>
      <c r="QV47" s="58">
        <f t="shared" si="353"/>
        <v>0</v>
      </c>
      <c r="QW47" s="45">
        <f t="shared" si="354"/>
        <v>102</v>
      </c>
      <c r="QX47" s="45">
        <f t="shared" si="593"/>
        <v>2.9489999999999998</v>
      </c>
      <c r="QY47" s="45">
        <f t="shared" si="355"/>
        <v>1</v>
      </c>
      <c r="QZ47" s="45">
        <f t="shared" si="356"/>
        <v>2</v>
      </c>
      <c r="RA47" s="45">
        <f t="shared" si="357"/>
        <v>0</v>
      </c>
      <c r="RB47" s="46" cm="1">
        <f t="array" ref="RB47">ROUND(IFERROR(INDEX(ArchiveResults!$F$5:$IX$116,ComparisonData!A47,ComparisonData!$RB$1),0),5)</f>
        <v>0</v>
      </c>
      <c r="RC47" s="46" cm="1">
        <f t="array" ref="RC47">ROUND(IFERROR(INDEX(ArchiveResults!$F$5:$IX$116,ComparisonData!A47,ComparisonData!$RC$1),0),5)</f>
        <v>0</v>
      </c>
      <c r="RD47" s="46" cm="1">
        <f t="array" ref="RD47">ROUND(IFERROR(INDEX(ArchiveResults!$F$5:$IX$116,ComparisonData!A47,ComparisonData!$RD$1),0),5)</f>
        <v>0</v>
      </c>
      <c r="RE47" s="46" cm="1">
        <f t="array" ref="RE47">ROUND(IFERROR(INDEX(ArchiveResults!$F$5:$IX$116,ComparisonData!A47,ComparisonData!$RE$1),0),5)</f>
        <v>0</v>
      </c>
      <c r="RF47" s="45" cm="1">
        <f t="array" ref="RF47">IFERROR(INDEX(ArchiveResults!$F$5:$IX$116,ComparisonData!A47,ComparisonData!$RF$1),0)</f>
        <v>0</v>
      </c>
      <c r="RG47" s="56">
        <v>42</v>
      </c>
      <c r="RH47" s="53" t="str">
        <f t="shared" si="594"/>
        <v>Huntingdonshire Archives</v>
      </c>
      <c r="RI47" s="59">
        <f t="shared" si="358"/>
        <v>0</v>
      </c>
      <c r="RJ47" s="59">
        <f t="shared" si="359"/>
        <v>0</v>
      </c>
      <c r="RK47" s="59">
        <f t="shared" si="360"/>
        <v>0</v>
      </c>
      <c r="RL47" s="59">
        <f t="shared" si="361"/>
        <v>0</v>
      </c>
      <c r="RM47" s="59">
        <f t="shared" si="362"/>
        <v>0</v>
      </c>
      <c r="RN47" s="58">
        <f t="shared" si="363"/>
        <v>0</v>
      </c>
      <c r="RO47" s="45">
        <f t="shared" si="364"/>
        <v>102</v>
      </c>
      <c r="RP47" s="45">
        <f t="shared" si="595"/>
        <v>2.9489999999999998</v>
      </c>
      <c r="RQ47" s="45">
        <f t="shared" si="365"/>
        <v>1</v>
      </c>
      <c r="RR47" s="45">
        <f t="shared" si="366"/>
        <v>2</v>
      </c>
      <c r="RS47" s="45">
        <f t="shared" si="367"/>
        <v>0</v>
      </c>
      <c r="RT47" s="46" cm="1">
        <f t="array" ref="RT47">ROUND(IFERROR(INDEX(ArchiveResults!$F$5:$IX$116,ComparisonData!A47,ComparisonData!$RT$1),0),5)</f>
        <v>0</v>
      </c>
      <c r="RU47" s="46" cm="1">
        <f t="array" ref="RU47">ROUND(IFERROR(INDEX(ArchiveResults!$F$5:$IX$116,ComparisonData!A47,ComparisonData!$RU$1),0),5)</f>
        <v>0</v>
      </c>
      <c r="RV47" s="46" cm="1">
        <f t="array" ref="RV47">ROUND(IFERROR(INDEX(ArchiveResults!$F$5:$IX$116,ComparisonData!A47,ComparisonData!$RV$1),0),5)</f>
        <v>0</v>
      </c>
      <c r="RW47" s="46" cm="1">
        <f t="array" ref="RW47">ROUND(IFERROR(INDEX(ArchiveResults!$F$5:$IX$116,ComparisonData!A47,ComparisonData!$RW$1),0),5)</f>
        <v>0</v>
      </c>
      <c r="RX47" s="45" cm="1">
        <f t="array" ref="RX47">IFERROR(INDEX(ArchiveResults!$F$5:$IX$116,ComparisonData!A47,ComparisonData!$RX$1),0)</f>
        <v>0</v>
      </c>
      <c r="RY47" s="56">
        <v>42</v>
      </c>
      <c r="RZ47" s="53" t="str">
        <f t="shared" si="596"/>
        <v>Huntingdonshire Archives</v>
      </c>
      <c r="SA47" s="59">
        <f t="shared" si="368"/>
        <v>0</v>
      </c>
      <c r="SB47" s="59">
        <f t="shared" si="369"/>
        <v>0</v>
      </c>
      <c r="SC47" s="59">
        <f t="shared" si="370"/>
        <v>0</v>
      </c>
      <c r="SD47" s="59">
        <f t="shared" si="371"/>
        <v>0</v>
      </c>
      <c r="SE47" s="59">
        <f t="shared" si="372"/>
        <v>0</v>
      </c>
      <c r="SF47" s="58">
        <f t="shared" si="373"/>
        <v>0</v>
      </c>
      <c r="SG47" s="45">
        <f t="shared" si="374"/>
        <v>102</v>
      </c>
      <c r="SH47" s="45">
        <f t="shared" si="597"/>
        <v>2.9489999999999998</v>
      </c>
      <c r="SI47" s="45">
        <f t="shared" si="375"/>
        <v>1</v>
      </c>
      <c r="SJ47" s="45">
        <f t="shared" si="376"/>
        <v>2</v>
      </c>
      <c r="SK47" s="45">
        <f t="shared" si="377"/>
        <v>0</v>
      </c>
      <c r="SL47" s="46" cm="1">
        <f t="array" ref="SL47">ROUND(IFERROR(INDEX(ArchiveResults!$F$5:$IX$116,ComparisonData!A47,ComparisonData!$SL$1),0),5)</f>
        <v>0</v>
      </c>
      <c r="SM47" s="46" cm="1">
        <f t="array" ref="SM47">ROUND(IFERROR(INDEX(ArchiveResults!$F$5:$IX$116,ComparisonData!A47,ComparisonData!$SM$1),0),5)</f>
        <v>0</v>
      </c>
      <c r="SN47" s="46" cm="1">
        <f t="array" ref="SN47">ROUND(IFERROR(INDEX(ArchiveResults!$F$5:$IX$116,ComparisonData!A47,ComparisonData!$SN$1),0),5)</f>
        <v>0</v>
      </c>
      <c r="SO47" s="46" cm="1">
        <f t="array" ref="SO47">ROUND(IFERROR(INDEX(ArchiveResults!$F$5:$IX$116,ComparisonData!A47,ComparisonData!$SO$1),0),5)</f>
        <v>0</v>
      </c>
      <c r="SP47" s="45" cm="1">
        <f t="array" ref="SP47">IFERROR(INDEX(ArchiveResults!$F$5:$IX$116,ComparisonData!A47,ComparisonData!$SP$1),0)</f>
        <v>0</v>
      </c>
      <c r="SQ47" s="56">
        <v>42</v>
      </c>
      <c r="SR47" s="53" t="str">
        <f t="shared" si="598"/>
        <v>Huntingdonshire Archives</v>
      </c>
      <c r="SS47" s="59">
        <f t="shared" si="378"/>
        <v>0</v>
      </c>
      <c r="ST47" s="59">
        <f t="shared" si="379"/>
        <v>0</v>
      </c>
      <c r="SU47" s="59">
        <f t="shared" si="380"/>
        <v>0</v>
      </c>
      <c r="SV47" s="59">
        <f t="shared" si="381"/>
        <v>0</v>
      </c>
      <c r="SW47" s="59">
        <f t="shared" si="382"/>
        <v>0</v>
      </c>
      <c r="SX47" s="58">
        <f t="shared" si="383"/>
        <v>0</v>
      </c>
      <c r="SY47" s="45">
        <f t="shared" si="384"/>
        <v>102</v>
      </c>
      <c r="SZ47" s="45">
        <f t="shared" si="599"/>
        <v>2.9489999999999998</v>
      </c>
      <c r="TA47" s="45">
        <f t="shared" si="385"/>
        <v>1</v>
      </c>
      <c r="TB47" s="45">
        <f t="shared" si="386"/>
        <v>2</v>
      </c>
      <c r="TC47" s="45">
        <f t="shared" si="387"/>
        <v>0</v>
      </c>
      <c r="TD47" s="46" cm="1">
        <f t="array" ref="TD47">ROUND(IFERROR(INDEX(ArchiveResults!$F$5:$IX$116,ComparisonData!A47,ComparisonData!$TD$1),0),5)</f>
        <v>0</v>
      </c>
      <c r="TE47" s="46" cm="1">
        <f t="array" ref="TE47">ROUND(IFERROR(INDEX(ArchiveResults!$F$5:$IX$116,ComparisonData!A47,ComparisonData!$TE$1),0),5)</f>
        <v>0</v>
      </c>
      <c r="TF47" s="46" cm="1">
        <f t="array" ref="TF47">ROUND(IFERROR(INDEX(ArchiveResults!$F$5:$IX$116,ComparisonData!A47,ComparisonData!$TF$1),0),5)</f>
        <v>0</v>
      </c>
      <c r="TG47" s="46" cm="1">
        <f t="array" ref="TG47">ROUND(IFERROR(INDEX(ArchiveResults!$F$5:$IX$116,ComparisonData!A47,ComparisonData!$TG$1),0),5)</f>
        <v>0</v>
      </c>
      <c r="TH47" s="45" cm="1">
        <f t="array" ref="TH47">IFERROR(INDEX(ArchiveResults!$F$5:$IX$116,ComparisonData!A47,ComparisonData!$TH$1),0)</f>
        <v>0</v>
      </c>
      <c r="TI47" s="56">
        <v>42</v>
      </c>
      <c r="TJ47" s="53" t="str">
        <f t="shared" si="600"/>
        <v>Huntingdonshire Archives</v>
      </c>
      <c r="TK47" s="59">
        <f t="shared" si="388"/>
        <v>0</v>
      </c>
      <c r="TL47" s="59">
        <f t="shared" si="389"/>
        <v>0</v>
      </c>
      <c r="TM47" s="59">
        <f t="shared" si="390"/>
        <v>0</v>
      </c>
      <c r="TN47" s="59">
        <f t="shared" si="391"/>
        <v>0</v>
      </c>
      <c r="TO47" s="59">
        <f t="shared" si="392"/>
        <v>0</v>
      </c>
      <c r="TP47" s="58">
        <f t="shared" si="393"/>
        <v>0</v>
      </c>
      <c r="TQ47" s="45">
        <f t="shared" si="394"/>
        <v>102</v>
      </c>
      <c r="TR47" s="45">
        <f t="shared" si="601"/>
        <v>2.9489999999999998</v>
      </c>
      <c r="TS47" s="45">
        <f t="shared" si="395"/>
        <v>1</v>
      </c>
      <c r="TT47" s="45">
        <f t="shared" si="396"/>
        <v>2</v>
      </c>
      <c r="TU47" s="45">
        <f t="shared" si="397"/>
        <v>0</v>
      </c>
      <c r="TV47" s="46" cm="1">
        <f t="array" ref="TV47">ROUND(IFERROR(INDEX(ArchiveResults!$F$5:$IX$116,ComparisonData!A47,ComparisonData!$TV$1),0),5)</f>
        <v>0</v>
      </c>
      <c r="TW47" s="46" cm="1">
        <f t="array" ref="TW47">ROUND(IFERROR(INDEX(ArchiveResults!$F$5:$IX$116,ComparisonData!A47,ComparisonData!$TW$1),0),5)</f>
        <v>0</v>
      </c>
      <c r="TX47" s="46" cm="1">
        <f t="array" ref="TX47">ROUND(IFERROR(INDEX(ArchiveResults!$F$5:$IX$116,ComparisonData!A47,ComparisonData!$TX$1),0),5)</f>
        <v>0</v>
      </c>
      <c r="TY47" s="46" cm="1">
        <f t="array" ref="TY47">ROUND(IFERROR(INDEX(ArchiveResults!$F$5:$IX$116,ComparisonData!A47,ComparisonData!$TY$1),0),5)</f>
        <v>0</v>
      </c>
      <c r="TZ47" s="45" cm="1">
        <f t="array" ref="TZ47">IFERROR(INDEX(ArchiveResults!$F$5:$IX$116,ComparisonData!A47,ComparisonData!$TZ$1),0)</f>
        <v>0</v>
      </c>
      <c r="UA47" s="56">
        <v>42</v>
      </c>
      <c r="UB47" s="53" t="str">
        <f t="shared" si="602"/>
        <v>Huntingdonshire Archives</v>
      </c>
      <c r="UC47" s="60">
        <f t="shared" si="398"/>
        <v>0</v>
      </c>
      <c r="UD47" s="60">
        <f t="shared" si="399"/>
        <v>0</v>
      </c>
      <c r="UE47" s="60">
        <f t="shared" si="400"/>
        <v>0</v>
      </c>
      <c r="UF47" s="60">
        <f t="shared" si="401"/>
        <v>0</v>
      </c>
      <c r="UG47" s="60">
        <f t="shared" si="402"/>
        <v>0</v>
      </c>
      <c r="UH47" s="58">
        <f t="shared" si="403"/>
        <v>0</v>
      </c>
      <c r="UI47" s="46">
        <f t="shared" si="404"/>
        <v>102</v>
      </c>
      <c r="UJ47" s="46">
        <f t="shared" si="603"/>
        <v>2.9489999999999998</v>
      </c>
      <c r="UK47" s="46">
        <f t="shared" si="405"/>
        <v>1</v>
      </c>
      <c r="UL47" s="46">
        <f t="shared" si="406"/>
        <v>2</v>
      </c>
      <c r="UM47" s="46" cm="1">
        <f t="array" ref="UM47">ROUND(IFERROR(INDEX(ArchiveResults!$F$5:$IX$116,ComparisonData!A47,ComparisonData!$UM$1),0),5)</f>
        <v>0</v>
      </c>
      <c r="UN47" s="56">
        <v>42</v>
      </c>
      <c r="UO47" s="53" t="str">
        <f t="shared" si="604"/>
        <v>Huntingdonshire Archives</v>
      </c>
      <c r="UP47" s="46">
        <f t="shared" si="407"/>
        <v>0</v>
      </c>
      <c r="UQ47" s="76">
        <f t="shared" si="408"/>
        <v>0</v>
      </c>
      <c r="UR47" s="46">
        <f t="shared" si="409"/>
        <v>102</v>
      </c>
      <c r="US47" s="46">
        <f t="shared" si="605"/>
        <v>2.9489999999999998</v>
      </c>
      <c r="UT47" s="46">
        <f t="shared" si="410"/>
        <v>1</v>
      </c>
      <c r="UU47" s="46">
        <f t="shared" si="411"/>
        <v>2</v>
      </c>
      <c r="UV47" s="46">
        <f t="shared" si="412"/>
        <v>0</v>
      </c>
      <c r="UW47" s="46" cm="1">
        <f t="array" ref="UW47">ROUND(IFERROR(INDEX(ArchiveResults!$F$5:$IX$116,ComparisonData!A47,ComparisonData!$UW$1),0),5)</f>
        <v>0</v>
      </c>
      <c r="UX47" s="46" cm="1">
        <f t="array" ref="UX47">ROUND(IFERROR(INDEX(ArchiveResults!$F$5:$IX$116,ComparisonData!A47,ComparisonData!$UX$1),0),5)</f>
        <v>0</v>
      </c>
      <c r="UY47" s="46" cm="1">
        <f t="array" ref="UY47">ROUND(IFERROR(INDEX(ArchiveResults!$F$5:$IX$116,ComparisonData!A47,ComparisonData!$UY$1),0),5)</f>
        <v>0</v>
      </c>
      <c r="UZ47" s="46" cm="1">
        <f t="array" ref="UZ47">ROUND(IFERROR(INDEX(ArchiveResults!$F$5:$IX$116,ComparisonData!A47,ComparisonData!$UZ$1),0),5)</f>
        <v>0</v>
      </c>
      <c r="VA47" s="46" cm="1">
        <f t="array" ref="VA47">ROUND(IFERROR(INDEX(ArchiveResults!$F$5:$IX$116,ComparisonData!A47,ComparisonData!$VA$1),0),5)</f>
        <v>0</v>
      </c>
      <c r="VB47" s="56">
        <v>42</v>
      </c>
      <c r="VC47" s="53" t="str">
        <f t="shared" si="606"/>
        <v>Huntingdonshire Archives</v>
      </c>
      <c r="VD47" s="60">
        <f t="shared" si="413"/>
        <v>0</v>
      </c>
      <c r="VE47" s="60">
        <f t="shared" si="414"/>
        <v>0</v>
      </c>
      <c r="VF47" s="60">
        <f t="shared" si="415"/>
        <v>0</v>
      </c>
      <c r="VG47" s="60">
        <f t="shared" si="416"/>
        <v>0</v>
      </c>
      <c r="VH47" s="60">
        <f t="shared" si="417"/>
        <v>0</v>
      </c>
      <c r="VI47" s="76">
        <f t="shared" si="418"/>
        <v>0</v>
      </c>
      <c r="VJ47" s="46">
        <f t="shared" si="419"/>
        <v>102</v>
      </c>
      <c r="VK47" s="46">
        <f t="shared" si="607"/>
        <v>2.9489999999999998</v>
      </c>
      <c r="VL47" s="46">
        <f t="shared" si="420"/>
        <v>1</v>
      </c>
      <c r="VM47" s="46">
        <f t="shared" si="421"/>
        <v>2</v>
      </c>
      <c r="VN47" s="46" cm="1">
        <f t="array" ref="VN47">ROUND(IFERROR(INDEX(ArchiveResults!$F$5:$IX$116,ComparisonData!A47,ComparisonData!$VN$1),0),5)</f>
        <v>0</v>
      </c>
      <c r="VO47" s="46" cm="1">
        <f t="array" ref="VO47">ROUND(IFERROR(INDEX(ArchiveResults!$F$5:$IX$116,ComparisonData!A47,ComparisonData!$VO$1),0),5)</f>
        <v>0</v>
      </c>
      <c r="VP47" s="46" cm="1">
        <f t="array" ref="VP47">ROUND(IFERROR(INDEX(ArchiveResults!$F$5:$IX$116,ComparisonData!A47,ComparisonData!$VP$1),0),5)</f>
        <v>0</v>
      </c>
      <c r="VQ47" s="46" cm="1">
        <f t="array" ref="VQ47">ROUND(IFERROR(INDEX(ArchiveResults!$F$5:$IX$116,ComparisonData!A47,ComparisonData!$VQ$1),0),5)</f>
        <v>0</v>
      </c>
      <c r="VR47" s="56">
        <v>42</v>
      </c>
      <c r="VS47" s="53" t="str">
        <f t="shared" si="608"/>
        <v>Huntingdonshire Archives</v>
      </c>
      <c r="VT47" s="60">
        <f t="shared" si="422"/>
        <v>0</v>
      </c>
      <c r="VU47" s="60">
        <f t="shared" si="423"/>
        <v>0</v>
      </c>
      <c r="VV47" s="60">
        <f t="shared" si="424"/>
        <v>0</v>
      </c>
      <c r="VW47" s="60">
        <f t="shared" si="425"/>
        <v>0</v>
      </c>
      <c r="VX47" s="76">
        <f t="shared" si="426"/>
        <v>0</v>
      </c>
      <c r="VY47" s="46">
        <f t="shared" si="427"/>
        <v>102</v>
      </c>
      <c r="VZ47" s="46">
        <f t="shared" si="609"/>
        <v>2.9489999999999998</v>
      </c>
      <c r="WA47" s="46">
        <f t="shared" si="428"/>
        <v>1</v>
      </c>
      <c r="WB47" s="46">
        <f t="shared" si="429"/>
        <v>2</v>
      </c>
      <c r="WC47" s="46" cm="1">
        <f t="array" ref="WC47">ROUND(IFERROR(INDEX(ArchiveResults!$F$5:$IX$116,ComparisonData!A47,ComparisonData!$WC$1),0),5)</f>
        <v>0</v>
      </c>
      <c r="WD47" s="56">
        <v>42</v>
      </c>
      <c r="WE47" s="53" t="str">
        <f t="shared" si="610"/>
        <v>Huntingdonshire Archives</v>
      </c>
      <c r="WF47" s="46">
        <f t="shared" si="430"/>
        <v>0</v>
      </c>
      <c r="WG47" s="76">
        <f t="shared" si="431"/>
        <v>0</v>
      </c>
      <c r="WH47" s="46">
        <f t="shared" si="432"/>
        <v>102</v>
      </c>
      <c r="WI47" s="46">
        <f t="shared" si="611"/>
        <v>2.9489999999999998</v>
      </c>
      <c r="WJ47" s="46">
        <f t="shared" si="433"/>
        <v>1</v>
      </c>
      <c r="WK47" s="46">
        <f t="shared" si="434"/>
        <v>2</v>
      </c>
      <c r="WL47" s="46" cm="1">
        <f t="array" ref="WL47">ROUND(IFERROR(INDEX(ArchiveResults!$F$5:$IX$116,ComparisonData!A47,ComparisonData!$WL$1),0),5)</f>
        <v>0</v>
      </c>
      <c r="WM47" s="46" cm="1">
        <f t="array" ref="WM47">IFERROR(INDEX(ArchiveResults!$F$5:$IX$116,ComparisonData!A47,ComparisonData!$WM$1),0)</f>
        <v>0</v>
      </c>
      <c r="WN47" s="56">
        <v>42</v>
      </c>
      <c r="WO47" s="53" t="str">
        <f t="shared" si="612"/>
        <v>Huntingdonshire Archives</v>
      </c>
      <c r="WP47" s="60">
        <f t="shared" si="435"/>
        <v>0</v>
      </c>
      <c r="WQ47" s="60">
        <f t="shared" si="436"/>
        <v>0</v>
      </c>
      <c r="WR47" s="76">
        <f t="shared" si="437"/>
        <v>0</v>
      </c>
      <c r="WS47" s="46">
        <f t="shared" si="438"/>
        <v>102</v>
      </c>
      <c r="WT47" s="46">
        <f t="shared" si="613"/>
        <v>2.9489999999999998</v>
      </c>
      <c r="WU47" s="46">
        <f t="shared" si="439"/>
        <v>1</v>
      </c>
      <c r="WV47" s="46">
        <f t="shared" si="440"/>
        <v>2</v>
      </c>
      <c r="WW47" s="46" cm="1">
        <f t="array" ref="WW47">ROUND(VALUE(IFERROR(INDEX(ArchiveResults!$F$5:$IX$116,ComparisonData!A47,ComparisonData!$WW$1),0)),5)</f>
        <v>0</v>
      </c>
      <c r="WX47" s="46" cm="1">
        <f t="array" ref="WX47">ROUND(IFERROR(INDEX(ArchiveResults!$F$5:$IX$116,ComparisonData!A47,ComparisonData!$WX$1),0),5)</f>
        <v>0</v>
      </c>
      <c r="WY47" s="56">
        <v>42</v>
      </c>
      <c r="WZ47" s="53" t="str">
        <f t="shared" si="614"/>
        <v>Huntingdonshire Archives</v>
      </c>
      <c r="XA47" s="60">
        <f t="shared" si="615"/>
        <v>0</v>
      </c>
      <c r="XB47" s="60">
        <f t="shared" si="616"/>
        <v>0</v>
      </c>
      <c r="XC47" s="76">
        <f t="shared" si="441"/>
        <v>0</v>
      </c>
      <c r="XD47" s="46">
        <f t="shared" si="442"/>
        <v>102</v>
      </c>
      <c r="XE47" s="46">
        <f t="shared" si="617"/>
        <v>2.9489999999999998</v>
      </c>
      <c r="XF47" s="46">
        <f t="shared" si="443"/>
        <v>1</v>
      </c>
      <c r="XG47" s="46">
        <f t="shared" si="444"/>
        <v>2</v>
      </c>
      <c r="XH47" s="46" cm="1">
        <f t="array" ref="XH47">ROUND(VALUE(IFERROR(INDEX(ArchiveResults!$F$5:$IX$116,ComparisonData!A47,ComparisonData!$XH$1),0)),5)</f>
        <v>0</v>
      </c>
      <c r="XI47" s="46" cm="1">
        <f t="array" ref="XI47">ROUND(VALUE(IFERROR(INDEX(ArchiveResults!$F$5:$IX$116,ComparisonData!A47,ComparisonData!$XI$1),0)),5)</f>
        <v>0</v>
      </c>
      <c r="XJ47" s="56">
        <v>42</v>
      </c>
      <c r="XK47" s="53" t="str">
        <f t="shared" si="618"/>
        <v>Huntingdonshire Archives</v>
      </c>
      <c r="XL47" s="60">
        <f t="shared" si="445"/>
        <v>0</v>
      </c>
      <c r="XM47" s="60">
        <f t="shared" si="446"/>
        <v>0</v>
      </c>
      <c r="XN47" s="76">
        <f t="shared" si="447"/>
        <v>0</v>
      </c>
      <c r="XO47" s="46">
        <f t="shared" si="448"/>
        <v>102</v>
      </c>
      <c r="XP47" s="46">
        <f t="shared" si="619"/>
        <v>2.9489999999999998</v>
      </c>
      <c r="XQ47" s="46">
        <f t="shared" si="449"/>
        <v>1</v>
      </c>
      <c r="XR47" s="46">
        <f t="shared" si="450"/>
        <v>2</v>
      </c>
      <c r="XS47" s="46" cm="1">
        <f t="array" ref="XS47">ROUND(VALUE(IFERROR(INDEX(ArchiveResults!$F$5:$IX$116,ComparisonData!A47,ComparisonData!$XS$1),0)),5)</f>
        <v>0</v>
      </c>
      <c r="XT47" s="46" cm="1">
        <f t="array" ref="XT47">ROUND(VALUE(IFERROR(INDEX(ArchiveResults!$F$5:$IX$116,ComparisonData!A47,ComparisonData!$XT$1),0)),5)</f>
        <v>0</v>
      </c>
      <c r="XU47" s="56">
        <v>42</v>
      </c>
      <c r="XV47" s="53" t="str">
        <f t="shared" si="620"/>
        <v>Huntingdonshire Archives</v>
      </c>
      <c r="XW47" s="60">
        <f t="shared" si="451"/>
        <v>0</v>
      </c>
      <c r="XX47" s="60">
        <f t="shared" si="452"/>
        <v>0</v>
      </c>
      <c r="XY47" s="76">
        <f t="shared" si="453"/>
        <v>0</v>
      </c>
      <c r="XZ47" s="46">
        <f t="shared" si="454"/>
        <v>102</v>
      </c>
      <c r="YA47" s="46">
        <f t="shared" si="621"/>
        <v>2.9489999999999998</v>
      </c>
      <c r="YB47" s="46">
        <f t="shared" si="455"/>
        <v>1</v>
      </c>
      <c r="YC47" s="46">
        <f t="shared" si="456"/>
        <v>2</v>
      </c>
      <c r="YD47" s="46" cm="1">
        <f t="array" ref="YD47">ROUND(VALUE(IFERROR(INDEX(ArchiveResults!$F$5:$IX$116,ComparisonData!A47,ComparisonData!$YD$1),0)),5)</f>
        <v>0</v>
      </c>
      <c r="YE47" s="46" cm="1">
        <f t="array" ref="YE47">ROUND(VALUE(IFERROR(INDEX(ArchiveResults!$F$5:$IX$116,ComparisonData!A47,ComparisonData!$YE$1),0)),5)</f>
        <v>0</v>
      </c>
      <c r="YF47" s="56">
        <v>42</v>
      </c>
      <c r="YG47" s="53" t="str">
        <f t="shared" si="622"/>
        <v>Huntingdonshire Archives</v>
      </c>
      <c r="YH47" s="60">
        <f t="shared" si="457"/>
        <v>0</v>
      </c>
      <c r="YI47" s="60">
        <f t="shared" si="458"/>
        <v>0</v>
      </c>
      <c r="YJ47" s="76">
        <f t="shared" si="459"/>
        <v>0</v>
      </c>
      <c r="YK47" s="46">
        <f t="shared" si="460"/>
        <v>102</v>
      </c>
      <c r="YL47" s="46">
        <f t="shared" si="623"/>
        <v>2.9489999999999998</v>
      </c>
      <c r="YM47" s="46">
        <f t="shared" si="461"/>
        <v>1</v>
      </c>
      <c r="YN47" s="46">
        <f t="shared" si="462"/>
        <v>2</v>
      </c>
      <c r="YO47" s="46" cm="1">
        <f t="array" ref="YO47">ROUND(VALUE(IFERROR(INDEX(ArchiveResults!$F$5:$IX$116,ComparisonData!A47,ComparisonData!$YO$1),0)),5)</f>
        <v>0</v>
      </c>
      <c r="YP47" s="46" cm="1">
        <f t="array" ref="YP47">ROUND(VALUE(IFERROR(INDEX(ArchiveResults!$F$5:$IX$116,ComparisonData!A47,ComparisonData!$YP$1),0)),5)</f>
        <v>0</v>
      </c>
      <c r="YQ47" s="56">
        <v>42</v>
      </c>
      <c r="YR47" s="53" t="str">
        <f t="shared" si="624"/>
        <v>Huntingdonshire Archives</v>
      </c>
      <c r="YS47" s="60">
        <f t="shared" si="463"/>
        <v>0</v>
      </c>
      <c r="YT47" s="60">
        <f t="shared" si="464"/>
        <v>0</v>
      </c>
      <c r="YU47" s="76">
        <f t="shared" si="465"/>
        <v>0</v>
      </c>
      <c r="YV47" s="46">
        <f t="shared" si="466"/>
        <v>102</v>
      </c>
      <c r="YW47" s="46">
        <f t="shared" si="625"/>
        <v>2.9489999999999998</v>
      </c>
      <c r="YX47" s="46">
        <f t="shared" si="467"/>
        <v>1</v>
      </c>
      <c r="YY47" s="46">
        <f t="shared" si="468"/>
        <v>2</v>
      </c>
      <c r="YZ47" s="46">
        <f t="shared" si="469"/>
        <v>0</v>
      </c>
      <c r="ZA47" s="46" cm="1">
        <f t="array" ref="ZA47">ROUNDDOWN(VALUE(IFERROR(INDEX(ArchiveResults!$F$5:$IX$116,ComparisonData!A47,ComparisonData!$ZA$1),0)),5)</f>
        <v>0</v>
      </c>
      <c r="ZB47" s="46" cm="1">
        <f t="array" ref="ZB47">ROUNDDOWN(VALUE(IFERROR(INDEX(ArchiveResults!$F$5:$IX$116,ComparisonData!A47,ComparisonData!$ZB$1),0)),5)</f>
        <v>0</v>
      </c>
      <c r="ZC47" s="46" cm="1">
        <f t="array" ref="ZC47">ROUNDDOWN(VALUE(IFERROR(INDEX(ArchiveResults!$F$5:$IX$116,ComparisonData!A47,ComparisonData!$ZC$1),0)),5)</f>
        <v>0</v>
      </c>
      <c r="ZD47" s="46" cm="1">
        <f t="array" ref="ZD47">ROUNDDOWN(VALUE(IFERROR(INDEX(ArchiveResults!$F$5:$IX$116,ComparisonData!A47,ComparisonData!$ZD$1),0)),5)</f>
        <v>0</v>
      </c>
      <c r="ZE47" s="46" cm="1">
        <f t="array" ref="ZE47">ROUNDDOWN(VALUE(IFERROR(INDEX(ArchiveResults!$F$5:$IX$116,ComparisonData!A47,ComparisonData!$ZE$1),0)),5)</f>
        <v>0</v>
      </c>
      <c r="ZF47" s="56">
        <v>42</v>
      </c>
      <c r="ZG47" s="53" t="str">
        <f t="shared" si="626"/>
        <v>Huntingdonshire Archives</v>
      </c>
      <c r="ZH47" s="60">
        <f t="shared" si="470"/>
        <v>0</v>
      </c>
      <c r="ZI47" s="60">
        <f t="shared" si="471"/>
        <v>0</v>
      </c>
      <c r="ZJ47" s="60">
        <f t="shared" si="472"/>
        <v>0</v>
      </c>
      <c r="ZK47" s="60">
        <f t="shared" si="473"/>
        <v>0</v>
      </c>
      <c r="ZL47" s="60">
        <f t="shared" si="474"/>
        <v>0</v>
      </c>
      <c r="ZM47" s="76">
        <f t="shared" si="475"/>
        <v>0</v>
      </c>
      <c r="ZN47" s="46">
        <f t="shared" si="476"/>
        <v>102</v>
      </c>
      <c r="ZO47" s="46">
        <f t="shared" si="627"/>
        <v>2.9489999999999998</v>
      </c>
      <c r="ZP47" s="46">
        <f t="shared" si="477"/>
        <v>1</v>
      </c>
      <c r="ZQ47" s="46">
        <f t="shared" si="478"/>
        <v>2</v>
      </c>
      <c r="ZR47" s="46" cm="1">
        <f t="array" ref="ZR47">ROUND(VALUE(IFERROR(INDEX(ArchiveResults!$F$5:$IX$116,ComparisonData!A47,ComparisonData!$ZR$1),0)),5)</f>
        <v>0</v>
      </c>
      <c r="ZS47" s="56">
        <v>42</v>
      </c>
      <c r="ZT47" s="53" t="str">
        <f t="shared" si="628"/>
        <v>Huntingdonshire Archives</v>
      </c>
      <c r="ZU47" s="46">
        <f t="shared" si="479"/>
        <v>0</v>
      </c>
      <c r="ZV47" s="76">
        <f t="shared" si="480"/>
        <v>0</v>
      </c>
      <c r="ZW47" s="81" cm="1">
        <f t="array" ref="ZW47">ROUND((IFERROR(INDEX(ArchiveResults!$F$5:$IX$116,ComparisonData!A47,ComparisonData!$ZW$1),0)),5)</f>
        <v>0</v>
      </c>
      <c r="ZX47" s="81" cm="1">
        <f t="array" ref="ZX47">ROUND((IFERROR(INDEX(ArchiveResults!$F$5:$IX$116,ComparisonData!A47,ComparisonData!$ZX$1),0)),5)</f>
        <v>0</v>
      </c>
      <c r="ZY47" s="81" cm="1">
        <f t="array" ref="ZY47">ROUND((IFERROR(INDEX(ArchiveResults!$F$5:$IX$116,ComparisonData!A47,ComparisonData!$ZY$1),0)),5)</f>
        <v>0</v>
      </c>
      <c r="ZZ47" s="81" cm="1">
        <f t="array" ref="ZZ47">ROUND((IFERROR(INDEX(ArchiveResults!$F$5:$IX$116,ComparisonData!A47,ComparisonData!$ZZ$1),0)),5)</f>
        <v>0</v>
      </c>
      <c r="AAA47" s="81" cm="1">
        <f t="array" ref="AAA47">ROUND((IFERROR(INDEX(ArchiveResults!$F$5:$IX$116,ComparisonData!A47,ComparisonData!$AAA$1),0)),5)</f>
        <v>0</v>
      </c>
      <c r="AAB47" s="81" cm="1">
        <f t="array" ref="AAB47">ROUND((IFERROR(INDEX(ArchiveResults!$F$5:$IX$116,ComparisonData!A47,ComparisonData!$AAB$1),0)),5)</f>
        <v>0</v>
      </c>
      <c r="AAC47" s="81" cm="1">
        <f t="array" ref="AAC47">ROUND((IFERROR(INDEX(ArchiveResults!$F$5:$IX$116,ComparisonData!A47,ComparisonData!$AAC$1),0)),5)</f>
        <v>0</v>
      </c>
      <c r="AAD47" s="81" cm="1">
        <f t="array" ref="AAD47">ROUND((IFERROR(INDEX(ArchiveResults!$F$5:$IX$116,ComparisonData!A47,ComparisonData!$AAD$1),0)),5)</f>
        <v>0</v>
      </c>
      <c r="AAE47" s="81" cm="1">
        <f t="array" ref="AAE47">ROUND((IFERROR(INDEX(ArchiveResults!$F$5:$IX$116,ComparisonData!A47,ComparisonData!$AAE$1),0)),5)</f>
        <v>0</v>
      </c>
      <c r="AAF47" s="81" cm="1">
        <f t="array" ref="AAF47">ROUND((IFERROR(INDEX(ArchiveResults!$F$5:$IX$116,ComparisonData!A47,ComparisonData!$AAF$1),0)),5)</f>
        <v>0</v>
      </c>
      <c r="AAG47" s="46">
        <f t="shared" si="481"/>
        <v>102</v>
      </c>
      <c r="AAH47" s="46">
        <f t="shared" si="629"/>
        <v>2.9489999999999998</v>
      </c>
      <c r="AAI47" s="46">
        <f t="shared" si="482"/>
        <v>1</v>
      </c>
      <c r="AAJ47" s="46">
        <f t="shared" si="483"/>
        <v>2</v>
      </c>
      <c r="AAK47" s="46">
        <f t="shared" si="484"/>
        <v>0</v>
      </c>
      <c r="AAL47" s="46">
        <f t="shared" si="485"/>
        <v>0</v>
      </c>
      <c r="AAM47" s="46">
        <f t="shared" si="486"/>
        <v>0</v>
      </c>
      <c r="AAN47" s="46">
        <f t="shared" si="487"/>
        <v>0</v>
      </c>
      <c r="AAO47" s="46">
        <f t="shared" si="488"/>
        <v>0</v>
      </c>
      <c r="AAP47" s="46">
        <f t="shared" si="489"/>
        <v>0</v>
      </c>
      <c r="AAQ47" s="56">
        <v>42</v>
      </c>
      <c r="AAR47" s="53" t="str">
        <f t="shared" si="630"/>
        <v>Huntingdonshire Archives</v>
      </c>
      <c r="AAS47" s="60">
        <f t="shared" si="490"/>
        <v>0</v>
      </c>
      <c r="AAT47" s="60">
        <f t="shared" si="491"/>
        <v>0</v>
      </c>
      <c r="AAU47" s="60">
        <f t="shared" si="492"/>
        <v>0</v>
      </c>
      <c r="AAV47" s="60">
        <f t="shared" si="493"/>
        <v>0</v>
      </c>
      <c r="AAW47" s="60">
        <f t="shared" si="494"/>
        <v>0</v>
      </c>
      <c r="AAX47" s="76">
        <f t="shared" si="495"/>
        <v>0</v>
      </c>
      <c r="AAY47" s="46">
        <f t="shared" si="496"/>
        <v>102</v>
      </c>
      <c r="AAZ47" s="46">
        <f t="shared" si="631"/>
        <v>2.9489999999999998</v>
      </c>
      <c r="ABA47" s="46">
        <f t="shared" si="497"/>
        <v>1</v>
      </c>
      <c r="ABB47" s="46">
        <f t="shared" si="498"/>
        <v>2</v>
      </c>
      <c r="ABC47" s="46">
        <f t="shared" si="102"/>
        <v>0</v>
      </c>
      <c r="ABD47" s="46" cm="1">
        <f t="array" ref="ABD47">ROUND(VALUE(IFERROR(INDEX(ArchiveResults!$F$5:$IX$116,ComparisonData!A47,ComparisonData!$ABD$1),0)),5)</f>
        <v>0</v>
      </c>
      <c r="ABE47" s="46" cm="1">
        <f t="array" ref="ABE47">ROUND(VALUE(IFERROR(INDEX(ArchiveResults!$F$5:$IX$116,ComparisonData!A47,ComparisonData!$ABE$1),0)),5)</f>
        <v>0</v>
      </c>
      <c r="ABF47" s="46" cm="1">
        <f t="array" ref="ABF47">ROUND(VALUE(IFERROR(INDEX(ArchiveResults!$F$5:$IX$116,ComparisonData!A47,ComparisonData!$ABF$1),0)),5)</f>
        <v>0</v>
      </c>
      <c r="ABG47" s="46" cm="1">
        <f t="array" ref="ABG47">ROUND(VALUE(IFERROR(INDEX(ArchiveResults!$F$5:$IX$116,ComparisonData!A47,ComparisonData!$ABG$1),0)),5)</f>
        <v>0</v>
      </c>
      <c r="ABH47" s="46" cm="1">
        <f t="array" ref="ABH47">ROUND(VALUE(IFERROR(INDEX(ArchiveResults!$F$5:$IX$116,ComparisonData!A47,ComparisonData!$ABH$1),0)),5)</f>
        <v>0</v>
      </c>
      <c r="ABI47" s="56">
        <v>42</v>
      </c>
      <c r="ABJ47" s="53" t="str">
        <f t="shared" si="632"/>
        <v>Huntingdonshire Archives</v>
      </c>
      <c r="ABK47" s="60">
        <f t="shared" si="499"/>
        <v>0</v>
      </c>
      <c r="ABL47" s="60">
        <f t="shared" si="500"/>
        <v>0</v>
      </c>
      <c r="ABM47" s="60">
        <f t="shared" si="501"/>
        <v>0</v>
      </c>
      <c r="ABN47" s="60">
        <f t="shared" si="502"/>
        <v>0</v>
      </c>
      <c r="ABO47" s="60">
        <f t="shared" si="503"/>
        <v>0</v>
      </c>
      <c r="ABP47" s="76">
        <f t="shared" si="504"/>
        <v>0</v>
      </c>
      <c r="ABQ47" s="46">
        <f t="shared" si="505"/>
        <v>102</v>
      </c>
      <c r="ABR47" s="46">
        <f t="shared" si="633"/>
        <v>2.9489999999999998</v>
      </c>
      <c r="ABS47" s="46">
        <f t="shared" si="506"/>
        <v>1</v>
      </c>
      <c r="ABT47" s="46">
        <f t="shared" si="507"/>
        <v>2</v>
      </c>
      <c r="ABU47" s="46" cm="1">
        <f t="array" ref="ABU47">ROUND(VALUE(IFERROR(INDEX(ArchiveResults!$F$5:$IX$116,ComparisonData!A47,ComparisonData!$ABU$1),0)),5)</f>
        <v>0</v>
      </c>
      <c r="ABV47" s="46" cm="1">
        <f t="array" ref="ABV47">ROUND(VALUE(IFERROR(INDEX(ArchiveResults!$F$5:$IX$116,ComparisonData!A47,ComparisonData!$ABV$1),0)),5)</f>
        <v>0</v>
      </c>
      <c r="ABW47" s="46" cm="1">
        <f t="array" ref="ABW47">ROUND(VALUE(IFERROR(INDEX(ArchiveResults!$F$5:$IX$116,ComparisonData!A47,ComparisonData!$ABW$1),0)),5)</f>
        <v>0</v>
      </c>
      <c r="ABX47" s="46" cm="1">
        <f t="array" ref="ABX47">ROUND(VALUE(IFERROR(INDEX(ArchiveResults!$F$5:$IX$116,ComparisonData!A47,ComparisonData!$ABX$1),0)),5)</f>
        <v>0</v>
      </c>
      <c r="ABY47" s="46" cm="1">
        <f t="array" ref="ABY47">ROUND(VALUE(IFERROR(INDEX(ArchiveResults!$F$5:$IX$116,ComparisonData!A47,ComparisonData!$ABY$1),0)),5)</f>
        <v>0</v>
      </c>
      <c r="ABZ47" s="56">
        <v>42</v>
      </c>
      <c r="ACA47" s="53" t="str">
        <f t="shared" si="634"/>
        <v>Huntingdonshire Archives</v>
      </c>
      <c r="ACB47" s="60">
        <f t="shared" si="508"/>
        <v>0</v>
      </c>
      <c r="ACC47" s="60">
        <f t="shared" si="509"/>
        <v>0</v>
      </c>
      <c r="ACD47" s="60">
        <f t="shared" si="510"/>
        <v>0</v>
      </c>
      <c r="ACE47" s="60">
        <f t="shared" si="511"/>
        <v>0</v>
      </c>
      <c r="ACF47" s="60">
        <f t="shared" si="512"/>
        <v>0</v>
      </c>
      <c r="ACG47" s="76">
        <f t="shared" si="513"/>
        <v>0</v>
      </c>
      <c r="ACH47" s="46">
        <f t="shared" si="514"/>
        <v>102</v>
      </c>
      <c r="ACI47" s="46">
        <f t="shared" si="635"/>
        <v>2.9489999999999998</v>
      </c>
      <c r="ACJ47" s="46">
        <f t="shared" si="515"/>
        <v>1</v>
      </c>
      <c r="ACK47" s="46">
        <f t="shared" si="516"/>
        <v>2</v>
      </c>
      <c r="ACL47" s="46">
        <f t="shared" si="517"/>
        <v>0</v>
      </c>
      <c r="ACM47" s="46" cm="1">
        <f t="array" ref="ACM47">ROUND(IFERROR(INDEX(ArchiveResults!$F$5:$IX$116,ComparisonData!A47,ComparisonData!$ACM$1),0),5)</f>
        <v>0</v>
      </c>
      <c r="ACN47" s="46" cm="1">
        <f t="array" ref="ACN47">ROUND(IFERROR(INDEX(ArchiveResults!$F$5:$IX$116,ComparisonData!A47,ComparisonData!$ACN$1),0),5)</f>
        <v>0</v>
      </c>
      <c r="ACO47" s="56">
        <v>42</v>
      </c>
      <c r="ACP47" s="53" t="str">
        <f t="shared" si="636"/>
        <v>Huntingdonshire Archives</v>
      </c>
      <c r="ACQ47" s="60">
        <f t="shared" si="518"/>
        <v>0</v>
      </c>
      <c r="ACR47" s="60">
        <f t="shared" si="519"/>
        <v>0</v>
      </c>
      <c r="ACS47" s="76">
        <f t="shared" si="520"/>
        <v>0</v>
      </c>
      <c r="ACT47" s="46">
        <f t="shared" si="521"/>
        <v>102</v>
      </c>
      <c r="ACU47" s="46">
        <f t="shared" si="637"/>
        <v>2.9489999999999998</v>
      </c>
      <c r="ACV47" s="46">
        <f t="shared" si="522"/>
        <v>1</v>
      </c>
      <c r="ACW47" s="46">
        <f t="shared" si="523"/>
        <v>2</v>
      </c>
      <c r="ACX47" s="46">
        <f t="shared" si="524"/>
        <v>0</v>
      </c>
      <c r="ACY47" s="46" cm="1">
        <f t="array" ref="ACY47">ROUNDDOWN(IFERROR(INDEX(ArchiveResults!$F$5:$IX$116,ComparisonData!A47,ComparisonData!$ACY$1),0),5)</f>
        <v>0</v>
      </c>
      <c r="ACZ47" s="46" cm="1">
        <f t="array" ref="ACZ47">ROUNDDOWN(IFERROR(INDEX(ArchiveResults!$F$5:$IX$116,ComparisonData!A47,ComparisonData!$ACZ$1),0),5)</f>
        <v>0</v>
      </c>
      <c r="ADA47" s="46" cm="1">
        <f t="array" ref="ADA47">ROUNDDOWN(IFERROR(INDEX(ArchiveResults!$F$5:$IX$116,ComparisonData!A47,ComparisonData!$ADA$1),0),5)</f>
        <v>0</v>
      </c>
      <c r="ADB47" s="56">
        <v>42</v>
      </c>
      <c r="ADC47" s="53" t="str">
        <f t="shared" si="638"/>
        <v>Huntingdonshire Archives</v>
      </c>
      <c r="ADD47" s="60">
        <f t="shared" si="525"/>
        <v>0</v>
      </c>
      <c r="ADE47" s="60">
        <f t="shared" si="526"/>
        <v>0</v>
      </c>
      <c r="ADF47" s="60">
        <f t="shared" si="527"/>
        <v>0</v>
      </c>
      <c r="ADG47" s="76">
        <f t="shared" si="528"/>
        <v>0</v>
      </c>
    </row>
    <row r="48" spans="1:787" x14ac:dyDescent="0.25">
      <c r="A48" s="46" t="str">
        <f>IF(ISBLANK(ComparisonSelection!F44),"",ROW()-5)</f>
        <v/>
      </c>
      <c r="B48" s="53" t="s">
        <v>497</v>
      </c>
      <c r="C48" s="72">
        <v>0.71899999999999975</v>
      </c>
      <c r="D48" s="55">
        <f t="shared" si="110"/>
        <v>57</v>
      </c>
      <c r="E48" s="54">
        <f t="shared" si="111"/>
        <v>2.7189999999999999</v>
      </c>
      <c r="F48" s="54">
        <f t="shared" si="529"/>
        <v>1</v>
      </c>
      <c r="G48" s="72">
        <f t="shared" si="112"/>
        <v>2</v>
      </c>
      <c r="H48" s="72">
        <f t="shared" si="113"/>
        <v>0</v>
      </c>
      <c r="I48" s="46" cm="1">
        <f t="array" ref="I48">ROUND(IFERROR(INDEX(ArchiveResults!$F$5:$IX$116,ComparisonData!A48,ComparisonData!$I$1),0),5)</f>
        <v>0</v>
      </c>
      <c r="J48" s="46" cm="1">
        <f t="array" ref="J48">ROUND(IFERROR(INDEX(ArchiveResults!$F$5:$IX$116,ComparisonData!A48,ComparisonData!$J$1),0),5)</f>
        <v>0</v>
      </c>
      <c r="K48" s="56">
        <v>43</v>
      </c>
      <c r="L48" s="53" t="str">
        <f t="shared" si="114"/>
        <v>Jersey Archive</v>
      </c>
      <c r="M48" s="57">
        <f t="shared" si="530"/>
        <v>0</v>
      </c>
      <c r="N48" s="57">
        <f t="shared" si="531"/>
        <v>0</v>
      </c>
      <c r="O48" s="58">
        <f t="shared" si="115"/>
        <v>0</v>
      </c>
      <c r="P48" s="48">
        <f t="shared" si="116"/>
        <v>57</v>
      </c>
      <c r="Q48" s="54">
        <f t="shared" si="532"/>
        <v>2.7189999999999999</v>
      </c>
      <c r="R48" s="45">
        <f t="shared" si="117"/>
        <v>1</v>
      </c>
      <c r="S48" s="46">
        <f t="shared" si="118"/>
        <v>2</v>
      </c>
      <c r="T48" s="72">
        <f t="shared" si="119"/>
        <v>0</v>
      </c>
      <c r="U48" s="46" cm="1">
        <f t="array" ref="U48">ROUND(IFERROR(INDEX(ArchiveResults!$F$5:$IX$116,ComparisonData!A48,ComparisonData!$U$1),0),5)</f>
        <v>0</v>
      </c>
      <c r="V48" s="46" cm="1">
        <f t="array" ref="V48">ROUND(IFERROR(INDEX(ArchiveResults!$F$5:$IX$116,ComparisonData!A48,ComparisonData!$V$1),0),5)</f>
        <v>0</v>
      </c>
      <c r="W48" s="56">
        <v>43</v>
      </c>
      <c r="X48" s="53" t="str">
        <f t="shared" si="533"/>
        <v>Jersey Archive</v>
      </c>
      <c r="Y48" s="57">
        <f t="shared" si="120"/>
        <v>0</v>
      </c>
      <c r="Z48" s="57">
        <f t="shared" si="121"/>
        <v>0</v>
      </c>
      <c r="AA48" s="58">
        <f t="shared" si="122"/>
        <v>0</v>
      </c>
      <c r="AB48" s="45">
        <f t="shared" si="123"/>
        <v>57</v>
      </c>
      <c r="AC48" s="54">
        <f t="shared" si="534"/>
        <v>2.7189999999999999</v>
      </c>
      <c r="AD48" s="45">
        <f t="shared" si="124"/>
        <v>1</v>
      </c>
      <c r="AE48" s="45">
        <f t="shared" si="125"/>
        <v>2</v>
      </c>
      <c r="AF48" s="45">
        <f t="shared" si="126"/>
        <v>0</v>
      </c>
      <c r="AG48" s="46" cm="1">
        <f t="array" ref="AG48">ROUND(IFERROR(INDEX(ArchiveResults!$F$5:$IX$116,ComparisonData!A48,ComparisonData!$AG$1),0),5)</f>
        <v>0</v>
      </c>
      <c r="AH48" s="46" cm="1">
        <f t="array" ref="AH48">ROUND(IFERROR(INDEX(ArchiveResults!$F$5:$IX$116,ComparisonData!A48,ComparisonData!$AH$1),0),5)</f>
        <v>0</v>
      </c>
      <c r="AI48" s="56">
        <v>43</v>
      </c>
      <c r="AJ48" s="53" t="str">
        <f t="shared" si="535"/>
        <v>Jersey Archive</v>
      </c>
      <c r="AK48" s="59">
        <f t="shared" si="536"/>
        <v>0</v>
      </c>
      <c r="AL48" s="59">
        <f t="shared" si="537"/>
        <v>0</v>
      </c>
      <c r="AM48" s="58">
        <f t="shared" si="127"/>
        <v>0</v>
      </c>
      <c r="AN48" s="45">
        <f t="shared" si="128"/>
        <v>57</v>
      </c>
      <c r="AO48" s="54">
        <f t="shared" si="538"/>
        <v>2.7189999999999999</v>
      </c>
      <c r="AP48" s="45">
        <f t="shared" si="129"/>
        <v>1</v>
      </c>
      <c r="AQ48" s="45">
        <f t="shared" si="130"/>
        <v>2</v>
      </c>
      <c r="AR48" s="46" cm="1">
        <f t="array" ref="AR48">ROUND(IFERROR(INDEX(ArchiveResults!$F$5:$IX$116,ComparisonData!A48,ComparisonData!$AR$1),0),5)</f>
        <v>0</v>
      </c>
      <c r="AS48" s="46" cm="1">
        <f t="array" ref="AS48">ROUND(IFERROR(INDEX(ArchiveResults!$F$5:$IX$116,ComparisonData!A48,ComparisonData!$AS$1),0),5)</f>
        <v>0</v>
      </c>
      <c r="AT48" s="46" cm="1">
        <f t="array" ref="AT48">ROUND(IFERROR(INDEX(ArchiveResults!$F$5:$IX$116,ComparisonData!A48,ComparisonData!$AT$1),0),5)</f>
        <v>0</v>
      </c>
      <c r="AU48" s="46" cm="1">
        <f t="array" ref="AU48">ROUND(IFERROR(INDEX(ArchiveResults!$F$5:$IX$116,ComparisonData!A48,ComparisonData!$AU$1),0),5)</f>
        <v>0</v>
      </c>
      <c r="AV48" s="46" cm="1">
        <f t="array" ref="AV48">ROUND(IFERROR(INDEX(ArchiveResults!$F$5:$IX$116,ComparisonData!A48,ComparisonData!$AV$1),0),5)</f>
        <v>0</v>
      </c>
      <c r="AW48" s="46" cm="1">
        <f t="array" ref="AW48">ROUND(IFERROR(INDEX(ArchiveResults!$F$5:$IX$116,ComparisonData!A48,ComparisonData!$AW$1),0),5)</f>
        <v>0</v>
      </c>
      <c r="AX48" s="46" cm="1">
        <f t="array" ref="AX48">ROUND(IFERROR(INDEX(ArchiveResults!$F$5:$IX$116,ComparisonData!A48,ComparisonData!$AX$1),0),5)</f>
        <v>0</v>
      </c>
      <c r="AY48" s="46" cm="1">
        <f t="array" ref="AY48">ROUND(IFERROR(INDEX(ArchiveResults!$F$5:$IX$116,ComparisonData!A48,ComparisonData!$AY$1),0),5)</f>
        <v>0</v>
      </c>
      <c r="AZ48" s="46" cm="1">
        <f t="array" ref="AZ48">ROUND(IFERROR(INDEX(ArchiveResults!$F$5:$IX$116,ComparisonData!A48,ComparisonData!$AZ$1),0),5)</f>
        <v>0</v>
      </c>
      <c r="BA48" s="46" cm="1">
        <f t="array" ref="BA48">ROUND(IFERROR(INDEX(ArchiveResults!$F$5:$IX$116,ComparisonData!A48,ComparisonData!$BA$1),0),5)</f>
        <v>0</v>
      </c>
      <c r="BB48" s="56">
        <v>43</v>
      </c>
      <c r="BC48" s="53" t="str">
        <f t="shared" si="539"/>
        <v>Jersey Archive</v>
      </c>
      <c r="BD48" s="60">
        <f t="shared" si="131"/>
        <v>0</v>
      </c>
      <c r="BE48" s="60">
        <f t="shared" si="132"/>
        <v>0</v>
      </c>
      <c r="BF48" s="60">
        <f t="shared" si="133"/>
        <v>0</v>
      </c>
      <c r="BG48" s="60">
        <f t="shared" si="134"/>
        <v>0</v>
      </c>
      <c r="BH48" s="60">
        <f t="shared" si="135"/>
        <v>0</v>
      </c>
      <c r="BI48" s="60">
        <f t="shared" si="136"/>
        <v>0</v>
      </c>
      <c r="BJ48" s="60">
        <f t="shared" si="137"/>
        <v>0</v>
      </c>
      <c r="BK48" s="60">
        <f t="shared" si="138"/>
        <v>0</v>
      </c>
      <c r="BL48" s="60">
        <f t="shared" si="139"/>
        <v>0</v>
      </c>
      <c r="BM48" s="59">
        <f t="shared" si="140"/>
        <v>0</v>
      </c>
      <c r="BN48" s="58">
        <f t="shared" si="141"/>
        <v>0</v>
      </c>
      <c r="BO48" s="45">
        <f t="shared" si="142"/>
        <v>57</v>
      </c>
      <c r="BP48" s="54">
        <f t="shared" si="540"/>
        <v>2.7189999999999999</v>
      </c>
      <c r="BQ48" s="45">
        <f t="shared" si="143"/>
        <v>1</v>
      </c>
      <c r="BR48" s="45">
        <f t="shared" si="144"/>
        <v>2</v>
      </c>
      <c r="BS48" s="46" cm="1">
        <f t="array" ref="BS48">ROUND(IFERROR(INDEX(ArchiveResults!$F$5:$IX$116,ComparisonData!A48,ComparisonData!$BS$1),0),5)</f>
        <v>0</v>
      </c>
      <c r="BT48" s="46" cm="1">
        <f t="array" ref="BT48">ROUND(IFERROR(INDEX(ArchiveResults!$F$5:$IX$116,ComparisonData!A48,ComparisonData!$BT$1),0),5)</f>
        <v>0</v>
      </c>
      <c r="BU48" s="46" cm="1">
        <f t="array" ref="BU48">ROUND(IFERROR(INDEX(ArchiveResults!$F$5:$IX$116,ComparisonData!A48,ComparisonData!$BU$1),0),5)</f>
        <v>0</v>
      </c>
      <c r="BV48" s="46" cm="1">
        <f t="array" ref="BV48">ROUND(IFERROR(INDEX(ArchiveResults!$F$5:$IX$116,ComparisonData!A48,ComparisonData!$BV$1),0),5)</f>
        <v>0</v>
      </c>
      <c r="BW48" s="46" cm="1">
        <f t="array" ref="BW48">ROUND(IFERROR(INDEX(ArchiveResults!$F$5:$IX$116,ComparisonData!A48,ComparisonData!$BW$1),0),5)</f>
        <v>0</v>
      </c>
      <c r="BX48" s="46" cm="1">
        <f t="array" ref="BX48">ROUND(IFERROR(INDEX(ArchiveResults!$F$5:$IX$116,ComparisonData!A48,ComparisonData!$BX$1),0),5)</f>
        <v>0</v>
      </c>
      <c r="BY48" s="56">
        <v>43</v>
      </c>
      <c r="BZ48" s="53" t="str">
        <f t="shared" si="541"/>
        <v>Jersey Archive</v>
      </c>
      <c r="CA48" s="59">
        <f t="shared" si="145"/>
        <v>0</v>
      </c>
      <c r="CB48" s="59">
        <f t="shared" si="146"/>
        <v>0</v>
      </c>
      <c r="CC48" s="59">
        <f t="shared" si="147"/>
        <v>0</v>
      </c>
      <c r="CD48" s="59">
        <f t="shared" si="148"/>
        <v>0</v>
      </c>
      <c r="CE48" s="59">
        <f t="shared" si="149"/>
        <v>0</v>
      </c>
      <c r="CF48" s="59">
        <f t="shared" si="150"/>
        <v>0</v>
      </c>
      <c r="CG48" s="58">
        <f t="shared" si="151"/>
        <v>0</v>
      </c>
      <c r="CH48" s="45">
        <f t="shared" si="152"/>
        <v>57</v>
      </c>
      <c r="CI48" s="54">
        <f t="shared" si="542"/>
        <v>2.7189999999999999</v>
      </c>
      <c r="CJ48" s="45">
        <f t="shared" si="153"/>
        <v>1</v>
      </c>
      <c r="CK48" s="45">
        <f t="shared" si="154"/>
        <v>2</v>
      </c>
      <c r="CL48" s="46" cm="1">
        <f t="array" ref="CL48">ROUND(IFERROR(INDEX(ArchiveResults!$F$5:$IX$116,ComparisonData!A48,ComparisonData!$CL$1),0),5)</f>
        <v>0</v>
      </c>
      <c r="CM48" s="56">
        <v>43</v>
      </c>
      <c r="CN48" s="53" t="str">
        <f t="shared" si="543"/>
        <v>Jersey Archive</v>
      </c>
      <c r="CO48" s="45">
        <f t="shared" si="155"/>
        <v>0</v>
      </c>
      <c r="CP48" s="58">
        <f t="shared" si="156"/>
        <v>0</v>
      </c>
      <c r="CQ48" s="45">
        <f t="shared" si="157"/>
        <v>57</v>
      </c>
      <c r="CR48" s="54">
        <f t="shared" si="544"/>
        <v>2.7189999999999999</v>
      </c>
      <c r="CS48" s="45">
        <f t="shared" si="158"/>
        <v>1</v>
      </c>
      <c r="CT48" s="45">
        <f t="shared" si="159"/>
        <v>2</v>
      </c>
      <c r="CU48" s="46" cm="1">
        <f t="array" ref="CU48">ROUND(IFERROR(INDEX(ArchiveResults!$F$5:$IX$116,ComparisonData!A48,ComparisonData!$CU$1),0),5)</f>
        <v>0</v>
      </c>
      <c r="CV48" s="56">
        <v>43</v>
      </c>
      <c r="CW48" s="53" t="str">
        <f t="shared" si="545"/>
        <v>Jersey Archive</v>
      </c>
      <c r="CX48" s="45">
        <f t="shared" si="160"/>
        <v>0</v>
      </c>
      <c r="CY48" s="58">
        <f t="shared" si="161"/>
        <v>0</v>
      </c>
      <c r="CZ48" s="45">
        <f t="shared" si="162"/>
        <v>57</v>
      </c>
      <c r="DA48" s="54">
        <f t="shared" si="546"/>
        <v>2.7189999999999999</v>
      </c>
      <c r="DB48" s="45">
        <f t="shared" si="163"/>
        <v>1</v>
      </c>
      <c r="DC48" s="45">
        <f t="shared" si="164"/>
        <v>2</v>
      </c>
      <c r="DD48" s="46" cm="1">
        <f t="array" ref="DD48">ROUND(IFERROR(INDEX(ArchiveResults!$F$5:$IX$116,ComparisonData!A48,ComparisonData!$DD$1),0),5)</f>
        <v>0</v>
      </c>
      <c r="DE48" s="56">
        <v>43</v>
      </c>
      <c r="DF48" s="53" t="str">
        <f t="shared" si="547"/>
        <v>Jersey Archive</v>
      </c>
      <c r="DG48" s="45">
        <f t="shared" si="165"/>
        <v>0</v>
      </c>
      <c r="DH48" s="58">
        <f t="shared" si="166"/>
        <v>0</v>
      </c>
      <c r="DI48" s="45">
        <f t="shared" si="167"/>
        <v>57</v>
      </c>
      <c r="DJ48" s="54">
        <f t="shared" si="548"/>
        <v>2.7189999999999999</v>
      </c>
      <c r="DK48" s="45">
        <f t="shared" si="168"/>
        <v>1</v>
      </c>
      <c r="DL48" s="45">
        <f t="shared" si="169"/>
        <v>2</v>
      </c>
      <c r="DM48" s="46" cm="1">
        <f t="array" ref="DM48">ROUND(IFERROR(INDEX(ArchiveResults!$F$5:$IX$116,ComparisonData!A48,ComparisonData!$DM$1),0),5)</f>
        <v>0</v>
      </c>
      <c r="DN48" s="46" cm="1">
        <f t="array" ref="DN48">ROUND(IFERROR(INDEX(ArchiveResults!$F$5:$IX$116,ComparisonData!A48,ComparisonData!$DN$1),0),5)</f>
        <v>0</v>
      </c>
      <c r="DO48" s="46" cm="1">
        <f t="array" ref="DO48">ROUND(IFERROR(INDEX(ArchiveResults!$F$5:$IX$116,ComparisonData!A48,ComparisonData!$DO$1),0),5)</f>
        <v>0</v>
      </c>
      <c r="DP48" s="46" cm="1">
        <f t="array" ref="DP48">ROUND(IFERROR(INDEX(ArchiveResults!$F$5:$IX$116,ComparisonData!A48,ComparisonData!$DP$1),0),5)</f>
        <v>0</v>
      </c>
      <c r="DQ48" s="45" cm="1">
        <f t="array" ref="DQ48">IFERROR(INDEX(ArchiveResults!$F$5:$IX$116,ComparisonData!A48,ComparisonData!$DQ$1),0)</f>
        <v>0</v>
      </c>
      <c r="DR48" s="56">
        <v>43</v>
      </c>
      <c r="DS48" s="53" t="str">
        <f t="shared" si="549"/>
        <v>Jersey Archive</v>
      </c>
      <c r="DT48" s="59">
        <f t="shared" si="170"/>
        <v>0</v>
      </c>
      <c r="DU48" s="59">
        <f t="shared" si="171"/>
        <v>0</v>
      </c>
      <c r="DV48" s="59">
        <f t="shared" si="172"/>
        <v>0</v>
      </c>
      <c r="DW48" s="59">
        <f t="shared" si="173"/>
        <v>0</v>
      </c>
      <c r="DX48" s="59">
        <f t="shared" si="174"/>
        <v>0</v>
      </c>
      <c r="DY48" s="58">
        <f t="shared" si="175"/>
        <v>0</v>
      </c>
      <c r="DZ48" s="45">
        <f t="shared" si="176"/>
        <v>57</v>
      </c>
      <c r="EA48" s="54">
        <f t="shared" si="550"/>
        <v>2.7189999999999999</v>
      </c>
      <c r="EB48" s="45">
        <f t="shared" si="177"/>
        <v>1</v>
      </c>
      <c r="EC48" s="45">
        <f t="shared" si="178"/>
        <v>2</v>
      </c>
      <c r="ED48" s="46" cm="1">
        <f t="array" ref="ED48">ROUND(IFERROR(INDEX(ArchiveResults!$F$5:$IX$116,ComparisonData!A48,ComparisonData!$ED$1),0),5)</f>
        <v>0</v>
      </c>
      <c r="EE48" s="46" cm="1">
        <f t="array" ref="EE48">ROUND(IFERROR(INDEX(ArchiveResults!$F$5:$IX$116,ComparisonData!A48,ComparisonData!$EE$1),0),5)</f>
        <v>0</v>
      </c>
      <c r="EF48" s="46" cm="1">
        <f t="array" ref="EF48">ROUND(IFERROR(INDEX(ArchiveResults!$F$5:$IX$116,ComparisonData!A48,ComparisonData!$EF$1),0),5)</f>
        <v>0</v>
      </c>
      <c r="EG48" s="46" cm="1">
        <f t="array" ref="EG48">ROUND(IFERROR(INDEX(ArchiveResults!$F$5:$IX$116,ComparisonData!A48,ComparisonData!$EG$1),0),5)</f>
        <v>0</v>
      </c>
      <c r="EH48" s="45" cm="1">
        <f t="array" ref="EH48">IFERROR(INDEX(ArchiveResults!$F$5:$IX$116,ComparisonData!A48,ComparisonData!$EH$1),0)</f>
        <v>0</v>
      </c>
      <c r="EI48" s="56">
        <v>43</v>
      </c>
      <c r="EJ48" s="53" t="str">
        <f t="shared" si="551"/>
        <v>Jersey Archive</v>
      </c>
      <c r="EK48" s="59">
        <f t="shared" si="179"/>
        <v>0</v>
      </c>
      <c r="EL48" s="59">
        <f t="shared" si="180"/>
        <v>0</v>
      </c>
      <c r="EM48" s="59">
        <f t="shared" si="181"/>
        <v>0</v>
      </c>
      <c r="EN48" s="59">
        <f t="shared" si="182"/>
        <v>0</v>
      </c>
      <c r="EO48" s="59">
        <f t="shared" si="183"/>
        <v>0</v>
      </c>
      <c r="EP48" s="58">
        <f t="shared" si="184"/>
        <v>0</v>
      </c>
      <c r="EQ48" s="45">
        <f t="shared" si="185"/>
        <v>57</v>
      </c>
      <c r="ER48" s="54">
        <f t="shared" si="552"/>
        <v>2.7189999999999999</v>
      </c>
      <c r="ES48" s="45">
        <f t="shared" si="186"/>
        <v>1</v>
      </c>
      <c r="ET48" s="45">
        <f t="shared" si="187"/>
        <v>2</v>
      </c>
      <c r="EU48" s="46" cm="1">
        <f t="array" ref="EU48">ROUND(IFERROR(INDEX(ArchiveResults!$F$5:$IX$116,ComparisonData!A48,ComparisonData!$EU$1),0),5)</f>
        <v>0</v>
      </c>
      <c r="EV48" s="46" cm="1">
        <f t="array" ref="EV48">ROUND(IFERROR(INDEX(ArchiveResults!$F$5:$IX$116,ComparisonData!A48,ComparisonData!$EV$1),0),5)</f>
        <v>0</v>
      </c>
      <c r="EW48" s="46" cm="1">
        <f t="array" ref="EW48">ROUND(IFERROR(INDEX(ArchiveResults!$F$5:$IX$116,ComparisonData!A48,ComparisonData!$EW$1),0),5)</f>
        <v>0</v>
      </c>
      <c r="EX48" s="46" cm="1">
        <f t="array" ref="EX48">ROUND(IFERROR(INDEX(ArchiveResults!$F$5:$IX$116,ComparisonData!A48,ComparisonData!$EX$1),0),5)</f>
        <v>0</v>
      </c>
      <c r="EY48" s="45" cm="1">
        <f t="array" ref="EY48">IFERROR(INDEX(ArchiveResults!$F$5:$IX$116,ComparisonData!A48,ComparisonData!$EY$1),0)</f>
        <v>0</v>
      </c>
      <c r="EZ48" s="56">
        <v>43</v>
      </c>
      <c r="FA48" s="53" t="str">
        <f t="shared" si="553"/>
        <v>Jersey Archive</v>
      </c>
      <c r="FB48" s="59">
        <f t="shared" si="188"/>
        <v>0</v>
      </c>
      <c r="FC48" s="59">
        <f t="shared" si="189"/>
        <v>0</v>
      </c>
      <c r="FD48" s="59">
        <f t="shared" si="190"/>
        <v>0</v>
      </c>
      <c r="FE48" s="59">
        <f t="shared" si="191"/>
        <v>0</v>
      </c>
      <c r="FF48" s="59">
        <f t="shared" si="192"/>
        <v>0</v>
      </c>
      <c r="FG48" s="58">
        <f t="shared" si="193"/>
        <v>0</v>
      </c>
      <c r="FH48" s="45">
        <f t="shared" si="194"/>
        <v>57</v>
      </c>
      <c r="FI48" s="54">
        <f t="shared" si="554"/>
        <v>2.7189999999999999</v>
      </c>
      <c r="FJ48" s="45">
        <f t="shared" si="195"/>
        <v>1</v>
      </c>
      <c r="FK48" s="45">
        <f t="shared" si="196"/>
        <v>2</v>
      </c>
      <c r="FL48" s="46" cm="1">
        <f t="array" ref="FL48">ROUND(IFERROR(INDEX(ArchiveResults!$F$5:$IX$116,ComparisonData!A48,ComparisonData!$FL$1),0),5)</f>
        <v>0</v>
      </c>
      <c r="FM48" s="46" cm="1">
        <f t="array" ref="FM48">ROUND(IFERROR(INDEX(ArchiveResults!$F$5:$IX$116,ComparisonData!A48,ComparisonData!$FM$1),0),5)</f>
        <v>0</v>
      </c>
      <c r="FN48" s="46" cm="1">
        <f t="array" ref="FN48">ROUND(IFERROR(INDEX(ArchiveResults!$F$5:$IX$116,ComparisonData!A48,ComparisonData!$FN$1),0),5)</f>
        <v>0</v>
      </c>
      <c r="FO48" s="46" cm="1">
        <f t="array" ref="FO48">ROUND(IFERROR(INDEX(ArchiveResults!$F$5:$IX$116,ComparisonData!A48,ComparisonData!$FO$1),0),5)</f>
        <v>0</v>
      </c>
      <c r="FP48" s="45" cm="1">
        <f t="array" ref="FP48">IFERROR(INDEX(ArchiveResults!$F$5:$IX$116,ComparisonData!A48,ComparisonData!$FP$1),0)</f>
        <v>0</v>
      </c>
      <c r="FQ48" s="56">
        <v>43</v>
      </c>
      <c r="FR48" s="53" t="str">
        <f t="shared" si="555"/>
        <v>Jersey Archive</v>
      </c>
      <c r="FS48" s="59">
        <f t="shared" si="197"/>
        <v>0</v>
      </c>
      <c r="FT48" s="59">
        <f t="shared" si="198"/>
        <v>0</v>
      </c>
      <c r="FU48" s="59">
        <f t="shared" si="199"/>
        <v>0</v>
      </c>
      <c r="FV48" s="59">
        <f t="shared" si="200"/>
        <v>0</v>
      </c>
      <c r="FW48" s="59">
        <f t="shared" si="201"/>
        <v>0</v>
      </c>
      <c r="FX48" s="58">
        <f t="shared" si="202"/>
        <v>0</v>
      </c>
      <c r="FY48" s="45">
        <f t="shared" si="203"/>
        <v>57</v>
      </c>
      <c r="FZ48" s="45">
        <f t="shared" si="556"/>
        <v>2.7189999999999999</v>
      </c>
      <c r="GA48" s="45">
        <f t="shared" si="204"/>
        <v>1</v>
      </c>
      <c r="GB48" s="45">
        <f t="shared" si="205"/>
        <v>2</v>
      </c>
      <c r="GC48" s="46" cm="1">
        <f t="array" ref="GC48">ROUND(IFERROR(INDEX(ArchiveResults!$F$5:$IX$116,ComparisonData!A48,ComparisonData!$GC$1),0),5)</f>
        <v>0</v>
      </c>
      <c r="GD48" s="46" cm="1">
        <f t="array" ref="GD48">ROUND(IFERROR(INDEX(ArchiveResults!$F$5:$IX$116,ComparisonData!A48,ComparisonData!$GD$1),0),5)</f>
        <v>0</v>
      </c>
      <c r="GE48" s="46" cm="1">
        <f t="array" ref="GE48">ROUND(IFERROR(INDEX(ArchiveResults!$F$5:$IX$116,ComparisonData!A48,ComparisonData!$GE$1),0),5)</f>
        <v>0</v>
      </c>
      <c r="GF48" s="46" cm="1">
        <f t="array" ref="GF48">ROUND(IFERROR(INDEX(ArchiveResults!$F$5:$IX$116,ComparisonData!A48,ComparisonData!$GF$1),0),5)</f>
        <v>0</v>
      </c>
      <c r="GG48" s="45" cm="1">
        <f t="array" ref="GG48">IFERROR(INDEX(ArchiveResults!$F$5:$IX$116,ComparisonData!A48,ComparisonData!$GG$1),0)</f>
        <v>0</v>
      </c>
      <c r="GH48" s="56">
        <v>43</v>
      </c>
      <c r="GI48" s="53" t="str">
        <f t="shared" si="557"/>
        <v>Jersey Archive</v>
      </c>
      <c r="GJ48" s="59">
        <f t="shared" si="206"/>
        <v>0</v>
      </c>
      <c r="GK48" s="59">
        <f t="shared" si="207"/>
        <v>0</v>
      </c>
      <c r="GL48" s="59">
        <f t="shared" si="208"/>
        <v>0</v>
      </c>
      <c r="GM48" s="59">
        <f t="shared" si="209"/>
        <v>0</v>
      </c>
      <c r="GN48" s="59">
        <f t="shared" si="210"/>
        <v>0</v>
      </c>
      <c r="GO48" s="58">
        <f t="shared" si="211"/>
        <v>0</v>
      </c>
      <c r="GP48" s="45">
        <f t="shared" si="212"/>
        <v>57</v>
      </c>
      <c r="GQ48" s="45">
        <f t="shared" si="558"/>
        <v>2.7189999999999999</v>
      </c>
      <c r="GR48" s="45">
        <f t="shared" si="213"/>
        <v>1</v>
      </c>
      <c r="GS48" s="45">
        <f t="shared" si="214"/>
        <v>2</v>
      </c>
      <c r="GT48" s="46" cm="1">
        <f t="array" ref="GT48">ROUND(IFERROR(INDEX(ArchiveResults!$F$5:$IX$116,ComparisonData!A48,ComparisonData!$GT$1),0),5)</f>
        <v>0</v>
      </c>
      <c r="GU48" s="46" cm="1">
        <f t="array" ref="GU48">ROUND(IFERROR(INDEX(ArchiveResults!$F$5:$IX$116,ComparisonData!A48,ComparisonData!$GU$1),0),5)</f>
        <v>0</v>
      </c>
      <c r="GV48" s="46" cm="1">
        <f t="array" ref="GV48">ROUND(IFERROR(INDEX(ArchiveResults!$F$5:$IX$116,ComparisonData!A48,ComparisonData!$GV$1),0),5)</f>
        <v>0</v>
      </c>
      <c r="GW48" s="46" cm="1">
        <f t="array" ref="GW48">ROUND(IFERROR(INDEX(ArchiveResults!$F$5:$IX$116,ComparisonData!A48,ComparisonData!$GW$1),0),5)</f>
        <v>0</v>
      </c>
      <c r="GX48" s="45" cm="1">
        <f t="array" ref="GX48">IFERROR(INDEX(ArchiveResults!$F$5:$IX$116,ComparisonData!A48,ComparisonData!$GX$1),0)</f>
        <v>0</v>
      </c>
      <c r="GY48" s="56">
        <v>43</v>
      </c>
      <c r="GZ48" s="53" t="str">
        <f t="shared" si="559"/>
        <v>Jersey Archive</v>
      </c>
      <c r="HA48" s="59">
        <f t="shared" si="215"/>
        <v>0</v>
      </c>
      <c r="HB48" s="59">
        <f t="shared" si="216"/>
        <v>0</v>
      </c>
      <c r="HC48" s="59">
        <f t="shared" si="217"/>
        <v>0</v>
      </c>
      <c r="HD48" s="59">
        <f t="shared" si="218"/>
        <v>0</v>
      </c>
      <c r="HE48" s="59">
        <f t="shared" si="219"/>
        <v>0</v>
      </c>
      <c r="HF48" s="58">
        <f t="shared" si="220"/>
        <v>0</v>
      </c>
      <c r="HG48" s="45">
        <f t="shared" si="221"/>
        <v>57</v>
      </c>
      <c r="HH48" s="45">
        <f t="shared" si="560"/>
        <v>2.7189999999999999</v>
      </c>
      <c r="HI48" s="45">
        <f t="shared" si="222"/>
        <v>1</v>
      </c>
      <c r="HJ48" s="45">
        <f t="shared" si="223"/>
        <v>2</v>
      </c>
      <c r="HK48" s="46" cm="1">
        <f t="array" ref="HK48">ROUND(IFERROR(INDEX(ArchiveResults!$F$5:$IX$116,ComparisonData!A48,ComparisonData!$HK$1),0),5)</f>
        <v>0</v>
      </c>
      <c r="HL48" s="46" cm="1">
        <f t="array" ref="HL48">ROUND(IFERROR(INDEX(ArchiveResults!$F$5:$IX$116,ComparisonData!A48,ComparisonData!$HL$1),0),5)</f>
        <v>0</v>
      </c>
      <c r="HM48" s="46" cm="1">
        <f t="array" ref="HM48">ROUND(IFERROR(INDEX(ArchiveResults!$F$5:$IX$116,ComparisonData!A48,ComparisonData!$HM$1),0),5)</f>
        <v>0</v>
      </c>
      <c r="HN48" s="46" cm="1">
        <f t="array" ref="HN48">ROUND(IFERROR(INDEX(ArchiveResults!$F$5:$IX$116,ComparisonData!A48,ComparisonData!$HN$1),0),5)</f>
        <v>0</v>
      </c>
      <c r="HO48" s="45" cm="1">
        <f t="array" ref="HO48">IFERROR(INDEX(ArchiveResults!$F$5:$IX$116,ComparisonData!A48,ComparisonData!$HO$1),0)</f>
        <v>0</v>
      </c>
      <c r="HP48" s="56">
        <v>43</v>
      </c>
      <c r="HQ48" s="53" t="str">
        <f t="shared" si="561"/>
        <v>Jersey Archive</v>
      </c>
      <c r="HR48" s="59">
        <f t="shared" si="562"/>
        <v>0</v>
      </c>
      <c r="HS48" s="59">
        <f t="shared" si="563"/>
        <v>0</v>
      </c>
      <c r="HT48" s="59">
        <f t="shared" si="564"/>
        <v>0</v>
      </c>
      <c r="HU48" s="59">
        <f t="shared" si="565"/>
        <v>0</v>
      </c>
      <c r="HV48" s="59">
        <f t="shared" si="566"/>
        <v>0</v>
      </c>
      <c r="HW48" s="58">
        <f t="shared" si="224"/>
        <v>0</v>
      </c>
      <c r="HX48" s="45">
        <f t="shared" si="225"/>
        <v>57</v>
      </c>
      <c r="HY48" s="45">
        <f t="shared" si="567"/>
        <v>2.7189999999999999</v>
      </c>
      <c r="HZ48" s="45">
        <f t="shared" si="226"/>
        <v>1</v>
      </c>
      <c r="IA48" s="45">
        <f t="shared" si="227"/>
        <v>2</v>
      </c>
      <c r="IB48" s="45">
        <f t="shared" si="228"/>
        <v>0</v>
      </c>
      <c r="IC48" s="46" cm="1">
        <f t="array" ref="IC48">ROUND(IFERROR(INDEX(ArchiveResults!$F$5:$IX$116,ComparisonData!A48,ComparisonData!$IC$1),0),5)</f>
        <v>0</v>
      </c>
      <c r="ID48" s="46" cm="1">
        <f t="array" ref="ID48">ROUND(IFERROR(INDEX(ArchiveResults!$F$5:$IX$116,ComparisonData!A48,ComparisonData!$ID$1),0),5)</f>
        <v>0</v>
      </c>
      <c r="IE48" s="46" cm="1">
        <f t="array" ref="IE48">ROUND(IFERROR(INDEX(ArchiveResults!$F$5:$IX$116,ComparisonData!A48,ComparisonData!$IE$1),0),5)</f>
        <v>0</v>
      </c>
      <c r="IF48" s="46" cm="1">
        <f t="array" ref="IF48">ROUND(IFERROR(INDEX(ArchiveResults!$F$5:$IX$116,ComparisonData!A48,ComparisonData!$IF$1),0),5)</f>
        <v>0</v>
      </c>
      <c r="IG48" s="45" cm="1">
        <f t="array" ref="IG48">IFERROR(INDEX(ArchiveResults!$F$5:$IX$116,ComparisonData!A48,ComparisonData!$IG$1),0)</f>
        <v>0</v>
      </c>
      <c r="IH48" s="56">
        <v>43</v>
      </c>
      <c r="II48" s="53" t="str">
        <f t="shared" si="568"/>
        <v>Jersey Archive</v>
      </c>
      <c r="IJ48" s="59">
        <f t="shared" si="229"/>
        <v>0</v>
      </c>
      <c r="IK48" s="59">
        <f t="shared" si="230"/>
        <v>0</v>
      </c>
      <c r="IL48" s="59">
        <f t="shared" si="231"/>
        <v>0</v>
      </c>
      <c r="IM48" s="59">
        <f t="shared" si="232"/>
        <v>0</v>
      </c>
      <c r="IN48" s="59">
        <f t="shared" si="233"/>
        <v>0</v>
      </c>
      <c r="IO48" s="58">
        <f t="shared" si="234"/>
        <v>0</v>
      </c>
      <c r="IP48" s="45">
        <f t="shared" si="235"/>
        <v>57</v>
      </c>
      <c r="IQ48" s="45">
        <f t="shared" si="569"/>
        <v>2.7189999999999999</v>
      </c>
      <c r="IR48" s="45">
        <f t="shared" si="236"/>
        <v>1</v>
      </c>
      <c r="IS48" s="45">
        <f t="shared" si="237"/>
        <v>2</v>
      </c>
      <c r="IT48" s="46">
        <f t="shared" si="238"/>
        <v>0</v>
      </c>
      <c r="IU48" s="46" cm="1">
        <f t="array" ref="IU48">ROUND(IFERROR(INDEX(ArchiveResults!$F$5:$IX$116,ComparisonData!A48,ComparisonData!$IU$1),0),5)</f>
        <v>0</v>
      </c>
      <c r="IV48" s="46" cm="1">
        <f t="array" ref="IV48">ROUND(IFERROR(INDEX(ArchiveResults!$F$5:$IX$116,ComparisonData!A48,ComparisonData!$IV$1),0),5)</f>
        <v>0</v>
      </c>
      <c r="IW48" s="46" cm="1">
        <f t="array" ref="IW48">ROUND(IFERROR(INDEX(ArchiveResults!$F$5:$IX$116,ComparisonData!A48,ComparisonData!$IW$1),0),5)</f>
        <v>0</v>
      </c>
      <c r="IX48" s="46" cm="1">
        <f t="array" ref="IX48">ROUND(IFERROR(INDEX(ArchiveResults!$F$5:$IX$116,ComparisonData!A48,ComparisonData!$IX$1),0),5)</f>
        <v>0</v>
      </c>
      <c r="IY48" s="45" cm="1">
        <f t="array" ref="IY48">IFERROR(INDEX(ArchiveResults!$F$5:$IX$116,ComparisonData!A48,ComparisonData!$IY$1),0)</f>
        <v>0</v>
      </c>
      <c r="IZ48" s="56">
        <v>43</v>
      </c>
      <c r="JA48" s="53" t="str">
        <f t="shared" si="570"/>
        <v>Jersey Archive</v>
      </c>
      <c r="JB48" s="59">
        <f t="shared" si="239"/>
        <v>0</v>
      </c>
      <c r="JC48" s="59">
        <f t="shared" si="240"/>
        <v>0</v>
      </c>
      <c r="JD48" s="59">
        <f t="shared" si="241"/>
        <v>0</v>
      </c>
      <c r="JE48" s="59">
        <f t="shared" si="242"/>
        <v>0</v>
      </c>
      <c r="JF48" s="59">
        <f t="shared" si="243"/>
        <v>0</v>
      </c>
      <c r="JG48" s="58">
        <f t="shared" si="244"/>
        <v>0</v>
      </c>
      <c r="JH48" s="45">
        <f t="shared" si="245"/>
        <v>57</v>
      </c>
      <c r="JI48" s="45">
        <f t="shared" si="571"/>
        <v>2.7189999999999999</v>
      </c>
      <c r="JJ48" s="45">
        <f t="shared" si="246"/>
        <v>1</v>
      </c>
      <c r="JK48" s="45">
        <f t="shared" si="247"/>
        <v>2</v>
      </c>
      <c r="JL48" s="45">
        <f t="shared" si="248"/>
        <v>0</v>
      </c>
      <c r="JM48" s="46" cm="1">
        <f t="array" ref="JM48">ROUND(IFERROR(INDEX(ArchiveResults!$F$5:$IX$116,ComparisonData!A48,ComparisonData!$JM$1),0),5)</f>
        <v>0</v>
      </c>
      <c r="JN48" s="46" cm="1">
        <f t="array" ref="JN48">ROUND(IFERROR(INDEX(ArchiveResults!$F$5:$IX$116,ComparisonData!A48,ComparisonData!$JN$1),0),5)</f>
        <v>0</v>
      </c>
      <c r="JO48" s="46" cm="1">
        <f t="array" ref="JO48">ROUND(IFERROR(INDEX(ArchiveResults!$F$5:$IX$116,ComparisonData!A48,ComparisonData!$JO$1),0),5)</f>
        <v>0</v>
      </c>
      <c r="JP48" s="46" cm="1">
        <f t="array" ref="JP48">ROUND(IFERROR(INDEX(ArchiveResults!$F$5:$IX$116,ComparisonData!A48,ComparisonData!$JP$1),0),5)</f>
        <v>0</v>
      </c>
      <c r="JQ48" s="45" cm="1">
        <f t="array" ref="JQ48">IFERROR(INDEX(ArchiveResults!$F$5:$IX$116,ComparisonData!A48,ComparisonData!$JQ$1),0)</f>
        <v>0</v>
      </c>
      <c r="JR48" s="56">
        <v>43</v>
      </c>
      <c r="JS48" s="53" t="str">
        <f t="shared" si="572"/>
        <v>Jersey Archive</v>
      </c>
      <c r="JT48" s="59">
        <f t="shared" si="249"/>
        <v>0</v>
      </c>
      <c r="JU48" s="59">
        <f t="shared" si="250"/>
        <v>0</v>
      </c>
      <c r="JV48" s="59">
        <f t="shared" si="251"/>
        <v>0</v>
      </c>
      <c r="JW48" s="59">
        <f t="shared" si="252"/>
        <v>0</v>
      </c>
      <c r="JX48" s="59">
        <f t="shared" si="253"/>
        <v>0</v>
      </c>
      <c r="JY48" s="58">
        <f t="shared" si="254"/>
        <v>0</v>
      </c>
      <c r="JZ48" s="45">
        <f t="shared" si="255"/>
        <v>57</v>
      </c>
      <c r="KA48" s="45">
        <f t="shared" si="573"/>
        <v>2.7189999999999999</v>
      </c>
      <c r="KB48" s="45">
        <f t="shared" si="256"/>
        <v>1</v>
      </c>
      <c r="KC48" s="45">
        <f t="shared" si="257"/>
        <v>2</v>
      </c>
      <c r="KD48" s="45">
        <f t="shared" si="258"/>
        <v>0</v>
      </c>
      <c r="KE48" s="46" cm="1">
        <f t="array" ref="KE48">ROUND(IFERROR(INDEX(ArchiveResults!$F$5:$IX$116,ComparisonData!A48,ComparisonData!$KE$1),0),5)</f>
        <v>0</v>
      </c>
      <c r="KF48" s="46" cm="1">
        <f t="array" ref="KF48">ROUND(IFERROR(INDEX(ArchiveResults!$F$5:$IX$116,ComparisonData!A48,ComparisonData!$KF$1),0),5)</f>
        <v>0</v>
      </c>
      <c r="KG48" s="46" cm="1">
        <f t="array" ref="KG48">ROUND(IFERROR(INDEX(ArchiveResults!$F$5:$IX$116,ComparisonData!A48,ComparisonData!$KG$1),0),5)</f>
        <v>0</v>
      </c>
      <c r="KH48" s="46" cm="1">
        <f t="array" ref="KH48">ROUND(IFERROR(INDEX(ArchiveResults!$F$5:$IX$116,ComparisonData!A48,ComparisonData!$KH$1),0),5)</f>
        <v>0</v>
      </c>
      <c r="KI48" s="45" cm="1">
        <f t="array" ref="KI48">IFERROR(INDEX(ArchiveResults!$F$5:$IX$116,ComparisonData!A48,ComparisonData!$KI$1),0)</f>
        <v>0</v>
      </c>
      <c r="KJ48" s="56">
        <v>43</v>
      </c>
      <c r="KK48" s="53" t="str">
        <f t="shared" si="574"/>
        <v>Jersey Archive</v>
      </c>
      <c r="KL48" s="59">
        <f t="shared" si="259"/>
        <v>0</v>
      </c>
      <c r="KM48" s="59">
        <f t="shared" si="260"/>
        <v>0</v>
      </c>
      <c r="KN48" s="59">
        <f t="shared" si="261"/>
        <v>0</v>
      </c>
      <c r="KO48" s="59">
        <f t="shared" si="262"/>
        <v>0</v>
      </c>
      <c r="KP48" s="59">
        <f t="shared" si="263"/>
        <v>0</v>
      </c>
      <c r="KQ48" s="58">
        <f t="shared" si="264"/>
        <v>0</v>
      </c>
      <c r="KR48" s="45">
        <f t="shared" si="265"/>
        <v>57</v>
      </c>
      <c r="KS48" s="45">
        <f t="shared" si="575"/>
        <v>2.7189999999999999</v>
      </c>
      <c r="KT48" s="45">
        <f t="shared" si="266"/>
        <v>1</v>
      </c>
      <c r="KU48" s="45">
        <f t="shared" si="267"/>
        <v>2</v>
      </c>
      <c r="KV48" s="45">
        <f t="shared" si="268"/>
        <v>0</v>
      </c>
      <c r="KW48" s="46" cm="1">
        <f t="array" ref="KW48">ROUND(IFERROR(INDEX(ArchiveResults!$F$5:$IX$116,ComparisonData!A48,ComparisonData!$KW$1),0),5)</f>
        <v>0</v>
      </c>
      <c r="KX48" s="46" cm="1">
        <f t="array" ref="KX48">ROUND(IFERROR(INDEX(ArchiveResults!$F$5:$IX$116,ComparisonData!A48,ComparisonData!$KX$1),0),5)</f>
        <v>0</v>
      </c>
      <c r="KY48" s="46" cm="1">
        <f t="array" ref="KY48">ROUND(IFERROR(INDEX(ArchiveResults!$F$5:$IX$116,ComparisonData!A48,ComparisonData!$KY$1),0),5)</f>
        <v>0</v>
      </c>
      <c r="KZ48" s="46" cm="1">
        <f t="array" ref="KZ48">ROUND(IFERROR(INDEX(ArchiveResults!$F$5:$IX$116,ComparisonData!A48,ComparisonData!$KZ$1),0),5)</f>
        <v>0</v>
      </c>
      <c r="LA48" s="45" cm="1">
        <f t="array" ref="LA48">IFERROR(INDEX(ArchiveResults!$F$5:$IX$116,ComparisonData!A48,ComparisonData!$LA$1),0)</f>
        <v>0</v>
      </c>
      <c r="LB48" s="56">
        <v>43</v>
      </c>
      <c r="LC48" s="53" t="str">
        <f t="shared" si="576"/>
        <v>Jersey Archive</v>
      </c>
      <c r="LD48" s="59">
        <f t="shared" si="269"/>
        <v>0</v>
      </c>
      <c r="LE48" s="59">
        <f t="shared" si="270"/>
        <v>0</v>
      </c>
      <c r="LF48" s="59">
        <f t="shared" si="271"/>
        <v>0</v>
      </c>
      <c r="LG48" s="59">
        <f t="shared" si="272"/>
        <v>0</v>
      </c>
      <c r="LH48" s="59">
        <f t="shared" si="273"/>
        <v>0</v>
      </c>
      <c r="LI48" s="58">
        <f t="shared" si="274"/>
        <v>0</v>
      </c>
      <c r="LJ48" s="45">
        <f t="shared" si="275"/>
        <v>57</v>
      </c>
      <c r="LK48" s="45">
        <f t="shared" si="577"/>
        <v>2.7189999999999999</v>
      </c>
      <c r="LL48" s="45">
        <f t="shared" si="276"/>
        <v>1</v>
      </c>
      <c r="LM48" s="45">
        <f t="shared" si="277"/>
        <v>2</v>
      </c>
      <c r="LN48" s="45">
        <f t="shared" si="278"/>
        <v>0</v>
      </c>
      <c r="LO48" s="46" cm="1">
        <f t="array" ref="LO48">ROUND(IFERROR(INDEX(ArchiveResults!$F$5:$IX$116,ComparisonData!A48,ComparisonData!$LO$1),0),5)</f>
        <v>0</v>
      </c>
      <c r="LP48" s="46" cm="1">
        <f t="array" ref="LP48">ROUND(IFERROR(INDEX(ArchiveResults!$F$5:$IX$116,ComparisonData!A48,ComparisonData!$LP$1),0),5)</f>
        <v>0</v>
      </c>
      <c r="LQ48" s="46" cm="1">
        <f t="array" ref="LQ48">ROUND(IFERROR(INDEX(ArchiveResults!$F$5:$IX$116,ComparisonData!A48,ComparisonData!$LQ$1),0),5)</f>
        <v>0</v>
      </c>
      <c r="LR48" s="46" cm="1">
        <f t="array" ref="LR48">ROUND(IFERROR(INDEX(ArchiveResults!$F$5:$IX$116,ComparisonData!A48,ComparisonData!$LR$1),0),5)</f>
        <v>0</v>
      </c>
      <c r="LS48" s="45" cm="1">
        <f t="array" ref="LS48">IFERROR(INDEX(ArchiveResults!$F$5:$IX$116,ComparisonData!A48,ComparisonData!$LS$1),0)</f>
        <v>0</v>
      </c>
      <c r="LT48" s="56">
        <v>43</v>
      </c>
      <c r="LU48" s="53" t="str">
        <f t="shared" si="578"/>
        <v>Jersey Archive</v>
      </c>
      <c r="LV48" s="59">
        <f t="shared" si="279"/>
        <v>0</v>
      </c>
      <c r="LW48" s="59">
        <f t="shared" si="280"/>
        <v>0</v>
      </c>
      <c r="LX48" s="59">
        <f t="shared" si="281"/>
        <v>0</v>
      </c>
      <c r="LY48" s="59">
        <f t="shared" si="282"/>
        <v>0</v>
      </c>
      <c r="LZ48" s="59">
        <f t="shared" si="283"/>
        <v>0</v>
      </c>
      <c r="MA48" s="58">
        <f t="shared" si="284"/>
        <v>0</v>
      </c>
      <c r="MB48" s="45">
        <f t="shared" si="285"/>
        <v>57</v>
      </c>
      <c r="MC48" s="45">
        <f t="shared" si="579"/>
        <v>2.7189999999999999</v>
      </c>
      <c r="MD48" s="45">
        <f t="shared" si="286"/>
        <v>1</v>
      </c>
      <c r="ME48" s="45">
        <f t="shared" si="287"/>
        <v>2</v>
      </c>
      <c r="MF48" s="45">
        <f t="shared" si="288"/>
        <v>0</v>
      </c>
      <c r="MG48" s="46" cm="1">
        <f t="array" ref="MG48">ROUND(IFERROR(INDEX(ArchiveResults!$F$5:$IX$116,ComparisonData!A48,ComparisonData!$MG$1),0),5)</f>
        <v>0</v>
      </c>
      <c r="MH48" s="46" cm="1">
        <f t="array" ref="MH48">ROUND(IFERROR(INDEX(ArchiveResults!$F$5:$IX$116,ComparisonData!A48,ComparisonData!$MH$1),0),5)</f>
        <v>0</v>
      </c>
      <c r="MI48" s="46" cm="1">
        <f t="array" ref="MI48">ROUND(IFERROR(INDEX(ArchiveResults!$F$5:$IX$116,ComparisonData!A48,ComparisonData!$MI$1),0),5)</f>
        <v>0</v>
      </c>
      <c r="MJ48" s="46" cm="1">
        <f t="array" ref="MJ48">ROUND(IFERROR(INDEX(ArchiveResults!$F$5:$IX$116,ComparisonData!A48,ComparisonData!$MJ$1),0),5)</f>
        <v>0</v>
      </c>
      <c r="MK48" s="45" cm="1">
        <f t="array" ref="MK48">IFERROR(INDEX(ArchiveResults!$F$5:$IX$116,ComparisonData!A48,ComparisonData!$MK$1),0)</f>
        <v>0</v>
      </c>
      <c r="ML48" s="56">
        <v>43</v>
      </c>
      <c r="MM48" s="53" t="str">
        <f t="shared" si="580"/>
        <v>Jersey Archive</v>
      </c>
      <c r="MN48" s="59">
        <f t="shared" si="289"/>
        <v>0</v>
      </c>
      <c r="MO48" s="59">
        <f t="shared" si="290"/>
        <v>0</v>
      </c>
      <c r="MP48" s="59">
        <f t="shared" si="291"/>
        <v>0</v>
      </c>
      <c r="MQ48" s="59">
        <f t="shared" si="292"/>
        <v>0</v>
      </c>
      <c r="MR48" s="59">
        <f t="shared" si="293"/>
        <v>0</v>
      </c>
      <c r="MS48" s="58">
        <f t="shared" si="294"/>
        <v>0</v>
      </c>
      <c r="MT48" s="45">
        <f t="shared" si="295"/>
        <v>57</v>
      </c>
      <c r="MU48" s="45">
        <f t="shared" si="581"/>
        <v>2.7189999999999999</v>
      </c>
      <c r="MV48" s="45">
        <f t="shared" si="296"/>
        <v>1</v>
      </c>
      <c r="MW48" s="45">
        <f t="shared" si="297"/>
        <v>2</v>
      </c>
      <c r="MX48" s="45">
        <f t="shared" si="298"/>
        <v>0</v>
      </c>
      <c r="MY48" s="46" cm="1">
        <f t="array" ref="MY48">ROUND(IFERROR(INDEX(ArchiveResults!$F$5:$IX$116,ComparisonData!A48,ComparisonData!$MY$1),0),5)</f>
        <v>0</v>
      </c>
      <c r="MZ48" s="46" cm="1">
        <f t="array" ref="MZ48">ROUND(IFERROR(INDEX(ArchiveResults!$F$5:$IX$116,ComparisonData!A48,ComparisonData!$MZ$1),0),5)</f>
        <v>0</v>
      </c>
      <c r="NA48" s="46" cm="1">
        <f t="array" ref="NA48">ROUND(IFERROR(INDEX(ArchiveResults!$F$5:$IX$116,ComparisonData!A48,ComparisonData!$NA$1),0),5)</f>
        <v>0</v>
      </c>
      <c r="NB48" s="46" cm="1">
        <f t="array" ref="NB48">ROUND(IFERROR(INDEX(ArchiveResults!$F$5:$IX$116,ComparisonData!A48,ComparisonData!$NB$1),0),5)</f>
        <v>0</v>
      </c>
      <c r="NC48" s="45" cm="1">
        <f t="array" ref="NC48">IFERROR(INDEX(ArchiveResults!$F$5:$IX$116,ComparisonData!A48,ComparisonData!$NC$1),0)</f>
        <v>0</v>
      </c>
      <c r="ND48" s="56">
        <v>43</v>
      </c>
      <c r="NE48" s="53" t="str">
        <f t="shared" si="582"/>
        <v>Jersey Archive</v>
      </c>
      <c r="NF48" s="59">
        <f t="shared" si="299"/>
        <v>0</v>
      </c>
      <c r="NG48" s="59">
        <f t="shared" si="300"/>
        <v>0</v>
      </c>
      <c r="NH48" s="59">
        <f t="shared" si="301"/>
        <v>0</v>
      </c>
      <c r="NI48" s="59">
        <f t="shared" si="302"/>
        <v>0</v>
      </c>
      <c r="NJ48" s="59">
        <f t="shared" si="303"/>
        <v>0</v>
      </c>
      <c r="NK48" s="58">
        <f t="shared" si="304"/>
        <v>0</v>
      </c>
      <c r="NL48" s="45">
        <f t="shared" si="305"/>
        <v>57</v>
      </c>
      <c r="NM48" s="45">
        <f t="shared" si="583"/>
        <v>2.7189999999999999</v>
      </c>
      <c r="NN48" s="45">
        <f t="shared" si="306"/>
        <v>1</v>
      </c>
      <c r="NO48" s="45">
        <f t="shared" si="307"/>
        <v>2</v>
      </c>
      <c r="NP48" s="46" cm="1">
        <f t="array" ref="NP48">ROUND(IFERROR(INDEX(ArchiveResults!$F$5:$IX$116,ComparisonData!A48,ComparisonData!$NP$1),0),5)</f>
        <v>0</v>
      </c>
      <c r="NQ48" s="46" cm="1">
        <f t="array" ref="NQ48">ROUND(IFERROR(INDEX(ArchiveResults!$F$5:$IX$116,ComparisonData!A48,ComparisonData!$NQ$1),0),5)</f>
        <v>0</v>
      </c>
      <c r="NR48" s="46" cm="1">
        <f t="array" ref="NR48">ROUND(IFERROR(INDEX(ArchiveResults!$F$5:$IX$116,ComparisonData!A48,ComparisonData!$NR$1),0),5)</f>
        <v>0</v>
      </c>
      <c r="NS48" s="46" cm="1">
        <f t="array" ref="NS48">ROUND(IFERROR(INDEX(ArchiveResults!$F$5:$IX$116,ComparisonData!A48,ComparisonData!$NS$1),0),5)</f>
        <v>0</v>
      </c>
      <c r="NT48" s="45" cm="1">
        <f t="array" ref="NT48">IFERROR(INDEX(ArchiveResults!$F$5:$IX$116,ComparisonData!A48,ComparisonData!$NT$1),0)</f>
        <v>0</v>
      </c>
      <c r="NU48" s="56">
        <v>43</v>
      </c>
      <c r="NV48" s="53" t="str">
        <f t="shared" si="584"/>
        <v>Jersey Archive</v>
      </c>
      <c r="NW48" s="59">
        <f t="shared" si="308"/>
        <v>0</v>
      </c>
      <c r="NX48" s="59">
        <f t="shared" si="309"/>
        <v>0</v>
      </c>
      <c r="NY48" s="59">
        <f t="shared" si="310"/>
        <v>0</v>
      </c>
      <c r="NZ48" s="59">
        <f t="shared" si="311"/>
        <v>0</v>
      </c>
      <c r="OA48" s="59">
        <f t="shared" si="312"/>
        <v>0</v>
      </c>
      <c r="OB48" s="58">
        <f t="shared" si="313"/>
        <v>0</v>
      </c>
      <c r="OC48" s="45">
        <f t="shared" si="314"/>
        <v>57</v>
      </c>
      <c r="OD48" s="45">
        <f t="shared" si="585"/>
        <v>2.7189999999999999</v>
      </c>
      <c r="OE48" s="45">
        <f t="shared" si="315"/>
        <v>1</v>
      </c>
      <c r="OF48" s="45">
        <f t="shared" si="316"/>
        <v>2</v>
      </c>
      <c r="OG48" s="46">
        <f t="shared" si="317"/>
        <v>0</v>
      </c>
      <c r="OH48" s="46" cm="1">
        <f t="array" ref="OH48">ROUND(IFERROR(INDEX(ArchiveResults!$F$5:$IX$116,ComparisonData!A48,ComparisonData!$OH$1),0),5)</f>
        <v>0</v>
      </c>
      <c r="OI48" s="46" cm="1">
        <f t="array" ref="OI48">ROUND(IFERROR(INDEX(ArchiveResults!$F$5:$IX$116,ComparisonData!A48,ComparisonData!$OI$1),0),5)</f>
        <v>0</v>
      </c>
      <c r="OJ48" s="46" cm="1">
        <f t="array" ref="OJ48">ROUND(IFERROR(INDEX(ArchiveResults!$F$5:$IX$116,ComparisonData!A48,ComparisonData!$OJ$1),0),5)</f>
        <v>0</v>
      </c>
      <c r="OK48" s="46" cm="1">
        <f t="array" ref="OK48">ROUND(IFERROR(INDEX(ArchiveResults!$F$5:$IX$116,ComparisonData!A48,ComparisonData!$OK$1),0),5)</f>
        <v>0</v>
      </c>
      <c r="OL48" s="45" cm="1">
        <f t="array" ref="OL48">IFERROR(INDEX(ArchiveResults!$F$5:$IX$116,ComparisonData!A48,ComparisonData!$OL$1),0)</f>
        <v>0</v>
      </c>
      <c r="OM48" s="56">
        <v>43</v>
      </c>
      <c r="ON48" s="53" t="str">
        <f t="shared" si="586"/>
        <v>Jersey Archive</v>
      </c>
      <c r="OO48" s="59">
        <f t="shared" si="318"/>
        <v>0</v>
      </c>
      <c r="OP48" s="59">
        <f t="shared" si="319"/>
        <v>0</v>
      </c>
      <c r="OQ48" s="59">
        <f t="shared" si="320"/>
        <v>0</v>
      </c>
      <c r="OR48" s="59">
        <f t="shared" si="321"/>
        <v>0</v>
      </c>
      <c r="OS48" s="59">
        <f t="shared" si="322"/>
        <v>0</v>
      </c>
      <c r="OT48" s="58">
        <f t="shared" si="323"/>
        <v>0</v>
      </c>
      <c r="OU48" s="45">
        <f t="shared" si="324"/>
        <v>57</v>
      </c>
      <c r="OV48" s="45">
        <f t="shared" si="587"/>
        <v>2.7189999999999999</v>
      </c>
      <c r="OW48" s="45">
        <f t="shared" si="325"/>
        <v>1</v>
      </c>
      <c r="OX48" s="45">
        <f t="shared" si="326"/>
        <v>2</v>
      </c>
      <c r="OY48" s="45">
        <f t="shared" si="327"/>
        <v>0</v>
      </c>
      <c r="OZ48" s="46" cm="1">
        <f t="array" ref="OZ48">ROUND(IFERROR(INDEX(ArchiveResults!$F$5:$IX$116,ComparisonData!A48,ComparisonData!$OZ$1),0),5)</f>
        <v>0</v>
      </c>
      <c r="PA48" s="46" cm="1">
        <f t="array" ref="PA48">ROUND(IFERROR(INDEX(ArchiveResults!$F$5:$IX$116,ComparisonData!A48,ComparisonData!$PA$1),0),5)</f>
        <v>0</v>
      </c>
      <c r="PB48" s="46" cm="1">
        <f t="array" ref="PB48">ROUND(IFERROR(INDEX(ArchiveResults!$F$5:$IX$116,ComparisonData!A48,ComparisonData!$PB$1),0),5)</f>
        <v>0</v>
      </c>
      <c r="PC48" s="46" cm="1">
        <f t="array" ref="PC48">ROUND(IFERROR(INDEX(ArchiveResults!$F$5:$IX$116,ComparisonData!A48,ComparisonData!$PC$1),0),5)</f>
        <v>0</v>
      </c>
      <c r="PD48" s="45" cm="1">
        <f t="array" ref="PD48">IFERROR(INDEX(ArchiveResults!$F$5:$IX$116,ComparisonData!A48,ComparisonData!$PD$1),0)</f>
        <v>0</v>
      </c>
      <c r="PE48" s="56">
        <v>43</v>
      </c>
      <c r="PF48" s="53" t="str">
        <f t="shared" si="588"/>
        <v>Jersey Archive</v>
      </c>
      <c r="PG48" s="59">
        <f t="shared" si="328"/>
        <v>0</v>
      </c>
      <c r="PH48" s="59">
        <f t="shared" si="329"/>
        <v>0</v>
      </c>
      <c r="PI48" s="59">
        <f t="shared" si="330"/>
        <v>0</v>
      </c>
      <c r="PJ48" s="59">
        <f t="shared" si="331"/>
        <v>0</v>
      </c>
      <c r="PK48" s="59">
        <f t="shared" si="332"/>
        <v>0</v>
      </c>
      <c r="PL48" s="58">
        <f t="shared" si="333"/>
        <v>0</v>
      </c>
      <c r="PM48" s="45">
        <f t="shared" si="334"/>
        <v>57</v>
      </c>
      <c r="PN48" s="45">
        <f t="shared" si="589"/>
        <v>2.7189999999999999</v>
      </c>
      <c r="PO48" s="45">
        <f t="shared" si="335"/>
        <v>1</v>
      </c>
      <c r="PP48" s="45">
        <f t="shared" si="336"/>
        <v>2</v>
      </c>
      <c r="PQ48" s="45">
        <f t="shared" si="337"/>
        <v>0</v>
      </c>
      <c r="PR48" s="46" cm="1">
        <f t="array" ref="PR48">ROUND(IFERROR(INDEX(ArchiveResults!$F$5:$IX$116,ComparisonData!A48,ComparisonData!$PR$1),0),5)</f>
        <v>0</v>
      </c>
      <c r="PS48" s="46" cm="1">
        <f t="array" ref="PS48">ROUND(IFERROR(INDEX(ArchiveResults!$F$5:$IX$116,ComparisonData!A48,ComparisonData!$PS$1),0),5)</f>
        <v>0</v>
      </c>
      <c r="PT48" s="46" cm="1">
        <f t="array" ref="PT48">ROUND(IFERROR(INDEX(ArchiveResults!$F$5:$IX$116,ComparisonData!A48,ComparisonData!$PT$1),0),5)</f>
        <v>0</v>
      </c>
      <c r="PU48" s="46" cm="1">
        <f t="array" ref="PU48">ROUND(IFERROR(INDEX(ArchiveResults!$F$5:$IX$116,ComparisonData!A48,ComparisonData!$PU$1),0),5)</f>
        <v>0</v>
      </c>
      <c r="PV48" s="45" cm="1">
        <f t="array" ref="PV48">IFERROR(INDEX(ArchiveResults!$F$5:$IX$116,ComparisonData!A48,ComparisonData!$PV$1),0)</f>
        <v>0</v>
      </c>
      <c r="PW48" s="56">
        <v>43</v>
      </c>
      <c r="PX48" s="53" t="str">
        <f t="shared" si="590"/>
        <v>Jersey Archive</v>
      </c>
      <c r="PY48" s="59">
        <f t="shared" si="338"/>
        <v>0</v>
      </c>
      <c r="PZ48" s="59">
        <f t="shared" si="339"/>
        <v>0</v>
      </c>
      <c r="QA48" s="59">
        <f t="shared" si="340"/>
        <v>0</v>
      </c>
      <c r="QB48" s="59">
        <f t="shared" si="341"/>
        <v>0</v>
      </c>
      <c r="QC48" s="59">
        <f t="shared" si="342"/>
        <v>0</v>
      </c>
      <c r="QD48" s="58">
        <f t="shared" si="343"/>
        <v>0</v>
      </c>
      <c r="QE48" s="45">
        <f t="shared" si="344"/>
        <v>57</v>
      </c>
      <c r="QF48" s="45">
        <f t="shared" si="591"/>
        <v>2.7189999999999999</v>
      </c>
      <c r="QG48" s="45">
        <f t="shared" si="345"/>
        <v>1</v>
      </c>
      <c r="QH48" s="45">
        <f t="shared" si="346"/>
        <v>2</v>
      </c>
      <c r="QI48" s="45">
        <f t="shared" si="347"/>
        <v>0</v>
      </c>
      <c r="QJ48" s="46" cm="1">
        <f t="array" ref="QJ48">ROUND(IFERROR(INDEX(ArchiveResults!$F$5:$IX$116,ComparisonData!A48,ComparisonData!$QJ$1),0),5)</f>
        <v>0</v>
      </c>
      <c r="QK48" s="46" cm="1">
        <f t="array" ref="QK48">ROUND(IFERROR(INDEX(ArchiveResults!$F$5:$IX$116,ComparisonData!A48,ComparisonData!$QK$1),0),5)</f>
        <v>0</v>
      </c>
      <c r="QL48" s="46" cm="1">
        <f t="array" ref="QL48">ROUND(IFERROR(INDEX(ArchiveResults!$F$5:$IX$116,ComparisonData!A48,ComparisonData!$QL$1),0),5)</f>
        <v>0</v>
      </c>
      <c r="QM48" s="46" cm="1">
        <f t="array" ref="QM48">ROUND(IFERROR(INDEX(ArchiveResults!$F$5:$IX$116,ComparisonData!A48,ComparisonData!$QM$1),0),5)</f>
        <v>0</v>
      </c>
      <c r="QN48" s="45" cm="1">
        <f t="array" ref="QN48">IFERROR(INDEX(ArchiveResults!$F$5:$IX$116,ComparisonData!A48,ComparisonData!$QN$1),0)</f>
        <v>0</v>
      </c>
      <c r="QO48" s="56">
        <v>43</v>
      </c>
      <c r="QP48" s="53" t="str">
        <f t="shared" si="592"/>
        <v>Jersey Archive</v>
      </c>
      <c r="QQ48" s="59">
        <f t="shared" si="348"/>
        <v>0</v>
      </c>
      <c r="QR48" s="59">
        <f t="shared" si="349"/>
        <v>0</v>
      </c>
      <c r="QS48" s="59">
        <f t="shared" si="350"/>
        <v>0</v>
      </c>
      <c r="QT48" s="59">
        <f t="shared" si="351"/>
        <v>0</v>
      </c>
      <c r="QU48" s="59">
        <f t="shared" si="352"/>
        <v>0</v>
      </c>
      <c r="QV48" s="58">
        <f t="shared" si="353"/>
        <v>0</v>
      </c>
      <c r="QW48" s="45">
        <f t="shared" si="354"/>
        <v>57</v>
      </c>
      <c r="QX48" s="45">
        <f t="shared" si="593"/>
        <v>2.7189999999999999</v>
      </c>
      <c r="QY48" s="45">
        <f t="shared" si="355"/>
        <v>1</v>
      </c>
      <c r="QZ48" s="45">
        <f t="shared" si="356"/>
        <v>2</v>
      </c>
      <c r="RA48" s="45">
        <f t="shared" si="357"/>
        <v>0</v>
      </c>
      <c r="RB48" s="46" cm="1">
        <f t="array" ref="RB48">ROUND(IFERROR(INDEX(ArchiveResults!$F$5:$IX$116,ComparisonData!A48,ComparisonData!$RB$1),0),5)</f>
        <v>0</v>
      </c>
      <c r="RC48" s="46" cm="1">
        <f t="array" ref="RC48">ROUND(IFERROR(INDEX(ArchiveResults!$F$5:$IX$116,ComparisonData!A48,ComparisonData!$RC$1),0),5)</f>
        <v>0</v>
      </c>
      <c r="RD48" s="46" cm="1">
        <f t="array" ref="RD48">ROUND(IFERROR(INDEX(ArchiveResults!$F$5:$IX$116,ComparisonData!A48,ComparisonData!$RD$1),0),5)</f>
        <v>0</v>
      </c>
      <c r="RE48" s="46" cm="1">
        <f t="array" ref="RE48">ROUND(IFERROR(INDEX(ArchiveResults!$F$5:$IX$116,ComparisonData!A48,ComparisonData!$RE$1),0),5)</f>
        <v>0</v>
      </c>
      <c r="RF48" s="45" cm="1">
        <f t="array" ref="RF48">IFERROR(INDEX(ArchiveResults!$F$5:$IX$116,ComparisonData!A48,ComparisonData!$RF$1),0)</f>
        <v>0</v>
      </c>
      <c r="RG48" s="56">
        <v>43</v>
      </c>
      <c r="RH48" s="53" t="str">
        <f t="shared" si="594"/>
        <v>Jersey Archive</v>
      </c>
      <c r="RI48" s="59">
        <f t="shared" si="358"/>
        <v>0</v>
      </c>
      <c r="RJ48" s="59">
        <f t="shared" si="359"/>
        <v>0</v>
      </c>
      <c r="RK48" s="59">
        <f t="shared" si="360"/>
        <v>0</v>
      </c>
      <c r="RL48" s="59">
        <f t="shared" si="361"/>
        <v>0</v>
      </c>
      <c r="RM48" s="59">
        <f t="shared" si="362"/>
        <v>0</v>
      </c>
      <c r="RN48" s="58">
        <f t="shared" si="363"/>
        <v>0</v>
      </c>
      <c r="RO48" s="45">
        <f t="shared" si="364"/>
        <v>57</v>
      </c>
      <c r="RP48" s="45">
        <f t="shared" si="595"/>
        <v>2.7189999999999999</v>
      </c>
      <c r="RQ48" s="45">
        <f t="shared" si="365"/>
        <v>1</v>
      </c>
      <c r="RR48" s="45">
        <f t="shared" si="366"/>
        <v>2</v>
      </c>
      <c r="RS48" s="45">
        <f t="shared" si="367"/>
        <v>0</v>
      </c>
      <c r="RT48" s="46" cm="1">
        <f t="array" ref="RT48">ROUND(IFERROR(INDEX(ArchiveResults!$F$5:$IX$116,ComparisonData!A48,ComparisonData!$RT$1),0),5)</f>
        <v>0</v>
      </c>
      <c r="RU48" s="46" cm="1">
        <f t="array" ref="RU48">ROUND(IFERROR(INDEX(ArchiveResults!$F$5:$IX$116,ComparisonData!A48,ComparisonData!$RU$1),0),5)</f>
        <v>0</v>
      </c>
      <c r="RV48" s="46" cm="1">
        <f t="array" ref="RV48">ROUND(IFERROR(INDEX(ArchiveResults!$F$5:$IX$116,ComparisonData!A48,ComparisonData!$RV$1),0),5)</f>
        <v>0</v>
      </c>
      <c r="RW48" s="46" cm="1">
        <f t="array" ref="RW48">ROUND(IFERROR(INDEX(ArchiveResults!$F$5:$IX$116,ComparisonData!A48,ComparisonData!$RW$1),0),5)</f>
        <v>0</v>
      </c>
      <c r="RX48" s="45" cm="1">
        <f t="array" ref="RX48">IFERROR(INDEX(ArchiveResults!$F$5:$IX$116,ComparisonData!A48,ComparisonData!$RX$1),0)</f>
        <v>0</v>
      </c>
      <c r="RY48" s="56">
        <v>43</v>
      </c>
      <c r="RZ48" s="53" t="str">
        <f t="shared" si="596"/>
        <v>Jersey Archive</v>
      </c>
      <c r="SA48" s="59">
        <f t="shared" si="368"/>
        <v>0</v>
      </c>
      <c r="SB48" s="59">
        <f t="shared" si="369"/>
        <v>0</v>
      </c>
      <c r="SC48" s="59">
        <f t="shared" si="370"/>
        <v>0</v>
      </c>
      <c r="SD48" s="59">
        <f t="shared" si="371"/>
        <v>0</v>
      </c>
      <c r="SE48" s="59">
        <f t="shared" si="372"/>
        <v>0</v>
      </c>
      <c r="SF48" s="58">
        <f t="shared" si="373"/>
        <v>0</v>
      </c>
      <c r="SG48" s="45">
        <f t="shared" si="374"/>
        <v>57</v>
      </c>
      <c r="SH48" s="45">
        <f t="shared" si="597"/>
        <v>2.7189999999999999</v>
      </c>
      <c r="SI48" s="45">
        <f t="shared" si="375"/>
        <v>1</v>
      </c>
      <c r="SJ48" s="45">
        <f t="shared" si="376"/>
        <v>2</v>
      </c>
      <c r="SK48" s="45">
        <f t="shared" si="377"/>
        <v>0</v>
      </c>
      <c r="SL48" s="46" cm="1">
        <f t="array" ref="SL48">ROUND(IFERROR(INDEX(ArchiveResults!$F$5:$IX$116,ComparisonData!A48,ComparisonData!$SL$1),0),5)</f>
        <v>0</v>
      </c>
      <c r="SM48" s="46" cm="1">
        <f t="array" ref="SM48">ROUND(IFERROR(INDEX(ArchiveResults!$F$5:$IX$116,ComparisonData!A48,ComparisonData!$SM$1),0),5)</f>
        <v>0</v>
      </c>
      <c r="SN48" s="46" cm="1">
        <f t="array" ref="SN48">ROUND(IFERROR(INDEX(ArchiveResults!$F$5:$IX$116,ComparisonData!A48,ComparisonData!$SN$1),0),5)</f>
        <v>0</v>
      </c>
      <c r="SO48" s="46" cm="1">
        <f t="array" ref="SO48">ROUND(IFERROR(INDEX(ArchiveResults!$F$5:$IX$116,ComparisonData!A48,ComparisonData!$SO$1),0),5)</f>
        <v>0</v>
      </c>
      <c r="SP48" s="45" cm="1">
        <f t="array" ref="SP48">IFERROR(INDEX(ArchiveResults!$F$5:$IX$116,ComparisonData!A48,ComparisonData!$SP$1),0)</f>
        <v>0</v>
      </c>
      <c r="SQ48" s="56">
        <v>43</v>
      </c>
      <c r="SR48" s="53" t="str">
        <f t="shared" si="598"/>
        <v>Jersey Archive</v>
      </c>
      <c r="SS48" s="59">
        <f t="shared" si="378"/>
        <v>0</v>
      </c>
      <c r="ST48" s="59">
        <f t="shared" si="379"/>
        <v>0</v>
      </c>
      <c r="SU48" s="59">
        <f t="shared" si="380"/>
        <v>0</v>
      </c>
      <c r="SV48" s="59">
        <f t="shared" si="381"/>
        <v>0</v>
      </c>
      <c r="SW48" s="59">
        <f t="shared" si="382"/>
        <v>0</v>
      </c>
      <c r="SX48" s="58">
        <f t="shared" si="383"/>
        <v>0</v>
      </c>
      <c r="SY48" s="45">
        <f t="shared" si="384"/>
        <v>57</v>
      </c>
      <c r="SZ48" s="45">
        <f t="shared" si="599"/>
        <v>2.7189999999999999</v>
      </c>
      <c r="TA48" s="45">
        <f t="shared" si="385"/>
        <v>1</v>
      </c>
      <c r="TB48" s="45">
        <f t="shared" si="386"/>
        <v>2</v>
      </c>
      <c r="TC48" s="45">
        <f t="shared" si="387"/>
        <v>0</v>
      </c>
      <c r="TD48" s="46" cm="1">
        <f t="array" ref="TD48">ROUND(IFERROR(INDEX(ArchiveResults!$F$5:$IX$116,ComparisonData!A48,ComparisonData!$TD$1),0),5)</f>
        <v>0</v>
      </c>
      <c r="TE48" s="46" cm="1">
        <f t="array" ref="TE48">ROUND(IFERROR(INDEX(ArchiveResults!$F$5:$IX$116,ComparisonData!A48,ComparisonData!$TE$1),0),5)</f>
        <v>0</v>
      </c>
      <c r="TF48" s="46" cm="1">
        <f t="array" ref="TF48">ROUND(IFERROR(INDEX(ArchiveResults!$F$5:$IX$116,ComparisonData!A48,ComparisonData!$TF$1),0),5)</f>
        <v>0</v>
      </c>
      <c r="TG48" s="46" cm="1">
        <f t="array" ref="TG48">ROUND(IFERROR(INDEX(ArchiveResults!$F$5:$IX$116,ComparisonData!A48,ComparisonData!$TG$1),0),5)</f>
        <v>0</v>
      </c>
      <c r="TH48" s="45" cm="1">
        <f t="array" ref="TH48">IFERROR(INDEX(ArchiveResults!$F$5:$IX$116,ComparisonData!A48,ComparisonData!$TH$1),0)</f>
        <v>0</v>
      </c>
      <c r="TI48" s="56">
        <v>43</v>
      </c>
      <c r="TJ48" s="53" t="str">
        <f t="shared" si="600"/>
        <v>Jersey Archive</v>
      </c>
      <c r="TK48" s="59">
        <f t="shared" si="388"/>
        <v>0</v>
      </c>
      <c r="TL48" s="59">
        <f t="shared" si="389"/>
        <v>0</v>
      </c>
      <c r="TM48" s="59">
        <f t="shared" si="390"/>
        <v>0</v>
      </c>
      <c r="TN48" s="59">
        <f t="shared" si="391"/>
        <v>0</v>
      </c>
      <c r="TO48" s="59">
        <f t="shared" si="392"/>
        <v>0</v>
      </c>
      <c r="TP48" s="58">
        <f t="shared" si="393"/>
        <v>0</v>
      </c>
      <c r="TQ48" s="45">
        <f t="shared" si="394"/>
        <v>57</v>
      </c>
      <c r="TR48" s="45">
        <f t="shared" si="601"/>
        <v>2.7189999999999999</v>
      </c>
      <c r="TS48" s="45">
        <f t="shared" si="395"/>
        <v>1</v>
      </c>
      <c r="TT48" s="45">
        <f t="shared" si="396"/>
        <v>2</v>
      </c>
      <c r="TU48" s="45">
        <f t="shared" si="397"/>
        <v>0</v>
      </c>
      <c r="TV48" s="46" cm="1">
        <f t="array" ref="TV48">ROUND(IFERROR(INDEX(ArchiveResults!$F$5:$IX$116,ComparisonData!A48,ComparisonData!$TV$1),0),5)</f>
        <v>0</v>
      </c>
      <c r="TW48" s="46" cm="1">
        <f t="array" ref="TW48">ROUND(IFERROR(INDEX(ArchiveResults!$F$5:$IX$116,ComparisonData!A48,ComparisonData!$TW$1),0),5)</f>
        <v>0</v>
      </c>
      <c r="TX48" s="46" cm="1">
        <f t="array" ref="TX48">ROUND(IFERROR(INDEX(ArchiveResults!$F$5:$IX$116,ComparisonData!A48,ComparisonData!$TX$1),0),5)</f>
        <v>0</v>
      </c>
      <c r="TY48" s="46" cm="1">
        <f t="array" ref="TY48">ROUND(IFERROR(INDEX(ArchiveResults!$F$5:$IX$116,ComparisonData!A48,ComparisonData!$TY$1),0),5)</f>
        <v>0</v>
      </c>
      <c r="TZ48" s="45" cm="1">
        <f t="array" ref="TZ48">IFERROR(INDEX(ArchiveResults!$F$5:$IX$116,ComparisonData!A48,ComparisonData!$TZ$1),0)</f>
        <v>0</v>
      </c>
      <c r="UA48" s="56">
        <v>43</v>
      </c>
      <c r="UB48" s="53" t="str">
        <f t="shared" si="602"/>
        <v>Jersey Archive</v>
      </c>
      <c r="UC48" s="60">
        <f t="shared" si="398"/>
        <v>0</v>
      </c>
      <c r="UD48" s="60">
        <f t="shared" si="399"/>
        <v>0</v>
      </c>
      <c r="UE48" s="60">
        <f t="shared" si="400"/>
        <v>0</v>
      </c>
      <c r="UF48" s="60">
        <f t="shared" si="401"/>
        <v>0</v>
      </c>
      <c r="UG48" s="60">
        <f t="shared" si="402"/>
        <v>0</v>
      </c>
      <c r="UH48" s="58">
        <f t="shared" si="403"/>
        <v>0</v>
      </c>
      <c r="UI48" s="46">
        <f t="shared" si="404"/>
        <v>57</v>
      </c>
      <c r="UJ48" s="46">
        <f t="shared" si="603"/>
        <v>2.7189999999999999</v>
      </c>
      <c r="UK48" s="46">
        <f t="shared" si="405"/>
        <v>1</v>
      </c>
      <c r="UL48" s="46">
        <f t="shared" si="406"/>
        <v>2</v>
      </c>
      <c r="UM48" s="46" cm="1">
        <f t="array" ref="UM48">ROUND(IFERROR(INDEX(ArchiveResults!$F$5:$IX$116,ComparisonData!A48,ComparisonData!$UM$1),0),5)</f>
        <v>0</v>
      </c>
      <c r="UN48" s="56">
        <v>43</v>
      </c>
      <c r="UO48" s="53" t="str">
        <f t="shared" si="604"/>
        <v>Jersey Archive</v>
      </c>
      <c r="UP48" s="46">
        <f t="shared" si="407"/>
        <v>0</v>
      </c>
      <c r="UQ48" s="76">
        <f t="shared" si="408"/>
        <v>0</v>
      </c>
      <c r="UR48" s="46">
        <f t="shared" si="409"/>
        <v>57</v>
      </c>
      <c r="US48" s="46">
        <f t="shared" si="605"/>
        <v>2.7189999999999999</v>
      </c>
      <c r="UT48" s="46">
        <f t="shared" si="410"/>
        <v>1</v>
      </c>
      <c r="UU48" s="46">
        <f t="shared" si="411"/>
        <v>2</v>
      </c>
      <c r="UV48" s="46">
        <f t="shared" si="412"/>
        <v>0</v>
      </c>
      <c r="UW48" s="46" cm="1">
        <f t="array" ref="UW48">ROUND(IFERROR(INDEX(ArchiveResults!$F$5:$IX$116,ComparisonData!A48,ComparisonData!$UW$1),0),5)</f>
        <v>0</v>
      </c>
      <c r="UX48" s="46" cm="1">
        <f t="array" ref="UX48">ROUND(IFERROR(INDEX(ArchiveResults!$F$5:$IX$116,ComparisonData!A48,ComparisonData!$UX$1),0),5)</f>
        <v>0</v>
      </c>
      <c r="UY48" s="46" cm="1">
        <f t="array" ref="UY48">ROUND(IFERROR(INDEX(ArchiveResults!$F$5:$IX$116,ComparisonData!A48,ComparisonData!$UY$1),0),5)</f>
        <v>0</v>
      </c>
      <c r="UZ48" s="46" cm="1">
        <f t="array" ref="UZ48">ROUND(IFERROR(INDEX(ArchiveResults!$F$5:$IX$116,ComparisonData!A48,ComparisonData!$UZ$1),0),5)</f>
        <v>0</v>
      </c>
      <c r="VA48" s="46" cm="1">
        <f t="array" ref="VA48">ROUND(IFERROR(INDEX(ArchiveResults!$F$5:$IX$116,ComparisonData!A48,ComparisonData!$VA$1),0),5)</f>
        <v>0</v>
      </c>
      <c r="VB48" s="56">
        <v>43</v>
      </c>
      <c r="VC48" s="53" t="str">
        <f t="shared" si="606"/>
        <v>Jersey Archive</v>
      </c>
      <c r="VD48" s="60">
        <f t="shared" si="413"/>
        <v>0</v>
      </c>
      <c r="VE48" s="60">
        <f t="shared" si="414"/>
        <v>0</v>
      </c>
      <c r="VF48" s="60">
        <f t="shared" si="415"/>
        <v>0</v>
      </c>
      <c r="VG48" s="60">
        <f t="shared" si="416"/>
        <v>0</v>
      </c>
      <c r="VH48" s="60">
        <f t="shared" si="417"/>
        <v>0</v>
      </c>
      <c r="VI48" s="76">
        <f t="shared" si="418"/>
        <v>0</v>
      </c>
      <c r="VJ48" s="46">
        <f t="shared" si="419"/>
        <v>57</v>
      </c>
      <c r="VK48" s="46">
        <f t="shared" si="607"/>
        <v>2.7189999999999999</v>
      </c>
      <c r="VL48" s="46">
        <f t="shared" si="420"/>
        <v>1</v>
      </c>
      <c r="VM48" s="46">
        <f t="shared" si="421"/>
        <v>2</v>
      </c>
      <c r="VN48" s="46" cm="1">
        <f t="array" ref="VN48">ROUND(IFERROR(INDEX(ArchiveResults!$F$5:$IX$116,ComparisonData!A48,ComparisonData!$VN$1),0),5)</f>
        <v>0</v>
      </c>
      <c r="VO48" s="46" cm="1">
        <f t="array" ref="VO48">ROUND(IFERROR(INDEX(ArchiveResults!$F$5:$IX$116,ComparisonData!A48,ComparisonData!$VO$1),0),5)</f>
        <v>0</v>
      </c>
      <c r="VP48" s="46" cm="1">
        <f t="array" ref="VP48">ROUND(IFERROR(INDEX(ArchiveResults!$F$5:$IX$116,ComparisonData!A48,ComparisonData!$VP$1),0),5)</f>
        <v>0</v>
      </c>
      <c r="VQ48" s="46" cm="1">
        <f t="array" ref="VQ48">ROUND(IFERROR(INDEX(ArchiveResults!$F$5:$IX$116,ComparisonData!A48,ComparisonData!$VQ$1),0),5)</f>
        <v>0</v>
      </c>
      <c r="VR48" s="56">
        <v>43</v>
      </c>
      <c r="VS48" s="53" t="str">
        <f t="shared" si="608"/>
        <v>Jersey Archive</v>
      </c>
      <c r="VT48" s="60">
        <f t="shared" si="422"/>
        <v>0</v>
      </c>
      <c r="VU48" s="60">
        <f t="shared" si="423"/>
        <v>0</v>
      </c>
      <c r="VV48" s="60">
        <f t="shared" si="424"/>
        <v>0</v>
      </c>
      <c r="VW48" s="60">
        <f t="shared" si="425"/>
        <v>0</v>
      </c>
      <c r="VX48" s="76">
        <f t="shared" si="426"/>
        <v>0</v>
      </c>
      <c r="VY48" s="46">
        <f t="shared" si="427"/>
        <v>57</v>
      </c>
      <c r="VZ48" s="46">
        <f t="shared" si="609"/>
        <v>2.7189999999999999</v>
      </c>
      <c r="WA48" s="46">
        <f t="shared" si="428"/>
        <v>1</v>
      </c>
      <c r="WB48" s="46">
        <f t="shared" si="429"/>
        <v>2</v>
      </c>
      <c r="WC48" s="46" cm="1">
        <f t="array" ref="WC48">ROUND(IFERROR(INDEX(ArchiveResults!$F$5:$IX$116,ComparisonData!A48,ComparisonData!$WC$1),0),5)</f>
        <v>0</v>
      </c>
      <c r="WD48" s="56">
        <v>43</v>
      </c>
      <c r="WE48" s="53" t="str">
        <f t="shared" si="610"/>
        <v>Jersey Archive</v>
      </c>
      <c r="WF48" s="46">
        <f t="shared" si="430"/>
        <v>0</v>
      </c>
      <c r="WG48" s="76">
        <f t="shared" si="431"/>
        <v>0</v>
      </c>
      <c r="WH48" s="46">
        <f t="shared" si="432"/>
        <v>57</v>
      </c>
      <c r="WI48" s="46">
        <f t="shared" si="611"/>
        <v>2.7189999999999999</v>
      </c>
      <c r="WJ48" s="46">
        <f t="shared" si="433"/>
        <v>1</v>
      </c>
      <c r="WK48" s="46">
        <f t="shared" si="434"/>
        <v>2</v>
      </c>
      <c r="WL48" s="46" cm="1">
        <f t="array" ref="WL48">ROUND(IFERROR(INDEX(ArchiveResults!$F$5:$IX$116,ComparisonData!A48,ComparisonData!$WL$1),0),5)</f>
        <v>0</v>
      </c>
      <c r="WM48" s="46" cm="1">
        <f t="array" ref="WM48">IFERROR(INDEX(ArchiveResults!$F$5:$IX$116,ComparisonData!A48,ComparisonData!$WM$1),0)</f>
        <v>0</v>
      </c>
      <c r="WN48" s="56">
        <v>43</v>
      </c>
      <c r="WO48" s="53" t="str">
        <f t="shared" si="612"/>
        <v>Jersey Archive</v>
      </c>
      <c r="WP48" s="60">
        <f t="shared" si="435"/>
        <v>0</v>
      </c>
      <c r="WQ48" s="60">
        <f t="shared" si="436"/>
        <v>0</v>
      </c>
      <c r="WR48" s="76">
        <f t="shared" si="437"/>
        <v>0</v>
      </c>
      <c r="WS48" s="46">
        <f t="shared" si="438"/>
        <v>57</v>
      </c>
      <c r="WT48" s="46">
        <f t="shared" si="613"/>
        <v>2.7189999999999999</v>
      </c>
      <c r="WU48" s="46">
        <f t="shared" si="439"/>
        <v>1</v>
      </c>
      <c r="WV48" s="46">
        <f t="shared" si="440"/>
        <v>2</v>
      </c>
      <c r="WW48" s="46" cm="1">
        <f t="array" ref="WW48">ROUND(VALUE(IFERROR(INDEX(ArchiveResults!$F$5:$IX$116,ComparisonData!A48,ComparisonData!$WW$1),0)),5)</f>
        <v>0</v>
      </c>
      <c r="WX48" s="46" cm="1">
        <f t="array" ref="WX48">ROUND(IFERROR(INDEX(ArchiveResults!$F$5:$IX$116,ComparisonData!A48,ComparisonData!$WX$1),0),5)</f>
        <v>0</v>
      </c>
      <c r="WY48" s="56">
        <v>43</v>
      </c>
      <c r="WZ48" s="53" t="str">
        <f t="shared" si="614"/>
        <v>Jersey Archive</v>
      </c>
      <c r="XA48" s="60">
        <f t="shared" si="615"/>
        <v>0</v>
      </c>
      <c r="XB48" s="60">
        <f t="shared" si="616"/>
        <v>0</v>
      </c>
      <c r="XC48" s="76">
        <f t="shared" si="441"/>
        <v>0</v>
      </c>
      <c r="XD48" s="46">
        <f t="shared" si="442"/>
        <v>57</v>
      </c>
      <c r="XE48" s="46">
        <f t="shared" si="617"/>
        <v>2.7189999999999999</v>
      </c>
      <c r="XF48" s="46">
        <f t="shared" si="443"/>
        <v>1</v>
      </c>
      <c r="XG48" s="46">
        <f t="shared" si="444"/>
        <v>2</v>
      </c>
      <c r="XH48" s="46" cm="1">
        <f t="array" ref="XH48">ROUND(VALUE(IFERROR(INDEX(ArchiveResults!$F$5:$IX$116,ComparisonData!A48,ComparisonData!$XH$1),0)),5)</f>
        <v>0</v>
      </c>
      <c r="XI48" s="46" cm="1">
        <f t="array" ref="XI48">ROUND(VALUE(IFERROR(INDEX(ArchiveResults!$F$5:$IX$116,ComparisonData!A48,ComparisonData!$XI$1),0)),5)</f>
        <v>0</v>
      </c>
      <c r="XJ48" s="56">
        <v>43</v>
      </c>
      <c r="XK48" s="53" t="str">
        <f t="shared" si="618"/>
        <v>Jersey Archive</v>
      </c>
      <c r="XL48" s="60">
        <f t="shared" si="445"/>
        <v>0</v>
      </c>
      <c r="XM48" s="60">
        <f t="shared" si="446"/>
        <v>0</v>
      </c>
      <c r="XN48" s="76">
        <f t="shared" si="447"/>
        <v>0</v>
      </c>
      <c r="XO48" s="46">
        <f t="shared" si="448"/>
        <v>57</v>
      </c>
      <c r="XP48" s="46">
        <f t="shared" si="619"/>
        <v>2.7189999999999999</v>
      </c>
      <c r="XQ48" s="46">
        <f t="shared" si="449"/>
        <v>1</v>
      </c>
      <c r="XR48" s="46">
        <f t="shared" si="450"/>
        <v>2</v>
      </c>
      <c r="XS48" s="46" cm="1">
        <f t="array" ref="XS48">ROUND(VALUE(IFERROR(INDEX(ArchiveResults!$F$5:$IX$116,ComparisonData!A48,ComparisonData!$XS$1),0)),5)</f>
        <v>0</v>
      </c>
      <c r="XT48" s="46" cm="1">
        <f t="array" ref="XT48">ROUND(VALUE(IFERROR(INDEX(ArchiveResults!$F$5:$IX$116,ComparisonData!A48,ComparisonData!$XT$1),0)),5)</f>
        <v>0</v>
      </c>
      <c r="XU48" s="56">
        <v>43</v>
      </c>
      <c r="XV48" s="53" t="str">
        <f t="shared" si="620"/>
        <v>Jersey Archive</v>
      </c>
      <c r="XW48" s="60">
        <f t="shared" si="451"/>
        <v>0</v>
      </c>
      <c r="XX48" s="60">
        <f t="shared" si="452"/>
        <v>0</v>
      </c>
      <c r="XY48" s="76">
        <f t="shared" si="453"/>
        <v>0</v>
      </c>
      <c r="XZ48" s="46">
        <f t="shared" si="454"/>
        <v>57</v>
      </c>
      <c r="YA48" s="46">
        <f t="shared" si="621"/>
        <v>2.7189999999999999</v>
      </c>
      <c r="YB48" s="46">
        <f t="shared" si="455"/>
        <v>1</v>
      </c>
      <c r="YC48" s="46">
        <f t="shared" si="456"/>
        <v>2</v>
      </c>
      <c r="YD48" s="46" cm="1">
        <f t="array" ref="YD48">ROUND(VALUE(IFERROR(INDEX(ArchiveResults!$F$5:$IX$116,ComparisonData!A48,ComparisonData!$YD$1),0)),5)</f>
        <v>0</v>
      </c>
      <c r="YE48" s="46" cm="1">
        <f t="array" ref="YE48">ROUND(VALUE(IFERROR(INDEX(ArchiveResults!$F$5:$IX$116,ComparisonData!A48,ComparisonData!$YE$1),0)),5)</f>
        <v>0</v>
      </c>
      <c r="YF48" s="56">
        <v>43</v>
      </c>
      <c r="YG48" s="53" t="str">
        <f t="shared" si="622"/>
        <v>Jersey Archive</v>
      </c>
      <c r="YH48" s="60">
        <f t="shared" si="457"/>
        <v>0</v>
      </c>
      <c r="YI48" s="60">
        <f t="shared" si="458"/>
        <v>0</v>
      </c>
      <c r="YJ48" s="76">
        <f t="shared" si="459"/>
        <v>0</v>
      </c>
      <c r="YK48" s="46">
        <f t="shared" si="460"/>
        <v>57</v>
      </c>
      <c r="YL48" s="46">
        <f t="shared" si="623"/>
        <v>2.7189999999999999</v>
      </c>
      <c r="YM48" s="46">
        <f t="shared" si="461"/>
        <v>1</v>
      </c>
      <c r="YN48" s="46">
        <f t="shared" si="462"/>
        <v>2</v>
      </c>
      <c r="YO48" s="46" cm="1">
        <f t="array" ref="YO48">ROUND(VALUE(IFERROR(INDEX(ArchiveResults!$F$5:$IX$116,ComparisonData!A48,ComparisonData!$YO$1),0)),5)</f>
        <v>0</v>
      </c>
      <c r="YP48" s="46" cm="1">
        <f t="array" ref="YP48">ROUND(VALUE(IFERROR(INDEX(ArchiveResults!$F$5:$IX$116,ComparisonData!A48,ComparisonData!$YP$1),0)),5)</f>
        <v>0</v>
      </c>
      <c r="YQ48" s="56">
        <v>43</v>
      </c>
      <c r="YR48" s="53" t="str">
        <f t="shared" si="624"/>
        <v>Jersey Archive</v>
      </c>
      <c r="YS48" s="60">
        <f t="shared" si="463"/>
        <v>0</v>
      </c>
      <c r="YT48" s="60">
        <f t="shared" si="464"/>
        <v>0</v>
      </c>
      <c r="YU48" s="76">
        <f t="shared" si="465"/>
        <v>0</v>
      </c>
      <c r="YV48" s="46">
        <f t="shared" si="466"/>
        <v>57</v>
      </c>
      <c r="YW48" s="46">
        <f t="shared" si="625"/>
        <v>2.7189999999999999</v>
      </c>
      <c r="YX48" s="46">
        <f t="shared" si="467"/>
        <v>1</v>
      </c>
      <c r="YY48" s="46">
        <f t="shared" si="468"/>
        <v>2</v>
      </c>
      <c r="YZ48" s="46">
        <f t="shared" si="469"/>
        <v>0</v>
      </c>
      <c r="ZA48" s="46" cm="1">
        <f t="array" ref="ZA48">ROUNDDOWN(VALUE(IFERROR(INDEX(ArchiveResults!$F$5:$IX$116,ComparisonData!A48,ComparisonData!$ZA$1),0)),5)</f>
        <v>0</v>
      </c>
      <c r="ZB48" s="46" cm="1">
        <f t="array" ref="ZB48">ROUNDDOWN(VALUE(IFERROR(INDEX(ArchiveResults!$F$5:$IX$116,ComparisonData!A48,ComparisonData!$ZB$1),0)),5)</f>
        <v>0</v>
      </c>
      <c r="ZC48" s="46" cm="1">
        <f t="array" ref="ZC48">ROUNDDOWN(VALUE(IFERROR(INDEX(ArchiveResults!$F$5:$IX$116,ComparisonData!A48,ComparisonData!$ZC$1),0)),5)</f>
        <v>0</v>
      </c>
      <c r="ZD48" s="46" cm="1">
        <f t="array" ref="ZD48">ROUNDDOWN(VALUE(IFERROR(INDEX(ArchiveResults!$F$5:$IX$116,ComparisonData!A48,ComparisonData!$ZD$1),0)),5)</f>
        <v>0</v>
      </c>
      <c r="ZE48" s="46" cm="1">
        <f t="array" ref="ZE48">ROUNDDOWN(VALUE(IFERROR(INDEX(ArchiveResults!$F$5:$IX$116,ComparisonData!A48,ComparisonData!$ZE$1),0)),5)</f>
        <v>0</v>
      </c>
      <c r="ZF48" s="56">
        <v>43</v>
      </c>
      <c r="ZG48" s="53" t="str">
        <f t="shared" si="626"/>
        <v>Jersey Archive</v>
      </c>
      <c r="ZH48" s="60">
        <f t="shared" si="470"/>
        <v>0</v>
      </c>
      <c r="ZI48" s="60">
        <f t="shared" si="471"/>
        <v>0</v>
      </c>
      <c r="ZJ48" s="60">
        <f t="shared" si="472"/>
        <v>0</v>
      </c>
      <c r="ZK48" s="60">
        <f t="shared" si="473"/>
        <v>0</v>
      </c>
      <c r="ZL48" s="60">
        <f t="shared" si="474"/>
        <v>0</v>
      </c>
      <c r="ZM48" s="76">
        <f t="shared" si="475"/>
        <v>0</v>
      </c>
      <c r="ZN48" s="46">
        <f t="shared" si="476"/>
        <v>57</v>
      </c>
      <c r="ZO48" s="46">
        <f t="shared" si="627"/>
        <v>2.7189999999999999</v>
      </c>
      <c r="ZP48" s="46">
        <f t="shared" si="477"/>
        <v>1</v>
      </c>
      <c r="ZQ48" s="46">
        <f t="shared" si="478"/>
        <v>2</v>
      </c>
      <c r="ZR48" s="46" cm="1">
        <f t="array" ref="ZR48">ROUND(VALUE(IFERROR(INDEX(ArchiveResults!$F$5:$IX$116,ComparisonData!A48,ComparisonData!$ZR$1),0)),5)</f>
        <v>0</v>
      </c>
      <c r="ZS48" s="56">
        <v>43</v>
      </c>
      <c r="ZT48" s="53" t="str">
        <f t="shared" si="628"/>
        <v>Jersey Archive</v>
      </c>
      <c r="ZU48" s="46">
        <f t="shared" si="479"/>
        <v>0</v>
      </c>
      <c r="ZV48" s="76">
        <f t="shared" si="480"/>
        <v>0</v>
      </c>
      <c r="ZW48" s="81" cm="1">
        <f t="array" ref="ZW48">ROUND((IFERROR(INDEX(ArchiveResults!$F$5:$IX$116,ComparisonData!A48,ComparisonData!$ZW$1),0)),5)</f>
        <v>0</v>
      </c>
      <c r="ZX48" s="81" cm="1">
        <f t="array" ref="ZX48">ROUND((IFERROR(INDEX(ArchiveResults!$F$5:$IX$116,ComparisonData!A48,ComparisonData!$ZX$1),0)),5)</f>
        <v>0</v>
      </c>
      <c r="ZY48" s="81" cm="1">
        <f t="array" ref="ZY48">ROUND((IFERROR(INDEX(ArchiveResults!$F$5:$IX$116,ComparisonData!A48,ComparisonData!$ZY$1),0)),5)</f>
        <v>0</v>
      </c>
      <c r="ZZ48" s="81" cm="1">
        <f t="array" ref="ZZ48">ROUND((IFERROR(INDEX(ArchiveResults!$F$5:$IX$116,ComparisonData!A48,ComparisonData!$ZZ$1),0)),5)</f>
        <v>0</v>
      </c>
      <c r="AAA48" s="81" cm="1">
        <f t="array" ref="AAA48">ROUND((IFERROR(INDEX(ArchiveResults!$F$5:$IX$116,ComparisonData!A48,ComparisonData!$AAA$1),0)),5)</f>
        <v>0</v>
      </c>
      <c r="AAB48" s="81" cm="1">
        <f t="array" ref="AAB48">ROUND((IFERROR(INDEX(ArchiveResults!$F$5:$IX$116,ComparisonData!A48,ComparisonData!$AAB$1),0)),5)</f>
        <v>0</v>
      </c>
      <c r="AAC48" s="81" cm="1">
        <f t="array" ref="AAC48">ROUND((IFERROR(INDEX(ArchiveResults!$F$5:$IX$116,ComparisonData!A48,ComparisonData!$AAC$1),0)),5)</f>
        <v>0</v>
      </c>
      <c r="AAD48" s="81" cm="1">
        <f t="array" ref="AAD48">ROUND((IFERROR(INDEX(ArchiveResults!$F$5:$IX$116,ComparisonData!A48,ComparisonData!$AAD$1),0)),5)</f>
        <v>0</v>
      </c>
      <c r="AAE48" s="81" cm="1">
        <f t="array" ref="AAE48">ROUND((IFERROR(INDEX(ArchiveResults!$F$5:$IX$116,ComparisonData!A48,ComparisonData!$AAE$1),0)),5)</f>
        <v>0</v>
      </c>
      <c r="AAF48" s="81" cm="1">
        <f t="array" ref="AAF48">ROUND((IFERROR(INDEX(ArchiveResults!$F$5:$IX$116,ComparisonData!A48,ComparisonData!$AAF$1),0)),5)</f>
        <v>0</v>
      </c>
      <c r="AAG48" s="46">
        <f t="shared" si="481"/>
        <v>57</v>
      </c>
      <c r="AAH48" s="46">
        <f t="shared" si="629"/>
        <v>2.7189999999999999</v>
      </c>
      <c r="AAI48" s="46">
        <f t="shared" si="482"/>
        <v>1</v>
      </c>
      <c r="AAJ48" s="46">
        <f t="shared" si="483"/>
        <v>2</v>
      </c>
      <c r="AAK48" s="46">
        <f t="shared" si="484"/>
        <v>0</v>
      </c>
      <c r="AAL48" s="46">
        <f t="shared" si="485"/>
        <v>0</v>
      </c>
      <c r="AAM48" s="46">
        <f t="shared" si="486"/>
        <v>0</v>
      </c>
      <c r="AAN48" s="46">
        <f t="shared" si="487"/>
        <v>0</v>
      </c>
      <c r="AAO48" s="46">
        <f t="shared" si="488"/>
        <v>0</v>
      </c>
      <c r="AAP48" s="46">
        <f t="shared" si="489"/>
        <v>0</v>
      </c>
      <c r="AAQ48" s="56">
        <v>43</v>
      </c>
      <c r="AAR48" s="53" t="str">
        <f t="shared" si="630"/>
        <v>Jersey Archive</v>
      </c>
      <c r="AAS48" s="60">
        <f t="shared" si="490"/>
        <v>0</v>
      </c>
      <c r="AAT48" s="60">
        <f t="shared" si="491"/>
        <v>0</v>
      </c>
      <c r="AAU48" s="60">
        <f t="shared" si="492"/>
        <v>0</v>
      </c>
      <c r="AAV48" s="60">
        <f t="shared" si="493"/>
        <v>0</v>
      </c>
      <c r="AAW48" s="60">
        <f t="shared" si="494"/>
        <v>0</v>
      </c>
      <c r="AAX48" s="76">
        <f t="shared" si="495"/>
        <v>0</v>
      </c>
      <c r="AAY48" s="46">
        <f t="shared" si="496"/>
        <v>57</v>
      </c>
      <c r="AAZ48" s="46">
        <f t="shared" si="631"/>
        <v>2.7189999999999999</v>
      </c>
      <c r="ABA48" s="46">
        <f t="shared" si="497"/>
        <v>1</v>
      </c>
      <c r="ABB48" s="46">
        <f t="shared" si="498"/>
        <v>2</v>
      </c>
      <c r="ABC48" s="46">
        <f t="shared" si="102"/>
        <v>0</v>
      </c>
      <c r="ABD48" s="46" cm="1">
        <f t="array" ref="ABD48">ROUND(VALUE(IFERROR(INDEX(ArchiveResults!$F$5:$IX$116,ComparisonData!A48,ComparisonData!$ABD$1),0)),5)</f>
        <v>0</v>
      </c>
      <c r="ABE48" s="46" cm="1">
        <f t="array" ref="ABE48">ROUND(VALUE(IFERROR(INDEX(ArchiveResults!$F$5:$IX$116,ComparisonData!A48,ComparisonData!$ABE$1),0)),5)</f>
        <v>0</v>
      </c>
      <c r="ABF48" s="46" cm="1">
        <f t="array" ref="ABF48">ROUND(VALUE(IFERROR(INDEX(ArchiveResults!$F$5:$IX$116,ComparisonData!A48,ComparisonData!$ABF$1),0)),5)</f>
        <v>0</v>
      </c>
      <c r="ABG48" s="46" cm="1">
        <f t="array" ref="ABG48">ROUND(VALUE(IFERROR(INDEX(ArchiveResults!$F$5:$IX$116,ComparisonData!A48,ComparisonData!$ABG$1),0)),5)</f>
        <v>0</v>
      </c>
      <c r="ABH48" s="46" cm="1">
        <f t="array" ref="ABH48">ROUND(VALUE(IFERROR(INDEX(ArchiveResults!$F$5:$IX$116,ComparisonData!A48,ComparisonData!$ABH$1),0)),5)</f>
        <v>0</v>
      </c>
      <c r="ABI48" s="56">
        <v>43</v>
      </c>
      <c r="ABJ48" s="53" t="str">
        <f t="shared" si="632"/>
        <v>Jersey Archive</v>
      </c>
      <c r="ABK48" s="60">
        <f t="shared" si="499"/>
        <v>0</v>
      </c>
      <c r="ABL48" s="60">
        <f t="shared" si="500"/>
        <v>0</v>
      </c>
      <c r="ABM48" s="60">
        <f t="shared" si="501"/>
        <v>0</v>
      </c>
      <c r="ABN48" s="60">
        <f t="shared" si="502"/>
        <v>0</v>
      </c>
      <c r="ABO48" s="60">
        <f t="shared" si="503"/>
        <v>0</v>
      </c>
      <c r="ABP48" s="76">
        <f t="shared" si="504"/>
        <v>0</v>
      </c>
      <c r="ABQ48" s="46">
        <f t="shared" si="505"/>
        <v>57</v>
      </c>
      <c r="ABR48" s="46">
        <f t="shared" si="633"/>
        <v>2.7189999999999999</v>
      </c>
      <c r="ABS48" s="46">
        <f t="shared" si="506"/>
        <v>1</v>
      </c>
      <c r="ABT48" s="46">
        <f t="shared" si="507"/>
        <v>2</v>
      </c>
      <c r="ABU48" s="46" cm="1">
        <f t="array" ref="ABU48">ROUND(VALUE(IFERROR(INDEX(ArchiveResults!$F$5:$IX$116,ComparisonData!A48,ComparisonData!$ABU$1),0)),5)</f>
        <v>0</v>
      </c>
      <c r="ABV48" s="46" cm="1">
        <f t="array" ref="ABV48">ROUND(VALUE(IFERROR(INDEX(ArchiveResults!$F$5:$IX$116,ComparisonData!A48,ComparisonData!$ABV$1),0)),5)</f>
        <v>0</v>
      </c>
      <c r="ABW48" s="46" cm="1">
        <f t="array" ref="ABW48">ROUND(VALUE(IFERROR(INDEX(ArchiveResults!$F$5:$IX$116,ComparisonData!A48,ComparisonData!$ABW$1),0)),5)</f>
        <v>0</v>
      </c>
      <c r="ABX48" s="46" cm="1">
        <f t="array" ref="ABX48">ROUND(VALUE(IFERROR(INDEX(ArchiveResults!$F$5:$IX$116,ComparisonData!A48,ComparisonData!$ABX$1),0)),5)</f>
        <v>0</v>
      </c>
      <c r="ABY48" s="46" cm="1">
        <f t="array" ref="ABY48">ROUND(VALUE(IFERROR(INDEX(ArchiveResults!$F$5:$IX$116,ComparisonData!A48,ComparisonData!$ABY$1),0)),5)</f>
        <v>0</v>
      </c>
      <c r="ABZ48" s="56">
        <v>43</v>
      </c>
      <c r="ACA48" s="53" t="str">
        <f t="shared" si="634"/>
        <v>Jersey Archive</v>
      </c>
      <c r="ACB48" s="60">
        <f t="shared" si="508"/>
        <v>0</v>
      </c>
      <c r="ACC48" s="60">
        <f t="shared" si="509"/>
        <v>0</v>
      </c>
      <c r="ACD48" s="60">
        <f t="shared" si="510"/>
        <v>0</v>
      </c>
      <c r="ACE48" s="60">
        <f t="shared" si="511"/>
        <v>0</v>
      </c>
      <c r="ACF48" s="60">
        <f t="shared" si="512"/>
        <v>0</v>
      </c>
      <c r="ACG48" s="76">
        <f t="shared" si="513"/>
        <v>0</v>
      </c>
      <c r="ACH48" s="46">
        <f t="shared" si="514"/>
        <v>57</v>
      </c>
      <c r="ACI48" s="46">
        <f t="shared" si="635"/>
        <v>2.7189999999999999</v>
      </c>
      <c r="ACJ48" s="46">
        <f t="shared" si="515"/>
        <v>1</v>
      </c>
      <c r="ACK48" s="46">
        <f t="shared" si="516"/>
        <v>2</v>
      </c>
      <c r="ACL48" s="46">
        <f t="shared" si="517"/>
        <v>0</v>
      </c>
      <c r="ACM48" s="46" cm="1">
        <f t="array" ref="ACM48">ROUND(IFERROR(INDEX(ArchiveResults!$F$5:$IX$116,ComparisonData!A48,ComparisonData!$ACM$1),0),5)</f>
        <v>0</v>
      </c>
      <c r="ACN48" s="46" cm="1">
        <f t="array" ref="ACN48">ROUND(IFERROR(INDEX(ArchiveResults!$F$5:$IX$116,ComparisonData!A48,ComparisonData!$ACN$1),0),5)</f>
        <v>0</v>
      </c>
      <c r="ACO48" s="56">
        <v>43</v>
      </c>
      <c r="ACP48" s="53" t="str">
        <f t="shared" si="636"/>
        <v>Jersey Archive</v>
      </c>
      <c r="ACQ48" s="60">
        <f t="shared" si="518"/>
        <v>0</v>
      </c>
      <c r="ACR48" s="60">
        <f t="shared" si="519"/>
        <v>0</v>
      </c>
      <c r="ACS48" s="76">
        <f t="shared" si="520"/>
        <v>0</v>
      </c>
      <c r="ACT48" s="46">
        <f t="shared" si="521"/>
        <v>57</v>
      </c>
      <c r="ACU48" s="46">
        <f t="shared" si="637"/>
        <v>2.7189999999999999</v>
      </c>
      <c r="ACV48" s="46">
        <f t="shared" si="522"/>
        <v>1</v>
      </c>
      <c r="ACW48" s="46">
        <f t="shared" si="523"/>
        <v>2</v>
      </c>
      <c r="ACX48" s="46">
        <f t="shared" si="524"/>
        <v>0</v>
      </c>
      <c r="ACY48" s="46" cm="1">
        <f t="array" ref="ACY48">ROUNDDOWN(IFERROR(INDEX(ArchiveResults!$F$5:$IX$116,ComparisonData!A48,ComparisonData!$ACY$1),0),5)</f>
        <v>0</v>
      </c>
      <c r="ACZ48" s="46" cm="1">
        <f t="array" ref="ACZ48">ROUNDDOWN(IFERROR(INDEX(ArchiveResults!$F$5:$IX$116,ComparisonData!A48,ComparisonData!$ACZ$1),0),5)</f>
        <v>0</v>
      </c>
      <c r="ADA48" s="46" cm="1">
        <f t="array" ref="ADA48">ROUNDDOWN(IFERROR(INDEX(ArchiveResults!$F$5:$IX$116,ComparisonData!A48,ComparisonData!$ADA$1),0),5)</f>
        <v>0</v>
      </c>
      <c r="ADB48" s="56">
        <v>43</v>
      </c>
      <c r="ADC48" s="53" t="str">
        <f t="shared" si="638"/>
        <v>Jersey Archive</v>
      </c>
      <c r="ADD48" s="60">
        <f t="shared" si="525"/>
        <v>0</v>
      </c>
      <c r="ADE48" s="60">
        <f t="shared" si="526"/>
        <v>0</v>
      </c>
      <c r="ADF48" s="60">
        <f t="shared" si="527"/>
        <v>0</v>
      </c>
      <c r="ADG48" s="76">
        <f t="shared" si="528"/>
        <v>0</v>
      </c>
    </row>
    <row r="49" spans="1:787" x14ac:dyDescent="0.25">
      <c r="A49" s="46" t="str">
        <f>IF(ISBLANK(ComparisonSelection!F45),"",ROW()-5)</f>
        <v/>
      </c>
      <c r="B49" s="53" t="s">
        <v>498</v>
      </c>
      <c r="C49" s="72">
        <v>0.74399999999999977</v>
      </c>
      <c r="D49" s="55">
        <f t="shared" si="110"/>
        <v>62</v>
      </c>
      <c r="E49" s="54">
        <f t="shared" si="111"/>
        <v>2.7439999999999998</v>
      </c>
      <c r="F49" s="54">
        <f t="shared" si="529"/>
        <v>1</v>
      </c>
      <c r="G49" s="72">
        <f t="shared" si="112"/>
        <v>2</v>
      </c>
      <c r="H49" s="72">
        <f t="shared" si="113"/>
        <v>0</v>
      </c>
      <c r="I49" s="46" cm="1">
        <f t="array" ref="I49">ROUND(IFERROR(INDEX(ArchiveResults!$F$5:$IX$116,ComparisonData!A49,ComparisonData!$I$1),0),5)</f>
        <v>0</v>
      </c>
      <c r="J49" s="46" cm="1">
        <f t="array" ref="J49">ROUND(IFERROR(INDEX(ArchiveResults!$F$5:$IX$116,ComparisonData!A49,ComparisonData!$J$1),0),5)</f>
        <v>0</v>
      </c>
      <c r="K49" s="56">
        <v>44</v>
      </c>
      <c r="L49" s="53" t="str">
        <f t="shared" si="114"/>
        <v>Kent Archives Service</v>
      </c>
      <c r="M49" s="57">
        <f t="shared" si="530"/>
        <v>0</v>
      </c>
      <c r="N49" s="57">
        <f t="shared" si="531"/>
        <v>0</v>
      </c>
      <c r="O49" s="58">
        <f t="shared" si="115"/>
        <v>0</v>
      </c>
      <c r="P49" s="48">
        <f t="shared" si="116"/>
        <v>62</v>
      </c>
      <c r="Q49" s="54">
        <f t="shared" si="532"/>
        <v>2.7439999999999998</v>
      </c>
      <c r="R49" s="45">
        <f t="shared" si="117"/>
        <v>1</v>
      </c>
      <c r="S49" s="46">
        <f t="shared" si="118"/>
        <v>2</v>
      </c>
      <c r="T49" s="72">
        <f t="shared" si="119"/>
        <v>0</v>
      </c>
      <c r="U49" s="46" cm="1">
        <f t="array" ref="U49">ROUND(IFERROR(INDEX(ArchiveResults!$F$5:$IX$116,ComparisonData!A49,ComparisonData!$U$1),0),5)</f>
        <v>0</v>
      </c>
      <c r="V49" s="46" cm="1">
        <f t="array" ref="V49">ROUND(IFERROR(INDEX(ArchiveResults!$F$5:$IX$116,ComparisonData!A49,ComparisonData!$V$1),0),5)</f>
        <v>0</v>
      </c>
      <c r="W49" s="56">
        <v>44</v>
      </c>
      <c r="X49" s="53" t="str">
        <f t="shared" si="533"/>
        <v>Kent Archives Service</v>
      </c>
      <c r="Y49" s="57">
        <f t="shared" si="120"/>
        <v>0</v>
      </c>
      <c r="Z49" s="57">
        <f t="shared" si="121"/>
        <v>0</v>
      </c>
      <c r="AA49" s="58">
        <f t="shared" si="122"/>
        <v>0</v>
      </c>
      <c r="AB49" s="45">
        <f t="shared" si="123"/>
        <v>62</v>
      </c>
      <c r="AC49" s="54">
        <f t="shared" si="534"/>
        <v>2.7439999999999998</v>
      </c>
      <c r="AD49" s="45">
        <f t="shared" si="124"/>
        <v>1</v>
      </c>
      <c r="AE49" s="45">
        <f t="shared" si="125"/>
        <v>2</v>
      </c>
      <c r="AF49" s="45">
        <f t="shared" si="126"/>
        <v>0</v>
      </c>
      <c r="AG49" s="46" cm="1">
        <f t="array" ref="AG49">ROUND(IFERROR(INDEX(ArchiveResults!$F$5:$IX$116,ComparisonData!A49,ComparisonData!$AG$1),0),5)</f>
        <v>0</v>
      </c>
      <c r="AH49" s="46" cm="1">
        <f t="array" ref="AH49">ROUND(IFERROR(INDEX(ArchiveResults!$F$5:$IX$116,ComparisonData!A49,ComparisonData!$AH$1),0),5)</f>
        <v>0</v>
      </c>
      <c r="AI49" s="56">
        <v>44</v>
      </c>
      <c r="AJ49" s="53" t="str">
        <f t="shared" si="535"/>
        <v>Kent Archives Service</v>
      </c>
      <c r="AK49" s="59">
        <f t="shared" si="536"/>
        <v>0</v>
      </c>
      <c r="AL49" s="59">
        <f t="shared" si="537"/>
        <v>0</v>
      </c>
      <c r="AM49" s="58">
        <f t="shared" si="127"/>
        <v>0</v>
      </c>
      <c r="AN49" s="45">
        <f t="shared" si="128"/>
        <v>62</v>
      </c>
      <c r="AO49" s="54">
        <f t="shared" si="538"/>
        <v>2.7439999999999998</v>
      </c>
      <c r="AP49" s="45">
        <f t="shared" si="129"/>
        <v>1</v>
      </c>
      <c r="AQ49" s="45">
        <f t="shared" si="130"/>
        <v>2</v>
      </c>
      <c r="AR49" s="46" cm="1">
        <f t="array" ref="AR49">ROUND(IFERROR(INDEX(ArchiveResults!$F$5:$IX$116,ComparisonData!A49,ComparisonData!$AR$1),0),5)</f>
        <v>0</v>
      </c>
      <c r="AS49" s="46" cm="1">
        <f t="array" ref="AS49">ROUND(IFERROR(INDEX(ArchiveResults!$F$5:$IX$116,ComparisonData!A49,ComparisonData!$AS$1),0),5)</f>
        <v>0</v>
      </c>
      <c r="AT49" s="46" cm="1">
        <f t="array" ref="AT49">ROUND(IFERROR(INDEX(ArchiveResults!$F$5:$IX$116,ComparisonData!A49,ComparisonData!$AT$1),0),5)</f>
        <v>0</v>
      </c>
      <c r="AU49" s="46" cm="1">
        <f t="array" ref="AU49">ROUND(IFERROR(INDEX(ArchiveResults!$F$5:$IX$116,ComparisonData!A49,ComparisonData!$AU$1),0),5)</f>
        <v>0</v>
      </c>
      <c r="AV49" s="46" cm="1">
        <f t="array" ref="AV49">ROUND(IFERROR(INDEX(ArchiveResults!$F$5:$IX$116,ComparisonData!A49,ComparisonData!$AV$1),0),5)</f>
        <v>0</v>
      </c>
      <c r="AW49" s="46" cm="1">
        <f t="array" ref="AW49">ROUND(IFERROR(INDEX(ArchiveResults!$F$5:$IX$116,ComparisonData!A49,ComparisonData!$AW$1),0),5)</f>
        <v>0</v>
      </c>
      <c r="AX49" s="46" cm="1">
        <f t="array" ref="AX49">ROUND(IFERROR(INDEX(ArchiveResults!$F$5:$IX$116,ComparisonData!A49,ComparisonData!$AX$1),0),5)</f>
        <v>0</v>
      </c>
      <c r="AY49" s="46" cm="1">
        <f t="array" ref="AY49">ROUND(IFERROR(INDEX(ArchiveResults!$F$5:$IX$116,ComparisonData!A49,ComparisonData!$AY$1),0),5)</f>
        <v>0</v>
      </c>
      <c r="AZ49" s="46" cm="1">
        <f t="array" ref="AZ49">ROUND(IFERROR(INDEX(ArchiveResults!$F$5:$IX$116,ComparisonData!A49,ComparisonData!$AZ$1),0),5)</f>
        <v>0</v>
      </c>
      <c r="BA49" s="46" cm="1">
        <f t="array" ref="BA49">ROUND(IFERROR(INDEX(ArchiveResults!$F$5:$IX$116,ComparisonData!A49,ComparisonData!$BA$1),0),5)</f>
        <v>0</v>
      </c>
      <c r="BB49" s="56">
        <v>44</v>
      </c>
      <c r="BC49" s="53" t="str">
        <f t="shared" si="539"/>
        <v>Kent Archives Service</v>
      </c>
      <c r="BD49" s="60">
        <f t="shared" si="131"/>
        <v>0</v>
      </c>
      <c r="BE49" s="60">
        <f t="shared" si="132"/>
        <v>0</v>
      </c>
      <c r="BF49" s="60">
        <f t="shared" si="133"/>
        <v>0</v>
      </c>
      <c r="BG49" s="60">
        <f t="shared" si="134"/>
        <v>0</v>
      </c>
      <c r="BH49" s="60">
        <f t="shared" si="135"/>
        <v>0</v>
      </c>
      <c r="BI49" s="60">
        <f t="shared" si="136"/>
        <v>0</v>
      </c>
      <c r="BJ49" s="60">
        <f t="shared" si="137"/>
        <v>0</v>
      </c>
      <c r="BK49" s="60">
        <f t="shared" si="138"/>
        <v>0</v>
      </c>
      <c r="BL49" s="60">
        <f t="shared" si="139"/>
        <v>0</v>
      </c>
      <c r="BM49" s="59">
        <f t="shared" si="140"/>
        <v>0</v>
      </c>
      <c r="BN49" s="58">
        <f t="shared" si="141"/>
        <v>0</v>
      </c>
      <c r="BO49" s="45">
        <f t="shared" si="142"/>
        <v>62</v>
      </c>
      <c r="BP49" s="54">
        <f t="shared" si="540"/>
        <v>2.7439999999999998</v>
      </c>
      <c r="BQ49" s="45">
        <f t="shared" si="143"/>
        <v>1</v>
      </c>
      <c r="BR49" s="45">
        <f t="shared" si="144"/>
        <v>2</v>
      </c>
      <c r="BS49" s="46" cm="1">
        <f t="array" ref="BS49">ROUND(IFERROR(INDEX(ArchiveResults!$F$5:$IX$116,ComparisonData!A49,ComparisonData!$BS$1),0),5)</f>
        <v>0</v>
      </c>
      <c r="BT49" s="46" cm="1">
        <f t="array" ref="BT49">ROUND(IFERROR(INDEX(ArchiveResults!$F$5:$IX$116,ComparisonData!A49,ComparisonData!$BT$1),0),5)</f>
        <v>0</v>
      </c>
      <c r="BU49" s="46" cm="1">
        <f t="array" ref="BU49">ROUND(IFERROR(INDEX(ArchiveResults!$F$5:$IX$116,ComparisonData!A49,ComparisonData!$BU$1),0),5)</f>
        <v>0</v>
      </c>
      <c r="BV49" s="46" cm="1">
        <f t="array" ref="BV49">ROUND(IFERROR(INDEX(ArchiveResults!$F$5:$IX$116,ComparisonData!A49,ComparisonData!$BV$1),0),5)</f>
        <v>0</v>
      </c>
      <c r="BW49" s="46" cm="1">
        <f t="array" ref="BW49">ROUND(IFERROR(INDEX(ArchiveResults!$F$5:$IX$116,ComparisonData!A49,ComparisonData!$BW$1),0),5)</f>
        <v>0</v>
      </c>
      <c r="BX49" s="46" cm="1">
        <f t="array" ref="BX49">ROUND(IFERROR(INDEX(ArchiveResults!$F$5:$IX$116,ComparisonData!A49,ComparisonData!$BX$1),0),5)</f>
        <v>0</v>
      </c>
      <c r="BY49" s="56">
        <v>44</v>
      </c>
      <c r="BZ49" s="53" t="str">
        <f t="shared" si="541"/>
        <v>Kent Archives Service</v>
      </c>
      <c r="CA49" s="59">
        <f t="shared" si="145"/>
        <v>0</v>
      </c>
      <c r="CB49" s="59">
        <f t="shared" si="146"/>
        <v>0</v>
      </c>
      <c r="CC49" s="59">
        <f t="shared" si="147"/>
        <v>0</v>
      </c>
      <c r="CD49" s="59">
        <f t="shared" si="148"/>
        <v>0</v>
      </c>
      <c r="CE49" s="59">
        <f t="shared" si="149"/>
        <v>0</v>
      </c>
      <c r="CF49" s="59">
        <f t="shared" si="150"/>
        <v>0</v>
      </c>
      <c r="CG49" s="58">
        <f t="shared" si="151"/>
        <v>0</v>
      </c>
      <c r="CH49" s="45">
        <f t="shared" si="152"/>
        <v>62</v>
      </c>
      <c r="CI49" s="54">
        <f t="shared" si="542"/>
        <v>2.7439999999999998</v>
      </c>
      <c r="CJ49" s="45">
        <f t="shared" si="153"/>
        <v>1</v>
      </c>
      <c r="CK49" s="45">
        <f t="shared" si="154"/>
        <v>2</v>
      </c>
      <c r="CL49" s="46" cm="1">
        <f t="array" ref="CL49">ROUND(IFERROR(INDEX(ArchiveResults!$F$5:$IX$116,ComparisonData!A49,ComparisonData!$CL$1),0),5)</f>
        <v>0</v>
      </c>
      <c r="CM49" s="56">
        <v>44</v>
      </c>
      <c r="CN49" s="53" t="str">
        <f t="shared" si="543"/>
        <v>Kent Archives Service</v>
      </c>
      <c r="CO49" s="45">
        <f t="shared" si="155"/>
        <v>0</v>
      </c>
      <c r="CP49" s="58">
        <f t="shared" si="156"/>
        <v>0</v>
      </c>
      <c r="CQ49" s="45">
        <f t="shared" si="157"/>
        <v>62</v>
      </c>
      <c r="CR49" s="54">
        <f t="shared" si="544"/>
        <v>2.7439999999999998</v>
      </c>
      <c r="CS49" s="45">
        <f t="shared" si="158"/>
        <v>1</v>
      </c>
      <c r="CT49" s="45">
        <f t="shared" si="159"/>
        <v>2</v>
      </c>
      <c r="CU49" s="46" cm="1">
        <f t="array" ref="CU49">ROUND(IFERROR(INDEX(ArchiveResults!$F$5:$IX$116,ComparisonData!A49,ComparisonData!$CU$1),0),5)</f>
        <v>0</v>
      </c>
      <c r="CV49" s="56">
        <v>44</v>
      </c>
      <c r="CW49" s="53" t="str">
        <f t="shared" si="545"/>
        <v>Kent Archives Service</v>
      </c>
      <c r="CX49" s="45">
        <f t="shared" si="160"/>
        <v>0</v>
      </c>
      <c r="CY49" s="58">
        <f t="shared" si="161"/>
        <v>0</v>
      </c>
      <c r="CZ49" s="45">
        <f t="shared" si="162"/>
        <v>62</v>
      </c>
      <c r="DA49" s="54">
        <f t="shared" si="546"/>
        <v>2.7439999999999998</v>
      </c>
      <c r="DB49" s="45">
        <f t="shared" si="163"/>
        <v>1</v>
      </c>
      <c r="DC49" s="45">
        <f t="shared" si="164"/>
        <v>2</v>
      </c>
      <c r="DD49" s="46" cm="1">
        <f t="array" ref="DD49">ROUND(IFERROR(INDEX(ArchiveResults!$F$5:$IX$116,ComparisonData!A49,ComparisonData!$DD$1),0),5)</f>
        <v>0</v>
      </c>
      <c r="DE49" s="56">
        <v>44</v>
      </c>
      <c r="DF49" s="53" t="str">
        <f t="shared" si="547"/>
        <v>Kent Archives Service</v>
      </c>
      <c r="DG49" s="45">
        <f t="shared" si="165"/>
        <v>0</v>
      </c>
      <c r="DH49" s="58">
        <f t="shared" si="166"/>
        <v>0</v>
      </c>
      <c r="DI49" s="45">
        <f t="shared" si="167"/>
        <v>62</v>
      </c>
      <c r="DJ49" s="54">
        <f t="shared" si="548"/>
        <v>2.7439999999999998</v>
      </c>
      <c r="DK49" s="45">
        <f t="shared" si="168"/>
        <v>1</v>
      </c>
      <c r="DL49" s="45">
        <f t="shared" si="169"/>
        <v>2</v>
      </c>
      <c r="DM49" s="46" cm="1">
        <f t="array" ref="DM49">ROUND(IFERROR(INDEX(ArchiveResults!$F$5:$IX$116,ComparisonData!A49,ComparisonData!$DM$1),0),5)</f>
        <v>0</v>
      </c>
      <c r="DN49" s="46" cm="1">
        <f t="array" ref="DN49">ROUND(IFERROR(INDEX(ArchiveResults!$F$5:$IX$116,ComparisonData!A49,ComparisonData!$DN$1),0),5)</f>
        <v>0</v>
      </c>
      <c r="DO49" s="46" cm="1">
        <f t="array" ref="DO49">ROUND(IFERROR(INDEX(ArchiveResults!$F$5:$IX$116,ComparisonData!A49,ComparisonData!$DO$1),0),5)</f>
        <v>0</v>
      </c>
      <c r="DP49" s="46" cm="1">
        <f t="array" ref="DP49">ROUND(IFERROR(INDEX(ArchiveResults!$F$5:$IX$116,ComparisonData!A49,ComparisonData!$DP$1),0),5)</f>
        <v>0</v>
      </c>
      <c r="DQ49" s="45" cm="1">
        <f t="array" ref="DQ49">IFERROR(INDEX(ArchiveResults!$F$5:$IX$116,ComparisonData!A49,ComparisonData!$DQ$1),0)</f>
        <v>0</v>
      </c>
      <c r="DR49" s="56">
        <v>44</v>
      </c>
      <c r="DS49" s="53" t="str">
        <f t="shared" si="549"/>
        <v>Kent Archives Service</v>
      </c>
      <c r="DT49" s="59">
        <f t="shared" si="170"/>
        <v>0</v>
      </c>
      <c r="DU49" s="59">
        <f t="shared" si="171"/>
        <v>0</v>
      </c>
      <c r="DV49" s="59">
        <f t="shared" si="172"/>
        <v>0</v>
      </c>
      <c r="DW49" s="59">
        <f t="shared" si="173"/>
        <v>0</v>
      </c>
      <c r="DX49" s="59">
        <f t="shared" si="174"/>
        <v>0</v>
      </c>
      <c r="DY49" s="58">
        <f t="shared" si="175"/>
        <v>0</v>
      </c>
      <c r="DZ49" s="45">
        <f t="shared" si="176"/>
        <v>62</v>
      </c>
      <c r="EA49" s="54">
        <f t="shared" si="550"/>
        <v>2.7439999999999998</v>
      </c>
      <c r="EB49" s="45">
        <f t="shared" si="177"/>
        <v>1</v>
      </c>
      <c r="EC49" s="45">
        <f t="shared" si="178"/>
        <v>2</v>
      </c>
      <c r="ED49" s="46" cm="1">
        <f t="array" ref="ED49">ROUND(IFERROR(INDEX(ArchiveResults!$F$5:$IX$116,ComparisonData!A49,ComparisonData!$ED$1),0),5)</f>
        <v>0</v>
      </c>
      <c r="EE49" s="46" cm="1">
        <f t="array" ref="EE49">ROUND(IFERROR(INDEX(ArchiveResults!$F$5:$IX$116,ComparisonData!A49,ComparisonData!$EE$1),0),5)</f>
        <v>0</v>
      </c>
      <c r="EF49" s="46" cm="1">
        <f t="array" ref="EF49">ROUND(IFERROR(INDEX(ArchiveResults!$F$5:$IX$116,ComparisonData!A49,ComparisonData!$EF$1),0),5)</f>
        <v>0</v>
      </c>
      <c r="EG49" s="46" cm="1">
        <f t="array" ref="EG49">ROUND(IFERROR(INDEX(ArchiveResults!$F$5:$IX$116,ComparisonData!A49,ComparisonData!$EG$1),0),5)</f>
        <v>0</v>
      </c>
      <c r="EH49" s="45" cm="1">
        <f t="array" ref="EH49">IFERROR(INDEX(ArchiveResults!$F$5:$IX$116,ComparisonData!A49,ComparisonData!$EH$1),0)</f>
        <v>0</v>
      </c>
      <c r="EI49" s="56">
        <v>44</v>
      </c>
      <c r="EJ49" s="53" t="str">
        <f t="shared" si="551"/>
        <v>Kent Archives Service</v>
      </c>
      <c r="EK49" s="59">
        <f t="shared" si="179"/>
        <v>0</v>
      </c>
      <c r="EL49" s="59">
        <f t="shared" si="180"/>
        <v>0</v>
      </c>
      <c r="EM49" s="59">
        <f t="shared" si="181"/>
        <v>0</v>
      </c>
      <c r="EN49" s="59">
        <f t="shared" si="182"/>
        <v>0</v>
      </c>
      <c r="EO49" s="59">
        <f t="shared" si="183"/>
        <v>0</v>
      </c>
      <c r="EP49" s="58">
        <f t="shared" si="184"/>
        <v>0</v>
      </c>
      <c r="EQ49" s="45">
        <f t="shared" si="185"/>
        <v>62</v>
      </c>
      <c r="ER49" s="54">
        <f t="shared" si="552"/>
        <v>2.7439999999999998</v>
      </c>
      <c r="ES49" s="45">
        <f t="shared" si="186"/>
        <v>1</v>
      </c>
      <c r="ET49" s="45">
        <f t="shared" si="187"/>
        <v>2</v>
      </c>
      <c r="EU49" s="46" cm="1">
        <f t="array" ref="EU49">ROUND(IFERROR(INDEX(ArchiveResults!$F$5:$IX$116,ComparisonData!A49,ComparisonData!$EU$1),0),5)</f>
        <v>0</v>
      </c>
      <c r="EV49" s="46" cm="1">
        <f t="array" ref="EV49">ROUND(IFERROR(INDEX(ArchiveResults!$F$5:$IX$116,ComparisonData!A49,ComparisonData!$EV$1),0),5)</f>
        <v>0</v>
      </c>
      <c r="EW49" s="46" cm="1">
        <f t="array" ref="EW49">ROUND(IFERROR(INDEX(ArchiveResults!$F$5:$IX$116,ComparisonData!A49,ComparisonData!$EW$1),0),5)</f>
        <v>0</v>
      </c>
      <c r="EX49" s="46" cm="1">
        <f t="array" ref="EX49">ROUND(IFERROR(INDEX(ArchiveResults!$F$5:$IX$116,ComparisonData!A49,ComparisonData!$EX$1),0),5)</f>
        <v>0</v>
      </c>
      <c r="EY49" s="45" cm="1">
        <f t="array" ref="EY49">IFERROR(INDEX(ArchiveResults!$F$5:$IX$116,ComparisonData!A49,ComparisonData!$EY$1),0)</f>
        <v>0</v>
      </c>
      <c r="EZ49" s="56">
        <v>44</v>
      </c>
      <c r="FA49" s="53" t="str">
        <f t="shared" si="553"/>
        <v>Kent Archives Service</v>
      </c>
      <c r="FB49" s="59">
        <f t="shared" si="188"/>
        <v>0</v>
      </c>
      <c r="FC49" s="59">
        <f t="shared" si="189"/>
        <v>0</v>
      </c>
      <c r="FD49" s="59">
        <f t="shared" si="190"/>
        <v>0</v>
      </c>
      <c r="FE49" s="59">
        <f t="shared" si="191"/>
        <v>0</v>
      </c>
      <c r="FF49" s="59">
        <f t="shared" si="192"/>
        <v>0</v>
      </c>
      <c r="FG49" s="58">
        <f t="shared" si="193"/>
        <v>0</v>
      </c>
      <c r="FH49" s="45">
        <f t="shared" si="194"/>
        <v>62</v>
      </c>
      <c r="FI49" s="54">
        <f t="shared" si="554"/>
        <v>2.7439999999999998</v>
      </c>
      <c r="FJ49" s="45">
        <f t="shared" si="195"/>
        <v>1</v>
      </c>
      <c r="FK49" s="45">
        <f t="shared" si="196"/>
        <v>2</v>
      </c>
      <c r="FL49" s="46" cm="1">
        <f t="array" ref="FL49">ROUND(IFERROR(INDEX(ArchiveResults!$F$5:$IX$116,ComparisonData!A49,ComparisonData!$FL$1),0),5)</f>
        <v>0</v>
      </c>
      <c r="FM49" s="46" cm="1">
        <f t="array" ref="FM49">ROUND(IFERROR(INDEX(ArchiveResults!$F$5:$IX$116,ComparisonData!A49,ComparisonData!$FM$1),0),5)</f>
        <v>0</v>
      </c>
      <c r="FN49" s="46" cm="1">
        <f t="array" ref="FN49">ROUND(IFERROR(INDEX(ArchiveResults!$F$5:$IX$116,ComparisonData!A49,ComparisonData!$FN$1),0),5)</f>
        <v>0</v>
      </c>
      <c r="FO49" s="46" cm="1">
        <f t="array" ref="FO49">ROUND(IFERROR(INDEX(ArchiveResults!$F$5:$IX$116,ComparisonData!A49,ComparisonData!$FO$1),0),5)</f>
        <v>0</v>
      </c>
      <c r="FP49" s="45" cm="1">
        <f t="array" ref="FP49">IFERROR(INDEX(ArchiveResults!$F$5:$IX$116,ComparisonData!A49,ComparisonData!$FP$1),0)</f>
        <v>0</v>
      </c>
      <c r="FQ49" s="56">
        <v>44</v>
      </c>
      <c r="FR49" s="53" t="str">
        <f t="shared" si="555"/>
        <v>Kent Archives Service</v>
      </c>
      <c r="FS49" s="59">
        <f t="shared" si="197"/>
        <v>0</v>
      </c>
      <c r="FT49" s="59">
        <f t="shared" si="198"/>
        <v>0</v>
      </c>
      <c r="FU49" s="59">
        <f t="shared" si="199"/>
        <v>0</v>
      </c>
      <c r="FV49" s="59">
        <f t="shared" si="200"/>
        <v>0</v>
      </c>
      <c r="FW49" s="59">
        <f t="shared" si="201"/>
        <v>0</v>
      </c>
      <c r="FX49" s="58">
        <f t="shared" si="202"/>
        <v>0</v>
      </c>
      <c r="FY49" s="45">
        <f t="shared" si="203"/>
        <v>62</v>
      </c>
      <c r="FZ49" s="45">
        <f t="shared" si="556"/>
        <v>2.7439999999999998</v>
      </c>
      <c r="GA49" s="45">
        <f t="shared" si="204"/>
        <v>1</v>
      </c>
      <c r="GB49" s="45">
        <f t="shared" si="205"/>
        <v>2</v>
      </c>
      <c r="GC49" s="46" cm="1">
        <f t="array" ref="GC49">ROUND(IFERROR(INDEX(ArchiveResults!$F$5:$IX$116,ComparisonData!A49,ComparisonData!$GC$1),0),5)</f>
        <v>0</v>
      </c>
      <c r="GD49" s="46" cm="1">
        <f t="array" ref="GD49">ROUND(IFERROR(INDEX(ArchiveResults!$F$5:$IX$116,ComparisonData!A49,ComparisonData!$GD$1),0),5)</f>
        <v>0</v>
      </c>
      <c r="GE49" s="46" cm="1">
        <f t="array" ref="GE49">ROUND(IFERROR(INDEX(ArchiveResults!$F$5:$IX$116,ComparisonData!A49,ComparisonData!$GE$1),0),5)</f>
        <v>0</v>
      </c>
      <c r="GF49" s="46" cm="1">
        <f t="array" ref="GF49">ROUND(IFERROR(INDEX(ArchiveResults!$F$5:$IX$116,ComparisonData!A49,ComparisonData!$GF$1),0),5)</f>
        <v>0</v>
      </c>
      <c r="GG49" s="45" cm="1">
        <f t="array" ref="GG49">IFERROR(INDEX(ArchiveResults!$F$5:$IX$116,ComparisonData!A49,ComparisonData!$GG$1),0)</f>
        <v>0</v>
      </c>
      <c r="GH49" s="56">
        <v>44</v>
      </c>
      <c r="GI49" s="53" t="str">
        <f t="shared" si="557"/>
        <v>Kent Archives Service</v>
      </c>
      <c r="GJ49" s="59">
        <f t="shared" si="206"/>
        <v>0</v>
      </c>
      <c r="GK49" s="59">
        <f t="shared" si="207"/>
        <v>0</v>
      </c>
      <c r="GL49" s="59">
        <f t="shared" si="208"/>
        <v>0</v>
      </c>
      <c r="GM49" s="59">
        <f t="shared" si="209"/>
        <v>0</v>
      </c>
      <c r="GN49" s="59">
        <f t="shared" si="210"/>
        <v>0</v>
      </c>
      <c r="GO49" s="58">
        <f t="shared" si="211"/>
        <v>0</v>
      </c>
      <c r="GP49" s="45">
        <f t="shared" si="212"/>
        <v>62</v>
      </c>
      <c r="GQ49" s="45">
        <f t="shared" si="558"/>
        <v>2.7439999999999998</v>
      </c>
      <c r="GR49" s="45">
        <f t="shared" si="213"/>
        <v>1</v>
      </c>
      <c r="GS49" s="45">
        <f t="shared" si="214"/>
        <v>2</v>
      </c>
      <c r="GT49" s="46" cm="1">
        <f t="array" ref="GT49">ROUND(IFERROR(INDEX(ArchiveResults!$F$5:$IX$116,ComparisonData!A49,ComparisonData!$GT$1),0),5)</f>
        <v>0</v>
      </c>
      <c r="GU49" s="46" cm="1">
        <f t="array" ref="GU49">ROUND(IFERROR(INDEX(ArchiveResults!$F$5:$IX$116,ComparisonData!A49,ComparisonData!$GU$1),0),5)</f>
        <v>0</v>
      </c>
      <c r="GV49" s="46" cm="1">
        <f t="array" ref="GV49">ROUND(IFERROR(INDEX(ArchiveResults!$F$5:$IX$116,ComparisonData!A49,ComparisonData!$GV$1),0),5)</f>
        <v>0</v>
      </c>
      <c r="GW49" s="46" cm="1">
        <f t="array" ref="GW49">ROUND(IFERROR(INDEX(ArchiveResults!$F$5:$IX$116,ComparisonData!A49,ComparisonData!$GW$1),0),5)</f>
        <v>0</v>
      </c>
      <c r="GX49" s="45" cm="1">
        <f t="array" ref="GX49">IFERROR(INDEX(ArchiveResults!$F$5:$IX$116,ComparisonData!A49,ComparisonData!$GX$1),0)</f>
        <v>0</v>
      </c>
      <c r="GY49" s="56">
        <v>44</v>
      </c>
      <c r="GZ49" s="53" t="str">
        <f t="shared" si="559"/>
        <v>Kent Archives Service</v>
      </c>
      <c r="HA49" s="59">
        <f t="shared" si="215"/>
        <v>0</v>
      </c>
      <c r="HB49" s="59">
        <f t="shared" si="216"/>
        <v>0</v>
      </c>
      <c r="HC49" s="59">
        <f t="shared" si="217"/>
        <v>0</v>
      </c>
      <c r="HD49" s="59">
        <f t="shared" si="218"/>
        <v>0</v>
      </c>
      <c r="HE49" s="59">
        <f t="shared" si="219"/>
        <v>0</v>
      </c>
      <c r="HF49" s="58">
        <f t="shared" si="220"/>
        <v>0</v>
      </c>
      <c r="HG49" s="45">
        <f t="shared" si="221"/>
        <v>62</v>
      </c>
      <c r="HH49" s="45">
        <f t="shared" si="560"/>
        <v>2.7439999999999998</v>
      </c>
      <c r="HI49" s="45">
        <f t="shared" si="222"/>
        <v>1</v>
      </c>
      <c r="HJ49" s="45">
        <f t="shared" si="223"/>
        <v>2</v>
      </c>
      <c r="HK49" s="46" cm="1">
        <f t="array" ref="HK49">ROUND(IFERROR(INDEX(ArchiveResults!$F$5:$IX$116,ComparisonData!A49,ComparisonData!$HK$1),0),5)</f>
        <v>0</v>
      </c>
      <c r="HL49" s="46" cm="1">
        <f t="array" ref="HL49">ROUND(IFERROR(INDEX(ArchiveResults!$F$5:$IX$116,ComparisonData!A49,ComparisonData!$HL$1),0),5)</f>
        <v>0</v>
      </c>
      <c r="HM49" s="46" cm="1">
        <f t="array" ref="HM49">ROUND(IFERROR(INDEX(ArchiveResults!$F$5:$IX$116,ComparisonData!A49,ComparisonData!$HM$1),0),5)</f>
        <v>0</v>
      </c>
      <c r="HN49" s="46" cm="1">
        <f t="array" ref="HN49">ROUND(IFERROR(INDEX(ArchiveResults!$F$5:$IX$116,ComparisonData!A49,ComparisonData!$HN$1),0),5)</f>
        <v>0</v>
      </c>
      <c r="HO49" s="45" cm="1">
        <f t="array" ref="HO49">IFERROR(INDEX(ArchiveResults!$F$5:$IX$116,ComparisonData!A49,ComparisonData!$HO$1),0)</f>
        <v>0</v>
      </c>
      <c r="HP49" s="56">
        <v>44</v>
      </c>
      <c r="HQ49" s="53" t="str">
        <f t="shared" si="561"/>
        <v>Kent Archives Service</v>
      </c>
      <c r="HR49" s="59">
        <f t="shared" si="562"/>
        <v>0</v>
      </c>
      <c r="HS49" s="59">
        <f t="shared" si="563"/>
        <v>0</v>
      </c>
      <c r="HT49" s="59">
        <f t="shared" si="564"/>
        <v>0</v>
      </c>
      <c r="HU49" s="59">
        <f t="shared" si="565"/>
        <v>0</v>
      </c>
      <c r="HV49" s="59">
        <f t="shared" si="566"/>
        <v>0</v>
      </c>
      <c r="HW49" s="58">
        <f t="shared" si="224"/>
        <v>0</v>
      </c>
      <c r="HX49" s="45">
        <f t="shared" si="225"/>
        <v>62</v>
      </c>
      <c r="HY49" s="45">
        <f t="shared" si="567"/>
        <v>2.7439999999999998</v>
      </c>
      <c r="HZ49" s="45">
        <f t="shared" si="226"/>
        <v>1</v>
      </c>
      <c r="IA49" s="45">
        <f t="shared" si="227"/>
        <v>2</v>
      </c>
      <c r="IB49" s="45">
        <f t="shared" si="228"/>
        <v>0</v>
      </c>
      <c r="IC49" s="46" cm="1">
        <f t="array" ref="IC49">ROUND(IFERROR(INDEX(ArchiveResults!$F$5:$IX$116,ComparisonData!A49,ComparisonData!$IC$1),0),5)</f>
        <v>0</v>
      </c>
      <c r="ID49" s="46" cm="1">
        <f t="array" ref="ID49">ROUND(IFERROR(INDEX(ArchiveResults!$F$5:$IX$116,ComparisonData!A49,ComparisonData!$ID$1),0),5)</f>
        <v>0</v>
      </c>
      <c r="IE49" s="46" cm="1">
        <f t="array" ref="IE49">ROUND(IFERROR(INDEX(ArchiveResults!$F$5:$IX$116,ComparisonData!A49,ComparisonData!$IE$1),0),5)</f>
        <v>0</v>
      </c>
      <c r="IF49" s="46" cm="1">
        <f t="array" ref="IF49">ROUND(IFERROR(INDEX(ArchiveResults!$F$5:$IX$116,ComparisonData!A49,ComparisonData!$IF$1),0),5)</f>
        <v>0</v>
      </c>
      <c r="IG49" s="45" cm="1">
        <f t="array" ref="IG49">IFERROR(INDEX(ArchiveResults!$F$5:$IX$116,ComparisonData!A49,ComparisonData!$IG$1),0)</f>
        <v>0</v>
      </c>
      <c r="IH49" s="56">
        <v>44</v>
      </c>
      <c r="II49" s="53" t="str">
        <f t="shared" si="568"/>
        <v>Kent Archives Service</v>
      </c>
      <c r="IJ49" s="59">
        <f t="shared" si="229"/>
        <v>0</v>
      </c>
      <c r="IK49" s="59">
        <f t="shared" si="230"/>
        <v>0</v>
      </c>
      <c r="IL49" s="59">
        <f t="shared" si="231"/>
        <v>0</v>
      </c>
      <c r="IM49" s="59">
        <f t="shared" si="232"/>
        <v>0</v>
      </c>
      <c r="IN49" s="59">
        <f t="shared" si="233"/>
        <v>0</v>
      </c>
      <c r="IO49" s="58">
        <f t="shared" si="234"/>
        <v>0</v>
      </c>
      <c r="IP49" s="45">
        <f t="shared" si="235"/>
        <v>62</v>
      </c>
      <c r="IQ49" s="45">
        <f t="shared" si="569"/>
        <v>2.7439999999999998</v>
      </c>
      <c r="IR49" s="45">
        <f t="shared" si="236"/>
        <v>1</v>
      </c>
      <c r="IS49" s="45">
        <f t="shared" si="237"/>
        <v>2</v>
      </c>
      <c r="IT49" s="46">
        <f t="shared" si="238"/>
        <v>0</v>
      </c>
      <c r="IU49" s="46" cm="1">
        <f t="array" ref="IU49">ROUND(IFERROR(INDEX(ArchiveResults!$F$5:$IX$116,ComparisonData!A49,ComparisonData!$IU$1),0),5)</f>
        <v>0</v>
      </c>
      <c r="IV49" s="46" cm="1">
        <f t="array" ref="IV49">ROUND(IFERROR(INDEX(ArchiveResults!$F$5:$IX$116,ComparisonData!A49,ComparisonData!$IV$1),0),5)</f>
        <v>0</v>
      </c>
      <c r="IW49" s="46" cm="1">
        <f t="array" ref="IW49">ROUND(IFERROR(INDEX(ArchiveResults!$F$5:$IX$116,ComparisonData!A49,ComparisonData!$IW$1),0),5)</f>
        <v>0</v>
      </c>
      <c r="IX49" s="46" cm="1">
        <f t="array" ref="IX49">ROUND(IFERROR(INDEX(ArchiveResults!$F$5:$IX$116,ComparisonData!A49,ComparisonData!$IX$1),0),5)</f>
        <v>0</v>
      </c>
      <c r="IY49" s="45" cm="1">
        <f t="array" ref="IY49">IFERROR(INDEX(ArchiveResults!$F$5:$IX$116,ComparisonData!A49,ComparisonData!$IY$1),0)</f>
        <v>0</v>
      </c>
      <c r="IZ49" s="56">
        <v>44</v>
      </c>
      <c r="JA49" s="53" t="str">
        <f t="shared" si="570"/>
        <v>Kent Archives Service</v>
      </c>
      <c r="JB49" s="59">
        <f t="shared" si="239"/>
        <v>0</v>
      </c>
      <c r="JC49" s="59">
        <f t="shared" si="240"/>
        <v>0</v>
      </c>
      <c r="JD49" s="59">
        <f t="shared" si="241"/>
        <v>0</v>
      </c>
      <c r="JE49" s="59">
        <f t="shared" si="242"/>
        <v>0</v>
      </c>
      <c r="JF49" s="59">
        <f t="shared" si="243"/>
        <v>0</v>
      </c>
      <c r="JG49" s="58">
        <f t="shared" si="244"/>
        <v>0</v>
      </c>
      <c r="JH49" s="45">
        <f t="shared" si="245"/>
        <v>62</v>
      </c>
      <c r="JI49" s="45">
        <f t="shared" si="571"/>
        <v>2.7439999999999998</v>
      </c>
      <c r="JJ49" s="45">
        <f t="shared" si="246"/>
        <v>1</v>
      </c>
      <c r="JK49" s="45">
        <f t="shared" si="247"/>
        <v>2</v>
      </c>
      <c r="JL49" s="45">
        <f t="shared" si="248"/>
        <v>0</v>
      </c>
      <c r="JM49" s="46" cm="1">
        <f t="array" ref="JM49">ROUND(IFERROR(INDEX(ArchiveResults!$F$5:$IX$116,ComparisonData!A49,ComparisonData!$JM$1),0),5)</f>
        <v>0</v>
      </c>
      <c r="JN49" s="46" cm="1">
        <f t="array" ref="JN49">ROUND(IFERROR(INDEX(ArchiveResults!$F$5:$IX$116,ComparisonData!A49,ComparisonData!$JN$1),0),5)</f>
        <v>0</v>
      </c>
      <c r="JO49" s="46" cm="1">
        <f t="array" ref="JO49">ROUND(IFERROR(INDEX(ArchiveResults!$F$5:$IX$116,ComparisonData!A49,ComparisonData!$JO$1),0),5)</f>
        <v>0</v>
      </c>
      <c r="JP49" s="46" cm="1">
        <f t="array" ref="JP49">ROUND(IFERROR(INDEX(ArchiveResults!$F$5:$IX$116,ComparisonData!A49,ComparisonData!$JP$1),0),5)</f>
        <v>0</v>
      </c>
      <c r="JQ49" s="45" cm="1">
        <f t="array" ref="JQ49">IFERROR(INDEX(ArchiveResults!$F$5:$IX$116,ComparisonData!A49,ComparisonData!$JQ$1),0)</f>
        <v>0</v>
      </c>
      <c r="JR49" s="56">
        <v>44</v>
      </c>
      <c r="JS49" s="53" t="str">
        <f t="shared" si="572"/>
        <v>Kent Archives Service</v>
      </c>
      <c r="JT49" s="59">
        <f t="shared" si="249"/>
        <v>0</v>
      </c>
      <c r="JU49" s="59">
        <f t="shared" si="250"/>
        <v>0</v>
      </c>
      <c r="JV49" s="59">
        <f t="shared" si="251"/>
        <v>0</v>
      </c>
      <c r="JW49" s="59">
        <f t="shared" si="252"/>
        <v>0</v>
      </c>
      <c r="JX49" s="59">
        <f t="shared" si="253"/>
        <v>0</v>
      </c>
      <c r="JY49" s="58">
        <f t="shared" si="254"/>
        <v>0</v>
      </c>
      <c r="JZ49" s="45">
        <f t="shared" si="255"/>
        <v>62</v>
      </c>
      <c r="KA49" s="45">
        <f t="shared" si="573"/>
        <v>2.7439999999999998</v>
      </c>
      <c r="KB49" s="45">
        <f t="shared" si="256"/>
        <v>1</v>
      </c>
      <c r="KC49" s="45">
        <f t="shared" si="257"/>
        <v>2</v>
      </c>
      <c r="KD49" s="45">
        <f t="shared" si="258"/>
        <v>0</v>
      </c>
      <c r="KE49" s="46" cm="1">
        <f t="array" ref="KE49">ROUND(IFERROR(INDEX(ArchiveResults!$F$5:$IX$116,ComparisonData!A49,ComparisonData!$KE$1),0),5)</f>
        <v>0</v>
      </c>
      <c r="KF49" s="46" cm="1">
        <f t="array" ref="KF49">ROUND(IFERROR(INDEX(ArchiveResults!$F$5:$IX$116,ComparisonData!A49,ComparisonData!$KF$1),0),5)</f>
        <v>0</v>
      </c>
      <c r="KG49" s="46" cm="1">
        <f t="array" ref="KG49">ROUND(IFERROR(INDEX(ArchiveResults!$F$5:$IX$116,ComparisonData!A49,ComparisonData!$KG$1),0),5)</f>
        <v>0</v>
      </c>
      <c r="KH49" s="46" cm="1">
        <f t="array" ref="KH49">ROUND(IFERROR(INDEX(ArchiveResults!$F$5:$IX$116,ComparisonData!A49,ComparisonData!$KH$1),0),5)</f>
        <v>0</v>
      </c>
      <c r="KI49" s="45" cm="1">
        <f t="array" ref="KI49">IFERROR(INDEX(ArchiveResults!$F$5:$IX$116,ComparisonData!A49,ComparisonData!$KI$1),0)</f>
        <v>0</v>
      </c>
      <c r="KJ49" s="56">
        <v>44</v>
      </c>
      <c r="KK49" s="53" t="str">
        <f t="shared" si="574"/>
        <v>Kent Archives Service</v>
      </c>
      <c r="KL49" s="59">
        <f t="shared" si="259"/>
        <v>0</v>
      </c>
      <c r="KM49" s="59">
        <f t="shared" si="260"/>
        <v>0</v>
      </c>
      <c r="KN49" s="59">
        <f t="shared" si="261"/>
        <v>0</v>
      </c>
      <c r="KO49" s="59">
        <f t="shared" si="262"/>
        <v>0</v>
      </c>
      <c r="KP49" s="59">
        <f t="shared" si="263"/>
        <v>0</v>
      </c>
      <c r="KQ49" s="58">
        <f t="shared" si="264"/>
        <v>0</v>
      </c>
      <c r="KR49" s="45">
        <f t="shared" si="265"/>
        <v>62</v>
      </c>
      <c r="KS49" s="45">
        <f t="shared" si="575"/>
        <v>2.7439999999999998</v>
      </c>
      <c r="KT49" s="45">
        <f t="shared" si="266"/>
        <v>1</v>
      </c>
      <c r="KU49" s="45">
        <f t="shared" si="267"/>
        <v>2</v>
      </c>
      <c r="KV49" s="45">
        <f t="shared" si="268"/>
        <v>0</v>
      </c>
      <c r="KW49" s="46" cm="1">
        <f t="array" ref="KW49">ROUND(IFERROR(INDEX(ArchiveResults!$F$5:$IX$116,ComparisonData!A49,ComparisonData!$KW$1),0),5)</f>
        <v>0</v>
      </c>
      <c r="KX49" s="46" cm="1">
        <f t="array" ref="KX49">ROUND(IFERROR(INDEX(ArchiveResults!$F$5:$IX$116,ComparisonData!A49,ComparisonData!$KX$1),0),5)</f>
        <v>0</v>
      </c>
      <c r="KY49" s="46" cm="1">
        <f t="array" ref="KY49">ROUND(IFERROR(INDEX(ArchiveResults!$F$5:$IX$116,ComparisonData!A49,ComparisonData!$KY$1),0),5)</f>
        <v>0</v>
      </c>
      <c r="KZ49" s="46" cm="1">
        <f t="array" ref="KZ49">ROUND(IFERROR(INDEX(ArchiveResults!$F$5:$IX$116,ComparisonData!A49,ComparisonData!$KZ$1),0),5)</f>
        <v>0</v>
      </c>
      <c r="LA49" s="45" cm="1">
        <f t="array" ref="LA49">IFERROR(INDEX(ArchiveResults!$F$5:$IX$116,ComparisonData!A49,ComparisonData!$LA$1),0)</f>
        <v>0</v>
      </c>
      <c r="LB49" s="56">
        <v>44</v>
      </c>
      <c r="LC49" s="53" t="str">
        <f t="shared" si="576"/>
        <v>Kent Archives Service</v>
      </c>
      <c r="LD49" s="59">
        <f t="shared" si="269"/>
        <v>0</v>
      </c>
      <c r="LE49" s="59">
        <f t="shared" si="270"/>
        <v>0</v>
      </c>
      <c r="LF49" s="59">
        <f t="shared" si="271"/>
        <v>0</v>
      </c>
      <c r="LG49" s="59">
        <f t="shared" si="272"/>
        <v>0</v>
      </c>
      <c r="LH49" s="59">
        <f t="shared" si="273"/>
        <v>0</v>
      </c>
      <c r="LI49" s="58">
        <f t="shared" si="274"/>
        <v>0</v>
      </c>
      <c r="LJ49" s="45">
        <f t="shared" si="275"/>
        <v>62</v>
      </c>
      <c r="LK49" s="45">
        <f t="shared" si="577"/>
        <v>2.7439999999999998</v>
      </c>
      <c r="LL49" s="45">
        <f t="shared" si="276"/>
        <v>1</v>
      </c>
      <c r="LM49" s="45">
        <f t="shared" si="277"/>
        <v>2</v>
      </c>
      <c r="LN49" s="45">
        <f t="shared" si="278"/>
        <v>0</v>
      </c>
      <c r="LO49" s="46" cm="1">
        <f t="array" ref="LO49">ROUND(IFERROR(INDEX(ArchiveResults!$F$5:$IX$116,ComparisonData!A49,ComparisonData!$LO$1),0),5)</f>
        <v>0</v>
      </c>
      <c r="LP49" s="46" cm="1">
        <f t="array" ref="LP49">ROUND(IFERROR(INDEX(ArchiveResults!$F$5:$IX$116,ComparisonData!A49,ComparisonData!$LP$1),0),5)</f>
        <v>0</v>
      </c>
      <c r="LQ49" s="46" cm="1">
        <f t="array" ref="LQ49">ROUND(IFERROR(INDEX(ArchiveResults!$F$5:$IX$116,ComparisonData!A49,ComparisonData!$LQ$1),0),5)</f>
        <v>0</v>
      </c>
      <c r="LR49" s="46" cm="1">
        <f t="array" ref="LR49">ROUND(IFERROR(INDEX(ArchiveResults!$F$5:$IX$116,ComparisonData!A49,ComparisonData!$LR$1),0),5)</f>
        <v>0</v>
      </c>
      <c r="LS49" s="45" cm="1">
        <f t="array" ref="LS49">IFERROR(INDEX(ArchiveResults!$F$5:$IX$116,ComparisonData!A49,ComparisonData!$LS$1),0)</f>
        <v>0</v>
      </c>
      <c r="LT49" s="56">
        <v>44</v>
      </c>
      <c r="LU49" s="53" t="str">
        <f t="shared" si="578"/>
        <v>Kent Archives Service</v>
      </c>
      <c r="LV49" s="59">
        <f t="shared" si="279"/>
        <v>0</v>
      </c>
      <c r="LW49" s="59">
        <f t="shared" si="280"/>
        <v>0</v>
      </c>
      <c r="LX49" s="59">
        <f t="shared" si="281"/>
        <v>0</v>
      </c>
      <c r="LY49" s="59">
        <f t="shared" si="282"/>
        <v>0</v>
      </c>
      <c r="LZ49" s="59">
        <f t="shared" si="283"/>
        <v>0</v>
      </c>
      <c r="MA49" s="58">
        <f t="shared" si="284"/>
        <v>0</v>
      </c>
      <c r="MB49" s="45">
        <f t="shared" si="285"/>
        <v>62</v>
      </c>
      <c r="MC49" s="45">
        <f t="shared" si="579"/>
        <v>2.7439999999999998</v>
      </c>
      <c r="MD49" s="45">
        <f t="shared" si="286"/>
        <v>1</v>
      </c>
      <c r="ME49" s="45">
        <f t="shared" si="287"/>
        <v>2</v>
      </c>
      <c r="MF49" s="45">
        <f t="shared" si="288"/>
        <v>0</v>
      </c>
      <c r="MG49" s="46" cm="1">
        <f t="array" ref="MG49">ROUND(IFERROR(INDEX(ArchiveResults!$F$5:$IX$116,ComparisonData!A49,ComparisonData!$MG$1),0),5)</f>
        <v>0</v>
      </c>
      <c r="MH49" s="46" cm="1">
        <f t="array" ref="MH49">ROUND(IFERROR(INDEX(ArchiveResults!$F$5:$IX$116,ComparisonData!A49,ComparisonData!$MH$1),0),5)</f>
        <v>0</v>
      </c>
      <c r="MI49" s="46" cm="1">
        <f t="array" ref="MI49">ROUND(IFERROR(INDEX(ArchiveResults!$F$5:$IX$116,ComparisonData!A49,ComparisonData!$MI$1),0),5)</f>
        <v>0</v>
      </c>
      <c r="MJ49" s="46" cm="1">
        <f t="array" ref="MJ49">ROUND(IFERROR(INDEX(ArchiveResults!$F$5:$IX$116,ComparisonData!A49,ComparisonData!$MJ$1),0),5)</f>
        <v>0</v>
      </c>
      <c r="MK49" s="45" cm="1">
        <f t="array" ref="MK49">IFERROR(INDEX(ArchiveResults!$F$5:$IX$116,ComparisonData!A49,ComparisonData!$MK$1),0)</f>
        <v>0</v>
      </c>
      <c r="ML49" s="56">
        <v>44</v>
      </c>
      <c r="MM49" s="53" t="str">
        <f t="shared" si="580"/>
        <v>Kent Archives Service</v>
      </c>
      <c r="MN49" s="59">
        <f t="shared" si="289"/>
        <v>0</v>
      </c>
      <c r="MO49" s="59">
        <f t="shared" si="290"/>
        <v>0</v>
      </c>
      <c r="MP49" s="59">
        <f t="shared" si="291"/>
        <v>0</v>
      </c>
      <c r="MQ49" s="59">
        <f t="shared" si="292"/>
        <v>0</v>
      </c>
      <c r="MR49" s="59">
        <f t="shared" si="293"/>
        <v>0</v>
      </c>
      <c r="MS49" s="58">
        <f t="shared" si="294"/>
        <v>0</v>
      </c>
      <c r="MT49" s="45">
        <f t="shared" si="295"/>
        <v>62</v>
      </c>
      <c r="MU49" s="45">
        <f t="shared" si="581"/>
        <v>2.7439999999999998</v>
      </c>
      <c r="MV49" s="45">
        <f t="shared" si="296"/>
        <v>1</v>
      </c>
      <c r="MW49" s="45">
        <f t="shared" si="297"/>
        <v>2</v>
      </c>
      <c r="MX49" s="45">
        <f t="shared" si="298"/>
        <v>0</v>
      </c>
      <c r="MY49" s="46" cm="1">
        <f t="array" ref="MY49">ROUND(IFERROR(INDEX(ArchiveResults!$F$5:$IX$116,ComparisonData!A49,ComparisonData!$MY$1),0),5)</f>
        <v>0</v>
      </c>
      <c r="MZ49" s="46" cm="1">
        <f t="array" ref="MZ49">ROUND(IFERROR(INDEX(ArchiveResults!$F$5:$IX$116,ComparisonData!A49,ComparisonData!$MZ$1),0),5)</f>
        <v>0</v>
      </c>
      <c r="NA49" s="46" cm="1">
        <f t="array" ref="NA49">ROUND(IFERROR(INDEX(ArchiveResults!$F$5:$IX$116,ComparisonData!A49,ComparisonData!$NA$1),0),5)</f>
        <v>0</v>
      </c>
      <c r="NB49" s="46" cm="1">
        <f t="array" ref="NB49">ROUND(IFERROR(INDEX(ArchiveResults!$F$5:$IX$116,ComparisonData!A49,ComparisonData!$NB$1),0),5)</f>
        <v>0</v>
      </c>
      <c r="NC49" s="45" cm="1">
        <f t="array" ref="NC49">IFERROR(INDEX(ArchiveResults!$F$5:$IX$116,ComparisonData!A49,ComparisonData!$NC$1),0)</f>
        <v>0</v>
      </c>
      <c r="ND49" s="56">
        <v>44</v>
      </c>
      <c r="NE49" s="53" t="str">
        <f t="shared" si="582"/>
        <v>Kent Archives Service</v>
      </c>
      <c r="NF49" s="59">
        <f t="shared" si="299"/>
        <v>0</v>
      </c>
      <c r="NG49" s="59">
        <f t="shared" si="300"/>
        <v>0</v>
      </c>
      <c r="NH49" s="59">
        <f t="shared" si="301"/>
        <v>0</v>
      </c>
      <c r="NI49" s="59">
        <f t="shared" si="302"/>
        <v>0</v>
      </c>
      <c r="NJ49" s="59">
        <f t="shared" si="303"/>
        <v>0</v>
      </c>
      <c r="NK49" s="58">
        <f t="shared" si="304"/>
        <v>0</v>
      </c>
      <c r="NL49" s="45">
        <f t="shared" si="305"/>
        <v>62</v>
      </c>
      <c r="NM49" s="45">
        <f t="shared" si="583"/>
        <v>2.7439999999999998</v>
      </c>
      <c r="NN49" s="45">
        <f t="shared" si="306"/>
        <v>1</v>
      </c>
      <c r="NO49" s="45">
        <f t="shared" si="307"/>
        <v>2</v>
      </c>
      <c r="NP49" s="46" cm="1">
        <f t="array" ref="NP49">ROUND(IFERROR(INDEX(ArchiveResults!$F$5:$IX$116,ComparisonData!A49,ComparisonData!$NP$1),0),5)</f>
        <v>0</v>
      </c>
      <c r="NQ49" s="46" cm="1">
        <f t="array" ref="NQ49">ROUND(IFERROR(INDEX(ArchiveResults!$F$5:$IX$116,ComparisonData!A49,ComparisonData!$NQ$1),0),5)</f>
        <v>0</v>
      </c>
      <c r="NR49" s="46" cm="1">
        <f t="array" ref="NR49">ROUND(IFERROR(INDEX(ArchiveResults!$F$5:$IX$116,ComparisonData!A49,ComparisonData!$NR$1),0),5)</f>
        <v>0</v>
      </c>
      <c r="NS49" s="46" cm="1">
        <f t="array" ref="NS49">ROUND(IFERROR(INDEX(ArchiveResults!$F$5:$IX$116,ComparisonData!A49,ComparisonData!$NS$1),0),5)</f>
        <v>0</v>
      </c>
      <c r="NT49" s="45" cm="1">
        <f t="array" ref="NT49">IFERROR(INDEX(ArchiveResults!$F$5:$IX$116,ComparisonData!A49,ComparisonData!$NT$1),0)</f>
        <v>0</v>
      </c>
      <c r="NU49" s="56">
        <v>44</v>
      </c>
      <c r="NV49" s="53" t="str">
        <f t="shared" si="584"/>
        <v>Kent Archives Service</v>
      </c>
      <c r="NW49" s="59">
        <f t="shared" si="308"/>
        <v>0</v>
      </c>
      <c r="NX49" s="59">
        <f t="shared" si="309"/>
        <v>0</v>
      </c>
      <c r="NY49" s="59">
        <f t="shared" si="310"/>
        <v>0</v>
      </c>
      <c r="NZ49" s="59">
        <f t="shared" si="311"/>
        <v>0</v>
      </c>
      <c r="OA49" s="59">
        <f t="shared" si="312"/>
        <v>0</v>
      </c>
      <c r="OB49" s="58">
        <f t="shared" si="313"/>
        <v>0</v>
      </c>
      <c r="OC49" s="45">
        <f t="shared" si="314"/>
        <v>62</v>
      </c>
      <c r="OD49" s="45">
        <f t="shared" si="585"/>
        <v>2.7439999999999998</v>
      </c>
      <c r="OE49" s="45">
        <f t="shared" si="315"/>
        <v>1</v>
      </c>
      <c r="OF49" s="45">
        <f t="shared" si="316"/>
        <v>2</v>
      </c>
      <c r="OG49" s="46">
        <f t="shared" si="317"/>
        <v>0</v>
      </c>
      <c r="OH49" s="46" cm="1">
        <f t="array" ref="OH49">ROUND(IFERROR(INDEX(ArchiveResults!$F$5:$IX$116,ComparisonData!A49,ComparisonData!$OH$1),0),5)</f>
        <v>0</v>
      </c>
      <c r="OI49" s="46" cm="1">
        <f t="array" ref="OI49">ROUND(IFERROR(INDEX(ArchiveResults!$F$5:$IX$116,ComparisonData!A49,ComparisonData!$OI$1),0),5)</f>
        <v>0</v>
      </c>
      <c r="OJ49" s="46" cm="1">
        <f t="array" ref="OJ49">ROUND(IFERROR(INDEX(ArchiveResults!$F$5:$IX$116,ComparisonData!A49,ComparisonData!$OJ$1),0),5)</f>
        <v>0</v>
      </c>
      <c r="OK49" s="46" cm="1">
        <f t="array" ref="OK49">ROUND(IFERROR(INDEX(ArchiveResults!$F$5:$IX$116,ComparisonData!A49,ComparisonData!$OK$1),0),5)</f>
        <v>0</v>
      </c>
      <c r="OL49" s="45" cm="1">
        <f t="array" ref="OL49">IFERROR(INDEX(ArchiveResults!$F$5:$IX$116,ComparisonData!A49,ComparisonData!$OL$1),0)</f>
        <v>0</v>
      </c>
      <c r="OM49" s="56">
        <v>44</v>
      </c>
      <c r="ON49" s="53" t="str">
        <f t="shared" si="586"/>
        <v>Kent Archives Service</v>
      </c>
      <c r="OO49" s="59">
        <f t="shared" si="318"/>
        <v>0</v>
      </c>
      <c r="OP49" s="59">
        <f t="shared" si="319"/>
        <v>0</v>
      </c>
      <c r="OQ49" s="59">
        <f t="shared" si="320"/>
        <v>0</v>
      </c>
      <c r="OR49" s="59">
        <f t="shared" si="321"/>
        <v>0</v>
      </c>
      <c r="OS49" s="59">
        <f t="shared" si="322"/>
        <v>0</v>
      </c>
      <c r="OT49" s="58">
        <f t="shared" si="323"/>
        <v>0</v>
      </c>
      <c r="OU49" s="45">
        <f t="shared" si="324"/>
        <v>62</v>
      </c>
      <c r="OV49" s="45">
        <f t="shared" si="587"/>
        <v>2.7439999999999998</v>
      </c>
      <c r="OW49" s="45">
        <f t="shared" si="325"/>
        <v>1</v>
      </c>
      <c r="OX49" s="45">
        <f t="shared" si="326"/>
        <v>2</v>
      </c>
      <c r="OY49" s="45">
        <f t="shared" si="327"/>
        <v>0</v>
      </c>
      <c r="OZ49" s="46" cm="1">
        <f t="array" ref="OZ49">ROUND(IFERROR(INDEX(ArchiveResults!$F$5:$IX$116,ComparisonData!A49,ComparisonData!$OZ$1),0),5)</f>
        <v>0</v>
      </c>
      <c r="PA49" s="46" cm="1">
        <f t="array" ref="PA49">ROUND(IFERROR(INDEX(ArchiveResults!$F$5:$IX$116,ComparisonData!A49,ComparisonData!$PA$1),0),5)</f>
        <v>0</v>
      </c>
      <c r="PB49" s="46" cm="1">
        <f t="array" ref="PB49">ROUND(IFERROR(INDEX(ArchiveResults!$F$5:$IX$116,ComparisonData!A49,ComparisonData!$PB$1),0),5)</f>
        <v>0</v>
      </c>
      <c r="PC49" s="46" cm="1">
        <f t="array" ref="PC49">ROUND(IFERROR(INDEX(ArchiveResults!$F$5:$IX$116,ComparisonData!A49,ComparisonData!$PC$1),0),5)</f>
        <v>0</v>
      </c>
      <c r="PD49" s="45" cm="1">
        <f t="array" ref="PD49">IFERROR(INDEX(ArchiveResults!$F$5:$IX$116,ComparisonData!A49,ComparisonData!$PD$1),0)</f>
        <v>0</v>
      </c>
      <c r="PE49" s="56">
        <v>44</v>
      </c>
      <c r="PF49" s="53" t="str">
        <f t="shared" si="588"/>
        <v>Kent Archives Service</v>
      </c>
      <c r="PG49" s="59">
        <f t="shared" si="328"/>
        <v>0</v>
      </c>
      <c r="PH49" s="59">
        <f t="shared" si="329"/>
        <v>0</v>
      </c>
      <c r="PI49" s="59">
        <f t="shared" si="330"/>
        <v>0</v>
      </c>
      <c r="PJ49" s="59">
        <f t="shared" si="331"/>
        <v>0</v>
      </c>
      <c r="PK49" s="59">
        <f t="shared" si="332"/>
        <v>0</v>
      </c>
      <c r="PL49" s="58">
        <f t="shared" si="333"/>
        <v>0</v>
      </c>
      <c r="PM49" s="45">
        <f t="shared" si="334"/>
        <v>62</v>
      </c>
      <c r="PN49" s="45">
        <f t="shared" si="589"/>
        <v>2.7439999999999998</v>
      </c>
      <c r="PO49" s="45">
        <f t="shared" si="335"/>
        <v>1</v>
      </c>
      <c r="PP49" s="45">
        <f t="shared" si="336"/>
        <v>2</v>
      </c>
      <c r="PQ49" s="45">
        <f t="shared" si="337"/>
        <v>0</v>
      </c>
      <c r="PR49" s="46" cm="1">
        <f t="array" ref="PR49">ROUND(IFERROR(INDEX(ArchiveResults!$F$5:$IX$116,ComparisonData!A49,ComparisonData!$PR$1),0),5)</f>
        <v>0</v>
      </c>
      <c r="PS49" s="46" cm="1">
        <f t="array" ref="PS49">ROUND(IFERROR(INDEX(ArchiveResults!$F$5:$IX$116,ComparisonData!A49,ComparisonData!$PS$1),0),5)</f>
        <v>0</v>
      </c>
      <c r="PT49" s="46" cm="1">
        <f t="array" ref="PT49">ROUND(IFERROR(INDEX(ArchiveResults!$F$5:$IX$116,ComparisonData!A49,ComparisonData!$PT$1),0),5)</f>
        <v>0</v>
      </c>
      <c r="PU49" s="46" cm="1">
        <f t="array" ref="PU49">ROUND(IFERROR(INDEX(ArchiveResults!$F$5:$IX$116,ComparisonData!A49,ComparisonData!$PU$1),0),5)</f>
        <v>0</v>
      </c>
      <c r="PV49" s="45" cm="1">
        <f t="array" ref="PV49">IFERROR(INDEX(ArchiveResults!$F$5:$IX$116,ComparisonData!A49,ComparisonData!$PV$1),0)</f>
        <v>0</v>
      </c>
      <c r="PW49" s="56">
        <v>44</v>
      </c>
      <c r="PX49" s="53" t="str">
        <f t="shared" si="590"/>
        <v>Kent Archives Service</v>
      </c>
      <c r="PY49" s="59">
        <f t="shared" si="338"/>
        <v>0</v>
      </c>
      <c r="PZ49" s="59">
        <f t="shared" si="339"/>
        <v>0</v>
      </c>
      <c r="QA49" s="59">
        <f t="shared" si="340"/>
        <v>0</v>
      </c>
      <c r="QB49" s="59">
        <f t="shared" si="341"/>
        <v>0</v>
      </c>
      <c r="QC49" s="59">
        <f t="shared" si="342"/>
        <v>0</v>
      </c>
      <c r="QD49" s="58">
        <f t="shared" si="343"/>
        <v>0</v>
      </c>
      <c r="QE49" s="45">
        <f t="shared" si="344"/>
        <v>62</v>
      </c>
      <c r="QF49" s="45">
        <f t="shared" si="591"/>
        <v>2.7439999999999998</v>
      </c>
      <c r="QG49" s="45">
        <f t="shared" si="345"/>
        <v>1</v>
      </c>
      <c r="QH49" s="45">
        <f t="shared" si="346"/>
        <v>2</v>
      </c>
      <c r="QI49" s="45">
        <f t="shared" si="347"/>
        <v>0</v>
      </c>
      <c r="QJ49" s="46" cm="1">
        <f t="array" ref="QJ49">ROUND(IFERROR(INDEX(ArchiveResults!$F$5:$IX$116,ComparisonData!A49,ComparisonData!$QJ$1),0),5)</f>
        <v>0</v>
      </c>
      <c r="QK49" s="46" cm="1">
        <f t="array" ref="QK49">ROUND(IFERROR(INDEX(ArchiveResults!$F$5:$IX$116,ComparisonData!A49,ComparisonData!$QK$1),0),5)</f>
        <v>0</v>
      </c>
      <c r="QL49" s="46" cm="1">
        <f t="array" ref="QL49">ROUND(IFERROR(INDEX(ArchiveResults!$F$5:$IX$116,ComparisonData!A49,ComparisonData!$QL$1),0),5)</f>
        <v>0</v>
      </c>
      <c r="QM49" s="46" cm="1">
        <f t="array" ref="QM49">ROUND(IFERROR(INDEX(ArchiveResults!$F$5:$IX$116,ComparisonData!A49,ComparisonData!$QM$1),0),5)</f>
        <v>0</v>
      </c>
      <c r="QN49" s="45" cm="1">
        <f t="array" ref="QN49">IFERROR(INDEX(ArchiveResults!$F$5:$IX$116,ComparisonData!A49,ComparisonData!$QN$1),0)</f>
        <v>0</v>
      </c>
      <c r="QO49" s="56">
        <v>44</v>
      </c>
      <c r="QP49" s="53" t="str">
        <f t="shared" si="592"/>
        <v>Kent Archives Service</v>
      </c>
      <c r="QQ49" s="59">
        <f t="shared" si="348"/>
        <v>0</v>
      </c>
      <c r="QR49" s="59">
        <f t="shared" si="349"/>
        <v>0</v>
      </c>
      <c r="QS49" s="59">
        <f t="shared" si="350"/>
        <v>0</v>
      </c>
      <c r="QT49" s="59">
        <f t="shared" si="351"/>
        <v>0</v>
      </c>
      <c r="QU49" s="59">
        <f t="shared" si="352"/>
        <v>0</v>
      </c>
      <c r="QV49" s="58">
        <f t="shared" si="353"/>
        <v>0</v>
      </c>
      <c r="QW49" s="45">
        <f t="shared" si="354"/>
        <v>62</v>
      </c>
      <c r="QX49" s="45">
        <f t="shared" si="593"/>
        <v>2.7439999999999998</v>
      </c>
      <c r="QY49" s="45">
        <f t="shared" si="355"/>
        <v>1</v>
      </c>
      <c r="QZ49" s="45">
        <f t="shared" si="356"/>
        <v>2</v>
      </c>
      <c r="RA49" s="45">
        <f t="shared" si="357"/>
        <v>0</v>
      </c>
      <c r="RB49" s="46" cm="1">
        <f t="array" ref="RB49">ROUND(IFERROR(INDEX(ArchiveResults!$F$5:$IX$116,ComparisonData!A49,ComparisonData!$RB$1),0),5)</f>
        <v>0</v>
      </c>
      <c r="RC49" s="46" cm="1">
        <f t="array" ref="RC49">ROUND(IFERROR(INDEX(ArchiveResults!$F$5:$IX$116,ComparisonData!A49,ComparisonData!$RC$1),0),5)</f>
        <v>0</v>
      </c>
      <c r="RD49" s="46" cm="1">
        <f t="array" ref="RD49">ROUND(IFERROR(INDEX(ArchiveResults!$F$5:$IX$116,ComparisonData!A49,ComparisonData!$RD$1),0),5)</f>
        <v>0</v>
      </c>
      <c r="RE49" s="46" cm="1">
        <f t="array" ref="RE49">ROUND(IFERROR(INDEX(ArchiveResults!$F$5:$IX$116,ComparisonData!A49,ComparisonData!$RE$1),0),5)</f>
        <v>0</v>
      </c>
      <c r="RF49" s="45" cm="1">
        <f t="array" ref="RF49">IFERROR(INDEX(ArchiveResults!$F$5:$IX$116,ComparisonData!A49,ComparisonData!$RF$1),0)</f>
        <v>0</v>
      </c>
      <c r="RG49" s="56">
        <v>44</v>
      </c>
      <c r="RH49" s="53" t="str">
        <f t="shared" si="594"/>
        <v>Kent Archives Service</v>
      </c>
      <c r="RI49" s="59">
        <f t="shared" si="358"/>
        <v>0</v>
      </c>
      <c r="RJ49" s="59">
        <f t="shared" si="359"/>
        <v>0</v>
      </c>
      <c r="RK49" s="59">
        <f t="shared" si="360"/>
        <v>0</v>
      </c>
      <c r="RL49" s="59">
        <f t="shared" si="361"/>
        <v>0</v>
      </c>
      <c r="RM49" s="59">
        <f t="shared" si="362"/>
        <v>0</v>
      </c>
      <c r="RN49" s="58">
        <f t="shared" si="363"/>
        <v>0</v>
      </c>
      <c r="RO49" s="45">
        <f t="shared" si="364"/>
        <v>62</v>
      </c>
      <c r="RP49" s="45">
        <f t="shared" si="595"/>
        <v>2.7439999999999998</v>
      </c>
      <c r="RQ49" s="45">
        <f t="shared" si="365"/>
        <v>1</v>
      </c>
      <c r="RR49" s="45">
        <f t="shared" si="366"/>
        <v>2</v>
      </c>
      <c r="RS49" s="45">
        <f t="shared" si="367"/>
        <v>0</v>
      </c>
      <c r="RT49" s="46" cm="1">
        <f t="array" ref="RT49">ROUND(IFERROR(INDEX(ArchiveResults!$F$5:$IX$116,ComparisonData!A49,ComparisonData!$RT$1),0),5)</f>
        <v>0</v>
      </c>
      <c r="RU49" s="46" cm="1">
        <f t="array" ref="RU49">ROUND(IFERROR(INDEX(ArchiveResults!$F$5:$IX$116,ComparisonData!A49,ComparisonData!$RU$1),0),5)</f>
        <v>0</v>
      </c>
      <c r="RV49" s="46" cm="1">
        <f t="array" ref="RV49">ROUND(IFERROR(INDEX(ArchiveResults!$F$5:$IX$116,ComparisonData!A49,ComparisonData!$RV$1),0),5)</f>
        <v>0</v>
      </c>
      <c r="RW49" s="46" cm="1">
        <f t="array" ref="RW49">ROUND(IFERROR(INDEX(ArchiveResults!$F$5:$IX$116,ComparisonData!A49,ComparisonData!$RW$1),0),5)</f>
        <v>0</v>
      </c>
      <c r="RX49" s="45" cm="1">
        <f t="array" ref="RX49">IFERROR(INDEX(ArchiveResults!$F$5:$IX$116,ComparisonData!A49,ComparisonData!$RX$1),0)</f>
        <v>0</v>
      </c>
      <c r="RY49" s="56">
        <v>44</v>
      </c>
      <c r="RZ49" s="53" t="str">
        <f t="shared" si="596"/>
        <v>Kent Archives Service</v>
      </c>
      <c r="SA49" s="59">
        <f t="shared" si="368"/>
        <v>0</v>
      </c>
      <c r="SB49" s="59">
        <f t="shared" si="369"/>
        <v>0</v>
      </c>
      <c r="SC49" s="59">
        <f t="shared" si="370"/>
        <v>0</v>
      </c>
      <c r="SD49" s="59">
        <f t="shared" si="371"/>
        <v>0</v>
      </c>
      <c r="SE49" s="59">
        <f t="shared" si="372"/>
        <v>0</v>
      </c>
      <c r="SF49" s="58">
        <f t="shared" si="373"/>
        <v>0</v>
      </c>
      <c r="SG49" s="45">
        <f t="shared" si="374"/>
        <v>62</v>
      </c>
      <c r="SH49" s="45">
        <f t="shared" si="597"/>
        <v>2.7439999999999998</v>
      </c>
      <c r="SI49" s="45">
        <f t="shared" si="375"/>
        <v>1</v>
      </c>
      <c r="SJ49" s="45">
        <f t="shared" si="376"/>
        <v>2</v>
      </c>
      <c r="SK49" s="45">
        <f t="shared" si="377"/>
        <v>0</v>
      </c>
      <c r="SL49" s="46" cm="1">
        <f t="array" ref="SL49">ROUND(IFERROR(INDEX(ArchiveResults!$F$5:$IX$116,ComparisonData!A49,ComparisonData!$SL$1),0),5)</f>
        <v>0</v>
      </c>
      <c r="SM49" s="46" cm="1">
        <f t="array" ref="SM49">ROUND(IFERROR(INDEX(ArchiveResults!$F$5:$IX$116,ComparisonData!A49,ComparisonData!$SM$1),0),5)</f>
        <v>0</v>
      </c>
      <c r="SN49" s="46" cm="1">
        <f t="array" ref="SN49">ROUND(IFERROR(INDEX(ArchiveResults!$F$5:$IX$116,ComparisonData!A49,ComparisonData!$SN$1),0),5)</f>
        <v>0</v>
      </c>
      <c r="SO49" s="46" cm="1">
        <f t="array" ref="SO49">ROUND(IFERROR(INDEX(ArchiveResults!$F$5:$IX$116,ComparisonData!A49,ComparisonData!$SO$1),0),5)</f>
        <v>0</v>
      </c>
      <c r="SP49" s="45" cm="1">
        <f t="array" ref="SP49">IFERROR(INDEX(ArchiveResults!$F$5:$IX$116,ComparisonData!A49,ComparisonData!$SP$1),0)</f>
        <v>0</v>
      </c>
      <c r="SQ49" s="56">
        <v>44</v>
      </c>
      <c r="SR49" s="53" t="str">
        <f t="shared" si="598"/>
        <v>Kent Archives Service</v>
      </c>
      <c r="SS49" s="59">
        <f t="shared" si="378"/>
        <v>0</v>
      </c>
      <c r="ST49" s="59">
        <f t="shared" si="379"/>
        <v>0</v>
      </c>
      <c r="SU49" s="59">
        <f t="shared" si="380"/>
        <v>0</v>
      </c>
      <c r="SV49" s="59">
        <f t="shared" si="381"/>
        <v>0</v>
      </c>
      <c r="SW49" s="59">
        <f t="shared" si="382"/>
        <v>0</v>
      </c>
      <c r="SX49" s="58">
        <f t="shared" si="383"/>
        <v>0</v>
      </c>
      <c r="SY49" s="45">
        <f t="shared" si="384"/>
        <v>62</v>
      </c>
      <c r="SZ49" s="45">
        <f t="shared" si="599"/>
        <v>2.7439999999999998</v>
      </c>
      <c r="TA49" s="45">
        <f t="shared" si="385"/>
        <v>1</v>
      </c>
      <c r="TB49" s="45">
        <f t="shared" si="386"/>
        <v>2</v>
      </c>
      <c r="TC49" s="45">
        <f t="shared" si="387"/>
        <v>0</v>
      </c>
      <c r="TD49" s="46" cm="1">
        <f t="array" ref="TD49">ROUND(IFERROR(INDEX(ArchiveResults!$F$5:$IX$116,ComparisonData!A49,ComparisonData!$TD$1),0),5)</f>
        <v>0</v>
      </c>
      <c r="TE49" s="46" cm="1">
        <f t="array" ref="TE49">ROUND(IFERROR(INDEX(ArchiveResults!$F$5:$IX$116,ComparisonData!A49,ComparisonData!$TE$1),0),5)</f>
        <v>0</v>
      </c>
      <c r="TF49" s="46" cm="1">
        <f t="array" ref="TF49">ROUND(IFERROR(INDEX(ArchiveResults!$F$5:$IX$116,ComparisonData!A49,ComparisonData!$TF$1),0),5)</f>
        <v>0</v>
      </c>
      <c r="TG49" s="46" cm="1">
        <f t="array" ref="TG49">ROUND(IFERROR(INDEX(ArchiveResults!$F$5:$IX$116,ComparisonData!A49,ComparisonData!$TG$1),0),5)</f>
        <v>0</v>
      </c>
      <c r="TH49" s="45" cm="1">
        <f t="array" ref="TH49">IFERROR(INDEX(ArchiveResults!$F$5:$IX$116,ComparisonData!A49,ComparisonData!$TH$1),0)</f>
        <v>0</v>
      </c>
      <c r="TI49" s="56">
        <v>44</v>
      </c>
      <c r="TJ49" s="53" t="str">
        <f t="shared" si="600"/>
        <v>Kent Archives Service</v>
      </c>
      <c r="TK49" s="59">
        <f t="shared" si="388"/>
        <v>0</v>
      </c>
      <c r="TL49" s="59">
        <f t="shared" si="389"/>
        <v>0</v>
      </c>
      <c r="TM49" s="59">
        <f t="shared" si="390"/>
        <v>0</v>
      </c>
      <c r="TN49" s="59">
        <f t="shared" si="391"/>
        <v>0</v>
      </c>
      <c r="TO49" s="59">
        <f t="shared" si="392"/>
        <v>0</v>
      </c>
      <c r="TP49" s="58">
        <f t="shared" si="393"/>
        <v>0</v>
      </c>
      <c r="TQ49" s="45">
        <f t="shared" si="394"/>
        <v>62</v>
      </c>
      <c r="TR49" s="45">
        <f t="shared" si="601"/>
        <v>2.7439999999999998</v>
      </c>
      <c r="TS49" s="45">
        <f t="shared" si="395"/>
        <v>1</v>
      </c>
      <c r="TT49" s="45">
        <f t="shared" si="396"/>
        <v>2</v>
      </c>
      <c r="TU49" s="45">
        <f t="shared" si="397"/>
        <v>0</v>
      </c>
      <c r="TV49" s="46" cm="1">
        <f t="array" ref="TV49">ROUND(IFERROR(INDEX(ArchiveResults!$F$5:$IX$116,ComparisonData!A49,ComparisonData!$TV$1),0),5)</f>
        <v>0</v>
      </c>
      <c r="TW49" s="46" cm="1">
        <f t="array" ref="TW49">ROUND(IFERROR(INDEX(ArchiveResults!$F$5:$IX$116,ComparisonData!A49,ComparisonData!$TW$1),0),5)</f>
        <v>0</v>
      </c>
      <c r="TX49" s="46" cm="1">
        <f t="array" ref="TX49">ROUND(IFERROR(INDEX(ArchiveResults!$F$5:$IX$116,ComparisonData!A49,ComparisonData!$TX$1),0),5)</f>
        <v>0</v>
      </c>
      <c r="TY49" s="46" cm="1">
        <f t="array" ref="TY49">ROUND(IFERROR(INDEX(ArchiveResults!$F$5:$IX$116,ComparisonData!A49,ComparisonData!$TY$1),0),5)</f>
        <v>0</v>
      </c>
      <c r="TZ49" s="45" cm="1">
        <f t="array" ref="TZ49">IFERROR(INDEX(ArchiveResults!$F$5:$IX$116,ComparisonData!A49,ComparisonData!$TZ$1),0)</f>
        <v>0</v>
      </c>
      <c r="UA49" s="56">
        <v>44</v>
      </c>
      <c r="UB49" s="53" t="str">
        <f t="shared" si="602"/>
        <v>Kent Archives Service</v>
      </c>
      <c r="UC49" s="60">
        <f t="shared" si="398"/>
        <v>0</v>
      </c>
      <c r="UD49" s="60">
        <f t="shared" si="399"/>
        <v>0</v>
      </c>
      <c r="UE49" s="60">
        <f t="shared" si="400"/>
        <v>0</v>
      </c>
      <c r="UF49" s="60">
        <f t="shared" si="401"/>
        <v>0</v>
      </c>
      <c r="UG49" s="60">
        <f t="shared" si="402"/>
        <v>0</v>
      </c>
      <c r="UH49" s="58">
        <f t="shared" si="403"/>
        <v>0</v>
      </c>
      <c r="UI49" s="46">
        <f t="shared" si="404"/>
        <v>62</v>
      </c>
      <c r="UJ49" s="46">
        <f t="shared" si="603"/>
        <v>2.7439999999999998</v>
      </c>
      <c r="UK49" s="46">
        <f t="shared" si="405"/>
        <v>1</v>
      </c>
      <c r="UL49" s="46">
        <f t="shared" si="406"/>
        <v>2</v>
      </c>
      <c r="UM49" s="46" cm="1">
        <f t="array" ref="UM49">ROUND(IFERROR(INDEX(ArchiveResults!$F$5:$IX$116,ComparisonData!A49,ComparisonData!$UM$1),0),5)</f>
        <v>0</v>
      </c>
      <c r="UN49" s="56">
        <v>44</v>
      </c>
      <c r="UO49" s="53" t="str">
        <f t="shared" si="604"/>
        <v>Kent Archives Service</v>
      </c>
      <c r="UP49" s="46">
        <f t="shared" si="407"/>
        <v>0</v>
      </c>
      <c r="UQ49" s="76">
        <f t="shared" si="408"/>
        <v>0</v>
      </c>
      <c r="UR49" s="46">
        <f t="shared" si="409"/>
        <v>62</v>
      </c>
      <c r="US49" s="46">
        <f t="shared" si="605"/>
        <v>2.7439999999999998</v>
      </c>
      <c r="UT49" s="46">
        <f t="shared" si="410"/>
        <v>1</v>
      </c>
      <c r="UU49" s="46">
        <f t="shared" si="411"/>
        <v>2</v>
      </c>
      <c r="UV49" s="46">
        <f t="shared" si="412"/>
        <v>0</v>
      </c>
      <c r="UW49" s="46" cm="1">
        <f t="array" ref="UW49">ROUND(IFERROR(INDEX(ArchiveResults!$F$5:$IX$116,ComparisonData!A49,ComparisonData!$UW$1),0),5)</f>
        <v>0</v>
      </c>
      <c r="UX49" s="46" cm="1">
        <f t="array" ref="UX49">ROUND(IFERROR(INDEX(ArchiveResults!$F$5:$IX$116,ComparisonData!A49,ComparisonData!$UX$1),0),5)</f>
        <v>0</v>
      </c>
      <c r="UY49" s="46" cm="1">
        <f t="array" ref="UY49">ROUND(IFERROR(INDEX(ArchiveResults!$F$5:$IX$116,ComparisonData!A49,ComparisonData!$UY$1),0),5)</f>
        <v>0</v>
      </c>
      <c r="UZ49" s="46" cm="1">
        <f t="array" ref="UZ49">ROUND(IFERROR(INDEX(ArchiveResults!$F$5:$IX$116,ComparisonData!A49,ComparisonData!$UZ$1),0),5)</f>
        <v>0</v>
      </c>
      <c r="VA49" s="46" cm="1">
        <f t="array" ref="VA49">ROUND(IFERROR(INDEX(ArchiveResults!$F$5:$IX$116,ComparisonData!A49,ComparisonData!$VA$1),0),5)</f>
        <v>0</v>
      </c>
      <c r="VB49" s="56">
        <v>44</v>
      </c>
      <c r="VC49" s="53" t="str">
        <f t="shared" si="606"/>
        <v>Kent Archives Service</v>
      </c>
      <c r="VD49" s="60">
        <f t="shared" si="413"/>
        <v>0</v>
      </c>
      <c r="VE49" s="60">
        <f t="shared" si="414"/>
        <v>0</v>
      </c>
      <c r="VF49" s="60">
        <f t="shared" si="415"/>
        <v>0</v>
      </c>
      <c r="VG49" s="60">
        <f t="shared" si="416"/>
        <v>0</v>
      </c>
      <c r="VH49" s="60">
        <f t="shared" si="417"/>
        <v>0</v>
      </c>
      <c r="VI49" s="76">
        <f t="shared" si="418"/>
        <v>0</v>
      </c>
      <c r="VJ49" s="46">
        <f t="shared" si="419"/>
        <v>62</v>
      </c>
      <c r="VK49" s="46">
        <f t="shared" si="607"/>
        <v>2.7439999999999998</v>
      </c>
      <c r="VL49" s="46">
        <f t="shared" si="420"/>
        <v>1</v>
      </c>
      <c r="VM49" s="46">
        <f t="shared" si="421"/>
        <v>2</v>
      </c>
      <c r="VN49" s="46" cm="1">
        <f t="array" ref="VN49">ROUND(IFERROR(INDEX(ArchiveResults!$F$5:$IX$116,ComparisonData!A49,ComparisonData!$VN$1),0),5)</f>
        <v>0</v>
      </c>
      <c r="VO49" s="46" cm="1">
        <f t="array" ref="VO49">ROUND(IFERROR(INDEX(ArchiveResults!$F$5:$IX$116,ComparisonData!A49,ComparisonData!$VO$1),0),5)</f>
        <v>0</v>
      </c>
      <c r="VP49" s="46" cm="1">
        <f t="array" ref="VP49">ROUND(IFERROR(INDEX(ArchiveResults!$F$5:$IX$116,ComparisonData!A49,ComparisonData!$VP$1),0),5)</f>
        <v>0</v>
      </c>
      <c r="VQ49" s="46" cm="1">
        <f t="array" ref="VQ49">ROUND(IFERROR(INDEX(ArchiveResults!$F$5:$IX$116,ComparisonData!A49,ComparisonData!$VQ$1),0),5)</f>
        <v>0</v>
      </c>
      <c r="VR49" s="56">
        <v>44</v>
      </c>
      <c r="VS49" s="53" t="str">
        <f t="shared" si="608"/>
        <v>Kent Archives Service</v>
      </c>
      <c r="VT49" s="60">
        <f t="shared" si="422"/>
        <v>0</v>
      </c>
      <c r="VU49" s="60">
        <f t="shared" si="423"/>
        <v>0</v>
      </c>
      <c r="VV49" s="60">
        <f t="shared" si="424"/>
        <v>0</v>
      </c>
      <c r="VW49" s="60">
        <f t="shared" si="425"/>
        <v>0</v>
      </c>
      <c r="VX49" s="76">
        <f t="shared" si="426"/>
        <v>0</v>
      </c>
      <c r="VY49" s="46">
        <f t="shared" si="427"/>
        <v>62</v>
      </c>
      <c r="VZ49" s="46">
        <f t="shared" si="609"/>
        <v>2.7439999999999998</v>
      </c>
      <c r="WA49" s="46">
        <f t="shared" si="428"/>
        <v>1</v>
      </c>
      <c r="WB49" s="46">
        <f t="shared" si="429"/>
        <v>2</v>
      </c>
      <c r="WC49" s="46" cm="1">
        <f t="array" ref="WC49">ROUND(IFERROR(INDEX(ArchiveResults!$F$5:$IX$116,ComparisonData!A49,ComparisonData!$WC$1),0),5)</f>
        <v>0</v>
      </c>
      <c r="WD49" s="56">
        <v>44</v>
      </c>
      <c r="WE49" s="53" t="str">
        <f t="shared" si="610"/>
        <v>Kent Archives Service</v>
      </c>
      <c r="WF49" s="46">
        <f t="shared" si="430"/>
        <v>0</v>
      </c>
      <c r="WG49" s="76">
        <f t="shared" si="431"/>
        <v>0</v>
      </c>
      <c r="WH49" s="46">
        <f t="shared" si="432"/>
        <v>62</v>
      </c>
      <c r="WI49" s="46">
        <f t="shared" si="611"/>
        <v>2.7439999999999998</v>
      </c>
      <c r="WJ49" s="46">
        <f t="shared" si="433"/>
        <v>1</v>
      </c>
      <c r="WK49" s="46">
        <f t="shared" si="434"/>
        <v>2</v>
      </c>
      <c r="WL49" s="46" cm="1">
        <f t="array" ref="WL49">ROUND(IFERROR(INDEX(ArchiveResults!$F$5:$IX$116,ComparisonData!A49,ComparisonData!$WL$1),0),5)</f>
        <v>0</v>
      </c>
      <c r="WM49" s="46" cm="1">
        <f t="array" ref="WM49">IFERROR(INDEX(ArchiveResults!$F$5:$IX$116,ComparisonData!A49,ComparisonData!$WM$1),0)</f>
        <v>0</v>
      </c>
      <c r="WN49" s="56">
        <v>44</v>
      </c>
      <c r="WO49" s="53" t="str">
        <f t="shared" si="612"/>
        <v>Kent Archives Service</v>
      </c>
      <c r="WP49" s="60">
        <f t="shared" si="435"/>
        <v>0</v>
      </c>
      <c r="WQ49" s="60">
        <f t="shared" si="436"/>
        <v>0</v>
      </c>
      <c r="WR49" s="76">
        <f t="shared" si="437"/>
        <v>0</v>
      </c>
      <c r="WS49" s="46">
        <f t="shared" si="438"/>
        <v>62</v>
      </c>
      <c r="WT49" s="46">
        <f t="shared" si="613"/>
        <v>2.7439999999999998</v>
      </c>
      <c r="WU49" s="46">
        <f t="shared" si="439"/>
        <v>1</v>
      </c>
      <c r="WV49" s="46">
        <f t="shared" si="440"/>
        <v>2</v>
      </c>
      <c r="WW49" s="46" cm="1">
        <f t="array" ref="WW49">ROUND(VALUE(IFERROR(INDEX(ArchiveResults!$F$5:$IX$116,ComparisonData!A49,ComparisonData!$WW$1),0)),5)</f>
        <v>0</v>
      </c>
      <c r="WX49" s="46" cm="1">
        <f t="array" ref="WX49">ROUND(IFERROR(INDEX(ArchiveResults!$F$5:$IX$116,ComparisonData!A49,ComparisonData!$WX$1),0),5)</f>
        <v>0</v>
      </c>
      <c r="WY49" s="56">
        <v>44</v>
      </c>
      <c r="WZ49" s="53" t="str">
        <f t="shared" si="614"/>
        <v>Kent Archives Service</v>
      </c>
      <c r="XA49" s="60">
        <f t="shared" si="615"/>
        <v>0</v>
      </c>
      <c r="XB49" s="60">
        <f t="shared" si="616"/>
        <v>0</v>
      </c>
      <c r="XC49" s="76">
        <f t="shared" si="441"/>
        <v>0</v>
      </c>
      <c r="XD49" s="46">
        <f t="shared" si="442"/>
        <v>62</v>
      </c>
      <c r="XE49" s="46">
        <f t="shared" si="617"/>
        <v>2.7439999999999998</v>
      </c>
      <c r="XF49" s="46">
        <f t="shared" si="443"/>
        <v>1</v>
      </c>
      <c r="XG49" s="46">
        <f t="shared" si="444"/>
        <v>2</v>
      </c>
      <c r="XH49" s="46" cm="1">
        <f t="array" ref="XH49">ROUND(VALUE(IFERROR(INDEX(ArchiveResults!$F$5:$IX$116,ComparisonData!A49,ComparisonData!$XH$1),0)),5)</f>
        <v>0</v>
      </c>
      <c r="XI49" s="46" cm="1">
        <f t="array" ref="XI49">ROUND(VALUE(IFERROR(INDEX(ArchiveResults!$F$5:$IX$116,ComparisonData!A49,ComparisonData!$XI$1),0)),5)</f>
        <v>0</v>
      </c>
      <c r="XJ49" s="56">
        <v>44</v>
      </c>
      <c r="XK49" s="53" t="str">
        <f t="shared" si="618"/>
        <v>Kent Archives Service</v>
      </c>
      <c r="XL49" s="60">
        <f t="shared" si="445"/>
        <v>0</v>
      </c>
      <c r="XM49" s="60">
        <f t="shared" si="446"/>
        <v>0</v>
      </c>
      <c r="XN49" s="76">
        <f t="shared" si="447"/>
        <v>0</v>
      </c>
      <c r="XO49" s="46">
        <f t="shared" si="448"/>
        <v>62</v>
      </c>
      <c r="XP49" s="46">
        <f t="shared" si="619"/>
        <v>2.7439999999999998</v>
      </c>
      <c r="XQ49" s="46">
        <f t="shared" si="449"/>
        <v>1</v>
      </c>
      <c r="XR49" s="46">
        <f t="shared" si="450"/>
        <v>2</v>
      </c>
      <c r="XS49" s="46" cm="1">
        <f t="array" ref="XS49">ROUND(VALUE(IFERROR(INDEX(ArchiveResults!$F$5:$IX$116,ComparisonData!A49,ComparisonData!$XS$1),0)),5)</f>
        <v>0</v>
      </c>
      <c r="XT49" s="46" cm="1">
        <f t="array" ref="XT49">ROUND(VALUE(IFERROR(INDEX(ArchiveResults!$F$5:$IX$116,ComparisonData!A49,ComparisonData!$XT$1),0)),5)</f>
        <v>0</v>
      </c>
      <c r="XU49" s="56">
        <v>44</v>
      </c>
      <c r="XV49" s="53" t="str">
        <f t="shared" si="620"/>
        <v>Kent Archives Service</v>
      </c>
      <c r="XW49" s="60">
        <f t="shared" si="451"/>
        <v>0</v>
      </c>
      <c r="XX49" s="60">
        <f t="shared" si="452"/>
        <v>0</v>
      </c>
      <c r="XY49" s="76">
        <f t="shared" si="453"/>
        <v>0</v>
      </c>
      <c r="XZ49" s="46">
        <f t="shared" si="454"/>
        <v>62</v>
      </c>
      <c r="YA49" s="46">
        <f t="shared" si="621"/>
        <v>2.7439999999999998</v>
      </c>
      <c r="YB49" s="46">
        <f t="shared" si="455"/>
        <v>1</v>
      </c>
      <c r="YC49" s="46">
        <f t="shared" si="456"/>
        <v>2</v>
      </c>
      <c r="YD49" s="46" cm="1">
        <f t="array" ref="YD49">ROUND(VALUE(IFERROR(INDEX(ArchiveResults!$F$5:$IX$116,ComparisonData!A49,ComparisonData!$YD$1),0)),5)</f>
        <v>0</v>
      </c>
      <c r="YE49" s="46" cm="1">
        <f t="array" ref="YE49">ROUND(VALUE(IFERROR(INDEX(ArchiveResults!$F$5:$IX$116,ComparisonData!A49,ComparisonData!$YE$1),0)),5)</f>
        <v>0</v>
      </c>
      <c r="YF49" s="56">
        <v>44</v>
      </c>
      <c r="YG49" s="53" t="str">
        <f t="shared" si="622"/>
        <v>Kent Archives Service</v>
      </c>
      <c r="YH49" s="60">
        <f t="shared" si="457"/>
        <v>0</v>
      </c>
      <c r="YI49" s="60">
        <f t="shared" si="458"/>
        <v>0</v>
      </c>
      <c r="YJ49" s="76">
        <f t="shared" si="459"/>
        <v>0</v>
      </c>
      <c r="YK49" s="46">
        <f t="shared" si="460"/>
        <v>62</v>
      </c>
      <c r="YL49" s="46">
        <f t="shared" si="623"/>
        <v>2.7439999999999998</v>
      </c>
      <c r="YM49" s="46">
        <f t="shared" si="461"/>
        <v>1</v>
      </c>
      <c r="YN49" s="46">
        <f t="shared" si="462"/>
        <v>2</v>
      </c>
      <c r="YO49" s="46" cm="1">
        <f t="array" ref="YO49">ROUND(VALUE(IFERROR(INDEX(ArchiveResults!$F$5:$IX$116,ComparisonData!A49,ComparisonData!$YO$1),0)),5)</f>
        <v>0</v>
      </c>
      <c r="YP49" s="46" cm="1">
        <f t="array" ref="YP49">ROUND(VALUE(IFERROR(INDEX(ArchiveResults!$F$5:$IX$116,ComparisonData!A49,ComparisonData!$YP$1),0)),5)</f>
        <v>0</v>
      </c>
      <c r="YQ49" s="56">
        <v>44</v>
      </c>
      <c r="YR49" s="53" t="str">
        <f t="shared" si="624"/>
        <v>Kent Archives Service</v>
      </c>
      <c r="YS49" s="60">
        <f t="shared" si="463"/>
        <v>0</v>
      </c>
      <c r="YT49" s="60">
        <f t="shared" si="464"/>
        <v>0</v>
      </c>
      <c r="YU49" s="76">
        <f t="shared" si="465"/>
        <v>0</v>
      </c>
      <c r="YV49" s="46">
        <f t="shared" si="466"/>
        <v>62</v>
      </c>
      <c r="YW49" s="46">
        <f t="shared" si="625"/>
        <v>2.7439999999999998</v>
      </c>
      <c r="YX49" s="46">
        <f t="shared" si="467"/>
        <v>1</v>
      </c>
      <c r="YY49" s="46">
        <f t="shared" si="468"/>
        <v>2</v>
      </c>
      <c r="YZ49" s="46">
        <f t="shared" si="469"/>
        <v>0</v>
      </c>
      <c r="ZA49" s="46" cm="1">
        <f t="array" ref="ZA49">ROUNDDOWN(VALUE(IFERROR(INDEX(ArchiveResults!$F$5:$IX$116,ComparisonData!A49,ComparisonData!$ZA$1),0)),5)</f>
        <v>0</v>
      </c>
      <c r="ZB49" s="46" cm="1">
        <f t="array" ref="ZB49">ROUNDDOWN(VALUE(IFERROR(INDEX(ArchiveResults!$F$5:$IX$116,ComparisonData!A49,ComparisonData!$ZB$1),0)),5)</f>
        <v>0</v>
      </c>
      <c r="ZC49" s="46" cm="1">
        <f t="array" ref="ZC49">ROUNDDOWN(VALUE(IFERROR(INDEX(ArchiveResults!$F$5:$IX$116,ComparisonData!A49,ComparisonData!$ZC$1),0)),5)</f>
        <v>0</v>
      </c>
      <c r="ZD49" s="46" cm="1">
        <f t="array" ref="ZD49">ROUNDDOWN(VALUE(IFERROR(INDEX(ArchiveResults!$F$5:$IX$116,ComparisonData!A49,ComparisonData!$ZD$1),0)),5)</f>
        <v>0</v>
      </c>
      <c r="ZE49" s="46" cm="1">
        <f t="array" ref="ZE49">ROUNDDOWN(VALUE(IFERROR(INDEX(ArchiveResults!$F$5:$IX$116,ComparisonData!A49,ComparisonData!$ZE$1),0)),5)</f>
        <v>0</v>
      </c>
      <c r="ZF49" s="56">
        <v>44</v>
      </c>
      <c r="ZG49" s="53" t="str">
        <f t="shared" si="626"/>
        <v>Kent Archives Service</v>
      </c>
      <c r="ZH49" s="60">
        <f t="shared" si="470"/>
        <v>0</v>
      </c>
      <c r="ZI49" s="60">
        <f t="shared" si="471"/>
        <v>0</v>
      </c>
      <c r="ZJ49" s="60">
        <f t="shared" si="472"/>
        <v>0</v>
      </c>
      <c r="ZK49" s="60">
        <f t="shared" si="473"/>
        <v>0</v>
      </c>
      <c r="ZL49" s="60">
        <f t="shared" si="474"/>
        <v>0</v>
      </c>
      <c r="ZM49" s="76">
        <f t="shared" si="475"/>
        <v>0</v>
      </c>
      <c r="ZN49" s="46">
        <f t="shared" si="476"/>
        <v>62</v>
      </c>
      <c r="ZO49" s="46">
        <f t="shared" si="627"/>
        <v>2.7439999999999998</v>
      </c>
      <c r="ZP49" s="46">
        <f t="shared" si="477"/>
        <v>1</v>
      </c>
      <c r="ZQ49" s="46">
        <f t="shared" si="478"/>
        <v>2</v>
      </c>
      <c r="ZR49" s="46" cm="1">
        <f t="array" ref="ZR49">ROUND(VALUE(IFERROR(INDEX(ArchiveResults!$F$5:$IX$116,ComparisonData!A49,ComparisonData!$ZR$1),0)),5)</f>
        <v>0</v>
      </c>
      <c r="ZS49" s="56">
        <v>44</v>
      </c>
      <c r="ZT49" s="53" t="str">
        <f t="shared" si="628"/>
        <v>Kent Archives Service</v>
      </c>
      <c r="ZU49" s="46">
        <f t="shared" si="479"/>
        <v>0</v>
      </c>
      <c r="ZV49" s="76">
        <f t="shared" si="480"/>
        <v>0</v>
      </c>
      <c r="ZW49" s="81" cm="1">
        <f t="array" ref="ZW49">ROUND((IFERROR(INDEX(ArchiveResults!$F$5:$IX$116,ComparisonData!A49,ComparisonData!$ZW$1),0)),5)</f>
        <v>0</v>
      </c>
      <c r="ZX49" s="81" cm="1">
        <f t="array" ref="ZX49">ROUND((IFERROR(INDEX(ArchiveResults!$F$5:$IX$116,ComparisonData!A49,ComparisonData!$ZX$1),0)),5)</f>
        <v>0</v>
      </c>
      <c r="ZY49" s="81" cm="1">
        <f t="array" ref="ZY49">ROUND((IFERROR(INDEX(ArchiveResults!$F$5:$IX$116,ComparisonData!A49,ComparisonData!$ZY$1),0)),5)</f>
        <v>0</v>
      </c>
      <c r="ZZ49" s="81" cm="1">
        <f t="array" ref="ZZ49">ROUND((IFERROR(INDEX(ArchiveResults!$F$5:$IX$116,ComparisonData!A49,ComparisonData!$ZZ$1),0)),5)</f>
        <v>0</v>
      </c>
      <c r="AAA49" s="81" cm="1">
        <f t="array" ref="AAA49">ROUND((IFERROR(INDEX(ArchiveResults!$F$5:$IX$116,ComparisonData!A49,ComparisonData!$AAA$1),0)),5)</f>
        <v>0</v>
      </c>
      <c r="AAB49" s="81" cm="1">
        <f t="array" ref="AAB49">ROUND((IFERROR(INDEX(ArchiveResults!$F$5:$IX$116,ComparisonData!A49,ComparisonData!$AAB$1),0)),5)</f>
        <v>0</v>
      </c>
      <c r="AAC49" s="81" cm="1">
        <f t="array" ref="AAC49">ROUND((IFERROR(INDEX(ArchiveResults!$F$5:$IX$116,ComparisonData!A49,ComparisonData!$AAC$1),0)),5)</f>
        <v>0</v>
      </c>
      <c r="AAD49" s="81" cm="1">
        <f t="array" ref="AAD49">ROUND((IFERROR(INDEX(ArchiveResults!$F$5:$IX$116,ComparisonData!A49,ComparisonData!$AAD$1),0)),5)</f>
        <v>0</v>
      </c>
      <c r="AAE49" s="81" cm="1">
        <f t="array" ref="AAE49">ROUND((IFERROR(INDEX(ArchiveResults!$F$5:$IX$116,ComparisonData!A49,ComparisonData!$AAE$1),0)),5)</f>
        <v>0</v>
      </c>
      <c r="AAF49" s="81" cm="1">
        <f t="array" ref="AAF49">ROUND((IFERROR(INDEX(ArchiveResults!$F$5:$IX$116,ComparisonData!A49,ComparisonData!$AAF$1),0)),5)</f>
        <v>0</v>
      </c>
      <c r="AAG49" s="46">
        <f t="shared" si="481"/>
        <v>62</v>
      </c>
      <c r="AAH49" s="46">
        <f t="shared" si="629"/>
        <v>2.7439999999999998</v>
      </c>
      <c r="AAI49" s="46">
        <f t="shared" si="482"/>
        <v>1</v>
      </c>
      <c r="AAJ49" s="46">
        <f t="shared" si="483"/>
        <v>2</v>
      </c>
      <c r="AAK49" s="46">
        <f t="shared" si="484"/>
        <v>0</v>
      </c>
      <c r="AAL49" s="46">
        <f t="shared" si="485"/>
        <v>0</v>
      </c>
      <c r="AAM49" s="46">
        <f t="shared" si="486"/>
        <v>0</v>
      </c>
      <c r="AAN49" s="46">
        <f t="shared" si="487"/>
        <v>0</v>
      </c>
      <c r="AAO49" s="46">
        <f t="shared" si="488"/>
        <v>0</v>
      </c>
      <c r="AAP49" s="46">
        <f t="shared" si="489"/>
        <v>0</v>
      </c>
      <c r="AAQ49" s="56">
        <v>44</v>
      </c>
      <c r="AAR49" s="53" t="str">
        <f t="shared" si="630"/>
        <v>Kent Archives Service</v>
      </c>
      <c r="AAS49" s="60">
        <f t="shared" si="490"/>
        <v>0</v>
      </c>
      <c r="AAT49" s="60">
        <f t="shared" si="491"/>
        <v>0</v>
      </c>
      <c r="AAU49" s="60">
        <f t="shared" si="492"/>
        <v>0</v>
      </c>
      <c r="AAV49" s="60">
        <f t="shared" si="493"/>
        <v>0</v>
      </c>
      <c r="AAW49" s="60">
        <f t="shared" si="494"/>
        <v>0</v>
      </c>
      <c r="AAX49" s="76">
        <f t="shared" si="495"/>
        <v>0</v>
      </c>
      <c r="AAY49" s="46">
        <f t="shared" si="496"/>
        <v>62</v>
      </c>
      <c r="AAZ49" s="46">
        <f t="shared" si="631"/>
        <v>2.7439999999999998</v>
      </c>
      <c r="ABA49" s="46">
        <f t="shared" si="497"/>
        <v>1</v>
      </c>
      <c r="ABB49" s="46">
        <f t="shared" si="498"/>
        <v>2</v>
      </c>
      <c r="ABC49" s="46">
        <f t="shared" si="102"/>
        <v>0</v>
      </c>
      <c r="ABD49" s="46" cm="1">
        <f t="array" ref="ABD49">ROUND(VALUE(IFERROR(INDEX(ArchiveResults!$F$5:$IX$116,ComparisonData!A49,ComparisonData!$ABD$1),0)),5)</f>
        <v>0</v>
      </c>
      <c r="ABE49" s="46" cm="1">
        <f t="array" ref="ABE49">ROUND(VALUE(IFERROR(INDEX(ArchiveResults!$F$5:$IX$116,ComparisonData!A49,ComparisonData!$ABE$1),0)),5)</f>
        <v>0</v>
      </c>
      <c r="ABF49" s="46" cm="1">
        <f t="array" ref="ABF49">ROUND(VALUE(IFERROR(INDEX(ArchiveResults!$F$5:$IX$116,ComparisonData!A49,ComparisonData!$ABF$1),0)),5)</f>
        <v>0</v>
      </c>
      <c r="ABG49" s="46" cm="1">
        <f t="array" ref="ABG49">ROUND(VALUE(IFERROR(INDEX(ArchiveResults!$F$5:$IX$116,ComparisonData!A49,ComparisonData!$ABG$1),0)),5)</f>
        <v>0</v>
      </c>
      <c r="ABH49" s="46" cm="1">
        <f t="array" ref="ABH49">ROUND(VALUE(IFERROR(INDEX(ArchiveResults!$F$5:$IX$116,ComparisonData!A49,ComparisonData!$ABH$1),0)),5)</f>
        <v>0</v>
      </c>
      <c r="ABI49" s="56">
        <v>44</v>
      </c>
      <c r="ABJ49" s="53" t="str">
        <f t="shared" si="632"/>
        <v>Kent Archives Service</v>
      </c>
      <c r="ABK49" s="60">
        <f t="shared" si="499"/>
        <v>0</v>
      </c>
      <c r="ABL49" s="60">
        <f t="shared" si="500"/>
        <v>0</v>
      </c>
      <c r="ABM49" s="60">
        <f t="shared" si="501"/>
        <v>0</v>
      </c>
      <c r="ABN49" s="60">
        <f t="shared" si="502"/>
        <v>0</v>
      </c>
      <c r="ABO49" s="60">
        <f t="shared" si="503"/>
        <v>0</v>
      </c>
      <c r="ABP49" s="76">
        <f t="shared" si="504"/>
        <v>0</v>
      </c>
      <c r="ABQ49" s="46">
        <f t="shared" si="505"/>
        <v>62</v>
      </c>
      <c r="ABR49" s="46">
        <f t="shared" si="633"/>
        <v>2.7439999999999998</v>
      </c>
      <c r="ABS49" s="46">
        <f t="shared" si="506"/>
        <v>1</v>
      </c>
      <c r="ABT49" s="46">
        <f t="shared" si="507"/>
        <v>2</v>
      </c>
      <c r="ABU49" s="46" cm="1">
        <f t="array" ref="ABU49">ROUND(VALUE(IFERROR(INDEX(ArchiveResults!$F$5:$IX$116,ComparisonData!A49,ComparisonData!$ABU$1),0)),5)</f>
        <v>0</v>
      </c>
      <c r="ABV49" s="46" cm="1">
        <f t="array" ref="ABV49">ROUND(VALUE(IFERROR(INDEX(ArchiveResults!$F$5:$IX$116,ComparisonData!A49,ComparisonData!$ABV$1),0)),5)</f>
        <v>0</v>
      </c>
      <c r="ABW49" s="46" cm="1">
        <f t="array" ref="ABW49">ROUND(VALUE(IFERROR(INDEX(ArchiveResults!$F$5:$IX$116,ComparisonData!A49,ComparisonData!$ABW$1),0)),5)</f>
        <v>0</v>
      </c>
      <c r="ABX49" s="46" cm="1">
        <f t="array" ref="ABX49">ROUND(VALUE(IFERROR(INDEX(ArchiveResults!$F$5:$IX$116,ComparisonData!A49,ComparisonData!$ABX$1),0)),5)</f>
        <v>0</v>
      </c>
      <c r="ABY49" s="46" cm="1">
        <f t="array" ref="ABY49">ROUND(VALUE(IFERROR(INDEX(ArchiveResults!$F$5:$IX$116,ComparisonData!A49,ComparisonData!$ABY$1),0)),5)</f>
        <v>0</v>
      </c>
      <c r="ABZ49" s="56">
        <v>44</v>
      </c>
      <c r="ACA49" s="53" t="str">
        <f t="shared" si="634"/>
        <v>Kent Archives Service</v>
      </c>
      <c r="ACB49" s="60">
        <f t="shared" si="508"/>
        <v>0</v>
      </c>
      <c r="ACC49" s="60">
        <f t="shared" si="509"/>
        <v>0</v>
      </c>
      <c r="ACD49" s="60">
        <f t="shared" si="510"/>
        <v>0</v>
      </c>
      <c r="ACE49" s="60">
        <f t="shared" si="511"/>
        <v>0</v>
      </c>
      <c r="ACF49" s="60">
        <f t="shared" si="512"/>
        <v>0</v>
      </c>
      <c r="ACG49" s="76">
        <f t="shared" si="513"/>
        <v>0</v>
      </c>
      <c r="ACH49" s="46">
        <f t="shared" si="514"/>
        <v>62</v>
      </c>
      <c r="ACI49" s="46">
        <f t="shared" si="635"/>
        <v>2.7439999999999998</v>
      </c>
      <c r="ACJ49" s="46">
        <f t="shared" si="515"/>
        <v>1</v>
      </c>
      <c r="ACK49" s="46">
        <f t="shared" si="516"/>
        <v>2</v>
      </c>
      <c r="ACL49" s="46">
        <f t="shared" si="517"/>
        <v>0</v>
      </c>
      <c r="ACM49" s="46" cm="1">
        <f t="array" ref="ACM49">ROUND(IFERROR(INDEX(ArchiveResults!$F$5:$IX$116,ComparisonData!A49,ComparisonData!$ACM$1),0),5)</f>
        <v>0</v>
      </c>
      <c r="ACN49" s="46" cm="1">
        <f t="array" ref="ACN49">ROUND(IFERROR(INDEX(ArchiveResults!$F$5:$IX$116,ComparisonData!A49,ComparisonData!$ACN$1),0),5)</f>
        <v>0</v>
      </c>
      <c r="ACO49" s="56">
        <v>44</v>
      </c>
      <c r="ACP49" s="53" t="str">
        <f t="shared" si="636"/>
        <v>Kent Archives Service</v>
      </c>
      <c r="ACQ49" s="60">
        <f t="shared" si="518"/>
        <v>0</v>
      </c>
      <c r="ACR49" s="60">
        <f t="shared" si="519"/>
        <v>0</v>
      </c>
      <c r="ACS49" s="76">
        <f t="shared" si="520"/>
        <v>0</v>
      </c>
      <c r="ACT49" s="46">
        <f t="shared" si="521"/>
        <v>62</v>
      </c>
      <c r="ACU49" s="46">
        <f t="shared" si="637"/>
        <v>2.7439999999999998</v>
      </c>
      <c r="ACV49" s="46">
        <f t="shared" si="522"/>
        <v>1</v>
      </c>
      <c r="ACW49" s="46">
        <f t="shared" si="523"/>
        <v>2</v>
      </c>
      <c r="ACX49" s="46">
        <f t="shared" si="524"/>
        <v>0</v>
      </c>
      <c r="ACY49" s="46" cm="1">
        <f t="array" ref="ACY49">ROUNDDOWN(IFERROR(INDEX(ArchiveResults!$F$5:$IX$116,ComparisonData!A49,ComparisonData!$ACY$1),0),5)</f>
        <v>0</v>
      </c>
      <c r="ACZ49" s="46" cm="1">
        <f t="array" ref="ACZ49">ROUNDDOWN(IFERROR(INDEX(ArchiveResults!$F$5:$IX$116,ComparisonData!A49,ComparisonData!$ACZ$1),0),5)</f>
        <v>0</v>
      </c>
      <c r="ADA49" s="46" cm="1">
        <f t="array" ref="ADA49">ROUNDDOWN(IFERROR(INDEX(ArchiveResults!$F$5:$IX$116,ComparisonData!A49,ComparisonData!$ADA$1),0),5)</f>
        <v>0</v>
      </c>
      <c r="ADB49" s="56">
        <v>44</v>
      </c>
      <c r="ADC49" s="53" t="str">
        <f t="shared" si="638"/>
        <v>Kent Archives Service</v>
      </c>
      <c r="ADD49" s="60">
        <f t="shared" si="525"/>
        <v>0</v>
      </c>
      <c r="ADE49" s="60">
        <f t="shared" si="526"/>
        <v>0</v>
      </c>
      <c r="ADF49" s="60">
        <f t="shared" si="527"/>
        <v>0</v>
      </c>
      <c r="ADG49" s="76">
        <f t="shared" si="528"/>
        <v>0</v>
      </c>
    </row>
    <row r="50" spans="1:787" x14ac:dyDescent="0.25">
      <c r="A50" s="46" t="str">
        <f>IF(ISBLANK(ComparisonSelection!F46),"",ROW()-5)</f>
        <v/>
      </c>
      <c r="B50" s="53" t="s">
        <v>499</v>
      </c>
      <c r="C50" s="72">
        <v>0.92899999999999994</v>
      </c>
      <c r="D50" s="55">
        <f t="shared" si="110"/>
        <v>98</v>
      </c>
      <c r="E50" s="54">
        <f t="shared" si="111"/>
        <v>2.9289999999999998</v>
      </c>
      <c r="F50" s="54">
        <f t="shared" si="529"/>
        <v>1</v>
      </c>
      <c r="G50" s="72">
        <f t="shared" si="112"/>
        <v>2</v>
      </c>
      <c r="H50" s="72">
        <f t="shared" si="113"/>
        <v>0</v>
      </c>
      <c r="I50" s="46" cm="1">
        <f t="array" ref="I50">ROUND(IFERROR(INDEX(ArchiveResults!$F$5:$IX$116,ComparisonData!A50,ComparisonData!$I$1),0),5)</f>
        <v>0</v>
      </c>
      <c r="J50" s="46" cm="1">
        <f t="array" ref="J50">ROUND(IFERROR(INDEX(ArchiveResults!$F$5:$IX$116,ComparisonData!A50,ComparisonData!$J$1),0),5)</f>
        <v>0</v>
      </c>
      <c r="K50" s="56">
        <v>45</v>
      </c>
      <c r="L50" s="53" t="str">
        <f t="shared" si="114"/>
        <v>King's College London</v>
      </c>
      <c r="M50" s="57">
        <f t="shared" si="530"/>
        <v>0</v>
      </c>
      <c r="N50" s="57">
        <f t="shared" si="531"/>
        <v>0</v>
      </c>
      <c r="O50" s="58">
        <f t="shared" si="115"/>
        <v>0</v>
      </c>
      <c r="P50" s="48">
        <f t="shared" si="116"/>
        <v>98</v>
      </c>
      <c r="Q50" s="54">
        <f t="shared" si="532"/>
        <v>2.9289999999999998</v>
      </c>
      <c r="R50" s="45">
        <f t="shared" si="117"/>
        <v>1</v>
      </c>
      <c r="S50" s="46">
        <f t="shared" si="118"/>
        <v>2</v>
      </c>
      <c r="T50" s="72">
        <f t="shared" si="119"/>
        <v>0</v>
      </c>
      <c r="U50" s="46" cm="1">
        <f t="array" ref="U50">ROUND(IFERROR(INDEX(ArchiveResults!$F$5:$IX$116,ComparisonData!A50,ComparisonData!$U$1),0),5)</f>
        <v>0</v>
      </c>
      <c r="V50" s="46" cm="1">
        <f t="array" ref="V50">ROUND(IFERROR(INDEX(ArchiveResults!$F$5:$IX$116,ComparisonData!A50,ComparisonData!$V$1),0),5)</f>
        <v>0</v>
      </c>
      <c r="W50" s="56">
        <v>45</v>
      </c>
      <c r="X50" s="53" t="str">
        <f t="shared" si="533"/>
        <v>King's College London</v>
      </c>
      <c r="Y50" s="57">
        <f t="shared" si="120"/>
        <v>0</v>
      </c>
      <c r="Z50" s="57">
        <f t="shared" si="121"/>
        <v>0</v>
      </c>
      <c r="AA50" s="58">
        <f t="shared" si="122"/>
        <v>0</v>
      </c>
      <c r="AB50" s="45">
        <f t="shared" si="123"/>
        <v>98</v>
      </c>
      <c r="AC50" s="54">
        <f t="shared" si="534"/>
        <v>2.9289999999999998</v>
      </c>
      <c r="AD50" s="45">
        <f t="shared" si="124"/>
        <v>1</v>
      </c>
      <c r="AE50" s="45">
        <f t="shared" si="125"/>
        <v>2</v>
      </c>
      <c r="AF50" s="45">
        <f t="shared" si="126"/>
        <v>0</v>
      </c>
      <c r="AG50" s="46" cm="1">
        <f t="array" ref="AG50">ROUND(IFERROR(INDEX(ArchiveResults!$F$5:$IX$116,ComparisonData!A50,ComparisonData!$AG$1),0),5)</f>
        <v>0</v>
      </c>
      <c r="AH50" s="46" cm="1">
        <f t="array" ref="AH50">ROUND(IFERROR(INDEX(ArchiveResults!$F$5:$IX$116,ComparisonData!A50,ComparisonData!$AH$1),0),5)</f>
        <v>0</v>
      </c>
      <c r="AI50" s="56">
        <v>45</v>
      </c>
      <c r="AJ50" s="53" t="str">
        <f t="shared" si="535"/>
        <v>King's College London</v>
      </c>
      <c r="AK50" s="59">
        <f t="shared" si="536"/>
        <v>0</v>
      </c>
      <c r="AL50" s="59">
        <f t="shared" si="537"/>
        <v>0</v>
      </c>
      <c r="AM50" s="58">
        <f t="shared" si="127"/>
        <v>0</v>
      </c>
      <c r="AN50" s="45">
        <f t="shared" si="128"/>
        <v>98</v>
      </c>
      <c r="AO50" s="54">
        <f t="shared" si="538"/>
        <v>2.9289999999999998</v>
      </c>
      <c r="AP50" s="45">
        <f t="shared" si="129"/>
        <v>1</v>
      </c>
      <c r="AQ50" s="45">
        <f t="shared" si="130"/>
        <v>2</v>
      </c>
      <c r="AR50" s="46" cm="1">
        <f t="array" ref="AR50">ROUND(IFERROR(INDEX(ArchiveResults!$F$5:$IX$116,ComparisonData!A50,ComparisonData!$AR$1),0),5)</f>
        <v>0</v>
      </c>
      <c r="AS50" s="46" cm="1">
        <f t="array" ref="AS50">ROUND(IFERROR(INDEX(ArchiveResults!$F$5:$IX$116,ComparisonData!A50,ComparisonData!$AS$1),0),5)</f>
        <v>0</v>
      </c>
      <c r="AT50" s="46" cm="1">
        <f t="array" ref="AT50">ROUND(IFERROR(INDEX(ArchiveResults!$F$5:$IX$116,ComparisonData!A50,ComparisonData!$AT$1),0),5)</f>
        <v>0</v>
      </c>
      <c r="AU50" s="46" cm="1">
        <f t="array" ref="AU50">ROUND(IFERROR(INDEX(ArchiveResults!$F$5:$IX$116,ComparisonData!A50,ComparisonData!$AU$1),0),5)</f>
        <v>0</v>
      </c>
      <c r="AV50" s="46" cm="1">
        <f t="array" ref="AV50">ROUND(IFERROR(INDEX(ArchiveResults!$F$5:$IX$116,ComparisonData!A50,ComparisonData!$AV$1),0),5)</f>
        <v>0</v>
      </c>
      <c r="AW50" s="46" cm="1">
        <f t="array" ref="AW50">ROUND(IFERROR(INDEX(ArchiveResults!$F$5:$IX$116,ComparisonData!A50,ComparisonData!$AW$1),0),5)</f>
        <v>0</v>
      </c>
      <c r="AX50" s="46" cm="1">
        <f t="array" ref="AX50">ROUND(IFERROR(INDEX(ArchiveResults!$F$5:$IX$116,ComparisonData!A50,ComparisonData!$AX$1),0),5)</f>
        <v>0</v>
      </c>
      <c r="AY50" s="46" cm="1">
        <f t="array" ref="AY50">ROUND(IFERROR(INDEX(ArchiveResults!$F$5:$IX$116,ComparisonData!A50,ComparisonData!$AY$1),0),5)</f>
        <v>0</v>
      </c>
      <c r="AZ50" s="46" cm="1">
        <f t="array" ref="AZ50">ROUND(IFERROR(INDEX(ArchiveResults!$F$5:$IX$116,ComparisonData!A50,ComparisonData!$AZ$1),0),5)</f>
        <v>0</v>
      </c>
      <c r="BA50" s="46" cm="1">
        <f t="array" ref="BA50">ROUND(IFERROR(INDEX(ArchiveResults!$F$5:$IX$116,ComparisonData!A50,ComparisonData!$BA$1),0),5)</f>
        <v>0</v>
      </c>
      <c r="BB50" s="56">
        <v>45</v>
      </c>
      <c r="BC50" s="53" t="str">
        <f t="shared" si="539"/>
        <v>King's College London</v>
      </c>
      <c r="BD50" s="60">
        <f t="shared" si="131"/>
        <v>0</v>
      </c>
      <c r="BE50" s="60">
        <f t="shared" si="132"/>
        <v>0</v>
      </c>
      <c r="BF50" s="60">
        <f t="shared" si="133"/>
        <v>0</v>
      </c>
      <c r="BG50" s="60">
        <f t="shared" si="134"/>
        <v>0</v>
      </c>
      <c r="BH50" s="60">
        <f t="shared" si="135"/>
        <v>0</v>
      </c>
      <c r="BI50" s="60">
        <f t="shared" si="136"/>
        <v>0</v>
      </c>
      <c r="BJ50" s="60">
        <f t="shared" si="137"/>
        <v>0</v>
      </c>
      <c r="BK50" s="60">
        <f t="shared" si="138"/>
        <v>0</v>
      </c>
      <c r="BL50" s="60">
        <f t="shared" si="139"/>
        <v>0</v>
      </c>
      <c r="BM50" s="59">
        <f t="shared" si="140"/>
        <v>0</v>
      </c>
      <c r="BN50" s="58">
        <f t="shared" si="141"/>
        <v>0</v>
      </c>
      <c r="BO50" s="45">
        <f t="shared" si="142"/>
        <v>98</v>
      </c>
      <c r="BP50" s="54">
        <f t="shared" si="540"/>
        <v>2.9289999999999998</v>
      </c>
      <c r="BQ50" s="45">
        <f t="shared" si="143"/>
        <v>1</v>
      </c>
      <c r="BR50" s="45">
        <f t="shared" si="144"/>
        <v>2</v>
      </c>
      <c r="BS50" s="46" cm="1">
        <f t="array" ref="BS50">ROUND(IFERROR(INDEX(ArchiveResults!$F$5:$IX$116,ComparisonData!A50,ComparisonData!$BS$1),0),5)</f>
        <v>0</v>
      </c>
      <c r="BT50" s="46" cm="1">
        <f t="array" ref="BT50">ROUND(IFERROR(INDEX(ArchiveResults!$F$5:$IX$116,ComparisonData!A50,ComparisonData!$BT$1),0),5)</f>
        <v>0</v>
      </c>
      <c r="BU50" s="46" cm="1">
        <f t="array" ref="BU50">ROUND(IFERROR(INDEX(ArchiveResults!$F$5:$IX$116,ComparisonData!A50,ComparisonData!$BU$1),0),5)</f>
        <v>0</v>
      </c>
      <c r="BV50" s="46" cm="1">
        <f t="array" ref="BV50">ROUND(IFERROR(INDEX(ArchiveResults!$F$5:$IX$116,ComparisonData!A50,ComparisonData!$BV$1),0),5)</f>
        <v>0</v>
      </c>
      <c r="BW50" s="46" cm="1">
        <f t="array" ref="BW50">ROUND(IFERROR(INDEX(ArchiveResults!$F$5:$IX$116,ComparisonData!A50,ComparisonData!$BW$1),0),5)</f>
        <v>0</v>
      </c>
      <c r="BX50" s="46" cm="1">
        <f t="array" ref="BX50">ROUND(IFERROR(INDEX(ArchiveResults!$F$5:$IX$116,ComparisonData!A50,ComparisonData!$BX$1),0),5)</f>
        <v>0</v>
      </c>
      <c r="BY50" s="56">
        <v>45</v>
      </c>
      <c r="BZ50" s="53" t="str">
        <f t="shared" si="541"/>
        <v>King's College London</v>
      </c>
      <c r="CA50" s="59">
        <f t="shared" si="145"/>
        <v>0</v>
      </c>
      <c r="CB50" s="59">
        <f t="shared" si="146"/>
        <v>0</v>
      </c>
      <c r="CC50" s="59">
        <f t="shared" si="147"/>
        <v>0</v>
      </c>
      <c r="CD50" s="59">
        <f t="shared" si="148"/>
        <v>0</v>
      </c>
      <c r="CE50" s="59">
        <f t="shared" si="149"/>
        <v>0</v>
      </c>
      <c r="CF50" s="59">
        <f t="shared" si="150"/>
        <v>0</v>
      </c>
      <c r="CG50" s="58">
        <f t="shared" si="151"/>
        <v>0</v>
      </c>
      <c r="CH50" s="45">
        <f t="shared" si="152"/>
        <v>98</v>
      </c>
      <c r="CI50" s="54">
        <f t="shared" si="542"/>
        <v>2.9289999999999998</v>
      </c>
      <c r="CJ50" s="45">
        <f t="shared" si="153"/>
        <v>1</v>
      </c>
      <c r="CK50" s="45">
        <f t="shared" si="154"/>
        <v>2</v>
      </c>
      <c r="CL50" s="46" cm="1">
        <f t="array" ref="CL50">ROUND(IFERROR(INDEX(ArchiveResults!$F$5:$IX$116,ComparisonData!A50,ComparisonData!$CL$1),0),5)</f>
        <v>0</v>
      </c>
      <c r="CM50" s="56">
        <v>45</v>
      </c>
      <c r="CN50" s="53" t="str">
        <f t="shared" si="543"/>
        <v>King's College London</v>
      </c>
      <c r="CO50" s="45">
        <f t="shared" si="155"/>
        <v>0</v>
      </c>
      <c r="CP50" s="58">
        <f t="shared" si="156"/>
        <v>0</v>
      </c>
      <c r="CQ50" s="45">
        <f t="shared" si="157"/>
        <v>98</v>
      </c>
      <c r="CR50" s="54">
        <f t="shared" si="544"/>
        <v>2.9289999999999998</v>
      </c>
      <c r="CS50" s="45">
        <f t="shared" si="158"/>
        <v>1</v>
      </c>
      <c r="CT50" s="45">
        <f t="shared" si="159"/>
        <v>2</v>
      </c>
      <c r="CU50" s="46" cm="1">
        <f t="array" ref="CU50">ROUND(IFERROR(INDEX(ArchiveResults!$F$5:$IX$116,ComparisonData!A50,ComparisonData!$CU$1),0),5)</f>
        <v>0</v>
      </c>
      <c r="CV50" s="56">
        <v>45</v>
      </c>
      <c r="CW50" s="53" t="str">
        <f t="shared" si="545"/>
        <v>King's College London</v>
      </c>
      <c r="CX50" s="45">
        <f t="shared" si="160"/>
        <v>0</v>
      </c>
      <c r="CY50" s="58">
        <f t="shared" si="161"/>
        <v>0</v>
      </c>
      <c r="CZ50" s="45">
        <f t="shared" si="162"/>
        <v>98</v>
      </c>
      <c r="DA50" s="54">
        <f t="shared" si="546"/>
        <v>2.9289999999999998</v>
      </c>
      <c r="DB50" s="45">
        <f t="shared" si="163"/>
        <v>1</v>
      </c>
      <c r="DC50" s="45">
        <f t="shared" si="164"/>
        <v>2</v>
      </c>
      <c r="DD50" s="46" cm="1">
        <f t="array" ref="DD50">ROUND(IFERROR(INDEX(ArchiveResults!$F$5:$IX$116,ComparisonData!A50,ComparisonData!$DD$1),0),5)</f>
        <v>0</v>
      </c>
      <c r="DE50" s="56">
        <v>45</v>
      </c>
      <c r="DF50" s="53" t="str">
        <f t="shared" si="547"/>
        <v>King's College London</v>
      </c>
      <c r="DG50" s="45">
        <f t="shared" si="165"/>
        <v>0</v>
      </c>
      <c r="DH50" s="58">
        <f t="shared" si="166"/>
        <v>0</v>
      </c>
      <c r="DI50" s="45">
        <f t="shared" si="167"/>
        <v>98</v>
      </c>
      <c r="DJ50" s="54">
        <f t="shared" si="548"/>
        <v>2.9289999999999998</v>
      </c>
      <c r="DK50" s="45">
        <f t="shared" si="168"/>
        <v>1</v>
      </c>
      <c r="DL50" s="45">
        <f t="shared" si="169"/>
        <v>2</v>
      </c>
      <c r="DM50" s="46" cm="1">
        <f t="array" ref="DM50">ROUND(IFERROR(INDEX(ArchiveResults!$F$5:$IX$116,ComparisonData!A50,ComparisonData!$DM$1),0),5)</f>
        <v>0</v>
      </c>
      <c r="DN50" s="46" cm="1">
        <f t="array" ref="DN50">ROUND(IFERROR(INDEX(ArchiveResults!$F$5:$IX$116,ComparisonData!A50,ComparisonData!$DN$1),0),5)</f>
        <v>0</v>
      </c>
      <c r="DO50" s="46" cm="1">
        <f t="array" ref="DO50">ROUND(IFERROR(INDEX(ArchiveResults!$F$5:$IX$116,ComparisonData!A50,ComparisonData!$DO$1),0),5)</f>
        <v>0</v>
      </c>
      <c r="DP50" s="46" cm="1">
        <f t="array" ref="DP50">ROUND(IFERROR(INDEX(ArchiveResults!$F$5:$IX$116,ComparisonData!A50,ComparisonData!$DP$1),0),5)</f>
        <v>0</v>
      </c>
      <c r="DQ50" s="45" cm="1">
        <f t="array" ref="DQ50">IFERROR(INDEX(ArchiveResults!$F$5:$IX$116,ComparisonData!A50,ComparisonData!$DQ$1),0)</f>
        <v>0</v>
      </c>
      <c r="DR50" s="56">
        <v>45</v>
      </c>
      <c r="DS50" s="53" t="str">
        <f t="shared" si="549"/>
        <v>King's College London</v>
      </c>
      <c r="DT50" s="59">
        <f t="shared" si="170"/>
        <v>0</v>
      </c>
      <c r="DU50" s="59">
        <f t="shared" si="171"/>
        <v>0</v>
      </c>
      <c r="DV50" s="59">
        <f t="shared" si="172"/>
        <v>0</v>
      </c>
      <c r="DW50" s="59">
        <f t="shared" si="173"/>
        <v>0</v>
      </c>
      <c r="DX50" s="59">
        <f t="shared" si="174"/>
        <v>0</v>
      </c>
      <c r="DY50" s="58">
        <f t="shared" si="175"/>
        <v>0</v>
      </c>
      <c r="DZ50" s="45">
        <f t="shared" si="176"/>
        <v>98</v>
      </c>
      <c r="EA50" s="54">
        <f t="shared" si="550"/>
        <v>2.9289999999999998</v>
      </c>
      <c r="EB50" s="45">
        <f t="shared" si="177"/>
        <v>1</v>
      </c>
      <c r="EC50" s="45">
        <f t="shared" si="178"/>
        <v>2</v>
      </c>
      <c r="ED50" s="46" cm="1">
        <f t="array" ref="ED50">ROUND(IFERROR(INDEX(ArchiveResults!$F$5:$IX$116,ComparisonData!A50,ComparisonData!$ED$1),0),5)</f>
        <v>0</v>
      </c>
      <c r="EE50" s="46" cm="1">
        <f t="array" ref="EE50">ROUND(IFERROR(INDEX(ArchiveResults!$F$5:$IX$116,ComparisonData!A50,ComparisonData!$EE$1),0),5)</f>
        <v>0</v>
      </c>
      <c r="EF50" s="46" cm="1">
        <f t="array" ref="EF50">ROUND(IFERROR(INDEX(ArchiveResults!$F$5:$IX$116,ComparisonData!A50,ComparisonData!$EF$1),0),5)</f>
        <v>0</v>
      </c>
      <c r="EG50" s="46" cm="1">
        <f t="array" ref="EG50">ROUND(IFERROR(INDEX(ArchiveResults!$F$5:$IX$116,ComparisonData!A50,ComparisonData!$EG$1),0),5)</f>
        <v>0</v>
      </c>
      <c r="EH50" s="45" cm="1">
        <f t="array" ref="EH50">IFERROR(INDEX(ArchiveResults!$F$5:$IX$116,ComparisonData!A50,ComparisonData!$EH$1),0)</f>
        <v>0</v>
      </c>
      <c r="EI50" s="56">
        <v>45</v>
      </c>
      <c r="EJ50" s="53" t="str">
        <f t="shared" si="551"/>
        <v>King's College London</v>
      </c>
      <c r="EK50" s="59">
        <f t="shared" si="179"/>
        <v>0</v>
      </c>
      <c r="EL50" s="59">
        <f t="shared" si="180"/>
        <v>0</v>
      </c>
      <c r="EM50" s="59">
        <f t="shared" si="181"/>
        <v>0</v>
      </c>
      <c r="EN50" s="59">
        <f t="shared" si="182"/>
        <v>0</v>
      </c>
      <c r="EO50" s="59">
        <f t="shared" si="183"/>
        <v>0</v>
      </c>
      <c r="EP50" s="58">
        <f t="shared" si="184"/>
        <v>0</v>
      </c>
      <c r="EQ50" s="45">
        <f t="shared" si="185"/>
        <v>98</v>
      </c>
      <c r="ER50" s="54">
        <f t="shared" si="552"/>
        <v>2.9289999999999998</v>
      </c>
      <c r="ES50" s="45">
        <f t="shared" si="186"/>
        <v>1</v>
      </c>
      <c r="ET50" s="45">
        <f t="shared" si="187"/>
        <v>2</v>
      </c>
      <c r="EU50" s="46" cm="1">
        <f t="array" ref="EU50">ROUND(IFERROR(INDEX(ArchiveResults!$F$5:$IX$116,ComparisonData!A50,ComparisonData!$EU$1),0),5)</f>
        <v>0</v>
      </c>
      <c r="EV50" s="46" cm="1">
        <f t="array" ref="EV50">ROUND(IFERROR(INDEX(ArchiveResults!$F$5:$IX$116,ComparisonData!A50,ComparisonData!$EV$1),0),5)</f>
        <v>0</v>
      </c>
      <c r="EW50" s="46" cm="1">
        <f t="array" ref="EW50">ROUND(IFERROR(INDEX(ArchiveResults!$F$5:$IX$116,ComparisonData!A50,ComparisonData!$EW$1),0),5)</f>
        <v>0</v>
      </c>
      <c r="EX50" s="46" cm="1">
        <f t="array" ref="EX50">ROUND(IFERROR(INDEX(ArchiveResults!$F$5:$IX$116,ComparisonData!A50,ComparisonData!$EX$1),0),5)</f>
        <v>0</v>
      </c>
      <c r="EY50" s="45" cm="1">
        <f t="array" ref="EY50">IFERROR(INDEX(ArchiveResults!$F$5:$IX$116,ComparisonData!A50,ComparisonData!$EY$1),0)</f>
        <v>0</v>
      </c>
      <c r="EZ50" s="56">
        <v>45</v>
      </c>
      <c r="FA50" s="53" t="str">
        <f t="shared" si="553"/>
        <v>King's College London</v>
      </c>
      <c r="FB50" s="59">
        <f t="shared" si="188"/>
        <v>0</v>
      </c>
      <c r="FC50" s="59">
        <f t="shared" si="189"/>
        <v>0</v>
      </c>
      <c r="FD50" s="59">
        <f t="shared" si="190"/>
        <v>0</v>
      </c>
      <c r="FE50" s="59">
        <f t="shared" si="191"/>
        <v>0</v>
      </c>
      <c r="FF50" s="59">
        <f t="shared" si="192"/>
        <v>0</v>
      </c>
      <c r="FG50" s="58">
        <f t="shared" si="193"/>
        <v>0</v>
      </c>
      <c r="FH50" s="45">
        <f t="shared" si="194"/>
        <v>98</v>
      </c>
      <c r="FI50" s="54">
        <f t="shared" si="554"/>
        <v>2.9289999999999998</v>
      </c>
      <c r="FJ50" s="45">
        <f t="shared" si="195"/>
        <v>1</v>
      </c>
      <c r="FK50" s="45">
        <f t="shared" si="196"/>
        <v>2</v>
      </c>
      <c r="FL50" s="46" cm="1">
        <f t="array" ref="FL50">ROUND(IFERROR(INDEX(ArchiveResults!$F$5:$IX$116,ComparisonData!A50,ComparisonData!$FL$1),0),5)</f>
        <v>0</v>
      </c>
      <c r="FM50" s="46" cm="1">
        <f t="array" ref="FM50">ROUND(IFERROR(INDEX(ArchiveResults!$F$5:$IX$116,ComparisonData!A50,ComparisonData!$FM$1),0),5)</f>
        <v>0</v>
      </c>
      <c r="FN50" s="46" cm="1">
        <f t="array" ref="FN50">ROUND(IFERROR(INDEX(ArchiveResults!$F$5:$IX$116,ComparisonData!A50,ComparisonData!$FN$1),0),5)</f>
        <v>0</v>
      </c>
      <c r="FO50" s="46" cm="1">
        <f t="array" ref="FO50">ROUND(IFERROR(INDEX(ArchiveResults!$F$5:$IX$116,ComparisonData!A50,ComparisonData!$FO$1),0),5)</f>
        <v>0</v>
      </c>
      <c r="FP50" s="45" cm="1">
        <f t="array" ref="FP50">IFERROR(INDEX(ArchiveResults!$F$5:$IX$116,ComparisonData!A50,ComparisonData!$FP$1),0)</f>
        <v>0</v>
      </c>
      <c r="FQ50" s="56">
        <v>45</v>
      </c>
      <c r="FR50" s="53" t="str">
        <f t="shared" si="555"/>
        <v>King's College London</v>
      </c>
      <c r="FS50" s="59">
        <f t="shared" si="197"/>
        <v>0</v>
      </c>
      <c r="FT50" s="59">
        <f t="shared" si="198"/>
        <v>0</v>
      </c>
      <c r="FU50" s="59">
        <f t="shared" si="199"/>
        <v>0</v>
      </c>
      <c r="FV50" s="59">
        <f t="shared" si="200"/>
        <v>0</v>
      </c>
      <c r="FW50" s="59">
        <f t="shared" si="201"/>
        <v>0</v>
      </c>
      <c r="FX50" s="58">
        <f t="shared" si="202"/>
        <v>0</v>
      </c>
      <c r="FY50" s="45">
        <f t="shared" si="203"/>
        <v>98</v>
      </c>
      <c r="FZ50" s="45">
        <f t="shared" si="556"/>
        <v>2.9289999999999998</v>
      </c>
      <c r="GA50" s="45">
        <f t="shared" si="204"/>
        <v>1</v>
      </c>
      <c r="GB50" s="45">
        <f t="shared" si="205"/>
        <v>2</v>
      </c>
      <c r="GC50" s="46" cm="1">
        <f t="array" ref="GC50">ROUND(IFERROR(INDEX(ArchiveResults!$F$5:$IX$116,ComparisonData!A50,ComparisonData!$GC$1),0),5)</f>
        <v>0</v>
      </c>
      <c r="GD50" s="46" cm="1">
        <f t="array" ref="GD50">ROUND(IFERROR(INDEX(ArchiveResults!$F$5:$IX$116,ComparisonData!A50,ComparisonData!$GD$1),0),5)</f>
        <v>0</v>
      </c>
      <c r="GE50" s="46" cm="1">
        <f t="array" ref="GE50">ROUND(IFERROR(INDEX(ArchiveResults!$F$5:$IX$116,ComparisonData!A50,ComparisonData!$GE$1),0),5)</f>
        <v>0</v>
      </c>
      <c r="GF50" s="46" cm="1">
        <f t="array" ref="GF50">ROUND(IFERROR(INDEX(ArchiveResults!$F$5:$IX$116,ComparisonData!A50,ComparisonData!$GF$1),0),5)</f>
        <v>0</v>
      </c>
      <c r="GG50" s="45" cm="1">
        <f t="array" ref="GG50">IFERROR(INDEX(ArchiveResults!$F$5:$IX$116,ComparisonData!A50,ComparisonData!$GG$1),0)</f>
        <v>0</v>
      </c>
      <c r="GH50" s="56">
        <v>45</v>
      </c>
      <c r="GI50" s="53" t="str">
        <f t="shared" si="557"/>
        <v>King's College London</v>
      </c>
      <c r="GJ50" s="59">
        <f t="shared" si="206"/>
        <v>0</v>
      </c>
      <c r="GK50" s="59">
        <f t="shared" si="207"/>
        <v>0</v>
      </c>
      <c r="GL50" s="59">
        <f t="shared" si="208"/>
        <v>0</v>
      </c>
      <c r="GM50" s="59">
        <f t="shared" si="209"/>
        <v>0</v>
      </c>
      <c r="GN50" s="59">
        <f t="shared" si="210"/>
        <v>0</v>
      </c>
      <c r="GO50" s="58">
        <f t="shared" si="211"/>
        <v>0</v>
      </c>
      <c r="GP50" s="45">
        <f t="shared" si="212"/>
        <v>98</v>
      </c>
      <c r="GQ50" s="45">
        <f t="shared" si="558"/>
        <v>2.9289999999999998</v>
      </c>
      <c r="GR50" s="45">
        <f t="shared" si="213"/>
        <v>1</v>
      </c>
      <c r="GS50" s="45">
        <f t="shared" si="214"/>
        <v>2</v>
      </c>
      <c r="GT50" s="46" cm="1">
        <f t="array" ref="GT50">ROUND(IFERROR(INDEX(ArchiveResults!$F$5:$IX$116,ComparisonData!A50,ComparisonData!$GT$1),0),5)</f>
        <v>0</v>
      </c>
      <c r="GU50" s="46" cm="1">
        <f t="array" ref="GU50">ROUND(IFERROR(INDEX(ArchiveResults!$F$5:$IX$116,ComparisonData!A50,ComparisonData!$GU$1),0),5)</f>
        <v>0</v>
      </c>
      <c r="GV50" s="46" cm="1">
        <f t="array" ref="GV50">ROUND(IFERROR(INDEX(ArchiveResults!$F$5:$IX$116,ComparisonData!A50,ComparisonData!$GV$1),0),5)</f>
        <v>0</v>
      </c>
      <c r="GW50" s="46" cm="1">
        <f t="array" ref="GW50">ROUND(IFERROR(INDEX(ArchiveResults!$F$5:$IX$116,ComparisonData!A50,ComparisonData!$GW$1),0),5)</f>
        <v>0</v>
      </c>
      <c r="GX50" s="45" cm="1">
        <f t="array" ref="GX50">IFERROR(INDEX(ArchiveResults!$F$5:$IX$116,ComparisonData!A50,ComparisonData!$GX$1),0)</f>
        <v>0</v>
      </c>
      <c r="GY50" s="56">
        <v>45</v>
      </c>
      <c r="GZ50" s="53" t="str">
        <f t="shared" si="559"/>
        <v>King's College London</v>
      </c>
      <c r="HA50" s="59">
        <f t="shared" si="215"/>
        <v>0</v>
      </c>
      <c r="HB50" s="59">
        <f t="shared" si="216"/>
        <v>0</v>
      </c>
      <c r="HC50" s="59">
        <f t="shared" si="217"/>
        <v>0</v>
      </c>
      <c r="HD50" s="59">
        <f t="shared" si="218"/>
        <v>0</v>
      </c>
      <c r="HE50" s="59">
        <f t="shared" si="219"/>
        <v>0</v>
      </c>
      <c r="HF50" s="58">
        <f t="shared" si="220"/>
        <v>0</v>
      </c>
      <c r="HG50" s="45">
        <f t="shared" si="221"/>
        <v>98</v>
      </c>
      <c r="HH50" s="45">
        <f t="shared" si="560"/>
        <v>2.9289999999999998</v>
      </c>
      <c r="HI50" s="45">
        <f t="shared" si="222"/>
        <v>1</v>
      </c>
      <c r="HJ50" s="45">
        <f t="shared" si="223"/>
        <v>2</v>
      </c>
      <c r="HK50" s="46" cm="1">
        <f t="array" ref="HK50">ROUND(IFERROR(INDEX(ArchiveResults!$F$5:$IX$116,ComparisonData!A50,ComparisonData!$HK$1),0),5)</f>
        <v>0</v>
      </c>
      <c r="HL50" s="46" cm="1">
        <f t="array" ref="HL50">ROUND(IFERROR(INDEX(ArchiveResults!$F$5:$IX$116,ComparisonData!A50,ComparisonData!$HL$1),0),5)</f>
        <v>0</v>
      </c>
      <c r="HM50" s="46" cm="1">
        <f t="array" ref="HM50">ROUND(IFERROR(INDEX(ArchiveResults!$F$5:$IX$116,ComparisonData!A50,ComparisonData!$HM$1),0),5)</f>
        <v>0</v>
      </c>
      <c r="HN50" s="46" cm="1">
        <f t="array" ref="HN50">ROUND(IFERROR(INDEX(ArchiveResults!$F$5:$IX$116,ComparisonData!A50,ComparisonData!$HN$1),0),5)</f>
        <v>0</v>
      </c>
      <c r="HO50" s="45" cm="1">
        <f t="array" ref="HO50">IFERROR(INDEX(ArchiveResults!$F$5:$IX$116,ComparisonData!A50,ComparisonData!$HO$1),0)</f>
        <v>0</v>
      </c>
      <c r="HP50" s="56">
        <v>45</v>
      </c>
      <c r="HQ50" s="53" t="str">
        <f t="shared" si="561"/>
        <v>King's College London</v>
      </c>
      <c r="HR50" s="59">
        <f t="shared" si="562"/>
        <v>0</v>
      </c>
      <c r="HS50" s="59">
        <f t="shared" si="563"/>
        <v>0</v>
      </c>
      <c r="HT50" s="59">
        <f t="shared" si="564"/>
        <v>0</v>
      </c>
      <c r="HU50" s="59">
        <f t="shared" si="565"/>
        <v>0</v>
      </c>
      <c r="HV50" s="59">
        <f t="shared" si="566"/>
        <v>0</v>
      </c>
      <c r="HW50" s="58">
        <f t="shared" si="224"/>
        <v>0</v>
      </c>
      <c r="HX50" s="45">
        <f t="shared" si="225"/>
        <v>98</v>
      </c>
      <c r="HY50" s="45">
        <f t="shared" si="567"/>
        <v>2.9289999999999998</v>
      </c>
      <c r="HZ50" s="45">
        <f t="shared" si="226"/>
        <v>1</v>
      </c>
      <c r="IA50" s="45">
        <f t="shared" si="227"/>
        <v>2</v>
      </c>
      <c r="IB50" s="45">
        <f t="shared" si="228"/>
        <v>0</v>
      </c>
      <c r="IC50" s="46" cm="1">
        <f t="array" ref="IC50">ROUND(IFERROR(INDEX(ArchiveResults!$F$5:$IX$116,ComparisonData!A50,ComparisonData!$IC$1),0),5)</f>
        <v>0</v>
      </c>
      <c r="ID50" s="46" cm="1">
        <f t="array" ref="ID50">ROUND(IFERROR(INDEX(ArchiveResults!$F$5:$IX$116,ComparisonData!A50,ComparisonData!$ID$1),0),5)</f>
        <v>0</v>
      </c>
      <c r="IE50" s="46" cm="1">
        <f t="array" ref="IE50">ROUND(IFERROR(INDEX(ArchiveResults!$F$5:$IX$116,ComparisonData!A50,ComparisonData!$IE$1),0),5)</f>
        <v>0</v>
      </c>
      <c r="IF50" s="46" cm="1">
        <f t="array" ref="IF50">ROUND(IFERROR(INDEX(ArchiveResults!$F$5:$IX$116,ComparisonData!A50,ComparisonData!$IF$1),0),5)</f>
        <v>0</v>
      </c>
      <c r="IG50" s="45" cm="1">
        <f t="array" ref="IG50">IFERROR(INDEX(ArchiveResults!$F$5:$IX$116,ComparisonData!A50,ComparisonData!$IG$1),0)</f>
        <v>0</v>
      </c>
      <c r="IH50" s="56">
        <v>45</v>
      </c>
      <c r="II50" s="53" t="str">
        <f t="shared" si="568"/>
        <v>King's College London</v>
      </c>
      <c r="IJ50" s="59">
        <f t="shared" si="229"/>
        <v>0</v>
      </c>
      <c r="IK50" s="59">
        <f t="shared" si="230"/>
        <v>0</v>
      </c>
      <c r="IL50" s="59">
        <f t="shared" si="231"/>
        <v>0</v>
      </c>
      <c r="IM50" s="59">
        <f t="shared" si="232"/>
        <v>0</v>
      </c>
      <c r="IN50" s="59">
        <f t="shared" si="233"/>
        <v>0</v>
      </c>
      <c r="IO50" s="58">
        <f t="shared" si="234"/>
        <v>0</v>
      </c>
      <c r="IP50" s="45">
        <f t="shared" si="235"/>
        <v>98</v>
      </c>
      <c r="IQ50" s="45">
        <f t="shared" si="569"/>
        <v>2.9289999999999998</v>
      </c>
      <c r="IR50" s="45">
        <f t="shared" si="236"/>
        <v>1</v>
      </c>
      <c r="IS50" s="45">
        <f t="shared" si="237"/>
        <v>2</v>
      </c>
      <c r="IT50" s="46">
        <f t="shared" si="238"/>
        <v>0</v>
      </c>
      <c r="IU50" s="46" cm="1">
        <f t="array" ref="IU50">ROUND(IFERROR(INDEX(ArchiveResults!$F$5:$IX$116,ComparisonData!A50,ComparisonData!$IU$1),0),5)</f>
        <v>0</v>
      </c>
      <c r="IV50" s="46" cm="1">
        <f t="array" ref="IV50">ROUND(IFERROR(INDEX(ArchiveResults!$F$5:$IX$116,ComparisonData!A50,ComparisonData!$IV$1),0),5)</f>
        <v>0</v>
      </c>
      <c r="IW50" s="46" cm="1">
        <f t="array" ref="IW50">ROUND(IFERROR(INDEX(ArchiveResults!$F$5:$IX$116,ComparisonData!A50,ComparisonData!$IW$1),0),5)</f>
        <v>0</v>
      </c>
      <c r="IX50" s="46" cm="1">
        <f t="array" ref="IX50">ROUND(IFERROR(INDEX(ArchiveResults!$F$5:$IX$116,ComparisonData!A50,ComparisonData!$IX$1),0),5)</f>
        <v>0</v>
      </c>
      <c r="IY50" s="45" cm="1">
        <f t="array" ref="IY50">IFERROR(INDEX(ArchiveResults!$F$5:$IX$116,ComparisonData!A50,ComparisonData!$IY$1),0)</f>
        <v>0</v>
      </c>
      <c r="IZ50" s="56">
        <v>45</v>
      </c>
      <c r="JA50" s="53" t="str">
        <f t="shared" si="570"/>
        <v>King's College London</v>
      </c>
      <c r="JB50" s="59">
        <f t="shared" si="239"/>
        <v>0</v>
      </c>
      <c r="JC50" s="59">
        <f t="shared" si="240"/>
        <v>0</v>
      </c>
      <c r="JD50" s="59">
        <f t="shared" si="241"/>
        <v>0</v>
      </c>
      <c r="JE50" s="59">
        <f t="shared" si="242"/>
        <v>0</v>
      </c>
      <c r="JF50" s="59">
        <f t="shared" si="243"/>
        <v>0</v>
      </c>
      <c r="JG50" s="58">
        <f t="shared" si="244"/>
        <v>0</v>
      </c>
      <c r="JH50" s="45">
        <f t="shared" si="245"/>
        <v>98</v>
      </c>
      <c r="JI50" s="45">
        <f t="shared" si="571"/>
        <v>2.9289999999999998</v>
      </c>
      <c r="JJ50" s="45">
        <f t="shared" si="246"/>
        <v>1</v>
      </c>
      <c r="JK50" s="45">
        <f t="shared" si="247"/>
        <v>2</v>
      </c>
      <c r="JL50" s="45">
        <f t="shared" si="248"/>
        <v>0</v>
      </c>
      <c r="JM50" s="46" cm="1">
        <f t="array" ref="JM50">ROUND(IFERROR(INDEX(ArchiveResults!$F$5:$IX$116,ComparisonData!A50,ComparisonData!$JM$1),0),5)</f>
        <v>0</v>
      </c>
      <c r="JN50" s="46" cm="1">
        <f t="array" ref="JN50">ROUND(IFERROR(INDEX(ArchiveResults!$F$5:$IX$116,ComparisonData!A50,ComparisonData!$JN$1),0),5)</f>
        <v>0</v>
      </c>
      <c r="JO50" s="46" cm="1">
        <f t="array" ref="JO50">ROUND(IFERROR(INDEX(ArchiveResults!$F$5:$IX$116,ComparisonData!A50,ComparisonData!$JO$1),0),5)</f>
        <v>0</v>
      </c>
      <c r="JP50" s="46" cm="1">
        <f t="array" ref="JP50">ROUND(IFERROR(INDEX(ArchiveResults!$F$5:$IX$116,ComparisonData!A50,ComparisonData!$JP$1),0),5)</f>
        <v>0</v>
      </c>
      <c r="JQ50" s="45" cm="1">
        <f t="array" ref="JQ50">IFERROR(INDEX(ArchiveResults!$F$5:$IX$116,ComparisonData!A50,ComparisonData!$JQ$1),0)</f>
        <v>0</v>
      </c>
      <c r="JR50" s="56">
        <v>45</v>
      </c>
      <c r="JS50" s="53" t="str">
        <f t="shared" si="572"/>
        <v>King's College London</v>
      </c>
      <c r="JT50" s="59">
        <f t="shared" si="249"/>
        <v>0</v>
      </c>
      <c r="JU50" s="59">
        <f t="shared" si="250"/>
        <v>0</v>
      </c>
      <c r="JV50" s="59">
        <f t="shared" si="251"/>
        <v>0</v>
      </c>
      <c r="JW50" s="59">
        <f t="shared" si="252"/>
        <v>0</v>
      </c>
      <c r="JX50" s="59">
        <f t="shared" si="253"/>
        <v>0</v>
      </c>
      <c r="JY50" s="58">
        <f t="shared" si="254"/>
        <v>0</v>
      </c>
      <c r="JZ50" s="45">
        <f t="shared" si="255"/>
        <v>98</v>
      </c>
      <c r="KA50" s="45">
        <f t="shared" si="573"/>
        <v>2.9289999999999998</v>
      </c>
      <c r="KB50" s="45">
        <f t="shared" si="256"/>
        <v>1</v>
      </c>
      <c r="KC50" s="45">
        <f t="shared" si="257"/>
        <v>2</v>
      </c>
      <c r="KD50" s="45">
        <f t="shared" si="258"/>
        <v>0</v>
      </c>
      <c r="KE50" s="46" cm="1">
        <f t="array" ref="KE50">ROUND(IFERROR(INDEX(ArchiveResults!$F$5:$IX$116,ComparisonData!A50,ComparisonData!$KE$1),0),5)</f>
        <v>0</v>
      </c>
      <c r="KF50" s="46" cm="1">
        <f t="array" ref="KF50">ROUND(IFERROR(INDEX(ArchiveResults!$F$5:$IX$116,ComparisonData!A50,ComparisonData!$KF$1),0),5)</f>
        <v>0</v>
      </c>
      <c r="KG50" s="46" cm="1">
        <f t="array" ref="KG50">ROUND(IFERROR(INDEX(ArchiveResults!$F$5:$IX$116,ComparisonData!A50,ComparisonData!$KG$1),0),5)</f>
        <v>0</v>
      </c>
      <c r="KH50" s="46" cm="1">
        <f t="array" ref="KH50">ROUND(IFERROR(INDEX(ArchiveResults!$F$5:$IX$116,ComparisonData!A50,ComparisonData!$KH$1),0),5)</f>
        <v>0</v>
      </c>
      <c r="KI50" s="45" cm="1">
        <f t="array" ref="KI50">IFERROR(INDEX(ArchiveResults!$F$5:$IX$116,ComparisonData!A50,ComparisonData!$KI$1),0)</f>
        <v>0</v>
      </c>
      <c r="KJ50" s="56">
        <v>45</v>
      </c>
      <c r="KK50" s="53" t="str">
        <f t="shared" si="574"/>
        <v>King's College London</v>
      </c>
      <c r="KL50" s="59">
        <f t="shared" si="259"/>
        <v>0</v>
      </c>
      <c r="KM50" s="59">
        <f t="shared" si="260"/>
        <v>0</v>
      </c>
      <c r="KN50" s="59">
        <f t="shared" si="261"/>
        <v>0</v>
      </c>
      <c r="KO50" s="59">
        <f t="shared" si="262"/>
        <v>0</v>
      </c>
      <c r="KP50" s="59">
        <f t="shared" si="263"/>
        <v>0</v>
      </c>
      <c r="KQ50" s="58">
        <f t="shared" si="264"/>
        <v>0</v>
      </c>
      <c r="KR50" s="45">
        <f t="shared" si="265"/>
        <v>98</v>
      </c>
      <c r="KS50" s="45">
        <f t="shared" si="575"/>
        <v>2.9289999999999998</v>
      </c>
      <c r="KT50" s="45">
        <f t="shared" si="266"/>
        <v>1</v>
      </c>
      <c r="KU50" s="45">
        <f t="shared" si="267"/>
        <v>2</v>
      </c>
      <c r="KV50" s="45">
        <f t="shared" si="268"/>
        <v>0</v>
      </c>
      <c r="KW50" s="46" cm="1">
        <f t="array" ref="KW50">ROUND(IFERROR(INDEX(ArchiveResults!$F$5:$IX$116,ComparisonData!A50,ComparisonData!$KW$1),0),5)</f>
        <v>0</v>
      </c>
      <c r="KX50" s="46" cm="1">
        <f t="array" ref="KX50">ROUND(IFERROR(INDEX(ArchiveResults!$F$5:$IX$116,ComparisonData!A50,ComparisonData!$KX$1),0),5)</f>
        <v>0</v>
      </c>
      <c r="KY50" s="46" cm="1">
        <f t="array" ref="KY50">ROUND(IFERROR(INDEX(ArchiveResults!$F$5:$IX$116,ComparisonData!A50,ComparisonData!$KY$1),0),5)</f>
        <v>0</v>
      </c>
      <c r="KZ50" s="46" cm="1">
        <f t="array" ref="KZ50">ROUND(IFERROR(INDEX(ArchiveResults!$F$5:$IX$116,ComparisonData!A50,ComparisonData!$KZ$1),0),5)</f>
        <v>0</v>
      </c>
      <c r="LA50" s="45" cm="1">
        <f t="array" ref="LA50">IFERROR(INDEX(ArchiveResults!$F$5:$IX$116,ComparisonData!A50,ComparisonData!$LA$1),0)</f>
        <v>0</v>
      </c>
      <c r="LB50" s="56">
        <v>45</v>
      </c>
      <c r="LC50" s="53" t="str">
        <f t="shared" si="576"/>
        <v>King's College London</v>
      </c>
      <c r="LD50" s="59">
        <f t="shared" si="269"/>
        <v>0</v>
      </c>
      <c r="LE50" s="59">
        <f t="shared" si="270"/>
        <v>0</v>
      </c>
      <c r="LF50" s="59">
        <f t="shared" si="271"/>
        <v>0</v>
      </c>
      <c r="LG50" s="59">
        <f t="shared" si="272"/>
        <v>0</v>
      </c>
      <c r="LH50" s="59">
        <f t="shared" si="273"/>
        <v>0</v>
      </c>
      <c r="LI50" s="58">
        <f t="shared" si="274"/>
        <v>0</v>
      </c>
      <c r="LJ50" s="45">
        <f t="shared" si="275"/>
        <v>98</v>
      </c>
      <c r="LK50" s="45">
        <f t="shared" si="577"/>
        <v>2.9289999999999998</v>
      </c>
      <c r="LL50" s="45">
        <f t="shared" si="276"/>
        <v>1</v>
      </c>
      <c r="LM50" s="45">
        <f t="shared" si="277"/>
        <v>2</v>
      </c>
      <c r="LN50" s="45">
        <f t="shared" si="278"/>
        <v>0</v>
      </c>
      <c r="LO50" s="46" cm="1">
        <f t="array" ref="LO50">ROUND(IFERROR(INDEX(ArchiveResults!$F$5:$IX$116,ComparisonData!A50,ComparisonData!$LO$1),0),5)</f>
        <v>0</v>
      </c>
      <c r="LP50" s="46" cm="1">
        <f t="array" ref="LP50">ROUND(IFERROR(INDEX(ArchiveResults!$F$5:$IX$116,ComparisonData!A50,ComparisonData!$LP$1),0),5)</f>
        <v>0</v>
      </c>
      <c r="LQ50" s="46" cm="1">
        <f t="array" ref="LQ50">ROUND(IFERROR(INDEX(ArchiveResults!$F$5:$IX$116,ComparisonData!A50,ComparisonData!$LQ$1),0),5)</f>
        <v>0</v>
      </c>
      <c r="LR50" s="46" cm="1">
        <f t="array" ref="LR50">ROUND(IFERROR(INDEX(ArchiveResults!$F$5:$IX$116,ComparisonData!A50,ComparisonData!$LR$1),0),5)</f>
        <v>0</v>
      </c>
      <c r="LS50" s="45" cm="1">
        <f t="array" ref="LS50">IFERROR(INDEX(ArchiveResults!$F$5:$IX$116,ComparisonData!A50,ComparisonData!$LS$1),0)</f>
        <v>0</v>
      </c>
      <c r="LT50" s="56">
        <v>45</v>
      </c>
      <c r="LU50" s="53" t="str">
        <f t="shared" si="578"/>
        <v>King's College London</v>
      </c>
      <c r="LV50" s="59">
        <f t="shared" si="279"/>
        <v>0</v>
      </c>
      <c r="LW50" s="59">
        <f t="shared" si="280"/>
        <v>0</v>
      </c>
      <c r="LX50" s="59">
        <f t="shared" si="281"/>
        <v>0</v>
      </c>
      <c r="LY50" s="59">
        <f t="shared" si="282"/>
        <v>0</v>
      </c>
      <c r="LZ50" s="59">
        <f t="shared" si="283"/>
        <v>0</v>
      </c>
      <c r="MA50" s="58">
        <f t="shared" si="284"/>
        <v>0</v>
      </c>
      <c r="MB50" s="45">
        <f t="shared" si="285"/>
        <v>98</v>
      </c>
      <c r="MC50" s="45">
        <f t="shared" si="579"/>
        <v>2.9289999999999998</v>
      </c>
      <c r="MD50" s="45">
        <f t="shared" si="286"/>
        <v>1</v>
      </c>
      <c r="ME50" s="45">
        <f t="shared" si="287"/>
        <v>2</v>
      </c>
      <c r="MF50" s="45">
        <f t="shared" si="288"/>
        <v>0</v>
      </c>
      <c r="MG50" s="46" cm="1">
        <f t="array" ref="MG50">ROUND(IFERROR(INDEX(ArchiveResults!$F$5:$IX$116,ComparisonData!A50,ComparisonData!$MG$1),0),5)</f>
        <v>0</v>
      </c>
      <c r="MH50" s="46" cm="1">
        <f t="array" ref="MH50">ROUND(IFERROR(INDEX(ArchiveResults!$F$5:$IX$116,ComparisonData!A50,ComparisonData!$MH$1),0),5)</f>
        <v>0</v>
      </c>
      <c r="MI50" s="46" cm="1">
        <f t="array" ref="MI50">ROUND(IFERROR(INDEX(ArchiveResults!$F$5:$IX$116,ComparisonData!A50,ComparisonData!$MI$1),0),5)</f>
        <v>0</v>
      </c>
      <c r="MJ50" s="46" cm="1">
        <f t="array" ref="MJ50">ROUND(IFERROR(INDEX(ArchiveResults!$F$5:$IX$116,ComparisonData!A50,ComparisonData!$MJ$1),0),5)</f>
        <v>0</v>
      </c>
      <c r="MK50" s="45" cm="1">
        <f t="array" ref="MK50">IFERROR(INDEX(ArchiveResults!$F$5:$IX$116,ComparisonData!A50,ComparisonData!$MK$1),0)</f>
        <v>0</v>
      </c>
      <c r="ML50" s="56">
        <v>45</v>
      </c>
      <c r="MM50" s="53" t="str">
        <f t="shared" si="580"/>
        <v>King's College London</v>
      </c>
      <c r="MN50" s="59">
        <f t="shared" si="289"/>
        <v>0</v>
      </c>
      <c r="MO50" s="59">
        <f t="shared" si="290"/>
        <v>0</v>
      </c>
      <c r="MP50" s="59">
        <f t="shared" si="291"/>
        <v>0</v>
      </c>
      <c r="MQ50" s="59">
        <f t="shared" si="292"/>
        <v>0</v>
      </c>
      <c r="MR50" s="59">
        <f t="shared" si="293"/>
        <v>0</v>
      </c>
      <c r="MS50" s="58">
        <f t="shared" si="294"/>
        <v>0</v>
      </c>
      <c r="MT50" s="45">
        <f t="shared" si="295"/>
        <v>98</v>
      </c>
      <c r="MU50" s="45">
        <f t="shared" si="581"/>
        <v>2.9289999999999998</v>
      </c>
      <c r="MV50" s="45">
        <f t="shared" si="296"/>
        <v>1</v>
      </c>
      <c r="MW50" s="45">
        <f t="shared" si="297"/>
        <v>2</v>
      </c>
      <c r="MX50" s="45">
        <f t="shared" si="298"/>
        <v>0</v>
      </c>
      <c r="MY50" s="46" cm="1">
        <f t="array" ref="MY50">ROUND(IFERROR(INDEX(ArchiveResults!$F$5:$IX$116,ComparisonData!A50,ComparisonData!$MY$1),0),5)</f>
        <v>0</v>
      </c>
      <c r="MZ50" s="46" cm="1">
        <f t="array" ref="MZ50">ROUND(IFERROR(INDEX(ArchiveResults!$F$5:$IX$116,ComparisonData!A50,ComparisonData!$MZ$1),0),5)</f>
        <v>0</v>
      </c>
      <c r="NA50" s="46" cm="1">
        <f t="array" ref="NA50">ROUND(IFERROR(INDEX(ArchiveResults!$F$5:$IX$116,ComparisonData!A50,ComparisonData!$NA$1),0),5)</f>
        <v>0</v>
      </c>
      <c r="NB50" s="46" cm="1">
        <f t="array" ref="NB50">ROUND(IFERROR(INDEX(ArchiveResults!$F$5:$IX$116,ComparisonData!A50,ComparisonData!$NB$1),0),5)</f>
        <v>0</v>
      </c>
      <c r="NC50" s="45" cm="1">
        <f t="array" ref="NC50">IFERROR(INDEX(ArchiveResults!$F$5:$IX$116,ComparisonData!A50,ComparisonData!$NC$1),0)</f>
        <v>0</v>
      </c>
      <c r="ND50" s="56">
        <v>45</v>
      </c>
      <c r="NE50" s="53" t="str">
        <f t="shared" si="582"/>
        <v>King's College London</v>
      </c>
      <c r="NF50" s="59">
        <f t="shared" si="299"/>
        <v>0</v>
      </c>
      <c r="NG50" s="59">
        <f t="shared" si="300"/>
        <v>0</v>
      </c>
      <c r="NH50" s="59">
        <f t="shared" si="301"/>
        <v>0</v>
      </c>
      <c r="NI50" s="59">
        <f t="shared" si="302"/>
        <v>0</v>
      </c>
      <c r="NJ50" s="59">
        <f t="shared" si="303"/>
        <v>0</v>
      </c>
      <c r="NK50" s="58">
        <f t="shared" si="304"/>
        <v>0</v>
      </c>
      <c r="NL50" s="45">
        <f t="shared" si="305"/>
        <v>98</v>
      </c>
      <c r="NM50" s="45">
        <f t="shared" si="583"/>
        <v>2.9289999999999998</v>
      </c>
      <c r="NN50" s="45">
        <f t="shared" si="306"/>
        <v>1</v>
      </c>
      <c r="NO50" s="45">
        <f t="shared" si="307"/>
        <v>2</v>
      </c>
      <c r="NP50" s="46" cm="1">
        <f t="array" ref="NP50">ROUND(IFERROR(INDEX(ArchiveResults!$F$5:$IX$116,ComparisonData!A50,ComparisonData!$NP$1),0),5)</f>
        <v>0</v>
      </c>
      <c r="NQ50" s="46" cm="1">
        <f t="array" ref="NQ50">ROUND(IFERROR(INDEX(ArchiveResults!$F$5:$IX$116,ComparisonData!A50,ComparisonData!$NQ$1),0),5)</f>
        <v>0</v>
      </c>
      <c r="NR50" s="46" cm="1">
        <f t="array" ref="NR50">ROUND(IFERROR(INDEX(ArchiveResults!$F$5:$IX$116,ComparisonData!A50,ComparisonData!$NR$1),0),5)</f>
        <v>0</v>
      </c>
      <c r="NS50" s="46" cm="1">
        <f t="array" ref="NS50">ROUND(IFERROR(INDEX(ArchiveResults!$F$5:$IX$116,ComparisonData!A50,ComparisonData!$NS$1),0),5)</f>
        <v>0</v>
      </c>
      <c r="NT50" s="45" cm="1">
        <f t="array" ref="NT50">IFERROR(INDEX(ArchiveResults!$F$5:$IX$116,ComparisonData!A50,ComparisonData!$NT$1),0)</f>
        <v>0</v>
      </c>
      <c r="NU50" s="56">
        <v>45</v>
      </c>
      <c r="NV50" s="53" t="str">
        <f t="shared" si="584"/>
        <v>King's College London</v>
      </c>
      <c r="NW50" s="59">
        <f t="shared" si="308"/>
        <v>0</v>
      </c>
      <c r="NX50" s="59">
        <f t="shared" si="309"/>
        <v>0</v>
      </c>
      <c r="NY50" s="59">
        <f t="shared" si="310"/>
        <v>0</v>
      </c>
      <c r="NZ50" s="59">
        <f t="shared" si="311"/>
        <v>0</v>
      </c>
      <c r="OA50" s="59">
        <f t="shared" si="312"/>
        <v>0</v>
      </c>
      <c r="OB50" s="58">
        <f t="shared" si="313"/>
        <v>0</v>
      </c>
      <c r="OC50" s="45">
        <f t="shared" si="314"/>
        <v>98</v>
      </c>
      <c r="OD50" s="45">
        <f t="shared" si="585"/>
        <v>2.9289999999999998</v>
      </c>
      <c r="OE50" s="45">
        <f t="shared" si="315"/>
        <v>1</v>
      </c>
      <c r="OF50" s="45">
        <f t="shared" si="316"/>
        <v>2</v>
      </c>
      <c r="OG50" s="46">
        <f t="shared" si="317"/>
        <v>0</v>
      </c>
      <c r="OH50" s="46" cm="1">
        <f t="array" ref="OH50">ROUND(IFERROR(INDEX(ArchiveResults!$F$5:$IX$116,ComparisonData!A50,ComparisonData!$OH$1),0),5)</f>
        <v>0</v>
      </c>
      <c r="OI50" s="46" cm="1">
        <f t="array" ref="OI50">ROUND(IFERROR(INDEX(ArchiveResults!$F$5:$IX$116,ComparisonData!A50,ComparisonData!$OI$1),0),5)</f>
        <v>0</v>
      </c>
      <c r="OJ50" s="46" cm="1">
        <f t="array" ref="OJ50">ROUND(IFERROR(INDEX(ArchiveResults!$F$5:$IX$116,ComparisonData!A50,ComparisonData!$OJ$1),0),5)</f>
        <v>0</v>
      </c>
      <c r="OK50" s="46" cm="1">
        <f t="array" ref="OK50">ROUND(IFERROR(INDEX(ArchiveResults!$F$5:$IX$116,ComparisonData!A50,ComparisonData!$OK$1),0),5)</f>
        <v>0</v>
      </c>
      <c r="OL50" s="45" cm="1">
        <f t="array" ref="OL50">IFERROR(INDEX(ArchiveResults!$F$5:$IX$116,ComparisonData!A50,ComparisonData!$OL$1),0)</f>
        <v>0</v>
      </c>
      <c r="OM50" s="56">
        <v>45</v>
      </c>
      <c r="ON50" s="53" t="str">
        <f t="shared" si="586"/>
        <v>King's College London</v>
      </c>
      <c r="OO50" s="59">
        <f t="shared" si="318"/>
        <v>0</v>
      </c>
      <c r="OP50" s="59">
        <f t="shared" si="319"/>
        <v>0</v>
      </c>
      <c r="OQ50" s="59">
        <f t="shared" si="320"/>
        <v>0</v>
      </c>
      <c r="OR50" s="59">
        <f t="shared" si="321"/>
        <v>0</v>
      </c>
      <c r="OS50" s="59">
        <f t="shared" si="322"/>
        <v>0</v>
      </c>
      <c r="OT50" s="58">
        <f t="shared" si="323"/>
        <v>0</v>
      </c>
      <c r="OU50" s="45">
        <f t="shared" si="324"/>
        <v>98</v>
      </c>
      <c r="OV50" s="45">
        <f t="shared" si="587"/>
        <v>2.9289999999999998</v>
      </c>
      <c r="OW50" s="45">
        <f t="shared" si="325"/>
        <v>1</v>
      </c>
      <c r="OX50" s="45">
        <f t="shared" si="326"/>
        <v>2</v>
      </c>
      <c r="OY50" s="45">
        <f t="shared" si="327"/>
        <v>0</v>
      </c>
      <c r="OZ50" s="46" cm="1">
        <f t="array" ref="OZ50">ROUND(IFERROR(INDEX(ArchiveResults!$F$5:$IX$116,ComparisonData!A50,ComparisonData!$OZ$1),0),5)</f>
        <v>0</v>
      </c>
      <c r="PA50" s="46" cm="1">
        <f t="array" ref="PA50">ROUND(IFERROR(INDEX(ArchiveResults!$F$5:$IX$116,ComparisonData!A50,ComparisonData!$PA$1),0),5)</f>
        <v>0</v>
      </c>
      <c r="PB50" s="46" cm="1">
        <f t="array" ref="PB50">ROUND(IFERROR(INDEX(ArchiveResults!$F$5:$IX$116,ComparisonData!A50,ComparisonData!$PB$1),0),5)</f>
        <v>0</v>
      </c>
      <c r="PC50" s="46" cm="1">
        <f t="array" ref="PC50">ROUND(IFERROR(INDEX(ArchiveResults!$F$5:$IX$116,ComparisonData!A50,ComparisonData!$PC$1),0),5)</f>
        <v>0</v>
      </c>
      <c r="PD50" s="45" cm="1">
        <f t="array" ref="PD50">IFERROR(INDEX(ArchiveResults!$F$5:$IX$116,ComparisonData!A50,ComparisonData!$PD$1),0)</f>
        <v>0</v>
      </c>
      <c r="PE50" s="56">
        <v>45</v>
      </c>
      <c r="PF50" s="53" t="str">
        <f t="shared" si="588"/>
        <v>King's College London</v>
      </c>
      <c r="PG50" s="59">
        <f t="shared" si="328"/>
        <v>0</v>
      </c>
      <c r="PH50" s="59">
        <f t="shared" si="329"/>
        <v>0</v>
      </c>
      <c r="PI50" s="59">
        <f t="shared" si="330"/>
        <v>0</v>
      </c>
      <c r="PJ50" s="59">
        <f t="shared" si="331"/>
        <v>0</v>
      </c>
      <c r="PK50" s="59">
        <f t="shared" si="332"/>
        <v>0</v>
      </c>
      <c r="PL50" s="58">
        <f t="shared" si="333"/>
        <v>0</v>
      </c>
      <c r="PM50" s="45">
        <f t="shared" si="334"/>
        <v>98</v>
      </c>
      <c r="PN50" s="45">
        <f t="shared" si="589"/>
        <v>2.9289999999999998</v>
      </c>
      <c r="PO50" s="45">
        <f t="shared" si="335"/>
        <v>1</v>
      </c>
      <c r="PP50" s="45">
        <f t="shared" si="336"/>
        <v>2</v>
      </c>
      <c r="PQ50" s="45">
        <f t="shared" si="337"/>
        <v>0</v>
      </c>
      <c r="PR50" s="46" cm="1">
        <f t="array" ref="PR50">ROUND(IFERROR(INDEX(ArchiveResults!$F$5:$IX$116,ComparisonData!A50,ComparisonData!$PR$1),0),5)</f>
        <v>0</v>
      </c>
      <c r="PS50" s="46" cm="1">
        <f t="array" ref="PS50">ROUND(IFERROR(INDEX(ArchiveResults!$F$5:$IX$116,ComparisonData!A50,ComparisonData!$PS$1),0),5)</f>
        <v>0</v>
      </c>
      <c r="PT50" s="46" cm="1">
        <f t="array" ref="PT50">ROUND(IFERROR(INDEX(ArchiveResults!$F$5:$IX$116,ComparisonData!A50,ComparisonData!$PT$1),0),5)</f>
        <v>0</v>
      </c>
      <c r="PU50" s="46" cm="1">
        <f t="array" ref="PU50">ROUND(IFERROR(INDEX(ArchiveResults!$F$5:$IX$116,ComparisonData!A50,ComparisonData!$PU$1),0),5)</f>
        <v>0</v>
      </c>
      <c r="PV50" s="45" cm="1">
        <f t="array" ref="PV50">IFERROR(INDEX(ArchiveResults!$F$5:$IX$116,ComparisonData!A50,ComparisonData!$PV$1),0)</f>
        <v>0</v>
      </c>
      <c r="PW50" s="56">
        <v>45</v>
      </c>
      <c r="PX50" s="53" t="str">
        <f t="shared" si="590"/>
        <v>King's College London</v>
      </c>
      <c r="PY50" s="59">
        <f t="shared" si="338"/>
        <v>0</v>
      </c>
      <c r="PZ50" s="59">
        <f t="shared" si="339"/>
        <v>0</v>
      </c>
      <c r="QA50" s="59">
        <f t="shared" si="340"/>
        <v>0</v>
      </c>
      <c r="QB50" s="59">
        <f t="shared" si="341"/>
        <v>0</v>
      </c>
      <c r="QC50" s="59">
        <f t="shared" si="342"/>
        <v>0</v>
      </c>
      <c r="QD50" s="58">
        <f t="shared" si="343"/>
        <v>0</v>
      </c>
      <c r="QE50" s="45">
        <f t="shared" si="344"/>
        <v>98</v>
      </c>
      <c r="QF50" s="45">
        <f t="shared" si="591"/>
        <v>2.9289999999999998</v>
      </c>
      <c r="QG50" s="45">
        <f t="shared" si="345"/>
        <v>1</v>
      </c>
      <c r="QH50" s="45">
        <f t="shared" si="346"/>
        <v>2</v>
      </c>
      <c r="QI50" s="45">
        <f t="shared" si="347"/>
        <v>0</v>
      </c>
      <c r="QJ50" s="46" cm="1">
        <f t="array" ref="QJ50">ROUND(IFERROR(INDEX(ArchiveResults!$F$5:$IX$116,ComparisonData!A50,ComparisonData!$QJ$1),0),5)</f>
        <v>0</v>
      </c>
      <c r="QK50" s="46" cm="1">
        <f t="array" ref="QK50">ROUND(IFERROR(INDEX(ArchiveResults!$F$5:$IX$116,ComparisonData!A50,ComparisonData!$QK$1),0),5)</f>
        <v>0</v>
      </c>
      <c r="QL50" s="46" cm="1">
        <f t="array" ref="QL50">ROUND(IFERROR(INDEX(ArchiveResults!$F$5:$IX$116,ComparisonData!A50,ComparisonData!$QL$1),0),5)</f>
        <v>0</v>
      </c>
      <c r="QM50" s="46" cm="1">
        <f t="array" ref="QM50">ROUND(IFERROR(INDEX(ArchiveResults!$F$5:$IX$116,ComparisonData!A50,ComparisonData!$QM$1),0),5)</f>
        <v>0</v>
      </c>
      <c r="QN50" s="45" cm="1">
        <f t="array" ref="QN50">IFERROR(INDEX(ArchiveResults!$F$5:$IX$116,ComparisonData!A50,ComparisonData!$QN$1),0)</f>
        <v>0</v>
      </c>
      <c r="QO50" s="56">
        <v>45</v>
      </c>
      <c r="QP50" s="53" t="str">
        <f t="shared" si="592"/>
        <v>King's College London</v>
      </c>
      <c r="QQ50" s="59">
        <f t="shared" si="348"/>
        <v>0</v>
      </c>
      <c r="QR50" s="59">
        <f t="shared" si="349"/>
        <v>0</v>
      </c>
      <c r="QS50" s="59">
        <f t="shared" si="350"/>
        <v>0</v>
      </c>
      <c r="QT50" s="59">
        <f t="shared" si="351"/>
        <v>0</v>
      </c>
      <c r="QU50" s="59">
        <f t="shared" si="352"/>
        <v>0</v>
      </c>
      <c r="QV50" s="58">
        <f t="shared" si="353"/>
        <v>0</v>
      </c>
      <c r="QW50" s="45">
        <f t="shared" si="354"/>
        <v>98</v>
      </c>
      <c r="QX50" s="45">
        <f t="shared" si="593"/>
        <v>2.9289999999999998</v>
      </c>
      <c r="QY50" s="45">
        <f t="shared" si="355"/>
        <v>1</v>
      </c>
      <c r="QZ50" s="45">
        <f t="shared" si="356"/>
        <v>2</v>
      </c>
      <c r="RA50" s="45">
        <f t="shared" si="357"/>
        <v>0</v>
      </c>
      <c r="RB50" s="46" cm="1">
        <f t="array" ref="RB50">ROUND(IFERROR(INDEX(ArchiveResults!$F$5:$IX$116,ComparisonData!A50,ComparisonData!$RB$1),0),5)</f>
        <v>0</v>
      </c>
      <c r="RC50" s="46" cm="1">
        <f t="array" ref="RC50">ROUND(IFERROR(INDEX(ArchiveResults!$F$5:$IX$116,ComparisonData!A50,ComparisonData!$RC$1),0),5)</f>
        <v>0</v>
      </c>
      <c r="RD50" s="46" cm="1">
        <f t="array" ref="RD50">ROUND(IFERROR(INDEX(ArchiveResults!$F$5:$IX$116,ComparisonData!A50,ComparisonData!$RD$1),0),5)</f>
        <v>0</v>
      </c>
      <c r="RE50" s="46" cm="1">
        <f t="array" ref="RE50">ROUND(IFERROR(INDEX(ArchiveResults!$F$5:$IX$116,ComparisonData!A50,ComparisonData!$RE$1),0),5)</f>
        <v>0</v>
      </c>
      <c r="RF50" s="45" cm="1">
        <f t="array" ref="RF50">IFERROR(INDEX(ArchiveResults!$F$5:$IX$116,ComparisonData!A50,ComparisonData!$RF$1),0)</f>
        <v>0</v>
      </c>
      <c r="RG50" s="56">
        <v>45</v>
      </c>
      <c r="RH50" s="53" t="str">
        <f t="shared" si="594"/>
        <v>King's College London</v>
      </c>
      <c r="RI50" s="59">
        <f t="shared" si="358"/>
        <v>0</v>
      </c>
      <c r="RJ50" s="59">
        <f t="shared" si="359"/>
        <v>0</v>
      </c>
      <c r="RK50" s="59">
        <f t="shared" si="360"/>
        <v>0</v>
      </c>
      <c r="RL50" s="59">
        <f t="shared" si="361"/>
        <v>0</v>
      </c>
      <c r="RM50" s="59">
        <f t="shared" si="362"/>
        <v>0</v>
      </c>
      <c r="RN50" s="58">
        <f t="shared" si="363"/>
        <v>0</v>
      </c>
      <c r="RO50" s="45">
        <f t="shared" si="364"/>
        <v>98</v>
      </c>
      <c r="RP50" s="45">
        <f t="shared" si="595"/>
        <v>2.9289999999999998</v>
      </c>
      <c r="RQ50" s="45">
        <f t="shared" si="365"/>
        <v>1</v>
      </c>
      <c r="RR50" s="45">
        <f t="shared" si="366"/>
        <v>2</v>
      </c>
      <c r="RS50" s="45">
        <f t="shared" si="367"/>
        <v>0</v>
      </c>
      <c r="RT50" s="46" cm="1">
        <f t="array" ref="RT50">ROUND(IFERROR(INDEX(ArchiveResults!$F$5:$IX$116,ComparisonData!A50,ComparisonData!$RT$1),0),5)</f>
        <v>0</v>
      </c>
      <c r="RU50" s="46" cm="1">
        <f t="array" ref="RU50">ROUND(IFERROR(INDEX(ArchiveResults!$F$5:$IX$116,ComparisonData!A50,ComparisonData!$RU$1),0),5)</f>
        <v>0</v>
      </c>
      <c r="RV50" s="46" cm="1">
        <f t="array" ref="RV50">ROUND(IFERROR(INDEX(ArchiveResults!$F$5:$IX$116,ComparisonData!A50,ComparisonData!$RV$1),0),5)</f>
        <v>0</v>
      </c>
      <c r="RW50" s="46" cm="1">
        <f t="array" ref="RW50">ROUND(IFERROR(INDEX(ArchiveResults!$F$5:$IX$116,ComparisonData!A50,ComparisonData!$RW$1),0),5)</f>
        <v>0</v>
      </c>
      <c r="RX50" s="45" cm="1">
        <f t="array" ref="RX50">IFERROR(INDEX(ArchiveResults!$F$5:$IX$116,ComparisonData!A50,ComparisonData!$RX$1),0)</f>
        <v>0</v>
      </c>
      <c r="RY50" s="56">
        <v>45</v>
      </c>
      <c r="RZ50" s="53" t="str">
        <f t="shared" si="596"/>
        <v>King's College London</v>
      </c>
      <c r="SA50" s="59">
        <f t="shared" si="368"/>
        <v>0</v>
      </c>
      <c r="SB50" s="59">
        <f t="shared" si="369"/>
        <v>0</v>
      </c>
      <c r="SC50" s="59">
        <f t="shared" si="370"/>
        <v>0</v>
      </c>
      <c r="SD50" s="59">
        <f t="shared" si="371"/>
        <v>0</v>
      </c>
      <c r="SE50" s="59">
        <f t="shared" si="372"/>
        <v>0</v>
      </c>
      <c r="SF50" s="58">
        <f t="shared" si="373"/>
        <v>0</v>
      </c>
      <c r="SG50" s="45">
        <f t="shared" si="374"/>
        <v>98</v>
      </c>
      <c r="SH50" s="45">
        <f t="shared" si="597"/>
        <v>2.9289999999999998</v>
      </c>
      <c r="SI50" s="45">
        <f t="shared" si="375"/>
        <v>1</v>
      </c>
      <c r="SJ50" s="45">
        <f t="shared" si="376"/>
        <v>2</v>
      </c>
      <c r="SK50" s="45">
        <f t="shared" si="377"/>
        <v>0</v>
      </c>
      <c r="SL50" s="46" cm="1">
        <f t="array" ref="SL50">ROUND(IFERROR(INDEX(ArchiveResults!$F$5:$IX$116,ComparisonData!A50,ComparisonData!$SL$1),0),5)</f>
        <v>0</v>
      </c>
      <c r="SM50" s="46" cm="1">
        <f t="array" ref="SM50">ROUND(IFERROR(INDEX(ArchiveResults!$F$5:$IX$116,ComparisonData!A50,ComparisonData!$SM$1),0),5)</f>
        <v>0</v>
      </c>
      <c r="SN50" s="46" cm="1">
        <f t="array" ref="SN50">ROUND(IFERROR(INDEX(ArchiveResults!$F$5:$IX$116,ComparisonData!A50,ComparisonData!$SN$1),0),5)</f>
        <v>0</v>
      </c>
      <c r="SO50" s="46" cm="1">
        <f t="array" ref="SO50">ROUND(IFERROR(INDEX(ArchiveResults!$F$5:$IX$116,ComparisonData!A50,ComparisonData!$SO$1),0),5)</f>
        <v>0</v>
      </c>
      <c r="SP50" s="45" cm="1">
        <f t="array" ref="SP50">IFERROR(INDEX(ArchiveResults!$F$5:$IX$116,ComparisonData!A50,ComparisonData!$SP$1),0)</f>
        <v>0</v>
      </c>
      <c r="SQ50" s="56">
        <v>45</v>
      </c>
      <c r="SR50" s="53" t="str">
        <f t="shared" si="598"/>
        <v>King's College London</v>
      </c>
      <c r="SS50" s="59">
        <f t="shared" si="378"/>
        <v>0</v>
      </c>
      <c r="ST50" s="59">
        <f t="shared" si="379"/>
        <v>0</v>
      </c>
      <c r="SU50" s="59">
        <f t="shared" si="380"/>
        <v>0</v>
      </c>
      <c r="SV50" s="59">
        <f t="shared" si="381"/>
        <v>0</v>
      </c>
      <c r="SW50" s="59">
        <f t="shared" si="382"/>
        <v>0</v>
      </c>
      <c r="SX50" s="58">
        <f t="shared" si="383"/>
        <v>0</v>
      </c>
      <c r="SY50" s="45">
        <f t="shared" si="384"/>
        <v>98</v>
      </c>
      <c r="SZ50" s="45">
        <f t="shared" si="599"/>
        <v>2.9289999999999998</v>
      </c>
      <c r="TA50" s="45">
        <f t="shared" si="385"/>
        <v>1</v>
      </c>
      <c r="TB50" s="45">
        <f t="shared" si="386"/>
        <v>2</v>
      </c>
      <c r="TC50" s="45">
        <f t="shared" si="387"/>
        <v>0</v>
      </c>
      <c r="TD50" s="46" cm="1">
        <f t="array" ref="TD50">ROUND(IFERROR(INDEX(ArchiveResults!$F$5:$IX$116,ComparisonData!A50,ComparisonData!$TD$1),0),5)</f>
        <v>0</v>
      </c>
      <c r="TE50" s="46" cm="1">
        <f t="array" ref="TE50">ROUND(IFERROR(INDEX(ArchiveResults!$F$5:$IX$116,ComparisonData!A50,ComparisonData!$TE$1),0),5)</f>
        <v>0</v>
      </c>
      <c r="TF50" s="46" cm="1">
        <f t="array" ref="TF50">ROUND(IFERROR(INDEX(ArchiveResults!$F$5:$IX$116,ComparisonData!A50,ComparisonData!$TF$1),0),5)</f>
        <v>0</v>
      </c>
      <c r="TG50" s="46" cm="1">
        <f t="array" ref="TG50">ROUND(IFERROR(INDEX(ArchiveResults!$F$5:$IX$116,ComparisonData!A50,ComparisonData!$TG$1),0),5)</f>
        <v>0</v>
      </c>
      <c r="TH50" s="45" cm="1">
        <f t="array" ref="TH50">IFERROR(INDEX(ArchiveResults!$F$5:$IX$116,ComparisonData!A50,ComparisonData!$TH$1),0)</f>
        <v>0</v>
      </c>
      <c r="TI50" s="56">
        <v>45</v>
      </c>
      <c r="TJ50" s="53" t="str">
        <f t="shared" si="600"/>
        <v>King's College London</v>
      </c>
      <c r="TK50" s="59">
        <f t="shared" si="388"/>
        <v>0</v>
      </c>
      <c r="TL50" s="59">
        <f t="shared" si="389"/>
        <v>0</v>
      </c>
      <c r="TM50" s="59">
        <f t="shared" si="390"/>
        <v>0</v>
      </c>
      <c r="TN50" s="59">
        <f t="shared" si="391"/>
        <v>0</v>
      </c>
      <c r="TO50" s="59">
        <f t="shared" si="392"/>
        <v>0</v>
      </c>
      <c r="TP50" s="58">
        <f t="shared" si="393"/>
        <v>0</v>
      </c>
      <c r="TQ50" s="45">
        <f t="shared" si="394"/>
        <v>98</v>
      </c>
      <c r="TR50" s="45">
        <f t="shared" si="601"/>
        <v>2.9289999999999998</v>
      </c>
      <c r="TS50" s="45">
        <f t="shared" si="395"/>
        <v>1</v>
      </c>
      <c r="TT50" s="45">
        <f t="shared" si="396"/>
        <v>2</v>
      </c>
      <c r="TU50" s="45">
        <f t="shared" si="397"/>
        <v>0</v>
      </c>
      <c r="TV50" s="46" cm="1">
        <f t="array" ref="TV50">ROUND(IFERROR(INDEX(ArchiveResults!$F$5:$IX$116,ComparisonData!A50,ComparisonData!$TV$1),0),5)</f>
        <v>0</v>
      </c>
      <c r="TW50" s="46" cm="1">
        <f t="array" ref="TW50">ROUND(IFERROR(INDEX(ArchiveResults!$F$5:$IX$116,ComparisonData!A50,ComparisonData!$TW$1),0),5)</f>
        <v>0</v>
      </c>
      <c r="TX50" s="46" cm="1">
        <f t="array" ref="TX50">ROUND(IFERROR(INDEX(ArchiveResults!$F$5:$IX$116,ComparisonData!A50,ComparisonData!$TX$1),0),5)</f>
        <v>0</v>
      </c>
      <c r="TY50" s="46" cm="1">
        <f t="array" ref="TY50">ROUND(IFERROR(INDEX(ArchiveResults!$F$5:$IX$116,ComparisonData!A50,ComparisonData!$TY$1),0),5)</f>
        <v>0</v>
      </c>
      <c r="TZ50" s="45" cm="1">
        <f t="array" ref="TZ50">IFERROR(INDEX(ArchiveResults!$F$5:$IX$116,ComparisonData!A50,ComparisonData!$TZ$1),0)</f>
        <v>0</v>
      </c>
      <c r="UA50" s="56">
        <v>45</v>
      </c>
      <c r="UB50" s="53" t="str">
        <f t="shared" si="602"/>
        <v>King's College London</v>
      </c>
      <c r="UC50" s="60">
        <f t="shared" si="398"/>
        <v>0</v>
      </c>
      <c r="UD50" s="60">
        <f t="shared" si="399"/>
        <v>0</v>
      </c>
      <c r="UE50" s="60">
        <f t="shared" si="400"/>
        <v>0</v>
      </c>
      <c r="UF50" s="60">
        <f t="shared" si="401"/>
        <v>0</v>
      </c>
      <c r="UG50" s="60">
        <f t="shared" si="402"/>
        <v>0</v>
      </c>
      <c r="UH50" s="58">
        <f t="shared" si="403"/>
        <v>0</v>
      </c>
      <c r="UI50" s="46">
        <f t="shared" si="404"/>
        <v>98</v>
      </c>
      <c r="UJ50" s="46">
        <f t="shared" si="603"/>
        <v>2.9289999999999998</v>
      </c>
      <c r="UK50" s="46">
        <f t="shared" si="405"/>
        <v>1</v>
      </c>
      <c r="UL50" s="46">
        <f t="shared" si="406"/>
        <v>2</v>
      </c>
      <c r="UM50" s="46" cm="1">
        <f t="array" ref="UM50">ROUND(IFERROR(INDEX(ArchiveResults!$F$5:$IX$116,ComparisonData!A50,ComparisonData!$UM$1),0),5)</f>
        <v>0</v>
      </c>
      <c r="UN50" s="56">
        <v>45</v>
      </c>
      <c r="UO50" s="53" t="str">
        <f t="shared" si="604"/>
        <v>King's College London</v>
      </c>
      <c r="UP50" s="46">
        <f t="shared" si="407"/>
        <v>0</v>
      </c>
      <c r="UQ50" s="76">
        <f t="shared" si="408"/>
        <v>0</v>
      </c>
      <c r="UR50" s="46">
        <f t="shared" si="409"/>
        <v>98</v>
      </c>
      <c r="US50" s="46">
        <f t="shared" si="605"/>
        <v>2.9289999999999998</v>
      </c>
      <c r="UT50" s="46">
        <f t="shared" si="410"/>
        <v>1</v>
      </c>
      <c r="UU50" s="46">
        <f t="shared" si="411"/>
        <v>2</v>
      </c>
      <c r="UV50" s="46">
        <f t="shared" si="412"/>
        <v>0</v>
      </c>
      <c r="UW50" s="46" cm="1">
        <f t="array" ref="UW50">ROUND(IFERROR(INDEX(ArchiveResults!$F$5:$IX$116,ComparisonData!A50,ComparisonData!$UW$1),0),5)</f>
        <v>0</v>
      </c>
      <c r="UX50" s="46" cm="1">
        <f t="array" ref="UX50">ROUND(IFERROR(INDEX(ArchiveResults!$F$5:$IX$116,ComparisonData!A50,ComparisonData!$UX$1),0),5)</f>
        <v>0</v>
      </c>
      <c r="UY50" s="46" cm="1">
        <f t="array" ref="UY50">ROUND(IFERROR(INDEX(ArchiveResults!$F$5:$IX$116,ComparisonData!A50,ComparisonData!$UY$1),0),5)</f>
        <v>0</v>
      </c>
      <c r="UZ50" s="46" cm="1">
        <f t="array" ref="UZ50">ROUND(IFERROR(INDEX(ArchiveResults!$F$5:$IX$116,ComparisonData!A50,ComparisonData!$UZ$1),0),5)</f>
        <v>0</v>
      </c>
      <c r="VA50" s="46" cm="1">
        <f t="array" ref="VA50">ROUND(IFERROR(INDEX(ArchiveResults!$F$5:$IX$116,ComparisonData!A50,ComparisonData!$VA$1),0),5)</f>
        <v>0</v>
      </c>
      <c r="VB50" s="56">
        <v>45</v>
      </c>
      <c r="VC50" s="53" t="str">
        <f t="shared" si="606"/>
        <v>King's College London</v>
      </c>
      <c r="VD50" s="60">
        <f t="shared" si="413"/>
        <v>0</v>
      </c>
      <c r="VE50" s="60">
        <f t="shared" si="414"/>
        <v>0</v>
      </c>
      <c r="VF50" s="60">
        <f t="shared" si="415"/>
        <v>0</v>
      </c>
      <c r="VG50" s="60">
        <f t="shared" si="416"/>
        <v>0</v>
      </c>
      <c r="VH50" s="60">
        <f t="shared" si="417"/>
        <v>0</v>
      </c>
      <c r="VI50" s="76">
        <f t="shared" si="418"/>
        <v>0</v>
      </c>
      <c r="VJ50" s="46">
        <f t="shared" si="419"/>
        <v>98</v>
      </c>
      <c r="VK50" s="46">
        <f t="shared" si="607"/>
        <v>2.9289999999999998</v>
      </c>
      <c r="VL50" s="46">
        <f t="shared" si="420"/>
        <v>1</v>
      </c>
      <c r="VM50" s="46">
        <f t="shared" si="421"/>
        <v>2</v>
      </c>
      <c r="VN50" s="46" cm="1">
        <f t="array" ref="VN50">ROUND(IFERROR(INDEX(ArchiveResults!$F$5:$IX$116,ComparisonData!A50,ComparisonData!$VN$1),0),5)</f>
        <v>0</v>
      </c>
      <c r="VO50" s="46" cm="1">
        <f t="array" ref="VO50">ROUND(IFERROR(INDEX(ArchiveResults!$F$5:$IX$116,ComparisonData!A50,ComparisonData!$VO$1),0),5)</f>
        <v>0</v>
      </c>
      <c r="VP50" s="46" cm="1">
        <f t="array" ref="VP50">ROUND(IFERROR(INDEX(ArchiveResults!$F$5:$IX$116,ComparisonData!A50,ComparisonData!$VP$1),0),5)</f>
        <v>0</v>
      </c>
      <c r="VQ50" s="46" cm="1">
        <f t="array" ref="VQ50">ROUND(IFERROR(INDEX(ArchiveResults!$F$5:$IX$116,ComparisonData!A50,ComparisonData!$VQ$1),0),5)</f>
        <v>0</v>
      </c>
      <c r="VR50" s="56">
        <v>45</v>
      </c>
      <c r="VS50" s="53" t="str">
        <f t="shared" si="608"/>
        <v>King's College London</v>
      </c>
      <c r="VT50" s="60">
        <f t="shared" si="422"/>
        <v>0</v>
      </c>
      <c r="VU50" s="60">
        <f t="shared" si="423"/>
        <v>0</v>
      </c>
      <c r="VV50" s="60">
        <f t="shared" si="424"/>
        <v>0</v>
      </c>
      <c r="VW50" s="60">
        <f t="shared" si="425"/>
        <v>0</v>
      </c>
      <c r="VX50" s="76">
        <f t="shared" si="426"/>
        <v>0</v>
      </c>
      <c r="VY50" s="46">
        <f t="shared" si="427"/>
        <v>98</v>
      </c>
      <c r="VZ50" s="46">
        <f t="shared" si="609"/>
        <v>2.9289999999999998</v>
      </c>
      <c r="WA50" s="46">
        <f t="shared" si="428"/>
        <v>1</v>
      </c>
      <c r="WB50" s="46">
        <f t="shared" si="429"/>
        <v>2</v>
      </c>
      <c r="WC50" s="46" cm="1">
        <f t="array" ref="WC50">ROUND(IFERROR(INDEX(ArchiveResults!$F$5:$IX$116,ComparisonData!A50,ComparisonData!$WC$1),0),5)</f>
        <v>0</v>
      </c>
      <c r="WD50" s="56">
        <v>45</v>
      </c>
      <c r="WE50" s="53" t="str">
        <f t="shared" si="610"/>
        <v>King's College London</v>
      </c>
      <c r="WF50" s="46">
        <f t="shared" si="430"/>
        <v>0</v>
      </c>
      <c r="WG50" s="76">
        <f t="shared" si="431"/>
        <v>0</v>
      </c>
      <c r="WH50" s="46">
        <f t="shared" si="432"/>
        <v>98</v>
      </c>
      <c r="WI50" s="46">
        <f t="shared" si="611"/>
        <v>2.9289999999999998</v>
      </c>
      <c r="WJ50" s="46">
        <f t="shared" si="433"/>
        <v>1</v>
      </c>
      <c r="WK50" s="46">
        <f t="shared" si="434"/>
        <v>2</v>
      </c>
      <c r="WL50" s="46" cm="1">
        <f t="array" ref="WL50">ROUND(IFERROR(INDEX(ArchiveResults!$F$5:$IX$116,ComparisonData!A50,ComparisonData!$WL$1),0),5)</f>
        <v>0</v>
      </c>
      <c r="WM50" s="46" cm="1">
        <f t="array" ref="WM50">IFERROR(INDEX(ArchiveResults!$F$5:$IX$116,ComparisonData!A50,ComparisonData!$WM$1),0)</f>
        <v>0</v>
      </c>
      <c r="WN50" s="56">
        <v>45</v>
      </c>
      <c r="WO50" s="53" t="str">
        <f t="shared" si="612"/>
        <v>King's College London</v>
      </c>
      <c r="WP50" s="60">
        <f t="shared" si="435"/>
        <v>0</v>
      </c>
      <c r="WQ50" s="60">
        <f t="shared" si="436"/>
        <v>0</v>
      </c>
      <c r="WR50" s="76">
        <f t="shared" si="437"/>
        <v>0</v>
      </c>
      <c r="WS50" s="46">
        <f t="shared" si="438"/>
        <v>98</v>
      </c>
      <c r="WT50" s="46">
        <f t="shared" si="613"/>
        <v>2.9289999999999998</v>
      </c>
      <c r="WU50" s="46">
        <f t="shared" si="439"/>
        <v>1</v>
      </c>
      <c r="WV50" s="46">
        <f t="shared" si="440"/>
        <v>2</v>
      </c>
      <c r="WW50" s="46" cm="1">
        <f t="array" ref="WW50">ROUND(VALUE(IFERROR(INDEX(ArchiveResults!$F$5:$IX$116,ComparisonData!A50,ComparisonData!$WW$1),0)),5)</f>
        <v>0</v>
      </c>
      <c r="WX50" s="46" cm="1">
        <f t="array" ref="WX50">ROUND(IFERROR(INDEX(ArchiveResults!$F$5:$IX$116,ComparisonData!A50,ComparisonData!$WX$1),0),5)</f>
        <v>0</v>
      </c>
      <c r="WY50" s="56">
        <v>45</v>
      </c>
      <c r="WZ50" s="53" t="str">
        <f t="shared" si="614"/>
        <v>King's College London</v>
      </c>
      <c r="XA50" s="60">
        <f t="shared" si="615"/>
        <v>0</v>
      </c>
      <c r="XB50" s="60">
        <f t="shared" si="616"/>
        <v>0</v>
      </c>
      <c r="XC50" s="76">
        <f t="shared" si="441"/>
        <v>0</v>
      </c>
      <c r="XD50" s="46">
        <f t="shared" si="442"/>
        <v>98</v>
      </c>
      <c r="XE50" s="46">
        <f t="shared" si="617"/>
        <v>2.9289999999999998</v>
      </c>
      <c r="XF50" s="46">
        <f t="shared" si="443"/>
        <v>1</v>
      </c>
      <c r="XG50" s="46">
        <f t="shared" si="444"/>
        <v>2</v>
      </c>
      <c r="XH50" s="46" cm="1">
        <f t="array" ref="XH50">ROUND(VALUE(IFERROR(INDEX(ArchiveResults!$F$5:$IX$116,ComparisonData!A50,ComparisonData!$XH$1),0)),5)</f>
        <v>0</v>
      </c>
      <c r="XI50" s="46" cm="1">
        <f t="array" ref="XI50">ROUND(VALUE(IFERROR(INDEX(ArchiveResults!$F$5:$IX$116,ComparisonData!A50,ComparisonData!$XI$1),0)),5)</f>
        <v>0</v>
      </c>
      <c r="XJ50" s="56">
        <v>45</v>
      </c>
      <c r="XK50" s="53" t="str">
        <f t="shared" si="618"/>
        <v>King's College London</v>
      </c>
      <c r="XL50" s="60">
        <f t="shared" si="445"/>
        <v>0</v>
      </c>
      <c r="XM50" s="60">
        <f t="shared" si="446"/>
        <v>0</v>
      </c>
      <c r="XN50" s="76">
        <f t="shared" si="447"/>
        <v>0</v>
      </c>
      <c r="XO50" s="46">
        <f t="shared" si="448"/>
        <v>98</v>
      </c>
      <c r="XP50" s="46">
        <f t="shared" si="619"/>
        <v>2.9289999999999998</v>
      </c>
      <c r="XQ50" s="46">
        <f t="shared" si="449"/>
        <v>1</v>
      </c>
      <c r="XR50" s="46">
        <f t="shared" si="450"/>
        <v>2</v>
      </c>
      <c r="XS50" s="46" cm="1">
        <f t="array" ref="XS50">ROUND(VALUE(IFERROR(INDEX(ArchiveResults!$F$5:$IX$116,ComparisonData!A50,ComparisonData!$XS$1),0)),5)</f>
        <v>0</v>
      </c>
      <c r="XT50" s="46" cm="1">
        <f t="array" ref="XT50">ROUND(VALUE(IFERROR(INDEX(ArchiveResults!$F$5:$IX$116,ComparisonData!A50,ComparisonData!$XT$1),0)),5)</f>
        <v>0</v>
      </c>
      <c r="XU50" s="56">
        <v>45</v>
      </c>
      <c r="XV50" s="53" t="str">
        <f t="shared" si="620"/>
        <v>King's College London</v>
      </c>
      <c r="XW50" s="60">
        <f t="shared" si="451"/>
        <v>0</v>
      </c>
      <c r="XX50" s="60">
        <f t="shared" si="452"/>
        <v>0</v>
      </c>
      <c r="XY50" s="76">
        <f t="shared" si="453"/>
        <v>0</v>
      </c>
      <c r="XZ50" s="46">
        <f t="shared" si="454"/>
        <v>98</v>
      </c>
      <c r="YA50" s="46">
        <f t="shared" si="621"/>
        <v>2.9289999999999998</v>
      </c>
      <c r="YB50" s="46">
        <f t="shared" si="455"/>
        <v>1</v>
      </c>
      <c r="YC50" s="46">
        <f t="shared" si="456"/>
        <v>2</v>
      </c>
      <c r="YD50" s="46" cm="1">
        <f t="array" ref="YD50">ROUND(VALUE(IFERROR(INDEX(ArchiveResults!$F$5:$IX$116,ComparisonData!A50,ComparisonData!$YD$1),0)),5)</f>
        <v>0</v>
      </c>
      <c r="YE50" s="46" cm="1">
        <f t="array" ref="YE50">ROUND(VALUE(IFERROR(INDEX(ArchiveResults!$F$5:$IX$116,ComparisonData!A50,ComparisonData!$YE$1),0)),5)</f>
        <v>0</v>
      </c>
      <c r="YF50" s="56">
        <v>45</v>
      </c>
      <c r="YG50" s="53" t="str">
        <f t="shared" si="622"/>
        <v>King's College London</v>
      </c>
      <c r="YH50" s="60">
        <f t="shared" si="457"/>
        <v>0</v>
      </c>
      <c r="YI50" s="60">
        <f t="shared" si="458"/>
        <v>0</v>
      </c>
      <c r="YJ50" s="76">
        <f t="shared" si="459"/>
        <v>0</v>
      </c>
      <c r="YK50" s="46">
        <f t="shared" si="460"/>
        <v>98</v>
      </c>
      <c r="YL50" s="46">
        <f t="shared" si="623"/>
        <v>2.9289999999999998</v>
      </c>
      <c r="YM50" s="46">
        <f t="shared" si="461"/>
        <v>1</v>
      </c>
      <c r="YN50" s="46">
        <f t="shared" si="462"/>
        <v>2</v>
      </c>
      <c r="YO50" s="46" cm="1">
        <f t="array" ref="YO50">ROUND(VALUE(IFERROR(INDEX(ArchiveResults!$F$5:$IX$116,ComparisonData!A50,ComparisonData!$YO$1),0)),5)</f>
        <v>0</v>
      </c>
      <c r="YP50" s="46" cm="1">
        <f t="array" ref="YP50">ROUND(VALUE(IFERROR(INDEX(ArchiveResults!$F$5:$IX$116,ComparisonData!A50,ComparisonData!$YP$1),0)),5)</f>
        <v>0</v>
      </c>
      <c r="YQ50" s="56">
        <v>45</v>
      </c>
      <c r="YR50" s="53" t="str">
        <f t="shared" si="624"/>
        <v>King's College London</v>
      </c>
      <c r="YS50" s="60">
        <f t="shared" si="463"/>
        <v>0</v>
      </c>
      <c r="YT50" s="60">
        <f t="shared" si="464"/>
        <v>0</v>
      </c>
      <c r="YU50" s="76">
        <f t="shared" si="465"/>
        <v>0</v>
      </c>
      <c r="YV50" s="46">
        <f t="shared" si="466"/>
        <v>98</v>
      </c>
      <c r="YW50" s="46">
        <f t="shared" si="625"/>
        <v>2.9289999999999998</v>
      </c>
      <c r="YX50" s="46">
        <f t="shared" si="467"/>
        <v>1</v>
      </c>
      <c r="YY50" s="46">
        <f t="shared" si="468"/>
        <v>2</v>
      </c>
      <c r="YZ50" s="46">
        <f t="shared" si="469"/>
        <v>0</v>
      </c>
      <c r="ZA50" s="46" cm="1">
        <f t="array" ref="ZA50">ROUNDDOWN(VALUE(IFERROR(INDEX(ArchiveResults!$F$5:$IX$116,ComparisonData!A50,ComparisonData!$ZA$1),0)),5)</f>
        <v>0</v>
      </c>
      <c r="ZB50" s="46" cm="1">
        <f t="array" ref="ZB50">ROUNDDOWN(VALUE(IFERROR(INDEX(ArchiveResults!$F$5:$IX$116,ComparisonData!A50,ComparisonData!$ZB$1),0)),5)</f>
        <v>0</v>
      </c>
      <c r="ZC50" s="46" cm="1">
        <f t="array" ref="ZC50">ROUNDDOWN(VALUE(IFERROR(INDEX(ArchiveResults!$F$5:$IX$116,ComparisonData!A50,ComparisonData!$ZC$1),0)),5)</f>
        <v>0</v>
      </c>
      <c r="ZD50" s="46" cm="1">
        <f t="array" ref="ZD50">ROUNDDOWN(VALUE(IFERROR(INDEX(ArchiveResults!$F$5:$IX$116,ComparisonData!A50,ComparisonData!$ZD$1),0)),5)</f>
        <v>0</v>
      </c>
      <c r="ZE50" s="46" cm="1">
        <f t="array" ref="ZE50">ROUNDDOWN(VALUE(IFERROR(INDEX(ArchiveResults!$F$5:$IX$116,ComparisonData!A50,ComparisonData!$ZE$1),0)),5)</f>
        <v>0</v>
      </c>
      <c r="ZF50" s="56">
        <v>45</v>
      </c>
      <c r="ZG50" s="53" t="str">
        <f t="shared" si="626"/>
        <v>King's College London</v>
      </c>
      <c r="ZH50" s="60">
        <f t="shared" si="470"/>
        <v>0</v>
      </c>
      <c r="ZI50" s="60">
        <f t="shared" si="471"/>
        <v>0</v>
      </c>
      <c r="ZJ50" s="60">
        <f t="shared" si="472"/>
        <v>0</v>
      </c>
      <c r="ZK50" s="60">
        <f t="shared" si="473"/>
        <v>0</v>
      </c>
      <c r="ZL50" s="60">
        <f t="shared" si="474"/>
        <v>0</v>
      </c>
      <c r="ZM50" s="76">
        <f t="shared" si="475"/>
        <v>0</v>
      </c>
      <c r="ZN50" s="46">
        <f t="shared" si="476"/>
        <v>98</v>
      </c>
      <c r="ZO50" s="46">
        <f t="shared" si="627"/>
        <v>2.9289999999999998</v>
      </c>
      <c r="ZP50" s="46">
        <f t="shared" si="477"/>
        <v>1</v>
      </c>
      <c r="ZQ50" s="46">
        <f t="shared" si="478"/>
        <v>2</v>
      </c>
      <c r="ZR50" s="46" cm="1">
        <f t="array" ref="ZR50">ROUND(VALUE(IFERROR(INDEX(ArchiveResults!$F$5:$IX$116,ComparisonData!A50,ComparisonData!$ZR$1),0)),5)</f>
        <v>0</v>
      </c>
      <c r="ZS50" s="56">
        <v>45</v>
      </c>
      <c r="ZT50" s="53" t="str">
        <f t="shared" si="628"/>
        <v>King's College London</v>
      </c>
      <c r="ZU50" s="46">
        <f t="shared" si="479"/>
        <v>0</v>
      </c>
      <c r="ZV50" s="76">
        <f t="shared" si="480"/>
        <v>0</v>
      </c>
      <c r="ZW50" s="81" cm="1">
        <f t="array" ref="ZW50">ROUND((IFERROR(INDEX(ArchiveResults!$F$5:$IX$116,ComparisonData!A50,ComparisonData!$ZW$1),0)),5)</f>
        <v>0</v>
      </c>
      <c r="ZX50" s="81" cm="1">
        <f t="array" ref="ZX50">ROUND((IFERROR(INDEX(ArchiveResults!$F$5:$IX$116,ComparisonData!A50,ComparisonData!$ZX$1),0)),5)</f>
        <v>0</v>
      </c>
      <c r="ZY50" s="81" cm="1">
        <f t="array" ref="ZY50">ROUND((IFERROR(INDEX(ArchiveResults!$F$5:$IX$116,ComparisonData!A50,ComparisonData!$ZY$1),0)),5)</f>
        <v>0</v>
      </c>
      <c r="ZZ50" s="81" cm="1">
        <f t="array" ref="ZZ50">ROUND((IFERROR(INDEX(ArchiveResults!$F$5:$IX$116,ComparisonData!A50,ComparisonData!$ZZ$1),0)),5)</f>
        <v>0</v>
      </c>
      <c r="AAA50" s="81" cm="1">
        <f t="array" ref="AAA50">ROUND((IFERROR(INDEX(ArchiveResults!$F$5:$IX$116,ComparisonData!A50,ComparisonData!$AAA$1),0)),5)</f>
        <v>0</v>
      </c>
      <c r="AAB50" s="81" cm="1">
        <f t="array" ref="AAB50">ROUND((IFERROR(INDEX(ArchiveResults!$F$5:$IX$116,ComparisonData!A50,ComparisonData!$AAB$1),0)),5)</f>
        <v>0</v>
      </c>
      <c r="AAC50" s="81" cm="1">
        <f t="array" ref="AAC50">ROUND((IFERROR(INDEX(ArchiveResults!$F$5:$IX$116,ComparisonData!A50,ComparisonData!$AAC$1),0)),5)</f>
        <v>0</v>
      </c>
      <c r="AAD50" s="81" cm="1">
        <f t="array" ref="AAD50">ROUND((IFERROR(INDEX(ArchiveResults!$F$5:$IX$116,ComparisonData!A50,ComparisonData!$AAD$1),0)),5)</f>
        <v>0</v>
      </c>
      <c r="AAE50" s="81" cm="1">
        <f t="array" ref="AAE50">ROUND((IFERROR(INDEX(ArchiveResults!$F$5:$IX$116,ComparisonData!A50,ComparisonData!$AAE$1),0)),5)</f>
        <v>0</v>
      </c>
      <c r="AAF50" s="81" cm="1">
        <f t="array" ref="AAF50">ROUND((IFERROR(INDEX(ArchiveResults!$F$5:$IX$116,ComparisonData!A50,ComparisonData!$AAF$1),0)),5)</f>
        <v>0</v>
      </c>
      <c r="AAG50" s="46">
        <f t="shared" si="481"/>
        <v>98</v>
      </c>
      <c r="AAH50" s="46">
        <f t="shared" si="629"/>
        <v>2.9289999999999998</v>
      </c>
      <c r="AAI50" s="46">
        <f t="shared" si="482"/>
        <v>1</v>
      </c>
      <c r="AAJ50" s="46">
        <f t="shared" si="483"/>
        <v>2</v>
      </c>
      <c r="AAK50" s="46">
        <f t="shared" si="484"/>
        <v>0</v>
      </c>
      <c r="AAL50" s="46">
        <f t="shared" si="485"/>
        <v>0</v>
      </c>
      <c r="AAM50" s="46">
        <f t="shared" si="486"/>
        <v>0</v>
      </c>
      <c r="AAN50" s="46">
        <f t="shared" si="487"/>
        <v>0</v>
      </c>
      <c r="AAO50" s="46">
        <f t="shared" si="488"/>
        <v>0</v>
      </c>
      <c r="AAP50" s="46">
        <f t="shared" si="489"/>
        <v>0</v>
      </c>
      <c r="AAQ50" s="56">
        <v>45</v>
      </c>
      <c r="AAR50" s="53" t="str">
        <f t="shared" si="630"/>
        <v>King's College London</v>
      </c>
      <c r="AAS50" s="60">
        <f t="shared" si="490"/>
        <v>0</v>
      </c>
      <c r="AAT50" s="60">
        <f t="shared" si="491"/>
        <v>0</v>
      </c>
      <c r="AAU50" s="60">
        <f t="shared" si="492"/>
        <v>0</v>
      </c>
      <c r="AAV50" s="60">
        <f t="shared" si="493"/>
        <v>0</v>
      </c>
      <c r="AAW50" s="60">
        <f t="shared" si="494"/>
        <v>0</v>
      </c>
      <c r="AAX50" s="76">
        <f t="shared" si="495"/>
        <v>0</v>
      </c>
      <c r="AAY50" s="46">
        <f t="shared" si="496"/>
        <v>98</v>
      </c>
      <c r="AAZ50" s="46">
        <f t="shared" si="631"/>
        <v>2.9289999999999998</v>
      </c>
      <c r="ABA50" s="46">
        <f t="shared" si="497"/>
        <v>1</v>
      </c>
      <c r="ABB50" s="46">
        <f t="shared" si="498"/>
        <v>2</v>
      </c>
      <c r="ABC50" s="46">
        <f t="shared" si="102"/>
        <v>0</v>
      </c>
      <c r="ABD50" s="46" cm="1">
        <f t="array" ref="ABD50">ROUND(VALUE(IFERROR(INDEX(ArchiveResults!$F$5:$IX$116,ComparisonData!A50,ComparisonData!$ABD$1),0)),5)</f>
        <v>0</v>
      </c>
      <c r="ABE50" s="46" cm="1">
        <f t="array" ref="ABE50">ROUND(VALUE(IFERROR(INDEX(ArchiveResults!$F$5:$IX$116,ComparisonData!A50,ComparisonData!$ABE$1),0)),5)</f>
        <v>0</v>
      </c>
      <c r="ABF50" s="46" cm="1">
        <f t="array" ref="ABF50">ROUND(VALUE(IFERROR(INDEX(ArchiveResults!$F$5:$IX$116,ComparisonData!A50,ComparisonData!$ABF$1),0)),5)</f>
        <v>0</v>
      </c>
      <c r="ABG50" s="46" cm="1">
        <f t="array" ref="ABG50">ROUND(VALUE(IFERROR(INDEX(ArchiveResults!$F$5:$IX$116,ComparisonData!A50,ComparisonData!$ABG$1),0)),5)</f>
        <v>0</v>
      </c>
      <c r="ABH50" s="46" cm="1">
        <f t="array" ref="ABH50">ROUND(VALUE(IFERROR(INDEX(ArchiveResults!$F$5:$IX$116,ComparisonData!A50,ComparisonData!$ABH$1),0)),5)</f>
        <v>0</v>
      </c>
      <c r="ABI50" s="56">
        <v>45</v>
      </c>
      <c r="ABJ50" s="53" t="str">
        <f t="shared" si="632"/>
        <v>King's College London</v>
      </c>
      <c r="ABK50" s="60">
        <f t="shared" si="499"/>
        <v>0</v>
      </c>
      <c r="ABL50" s="60">
        <f t="shared" si="500"/>
        <v>0</v>
      </c>
      <c r="ABM50" s="60">
        <f t="shared" si="501"/>
        <v>0</v>
      </c>
      <c r="ABN50" s="60">
        <f t="shared" si="502"/>
        <v>0</v>
      </c>
      <c r="ABO50" s="60">
        <f t="shared" si="503"/>
        <v>0</v>
      </c>
      <c r="ABP50" s="76">
        <f t="shared" si="504"/>
        <v>0</v>
      </c>
      <c r="ABQ50" s="46">
        <f t="shared" si="505"/>
        <v>98</v>
      </c>
      <c r="ABR50" s="46">
        <f t="shared" si="633"/>
        <v>2.9289999999999998</v>
      </c>
      <c r="ABS50" s="46">
        <f t="shared" si="506"/>
        <v>1</v>
      </c>
      <c r="ABT50" s="46">
        <f t="shared" si="507"/>
        <v>2</v>
      </c>
      <c r="ABU50" s="46" cm="1">
        <f t="array" ref="ABU50">ROUND(VALUE(IFERROR(INDEX(ArchiveResults!$F$5:$IX$116,ComparisonData!A50,ComparisonData!$ABU$1),0)),5)</f>
        <v>0</v>
      </c>
      <c r="ABV50" s="46" cm="1">
        <f t="array" ref="ABV50">ROUND(VALUE(IFERROR(INDEX(ArchiveResults!$F$5:$IX$116,ComparisonData!A50,ComparisonData!$ABV$1),0)),5)</f>
        <v>0</v>
      </c>
      <c r="ABW50" s="46" cm="1">
        <f t="array" ref="ABW50">ROUND(VALUE(IFERROR(INDEX(ArchiveResults!$F$5:$IX$116,ComparisonData!A50,ComparisonData!$ABW$1),0)),5)</f>
        <v>0</v>
      </c>
      <c r="ABX50" s="46" cm="1">
        <f t="array" ref="ABX50">ROUND(VALUE(IFERROR(INDEX(ArchiveResults!$F$5:$IX$116,ComparisonData!A50,ComparisonData!$ABX$1),0)),5)</f>
        <v>0</v>
      </c>
      <c r="ABY50" s="46" cm="1">
        <f t="array" ref="ABY50">ROUND(VALUE(IFERROR(INDEX(ArchiveResults!$F$5:$IX$116,ComparisonData!A50,ComparisonData!$ABY$1),0)),5)</f>
        <v>0</v>
      </c>
      <c r="ABZ50" s="56">
        <v>45</v>
      </c>
      <c r="ACA50" s="53" t="str">
        <f t="shared" si="634"/>
        <v>King's College London</v>
      </c>
      <c r="ACB50" s="60">
        <f t="shared" si="508"/>
        <v>0</v>
      </c>
      <c r="ACC50" s="60">
        <f t="shared" si="509"/>
        <v>0</v>
      </c>
      <c r="ACD50" s="60">
        <f t="shared" si="510"/>
        <v>0</v>
      </c>
      <c r="ACE50" s="60">
        <f t="shared" si="511"/>
        <v>0</v>
      </c>
      <c r="ACF50" s="60">
        <f t="shared" si="512"/>
        <v>0</v>
      </c>
      <c r="ACG50" s="76">
        <f t="shared" si="513"/>
        <v>0</v>
      </c>
      <c r="ACH50" s="46">
        <f t="shared" si="514"/>
        <v>98</v>
      </c>
      <c r="ACI50" s="46">
        <f t="shared" si="635"/>
        <v>2.9289999999999998</v>
      </c>
      <c r="ACJ50" s="46">
        <f t="shared" si="515"/>
        <v>1</v>
      </c>
      <c r="ACK50" s="46">
        <f t="shared" si="516"/>
        <v>2</v>
      </c>
      <c r="ACL50" s="46">
        <f t="shared" si="517"/>
        <v>0</v>
      </c>
      <c r="ACM50" s="46" cm="1">
        <f t="array" ref="ACM50">ROUND(IFERROR(INDEX(ArchiveResults!$F$5:$IX$116,ComparisonData!A50,ComparisonData!$ACM$1),0),5)</f>
        <v>0</v>
      </c>
      <c r="ACN50" s="46" cm="1">
        <f t="array" ref="ACN50">ROUND(IFERROR(INDEX(ArchiveResults!$F$5:$IX$116,ComparisonData!A50,ComparisonData!$ACN$1),0),5)</f>
        <v>0</v>
      </c>
      <c r="ACO50" s="56">
        <v>45</v>
      </c>
      <c r="ACP50" s="53" t="str">
        <f t="shared" si="636"/>
        <v>King's College London</v>
      </c>
      <c r="ACQ50" s="60">
        <f t="shared" si="518"/>
        <v>0</v>
      </c>
      <c r="ACR50" s="60">
        <f t="shared" si="519"/>
        <v>0</v>
      </c>
      <c r="ACS50" s="76">
        <f t="shared" si="520"/>
        <v>0</v>
      </c>
      <c r="ACT50" s="46">
        <f t="shared" si="521"/>
        <v>98</v>
      </c>
      <c r="ACU50" s="46">
        <f t="shared" si="637"/>
        <v>2.9289999999999998</v>
      </c>
      <c r="ACV50" s="46">
        <f t="shared" si="522"/>
        <v>1</v>
      </c>
      <c r="ACW50" s="46">
        <f t="shared" si="523"/>
        <v>2</v>
      </c>
      <c r="ACX50" s="46">
        <f t="shared" si="524"/>
        <v>0</v>
      </c>
      <c r="ACY50" s="46" cm="1">
        <f t="array" ref="ACY50">ROUNDDOWN(IFERROR(INDEX(ArchiveResults!$F$5:$IX$116,ComparisonData!A50,ComparisonData!$ACY$1),0),5)</f>
        <v>0</v>
      </c>
      <c r="ACZ50" s="46" cm="1">
        <f t="array" ref="ACZ50">ROUNDDOWN(IFERROR(INDEX(ArchiveResults!$F$5:$IX$116,ComparisonData!A50,ComparisonData!$ACZ$1),0),5)</f>
        <v>0</v>
      </c>
      <c r="ADA50" s="46" cm="1">
        <f t="array" ref="ADA50">ROUNDDOWN(IFERROR(INDEX(ArchiveResults!$F$5:$IX$116,ComparisonData!A50,ComparisonData!$ADA$1),0),5)</f>
        <v>0</v>
      </c>
      <c r="ADB50" s="56">
        <v>45</v>
      </c>
      <c r="ADC50" s="53" t="str">
        <f t="shared" si="638"/>
        <v>King's College London</v>
      </c>
      <c r="ADD50" s="60">
        <f t="shared" si="525"/>
        <v>0</v>
      </c>
      <c r="ADE50" s="60">
        <f t="shared" si="526"/>
        <v>0</v>
      </c>
      <c r="ADF50" s="60">
        <f t="shared" si="527"/>
        <v>0</v>
      </c>
      <c r="ADG50" s="76">
        <f t="shared" si="528"/>
        <v>0</v>
      </c>
    </row>
    <row r="51" spans="1:787" x14ac:dyDescent="0.25">
      <c r="A51" s="46" t="str">
        <f>IF(ISBLANK(ComparisonSelection!F47),"",ROW()-5)</f>
        <v/>
      </c>
      <c r="B51" s="53" t="s">
        <v>500</v>
      </c>
      <c r="C51" s="72">
        <v>0.74899999999999978</v>
      </c>
      <c r="D51" s="55">
        <f t="shared" si="110"/>
        <v>63</v>
      </c>
      <c r="E51" s="54">
        <f t="shared" si="111"/>
        <v>2.7489999999999997</v>
      </c>
      <c r="F51" s="54">
        <f t="shared" si="529"/>
        <v>1</v>
      </c>
      <c r="G51" s="72">
        <f t="shared" si="112"/>
        <v>2</v>
      </c>
      <c r="H51" s="72">
        <f t="shared" si="113"/>
        <v>0</v>
      </c>
      <c r="I51" s="46" cm="1">
        <f t="array" ref="I51">ROUND(IFERROR(INDEX(ArchiveResults!$F$5:$IX$116,ComparisonData!A51,ComparisonData!$I$1),0),5)</f>
        <v>0</v>
      </c>
      <c r="J51" s="46" cm="1">
        <f t="array" ref="J51">ROUND(IFERROR(INDEX(ArchiveResults!$F$5:$IX$116,ComparisonData!A51,ComparisonData!$J$1),0),5)</f>
        <v>0</v>
      </c>
      <c r="K51" s="56">
        <v>46</v>
      </c>
      <c r="L51" s="53" t="str">
        <f t="shared" si="114"/>
        <v>Kingston University, Archives and Special Collections</v>
      </c>
      <c r="M51" s="57">
        <f t="shared" si="530"/>
        <v>0</v>
      </c>
      <c r="N51" s="57">
        <f t="shared" si="531"/>
        <v>0</v>
      </c>
      <c r="O51" s="58">
        <f t="shared" si="115"/>
        <v>0</v>
      </c>
      <c r="P51" s="48">
        <f t="shared" si="116"/>
        <v>63</v>
      </c>
      <c r="Q51" s="54">
        <f t="shared" si="532"/>
        <v>2.7489999999999997</v>
      </c>
      <c r="R51" s="45">
        <f t="shared" si="117"/>
        <v>1</v>
      </c>
      <c r="S51" s="46">
        <f t="shared" si="118"/>
        <v>2</v>
      </c>
      <c r="T51" s="72">
        <f t="shared" si="119"/>
        <v>0</v>
      </c>
      <c r="U51" s="46" cm="1">
        <f t="array" ref="U51">ROUND(IFERROR(INDEX(ArchiveResults!$F$5:$IX$116,ComparisonData!A51,ComparisonData!$U$1),0),5)</f>
        <v>0</v>
      </c>
      <c r="V51" s="46" cm="1">
        <f t="array" ref="V51">ROUND(IFERROR(INDEX(ArchiveResults!$F$5:$IX$116,ComparisonData!A51,ComparisonData!$V$1),0),5)</f>
        <v>0</v>
      </c>
      <c r="W51" s="56">
        <v>46</v>
      </c>
      <c r="X51" s="53" t="str">
        <f t="shared" si="533"/>
        <v>Kingston University, Archives and Special Collections</v>
      </c>
      <c r="Y51" s="57">
        <f t="shared" si="120"/>
        <v>0</v>
      </c>
      <c r="Z51" s="57">
        <f t="shared" si="121"/>
        <v>0</v>
      </c>
      <c r="AA51" s="58">
        <f t="shared" si="122"/>
        <v>0</v>
      </c>
      <c r="AB51" s="45">
        <f t="shared" si="123"/>
        <v>63</v>
      </c>
      <c r="AC51" s="54">
        <f t="shared" si="534"/>
        <v>2.7489999999999997</v>
      </c>
      <c r="AD51" s="45">
        <f t="shared" si="124"/>
        <v>1</v>
      </c>
      <c r="AE51" s="45">
        <f t="shared" si="125"/>
        <v>2</v>
      </c>
      <c r="AF51" s="45">
        <f t="shared" si="126"/>
        <v>0</v>
      </c>
      <c r="AG51" s="46" cm="1">
        <f t="array" ref="AG51">ROUND(IFERROR(INDEX(ArchiveResults!$F$5:$IX$116,ComparisonData!A51,ComparisonData!$AG$1),0),5)</f>
        <v>0</v>
      </c>
      <c r="AH51" s="46" cm="1">
        <f t="array" ref="AH51">ROUND(IFERROR(INDEX(ArchiveResults!$F$5:$IX$116,ComparisonData!A51,ComparisonData!$AH$1),0),5)</f>
        <v>0</v>
      </c>
      <c r="AI51" s="56">
        <v>46</v>
      </c>
      <c r="AJ51" s="53" t="str">
        <f t="shared" si="535"/>
        <v>Kingston University, Archives and Special Collections</v>
      </c>
      <c r="AK51" s="59">
        <f t="shared" si="536"/>
        <v>0</v>
      </c>
      <c r="AL51" s="59">
        <f t="shared" si="537"/>
        <v>0</v>
      </c>
      <c r="AM51" s="58">
        <f t="shared" si="127"/>
        <v>0</v>
      </c>
      <c r="AN51" s="45">
        <f t="shared" si="128"/>
        <v>63</v>
      </c>
      <c r="AO51" s="54">
        <f t="shared" si="538"/>
        <v>2.7489999999999997</v>
      </c>
      <c r="AP51" s="45">
        <f t="shared" si="129"/>
        <v>1</v>
      </c>
      <c r="AQ51" s="45">
        <f t="shared" si="130"/>
        <v>2</v>
      </c>
      <c r="AR51" s="46" cm="1">
        <f t="array" ref="AR51">ROUND(IFERROR(INDEX(ArchiveResults!$F$5:$IX$116,ComparisonData!A51,ComparisonData!$AR$1),0),5)</f>
        <v>0</v>
      </c>
      <c r="AS51" s="46" cm="1">
        <f t="array" ref="AS51">ROUND(IFERROR(INDEX(ArchiveResults!$F$5:$IX$116,ComparisonData!A51,ComparisonData!$AS$1),0),5)</f>
        <v>0</v>
      </c>
      <c r="AT51" s="46" cm="1">
        <f t="array" ref="AT51">ROUND(IFERROR(INDEX(ArchiveResults!$F$5:$IX$116,ComparisonData!A51,ComparisonData!$AT$1),0),5)</f>
        <v>0</v>
      </c>
      <c r="AU51" s="46" cm="1">
        <f t="array" ref="AU51">ROUND(IFERROR(INDEX(ArchiveResults!$F$5:$IX$116,ComparisonData!A51,ComparisonData!$AU$1),0),5)</f>
        <v>0</v>
      </c>
      <c r="AV51" s="46" cm="1">
        <f t="array" ref="AV51">ROUND(IFERROR(INDEX(ArchiveResults!$F$5:$IX$116,ComparisonData!A51,ComparisonData!$AV$1),0),5)</f>
        <v>0</v>
      </c>
      <c r="AW51" s="46" cm="1">
        <f t="array" ref="AW51">ROUND(IFERROR(INDEX(ArchiveResults!$F$5:$IX$116,ComparisonData!A51,ComparisonData!$AW$1),0),5)</f>
        <v>0</v>
      </c>
      <c r="AX51" s="46" cm="1">
        <f t="array" ref="AX51">ROUND(IFERROR(INDEX(ArchiveResults!$F$5:$IX$116,ComparisonData!A51,ComparisonData!$AX$1),0),5)</f>
        <v>0</v>
      </c>
      <c r="AY51" s="46" cm="1">
        <f t="array" ref="AY51">ROUND(IFERROR(INDEX(ArchiveResults!$F$5:$IX$116,ComparisonData!A51,ComparisonData!$AY$1),0),5)</f>
        <v>0</v>
      </c>
      <c r="AZ51" s="46" cm="1">
        <f t="array" ref="AZ51">ROUND(IFERROR(INDEX(ArchiveResults!$F$5:$IX$116,ComparisonData!A51,ComparisonData!$AZ$1),0),5)</f>
        <v>0</v>
      </c>
      <c r="BA51" s="46" cm="1">
        <f t="array" ref="BA51">ROUND(IFERROR(INDEX(ArchiveResults!$F$5:$IX$116,ComparisonData!A51,ComparisonData!$BA$1),0),5)</f>
        <v>0</v>
      </c>
      <c r="BB51" s="56">
        <v>46</v>
      </c>
      <c r="BC51" s="53" t="str">
        <f t="shared" si="539"/>
        <v>Kingston University, Archives and Special Collections</v>
      </c>
      <c r="BD51" s="60">
        <f t="shared" si="131"/>
        <v>0</v>
      </c>
      <c r="BE51" s="60">
        <f t="shared" si="132"/>
        <v>0</v>
      </c>
      <c r="BF51" s="60">
        <f t="shared" si="133"/>
        <v>0</v>
      </c>
      <c r="BG51" s="60">
        <f t="shared" si="134"/>
        <v>0</v>
      </c>
      <c r="BH51" s="60">
        <f t="shared" si="135"/>
        <v>0</v>
      </c>
      <c r="BI51" s="60">
        <f t="shared" si="136"/>
        <v>0</v>
      </c>
      <c r="BJ51" s="60">
        <f t="shared" si="137"/>
        <v>0</v>
      </c>
      <c r="BK51" s="60">
        <f t="shared" si="138"/>
        <v>0</v>
      </c>
      <c r="BL51" s="60">
        <f t="shared" si="139"/>
        <v>0</v>
      </c>
      <c r="BM51" s="59">
        <f t="shared" si="140"/>
        <v>0</v>
      </c>
      <c r="BN51" s="58">
        <f t="shared" si="141"/>
        <v>0</v>
      </c>
      <c r="BO51" s="45">
        <f t="shared" si="142"/>
        <v>63</v>
      </c>
      <c r="BP51" s="54">
        <f t="shared" si="540"/>
        <v>2.7489999999999997</v>
      </c>
      <c r="BQ51" s="45">
        <f t="shared" si="143"/>
        <v>1</v>
      </c>
      <c r="BR51" s="45">
        <f t="shared" si="144"/>
        <v>2</v>
      </c>
      <c r="BS51" s="46" cm="1">
        <f t="array" ref="BS51">ROUND(IFERROR(INDEX(ArchiveResults!$F$5:$IX$116,ComparisonData!A51,ComparisonData!$BS$1),0),5)</f>
        <v>0</v>
      </c>
      <c r="BT51" s="46" cm="1">
        <f t="array" ref="BT51">ROUND(IFERROR(INDEX(ArchiveResults!$F$5:$IX$116,ComparisonData!A51,ComparisonData!$BT$1),0),5)</f>
        <v>0</v>
      </c>
      <c r="BU51" s="46" cm="1">
        <f t="array" ref="BU51">ROUND(IFERROR(INDEX(ArchiveResults!$F$5:$IX$116,ComparisonData!A51,ComparisonData!$BU$1),0),5)</f>
        <v>0</v>
      </c>
      <c r="BV51" s="46" cm="1">
        <f t="array" ref="BV51">ROUND(IFERROR(INDEX(ArchiveResults!$F$5:$IX$116,ComparisonData!A51,ComparisonData!$BV$1),0),5)</f>
        <v>0</v>
      </c>
      <c r="BW51" s="46" cm="1">
        <f t="array" ref="BW51">ROUND(IFERROR(INDEX(ArchiveResults!$F$5:$IX$116,ComparisonData!A51,ComparisonData!$BW$1),0),5)</f>
        <v>0</v>
      </c>
      <c r="BX51" s="46" cm="1">
        <f t="array" ref="BX51">ROUND(IFERROR(INDEX(ArchiveResults!$F$5:$IX$116,ComparisonData!A51,ComparisonData!$BX$1),0),5)</f>
        <v>0</v>
      </c>
      <c r="BY51" s="56">
        <v>46</v>
      </c>
      <c r="BZ51" s="53" t="str">
        <f t="shared" si="541"/>
        <v>Kingston University, Archives and Special Collections</v>
      </c>
      <c r="CA51" s="59">
        <f t="shared" si="145"/>
        <v>0</v>
      </c>
      <c r="CB51" s="59">
        <f t="shared" si="146"/>
        <v>0</v>
      </c>
      <c r="CC51" s="59">
        <f t="shared" si="147"/>
        <v>0</v>
      </c>
      <c r="CD51" s="59">
        <f t="shared" si="148"/>
        <v>0</v>
      </c>
      <c r="CE51" s="59">
        <f t="shared" si="149"/>
        <v>0</v>
      </c>
      <c r="CF51" s="59">
        <f t="shared" si="150"/>
        <v>0</v>
      </c>
      <c r="CG51" s="58">
        <f t="shared" si="151"/>
        <v>0</v>
      </c>
      <c r="CH51" s="45">
        <f t="shared" si="152"/>
        <v>63</v>
      </c>
      <c r="CI51" s="54">
        <f t="shared" si="542"/>
        <v>2.7489999999999997</v>
      </c>
      <c r="CJ51" s="45">
        <f t="shared" si="153"/>
        <v>1</v>
      </c>
      <c r="CK51" s="45">
        <f t="shared" si="154"/>
        <v>2</v>
      </c>
      <c r="CL51" s="46" cm="1">
        <f t="array" ref="CL51">ROUND(IFERROR(INDEX(ArchiveResults!$F$5:$IX$116,ComparisonData!A51,ComparisonData!$CL$1),0),5)</f>
        <v>0</v>
      </c>
      <c r="CM51" s="56">
        <v>46</v>
      </c>
      <c r="CN51" s="53" t="str">
        <f t="shared" si="543"/>
        <v>Kingston University, Archives and Special Collections</v>
      </c>
      <c r="CO51" s="45">
        <f t="shared" si="155"/>
        <v>0</v>
      </c>
      <c r="CP51" s="58">
        <f t="shared" si="156"/>
        <v>0</v>
      </c>
      <c r="CQ51" s="45">
        <f t="shared" si="157"/>
        <v>63</v>
      </c>
      <c r="CR51" s="54">
        <f t="shared" si="544"/>
        <v>2.7489999999999997</v>
      </c>
      <c r="CS51" s="45">
        <f t="shared" si="158"/>
        <v>1</v>
      </c>
      <c r="CT51" s="45">
        <f t="shared" si="159"/>
        <v>2</v>
      </c>
      <c r="CU51" s="46" cm="1">
        <f t="array" ref="CU51">ROUND(IFERROR(INDEX(ArchiveResults!$F$5:$IX$116,ComparisonData!A51,ComparisonData!$CU$1),0),5)</f>
        <v>0</v>
      </c>
      <c r="CV51" s="56">
        <v>46</v>
      </c>
      <c r="CW51" s="53" t="str">
        <f t="shared" si="545"/>
        <v>Kingston University, Archives and Special Collections</v>
      </c>
      <c r="CX51" s="45">
        <f t="shared" si="160"/>
        <v>0</v>
      </c>
      <c r="CY51" s="58">
        <f t="shared" si="161"/>
        <v>0</v>
      </c>
      <c r="CZ51" s="45">
        <f t="shared" si="162"/>
        <v>63</v>
      </c>
      <c r="DA51" s="54">
        <f t="shared" si="546"/>
        <v>2.7489999999999997</v>
      </c>
      <c r="DB51" s="45">
        <f t="shared" si="163"/>
        <v>1</v>
      </c>
      <c r="DC51" s="45">
        <f t="shared" si="164"/>
        <v>2</v>
      </c>
      <c r="DD51" s="46" cm="1">
        <f t="array" ref="DD51">ROUND(IFERROR(INDEX(ArchiveResults!$F$5:$IX$116,ComparisonData!A51,ComparisonData!$DD$1),0),5)</f>
        <v>0</v>
      </c>
      <c r="DE51" s="56">
        <v>46</v>
      </c>
      <c r="DF51" s="53" t="str">
        <f t="shared" si="547"/>
        <v>Kingston University, Archives and Special Collections</v>
      </c>
      <c r="DG51" s="45">
        <f t="shared" si="165"/>
        <v>0</v>
      </c>
      <c r="DH51" s="58">
        <f t="shared" si="166"/>
        <v>0</v>
      </c>
      <c r="DI51" s="45">
        <f t="shared" si="167"/>
        <v>63</v>
      </c>
      <c r="DJ51" s="54">
        <f t="shared" si="548"/>
        <v>2.7489999999999997</v>
      </c>
      <c r="DK51" s="45">
        <f t="shared" si="168"/>
        <v>1</v>
      </c>
      <c r="DL51" s="45">
        <f t="shared" si="169"/>
        <v>2</v>
      </c>
      <c r="DM51" s="46" cm="1">
        <f t="array" ref="DM51">ROUND(IFERROR(INDEX(ArchiveResults!$F$5:$IX$116,ComparisonData!A51,ComparisonData!$DM$1),0),5)</f>
        <v>0</v>
      </c>
      <c r="DN51" s="46" cm="1">
        <f t="array" ref="DN51">ROUND(IFERROR(INDEX(ArchiveResults!$F$5:$IX$116,ComparisonData!A51,ComparisonData!$DN$1),0),5)</f>
        <v>0</v>
      </c>
      <c r="DO51" s="46" cm="1">
        <f t="array" ref="DO51">ROUND(IFERROR(INDEX(ArchiveResults!$F$5:$IX$116,ComparisonData!A51,ComparisonData!$DO$1),0),5)</f>
        <v>0</v>
      </c>
      <c r="DP51" s="46" cm="1">
        <f t="array" ref="DP51">ROUND(IFERROR(INDEX(ArchiveResults!$F$5:$IX$116,ComparisonData!A51,ComparisonData!$DP$1),0),5)</f>
        <v>0</v>
      </c>
      <c r="DQ51" s="45" cm="1">
        <f t="array" ref="DQ51">IFERROR(INDEX(ArchiveResults!$F$5:$IX$116,ComparisonData!A51,ComparisonData!$DQ$1),0)</f>
        <v>0</v>
      </c>
      <c r="DR51" s="56">
        <v>46</v>
      </c>
      <c r="DS51" s="53" t="str">
        <f t="shared" si="549"/>
        <v>Kingston University, Archives and Special Collections</v>
      </c>
      <c r="DT51" s="59">
        <f t="shared" si="170"/>
        <v>0</v>
      </c>
      <c r="DU51" s="59">
        <f t="shared" si="171"/>
        <v>0</v>
      </c>
      <c r="DV51" s="59">
        <f t="shared" si="172"/>
        <v>0</v>
      </c>
      <c r="DW51" s="59">
        <f t="shared" si="173"/>
        <v>0</v>
      </c>
      <c r="DX51" s="59">
        <f t="shared" si="174"/>
        <v>0</v>
      </c>
      <c r="DY51" s="58">
        <f t="shared" si="175"/>
        <v>0</v>
      </c>
      <c r="DZ51" s="45">
        <f t="shared" si="176"/>
        <v>63</v>
      </c>
      <c r="EA51" s="54">
        <f t="shared" si="550"/>
        <v>2.7489999999999997</v>
      </c>
      <c r="EB51" s="45">
        <f t="shared" si="177"/>
        <v>1</v>
      </c>
      <c r="EC51" s="45">
        <f t="shared" si="178"/>
        <v>2</v>
      </c>
      <c r="ED51" s="46" cm="1">
        <f t="array" ref="ED51">ROUND(IFERROR(INDEX(ArchiveResults!$F$5:$IX$116,ComparisonData!A51,ComparisonData!$ED$1),0),5)</f>
        <v>0</v>
      </c>
      <c r="EE51" s="46" cm="1">
        <f t="array" ref="EE51">ROUND(IFERROR(INDEX(ArchiveResults!$F$5:$IX$116,ComparisonData!A51,ComparisonData!$EE$1),0),5)</f>
        <v>0</v>
      </c>
      <c r="EF51" s="46" cm="1">
        <f t="array" ref="EF51">ROUND(IFERROR(INDEX(ArchiveResults!$F$5:$IX$116,ComparisonData!A51,ComparisonData!$EF$1),0),5)</f>
        <v>0</v>
      </c>
      <c r="EG51" s="46" cm="1">
        <f t="array" ref="EG51">ROUND(IFERROR(INDEX(ArchiveResults!$F$5:$IX$116,ComparisonData!A51,ComparisonData!$EG$1),0),5)</f>
        <v>0</v>
      </c>
      <c r="EH51" s="45" cm="1">
        <f t="array" ref="EH51">IFERROR(INDEX(ArchiveResults!$F$5:$IX$116,ComparisonData!A51,ComparisonData!$EH$1),0)</f>
        <v>0</v>
      </c>
      <c r="EI51" s="56">
        <v>46</v>
      </c>
      <c r="EJ51" s="53" t="str">
        <f t="shared" si="551"/>
        <v>Kingston University, Archives and Special Collections</v>
      </c>
      <c r="EK51" s="59">
        <f t="shared" si="179"/>
        <v>0</v>
      </c>
      <c r="EL51" s="59">
        <f t="shared" si="180"/>
        <v>0</v>
      </c>
      <c r="EM51" s="59">
        <f t="shared" si="181"/>
        <v>0</v>
      </c>
      <c r="EN51" s="59">
        <f t="shared" si="182"/>
        <v>0</v>
      </c>
      <c r="EO51" s="59">
        <f t="shared" si="183"/>
        <v>0</v>
      </c>
      <c r="EP51" s="58">
        <f t="shared" si="184"/>
        <v>0</v>
      </c>
      <c r="EQ51" s="45">
        <f t="shared" si="185"/>
        <v>63</v>
      </c>
      <c r="ER51" s="54">
        <f t="shared" si="552"/>
        <v>2.7489999999999997</v>
      </c>
      <c r="ES51" s="45">
        <f t="shared" si="186"/>
        <v>1</v>
      </c>
      <c r="ET51" s="45">
        <f t="shared" si="187"/>
        <v>2</v>
      </c>
      <c r="EU51" s="46" cm="1">
        <f t="array" ref="EU51">ROUND(IFERROR(INDEX(ArchiveResults!$F$5:$IX$116,ComparisonData!A51,ComparisonData!$EU$1),0),5)</f>
        <v>0</v>
      </c>
      <c r="EV51" s="46" cm="1">
        <f t="array" ref="EV51">ROUND(IFERROR(INDEX(ArchiveResults!$F$5:$IX$116,ComparisonData!A51,ComparisonData!$EV$1),0),5)</f>
        <v>0</v>
      </c>
      <c r="EW51" s="46" cm="1">
        <f t="array" ref="EW51">ROUND(IFERROR(INDEX(ArchiveResults!$F$5:$IX$116,ComparisonData!A51,ComparisonData!$EW$1),0),5)</f>
        <v>0</v>
      </c>
      <c r="EX51" s="46" cm="1">
        <f t="array" ref="EX51">ROUND(IFERROR(INDEX(ArchiveResults!$F$5:$IX$116,ComparisonData!A51,ComparisonData!$EX$1),0),5)</f>
        <v>0</v>
      </c>
      <c r="EY51" s="45" cm="1">
        <f t="array" ref="EY51">IFERROR(INDEX(ArchiveResults!$F$5:$IX$116,ComparisonData!A51,ComparisonData!$EY$1),0)</f>
        <v>0</v>
      </c>
      <c r="EZ51" s="56">
        <v>46</v>
      </c>
      <c r="FA51" s="53" t="str">
        <f t="shared" si="553"/>
        <v>Kingston University, Archives and Special Collections</v>
      </c>
      <c r="FB51" s="59">
        <f t="shared" si="188"/>
        <v>0</v>
      </c>
      <c r="FC51" s="59">
        <f t="shared" si="189"/>
        <v>0</v>
      </c>
      <c r="FD51" s="59">
        <f t="shared" si="190"/>
        <v>0</v>
      </c>
      <c r="FE51" s="59">
        <f t="shared" si="191"/>
        <v>0</v>
      </c>
      <c r="FF51" s="59">
        <f t="shared" si="192"/>
        <v>0</v>
      </c>
      <c r="FG51" s="58">
        <f t="shared" si="193"/>
        <v>0</v>
      </c>
      <c r="FH51" s="45">
        <f t="shared" si="194"/>
        <v>63</v>
      </c>
      <c r="FI51" s="54">
        <f t="shared" si="554"/>
        <v>2.7489999999999997</v>
      </c>
      <c r="FJ51" s="45">
        <f t="shared" si="195"/>
        <v>1</v>
      </c>
      <c r="FK51" s="45">
        <f t="shared" si="196"/>
        <v>2</v>
      </c>
      <c r="FL51" s="46" cm="1">
        <f t="array" ref="FL51">ROUND(IFERROR(INDEX(ArchiveResults!$F$5:$IX$116,ComparisonData!A51,ComparisonData!$FL$1),0),5)</f>
        <v>0</v>
      </c>
      <c r="FM51" s="46" cm="1">
        <f t="array" ref="FM51">ROUND(IFERROR(INDEX(ArchiveResults!$F$5:$IX$116,ComparisonData!A51,ComparisonData!$FM$1),0),5)</f>
        <v>0</v>
      </c>
      <c r="FN51" s="46" cm="1">
        <f t="array" ref="FN51">ROUND(IFERROR(INDEX(ArchiveResults!$F$5:$IX$116,ComparisonData!A51,ComparisonData!$FN$1),0),5)</f>
        <v>0</v>
      </c>
      <c r="FO51" s="46" cm="1">
        <f t="array" ref="FO51">ROUND(IFERROR(INDEX(ArchiveResults!$F$5:$IX$116,ComparisonData!A51,ComparisonData!$FO$1),0),5)</f>
        <v>0</v>
      </c>
      <c r="FP51" s="45" cm="1">
        <f t="array" ref="FP51">IFERROR(INDEX(ArchiveResults!$F$5:$IX$116,ComparisonData!A51,ComparisonData!$FP$1),0)</f>
        <v>0</v>
      </c>
      <c r="FQ51" s="56">
        <v>46</v>
      </c>
      <c r="FR51" s="53" t="str">
        <f t="shared" si="555"/>
        <v>Kingston University, Archives and Special Collections</v>
      </c>
      <c r="FS51" s="59">
        <f t="shared" si="197"/>
        <v>0</v>
      </c>
      <c r="FT51" s="59">
        <f t="shared" si="198"/>
        <v>0</v>
      </c>
      <c r="FU51" s="59">
        <f t="shared" si="199"/>
        <v>0</v>
      </c>
      <c r="FV51" s="59">
        <f t="shared" si="200"/>
        <v>0</v>
      </c>
      <c r="FW51" s="59">
        <f t="shared" si="201"/>
        <v>0</v>
      </c>
      <c r="FX51" s="58">
        <f t="shared" si="202"/>
        <v>0</v>
      </c>
      <c r="FY51" s="45">
        <f t="shared" si="203"/>
        <v>63</v>
      </c>
      <c r="FZ51" s="45">
        <f t="shared" si="556"/>
        <v>2.7489999999999997</v>
      </c>
      <c r="GA51" s="45">
        <f t="shared" si="204"/>
        <v>1</v>
      </c>
      <c r="GB51" s="45">
        <f t="shared" si="205"/>
        <v>2</v>
      </c>
      <c r="GC51" s="46" cm="1">
        <f t="array" ref="GC51">ROUND(IFERROR(INDEX(ArchiveResults!$F$5:$IX$116,ComparisonData!A51,ComparisonData!$GC$1),0),5)</f>
        <v>0</v>
      </c>
      <c r="GD51" s="46" cm="1">
        <f t="array" ref="GD51">ROUND(IFERROR(INDEX(ArchiveResults!$F$5:$IX$116,ComparisonData!A51,ComparisonData!$GD$1),0),5)</f>
        <v>0</v>
      </c>
      <c r="GE51" s="46" cm="1">
        <f t="array" ref="GE51">ROUND(IFERROR(INDEX(ArchiveResults!$F$5:$IX$116,ComparisonData!A51,ComparisonData!$GE$1),0),5)</f>
        <v>0</v>
      </c>
      <c r="GF51" s="46" cm="1">
        <f t="array" ref="GF51">ROUND(IFERROR(INDEX(ArchiveResults!$F$5:$IX$116,ComparisonData!A51,ComparisonData!$GF$1),0),5)</f>
        <v>0</v>
      </c>
      <c r="GG51" s="45" cm="1">
        <f t="array" ref="GG51">IFERROR(INDEX(ArchiveResults!$F$5:$IX$116,ComparisonData!A51,ComparisonData!$GG$1),0)</f>
        <v>0</v>
      </c>
      <c r="GH51" s="56">
        <v>46</v>
      </c>
      <c r="GI51" s="53" t="str">
        <f t="shared" si="557"/>
        <v>Kingston University, Archives and Special Collections</v>
      </c>
      <c r="GJ51" s="59">
        <f t="shared" si="206"/>
        <v>0</v>
      </c>
      <c r="GK51" s="59">
        <f t="shared" si="207"/>
        <v>0</v>
      </c>
      <c r="GL51" s="59">
        <f t="shared" si="208"/>
        <v>0</v>
      </c>
      <c r="GM51" s="59">
        <f t="shared" si="209"/>
        <v>0</v>
      </c>
      <c r="GN51" s="59">
        <f t="shared" si="210"/>
        <v>0</v>
      </c>
      <c r="GO51" s="58">
        <f t="shared" si="211"/>
        <v>0</v>
      </c>
      <c r="GP51" s="45">
        <f t="shared" si="212"/>
        <v>63</v>
      </c>
      <c r="GQ51" s="45">
        <f t="shared" si="558"/>
        <v>2.7489999999999997</v>
      </c>
      <c r="GR51" s="45">
        <f t="shared" si="213"/>
        <v>1</v>
      </c>
      <c r="GS51" s="45">
        <f t="shared" si="214"/>
        <v>2</v>
      </c>
      <c r="GT51" s="46" cm="1">
        <f t="array" ref="GT51">ROUND(IFERROR(INDEX(ArchiveResults!$F$5:$IX$116,ComparisonData!A51,ComparisonData!$GT$1),0),5)</f>
        <v>0</v>
      </c>
      <c r="GU51" s="46" cm="1">
        <f t="array" ref="GU51">ROUND(IFERROR(INDEX(ArchiveResults!$F$5:$IX$116,ComparisonData!A51,ComparisonData!$GU$1),0),5)</f>
        <v>0</v>
      </c>
      <c r="GV51" s="46" cm="1">
        <f t="array" ref="GV51">ROUND(IFERROR(INDEX(ArchiveResults!$F$5:$IX$116,ComparisonData!A51,ComparisonData!$GV$1),0),5)</f>
        <v>0</v>
      </c>
      <c r="GW51" s="46" cm="1">
        <f t="array" ref="GW51">ROUND(IFERROR(INDEX(ArchiveResults!$F$5:$IX$116,ComparisonData!A51,ComparisonData!$GW$1),0),5)</f>
        <v>0</v>
      </c>
      <c r="GX51" s="45" cm="1">
        <f t="array" ref="GX51">IFERROR(INDEX(ArchiveResults!$F$5:$IX$116,ComparisonData!A51,ComparisonData!$GX$1),0)</f>
        <v>0</v>
      </c>
      <c r="GY51" s="56">
        <v>46</v>
      </c>
      <c r="GZ51" s="53" t="str">
        <f t="shared" si="559"/>
        <v>Kingston University, Archives and Special Collections</v>
      </c>
      <c r="HA51" s="59">
        <f t="shared" si="215"/>
        <v>0</v>
      </c>
      <c r="HB51" s="59">
        <f t="shared" si="216"/>
        <v>0</v>
      </c>
      <c r="HC51" s="59">
        <f t="shared" si="217"/>
        <v>0</v>
      </c>
      <c r="HD51" s="59">
        <f t="shared" si="218"/>
        <v>0</v>
      </c>
      <c r="HE51" s="59">
        <f t="shared" si="219"/>
        <v>0</v>
      </c>
      <c r="HF51" s="58">
        <f t="shared" si="220"/>
        <v>0</v>
      </c>
      <c r="HG51" s="45">
        <f t="shared" si="221"/>
        <v>63</v>
      </c>
      <c r="HH51" s="45">
        <f t="shared" si="560"/>
        <v>2.7489999999999997</v>
      </c>
      <c r="HI51" s="45">
        <f t="shared" si="222"/>
        <v>1</v>
      </c>
      <c r="HJ51" s="45">
        <f t="shared" si="223"/>
        <v>2</v>
      </c>
      <c r="HK51" s="46" cm="1">
        <f t="array" ref="HK51">ROUND(IFERROR(INDEX(ArchiveResults!$F$5:$IX$116,ComparisonData!A51,ComparisonData!$HK$1),0),5)</f>
        <v>0</v>
      </c>
      <c r="HL51" s="46" cm="1">
        <f t="array" ref="HL51">ROUND(IFERROR(INDEX(ArchiveResults!$F$5:$IX$116,ComparisonData!A51,ComparisonData!$HL$1),0),5)</f>
        <v>0</v>
      </c>
      <c r="HM51" s="46" cm="1">
        <f t="array" ref="HM51">ROUND(IFERROR(INDEX(ArchiveResults!$F$5:$IX$116,ComparisonData!A51,ComparisonData!$HM$1),0),5)</f>
        <v>0</v>
      </c>
      <c r="HN51" s="46" cm="1">
        <f t="array" ref="HN51">ROUND(IFERROR(INDEX(ArchiveResults!$F$5:$IX$116,ComparisonData!A51,ComparisonData!$HN$1),0),5)</f>
        <v>0</v>
      </c>
      <c r="HO51" s="45" cm="1">
        <f t="array" ref="HO51">IFERROR(INDEX(ArchiveResults!$F$5:$IX$116,ComparisonData!A51,ComparisonData!$HO$1),0)</f>
        <v>0</v>
      </c>
      <c r="HP51" s="56">
        <v>46</v>
      </c>
      <c r="HQ51" s="53" t="str">
        <f t="shared" si="561"/>
        <v>Kingston University, Archives and Special Collections</v>
      </c>
      <c r="HR51" s="59">
        <f t="shared" si="562"/>
        <v>0</v>
      </c>
      <c r="HS51" s="59">
        <f t="shared" si="563"/>
        <v>0</v>
      </c>
      <c r="HT51" s="59">
        <f t="shared" si="564"/>
        <v>0</v>
      </c>
      <c r="HU51" s="59">
        <f t="shared" si="565"/>
        <v>0</v>
      </c>
      <c r="HV51" s="59">
        <f t="shared" si="566"/>
        <v>0</v>
      </c>
      <c r="HW51" s="58">
        <f t="shared" si="224"/>
        <v>0</v>
      </c>
      <c r="HX51" s="45">
        <f t="shared" si="225"/>
        <v>63</v>
      </c>
      <c r="HY51" s="45">
        <f t="shared" si="567"/>
        <v>2.7489999999999997</v>
      </c>
      <c r="HZ51" s="45">
        <f t="shared" si="226"/>
        <v>1</v>
      </c>
      <c r="IA51" s="45">
        <f t="shared" si="227"/>
        <v>2</v>
      </c>
      <c r="IB51" s="45">
        <f t="shared" si="228"/>
        <v>0</v>
      </c>
      <c r="IC51" s="46" cm="1">
        <f t="array" ref="IC51">ROUND(IFERROR(INDEX(ArchiveResults!$F$5:$IX$116,ComparisonData!A51,ComparisonData!$IC$1),0),5)</f>
        <v>0</v>
      </c>
      <c r="ID51" s="46" cm="1">
        <f t="array" ref="ID51">ROUND(IFERROR(INDEX(ArchiveResults!$F$5:$IX$116,ComparisonData!A51,ComparisonData!$ID$1),0),5)</f>
        <v>0</v>
      </c>
      <c r="IE51" s="46" cm="1">
        <f t="array" ref="IE51">ROUND(IFERROR(INDEX(ArchiveResults!$F$5:$IX$116,ComparisonData!A51,ComparisonData!$IE$1),0),5)</f>
        <v>0</v>
      </c>
      <c r="IF51" s="46" cm="1">
        <f t="array" ref="IF51">ROUND(IFERROR(INDEX(ArchiveResults!$F$5:$IX$116,ComparisonData!A51,ComparisonData!$IF$1),0),5)</f>
        <v>0</v>
      </c>
      <c r="IG51" s="45" cm="1">
        <f t="array" ref="IG51">IFERROR(INDEX(ArchiveResults!$F$5:$IX$116,ComparisonData!A51,ComparisonData!$IG$1),0)</f>
        <v>0</v>
      </c>
      <c r="IH51" s="56">
        <v>46</v>
      </c>
      <c r="II51" s="53" t="str">
        <f t="shared" si="568"/>
        <v>Kingston University, Archives and Special Collections</v>
      </c>
      <c r="IJ51" s="59">
        <f t="shared" si="229"/>
        <v>0</v>
      </c>
      <c r="IK51" s="59">
        <f t="shared" si="230"/>
        <v>0</v>
      </c>
      <c r="IL51" s="59">
        <f t="shared" si="231"/>
        <v>0</v>
      </c>
      <c r="IM51" s="59">
        <f t="shared" si="232"/>
        <v>0</v>
      </c>
      <c r="IN51" s="59">
        <f t="shared" si="233"/>
        <v>0</v>
      </c>
      <c r="IO51" s="58">
        <f t="shared" si="234"/>
        <v>0</v>
      </c>
      <c r="IP51" s="45">
        <f t="shared" si="235"/>
        <v>63</v>
      </c>
      <c r="IQ51" s="45">
        <f t="shared" si="569"/>
        <v>2.7489999999999997</v>
      </c>
      <c r="IR51" s="45">
        <f t="shared" si="236"/>
        <v>1</v>
      </c>
      <c r="IS51" s="45">
        <f t="shared" si="237"/>
        <v>2</v>
      </c>
      <c r="IT51" s="46">
        <f t="shared" si="238"/>
        <v>0</v>
      </c>
      <c r="IU51" s="46" cm="1">
        <f t="array" ref="IU51">ROUND(IFERROR(INDEX(ArchiveResults!$F$5:$IX$116,ComparisonData!A51,ComparisonData!$IU$1),0),5)</f>
        <v>0</v>
      </c>
      <c r="IV51" s="46" cm="1">
        <f t="array" ref="IV51">ROUND(IFERROR(INDEX(ArchiveResults!$F$5:$IX$116,ComparisonData!A51,ComparisonData!$IV$1),0),5)</f>
        <v>0</v>
      </c>
      <c r="IW51" s="46" cm="1">
        <f t="array" ref="IW51">ROUND(IFERROR(INDEX(ArchiveResults!$F$5:$IX$116,ComparisonData!A51,ComparisonData!$IW$1),0),5)</f>
        <v>0</v>
      </c>
      <c r="IX51" s="46" cm="1">
        <f t="array" ref="IX51">ROUND(IFERROR(INDEX(ArchiveResults!$F$5:$IX$116,ComparisonData!A51,ComparisonData!$IX$1),0),5)</f>
        <v>0</v>
      </c>
      <c r="IY51" s="45" cm="1">
        <f t="array" ref="IY51">IFERROR(INDEX(ArchiveResults!$F$5:$IX$116,ComparisonData!A51,ComparisonData!$IY$1),0)</f>
        <v>0</v>
      </c>
      <c r="IZ51" s="56">
        <v>46</v>
      </c>
      <c r="JA51" s="53" t="str">
        <f t="shared" si="570"/>
        <v>Kingston University, Archives and Special Collections</v>
      </c>
      <c r="JB51" s="59">
        <f t="shared" si="239"/>
        <v>0</v>
      </c>
      <c r="JC51" s="59">
        <f t="shared" si="240"/>
        <v>0</v>
      </c>
      <c r="JD51" s="59">
        <f t="shared" si="241"/>
        <v>0</v>
      </c>
      <c r="JE51" s="59">
        <f t="shared" si="242"/>
        <v>0</v>
      </c>
      <c r="JF51" s="59">
        <f t="shared" si="243"/>
        <v>0</v>
      </c>
      <c r="JG51" s="58">
        <f t="shared" si="244"/>
        <v>0</v>
      </c>
      <c r="JH51" s="45">
        <f t="shared" si="245"/>
        <v>63</v>
      </c>
      <c r="JI51" s="45">
        <f t="shared" si="571"/>
        <v>2.7489999999999997</v>
      </c>
      <c r="JJ51" s="45">
        <f t="shared" si="246"/>
        <v>1</v>
      </c>
      <c r="JK51" s="45">
        <f t="shared" si="247"/>
        <v>2</v>
      </c>
      <c r="JL51" s="45">
        <f t="shared" si="248"/>
        <v>0</v>
      </c>
      <c r="JM51" s="46" cm="1">
        <f t="array" ref="JM51">ROUND(IFERROR(INDEX(ArchiveResults!$F$5:$IX$116,ComparisonData!A51,ComparisonData!$JM$1),0),5)</f>
        <v>0</v>
      </c>
      <c r="JN51" s="46" cm="1">
        <f t="array" ref="JN51">ROUND(IFERROR(INDEX(ArchiveResults!$F$5:$IX$116,ComparisonData!A51,ComparisonData!$JN$1),0),5)</f>
        <v>0</v>
      </c>
      <c r="JO51" s="46" cm="1">
        <f t="array" ref="JO51">ROUND(IFERROR(INDEX(ArchiveResults!$F$5:$IX$116,ComparisonData!A51,ComparisonData!$JO$1),0),5)</f>
        <v>0</v>
      </c>
      <c r="JP51" s="46" cm="1">
        <f t="array" ref="JP51">ROUND(IFERROR(INDEX(ArchiveResults!$F$5:$IX$116,ComparisonData!A51,ComparisonData!$JP$1),0),5)</f>
        <v>0</v>
      </c>
      <c r="JQ51" s="45" cm="1">
        <f t="array" ref="JQ51">IFERROR(INDEX(ArchiveResults!$F$5:$IX$116,ComparisonData!A51,ComparisonData!$JQ$1),0)</f>
        <v>0</v>
      </c>
      <c r="JR51" s="56">
        <v>46</v>
      </c>
      <c r="JS51" s="53" t="str">
        <f t="shared" si="572"/>
        <v>Kingston University, Archives and Special Collections</v>
      </c>
      <c r="JT51" s="59">
        <f t="shared" si="249"/>
        <v>0</v>
      </c>
      <c r="JU51" s="59">
        <f t="shared" si="250"/>
        <v>0</v>
      </c>
      <c r="JV51" s="59">
        <f t="shared" si="251"/>
        <v>0</v>
      </c>
      <c r="JW51" s="59">
        <f t="shared" si="252"/>
        <v>0</v>
      </c>
      <c r="JX51" s="59">
        <f t="shared" si="253"/>
        <v>0</v>
      </c>
      <c r="JY51" s="58">
        <f t="shared" si="254"/>
        <v>0</v>
      </c>
      <c r="JZ51" s="45">
        <f t="shared" si="255"/>
        <v>63</v>
      </c>
      <c r="KA51" s="45">
        <f t="shared" si="573"/>
        <v>2.7489999999999997</v>
      </c>
      <c r="KB51" s="45">
        <f t="shared" si="256"/>
        <v>1</v>
      </c>
      <c r="KC51" s="45">
        <f t="shared" si="257"/>
        <v>2</v>
      </c>
      <c r="KD51" s="45">
        <f t="shared" si="258"/>
        <v>0</v>
      </c>
      <c r="KE51" s="46" cm="1">
        <f t="array" ref="KE51">ROUND(IFERROR(INDEX(ArchiveResults!$F$5:$IX$116,ComparisonData!A51,ComparisonData!$KE$1),0),5)</f>
        <v>0</v>
      </c>
      <c r="KF51" s="46" cm="1">
        <f t="array" ref="KF51">ROUND(IFERROR(INDEX(ArchiveResults!$F$5:$IX$116,ComparisonData!A51,ComparisonData!$KF$1),0),5)</f>
        <v>0</v>
      </c>
      <c r="KG51" s="46" cm="1">
        <f t="array" ref="KG51">ROUND(IFERROR(INDEX(ArchiveResults!$F$5:$IX$116,ComparisonData!A51,ComparisonData!$KG$1),0),5)</f>
        <v>0</v>
      </c>
      <c r="KH51" s="46" cm="1">
        <f t="array" ref="KH51">ROUND(IFERROR(INDEX(ArchiveResults!$F$5:$IX$116,ComparisonData!A51,ComparisonData!$KH$1),0),5)</f>
        <v>0</v>
      </c>
      <c r="KI51" s="45" cm="1">
        <f t="array" ref="KI51">IFERROR(INDEX(ArchiveResults!$F$5:$IX$116,ComparisonData!A51,ComparisonData!$KI$1),0)</f>
        <v>0</v>
      </c>
      <c r="KJ51" s="56">
        <v>46</v>
      </c>
      <c r="KK51" s="53" t="str">
        <f t="shared" si="574"/>
        <v>Kingston University, Archives and Special Collections</v>
      </c>
      <c r="KL51" s="59">
        <f t="shared" si="259"/>
        <v>0</v>
      </c>
      <c r="KM51" s="59">
        <f t="shared" si="260"/>
        <v>0</v>
      </c>
      <c r="KN51" s="59">
        <f t="shared" si="261"/>
        <v>0</v>
      </c>
      <c r="KO51" s="59">
        <f t="shared" si="262"/>
        <v>0</v>
      </c>
      <c r="KP51" s="59">
        <f t="shared" si="263"/>
        <v>0</v>
      </c>
      <c r="KQ51" s="58">
        <f t="shared" si="264"/>
        <v>0</v>
      </c>
      <c r="KR51" s="45">
        <f t="shared" si="265"/>
        <v>63</v>
      </c>
      <c r="KS51" s="45">
        <f t="shared" si="575"/>
        <v>2.7489999999999997</v>
      </c>
      <c r="KT51" s="45">
        <f t="shared" si="266"/>
        <v>1</v>
      </c>
      <c r="KU51" s="45">
        <f t="shared" si="267"/>
        <v>2</v>
      </c>
      <c r="KV51" s="45">
        <f t="shared" si="268"/>
        <v>0</v>
      </c>
      <c r="KW51" s="46" cm="1">
        <f t="array" ref="KW51">ROUND(IFERROR(INDEX(ArchiveResults!$F$5:$IX$116,ComparisonData!A51,ComparisonData!$KW$1),0),5)</f>
        <v>0</v>
      </c>
      <c r="KX51" s="46" cm="1">
        <f t="array" ref="KX51">ROUND(IFERROR(INDEX(ArchiveResults!$F$5:$IX$116,ComparisonData!A51,ComparisonData!$KX$1),0),5)</f>
        <v>0</v>
      </c>
      <c r="KY51" s="46" cm="1">
        <f t="array" ref="KY51">ROUND(IFERROR(INDEX(ArchiveResults!$F$5:$IX$116,ComparisonData!A51,ComparisonData!$KY$1),0),5)</f>
        <v>0</v>
      </c>
      <c r="KZ51" s="46" cm="1">
        <f t="array" ref="KZ51">ROUND(IFERROR(INDEX(ArchiveResults!$F$5:$IX$116,ComparisonData!A51,ComparisonData!$KZ$1),0),5)</f>
        <v>0</v>
      </c>
      <c r="LA51" s="45" cm="1">
        <f t="array" ref="LA51">IFERROR(INDEX(ArchiveResults!$F$5:$IX$116,ComparisonData!A51,ComparisonData!$LA$1),0)</f>
        <v>0</v>
      </c>
      <c r="LB51" s="56">
        <v>46</v>
      </c>
      <c r="LC51" s="53" t="str">
        <f t="shared" si="576"/>
        <v>Kingston University, Archives and Special Collections</v>
      </c>
      <c r="LD51" s="59">
        <f t="shared" si="269"/>
        <v>0</v>
      </c>
      <c r="LE51" s="59">
        <f t="shared" si="270"/>
        <v>0</v>
      </c>
      <c r="LF51" s="59">
        <f t="shared" si="271"/>
        <v>0</v>
      </c>
      <c r="LG51" s="59">
        <f t="shared" si="272"/>
        <v>0</v>
      </c>
      <c r="LH51" s="59">
        <f t="shared" si="273"/>
        <v>0</v>
      </c>
      <c r="LI51" s="58">
        <f t="shared" si="274"/>
        <v>0</v>
      </c>
      <c r="LJ51" s="45">
        <f t="shared" si="275"/>
        <v>63</v>
      </c>
      <c r="LK51" s="45">
        <f t="shared" si="577"/>
        <v>2.7489999999999997</v>
      </c>
      <c r="LL51" s="45">
        <f t="shared" si="276"/>
        <v>1</v>
      </c>
      <c r="LM51" s="45">
        <f t="shared" si="277"/>
        <v>2</v>
      </c>
      <c r="LN51" s="45">
        <f t="shared" si="278"/>
        <v>0</v>
      </c>
      <c r="LO51" s="46" cm="1">
        <f t="array" ref="LO51">ROUND(IFERROR(INDEX(ArchiveResults!$F$5:$IX$116,ComparisonData!A51,ComparisonData!$LO$1),0),5)</f>
        <v>0</v>
      </c>
      <c r="LP51" s="46" cm="1">
        <f t="array" ref="LP51">ROUND(IFERROR(INDEX(ArchiveResults!$F$5:$IX$116,ComparisonData!A51,ComparisonData!$LP$1),0),5)</f>
        <v>0</v>
      </c>
      <c r="LQ51" s="46" cm="1">
        <f t="array" ref="LQ51">ROUND(IFERROR(INDEX(ArchiveResults!$F$5:$IX$116,ComparisonData!A51,ComparisonData!$LQ$1),0),5)</f>
        <v>0</v>
      </c>
      <c r="LR51" s="46" cm="1">
        <f t="array" ref="LR51">ROUND(IFERROR(INDEX(ArchiveResults!$F$5:$IX$116,ComparisonData!A51,ComparisonData!$LR$1),0),5)</f>
        <v>0</v>
      </c>
      <c r="LS51" s="45" cm="1">
        <f t="array" ref="LS51">IFERROR(INDEX(ArchiveResults!$F$5:$IX$116,ComparisonData!A51,ComparisonData!$LS$1),0)</f>
        <v>0</v>
      </c>
      <c r="LT51" s="56">
        <v>46</v>
      </c>
      <c r="LU51" s="53" t="str">
        <f t="shared" si="578"/>
        <v>Kingston University, Archives and Special Collections</v>
      </c>
      <c r="LV51" s="59">
        <f t="shared" si="279"/>
        <v>0</v>
      </c>
      <c r="LW51" s="59">
        <f t="shared" si="280"/>
        <v>0</v>
      </c>
      <c r="LX51" s="59">
        <f t="shared" si="281"/>
        <v>0</v>
      </c>
      <c r="LY51" s="59">
        <f t="shared" si="282"/>
        <v>0</v>
      </c>
      <c r="LZ51" s="59">
        <f t="shared" si="283"/>
        <v>0</v>
      </c>
      <c r="MA51" s="58">
        <f t="shared" si="284"/>
        <v>0</v>
      </c>
      <c r="MB51" s="45">
        <f t="shared" si="285"/>
        <v>63</v>
      </c>
      <c r="MC51" s="45">
        <f t="shared" si="579"/>
        <v>2.7489999999999997</v>
      </c>
      <c r="MD51" s="45">
        <f t="shared" si="286"/>
        <v>1</v>
      </c>
      <c r="ME51" s="45">
        <f t="shared" si="287"/>
        <v>2</v>
      </c>
      <c r="MF51" s="45">
        <f t="shared" si="288"/>
        <v>0</v>
      </c>
      <c r="MG51" s="46" cm="1">
        <f t="array" ref="MG51">ROUND(IFERROR(INDEX(ArchiveResults!$F$5:$IX$116,ComparisonData!A51,ComparisonData!$MG$1),0),5)</f>
        <v>0</v>
      </c>
      <c r="MH51" s="46" cm="1">
        <f t="array" ref="MH51">ROUND(IFERROR(INDEX(ArchiveResults!$F$5:$IX$116,ComparisonData!A51,ComparisonData!$MH$1),0),5)</f>
        <v>0</v>
      </c>
      <c r="MI51" s="46" cm="1">
        <f t="array" ref="MI51">ROUND(IFERROR(INDEX(ArchiveResults!$F$5:$IX$116,ComparisonData!A51,ComparisonData!$MI$1),0),5)</f>
        <v>0</v>
      </c>
      <c r="MJ51" s="46" cm="1">
        <f t="array" ref="MJ51">ROUND(IFERROR(INDEX(ArchiveResults!$F$5:$IX$116,ComparisonData!A51,ComparisonData!$MJ$1),0),5)</f>
        <v>0</v>
      </c>
      <c r="MK51" s="45" cm="1">
        <f t="array" ref="MK51">IFERROR(INDEX(ArchiveResults!$F$5:$IX$116,ComparisonData!A51,ComparisonData!$MK$1),0)</f>
        <v>0</v>
      </c>
      <c r="ML51" s="56">
        <v>46</v>
      </c>
      <c r="MM51" s="53" t="str">
        <f t="shared" si="580"/>
        <v>Kingston University, Archives and Special Collections</v>
      </c>
      <c r="MN51" s="59">
        <f t="shared" si="289"/>
        <v>0</v>
      </c>
      <c r="MO51" s="59">
        <f t="shared" si="290"/>
        <v>0</v>
      </c>
      <c r="MP51" s="59">
        <f t="shared" si="291"/>
        <v>0</v>
      </c>
      <c r="MQ51" s="59">
        <f t="shared" si="292"/>
        <v>0</v>
      </c>
      <c r="MR51" s="59">
        <f t="shared" si="293"/>
        <v>0</v>
      </c>
      <c r="MS51" s="58">
        <f t="shared" si="294"/>
        <v>0</v>
      </c>
      <c r="MT51" s="45">
        <f t="shared" si="295"/>
        <v>63</v>
      </c>
      <c r="MU51" s="45">
        <f t="shared" si="581"/>
        <v>2.7489999999999997</v>
      </c>
      <c r="MV51" s="45">
        <f t="shared" si="296"/>
        <v>1</v>
      </c>
      <c r="MW51" s="45">
        <f t="shared" si="297"/>
        <v>2</v>
      </c>
      <c r="MX51" s="45">
        <f t="shared" si="298"/>
        <v>0</v>
      </c>
      <c r="MY51" s="46" cm="1">
        <f t="array" ref="MY51">ROUND(IFERROR(INDEX(ArchiveResults!$F$5:$IX$116,ComparisonData!A51,ComparisonData!$MY$1),0),5)</f>
        <v>0</v>
      </c>
      <c r="MZ51" s="46" cm="1">
        <f t="array" ref="MZ51">ROUND(IFERROR(INDEX(ArchiveResults!$F$5:$IX$116,ComparisonData!A51,ComparisonData!$MZ$1),0),5)</f>
        <v>0</v>
      </c>
      <c r="NA51" s="46" cm="1">
        <f t="array" ref="NA51">ROUND(IFERROR(INDEX(ArchiveResults!$F$5:$IX$116,ComparisonData!A51,ComparisonData!$NA$1),0),5)</f>
        <v>0</v>
      </c>
      <c r="NB51" s="46" cm="1">
        <f t="array" ref="NB51">ROUND(IFERROR(INDEX(ArchiveResults!$F$5:$IX$116,ComparisonData!A51,ComparisonData!$NB$1),0),5)</f>
        <v>0</v>
      </c>
      <c r="NC51" s="45" cm="1">
        <f t="array" ref="NC51">IFERROR(INDEX(ArchiveResults!$F$5:$IX$116,ComparisonData!A51,ComparisonData!$NC$1),0)</f>
        <v>0</v>
      </c>
      <c r="ND51" s="56">
        <v>46</v>
      </c>
      <c r="NE51" s="53" t="str">
        <f t="shared" si="582"/>
        <v>Kingston University, Archives and Special Collections</v>
      </c>
      <c r="NF51" s="59">
        <f t="shared" si="299"/>
        <v>0</v>
      </c>
      <c r="NG51" s="59">
        <f t="shared" si="300"/>
        <v>0</v>
      </c>
      <c r="NH51" s="59">
        <f t="shared" si="301"/>
        <v>0</v>
      </c>
      <c r="NI51" s="59">
        <f t="shared" si="302"/>
        <v>0</v>
      </c>
      <c r="NJ51" s="59">
        <f t="shared" si="303"/>
        <v>0</v>
      </c>
      <c r="NK51" s="58">
        <f t="shared" si="304"/>
        <v>0</v>
      </c>
      <c r="NL51" s="45">
        <f t="shared" si="305"/>
        <v>63</v>
      </c>
      <c r="NM51" s="45">
        <f t="shared" si="583"/>
        <v>2.7489999999999997</v>
      </c>
      <c r="NN51" s="45">
        <f t="shared" si="306"/>
        <v>1</v>
      </c>
      <c r="NO51" s="45">
        <f t="shared" si="307"/>
        <v>2</v>
      </c>
      <c r="NP51" s="46" cm="1">
        <f t="array" ref="NP51">ROUND(IFERROR(INDEX(ArchiveResults!$F$5:$IX$116,ComparisonData!A51,ComparisonData!$NP$1),0),5)</f>
        <v>0</v>
      </c>
      <c r="NQ51" s="46" cm="1">
        <f t="array" ref="NQ51">ROUND(IFERROR(INDEX(ArchiveResults!$F$5:$IX$116,ComparisonData!A51,ComparisonData!$NQ$1),0),5)</f>
        <v>0</v>
      </c>
      <c r="NR51" s="46" cm="1">
        <f t="array" ref="NR51">ROUND(IFERROR(INDEX(ArchiveResults!$F$5:$IX$116,ComparisonData!A51,ComparisonData!$NR$1),0),5)</f>
        <v>0</v>
      </c>
      <c r="NS51" s="46" cm="1">
        <f t="array" ref="NS51">ROUND(IFERROR(INDEX(ArchiveResults!$F$5:$IX$116,ComparisonData!A51,ComparisonData!$NS$1),0),5)</f>
        <v>0</v>
      </c>
      <c r="NT51" s="45" cm="1">
        <f t="array" ref="NT51">IFERROR(INDEX(ArchiveResults!$F$5:$IX$116,ComparisonData!A51,ComparisonData!$NT$1),0)</f>
        <v>0</v>
      </c>
      <c r="NU51" s="56">
        <v>46</v>
      </c>
      <c r="NV51" s="53" t="str">
        <f t="shared" si="584"/>
        <v>Kingston University, Archives and Special Collections</v>
      </c>
      <c r="NW51" s="59">
        <f t="shared" si="308"/>
        <v>0</v>
      </c>
      <c r="NX51" s="59">
        <f t="shared" si="309"/>
        <v>0</v>
      </c>
      <c r="NY51" s="59">
        <f t="shared" si="310"/>
        <v>0</v>
      </c>
      <c r="NZ51" s="59">
        <f t="shared" si="311"/>
        <v>0</v>
      </c>
      <c r="OA51" s="59">
        <f t="shared" si="312"/>
        <v>0</v>
      </c>
      <c r="OB51" s="58">
        <f t="shared" si="313"/>
        <v>0</v>
      </c>
      <c r="OC51" s="45">
        <f t="shared" si="314"/>
        <v>63</v>
      </c>
      <c r="OD51" s="45">
        <f t="shared" si="585"/>
        <v>2.7489999999999997</v>
      </c>
      <c r="OE51" s="45">
        <f t="shared" si="315"/>
        <v>1</v>
      </c>
      <c r="OF51" s="45">
        <f t="shared" si="316"/>
        <v>2</v>
      </c>
      <c r="OG51" s="46">
        <f t="shared" si="317"/>
        <v>0</v>
      </c>
      <c r="OH51" s="46" cm="1">
        <f t="array" ref="OH51">ROUND(IFERROR(INDEX(ArchiveResults!$F$5:$IX$116,ComparisonData!A51,ComparisonData!$OH$1),0),5)</f>
        <v>0</v>
      </c>
      <c r="OI51" s="46" cm="1">
        <f t="array" ref="OI51">ROUND(IFERROR(INDEX(ArchiveResults!$F$5:$IX$116,ComparisonData!A51,ComparisonData!$OI$1),0),5)</f>
        <v>0</v>
      </c>
      <c r="OJ51" s="46" cm="1">
        <f t="array" ref="OJ51">ROUND(IFERROR(INDEX(ArchiveResults!$F$5:$IX$116,ComparisonData!A51,ComparisonData!$OJ$1),0),5)</f>
        <v>0</v>
      </c>
      <c r="OK51" s="46" cm="1">
        <f t="array" ref="OK51">ROUND(IFERROR(INDEX(ArchiveResults!$F$5:$IX$116,ComparisonData!A51,ComparisonData!$OK$1),0),5)</f>
        <v>0</v>
      </c>
      <c r="OL51" s="45" cm="1">
        <f t="array" ref="OL51">IFERROR(INDEX(ArchiveResults!$F$5:$IX$116,ComparisonData!A51,ComparisonData!$OL$1),0)</f>
        <v>0</v>
      </c>
      <c r="OM51" s="56">
        <v>46</v>
      </c>
      <c r="ON51" s="53" t="str">
        <f t="shared" si="586"/>
        <v>Kingston University, Archives and Special Collections</v>
      </c>
      <c r="OO51" s="59">
        <f t="shared" si="318"/>
        <v>0</v>
      </c>
      <c r="OP51" s="59">
        <f t="shared" si="319"/>
        <v>0</v>
      </c>
      <c r="OQ51" s="59">
        <f t="shared" si="320"/>
        <v>0</v>
      </c>
      <c r="OR51" s="59">
        <f t="shared" si="321"/>
        <v>0</v>
      </c>
      <c r="OS51" s="59">
        <f t="shared" si="322"/>
        <v>0</v>
      </c>
      <c r="OT51" s="58">
        <f t="shared" si="323"/>
        <v>0</v>
      </c>
      <c r="OU51" s="45">
        <f t="shared" si="324"/>
        <v>63</v>
      </c>
      <c r="OV51" s="45">
        <f t="shared" si="587"/>
        <v>2.7489999999999997</v>
      </c>
      <c r="OW51" s="45">
        <f t="shared" si="325"/>
        <v>1</v>
      </c>
      <c r="OX51" s="45">
        <f t="shared" si="326"/>
        <v>2</v>
      </c>
      <c r="OY51" s="45">
        <f t="shared" si="327"/>
        <v>0</v>
      </c>
      <c r="OZ51" s="46" cm="1">
        <f t="array" ref="OZ51">ROUND(IFERROR(INDEX(ArchiveResults!$F$5:$IX$116,ComparisonData!A51,ComparisonData!$OZ$1),0),5)</f>
        <v>0</v>
      </c>
      <c r="PA51" s="46" cm="1">
        <f t="array" ref="PA51">ROUND(IFERROR(INDEX(ArchiveResults!$F$5:$IX$116,ComparisonData!A51,ComparisonData!$PA$1),0),5)</f>
        <v>0</v>
      </c>
      <c r="PB51" s="46" cm="1">
        <f t="array" ref="PB51">ROUND(IFERROR(INDEX(ArchiveResults!$F$5:$IX$116,ComparisonData!A51,ComparisonData!$PB$1),0),5)</f>
        <v>0</v>
      </c>
      <c r="PC51" s="46" cm="1">
        <f t="array" ref="PC51">ROUND(IFERROR(INDEX(ArchiveResults!$F$5:$IX$116,ComparisonData!A51,ComparisonData!$PC$1),0),5)</f>
        <v>0</v>
      </c>
      <c r="PD51" s="45" cm="1">
        <f t="array" ref="PD51">IFERROR(INDEX(ArchiveResults!$F$5:$IX$116,ComparisonData!A51,ComparisonData!$PD$1),0)</f>
        <v>0</v>
      </c>
      <c r="PE51" s="56">
        <v>46</v>
      </c>
      <c r="PF51" s="53" t="str">
        <f t="shared" si="588"/>
        <v>Kingston University, Archives and Special Collections</v>
      </c>
      <c r="PG51" s="59">
        <f t="shared" si="328"/>
        <v>0</v>
      </c>
      <c r="PH51" s="59">
        <f t="shared" si="329"/>
        <v>0</v>
      </c>
      <c r="PI51" s="59">
        <f t="shared" si="330"/>
        <v>0</v>
      </c>
      <c r="PJ51" s="59">
        <f t="shared" si="331"/>
        <v>0</v>
      </c>
      <c r="PK51" s="59">
        <f t="shared" si="332"/>
        <v>0</v>
      </c>
      <c r="PL51" s="58">
        <f t="shared" si="333"/>
        <v>0</v>
      </c>
      <c r="PM51" s="45">
        <f t="shared" si="334"/>
        <v>63</v>
      </c>
      <c r="PN51" s="45">
        <f t="shared" si="589"/>
        <v>2.7489999999999997</v>
      </c>
      <c r="PO51" s="45">
        <f t="shared" si="335"/>
        <v>1</v>
      </c>
      <c r="PP51" s="45">
        <f t="shared" si="336"/>
        <v>2</v>
      </c>
      <c r="PQ51" s="45">
        <f t="shared" si="337"/>
        <v>0</v>
      </c>
      <c r="PR51" s="46" cm="1">
        <f t="array" ref="PR51">ROUND(IFERROR(INDEX(ArchiveResults!$F$5:$IX$116,ComparisonData!A51,ComparisonData!$PR$1),0),5)</f>
        <v>0</v>
      </c>
      <c r="PS51" s="46" cm="1">
        <f t="array" ref="PS51">ROUND(IFERROR(INDEX(ArchiveResults!$F$5:$IX$116,ComparisonData!A51,ComparisonData!$PS$1),0),5)</f>
        <v>0</v>
      </c>
      <c r="PT51" s="46" cm="1">
        <f t="array" ref="PT51">ROUND(IFERROR(INDEX(ArchiveResults!$F$5:$IX$116,ComparisonData!A51,ComparisonData!$PT$1),0),5)</f>
        <v>0</v>
      </c>
      <c r="PU51" s="46" cm="1">
        <f t="array" ref="PU51">ROUND(IFERROR(INDEX(ArchiveResults!$F$5:$IX$116,ComparisonData!A51,ComparisonData!$PU$1),0),5)</f>
        <v>0</v>
      </c>
      <c r="PV51" s="45" cm="1">
        <f t="array" ref="PV51">IFERROR(INDEX(ArchiveResults!$F$5:$IX$116,ComparisonData!A51,ComparisonData!$PV$1),0)</f>
        <v>0</v>
      </c>
      <c r="PW51" s="56">
        <v>46</v>
      </c>
      <c r="PX51" s="53" t="str">
        <f t="shared" si="590"/>
        <v>Kingston University, Archives and Special Collections</v>
      </c>
      <c r="PY51" s="59">
        <f t="shared" si="338"/>
        <v>0</v>
      </c>
      <c r="PZ51" s="59">
        <f t="shared" si="339"/>
        <v>0</v>
      </c>
      <c r="QA51" s="59">
        <f t="shared" si="340"/>
        <v>0</v>
      </c>
      <c r="QB51" s="59">
        <f t="shared" si="341"/>
        <v>0</v>
      </c>
      <c r="QC51" s="59">
        <f t="shared" si="342"/>
        <v>0</v>
      </c>
      <c r="QD51" s="58">
        <f t="shared" si="343"/>
        <v>0</v>
      </c>
      <c r="QE51" s="45">
        <f t="shared" si="344"/>
        <v>63</v>
      </c>
      <c r="QF51" s="45">
        <f t="shared" si="591"/>
        <v>2.7489999999999997</v>
      </c>
      <c r="QG51" s="45">
        <f t="shared" si="345"/>
        <v>1</v>
      </c>
      <c r="QH51" s="45">
        <f t="shared" si="346"/>
        <v>2</v>
      </c>
      <c r="QI51" s="45">
        <f t="shared" si="347"/>
        <v>0</v>
      </c>
      <c r="QJ51" s="46" cm="1">
        <f t="array" ref="QJ51">ROUND(IFERROR(INDEX(ArchiveResults!$F$5:$IX$116,ComparisonData!A51,ComparisonData!$QJ$1),0),5)</f>
        <v>0</v>
      </c>
      <c r="QK51" s="46" cm="1">
        <f t="array" ref="QK51">ROUND(IFERROR(INDEX(ArchiveResults!$F$5:$IX$116,ComparisonData!A51,ComparisonData!$QK$1),0),5)</f>
        <v>0</v>
      </c>
      <c r="QL51" s="46" cm="1">
        <f t="array" ref="QL51">ROUND(IFERROR(INDEX(ArchiveResults!$F$5:$IX$116,ComparisonData!A51,ComparisonData!$QL$1),0),5)</f>
        <v>0</v>
      </c>
      <c r="QM51" s="46" cm="1">
        <f t="array" ref="QM51">ROUND(IFERROR(INDEX(ArchiveResults!$F$5:$IX$116,ComparisonData!A51,ComparisonData!$QM$1),0),5)</f>
        <v>0</v>
      </c>
      <c r="QN51" s="45" cm="1">
        <f t="array" ref="QN51">IFERROR(INDEX(ArchiveResults!$F$5:$IX$116,ComparisonData!A51,ComparisonData!$QN$1),0)</f>
        <v>0</v>
      </c>
      <c r="QO51" s="56">
        <v>46</v>
      </c>
      <c r="QP51" s="53" t="str">
        <f t="shared" si="592"/>
        <v>Kingston University, Archives and Special Collections</v>
      </c>
      <c r="QQ51" s="59">
        <f t="shared" si="348"/>
        <v>0</v>
      </c>
      <c r="QR51" s="59">
        <f t="shared" si="349"/>
        <v>0</v>
      </c>
      <c r="QS51" s="59">
        <f t="shared" si="350"/>
        <v>0</v>
      </c>
      <c r="QT51" s="59">
        <f t="shared" si="351"/>
        <v>0</v>
      </c>
      <c r="QU51" s="59">
        <f t="shared" si="352"/>
        <v>0</v>
      </c>
      <c r="QV51" s="58">
        <f t="shared" si="353"/>
        <v>0</v>
      </c>
      <c r="QW51" s="45">
        <f t="shared" si="354"/>
        <v>63</v>
      </c>
      <c r="QX51" s="45">
        <f t="shared" si="593"/>
        <v>2.7489999999999997</v>
      </c>
      <c r="QY51" s="45">
        <f t="shared" si="355"/>
        <v>1</v>
      </c>
      <c r="QZ51" s="45">
        <f t="shared" si="356"/>
        <v>2</v>
      </c>
      <c r="RA51" s="45">
        <f t="shared" si="357"/>
        <v>0</v>
      </c>
      <c r="RB51" s="46" cm="1">
        <f t="array" ref="RB51">ROUND(IFERROR(INDEX(ArchiveResults!$F$5:$IX$116,ComparisonData!A51,ComparisonData!$RB$1),0),5)</f>
        <v>0</v>
      </c>
      <c r="RC51" s="46" cm="1">
        <f t="array" ref="RC51">ROUND(IFERROR(INDEX(ArchiveResults!$F$5:$IX$116,ComparisonData!A51,ComparisonData!$RC$1),0),5)</f>
        <v>0</v>
      </c>
      <c r="RD51" s="46" cm="1">
        <f t="array" ref="RD51">ROUND(IFERROR(INDEX(ArchiveResults!$F$5:$IX$116,ComparisonData!A51,ComparisonData!$RD$1),0),5)</f>
        <v>0</v>
      </c>
      <c r="RE51" s="46" cm="1">
        <f t="array" ref="RE51">ROUND(IFERROR(INDEX(ArchiveResults!$F$5:$IX$116,ComparisonData!A51,ComparisonData!$RE$1),0),5)</f>
        <v>0</v>
      </c>
      <c r="RF51" s="45" cm="1">
        <f t="array" ref="RF51">IFERROR(INDEX(ArchiveResults!$F$5:$IX$116,ComparisonData!A51,ComparisonData!$RF$1),0)</f>
        <v>0</v>
      </c>
      <c r="RG51" s="56">
        <v>46</v>
      </c>
      <c r="RH51" s="53" t="str">
        <f t="shared" si="594"/>
        <v>Kingston University, Archives and Special Collections</v>
      </c>
      <c r="RI51" s="59">
        <f t="shared" si="358"/>
        <v>0</v>
      </c>
      <c r="RJ51" s="59">
        <f t="shared" si="359"/>
        <v>0</v>
      </c>
      <c r="RK51" s="59">
        <f t="shared" si="360"/>
        <v>0</v>
      </c>
      <c r="RL51" s="59">
        <f t="shared" si="361"/>
        <v>0</v>
      </c>
      <c r="RM51" s="59">
        <f t="shared" si="362"/>
        <v>0</v>
      </c>
      <c r="RN51" s="58">
        <f t="shared" si="363"/>
        <v>0</v>
      </c>
      <c r="RO51" s="45">
        <f t="shared" si="364"/>
        <v>63</v>
      </c>
      <c r="RP51" s="45">
        <f t="shared" si="595"/>
        <v>2.7489999999999997</v>
      </c>
      <c r="RQ51" s="45">
        <f t="shared" si="365"/>
        <v>1</v>
      </c>
      <c r="RR51" s="45">
        <f t="shared" si="366"/>
        <v>2</v>
      </c>
      <c r="RS51" s="45">
        <f t="shared" si="367"/>
        <v>0</v>
      </c>
      <c r="RT51" s="46" cm="1">
        <f t="array" ref="RT51">ROUND(IFERROR(INDEX(ArchiveResults!$F$5:$IX$116,ComparisonData!A51,ComparisonData!$RT$1),0),5)</f>
        <v>0</v>
      </c>
      <c r="RU51" s="46" cm="1">
        <f t="array" ref="RU51">ROUND(IFERROR(INDEX(ArchiveResults!$F$5:$IX$116,ComparisonData!A51,ComparisonData!$RU$1),0),5)</f>
        <v>0</v>
      </c>
      <c r="RV51" s="46" cm="1">
        <f t="array" ref="RV51">ROUND(IFERROR(INDEX(ArchiveResults!$F$5:$IX$116,ComparisonData!A51,ComparisonData!$RV$1),0),5)</f>
        <v>0</v>
      </c>
      <c r="RW51" s="46" cm="1">
        <f t="array" ref="RW51">ROUND(IFERROR(INDEX(ArchiveResults!$F$5:$IX$116,ComparisonData!A51,ComparisonData!$RW$1),0),5)</f>
        <v>0</v>
      </c>
      <c r="RX51" s="45" cm="1">
        <f t="array" ref="RX51">IFERROR(INDEX(ArchiveResults!$F$5:$IX$116,ComparisonData!A51,ComparisonData!$RX$1),0)</f>
        <v>0</v>
      </c>
      <c r="RY51" s="56">
        <v>46</v>
      </c>
      <c r="RZ51" s="53" t="str">
        <f t="shared" si="596"/>
        <v>Kingston University, Archives and Special Collections</v>
      </c>
      <c r="SA51" s="59">
        <f t="shared" si="368"/>
        <v>0</v>
      </c>
      <c r="SB51" s="59">
        <f t="shared" si="369"/>
        <v>0</v>
      </c>
      <c r="SC51" s="59">
        <f t="shared" si="370"/>
        <v>0</v>
      </c>
      <c r="SD51" s="59">
        <f t="shared" si="371"/>
        <v>0</v>
      </c>
      <c r="SE51" s="59">
        <f t="shared" si="372"/>
        <v>0</v>
      </c>
      <c r="SF51" s="58">
        <f t="shared" si="373"/>
        <v>0</v>
      </c>
      <c r="SG51" s="45">
        <f t="shared" si="374"/>
        <v>63</v>
      </c>
      <c r="SH51" s="45">
        <f t="shared" si="597"/>
        <v>2.7489999999999997</v>
      </c>
      <c r="SI51" s="45">
        <f t="shared" si="375"/>
        <v>1</v>
      </c>
      <c r="SJ51" s="45">
        <f t="shared" si="376"/>
        <v>2</v>
      </c>
      <c r="SK51" s="45">
        <f t="shared" si="377"/>
        <v>0</v>
      </c>
      <c r="SL51" s="46" cm="1">
        <f t="array" ref="SL51">ROUND(IFERROR(INDEX(ArchiveResults!$F$5:$IX$116,ComparisonData!A51,ComparisonData!$SL$1),0),5)</f>
        <v>0</v>
      </c>
      <c r="SM51" s="46" cm="1">
        <f t="array" ref="SM51">ROUND(IFERROR(INDEX(ArchiveResults!$F$5:$IX$116,ComparisonData!A51,ComparisonData!$SM$1),0),5)</f>
        <v>0</v>
      </c>
      <c r="SN51" s="46" cm="1">
        <f t="array" ref="SN51">ROUND(IFERROR(INDEX(ArchiveResults!$F$5:$IX$116,ComparisonData!A51,ComparisonData!$SN$1),0),5)</f>
        <v>0</v>
      </c>
      <c r="SO51" s="46" cm="1">
        <f t="array" ref="SO51">ROUND(IFERROR(INDEX(ArchiveResults!$F$5:$IX$116,ComparisonData!A51,ComparisonData!$SO$1),0),5)</f>
        <v>0</v>
      </c>
      <c r="SP51" s="45" cm="1">
        <f t="array" ref="SP51">IFERROR(INDEX(ArchiveResults!$F$5:$IX$116,ComparisonData!A51,ComparisonData!$SP$1),0)</f>
        <v>0</v>
      </c>
      <c r="SQ51" s="56">
        <v>46</v>
      </c>
      <c r="SR51" s="53" t="str">
        <f t="shared" si="598"/>
        <v>Kingston University, Archives and Special Collections</v>
      </c>
      <c r="SS51" s="59">
        <f t="shared" si="378"/>
        <v>0</v>
      </c>
      <c r="ST51" s="59">
        <f t="shared" si="379"/>
        <v>0</v>
      </c>
      <c r="SU51" s="59">
        <f t="shared" si="380"/>
        <v>0</v>
      </c>
      <c r="SV51" s="59">
        <f t="shared" si="381"/>
        <v>0</v>
      </c>
      <c r="SW51" s="59">
        <f t="shared" si="382"/>
        <v>0</v>
      </c>
      <c r="SX51" s="58">
        <f t="shared" si="383"/>
        <v>0</v>
      </c>
      <c r="SY51" s="45">
        <f t="shared" si="384"/>
        <v>63</v>
      </c>
      <c r="SZ51" s="45">
        <f t="shared" si="599"/>
        <v>2.7489999999999997</v>
      </c>
      <c r="TA51" s="45">
        <f t="shared" si="385"/>
        <v>1</v>
      </c>
      <c r="TB51" s="45">
        <f t="shared" si="386"/>
        <v>2</v>
      </c>
      <c r="TC51" s="45">
        <f t="shared" si="387"/>
        <v>0</v>
      </c>
      <c r="TD51" s="46" cm="1">
        <f t="array" ref="TD51">ROUND(IFERROR(INDEX(ArchiveResults!$F$5:$IX$116,ComparisonData!A51,ComparisonData!$TD$1),0),5)</f>
        <v>0</v>
      </c>
      <c r="TE51" s="46" cm="1">
        <f t="array" ref="TE51">ROUND(IFERROR(INDEX(ArchiveResults!$F$5:$IX$116,ComparisonData!A51,ComparisonData!$TE$1),0),5)</f>
        <v>0</v>
      </c>
      <c r="TF51" s="46" cm="1">
        <f t="array" ref="TF51">ROUND(IFERROR(INDEX(ArchiveResults!$F$5:$IX$116,ComparisonData!A51,ComparisonData!$TF$1),0),5)</f>
        <v>0</v>
      </c>
      <c r="TG51" s="46" cm="1">
        <f t="array" ref="TG51">ROUND(IFERROR(INDEX(ArchiveResults!$F$5:$IX$116,ComparisonData!A51,ComparisonData!$TG$1),0),5)</f>
        <v>0</v>
      </c>
      <c r="TH51" s="45" cm="1">
        <f t="array" ref="TH51">IFERROR(INDEX(ArchiveResults!$F$5:$IX$116,ComparisonData!A51,ComparisonData!$TH$1),0)</f>
        <v>0</v>
      </c>
      <c r="TI51" s="56">
        <v>46</v>
      </c>
      <c r="TJ51" s="53" t="str">
        <f t="shared" si="600"/>
        <v>Kingston University, Archives and Special Collections</v>
      </c>
      <c r="TK51" s="59">
        <f t="shared" si="388"/>
        <v>0</v>
      </c>
      <c r="TL51" s="59">
        <f t="shared" si="389"/>
        <v>0</v>
      </c>
      <c r="TM51" s="59">
        <f t="shared" si="390"/>
        <v>0</v>
      </c>
      <c r="TN51" s="59">
        <f t="shared" si="391"/>
        <v>0</v>
      </c>
      <c r="TO51" s="59">
        <f t="shared" si="392"/>
        <v>0</v>
      </c>
      <c r="TP51" s="58">
        <f t="shared" si="393"/>
        <v>0</v>
      </c>
      <c r="TQ51" s="45">
        <f t="shared" si="394"/>
        <v>63</v>
      </c>
      <c r="TR51" s="45">
        <f t="shared" si="601"/>
        <v>2.7489999999999997</v>
      </c>
      <c r="TS51" s="45">
        <f t="shared" si="395"/>
        <v>1</v>
      </c>
      <c r="TT51" s="45">
        <f t="shared" si="396"/>
        <v>2</v>
      </c>
      <c r="TU51" s="45">
        <f t="shared" si="397"/>
        <v>0</v>
      </c>
      <c r="TV51" s="46" cm="1">
        <f t="array" ref="TV51">ROUND(IFERROR(INDEX(ArchiveResults!$F$5:$IX$116,ComparisonData!A51,ComparisonData!$TV$1),0),5)</f>
        <v>0</v>
      </c>
      <c r="TW51" s="46" cm="1">
        <f t="array" ref="TW51">ROUND(IFERROR(INDEX(ArchiveResults!$F$5:$IX$116,ComparisonData!A51,ComparisonData!$TW$1),0),5)</f>
        <v>0</v>
      </c>
      <c r="TX51" s="46" cm="1">
        <f t="array" ref="TX51">ROUND(IFERROR(INDEX(ArchiveResults!$F$5:$IX$116,ComparisonData!A51,ComparisonData!$TX$1),0),5)</f>
        <v>0</v>
      </c>
      <c r="TY51" s="46" cm="1">
        <f t="array" ref="TY51">ROUND(IFERROR(INDEX(ArchiveResults!$F$5:$IX$116,ComparisonData!A51,ComparisonData!$TY$1),0),5)</f>
        <v>0</v>
      </c>
      <c r="TZ51" s="45" cm="1">
        <f t="array" ref="TZ51">IFERROR(INDEX(ArchiveResults!$F$5:$IX$116,ComparisonData!A51,ComparisonData!$TZ$1),0)</f>
        <v>0</v>
      </c>
      <c r="UA51" s="56">
        <v>46</v>
      </c>
      <c r="UB51" s="53" t="str">
        <f t="shared" si="602"/>
        <v>Kingston University, Archives and Special Collections</v>
      </c>
      <c r="UC51" s="60">
        <f t="shared" si="398"/>
        <v>0</v>
      </c>
      <c r="UD51" s="60">
        <f t="shared" si="399"/>
        <v>0</v>
      </c>
      <c r="UE51" s="60">
        <f t="shared" si="400"/>
        <v>0</v>
      </c>
      <c r="UF51" s="60">
        <f t="shared" si="401"/>
        <v>0</v>
      </c>
      <c r="UG51" s="60">
        <f t="shared" si="402"/>
        <v>0</v>
      </c>
      <c r="UH51" s="58">
        <f t="shared" si="403"/>
        <v>0</v>
      </c>
      <c r="UI51" s="46">
        <f t="shared" si="404"/>
        <v>63</v>
      </c>
      <c r="UJ51" s="46">
        <f t="shared" si="603"/>
        <v>2.7489999999999997</v>
      </c>
      <c r="UK51" s="46">
        <f t="shared" si="405"/>
        <v>1</v>
      </c>
      <c r="UL51" s="46">
        <f t="shared" si="406"/>
        <v>2</v>
      </c>
      <c r="UM51" s="46" cm="1">
        <f t="array" ref="UM51">ROUND(IFERROR(INDEX(ArchiveResults!$F$5:$IX$116,ComparisonData!A51,ComparisonData!$UM$1),0),5)</f>
        <v>0</v>
      </c>
      <c r="UN51" s="56">
        <v>46</v>
      </c>
      <c r="UO51" s="53" t="str">
        <f t="shared" si="604"/>
        <v>Kingston University, Archives and Special Collections</v>
      </c>
      <c r="UP51" s="46">
        <f t="shared" si="407"/>
        <v>0</v>
      </c>
      <c r="UQ51" s="76">
        <f t="shared" si="408"/>
        <v>0</v>
      </c>
      <c r="UR51" s="46">
        <f t="shared" si="409"/>
        <v>63</v>
      </c>
      <c r="US51" s="46">
        <f t="shared" si="605"/>
        <v>2.7489999999999997</v>
      </c>
      <c r="UT51" s="46">
        <f t="shared" si="410"/>
        <v>1</v>
      </c>
      <c r="UU51" s="46">
        <f t="shared" si="411"/>
        <v>2</v>
      </c>
      <c r="UV51" s="46">
        <f t="shared" si="412"/>
        <v>0</v>
      </c>
      <c r="UW51" s="46" cm="1">
        <f t="array" ref="UW51">ROUND(IFERROR(INDEX(ArchiveResults!$F$5:$IX$116,ComparisonData!A51,ComparisonData!$UW$1),0),5)</f>
        <v>0</v>
      </c>
      <c r="UX51" s="46" cm="1">
        <f t="array" ref="UX51">ROUND(IFERROR(INDEX(ArchiveResults!$F$5:$IX$116,ComparisonData!A51,ComparisonData!$UX$1),0),5)</f>
        <v>0</v>
      </c>
      <c r="UY51" s="46" cm="1">
        <f t="array" ref="UY51">ROUND(IFERROR(INDEX(ArchiveResults!$F$5:$IX$116,ComparisonData!A51,ComparisonData!$UY$1),0),5)</f>
        <v>0</v>
      </c>
      <c r="UZ51" s="46" cm="1">
        <f t="array" ref="UZ51">ROUND(IFERROR(INDEX(ArchiveResults!$F$5:$IX$116,ComparisonData!A51,ComparisonData!$UZ$1),0),5)</f>
        <v>0</v>
      </c>
      <c r="VA51" s="46" cm="1">
        <f t="array" ref="VA51">ROUND(IFERROR(INDEX(ArchiveResults!$F$5:$IX$116,ComparisonData!A51,ComparisonData!$VA$1),0),5)</f>
        <v>0</v>
      </c>
      <c r="VB51" s="56">
        <v>46</v>
      </c>
      <c r="VC51" s="53" t="str">
        <f t="shared" si="606"/>
        <v>Kingston University, Archives and Special Collections</v>
      </c>
      <c r="VD51" s="60">
        <f t="shared" si="413"/>
        <v>0</v>
      </c>
      <c r="VE51" s="60">
        <f t="shared" si="414"/>
        <v>0</v>
      </c>
      <c r="VF51" s="60">
        <f t="shared" si="415"/>
        <v>0</v>
      </c>
      <c r="VG51" s="60">
        <f t="shared" si="416"/>
        <v>0</v>
      </c>
      <c r="VH51" s="60">
        <f t="shared" si="417"/>
        <v>0</v>
      </c>
      <c r="VI51" s="76">
        <f t="shared" si="418"/>
        <v>0</v>
      </c>
      <c r="VJ51" s="46">
        <f t="shared" si="419"/>
        <v>63</v>
      </c>
      <c r="VK51" s="46">
        <f t="shared" si="607"/>
        <v>2.7489999999999997</v>
      </c>
      <c r="VL51" s="46">
        <f t="shared" si="420"/>
        <v>1</v>
      </c>
      <c r="VM51" s="46">
        <f t="shared" si="421"/>
        <v>2</v>
      </c>
      <c r="VN51" s="46" cm="1">
        <f t="array" ref="VN51">ROUND(IFERROR(INDEX(ArchiveResults!$F$5:$IX$116,ComparisonData!A51,ComparisonData!$VN$1),0),5)</f>
        <v>0</v>
      </c>
      <c r="VO51" s="46" cm="1">
        <f t="array" ref="VO51">ROUND(IFERROR(INDEX(ArchiveResults!$F$5:$IX$116,ComparisonData!A51,ComparisonData!$VO$1),0),5)</f>
        <v>0</v>
      </c>
      <c r="VP51" s="46" cm="1">
        <f t="array" ref="VP51">ROUND(IFERROR(INDEX(ArchiveResults!$F$5:$IX$116,ComparisonData!A51,ComparisonData!$VP$1),0),5)</f>
        <v>0</v>
      </c>
      <c r="VQ51" s="46" cm="1">
        <f t="array" ref="VQ51">ROUND(IFERROR(INDEX(ArchiveResults!$F$5:$IX$116,ComparisonData!A51,ComparisonData!$VQ$1),0),5)</f>
        <v>0</v>
      </c>
      <c r="VR51" s="56">
        <v>46</v>
      </c>
      <c r="VS51" s="53" t="str">
        <f t="shared" si="608"/>
        <v>Kingston University, Archives and Special Collections</v>
      </c>
      <c r="VT51" s="60">
        <f t="shared" si="422"/>
        <v>0</v>
      </c>
      <c r="VU51" s="60">
        <f t="shared" si="423"/>
        <v>0</v>
      </c>
      <c r="VV51" s="60">
        <f t="shared" si="424"/>
        <v>0</v>
      </c>
      <c r="VW51" s="60">
        <f t="shared" si="425"/>
        <v>0</v>
      </c>
      <c r="VX51" s="76">
        <f t="shared" si="426"/>
        <v>0</v>
      </c>
      <c r="VY51" s="46">
        <f t="shared" si="427"/>
        <v>63</v>
      </c>
      <c r="VZ51" s="46">
        <f t="shared" si="609"/>
        <v>2.7489999999999997</v>
      </c>
      <c r="WA51" s="46">
        <f t="shared" si="428"/>
        <v>1</v>
      </c>
      <c r="WB51" s="46">
        <f t="shared" si="429"/>
        <v>2</v>
      </c>
      <c r="WC51" s="46" cm="1">
        <f t="array" ref="WC51">ROUND(IFERROR(INDEX(ArchiveResults!$F$5:$IX$116,ComparisonData!A51,ComparisonData!$WC$1),0),5)</f>
        <v>0</v>
      </c>
      <c r="WD51" s="56">
        <v>46</v>
      </c>
      <c r="WE51" s="53" t="str">
        <f t="shared" si="610"/>
        <v>Kingston University, Archives and Special Collections</v>
      </c>
      <c r="WF51" s="46">
        <f t="shared" si="430"/>
        <v>0</v>
      </c>
      <c r="WG51" s="76">
        <f t="shared" si="431"/>
        <v>0</v>
      </c>
      <c r="WH51" s="46">
        <f t="shared" si="432"/>
        <v>63</v>
      </c>
      <c r="WI51" s="46">
        <f t="shared" si="611"/>
        <v>2.7489999999999997</v>
      </c>
      <c r="WJ51" s="46">
        <f t="shared" si="433"/>
        <v>1</v>
      </c>
      <c r="WK51" s="46">
        <f t="shared" si="434"/>
        <v>2</v>
      </c>
      <c r="WL51" s="46" cm="1">
        <f t="array" ref="WL51">ROUND(IFERROR(INDEX(ArchiveResults!$F$5:$IX$116,ComparisonData!A51,ComparisonData!$WL$1),0),5)</f>
        <v>0</v>
      </c>
      <c r="WM51" s="46" cm="1">
        <f t="array" ref="WM51">IFERROR(INDEX(ArchiveResults!$F$5:$IX$116,ComparisonData!A51,ComparisonData!$WM$1),0)</f>
        <v>0</v>
      </c>
      <c r="WN51" s="56">
        <v>46</v>
      </c>
      <c r="WO51" s="53" t="str">
        <f t="shared" si="612"/>
        <v>Kingston University, Archives and Special Collections</v>
      </c>
      <c r="WP51" s="60">
        <f t="shared" si="435"/>
        <v>0</v>
      </c>
      <c r="WQ51" s="60">
        <f t="shared" si="436"/>
        <v>0</v>
      </c>
      <c r="WR51" s="76">
        <f t="shared" si="437"/>
        <v>0</v>
      </c>
      <c r="WS51" s="46">
        <f t="shared" si="438"/>
        <v>63</v>
      </c>
      <c r="WT51" s="46">
        <f t="shared" si="613"/>
        <v>2.7489999999999997</v>
      </c>
      <c r="WU51" s="46">
        <f t="shared" si="439"/>
        <v>1</v>
      </c>
      <c r="WV51" s="46">
        <f t="shared" si="440"/>
        <v>2</v>
      </c>
      <c r="WW51" s="46" cm="1">
        <f t="array" ref="WW51">ROUND(VALUE(IFERROR(INDEX(ArchiveResults!$F$5:$IX$116,ComparisonData!A51,ComparisonData!$WW$1),0)),5)</f>
        <v>0</v>
      </c>
      <c r="WX51" s="46" cm="1">
        <f t="array" ref="WX51">ROUND(IFERROR(INDEX(ArchiveResults!$F$5:$IX$116,ComparisonData!A51,ComparisonData!$WX$1),0),5)</f>
        <v>0</v>
      </c>
      <c r="WY51" s="56">
        <v>46</v>
      </c>
      <c r="WZ51" s="53" t="str">
        <f t="shared" si="614"/>
        <v>Kingston University, Archives and Special Collections</v>
      </c>
      <c r="XA51" s="60">
        <f t="shared" si="615"/>
        <v>0</v>
      </c>
      <c r="XB51" s="60">
        <f t="shared" si="616"/>
        <v>0</v>
      </c>
      <c r="XC51" s="76">
        <f t="shared" si="441"/>
        <v>0</v>
      </c>
      <c r="XD51" s="46">
        <f t="shared" si="442"/>
        <v>63</v>
      </c>
      <c r="XE51" s="46">
        <f t="shared" si="617"/>
        <v>2.7489999999999997</v>
      </c>
      <c r="XF51" s="46">
        <f t="shared" si="443"/>
        <v>1</v>
      </c>
      <c r="XG51" s="46">
        <f t="shared" si="444"/>
        <v>2</v>
      </c>
      <c r="XH51" s="46" cm="1">
        <f t="array" ref="XH51">ROUND(VALUE(IFERROR(INDEX(ArchiveResults!$F$5:$IX$116,ComparisonData!A51,ComparisonData!$XH$1),0)),5)</f>
        <v>0</v>
      </c>
      <c r="XI51" s="46" cm="1">
        <f t="array" ref="XI51">ROUND(VALUE(IFERROR(INDEX(ArchiveResults!$F$5:$IX$116,ComparisonData!A51,ComparisonData!$XI$1),0)),5)</f>
        <v>0</v>
      </c>
      <c r="XJ51" s="56">
        <v>46</v>
      </c>
      <c r="XK51" s="53" t="str">
        <f t="shared" si="618"/>
        <v>Kingston University, Archives and Special Collections</v>
      </c>
      <c r="XL51" s="60">
        <f t="shared" si="445"/>
        <v>0</v>
      </c>
      <c r="XM51" s="60">
        <f t="shared" si="446"/>
        <v>0</v>
      </c>
      <c r="XN51" s="76">
        <f t="shared" si="447"/>
        <v>0</v>
      </c>
      <c r="XO51" s="46">
        <f t="shared" si="448"/>
        <v>63</v>
      </c>
      <c r="XP51" s="46">
        <f t="shared" si="619"/>
        <v>2.7489999999999997</v>
      </c>
      <c r="XQ51" s="46">
        <f t="shared" si="449"/>
        <v>1</v>
      </c>
      <c r="XR51" s="46">
        <f t="shared" si="450"/>
        <v>2</v>
      </c>
      <c r="XS51" s="46" cm="1">
        <f t="array" ref="XS51">ROUND(VALUE(IFERROR(INDEX(ArchiveResults!$F$5:$IX$116,ComparisonData!A51,ComparisonData!$XS$1),0)),5)</f>
        <v>0</v>
      </c>
      <c r="XT51" s="46" cm="1">
        <f t="array" ref="XT51">ROUND(VALUE(IFERROR(INDEX(ArchiveResults!$F$5:$IX$116,ComparisonData!A51,ComparisonData!$XT$1),0)),5)</f>
        <v>0</v>
      </c>
      <c r="XU51" s="56">
        <v>46</v>
      </c>
      <c r="XV51" s="53" t="str">
        <f t="shared" si="620"/>
        <v>Kingston University, Archives and Special Collections</v>
      </c>
      <c r="XW51" s="60">
        <f t="shared" si="451"/>
        <v>0</v>
      </c>
      <c r="XX51" s="60">
        <f t="shared" si="452"/>
        <v>0</v>
      </c>
      <c r="XY51" s="76">
        <f t="shared" si="453"/>
        <v>0</v>
      </c>
      <c r="XZ51" s="46">
        <f t="shared" si="454"/>
        <v>63</v>
      </c>
      <c r="YA51" s="46">
        <f t="shared" si="621"/>
        <v>2.7489999999999997</v>
      </c>
      <c r="YB51" s="46">
        <f t="shared" si="455"/>
        <v>1</v>
      </c>
      <c r="YC51" s="46">
        <f t="shared" si="456"/>
        <v>2</v>
      </c>
      <c r="YD51" s="46" cm="1">
        <f t="array" ref="YD51">ROUND(VALUE(IFERROR(INDEX(ArchiveResults!$F$5:$IX$116,ComparisonData!A51,ComparisonData!$YD$1),0)),5)</f>
        <v>0</v>
      </c>
      <c r="YE51" s="46" cm="1">
        <f t="array" ref="YE51">ROUND(VALUE(IFERROR(INDEX(ArchiveResults!$F$5:$IX$116,ComparisonData!A51,ComparisonData!$YE$1),0)),5)</f>
        <v>0</v>
      </c>
      <c r="YF51" s="56">
        <v>46</v>
      </c>
      <c r="YG51" s="53" t="str">
        <f t="shared" si="622"/>
        <v>Kingston University, Archives and Special Collections</v>
      </c>
      <c r="YH51" s="60">
        <f t="shared" si="457"/>
        <v>0</v>
      </c>
      <c r="YI51" s="60">
        <f t="shared" si="458"/>
        <v>0</v>
      </c>
      <c r="YJ51" s="76">
        <f t="shared" si="459"/>
        <v>0</v>
      </c>
      <c r="YK51" s="46">
        <f t="shared" si="460"/>
        <v>63</v>
      </c>
      <c r="YL51" s="46">
        <f t="shared" si="623"/>
        <v>2.7489999999999997</v>
      </c>
      <c r="YM51" s="46">
        <f t="shared" si="461"/>
        <v>1</v>
      </c>
      <c r="YN51" s="46">
        <f t="shared" si="462"/>
        <v>2</v>
      </c>
      <c r="YO51" s="46" cm="1">
        <f t="array" ref="YO51">ROUND(VALUE(IFERROR(INDEX(ArchiveResults!$F$5:$IX$116,ComparisonData!A51,ComparisonData!$YO$1),0)),5)</f>
        <v>0</v>
      </c>
      <c r="YP51" s="46" cm="1">
        <f t="array" ref="YP51">ROUND(VALUE(IFERROR(INDEX(ArchiveResults!$F$5:$IX$116,ComparisonData!A51,ComparisonData!$YP$1),0)),5)</f>
        <v>0</v>
      </c>
      <c r="YQ51" s="56">
        <v>46</v>
      </c>
      <c r="YR51" s="53" t="str">
        <f t="shared" si="624"/>
        <v>Kingston University, Archives and Special Collections</v>
      </c>
      <c r="YS51" s="60">
        <f t="shared" si="463"/>
        <v>0</v>
      </c>
      <c r="YT51" s="60">
        <f t="shared" si="464"/>
        <v>0</v>
      </c>
      <c r="YU51" s="76">
        <f t="shared" si="465"/>
        <v>0</v>
      </c>
      <c r="YV51" s="46">
        <f t="shared" si="466"/>
        <v>63</v>
      </c>
      <c r="YW51" s="46">
        <f t="shared" si="625"/>
        <v>2.7489999999999997</v>
      </c>
      <c r="YX51" s="46">
        <f t="shared" si="467"/>
        <v>1</v>
      </c>
      <c r="YY51" s="46">
        <f t="shared" si="468"/>
        <v>2</v>
      </c>
      <c r="YZ51" s="46">
        <f t="shared" si="469"/>
        <v>0</v>
      </c>
      <c r="ZA51" s="46" cm="1">
        <f t="array" ref="ZA51">ROUNDDOWN(VALUE(IFERROR(INDEX(ArchiveResults!$F$5:$IX$116,ComparisonData!A51,ComparisonData!$ZA$1),0)),5)</f>
        <v>0</v>
      </c>
      <c r="ZB51" s="46" cm="1">
        <f t="array" ref="ZB51">ROUNDDOWN(VALUE(IFERROR(INDEX(ArchiveResults!$F$5:$IX$116,ComparisonData!A51,ComparisonData!$ZB$1),0)),5)</f>
        <v>0</v>
      </c>
      <c r="ZC51" s="46" cm="1">
        <f t="array" ref="ZC51">ROUNDDOWN(VALUE(IFERROR(INDEX(ArchiveResults!$F$5:$IX$116,ComparisonData!A51,ComparisonData!$ZC$1),0)),5)</f>
        <v>0</v>
      </c>
      <c r="ZD51" s="46" cm="1">
        <f t="array" ref="ZD51">ROUNDDOWN(VALUE(IFERROR(INDEX(ArchiveResults!$F$5:$IX$116,ComparisonData!A51,ComparisonData!$ZD$1),0)),5)</f>
        <v>0</v>
      </c>
      <c r="ZE51" s="46" cm="1">
        <f t="array" ref="ZE51">ROUNDDOWN(VALUE(IFERROR(INDEX(ArchiveResults!$F$5:$IX$116,ComparisonData!A51,ComparisonData!$ZE$1),0)),5)</f>
        <v>0</v>
      </c>
      <c r="ZF51" s="56">
        <v>46</v>
      </c>
      <c r="ZG51" s="53" t="str">
        <f t="shared" si="626"/>
        <v>Kingston University, Archives and Special Collections</v>
      </c>
      <c r="ZH51" s="60">
        <f t="shared" si="470"/>
        <v>0</v>
      </c>
      <c r="ZI51" s="60">
        <f t="shared" si="471"/>
        <v>0</v>
      </c>
      <c r="ZJ51" s="60">
        <f t="shared" si="472"/>
        <v>0</v>
      </c>
      <c r="ZK51" s="60">
        <f t="shared" si="473"/>
        <v>0</v>
      </c>
      <c r="ZL51" s="60">
        <f t="shared" si="474"/>
        <v>0</v>
      </c>
      <c r="ZM51" s="76">
        <f t="shared" si="475"/>
        <v>0</v>
      </c>
      <c r="ZN51" s="46">
        <f t="shared" si="476"/>
        <v>63</v>
      </c>
      <c r="ZO51" s="46">
        <f t="shared" si="627"/>
        <v>2.7489999999999997</v>
      </c>
      <c r="ZP51" s="46">
        <f t="shared" si="477"/>
        <v>1</v>
      </c>
      <c r="ZQ51" s="46">
        <f t="shared" si="478"/>
        <v>2</v>
      </c>
      <c r="ZR51" s="46" cm="1">
        <f t="array" ref="ZR51">ROUND(VALUE(IFERROR(INDEX(ArchiveResults!$F$5:$IX$116,ComparisonData!A51,ComparisonData!$ZR$1),0)),5)</f>
        <v>0</v>
      </c>
      <c r="ZS51" s="56">
        <v>46</v>
      </c>
      <c r="ZT51" s="53" t="str">
        <f t="shared" si="628"/>
        <v>Kingston University, Archives and Special Collections</v>
      </c>
      <c r="ZU51" s="46">
        <f t="shared" si="479"/>
        <v>0</v>
      </c>
      <c r="ZV51" s="76">
        <f t="shared" si="480"/>
        <v>0</v>
      </c>
      <c r="ZW51" s="81" cm="1">
        <f t="array" ref="ZW51">ROUND((IFERROR(INDEX(ArchiveResults!$F$5:$IX$116,ComparisonData!A51,ComparisonData!$ZW$1),0)),5)</f>
        <v>0</v>
      </c>
      <c r="ZX51" s="81" cm="1">
        <f t="array" ref="ZX51">ROUND((IFERROR(INDEX(ArchiveResults!$F$5:$IX$116,ComparisonData!A51,ComparisonData!$ZX$1),0)),5)</f>
        <v>0</v>
      </c>
      <c r="ZY51" s="81" cm="1">
        <f t="array" ref="ZY51">ROUND((IFERROR(INDEX(ArchiveResults!$F$5:$IX$116,ComparisonData!A51,ComparisonData!$ZY$1),0)),5)</f>
        <v>0</v>
      </c>
      <c r="ZZ51" s="81" cm="1">
        <f t="array" ref="ZZ51">ROUND((IFERROR(INDEX(ArchiveResults!$F$5:$IX$116,ComparisonData!A51,ComparisonData!$ZZ$1),0)),5)</f>
        <v>0</v>
      </c>
      <c r="AAA51" s="81" cm="1">
        <f t="array" ref="AAA51">ROUND((IFERROR(INDEX(ArchiveResults!$F$5:$IX$116,ComparisonData!A51,ComparisonData!$AAA$1),0)),5)</f>
        <v>0</v>
      </c>
      <c r="AAB51" s="81" cm="1">
        <f t="array" ref="AAB51">ROUND((IFERROR(INDEX(ArchiveResults!$F$5:$IX$116,ComparisonData!A51,ComparisonData!$AAB$1),0)),5)</f>
        <v>0</v>
      </c>
      <c r="AAC51" s="81" cm="1">
        <f t="array" ref="AAC51">ROUND((IFERROR(INDEX(ArchiveResults!$F$5:$IX$116,ComparisonData!A51,ComparisonData!$AAC$1),0)),5)</f>
        <v>0</v>
      </c>
      <c r="AAD51" s="81" cm="1">
        <f t="array" ref="AAD51">ROUND((IFERROR(INDEX(ArchiveResults!$F$5:$IX$116,ComparisonData!A51,ComparisonData!$AAD$1),0)),5)</f>
        <v>0</v>
      </c>
      <c r="AAE51" s="81" cm="1">
        <f t="array" ref="AAE51">ROUND((IFERROR(INDEX(ArchiveResults!$F$5:$IX$116,ComparisonData!A51,ComparisonData!$AAE$1),0)),5)</f>
        <v>0</v>
      </c>
      <c r="AAF51" s="81" cm="1">
        <f t="array" ref="AAF51">ROUND((IFERROR(INDEX(ArchiveResults!$F$5:$IX$116,ComparisonData!A51,ComparisonData!$AAF$1),0)),5)</f>
        <v>0</v>
      </c>
      <c r="AAG51" s="46">
        <f t="shared" si="481"/>
        <v>63</v>
      </c>
      <c r="AAH51" s="46">
        <f t="shared" si="629"/>
        <v>2.7489999999999997</v>
      </c>
      <c r="AAI51" s="46">
        <f t="shared" si="482"/>
        <v>1</v>
      </c>
      <c r="AAJ51" s="46">
        <f t="shared" si="483"/>
        <v>2</v>
      </c>
      <c r="AAK51" s="46">
        <f t="shared" si="484"/>
        <v>0</v>
      </c>
      <c r="AAL51" s="46">
        <f t="shared" si="485"/>
        <v>0</v>
      </c>
      <c r="AAM51" s="46">
        <f t="shared" si="486"/>
        <v>0</v>
      </c>
      <c r="AAN51" s="46">
        <f t="shared" si="487"/>
        <v>0</v>
      </c>
      <c r="AAO51" s="46">
        <f t="shared" si="488"/>
        <v>0</v>
      </c>
      <c r="AAP51" s="46">
        <f t="shared" si="489"/>
        <v>0</v>
      </c>
      <c r="AAQ51" s="56">
        <v>46</v>
      </c>
      <c r="AAR51" s="53" t="str">
        <f t="shared" si="630"/>
        <v>Kingston University, Archives and Special Collections</v>
      </c>
      <c r="AAS51" s="60">
        <f t="shared" si="490"/>
        <v>0</v>
      </c>
      <c r="AAT51" s="60">
        <f t="shared" si="491"/>
        <v>0</v>
      </c>
      <c r="AAU51" s="60">
        <f t="shared" si="492"/>
        <v>0</v>
      </c>
      <c r="AAV51" s="60">
        <f t="shared" si="493"/>
        <v>0</v>
      </c>
      <c r="AAW51" s="60">
        <f t="shared" si="494"/>
        <v>0</v>
      </c>
      <c r="AAX51" s="76">
        <f t="shared" si="495"/>
        <v>0</v>
      </c>
      <c r="AAY51" s="46">
        <f t="shared" si="496"/>
        <v>63</v>
      </c>
      <c r="AAZ51" s="46">
        <f t="shared" si="631"/>
        <v>2.7489999999999997</v>
      </c>
      <c r="ABA51" s="46">
        <f t="shared" si="497"/>
        <v>1</v>
      </c>
      <c r="ABB51" s="46">
        <f t="shared" si="498"/>
        <v>2</v>
      </c>
      <c r="ABC51" s="46">
        <f t="shared" si="102"/>
        <v>0</v>
      </c>
      <c r="ABD51" s="46" cm="1">
        <f t="array" ref="ABD51">ROUND(VALUE(IFERROR(INDEX(ArchiveResults!$F$5:$IX$116,ComparisonData!A51,ComparisonData!$ABD$1),0)),5)</f>
        <v>0</v>
      </c>
      <c r="ABE51" s="46" cm="1">
        <f t="array" ref="ABE51">ROUND(VALUE(IFERROR(INDEX(ArchiveResults!$F$5:$IX$116,ComparisonData!A51,ComparisonData!$ABE$1),0)),5)</f>
        <v>0</v>
      </c>
      <c r="ABF51" s="46" cm="1">
        <f t="array" ref="ABF51">ROUND(VALUE(IFERROR(INDEX(ArchiveResults!$F$5:$IX$116,ComparisonData!A51,ComparisonData!$ABF$1),0)),5)</f>
        <v>0</v>
      </c>
      <c r="ABG51" s="46" cm="1">
        <f t="array" ref="ABG51">ROUND(VALUE(IFERROR(INDEX(ArchiveResults!$F$5:$IX$116,ComparisonData!A51,ComparisonData!$ABG$1),0)),5)</f>
        <v>0</v>
      </c>
      <c r="ABH51" s="46" cm="1">
        <f t="array" ref="ABH51">ROUND(VALUE(IFERROR(INDEX(ArchiveResults!$F$5:$IX$116,ComparisonData!A51,ComparisonData!$ABH$1),0)),5)</f>
        <v>0</v>
      </c>
      <c r="ABI51" s="56">
        <v>46</v>
      </c>
      <c r="ABJ51" s="53" t="str">
        <f t="shared" si="632"/>
        <v>Kingston University, Archives and Special Collections</v>
      </c>
      <c r="ABK51" s="60">
        <f t="shared" si="499"/>
        <v>0</v>
      </c>
      <c r="ABL51" s="60">
        <f t="shared" si="500"/>
        <v>0</v>
      </c>
      <c r="ABM51" s="60">
        <f t="shared" si="501"/>
        <v>0</v>
      </c>
      <c r="ABN51" s="60">
        <f t="shared" si="502"/>
        <v>0</v>
      </c>
      <c r="ABO51" s="60">
        <f t="shared" si="503"/>
        <v>0</v>
      </c>
      <c r="ABP51" s="76">
        <f t="shared" si="504"/>
        <v>0</v>
      </c>
      <c r="ABQ51" s="46">
        <f t="shared" si="505"/>
        <v>63</v>
      </c>
      <c r="ABR51" s="46">
        <f t="shared" si="633"/>
        <v>2.7489999999999997</v>
      </c>
      <c r="ABS51" s="46">
        <f t="shared" si="506"/>
        <v>1</v>
      </c>
      <c r="ABT51" s="46">
        <f t="shared" si="507"/>
        <v>2</v>
      </c>
      <c r="ABU51" s="46" cm="1">
        <f t="array" ref="ABU51">ROUND(VALUE(IFERROR(INDEX(ArchiveResults!$F$5:$IX$116,ComparisonData!A51,ComparisonData!$ABU$1),0)),5)</f>
        <v>0</v>
      </c>
      <c r="ABV51" s="46" cm="1">
        <f t="array" ref="ABV51">ROUND(VALUE(IFERROR(INDEX(ArchiveResults!$F$5:$IX$116,ComparisonData!A51,ComparisonData!$ABV$1),0)),5)</f>
        <v>0</v>
      </c>
      <c r="ABW51" s="46" cm="1">
        <f t="array" ref="ABW51">ROUND(VALUE(IFERROR(INDEX(ArchiveResults!$F$5:$IX$116,ComparisonData!A51,ComparisonData!$ABW$1),0)),5)</f>
        <v>0</v>
      </c>
      <c r="ABX51" s="46" cm="1">
        <f t="array" ref="ABX51">ROUND(VALUE(IFERROR(INDEX(ArchiveResults!$F$5:$IX$116,ComparisonData!A51,ComparisonData!$ABX$1),0)),5)</f>
        <v>0</v>
      </c>
      <c r="ABY51" s="46" cm="1">
        <f t="array" ref="ABY51">ROUND(VALUE(IFERROR(INDEX(ArchiveResults!$F$5:$IX$116,ComparisonData!A51,ComparisonData!$ABY$1),0)),5)</f>
        <v>0</v>
      </c>
      <c r="ABZ51" s="56">
        <v>46</v>
      </c>
      <c r="ACA51" s="53" t="str">
        <f t="shared" si="634"/>
        <v>Kingston University, Archives and Special Collections</v>
      </c>
      <c r="ACB51" s="60">
        <f t="shared" si="508"/>
        <v>0</v>
      </c>
      <c r="ACC51" s="60">
        <f t="shared" si="509"/>
        <v>0</v>
      </c>
      <c r="ACD51" s="60">
        <f t="shared" si="510"/>
        <v>0</v>
      </c>
      <c r="ACE51" s="60">
        <f t="shared" si="511"/>
        <v>0</v>
      </c>
      <c r="ACF51" s="60">
        <f t="shared" si="512"/>
        <v>0</v>
      </c>
      <c r="ACG51" s="76">
        <f t="shared" si="513"/>
        <v>0</v>
      </c>
      <c r="ACH51" s="46">
        <f t="shared" si="514"/>
        <v>63</v>
      </c>
      <c r="ACI51" s="46">
        <f t="shared" si="635"/>
        <v>2.7489999999999997</v>
      </c>
      <c r="ACJ51" s="46">
        <f t="shared" si="515"/>
        <v>1</v>
      </c>
      <c r="ACK51" s="46">
        <f t="shared" si="516"/>
        <v>2</v>
      </c>
      <c r="ACL51" s="46">
        <f t="shared" si="517"/>
        <v>0</v>
      </c>
      <c r="ACM51" s="46" cm="1">
        <f t="array" ref="ACM51">ROUND(IFERROR(INDEX(ArchiveResults!$F$5:$IX$116,ComparisonData!A51,ComparisonData!$ACM$1),0),5)</f>
        <v>0</v>
      </c>
      <c r="ACN51" s="46" cm="1">
        <f t="array" ref="ACN51">ROUND(IFERROR(INDEX(ArchiveResults!$F$5:$IX$116,ComparisonData!A51,ComparisonData!$ACN$1),0),5)</f>
        <v>0</v>
      </c>
      <c r="ACO51" s="56">
        <v>46</v>
      </c>
      <c r="ACP51" s="53" t="str">
        <f t="shared" si="636"/>
        <v>Kingston University, Archives and Special Collections</v>
      </c>
      <c r="ACQ51" s="60">
        <f t="shared" si="518"/>
        <v>0</v>
      </c>
      <c r="ACR51" s="60">
        <f t="shared" si="519"/>
        <v>0</v>
      </c>
      <c r="ACS51" s="76">
        <f t="shared" si="520"/>
        <v>0</v>
      </c>
      <c r="ACT51" s="46">
        <f t="shared" si="521"/>
        <v>63</v>
      </c>
      <c r="ACU51" s="46">
        <f t="shared" si="637"/>
        <v>2.7489999999999997</v>
      </c>
      <c r="ACV51" s="46">
        <f t="shared" si="522"/>
        <v>1</v>
      </c>
      <c r="ACW51" s="46">
        <f t="shared" si="523"/>
        <v>2</v>
      </c>
      <c r="ACX51" s="46">
        <f t="shared" si="524"/>
        <v>0</v>
      </c>
      <c r="ACY51" s="46" cm="1">
        <f t="array" ref="ACY51">ROUNDDOWN(IFERROR(INDEX(ArchiveResults!$F$5:$IX$116,ComparisonData!A51,ComparisonData!$ACY$1),0),5)</f>
        <v>0</v>
      </c>
      <c r="ACZ51" s="46" cm="1">
        <f t="array" ref="ACZ51">ROUNDDOWN(IFERROR(INDEX(ArchiveResults!$F$5:$IX$116,ComparisonData!A51,ComparisonData!$ACZ$1),0),5)</f>
        <v>0</v>
      </c>
      <c r="ADA51" s="46" cm="1">
        <f t="array" ref="ADA51">ROUNDDOWN(IFERROR(INDEX(ArchiveResults!$F$5:$IX$116,ComparisonData!A51,ComparisonData!$ADA$1),0),5)</f>
        <v>0</v>
      </c>
      <c r="ADB51" s="56">
        <v>46</v>
      </c>
      <c r="ADC51" s="53" t="str">
        <f t="shared" si="638"/>
        <v>Kingston University, Archives and Special Collections</v>
      </c>
      <c r="ADD51" s="60">
        <f t="shared" si="525"/>
        <v>0</v>
      </c>
      <c r="ADE51" s="60">
        <f t="shared" si="526"/>
        <v>0</v>
      </c>
      <c r="ADF51" s="60">
        <f t="shared" si="527"/>
        <v>0</v>
      </c>
      <c r="ADG51" s="76">
        <f t="shared" si="528"/>
        <v>0</v>
      </c>
    </row>
    <row r="52" spans="1:787" x14ac:dyDescent="0.25">
      <c r="A52" s="46" t="str">
        <f>IF(ISBLANK(ComparisonSelection!F48),"",ROW()-5)</f>
        <v/>
      </c>
      <c r="B52" s="53" t="s">
        <v>501</v>
      </c>
      <c r="C52" s="72">
        <v>0.81399999999999983</v>
      </c>
      <c r="D52" s="55">
        <f t="shared" si="110"/>
        <v>76</v>
      </c>
      <c r="E52" s="54">
        <f t="shared" si="111"/>
        <v>2.8140000000000001</v>
      </c>
      <c r="F52" s="54">
        <f t="shared" si="529"/>
        <v>1</v>
      </c>
      <c r="G52" s="72">
        <f t="shared" si="112"/>
        <v>2</v>
      </c>
      <c r="H52" s="72">
        <f t="shared" si="113"/>
        <v>0</v>
      </c>
      <c r="I52" s="46" cm="1">
        <f t="array" ref="I52">ROUND(IFERROR(INDEX(ArchiveResults!$F$5:$IX$116,ComparisonData!A52,ComparisonData!$I$1),0),5)</f>
        <v>0</v>
      </c>
      <c r="J52" s="46" cm="1">
        <f t="array" ref="J52">ROUND(IFERROR(INDEX(ArchiveResults!$F$5:$IX$116,ComparisonData!A52,ComparisonData!$J$1),0),5)</f>
        <v>0</v>
      </c>
      <c r="K52" s="56">
        <v>47</v>
      </c>
      <c r="L52" s="53" t="str">
        <f t="shared" si="114"/>
        <v>Kresen Kernow</v>
      </c>
      <c r="M52" s="57">
        <f t="shared" si="530"/>
        <v>0</v>
      </c>
      <c r="N52" s="57">
        <f t="shared" si="531"/>
        <v>0</v>
      </c>
      <c r="O52" s="58">
        <f t="shared" si="115"/>
        <v>0</v>
      </c>
      <c r="P52" s="48">
        <f t="shared" si="116"/>
        <v>76</v>
      </c>
      <c r="Q52" s="54">
        <f t="shared" si="532"/>
        <v>2.8140000000000001</v>
      </c>
      <c r="R52" s="45">
        <f t="shared" si="117"/>
        <v>1</v>
      </c>
      <c r="S52" s="46">
        <f t="shared" si="118"/>
        <v>2</v>
      </c>
      <c r="T52" s="72">
        <f t="shared" si="119"/>
        <v>0</v>
      </c>
      <c r="U52" s="46" cm="1">
        <f t="array" ref="U52">ROUND(IFERROR(INDEX(ArchiveResults!$F$5:$IX$116,ComparisonData!A52,ComparisonData!$U$1),0),5)</f>
        <v>0</v>
      </c>
      <c r="V52" s="46" cm="1">
        <f t="array" ref="V52">ROUND(IFERROR(INDEX(ArchiveResults!$F$5:$IX$116,ComparisonData!A52,ComparisonData!$V$1),0),5)</f>
        <v>0</v>
      </c>
      <c r="W52" s="56">
        <v>47</v>
      </c>
      <c r="X52" s="53" t="str">
        <f t="shared" si="533"/>
        <v>Kresen Kernow</v>
      </c>
      <c r="Y52" s="57">
        <f t="shared" si="120"/>
        <v>0</v>
      </c>
      <c r="Z52" s="57">
        <f t="shared" si="121"/>
        <v>0</v>
      </c>
      <c r="AA52" s="58">
        <f t="shared" si="122"/>
        <v>0</v>
      </c>
      <c r="AB52" s="45">
        <f t="shared" si="123"/>
        <v>76</v>
      </c>
      <c r="AC52" s="54">
        <f t="shared" si="534"/>
        <v>2.8140000000000001</v>
      </c>
      <c r="AD52" s="45">
        <f t="shared" si="124"/>
        <v>1</v>
      </c>
      <c r="AE52" s="45">
        <f t="shared" si="125"/>
        <v>2</v>
      </c>
      <c r="AF52" s="45">
        <f t="shared" si="126"/>
        <v>0</v>
      </c>
      <c r="AG52" s="46" cm="1">
        <f t="array" ref="AG52">ROUND(IFERROR(INDEX(ArchiveResults!$F$5:$IX$116,ComparisonData!A52,ComparisonData!$AG$1),0),5)</f>
        <v>0</v>
      </c>
      <c r="AH52" s="46" cm="1">
        <f t="array" ref="AH52">ROUND(IFERROR(INDEX(ArchiveResults!$F$5:$IX$116,ComparisonData!A52,ComparisonData!$AH$1),0),5)</f>
        <v>0</v>
      </c>
      <c r="AI52" s="56">
        <v>47</v>
      </c>
      <c r="AJ52" s="53" t="str">
        <f t="shared" si="535"/>
        <v>Kresen Kernow</v>
      </c>
      <c r="AK52" s="59">
        <f t="shared" si="536"/>
        <v>0</v>
      </c>
      <c r="AL52" s="59">
        <f t="shared" si="537"/>
        <v>0</v>
      </c>
      <c r="AM52" s="58">
        <f t="shared" si="127"/>
        <v>0</v>
      </c>
      <c r="AN52" s="45">
        <f t="shared" si="128"/>
        <v>76</v>
      </c>
      <c r="AO52" s="54">
        <f t="shared" si="538"/>
        <v>2.8140000000000001</v>
      </c>
      <c r="AP52" s="45">
        <f t="shared" si="129"/>
        <v>1</v>
      </c>
      <c r="AQ52" s="45">
        <f t="shared" si="130"/>
        <v>2</v>
      </c>
      <c r="AR52" s="46" cm="1">
        <f t="array" ref="AR52">ROUND(IFERROR(INDEX(ArchiveResults!$F$5:$IX$116,ComparisonData!A52,ComparisonData!$AR$1),0),5)</f>
        <v>0</v>
      </c>
      <c r="AS52" s="46" cm="1">
        <f t="array" ref="AS52">ROUND(IFERROR(INDEX(ArchiveResults!$F$5:$IX$116,ComparisonData!A52,ComparisonData!$AS$1),0),5)</f>
        <v>0</v>
      </c>
      <c r="AT52" s="46" cm="1">
        <f t="array" ref="AT52">ROUND(IFERROR(INDEX(ArchiveResults!$F$5:$IX$116,ComparisonData!A52,ComparisonData!$AT$1),0),5)</f>
        <v>0</v>
      </c>
      <c r="AU52" s="46" cm="1">
        <f t="array" ref="AU52">ROUND(IFERROR(INDEX(ArchiveResults!$F$5:$IX$116,ComparisonData!A52,ComparisonData!$AU$1),0),5)</f>
        <v>0</v>
      </c>
      <c r="AV52" s="46" cm="1">
        <f t="array" ref="AV52">ROUND(IFERROR(INDEX(ArchiveResults!$F$5:$IX$116,ComparisonData!A52,ComparisonData!$AV$1),0),5)</f>
        <v>0</v>
      </c>
      <c r="AW52" s="46" cm="1">
        <f t="array" ref="AW52">ROUND(IFERROR(INDEX(ArchiveResults!$F$5:$IX$116,ComparisonData!A52,ComparisonData!$AW$1),0),5)</f>
        <v>0</v>
      </c>
      <c r="AX52" s="46" cm="1">
        <f t="array" ref="AX52">ROUND(IFERROR(INDEX(ArchiveResults!$F$5:$IX$116,ComparisonData!A52,ComparisonData!$AX$1),0),5)</f>
        <v>0</v>
      </c>
      <c r="AY52" s="46" cm="1">
        <f t="array" ref="AY52">ROUND(IFERROR(INDEX(ArchiveResults!$F$5:$IX$116,ComparisonData!A52,ComparisonData!$AY$1),0),5)</f>
        <v>0</v>
      </c>
      <c r="AZ52" s="46" cm="1">
        <f t="array" ref="AZ52">ROUND(IFERROR(INDEX(ArchiveResults!$F$5:$IX$116,ComparisonData!A52,ComparisonData!$AZ$1),0),5)</f>
        <v>0</v>
      </c>
      <c r="BA52" s="46" cm="1">
        <f t="array" ref="BA52">ROUND(IFERROR(INDEX(ArchiveResults!$F$5:$IX$116,ComparisonData!A52,ComparisonData!$BA$1),0),5)</f>
        <v>0</v>
      </c>
      <c r="BB52" s="56">
        <v>47</v>
      </c>
      <c r="BC52" s="53" t="str">
        <f t="shared" si="539"/>
        <v>Kresen Kernow</v>
      </c>
      <c r="BD52" s="60">
        <f t="shared" si="131"/>
        <v>0</v>
      </c>
      <c r="BE52" s="60">
        <f t="shared" si="132"/>
        <v>0</v>
      </c>
      <c r="BF52" s="60">
        <f t="shared" si="133"/>
        <v>0</v>
      </c>
      <c r="BG52" s="60">
        <f t="shared" si="134"/>
        <v>0</v>
      </c>
      <c r="BH52" s="60">
        <f t="shared" si="135"/>
        <v>0</v>
      </c>
      <c r="BI52" s="60">
        <f t="shared" si="136"/>
        <v>0</v>
      </c>
      <c r="BJ52" s="60">
        <f t="shared" si="137"/>
        <v>0</v>
      </c>
      <c r="BK52" s="60">
        <f t="shared" si="138"/>
        <v>0</v>
      </c>
      <c r="BL52" s="60">
        <f t="shared" si="139"/>
        <v>0</v>
      </c>
      <c r="BM52" s="59">
        <f t="shared" si="140"/>
        <v>0</v>
      </c>
      <c r="BN52" s="58">
        <f t="shared" si="141"/>
        <v>0</v>
      </c>
      <c r="BO52" s="45">
        <f t="shared" si="142"/>
        <v>76</v>
      </c>
      <c r="BP52" s="54">
        <f t="shared" si="540"/>
        <v>2.8140000000000001</v>
      </c>
      <c r="BQ52" s="45">
        <f t="shared" si="143"/>
        <v>1</v>
      </c>
      <c r="BR52" s="45">
        <f t="shared" si="144"/>
        <v>2</v>
      </c>
      <c r="BS52" s="46" cm="1">
        <f t="array" ref="BS52">ROUND(IFERROR(INDEX(ArchiveResults!$F$5:$IX$116,ComparisonData!A52,ComparisonData!$BS$1),0),5)</f>
        <v>0</v>
      </c>
      <c r="BT52" s="46" cm="1">
        <f t="array" ref="BT52">ROUND(IFERROR(INDEX(ArchiveResults!$F$5:$IX$116,ComparisonData!A52,ComparisonData!$BT$1),0),5)</f>
        <v>0</v>
      </c>
      <c r="BU52" s="46" cm="1">
        <f t="array" ref="BU52">ROUND(IFERROR(INDEX(ArchiveResults!$F$5:$IX$116,ComparisonData!A52,ComparisonData!$BU$1),0),5)</f>
        <v>0</v>
      </c>
      <c r="BV52" s="46" cm="1">
        <f t="array" ref="BV52">ROUND(IFERROR(INDEX(ArchiveResults!$F$5:$IX$116,ComparisonData!A52,ComparisonData!$BV$1),0),5)</f>
        <v>0</v>
      </c>
      <c r="BW52" s="46" cm="1">
        <f t="array" ref="BW52">ROUND(IFERROR(INDEX(ArchiveResults!$F$5:$IX$116,ComparisonData!A52,ComparisonData!$BW$1),0),5)</f>
        <v>0</v>
      </c>
      <c r="BX52" s="46" cm="1">
        <f t="array" ref="BX52">ROUND(IFERROR(INDEX(ArchiveResults!$F$5:$IX$116,ComparisonData!A52,ComparisonData!$BX$1),0),5)</f>
        <v>0</v>
      </c>
      <c r="BY52" s="56">
        <v>47</v>
      </c>
      <c r="BZ52" s="53" t="str">
        <f t="shared" si="541"/>
        <v>Kresen Kernow</v>
      </c>
      <c r="CA52" s="59">
        <f t="shared" si="145"/>
        <v>0</v>
      </c>
      <c r="CB52" s="59">
        <f t="shared" si="146"/>
        <v>0</v>
      </c>
      <c r="CC52" s="59">
        <f t="shared" si="147"/>
        <v>0</v>
      </c>
      <c r="CD52" s="59">
        <f t="shared" si="148"/>
        <v>0</v>
      </c>
      <c r="CE52" s="59">
        <f t="shared" si="149"/>
        <v>0</v>
      </c>
      <c r="CF52" s="59">
        <f t="shared" si="150"/>
        <v>0</v>
      </c>
      <c r="CG52" s="58">
        <f t="shared" si="151"/>
        <v>0</v>
      </c>
      <c r="CH52" s="45">
        <f t="shared" si="152"/>
        <v>76</v>
      </c>
      <c r="CI52" s="54">
        <f t="shared" si="542"/>
        <v>2.8140000000000001</v>
      </c>
      <c r="CJ52" s="45">
        <f t="shared" si="153"/>
        <v>1</v>
      </c>
      <c r="CK52" s="45">
        <f t="shared" si="154"/>
        <v>2</v>
      </c>
      <c r="CL52" s="46" cm="1">
        <f t="array" ref="CL52">ROUND(IFERROR(INDEX(ArchiveResults!$F$5:$IX$116,ComparisonData!A52,ComparisonData!$CL$1),0),5)</f>
        <v>0</v>
      </c>
      <c r="CM52" s="56">
        <v>47</v>
      </c>
      <c r="CN52" s="53" t="str">
        <f t="shared" si="543"/>
        <v>Kresen Kernow</v>
      </c>
      <c r="CO52" s="45">
        <f t="shared" si="155"/>
        <v>0</v>
      </c>
      <c r="CP52" s="58">
        <f t="shared" si="156"/>
        <v>0</v>
      </c>
      <c r="CQ52" s="45">
        <f t="shared" si="157"/>
        <v>76</v>
      </c>
      <c r="CR52" s="54">
        <f t="shared" si="544"/>
        <v>2.8140000000000001</v>
      </c>
      <c r="CS52" s="45">
        <f t="shared" si="158"/>
        <v>1</v>
      </c>
      <c r="CT52" s="45">
        <f t="shared" si="159"/>
        <v>2</v>
      </c>
      <c r="CU52" s="46" cm="1">
        <f t="array" ref="CU52">ROUND(IFERROR(INDEX(ArchiveResults!$F$5:$IX$116,ComparisonData!A52,ComparisonData!$CU$1),0),5)</f>
        <v>0</v>
      </c>
      <c r="CV52" s="56">
        <v>47</v>
      </c>
      <c r="CW52" s="53" t="str">
        <f t="shared" si="545"/>
        <v>Kresen Kernow</v>
      </c>
      <c r="CX52" s="45">
        <f t="shared" si="160"/>
        <v>0</v>
      </c>
      <c r="CY52" s="58">
        <f t="shared" si="161"/>
        <v>0</v>
      </c>
      <c r="CZ52" s="45">
        <f t="shared" si="162"/>
        <v>76</v>
      </c>
      <c r="DA52" s="54">
        <f t="shared" si="546"/>
        <v>2.8140000000000001</v>
      </c>
      <c r="DB52" s="45">
        <f t="shared" si="163"/>
        <v>1</v>
      </c>
      <c r="DC52" s="45">
        <f t="shared" si="164"/>
        <v>2</v>
      </c>
      <c r="DD52" s="46" cm="1">
        <f t="array" ref="DD52">ROUND(IFERROR(INDEX(ArchiveResults!$F$5:$IX$116,ComparisonData!A52,ComparisonData!$DD$1),0),5)</f>
        <v>0</v>
      </c>
      <c r="DE52" s="56">
        <v>47</v>
      </c>
      <c r="DF52" s="53" t="str">
        <f t="shared" si="547"/>
        <v>Kresen Kernow</v>
      </c>
      <c r="DG52" s="45">
        <f t="shared" si="165"/>
        <v>0</v>
      </c>
      <c r="DH52" s="58">
        <f t="shared" si="166"/>
        <v>0</v>
      </c>
      <c r="DI52" s="45">
        <f t="shared" si="167"/>
        <v>76</v>
      </c>
      <c r="DJ52" s="54">
        <f t="shared" si="548"/>
        <v>2.8140000000000001</v>
      </c>
      <c r="DK52" s="45">
        <f t="shared" si="168"/>
        <v>1</v>
      </c>
      <c r="DL52" s="45">
        <f t="shared" si="169"/>
        <v>2</v>
      </c>
      <c r="DM52" s="46" cm="1">
        <f t="array" ref="DM52">ROUND(IFERROR(INDEX(ArchiveResults!$F$5:$IX$116,ComparisonData!A52,ComparisonData!$DM$1),0),5)</f>
        <v>0</v>
      </c>
      <c r="DN52" s="46" cm="1">
        <f t="array" ref="DN52">ROUND(IFERROR(INDEX(ArchiveResults!$F$5:$IX$116,ComparisonData!A52,ComparisonData!$DN$1),0),5)</f>
        <v>0</v>
      </c>
      <c r="DO52" s="46" cm="1">
        <f t="array" ref="DO52">ROUND(IFERROR(INDEX(ArchiveResults!$F$5:$IX$116,ComparisonData!A52,ComparisonData!$DO$1),0),5)</f>
        <v>0</v>
      </c>
      <c r="DP52" s="46" cm="1">
        <f t="array" ref="DP52">ROUND(IFERROR(INDEX(ArchiveResults!$F$5:$IX$116,ComparisonData!A52,ComparisonData!$DP$1),0),5)</f>
        <v>0</v>
      </c>
      <c r="DQ52" s="45" cm="1">
        <f t="array" ref="DQ52">IFERROR(INDEX(ArchiveResults!$F$5:$IX$116,ComparisonData!A52,ComparisonData!$DQ$1),0)</f>
        <v>0</v>
      </c>
      <c r="DR52" s="56">
        <v>47</v>
      </c>
      <c r="DS52" s="53" t="str">
        <f t="shared" si="549"/>
        <v>Kresen Kernow</v>
      </c>
      <c r="DT52" s="59">
        <f t="shared" si="170"/>
        <v>0</v>
      </c>
      <c r="DU52" s="59">
        <f t="shared" si="171"/>
        <v>0</v>
      </c>
      <c r="DV52" s="59">
        <f t="shared" si="172"/>
        <v>0</v>
      </c>
      <c r="DW52" s="59">
        <f t="shared" si="173"/>
        <v>0</v>
      </c>
      <c r="DX52" s="59">
        <f t="shared" si="174"/>
        <v>0</v>
      </c>
      <c r="DY52" s="58">
        <f t="shared" si="175"/>
        <v>0</v>
      </c>
      <c r="DZ52" s="45">
        <f t="shared" si="176"/>
        <v>76</v>
      </c>
      <c r="EA52" s="54">
        <f t="shared" si="550"/>
        <v>2.8140000000000001</v>
      </c>
      <c r="EB52" s="45">
        <f t="shared" si="177"/>
        <v>1</v>
      </c>
      <c r="EC52" s="45">
        <f t="shared" si="178"/>
        <v>2</v>
      </c>
      <c r="ED52" s="46" cm="1">
        <f t="array" ref="ED52">ROUND(IFERROR(INDEX(ArchiveResults!$F$5:$IX$116,ComparisonData!A52,ComparisonData!$ED$1),0),5)</f>
        <v>0</v>
      </c>
      <c r="EE52" s="46" cm="1">
        <f t="array" ref="EE52">ROUND(IFERROR(INDEX(ArchiveResults!$F$5:$IX$116,ComparisonData!A52,ComparisonData!$EE$1),0),5)</f>
        <v>0</v>
      </c>
      <c r="EF52" s="46" cm="1">
        <f t="array" ref="EF52">ROUND(IFERROR(INDEX(ArchiveResults!$F$5:$IX$116,ComparisonData!A52,ComparisonData!$EF$1),0),5)</f>
        <v>0</v>
      </c>
      <c r="EG52" s="46" cm="1">
        <f t="array" ref="EG52">ROUND(IFERROR(INDEX(ArchiveResults!$F$5:$IX$116,ComparisonData!A52,ComparisonData!$EG$1),0),5)</f>
        <v>0</v>
      </c>
      <c r="EH52" s="45" cm="1">
        <f t="array" ref="EH52">IFERROR(INDEX(ArchiveResults!$F$5:$IX$116,ComparisonData!A52,ComparisonData!$EH$1),0)</f>
        <v>0</v>
      </c>
      <c r="EI52" s="56">
        <v>47</v>
      </c>
      <c r="EJ52" s="53" t="str">
        <f t="shared" si="551"/>
        <v>Kresen Kernow</v>
      </c>
      <c r="EK52" s="59">
        <f t="shared" si="179"/>
        <v>0</v>
      </c>
      <c r="EL52" s="59">
        <f t="shared" si="180"/>
        <v>0</v>
      </c>
      <c r="EM52" s="59">
        <f t="shared" si="181"/>
        <v>0</v>
      </c>
      <c r="EN52" s="59">
        <f t="shared" si="182"/>
        <v>0</v>
      </c>
      <c r="EO52" s="59">
        <f t="shared" si="183"/>
        <v>0</v>
      </c>
      <c r="EP52" s="58">
        <f t="shared" si="184"/>
        <v>0</v>
      </c>
      <c r="EQ52" s="45">
        <f t="shared" si="185"/>
        <v>76</v>
      </c>
      <c r="ER52" s="54">
        <f t="shared" si="552"/>
        <v>2.8140000000000001</v>
      </c>
      <c r="ES52" s="45">
        <f t="shared" si="186"/>
        <v>1</v>
      </c>
      <c r="ET52" s="45">
        <f t="shared" si="187"/>
        <v>2</v>
      </c>
      <c r="EU52" s="46" cm="1">
        <f t="array" ref="EU52">ROUND(IFERROR(INDEX(ArchiveResults!$F$5:$IX$116,ComparisonData!A52,ComparisonData!$EU$1),0),5)</f>
        <v>0</v>
      </c>
      <c r="EV52" s="46" cm="1">
        <f t="array" ref="EV52">ROUND(IFERROR(INDEX(ArchiveResults!$F$5:$IX$116,ComparisonData!A52,ComparisonData!$EV$1),0),5)</f>
        <v>0</v>
      </c>
      <c r="EW52" s="46" cm="1">
        <f t="array" ref="EW52">ROUND(IFERROR(INDEX(ArchiveResults!$F$5:$IX$116,ComparisonData!A52,ComparisonData!$EW$1),0),5)</f>
        <v>0</v>
      </c>
      <c r="EX52" s="46" cm="1">
        <f t="array" ref="EX52">ROUND(IFERROR(INDEX(ArchiveResults!$F$5:$IX$116,ComparisonData!A52,ComparisonData!$EX$1),0),5)</f>
        <v>0</v>
      </c>
      <c r="EY52" s="45" cm="1">
        <f t="array" ref="EY52">IFERROR(INDEX(ArchiveResults!$F$5:$IX$116,ComparisonData!A52,ComparisonData!$EY$1),0)</f>
        <v>0</v>
      </c>
      <c r="EZ52" s="56">
        <v>47</v>
      </c>
      <c r="FA52" s="53" t="str">
        <f t="shared" si="553"/>
        <v>Kresen Kernow</v>
      </c>
      <c r="FB52" s="59">
        <f t="shared" si="188"/>
        <v>0</v>
      </c>
      <c r="FC52" s="59">
        <f t="shared" si="189"/>
        <v>0</v>
      </c>
      <c r="FD52" s="59">
        <f t="shared" si="190"/>
        <v>0</v>
      </c>
      <c r="FE52" s="59">
        <f t="shared" si="191"/>
        <v>0</v>
      </c>
      <c r="FF52" s="59">
        <f t="shared" si="192"/>
        <v>0</v>
      </c>
      <c r="FG52" s="58">
        <f t="shared" si="193"/>
        <v>0</v>
      </c>
      <c r="FH52" s="45">
        <f t="shared" si="194"/>
        <v>76</v>
      </c>
      <c r="FI52" s="54">
        <f t="shared" si="554"/>
        <v>2.8140000000000001</v>
      </c>
      <c r="FJ52" s="45">
        <f t="shared" si="195"/>
        <v>1</v>
      </c>
      <c r="FK52" s="45">
        <f t="shared" si="196"/>
        <v>2</v>
      </c>
      <c r="FL52" s="46" cm="1">
        <f t="array" ref="FL52">ROUND(IFERROR(INDEX(ArchiveResults!$F$5:$IX$116,ComparisonData!A52,ComparisonData!$FL$1),0),5)</f>
        <v>0</v>
      </c>
      <c r="FM52" s="46" cm="1">
        <f t="array" ref="FM52">ROUND(IFERROR(INDEX(ArchiveResults!$F$5:$IX$116,ComparisonData!A52,ComparisonData!$FM$1),0),5)</f>
        <v>0</v>
      </c>
      <c r="FN52" s="46" cm="1">
        <f t="array" ref="FN52">ROUND(IFERROR(INDEX(ArchiveResults!$F$5:$IX$116,ComparisonData!A52,ComparisonData!$FN$1),0),5)</f>
        <v>0</v>
      </c>
      <c r="FO52" s="46" cm="1">
        <f t="array" ref="FO52">ROUND(IFERROR(INDEX(ArchiveResults!$F$5:$IX$116,ComparisonData!A52,ComparisonData!$FO$1),0),5)</f>
        <v>0</v>
      </c>
      <c r="FP52" s="45" cm="1">
        <f t="array" ref="FP52">IFERROR(INDEX(ArchiveResults!$F$5:$IX$116,ComparisonData!A52,ComparisonData!$FP$1),0)</f>
        <v>0</v>
      </c>
      <c r="FQ52" s="56">
        <v>47</v>
      </c>
      <c r="FR52" s="53" t="str">
        <f t="shared" si="555"/>
        <v>Kresen Kernow</v>
      </c>
      <c r="FS52" s="59">
        <f t="shared" si="197"/>
        <v>0</v>
      </c>
      <c r="FT52" s="59">
        <f t="shared" si="198"/>
        <v>0</v>
      </c>
      <c r="FU52" s="59">
        <f t="shared" si="199"/>
        <v>0</v>
      </c>
      <c r="FV52" s="59">
        <f t="shared" si="200"/>
        <v>0</v>
      </c>
      <c r="FW52" s="59">
        <f t="shared" si="201"/>
        <v>0</v>
      </c>
      <c r="FX52" s="58">
        <f t="shared" si="202"/>
        <v>0</v>
      </c>
      <c r="FY52" s="45">
        <f t="shared" si="203"/>
        <v>76</v>
      </c>
      <c r="FZ52" s="45">
        <f t="shared" si="556"/>
        <v>2.8140000000000001</v>
      </c>
      <c r="GA52" s="45">
        <f t="shared" si="204"/>
        <v>1</v>
      </c>
      <c r="GB52" s="45">
        <f t="shared" si="205"/>
        <v>2</v>
      </c>
      <c r="GC52" s="46" cm="1">
        <f t="array" ref="GC52">ROUND(IFERROR(INDEX(ArchiveResults!$F$5:$IX$116,ComparisonData!A52,ComparisonData!$GC$1),0),5)</f>
        <v>0</v>
      </c>
      <c r="GD52" s="46" cm="1">
        <f t="array" ref="GD52">ROUND(IFERROR(INDEX(ArchiveResults!$F$5:$IX$116,ComparisonData!A52,ComparisonData!$GD$1),0),5)</f>
        <v>0</v>
      </c>
      <c r="GE52" s="46" cm="1">
        <f t="array" ref="GE52">ROUND(IFERROR(INDEX(ArchiveResults!$F$5:$IX$116,ComparisonData!A52,ComparisonData!$GE$1),0),5)</f>
        <v>0</v>
      </c>
      <c r="GF52" s="46" cm="1">
        <f t="array" ref="GF52">ROUND(IFERROR(INDEX(ArchiveResults!$F$5:$IX$116,ComparisonData!A52,ComparisonData!$GF$1),0),5)</f>
        <v>0</v>
      </c>
      <c r="GG52" s="45" cm="1">
        <f t="array" ref="GG52">IFERROR(INDEX(ArchiveResults!$F$5:$IX$116,ComparisonData!A52,ComparisonData!$GG$1),0)</f>
        <v>0</v>
      </c>
      <c r="GH52" s="56">
        <v>47</v>
      </c>
      <c r="GI52" s="53" t="str">
        <f t="shared" si="557"/>
        <v>Kresen Kernow</v>
      </c>
      <c r="GJ52" s="59">
        <f t="shared" si="206"/>
        <v>0</v>
      </c>
      <c r="GK52" s="59">
        <f t="shared" si="207"/>
        <v>0</v>
      </c>
      <c r="GL52" s="59">
        <f t="shared" si="208"/>
        <v>0</v>
      </c>
      <c r="GM52" s="59">
        <f t="shared" si="209"/>
        <v>0</v>
      </c>
      <c r="GN52" s="59">
        <f t="shared" si="210"/>
        <v>0</v>
      </c>
      <c r="GO52" s="58">
        <f t="shared" si="211"/>
        <v>0</v>
      </c>
      <c r="GP52" s="45">
        <f t="shared" si="212"/>
        <v>76</v>
      </c>
      <c r="GQ52" s="45">
        <f t="shared" si="558"/>
        <v>2.8140000000000001</v>
      </c>
      <c r="GR52" s="45">
        <f t="shared" si="213"/>
        <v>1</v>
      </c>
      <c r="GS52" s="45">
        <f t="shared" si="214"/>
        <v>2</v>
      </c>
      <c r="GT52" s="46" cm="1">
        <f t="array" ref="GT52">ROUND(IFERROR(INDEX(ArchiveResults!$F$5:$IX$116,ComparisonData!A52,ComparisonData!$GT$1),0),5)</f>
        <v>0</v>
      </c>
      <c r="GU52" s="46" cm="1">
        <f t="array" ref="GU52">ROUND(IFERROR(INDEX(ArchiveResults!$F$5:$IX$116,ComparisonData!A52,ComparisonData!$GU$1),0),5)</f>
        <v>0</v>
      </c>
      <c r="GV52" s="46" cm="1">
        <f t="array" ref="GV52">ROUND(IFERROR(INDEX(ArchiveResults!$F$5:$IX$116,ComparisonData!A52,ComparisonData!$GV$1),0),5)</f>
        <v>0</v>
      </c>
      <c r="GW52" s="46" cm="1">
        <f t="array" ref="GW52">ROUND(IFERROR(INDEX(ArchiveResults!$F$5:$IX$116,ComparisonData!A52,ComparisonData!$GW$1),0),5)</f>
        <v>0</v>
      </c>
      <c r="GX52" s="45" cm="1">
        <f t="array" ref="GX52">IFERROR(INDEX(ArchiveResults!$F$5:$IX$116,ComparisonData!A52,ComparisonData!$GX$1),0)</f>
        <v>0</v>
      </c>
      <c r="GY52" s="56">
        <v>47</v>
      </c>
      <c r="GZ52" s="53" t="str">
        <f t="shared" si="559"/>
        <v>Kresen Kernow</v>
      </c>
      <c r="HA52" s="59">
        <f t="shared" si="215"/>
        <v>0</v>
      </c>
      <c r="HB52" s="59">
        <f t="shared" si="216"/>
        <v>0</v>
      </c>
      <c r="HC52" s="59">
        <f t="shared" si="217"/>
        <v>0</v>
      </c>
      <c r="HD52" s="59">
        <f t="shared" si="218"/>
        <v>0</v>
      </c>
      <c r="HE52" s="59">
        <f t="shared" si="219"/>
        <v>0</v>
      </c>
      <c r="HF52" s="58">
        <f t="shared" si="220"/>
        <v>0</v>
      </c>
      <c r="HG52" s="45">
        <f t="shared" si="221"/>
        <v>76</v>
      </c>
      <c r="HH52" s="45">
        <f t="shared" si="560"/>
        <v>2.8140000000000001</v>
      </c>
      <c r="HI52" s="45">
        <f t="shared" si="222"/>
        <v>1</v>
      </c>
      <c r="HJ52" s="45">
        <f t="shared" si="223"/>
        <v>2</v>
      </c>
      <c r="HK52" s="46" cm="1">
        <f t="array" ref="HK52">ROUND(IFERROR(INDEX(ArchiveResults!$F$5:$IX$116,ComparisonData!A52,ComparisonData!$HK$1),0),5)</f>
        <v>0</v>
      </c>
      <c r="HL52" s="46" cm="1">
        <f t="array" ref="HL52">ROUND(IFERROR(INDEX(ArchiveResults!$F$5:$IX$116,ComparisonData!A52,ComparisonData!$HL$1),0),5)</f>
        <v>0</v>
      </c>
      <c r="HM52" s="46" cm="1">
        <f t="array" ref="HM52">ROUND(IFERROR(INDEX(ArchiveResults!$F$5:$IX$116,ComparisonData!A52,ComparisonData!$HM$1),0),5)</f>
        <v>0</v>
      </c>
      <c r="HN52" s="46" cm="1">
        <f t="array" ref="HN52">ROUND(IFERROR(INDEX(ArchiveResults!$F$5:$IX$116,ComparisonData!A52,ComparisonData!$HN$1),0),5)</f>
        <v>0</v>
      </c>
      <c r="HO52" s="45" cm="1">
        <f t="array" ref="HO52">IFERROR(INDEX(ArchiveResults!$F$5:$IX$116,ComparisonData!A52,ComparisonData!$HO$1),0)</f>
        <v>0</v>
      </c>
      <c r="HP52" s="56">
        <v>47</v>
      </c>
      <c r="HQ52" s="53" t="str">
        <f t="shared" si="561"/>
        <v>Kresen Kernow</v>
      </c>
      <c r="HR52" s="59">
        <f t="shared" si="562"/>
        <v>0</v>
      </c>
      <c r="HS52" s="59">
        <f t="shared" si="563"/>
        <v>0</v>
      </c>
      <c r="HT52" s="59">
        <f t="shared" si="564"/>
        <v>0</v>
      </c>
      <c r="HU52" s="59">
        <f t="shared" si="565"/>
        <v>0</v>
      </c>
      <c r="HV52" s="59">
        <f t="shared" si="566"/>
        <v>0</v>
      </c>
      <c r="HW52" s="58">
        <f t="shared" si="224"/>
        <v>0</v>
      </c>
      <c r="HX52" s="45">
        <f t="shared" si="225"/>
        <v>76</v>
      </c>
      <c r="HY52" s="45">
        <f t="shared" si="567"/>
        <v>2.8140000000000001</v>
      </c>
      <c r="HZ52" s="45">
        <f t="shared" si="226"/>
        <v>1</v>
      </c>
      <c r="IA52" s="45">
        <f t="shared" si="227"/>
        <v>2</v>
      </c>
      <c r="IB52" s="45">
        <f t="shared" si="228"/>
        <v>0</v>
      </c>
      <c r="IC52" s="46" cm="1">
        <f t="array" ref="IC52">ROUND(IFERROR(INDEX(ArchiveResults!$F$5:$IX$116,ComparisonData!A52,ComparisonData!$IC$1),0),5)</f>
        <v>0</v>
      </c>
      <c r="ID52" s="46" cm="1">
        <f t="array" ref="ID52">ROUND(IFERROR(INDEX(ArchiveResults!$F$5:$IX$116,ComparisonData!A52,ComparisonData!$ID$1),0),5)</f>
        <v>0</v>
      </c>
      <c r="IE52" s="46" cm="1">
        <f t="array" ref="IE52">ROUND(IFERROR(INDEX(ArchiveResults!$F$5:$IX$116,ComparisonData!A52,ComparisonData!$IE$1),0),5)</f>
        <v>0</v>
      </c>
      <c r="IF52" s="46" cm="1">
        <f t="array" ref="IF52">ROUND(IFERROR(INDEX(ArchiveResults!$F$5:$IX$116,ComparisonData!A52,ComparisonData!$IF$1),0),5)</f>
        <v>0</v>
      </c>
      <c r="IG52" s="45" cm="1">
        <f t="array" ref="IG52">IFERROR(INDEX(ArchiveResults!$F$5:$IX$116,ComparisonData!A52,ComparisonData!$IG$1),0)</f>
        <v>0</v>
      </c>
      <c r="IH52" s="56">
        <v>47</v>
      </c>
      <c r="II52" s="53" t="str">
        <f t="shared" si="568"/>
        <v>Kresen Kernow</v>
      </c>
      <c r="IJ52" s="59">
        <f t="shared" si="229"/>
        <v>0</v>
      </c>
      <c r="IK52" s="59">
        <f t="shared" si="230"/>
        <v>0</v>
      </c>
      <c r="IL52" s="59">
        <f t="shared" si="231"/>
        <v>0</v>
      </c>
      <c r="IM52" s="59">
        <f t="shared" si="232"/>
        <v>0</v>
      </c>
      <c r="IN52" s="59">
        <f t="shared" si="233"/>
        <v>0</v>
      </c>
      <c r="IO52" s="58">
        <f t="shared" si="234"/>
        <v>0</v>
      </c>
      <c r="IP52" s="45">
        <f t="shared" si="235"/>
        <v>76</v>
      </c>
      <c r="IQ52" s="45">
        <f t="shared" si="569"/>
        <v>2.8140000000000001</v>
      </c>
      <c r="IR52" s="45">
        <f t="shared" si="236"/>
        <v>1</v>
      </c>
      <c r="IS52" s="45">
        <f t="shared" si="237"/>
        <v>2</v>
      </c>
      <c r="IT52" s="46">
        <f t="shared" si="238"/>
        <v>0</v>
      </c>
      <c r="IU52" s="46" cm="1">
        <f t="array" ref="IU52">ROUND(IFERROR(INDEX(ArchiveResults!$F$5:$IX$116,ComparisonData!A52,ComparisonData!$IU$1),0),5)</f>
        <v>0</v>
      </c>
      <c r="IV52" s="46" cm="1">
        <f t="array" ref="IV52">ROUND(IFERROR(INDEX(ArchiveResults!$F$5:$IX$116,ComparisonData!A52,ComparisonData!$IV$1),0),5)</f>
        <v>0</v>
      </c>
      <c r="IW52" s="46" cm="1">
        <f t="array" ref="IW52">ROUND(IFERROR(INDEX(ArchiveResults!$F$5:$IX$116,ComparisonData!A52,ComparisonData!$IW$1),0),5)</f>
        <v>0</v>
      </c>
      <c r="IX52" s="46" cm="1">
        <f t="array" ref="IX52">ROUND(IFERROR(INDEX(ArchiveResults!$F$5:$IX$116,ComparisonData!A52,ComparisonData!$IX$1),0),5)</f>
        <v>0</v>
      </c>
      <c r="IY52" s="45" cm="1">
        <f t="array" ref="IY52">IFERROR(INDEX(ArchiveResults!$F$5:$IX$116,ComparisonData!A52,ComparisonData!$IY$1),0)</f>
        <v>0</v>
      </c>
      <c r="IZ52" s="56">
        <v>47</v>
      </c>
      <c r="JA52" s="53" t="str">
        <f t="shared" si="570"/>
        <v>Kresen Kernow</v>
      </c>
      <c r="JB52" s="59">
        <f t="shared" si="239"/>
        <v>0</v>
      </c>
      <c r="JC52" s="59">
        <f t="shared" si="240"/>
        <v>0</v>
      </c>
      <c r="JD52" s="59">
        <f t="shared" si="241"/>
        <v>0</v>
      </c>
      <c r="JE52" s="59">
        <f t="shared" si="242"/>
        <v>0</v>
      </c>
      <c r="JF52" s="59">
        <f t="shared" si="243"/>
        <v>0</v>
      </c>
      <c r="JG52" s="58">
        <f t="shared" si="244"/>
        <v>0</v>
      </c>
      <c r="JH52" s="45">
        <f t="shared" si="245"/>
        <v>76</v>
      </c>
      <c r="JI52" s="45">
        <f t="shared" si="571"/>
        <v>2.8140000000000001</v>
      </c>
      <c r="JJ52" s="45">
        <f t="shared" si="246"/>
        <v>1</v>
      </c>
      <c r="JK52" s="45">
        <f t="shared" si="247"/>
        <v>2</v>
      </c>
      <c r="JL52" s="45">
        <f t="shared" si="248"/>
        <v>0</v>
      </c>
      <c r="JM52" s="46" cm="1">
        <f t="array" ref="JM52">ROUND(IFERROR(INDEX(ArchiveResults!$F$5:$IX$116,ComparisonData!A52,ComparisonData!$JM$1),0),5)</f>
        <v>0</v>
      </c>
      <c r="JN52" s="46" cm="1">
        <f t="array" ref="JN52">ROUND(IFERROR(INDEX(ArchiveResults!$F$5:$IX$116,ComparisonData!A52,ComparisonData!$JN$1),0),5)</f>
        <v>0</v>
      </c>
      <c r="JO52" s="46" cm="1">
        <f t="array" ref="JO52">ROUND(IFERROR(INDEX(ArchiveResults!$F$5:$IX$116,ComparisonData!A52,ComparisonData!$JO$1),0),5)</f>
        <v>0</v>
      </c>
      <c r="JP52" s="46" cm="1">
        <f t="array" ref="JP52">ROUND(IFERROR(INDEX(ArchiveResults!$F$5:$IX$116,ComparisonData!A52,ComparisonData!$JP$1),0),5)</f>
        <v>0</v>
      </c>
      <c r="JQ52" s="45" cm="1">
        <f t="array" ref="JQ52">IFERROR(INDEX(ArchiveResults!$F$5:$IX$116,ComparisonData!A52,ComparisonData!$JQ$1),0)</f>
        <v>0</v>
      </c>
      <c r="JR52" s="56">
        <v>47</v>
      </c>
      <c r="JS52" s="53" t="str">
        <f t="shared" si="572"/>
        <v>Kresen Kernow</v>
      </c>
      <c r="JT52" s="59">
        <f t="shared" si="249"/>
        <v>0</v>
      </c>
      <c r="JU52" s="59">
        <f t="shared" si="250"/>
        <v>0</v>
      </c>
      <c r="JV52" s="59">
        <f t="shared" si="251"/>
        <v>0</v>
      </c>
      <c r="JW52" s="59">
        <f t="shared" si="252"/>
        <v>0</v>
      </c>
      <c r="JX52" s="59">
        <f t="shared" si="253"/>
        <v>0</v>
      </c>
      <c r="JY52" s="58">
        <f t="shared" si="254"/>
        <v>0</v>
      </c>
      <c r="JZ52" s="45">
        <f t="shared" si="255"/>
        <v>76</v>
      </c>
      <c r="KA52" s="45">
        <f t="shared" si="573"/>
        <v>2.8140000000000001</v>
      </c>
      <c r="KB52" s="45">
        <f t="shared" si="256"/>
        <v>1</v>
      </c>
      <c r="KC52" s="45">
        <f t="shared" si="257"/>
        <v>2</v>
      </c>
      <c r="KD52" s="45">
        <f t="shared" si="258"/>
        <v>0</v>
      </c>
      <c r="KE52" s="46" cm="1">
        <f t="array" ref="KE52">ROUND(IFERROR(INDEX(ArchiveResults!$F$5:$IX$116,ComparisonData!A52,ComparisonData!$KE$1),0),5)</f>
        <v>0</v>
      </c>
      <c r="KF52" s="46" cm="1">
        <f t="array" ref="KF52">ROUND(IFERROR(INDEX(ArchiveResults!$F$5:$IX$116,ComparisonData!A52,ComparisonData!$KF$1),0),5)</f>
        <v>0</v>
      </c>
      <c r="KG52" s="46" cm="1">
        <f t="array" ref="KG52">ROUND(IFERROR(INDEX(ArchiveResults!$F$5:$IX$116,ComparisonData!A52,ComparisonData!$KG$1),0),5)</f>
        <v>0</v>
      </c>
      <c r="KH52" s="46" cm="1">
        <f t="array" ref="KH52">ROUND(IFERROR(INDEX(ArchiveResults!$F$5:$IX$116,ComparisonData!A52,ComparisonData!$KH$1),0),5)</f>
        <v>0</v>
      </c>
      <c r="KI52" s="45" cm="1">
        <f t="array" ref="KI52">IFERROR(INDEX(ArchiveResults!$F$5:$IX$116,ComparisonData!A52,ComparisonData!$KI$1),0)</f>
        <v>0</v>
      </c>
      <c r="KJ52" s="56">
        <v>47</v>
      </c>
      <c r="KK52" s="53" t="str">
        <f t="shared" si="574"/>
        <v>Kresen Kernow</v>
      </c>
      <c r="KL52" s="59">
        <f t="shared" si="259"/>
        <v>0</v>
      </c>
      <c r="KM52" s="59">
        <f t="shared" si="260"/>
        <v>0</v>
      </c>
      <c r="KN52" s="59">
        <f t="shared" si="261"/>
        <v>0</v>
      </c>
      <c r="KO52" s="59">
        <f t="shared" si="262"/>
        <v>0</v>
      </c>
      <c r="KP52" s="59">
        <f t="shared" si="263"/>
        <v>0</v>
      </c>
      <c r="KQ52" s="58">
        <f t="shared" si="264"/>
        <v>0</v>
      </c>
      <c r="KR52" s="45">
        <f t="shared" si="265"/>
        <v>76</v>
      </c>
      <c r="KS52" s="45">
        <f t="shared" si="575"/>
        <v>2.8140000000000001</v>
      </c>
      <c r="KT52" s="45">
        <f t="shared" si="266"/>
        <v>1</v>
      </c>
      <c r="KU52" s="45">
        <f t="shared" si="267"/>
        <v>2</v>
      </c>
      <c r="KV52" s="45">
        <f t="shared" si="268"/>
        <v>0</v>
      </c>
      <c r="KW52" s="46" cm="1">
        <f t="array" ref="KW52">ROUND(IFERROR(INDEX(ArchiveResults!$F$5:$IX$116,ComparisonData!A52,ComparisonData!$KW$1),0),5)</f>
        <v>0</v>
      </c>
      <c r="KX52" s="46" cm="1">
        <f t="array" ref="KX52">ROUND(IFERROR(INDEX(ArchiveResults!$F$5:$IX$116,ComparisonData!A52,ComparisonData!$KX$1),0),5)</f>
        <v>0</v>
      </c>
      <c r="KY52" s="46" cm="1">
        <f t="array" ref="KY52">ROUND(IFERROR(INDEX(ArchiveResults!$F$5:$IX$116,ComparisonData!A52,ComparisonData!$KY$1),0),5)</f>
        <v>0</v>
      </c>
      <c r="KZ52" s="46" cm="1">
        <f t="array" ref="KZ52">ROUND(IFERROR(INDEX(ArchiveResults!$F$5:$IX$116,ComparisonData!A52,ComparisonData!$KZ$1),0),5)</f>
        <v>0</v>
      </c>
      <c r="LA52" s="45" cm="1">
        <f t="array" ref="LA52">IFERROR(INDEX(ArchiveResults!$F$5:$IX$116,ComparisonData!A52,ComparisonData!$LA$1),0)</f>
        <v>0</v>
      </c>
      <c r="LB52" s="56">
        <v>47</v>
      </c>
      <c r="LC52" s="53" t="str">
        <f t="shared" si="576"/>
        <v>Kresen Kernow</v>
      </c>
      <c r="LD52" s="59">
        <f t="shared" si="269"/>
        <v>0</v>
      </c>
      <c r="LE52" s="59">
        <f t="shared" si="270"/>
        <v>0</v>
      </c>
      <c r="LF52" s="59">
        <f t="shared" si="271"/>
        <v>0</v>
      </c>
      <c r="LG52" s="59">
        <f t="shared" si="272"/>
        <v>0</v>
      </c>
      <c r="LH52" s="59">
        <f t="shared" si="273"/>
        <v>0</v>
      </c>
      <c r="LI52" s="58">
        <f t="shared" si="274"/>
        <v>0</v>
      </c>
      <c r="LJ52" s="45">
        <f t="shared" si="275"/>
        <v>76</v>
      </c>
      <c r="LK52" s="45">
        <f t="shared" si="577"/>
        <v>2.8140000000000001</v>
      </c>
      <c r="LL52" s="45">
        <f t="shared" si="276"/>
        <v>1</v>
      </c>
      <c r="LM52" s="45">
        <f t="shared" si="277"/>
        <v>2</v>
      </c>
      <c r="LN52" s="45">
        <f t="shared" si="278"/>
        <v>0</v>
      </c>
      <c r="LO52" s="46" cm="1">
        <f t="array" ref="LO52">ROUND(IFERROR(INDEX(ArchiveResults!$F$5:$IX$116,ComparisonData!A52,ComparisonData!$LO$1),0),5)</f>
        <v>0</v>
      </c>
      <c r="LP52" s="46" cm="1">
        <f t="array" ref="LP52">ROUND(IFERROR(INDEX(ArchiveResults!$F$5:$IX$116,ComparisonData!A52,ComparisonData!$LP$1),0),5)</f>
        <v>0</v>
      </c>
      <c r="LQ52" s="46" cm="1">
        <f t="array" ref="LQ52">ROUND(IFERROR(INDEX(ArchiveResults!$F$5:$IX$116,ComparisonData!A52,ComparisonData!$LQ$1),0),5)</f>
        <v>0</v>
      </c>
      <c r="LR52" s="46" cm="1">
        <f t="array" ref="LR52">ROUND(IFERROR(INDEX(ArchiveResults!$F$5:$IX$116,ComparisonData!A52,ComparisonData!$LR$1),0),5)</f>
        <v>0</v>
      </c>
      <c r="LS52" s="45" cm="1">
        <f t="array" ref="LS52">IFERROR(INDEX(ArchiveResults!$F$5:$IX$116,ComparisonData!A52,ComparisonData!$LS$1),0)</f>
        <v>0</v>
      </c>
      <c r="LT52" s="56">
        <v>47</v>
      </c>
      <c r="LU52" s="53" t="str">
        <f t="shared" si="578"/>
        <v>Kresen Kernow</v>
      </c>
      <c r="LV52" s="59">
        <f t="shared" si="279"/>
        <v>0</v>
      </c>
      <c r="LW52" s="59">
        <f t="shared" si="280"/>
        <v>0</v>
      </c>
      <c r="LX52" s="59">
        <f t="shared" si="281"/>
        <v>0</v>
      </c>
      <c r="LY52" s="59">
        <f t="shared" si="282"/>
        <v>0</v>
      </c>
      <c r="LZ52" s="59">
        <f t="shared" si="283"/>
        <v>0</v>
      </c>
      <c r="MA52" s="58">
        <f t="shared" si="284"/>
        <v>0</v>
      </c>
      <c r="MB52" s="45">
        <f t="shared" si="285"/>
        <v>76</v>
      </c>
      <c r="MC52" s="45">
        <f t="shared" si="579"/>
        <v>2.8140000000000001</v>
      </c>
      <c r="MD52" s="45">
        <f t="shared" si="286"/>
        <v>1</v>
      </c>
      <c r="ME52" s="45">
        <f t="shared" si="287"/>
        <v>2</v>
      </c>
      <c r="MF52" s="45">
        <f t="shared" si="288"/>
        <v>0</v>
      </c>
      <c r="MG52" s="46" cm="1">
        <f t="array" ref="MG52">ROUND(IFERROR(INDEX(ArchiveResults!$F$5:$IX$116,ComparisonData!A52,ComparisonData!$MG$1),0),5)</f>
        <v>0</v>
      </c>
      <c r="MH52" s="46" cm="1">
        <f t="array" ref="MH52">ROUND(IFERROR(INDEX(ArchiveResults!$F$5:$IX$116,ComparisonData!A52,ComparisonData!$MH$1),0),5)</f>
        <v>0</v>
      </c>
      <c r="MI52" s="46" cm="1">
        <f t="array" ref="MI52">ROUND(IFERROR(INDEX(ArchiveResults!$F$5:$IX$116,ComparisonData!A52,ComparisonData!$MI$1),0),5)</f>
        <v>0</v>
      </c>
      <c r="MJ52" s="46" cm="1">
        <f t="array" ref="MJ52">ROUND(IFERROR(INDEX(ArchiveResults!$F$5:$IX$116,ComparisonData!A52,ComparisonData!$MJ$1),0),5)</f>
        <v>0</v>
      </c>
      <c r="MK52" s="45" cm="1">
        <f t="array" ref="MK52">IFERROR(INDEX(ArchiveResults!$F$5:$IX$116,ComparisonData!A52,ComparisonData!$MK$1),0)</f>
        <v>0</v>
      </c>
      <c r="ML52" s="56">
        <v>47</v>
      </c>
      <c r="MM52" s="53" t="str">
        <f t="shared" si="580"/>
        <v>Kresen Kernow</v>
      </c>
      <c r="MN52" s="59">
        <f t="shared" si="289"/>
        <v>0</v>
      </c>
      <c r="MO52" s="59">
        <f t="shared" si="290"/>
        <v>0</v>
      </c>
      <c r="MP52" s="59">
        <f t="shared" si="291"/>
        <v>0</v>
      </c>
      <c r="MQ52" s="59">
        <f t="shared" si="292"/>
        <v>0</v>
      </c>
      <c r="MR52" s="59">
        <f t="shared" si="293"/>
        <v>0</v>
      </c>
      <c r="MS52" s="58">
        <f t="shared" si="294"/>
        <v>0</v>
      </c>
      <c r="MT52" s="45">
        <f t="shared" si="295"/>
        <v>76</v>
      </c>
      <c r="MU52" s="45">
        <f t="shared" si="581"/>
        <v>2.8140000000000001</v>
      </c>
      <c r="MV52" s="45">
        <f t="shared" si="296"/>
        <v>1</v>
      </c>
      <c r="MW52" s="45">
        <f t="shared" si="297"/>
        <v>2</v>
      </c>
      <c r="MX52" s="45">
        <f t="shared" si="298"/>
        <v>0</v>
      </c>
      <c r="MY52" s="46" cm="1">
        <f t="array" ref="MY52">ROUND(IFERROR(INDEX(ArchiveResults!$F$5:$IX$116,ComparisonData!A52,ComparisonData!$MY$1),0),5)</f>
        <v>0</v>
      </c>
      <c r="MZ52" s="46" cm="1">
        <f t="array" ref="MZ52">ROUND(IFERROR(INDEX(ArchiveResults!$F$5:$IX$116,ComparisonData!A52,ComparisonData!$MZ$1),0),5)</f>
        <v>0</v>
      </c>
      <c r="NA52" s="46" cm="1">
        <f t="array" ref="NA52">ROUND(IFERROR(INDEX(ArchiveResults!$F$5:$IX$116,ComparisonData!A52,ComparisonData!$NA$1),0),5)</f>
        <v>0</v>
      </c>
      <c r="NB52" s="46" cm="1">
        <f t="array" ref="NB52">ROUND(IFERROR(INDEX(ArchiveResults!$F$5:$IX$116,ComparisonData!A52,ComparisonData!$NB$1),0),5)</f>
        <v>0</v>
      </c>
      <c r="NC52" s="45" cm="1">
        <f t="array" ref="NC52">IFERROR(INDEX(ArchiveResults!$F$5:$IX$116,ComparisonData!A52,ComparisonData!$NC$1),0)</f>
        <v>0</v>
      </c>
      <c r="ND52" s="56">
        <v>47</v>
      </c>
      <c r="NE52" s="53" t="str">
        <f t="shared" si="582"/>
        <v>Kresen Kernow</v>
      </c>
      <c r="NF52" s="59">
        <f t="shared" si="299"/>
        <v>0</v>
      </c>
      <c r="NG52" s="59">
        <f t="shared" si="300"/>
        <v>0</v>
      </c>
      <c r="NH52" s="59">
        <f t="shared" si="301"/>
        <v>0</v>
      </c>
      <c r="NI52" s="59">
        <f t="shared" si="302"/>
        <v>0</v>
      </c>
      <c r="NJ52" s="59">
        <f t="shared" si="303"/>
        <v>0</v>
      </c>
      <c r="NK52" s="58">
        <f t="shared" si="304"/>
        <v>0</v>
      </c>
      <c r="NL52" s="45">
        <f t="shared" si="305"/>
        <v>76</v>
      </c>
      <c r="NM52" s="45">
        <f t="shared" si="583"/>
        <v>2.8140000000000001</v>
      </c>
      <c r="NN52" s="45">
        <f t="shared" si="306"/>
        <v>1</v>
      </c>
      <c r="NO52" s="45">
        <f t="shared" si="307"/>
        <v>2</v>
      </c>
      <c r="NP52" s="46" cm="1">
        <f t="array" ref="NP52">ROUND(IFERROR(INDEX(ArchiveResults!$F$5:$IX$116,ComparisonData!A52,ComparisonData!$NP$1),0),5)</f>
        <v>0</v>
      </c>
      <c r="NQ52" s="46" cm="1">
        <f t="array" ref="NQ52">ROUND(IFERROR(INDEX(ArchiveResults!$F$5:$IX$116,ComparisonData!A52,ComparisonData!$NQ$1),0),5)</f>
        <v>0</v>
      </c>
      <c r="NR52" s="46" cm="1">
        <f t="array" ref="NR52">ROUND(IFERROR(INDEX(ArchiveResults!$F$5:$IX$116,ComparisonData!A52,ComparisonData!$NR$1),0),5)</f>
        <v>0</v>
      </c>
      <c r="NS52" s="46" cm="1">
        <f t="array" ref="NS52">ROUND(IFERROR(INDEX(ArchiveResults!$F$5:$IX$116,ComparisonData!A52,ComparisonData!$NS$1),0),5)</f>
        <v>0</v>
      </c>
      <c r="NT52" s="45" cm="1">
        <f t="array" ref="NT52">IFERROR(INDEX(ArchiveResults!$F$5:$IX$116,ComparisonData!A52,ComparisonData!$NT$1),0)</f>
        <v>0</v>
      </c>
      <c r="NU52" s="56">
        <v>47</v>
      </c>
      <c r="NV52" s="53" t="str">
        <f t="shared" si="584"/>
        <v>Kresen Kernow</v>
      </c>
      <c r="NW52" s="59">
        <f t="shared" si="308"/>
        <v>0</v>
      </c>
      <c r="NX52" s="59">
        <f t="shared" si="309"/>
        <v>0</v>
      </c>
      <c r="NY52" s="59">
        <f t="shared" si="310"/>
        <v>0</v>
      </c>
      <c r="NZ52" s="59">
        <f t="shared" si="311"/>
        <v>0</v>
      </c>
      <c r="OA52" s="59">
        <f t="shared" si="312"/>
        <v>0</v>
      </c>
      <c r="OB52" s="58">
        <f t="shared" si="313"/>
        <v>0</v>
      </c>
      <c r="OC52" s="45">
        <f t="shared" si="314"/>
        <v>76</v>
      </c>
      <c r="OD52" s="45">
        <f t="shared" si="585"/>
        <v>2.8140000000000001</v>
      </c>
      <c r="OE52" s="45">
        <f t="shared" si="315"/>
        <v>1</v>
      </c>
      <c r="OF52" s="45">
        <f t="shared" si="316"/>
        <v>2</v>
      </c>
      <c r="OG52" s="46">
        <f t="shared" si="317"/>
        <v>0</v>
      </c>
      <c r="OH52" s="46" cm="1">
        <f t="array" ref="OH52">ROUND(IFERROR(INDEX(ArchiveResults!$F$5:$IX$116,ComparisonData!A52,ComparisonData!$OH$1),0),5)</f>
        <v>0</v>
      </c>
      <c r="OI52" s="46" cm="1">
        <f t="array" ref="OI52">ROUND(IFERROR(INDEX(ArchiveResults!$F$5:$IX$116,ComparisonData!A52,ComparisonData!$OI$1),0),5)</f>
        <v>0</v>
      </c>
      <c r="OJ52" s="46" cm="1">
        <f t="array" ref="OJ52">ROUND(IFERROR(INDEX(ArchiveResults!$F$5:$IX$116,ComparisonData!A52,ComparisonData!$OJ$1),0),5)</f>
        <v>0</v>
      </c>
      <c r="OK52" s="46" cm="1">
        <f t="array" ref="OK52">ROUND(IFERROR(INDEX(ArchiveResults!$F$5:$IX$116,ComparisonData!A52,ComparisonData!$OK$1),0),5)</f>
        <v>0</v>
      </c>
      <c r="OL52" s="45" cm="1">
        <f t="array" ref="OL52">IFERROR(INDEX(ArchiveResults!$F$5:$IX$116,ComparisonData!A52,ComparisonData!$OL$1),0)</f>
        <v>0</v>
      </c>
      <c r="OM52" s="56">
        <v>47</v>
      </c>
      <c r="ON52" s="53" t="str">
        <f t="shared" si="586"/>
        <v>Kresen Kernow</v>
      </c>
      <c r="OO52" s="59">
        <f t="shared" si="318"/>
        <v>0</v>
      </c>
      <c r="OP52" s="59">
        <f t="shared" si="319"/>
        <v>0</v>
      </c>
      <c r="OQ52" s="59">
        <f t="shared" si="320"/>
        <v>0</v>
      </c>
      <c r="OR52" s="59">
        <f t="shared" si="321"/>
        <v>0</v>
      </c>
      <c r="OS52" s="59">
        <f t="shared" si="322"/>
        <v>0</v>
      </c>
      <c r="OT52" s="58">
        <f t="shared" si="323"/>
        <v>0</v>
      </c>
      <c r="OU52" s="45">
        <f t="shared" si="324"/>
        <v>76</v>
      </c>
      <c r="OV52" s="45">
        <f t="shared" si="587"/>
        <v>2.8140000000000001</v>
      </c>
      <c r="OW52" s="45">
        <f t="shared" si="325"/>
        <v>1</v>
      </c>
      <c r="OX52" s="45">
        <f t="shared" si="326"/>
        <v>2</v>
      </c>
      <c r="OY52" s="45">
        <f t="shared" si="327"/>
        <v>0</v>
      </c>
      <c r="OZ52" s="46" cm="1">
        <f t="array" ref="OZ52">ROUND(IFERROR(INDEX(ArchiveResults!$F$5:$IX$116,ComparisonData!A52,ComparisonData!$OZ$1),0),5)</f>
        <v>0</v>
      </c>
      <c r="PA52" s="46" cm="1">
        <f t="array" ref="PA52">ROUND(IFERROR(INDEX(ArchiveResults!$F$5:$IX$116,ComparisonData!A52,ComparisonData!$PA$1),0),5)</f>
        <v>0</v>
      </c>
      <c r="PB52" s="46" cm="1">
        <f t="array" ref="PB52">ROUND(IFERROR(INDEX(ArchiveResults!$F$5:$IX$116,ComparisonData!A52,ComparisonData!$PB$1),0),5)</f>
        <v>0</v>
      </c>
      <c r="PC52" s="46" cm="1">
        <f t="array" ref="PC52">ROUND(IFERROR(INDEX(ArchiveResults!$F$5:$IX$116,ComparisonData!A52,ComparisonData!$PC$1),0),5)</f>
        <v>0</v>
      </c>
      <c r="PD52" s="45" cm="1">
        <f t="array" ref="PD52">IFERROR(INDEX(ArchiveResults!$F$5:$IX$116,ComparisonData!A52,ComparisonData!$PD$1),0)</f>
        <v>0</v>
      </c>
      <c r="PE52" s="56">
        <v>47</v>
      </c>
      <c r="PF52" s="53" t="str">
        <f t="shared" si="588"/>
        <v>Kresen Kernow</v>
      </c>
      <c r="PG52" s="59">
        <f t="shared" si="328"/>
        <v>0</v>
      </c>
      <c r="PH52" s="59">
        <f t="shared" si="329"/>
        <v>0</v>
      </c>
      <c r="PI52" s="59">
        <f t="shared" si="330"/>
        <v>0</v>
      </c>
      <c r="PJ52" s="59">
        <f t="shared" si="331"/>
        <v>0</v>
      </c>
      <c r="PK52" s="59">
        <f t="shared" si="332"/>
        <v>0</v>
      </c>
      <c r="PL52" s="58">
        <f t="shared" si="333"/>
        <v>0</v>
      </c>
      <c r="PM52" s="45">
        <f t="shared" si="334"/>
        <v>76</v>
      </c>
      <c r="PN52" s="45">
        <f t="shared" si="589"/>
        <v>2.8140000000000001</v>
      </c>
      <c r="PO52" s="45">
        <f t="shared" si="335"/>
        <v>1</v>
      </c>
      <c r="PP52" s="45">
        <f t="shared" si="336"/>
        <v>2</v>
      </c>
      <c r="PQ52" s="45">
        <f t="shared" si="337"/>
        <v>0</v>
      </c>
      <c r="PR52" s="46" cm="1">
        <f t="array" ref="PR52">ROUND(IFERROR(INDEX(ArchiveResults!$F$5:$IX$116,ComparisonData!A52,ComparisonData!$PR$1),0),5)</f>
        <v>0</v>
      </c>
      <c r="PS52" s="46" cm="1">
        <f t="array" ref="PS52">ROUND(IFERROR(INDEX(ArchiveResults!$F$5:$IX$116,ComparisonData!A52,ComparisonData!$PS$1),0),5)</f>
        <v>0</v>
      </c>
      <c r="PT52" s="46" cm="1">
        <f t="array" ref="PT52">ROUND(IFERROR(INDEX(ArchiveResults!$F$5:$IX$116,ComparisonData!A52,ComparisonData!$PT$1),0),5)</f>
        <v>0</v>
      </c>
      <c r="PU52" s="46" cm="1">
        <f t="array" ref="PU52">ROUND(IFERROR(INDEX(ArchiveResults!$F$5:$IX$116,ComparisonData!A52,ComparisonData!$PU$1),0),5)</f>
        <v>0</v>
      </c>
      <c r="PV52" s="45" cm="1">
        <f t="array" ref="PV52">IFERROR(INDEX(ArchiveResults!$F$5:$IX$116,ComparisonData!A52,ComparisonData!$PV$1),0)</f>
        <v>0</v>
      </c>
      <c r="PW52" s="56">
        <v>47</v>
      </c>
      <c r="PX52" s="53" t="str">
        <f t="shared" si="590"/>
        <v>Kresen Kernow</v>
      </c>
      <c r="PY52" s="59">
        <f t="shared" si="338"/>
        <v>0</v>
      </c>
      <c r="PZ52" s="59">
        <f t="shared" si="339"/>
        <v>0</v>
      </c>
      <c r="QA52" s="59">
        <f t="shared" si="340"/>
        <v>0</v>
      </c>
      <c r="QB52" s="59">
        <f t="shared" si="341"/>
        <v>0</v>
      </c>
      <c r="QC52" s="59">
        <f t="shared" si="342"/>
        <v>0</v>
      </c>
      <c r="QD52" s="58">
        <f t="shared" si="343"/>
        <v>0</v>
      </c>
      <c r="QE52" s="45">
        <f t="shared" si="344"/>
        <v>76</v>
      </c>
      <c r="QF52" s="45">
        <f t="shared" si="591"/>
        <v>2.8140000000000001</v>
      </c>
      <c r="QG52" s="45">
        <f t="shared" si="345"/>
        <v>1</v>
      </c>
      <c r="QH52" s="45">
        <f t="shared" si="346"/>
        <v>2</v>
      </c>
      <c r="QI52" s="45">
        <f t="shared" si="347"/>
        <v>0</v>
      </c>
      <c r="QJ52" s="46" cm="1">
        <f t="array" ref="QJ52">ROUND(IFERROR(INDEX(ArchiveResults!$F$5:$IX$116,ComparisonData!A52,ComparisonData!$QJ$1),0),5)</f>
        <v>0</v>
      </c>
      <c r="QK52" s="46" cm="1">
        <f t="array" ref="QK52">ROUND(IFERROR(INDEX(ArchiveResults!$F$5:$IX$116,ComparisonData!A52,ComparisonData!$QK$1),0),5)</f>
        <v>0</v>
      </c>
      <c r="QL52" s="46" cm="1">
        <f t="array" ref="QL52">ROUND(IFERROR(INDEX(ArchiveResults!$F$5:$IX$116,ComparisonData!A52,ComparisonData!$QL$1),0),5)</f>
        <v>0</v>
      </c>
      <c r="QM52" s="46" cm="1">
        <f t="array" ref="QM52">ROUND(IFERROR(INDEX(ArchiveResults!$F$5:$IX$116,ComparisonData!A52,ComparisonData!$QM$1),0),5)</f>
        <v>0</v>
      </c>
      <c r="QN52" s="45" cm="1">
        <f t="array" ref="QN52">IFERROR(INDEX(ArchiveResults!$F$5:$IX$116,ComparisonData!A52,ComparisonData!$QN$1),0)</f>
        <v>0</v>
      </c>
      <c r="QO52" s="56">
        <v>47</v>
      </c>
      <c r="QP52" s="53" t="str">
        <f t="shared" si="592"/>
        <v>Kresen Kernow</v>
      </c>
      <c r="QQ52" s="59">
        <f t="shared" si="348"/>
        <v>0</v>
      </c>
      <c r="QR52" s="59">
        <f t="shared" si="349"/>
        <v>0</v>
      </c>
      <c r="QS52" s="59">
        <f t="shared" si="350"/>
        <v>0</v>
      </c>
      <c r="QT52" s="59">
        <f t="shared" si="351"/>
        <v>0</v>
      </c>
      <c r="QU52" s="59">
        <f t="shared" si="352"/>
        <v>0</v>
      </c>
      <c r="QV52" s="58">
        <f t="shared" si="353"/>
        <v>0</v>
      </c>
      <c r="QW52" s="45">
        <f t="shared" si="354"/>
        <v>76</v>
      </c>
      <c r="QX52" s="45">
        <f t="shared" si="593"/>
        <v>2.8140000000000001</v>
      </c>
      <c r="QY52" s="45">
        <f t="shared" si="355"/>
        <v>1</v>
      </c>
      <c r="QZ52" s="45">
        <f t="shared" si="356"/>
        <v>2</v>
      </c>
      <c r="RA52" s="45">
        <f t="shared" si="357"/>
        <v>0</v>
      </c>
      <c r="RB52" s="46" cm="1">
        <f t="array" ref="RB52">ROUND(IFERROR(INDEX(ArchiveResults!$F$5:$IX$116,ComparisonData!A52,ComparisonData!$RB$1),0),5)</f>
        <v>0</v>
      </c>
      <c r="RC52" s="46" cm="1">
        <f t="array" ref="RC52">ROUND(IFERROR(INDEX(ArchiveResults!$F$5:$IX$116,ComparisonData!A52,ComparisonData!$RC$1),0),5)</f>
        <v>0</v>
      </c>
      <c r="RD52" s="46" cm="1">
        <f t="array" ref="RD52">ROUND(IFERROR(INDEX(ArchiveResults!$F$5:$IX$116,ComparisonData!A52,ComparisonData!$RD$1),0),5)</f>
        <v>0</v>
      </c>
      <c r="RE52" s="46" cm="1">
        <f t="array" ref="RE52">ROUND(IFERROR(INDEX(ArchiveResults!$F$5:$IX$116,ComparisonData!A52,ComparisonData!$RE$1),0),5)</f>
        <v>0</v>
      </c>
      <c r="RF52" s="45" cm="1">
        <f t="array" ref="RF52">IFERROR(INDEX(ArchiveResults!$F$5:$IX$116,ComparisonData!A52,ComparisonData!$RF$1),0)</f>
        <v>0</v>
      </c>
      <c r="RG52" s="56">
        <v>47</v>
      </c>
      <c r="RH52" s="53" t="str">
        <f t="shared" si="594"/>
        <v>Kresen Kernow</v>
      </c>
      <c r="RI52" s="59">
        <f t="shared" si="358"/>
        <v>0</v>
      </c>
      <c r="RJ52" s="59">
        <f t="shared" si="359"/>
        <v>0</v>
      </c>
      <c r="RK52" s="59">
        <f t="shared" si="360"/>
        <v>0</v>
      </c>
      <c r="RL52" s="59">
        <f t="shared" si="361"/>
        <v>0</v>
      </c>
      <c r="RM52" s="59">
        <f t="shared" si="362"/>
        <v>0</v>
      </c>
      <c r="RN52" s="58">
        <f t="shared" si="363"/>
        <v>0</v>
      </c>
      <c r="RO52" s="45">
        <f t="shared" si="364"/>
        <v>76</v>
      </c>
      <c r="RP52" s="45">
        <f t="shared" si="595"/>
        <v>2.8140000000000001</v>
      </c>
      <c r="RQ52" s="45">
        <f t="shared" si="365"/>
        <v>1</v>
      </c>
      <c r="RR52" s="45">
        <f t="shared" si="366"/>
        <v>2</v>
      </c>
      <c r="RS52" s="45">
        <f t="shared" si="367"/>
        <v>0</v>
      </c>
      <c r="RT52" s="46" cm="1">
        <f t="array" ref="RT52">ROUND(IFERROR(INDEX(ArchiveResults!$F$5:$IX$116,ComparisonData!A52,ComparisonData!$RT$1),0),5)</f>
        <v>0</v>
      </c>
      <c r="RU52" s="46" cm="1">
        <f t="array" ref="RU52">ROUND(IFERROR(INDEX(ArchiveResults!$F$5:$IX$116,ComparisonData!A52,ComparisonData!$RU$1),0),5)</f>
        <v>0</v>
      </c>
      <c r="RV52" s="46" cm="1">
        <f t="array" ref="RV52">ROUND(IFERROR(INDEX(ArchiveResults!$F$5:$IX$116,ComparisonData!A52,ComparisonData!$RV$1),0),5)</f>
        <v>0</v>
      </c>
      <c r="RW52" s="46" cm="1">
        <f t="array" ref="RW52">ROUND(IFERROR(INDEX(ArchiveResults!$F$5:$IX$116,ComparisonData!A52,ComparisonData!$RW$1),0),5)</f>
        <v>0</v>
      </c>
      <c r="RX52" s="45" cm="1">
        <f t="array" ref="RX52">IFERROR(INDEX(ArchiveResults!$F$5:$IX$116,ComparisonData!A52,ComparisonData!$RX$1),0)</f>
        <v>0</v>
      </c>
      <c r="RY52" s="56">
        <v>47</v>
      </c>
      <c r="RZ52" s="53" t="str">
        <f t="shared" si="596"/>
        <v>Kresen Kernow</v>
      </c>
      <c r="SA52" s="59">
        <f t="shared" si="368"/>
        <v>0</v>
      </c>
      <c r="SB52" s="59">
        <f t="shared" si="369"/>
        <v>0</v>
      </c>
      <c r="SC52" s="59">
        <f t="shared" si="370"/>
        <v>0</v>
      </c>
      <c r="SD52" s="59">
        <f t="shared" si="371"/>
        <v>0</v>
      </c>
      <c r="SE52" s="59">
        <f t="shared" si="372"/>
        <v>0</v>
      </c>
      <c r="SF52" s="58">
        <f t="shared" si="373"/>
        <v>0</v>
      </c>
      <c r="SG52" s="45">
        <f t="shared" si="374"/>
        <v>76</v>
      </c>
      <c r="SH52" s="45">
        <f t="shared" si="597"/>
        <v>2.8140000000000001</v>
      </c>
      <c r="SI52" s="45">
        <f t="shared" si="375"/>
        <v>1</v>
      </c>
      <c r="SJ52" s="45">
        <f t="shared" si="376"/>
        <v>2</v>
      </c>
      <c r="SK52" s="45">
        <f t="shared" si="377"/>
        <v>0</v>
      </c>
      <c r="SL52" s="46" cm="1">
        <f t="array" ref="SL52">ROUND(IFERROR(INDEX(ArchiveResults!$F$5:$IX$116,ComparisonData!A52,ComparisonData!$SL$1),0),5)</f>
        <v>0</v>
      </c>
      <c r="SM52" s="46" cm="1">
        <f t="array" ref="SM52">ROUND(IFERROR(INDEX(ArchiveResults!$F$5:$IX$116,ComparisonData!A52,ComparisonData!$SM$1),0),5)</f>
        <v>0</v>
      </c>
      <c r="SN52" s="46" cm="1">
        <f t="array" ref="SN52">ROUND(IFERROR(INDEX(ArchiveResults!$F$5:$IX$116,ComparisonData!A52,ComparisonData!$SN$1),0),5)</f>
        <v>0</v>
      </c>
      <c r="SO52" s="46" cm="1">
        <f t="array" ref="SO52">ROUND(IFERROR(INDEX(ArchiveResults!$F$5:$IX$116,ComparisonData!A52,ComparisonData!$SO$1),0),5)</f>
        <v>0</v>
      </c>
      <c r="SP52" s="45" cm="1">
        <f t="array" ref="SP52">IFERROR(INDEX(ArchiveResults!$F$5:$IX$116,ComparisonData!A52,ComparisonData!$SP$1),0)</f>
        <v>0</v>
      </c>
      <c r="SQ52" s="56">
        <v>47</v>
      </c>
      <c r="SR52" s="53" t="str">
        <f t="shared" si="598"/>
        <v>Kresen Kernow</v>
      </c>
      <c r="SS52" s="59">
        <f t="shared" si="378"/>
        <v>0</v>
      </c>
      <c r="ST52" s="59">
        <f t="shared" si="379"/>
        <v>0</v>
      </c>
      <c r="SU52" s="59">
        <f t="shared" si="380"/>
        <v>0</v>
      </c>
      <c r="SV52" s="59">
        <f t="shared" si="381"/>
        <v>0</v>
      </c>
      <c r="SW52" s="59">
        <f t="shared" si="382"/>
        <v>0</v>
      </c>
      <c r="SX52" s="58">
        <f t="shared" si="383"/>
        <v>0</v>
      </c>
      <c r="SY52" s="45">
        <f t="shared" si="384"/>
        <v>76</v>
      </c>
      <c r="SZ52" s="45">
        <f t="shared" si="599"/>
        <v>2.8140000000000001</v>
      </c>
      <c r="TA52" s="45">
        <f t="shared" si="385"/>
        <v>1</v>
      </c>
      <c r="TB52" s="45">
        <f t="shared" si="386"/>
        <v>2</v>
      </c>
      <c r="TC52" s="45">
        <f t="shared" si="387"/>
        <v>0</v>
      </c>
      <c r="TD52" s="46" cm="1">
        <f t="array" ref="TD52">ROUND(IFERROR(INDEX(ArchiveResults!$F$5:$IX$116,ComparisonData!A52,ComparisonData!$TD$1),0),5)</f>
        <v>0</v>
      </c>
      <c r="TE52" s="46" cm="1">
        <f t="array" ref="TE52">ROUND(IFERROR(INDEX(ArchiveResults!$F$5:$IX$116,ComparisonData!A52,ComparisonData!$TE$1),0),5)</f>
        <v>0</v>
      </c>
      <c r="TF52" s="46" cm="1">
        <f t="array" ref="TF52">ROUND(IFERROR(INDEX(ArchiveResults!$F$5:$IX$116,ComparisonData!A52,ComparisonData!$TF$1),0),5)</f>
        <v>0</v>
      </c>
      <c r="TG52" s="46" cm="1">
        <f t="array" ref="TG52">ROUND(IFERROR(INDEX(ArchiveResults!$F$5:$IX$116,ComparisonData!A52,ComparisonData!$TG$1),0),5)</f>
        <v>0</v>
      </c>
      <c r="TH52" s="45" cm="1">
        <f t="array" ref="TH52">IFERROR(INDEX(ArchiveResults!$F$5:$IX$116,ComparisonData!A52,ComparisonData!$TH$1),0)</f>
        <v>0</v>
      </c>
      <c r="TI52" s="56">
        <v>47</v>
      </c>
      <c r="TJ52" s="53" t="str">
        <f t="shared" si="600"/>
        <v>Kresen Kernow</v>
      </c>
      <c r="TK52" s="59">
        <f t="shared" si="388"/>
        <v>0</v>
      </c>
      <c r="TL52" s="59">
        <f t="shared" si="389"/>
        <v>0</v>
      </c>
      <c r="TM52" s="59">
        <f t="shared" si="390"/>
        <v>0</v>
      </c>
      <c r="TN52" s="59">
        <f t="shared" si="391"/>
        <v>0</v>
      </c>
      <c r="TO52" s="59">
        <f t="shared" si="392"/>
        <v>0</v>
      </c>
      <c r="TP52" s="58">
        <f t="shared" si="393"/>
        <v>0</v>
      </c>
      <c r="TQ52" s="45">
        <f t="shared" si="394"/>
        <v>76</v>
      </c>
      <c r="TR52" s="45">
        <f t="shared" si="601"/>
        <v>2.8140000000000001</v>
      </c>
      <c r="TS52" s="45">
        <f t="shared" si="395"/>
        <v>1</v>
      </c>
      <c r="TT52" s="45">
        <f t="shared" si="396"/>
        <v>2</v>
      </c>
      <c r="TU52" s="45">
        <f t="shared" si="397"/>
        <v>0</v>
      </c>
      <c r="TV52" s="46" cm="1">
        <f t="array" ref="TV52">ROUND(IFERROR(INDEX(ArchiveResults!$F$5:$IX$116,ComparisonData!A52,ComparisonData!$TV$1),0),5)</f>
        <v>0</v>
      </c>
      <c r="TW52" s="46" cm="1">
        <f t="array" ref="TW52">ROUND(IFERROR(INDEX(ArchiveResults!$F$5:$IX$116,ComparisonData!A52,ComparisonData!$TW$1),0),5)</f>
        <v>0</v>
      </c>
      <c r="TX52" s="46" cm="1">
        <f t="array" ref="TX52">ROUND(IFERROR(INDEX(ArchiveResults!$F$5:$IX$116,ComparisonData!A52,ComparisonData!$TX$1),0),5)</f>
        <v>0</v>
      </c>
      <c r="TY52" s="46" cm="1">
        <f t="array" ref="TY52">ROUND(IFERROR(INDEX(ArchiveResults!$F$5:$IX$116,ComparisonData!A52,ComparisonData!$TY$1),0),5)</f>
        <v>0</v>
      </c>
      <c r="TZ52" s="45" cm="1">
        <f t="array" ref="TZ52">IFERROR(INDEX(ArchiveResults!$F$5:$IX$116,ComparisonData!A52,ComparisonData!$TZ$1),0)</f>
        <v>0</v>
      </c>
      <c r="UA52" s="56">
        <v>47</v>
      </c>
      <c r="UB52" s="53" t="str">
        <f t="shared" si="602"/>
        <v>Kresen Kernow</v>
      </c>
      <c r="UC52" s="60">
        <f t="shared" si="398"/>
        <v>0</v>
      </c>
      <c r="UD52" s="60">
        <f t="shared" si="399"/>
        <v>0</v>
      </c>
      <c r="UE52" s="60">
        <f t="shared" si="400"/>
        <v>0</v>
      </c>
      <c r="UF52" s="60">
        <f t="shared" si="401"/>
        <v>0</v>
      </c>
      <c r="UG52" s="60">
        <f t="shared" si="402"/>
        <v>0</v>
      </c>
      <c r="UH52" s="58">
        <f t="shared" si="403"/>
        <v>0</v>
      </c>
      <c r="UI52" s="46">
        <f t="shared" si="404"/>
        <v>76</v>
      </c>
      <c r="UJ52" s="46">
        <f t="shared" si="603"/>
        <v>2.8140000000000001</v>
      </c>
      <c r="UK52" s="46">
        <f t="shared" si="405"/>
        <v>1</v>
      </c>
      <c r="UL52" s="46">
        <f t="shared" si="406"/>
        <v>2</v>
      </c>
      <c r="UM52" s="46" cm="1">
        <f t="array" ref="UM52">ROUND(IFERROR(INDEX(ArchiveResults!$F$5:$IX$116,ComparisonData!A52,ComparisonData!$UM$1),0),5)</f>
        <v>0</v>
      </c>
      <c r="UN52" s="56">
        <v>47</v>
      </c>
      <c r="UO52" s="53" t="str">
        <f t="shared" si="604"/>
        <v>Kresen Kernow</v>
      </c>
      <c r="UP52" s="46">
        <f t="shared" si="407"/>
        <v>0</v>
      </c>
      <c r="UQ52" s="76">
        <f t="shared" si="408"/>
        <v>0</v>
      </c>
      <c r="UR52" s="46">
        <f t="shared" si="409"/>
        <v>76</v>
      </c>
      <c r="US52" s="46">
        <f t="shared" si="605"/>
        <v>2.8140000000000001</v>
      </c>
      <c r="UT52" s="46">
        <f t="shared" si="410"/>
        <v>1</v>
      </c>
      <c r="UU52" s="46">
        <f t="shared" si="411"/>
        <v>2</v>
      </c>
      <c r="UV52" s="46">
        <f t="shared" si="412"/>
        <v>0</v>
      </c>
      <c r="UW52" s="46" cm="1">
        <f t="array" ref="UW52">ROUND(IFERROR(INDEX(ArchiveResults!$F$5:$IX$116,ComparisonData!A52,ComparisonData!$UW$1),0),5)</f>
        <v>0</v>
      </c>
      <c r="UX52" s="46" cm="1">
        <f t="array" ref="UX52">ROUND(IFERROR(INDEX(ArchiveResults!$F$5:$IX$116,ComparisonData!A52,ComparisonData!$UX$1),0),5)</f>
        <v>0</v>
      </c>
      <c r="UY52" s="46" cm="1">
        <f t="array" ref="UY52">ROUND(IFERROR(INDEX(ArchiveResults!$F$5:$IX$116,ComparisonData!A52,ComparisonData!$UY$1),0),5)</f>
        <v>0</v>
      </c>
      <c r="UZ52" s="46" cm="1">
        <f t="array" ref="UZ52">ROUND(IFERROR(INDEX(ArchiveResults!$F$5:$IX$116,ComparisonData!A52,ComparisonData!$UZ$1),0),5)</f>
        <v>0</v>
      </c>
      <c r="VA52" s="46" cm="1">
        <f t="array" ref="VA52">ROUND(IFERROR(INDEX(ArchiveResults!$F$5:$IX$116,ComparisonData!A52,ComparisonData!$VA$1),0),5)</f>
        <v>0</v>
      </c>
      <c r="VB52" s="56">
        <v>47</v>
      </c>
      <c r="VC52" s="53" t="str">
        <f t="shared" si="606"/>
        <v>Kresen Kernow</v>
      </c>
      <c r="VD52" s="60">
        <f t="shared" si="413"/>
        <v>0</v>
      </c>
      <c r="VE52" s="60">
        <f t="shared" si="414"/>
        <v>0</v>
      </c>
      <c r="VF52" s="60">
        <f t="shared" si="415"/>
        <v>0</v>
      </c>
      <c r="VG52" s="60">
        <f t="shared" si="416"/>
        <v>0</v>
      </c>
      <c r="VH52" s="60">
        <f t="shared" si="417"/>
        <v>0</v>
      </c>
      <c r="VI52" s="76">
        <f t="shared" si="418"/>
        <v>0</v>
      </c>
      <c r="VJ52" s="46">
        <f t="shared" si="419"/>
        <v>76</v>
      </c>
      <c r="VK52" s="46">
        <f t="shared" si="607"/>
        <v>2.8140000000000001</v>
      </c>
      <c r="VL52" s="46">
        <f t="shared" si="420"/>
        <v>1</v>
      </c>
      <c r="VM52" s="46">
        <f t="shared" si="421"/>
        <v>2</v>
      </c>
      <c r="VN52" s="46" cm="1">
        <f t="array" ref="VN52">ROUND(IFERROR(INDEX(ArchiveResults!$F$5:$IX$116,ComparisonData!A52,ComparisonData!$VN$1),0),5)</f>
        <v>0</v>
      </c>
      <c r="VO52" s="46" cm="1">
        <f t="array" ref="VO52">ROUND(IFERROR(INDEX(ArchiveResults!$F$5:$IX$116,ComparisonData!A52,ComparisonData!$VO$1),0),5)</f>
        <v>0</v>
      </c>
      <c r="VP52" s="46" cm="1">
        <f t="array" ref="VP52">ROUND(IFERROR(INDEX(ArchiveResults!$F$5:$IX$116,ComparisonData!A52,ComparisonData!$VP$1),0),5)</f>
        <v>0</v>
      </c>
      <c r="VQ52" s="46" cm="1">
        <f t="array" ref="VQ52">ROUND(IFERROR(INDEX(ArchiveResults!$F$5:$IX$116,ComparisonData!A52,ComparisonData!$VQ$1),0),5)</f>
        <v>0</v>
      </c>
      <c r="VR52" s="56">
        <v>47</v>
      </c>
      <c r="VS52" s="53" t="str">
        <f t="shared" si="608"/>
        <v>Kresen Kernow</v>
      </c>
      <c r="VT52" s="60">
        <f t="shared" si="422"/>
        <v>0</v>
      </c>
      <c r="VU52" s="60">
        <f t="shared" si="423"/>
        <v>0</v>
      </c>
      <c r="VV52" s="60">
        <f t="shared" si="424"/>
        <v>0</v>
      </c>
      <c r="VW52" s="60">
        <f t="shared" si="425"/>
        <v>0</v>
      </c>
      <c r="VX52" s="76">
        <f t="shared" si="426"/>
        <v>0</v>
      </c>
      <c r="VY52" s="46">
        <f t="shared" si="427"/>
        <v>76</v>
      </c>
      <c r="VZ52" s="46">
        <f t="shared" si="609"/>
        <v>2.8140000000000001</v>
      </c>
      <c r="WA52" s="46">
        <f t="shared" si="428"/>
        <v>1</v>
      </c>
      <c r="WB52" s="46">
        <f t="shared" si="429"/>
        <v>2</v>
      </c>
      <c r="WC52" s="46" cm="1">
        <f t="array" ref="WC52">ROUND(IFERROR(INDEX(ArchiveResults!$F$5:$IX$116,ComparisonData!A52,ComparisonData!$WC$1),0),5)</f>
        <v>0</v>
      </c>
      <c r="WD52" s="56">
        <v>47</v>
      </c>
      <c r="WE52" s="53" t="str">
        <f t="shared" si="610"/>
        <v>Kresen Kernow</v>
      </c>
      <c r="WF52" s="46">
        <f t="shared" si="430"/>
        <v>0</v>
      </c>
      <c r="WG52" s="76">
        <f t="shared" si="431"/>
        <v>0</v>
      </c>
      <c r="WH52" s="46">
        <f t="shared" si="432"/>
        <v>76</v>
      </c>
      <c r="WI52" s="46">
        <f t="shared" si="611"/>
        <v>2.8140000000000001</v>
      </c>
      <c r="WJ52" s="46">
        <f t="shared" si="433"/>
        <v>1</v>
      </c>
      <c r="WK52" s="46">
        <f t="shared" si="434"/>
        <v>2</v>
      </c>
      <c r="WL52" s="46" cm="1">
        <f t="array" ref="WL52">ROUND(IFERROR(INDEX(ArchiveResults!$F$5:$IX$116,ComparisonData!A52,ComparisonData!$WL$1),0),5)</f>
        <v>0</v>
      </c>
      <c r="WM52" s="46" cm="1">
        <f t="array" ref="WM52">IFERROR(INDEX(ArchiveResults!$F$5:$IX$116,ComparisonData!A52,ComparisonData!$WM$1),0)</f>
        <v>0</v>
      </c>
      <c r="WN52" s="56">
        <v>47</v>
      </c>
      <c r="WO52" s="53" t="str">
        <f t="shared" si="612"/>
        <v>Kresen Kernow</v>
      </c>
      <c r="WP52" s="60">
        <f t="shared" si="435"/>
        <v>0</v>
      </c>
      <c r="WQ52" s="60">
        <f t="shared" si="436"/>
        <v>0</v>
      </c>
      <c r="WR52" s="76">
        <f t="shared" si="437"/>
        <v>0</v>
      </c>
      <c r="WS52" s="46">
        <f t="shared" si="438"/>
        <v>76</v>
      </c>
      <c r="WT52" s="46">
        <f t="shared" si="613"/>
        <v>2.8140000000000001</v>
      </c>
      <c r="WU52" s="46">
        <f t="shared" si="439"/>
        <v>1</v>
      </c>
      <c r="WV52" s="46">
        <f t="shared" si="440"/>
        <v>2</v>
      </c>
      <c r="WW52" s="46" cm="1">
        <f t="array" ref="WW52">ROUND(VALUE(IFERROR(INDEX(ArchiveResults!$F$5:$IX$116,ComparisonData!A52,ComparisonData!$WW$1),0)),5)</f>
        <v>0</v>
      </c>
      <c r="WX52" s="46" cm="1">
        <f t="array" ref="WX52">ROUND(IFERROR(INDEX(ArchiveResults!$F$5:$IX$116,ComparisonData!A52,ComparisonData!$WX$1),0),5)</f>
        <v>0</v>
      </c>
      <c r="WY52" s="56">
        <v>47</v>
      </c>
      <c r="WZ52" s="53" t="str">
        <f t="shared" si="614"/>
        <v>Kresen Kernow</v>
      </c>
      <c r="XA52" s="60">
        <f t="shared" si="615"/>
        <v>0</v>
      </c>
      <c r="XB52" s="60">
        <f t="shared" si="616"/>
        <v>0</v>
      </c>
      <c r="XC52" s="76">
        <f t="shared" si="441"/>
        <v>0</v>
      </c>
      <c r="XD52" s="46">
        <f t="shared" si="442"/>
        <v>76</v>
      </c>
      <c r="XE52" s="46">
        <f t="shared" si="617"/>
        <v>2.8140000000000001</v>
      </c>
      <c r="XF52" s="46">
        <f t="shared" si="443"/>
        <v>1</v>
      </c>
      <c r="XG52" s="46">
        <f t="shared" si="444"/>
        <v>2</v>
      </c>
      <c r="XH52" s="46" cm="1">
        <f t="array" ref="XH52">ROUND(VALUE(IFERROR(INDEX(ArchiveResults!$F$5:$IX$116,ComparisonData!A52,ComparisonData!$XH$1),0)),5)</f>
        <v>0</v>
      </c>
      <c r="XI52" s="46" cm="1">
        <f t="array" ref="XI52">ROUND(VALUE(IFERROR(INDEX(ArchiveResults!$F$5:$IX$116,ComparisonData!A52,ComparisonData!$XI$1),0)),5)</f>
        <v>0</v>
      </c>
      <c r="XJ52" s="56">
        <v>47</v>
      </c>
      <c r="XK52" s="53" t="str">
        <f t="shared" si="618"/>
        <v>Kresen Kernow</v>
      </c>
      <c r="XL52" s="60">
        <f t="shared" si="445"/>
        <v>0</v>
      </c>
      <c r="XM52" s="60">
        <f t="shared" si="446"/>
        <v>0</v>
      </c>
      <c r="XN52" s="76">
        <f t="shared" si="447"/>
        <v>0</v>
      </c>
      <c r="XO52" s="46">
        <f t="shared" si="448"/>
        <v>76</v>
      </c>
      <c r="XP52" s="46">
        <f t="shared" si="619"/>
        <v>2.8140000000000001</v>
      </c>
      <c r="XQ52" s="46">
        <f t="shared" si="449"/>
        <v>1</v>
      </c>
      <c r="XR52" s="46">
        <f t="shared" si="450"/>
        <v>2</v>
      </c>
      <c r="XS52" s="46" cm="1">
        <f t="array" ref="XS52">ROUND(VALUE(IFERROR(INDEX(ArchiveResults!$F$5:$IX$116,ComparisonData!A52,ComparisonData!$XS$1),0)),5)</f>
        <v>0</v>
      </c>
      <c r="XT52" s="46" cm="1">
        <f t="array" ref="XT52">ROUND(VALUE(IFERROR(INDEX(ArchiveResults!$F$5:$IX$116,ComparisonData!A52,ComparisonData!$XT$1),0)),5)</f>
        <v>0</v>
      </c>
      <c r="XU52" s="56">
        <v>47</v>
      </c>
      <c r="XV52" s="53" t="str">
        <f t="shared" si="620"/>
        <v>Kresen Kernow</v>
      </c>
      <c r="XW52" s="60">
        <f t="shared" si="451"/>
        <v>0</v>
      </c>
      <c r="XX52" s="60">
        <f t="shared" si="452"/>
        <v>0</v>
      </c>
      <c r="XY52" s="76">
        <f t="shared" si="453"/>
        <v>0</v>
      </c>
      <c r="XZ52" s="46">
        <f t="shared" si="454"/>
        <v>76</v>
      </c>
      <c r="YA52" s="46">
        <f t="shared" si="621"/>
        <v>2.8140000000000001</v>
      </c>
      <c r="YB52" s="46">
        <f t="shared" si="455"/>
        <v>1</v>
      </c>
      <c r="YC52" s="46">
        <f t="shared" si="456"/>
        <v>2</v>
      </c>
      <c r="YD52" s="46" cm="1">
        <f t="array" ref="YD52">ROUND(VALUE(IFERROR(INDEX(ArchiveResults!$F$5:$IX$116,ComparisonData!A52,ComparisonData!$YD$1),0)),5)</f>
        <v>0</v>
      </c>
      <c r="YE52" s="46" cm="1">
        <f t="array" ref="YE52">ROUND(VALUE(IFERROR(INDEX(ArchiveResults!$F$5:$IX$116,ComparisonData!A52,ComparisonData!$YE$1),0)),5)</f>
        <v>0</v>
      </c>
      <c r="YF52" s="56">
        <v>47</v>
      </c>
      <c r="YG52" s="53" t="str">
        <f t="shared" si="622"/>
        <v>Kresen Kernow</v>
      </c>
      <c r="YH52" s="60">
        <f t="shared" si="457"/>
        <v>0</v>
      </c>
      <c r="YI52" s="60">
        <f t="shared" si="458"/>
        <v>0</v>
      </c>
      <c r="YJ52" s="76">
        <f t="shared" si="459"/>
        <v>0</v>
      </c>
      <c r="YK52" s="46">
        <f t="shared" si="460"/>
        <v>76</v>
      </c>
      <c r="YL52" s="46">
        <f t="shared" si="623"/>
        <v>2.8140000000000001</v>
      </c>
      <c r="YM52" s="46">
        <f t="shared" si="461"/>
        <v>1</v>
      </c>
      <c r="YN52" s="46">
        <f t="shared" si="462"/>
        <v>2</v>
      </c>
      <c r="YO52" s="46" cm="1">
        <f t="array" ref="YO52">ROUND(VALUE(IFERROR(INDEX(ArchiveResults!$F$5:$IX$116,ComparisonData!A52,ComparisonData!$YO$1),0)),5)</f>
        <v>0</v>
      </c>
      <c r="YP52" s="46" cm="1">
        <f t="array" ref="YP52">ROUND(VALUE(IFERROR(INDEX(ArchiveResults!$F$5:$IX$116,ComparisonData!A52,ComparisonData!$YP$1),0)),5)</f>
        <v>0</v>
      </c>
      <c r="YQ52" s="56">
        <v>47</v>
      </c>
      <c r="YR52" s="53" t="str">
        <f t="shared" si="624"/>
        <v>Kresen Kernow</v>
      </c>
      <c r="YS52" s="60">
        <f t="shared" si="463"/>
        <v>0</v>
      </c>
      <c r="YT52" s="60">
        <f t="shared" si="464"/>
        <v>0</v>
      </c>
      <c r="YU52" s="76">
        <f t="shared" si="465"/>
        <v>0</v>
      </c>
      <c r="YV52" s="46">
        <f t="shared" si="466"/>
        <v>76</v>
      </c>
      <c r="YW52" s="46">
        <f t="shared" si="625"/>
        <v>2.8140000000000001</v>
      </c>
      <c r="YX52" s="46">
        <f t="shared" si="467"/>
        <v>1</v>
      </c>
      <c r="YY52" s="46">
        <f t="shared" si="468"/>
        <v>2</v>
      </c>
      <c r="YZ52" s="46">
        <f t="shared" si="469"/>
        <v>0</v>
      </c>
      <c r="ZA52" s="46" cm="1">
        <f t="array" ref="ZA52">ROUNDDOWN(VALUE(IFERROR(INDEX(ArchiveResults!$F$5:$IX$116,ComparisonData!A52,ComparisonData!$ZA$1),0)),5)</f>
        <v>0</v>
      </c>
      <c r="ZB52" s="46" cm="1">
        <f t="array" ref="ZB52">ROUNDDOWN(VALUE(IFERROR(INDEX(ArchiveResults!$F$5:$IX$116,ComparisonData!A52,ComparisonData!$ZB$1),0)),5)</f>
        <v>0</v>
      </c>
      <c r="ZC52" s="46" cm="1">
        <f t="array" ref="ZC52">ROUNDDOWN(VALUE(IFERROR(INDEX(ArchiveResults!$F$5:$IX$116,ComparisonData!A52,ComparisonData!$ZC$1),0)),5)</f>
        <v>0</v>
      </c>
      <c r="ZD52" s="46" cm="1">
        <f t="array" ref="ZD52">ROUNDDOWN(VALUE(IFERROR(INDEX(ArchiveResults!$F$5:$IX$116,ComparisonData!A52,ComparisonData!$ZD$1),0)),5)</f>
        <v>0</v>
      </c>
      <c r="ZE52" s="46" cm="1">
        <f t="array" ref="ZE52">ROUNDDOWN(VALUE(IFERROR(INDEX(ArchiveResults!$F$5:$IX$116,ComparisonData!A52,ComparisonData!$ZE$1),0)),5)</f>
        <v>0</v>
      </c>
      <c r="ZF52" s="56">
        <v>47</v>
      </c>
      <c r="ZG52" s="53" t="str">
        <f t="shared" si="626"/>
        <v>Kresen Kernow</v>
      </c>
      <c r="ZH52" s="60">
        <f t="shared" si="470"/>
        <v>0</v>
      </c>
      <c r="ZI52" s="60">
        <f t="shared" si="471"/>
        <v>0</v>
      </c>
      <c r="ZJ52" s="60">
        <f t="shared" si="472"/>
        <v>0</v>
      </c>
      <c r="ZK52" s="60">
        <f t="shared" si="473"/>
        <v>0</v>
      </c>
      <c r="ZL52" s="60">
        <f t="shared" si="474"/>
        <v>0</v>
      </c>
      <c r="ZM52" s="76">
        <f t="shared" si="475"/>
        <v>0</v>
      </c>
      <c r="ZN52" s="46">
        <f t="shared" si="476"/>
        <v>76</v>
      </c>
      <c r="ZO52" s="46">
        <f t="shared" si="627"/>
        <v>2.8140000000000001</v>
      </c>
      <c r="ZP52" s="46">
        <f t="shared" si="477"/>
        <v>1</v>
      </c>
      <c r="ZQ52" s="46">
        <f t="shared" si="478"/>
        <v>2</v>
      </c>
      <c r="ZR52" s="46" cm="1">
        <f t="array" ref="ZR52">ROUND(VALUE(IFERROR(INDEX(ArchiveResults!$F$5:$IX$116,ComparisonData!A52,ComparisonData!$ZR$1),0)),5)</f>
        <v>0</v>
      </c>
      <c r="ZS52" s="56">
        <v>47</v>
      </c>
      <c r="ZT52" s="53" t="str">
        <f t="shared" si="628"/>
        <v>Kresen Kernow</v>
      </c>
      <c r="ZU52" s="46">
        <f t="shared" si="479"/>
        <v>0</v>
      </c>
      <c r="ZV52" s="76">
        <f t="shared" si="480"/>
        <v>0</v>
      </c>
      <c r="ZW52" s="81" cm="1">
        <f t="array" ref="ZW52">ROUND((IFERROR(INDEX(ArchiveResults!$F$5:$IX$116,ComparisonData!A52,ComparisonData!$ZW$1),0)),5)</f>
        <v>0</v>
      </c>
      <c r="ZX52" s="81" cm="1">
        <f t="array" ref="ZX52">ROUND((IFERROR(INDEX(ArchiveResults!$F$5:$IX$116,ComparisonData!A52,ComparisonData!$ZX$1),0)),5)</f>
        <v>0</v>
      </c>
      <c r="ZY52" s="81" cm="1">
        <f t="array" ref="ZY52">ROUND((IFERROR(INDEX(ArchiveResults!$F$5:$IX$116,ComparisonData!A52,ComparisonData!$ZY$1),0)),5)</f>
        <v>0</v>
      </c>
      <c r="ZZ52" s="81" cm="1">
        <f t="array" ref="ZZ52">ROUND((IFERROR(INDEX(ArchiveResults!$F$5:$IX$116,ComparisonData!A52,ComparisonData!$ZZ$1),0)),5)</f>
        <v>0</v>
      </c>
      <c r="AAA52" s="81" cm="1">
        <f t="array" ref="AAA52">ROUND((IFERROR(INDEX(ArchiveResults!$F$5:$IX$116,ComparisonData!A52,ComparisonData!$AAA$1),0)),5)</f>
        <v>0</v>
      </c>
      <c r="AAB52" s="81" cm="1">
        <f t="array" ref="AAB52">ROUND((IFERROR(INDEX(ArchiveResults!$F$5:$IX$116,ComparisonData!A52,ComparisonData!$AAB$1),0)),5)</f>
        <v>0</v>
      </c>
      <c r="AAC52" s="81" cm="1">
        <f t="array" ref="AAC52">ROUND((IFERROR(INDEX(ArchiveResults!$F$5:$IX$116,ComparisonData!A52,ComparisonData!$AAC$1),0)),5)</f>
        <v>0</v>
      </c>
      <c r="AAD52" s="81" cm="1">
        <f t="array" ref="AAD52">ROUND((IFERROR(INDEX(ArchiveResults!$F$5:$IX$116,ComparisonData!A52,ComparisonData!$AAD$1),0)),5)</f>
        <v>0</v>
      </c>
      <c r="AAE52" s="81" cm="1">
        <f t="array" ref="AAE52">ROUND((IFERROR(INDEX(ArchiveResults!$F$5:$IX$116,ComparisonData!A52,ComparisonData!$AAE$1),0)),5)</f>
        <v>0</v>
      </c>
      <c r="AAF52" s="81" cm="1">
        <f t="array" ref="AAF52">ROUND((IFERROR(INDEX(ArchiveResults!$F$5:$IX$116,ComparisonData!A52,ComparisonData!$AAF$1),0)),5)</f>
        <v>0</v>
      </c>
      <c r="AAG52" s="46">
        <f t="shared" si="481"/>
        <v>76</v>
      </c>
      <c r="AAH52" s="46">
        <f t="shared" si="629"/>
        <v>2.8140000000000001</v>
      </c>
      <c r="AAI52" s="46">
        <f t="shared" si="482"/>
        <v>1</v>
      </c>
      <c r="AAJ52" s="46">
        <f t="shared" si="483"/>
        <v>2</v>
      </c>
      <c r="AAK52" s="46">
        <f t="shared" si="484"/>
        <v>0</v>
      </c>
      <c r="AAL52" s="46">
        <f t="shared" si="485"/>
        <v>0</v>
      </c>
      <c r="AAM52" s="46">
        <f t="shared" si="486"/>
        <v>0</v>
      </c>
      <c r="AAN52" s="46">
        <f t="shared" si="487"/>
        <v>0</v>
      </c>
      <c r="AAO52" s="46">
        <f t="shared" si="488"/>
        <v>0</v>
      </c>
      <c r="AAP52" s="46">
        <f t="shared" si="489"/>
        <v>0</v>
      </c>
      <c r="AAQ52" s="56">
        <v>47</v>
      </c>
      <c r="AAR52" s="53" t="str">
        <f t="shared" si="630"/>
        <v>Kresen Kernow</v>
      </c>
      <c r="AAS52" s="60">
        <f t="shared" si="490"/>
        <v>0</v>
      </c>
      <c r="AAT52" s="60">
        <f t="shared" si="491"/>
        <v>0</v>
      </c>
      <c r="AAU52" s="60">
        <f t="shared" si="492"/>
        <v>0</v>
      </c>
      <c r="AAV52" s="60">
        <f t="shared" si="493"/>
        <v>0</v>
      </c>
      <c r="AAW52" s="60">
        <f t="shared" si="494"/>
        <v>0</v>
      </c>
      <c r="AAX52" s="76">
        <f t="shared" si="495"/>
        <v>0</v>
      </c>
      <c r="AAY52" s="46">
        <f t="shared" si="496"/>
        <v>76</v>
      </c>
      <c r="AAZ52" s="46">
        <f t="shared" si="631"/>
        <v>2.8140000000000001</v>
      </c>
      <c r="ABA52" s="46">
        <f t="shared" si="497"/>
        <v>1</v>
      </c>
      <c r="ABB52" s="46">
        <f t="shared" si="498"/>
        <v>2</v>
      </c>
      <c r="ABC52" s="46">
        <f t="shared" si="102"/>
        <v>0</v>
      </c>
      <c r="ABD52" s="46" cm="1">
        <f t="array" ref="ABD52">ROUND(VALUE(IFERROR(INDEX(ArchiveResults!$F$5:$IX$116,ComparisonData!A52,ComparisonData!$ABD$1),0)),5)</f>
        <v>0</v>
      </c>
      <c r="ABE52" s="46" cm="1">
        <f t="array" ref="ABE52">ROUND(VALUE(IFERROR(INDEX(ArchiveResults!$F$5:$IX$116,ComparisonData!A52,ComparisonData!$ABE$1),0)),5)</f>
        <v>0</v>
      </c>
      <c r="ABF52" s="46" cm="1">
        <f t="array" ref="ABF52">ROUND(VALUE(IFERROR(INDEX(ArchiveResults!$F$5:$IX$116,ComparisonData!A52,ComparisonData!$ABF$1),0)),5)</f>
        <v>0</v>
      </c>
      <c r="ABG52" s="46" cm="1">
        <f t="array" ref="ABG52">ROUND(VALUE(IFERROR(INDEX(ArchiveResults!$F$5:$IX$116,ComparisonData!A52,ComparisonData!$ABG$1),0)),5)</f>
        <v>0</v>
      </c>
      <c r="ABH52" s="46" cm="1">
        <f t="array" ref="ABH52">ROUND(VALUE(IFERROR(INDEX(ArchiveResults!$F$5:$IX$116,ComparisonData!A52,ComparisonData!$ABH$1),0)),5)</f>
        <v>0</v>
      </c>
      <c r="ABI52" s="56">
        <v>47</v>
      </c>
      <c r="ABJ52" s="53" t="str">
        <f t="shared" si="632"/>
        <v>Kresen Kernow</v>
      </c>
      <c r="ABK52" s="60">
        <f t="shared" si="499"/>
        <v>0</v>
      </c>
      <c r="ABL52" s="60">
        <f t="shared" si="500"/>
        <v>0</v>
      </c>
      <c r="ABM52" s="60">
        <f t="shared" si="501"/>
        <v>0</v>
      </c>
      <c r="ABN52" s="60">
        <f t="shared" si="502"/>
        <v>0</v>
      </c>
      <c r="ABO52" s="60">
        <f t="shared" si="503"/>
        <v>0</v>
      </c>
      <c r="ABP52" s="76">
        <f t="shared" si="504"/>
        <v>0</v>
      </c>
      <c r="ABQ52" s="46">
        <f t="shared" si="505"/>
        <v>76</v>
      </c>
      <c r="ABR52" s="46">
        <f t="shared" si="633"/>
        <v>2.8140000000000001</v>
      </c>
      <c r="ABS52" s="46">
        <f t="shared" si="506"/>
        <v>1</v>
      </c>
      <c r="ABT52" s="46">
        <f t="shared" si="507"/>
        <v>2</v>
      </c>
      <c r="ABU52" s="46" cm="1">
        <f t="array" ref="ABU52">ROUND(VALUE(IFERROR(INDEX(ArchiveResults!$F$5:$IX$116,ComparisonData!A52,ComparisonData!$ABU$1),0)),5)</f>
        <v>0</v>
      </c>
      <c r="ABV52" s="46" cm="1">
        <f t="array" ref="ABV52">ROUND(VALUE(IFERROR(INDEX(ArchiveResults!$F$5:$IX$116,ComparisonData!A52,ComparisonData!$ABV$1),0)),5)</f>
        <v>0</v>
      </c>
      <c r="ABW52" s="46" cm="1">
        <f t="array" ref="ABW52">ROUND(VALUE(IFERROR(INDEX(ArchiveResults!$F$5:$IX$116,ComparisonData!A52,ComparisonData!$ABW$1),0)),5)</f>
        <v>0</v>
      </c>
      <c r="ABX52" s="46" cm="1">
        <f t="array" ref="ABX52">ROUND(VALUE(IFERROR(INDEX(ArchiveResults!$F$5:$IX$116,ComparisonData!A52,ComparisonData!$ABX$1),0)),5)</f>
        <v>0</v>
      </c>
      <c r="ABY52" s="46" cm="1">
        <f t="array" ref="ABY52">ROUND(VALUE(IFERROR(INDEX(ArchiveResults!$F$5:$IX$116,ComparisonData!A52,ComparisonData!$ABY$1),0)),5)</f>
        <v>0</v>
      </c>
      <c r="ABZ52" s="56">
        <v>47</v>
      </c>
      <c r="ACA52" s="53" t="str">
        <f t="shared" si="634"/>
        <v>Kresen Kernow</v>
      </c>
      <c r="ACB52" s="60">
        <f t="shared" si="508"/>
        <v>0</v>
      </c>
      <c r="ACC52" s="60">
        <f t="shared" si="509"/>
        <v>0</v>
      </c>
      <c r="ACD52" s="60">
        <f t="shared" si="510"/>
        <v>0</v>
      </c>
      <c r="ACE52" s="60">
        <f t="shared" si="511"/>
        <v>0</v>
      </c>
      <c r="ACF52" s="60">
        <f t="shared" si="512"/>
        <v>0</v>
      </c>
      <c r="ACG52" s="76">
        <f t="shared" si="513"/>
        <v>0</v>
      </c>
      <c r="ACH52" s="46">
        <f t="shared" si="514"/>
        <v>76</v>
      </c>
      <c r="ACI52" s="46">
        <f t="shared" si="635"/>
        <v>2.8140000000000001</v>
      </c>
      <c r="ACJ52" s="46">
        <f t="shared" si="515"/>
        <v>1</v>
      </c>
      <c r="ACK52" s="46">
        <f t="shared" si="516"/>
        <v>2</v>
      </c>
      <c r="ACL52" s="46">
        <f t="shared" si="517"/>
        <v>0</v>
      </c>
      <c r="ACM52" s="46" cm="1">
        <f t="array" ref="ACM52">ROUND(IFERROR(INDEX(ArchiveResults!$F$5:$IX$116,ComparisonData!A52,ComparisonData!$ACM$1),0),5)</f>
        <v>0</v>
      </c>
      <c r="ACN52" s="46" cm="1">
        <f t="array" ref="ACN52">ROUND(IFERROR(INDEX(ArchiveResults!$F$5:$IX$116,ComparisonData!A52,ComparisonData!$ACN$1),0),5)</f>
        <v>0</v>
      </c>
      <c r="ACO52" s="56">
        <v>47</v>
      </c>
      <c r="ACP52" s="53" t="str">
        <f t="shared" si="636"/>
        <v>Kresen Kernow</v>
      </c>
      <c r="ACQ52" s="60">
        <f t="shared" si="518"/>
        <v>0</v>
      </c>
      <c r="ACR52" s="60">
        <f t="shared" si="519"/>
        <v>0</v>
      </c>
      <c r="ACS52" s="76">
        <f t="shared" si="520"/>
        <v>0</v>
      </c>
      <c r="ACT52" s="46">
        <f t="shared" si="521"/>
        <v>76</v>
      </c>
      <c r="ACU52" s="46">
        <f t="shared" si="637"/>
        <v>2.8140000000000001</v>
      </c>
      <c r="ACV52" s="46">
        <f t="shared" si="522"/>
        <v>1</v>
      </c>
      <c r="ACW52" s="46">
        <f t="shared" si="523"/>
        <v>2</v>
      </c>
      <c r="ACX52" s="46">
        <f t="shared" si="524"/>
        <v>0</v>
      </c>
      <c r="ACY52" s="46" cm="1">
        <f t="array" ref="ACY52">ROUNDDOWN(IFERROR(INDEX(ArchiveResults!$F$5:$IX$116,ComparisonData!A52,ComparisonData!$ACY$1),0),5)</f>
        <v>0</v>
      </c>
      <c r="ACZ52" s="46" cm="1">
        <f t="array" ref="ACZ52">ROUNDDOWN(IFERROR(INDEX(ArchiveResults!$F$5:$IX$116,ComparisonData!A52,ComparisonData!$ACZ$1),0),5)</f>
        <v>0</v>
      </c>
      <c r="ADA52" s="46" cm="1">
        <f t="array" ref="ADA52">ROUNDDOWN(IFERROR(INDEX(ArchiveResults!$F$5:$IX$116,ComparisonData!A52,ComparisonData!$ADA$1),0),5)</f>
        <v>0</v>
      </c>
      <c r="ADB52" s="56">
        <v>47</v>
      </c>
      <c r="ADC52" s="53" t="str">
        <f t="shared" si="638"/>
        <v>Kresen Kernow</v>
      </c>
      <c r="ADD52" s="60">
        <f t="shared" si="525"/>
        <v>0</v>
      </c>
      <c r="ADE52" s="60">
        <f t="shared" si="526"/>
        <v>0</v>
      </c>
      <c r="ADF52" s="60">
        <f t="shared" si="527"/>
        <v>0</v>
      </c>
      <c r="ADG52" s="76">
        <f t="shared" si="528"/>
        <v>0</v>
      </c>
    </row>
    <row r="53" spans="1:787" x14ac:dyDescent="0.25">
      <c r="A53" s="46" t="str">
        <f>IF(ISBLANK(ComparisonSelection!F49),"",ROW()-5)</f>
        <v/>
      </c>
      <c r="B53" s="53" t="s">
        <v>502</v>
      </c>
      <c r="C53" s="72">
        <v>0.82399999999999984</v>
      </c>
      <c r="D53" s="55">
        <f t="shared" si="110"/>
        <v>78</v>
      </c>
      <c r="E53" s="54">
        <f t="shared" si="111"/>
        <v>2.8239999999999998</v>
      </c>
      <c r="F53" s="54">
        <f t="shared" si="529"/>
        <v>1</v>
      </c>
      <c r="G53" s="72">
        <f t="shared" si="112"/>
        <v>2</v>
      </c>
      <c r="H53" s="72">
        <f t="shared" si="113"/>
        <v>0</v>
      </c>
      <c r="I53" s="46" cm="1">
        <f t="array" ref="I53">ROUND(IFERROR(INDEX(ArchiveResults!$F$5:$IX$116,ComparisonData!A53,ComparisonData!$I$1),0),5)</f>
        <v>0</v>
      </c>
      <c r="J53" s="46" cm="1">
        <f t="array" ref="J53">ROUND(IFERROR(INDEX(ArchiveResults!$F$5:$IX$116,ComparisonData!A53,ComparisonData!$J$1),0),5)</f>
        <v>0</v>
      </c>
      <c r="K53" s="56">
        <v>48</v>
      </c>
      <c r="L53" s="53" t="str">
        <f t="shared" si="114"/>
        <v>Lancashire Archives</v>
      </c>
      <c r="M53" s="57">
        <f t="shared" si="530"/>
        <v>0</v>
      </c>
      <c r="N53" s="57">
        <f t="shared" si="531"/>
        <v>0</v>
      </c>
      <c r="O53" s="58">
        <f t="shared" si="115"/>
        <v>0</v>
      </c>
      <c r="P53" s="48">
        <f t="shared" si="116"/>
        <v>78</v>
      </c>
      <c r="Q53" s="54">
        <f t="shared" si="532"/>
        <v>2.8239999999999998</v>
      </c>
      <c r="R53" s="45">
        <f t="shared" si="117"/>
        <v>1</v>
      </c>
      <c r="S53" s="46">
        <f t="shared" si="118"/>
        <v>2</v>
      </c>
      <c r="T53" s="72">
        <f t="shared" si="119"/>
        <v>0</v>
      </c>
      <c r="U53" s="46" cm="1">
        <f t="array" ref="U53">ROUND(IFERROR(INDEX(ArchiveResults!$F$5:$IX$116,ComparisonData!A53,ComparisonData!$U$1),0),5)</f>
        <v>0</v>
      </c>
      <c r="V53" s="46" cm="1">
        <f t="array" ref="V53">ROUND(IFERROR(INDEX(ArchiveResults!$F$5:$IX$116,ComparisonData!A53,ComparisonData!$V$1),0),5)</f>
        <v>0</v>
      </c>
      <c r="W53" s="56">
        <v>48</v>
      </c>
      <c r="X53" s="53" t="str">
        <f t="shared" si="533"/>
        <v>Lancashire Archives</v>
      </c>
      <c r="Y53" s="57">
        <f t="shared" si="120"/>
        <v>0</v>
      </c>
      <c r="Z53" s="57">
        <f t="shared" si="121"/>
        <v>0</v>
      </c>
      <c r="AA53" s="58">
        <f t="shared" si="122"/>
        <v>0</v>
      </c>
      <c r="AB53" s="45">
        <f t="shared" si="123"/>
        <v>78</v>
      </c>
      <c r="AC53" s="54">
        <f t="shared" si="534"/>
        <v>2.8239999999999998</v>
      </c>
      <c r="AD53" s="45">
        <f t="shared" si="124"/>
        <v>1</v>
      </c>
      <c r="AE53" s="45">
        <f t="shared" si="125"/>
        <v>2</v>
      </c>
      <c r="AF53" s="45">
        <f t="shared" si="126"/>
        <v>0</v>
      </c>
      <c r="AG53" s="46" cm="1">
        <f t="array" ref="AG53">ROUND(IFERROR(INDEX(ArchiveResults!$F$5:$IX$116,ComparisonData!A53,ComparisonData!$AG$1),0),5)</f>
        <v>0</v>
      </c>
      <c r="AH53" s="46" cm="1">
        <f t="array" ref="AH53">ROUND(IFERROR(INDEX(ArchiveResults!$F$5:$IX$116,ComparisonData!A53,ComparisonData!$AH$1),0),5)</f>
        <v>0</v>
      </c>
      <c r="AI53" s="56">
        <v>48</v>
      </c>
      <c r="AJ53" s="53" t="str">
        <f t="shared" si="535"/>
        <v>Lancashire Archives</v>
      </c>
      <c r="AK53" s="59">
        <f t="shared" si="536"/>
        <v>0</v>
      </c>
      <c r="AL53" s="59">
        <f t="shared" si="537"/>
        <v>0</v>
      </c>
      <c r="AM53" s="58">
        <f t="shared" si="127"/>
        <v>0</v>
      </c>
      <c r="AN53" s="45">
        <f t="shared" si="128"/>
        <v>78</v>
      </c>
      <c r="AO53" s="54">
        <f t="shared" si="538"/>
        <v>2.8239999999999998</v>
      </c>
      <c r="AP53" s="45">
        <f t="shared" si="129"/>
        <v>1</v>
      </c>
      <c r="AQ53" s="45">
        <f t="shared" si="130"/>
        <v>2</v>
      </c>
      <c r="AR53" s="46" cm="1">
        <f t="array" ref="AR53">ROUND(IFERROR(INDEX(ArchiveResults!$F$5:$IX$116,ComparisonData!A53,ComparisonData!$AR$1),0),5)</f>
        <v>0</v>
      </c>
      <c r="AS53" s="46" cm="1">
        <f t="array" ref="AS53">ROUND(IFERROR(INDEX(ArchiveResults!$F$5:$IX$116,ComparisonData!A53,ComparisonData!$AS$1),0),5)</f>
        <v>0</v>
      </c>
      <c r="AT53" s="46" cm="1">
        <f t="array" ref="AT53">ROUND(IFERROR(INDEX(ArchiveResults!$F$5:$IX$116,ComparisonData!A53,ComparisonData!$AT$1),0),5)</f>
        <v>0</v>
      </c>
      <c r="AU53" s="46" cm="1">
        <f t="array" ref="AU53">ROUND(IFERROR(INDEX(ArchiveResults!$F$5:$IX$116,ComparisonData!A53,ComparisonData!$AU$1),0),5)</f>
        <v>0</v>
      </c>
      <c r="AV53" s="46" cm="1">
        <f t="array" ref="AV53">ROUND(IFERROR(INDEX(ArchiveResults!$F$5:$IX$116,ComparisonData!A53,ComparisonData!$AV$1),0),5)</f>
        <v>0</v>
      </c>
      <c r="AW53" s="46" cm="1">
        <f t="array" ref="AW53">ROUND(IFERROR(INDEX(ArchiveResults!$F$5:$IX$116,ComparisonData!A53,ComparisonData!$AW$1),0),5)</f>
        <v>0</v>
      </c>
      <c r="AX53" s="46" cm="1">
        <f t="array" ref="AX53">ROUND(IFERROR(INDEX(ArchiveResults!$F$5:$IX$116,ComparisonData!A53,ComparisonData!$AX$1),0),5)</f>
        <v>0</v>
      </c>
      <c r="AY53" s="46" cm="1">
        <f t="array" ref="AY53">ROUND(IFERROR(INDEX(ArchiveResults!$F$5:$IX$116,ComparisonData!A53,ComparisonData!$AY$1),0),5)</f>
        <v>0</v>
      </c>
      <c r="AZ53" s="46" cm="1">
        <f t="array" ref="AZ53">ROUND(IFERROR(INDEX(ArchiveResults!$F$5:$IX$116,ComparisonData!A53,ComparisonData!$AZ$1),0),5)</f>
        <v>0</v>
      </c>
      <c r="BA53" s="46" cm="1">
        <f t="array" ref="BA53">ROUND(IFERROR(INDEX(ArchiveResults!$F$5:$IX$116,ComparisonData!A53,ComparisonData!$BA$1),0),5)</f>
        <v>0</v>
      </c>
      <c r="BB53" s="56">
        <v>48</v>
      </c>
      <c r="BC53" s="53" t="str">
        <f t="shared" si="539"/>
        <v>Lancashire Archives</v>
      </c>
      <c r="BD53" s="60">
        <f t="shared" si="131"/>
        <v>0</v>
      </c>
      <c r="BE53" s="60">
        <f t="shared" si="132"/>
        <v>0</v>
      </c>
      <c r="BF53" s="60">
        <f t="shared" si="133"/>
        <v>0</v>
      </c>
      <c r="BG53" s="60">
        <f t="shared" si="134"/>
        <v>0</v>
      </c>
      <c r="BH53" s="60">
        <f t="shared" si="135"/>
        <v>0</v>
      </c>
      <c r="BI53" s="60">
        <f t="shared" si="136"/>
        <v>0</v>
      </c>
      <c r="BJ53" s="60">
        <f t="shared" si="137"/>
        <v>0</v>
      </c>
      <c r="BK53" s="60">
        <f t="shared" si="138"/>
        <v>0</v>
      </c>
      <c r="BL53" s="60">
        <f t="shared" si="139"/>
        <v>0</v>
      </c>
      <c r="BM53" s="59">
        <f t="shared" si="140"/>
        <v>0</v>
      </c>
      <c r="BN53" s="58">
        <f t="shared" si="141"/>
        <v>0</v>
      </c>
      <c r="BO53" s="45">
        <f t="shared" si="142"/>
        <v>78</v>
      </c>
      <c r="BP53" s="54">
        <f t="shared" si="540"/>
        <v>2.8239999999999998</v>
      </c>
      <c r="BQ53" s="45">
        <f t="shared" si="143"/>
        <v>1</v>
      </c>
      <c r="BR53" s="45">
        <f t="shared" si="144"/>
        <v>2</v>
      </c>
      <c r="BS53" s="46" cm="1">
        <f t="array" ref="BS53">ROUND(IFERROR(INDEX(ArchiveResults!$F$5:$IX$116,ComparisonData!A53,ComparisonData!$BS$1),0),5)</f>
        <v>0</v>
      </c>
      <c r="BT53" s="46" cm="1">
        <f t="array" ref="BT53">ROUND(IFERROR(INDEX(ArchiveResults!$F$5:$IX$116,ComparisonData!A53,ComparisonData!$BT$1),0),5)</f>
        <v>0</v>
      </c>
      <c r="BU53" s="46" cm="1">
        <f t="array" ref="BU53">ROUND(IFERROR(INDEX(ArchiveResults!$F$5:$IX$116,ComparisonData!A53,ComparisonData!$BU$1),0),5)</f>
        <v>0</v>
      </c>
      <c r="BV53" s="46" cm="1">
        <f t="array" ref="BV53">ROUND(IFERROR(INDEX(ArchiveResults!$F$5:$IX$116,ComparisonData!A53,ComparisonData!$BV$1),0),5)</f>
        <v>0</v>
      </c>
      <c r="BW53" s="46" cm="1">
        <f t="array" ref="BW53">ROUND(IFERROR(INDEX(ArchiveResults!$F$5:$IX$116,ComparisonData!A53,ComparisonData!$BW$1),0),5)</f>
        <v>0</v>
      </c>
      <c r="BX53" s="46" cm="1">
        <f t="array" ref="BX53">ROUND(IFERROR(INDEX(ArchiveResults!$F$5:$IX$116,ComparisonData!A53,ComparisonData!$BX$1),0),5)</f>
        <v>0</v>
      </c>
      <c r="BY53" s="56">
        <v>48</v>
      </c>
      <c r="BZ53" s="53" t="str">
        <f t="shared" si="541"/>
        <v>Lancashire Archives</v>
      </c>
      <c r="CA53" s="59">
        <f t="shared" si="145"/>
        <v>0</v>
      </c>
      <c r="CB53" s="59">
        <f t="shared" si="146"/>
        <v>0</v>
      </c>
      <c r="CC53" s="59">
        <f t="shared" si="147"/>
        <v>0</v>
      </c>
      <c r="CD53" s="59">
        <f t="shared" si="148"/>
        <v>0</v>
      </c>
      <c r="CE53" s="59">
        <f t="shared" si="149"/>
        <v>0</v>
      </c>
      <c r="CF53" s="59">
        <f t="shared" si="150"/>
        <v>0</v>
      </c>
      <c r="CG53" s="58">
        <f t="shared" si="151"/>
        <v>0</v>
      </c>
      <c r="CH53" s="45">
        <f t="shared" si="152"/>
        <v>78</v>
      </c>
      <c r="CI53" s="54">
        <f t="shared" si="542"/>
        <v>2.8239999999999998</v>
      </c>
      <c r="CJ53" s="45">
        <f t="shared" si="153"/>
        <v>1</v>
      </c>
      <c r="CK53" s="45">
        <f t="shared" si="154"/>
        <v>2</v>
      </c>
      <c r="CL53" s="46" cm="1">
        <f t="array" ref="CL53">ROUND(IFERROR(INDEX(ArchiveResults!$F$5:$IX$116,ComparisonData!A53,ComparisonData!$CL$1),0),5)</f>
        <v>0</v>
      </c>
      <c r="CM53" s="56">
        <v>48</v>
      </c>
      <c r="CN53" s="53" t="str">
        <f t="shared" si="543"/>
        <v>Lancashire Archives</v>
      </c>
      <c r="CO53" s="45">
        <f t="shared" si="155"/>
        <v>0</v>
      </c>
      <c r="CP53" s="58">
        <f t="shared" si="156"/>
        <v>0</v>
      </c>
      <c r="CQ53" s="45">
        <f t="shared" si="157"/>
        <v>78</v>
      </c>
      <c r="CR53" s="54">
        <f t="shared" si="544"/>
        <v>2.8239999999999998</v>
      </c>
      <c r="CS53" s="45">
        <f t="shared" si="158"/>
        <v>1</v>
      </c>
      <c r="CT53" s="45">
        <f t="shared" si="159"/>
        <v>2</v>
      </c>
      <c r="CU53" s="46" cm="1">
        <f t="array" ref="CU53">ROUND(IFERROR(INDEX(ArchiveResults!$F$5:$IX$116,ComparisonData!A53,ComparisonData!$CU$1),0),5)</f>
        <v>0</v>
      </c>
      <c r="CV53" s="56">
        <v>48</v>
      </c>
      <c r="CW53" s="53" t="str">
        <f t="shared" si="545"/>
        <v>Lancashire Archives</v>
      </c>
      <c r="CX53" s="45">
        <f t="shared" si="160"/>
        <v>0</v>
      </c>
      <c r="CY53" s="58">
        <f t="shared" si="161"/>
        <v>0</v>
      </c>
      <c r="CZ53" s="45">
        <f t="shared" si="162"/>
        <v>78</v>
      </c>
      <c r="DA53" s="54">
        <f t="shared" si="546"/>
        <v>2.8239999999999998</v>
      </c>
      <c r="DB53" s="45">
        <f t="shared" si="163"/>
        <v>1</v>
      </c>
      <c r="DC53" s="45">
        <f t="shared" si="164"/>
        <v>2</v>
      </c>
      <c r="DD53" s="46" cm="1">
        <f t="array" ref="DD53">ROUND(IFERROR(INDEX(ArchiveResults!$F$5:$IX$116,ComparisonData!A53,ComparisonData!$DD$1),0),5)</f>
        <v>0</v>
      </c>
      <c r="DE53" s="56">
        <v>48</v>
      </c>
      <c r="DF53" s="53" t="str">
        <f t="shared" si="547"/>
        <v>Lancashire Archives</v>
      </c>
      <c r="DG53" s="45">
        <f t="shared" si="165"/>
        <v>0</v>
      </c>
      <c r="DH53" s="58">
        <f t="shared" si="166"/>
        <v>0</v>
      </c>
      <c r="DI53" s="45">
        <f t="shared" si="167"/>
        <v>78</v>
      </c>
      <c r="DJ53" s="54">
        <f t="shared" si="548"/>
        <v>2.8239999999999998</v>
      </c>
      <c r="DK53" s="45">
        <f t="shared" si="168"/>
        <v>1</v>
      </c>
      <c r="DL53" s="45">
        <f t="shared" si="169"/>
        <v>2</v>
      </c>
      <c r="DM53" s="46" cm="1">
        <f t="array" ref="DM53">ROUND(IFERROR(INDEX(ArchiveResults!$F$5:$IX$116,ComparisonData!A53,ComparisonData!$DM$1),0),5)</f>
        <v>0</v>
      </c>
      <c r="DN53" s="46" cm="1">
        <f t="array" ref="DN53">ROUND(IFERROR(INDEX(ArchiveResults!$F$5:$IX$116,ComparisonData!A53,ComparisonData!$DN$1),0),5)</f>
        <v>0</v>
      </c>
      <c r="DO53" s="46" cm="1">
        <f t="array" ref="DO53">ROUND(IFERROR(INDEX(ArchiveResults!$F$5:$IX$116,ComparisonData!A53,ComparisonData!$DO$1),0),5)</f>
        <v>0</v>
      </c>
      <c r="DP53" s="46" cm="1">
        <f t="array" ref="DP53">ROUND(IFERROR(INDEX(ArchiveResults!$F$5:$IX$116,ComparisonData!A53,ComparisonData!$DP$1),0),5)</f>
        <v>0</v>
      </c>
      <c r="DQ53" s="45" cm="1">
        <f t="array" ref="DQ53">IFERROR(INDEX(ArchiveResults!$F$5:$IX$116,ComparisonData!A53,ComparisonData!$DQ$1),0)</f>
        <v>0</v>
      </c>
      <c r="DR53" s="56">
        <v>48</v>
      </c>
      <c r="DS53" s="53" t="str">
        <f t="shared" si="549"/>
        <v>Lancashire Archives</v>
      </c>
      <c r="DT53" s="59">
        <f t="shared" si="170"/>
        <v>0</v>
      </c>
      <c r="DU53" s="59">
        <f t="shared" si="171"/>
        <v>0</v>
      </c>
      <c r="DV53" s="59">
        <f t="shared" si="172"/>
        <v>0</v>
      </c>
      <c r="DW53" s="59">
        <f t="shared" si="173"/>
        <v>0</v>
      </c>
      <c r="DX53" s="59">
        <f t="shared" si="174"/>
        <v>0</v>
      </c>
      <c r="DY53" s="58">
        <f t="shared" si="175"/>
        <v>0</v>
      </c>
      <c r="DZ53" s="45">
        <f t="shared" si="176"/>
        <v>78</v>
      </c>
      <c r="EA53" s="54">
        <f t="shared" si="550"/>
        <v>2.8239999999999998</v>
      </c>
      <c r="EB53" s="45">
        <f t="shared" si="177"/>
        <v>1</v>
      </c>
      <c r="EC53" s="45">
        <f t="shared" si="178"/>
        <v>2</v>
      </c>
      <c r="ED53" s="46" cm="1">
        <f t="array" ref="ED53">ROUND(IFERROR(INDEX(ArchiveResults!$F$5:$IX$116,ComparisonData!A53,ComparisonData!$ED$1),0),5)</f>
        <v>0</v>
      </c>
      <c r="EE53" s="46" cm="1">
        <f t="array" ref="EE53">ROUND(IFERROR(INDEX(ArchiveResults!$F$5:$IX$116,ComparisonData!A53,ComparisonData!$EE$1),0),5)</f>
        <v>0</v>
      </c>
      <c r="EF53" s="46" cm="1">
        <f t="array" ref="EF53">ROUND(IFERROR(INDEX(ArchiveResults!$F$5:$IX$116,ComparisonData!A53,ComparisonData!$EF$1),0),5)</f>
        <v>0</v>
      </c>
      <c r="EG53" s="46" cm="1">
        <f t="array" ref="EG53">ROUND(IFERROR(INDEX(ArchiveResults!$F$5:$IX$116,ComparisonData!A53,ComparisonData!$EG$1),0),5)</f>
        <v>0</v>
      </c>
      <c r="EH53" s="45" cm="1">
        <f t="array" ref="EH53">IFERROR(INDEX(ArchiveResults!$F$5:$IX$116,ComparisonData!A53,ComparisonData!$EH$1),0)</f>
        <v>0</v>
      </c>
      <c r="EI53" s="56">
        <v>48</v>
      </c>
      <c r="EJ53" s="53" t="str">
        <f t="shared" si="551"/>
        <v>Lancashire Archives</v>
      </c>
      <c r="EK53" s="59">
        <f t="shared" si="179"/>
        <v>0</v>
      </c>
      <c r="EL53" s="59">
        <f t="shared" si="180"/>
        <v>0</v>
      </c>
      <c r="EM53" s="59">
        <f t="shared" si="181"/>
        <v>0</v>
      </c>
      <c r="EN53" s="59">
        <f t="shared" si="182"/>
        <v>0</v>
      </c>
      <c r="EO53" s="59">
        <f t="shared" si="183"/>
        <v>0</v>
      </c>
      <c r="EP53" s="58">
        <f t="shared" si="184"/>
        <v>0</v>
      </c>
      <c r="EQ53" s="45">
        <f t="shared" si="185"/>
        <v>78</v>
      </c>
      <c r="ER53" s="54">
        <f t="shared" si="552"/>
        <v>2.8239999999999998</v>
      </c>
      <c r="ES53" s="45">
        <f t="shared" si="186"/>
        <v>1</v>
      </c>
      <c r="ET53" s="45">
        <f t="shared" si="187"/>
        <v>2</v>
      </c>
      <c r="EU53" s="46" cm="1">
        <f t="array" ref="EU53">ROUND(IFERROR(INDEX(ArchiveResults!$F$5:$IX$116,ComparisonData!A53,ComparisonData!$EU$1),0),5)</f>
        <v>0</v>
      </c>
      <c r="EV53" s="46" cm="1">
        <f t="array" ref="EV53">ROUND(IFERROR(INDEX(ArchiveResults!$F$5:$IX$116,ComparisonData!A53,ComparisonData!$EV$1),0),5)</f>
        <v>0</v>
      </c>
      <c r="EW53" s="46" cm="1">
        <f t="array" ref="EW53">ROUND(IFERROR(INDEX(ArchiveResults!$F$5:$IX$116,ComparisonData!A53,ComparisonData!$EW$1),0),5)</f>
        <v>0</v>
      </c>
      <c r="EX53" s="46" cm="1">
        <f t="array" ref="EX53">ROUND(IFERROR(INDEX(ArchiveResults!$F$5:$IX$116,ComparisonData!A53,ComparisonData!$EX$1),0),5)</f>
        <v>0</v>
      </c>
      <c r="EY53" s="45" cm="1">
        <f t="array" ref="EY53">IFERROR(INDEX(ArchiveResults!$F$5:$IX$116,ComparisonData!A53,ComparisonData!$EY$1),0)</f>
        <v>0</v>
      </c>
      <c r="EZ53" s="56">
        <v>48</v>
      </c>
      <c r="FA53" s="53" t="str">
        <f t="shared" si="553"/>
        <v>Lancashire Archives</v>
      </c>
      <c r="FB53" s="59">
        <f t="shared" si="188"/>
        <v>0</v>
      </c>
      <c r="FC53" s="59">
        <f t="shared" si="189"/>
        <v>0</v>
      </c>
      <c r="FD53" s="59">
        <f t="shared" si="190"/>
        <v>0</v>
      </c>
      <c r="FE53" s="59">
        <f t="shared" si="191"/>
        <v>0</v>
      </c>
      <c r="FF53" s="59">
        <f t="shared" si="192"/>
        <v>0</v>
      </c>
      <c r="FG53" s="58">
        <f t="shared" si="193"/>
        <v>0</v>
      </c>
      <c r="FH53" s="45">
        <f t="shared" si="194"/>
        <v>78</v>
      </c>
      <c r="FI53" s="54">
        <f t="shared" si="554"/>
        <v>2.8239999999999998</v>
      </c>
      <c r="FJ53" s="45">
        <f t="shared" si="195"/>
        <v>1</v>
      </c>
      <c r="FK53" s="45">
        <f t="shared" si="196"/>
        <v>2</v>
      </c>
      <c r="FL53" s="46" cm="1">
        <f t="array" ref="FL53">ROUND(IFERROR(INDEX(ArchiveResults!$F$5:$IX$116,ComparisonData!A53,ComparisonData!$FL$1),0),5)</f>
        <v>0</v>
      </c>
      <c r="FM53" s="46" cm="1">
        <f t="array" ref="FM53">ROUND(IFERROR(INDEX(ArchiveResults!$F$5:$IX$116,ComparisonData!A53,ComparisonData!$FM$1),0),5)</f>
        <v>0</v>
      </c>
      <c r="FN53" s="46" cm="1">
        <f t="array" ref="FN53">ROUND(IFERROR(INDEX(ArchiveResults!$F$5:$IX$116,ComparisonData!A53,ComparisonData!$FN$1),0),5)</f>
        <v>0</v>
      </c>
      <c r="FO53" s="46" cm="1">
        <f t="array" ref="FO53">ROUND(IFERROR(INDEX(ArchiveResults!$F$5:$IX$116,ComparisonData!A53,ComparisonData!$FO$1),0),5)</f>
        <v>0</v>
      </c>
      <c r="FP53" s="45" cm="1">
        <f t="array" ref="FP53">IFERROR(INDEX(ArchiveResults!$F$5:$IX$116,ComparisonData!A53,ComparisonData!$FP$1),0)</f>
        <v>0</v>
      </c>
      <c r="FQ53" s="56">
        <v>48</v>
      </c>
      <c r="FR53" s="53" t="str">
        <f t="shared" si="555"/>
        <v>Lancashire Archives</v>
      </c>
      <c r="FS53" s="59">
        <f t="shared" si="197"/>
        <v>0</v>
      </c>
      <c r="FT53" s="59">
        <f t="shared" si="198"/>
        <v>0</v>
      </c>
      <c r="FU53" s="59">
        <f t="shared" si="199"/>
        <v>0</v>
      </c>
      <c r="FV53" s="59">
        <f t="shared" si="200"/>
        <v>0</v>
      </c>
      <c r="FW53" s="59">
        <f t="shared" si="201"/>
        <v>0</v>
      </c>
      <c r="FX53" s="58">
        <f t="shared" si="202"/>
        <v>0</v>
      </c>
      <c r="FY53" s="45">
        <f t="shared" si="203"/>
        <v>78</v>
      </c>
      <c r="FZ53" s="45">
        <f t="shared" si="556"/>
        <v>2.8239999999999998</v>
      </c>
      <c r="GA53" s="45">
        <f t="shared" si="204"/>
        <v>1</v>
      </c>
      <c r="GB53" s="45">
        <f t="shared" si="205"/>
        <v>2</v>
      </c>
      <c r="GC53" s="46" cm="1">
        <f t="array" ref="GC53">ROUND(IFERROR(INDEX(ArchiveResults!$F$5:$IX$116,ComparisonData!A53,ComparisonData!$GC$1),0),5)</f>
        <v>0</v>
      </c>
      <c r="GD53" s="46" cm="1">
        <f t="array" ref="GD53">ROUND(IFERROR(INDEX(ArchiveResults!$F$5:$IX$116,ComparisonData!A53,ComparisonData!$GD$1),0),5)</f>
        <v>0</v>
      </c>
      <c r="GE53" s="46" cm="1">
        <f t="array" ref="GE53">ROUND(IFERROR(INDEX(ArchiveResults!$F$5:$IX$116,ComparisonData!A53,ComparisonData!$GE$1),0),5)</f>
        <v>0</v>
      </c>
      <c r="GF53" s="46" cm="1">
        <f t="array" ref="GF53">ROUND(IFERROR(INDEX(ArchiveResults!$F$5:$IX$116,ComparisonData!A53,ComparisonData!$GF$1),0),5)</f>
        <v>0</v>
      </c>
      <c r="GG53" s="45" cm="1">
        <f t="array" ref="GG53">IFERROR(INDEX(ArchiveResults!$F$5:$IX$116,ComparisonData!A53,ComparisonData!$GG$1),0)</f>
        <v>0</v>
      </c>
      <c r="GH53" s="56">
        <v>48</v>
      </c>
      <c r="GI53" s="53" t="str">
        <f t="shared" si="557"/>
        <v>Lancashire Archives</v>
      </c>
      <c r="GJ53" s="59">
        <f t="shared" si="206"/>
        <v>0</v>
      </c>
      <c r="GK53" s="59">
        <f t="shared" si="207"/>
        <v>0</v>
      </c>
      <c r="GL53" s="59">
        <f t="shared" si="208"/>
        <v>0</v>
      </c>
      <c r="GM53" s="59">
        <f t="shared" si="209"/>
        <v>0</v>
      </c>
      <c r="GN53" s="59">
        <f t="shared" si="210"/>
        <v>0</v>
      </c>
      <c r="GO53" s="58">
        <f t="shared" si="211"/>
        <v>0</v>
      </c>
      <c r="GP53" s="45">
        <f t="shared" si="212"/>
        <v>78</v>
      </c>
      <c r="GQ53" s="45">
        <f t="shared" si="558"/>
        <v>2.8239999999999998</v>
      </c>
      <c r="GR53" s="45">
        <f t="shared" si="213"/>
        <v>1</v>
      </c>
      <c r="GS53" s="45">
        <f t="shared" si="214"/>
        <v>2</v>
      </c>
      <c r="GT53" s="46" cm="1">
        <f t="array" ref="GT53">ROUND(IFERROR(INDEX(ArchiveResults!$F$5:$IX$116,ComparisonData!A53,ComparisonData!$GT$1),0),5)</f>
        <v>0</v>
      </c>
      <c r="GU53" s="46" cm="1">
        <f t="array" ref="GU53">ROUND(IFERROR(INDEX(ArchiveResults!$F$5:$IX$116,ComparisonData!A53,ComparisonData!$GU$1),0),5)</f>
        <v>0</v>
      </c>
      <c r="GV53" s="46" cm="1">
        <f t="array" ref="GV53">ROUND(IFERROR(INDEX(ArchiveResults!$F$5:$IX$116,ComparisonData!A53,ComparisonData!$GV$1),0),5)</f>
        <v>0</v>
      </c>
      <c r="GW53" s="46" cm="1">
        <f t="array" ref="GW53">ROUND(IFERROR(INDEX(ArchiveResults!$F$5:$IX$116,ComparisonData!A53,ComparisonData!$GW$1),0),5)</f>
        <v>0</v>
      </c>
      <c r="GX53" s="45" cm="1">
        <f t="array" ref="GX53">IFERROR(INDEX(ArchiveResults!$F$5:$IX$116,ComparisonData!A53,ComparisonData!$GX$1),0)</f>
        <v>0</v>
      </c>
      <c r="GY53" s="56">
        <v>48</v>
      </c>
      <c r="GZ53" s="53" t="str">
        <f t="shared" si="559"/>
        <v>Lancashire Archives</v>
      </c>
      <c r="HA53" s="59">
        <f t="shared" si="215"/>
        <v>0</v>
      </c>
      <c r="HB53" s="59">
        <f t="shared" si="216"/>
        <v>0</v>
      </c>
      <c r="HC53" s="59">
        <f t="shared" si="217"/>
        <v>0</v>
      </c>
      <c r="HD53" s="59">
        <f t="shared" si="218"/>
        <v>0</v>
      </c>
      <c r="HE53" s="59">
        <f t="shared" si="219"/>
        <v>0</v>
      </c>
      <c r="HF53" s="58">
        <f t="shared" si="220"/>
        <v>0</v>
      </c>
      <c r="HG53" s="45">
        <f t="shared" si="221"/>
        <v>78</v>
      </c>
      <c r="HH53" s="45">
        <f t="shared" si="560"/>
        <v>2.8239999999999998</v>
      </c>
      <c r="HI53" s="45">
        <f t="shared" si="222"/>
        <v>1</v>
      </c>
      <c r="HJ53" s="45">
        <f t="shared" si="223"/>
        <v>2</v>
      </c>
      <c r="HK53" s="46" cm="1">
        <f t="array" ref="HK53">ROUND(IFERROR(INDEX(ArchiveResults!$F$5:$IX$116,ComparisonData!A53,ComparisonData!$HK$1),0),5)</f>
        <v>0</v>
      </c>
      <c r="HL53" s="46" cm="1">
        <f t="array" ref="HL53">ROUND(IFERROR(INDEX(ArchiveResults!$F$5:$IX$116,ComparisonData!A53,ComparisonData!$HL$1),0),5)</f>
        <v>0</v>
      </c>
      <c r="HM53" s="46" cm="1">
        <f t="array" ref="HM53">ROUND(IFERROR(INDEX(ArchiveResults!$F$5:$IX$116,ComparisonData!A53,ComparisonData!$HM$1),0),5)</f>
        <v>0</v>
      </c>
      <c r="HN53" s="46" cm="1">
        <f t="array" ref="HN53">ROUND(IFERROR(INDEX(ArchiveResults!$F$5:$IX$116,ComparisonData!A53,ComparisonData!$HN$1),0),5)</f>
        <v>0</v>
      </c>
      <c r="HO53" s="45" cm="1">
        <f t="array" ref="HO53">IFERROR(INDEX(ArchiveResults!$F$5:$IX$116,ComparisonData!A53,ComparisonData!$HO$1),0)</f>
        <v>0</v>
      </c>
      <c r="HP53" s="56">
        <v>48</v>
      </c>
      <c r="HQ53" s="53" t="str">
        <f t="shared" si="561"/>
        <v>Lancashire Archives</v>
      </c>
      <c r="HR53" s="59">
        <f t="shared" si="562"/>
        <v>0</v>
      </c>
      <c r="HS53" s="59">
        <f t="shared" si="563"/>
        <v>0</v>
      </c>
      <c r="HT53" s="59">
        <f t="shared" si="564"/>
        <v>0</v>
      </c>
      <c r="HU53" s="59">
        <f t="shared" si="565"/>
        <v>0</v>
      </c>
      <c r="HV53" s="59">
        <f t="shared" si="566"/>
        <v>0</v>
      </c>
      <c r="HW53" s="58">
        <f t="shared" si="224"/>
        <v>0</v>
      </c>
      <c r="HX53" s="45">
        <f t="shared" si="225"/>
        <v>78</v>
      </c>
      <c r="HY53" s="45">
        <f t="shared" si="567"/>
        <v>2.8239999999999998</v>
      </c>
      <c r="HZ53" s="45">
        <f t="shared" si="226"/>
        <v>1</v>
      </c>
      <c r="IA53" s="45">
        <f t="shared" si="227"/>
        <v>2</v>
      </c>
      <c r="IB53" s="45">
        <f t="shared" si="228"/>
        <v>0</v>
      </c>
      <c r="IC53" s="46" cm="1">
        <f t="array" ref="IC53">ROUND(IFERROR(INDEX(ArchiveResults!$F$5:$IX$116,ComparisonData!A53,ComparisonData!$IC$1),0),5)</f>
        <v>0</v>
      </c>
      <c r="ID53" s="46" cm="1">
        <f t="array" ref="ID53">ROUND(IFERROR(INDEX(ArchiveResults!$F$5:$IX$116,ComparisonData!A53,ComparisonData!$ID$1),0),5)</f>
        <v>0</v>
      </c>
      <c r="IE53" s="46" cm="1">
        <f t="array" ref="IE53">ROUND(IFERROR(INDEX(ArchiveResults!$F$5:$IX$116,ComparisonData!A53,ComparisonData!$IE$1),0),5)</f>
        <v>0</v>
      </c>
      <c r="IF53" s="46" cm="1">
        <f t="array" ref="IF53">ROUND(IFERROR(INDEX(ArchiveResults!$F$5:$IX$116,ComparisonData!A53,ComparisonData!$IF$1),0),5)</f>
        <v>0</v>
      </c>
      <c r="IG53" s="45" cm="1">
        <f t="array" ref="IG53">IFERROR(INDEX(ArchiveResults!$F$5:$IX$116,ComparisonData!A53,ComparisonData!$IG$1),0)</f>
        <v>0</v>
      </c>
      <c r="IH53" s="56">
        <v>48</v>
      </c>
      <c r="II53" s="53" t="str">
        <f t="shared" si="568"/>
        <v>Lancashire Archives</v>
      </c>
      <c r="IJ53" s="59">
        <f t="shared" si="229"/>
        <v>0</v>
      </c>
      <c r="IK53" s="59">
        <f t="shared" si="230"/>
        <v>0</v>
      </c>
      <c r="IL53" s="59">
        <f t="shared" si="231"/>
        <v>0</v>
      </c>
      <c r="IM53" s="59">
        <f t="shared" si="232"/>
        <v>0</v>
      </c>
      <c r="IN53" s="59">
        <f t="shared" si="233"/>
        <v>0</v>
      </c>
      <c r="IO53" s="58">
        <f t="shared" si="234"/>
        <v>0</v>
      </c>
      <c r="IP53" s="45">
        <f t="shared" si="235"/>
        <v>78</v>
      </c>
      <c r="IQ53" s="45">
        <f t="shared" si="569"/>
        <v>2.8239999999999998</v>
      </c>
      <c r="IR53" s="45">
        <f t="shared" si="236"/>
        <v>1</v>
      </c>
      <c r="IS53" s="45">
        <f t="shared" si="237"/>
        <v>2</v>
      </c>
      <c r="IT53" s="46">
        <f t="shared" si="238"/>
        <v>0</v>
      </c>
      <c r="IU53" s="46" cm="1">
        <f t="array" ref="IU53">ROUND(IFERROR(INDEX(ArchiveResults!$F$5:$IX$116,ComparisonData!A53,ComparisonData!$IU$1),0),5)</f>
        <v>0</v>
      </c>
      <c r="IV53" s="46" cm="1">
        <f t="array" ref="IV53">ROUND(IFERROR(INDEX(ArchiveResults!$F$5:$IX$116,ComparisonData!A53,ComparisonData!$IV$1),0),5)</f>
        <v>0</v>
      </c>
      <c r="IW53" s="46" cm="1">
        <f t="array" ref="IW53">ROUND(IFERROR(INDEX(ArchiveResults!$F$5:$IX$116,ComparisonData!A53,ComparisonData!$IW$1),0),5)</f>
        <v>0</v>
      </c>
      <c r="IX53" s="46" cm="1">
        <f t="array" ref="IX53">ROUND(IFERROR(INDEX(ArchiveResults!$F$5:$IX$116,ComparisonData!A53,ComparisonData!$IX$1),0),5)</f>
        <v>0</v>
      </c>
      <c r="IY53" s="45" cm="1">
        <f t="array" ref="IY53">IFERROR(INDEX(ArchiveResults!$F$5:$IX$116,ComparisonData!A53,ComparisonData!$IY$1),0)</f>
        <v>0</v>
      </c>
      <c r="IZ53" s="56">
        <v>48</v>
      </c>
      <c r="JA53" s="53" t="str">
        <f t="shared" si="570"/>
        <v>Lancashire Archives</v>
      </c>
      <c r="JB53" s="59">
        <f t="shared" si="239"/>
        <v>0</v>
      </c>
      <c r="JC53" s="59">
        <f t="shared" si="240"/>
        <v>0</v>
      </c>
      <c r="JD53" s="59">
        <f t="shared" si="241"/>
        <v>0</v>
      </c>
      <c r="JE53" s="59">
        <f t="shared" si="242"/>
        <v>0</v>
      </c>
      <c r="JF53" s="59">
        <f t="shared" si="243"/>
        <v>0</v>
      </c>
      <c r="JG53" s="58">
        <f t="shared" si="244"/>
        <v>0</v>
      </c>
      <c r="JH53" s="45">
        <f t="shared" si="245"/>
        <v>78</v>
      </c>
      <c r="JI53" s="45">
        <f t="shared" si="571"/>
        <v>2.8239999999999998</v>
      </c>
      <c r="JJ53" s="45">
        <f t="shared" si="246"/>
        <v>1</v>
      </c>
      <c r="JK53" s="45">
        <f t="shared" si="247"/>
        <v>2</v>
      </c>
      <c r="JL53" s="45">
        <f t="shared" si="248"/>
        <v>0</v>
      </c>
      <c r="JM53" s="46" cm="1">
        <f t="array" ref="JM53">ROUND(IFERROR(INDEX(ArchiveResults!$F$5:$IX$116,ComparisonData!A53,ComparisonData!$JM$1),0),5)</f>
        <v>0</v>
      </c>
      <c r="JN53" s="46" cm="1">
        <f t="array" ref="JN53">ROUND(IFERROR(INDEX(ArchiveResults!$F$5:$IX$116,ComparisonData!A53,ComparisonData!$JN$1),0),5)</f>
        <v>0</v>
      </c>
      <c r="JO53" s="46" cm="1">
        <f t="array" ref="JO53">ROUND(IFERROR(INDEX(ArchiveResults!$F$5:$IX$116,ComparisonData!A53,ComparisonData!$JO$1),0),5)</f>
        <v>0</v>
      </c>
      <c r="JP53" s="46" cm="1">
        <f t="array" ref="JP53">ROUND(IFERROR(INDEX(ArchiveResults!$F$5:$IX$116,ComparisonData!A53,ComparisonData!$JP$1),0),5)</f>
        <v>0</v>
      </c>
      <c r="JQ53" s="45" cm="1">
        <f t="array" ref="JQ53">IFERROR(INDEX(ArchiveResults!$F$5:$IX$116,ComparisonData!A53,ComparisonData!$JQ$1),0)</f>
        <v>0</v>
      </c>
      <c r="JR53" s="56">
        <v>48</v>
      </c>
      <c r="JS53" s="53" t="str">
        <f t="shared" si="572"/>
        <v>Lancashire Archives</v>
      </c>
      <c r="JT53" s="59">
        <f t="shared" si="249"/>
        <v>0</v>
      </c>
      <c r="JU53" s="59">
        <f t="shared" si="250"/>
        <v>0</v>
      </c>
      <c r="JV53" s="59">
        <f t="shared" si="251"/>
        <v>0</v>
      </c>
      <c r="JW53" s="59">
        <f t="shared" si="252"/>
        <v>0</v>
      </c>
      <c r="JX53" s="59">
        <f t="shared" si="253"/>
        <v>0</v>
      </c>
      <c r="JY53" s="58">
        <f t="shared" si="254"/>
        <v>0</v>
      </c>
      <c r="JZ53" s="45">
        <f t="shared" si="255"/>
        <v>78</v>
      </c>
      <c r="KA53" s="45">
        <f t="shared" si="573"/>
        <v>2.8239999999999998</v>
      </c>
      <c r="KB53" s="45">
        <f t="shared" si="256"/>
        <v>1</v>
      </c>
      <c r="KC53" s="45">
        <f t="shared" si="257"/>
        <v>2</v>
      </c>
      <c r="KD53" s="45">
        <f t="shared" si="258"/>
        <v>0</v>
      </c>
      <c r="KE53" s="46" cm="1">
        <f t="array" ref="KE53">ROUND(IFERROR(INDEX(ArchiveResults!$F$5:$IX$116,ComparisonData!A53,ComparisonData!$KE$1),0),5)</f>
        <v>0</v>
      </c>
      <c r="KF53" s="46" cm="1">
        <f t="array" ref="KF53">ROUND(IFERROR(INDEX(ArchiveResults!$F$5:$IX$116,ComparisonData!A53,ComparisonData!$KF$1),0),5)</f>
        <v>0</v>
      </c>
      <c r="KG53" s="46" cm="1">
        <f t="array" ref="KG53">ROUND(IFERROR(INDEX(ArchiveResults!$F$5:$IX$116,ComparisonData!A53,ComparisonData!$KG$1),0),5)</f>
        <v>0</v>
      </c>
      <c r="KH53" s="46" cm="1">
        <f t="array" ref="KH53">ROUND(IFERROR(INDEX(ArchiveResults!$F$5:$IX$116,ComparisonData!A53,ComparisonData!$KH$1),0),5)</f>
        <v>0</v>
      </c>
      <c r="KI53" s="45" cm="1">
        <f t="array" ref="KI53">IFERROR(INDEX(ArchiveResults!$F$5:$IX$116,ComparisonData!A53,ComparisonData!$KI$1),0)</f>
        <v>0</v>
      </c>
      <c r="KJ53" s="56">
        <v>48</v>
      </c>
      <c r="KK53" s="53" t="str">
        <f t="shared" si="574"/>
        <v>Lancashire Archives</v>
      </c>
      <c r="KL53" s="59">
        <f t="shared" si="259"/>
        <v>0</v>
      </c>
      <c r="KM53" s="59">
        <f t="shared" si="260"/>
        <v>0</v>
      </c>
      <c r="KN53" s="59">
        <f t="shared" si="261"/>
        <v>0</v>
      </c>
      <c r="KO53" s="59">
        <f t="shared" si="262"/>
        <v>0</v>
      </c>
      <c r="KP53" s="59">
        <f t="shared" si="263"/>
        <v>0</v>
      </c>
      <c r="KQ53" s="58">
        <f t="shared" si="264"/>
        <v>0</v>
      </c>
      <c r="KR53" s="45">
        <f t="shared" si="265"/>
        <v>78</v>
      </c>
      <c r="KS53" s="45">
        <f t="shared" si="575"/>
        <v>2.8239999999999998</v>
      </c>
      <c r="KT53" s="45">
        <f t="shared" si="266"/>
        <v>1</v>
      </c>
      <c r="KU53" s="45">
        <f t="shared" si="267"/>
        <v>2</v>
      </c>
      <c r="KV53" s="45">
        <f t="shared" si="268"/>
        <v>0</v>
      </c>
      <c r="KW53" s="46" cm="1">
        <f t="array" ref="KW53">ROUND(IFERROR(INDEX(ArchiveResults!$F$5:$IX$116,ComparisonData!A53,ComparisonData!$KW$1),0),5)</f>
        <v>0</v>
      </c>
      <c r="KX53" s="46" cm="1">
        <f t="array" ref="KX53">ROUND(IFERROR(INDEX(ArchiveResults!$F$5:$IX$116,ComparisonData!A53,ComparisonData!$KX$1),0),5)</f>
        <v>0</v>
      </c>
      <c r="KY53" s="46" cm="1">
        <f t="array" ref="KY53">ROUND(IFERROR(INDEX(ArchiveResults!$F$5:$IX$116,ComparisonData!A53,ComparisonData!$KY$1),0),5)</f>
        <v>0</v>
      </c>
      <c r="KZ53" s="46" cm="1">
        <f t="array" ref="KZ53">ROUND(IFERROR(INDEX(ArchiveResults!$F$5:$IX$116,ComparisonData!A53,ComparisonData!$KZ$1),0),5)</f>
        <v>0</v>
      </c>
      <c r="LA53" s="45" cm="1">
        <f t="array" ref="LA53">IFERROR(INDEX(ArchiveResults!$F$5:$IX$116,ComparisonData!A53,ComparisonData!$LA$1),0)</f>
        <v>0</v>
      </c>
      <c r="LB53" s="56">
        <v>48</v>
      </c>
      <c r="LC53" s="53" t="str">
        <f t="shared" si="576"/>
        <v>Lancashire Archives</v>
      </c>
      <c r="LD53" s="59">
        <f t="shared" si="269"/>
        <v>0</v>
      </c>
      <c r="LE53" s="59">
        <f t="shared" si="270"/>
        <v>0</v>
      </c>
      <c r="LF53" s="59">
        <f t="shared" si="271"/>
        <v>0</v>
      </c>
      <c r="LG53" s="59">
        <f t="shared" si="272"/>
        <v>0</v>
      </c>
      <c r="LH53" s="59">
        <f t="shared" si="273"/>
        <v>0</v>
      </c>
      <c r="LI53" s="58">
        <f t="shared" si="274"/>
        <v>0</v>
      </c>
      <c r="LJ53" s="45">
        <f t="shared" si="275"/>
        <v>78</v>
      </c>
      <c r="LK53" s="45">
        <f t="shared" si="577"/>
        <v>2.8239999999999998</v>
      </c>
      <c r="LL53" s="45">
        <f t="shared" si="276"/>
        <v>1</v>
      </c>
      <c r="LM53" s="45">
        <f t="shared" si="277"/>
        <v>2</v>
      </c>
      <c r="LN53" s="45">
        <f t="shared" si="278"/>
        <v>0</v>
      </c>
      <c r="LO53" s="46" cm="1">
        <f t="array" ref="LO53">ROUND(IFERROR(INDEX(ArchiveResults!$F$5:$IX$116,ComparisonData!A53,ComparisonData!$LO$1),0),5)</f>
        <v>0</v>
      </c>
      <c r="LP53" s="46" cm="1">
        <f t="array" ref="LP53">ROUND(IFERROR(INDEX(ArchiveResults!$F$5:$IX$116,ComparisonData!A53,ComparisonData!$LP$1),0),5)</f>
        <v>0</v>
      </c>
      <c r="LQ53" s="46" cm="1">
        <f t="array" ref="LQ53">ROUND(IFERROR(INDEX(ArchiveResults!$F$5:$IX$116,ComparisonData!A53,ComparisonData!$LQ$1),0),5)</f>
        <v>0</v>
      </c>
      <c r="LR53" s="46" cm="1">
        <f t="array" ref="LR53">ROUND(IFERROR(INDEX(ArchiveResults!$F$5:$IX$116,ComparisonData!A53,ComparisonData!$LR$1),0),5)</f>
        <v>0</v>
      </c>
      <c r="LS53" s="45" cm="1">
        <f t="array" ref="LS53">IFERROR(INDEX(ArchiveResults!$F$5:$IX$116,ComparisonData!A53,ComparisonData!$LS$1),0)</f>
        <v>0</v>
      </c>
      <c r="LT53" s="56">
        <v>48</v>
      </c>
      <c r="LU53" s="53" t="str">
        <f t="shared" si="578"/>
        <v>Lancashire Archives</v>
      </c>
      <c r="LV53" s="59">
        <f t="shared" si="279"/>
        <v>0</v>
      </c>
      <c r="LW53" s="59">
        <f t="shared" si="280"/>
        <v>0</v>
      </c>
      <c r="LX53" s="59">
        <f t="shared" si="281"/>
        <v>0</v>
      </c>
      <c r="LY53" s="59">
        <f t="shared" si="282"/>
        <v>0</v>
      </c>
      <c r="LZ53" s="59">
        <f t="shared" si="283"/>
        <v>0</v>
      </c>
      <c r="MA53" s="58">
        <f t="shared" si="284"/>
        <v>0</v>
      </c>
      <c r="MB53" s="45">
        <f t="shared" si="285"/>
        <v>78</v>
      </c>
      <c r="MC53" s="45">
        <f t="shared" si="579"/>
        <v>2.8239999999999998</v>
      </c>
      <c r="MD53" s="45">
        <f t="shared" si="286"/>
        <v>1</v>
      </c>
      <c r="ME53" s="45">
        <f t="shared" si="287"/>
        <v>2</v>
      </c>
      <c r="MF53" s="45">
        <f t="shared" si="288"/>
        <v>0</v>
      </c>
      <c r="MG53" s="46" cm="1">
        <f t="array" ref="MG53">ROUND(IFERROR(INDEX(ArchiveResults!$F$5:$IX$116,ComparisonData!A53,ComparisonData!$MG$1),0),5)</f>
        <v>0</v>
      </c>
      <c r="MH53" s="46" cm="1">
        <f t="array" ref="MH53">ROUND(IFERROR(INDEX(ArchiveResults!$F$5:$IX$116,ComparisonData!A53,ComparisonData!$MH$1),0),5)</f>
        <v>0</v>
      </c>
      <c r="MI53" s="46" cm="1">
        <f t="array" ref="MI53">ROUND(IFERROR(INDEX(ArchiveResults!$F$5:$IX$116,ComparisonData!A53,ComparisonData!$MI$1),0),5)</f>
        <v>0</v>
      </c>
      <c r="MJ53" s="46" cm="1">
        <f t="array" ref="MJ53">ROUND(IFERROR(INDEX(ArchiveResults!$F$5:$IX$116,ComparisonData!A53,ComparisonData!$MJ$1),0),5)</f>
        <v>0</v>
      </c>
      <c r="MK53" s="45" cm="1">
        <f t="array" ref="MK53">IFERROR(INDEX(ArchiveResults!$F$5:$IX$116,ComparisonData!A53,ComparisonData!$MK$1),0)</f>
        <v>0</v>
      </c>
      <c r="ML53" s="56">
        <v>48</v>
      </c>
      <c r="MM53" s="53" t="str">
        <f t="shared" si="580"/>
        <v>Lancashire Archives</v>
      </c>
      <c r="MN53" s="59">
        <f t="shared" si="289"/>
        <v>0</v>
      </c>
      <c r="MO53" s="59">
        <f t="shared" si="290"/>
        <v>0</v>
      </c>
      <c r="MP53" s="59">
        <f t="shared" si="291"/>
        <v>0</v>
      </c>
      <c r="MQ53" s="59">
        <f t="shared" si="292"/>
        <v>0</v>
      </c>
      <c r="MR53" s="59">
        <f t="shared" si="293"/>
        <v>0</v>
      </c>
      <c r="MS53" s="58">
        <f t="shared" si="294"/>
        <v>0</v>
      </c>
      <c r="MT53" s="45">
        <f t="shared" si="295"/>
        <v>78</v>
      </c>
      <c r="MU53" s="45">
        <f t="shared" si="581"/>
        <v>2.8239999999999998</v>
      </c>
      <c r="MV53" s="45">
        <f t="shared" si="296"/>
        <v>1</v>
      </c>
      <c r="MW53" s="45">
        <f t="shared" si="297"/>
        <v>2</v>
      </c>
      <c r="MX53" s="45">
        <f t="shared" si="298"/>
        <v>0</v>
      </c>
      <c r="MY53" s="46" cm="1">
        <f t="array" ref="MY53">ROUND(IFERROR(INDEX(ArchiveResults!$F$5:$IX$116,ComparisonData!A53,ComparisonData!$MY$1),0),5)</f>
        <v>0</v>
      </c>
      <c r="MZ53" s="46" cm="1">
        <f t="array" ref="MZ53">ROUND(IFERROR(INDEX(ArchiveResults!$F$5:$IX$116,ComparisonData!A53,ComparisonData!$MZ$1),0),5)</f>
        <v>0</v>
      </c>
      <c r="NA53" s="46" cm="1">
        <f t="array" ref="NA53">ROUND(IFERROR(INDEX(ArchiveResults!$F$5:$IX$116,ComparisonData!A53,ComparisonData!$NA$1),0),5)</f>
        <v>0</v>
      </c>
      <c r="NB53" s="46" cm="1">
        <f t="array" ref="NB53">ROUND(IFERROR(INDEX(ArchiveResults!$F$5:$IX$116,ComparisonData!A53,ComparisonData!$NB$1),0),5)</f>
        <v>0</v>
      </c>
      <c r="NC53" s="45" cm="1">
        <f t="array" ref="NC53">IFERROR(INDEX(ArchiveResults!$F$5:$IX$116,ComparisonData!A53,ComparisonData!$NC$1),0)</f>
        <v>0</v>
      </c>
      <c r="ND53" s="56">
        <v>48</v>
      </c>
      <c r="NE53" s="53" t="str">
        <f t="shared" si="582"/>
        <v>Lancashire Archives</v>
      </c>
      <c r="NF53" s="59">
        <f t="shared" si="299"/>
        <v>0</v>
      </c>
      <c r="NG53" s="59">
        <f t="shared" si="300"/>
        <v>0</v>
      </c>
      <c r="NH53" s="59">
        <f t="shared" si="301"/>
        <v>0</v>
      </c>
      <c r="NI53" s="59">
        <f t="shared" si="302"/>
        <v>0</v>
      </c>
      <c r="NJ53" s="59">
        <f t="shared" si="303"/>
        <v>0</v>
      </c>
      <c r="NK53" s="58">
        <f t="shared" si="304"/>
        <v>0</v>
      </c>
      <c r="NL53" s="45">
        <f t="shared" si="305"/>
        <v>78</v>
      </c>
      <c r="NM53" s="45">
        <f t="shared" si="583"/>
        <v>2.8239999999999998</v>
      </c>
      <c r="NN53" s="45">
        <f t="shared" si="306"/>
        <v>1</v>
      </c>
      <c r="NO53" s="45">
        <f t="shared" si="307"/>
        <v>2</v>
      </c>
      <c r="NP53" s="46" cm="1">
        <f t="array" ref="NP53">ROUND(IFERROR(INDEX(ArchiveResults!$F$5:$IX$116,ComparisonData!A53,ComparisonData!$NP$1),0),5)</f>
        <v>0</v>
      </c>
      <c r="NQ53" s="46" cm="1">
        <f t="array" ref="NQ53">ROUND(IFERROR(INDEX(ArchiveResults!$F$5:$IX$116,ComparisonData!A53,ComparisonData!$NQ$1),0),5)</f>
        <v>0</v>
      </c>
      <c r="NR53" s="46" cm="1">
        <f t="array" ref="NR53">ROUND(IFERROR(INDEX(ArchiveResults!$F$5:$IX$116,ComparisonData!A53,ComparisonData!$NR$1),0),5)</f>
        <v>0</v>
      </c>
      <c r="NS53" s="46" cm="1">
        <f t="array" ref="NS53">ROUND(IFERROR(INDEX(ArchiveResults!$F$5:$IX$116,ComparisonData!A53,ComparisonData!$NS$1),0),5)</f>
        <v>0</v>
      </c>
      <c r="NT53" s="45" cm="1">
        <f t="array" ref="NT53">IFERROR(INDEX(ArchiveResults!$F$5:$IX$116,ComparisonData!A53,ComparisonData!$NT$1),0)</f>
        <v>0</v>
      </c>
      <c r="NU53" s="56">
        <v>48</v>
      </c>
      <c r="NV53" s="53" t="str">
        <f t="shared" si="584"/>
        <v>Lancashire Archives</v>
      </c>
      <c r="NW53" s="59">
        <f t="shared" si="308"/>
        <v>0</v>
      </c>
      <c r="NX53" s="59">
        <f t="shared" si="309"/>
        <v>0</v>
      </c>
      <c r="NY53" s="59">
        <f t="shared" si="310"/>
        <v>0</v>
      </c>
      <c r="NZ53" s="59">
        <f t="shared" si="311"/>
        <v>0</v>
      </c>
      <c r="OA53" s="59">
        <f t="shared" si="312"/>
        <v>0</v>
      </c>
      <c r="OB53" s="58">
        <f t="shared" si="313"/>
        <v>0</v>
      </c>
      <c r="OC53" s="45">
        <f t="shared" si="314"/>
        <v>78</v>
      </c>
      <c r="OD53" s="45">
        <f t="shared" si="585"/>
        <v>2.8239999999999998</v>
      </c>
      <c r="OE53" s="45">
        <f t="shared" si="315"/>
        <v>1</v>
      </c>
      <c r="OF53" s="45">
        <f t="shared" si="316"/>
        <v>2</v>
      </c>
      <c r="OG53" s="46">
        <f t="shared" si="317"/>
        <v>0</v>
      </c>
      <c r="OH53" s="46" cm="1">
        <f t="array" ref="OH53">ROUND(IFERROR(INDEX(ArchiveResults!$F$5:$IX$116,ComparisonData!A53,ComparisonData!$OH$1),0),5)</f>
        <v>0</v>
      </c>
      <c r="OI53" s="46" cm="1">
        <f t="array" ref="OI53">ROUND(IFERROR(INDEX(ArchiveResults!$F$5:$IX$116,ComparisonData!A53,ComparisonData!$OI$1),0),5)</f>
        <v>0</v>
      </c>
      <c r="OJ53" s="46" cm="1">
        <f t="array" ref="OJ53">ROUND(IFERROR(INDEX(ArchiveResults!$F$5:$IX$116,ComparisonData!A53,ComparisonData!$OJ$1),0),5)</f>
        <v>0</v>
      </c>
      <c r="OK53" s="46" cm="1">
        <f t="array" ref="OK53">ROUND(IFERROR(INDEX(ArchiveResults!$F$5:$IX$116,ComparisonData!A53,ComparisonData!$OK$1),0),5)</f>
        <v>0</v>
      </c>
      <c r="OL53" s="45" cm="1">
        <f t="array" ref="OL53">IFERROR(INDEX(ArchiveResults!$F$5:$IX$116,ComparisonData!A53,ComparisonData!$OL$1),0)</f>
        <v>0</v>
      </c>
      <c r="OM53" s="56">
        <v>48</v>
      </c>
      <c r="ON53" s="53" t="str">
        <f t="shared" si="586"/>
        <v>Lancashire Archives</v>
      </c>
      <c r="OO53" s="59">
        <f t="shared" si="318"/>
        <v>0</v>
      </c>
      <c r="OP53" s="59">
        <f t="shared" si="319"/>
        <v>0</v>
      </c>
      <c r="OQ53" s="59">
        <f t="shared" si="320"/>
        <v>0</v>
      </c>
      <c r="OR53" s="59">
        <f t="shared" si="321"/>
        <v>0</v>
      </c>
      <c r="OS53" s="59">
        <f t="shared" si="322"/>
        <v>0</v>
      </c>
      <c r="OT53" s="58">
        <f t="shared" si="323"/>
        <v>0</v>
      </c>
      <c r="OU53" s="45">
        <f t="shared" si="324"/>
        <v>78</v>
      </c>
      <c r="OV53" s="45">
        <f t="shared" si="587"/>
        <v>2.8239999999999998</v>
      </c>
      <c r="OW53" s="45">
        <f t="shared" si="325"/>
        <v>1</v>
      </c>
      <c r="OX53" s="45">
        <f t="shared" si="326"/>
        <v>2</v>
      </c>
      <c r="OY53" s="45">
        <f t="shared" si="327"/>
        <v>0</v>
      </c>
      <c r="OZ53" s="46" cm="1">
        <f t="array" ref="OZ53">ROUND(IFERROR(INDEX(ArchiveResults!$F$5:$IX$116,ComparisonData!A53,ComparisonData!$OZ$1),0),5)</f>
        <v>0</v>
      </c>
      <c r="PA53" s="46" cm="1">
        <f t="array" ref="PA53">ROUND(IFERROR(INDEX(ArchiveResults!$F$5:$IX$116,ComparisonData!A53,ComparisonData!$PA$1),0),5)</f>
        <v>0</v>
      </c>
      <c r="PB53" s="46" cm="1">
        <f t="array" ref="PB53">ROUND(IFERROR(INDEX(ArchiveResults!$F$5:$IX$116,ComparisonData!A53,ComparisonData!$PB$1),0),5)</f>
        <v>0</v>
      </c>
      <c r="PC53" s="46" cm="1">
        <f t="array" ref="PC53">ROUND(IFERROR(INDEX(ArchiveResults!$F$5:$IX$116,ComparisonData!A53,ComparisonData!$PC$1),0),5)</f>
        <v>0</v>
      </c>
      <c r="PD53" s="45" cm="1">
        <f t="array" ref="PD53">IFERROR(INDEX(ArchiveResults!$F$5:$IX$116,ComparisonData!A53,ComparisonData!$PD$1),0)</f>
        <v>0</v>
      </c>
      <c r="PE53" s="56">
        <v>48</v>
      </c>
      <c r="PF53" s="53" t="str">
        <f t="shared" si="588"/>
        <v>Lancashire Archives</v>
      </c>
      <c r="PG53" s="59">
        <f t="shared" si="328"/>
        <v>0</v>
      </c>
      <c r="PH53" s="59">
        <f t="shared" si="329"/>
        <v>0</v>
      </c>
      <c r="PI53" s="59">
        <f t="shared" si="330"/>
        <v>0</v>
      </c>
      <c r="PJ53" s="59">
        <f t="shared" si="331"/>
        <v>0</v>
      </c>
      <c r="PK53" s="59">
        <f t="shared" si="332"/>
        <v>0</v>
      </c>
      <c r="PL53" s="58">
        <f t="shared" si="333"/>
        <v>0</v>
      </c>
      <c r="PM53" s="45">
        <f t="shared" si="334"/>
        <v>78</v>
      </c>
      <c r="PN53" s="45">
        <f t="shared" si="589"/>
        <v>2.8239999999999998</v>
      </c>
      <c r="PO53" s="45">
        <f t="shared" si="335"/>
        <v>1</v>
      </c>
      <c r="PP53" s="45">
        <f t="shared" si="336"/>
        <v>2</v>
      </c>
      <c r="PQ53" s="45">
        <f t="shared" si="337"/>
        <v>0</v>
      </c>
      <c r="PR53" s="46" cm="1">
        <f t="array" ref="PR53">ROUND(IFERROR(INDEX(ArchiveResults!$F$5:$IX$116,ComparisonData!A53,ComparisonData!$PR$1),0),5)</f>
        <v>0</v>
      </c>
      <c r="PS53" s="46" cm="1">
        <f t="array" ref="PS53">ROUND(IFERROR(INDEX(ArchiveResults!$F$5:$IX$116,ComparisonData!A53,ComparisonData!$PS$1),0),5)</f>
        <v>0</v>
      </c>
      <c r="PT53" s="46" cm="1">
        <f t="array" ref="PT53">ROUND(IFERROR(INDEX(ArchiveResults!$F$5:$IX$116,ComparisonData!A53,ComparisonData!$PT$1),0),5)</f>
        <v>0</v>
      </c>
      <c r="PU53" s="46" cm="1">
        <f t="array" ref="PU53">ROUND(IFERROR(INDEX(ArchiveResults!$F$5:$IX$116,ComparisonData!A53,ComparisonData!$PU$1),0),5)</f>
        <v>0</v>
      </c>
      <c r="PV53" s="45" cm="1">
        <f t="array" ref="PV53">IFERROR(INDEX(ArchiveResults!$F$5:$IX$116,ComparisonData!A53,ComparisonData!$PV$1),0)</f>
        <v>0</v>
      </c>
      <c r="PW53" s="56">
        <v>48</v>
      </c>
      <c r="PX53" s="53" t="str">
        <f t="shared" si="590"/>
        <v>Lancashire Archives</v>
      </c>
      <c r="PY53" s="59">
        <f t="shared" si="338"/>
        <v>0</v>
      </c>
      <c r="PZ53" s="59">
        <f t="shared" si="339"/>
        <v>0</v>
      </c>
      <c r="QA53" s="59">
        <f t="shared" si="340"/>
        <v>0</v>
      </c>
      <c r="QB53" s="59">
        <f t="shared" si="341"/>
        <v>0</v>
      </c>
      <c r="QC53" s="59">
        <f t="shared" si="342"/>
        <v>0</v>
      </c>
      <c r="QD53" s="58">
        <f t="shared" si="343"/>
        <v>0</v>
      </c>
      <c r="QE53" s="45">
        <f t="shared" si="344"/>
        <v>78</v>
      </c>
      <c r="QF53" s="45">
        <f t="shared" si="591"/>
        <v>2.8239999999999998</v>
      </c>
      <c r="QG53" s="45">
        <f t="shared" si="345"/>
        <v>1</v>
      </c>
      <c r="QH53" s="45">
        <f t="shared" si="346"/>
        <v>2</v>
      </c>
      <c r="QI53" s="45">
        <f t="shared" si="347"/>
        <v>0</v>
      </c>
      <c r="QJ53" s="46" cm="1">
        <f t="array" ref="QJ53">ROUND(IFERROR(INDEX(ArchiveResults!$F$5:$IX$116,ComparisonData!A53,ComparisonData!$QJ$1),0),5)</f>
        <v>0</v>
      </c>
      <c r="QK53" s="46" cm="1">
        <f t="array" ref="QK53">ROUND(IFERROR(INDEX(ArchiveResults!$F$5:$IX$116,ComparisonData!A53,ComparisonData!$QK$1),0),5)</f>
        <v>0</v>
      </c>
      <c r="QL53" s="46" cm="1">
        <f t="array" ref="QL53">ROUND(IFERROR(INDEX(ArchiveResults!$F$5:$IX$116,ComparisonData!A53,ComparisonData!$QL$1),0),5)</f>
        <v>0</v>
      </c>
      <c r="QM53" s="46" cm="1">
        <f t="array" ref="QM53">ROUND(IFERROR(INDEX(ArchiveResults!$F$5:$IX$116,ComparisonData!A53,ComparisonData!$QM$1),0),5)</f>
        <v>0</v>
      </c>
      <c r="QN53" s="45" cm="1">
        <f t="array" ref="QN53">IFERROR(INDEX(ArchiveResults!$F$5:$IX$116,ComparisonData!A53,ComparisonData!$QN$1),0)</f>
        <v>0</v>
      </c>
      <c r="QO53" s="56">
        <v>48</v>
      </c>
      <c r="QP53" s="53" t="str">
        <f t="shared" si="592"/>
        <v>Lancashire Archives</v>
      </c>
      <c r="QQ53" s="59">
        <f t="shared" si="348"/>
        <v>0</v>
      </c>
      <c r="QR53" s="59">
        <f t="shared" si="349"/>
        <v>0</v>
      </c>
      <c r="QS53" s="59">
        <f t="shared" si="350"/>
        <v>0</v>
      </c>
      <c r="QT53" s="59">
        <f t="shared" si="351"/>
        <v>0</v>
      </c>
      <c r="QU53" s="59">
        <f t="shared" si="352"/>
        <v>0</v>
      </c>
      <c r="QV53" s="58">
        <f t="shared" si="353"/>
        <v>0</v>
      </c>
      <c r="QW53" s="45">
        <f t="shared" si="354"/>
        <v>78</v>
      </c>
      <c r="QX53" s="45">
        <f t="shared" si="593"/>
        <v>2.8239999999999998</v>
      </c>
      <c r="QY53" s="45">
        <f t="shared" si="355"/>
        <v>1</v>
      </c>
      <c r="QZ53" s="45">
        <f t="shared" si="356"/>
        <v>2</v>
      </c>
      <c r="RA53" s="45">
        <f t="shared" si="357"/>
        <v>0</v>
      </c>
      <c r="RB53" s="46" cm="1">
        <f t="array" ref="RB53">ROUND(IFERROR(INDEX(ArchiveResults!$F$5:$IX$116,ComparisonData!A53,ComparisonData!$RB$1),0),5)</f>
        <v>0</v>
      </c>
      <c r="RC53" s="46" cm="1">
        <f t="array" ref="RC53">ROUND(IFERROR(INDEX(ArchiveResults!$F$5:$IX$116,ComparisonData!A53,ComparisonData!$RC$1),0),5)</f>
        <v>0</v>
      </c>
      <c r="RD53" s="46" cm="1">
        <f t="array" ref="RD53">ROUND(IFERROR(INDEX(ArchiveResults!$F$5:$IX$116,ComparisonData!A53,ComparisonData!$RD$1),0),5)</f>
        <v>0</v>
      </c>
      <c r="RE53" s="46" cm="1">
        <f t="array" ref="RE53">ROUND(IFERROR(INDEX(ArchiveResults!$F$5:$IX$116,ComparisonData!A53,ComparisonData!$RE$1),0),5)</f>
        <v>0</v>
      </c>
      <c r="RF53" s="45" cm="1">
        <f t="array" ref="RF53">IFERROR(INDEX(ArchiveResults!$F$5:$IX$116,ComparisonData!A53,ComparisonData!$RF$1),0)</f>
        <v>0</v>
      </c>
      <c r="RG53" s="56">
        <v>48</v>
      </c>
      <c r="RH53" s="53" t="str">
        <f t="shared" si="594"/>
        <v>Lancashire Archives</v>
      </c>
      <c r="RI53" s="59">
        <f t="shared" si="358"/>
        <v>0</v>
      </c>
      <c r="RJ53" s="59">
        <f t="shared" si="359"/>
        <v>0</v>
      </c>
      <c r="RK53" s="59">
        <f t="shared" si="360"/>
        <v>0</v>
      </c>
      <c r="RL53" s="59">
        <f t="shared" si="361"/>
        <v>0</v>
      </c>
      <c r="RM53" s="59">
        <f t="shared" si="362"/>
        <v>0</v>
      </c>
      <c r="RN53" s="58">
        <f t="shared" si="363"/>
        <v>0</v>
      </c>
      <c r="RO53" s="45">
        <f t="shared" si="364"/>
        <v>78</v>
      </c>
      <c r="RP53" s="45">
        <f t="shared" si="595"/>
        <v>2.8239999999999998</v>
      </c>
      <c r="RQ53" s="45">
        <f t="shared" si="365"/>
        <v>1</v>
      </c>
      <c r="RR53" s="45">
        <f t="shared" si="366"/>
        <v>2</v>
      </c>
      <c r="RS53" s="45">
        <f t="shared" si="367"/>
        <v>0</v>
      </c>
      <c r="RT53" s="46" cm="1">
        <f t="array" ref="RT53">ROUND(IFERROR(INDEX(ArchiveResults!$F$5:$IX$116,ComparisonData!A53,ComparisonData!$RT$1),0),5)</f>
        <v>0</v>
      </c>
      <c r="RU53" s="46" cm="1">
        <f t="array" ref="RU53">ROUND(IFERROR(INDEX(ArchiveResults!$F$5:$IX$116,ComparisonData!A53,ComparisonData!$RU$1),0),5)</f>
        <v>0</v>
      </c>
      <c r="RV53" s="46" cm="1">
        <f t="array" ref="RV53">ROUND(IFERROR(INDEX(ArchiveResults!$F$5:$IX$116,ComparisonData!A53,ComparisonData!$RV$1),0),5)</f>
        <v>0</v>
      </c>
      <c r="RW53" s="46" cm="1">
        <f t="array" ref="RW53">ROUND(IFERROR(INDEX(ArchiveResults!$F$5:$IX$116,ComparisonData!A53,ComparisonData!$RW$1),0),5)</f>
        <v>0</v>
      </c>
      <c r="RX53" s="45" cm="1">
        <f t="array" ref="RX53">IFERROR(INDEX(ArchiveResults!$F$5:$IX$116,ComparisonData!A53,ComparisonData!$RX$1),0)</f>
        <v>0</v>
      </c>
      <c r="RY53" s="56">
        <v>48</v>
      </c>
      <c r="RZ53" s="53" t="str">
        <f t="shared" si="596"/>
        <v>Lancashire Archives</v>
      </c>
      <c r="SA53" s="59">
        <f t="shared" si="368"/>
        <v>0</v>
      </c>
      <c r="SB53" s="59">
        <f t="shared" si="369"/>
        <v>0</v>
      </c>
      <c r="SC53" s="59">
        <f t="shared" si="370"/>
        <v>0</v>
      </c>
      <c r="SD53" s="59">
        <f t="shared" si="371"/>
        <v>0</v>
      </c>
      <c r="SE53" s="59">
        <f t="shared" si="372"/>
        <v>0</v>
      </c>
      <c r="SF53" s="58">
        <f t="shared" si="373"/>
        <v>0</v>
      </c>
      <c r="SG53" s="45">
        <f t="shared" si="374"/>
        <v>78</v>
      </c>
      <c r="SH53" s="45">
        <f t="shared" si="597"/>
        <v>2.8239999999999998</v>
      </c>
      <c r="SI53" s="45">
        <f t="shared" si="375"/>
        <v>1</v>
      </c>
      <c r="SJ53" s="45">
        <f t="shared" si="376"/>
        <v>2</v>
      </c>
      <c r="SK53" s="45">
        <f t="shared" si="377"/>
        <v>0</v>
      </c>
      <c r="SL53" s="46" cm="1">
        <f t="array" ref="SL53">ROUND(IFERROR(INDEX(ArchiveResults!$F$5:$IX$116,ComparisonData!A53,ComparisonData!$SL$1),0),5)</f>
        <v>0</v>
      </c>
      <c r="SM53" s="46" cm="1">
        <f t="array" ref="SM53">ROUND(IFERROR(INDEX(ArchiveResults!$F$5:$IX$116,ComparisonData!A53,ComparisonData!$SM$1),0),5)</f>
        <v>0</v>
      </c>
      <c r="SN53" s="46" cm="1">
        <f t="array" ref="SN53">ROUND(IFERROR(INDEX(ArchiveResults!$F$5:$IX$116,ComparisonData!A53,ComparisonData!$SN$1),0),5)</f>
        <v>0</v>
      </c>
      <c r="SO53" s="46" cm="1">
        <f t="array" ref="SO53">ROUND(IFERROR(INDEX(ArchiveResults!$F$5:$IX$116,ComparisonData!A53,ComparisonData!$SO$1),0),5)</f>
        <v>0</v>
      </c>
      <c r="SP53" s="45" cm="1">
        <f t="array" ref="SP53">IFERROR(INDEX(ArchiveResults!$F$5:$IX$116,ComparisonData!A53,ComparisonData!$SP$1),0)</f>
        <v>0</v>
      </c>
      <c r="SQ53" s="56">
        <v>48</v>
      </c>
      <c r="SR53" s="53" t="str">
        <f t="shared" si="598"/>
        <v>Lancashire Archives</v>
      </c>
      <c r="SS53" s="59">
        <f t="shared" si="378"/>
        <v>0</v>
      </c>
      <c r="ST53" s="59">
        <f t="shared" si="379"/>
        <v>0</v>
      </c>
      <c r="SU53" s="59">
        <f t="shared" si="380"/>
        <v>0</v>
      </c>
      <c r="SV53" s="59">
        <f t="shared" si="381"/>
        <v>0</v>
      </c>
      <c r="SW53" s="59">
        <f t="shared" si="382"/>
        <v>0</v>
      </c>
      <c r="SX53" s="58">
        <f t="shared" si="383"/>
        <v>0</v>
      </c>
      <c r="SY53" s="45">
        <f t="shared" si="384"/>
        <v>78</v>
      </c>
      <c r="SZ53" s="45">
        <f t="shared" si="599"/>
        <v>2.8239999999999998</v>
      </c>
      <c r="TA53" s="45">
        <f t="shared" si="385"/>
        <v>1</v>
      </c>
      <c r="TB53" s="45">
        <f t="shared" si="386"/>
        <v>2</v>
      </c>
      <c r="TC53" s="45">
        <f t="shared" si="387"/>
        <v>0</v>
      </c>
      <c r="TD53" s="46" cm="1">
        <f t="array" ref="TD53">ROUND(IFERROR(INDEX(ArchiveResults!$F$5:$IX$116,ComparisonData!A53,ComparisonData!$TD$1),0),5)</f>
        <v>0</v>
      </c>
      <c r="TE53" s="46" cm="1">
        <f t="array" ref="TE53">ROUND(IFERROR(INDEX(ArchiveResults!$F$5:$IX$116,ComparisonData!A53,ComparisonData!$TE$1),0),5)</f>
        <v>0</v>
      </c>
      <c r="TF53" s="46" cm="1">
        <f t="array" ref="TF53">ROUND(IFERROR(INDEX(ArchiveResults!$F$5:$IX$116,ComparisonData!A53,ComparisonData!$TF$1),0),5)</f>
        <v>0</v>
      </c>
      <c r="TG53" s="46" cm="1">
        <f t="array" ref="TG53">ROUND(IFERROR(INDEX(ArchiveResults!$F$5:$IX$116,ComparisonData!A53,ComparisonData!$TG$1),0),5)</f>
        <v>0</v>
      </c>
      <c r="TH53" s="45" cm="1">
        <f t="array" ref="TH53">IFERROR(INDEX(ArchiveResults!$F$5:$IX$116,ComparisonData!A53,ComparisonData!$TH$1),0)</f>
        <v>0</v>
      </c>
      <c r="TI53" s="56">
        <v>48</v>
      </c>
      <c r="TJ53" s="53" t="str">
        <f t="shared" si="600"/>
        <v>Lancashire Archives</v>
      </c>
      <c r="TK53" s="59">
        <f t="shared" si="388"/>
        <v>0</v>
      </c>
      <c r="TL53" s="59">
        <f t="shared" si="389"/>
        <v>0</v>
      </c>
      <c r="TM53" s="59">
        <f t="shared" si="390"/>
        <v>0</v>
      </c>
      <c r="TN53" s="59">
        <f t="shared" si="391"/>
        <v>0</v>
      </c>
      <c r="TO53" s="59">
        <f t="shared" si="392"/>
        <v>0</v>
      </c>
      <c r="TP53" s="58">
        <f t="shared" si="393"/>
        <v>0</v>
      </c>
      <c r="TQ53" s="45">
        <f t="shared" si="394"/>
        <v>78</v>
      </c>
      <c r="TR53" s="45">
        <f t="shared" si="601"/>
        <v>2.8239999999999998</v>
      </c>
      <c r="TS53" s="45">
        <f t="shared" si="395"/>
        <v>1</v>
      </c>
      <c r="TT53" s="45">
        <f t="shared" si="396"/>
        <v>2</v>
      </c>
      <c r="TU53" s="45">
        <f t="shared" si="397"/>
        <v>0</v>
      </c>
      <c r="TV53" s="46" cm="1">
        <f t="array" ref="TV53">ROUND(IFERROR(INDEX(ArchiveResults!$F$5:$IX$116,ComparisonData!A53,ComparisonData!$TV$1),0),5)</f>
        <v>0</v>
      </c>
      <c r="TW53" s="46" cm="1">
        <f t="array" ref="TW53">ROUND(IFERROR(INDEX(ArchiveResults!$F$5:$IX$116,ComparisonData!A53,ComparisonData!$TW$1),0),5)</f>
        <v>0</v>
      </c>
      <c r="TX53" s="46" cm="1">
        <f t="array" ref="TX53">ROUND(IFERROR(INDEX(ArchiveResults!$F$5:$IX$116,ComparisonData!A53,ComparisonData!$TX$1),0),5)</f>
        <v>0</v>
      </c>
      <c r="TY53" s="46" cm="1">
        <f t="array" ref="TY53">ROUND(IFERROR(INDEX(ArchiveResults!$F$5:$IX$116,ComparisonData!A53,ComparisonData!$TY$1),0),5)</f>
        <v>0</v>
      </c>
      <c r="TZ53" s="45" cm="1">
        <f t="array" ref="TZ53">IFERROR(INDEX(ArchiveResults!$F$5:$IX$116,ComparisonData!A53,ComparisonData!$TZ$1),0)</f>
        <v>0</v>
      </c>
      <c r="UA53" s="56">
        <v>48</v>
      </c>
      <c r="UB53" s="53" t="str">
        <f t="shared" si="602"/>
        <v>Lancashire Archives</v>
      </c>
      <c r="UC53" s="60">
        <f t="shared" si="398"/>
        <v>0</v>
      </c>
      <c r="UD53" s="60">
        <f t="shared" si="399"/>
        <v>0</v>
      </c>
      <c r="UE53" s="60">
        <f t="shared" si="400"/>
        <v>0</v>
      </c>
      <c r="UF53" s="60">
        <f t="shared" si="401"/>
        <v>0</v>
      </c>
      <c r="UG53" s="60">
        <f t="shared" si="402"/>
        <v>0</v>
      </c>
      <c r="UH53" s="58">
        <f t="shared" si="403"/>
        <v>0</v>
      </c>
      <c r="UI53" s="46">
        <f t="shared" si="404"/>
        <v>78</v>
      </c>
      <c r="UJ53" s="46">
        <f t="shared" si="603"/>
        <v>2.8239999999999998</v>
      </c>
      <c r="UK53" s="46">
        <f t="shared" si="405"/>
        <v>1</v>
      </c>
      <c r="UL53" s="46">
        <f t="shared" si="406"/>
        <v>2</v>
      </c>
      <c r="UM53" s="46" cm="1">
        <f t="array" ref="UM53">ROUND(IFERROR(INDEX(ArchiveResults!$F$5:$IX$116,ComparisonData!A53,ComparisonData!$UM$1),0),5)</f>
        <v>0</v>
      </c>
      <c r="UN53" s="56">
        <v>48</v>
      </c>
      <c r="UO53" s="53" t="str">
        <f t="shared" si="604"/>
        <v>Lancashire Archives</v>
      </c>
      <c r="UP53" s="46">
        <f t="shared" si="407"/>
        <v>0</v>
      </c>
      <c r="UQ53" s="76">
        <f t="shared" si="408"/>
        <v>0</v>
      </c>
      <c r="UR53" s="46">
        <f t="shared" si="409"/>
        <v>78</v>
      </c>
      <c r="US53" s="46">
        <f t="shared" si="605"/>
        <v>2.8239999999999998</v>
      </c>
      <c r="UT53" s="46">
        <f t="shared" si="410"/>
        <v>1</v>
      </c>
      <c r="UU53" s="46">
        <f t="shared" si="411"/>
        <v>2</v>
      </c>
      <c r="UV53" s="46">
        <f t="shared" si="412"/>
        <v>0</v>
      </c>
      <c r="UW53" s="46" cm="1">
        <f t="array" ref="UW53">ROUND(IFERROR(INDEX(ArchiveResults!$F$5:$IX$116,ComparisonData!A53,ComparisonData!$UW$1),0),5)</f>
        <v>0</v>
      </c>
      <c r="UX53" s="46" cm="1">
        <f t="array" ref="UX53">ROUND(IFERROR(INDEX(ArchiveResults!$F$5:$IX$116,ComparisonData!A53,ComparisonData!$UX$1),0),5)</f>
        <v>0</v>
      </c>
      <c r="UY53" s="46" cm="1">
        <f t="array" ref="UY53">ROUND(IFERROR(INDEX(ArchiveResults!$F$5:$IX$116,ComparisonData!A53,ComparisonData!$UY$1),0),5)</f>
        <v>0</v>
      </c>
      <c r="UZ53" s="46" cm="1">
        <f t="array" ref="UZ53">ROUND(IFERROR(INDEX(ArchiveResults!$F$5:$IX$116,ComparisonData!A53,ComparisonData!$UZ$1),0),5)</f>
        <v>0</v>
      </c>
      <c r="VA53" s="46" cm="1">
        <f t="array" ref="VA53">ROUND(IFERROR(INDEX(ArchiveResults!$F$5:$IX$116,ComparisonData!A53,ComparisonData!$VA$1),0),5)</f>
        <v>0</v>
      </c>
      <c r="VB53" s="56">
        <v>48</v>
      </c>
      <c r="VC53" s="53" t="str">
        <f t="shared" si="606"/>
        <v>Lancashire Archives</v>
      </c>
      <c r="VD53" s="60">
        <f t="shared" si="413"/>
        <v>0</v>
      </c>
      <c r="VE53" s="60">
        <f t="shared" si="414"/>
        <v>0</v>
      </c>
      <c r="VF53" s="60">
        <f t="shared" si="415"/>
        <v>0</v>
      </c>
      <c r="VG53" s="60">
        <f t="shared" si="416"/>
        <v>0</v>
      </c>
      <c r="VH53" s="60">
        <f t="shared" si="417"/>
        <v>0</v>
      </c>
      <c r="VI53" s="76">
        <f t="shared" si="418"/>
        <v>0</v>
      </c>
      <c r="VJ53" s="46">
        <f t="shared" si="419"/>
        <v>78</v>
      </c>
      <c r="VK53" s="46">
        <f t="shared" si="607"/>
        <v>2.8239999999999998</v>
      </c>
      <c r="VL53" s="46">
        <f t="shared" si="420"/>
        <v>1</v>
      </c>
      <c r="VM53" s="46">
        <f t="shared" si="421"/>
        <v>2</v>
      </c>
      <c r="VN53" s="46" cm="1">
        <f t="array" ref="VN53">ROUND(IFERROR(INDEX(ArchiveResults!$F$5:$IX$116,ComparisonData!A53,ComparisonData!$VN$1),0),5)</f>
        <v>0</v>
      </c>
      <c r="VO53" s="46" cm="1">
        <f t="array" ref="VO53">ROUND(IFERROR(INDEX(ArchiveResults!$F$5:$IX$116,ComparisonData!A53,ComparisonData!$VO$1),0),5)</f>
        <v>0</v>
      </c>
      <c r="VP53" s="46" cm="1">
        <f t="array" ref="VP53">ROUND(IFERROR(INDEX(ArchiveResults!$F$5:$IX$116,ComparisonData!A53,ComparisonData!$VP$1),0),5)</f>
        <v>0</v>
      </c>
      <c r="VQ53" s="46" cm="1">
        <f t="array" ref="VQ53">ROUND(IFERROR(INDEX(ArchiveResults!$F$5:$IX$116,ComparisonData!A53,ComparisonData!$VQ$1),0),5)</f>
        <v>0</v>
      </c>
      <c r="VR53" s="56">
        <v>48</v>
      </c>
      <c r="VS53" s="53" t="str">
        <f t="shared" si="608"/>
        <v>Lancashire Archives</v>
      </c>
      <c r="VT53" s="60">
        <f t="shared" si="422"/>
        <v>0</v>
      </c>
      <c r="VU53" s="60">
        <f t="shared" si="423"/>
        <v>0</v>
      </c>
      <c r="VV53" s="60">
        <f t="shared" si="424"/>
        <v>0</v>
      </c>
      <c r="VW53" s="60">
        <f t="shared" si="425"/>
        <v>0</v>
      </c>
      <c r="VX53" s="76">
        <f t="shared" si="426"/>
        <v>0</v>
      </c>
      <c r="VY53" s="46">
        <f t="shared" si="427"/>
        <v>78</v>
      </c>
      <c r="VZ53" s="46">
        <f t="shared" si="609"/>
        <v>2.8239999999999998</v>
      </c>
      <c r="WA53" s="46">
        <f t="shared" si="428"/>
        <v>1</v>
      </c>
      <c r="WB53" s="46">
        <f t="shared" si="429"/>
        <v>2</v>
      </c>
      <c r="WC53" s="46" cm="1">
        <f t="array" ref="WC53">ROUND(IFERROR(INDEX(ArchiveResults!$F$5:$IX$116,ComparisonData!A53,ComparisonData!$WC$1),0),5)</f>
        <v>0</v>
      </c>
      <c r="WD53" s="56">
        <v>48</v>
      </c>
      <c r="WE53" s="53" t="str">
        <f t="shared" si="610"/>
        <v>Lancashire Archives</v>
      </c>
      <c r="WF53" s="46">
        <f t="shared" si="430"/>
        <v>0</v>
      </c>
      <c r="WG53" s="76">
        <f t="shared" si="431"/>
        <v>0</v>
      </c>
      <c r="WH53" s="46">
        <f t="shared" si="432"/>
        <v>78</v>
      </c>
      <c r="WI53" s="46">
        <f t="shared" si="611"/>
        <v>2.8239999999999998</v>
      </c>
      <c r="WJ53" s="46">
        <f t="shared" si="433"/>
        <v>1</v>
      </c>
      <c r="WK53" s="46">
        <f t="shared" si="434"/>
        <v>2</v>
      </c>
      <c r="WL53" s="46" cm="1">
        <f t="array" ref="WL53">ROUND(IFERROR(INDEX(ArchiveResults!$F$5:$IX$116,ComparisonData!A53,ComparisonData!$WL$1),0),5)</f>
        <v>0</v>
      </c>
      <c r="WM53" s="46" cm="1">
        <f t="array" ref="WM53">IFERROR(INDEX(ArchiveResults!$F$5:$IX$116,ComparisonData!A53,ComparisonData!$WM$1),0)</f>
        <v>0</v>
      </c>
      <c r="WN53" s="56">
        <v>48</v>
      </c>
      <c r="WO53" s="53" t="str">
        <f t="shared" si="612"/>
        <v>Lancashire Archives</v>
      </c>
      <c r="WP53" s="60">
        <f t="shared" si="435"/>
        <v>0</v>
      </c>
      <c r="WQ53" s="60">
        <f t="shared" si="436"/>
        <v>0</v>
      </c>
      <c r="WR53" s="76">
        <f t="shared" si="437"/>
        <v>0</v>
      </c>
      <c r="WS53" s="46">
        <f t="shared" si="438"/>
        <v>78</v>
      </c>
      <c r="WT53" s="46">
        <f t="shared" si="613"/>
        <v>2.8239999999999998</v>
      </c>
      <c r="WU53" s="46">
        <f t="shared" si="439"/>
        <v>1</v>
      </c>
      <c r="WV53" s="46">
        <f t="shared" si="440"/>
        <v>2</v>
      </c>
      <c r="WW53" s="46" cm="1">
        <f t="array" ref="WW53">ROUND(VALUE(IFERROR(INDEX(ArchiveResults!$F$5:$IX$116,ComparisonData!A53,ComparisonData!$WW$1),0)),5)</f>
        <v>0</v>
      </c>
      <c r="WX53" s="46" cm="1">
        <f t="array" ref="WX53">ROUND(IFERROR(INDEX(ArchiveResults!$F$5:$IX$116,ComparisonData!A53,ComparisonData!$WX$1),0),5)</f>
        <v>0</v>
      </c>
      <c r="WY53" s="56">
        <v>48</v>
      </c>
      <c r="WZ53" s="53" t="str">
        <f t="shared" si="614"/>
        <v>Lancashire Archives</v>
      </c>
      <c r="XA53" s="60">
        <f t="shared" si="615"/>
        <v>0</v>
      </c>
      <c r="XB53" s="60">
        <f t="shared" si="616"/>
        <v>0</v>
      </c>
      <c r="XC53" s="76">
        <f t="shared" si="441"/>
        <v>0</v>
      </c>
      <c r="XD53" s="46">
        <f t="shared" si="442"/>
        <v>78</v>
      </c>
      <c r="XE53" s="46">
        <f t="shared" si="617"/>
        <v>2.8239999999999998</v>
      </c>
      <c r="XF53" s="46">
        <f t="shared" si="443"/>
        <v>1</v>
      </c>
      <c r="XG53" s="46">
        <f t="shared" si="444"/>
        <v>2</v>
      </c>
      <c r="XH53" s="46" cm="1">
        <f t="array" ref="XH53">ROUND(VALUE(IFERROR(INDEX(ArchiveResults!$F$5:$IX$116,ComparisonData!A53,ComparisonData!$XH$1),0)),5)</f>
        <v>0</v>
      </c>
      <c r="XI53" s="46" cm="1">
        <f t="array" ref="XI53">ROUND(VALUE(IFERROR(INDEX(ArchiveResults!$F$5:$IX$116,ComparisonData!A53,ComparisonData!$XI$1),0)),5)</f>
        <v>0</v>
      </c>
      <c r="XJ53" s="56">
        <v>48</v>
      </c>
      <c r="XK53" s="53" t="str">
        <f t="shared" si="618"/>
        <v>Lancashire Archives</v>
      </c>
      <c r="XL53" s="60">
        <f t="shared" si="445"/>
        <v>0</v>
      </c>
      <c r="XM53" s="60">
        <f t="shared" si="446"/>
        <v>0</v>
      </c>
      <c r="XN53" s="76">
        <f t="shared" si="447"/>
        <v>0</v>
      </c>
      <c r="XO53" s="46">
        <f t="shared" si="448"/>
        <v>78</v>
      </c>
      <c r="XP53" s="46">
        <f t="shared" si="619"/>
        <v>2.8239999999999998</v>
      </c>
      <c r="XQ53" s="46">
        <f t="shared" si="449"/>
        <v>1</v>
      </c>
      <c r="XR53" s="46">
        <f t="shared" si="450"/>
        <v>2</v>
      </c>
      <c r="XS53" s="46" cm="1">
        <f t="array" ref="XS53">ROUND(VALUE(IFERROR(INDEX(ArchiveResults!$F$5:$IX$116,ComparisonData!A53,ComparisonData!$XS$1),0)),5)</f>
        <v>0</v>
      </c>
      <c r="XT53" s="46" cm="1">
        <f t="array" ref="XT53">ROUND(VALUE(IFERROR(INDEX(ArchiveResults!$F$5:$IX$116,ComparisonData!A53,ComparisonData!$XT$1),0)),5)</f>
        <v>0</v>
      </c>
      <c r="XU53" s="56">
        <v>48</v>
      </c>
      <c r="XV53" s="53" t="str">
        <f t="shared" si="620"/>
        <v>Lancashire Archives</v>
      </c>
      <c r="XW53" s="60">
        <f t="shared" si="451"/>
        <v>0</v>
      </c>
      <c r="XX53" s="60">
        <f t="shared" si="452"/>
        <v>0</v>
      </c>
      <c r="XY53" s="76">
        <f t="shared" si="453"/>
        <v>0</v>
      </c>
      <c r="XZ53" s="46">
        <f t="shared" si="454"/>
        <v>78</v>
      </c>
      <c r="YA53" s="46">
        <f t="shared" si="621"/>
        <v>2.8239999999999998</v>
      </c>
      <c r="YB53" s="46">
        <f t="shared" si="455"/>
        <v>1</v>
      </c>
      <c r="YC53" s="46">
        <f t="shared" si="456"/>
        <v>2</v>
      </c>
      <c r="YD53" s="46" cm="1">
        <f t="array" ref="YD53">ROUND(VALUE(IFERROR(INDEX(ArchiveResults!$F$5:$IX$116,ComparisonData!A53,ComparisonData!$YD$1),0)),5)</f>
        <v>0</v>
      </c>
      <c r="YE53" s="46" cm="1">
        <f t="array" ref="YE53">ROUND(VALUE(IFERROR(INDEX(ArchiveResults!$F$5:$IX$116,ComparisonData!A53,ComparisonData!$YE$1),0)),5)</f>
        <v>0</v>
      </c>
      <c r="YF53" s="56">
        <v>48</v>
      </c>
      <c r="YG53" s="53" t="str">
        <f t="shared" si="622"/>
        <v>Lancashire Archives</v>
      </c>
      <c r="YH53" s="60">
        <f t="shared" si="457"/>
        <v>0</v>
      </c>
      <c r="YI53" s="60">
        <f t="shared" si="458"/>
        <v>0</v>
      </c>
      <c r="YJ53" s="76">
        <f t="shared" si="459"/>
        <v>0</v>
      </c>
      <c r="YK53" s="46">
        <f t="shared" si="460"/>
        <v>78</v>
      </c>
      <c r="YL53" s="46">
        <f t="shared" si="623"/>
        <v>2.8239999999999998</v>
      </c>
      <c r="YM53" s="46">
        <f t="shared" si="461"/>
        <v>1</v>
      </c>
      <c r="YN53" s="46">
        <f t="shared" si="462"/>
        <v>2</v>
      </c>
      <c r="YO53" s="46" cm="1">
        <f t="array" ref="YO53">ROUND(VALUE(IFERROR(INDEX(ArchiveResults!$F$5:$IX$116,ComparisonData!A53,ComparisonData!$YO$1),0)),5)</f>
        <v>0</v>
      </c>
      <c r="YP53" s="46" cm="1">
        <f t="array" ref="YP53">ROUND(VALUE(IFERROR(INDEX(ArchiveResults!$F$5:$IX$116,ComparisonData!A53,ComparisonData!$YP$1),0)),5)</f>
        <v>0</v>
      </c>
      <c r="YQ53" s="56">
        <v>48</v>
      </c>
      <c r="YR53" s="53" t="str">
        <f t="shared" si="624"/>
        <v>Lancashire Archives</v>
      </c>
      <c r="YS53" s="60">
        <f t="shared" si="463"/>
        <v>0</v>
      </c>
      <c r="YT53" s="60">
        <f t="shared" si="464"/>
        <v>0</v>
      </c>
      <c r="YU53" s="76">
        <f t="shared" si="465"/>
        <v>0</v>
      </c>
      <c r="YV53" s="46">
        <f t="shared" si="466"/>
        <v>78</v>
      </c>
      <c r="YW53" s="46">
        <f t="shared" si="625"/>
        <v>2.8239999999999998</v>
      </c>
      <c r="YX53" s="46">
        <f t="shared" si="467"/>
        <v>1</v>
      </c>
      <c r="YY53" s="46">
        <f t="shared" si="468"/>
        <v>2</v>
      </c>
      <c r="YZ53" s="46">
        <f t="shared" si="469"/>
        <v>0</v>
      </c>
      <c r="ZA53" s="46" cm="1">
        <f t="array" ref="ZA53">ROUNDDOWN(VALUE(IFERROR(INDEX(ArchiveResults!$F$5:$IX$116,ComparisonData!A53,ComparisonData!$ZA$1),0)),5)</f>
        <v>0</v>
      </c>
      <c r="ZB53" s="46" cm="1">
        <f t="array" ref="ZB53">ROUNDDOWN(VALUE(IFERROR(INDEX(ArchiveResults!$F$5:$IX$116,ComparisonData!A53,ComparisonData!$ZB$1),0)),5)</f>
        <v>0</v>
      </c>
      <c r="ZC53" s="46" cm="1">
        <f t="array" ref="ZC53">ROUNDDOWN(VALUE(IFERROR(INDEX(ArchiveResults!$F$5:$IX$116,ComparisonData!A53,ComparisonData!$ZC$1),0)),5)</f>
        <v>0</v>
      </c>
      <c r="ZD53" s="46" cm="1">
        <f t="array" ref="ZD53">ROUNDDOWN(VALUE(IFERROR(INDEX(ArchiveResults!$F$5:$IX$116,ComparisonData!A53,ComparisonData!$ZD$1),0)),5)</f>
        <v>0</v>
      </c>
      <c r="ZE53" s="46" cm="1">
        <f t="array" ref="ZE53">ROUNDDOWN(VALUE(IFERROR(INDEX(ArchiveResults!$F$5:$IX$116,ComparisonData!A53,ComparisonData!$ZE$1),0)),5)</f>
        <v>0</v>
      </c>
      <c r="ZF53" s="56">
        <v>48</v>
      </c>
      <c r="ZG53" s="53" t="str">
        <f t="shared" si="626"/>
        <v>Lancashire Archives</v>
      </c>
      <c r="ZH53" s="60">
        <f t="shared" si="470"/>
        <v>0</v>
      </c>
      <c r="ZI53" s="60">
        <f t="shared" si="471"/>
        <v>0</v>
      </c>
      <c r="ZJ53" s="60">
        <f t="shared" si="472"/>
        <v>0</v>
      </c>
      <c r="ZK53" s="60">
        <f t="shared" si="473"/>
        <v>0</v>
      </c>
      <c r="ZL53" s="60">
        <f t="shared" si="474"/>
        <v>0</v>
      </c>
      <c r="ZM53" s="76">
        <f t="shared" si="475"/>
        <v>0</v>
      </c>
      <c r="ZN53" s="46">
        <f t="shared" si="476"/>
        <v>78</v>
      </c>
      <c r="ZO53" s="46">
        <f t="shared" si="627"/>
        <v>2.8239999999999998</v>
      </c>
      <c r="ZP53" s="46">
        <f t="shared" si="477"/>
        <v>1</v>
      </c>
      <c r="ZQ53" s="46">
        <f t="shared" si="478"/>
        <v>2</v>
      </c>
      <c r="ZR53" s="46" cm="1">
        <f t="array" ref="ZR53">ROUND(VALUE(IFERROR(INDEX(ArchiveResults!$F$5:$IX$116,ComparisonData!A53,ComparisonData!$ZR$1),0)),5)</f>
        <v>0</v>
      </c>
      <c r="ZS53" s="56">
        <v>48</v>
      </c>
      <c r="ZT53" s="53" t="str">
        <f t="shared" si="628"/>
        <v>Lancashire Archives</v>
      </c>
      <c r="ZU53" s="46">
        <f t="shared" si="479"/>
        <v>0</v>
      </c>
      <c r="ZV53" s="76">
        <f t="shared" si="480"/>
        <v>0</v>
      </c>
      <c r="ZW53" s="81" cm="1">
        <f t="array" ref="ZW53">ROUND((IFERROR(INDEX(ArchiveResults!$F$5:$IX$116,ComparisonData!A53,ComparisonData!$ZW$1),0)),5)</f>
        <v>0</v>
      </c>
      <c r="ZX53" s="81" cm="1">
        <f t="array" ref="ZX53">ROUND((IFERROR(INDEX(ArchiveResults!$F$5:$IX$116,ComparisonData!A53,ComparisonData!$ZX$1),0)),5)</f>
        <v>0</v>
      </c>
      <c r="ZY53" s="81" cm="1">
        <f t="array" ref="ZY53">ROUND((IFERROR(INDEX(ArchiveResults!$F$5:$IX$116,ComparisonData!A53,ComparisonData!$ZY$1),0)),5)</f>
        <v>0</v>
      </c>
      <c r="ZZ53" s="81" cm="1">
        <f t="array" ref="ZZ53">ROUND((IFERROR(INDEX(ArchiveResults!$F$5:$IX$116,ComparisonData!A53,ComparisonData!$ZZ$1),0)),5)</f>
        <v>0</v>
      </c>
      <c r="AAA53" s="81" cm="1">
        <f t="array" ref="AAA53">ROUND((IFERROR(INDEX(ArchiveResults!$F$5:$IX$116,ComparisonData!A53,ComparisonData!$AAA$1),0)),5)</f>
        <v>0</v>
      </c>
      <c r="AAB53" s="81" cm="1">
        <f t="array" ref="AAB53">ROUND((IFERROR(INDEX(ArchiveResults!$F$5:$IX$116,ComparisonData!A53,ComparisonData!$AAB$1),0)),5)</f>
        <v>0</v>
      </c>
      <c r="AAC53" s="81" cm="1">
        <f t="array" ref="AAC53">ROUND((IFERROR(INDEX(ArchiveResults!$F$5:$IX$116,ComparisonData!A53,ComparisonData!$AAC$1),0)),5)</f>
        <v>0</v>
      </c>
      <c r="AAD53" s="81" cm="1">
        <f t="array" ref="AAD53">ROUND((IFERROR(INDEX(ArchiveResults!$F$5:$IX$116,ComparisonData!A53,ComparisonData!$AAD$1),0)),5)</f>
        <v>0</v>
      </c>
      <c r="AAE53" s="81" cm="1">
        <f t="array" ref="AAE53">ROUND((IFERROR(INDEX(ArchiveResults!$F$5:$IX$116,ComparisonData!A53,ComparisonData!$AAE$1),0)),5)</f>
        <v>0</v>
      </c>
      <c r="AAF53" s="81" cm="1">
        <f t="array" ref="AAF53">ROUND((IFERROR(INDEX(ArchiveResults!$F$5:$IX$116,ComparisonData!A53,ComparisonData!$AAF$1),0)),5)</f>
        <v>0</v>
      </c>
      <c r="AAG53" s="46">
        <f t="shared" si="481"/>
        <v>78</v>
      </c>
      <c r="AAH53" s="46">
        <f t="shared" si="629"/>
        <v>2.8239999999999998</v>
      </c>
      <c r="AAI53" s="46">
        <f t="shared" si="482"/>
        <v>1</v>
      </c>
      <c r="AAJ53" s="46">
        <f t="shared" si="483"/>
        <v>2</v>
      </c>
      <c r="AAK53" s="46">
        <f t="shared" si="484"/>
        <v>0</v>
      </c>
      <c r="AAL53" s="46">
        <f t="shared" si="485"/>
        <v>0</v>
      </c>
      <c r="AAM53" s="46">
        <f t="shared" si="486"/>
        <v>0</v>
      </c>
      <c r="AAN53" s="46">
        <f t="shared" si="487"/>
        <v>0</v>
      </c>
      <c r="AAO53" s="46">
        <f t="shared" si="488"/>
        <v>0</v>
      </c>
      <c r="AAP53" s="46">
        <f t="shared" si="489"/>
        <v>0</v>
      </c>
      <c r="AAQ53" s="56">
        <v>48</v>
      </c>
      <c r="AAR53" s="53" t="str">
        <f t="shared" si="630"/>
        <v>Lancashire Archives</v>
      </c>
      <c r="AAS53" s="60">
        <f t="shared" si="490"/>
        <v>0</v>
      </c>
      <c r="AAT53" s="60">
        <f t="shared" si="491"/>
        <v>0</v>
      </c>
      <c r="AAU53" s="60">
        <f t="shared" si="492"/>
        <v>0</v>
      </c>
      <c r="AAV53" s="60">
        <f t="shared" si="493"/>
        <v>0</v>
      </c>
      <c r="AAW53" s="60">
        <f t="shared" si="494"/>
        <v>0</v>
      </c>
      <c r="AAX53" s="76">
        <f t="shared" si="495"/>
        <v>0</v>
      </c>
      <c r="AAY53" s="46">
        <f t="shared" si="496"/>
        <v>78</v>
      </c>
      <c r="AAZ53" s="46">
        <f t="shared" si="631"/>
        <v>2.8239999999999998</v>
      </c>
      <c r="ABA53" s="46">
        <f t="shared" si="497"/>
        <v>1</v>
      </c>
      <c r="ABB53" s="46">
        <f t="shared" si="498"/>
        <v>2</v>
      </c>
      <c r="ABC53" s="46">
        <f t="shared" si="102"/>
        <v>0</v>
      </c>
      <c r="ABD53" s="46" cm="1">
        <f t="array" ref="ABD53">ROUND(VALUE(IFERROR(INDEX(ArchiveResults!$F$5:$IX$116,ComparisonData!A53,ComparisonData!$ABD$1),0)),5)</f>
        <v>0</v>
      </c>
      <c r="ABE53" s="46" cm="1">
        <f t="array" ref="ABE53">ROUND(VALUE(IFERROR(INDEX(ArchiveResults!$F$5:$IX$116,ComparisonData!A53,ComparisonData!$ABE$1),0)),5)</f>
        <v>0</v>
      </c>
      <c r="ABF53" s="46" cm="1">
        <f t="array" ref="ABF53">ROUND(VALUE(IFERROR(INDEX(ArchiveResults!$F$5:$IX$116,ComparisonData!A53,ComparisonData!$ABF$1),0)),5)</f>
        <v>0</v>
      </c>
      <c r="ABG53" s="46" cm="1">
        <f t="array" ref="ABG53">ROUND(VALUE(IFERROR(INDEX(ArchiveResults!$F$5:$IX$116,ComparisonData!A53,ComparisonData!$ABG$1),0)),5)</f>
        <v>0</v>
      </c>
      <c r="ABH53" s="46" cm="1">
        <f t="array" ref="ABH53">ROUND(VALUE(IFERROR(INDEX(ArchiveResults!$F$5:$IX$116,ComparisonData!A53,ComparisonData!$ABH$1),0)),5)</f>
        <v>0</v>
      </c>
      <c r="ABI53" s="56">
        <v>48</v>
      </c>
      <c r="ABJ53" s="53" t="str">
        <f t="shared" si="632"/>
        <v>Lancashire Archives</v>
      </c>
      <c r="ABK53" s="60">
        <f t="shared" si="499"/>
        <v>0</v>
      </c>
      <c r="ABL53" s="60">
        <f t="shared" si="500"/>
        <v>0</v>
      </c>
      <c r="ABM53" s="60">
        <f t="shared" si="501"/>
        <v>0</v>
      </c>
      <c r="ABN53" s="60">
        <f t="shared" si="502"/>
        <v>0</v>
      </c>
      <c r="ABO53" s="60">
        <f t="shared" si="503"/>
        <v>0</v>
      </c>
      <c r="ABP53" s="76">
        <f t="shared" si="504"/>
        <v>0</v>
      </c>
      <c r="ABQ53" s="46">
        <f t="shared" si="505"/>
        <v>78</v>
      </c>
      <c r="ABR53" s="46">
        <f t="shared" si="633"/>
        <v>2.8239999999999998</v>
      </c>
      <c r="ABS53" s="46">
        <f t="shared" si="506"/>
        <v>1</v>
      </c>
      <c r="ABT53" s="46">
        <f t="shared" si="507"/>
        <v>2</v>
      </c>
      <c r="ABU53" s="46" cm="1">
        <f t="array" ref="ABU53">ROUND(VALUE(IFERROR(INDEX(ArchiveResults!$F$5:$IX$116,ComparisonData!A53,ComparisonData!$ABU$1),0)),5)</f>
        <v>0</v>
      </c>
      <c r="ABV53" s="46" cm="1">
        <f t="array" ref="ABV53">ROUND(VALUE(IFERROR(INDEX(ArchiveResults!$F$5:$IX$116,ComparisonData!A53,ComparisonData!$ABV$1),0)),5)</f>
        <v>0</v>
      </c>
      <c r="ABW53" s="46" cm="1">
        <f t="array" ref="ABW53">ROUND(VALUE(IFERROR(INDEX(ArchiveResults!$F$5:$IX$116,ComparisonData!A53,ComparisonData!$ABW$1),0)),5)</f>
        <v>0</v>
      </c>
      <c r="ABX53" s="46" cm="1">
        <f t="array" ref="ABX53">ROUND(VALUE(IFERROR(INDEX(ArchiveResults!$F$5:$IX$116,ComparisonData!A53,ComparisonData!$ABX$1),0)),5)</f>
        <v>0</v>
      </c>
      <c r="ABY53" s="46" cm="1">
        <f t="array" ref="ABY53">ROUND(VALUE(IFERROR(INDEX(ArchiveResults!$F$5:$IX$116,ComparisonData!A53,ComparisonData!$ABY$1),0)),5)</f>
        <v>0</v>
      </c>
      <c r="ABZ53" s="56">
        <v>48</v>
      </c>
      <c r="ACA53" s="53" t="str">
        <f t="shared" si="634"/>
        <v>Lancashire Archives</v>
      </c>
      <c r="ACB53" s="60">
        <f t="shared" si="508"/>
        <v>0</v>
      </c>
      <c r="ACC53" s="60">
        <f t="shared" si="509"/>
        <v>0</v>
      </c>
      <c r="ACD53" s="60">
        <f t="shared" si="510"/>
        <v>0</v>
      </c>
      <c r="ACE53" s="60">
        <f t="shared" si="511"/>
        <v>0</v>
      </c>
      <c r="ACF53" s="60">
        <f t="shared" si="512"/>
        <v>0</v>
      </c>
      <c r="ACG53" s="76">
        <f t="shared" si="513"/>
        <v>0</v>
      </c>
      <c r="ACH53" s="46">
        <f t="shared" si="514"/>
        <v>78</v>
      </c>
      <c r="ACI53" s="46">
        <f t="shared" si="635"/>
        <v>2.8239999999999998</v>
      </c>
      <c r="ACJ53" s="46">
        <f t="shared" si="515"/>
        <v>1</v>
      </c>
      <c r="ACK53" s="46">
        <f t="shared" si="516"/>
        <v>2</v>
      </c>
      <c r="ACL53" s="46">
        <f t="shared" si="517"/>
        <v>0</v>
      </c>
      <c r="ACM53" s="46" cm="1">
        <f t="array" ref="ACM53">ROUND(IFERROR(INDEX(ArchiveResults!$F$5:$IX$116,ComparisonData!A53,ComparisonData!$ACM$1),0),5)</f>
        <v>0</v>
      </c>
      <c r="ACN53" s="46" cm="1">
        <f t="array" ref="ACN53">ROUND(IFERROR(INDEX(ArchiveResults!$F$5:$IX$116,ComparisonData!A53,ComparisonData!$ACN$1),0),5)</f>
        <v>0</v>
      </c>
      <c r="ACO53" s="56">
        <v>48</v>
      </c>
      <c r="ACP53" s="53" t="str">
        <f t="shared" si="636"/>
        <v>Lancashire Archives</v>
      </c>
      <c r="ACQ53" s="60">
        <f t="shared" si="518"/>
        <v>0</v>
      </c>
      <c r="ACR53" s="60">
        <f t="shared" si="519"/>
        <v>0</v>
      </c>
      <c r="ACS53" s="76">
        <f t="shared" si="520"/>
        <v>0</v>
      </c>
      <c r="ACT53" s="46">
        <f t="shared" si="521"/>
        <v>78</v>
      </c>
      <c r="ACU53" s="46">
        <f t="shared" si="637"/>
        <v>2.8239999999999998</v>
      </c>
      <c r="ACV53" s="46">
        <f t="shared" si="522"/>
        <v>1</v>
      </c>
      <c r="ACW53" s="46">
        <f t="shared" si="523"/>
        <v>2</v>
      </c>
      <c r="ACX53" s="46">
        <f t="shared" si="524"/>
        <v>0</v>
      </c>
      <c r="ACY53" s="46" cm="1">
        <f t="array" ref="ACY53">ROUNDDOWN(IFERROR(INDEX(ArchiveResults!$F$5:$IX$116,ComparisonData!A53,ComparisonData!$ACY$1),0),5)</f>
        <v>0</v>
      </c>
      <c r="ACZ53" s="46" cm="1">
        <f t="array" ref="ACZ53">ROUNDDOWN(IFERROR(INDEX(ArchiveResults!$F$5:$IX$116,ComparisonData!A53,ComparisonData!$ACZ$1),0),5)</f>
        <v>0</v>
      </c>
      <c r="ADA53" s="46" cm="1">
        <f t="array" ref="ADA53">ROUNDDOWN(IFERROR(INDEX(ArchiveResults!$F$5:$IX$116,ComparisonData!A53,ComparisonData!$ADA$1),0),5)</f>
        <v>0</v>
      </c>
      <c r="ADB53" s="56">
        <v>48</v>
      </c>
      <c r="ADC53" s="53" t="str">
        <f t="shared" si="638"/>
        <v>Lancashire Archives</v>
      </c>
      <c r="ADD53" s="60">
        <f t="shared" si="525"/>
        <v>0</v>
      </c>
      <c r="ADE53" s="60">
        <f t="shared" si="526"/>
        <v>0</v>
      </c>
      <c r="ADF53" s="60">
        <f t="shared" si="527"/>
        <v>0</v>
      </c>
      <c r="ADG53" s="76">
        <f t="shared" si="528"/>
        <v>0</v>
      </c>
    </row>
    <row r="54" spans="1:787" x14ac:dyDescent="0.25">
      <c r="A54" s="46" t="str">
        <f>IF(ISBLANK(ComparisonSelection!F50),"",ROW()-5)</f>
        <v/>
      </c>
      <c r="B54" s="53" t="s">
        <v>503</v>
      </c>
      <c r="C54" s="72">
        <v>0.83399999999999985</v>
      </c>
      <c r="D54" s="55">
        <f t="shared" si="110"/>
        <v>80</v>
      </c>
      <c r="E54" s="54">
        <f t="shared" si="111"/>
        <v>2.8339999999999996</v>
      </c>
      <c r="F54" s="54">
        <f t="shared" si="529"/>
        <v>1</v>
      </c>
      <c r="G54" s="72">
        <f t="shared" si="112"/>
        <v>2</v>
      </c>
      <c r="H54" s="72">
        <f t="shared" si="113"/>
        <v>0</v>
      </c>
      <c r="I54" s="46" cm="1">
        <f t="array" ref="I54">ROUND(IFERROR(INDEX(ArchiveResults!$F$5:$IX$116,ComparisonData!A54,ComparisonData!$I$1),0),5)</f>
        <v>0</v>
      </c>
      <c r="J54" s="46" cm="1">
        <f t="array" ref="J54">ROUND(IFERROR(INDEX(ArchiveResults!$F$5:$IX$116,ComparisonData!A54,ComparisonData!$J$1),0),5)</f>
        <v>0</v>
      </c>
      <c r="K54" s="56">
        <v>49</v>
      </c>
      <c r="L54" s="53" t="str">
        <f t="shared" si="114"/>
        <v>Liverpool Record Office</v>
      </c>
      <c r="M54" s="57">
        <f t="shared" si="530"/>
        <v>0</v>
      </c>
      <c r="N54" s="57">
        <f t="shared" si="531"/>
        <v>0</v>
      </c>
      <c r="O54" s="58">
        <f t="shared" si="115"/>
        <v>0</v>
      </c>
      <c r="P54" s="48">
        <f t="shared" si="116"/>
        <v>80</v>
      </c>
      <c r="Q54" s="54">
        <f t="shared" si="532"/>
        <v>2.8339999999999996</v>
      </c>
      <c r="R54" s="45">
        <f t="shared" si="117"/>
        <v>1</v>
      </c>
      <c r="S54" s="46">
        <f t="shared" si="118"/>
        <v>2</v>
      </c>
      <c r="T54" s="72">
        <f t="shared" si="119"/>
        <v>0</v>
      </c>
      <c r="U54" s="46" cm="1">
        <f t="array" ref="U54">ROUND(IFERROR(INDEX(ArchiveResults!$F$5:$IX$116,ComparisonData!A54,ComparisonData!$U$1),0),5)</f>
        <v>0</v>
      </c>
      <c r="V54" s="46" cm="1">
        <f t="array" ref="V54">ROUND(IFERROR(INDEX(ArchiveResults!$F$5:$IX$116,ComparisonData!A54,ComparisonData!$V$1),0),5)</f>
        <v>0</v>
      </c>
      <c r="W54" s="56">
        <v>49</v>
      </c>
      <c r="X54" s="53" t="str">
        <f t="shared" si="533"/>
        <v>Liverpool Record Office</v>
      </c>
      <c r="Y54" s="57">
        <f t="shared" si="120"/>
        <v>0</v>
      </c>
      <c r="Z54" s="57">
        <f t="shared" si="121"/>
        <v>0</v>
      </c>
      <c r="AA54" s="58">
        <f t="shared" si="122"/>
        <v>0</v>
      </c>
      <c r="AB54" s="45">
        <f t="shared" si="123"/>
        <v>80</v>
      </c>
      <c r="AC54" s="54">
        <f t="shared" si="534"/>
        <v>2.8339999999999996</v>
      </c>
      <c r="AD54" s="45">
        <f t="shared" si="124"/>
        <v>1</v>
      </c>
      <c r="AE54" s="45">
        <f t="shared" si="125"/>
        <v>2</v>
      </c>
      <c r="AF54" s="45">
        <f t="shared" si="126"/>
        <v>0</v>
      </c>
      <c r="AG54" s="46" cm="1">
        <f t="array" ref="AG54">ROUND(IFERROR(INDEX(ArchiveResults!$F$5:$IX$116,ComparisonData!A54,ComparisonData!$AG$1),0),5)</f>
        <v>0</v>
      </c>
      <c r="AH54" s="46" cm="1">
        <f t="array" ref="AH54">ROUND(IFERROR(INDEX(ArchiveResults!$F$5:$IX$116,ComparisonData!A54,ComparisonData!$AH$1),0),5)</f>
        <v>0</v>
      </c>
      <c r="AI54" s="56">
        <v>49</v>
      </c>
      <c r="AJ54" s="53" t="str">
        <f t="shared" si="535"/>
        <v>Liverpool Record Office</v>
      </c>
      <c r="AK54" s="59">
        <f t="shared" si="536"/>
        <v>0</v>
      </c>
      <c r="AL54" s="59">
        <f t="shared" si="537"/>
        <v>0</v>
      </c>
      <c r="AM54" s="58">
        <f t="shared" si="127"/>
        <v>0</v>
      </c>
      <c r="AN54" s="45">
        <f t="shared" si="128"/>
        <v>80</v>
      </c>
      <c r="AO54" s="54">
        <f t="shared" si="538"/>
        <v>2.8339999999999996</v>
      </c>
      <c r="AP54" s="45">
        <f t="shared" si="129"/>
        <v>1</v>
      </c>
      <c r="AQ54" s="45">
        <f t="shared" si="130"/>
        <v>2</v>
      </c>
      <c r="AR54" s="46" cm="1">
        <f t="array" ref="AR54">ROUND(IFERROR(INDEX(ArchiveResults!$F$5:$IX$116,ComparisonData!A54,ComparisonData!$AR$1),0),5)</f>
        <v>0</v>
      </c>
      <c r="AS54" s="46" cm="1">
        <f t="array" ref="AS54">ROUND(IFERROR(INDEX(ArchiveResults!$F$5:$IX$116,ComparisonData!A54,ComparisonData!$AS$1),0),5)</f>
        <v>0</v>
      </c>
      <c r="AT54" s="46" cm="1">
        <f t="array" ref="AT54">ROUND(IFERROR(INDEX(ArchiveResults!$F$5:$IX$116,ComparisonData!A54,ComparisonData!$AT$1),0),5)</f>
        <v>0</v>
      </c>
      <c r="AU54" s="46" cm="1">
        <f t="array" ref="AU54">ROUND(IFERROR(INDEX(ArchiveResults!$F$5:$IX$116,ComparisonData!A54,ComparisonData!$AU$1),0),5)</f>
        <v>0</v>
      </c>
      <c r="AV54" s="46" cm="1">
        <f t="array" ref="AV54">ROUND(IFERROR(INDEX(ArchiveResults!$F$5:$IX$116,ComparisonData!A54,ComparisonData!$AV$1),0),5)</f>
        <v>0</v>
      </c>
      <c r="AW54" s="46" cm="1">
        <f t="array" ref="AW54">ROUND(IFERROR(INDEX(ArchiveResults!$F$5:$IX$116,ComparisonData!A54,ComparisonData!$AW$1),0),5)</f>
        <v>0</v>
      </c>
      <c r="AX54" s="46" cm="1">
        <f t="array" ref="AX54">ROUND(IFERROR(INDEX(ArchiveResults!$F$5:$IX$116,ComparisonData!A54,ComparisonData!$AX$1),0),5)</f>
        <v>0</v>
      </c>
      <c r="AY54" s="46" cm="1">
        <f t="array" ref="AY54">ROUND(IFERROR(INDEX(ArchiveResults!$F$5:$IX$116,ComparisonData!A54,ComparisonData!$AY$1),0),5)</f>
        <v>0</v>
      </c>
      <c r="AZ54" s="46" cm="1">
        <f t="array" ref="AZ54">ROUND(IFERROR(INDEX(ArchiveResults!$F$5:$IX$116,ComparisonData!A54,ComparisonData!$AZ$1),0),5)</f>
        <v>0</v>
      </c>
      <c r="BA54" s="46" cm="1">
        <f t="array" ref="BA54">ROUND(IFERROR(INDEX(ArchiveResults!$F$5:$IX$116,ComparisonData!A54,ComparisonData!$BA$1),0),5)</f>
        <v>0</v>
      </c>
      <c r="BB54" s="56">
        <v>49</v>
      </c>
      <c r="BC54" s="53" t="str">
        <f t="shared" si="539"/>
        <v>Liverpool Record Office</v>
      </c>
      <c r="BD54" s="60">
        <f t="shared" si="131"/>
        <v>0</v>
      </c>
      <c r="BE54" s="60">
        <f t="shared" si="132"/>
        <v>0</v>
      </c>
      <c r="BF54" s="60">
        <f t="shared" si="133"/>
        <v>0</v>
      </c>
      <c r="BG54" s="60">
        <f t="shared" si="134"/>
        <v>0</v>
      </c>
      <c r="BH54" s="60">
        <f t="shared" si="135"/>
        <v>0</v>
      </c>
      <c r="BI54" s="60">
        <f t="shared" si="136"/>
        <v>0</v>
      </c>
      <c r="BJ54" s="60">
        <f t="shared" si="137"/>
        <v>0</v>
      </c>
      <c r="BK54" s="60">
        <f t="shared" si="138"/>
        <v>0</v>
      </c>
      <c r="BL54" s="60">
        <f t="shared" si="139"/>
        <v>0</v>
      </c>
      <c r="BM54" s="59">
        <f t="shared" si="140"/>
        <v>0</v>
      </c>
      <c r="BN54" s="58">
        <f t="shared" si="141"/>
        <v>0</v>
      </c>
      <c r="BO54" s="45">
        <f t="shared" si="142"/>
        <v>80</v>
      </c>
      <c r="BP54" s="54">
        <f t="shared" si="540"/>
        <v>2.8339999999999996</v>
      </c>
      <c r="BQ54" s="45">
        <f t="shared" si="143"/>
        <v>1</v>
      </c>
      <c r="BR54" s="45">
        <f t="shared" si="144"/>
        <v>2</v>
      </c>
      <c r="BS54" s="46" cm="1">
        <f t="array" ref="BS54">ROUND(IFERROR(INDEX(ArchiveResults!$F$5:$IX$116,ComparisonData!A54,ComparisonData!$BS$1),0),5)</f>
        <v>0</v>
      </c>
      <c r="BT54" s="46" cm="1">
        <f t="array" ref="BT54">ROUND(IFERROR(INDEX(ArchiveResults!$F$5:$IX$116,ComparisonData!A54,ComparisonData!$BT$1),0),5)</f>
        <v>0</v>
      </c>
      <c r="BU54" s="46" cm="1">
        <f t="array" ref="BU54">ROUND(IFERROR(INDEX(ArchiveResults!$F$5:$IX$116,ComparisonData!A54,ComparisonData!$BU$1),0),5)</f>
        <v>0</v>
      </c>
      <c r="BV54" s="46" cm="1">
        <f t="array" ref="BV54">ROUND(IFERROR(INDEX(ArchiveResults!$F$5:$IX$116,ComparisonData!A54,ComparisonData!$BV$1),0),5)</f>
        <v>0</v>
      </c>
      <c r="BW54" s="46" cm="1">
        <f t="array" ref="BW54">ROUND(IFERROR(INDEX(ArchiveResults!$F$5:$IX$116,ComparisonData!A54,ComparisonData!$BW$1),0),5)</f>
        <v>0</v>
      </c>
      <c r="BX54" s="46" cm="1">
        <f t="array" ref="BX54">ROUND(IFERROR(INDEX(ArchiveResults!$F$5:$IX$116,ComparisonData!A54,ComparisonData!$BX$1),0),5)</f>
        <v>0</v>
      </c>
      <c r="BY54" s="56">
        <v>49</v>
      </c>
      <c r="BZ54" s="53" t="str">
        <f t="shared" si="541"/>
        <v>Liverpool Record Office</v>
      </c>
      <c r="CA54" s="59">
        <f t="shared" si="145"/>
        <v>0</v>
      </c>
      <c r="CB54" s="59">
        <f t="shared" si="146"/>
        <v>0</v>
      </c>
      <c r="CC54" s="59">
        <f t="shared" si="147"/>
        <v>0</v>
      </c>
      <c r="CD54" s="59">
        <f t="shared" si="148"/>
        <v>0</v>
      </c>
      <c r="CE54" s="59">
        <f t="shared" si="149"/>
        <v>0</v>
      </c>
      <c r="CF54" s="59">
        <f t="shared" si="150"/>
        <v>0</v>
      </c>
      <c r="CG54" s="58">
        <f t="shared" si="151"/>
        <v>0</v>
      </c>
      <c r="CH54" s="45">
        <f t="shared" si="152"/>
        <v>80</v>
      </c>
      <c r="CI54" s="54">
        <f t="shared" si="542"/>
        <v>2.8339999999999996</v>
      </c>
      <c r="CJ54" s="45">
        <f t="shared" si="153"/>
        <v>1</v>
      </c>
      <c r="CK54" s="45">
        <f t="shared" si="154"/>
        <v>2</v>
      </c>
      <c r="CL54" s="46" cm="1">
        <f t="array" ref="CL54">ROUND(IFERROR(INDEX(ArchiveResults!$F$5:$IX$116,ComparisonData!A54,ComparisonData!$CL$1),0),5)</f>
        <v>0</v>
      </c>
      <c r="CM54" s="56">
        <v>49</v>
      </c>
      <c r="CN54" s="53" t="str">
        <f t="shared" si="543"/>
        <v>Liverpool Record Office</v>
      </c>
      <c r="CO54" s="45">
        <f t="shared" si="155"/>
        <v>0</v>
      </c>
      <c r="CP54" s="58">
        <f t="shared" si="156"/>
        <v>0</v>
      </c>
      <c r="CQ54" s="45">
        <f t="shared" si="157"/>
        <v>80</v>
      </c>
      <c r="CR54" s="54">
        <f t="shared" si="544"/>
        <v>2.8339999999999996</v>
      </c>
      <c r="CS54" s="45">
        <f t="shared" si="158"/>
        <v>1</v>
      </c>
      <c r="CT54" s="45">
        <f t="shared" si="159"/>
        <v>2</v>
      </c>
      <c r="CU54" s="46" cm="1">
        <f t="array" ref="CU54">ROUND(IFERROR(INDEX(ArchiveResults!$F$5:$IX$116,ComparisonData!A54,ComparisonData!$CU$1),0),5)</f>
        <v>0</v>
      </c>
      <c r="CV54" s="56">
        <v>49</v>
      </c>
      <c r="CW54" s="53" t="str">
        <f t="shared" si="545"/>
        <v>Liverpool Record Office</v>
      </c>
      <c r="CX54" s="45">
        <f t="shared" si="160"/>
        <v>0</v>
      </c>
      <c r="CY54" s="58">
        <f t="shared" si="161"/>
        <v>0</v>
      </c>
      <c r="CZ54" s="45">
        <f t="shared" si="162"/>
        <v>80</v>
      </c>
      <c r="DA54" s="54">
        <f t="shared" si="546"/>
        <v>2.8339999999999996</v>
      </c>
      <c r="DB54" s="45">
        <f t="shared" si="163"/>
        <v>1</v>
      </c>
      <c r="DC54" s="45">
        <f t="shared" si="164"/>
        <v>2</v>
      </c>
      <c r="DD54" s="46" cm="1">
        <f t="array" ref="DD54">ROUND(IFERROR(INDEX(ArchiveResults!$F$5:$IX$116,ComparisonData!A54,ComparisonData!$DD$1),0),5)</f>
        <v>0</v>
      </c>
      <c r="DE54" s="56">
        <v>49</v>
      </c>
      <c r="DF54" s="53" t="str">
        <f t="shared" si="547"/>
        <v>Liverpool Record Office</v>
      </c>
      <c r="DG54" s="45">
        <f t="shared" si="165"/>
        <v>0</v>
      </c>
      <c r="DH54" s="58">
        <f t="shared" si="166"/>
        <v>0</v>
      </c>
      <c r="DI54" s="45">
        <f t="shared" si="167"/>
        <v>80</v>
      </c>
      <c r="DJ54" s="54">
        <f t="shared" si="548"/>
        <v>2.8339999999999996</v>
      </c>
      <c r="DK54" s="45">
        <f t="shared" si="168"/>
        <v>1</v>
      </c>
      <c r="DL54" s="45">
        <f t="shared" si="169"/>
        <v>2</v>
      </c>
      <c r="DM54" s="46" cm="1">
        <f t="array" ref="DM54">ROUND(IFERROR(INDEX(ArchiveResults!$F$5:$IX$116,ComparisonData!A54,ComparisonData!$DM$1),0),5)</f>
        <v>0</v>
      </c>
      <c r="DN54" s="46" cm="1">
        <f t="array" ref="DN54">ROUND(IFERROR(INDEX(ArchiveResults!$F$5:$IX$116,ComparisonData!A54,ComparisonData!$DN$1),0),5)</f>
        <v>0</v>
      </c>
      <c r="DO54" s="46" cm="1">
        <f t="array" ref="DO54">ROUND(IFERROR(INDEX(ArchiveResults!$F$5:$IX$116,ComparisonData!A54,ComparisonData!$DO$1),0),5)</f>
        <v>0</v>
      </c>
      <c r="DP54" s="46" cm="1">
        <f t="array" ref="DP54">ROUND(IFERROR(INDEX(ArchiveResults!$F$5:$IX$116,ComparisonData!A54,ComparisonData!$DP$1),0),5)</f>
        <v>0</v>
      </c>
      <c r="DQ54" s="45" cm="1">
        <f t="array" ref="DQ54">IFERROR(INDEX(ArchiveResults!$F$5:$IX$116,ComparisonData!A54,ComparisonData!$DQ$1),0)</f>
        <v>0</v>
      </c>
      <c r="DR54" s="56">
        <v>49</v>
      </c>
      <c r="DS54" s="53" t="str">
        <f t="shared" si="549"/>
        <v>Liverpool Record Office</v>
      </c>
      <c r="DT54" s="59">
        <f t="shared" si="170"/>
        <v>0</v>
      </c>
      <c r="DU54" s="59">
        <f t="shared" si="171"/>
        <v>0</v>
      </c>
      <c r="DV54" s="59">
        <f t="shared" si="172"/>
        <v>0</v>
      </c>
      <c r="DW54" s="59">
        <f t="shared" si="173"/>
        <v>0</v>
      </c>
      <c r="DX54" s="59">
        <f t="shared" si="174"/>
        <v>0</v>
      </c>
      <c r="DY54" s="58">
        <f t="shared" si="175"/>
        <v>0</v>
      </c>
      <c r="DZ54" s="45">
        <f t="shared" si="176"/>
        <v>80</v>
      </c>
      <c r="EA54" s="54">
        <f t="shared" si="550"/>
        <v>2.8339999999999996</v>
      </c>
      <c r="EB54" s="45">
        <f t="shared" si="177"/>
        <v>1</v>
      </c>
      <c r="EC54" s="45">
        <f t="shared" si="178"/>
        <v>2</v>
      </c>
      <c r="ED54" s="46" cm="1">
        <f t="array" ref="ED54">ROUND(IFERROR(INDEX(ArchiveResults!$F$5:$IX$116,ComparisonData!A54,ComparisonData!$ED$1),0),5)</f>
        <v>0</v>
      </c>
      <c r="EE54" s="46" cm="1">
        <f t="array" ref="EE54">ROUND(IFERROR(INDEX(ArchiveResults!$F$5:$IX$116,ComparisonData!A54,ComparisonData!$EE$1),0),5)</f>
        <v>0</v>
      </c>
      <c r="EF54" s="46" cm="1">
        <f t="array" ref="EF54">ROUND(IFERROR(INDEX(ArchiveResults!$F$5:$IX$116,ComparisonData!A54,ComparisonData!$EF$1),0),5)</f>
        <v>0</v>
      </c>
      <c r="EG54" s="46" cm="1">
        <f t="array" ref="EG54">ROUND(IFERROR(INDEX(ArchiveResults!$F$5:$IX$116,ComparisonData!A54,ComparisonData!$EG$1),0),5)</f>
        <v>0</v>
      </c>
      <c r="EH54" s="45" cm="1">
        <f t="array" ref="EH54">IFERROR(INDEX(ArchiveResults!$F$5:$IX$116,ComparisonData!A54,ComparisonData!$EH$1),0)</f>
        <v>0</v>
      </c>
      <c r="EI54" s="56">
        <v>49</v>
      </c>
      <c r="EJ54" s="53" t="str">
        <f t="shared" si="551"/>
        <v>Liverpool Record Office</v>
      </c>
      <c r="EK54" s="59">
        <f t="shared" si="179"/>
        <v>0</v>
      </c>
      <c r="EL54" s="59">
        <f t="shared" si="180"/>
        <v>0</v>
      </c>
      <c r="EM54" s="59">
        <f t="shared" si="181"/>
        <v>0</v>
      </c>
      <c r="EN54" s="59">
        <f t="shared" si="182"/>
        <v>0</v>
      </c>
      <c r="EO54" s="59">
        <f t="shared" si="183"/>
        <v>0</v>
      </c>
      <c r="EP54" s="58">
        <f t="shared" si="184"/>
        <v>0</v>
      </c>
      <c r="EQ54" s="45">
        <f t="shared" si="185"/>
        <v>80</v>
      </c>
      <c r="ER54" s="54">
        <f t="shared" si="552"/>
        <v>2.8339999999999996</v>
      </c>
      <c r="ES54" s="45">
        <f t="shared" si="186"/>
        <v>1</v>
      </c>
      <c r="ET54" s="45">
        <f t="shared" si="187"/>
        <v>2</v>
      </c>
      <c r="EU54" s="46" cm="1">
        <f t="array" ref="EU54">ROUND(IFERROR(INDEX(ArchiveResults!$F$5:$IX$116,ComparisonData!A54,ComparisonData!$EU$1),0),5)</f>
        <v>0</v>
      </c>
      <c r="EV54" s="46" cm="1">
        <f t="array" ref="EV54">ROUND(IFERROR(INDEX(ArchiveResults!$F$5:$IX$116,ComparisonData!A54,ComparisonData!$EV$1),0),5)</f>
        <v>0</v>
      </c>
      <c r="EW54" s="46" cm="1">
        <f t="array" ref="EW54">ROUND(IFERROR(INDEX(ArchiveResults!$F$5:$IX$116,ComparisonData!A54,ComparisonData!$EW$1),0),5)</f>
        <v>0</v>
      </c>
      <c r="EX54" s="46" cm="1">
        <f t="array" ref="EX54">ROUND(IFERROR(INDEX(ArchiveResults!$F$5:$IX$116,ComparisonData!A54,ComparisonData!$EX$1),0),5)</f>
        <v>0</v>
      </c>
      <c r="EY54" s="45" cm="1">
        <f t="array" ref="EY54">IFERROR(INDEX(ArchiveResults!$F$5:$IX$116,ComparisonData!A54,ComparisonData!$EY$1),0)</f>
        <v>0</v>
      </c>
      <c r="EZ54" s="56">
        <v>49</v>
      </c>
      <c r="FA54" s="53" t="str">
        <f t="shared" si="553"/>
        <v>Liverpool Record Office</v>
      </c>
      <c r="FB54" s="59">
        <f t="shared" si="188"/>
        <v>0</v>
      </c>
      <c r="FC54" s="59">
        <f t="shared" si="189"/>
        <v>0</v>
      </c>
      <c r="FD54" s="59">
        <f t="shared" si="190"/>
        <v>0</v>
      </c>
      <c r="FE54" s="59">
        <f t="shared" si="191"/>
        <v>0</v>
      </c>
      <c r="FF54" s="59">
        <f t="shared" si="192"/>
        <v>0</v>
      </c>
      <c r="FG54" s="58">
        <f t="shared" si="193"/>
        <v>0</v>
      </c>
      <c r="FH54" s="45">
        <f t="shared" si="194"/>
        <v>80</v>
      </c>
      <c r="FI54" s="54">
        <f t="shared" si="554"/>
        <v>2.8339999999999996</v>
      </c>
      <c r="FJ54" s="45">
        <f t="shared" si="195"/>
        <v>1</v>
      </c>
      <c r="FK54" s="45">
        <f t="shared" si="196"/>
        <v>2</v>
      </c>
      <c r="FL54" s="46" cm="1">
        <f t="array" ref="FL54">ROUND(IFERROR(INDEX(ArchiveResults!$F$5:$IX$116,ComparisonData!A54,ComparisonData!$FL$1),0),5)</f>
        <v>0</v>
      </c>
      <c r="FM54" s="46" cm="1">
        <f t="array" ref="FM54">ROUND(IFERROR(INDEX(ArchiveResults!$F$5:$IX$116,ComparisonData!A54,ComparisonData!$FM$1),0),5)</f>
        <v>0</v>
      </c>
      <c r="FN54" s="46" cm="1">
        <f t="array" ref="FN54">ROUND(IFERROR(INDEX(ArchiveResults!$F$5:$IX$116,ComparisonData!A54,ComparisonData!$FN$1),0),5)</f>
        <v>0</v>
      </c>
      <c r="FO54" s="46" cm="1">
        <f t="array" ref="FO54">ROUND(IFERROR(INDEX(ArchiveResults!$F$5:$IX$116,ComparisonData!A54,ComparisonData!$FO$1),0),5)</f>
        <v>0</v>
      </c>
      <c r="FP54" s="45" cm="1">
        <f t="array" ref="FP54">IFERROR(INDEX(ArchiveResults!$F$5:$IX$116,ComparisonData!A54,ComparisonData!$FP$1),0)</f>
        <v>0</v>
      </c>
      <c r="FQ54" s="56">
        <v>49</v>
      </c>
      <c r="FR54" s="53" t="str">
        <f t="shared" si="555"/>
        <v>Liverpool Record Office</v>
      </c>
      <c r="FS54" s="59">
        <f t="shared" si="197"/>
        <v>0</v>
      </c>
      <c r="FT54" s="59">
        <f t="shared" si="198"/>
        <v>0</v>
      </c>
      <c r="FU54" s="59">
        <f t="shared" si="199"/>
        <v>0</v>
      </c>
      <c r="FV54" s="59">
        <f t="shared" si="200"/>
        <v>0</v>
      </c>
      <c r="FW54" s="59">
        <f t="shared" si="201"/>
        <v>0</v>
      </c>
      <c r="FX54" s="58">
        <f t="shared" si="202"/>
        <v>0</v>
      </c>
      <c r="FY54" s="45">
        <f t="shared" si="203"/>
        <v>80</v>
      </c>
      <c r="FZ54" s="45">
        <f t="shared" si="556"/>
        <v>2.8339999999999996</v>
      </c>
      <c r="GA54" s="45">
        <f t="shared" si="204"/>
        <v>1</v>
      </c>
      <c r="GB54" s="45">
        <f t="shared" si="205"/>
        <v>2</v>
      </c>
      <c r="GC54" s="46" cm="1">
        <f t="array" ref="GC54">ROUND(IFERROR(INDEX(ArchiveResults!$F$5:$IX$116,ComparisonData!A54,ComparisonData!$GC$1),0),5)</f>
        <v>0</v>
      </c>
      <c r="GD54" s="46" cm="1">
        <f t="array" ref="GD54">ROUND(IFERROR(INDEX(ArchiveResults!$F$5:$IX$116,ComparisonData!A54,ComparisonData!$GD$1),0),5)</f>
        <v>0</v>
      </c>
      <c r="GE54" s="46" cm="1">
        <f t="array" ref="GE54">ROUND(IFERROR(INDEX(ArchiveResults!$F$5:$IX$116,ComparisonData!A54,ComparisonData!$GE$1),0),5)</f>
        <v>0</v>
      </c>
      <c r="GF54" s="46" cm="1">
        <f t="array" ref="GF54">ROUND(IFERROR(INDEX(ArchiveResults!$F$5:$IX$116,ComparisonData!A54,ComparisonData!$GF$1),0),5)</f>
        <v>0</v>
      </c>
      <c r="GG54" s="45" cm="1">
        <f t="array" ref="GG54">IFERROR(INDEX(ArchiveResults!$F$5:$IX$116,ComparisonData!A54,ComparisonData!$GG$1),0)</f>
        <v>0</v>
      </c>
      <c r="GH54" s="56">
        <v>49</v>
      </c>
      <c r="GI54" s="53" t="str">
        <f t="shared" si="557"/>
        <v>Liverpool Record Office</v>
      </c>
      <c r="GJ54" s="59">
        <f t="shared" si="206"/>
        <v>0</v>
      </c>
      <c r="GK54" s="59">
        <f t="shared" si="207"/>
        <v>0</v>
      </c>
      <c r="GL54" s="59">
        <f t="shared" si="208"/>
        <v>0</v>
      </c>
      <c r="GM54" s="59">
        <f t="shared" si="209"/>
        <v>0</v>
      </c>
      <c r="GN54" s="59">
        <f t="shared" si="210"/>
        <v>0</v>
      </c>
      <c r="GO54" s="58">
        <f t="shared" si="211"/>
        <v>0</v>
      </c>
      <c r="GP54" s="45">
        <f t="shared" si="212"/>
        <v>80</v>
      </c>
      <c r="GQ54" s="45">
        <f t="shared" si="558"/>
        <v>2.8339999999999996</v>
      </c>
      <c r="GR54" s="45">
        <f t="shared" si="213"/>
        <v>1</v>
      </c>
      <c r="GS54" s="45">
        <f t="shared" si="214"/>
        <v>2</v>
      </c>
      <c r="GT54" s="46" cm="1">
        <f t="array" ref="GT54">ROUND(IFERROR(INDEX(ArchiveResults!$F$5:$IX$116,ComparisonData!A54,ComparisonData!$GT$1),0),5)</f>
        <v>0</v>
      </c>
      <c r="GU54" s="46" cm="1">
        <f t="array" ref="GU54">ROUND(IFERROR(INDEX(ArchiveResults!$F$5:$IX$116,ComparisonData!A54,ComparisonData!$GU$1),0),5)</f>
        <v>0</v>
      </c>
      <c r="GV54" s="46" cm="1">
        <f t="array" ref="GV54">ROUND(IFERROR(INDEX(ArchiveResults!$F$5:$IX$116,ComparisonData!A54,ComparisonData!$GV$1),0),5)</f>
        <v>0</v>
      </c>
      <c r="GW54" s="46" cm="1">
        <f t="array" ref="GW54">ROUND(IFERROR(INDEX(ArchiveResults!$F$5:$IX$116,ComparisonData!A54,ComparisonData!$GW$1),0),5)</f>
        <v>0</v>
      </c>
      <c r="GX54" s="45" cm="1">
        <f t="array" ref="GX54">IFERROR(INDEX(ArchiveResults!$F$5:$IX$116,ComparisonData!A54,ComparisonData!$GX$1),0)</f>
        <v>0</v>
      </c>
      <c r="GY54" s="56">
        <v>49</v>
      </c>
      <c r="GZ54" s="53" t="str">
        <f t="shared" si="559"/>
        <v>Liverpool Record Office</v>
      </c>
      <c r="HA54" s="59">
        <f t="shared" si="215"/>
        <v>0</v>
      </c>
      <c r="HB54" s="59">
        <f t="shared" si="216"/>
        <v>0</v>
      </c>
      <c r="HC54" s="59">
        <f t="shared" si="217"/>
        <v>0</v>
      </c>
      <c r="HD54" s="59">
        <f t="shared" si="218"/>
        <v>0</v>
      </c>
      <c r="HE54" s="59">
        <f t="shared" si="219"/>
        <v>0</v>
      </c>
      <c r="HF54" s="58">
        <f t="shared" si="220"/>
        <v>0</v>
      </c>
      <c r="HG54" s="45">
        <f t="shared" si="221"/>
        <v>80</v>
      </c>
      <c r="HH54" s="45">
        <f t="shared" si="560"/>
        <v>2.8339999999999996</v>
      </c>
      <c r="HI54" s="45">
        <f t="shared" si="222"/>
        <v>1</v>
      </c>
      <c r="HJ54" s="45">
        <f t="shared" si="223"/>
        <v>2</v>
      </c>
      <c r="HK54" s="46" cm="1">
        <f t="array" ref="HK54">ROUND(IFERROR(INDEX(ArchiveResults!$F$5:$IX$116,ComparisonData!A54,ComparisonData!$HK$1),0),5)</f>
        <v>0</v>
      </c>
      <c r="HL54" s="46" cm="1">
        <f t="array" ref="HL54">ROUND(IFERROR(INDEX(ArchiveResults!$F$5:$IX$116,ComparisonData!A54,ComparisonData!$HL$1),0),5)</f>
        <v>0</v>
      </c>
      <c r="HM54" s="46" cm="1">
        <f t="array" ref="HM54">ROUND(IFERROR(INDEX(ArchiveResults!$F$5:$IX$116,ComparisonData!A54,ComparisonData!$HM$1),0),5)</f>
        <v>0</v>
      </c>
      <c r="HN54" s="46" cm="1">
        <f t="array" ref="HN54">ROUND(IFERROR(INDEX(ArchiveResults!$F$5:$IX$116,ComparisonData!A54,ComparisonData!$HN$1),0),5)</f>
        <v>0</v>
      </c>
      <c r="HO54" s="45" cm="1">
        <f t="array" ref="HO54">IFERROR(INDEX(ArchiveResults!$F$5:$IX$116,ComparisonData!A54,ComparisonData!$HO$1),0)</f>
        <v>0</v>
      </c>
      <c r="HP54" s="56">
        <v>49</v>
      </c>
      <c r="HQ54" s="53" t="str">
        <f t="shared" si="561"/>
        <v>Liverpool Record Office</v>
      </c>
      <c r="HR54" s="59">
        <f t="shared" si="562"/>
        <v>0</v>
      </c>
      <c r="HS54" s="59">
        <f t="shared" si="563"/>
        <v>0</v>
      </c>
      <c r="HT54" s="59">
        <f t="shared" si="564"/>
        <v>0</v>
      </c>
      <c r="HU54" s="59">
        <f t="shared" si="565"/>
        <v>0</v>
      </c>
      <c r="HV54" s="59">
        <f t="shared" si="566"/>
        <v>0</v>
      </c>
      <c r="HW54" s="58">
        <f t="shared" si="224"/>
        <v>0</v>
      </c>
      <c r="HX54" s="45">
        <f t="shared" si="225"/>
        <v>80</v>
      </c>
      <c r="HY54" s="45">
        <f t="shared" si="567"/>
        <v>2.8339999999999996</v>
      </c>
      <c r="HZ54" s="45">
        <f t="shared" si="226"/>
        <v>1</v>
      </c>
      <c r="IA54" s="45">
        <f t="shared" si="227"/>
        <v>2</v>
      </c>
      <c r="IB54" s="45">
        <f t="shared" si="228"/>
        <v>0</v>
      </c>
      <c r="IC54" s="46" cm="1">
        <f t="array" ref="IC54">ROUND(IFERROR(INDEX(ArchiveResults!$F$5:$IX$116,ComparisonData!A54,ComparisonData!$IC$1),0),5)</f>
        <v>0</v>
      </c>
      <c r="ID54" s="46" cm="1">
        <f t="array" ref="ID54">ROUND(IFERROR(INDEX(ArchiveResults!$F$5:$IX$116,ComparisonData!A54,ComparisonData!$ID$1),0),5)</f>
        <v>0</v>
      </c>
      <c r="IE54" s="46" cm="1">
        <f t="array" ref="IE54">ROUND(IFERROR(INDEX(ArchiveResults!$F$5:$IX$116,ComparisonData!A54,ComparisonData!$IE$1),0),5)</f>
        <v>0</v>
      </c>
      <c r="IF54" s="46" cm="1">
        <f t="array" ref="IF54">ROUND(IFERROR(INDEX(ArchiveResults!$F$5:$IX$116,ComparisonData!A54,ComparisonData!$IF$1),0),5)</f>
        <v>0</v>
      </c>
      <c r="IG54" s="45" cm="1">
        <f t="array" ref="IG54">IFERROR(INDEX(ArchiveResults!$F$5:$IX$116,ComparisonData!A54,ComparisonData!$IG$1),0)</f>
        <v>0</v>
      </c>
      <c r="IH54" s="56">
        <v>49</v>
      </c>
      <c r="II54" s="53" t="str">
        <f t="shared" si="568"/>
        <v>Liverpool Record Office</v>
      </c>
      <c r="IJ54" s="59">
        <f t="shared" si="229"/>
        <v>0</v>
      </c>
      <c r="IK54" s="59">
        <f t="shared" si="230"/>
        <v>0</v>
      </c>
      <c r="IL54" s="59">
        <f t="shared" si="231"/>
        <v>0</v>
      </c>
      <c r="IM54" s="59">
        <f t="shared" si="232"/>
        <v>0</v>
      </c>
      <c r="IN54" s="59">
        <f t="shared" si="233"/>
        <v>0</v>
      </c>
      <c r="IO54" s="58">
        <f t="shared" si="234"/>
        <v>0</v>
      </c>
      <c r="IP54" s="45">
        <f t="shared" si="235"/>
        <v>80</v>
      </c>
      <c r="IQ54" s="45">
        <f t="shared" si="569"/>
        <v>2.8339999999999996</v>
      </c>
      <c r="IR54" s="45">
        <f t="shared" si="236"/>
        <v>1</v>
      </c>
      <c r="IS54" s="45">
        <f t="shared" si="237"/>
        <v>2</v>
      </c>
      <c r="IT54" s="46">
        <f t="shared" si="238"/>
        <v>0</v>
      </c>
      <c r="IU54" s="46" cm="1">
        <f t="array" ref="IU54">ROUND(IFERROR(INDEX(ArchiveResults!$F$5:$IX$116,ComparisonData!A54,ComparisonData!$IU$1),0),5)</f>
        <v>0</v>
      </c>
      <c r="IV54" s="46" cm="1">
        <f t="array" ref="IV54">ROUND(IFERROR(INDEX(ArchiveResults!$F$5:$IX$116,ComparisonData!A54,ComparisonData!$IV$1),0),5)</f>
        <v>0</v>
      </c>
      <c r="IW54" s="46" cm="1">
        <f t="array" ref="IW54">ROUND(IFERROR(INDEX(ArchiveResults!$F$5:$IX$116,ComparisonData!A54,ComparisonData!$IW$1),0),5)</f>
        <v>0</v>
      </c>
      <c r="IX54" s="46" cm="1">
        <f t="array" ref="IX54">ROUND(IFERROR(INDEX(ArchiveResults!$F$5:$IX$116,ComparisonData!A54,ComparisonData!$IX$1),0),5)</f>
        <v>0</v>
      </c>
      <c r="IY54" s="45" cm="1">
        <f t="array" ref="IY54">IFERROR(INDEX(ArchiveResults!$F$5:$IX$116,ComparisonData!A54,ComparisonData!$IY$1),0)</f>
        <v>0</v>
      </c>
      <c r="IZ54" s="56">
        <v>49</v>
      </c>
      <c r="JA54" s="53" t="str">
        <f t="shared" si="570"/>
        <v>Liverpool Record Office</v>
      </c>
      <c r="JB54" s="59">
        <f t="shared" si="239"/>
        <v>0</v>
      </c>
      <c r="JC54" s="59">
        <f t="shared" si="240"/>
        <v>0</v>
      </c>
      <c r="JD54" s="59">
        <f t="shared" si="241"/>
        <v>0</v>
      </c>
      <c r="JE54" s="59">
        <f t="shared" si="242"/>
        <v>0</v>
      </c>
      <c r="JF54" s="59">
        <f t="shared" si="243"/>
        <v>0</v>
      </c>
      <c r="JG54" s="58">
        <f t="shared" si="244"/>
        <v>0</v>
      </c>
      <c r="JH54" s="45">
        <f t="shared" si="245"/>
        <v>80</v>
      </c>
      <c r="JI54" s="45">
        <f t="shared" si="571"/>
        <v>2.8339999999999996</v>
      </c>
      <c r="JJ54" s="45">
        <f t="shared" si="246"/>
        <v>1</v>
      </c>
      <c r="JK54" s="45">
        <f t="shared" si="247"/>
        <v>2</v>
      </c>
      <c r="JL54" s="45">
        <f t="shared" si="248"/>
        <v>0</v>
      </c>
      <c r="JM54" s="46" cm="1">
        <f t="array" ref="JM54">ROUND(IFERROR(INDEX(ArchiveResults!$F$5:$IX$116,ComparisonData!A54,ComparisonData!$JM$1),0),5)</f>
        <v>0</v>
      </c>
      <c r="JN54" s="46" cm="1">
        <f t="array" ref="JN54">ROUND(IFERROR(INDEX(ArchiveResults!$F$5:$IX$116,ComparisonData!A54,ComparisonData!$JN$1),0),5)</f>
        <v>0</v>
      </c>
      <c r="JO54" s="46" cm="1">
        <f t="array" ref="JO54">ROUND(IFERROR(INDEX(ArchiveResults!$F$5:$IX$116,ComparisonData!A54,ComparisonData!$JO$1),0),5)</f>
        <v>0</v>
      </c>
      <c r="JP54" s="46" cm="1">
        <f t="array" ref="JP54">ROUND(IFERROR(INDEX(ArchiveResults!$F$5:$IX$116,ComparisonData!A54,ComparisonData!$JP$1),0),5)</f>
        <v>0</v>
      </c>
      <c r="JQ54" s="45" cm="1">
        <f t="array" ref="JQ54">IFERROR(INDEX(ArchiveResults!$F$5:$IX$116,ComparisonData!A54,ComparisonData!$JQ$1),0)</f>
        <v>0</v>
      </c>
      <c r="JR54" s="56">
        <v>49</v>
      </c>
      <c r="JS54" s="53" t="str">
        <f t="shared" si="572"/>
        <v>Liverpool Record Office</v>
      </c>
      <c r="JT54" s="59">
        <f t="shared" si="249"/>
        <v>0</v>
      </c>
      <c r="JU54" s="59">
        <f t="shared" si="250"/>
        <v>0</v>
      </c>
      <c r="JV54" s="59">
        <f t="shared" si="251"/>
        <v>0</v>
      </c>
      <c r="JW54" s="59">
        <f t="shared" si="252"/>
        <v>0</v>
      </c>
      <c r="JX54" s="59">
        <f t="shared" si="253"/>
        <v>0</v>
      </c>
      <c r="JY54" s="58">
        <f t="shared" si="254"/>
        <v>0</v>
      </c>
      <c r="JZ54" s="45">
        <f t="shared" si="255"/>
        <v>80</v>
      </c>
      <c r="KA54" s="45">
        <f t="shared" si="573"/>
        <v>2.8339999999999996</v>
      </c>
      <c r="KB54" s="45">
        <f t="shared" si="256"/>
        <v>1</v>
      </c>
      <c r="KC54" s="45">
        <f t="shared" si="257"/>
        <v>2</v>
      </c>
      <c r="KD54" s="45">
        <f t="shared" si="258"/>
        <v>0</v>
      </c>
      <c r="KE54" s="46" cm="1">
        <f t="array" ref="KE54">ROUND(IFERROR(INDEX(ArchiveResults!$F$5:$IX$116,ComparisonData!A54,ComparisonData!$KE$1),0),5)</f>
        <v>0</v>
      </c>
      <c r="KF54" s="46" cm="1">
        <f t="array" ref="KF54">ROUND(IFERROR(INDEX(ArchiveResults!$F$5:$IX$116,ComparisonData!A54,ComparisonData!$KF$1),0),5)</f>
        <v>0</v>
      </c>
      <c r="KG54" s="46" cm="1">
        <f t="array" ref="KG54">ROUND(IFERROR(INDEX(ArchiveResults!$F$5:$IX$116,ComparisonData!A54,ComparisonData!$KG$1),0),5)</f>
        <v>0</v>
      </c>
      <c r="KH54" s="46" cm="1">
        <f t="array" ref="KH54">ROUND(IFERROR(INDEX(ArchiveResults!$F$5:$IX$116,ComparisonData!A54,ComparisonData!$KH$1),0),5)</f>
        <v>0</v>
      </c>
      <c r="KI54" s="45" cm="1">
        <f t="array" ref="KI54">IFERROR(INDEX(ArchiveResults!$F$5:$IX$116,ComparisonData!A54,ComparisonData!$KI$1),0)</f>
        <v>0</v>
      </c>
      <c r="KJ54" s="56">
        <v>49</v>
      </c>
      <c r="KK54" s="53" t="str">
        <f t="shared" si="574"/>
        <v>Liverpool Record Office</v>
      </c>
      <c r="KL54" s="59">
        <f t="shared" si="259"/>
        <v>0</v>
      </c>
      <c r="KM54" s="59">
        <f t="shared" si="260"/>
        <v>0</v>
      </c>
      <c r="KN54" s="59">
        <f t="shared" si="261"/>
        <v>0</v>
      </c>
      <c r="KO54" s="59">
        <f t="shared" si="262"/>
        <v>0</v>
      </c>
      <c r="KP54" s="59">
        <f t="shared" si="263"/>
        <v>0</v>
      </c>
      <c r="KQ54" s="58">
        <f t="shared" si="264"/>
        <v>0</v>
      </c>
      <c r="KR54" s="45">
        <f t="shared" si="265"/>
        <v>80</v>
      </c>
      <c r="KS54" s="45">
        <f t="shared" si="575"/>
        <v>2.8339999999999996</v>
      </c>
      <c r="KT54" s="45">
        <f t="shared" si="266"/>
        <v>1</v>
      </c>
      <c r="KU54" s="45">
        <f t="shared" si="267"/>
        <v>2</v>
      </c>
      <c r="KV54" s="45">
        <f t="shared" si="268"/>
        <v>0</v>
      </c>
      <c r="KW54" s="46" cm="1">
        <f t="array" ref="KW54">ROUND(IFERROR(INDEX(ArchiveResults!$F$5:$IX$116,ComparisonData!A54,ComparisonData!$KW$1),0),5)</f>
        <v>0</v>
      </c>
      <c r="KX54" s="46" cm="1">
        <f t="array" ref="KX54">ROUND(IFERROR(INDEX(ArchiveResults!$F$5:$IX$116,ComparisonData!A54,ComparisonData!$KX$1),0),5)</f>
        <v>0</v>
      </c>
      <c r="KY54" s="46" cm="1">
        <f t="array" ref="KY54">ROUND(IFERROR(INDEX(ArchiveResults!$F$5:$IX$116,ComparisonData!A54,ComparisonData!$KY$1),0),5)</f>
        <v>0</v>
      </c>
      <c r="KZ54" s="46" cm="1">
        <f t="array" ref="KZ54">ROUND(IFERROR(INDEX(ArchiveResults!$F$5:$IX$116,ComparisonData!A54,ComparisonData!$KZ$1),0),5)</f>
        <v>0</v>
      </c>
      <c r="LA54" s="45" cm="1">
        <f t="array" ref="LA54">IFERROR(INDEX(ArchiveResults!$F$5:$IX$116,ComparisonData!A54,ComparisonData!$LA$1),0)</f>
        <v>0</v>
      </c>
      <c r="LB54" s="56">
        <v>49</v>
      </c>
      <c r="LC54" s="53" t="str">
        <f t="shared" si="576"/>
        <v>Liverpool Record Office</v>
      </c>
      <c r="LD54" s="59">
        <f t="shared" si="269"/>
        <v>0</v>
      </c>
      <c r="LE54" s="59">
        <f t="shared" si="270"/>
        <v>0</v>
      </c>
      <c r="LF54" s="59">
        <f t="shared" si="271"/>
        <v>0</v>
      </c>
      <c r="LG54" s="59">
        <f t="shared" si="272"/>
        <v>0</v>
      </c>
      <c r="LH54" s="59">
        <f t="shared" si="273"/>
        <v>0</v>
      </c>
      <c r="LI54" s="58">
        <f t="shared" si="274"/>
        <v>0</v>
      </c>
      <c r="LJ54" s="45">
        <f t="shared" si="275"/>
        <v>80</v>
      </c>
      <c r="LK54" s="45">
        <f t="shared" si="577"/>
        <v>2.8339999999999996</v>
      </c>
      <c r="LL54" s="45">
        <f t="shared" si="276"/>
        <v>1</v>
      </c>
      <c r="LM54" s="45">
        <f t="shared" si="277"/>
        <v>2</v>
      </c>
      <c r="LN54" s="45">
        <f t="shared" si="278"/>
        <v>0</v>
      </c>
      <c r="LO54" s="46" cm="1">
        <f t="array" ref="LO54">ROUND(IFERROR(INDEX(ArchiveResults!$F$5:$IX$116,ComparisonData!A54,ComparisonData!$LO$1),0),5)</f>
        <v>0</v>
      </c>
      <c r="LP54" s="46" cm="1">
        <f t="array" ref="LP54">ROUND(IFERROR(INDEX(ArchiveResults!$F$5:$IX$116,ComparisonData!A54,ComparisonData!$LP$1),0),5)</f>
        <v>0</v>
      </c>
      <c r="LQ54" s="46" cm="1">
        <f t="array" ref="LQ54">ROUND(IFERROR(INDEX(ArchiveResults!$F$5:$IX$116,ComparisonData!A54,ComparisonData!$LQ$1),0),5)</f>
        <v>0</v>
      </c>
      <c r="LR54" s="46" cm="1">
        <f t="array" ref="LR54">ROUND(IFERROR(INDEX(ArchiveResults!$F$5:$IX$116,ComparisonData!A54,ComparisonData!$LR$1),0),5)</f>
        <v>0</v>
      </c>
      <c r="LS54" s="45" cm="1">
        <f t="array" ref="LS54">IFERROR(INDEX(ArchiveResults!$F$5:$IX$116,ComparisonData!A54,ComparisonData!$LS$1),0)</f>
        <v>0</v>
      </c>
      <c r="LT54" s="56">
        <v>49</v>
      </c>
      <c r="LU54" s="53" t="str">
        <f t="shared" si="578"/>
        <v>Liverpool Record Office</v>
      </c>
      <c r="LV54" s="59">
        <f t="shared" si="279"/>
        <v>0</v>
      </c>
      <c r="LW54" s="59">
        <f t="shared" si="280"/>
        <v>0</v>
      </c>
      <c r="LX54" s="59">
        <f t="shared" si="281"/>
        <v>0</v>
      </c>
      <c r="LY54" s="59">
        <f t="shared" si="282"/>
        <v>0</v>
      </c>
      <c r="LZ54" s="59">
        <f t="shared" si="283"/>
        <v>0</v>
      </c>
      <c r="MA54" s="58">
        <f t="shared" si="284"/>
        <v>0</v>
      </c>
      <c r="MB54" s="45">
        <f t="shared" si="285"/>
        <v>80</v>
      </c>
      <c r="MC54" s="45">
        <f t="shared" si="579"/>
        <v>2.8339999999999996</v>
      </c>
      <c r="MD54" s="45">
        <f t="shared" si="286"/>
        <v>1</v>
      </c>
      <c r="ME54" s="45">
        <f t="shared" si="287"/>
        <v>2</v>
      </c>
      <c r="MF54" s="45">
        <f t="shared" si="288"/>
        <v>0</v>
      </c>
      <c r="MG54" s="46" cm="1">
        <f t="array" ref="MG54">ROUND(IFERROR(INDEX(ArchiveResults!$F$5:$IX$116,ComparisonData!A54,ComparisonData!$MG$1),0),5)</f>
        <v>0</v>
      </c>
      <c r="MH54" s="46" cm="1">
        <f t="array" ref="MH54">ROUND(IFERROR(INDEX(ArchiveResults!$F$5:$IX$116,ComparisonData!A54,ComparisonData!$MH$1),0),5)</f>
        <v>0</v>
      </c>
      <c r="MI54" s="46" cm="1">
        <f t="array" ref="MI54">ROUND(IFERROR(INDEX(ArchiveResults!$F$5:$IX$116,ComparisonData!A54,ComparisonData!$MI$1),0),5)</f>
        <v>0</v>
      </c>
      <c r="MJ54" s="46" cm="1">
        <f t="array" ref="MJ54">ROUND(IFERROR(INDEX(ArchiveResults!$F$5:$IX$116,ComparisonData!A54,ComparisonData!$MJ$1),0),5)</f>
        <v>0</v>
      </c>
      <c r="MK54" s="45" cm="1">
        <f t="array" ref="MK54">IFERROR(INDEX(ArchiveResults!$F$5:$IX$116,ComparisonData!A54,ComparisonData!$MK$1),0)</f>
        <v>0</v>
      </c>
      <c r="ML54" s="56">
        <v>49</v>
      </c>
      <c r="MM54" s="53" t="str">
        <f t="shared" si="580"/>
        <v>Liverpool Record Office</v>
      </c>
      <c r="MN54" s="59">
        <f t="shared" si="289"/>
        <v>0</v>
      </c>
      <c r="MO54" s="59">
        <f t="shared" si="290"/>
        <v>0</v>
      </c>
      <c r="MP54" s="59">
        <f t="shared" si="291"/>
        <v>0</v>
      </c>
      <c r="MQ54" s="59">
        <f t="shared" si="292"/>
        <v>0</v>
      </c>
      <c r="MR54" s="59">
        <f t="shared" si="293"/>
        <v>0</v>
      </c>
      <c r="MS54" s="58">
        <f t="shared" si="294"/>
        <v>0</v>
      </c>
      <c r="MT54" s="45">
        <f t="shared" si="295"/>
        <v>80</v>
      </c>
      <c r="MU54" s="45">
        <f t="shared" si="581"/>
        <v>2.8339999999999996</v>
      </c>
      <c r="MV54" s="45">
        <f t="shared" si="296"/>
        <v>1</v>
      </c>
      <c r="MW54" s="45">
        <f t="shared" si="297"/>
        <v>2</v>
      </c>
      <c r="MX54" s="45">
        <f t="shared" si="298"/>
        <v>0</v>
      </c>
      <c r="MY54" s="46" cm="1">
        <f t="array" ref="MY54">ROUND(IFERROR(INDEX(ArchiveResults!$F$5:$IX$116,ComparisonData!A54,ComparisonData!$MY$1),0),5)</f>
        <v>0</v>
      </c>
      <c r="MZ54" s="46" cm="1">
        <f t="array" ref="MZ54">ROUND(IFERROR(INDEX(ArchiveResults!$F$5:$IX$116,ComparisonData!A54,ComparisonData!$MZ$1),0),5)</f>
        <v>0</v>
      </c>
      <c r="NA54" s="46" cm="1">
        <f t="array" ref="NA54">ROUND(IFERROR(INDEX(ArchiveResults!$F$5:$IX$116,ComparisonData!A54,ComparisonData!$NA$1),0),5)</f>
        <v>0</v>
      </c>
      <c r="NB54" s="46" cm="1">
        <f t="array" ref="NB54">ROUND(IFERROR(INDEX(ArchiveResults!$F$5:$IX$116,ComparisonData!A54,ComparisonData!$NB$1),0),5)</f>
        <v>0</v>
      </c>
      <c r="NC54" s="45" cm="1">
        <f t="array" ref="NC54">IFERROR(INDEX(ArchiveResults!$F$5:$IX$116,ComparisonData!A54,ComparisonData!$NC$1),0)</f>
        <v>0</v>
      </c>
      <c r="ND54" s="56">
        <v>49</v>
      </c>
      <c r="NE54" s="53" t="str">
        <f t="shared" si="582"/>
        <v>Liverpool Record Office</v>
      </c>
      <c r="NF54" s="59">
        <f t="shared" si="299"/>
        <v>0</v>
      </c>
      <c r="NG54" s="59">
        <f t="shared" si="300"/>
        <v>0</v>
      </c>
      <c r="NH54" s="59">
        <f t="shared" si="301"/>
        <v>0</v>
      </c>
      <c r="NI54" s="59">
        <f t="shared" si="302"/>
        <v>0</v>
      </c>
      <c r="NJ54" s="59">
        <f t="shared" si="303"/>
        <v>0</v>
      </c>
      <c r="NK54" s="58">
        <f t="shared" si="304"/>
        <v>0</v>
      </c>
      <c r="NL54" s="45">
        <f t="shared" si="305"/>
        <v>80</v>
      </c>
      <c r="NM54" s="45">
        <f t="shared" si="583"/>
        <v>2.8339999999999996</v>
      </c>
      <c r="NN54" s="45">
        <f t="shared" si="306"/>
        <v>1</v>
      </c>
      <c r="NO54" s="45">
        <f t="shared" si="307"/>
        <v>2</v>
      </c>
      <c r="NP54" s="46" cm="1">
        <f t="array" ref="NP54">ROUND(IFERROR(INDEX(ArchiveResults!$F$5:$IX$116,ComparisonData!A54,ComparisonData!$NP$1),0),5)</f>
        <v>0</v>
      </c>
      <c r="NQ54" s="46" cm="1">
        <f t="array" ref="NQ54">ROUND(IFERROR(INDEX(ArchiveResults!$F$5:$IX$116,ComparisonData!A54,ComparisonData!$NQ$1),0),5)</f>
        <v>0</v>
      </c>
      <c r="NR54" s="46" cm="1">
        <f t="array" ref="NR54">ROUND(IFERROR(INDEX(ArchiveResults!$F$5:$IX$116,ComparisonData!A54,ComparisonData!$NR$1),0),5)</f>
        <v>0</v>
      </c>
      <c r="NS54" s="46" cm="1">
        <f t="array" ref="NS54">ROUND(IFERROR(INDEX(ArchiveResults!$F$5:$IX$116,ComparisonData!A54,ComparisonData!$NS$1),0),5)</f>
        <v>0</v>
      </c>
      <c r="NT54" s="45" cm="1">
        <f t="array" ref="NT54">IFERROR(INDEX(ArchiveResults!$F$5:$IX$116,ComparisonData!A54,ComparisonData!$NT$1),0)</f>
        <v>0</v>
      </c>
      <c r="NU54" s="56">
        <v>49</v>
      </c>
      <c r="NV54" s="53" t="str">
        <f t="shared" si="584"/>
        <v>Liverpool Record Office</v>
      </c>
      <c r="NW54" s="59">
        <f t="shared" si="308"/>
        <v>0</v>
      </c>
      <c r="NX54" s="59">
        <f t="shared" si="309"/>
        <v>0</v>
      </c>
      <c r="NY54" s="59">
        <f t="shared" si="310"/>
        <v>0</v>
      </c>
      <c r="NZ54" s="59">
        <f t="shared" si="311"/>
        <v>0</v>
      </c>
      <c r="OA54" s="59">
        <f t="shared" si="312"/>
        <v>0</v>
      </c>
      <c r="OB54" s="58">
        <f t="shared" si="313"/>
        <v>0</v>
      </c>
      <c r="OC54" s="45">
        <f t="shared" si="314"/>
        <v>80</v>
      </c>
      <c r="OD54" s="45">
        <f t="shared" si="585"/>
        <v>2.8339999999999996</v>
      </c>
      <c r="OE54" s="45">
        <f t="shared" si="315"/>
        <v>1</v>
      </c>
      <c r="OF54" s="45">
        <f t="shared" si="316"/>
        <v>2</v>
      </c>
      <c r="OG54" s="46">
        <f t="shared" si="317"/>
        <v>0</v>
      </c>
      <c r="OH54" s="46" cm="1">
        <f t="array" ref="OH54">ROUND(IFERROR(INDEX(ArchiveResults!$F$5:$IX$116,ComparisonData!A54,ComparisonData!$OH$1),0),5)</f>
        <v>0</v>
      </c>
      <c r="OI54" s="46" cm="1">
        <f t="array" ref="OI54">ROUND(IFERROR(INDEX(ArchiveResults!$F$5:$IX$116,ComparisonData!A54,ComparisonData!$OI$1),0),5)</f>
        <v>0</v>
      </c>
      <c r="OJ54" s="46" cm="1">
        <f t="array" ref="OJ54">ROUND(IFERROR(INDEX(ArchiveResults!$F$5:$IX$116,ComparisonData!A54,ComparisonData!$OJ$1),0),5)</f>
        <v>0</v>
      </c>
      <c r="OK54" s="46" cm="1">
        <f t="array" ref="OK54">ROUND(IFERROR(INDEX(ArchiveResults!$F$5:$IX$116,ComparisonData!A54,ComparisonData!$OK$1),0),5)</f>
        <v>0</v>
      </c>
      <c r="OL54" s="45" cm="1">
        <f t="array" ref="OL54">IFERROR(INDEX(ArchiveResults!$F$5:$IX$116,ComparisonData!A54,ComparisonData!$OL$1),0)</f>
        <v>0</v>
      </c>
      <c r="OM54" s="56">
        <v>49</v>
      </c>
      <c r="ON54" s="53" t="str">
        <f t="shared" si="586"/>
        <v>Liverpool Record Office</v>
      </c>
      <c r="OO54" s="59">
        <f t="shared" si="318"/>
        <v>0</v>
      </c>
      <c r="OP54" s="59">
        <f t="shared" si="319"/>
        <v>0</v>
      </c>
      <c r="OQ54" s="59">
        <f t="shared" si="320"/>
        <v>0</v>
      </c>
      <c r="OR54" s="59">
        <f t="shared" si="321"/>
        <v>0</v>
      </c>
      <c r="OS54" s="59">
        <f t="shared" si="322"/>
        <v>0</v>
      </c>
      <c r="OT54" s="58">
        <f t="shared" si="323"/>
        <v>0</v>
      </c>
      <c r="OU54" s="45">
        <f t="shared" si="324"/>
        <v>80</v>
      </c>
      <c r="OV54" s="45">
        <f t="shared" si="587"/>
        <v>2.8339999999999996</v>
      </c>
      <c r="OW54" s="45">
        <f t="shared" si="325"/>
        <v>1</v>
      </c>
      <c r="OX54" s="45">
        <f t="shared" si="326"/>
        <v>2</v>
      </c>
      <c r="OY54" s="45">
        <f t="shared" si="327"/>
        <v>0</v>
      </c>
      <c r="OZ54" s="46" cm="1">
        <f t="array" ref="OZ54">ROUND(IFERROR(INDEX(ArchiveResults!$F$5:$IX$116,ComparisonData!A54,ComparisonData!$OZ$1),0),5)</f>
        <v>0</v>
      </c>
      <c r="PA54" s="46" cm="1">
        <f t="array" ref="PA54">ROUND(IFERROR(INDEX(ArchiveResults!$F$5:$IX$116,ComparisonData!A54,ComparisonData!$PA$1),0),5)</f>
        <v>0</v>
      </c>
      <c r="PB54" s="46" cm="1">
        <f t="array" ref="PB54">ROUND(IFERROR(INDEX(ArchiveResults!$F$5:$IX$116,ComparisonData!A54,ComparisonData!$PB$1),0),5)</f>
        <v>0</v>
      </c>
      <c r="PC54" s="46" cm="1">
        <f t="array" ref="PC54">ROUND(IFERROR(INDEX(ArchiveResults!$F$5:$IX$116,ComparisonData!A54,ComparisonData!$PC$1),0),5)</f>
        <v>0</v>
      </c>
      <c r="PD54" s="45" cm="1">
        <f t="array" ref="PD54">IFERROR(INDEX(ArchiveResults!$F$5:$IX$116,ComparisonData!A54,ComparisonData!$PD$1),0)</f>
        <v>0</v>
      </c>
      <c r="PE54" s="56">
        <v>49</v>
      </c>
      <c r="PF54" s="53" t="str">
        <f t="shared" si="588"/>
        <v>Liverpool Record Office</v>
      </c>
      <c r="PG54" s="59">
        <f t="shared" si="328"/>
        <v>0</v>
      </c>
      <c r="PH54" s="59">
        <f t="shared" si="329"/>
        <v>0</v>
      </c>
      <c r="PI54" s="59">
        <f t="shared" si="330"/>
        <v>0</v>
      </c>
      <c r="PJ54" s="59">
        <f t="shared" si="331"/>
        <v>0</v>
      </c>
      <c r="PK54" s="59">
        <f t="shared" si="332"/>
        <v>0</v>
      </c>
      <c r="PL54" s="58">
        <f t="shared" si="333"/>
        <v>0</v>
      </c>
      <c r="PM54" s="45">
        <f t="shared" si="334"/>
        <v>80</v>
      </c>
      <c r="PN54" s="45">
        <f t="shared" si="589"/>
        <v>2.8339999999999996</v>
      </c>
      <c r="PO54" s="45">
        <f t="shared" si="335"/>
        <v>1</v>
      </c>
      <c r="PP54" s="45">
        <f t="shared" si="336"/>
        <v>2</v>
      </c>
      <c r="PQ54" s="45">
        <f t="shared" si="337"/>
        <v>0</v>
      </c>
      <c r="PR54" s="46" cm="1">
        <f t="array" ref="PR54">ROUND(IFERROR(INDEX(ArchiveResults!$F$5:$IX$116,ComparisonData!A54,ComparisonData!$PR$1),0),5)</f>
        <v>0</v>
      </c>
      <c r="PS54" s="46" cm="1">
        <f t="array" ref="PS54">ROUND(IFERROR(INDEX(ArchiveResults!$F$5:$IX$116,ComparisonData!A54,ComparisonData!$PS$1),0),5)</f>
        <v>0</v>
      </c>
      <c r="PT54" s="46" cm="1">
        <f t="array" ref="PT54">ROUND(IFERROR(INDEX(ArchiveResults!$F$5:$IX$116,ComparisonData!A54,ComparisonData!$PT$1),0),5)</f>
        <v>0</v>
      </c>
      <c r="PU54" s="46" cm="1">
        <f t="array" ref="PU54">ROUND(IFERROR(INDEX(ArchiveResults!$F$5:$IX$116,ComparisonData!A54,ComparisonData!$PU$1),0),5)</f>
        <v>0</v>
      </c>
      <c r="PV54" s="45" cm="1">
        <f t="array" ref="PV54">IFERROR(INDEX(ArchiveResults!$F$5:$IX$116,ComparisonData!A54,ComparisonData!$PV$1),0)</f>
        <v>0</v>
      </c>
      <c r="PW54" s="56">
        <v>49</v>
      </c>
      <c r="PX54" s="53" t="str">
        <f t="shared" si="590"/>
        <v>Liverpool Record Office</v>
      </c>
      <c r="PY54" s="59">
        <f t="shared" si="338"/>
        <v>0</v>
      </c>
      <c r="PZ54" s="59">
        <f t="shared" si="339"/>
        <v>0</v>
      </c>
      <c r="QA54" s="59">
        <f t="shared" si="340"/>
        <v>0</v>
      </c>
      <c r="QB54" s="59">
        <f t="shared" si="341"/>
        <v>0</v>
      </c>
      <c r="QC54" s="59">
        <f t="shared" si="342"/>
        <v>0</v>
      </c>
      <c r="QD54" s="58">
        <f t="shared" si="343"/>
        <v>0</v>
      </c>
      <c r="QE54" s="45">
        <f t="shared" si="344"/>
        <v>80</v>
      </c>
      <c r="QF54" s="45">
        <f t="shared" si="591"/>
        <v>2.8339999999999996</v>
      </c>
      <c r="QG54" s="45">
        <f t="shared" si="345"/>
        <v>1</v>
      </c>
      <c r="QH54" s="45">
        <f t="shared" si="346"/>
        <v>2</v>
      </c>
      <c r="QI54" s="45">
        <f t="shared" si="347"/>
        <v>0</v>
      </c>
      <c r="QJ54" s="46" cm="1">
        <f t="array" ref="QJ54">ROUND(IFERROR(INDEX(ArchiveResults!$F$5:$IX$116,ComparisonData!A54,ComparisonData!$QJ$1),0),5)</f>
        <v>0</v>
      </c>
      <c r="QK54" s="46" cm="1">
        <f t="array" ref="QK54">ROUND(IFERROR(INDEX(ArchiveResults!$F$5:$IX$116,ComparisonData!A54,ComparisonData!$QK$1),0),5)</f>
        <v>0</v>
      </c>
      <c r="QL54" s="46" cm="1">
        <f t="array" ref="QL54">ROUND(IFERROR(INDEX(ArchiveResults!$F$5:$IX$116,ComparisonData!A54,ComparisonData!$QL$1),0),5)</f>
        <v>0</v>
      </c>
      <c r="QM54" s="46" cm="1">
        <f t="array" ref="QM54">ROUND(IFERROR(INDEX(ArchiveResults!$F$5:$IX$116,ComparisonData!A54,ComparisonData!$QM$1),0),5)</f>
        <v>0</v>
      </c>
      <c r="QN54" s="45" cm="1">
        <f t="array" ref="QN54">IFERROR(INDEX(ArchiveResults!$F$5:$IX$116,ComparisonData!A54,ComparisonData!$QN$1),0)</f>
        <v>0</v>
      </c>
      <c r="QO54" s="56">
        <v>49</v>
      </c>
      <c r="QP54" s="53" t="str">
        <f t="shared" si="592"/>
        <v>Liverpool Record Office</v>
      </c>
      <c r="QQ54" s="59">
        <f t="shared" si="348"/>
        <v>0</v>
      </c>
      <c r="QR54" s="59">
        <f t="shared" si="349"/>
        <v>0</v>
      </c>
      <c r="QS54" s="59">
        <f t="shared" si="350"/>
        <v>0</v>
      </c>
      <c r="QT54" s="59">
        <f t="shared" si="351"/>
        <v>0</v>
      </c>
      <c r="QU54" s="59">
        <f t="shared" si="352"/>
        <v>0</v>
      </c>
      <c r="QV54" s="58">
        <f t="shared" si="353"/>
        <v>0</v>
      </c>
      <c r="QW54" s="45">
        <f t="shared" si="354"/>
        <v>80</v>
      </c>
      <c r="QX54" s="45">
        <f t="shared" si="593"/>
        <v>2.8339999999999996</v>
      </c>
      <c r="QY54" s="45">
        <f t="shared" si="355"/>
        <v>1</v>
      </c>
      <c r="QZ54" s="45">
        <f t="shared" si="356"/>
        <v>2</v>
      </c>
      <c r="RA54" s="45">
        <f t="shared" si="357"/>
        <v>0</v>
      </c>
      <c r="RB54" s="46" cm="1">
        <f t="array" ref="RB54">ROUND(IFERROR(INDEX(ArchiveResults!$F$5:$IX$116,ComparisonData!A54,ComparisonData!$RB$1),0),5)</f>
        <v>0</v>
      </c>
      <c r="RC54" s="46" cm="1">
        <f t="array" ref="RC54">ROUND(IFERROR(INDEX(ArchiveResults!$F$5:$IX$116,ComparisonData!A54,ComparisonData!$RC$1),0),5)</f>
        <v>0</v>
      </c>
      <c r="RD54" s="46" cm="1">
        <f t="array" ref="RD54">ROUND(IFERROR(INDEX(ArchiveResults!$F$5:$IX$116,ComparisonData!A54,ComparisonData!$RD$1),0),5)</f>
        <v>0</v>
      </c>
      <c r="RE54" s="46" cm="1">
        <f t="array" ref="RE54">ROUND(IFERROR(INDEX(ArchiveResults!$F$5:$IX$116,ComparisonData!A54,ComparisonData!$RE$1),0),5)</f>
        <v>0</v>
      </c>
      <c r="RF54" s="45" cm="1">
        <f t="array" ref="RF54">IFERROR(INDEX(ArchiveResults!$F$5:$IX$116,ComparisonData!A54,ComparisonData!$RF$1),0)</f>
        <v>0</v>
      </c>
      <c r="RG54" s="56">
        <v>49</v>
      </c>
      <c r="RH54" s="53" t="str">
        <f t="shared" si="594"/>
        <v>Liverpool Record Office</v>
      </c>
      <c r="RI54" s="59">
        <f t="shared" si="358"/>
        <v>0</v>
      </c>
      <c r="RJ54" s="59">
        <f t="shared" si="359"/>
        <v>0</v>
      </c>
      <c r="RK54" s="59">
        <f t="shared" si="360"/>
        <v>0</v>
      </c>
      <c r="RL54" s="59">
        <f t="shared" si="361"/>
        <v>0</v>
      </c>
      <c r="RM54" s="59">
        <f t="shared" si="362"/>
        <v>0</v>
      </c>
      <c r="RN54" s="58">
        <f t="shared" si="363"/>
        <v>0</v>
      </c>
      <c r="RO54" s="45">
        <f t="shared" si="364"/>
        <v>80</v>
      </c>
      <c r="RP54" s="45">
        <f t="shared" si="595"/>
        <v>2.8339999999999996</v>
      </c>
      <c r="RQ54" s="45">
        <f t="shared" si="365"/>
        <v>1</v>
      </c>
      <c r="RR54" s="45">
        <f t="shared" si="366"/>
        <v>2</v>
      </c>
      <c r="RS54" s="45">
        <f t="shared" si="367"/>
        <v>0</v>
      </c>
      <c r="RT54" s="46" cm="1">
        <f t="array" ref="RT54">ROUND(IFERROR(INDEX(ArchiveResults!$F$5:$IX$116,ComparisonData!A54,ComparisonData!$RT$1),0),5)</f>
        <v>0</v>
      </c>
      <c r="RU54" s="46" cm="1">
        <f t="array" ref="RU54">ROUND(IFERROR(INDEX(ArchiveResults!$F$5:$IX$116,ComparisonData!A54,ComparisonData!$RU$1),0),5)</f>
        <v>0</v>
      </c>
      <c r="RV54" s="46" cm="1">
        <f t="array" ref="RV54">ROUND(IFERROR(INDEX(ArchiveResults!$F$5:$IX$116,ComparisonData!A54,ComparisonData!$RV$1),0),5)</f>
        <v>0</v>
      </c>
      <c r="RW54" s="46" cm="1">
        <f t="array" ref="RW54">ROUND(IFERROR(INDEX(ArchiveResults!$F$5:$IX$116,ComparisonData!A54,ComparisonData!$RW$1),0),5)</f>
        <v>0</v>
      </c>
      <c r="RX54" s="45" cm="1">
        <f t="array" ref="RX54">IFERROR(INDEX(ArchiveResults!$F$5:$IX$116,ComparisonData!A54,ComparisonData!$RX$1),0)</f>
        <v>0</v>
      </c>
      <c r="RY54" s="56">
        <v>49</v>
      </c>
      <c r="RZ54" s="53" t="str">
        <f t="shared" si="596"/>
        <v>Liverpool Record Office</v>
      </c>
      <c r="SA54" s="59">
        <f t="shared" si="368"/>
        <v>0</v>
      </c>
      <c r="SB54" s="59">
        <f t="shared" si="369"/>
        <v>0</v>
      </c>
      <c r="SC54" s="59">
        <f t="shared" si="370"/>
        <v>0</v>
      </c>
      <c r="SD54" s="59">
        <f t="shared" si="371"/>
        <v>0</v>
      </c>
      <c r="SE54" s="59">
        <f t="shared" si="372"/>
        <v>0</v>
      </c>
      <c r="SF54" s="58">
        <f t="shared" si="373"/>
        <v>0</v>
      </c>
      <c r="SG54" s="45">
        <f t="shared" si="374"/>
        <v>80</v>
      </c>
      <c r="SH54" s="45">
        <f t="shared" si="597"/>
        <v>2.8339999999999996</v>
      </c>
      <c r="SI54" s="45">
        <f t="shared" si="375"/>
        <v>1</v>
      </c>
      <c r="SJ54" s="45">
        <f t="shared" si="376"/>
        <v>2</v>
      </c>
      <c r="SK54" s="45">
        <f t="shared" si="377"/>
        <v>0</v>
      </c>
      <c r="SL54" s="46" cm="1">
        <f t="array" ref="SL54">ROUND(IFERROR(INDEX(ArchiveResults!$F$5:$IX$116,ComparisonData!A54,ComparisonData!$SL$1),0),5)</f>
        <v>0</v>
      </c>
      <c r="SM54" s="46" cm="1">
        <f t="array" ref="SM54">ROUND(IFERROR(INDEX(ArchiveResults!$F$5:$IX$116,ComparisonData!A54,ComparisonData!$SM$1),0),5)</f>
        <v>0</v>
      </c>
      <c r="SN54" s="46" cm="1">
        <f t="array" ref="SN54">ROUND(IFERROR(INDEX(ArchiveResults!$F$5:$IX$116,ComparisonData!A54,ComparisonData!$SN$1),0),5)</f>
        <v>0</v>
      </c>
      <c r="SO54" s="46" cm="1">
        <f t="array" ref="SO54">ROUND(IFERROR(INDEX(ArchiveResults!$F$5:$IX$116,ComparisonData!A54,ComparisonData!$SO$1),0),5)</f>
        <v>0</v>
      </c>
      <c r="SP54" s="45" cm="1">
        <f t="array" ref="SP54">IFERROR(INDEX(ArchiveResults!$F$5:$IX$116,ComparisonData!A54,ComparisonData!$SP$1),0)</f>
        <v>0</v>
      </c>
      <c r="SQ54" s="56">
        <v>49</v>
      </c>
      <c r="SR54" s="53" t="str">
        <f t="shared" si="598"/>
        <v>Liverpool Record Office</v>
      </c>
      <c r="SS54" s="59">
        <f t="shared" si="378"/>
        <v>0</v>
      </c>
      <c r="ST54" s="59">
        <f t="shared" si="379"/>
        <v>0</v>
      </c>
      <c r="SU54" s="59">
        <f t="shared" si="380"/>
        <v>0</v>
      </c>
      <c r="SV54" s="59">
        <f t="shared" si="381"/>
        <v>0</v>
      </c>
      <c r="SW54" s="59">
        <f t="shared" si="382"/>
        <v>0</v>
      </c>
      <c r="SX54" s="58">
        <f t="shared" si="383"/>
        <v>0</v>
      </c>
      <c r="SY54" s="45">
        <f t="shared" si="384"/>
        <v>80</v>
      </c>
      <c r="SZ54" s="45">
        <f t="shared" si="599"/>
        <v>2.8339999999999996</v>
      </c>
      <c r="TA54" s="45">
        <f t="shared" si="385"/>
        <v>1</v>
      </c>
      <c r="TB54" s="45">
        <f t="shared" si="386"/>
        <v>2</v>
      </c>
      <c r="TC54" s="45">
        <f t="shared" si="387"/>
        <v>0</v>
      </c>
      <c r="TD54" s="46" cm="1">
        <f t="array" ref="TD54">ROUND(IFERROR(INDEX(ArchiveResults!$F$5:$IX$116,ComparisonData!A54,ComparisonData!$TD$1),0),5)</f>
        <v>0</v>
      </c>
      <c r="TE54" s="46" cm="1">
        <f t="array" ref="TE54">ROUND(IFERROR(INDEX(ArchiveResults!$F$5:$IX$116,ComparisonData!A54,ComparisonData!$TE$1),0),5)</f>
        <v>0</v>
      </c>
      <c r="TF54" s="46" cm="1">
        <f t="array" ref="TF54">ROUND(IFERROR(INDEX(ArchiveResults!$F$5:$IX$116,ComparisonData!A54,ComparisonData!$TF$1),0),5)</f>
        <v>0</v>
      </c>
      <c r="TG54" s="46" cm="1">
        <f t="array" ref="TG54">ROUND(IFERROR(INDEX(ArchiveResults!$F$5:$IX$116,ComparisonData!A54,ComparisonData!$TG$1),0),5)</f>
        <v>0</v>
      </c>
      <c r="TH54" s="45" cm="1">
        <f t="array" ref="TH54">IFERROR(INDEX(ArchiveResults!$F$5:$IX$116,ComparisonData!A54,ComparisonData!$TH$1),0)</f>
        <v>0</v>
      </c>
      <c r="TI54" s="56">
        <v>49</v>
      </c>
      <c r="TJ54" s="53" t="str">
        <f t="shared" si="600"/>
        <v>Liverpool Record Office</v>
      </c>
      <c r="TK54" s="59">
        <f t="shared" si="388"/>
        <v>0</v>
      </c>
      <c r="TL54" s="59">
        <f t="shared" si="389"/>
        <v>0</v>
      </c>
      <c r="TM54" s="59">
        <f t="shared" si="390"/>
        <v>0</v>
      </c>
      <c r="TN54" s="59">
        <f t="shared" si="391"/>
        <v>0</v>
      </c>
      <c r="TO54" s="59">
        <f t="shared" si="392"/>
        <v>0</v>
      </c>
      <c r="TP54" s="58">
        <f t="shared" si="393"/>
        <v>0</v>
      </c>
      <c r="TQ54" s="45">
        <f t="shared" si="394"/>
        <v>80</v>
      </c>
      <c r="TR54" s="45">
        <f t="shared" si="601"/>
        <v>2.8339999999999996</v>
      </c>
      <c r="TS54" s="45">
        <f t="shared" si="395"/>
        <v>1</v>
      </c>
      <c r="TT54" s="45">
        <f t="shared" si="396"/>
        <v>2</v>
      </c>
      <c r="TU54" s="45">
        <f t="shared" si="397"/>
        <v>0</v>
      </c>
      <c r="TV54" s="46" cm="1">
        <f t="array" ref="TV54">ROUND(IFERROR(INDEX(ArchiveResults!$F$5:$IX$116,ComparisonData!A54,ComparisonData!$TV$1),0),5)</f>
        <v>0</v>
      </c>
      <c r="TW54" s="46" cm="1">
        <f t="array" ref="TW54">ROUND(IFERROR(INDEX(ArchiveResults!$F$5:$IX$116,ComparisonData!A54,ComparisonData!$TW$1),0),5)</f>
        <v>0</v>
      </c>
      <c r="TX54" s="46" cm="1">
        <f t="array" ref="TX54">ROUND(IFERROR(INDEX(ArchiveResults!$F$5:$IX$116,ComparisonData!A54,ComparisonData!$TX$1),0),5)</f>
        <v>0</v>
      </c>
      <c r="TY54" s="46" cm="1">
        <f t="array" ref="TY54">ROUND(IFERROR(INDEX(ArchiveResults!$F$5:$IX$116,ComparisonData!A54,ComparisonData!$TY$1),0),5)</f>
        <v>0</v>
      </c>
      <c r="TZ54" s="45" cm="1">
        <f t="array" ref="TZ54">IFERROR(INDEX(ArchiveResults!$F$5:$IX$116,ComparisonData!A54,ComparisonData!$TZ$1),0)</f>
        <v>0</v>
      </c>
      <c r="UA54" s="56">
        <v>49</v>
      </c>
      <c r="UB54" s="53" t="str">
        <f t="shared" si="602"/>
        <v>Liverpool Record Office</v>
      </c>
      <c r="UC54" s="60">
        <f t="shared" si="398"/>
        <v>0</v>
      </c>
      <c r="UD54" s="60">
        <f t="shared" si="399"/>
        <v>0</v>
      </c>
      <c r="UE54" s="60">
        <f t="shared" si="400"/>
        <v>0</v>
      </c>
      <c r="UF54" s="60">
        <f t="shared" si="401"/>
        <v>0</v>
      </c>
      <c r="UG54" s="60">
        <f t="shared" si="402"/>
        <v>0</v>
      </c>
      <c r="UH54" s="58">
        <f t="shared" si="403"/>
        <v>0</v>
      </c>
      <c r="UI54" s="46">
        <f t="shared" si="404"/>
        <v>80</v>
      </c>
      <c r="UJ54" s="46">
        <f t="shared" si="603"/>
        <v>2.8339999999999996</v>
      </c>
      <c r="UK54" s="46">
        <f t="shared" si="405"/>
        <v>1</v>
      </c>
      <c r="UL54" s="46">
        <f t="shared" si="406"/>
        <v>2</v>
      </c>
      <c r="UM54" s="46" cm="1">
        <f t="array" ref="UM54">ROUND(IFERROR(INDEX(ArchiveResults!$F$5:$IX$116,ComparisonData!A54,ComparisonData!$UM$1),0),5)</f>
        <v>0</v>
      </c>
      <c r="UN54" s="56">
        <v>49</v>
      </c>
      <c r="UO54" s="53" t="str">
        <f t="shared" si="604"/>
        <v>Liverpool Record Office</v>
      </c>
      <c r="UP54" s="46">
        <f t="shared" si="407"/>
        <v>0</v>
      </c>
      <c r="UQ54" s="76">
        <f t="shared" si="408"/>
        <v>0</v>
      </c>
      <c r="UR54" s="46">
        <f t="shared" si="409"/>
        <v>80</v>
      </c>
      <c r="US54" s="46">
        <f t="shared" si="605"/>
        <v>2.8339999999999996</v>
      </c>
      <c r="UT54" s="46">
        <f t="shared" si="410"/>
        <v>1</v>
      </c>
      <c r="UU54" s="46">
        <f t="shared" si="411"/>
        <v>2</v>
      </c>
      <c r="UV54" s="46">
        <f t="shared" si="412"/>
        <v>0</v>
      </c>
      <c r="UW54" s="46" cm="1">
        <f t="array" ref="UW54">ROUND(IFERROR(INDEX(ArchiveResults!$F$5:$IX$116,ComparisonData!A54,ComparisonData!$UW$1),0),5)</f>
        <v>0</v>
      </c>
      <c r="UX54" s="46" cm="1">
        <f t="array" ref="UX54">ROUND(IFERROR(INDEX(ArchiveResults!$F$5:$IX$116,ComparisonData!A54,ComparisonData!$UX$1),0),5)</f>
        <v>0</v>
      </c>
      <c r="UY54" s="46" cm="1">
        <f t="array" ref="UY54">ROUND(IFERROR(INDEX(ArchiveResults!$F$5:$IX$116,ComparisonData!A54,ComparisonData!$UY$1),0),5)</f>
        <v>0</v>
      </c>
      <c r="UZ54" s="46" cm="1">
        <f t="array" ref="UZ54">ROUND(IFERROR(INDEX(ArchiveResults!$F$5:$IX$116,ComparisonData!A54,ComparisonData!$UZ$1),0),5)</f>
        <v>0</v>
      </c>
      <c r="VA54" s="46" cm="1">
        <f t="array" ref="VA54">ROUND(IFERROR(INDEX(ArchiveResults!$F$5:$IX$116,ComparisonData!A54,ComparisonData!$VA$1),0),5)</f>
        <v>0</v>
      </c>
      <c r="VB54" s="56">
        <v>49</v>
      </c>
      <c r="VC54" s="53" t="str">
        <f t="shared" si="606"/>
        <v>Liverpool Record Office</v>
      </c>
      <c r="VD54" s="60">
        <f t="shared" si="413"/>
        <v>0</v>
      </c>
      <c r="VE54" s="60">
        <f t="shared" si="414"/>
        <v>0</v>
      </c>
      <c r="VF54" s="60">
        <f t="shared" si="415"/>
        <v>0</v>
      </c>
      <c r="VG54" s="60">
        <f t="shared" si="416"/>
        <v>0</v>
      </c>
      <c r="VH54" s="60">
        <f t="shared" si="417"/>
        <v>0</v>
      </c>
      <c r="VI54" s="76">
        <f t="shared" si="418"/>
        <v>0</v>
      </c>
      <c r="VJ54" s="46">
        <f t="shared" si="419"/>
        <v>80</v>
      </c>
      <c r="VK54" s="46">
        <f t="shared" si="607"/>
        <v>2.8339999999999996</v>
      </c>
      <c r="VL54" s="46">
        <f t="shared" si="420"/>
        <v>1</v>
      </c>
      <c r="VM54" s="46">
        <f t="shared" si="421"/>
        <v>2</v>
      </c>
      <c r="VN54" s="46" cm="1">
        <f t="array" ref="VN54">ROUND(IFERROR(INDEX(ArchiveResults!$F$5:$IX$116,ComparisonData!A54,ComparisonData!$VN$1),0),5)</f>
        <v>0</v>
      </c>
      <c r="VO54" s="46" cm="1">
        <f t="array" ref="VO54">ROUND(IFERROR(INDEX(ArchiveResults!$F$5:$IX$116,ComparisonData!A54,ComparisonData!$VO$1),0),5)</f>
        <v>0</v>
      </c>
      <c r="VP54" s="46" cm="1">
        <f t="array" ref="VP54">ROUND(IFERROR(INDEX(ArchiveResults!$F$5:$IX$116,ComparisonData!A54,ComparisonData!$VP$1),0),5)</f>
        <v>0</v>
      </c>
      <c r="VQ54" s="46" cm="1">
        <f t="array" ref="VQ54">ROUND(IFERROR(INDEX(ArchiveResults!$F$5:$IX$116,ComparisonData!A54,ComparisonData!$VQ$1),0),5)</f>
        <v>0</v>
      </c>
      <c r="VR54" s="56">
        <v>49</v>
      </c>
      <c r="VS54" s="53" t="str">
        <f t="shared" si="608"/>
        <v>Liverpool Record Office</v>
      </c>
      <c r="VT54" s="60">
        <f t="shared" si="422"/>
        <v>0</v>
      </c>
      <c r="VU54" s="60">
        <f t="shared" si="423"/>
        <v>0</v>
      </c>
      <c r="VV54" s="60">
        <f t="shared" si="424"/>
        <v>0</v>
      </c>
      <c r="VW54" s="60">
        <f t="shared" si="425"/>
        <v>0</v>
      </c>
      <c r="VX54" s="76">
        <f t="shared" si="426"/>
        <v>0</v>
      </c>
      <c r="VY54" s="46">
        <f t="shared" si="427"/>
        <v>80</v>
      </c>
      <c r="VZ54" s="46">
        <f t="shared" si="609"/>
        <v>2.8339999999999996</v>
      </c>
      <c r="WA54" s="46">
        <f t="shared" si="428"/>
        <v>1</v>
      </c>
      <c r="WB54" s="46">
        <f t="shared" si="429"/>
        <v>2</v>
      </c>
      <c r="WC54" s="46" cm="1">
        <f t="array" ref="WC54">ROUND(IFERROR(INDEX(ArchiveResults!$F$5:$IX$116,ComparisonData!A54,ComparisonData!$WC$1),0),5)</f>
        <v>0</v>
      </c>
      <c r="WD54" s="56">
        <v>49</v>
      </c>
      <c r="WE54" s="53" t="str">
        <f t="shared" si="610"/>
        <v>Liverpool Record Office</v>
      </c>
      <c r="WF54" s="46">
        <f t="shared" si="430"/>
        <v>0</v>
      </c>
      <c r="WG54" s="76">
        <f t="shared" si="431"/>
        <v>0</v>
      </c>
      <c r="WH54" s="46">
        <f t="shared" si="432"/>
        <v>80</v>
      </c>
      <c r="WI54" s="46">
        <f t="shared" si="611"/>
        <v>2.8339999999999996</v>
      </c>
      <c r="WJ54" s="46">
        <f t="shared" si="433"/>
        <v>1</v>
      </c>
      <c r="WK54" s="46">
        <f t="shared" si="434"/>
        <v>2</v>
      </c>
      <c r="WL54" s="46" cm="1">
        <f t="array" ref="WL54">ROUND(IFERROR(INDEX(ArchiveResults!$F$5:$IX$116,ComparisonData!A54,ComparisonData!$WL$1),0),5)</f>
        <v>0</v>
      </c>
      <c r="WM54" s="46" cm="1">
        <f t="array" ref="WM54">IFERROR(INDEX(ArchiveResults!$F$5:$IX$116,ComparisonData!A54,ComparisonData!$WM$1),0)</f>
        <v>0</v>
      </c>
      <c r="WN54" s="56">
        <v>49</v>
      </c>
      <c r="WO54" s="53" t="str">
        <f t="shared" si="612"/>
        <v>Liverpool Record Office</v>
      </c>
      <c r="WP54" s="60">
        <f t="shared" si="435"/>
        <v>0</v>
      </c>
      <c r="WQ54" s="60">
        <f t="shared" si="436"/>
        <v>0</v>
      </c>
      <c r="WR54" s="76">
        <f t="shared" si="437"/>
        <v>0</v>
      </c>
      <c r="WS54" s="46">
        <f t="shared" si="438"/>
        <v>80</v>
      </c>
      <c r="WT54" s="46">
        <f t="shared" si="613"/>
        <v>2.8339999999999996</v>
      </c>
      <c r="WU54" s="46">
        <f t="shared" si="439"/>
        <v>1</v>
      </c>
      <c r="WV54" s="46">
        <f t="shared" si="440"/>
        <v>2</v>
      </c>
      <c r="WW54" s="46" cm="1">
        <f t="array" ref="WW54">ROUND(VALUE(IFERROR(INDEX(ArchiveResults!$F$5:$IX$116,ComparisonData!A54,ComparisonData!$WW$1),0)),5)</f>
        <v>0</v>
      </c>
      <c r="WX54" s="46" cm="1">
        <f t="array" ref="WX54">ROUND(IFERROR(INDEX(ArchiveResults!$F$5:$IX$116,ComparisonData!A54,ComparisonData!$WX$1),0),5)</f>
        <v>0</v>
      </c>
      <c r="WY54" s="56">
        <v>49</v>
      </c>
      <c r="WZ54" s="53" t="str">
        <f t="shared" si="614"/>
        <v>Liverpool Record Office</v>
      </c>
      <c r="XA54" s="60">
        <f t="shared" si="615"/>
        <v>0</v>
      </c>
      <c r="XB54" s="60">
        <f t="shared" si="616"/>
        <v>0</v>
      </c>
      <c r="XC54" s="76">
        <f t="shared" si="441"/>
        <v>0</v>
      </c>
      <c r="XD54" s="46">
        <f t="shared" si="442"/>
        <v>80</v>
      </c>
      <c r="XE54" s="46">
        <f t="shared" si="617"/>
        <v>2.8339999999999996</v>
      </c>
      <c r="XF54" s="46">
        <f t="shared" si="443"/>
        <v>1</v>
      </c>
      <c r="XG54" s="46">
        <f t="shared" si="444"/>
        <v>2</v>
      </c>
      <c r="XH54" s="46" cm="1">
        <f t="array" ref="XH54">ROUND(VALUE(IFERROR(INDEX(ArchiveResults!$F$5:$IX$116,ComparisonData!A54,ComparisonData!$XH$1),0)),5)</f>
        <v>0</v>
      </c>
      <c r="XI54" s="46" cm="1">
        <f t="array" ref="XI54">ROUND(VALUE(IFERROR(INDEX(ArchiveResults!$F$5:$IX$116,ComparisonData!A54,ComparisonData!$XI$1),0)),5)</f>
        <v>0</v>
      </c>
      <c r="XJ54" s="56">
        <v>49</v>
      </c>
      <c r="XK54" s="53" t="str">
        <f t="shared" si="618"/>
        <v>Liverpool Record Office</v>
      </c>
      <c r="XL54" s="60">
        <f t="shared" si="445"/>
        <v>0</v>
      </c>
      <c r="XM54" s="60">
        <f t="shared" si="446"/>
        <v>0</v>
      </c>
      <c r="XN54" s="76">
        <f t="shared" si="447"/>
        <v>0</v>
      </c>
      <c r="XO54" s="46">
        <f t="shared" si="448"/>
        <v>80</v>
      </c>
      <c r="XP54" s="46">
        <f t="shared" si="619"/>
        <v>2.8339999999999996</v>
      </c>
      <c r="XQ54" s="46">
        <f t="shared" si="449"/>
        <v>1</v>
      </c>
      <c r="XR54" s="46">
        <f t="shared" si="450"/>
        <v>2</v>
      </c>
      <c r="XS54" s="46" cm="1">
        <f t="array" ref="XS54">ROUND(VALUE(IFERROR(INDEX(ArchiveResults!$F$5:$IX$116,ComparisonData!A54,ComparisonData!$XS$1),0)),5)</f>
        <v>0</v>
      </c>
      <c r="XT54" s="46" cm="1">
        <f t="array" ref="XT54">ROUND(VALUE(IFERROR(INDEX(ArchiveResults!$F$5:$IX$116,ComparisonData!A54,ComparisonData!$XT$1),0)),5)</f>
        <v>0</v>
      </c>
      <c r="XU54" s="56">
        <v>49</v>
      </c>
      <c r="XV54" s="53" t="str">
        <f t="shared" si="620"/>
        <v>Liverpool Record Office</v>
      </c>
      <c r="XW54" s="60">
        <f t="shared" si="451"/>
        <v>0</v>
      </c>
      <c r="XX54" s="60">
        <f t="shared" si="452"/>
        <v>0</v>
      </c>
      <c r="XY54" s="76">
        <f t="shared" si="453"/>
        <v>0</v>
      </c>
      <c r="XZ54" s="46">
        <f t="shared" si="454"/>
        <v>80</v>
      </c>
      <c r="YA54" s="46">
        <f t="shared" si="621"/>
        <v>2.8339999999999996</v>
      </c>
      <c r="YB54" s="46">
        <f t="shared" si="455"/>
        <v>1</v>
      </c>
      <c r="YC54" s="46">
        <f t="shared" si="456"/>
        <v>2</v>
      </c>
      <c r="YD54" s="46" cm="1">
        <f t="array" ref="YD54">ROUND(VALUE(IFERROR(INDEX(ArchiveResults!$F$5:$IX$116,ComparisonData!A54,ComparisonData!$YD$1),0)),5)</f>
        <v>0</v>
      </c>
      <c r="YE54" s="46" cm="1">
        <f t="array" ref="YE54">ROUND(VALUE(IFERROR(INDEX(ArchiveResults!$F$5:$IX$116,ComparisonData!A54,ComparisonData!$YE$1),0)),5)</f>
        <v>0</v>
      </c>
      <c r="YF54" s="56">
        <v>49</v>
      </c>
      <c r="YG54" s="53" t="str">
        <f t="shared" si="622"/>
        <v>Liverpool Record Office</v>
      </c>
      <c r="YH54" s="60">
        <f t="shared" si="457"/>
        <v>0</v>
      </c>
      <c r="YI54" s="60">
        <f t="shared" si="458"/>
        <v>0</v>
      </c>
      <c r="YJ54" s="76">
        <f t="shared" si="459"/>
        <v>0</v>
      </c>
      <c r="YK54" s="46">
        <f t="shared" si="460"/>
        <v>80</v>
      </c>
      <c r="YL54" s="46">
        <f t="shared" si="623"/>
        <v>2.8339999999999996</v>
      </c>
      <c r="YM54" s="46">
        <f t="shared" si="461"/>
        <v>1</v>
      </c>
      <c r="YN54" s="46">
        <f t="shared" si="462"/>
        <v>2</v>
      </c>
      <c r="YO54" s="46" cm="1">
        <f t="array" ref="YO54">ROUND(VALUE(IFERROR(INDEX(ArchiveResults!$F$5:$IX$116,ComparisonData!A54,ComparisonData!$YO$1),0)),5)</f>
        <v>0</v>
      </c>
      <c r="YP54" s="46" cm="1">
        <f t="array" ref="YP54">ROUND(VALUE(IFERROR(INDEX(ArchiveResults!$F$5:$IX$116,ComparisonData!A54,ComparisonData!$YP$1),0)),5)</f>
        <v>0</v>
      </c>
      <c r="YQ54" s="56">
        <v>49</v>
      </c>
      <c r="YR54" s="53" t="str">
        <f t="shared" si="624"/>
        <v>Liverpool Record Office</v>
      </c>
      <c r="YS54" s="60">
        <f t="shared" si="463"/>
        <v>0</v>
      </c>
      <c r="YT54" s="60">
        <f t="shared" si="464"/>
        <v>0</v>
      </c>
      <c r="YU54" s="76">
        <f t="shared" si="465"/>
        <v>0</v>
      </c>
      <c r="YV54" s="46">
        <f t="shared" si="466"/>
        <v>80</v>
      </c>
      <c r="YW54" s="46">
        <f t="shared" si="625"/>
        <v>2.8339999999999996</v>
      </c>
      <c r="YX54" s="46">
        <f t="shared" si="467"/>
        <v>1</v>
      </c>
      <c r="YY54" s="46">
        <f t="shared" si="468"/>
        <v>2</v>
      </c>
      <c r="YZ54" s="46">
        <f t="shared" si="469"/>
        <v>0</v>
      </c>
      <c r="ZA54" s="46" cm="1">
        <f t="array" ref="ZA54">ROUNDDOWN(VALUE(IFERROR(INDEX(ArchiveResults!$F$5:$IX$116,ComparisonData!A54,ComparisonData!$ZA$1),0)),5)</f>
        <v>0</v>
      </c>
      <c r="ZB54" s="46" cm="1">
        <f t="array" ref="ZB54">ROUNDDOWN(VALUE(IFERROR(INDEX(ArchiveResults!$F$5:$IX$116,ComparisonData!A54,ComparisonData!$ZB$1),0)),5)</f>
        <v>0</v>
      </c>
      <c r="ZC54" s="46" cm="1">
        <f t="array" ref="ZC54">ROUNDDOWN(VALUE(IFERROR(INDEX(ArchiveResults!$F$5:$IX$116,ComparisonData!A54,ComparisonData!$ZC$1),0)),5)</f>
        <v>0</v>
      </c>
      <c r="ZD54" s="46" cm="1">
        <f t="array" ref="ZD54">ROUNDDOWN(VALUE(IFERROR(INDEX(ArchiveResults!$F$5:$IX$116,ComparisonData!A54,ComparisonData!$ZD$1),0)),5)</f>
        <v>0</v>
      </c>
      <c r="ZE54" s="46" cm="1">
        <f t="array" ref="ZE54">ROUNDDOWN(VALUE(IFERROR(INDEX(ArchiveResults!$F$5:$IX$116,ComparisonData!A54,ComparisonData!$ZE$1),0)),5)</f>
        <v>0</v>
      </c>
      <c r="ZF54" s="56">
        <v>49</v>
      </c>
      <c r="ZG54" s="53" t="str">
        <f t="shared" si="626"/>
        <v>Liverpool Record Office</v>
      </c>
      <c r="ZH54" s="60">
        <f t="shared" si="470"/>
        <v>0</v>
      </c>
      <c r="ZI54" s="60">
        <f t="shared" si="471"/>
        <v>0</v>
      </c>
      <c r="ZJ54" s="60">
        <f t="shared" si="472"/>
        <v>0</v>
      </c>
      <c r="ZK54" s="60">
        <f t="shared" si="473"/>
        <v>0</v>
      </c>
      <c r="ZL54" s="60">
        <f t="shared" si="474"/>
        <v>0</v>
      </c>
      <c r="ZM54" s="76">
        <f t="shared" si="475"/>
        <v>0</v>
      </c>
      <c r="ZN54" s="46">
        <f t="shared" si="476"/>
        <v>80</v>
      </c>
      <c r="ZO54" s="46">
        <f t="shared" si="627"/>
        <v>2.8339999999999996</v>
      </c>
      <c r="ZP54" s="46">
        <f t="shared" si="477"/>
        <v>1</v>
      </c>
      <c r="ZQ54" s="46">
        <f t="shared" si="478"/>
        <v>2</v>
      </c>
      <c r="ZR54" s="46" cm="1">
        <f t="array" ref="ZR54">ROUND(VALUE(IFERROR(INDEX(ArchiveResults!$F$5:$IX$116,ComparisonData!A54,ComparisonData!$ZR$1),0)),5)</f>
        <v>0</v>
      </c>
      <c r="ZS54" s="56">
        <v>49</v>
      </c>
      <c r="ZT54" s="53" t="str">
        <f t="shared" si="628"/>
        <v>Liverpool Record Office</v>
      </c>
      <c r="ZU54" s="46">
        <f t="shared" si="479"/>
        <v>0</v>
      </c>
      <c r="ZV54" s="76">
        <f t="shared" si="480"/>
        <v>0</v>
      </c>
      <c r="ZW54" s="81" cm="1">
        <f t="array" ref="ZW54">ROUND((IFERROR(INDEX(ArchiveResults!$F$5:$IX$116,ComparisonData!A54,ComparisonData!$ZW$1),0)),5)</f>
        <v>0</v>
      </c>
      <c r="ZX54" s="81" cm="1">
        <f t="array" ref="ZX54">ROUND((IFERROR(INDEX(ArchiveResults!$F$5:$IX$116,ComparisonData!A54,ComparisonData!$ZX$1),0)),5)</f>
        <v>0</v>
      </c>
      <c r="ZY54" s="81" cm="1">
        <f t="array" ref="ZY54">ROUND((IFERROR(INDEX(ArchiveResults!$F$5:$IX$116,ComparisonData!A54,ComparisonData!$ZY$1),0)),5)</f>
        <v>0</v>
      </c>
      <c r="ZZ54" s="81" cm="1">
        <f t="array" ref="ZZ54">ROUND((IFERROR(INDEX(ArchiveResults!$F$5:$IX$116,ComparisonData!A54,ComparisonData!$ZZ$1),0)),5)</f>
        <v>0</v>
      </c>
      <c r="AAA54" s="81" cm="1">
        <f t="array" ref="AAA54">ROUND((IFERROR(INDEX(ArchiveResults!$F$5:$IX$116,ComparisonData!A54,ComparisonData!$AAA$1),0)),5)</f>
        <v>0</v>
      </c>
      <c r="AAB54" s="81" cm="1">
        <f t="array" ref="AAB54">ROUND((IFERROR(INDEX(ArchiveResults!$F$5:$IX$116,ComparisonData!A54,ComparisonData!$AAB$1),0)),5)</f>
        <v>0</v>
      </c>
      <c r="AAC54" s="81" cm="1">
        <f t="array" ref="AAC54">ROUND((IFERROR(INDEX(ArchiveResults!$F$5:$IX$116,ComparisonData!A54,ComparisonData!$AAC$1),0)),5)</f>
        <v>0</v>
      </c>
      <c r="AAD54" s="81" cm="1">
        <f t="array" ref="AAD54">ROUND((IFERROR(INDEX(ArchiveResults!$F$5:$IX$116,ComparisonData!A54,ComparisonData!$AAD$1),0)),5)</f>
        <v>0</v>
      </c>
      <c r="AAE54" s="81" cm="1">
        <f t="array" ref="AAE54">ROUND((IFERROR(INDEX(ArchiveResults!$F$5:$IX$116,ComparisonData!A54,ComparisonData!$AAE$1),0)),5)</f>
        <v>0</v>
      </c>
      <c r="AAF54" s="81" cm="1">
        <f t="array" ref="AAF54">ROUND((IFERROR(INDEX(ArchiveResults!$F$5:$IX$116,ComparisonData!A54,ComparisonData!$AAF$1),0)),5)</f>
        <v>0</v>
      </c>
      <c r="AAG54" s="46">
        <f t="shared" si="481"/>
        <v>80</v>
      </c>
      <c r="AAH54" s="46">
        <f t="shared" si="629"/>
        <v>2.8339999999999996</v>
      </c>
      <c r="AAI54" s="46">
        <f t="shared" si="482"/>
        <v>1</v>
      </c>
      <c r="AAJ54" s="46">
        <f t="shared" si="483"/>
        <v>2</v>
      </c>
      <c r="AAK54" s="46">
        <f t="shared" si="484"/>
        <v>0</v>
      </c>
      <c r="AAL54" s="46">
        <f t="shared" si="485"/>
        <v>0</v>
      </c>
      <c r="AAM54" s="46">
        <f t="shared" si="486"/>
        <v>0</v>
      </c>
      <c r="AAN54" s="46">
        <f t="shared" si="487"/>
        <v>0</v>
      </c>
      <c r="AAO54" s="46">
        <f t="shared" si="488"/>
        <v>0</v>
      </c>
      <c r="AAP54" s="46">
        <f t="shared" si="489"/>
        <v>0</v>
      </c>
      <c r="AAQ54" s="56">
        <v>49</v>
      </c>
      <c r="AAR54" s="53" t="str">
        <f t="shared" si="630"/>
        <v>Liverpool Record Office</v>
      </c>
      <c r="AAS54" s="60">
        <f t="shared" si="490"/>
        <v>0</v>
      </c>
      <c r="AAT54" s="60">
        <f t="shared" si="491"/>
        <v>0</v>
      </c>
      <c r="AAU54" s="60">
        <f t="shared" si="492"/>
        <v>0</v>
      </c>
      <c r="AAV54" s="60">
        <f t="shared" si="493"/>
        <v>0</v>
      </c>
      <c r="AAW54" s="60">
        <f t="shared" si="494"/>
        <v>0</v>
      </c>
      <c r="AAX54" s="76">
        <f t="shared" si="495"/>
        <v>0</v>
      </c>
      <c r="AAY54" s="46">
        <f t="shared" si="496"/>
        <v>80</v>
      </c>
      <c r="AAZ54" s="46">
        <f t="shared" si="631"/>
        <v>2.8339999999999996</v>
      </c>
      <c r="ABA54" s="46">
        <f t="shared" si="497"/>
        <v>1</v>
      </c>
      <c r="ABB54" s="46">
        <f t="shared" si="498"/>
        <v>2</v>
      </c>
      <c r="ABC54" s="46">
        <f t="shared" si="102"/>
        <v>0</v>
      </c>
      <c r="ABD54" s="46" cm="1">
        <f t="array" ref="ABD54">ROUND(VALUE(IFERROR(INDEX(ArchiveResults!$F$5:$IX$116,ComparisonData!A54,ComparisonData!$ABD$1),0)),5)</f>
        <v>0</v>
      </c>
      <c r="ABE54" s="46" cm="1">
        <f t="array" ref="ABE54">ROUND(VALUE(IFERROR(INDEX(ArchiveResults!$F$5:$IX$116,ComparisonData!A54,ComparisonData!$ABE$1),0)),5)</f>
        <v>0</v>
      </c>
      <c r="ABF54" s="46" cm="1">
        <f t="array" ref="ABF54">ROUND(VALUE(IFERROR(INDEX(ArchiveResults!$F$5:$IX$116,ComparisonData!A54,ComparisonData!$ABF$1),0)),5)</f>
        <v>0</v>
      </c>
      <c r="ABG54" s="46" cm="1">
        <f t="array" ref="ABG54">ROUND(VALUE(IFERROR(INDEX(ArchiveResults!$F$5:$IX$116,ComparisonData!A54,ComparisonData!$ABG$1),0)),5)</f>
        <v>0</v>
      </c>
      <c r="ABH54" s="46" cm="1">
        <f t="array" ref="ABH54">ROUND(VALUE(IFERROR(INDEX(ArchiveResults!$F$5:$IX$116,ComparisonData!A54,ComparisonData!$ABH$1),0)),5)</f>
        <v>0</v>
      </c>
      <c r="ABI54" s="56">
        <v>49</v>
      </c>
      <c r="ABJ54" s="53" t="str">
        <f t="shared" si="632"/>
        <v>Liverpool Record Office</v>
      </c>
      <c r="ABK54" s="60">
        <f t="shared" si="499"/>
        <v>0</v>
      </c>
      <c r="ABL54" s="60">
        <f t="shared" si="500"/>
        <v>0</v>
      </c>
      <c r="ABM54" s="60">
        <f t="shared" si="501"/>
        <v>0</v>
      </c>
      <c r="ABN54" s="60">
        <f t="shared" si="502"/>
        <v>0</v>
      </c>
      <c r="ABO54" s="60">
        <f t="shared" si="503"/>
        <v>0</v>
      </c>
      <c r="ABP54" s="76">
        <f t="shared" si="504"/>
        <v>0</v>
      </c>
      <c r="ABQ54" s="46">
        <f t="shared" si="505"/>
        <v>80</v>
      </c>
      <c r="ABR54" s="46">
        <f t="shared" si="633"/>
        <v>2.8339999999999996</v>
      </c>
      <c r="ABS54" s="46">
        <f t="shared" si="506"/>
        <v>1</v>
      </c>
      <c r="ABT54" s="46">
        <f t="shared" si="507"/>
        <v>2</v>
      </c>
      <c r="ABU54" s="46" cm="1">
        <f t="array" ref="ABU54">ROUND(VALUE(IFERROR(INDEX(ArchiveResults!$F$5:$IX$116,ComparisonData!A54,ComparisonData!$ABU$1),0)),5)</f>
        <v>0</v>
      </c>
      <c r="ABV54" s="46" cm="1">
        <f t="array" ref="ABV54">ROUND(VALUE(IFERROR(INDEX(ArchiveResults!$F$5:$IX$116,ComparisonData!A54,ComparisonData!$ABV$1),0)),5)</f>
        <v>0</v>
      </c>
      <c r="ABW54" s="46" cm="1">
        <f t="array" ref="ABW54">ROUND(VALUE(IFERROR(INDEX(ArchiveResults!$F$5:$IX$116,ComparisonData!A54,ComparisonData!$ABW$1),0)),5)</f>
        <v>0</v>
      </c>
      <c r="ABX54" s="46" cm="1">
        <f t="array" ref="ABX54">ROUND(VALUE(IFERROR(INDEX(ArchiveResults!$F$5:$IX$116,ComparisonData!A54,ComparisonData!$ABX$1),0)),5)</f>
        <v>0</v>
      </c>
      <c r="ABY54" s="46" cm="1">
        <f t="array" ref="ABY54">ROUND(VALUE(IFERROR(INDEX(ArchiveResults!$F$5:$IX$116,ComparisonData!A54,ComparisonData!$ABY$1),0)),5)</f>
        <v>0</v>
      </c>
      <c r="ABZ54" s="56">
        <v>49</v>
      </c>
      <c r="ACA54" s="53" t="str">
        <f t="shared" si="634"/>
        <v>Liverpool Record Office</v>
      </c>
      <c r="ACB54" s="60">
        <f t="shared" si="508"/>
        <v>0</v>
      </c>
      <c r="ACC54" s="60">
        <f t="shared" si="509"/>
        <v>0</v>
      </c>
      <c r="ACD54" s="60">
        <f t="shared" si="510"/>
        <v>0</v>
      </c>
      <c r="ACE54" s="60">
        <f t="shared" si="511"/>
        <v>0</v>
      </c>
      <c r="ACF54" s="60">
        <f t="shared" si="512"/>
        <v>0</v>
      </c>
      <c r="ACG54" s="76">
        <f t="shared" si="513"/>
        <v>0</v>
      </c>
      <c r="ACH54" s="46">
        <f t="shared" si="514"/>
        <v>80</v>
      </c>
      <c r="ACI54" s="46">
        <f t="shared" si="635"/>
        <v>2.8339999999999996</v>
      </c>
      <c r="ACJ54" s="46">
        <f t="shared" si="515"/>
        <v>1</v>
      </c>
      <c r="ACK54" s="46">
        <f t="shared" si="516"/>
        <v>2</v>
      </c>
      <c r="ACL54" s="46">
        <f t="shared" si="517"/>
        <v>0</v>
      </c>
      <c r="ACM54" s="46" cm="1">
        <f t="array" ref="ACM54">ROUND(IFERROR(INDEX(ArchiveResults!$F$5:$IX$116,ComparisonData!A54,ComparisonData!$ACM$1),0),5)</f>
        <v>0</v>
      </c>
      <c r="ACN54" s="46" cm="1">
        <f t="array" ref="ACN54">ROUND(IFERROR(INDEX(ArchiveResults!$F$5:$IX$116,ComparisonData!A54,ComparisonData!$ACN$1),0),5)</f>
        <v>0</v>
      </c>
      <c r="ACO54" s="56">
        <v>49</v>
      </c>
      <c r="ACP54" s="53" t="str">
        <f t="shared" si="636"/>
        <v>Liverpool Record Office</v>
      </c>
      <c r="ACQ54" s="60">
        <f t="shared" si="518"/>
        <v>0</v>
      </c>
      <c r="ACR54" s="60">
        <f t="shared" si="519"/>
        <v>0</v>
      </c>
      <c r="ACS54" s="76">
        <f t="shared" si="520"/>
        <v>0</v>
      </c>
      <c r="ACT54" s="46">
        <f t="shared" si="521"/>
        <v>80</v>
      </c>
      <c r="ACU54" s="46">
        <f t="shared" si="637"/>
        <v>2.8339999999999996</v>
      </c>
      <c r="ACV54" s="46">
        <f t="shared" si="522"/>
        <v>1</v>
      </c>
      <c r="ACW54" s="46">
        <f t="shared" si="523"/>
        <v>2</v>
      </c>
      <c r="ACX54" s="46">
        <f t="shared" si="524"/>
        <v>0</v>
      </c>
      <c r="ACY54" s="46" cm="1">
        <f t="array" ref="ACY54">ROUNDDOWN(IFERROR(INDEX(ArchiveResults!$F$5:$IX$116,ComparisonData!A54,ComparisonData!$ACY$1),0),5)</f>
        <v>0</v>
      </c>
      <c r="ACZ54" s="46" cm="1">
        <f t="array" ref="ACZ54">ROUNDDOWN(IFERROR(INDEX(ArchiveResults!$F$5:$IX$116,ComparisonData!A54,ComparisonData!$ACZ$1),0),5)</f>
        <v>0</v>
      </c>
      <c r="ADA54" s="46" cm="1">
        <f t="array" ref="ADA54">ROUNDDOWN(IFERROR(INDEX(ArchiveResults!$F$5:$IX$116,ComparisonData!A54,ComparisonData!$ADA$1),0),5)</f>
        <v>0</v>
      </c>
      <c r="ADB54" s="56">
        <v>49</v>
      </c>
      <c r="ADC54" s="53" t="str">
        <f t="shared" si="638"/>
        <v>Liverpool Record Office</v>
      </c>
      <c r="ADD54" s="60">
        <f t="shared" si="525"/>
        <v>0</v>
      </c>
      <c r="ADE54" s="60">
        <f t="shared" si="526"/>
        <v>0</v>
      </c>
      <c r="ADF54" s="60">
        <f t="shared" si="527"/>
        <v>0</v>
      </c>
      <c r="ADG54" s="76">
        <f t="shared" si="528"/>
        <v>0</v>
      </c>
    </row>
    <row r="55" spans="1:787" x14ac:dyDescent="0.25">
      <c r="A55" s="46" t="str">
        <f>IF(ISBLANK(ComparisonSelection!F51),"",ROW()-5)</f>
        <v/>
      </c>
      <c r="B55" s="53" t="s">
        <v>504</v>
      </c>
      <c r="C55" s="72">
        <v>0.97399999999999998</v>
      </c>
      <c r="D55" s="55">
        <f t="shared" si="110"/>
        <v>107</v>
      </c>
      <c r="E55" s="54">
        <f t="shared" si="111"/>
        <v>2.9740000000000002</v>
      </c>
      <c r="F55" s="54">
        <f t="shared" si="529"/>
        <v>1</v>
      </c>
      <c r="G55" s="72">
        <f t="shared" si="112"/>
        <v>2</v>
      </c>
      <c r="H55" s="72">
        <f t="shared" si="113"/>
        <v>0</v>
      </c>
      <c r="I55" s="46" cm="1">
        <f t="array" ref="I55">ROUND(IFERROR(INDEX(ArchiveResults!$F$5:$IX$116,ComparisonData!A55,ComparisonData!$I$1),0),5)</f>
        <v>0</v>
      </c>
      <c r="J55" s="46" cm="1">
        <f t="array" ref="J55">ROUND(IFERROR(INDEX(ArchiveResults!$F$5:$IX$116,ComparisonData!A55,ComparisonData!$J$1),0),5)</f>
        <v>0</v>
      </c>
      <c r="K55" s="56">
        <v>50</v>
      </c>
      <c r="L55" s="53" t="str">
        <f t="shared" si="114"/>
        <v>London Borough of Croydon Archives</v>
      </c>
      <c r="M55" s="57">
        <f t="shared" si="530"/>
        <v>0</v>
      </c>
      <c r="N55" s="57">
        <f t="shared" si="531"/>
        <v>0</v>
      </c>
      <c r="O55" s="58">
        <f t="shared" si="115"/>
        <v>0</v>
      </c>
      <c r="P55" s="48">
        <f t="shared" si="116"/>
        <v>107</v>
      </c>
      <c r="Q55" s="54">
        <f t="shared" si="532"/>
        <v>2.9740000000000002</v>
      </c>
      <c r="R55" s="45">
        <f t="shared" si="117"/>
        <v>1</v>
      </c>
      <c r="S55" s="46">
        <f t="shared" si="118"/>
        <v>2</v>
      </c>
      <c r="T55" s="72">
        <f t="shared" si="119"/>
        <v>0</v>
      </c>
      <c r="U55" s="46" cm="1">
        <f t="array" ref="U55">ROUND(IFERROR(INDEX(ArchiveResults!$F$5:$IX$116,ComparisonData!A55,ComparisonData!$U$1),0),5)</f>
        <v>0</v>
      </c>
      <c r="V55" s="46" cm="1">
        <f t="array" ref="V55">ROUND(IFERROR(INDEX(ArchiveResults!$F$5:$IX$116,ComparisonData!A55,ComparisonData!$V$1),0),5)</f>
        <v>0</v>
      </c>
      <c r="W55" s="56">
        <v>50</v>
      </c>
      <c r="X55" s="53" t="str">
        <f t="shared" si="533"/>
        <v>London Borough of Croydon Archives</v>
      </c>
      <c r="Y55" s="57">
        <f t="shared" si="120"/>
        <v>0</v>
      </c>
      <c r="Z55" s="57">
        <f t="shared" si="121"/>
        <v>0</v>
      </c>
      <c r="AA55" s="58">
        <f t="shared" si="122"/>
        <v>0</v>
      </c>
      <c r="AB55" s="45">
        <f t="shared" si="123"/>
        <v>107</v>
      </c>
      <c r="AC55" s="54">
        <f t="shared" si="534"/>
        <v>2.9740000000000002</v>
      </c>
      <c r="AD55" s="45">
        <f t="shared" si="124"/>
        <v>1</v>
      </c>
      <c r="AE55" s="45">
        <f t="shared" si="125"/>
        <v>2</v>
      </c>
      <c r="AF55" s="45">
        <f t="shared" si="126"/>
        <v>0</v>
      </c>
      <c r="AG55" s="46" cm="1">
        <f t="array" ref="AG55">ROUND(IFERROR(INDEX(ArchiveResults!$F$5:$IX$116,ComparisonData!A55,ComparisonData!$AG$1),0),5)</f>
        <v>0</v>
      </c>
      <c r="AH55" s="46" cm="1">
        <f t="array" ref="AH55">ROUND(IFERROR(INDEX(ArchiveResults!$F$5:$IX$116,ComparisonData!A55,ComparisonData!$AH$1),0),5)</f>
        <v>0</v>
      </c>
      <c r="AI55" s="56">
        <v>50</v>
      </c>
      <c r="AJ55" s="53" t="str">
        <f t="shared" si="535"/>
        <v>London Borough of Croydon Archives</v>
      </c>
      <c r="AK55" s="59">
        <f t="shared" si="536"/>
        <v>0</v>
      </c>
      <c r="AL55" s="59">
        <f t="shared" si="537"/>
        <v>0</v>
      </c>
      <c r="AM55" s="58">
        <f t="shared" si="127"/>
        <v>0</v>
      </c>
      <c r="AN55" s="45">
        <f t="shared" si="128"/>
        <v>107</v>
      </c>
      <c r="AO55" s="54">
        <f t="shared" si="538"/>
        <v>2.9740000000000002</v>
      </c>
      <c r="AP55" s="45">
        <f t="shared" si="129"/>
        <v>1</v>
      </c>
      <c r="AQ55" s="45">
        <f t="shared" si="130"/>
        <v>2</v>
      </c>
      <c r="AR55" s="46" cm="1">
        <f t="array" ref="AR55">ROUND(IFERROR(INDEX(ArchiveResults!$F$5:$IX$116,ComparisonData!A55,ComparisonData!$AR$1),0),5)</f>
        <v>0</v>
      </c>
      <c r="AS55" s="46" cm="1">
        <f t="array" ref="AS55">ROUND(IFERROR(INDEX(ArchiveResults!$F$5:$IX$116,ComparisonData!A55,ComparisonData!$AS$1),0),5)</f>
        <v>0</v>
      </c>
      <c r="AT55" s="46" cm="1">
        <f t="array" ref="AT55">ROUND(IFERROR(INDEX(ArchiveResults!$F$5:$IX$116,ComparisonData!A55,ComparisonData!$AT$1),0),5)</f>
        <v>0</v>
      </c>
      <c r="AU55" s="46" cm="1">
        <f t="array" ref="AU55">ROUND(IFERROR(INDEX(ArchiveResults!$F$5:$IX$116,ComparisonData!A55,ComparisonData!$AU$1),0),5)</f>
        <v>0</v>
      </c>
      <c r="AV55" s="46" cm="1">
        <f t="array" ref="AV55">ROUND(IFERROR(INDEX(ArchiveResults!$F$5:$IX$116,ComparisonData!A55,ComparisonData!$AV$1),0),5)</f>
        <v>0</v>
      </c>
      <c r="AW55" s="46" cm="1">
        <f t="array" ref="AW55">ROUND(IFERROR(INDEX(ArchiveResults!$F$5:$IX$116,ComparisonData!A55,ComparisonData!$AW$1),0),5)</f>
        <v>0</v>
      </c>
      <c r="AX55" s="46" cm="1">
        <f t="array" ref="AX55">ROUND(IFERROR(INDEX(ArchiveResults!$F$5:$IX$116,ComparisonData!A55,ComparisonData!$AX$1),0),5)</f>
        <v>0</v>
      </c>
      <c r="AY55" s="46" cm="1">
        <f t="array" ref="AY55">ROUND(IFERROR(INDEX(ArchiveResults!$F$5:$IX$116,ComparisonData!A55,ComparisonData!$AY$1),0),5)</f>
        <v>0</v>
      </c>
      <c r="AZ55" s="46" cm="1">
        <f t="array" ref="AZ55">ROUND(IFERROR(INDEX(ArchiveResults!$F$5:$IX$116,ComparisonData!A55,ComparisonData!$AZ$1),0),5)</f>
        <v>0</v>
      </c>
      <c r="BA55" s="46" cm="1">
        <f t="array" ref="BA55">ROUND(IFERROR(INDEX(ArchiveResults!$F$5:$IX$116,ComparisonData!A55,ComparisonData!$BA$1),0),5)</f>
        <v>0</v>
      </c>
      <c r="BB55" s="56">
        <v>50</v>
      </c>
      <c r="BC55" s="53" t="str">
        <f t="shared" si="539"/>
        <v>London Borough of Croydon Archives</v>
      </c>
      <c r="BD55" s="60">
        <f t="shared" si="131"/>
        <v>0</v>
      </c>
      <c r="BE55" s="60">
        <f t="shared" si="132"/>
        <v>0</v>
      </c>
      <c r="BF55" s="60">
        <f t="shared" si="133"/>
        <v>0</v>
      </c>
      <c r="BG55" s="60">
        <f t="shared" si="134"/>
        <v>0</v>
      </c>
      <c r="BH55" s="60">
        <f t="shared" si="135"/>
        <v>0</v>
      </c>
      <c r="BI55" s="60">
        <f t="shared" si="136"/>
        <v>0</v>
      </c>
      <c r="BJ55" s="60">
        <f t="shared" si="137"/>
        <v>0</v>
      </c>
      <c r="BK55" s="60">
        <f t="shared" si="138"/>
        <v>0</v>
      </c>
      <c r="BL55" s="60">
        <f t="shared" si="139"/>
        <v>0</v>
      </c>
      <c r="BM55" s="59">
        <f t="shared" si="140"/>
        <v>0</v>
      </c>
      <c r="BN55" s="58">
        <f t="shared" si="141"/>
        <v>0</v>
      </c>
      <c r="BO55" s="45">
        <f t="shared" si="142"/>
        <v>107</v>
      </c>
      <c r="BP55" s="54">
        <f t="shared" si="540"/>
        <v>2.9740000000000002</v>
      </c>
      <c r="BQ55" s="45">
        <f t="shared" si="143"/>
        <v>1</v>
      </c>
      <c r="BR55" s="45">
        <f t="shared" si="144"/>
        <v>2</v>
      </c>
      <c r="BS55" s="46" cm="1">
        <f t="array" ref="BS55">ROUND(IFERROR(INDEX(ArchiveResults!$F$5:$IX$116,ComparisonData!A55,ComparisonData!$BS$1),0),5)</f>
        <v>0</v>
      </c>
      <c r="BT55" s="46" cm="1">
        <f t="array" ref="BT55">ROUND(IFERROR(INDEX(ArchiveResults!$F$5:$IX$116,ComparisonData!A55,ComparisonData!$BT$1),0),5)</f>
        <v>0</v>
      </c>
      <c r="BU55" s="46" cm="1">
        <f t="array" ref="BU55">ROUND(IFERROR(INDEX(ArchiveResults!$F$5:$IX$116,ComparisonData!A55,ComparisonData!$BU$1),0),5)</f>
        <v>0</v>
      </c>
      <c r="BV55" s="46" cm="1">
        <f t="array" ref="BV55">ROUND(IFERROR(INDEX(ArchiveResults!$F$5:$IX$116,ComparisonData!A55,ComparisonData!$BV$1),0),5)</f>
        <v>0</v>
      </c>
      <c r="BW55" s="46" cm="1">
        <f t="array" ref="BW55">ROUND(IFERROR(INDEX(ArchiveResults!$F$5:$IX$116,ComparisonData!A55,ComparisonData!$BW$1),0),5)</f>
        <v>0</v>
      </c>
      <c r="BX55" s="46" cm="1">
        <f t="array" ref="BX55">ROUND(IFERROR(INDEX(ArchiveResults!$F$5:$IX$116,ComparisonData!A55,ComparisonData!$BX$1),0),5)</f>
        <v>0</v>
      </c>
      <c r="BY55" s="56">
        <v>50</v>
      </c>
      <c r="BZ55" s="53" t="str">
        <f t="shared" si="541"/>
        <v>London Borough of Croydon Archives</v>
      </c>
      <c r="CA55" s="59">
        <f t="shared" si="145"/>
        <v>0</v>
      </c>
      <c r="CB55" s="59">
        <f t="shared" si="146"/>
        <v>0</v>
      </c>
      <c r="CC55" s="59">
        <f t="shared" si="147"/>
        <v>0</v>
      </c>
      <c r="CD55" s="59">
        <f t="shared" si="148"/>
        <v>0</v>
      </c>
      <c r="CE55" s="59">
        <f t="shared" si="149"/>
        <v>0</v>
      </c>
      <c r="CF55" s="59">
        <f t="shared" si="150"/>
        <v>0</v>
      </c>
      <c r="CG55" s="58">
        <f t="shared" si="151"/>
        <v>0</v>
      </c>
      <c r="CH55" s="45">
        <f t="shared" si="152"/>
        <v>107</v>
      </c>
      <c r="CI55" s="54">
        <f t="shared" si="542"/>
        <v>2.9740000000000002</v>
      </c>
      <c r="CJ55" s="45">
        <f t="shared" si="153"/>
        <v>1</v>
      </c>
      <c r="CK55" s="45">
        <f t="shared" si="154"/>
        <v>2</v>
      </c>
      <c r="CL55" s="46" cm="1">
        <f t="array" ref="CL55">ROUND(IFERROR(INDEX(ArchiveResults!$F$5:$IX$116,ComparisonData!A55,ComparisonData!$CL$1),0),5)</f>
        <v>0</v>
      </c>
      <c r="CM55" s="56">
        <v>50</v>
      </c>
      <c r="CN55" s="53" t="str">
        <f t="shared" si="543"/>
        <v>London Borough of Croydon Archives</v>
      </c>
      <c r="CO55" s="45">
        <f t="shared" si="155"/>
        <v>0</v>
      </c>
      <c r="CP55" s="58">
        <f t="shared" si="156"/>
        <v>0</v>
      </c>
      <c r="CQ55" s="45">
        <f t="shared" si="157"/>
        <v>107</v>
      </c>
      <c r="CR55" s="54">
        <f t="shared" si="544"/>
        <v>2.9740000000000002</v>
      </c>
      <c r="CS55" s="45">
        <f t="shared" si="158"/>
        <v>1</v>
      </c>
      <c r="CT55" s="45">
        <f t="shared" si="159"/>
        <v>2</v>
      </c>
      <c r="CU55" s="46" cm="1">
        <f t="array" ref="CU55">ROUND(IFERROR(INDEX(ArchiveResults!$F$5:$IX$116,ComparisonData!A55,ComparisonData!$CU$1),0),5)</f>
        <v>0</v>
      </c>
      <c r="CV55" s="56">
        <v>50</v>
      </c>
      <c r="CW55" s="53" t="str">
        <f t="shared" si="545"/>
        <v>London Borough of Croydon Archives</v>
      </c>
      <c r="CX55" s="45">
        <f t="shared" si="160"/>
        <v>0</v>
      </c>
      <c r="CY55" s="58">
        <f t="shared" si="161"/>
        <v>0</v>
      </c>
      <c r="CZ55" s="45">
        <f t="shared" si="162"/>
        <v>107</v>
      </c>
      <c r="DA55" s="54">
        <f t="shared" si="546"/>
        <v>2.9740000000000002</v>
      </c>
      <c r="DB55" s="45">
        <f t="shared" si="163"/>
        <v>1</v>
      </c>
      <c r="DC55" s="45">
        <f t="shared" si="164"/>
        <v>2</v>
      </c>
      <c r="DD55" s="46" cm="1">
        <f t="array" ref="DD55">ROUND(IFERROR(INDEX(ArchiveResults!$F$5:$IX$116,ComparisonData!A55,ComparisonData!$DD$1),0),5)</f>
        <v>0</v>
      </c>
      <c r="DE55" s="56">
        <v>50</v>
      </c>
      <c r="DF55" s="53" t="str">
        <f t="shared" si="547"/>
        <v>London Borough of Croydon Archives</v>
      </c>
      <c r="DG55" s="45">
        <f t="shared" si="165"/>
        <v>0</v>
      </c>
      <c r="DH55" s="58">
        <f t="shared" si="166"/>
        <v>0</v>
      </c>
      <c r="DI55" s="45">
        <f t="shared" si="167"/>
        <v>107</v>
      </c>
      <c r="DJ55" s="54">
        <f t="shared" si="548"/>
        <v>2.9740000000000002</v>
      </c>
      <c r="DK55" s="45">
        <f t="shared" si="168"/>
        <v>1</v>
      </c>
      <c r="DL55" s="45">
        <f t="shared" si="169"/>
        <v>2</v>
      </c>
      <c r="DM55" s="46" cm="1">
        <f t="array" ref="DM55">ROUND(IFERROR(INDEX(ArchiveResults!$F$5:$IX$116,ComparisonData!A55,ComparisonData!$DM$1),0),5)</f>
        <v>0</v>
      </c>
      <c r="DN55" s="46" cm="1">
        <f t="array" ref="DN55">ROUND(IFERROR(INDEX(ArchiveResults!$F$5:$IX$116,ComparisonData!A55,ComparisonData!$DN$1),0),5)</f>
        <v>0</v>
      </c>
      <c r="DO55" s="46" cm="1">
        <f t="array" ref="DO55">ROUND(IFERROR(INDEX(ArchiveResults!$F$5:$IX$116,ComparisonData!A55,ComparisonData!$DO$1),0),5)</f>
        <v>0</v>
      </c>
      <c r="DP55" s="46" cm="1">
        <f t="array" ref="DP55">ROUND(IFERROR(INDEX(ArchiveResults!$F$5:$IX$116,ComparisonData!A55,ComparisonData!$DP$1),0),5)</f>
        <v>0</v>
      </c>
      <c r="DQ55" s="45" cm="1">
        <f t="array" ref="DQ55">IFERROR(INDEX(ArchiveResults!$F$5:$IX$116,ComparisonData!A55,ComparisonData!$DQ$1),0)</f>
        <v>0</v>
      </c>
      <c r="DR55" s="56">
        <v>50</v>
      </c>
      <c r="DS55" s="53" t="str">
        <f t="shared" si="549"/>
        <v>London Borough of Croydon Archives</v>
      </c>
      <c r="DT55" s="59">
        <f t="shared" si="170"/>
        <v>0</v>
      </c>
      <c r="DU55" s="59">
        <f t="shared" si="171"/>
        <v>0</v>
      </c>
      <c r="DV55" s="59">
        <f t="shared" si="172"/>
        <v>0</v>
      </c>
      <c r="DW55" s="59">
        <f t="shared" si="173"/>
        <v>0</v>
      </c>
      <c r="DX55" s="59">
        <f t="shared" si="174"/>
        <v>0</v>
      </c>
      <c r="DY55" s="58">
        <f t="shared" si="175"/>
        <v>0</v>
      </c>
      <c r="DZ55" s="45">
        <f t="shared" si="176"/>
        <v>107</v>
      </c>
      <c r="EA55" s="54">
        <f t="shared" si="550"/>
        <v>2.9740000000000002</v>
      </c>
      <c r="EB55" s="45">
        <f t="shared" si="177"/>
        <v>1</v>
      </c>
      <c r="EC55" s="45">
        <f t="shared" si="178"/>
        <v>2</v>
      </c>
      <c r="ED55" s="46" cm="1">
        <f t="array" ref="ED55">ROUND(IFERROR(INDEX(ArchiveResults!$F$5:$IX$116,ComparisonData!A55,ComparisonData!$ED$1),0),5)</f>
        <v>0</v>
      </c>
      <c r="EE55" s="46" cm="1">
        <f t="array" ref="EE55">ROUND(IFERROR(INDEX(ArchiveResults!$F$5:$IX$116,ComparisonData!A55,ComparisonData!$EE$1),0),5)</f>
        <v>0</v>
      </c>
      <c r="EF55" s="46" cm="1">
        <f t="array" ref="EF55">ROUND(IFERROR(INDEX(ArchiveResults!$F$5:$IX$116,ComparisonData!A55,ComparisonData!$EF$1),0),5)</f>
        <v>0</v>
      </c>
      <c r="EG55" s="46" cm="1">
        <f t="array" ref="EG55">ROUND(IFERROR(INDEX(ArchiveResults!$F$5:$IX$116,ComparisonData!A55,ComparisonData!$EG$1),0),5)</f>
        <v>0</v>
      </c>
      <c r="EH55" s="45" cm="1">
        <f t="array" ref="EH55">IFERROR(INDEX(ArchiveResults!$F$5:$IX$116,ComparisonData!A55,ComparisonData!$EH$1),0)</f>
        <v>0</v>
      </c>
      <c r="EI55" s="56">
        <v>50</v>
      </c>
      <c r="EJ55" s="53" t="str">
        <f t="shared" si="551"/>
        <v>London Borough of Croydon Archives</v>
      </c>
      <c r="EK55" s="59">
        <f t="shared" si="179"/>
        <v>0</v>
      </c>
      <c r="EL55" s="59">
        <f t="shared" si="180"/>
        <v>0</v>
      </c>
      <c r="EM55" s="59">
        <f t="shared" si="181"/>
        <v>0</v>
      </c>
      <c r="EN55" s="59">
        <f t="shared" si="182"/>
        <v>0</v>
      </c>
      <c r="EO55" s="59">
        <f t="shared" si="183"/>
        <v>0</v>
      </c>
      <c r="EP55" s="58">
        <f t="shared" si="184"/>
        <v>0</v>
      </c>
      <c r="EQ55" s="45">
        <f t="shared" si="185"/>
        <v>107</v>
      </c>
      <c r="ER55" s="54">
        <f t="shared" si="552"/>
        <v>2.9740000000000002</v>
      </c>
      <c r="ES55" s="45">
        <f t="shared" si="186"/>
        <v>1</v>
      </c>
      <c r="ET55" s="45">
        <f t="shared" si="187"/>
        <v>2</v>
      </c>
      <c r="EU55" s="46" cm="1">
        <f t="array" ref="EU55">ROUND(IFERROR(INDEX(ArchiveResults!$F$5:$IX$116,ComparisonData!A55,ComparisonData!$EU$1),0),5)</f>
        <v>0</v>
      </c>
      <c r="EV55" s="46" cm="1">
        <f t="array" ref="EV55">ROUND(IFERROR(INDEX(ArchiveResults!$F$5:$IX$116,ComparisonData!A55,ComparisonData!$EV$1),0),5)</f>
        <v>0</v>
      </c>
      <c r="EW55" s="46" cm="1">
        <f t="array" ref="EW55">ROUND(IFERROR(INDEX(ArchiveResults!$F$5:$IX$116,ComparisonData!A55,ComparisonData!$EW$1),0),5)</f>
        <v>0</v>
      </c>
      <c r="EX55" s="46" cm="1">
        <f t="array" ref="EX55">ROUND(IFERROR(INDEX(ArchiveResults!$F$5:$IX$116,ComparisonData!A55,ComparisonData!$EX$1),0),5)</f>
        <v>0</v>
      </c>
      <c r="EY55" s="45" cm="1">
        <f t="array" ref="EY55">IFERROR(INDEX(ArchiveResults!$F$5:$IX$116,ComparisonData!A55,ComparisonData!$EY$1),0)</f>
        <v>0</v>
      </c>
      <c r="EZ55" s="56">
        <v>50</v>
      </c>
      <c r="FA55" s="53" t="str">
        <f t="shared" si="553"/>
        <v>London Borough of Croydon Archives</v>
      </c>
      <c r="FB55" s="59">
        <f t="shared" si="188"/>
        <v>0</v>
      </c>
      <c r="FC55" s="59">
        <f t="shared" si="189"/>
        <v>0</v>
      </c>
      <c r="FD55" s="59">
        <f t="shared" si="190"/>
        <v>0</v>
      </c>
      <c r="FE55" s="59">
        <f t="shared" si="191"/>
        <v>0</v>
      </c>
      <c r="FF55" s="59">
        <f t="shared" si="192"/>
        <v>0</v>
      </c>
      <c r="FG55" s="58">
        <f t="shared" si="193"/>
        <v>0</v>
      </c>
      <c r="FH55" s="45">
        <f t="shared" si="194"/>
        <v>107</v>
      </c>
      <c r="FI55" s="54">
        <f t="shared" si="554"/>
        <v>2.9740000000000002</v>
      </c>
      <c r="FJ55" s="45">
        <f t="shared" si="195"/>
        <v>1</v>
      </c>
      <c r="FK55" s="45">
        <f t="shared" si="196"/>
        <v>2</v>
      </c>
      <c r="FL55" s="46" cm="1">
        <f t="array" ref="FL55">ROUND(IFERROR(INDEX(ArchiveResults!$F$5:$IX$116,ComparisonData!A55,ComparisonData!$FL$1),0),5)</f>
        <v>0</v>
      </c>
      <c r="FM55" s="46" cm="1">
        <f t="array" ref="FM55">ROUND(IFERROR(INDEX(ArchiveResults!$F$5:$IX$116,ComparisonData!A55,ComparisonData!$FM$1),0),5)</f>
        <v>0</v>
      </c>
      <c r="FN55" s="46" cm="1">
        <f t="array" ref="FN55">ROUND(IFERROR(INDEX(ArchiveResults!$F$5:$IX$116,ComparisonData!A55,ComparisonData!$FN$1),0),5)</f>
        <v>0</v>
      </c>
      <c r="FO55" s="46" cm="1">
        <f t="array" ref="FO55">ROUND(IFERROR(INDEX(ArchiveResults!$F$5:$IX$116,ComparisonData!A55,ComparisonData!$FO$1),0),5)</f>
        <v>0</v>
      </c>
      <c r="FP55" s="45" cm="1">
        <f t="array" ref="FP55">IFERROR(INDEX(ArchiveResults!$F$5:$IX$116,ComparisonData!A55,ComparisonData!$FP$1),0)</f>
        <v>0</v>
      </c>
      <c r="FQ55" s="56">
        <v>50</v>
      </c>
      <c r="FR55" s="53" t="str">
        <f t="shared" si="555"/>
        <v>London Borough of Croydon Archives</v>
      </c>
      <c r="FS55" s="59">
        <f t="shared" si="197"/>
        <v>0</v>
      </c>
      <c r="FT55" s="59">
        <f t="shared" si="198"/>
        <v>0</v>
      </c>
      <c r="FU55" s="59">
        <f t="shared" si="199"/>
        <v>0</v>
      </c>
      <c r="FV55" s="59">
        <f t="shared" si="200"/>
        <v>0</v>
      </c>
      <c r="FW55" s="59">
        <f t="shared" si="201"/>
        <v>0</v>
      </c>
      <c r="FX55" s="58">
        <f t="shared" si="202"/>
        <v>0</v>
      </c>
      <c r="FY55" s="45">
        <f t="shared" si="203"/>
        <v>107</v>
      </c>
      <c r="FZ55" s="45">
        <f t="shared" si="556"/>
        <v>2.9740000000000002</v>
      </c>
      <c r="GA55" s="45">
        <f t="shared" si="204"/>
        <v>1</v>
      </c>
      <c r="GB55" s="45">
        <f t="shared" si="205"/>
        <v>2</v>
      </c>
      <c r="GC55" s="46" cm="1">
        <f t="array" ref="GC55">ROUND(IFERROR(INDEX(ArchiveResults!$F$5:$IX$116,ComparisonData!A55,ComparisonData!$GC$1),0),5)</f>
        <v>0</v>
      </c>
      <c r="GD55" s="46" cm="1">
        <f t="array" ref="GD55">ROUND(IFERROR(INDEX(ArchiveResults!$F$5:$IX$116,ComparisonData!A55,ComparisonData!$GD$1),0),5)</f>
        <v>0</v>
      </c>
      <c r="GE55" s="46" cm="1">
        <f t="array" ref="GE55">ROUND(IFERROR(INDEX(ArchiveResults!$F$5:$IX$116,ComparisonData!A55,ComparisonData!$GE$1),0),5)</f>
        <v>0</v>
      </c>
      <c r="GF55" s="46" cm="1">
        <f t="array" ref="GF55">ROUND(IFERROR(INDEX(ArchiveResults!$F$5:$IX$116,ComparisonData!A55,ComparisonData!$GF$1),0),5)</f>
        <v>0</v>
      </c>
      <c r="GG55" s="45" cm="1">
        <f t="array" ref="GG55">IFERROR(INDEX(ArchiveResults!$F$5:$IX$116,ComparisonData!A55,ComparisonData!$GG$1),0)</f>
        <v>0</v>
      </c>
      <c r="GH55" s="56">
        <v>50</v>
      </c>
      <c r="GI55" s="53" t="str">
        <f t="shared" si="557"/>
        <v>London Borough of Croydon Archives</v>
      </c>
      <c r="GJ55" s="59">
        <f t="shared" si="206"/>
        <v>0</v>
      </c>
      <c r="GK55" s="59">
        <f t="shared" si="207"/>
        <v>0</v>
      </c>
      <c r="GL55" s="59">
        <f t="shared" si="208"/>
        <v>0</v>
      </c>
      <c r="GM55" s="59">
        <f t="shared" si="209"/>
        <v>0</v>
      </c>
      <c r="GN55" s="59">
        <f t="shared" si="210"/>
        <v>0</v>
      </c>
      <c r="GO55" s="58">
        <f t="shared" si="211"/>
        <v>0</v>
      </c>
      <c r="GP55" s="45">
        <f t="shared" si="212"/>
        <v>107</v>
      </c>
      <c r="GQ55" s="45">
        <f t="shared" si="558"/>
        <v>2.9740000000000002</v>
      </c>
      <c r="GR55" s="45">
        <f t="shared" si="213"/>
        <v>1</v>
      </c>
      <c r="GS55" s="45">
        <f t="shared" si="214"/>
        <v>2</v>
      </c>
      <c r="GT55" s="46" cm="1">
        <f t="array" ref="GT55">ROUND(IFERROR(INDEX(ArchiveResults!$F$5:$IX$116,ComparisonData!A55,ComparisonData!$GT$1),0),5)</f>
        <v>0</v>
      </c>
      <c r="GU55" s="46" cm="1">
        <f t="array" ref="GU55">ROUND(IFERROR(INDEX(ArchiveResults!$F$5:$IX$116,ComparisonData!A55,ComparisonData!$GU$1),0),5)</f>
        <v>0</v>
      </c>
      <c r="GV55" s="46" cm="1">
        <f t="array" ref="GV55">ROUND(IFERROR(INDEX(ArchiveResults!$F$5:$IX$116,ComparisonData!A55,ComparisonData!$GV$1),0),5)</f>
        <v>0</v>
      </c>
      <c r="GW55" s="46" cm="1">
        <f t="array" ref="GW55">ROUND(IFERROR(INDEX(ArchiveResults!$F$5:$IX$116,ComparisonData!A55,ComparisonData!$GW$1),0),5)</f>
        <v>0</v>
      </c>
      <c r="GX55" s="45" cm="1">
        <f t="array" ref="GX55">IFERROR(INDEX(ArchiveResults!$F$5:$IX$116,ComparisonData!A55,ComparisonData!$GX$1),0)</f>
        <v>0</v>
      </c>
      <c r="GY55" s="56">
        <v>50</v>
      </c>
      <c r="GZ55" s="53" t="str">
        <f t="shared" si="559"/>
        <v>London Borough of Croydon Archives</v>
      </c>
      <c r="HA55" s="59">
        <f t="shared" si="215"/>
        <v>0</v>
      </c>
      <c r="HB55" s="59">
        <f t="shared" si="216"/>
        <v>0</v>
      </c>
      <c r="HC55" s="59">
        <f t="shared" si="217"/>
        <v>0</v>
      </c>
      <c r="HD55" s="59">
        <f t="shared" si="218"/>
        <v>0</v>
      </c>
      <c r="HE55" s="59">
        <f t="shared" si="219"/>
        <v>0</v>
      </c>
      <c r="HF55" s="58">
        <f t="shared" si="220"/>
        <v>0</v>
      </c>
      <c r="HG55" s="45">
        <f t="shared" si="221"/>
        <v>107</v>
      </c>
      <c r="HH55" s="45">
        <f t="shared" si="560"/>
        <v>2.9740000000000002</v>
      </c>
      <c r="HI55" s="45">
        <f t="shared" si="222"/>
        <v>1</v>
      </c>
      <c r="HJ55" s="45">
        <f t="shared" si="223"/>
        <v>2</v>
      </c>
      <c r="HK55" s="46" cm="1">
        <f t="array" ref="HK55">ROUND(IFERROR(INDEX(ArchiveResults!$F$5:$IX$116,ComparisonData!A55,ComparisonData!$HK$1),0),5)</f>
        <v>0</v>
      </c>
      <c r="HL55" s="46" cm="1">
        <f t="array" ref="HL55">ROUND(IFERROR(INDEX(ArchiveResults!$F$5:$IX$116,ComparisonData!A55,ComparisonData!$HL$1),0),5)</f>
        <v>0</v>
      </c>
      <c r="HM55" s="46" cm="1">
        <f t="array" ref="HM55">ROUND(IFERROR(INDEX(ArchiveResults!$F$5:$IX$116,ComparisonData!A55,ComparisonData!$HM$1),0),5)</f>
        <v>0</v>
      </c>
      <c r="HN55" s="46" cm="1">
        <f t="array" ref="HN55">ROUND(IFERROR(INDEX(ArchiveResults!$F$5:$IX$116,ComparisonData!A55,ComparisonData!$HN$1),0),5)</f>
        <v>0</v>
      </c>
      <c r="HO55" s="45" cm="1">
        <f t="array" ref="HO55">IFERROR(INDEX(ArchiveResults!$F$5:$IX$116,ComparisonData!A55,ComparisonData!$HO$1),0)</f>
        <v>0</v>
      </c>
      <c r="HP55" s="56">
        <v>50</v>
      </c>
      <c r="HQ55" s="53" t="str">
        <f t="shared" si="561"/>
        <v>London Borough of Croydon Archives</v>
      </c>
      <c r="HR55" s="59">
        <f t="shared" si="562"/>
        <v>0</v>
      </c>
      <c r="HS55" s="59">
        <f t="shared" si="563"/>
        <v>0</v>
      </c>
      <c r="HT55" s="59">
        <f t="shared" si="564"/>
        <v>0</v>
      </c>
      <c r="HU55" s="59">
        <f t="shared" si="565"/>
        <v>0</v>
      </c>
      <c r="HV55" s="59">
        <f t="shared" si="566"/>
        <v>0</v>
      </c>
      <c r="HW55" s="58">
        <f t="shared" si="224"/>
        <v>0</v>
      </c>
      <c r="HX55" s="45">
        <f t="shared" si="225"/>
        <v>107</v>
      </c>
      <c r="HY55" s="45">
        <f t="shared" si="567"/>
        <v>2.9740000000000002</v>
      </c>
      <c r="HZ55" s="45">
        <f t="shared" si="226"/>
        <v>1</v>
      </c>
      <c r="IA55" s="45">
        <f t="shared" si="227"/>
        <v>2</v>
      </c>
      <c r="IB55" s="45">
        <f t="shared" si="228"/>
        <v>0</v>
      </c>
      <c r="IC55" s="46" cm="1">
        <f t="array" ref="IC55">ROUND(IFERROR(INDEX(ArchiveResults!$F$5:$IX$116,ComparisonData!A55,ComparisonData!$IC$1),0),5)</f>
        <v>0</v>
      </c>
      <c r="ID55" s="46" cm="1">
        <f t="array" ref="ID55">ROUND(IFERROR(INDEX(ArchiveResults!$F$5:$IX$116,ComparisonData!A55,ComparisonData!$ID$1),0),5)</f>
        <v>0</v>
      </c>
      <c r="IE55" s="46" cm="1">
        <f t="array" ref="IE55">ROUND(IFERROR(INDEX(ArchiveResults!$F$5:$IX$116,ComparisonData!A55,ComparisonData!$IE$1),0),5)</f>
        <v>0</v>
      </c>
      <c r="IF55" s="46" cm="1">
        <f t="array" ref="IF55">ROUND(IFERROR(INDEX(ArchiveResults!$F$5:$IX$116,ComparisonData!A55,ComparisonData!$IF$1),0),5)</f>
        <v>0</v>
      </c>
      <c r="IG55" s="45" cm="1">
        <f t="array" ref="IG55">IFERROR(INDEX(ArchiveResults!$F$5:$IX$116,ComparisonData!A55,ComparisonData!$IG$1),0)</f>
        <v>0</v>
      </c>
      <c r="IH55" s="56">
        <v>50</v>
      </c>
      <c r="II55" s="53" t="str">
        <f t="shared" si="568"/>
        <v>London Borough of Croydon Archives</v>
      </c>
      <c r="IJ55" s="59">
        <f t="shared" si="229"/>
        <v>0</v>
      </c>
      <c r="IK55" s="59">
        <f t="shared" si="230"/>
        <v>0</v>
      </c>
      <c r="IL55" s="59">
        <f t="shared" si="231"/>
        <v>0</v>
      </c>
      <c r="IM55" s="59">
        <f t="shared" si="232"/>
        <v>0</v>
      </c>
      <c r="IN55" s="59">
        <f t="shared" si="233"/>
        <v>0</v>
      </c>
      <c r="IO55" s="58">
        <f t="shared" si="234"/>
        <v>0</v>
      </c>
      <c r="IP55" s="45">
        <f t="shared" si="235"/>
        <v>107</v>
      </c>
      <c r="IQ55" s="45">
        <f t="shared" si="569"/>
        <v>2.9740000000000002</v>
      </c>
      <c r="IR55" s="45">
        <f t="shared" si="236"/>
        <v>1</v>
      </c>
      <c r="IS55" s="45">
        <f t="shared" si="237"/>
        <v>2</v>
      </c>
      <c r="IT55" s="46">
        <f t="shared" si="238"/>
        <v>0</v>
      </c>
      <c r="IU55" s="46" cm="1">
        <f t="array" ref="IU55">ROUND(IFERROR(INDEX(ArchiveResults!$F$5:$IX$116,ComparisonData!A55,ComparisonData!$IU$1),0),5)</f>
        <v>0</v>
      </c>
      <c r="IV55" s="46" cm="1">
        <f t="array" ref="IV55">ROUND(IFERROR(INDEX(ArchiveResults!$F$5:$IX$116,ComparisonData!A55,ComparisonData!$IV$1),0),5)</f>
        <v>0</v>
      </c>
      <c r="IW55" s="46" cm="1">
        <f t="array" ref="IW55">ROUND(IFERROR(INDEX(ArchiveResults!$F$5:$IX$116,ComparisonData!A55,ComparisonData!$IW$1),0),5)</f>
        <v>0</v>
      </c>
      <c r="IX55" s="46" cm="1">
        <f t="array" ref="IX55">ROUND(IFERROR(INDEX(ArchiveResults!$F$5:$IX$116,ComparisonData!A55,ComparisonData!$IX$1),0),5)</f>
        <v>0</v>
      </c>
      <c r="IY55" s="45" cm="1">
        <f t="array" ref="IY55">IFERROR(INDEX(ArchiveResults!$F$5:$IX$116,ComparisonData!A55,ComparisonData!$IY$1),0)</f>
        <v>0</v>
      </c>
      <c r="IZ55" s="56">
        <v>50</v>
      </c>
      <c r="JA55" s="53" t="str">
        <f t="shared" si="570"/>
        <v>London Borough of Croydon Archives</v>
      </c>
      <c r="JB55" s="59">
        <f t="shared" si="239"/>
        <v>0</v>
      </c>
      <c r="JC55" s="59">
        <f t="shared" si="240"/>
        <v>0</v>
      </c>
      <c r="JD55" s="59">
        <f t="shared" si="241"/>
        <v>0</v>
      </c>
      <c r="JE55" s="59">
        <f t="shared" si="242"/>
        <v>0</v>
      </c>
      <c r="JF55" s="59">
        <f t="shared" si="243"/>
        <v>0</v>
      </c>
      <c r="JG55" s="58">
        <f t="shared" si="244"/>
        <v>0</v>
      </c>
      <c r="JH55" s="45">
        <f t="shared" si="245"/>
        <v>107</v>
      </c>
      <c r="JI55" s="45">
        <f t="shared" si="571"/>
        <v>2.9740000000000002</v>
      </c>
      <c r="JJ55" s="45">
        <f t="shared" si="246"/>
        <v>1</v>
      </c>
      <c r="JK55" s="45">
        <f t="shared" si="247"/>
        <v>2</v>
      </c>
      <c r="JL55" s="45">
        <f t="shared" si="248"/>
        <v>0</v>
      </c>
      <c r="JM55" s="46" cm="1">
        <f t="array" ref="JM55">ROUND(IFERROR(INDEX(ArchiveResults!$F$5:$IX$116,ComparisonData!A55,ComparisonData!$JM$1),0),5)</f>
        <v>0</v>
      </c>
      <c r="JN55" s="46" cm="1">
        <f t="array" ref="JN55">ROUND(IFERROR(INDEX(ArchiveResults!$F$5:$IX$116,ComparisonData!A55,ComparisonData!$JN$1),0),5)</f>
        <v>0</v>
      </c>
      <c r="JO55" s="46" cm="1">
        <f t="array" ref="JO55">ROUND(IFERROR(INDEX(ArchiveResults!$F$5:$IX$116,ComparisonData!A55,ComparisonData!$JO$1),0),5)</f>
        <v>0</v>
      </c>
      <c r="JP55" s="46" cm="1">
        <f t="array" ref="JP55">ROUND(IFERROR(INDEX(ArchiveResults!$F$5:$IX$116,ComparisonData!A55,ComparisonData!$JP$1),0),5)</f>
        <v>0</v>
      </c>
      <c r="JQ55" s="45" cm="1">
        <f t="array" ref="JQ55">IFERROR(INDEX(ArchiveResults!$F$5:$IX$116,ComparisonData!A55,ComparisonData!$JQ$1),0)</f>
        <v>0</v>
      </c>
      <c r="JR55" s="56">
        <v>50</v>
      </c>
      <c r="JS55" s="53" t="str">
        <f t="shared" si="572"/>
        <v>London Borough of Croydon Archives</v>
      </c>
      <c r="JT55" s="59">
        <f t="shared" si="249"/>
        <v>0</v>
      </c>
      <c r="JU55" s="59">
        <f t="shared" si="250"/>
        <v>0</v>
      </c>
      <c r="JV55" s="59">
        <f t="shared" si="251"/>
        <v>0</v>
      </c>
      <c r="JW55" s="59">
        <f t="shared" si="252"/>
        <v>0</v>
      </c>
      <c r="JX55" s="59">
        <f t="shared" si="253"/>
        <v>0</v>
      </c>
      <c r="JY55" s="58">
        <f t="shared" si="254"/>
        <v>0</v>
      </c>
      <c r="JZ55" s="45">
        <f t="shared" si="255"/>
        <v>107</v>
      </c>
      <c r="KA55" s="45">
        <f t="shared" si="573"/>
        <v>2.9740000000000002</v>
      </c>
      <c r="KB55" s="45">
        <f t="shared" si="256"/>
        <v>1</v>
      </c>
      <c r="KC55" s="45">
        <f t="shared" si="257"/>
        <v>2</v>
      </c>
      <c r="KD55" s="45">
        <f t="shared" si="258"/>
        <v>0</v>
      </c>
      <c r="KE55" s="46" cm="1">
        <f t="array" ref="KE55">ROUND(IFERROR(INDEX(ArchiveResults!$F$5:$IX$116,ComparisonData!A55,ComparisonData!$KE$1),0),5)</f>
        <v>0</v>
      </c>
      <c r="KF55" s="46" cm="1">
        <f t="array" ref="KF55">ROUND(IFERROR(INDEX(ArchiveResults!$F$5:$IX$116,ComparisonData!A55,ComparisonData!$KF$1),0),5)</f>
        <v>0</v>
      </c>
      <c r="KG55" s="46" cm="1">
        <f t="array" ref="KG55">ROUND(IFERROR(INDEX(ArchiveResults!$F$5:$IX$116,ComparisonData!A55,ComparisonData!$KG$1),0),5)</f>
        <v>0</v>
      </c>
      <c r="KH55" s="46" cm="1">
        <f t="array" ref="KH55">ROUND(IFERROR(INDEX(ArchiveResults!$F$5:$IX$116,ComparisonData!A55,ComparisonData!$KH$1),0),5)</f>
        <v>0</v>
      </c>
      <c r="KI55" s="45" cm="1">
        <f t="array" ref="KI55">IFERROR(INDEX(ArchiveResults!$F$5:$IX$116,ComparisonData!A55,ComparisonData!$KI$1),0)</f>
        <v>0</v>
      </c>
      <c r="KJ55" s="56">
        <v>50</v>
      </c>
      <c r="KK55" s="53" t="str">
        <f t="shared" si="574"/>
        <v>London Borough of Croydon Archives</v>
      </c>
      <c r="KL55" s="59">
        <f t="shared" si="259"/>
        <v>0</v>
      </c>
      <c r="KM55" s="59">
        <f t="shared" si="260"/>
        <v>0</v>
      </c>
      <c r="KN55" s="59">
        <f t="shared" si="261"/>
        <v>0</v>
      </c>
      <c r="KO55" s="59">
        <f t="shared" si="262"/>
        <v>0</v>
      </c>
      <c r="KP55" s="59">
        <f t="shared" si="263"/>
        <v>0</v>
      </c>
      <c r="KQ55" s="58">
        <f t="shared" si="264"/>
        <v>0</v>
      </c>
      <c r="KR55" s="45">
        <f t="shared" si="265"/>
        <v>107</v>
      </c>
      <c r="KS55" s="45">
        <f t="shared" si="575"/>
        <v>2.9740000000000002</v>
      </c>
      <c r="KT55" s="45">
        <f t="shared" si="266"/>
        <v>1</v>
      </c>
      <c r="KU55" s="45">
        <f t="shared" si="267"/>
        <v>2</v>
      </c>
      <c r="KV55" s="45">
        <f t="shared" si="268"/>
        <v>0</v>
      </c>
      <c r="KW55" s="46" cm="1">
        <f t="array" ref="KW55">ROUND(IFERROR(INDEX(ArchiveResults!$F$5:$IX$116,ComparisonData!A55,ComparisonData!$KW$1),0),5)</f>
        <v>0</v>
      </c>
      <c r="KX55" s="46" cm="1">
        <f t="array" ref="KX55">ROUND(IFERROR(INDEX(ArchiveResults!$F$5:$IX$116,ComparisonData!A55,ComparisonData!$KX$1),0),5)</f>
        <v>0</v>
      </c>
      <c r="KY55" s="46" cm="1">
        <f t="array" ref="KY55">ROUND(IFERROR(INDEX(ArchiveResults!$F$5:$IX$116,ComparisonData!A55,ComparisonData!$KY$1),0),5)</f>
        <v>0</v>
      </c>
      <c r="KZ55" s="46" cm="1">
        <f t="array" ref="KZ55">ROUND(IFERROR(INDEX(ArchiveResults!$F$5:$IX$116,ComparisonData!A55,ComparisonData!$KZ$1),0),5)</f>
        <v>0</v>
      </c>
      <c r="LA55" s="45" cm="1">
        <f t="array" ref="LA55">IFERROR(INDEX(ArchiveResults!$F$5:$IX$116,ComparisonData!A55,ComparisonData!$LA$1),0)</f>
        <v>0</v>
      </c>
      <c r="LB55" s="56">
        <v>50</v>
      </c>
      <c r="LC55" s="53" t="str">
        <f t="shared" si="576"/>
        <v>London Borough of Croydon Archives</v>
      </c>
      <c r="LD55" s="59">
        <f t="shared" si="269"/>
        <v>0</v>
      </c>
      <c r="LE55" s="59">
        <f t="shared" si="270"/>
        <v>0</v>
      </c>
      <c r="LF55" s="59">
        <f t="shared" si="271"/>
        <v>0</v>
      </c>
      <c r="LG55" s="59">
        <f t="shared" si="272"/>
        <v>0</v>
      </c>
      <c r="LH55" s="59">
        <f t="shared" si="273"/>
        <v>0</v>
      </c>
      <c r="LI55" s="58">
        <f t="shared" si="274"/>
        <v>0</v>
      </c>
      <c r="LJ55" s="45">
        <f t="shared" si="275"/>
        <v>107</v>
      </c>
      <c r="LK55" s="45">
        <f t="shared" si="577"/>
        <v>2.9740000000000002</v>
      </c>
      <c r="LL55" s="45">
        <f t="shared" si="276"/>
        <v>1</v>
      </c>
      <c r="LM55" s="45">
        <f t="shared" si="277"/>
        <v>2</v>
      </c>
      <c r="LN55" s="45">
        <f t="shared" si="278"/>
        <v>0</v>
      </c>
      <c r="LO55" s="46" cm="1">
        <f t="array" ref="LO55">ROUND(IFERROR(INDEX(ArchiveResults!$F$5:$IX$116,ComparisonData!A55,ComparisonData!$LO$1),0),5)</f>
        <v>0</v>
      </c>
      <c r="LP55" s="46" cm="1">
        <f t="array" ref="LP55">ROUND(IFERROR(INDEX(ArchiveResults!$F$5:$IX$116,ComparisonData!A55,ComparisonData!$LP$1),0),5)</f>
        <v>0</v>
      </c>
      <c r="LQ55" s="46" cm="1">
        <f t="array" ref="LQ55">ROUND(IFERROR(INDEX(ArchiveResults!$F$5:$IX$116,ComparisonData!A55,ComparisonData!$LQ$1),0),5)</f>
        <v>0</v>
      </c>
      <c r="LR55" s="46" cm="1">
        <f t="array" ref="LR55">ROUND(IFERROR(INDEX(ArchiveResults!$F$5:$IX$116,ComparisonData!A55,ComparisonData!$LR$1),0),5)</f>
        <v>0</v>
      </c>
      <c r="LS55" s="45" cm="1">
        <f t="array" ref="LS55">IFERROR(INDEX(ArchiveResults!$F$5:$IX$116,ComparisonData!A55,ComparisonData!$LS$1),0)</f>
        <v>0</v>
      </c>
      <c r="LT55" s="56">
        <v>50</v>
      </c>
      <c r="LU55" s="53" t="str">
        <f t="shared" si="578"/>
        <v>London Borough of Croydon Archives</v>
      </c>
      <c r="LV55" s="59">
        <f t="shared" si="279"/>
        <v>0</v>
      </c>
      <c r="LW55" s="59">
        <f t="shared" si="280"/>
        <v>0</v>
      </c>
      <c r="LX55" s="59">
        <f t="shared" si="281"/>
        <v>0</v>
      </c>
      <c r="LY55" s="59">
        <f t="shared" si="282"/>
        <v>0</v>
      </c>
      <c r="LZ55" s="59">
        <f t="shared" si="283"/>
        <v>0</v>
      </c>
      <c r="MA55" s="58">
        <f t="shared" si="284"/>
        <v>0</v>
      </c>
      <c r="MB55" s="45">
        <f t="shared" si="285"/>
        <v>107</v>
      </c>
      <c r="MC55" s="45">
        <f t="shared" si="579"/>
        <v>2.9740000000000002</v>
      </c>
      <c r="MD55" s="45">
        <f t="shared" si="286"/>
        <v>1</v>
      </c>
      <c r="ME55" s="45">
        <f t="shared" si="287"/>
        <v>2</v>
      </c>
      <c r="MF55" s="45">
        <f t="shared" si="288"/>
        <v>0</v>
      </c>
      <c r="MG55" s="46" cm="1">
        <f t="array" ref="MG55">ROUND(IFERROR(INDEX(ArchiveResults!$F$5:$IX$116,ComparisonData!A55,ComparisonData!$MG$1),0),5)</f>
        <v>0</v>
      </c>
      <c r="MH55" s="46" cm="1">
        <f t="array" ref="MH55">ROUND(IFERROR(INDEX(ArchiveResults!$F$5:$IX$116,ComparisonData!A55,ComparisonData!$MH$1),0),5)</f>
        <v>0</v>
      </c>
      <c r="MI55" s="46" cm="1">
        <f t="array" ref="MI55">ROUND(IFERROR(INDEX(ArchiveResults!$F$5:$IX$116,ComparisonData!A55,ComparisonData!$MI$1),0),5)</f>
        <v>0</v>
      </c>
      <c r="MJ55" s="46" cm="1">
        <f t="array" ref="MJ55">ROUND(IFERROR(INDEX(ArchiveResults!$F$5:$IX$116,ComparisonData!A55,ComparisonData!$MJ$1),0),5)</f>
        <v>0</v>
      </c>
      <c r="MK55" s="45" cm="1">
        <f t="array" ref="MK55">IFERROR(INDEX(ArchiveResults!$F$5:$IX$116,ComparisonData!A55,ComparisonData!$MK$1),0)</f>
        <v>0</v>
      </c>
      <c r="ML55" s="56">
        <v>50</v>
      </c>
      <c r="MM55" s="53" t="str">
        <f t="shared" si="580"/>
        <v>London Borough of Croydon Archives</v>
      </c>
      <c r="MN55" s="59">
        <f t="shared" si="289"/>
        <v>0</v>
      </c>
      <c r="MO55" s="59">
        <f t="shared" si="290"/>
        <v>0</v>
      </c>
      <c r="MP55" s="59">
        <f t="shared" si="291"/>
        <v>0</v>
      </c>
      <c r="MQ55" s="59">
        <f t="shared" si="292"/>
        <v>0</v>
      </c>
      <c r="MR55" s="59">
        <f t="shared" si="293"/>
        <v>0</v>
      </c>
      <c r="MS55" s="58">
        <f t="shared" si="294"/>
        <v>0</v>
      </c>
      <c r="MT55" s="45">
        <f t="shared" si="295"/>
        <v>107</v>
      </c>
      <c r="MU55" s="45">
        <f t="shared" si="581"/>
        <v>2.9740000000000002</v>
      </c>
      <c r="MV55" s="45">
        <f t="shared" si="296"/>
        <v>1</v>
      </c>
      <c r="MW55" s="45">
        <f t="shared" si="297"/>
        <v>2</v>
      </c>
      <c r="MX55" s="45">
        <f t="shared" si="298"/>
        <v>0</v>
      </c>
      <c r="MY55" s="46" cm="1">
        <f t="array" ref="MY55">ROUND(IFERROR(INDEX(ArchiveResults!$F$5:$IX$116,ComparisonData!A55,ComparisonData!$MY$1),0),5)</f>
        <v>0</v>
      </c>
      <c r="MZ55" s="46" cm="1">
        <f t="array" ref="MZ55">ROUND(IFERROR(INDEX(ArchiveResults!$F$5:$IX$116,ComparisonData!A55,ComparisonData!$MZ$1),0),5)</f>
        <v>0</v>
      </c>
      <c r="NA55" s="46" cm="1">
        <f t="array" ref="NA55">ROUND(IFERROR(INDEX(ArchiveResults!$F$5:$IX$116,ComparisonData!A55,ComparisonData!$NA$1),0),5)</f>
        <v>0</v>
      </c>
      <c r="NB55" s="46" cm="1">
        <f t="array" ref="NB55">ROUND(IFERROR(INDEX(ArchiveResults!$F$5:$IX$116,ComparisonData!A55,ComparisonData!$NB$1),0),5)</f>
        <v>0</v>
      </c>
      <c r="NC55" s="45" cm="1">
        <f t="array" ref="NC55">IFERROR(INDEX(ArchiveResults!$F$5:$IX$116,ComparisonData!A55,ComparisonData!$NC$1),0)</f>
        <v>0</v>
      </c>
      <c r="ND55" s="56">
        <v>50</v>
      </c>
      <c r="NE55" s="53" t="str">
        <f t="shared" si="582"/>
        <v>London Borough of Croydon Archives</v>
      </c>
      <c r="NF55" s="59">
        <f t="shared" si="299"/>
        <v>0</v>
      </c>
      <c r="NG55" s="59">
        <f t="shared" si="300"/>
        <v>0</v>
      </c>
      <c r="NH55" s="59">
        <f t="shared" si="301"/>
        <v>0</v>
      </c>
      <c r="NI55" s="59">
        <f t="shared" si="302"/>
        <v>0</v>
      </c>
      <c r="NJ55" s="59">
        <f t="shared" si="303"/>
        <v>0</v>
      </c>
      <c r="NK55" s="58">
        <f t="shared" si="304"/>
        <v>0</v>
      </c>
      <c r="NL55" s="45">
        <f t="shared" si="305"/>
        <v>107</v>
      </c>
      <c r="NM55" s="45">
        <f t="shared" si="583"/>
        <v>2.9740000000000002</v>
      </c>
      <c r="NN55" s="45">
        <f t="shared" si="306"/>
        <v>1</v>
      </c>
      <c r="NO55" s="45">
        <f t="shared" si="307"/>
        <v>2</v>
      </c>
      <c r="NP55" s="46" cm="1">
        <f t="array" ref="NP55">ROUND(IFERROR(INDEX(ArchiveResults!$F$5:$IX$116,ComparisonData!A55,ComparisonData!$NP$1),0),5)</f>
        <v>0</v>
      </c>
      <c r="NQ55" s="46" cm="1">
        <f t="array" ref="NQ55">ROUND(IFERROR(INDEX(ArchiveResults!$F$5:$IX$116,ComparisonData!A55,ComparisonData!$NQ$1),0),5)</f>
        <v>0</v>
      </c>
      <c r="NR55" s="46" cm="1">
        <f t="array" ref="NR55">ROUND(IFERROR(INDEX(ArchiveResults!$F$5:$IX$116,ComparisonData!A55,ComparisonData!$NR$1),0),5)</f>
        <v>0</v>
      </c>
      <c r="NS55" s="46" cm="1">
        <f t="array" ref="NS55">ROUND(IFERROR(INDEX(ArchiveResults!$F$5:$IX$116,ComparisonData!A55,ComparisonData!$NS$1),0),5)</f>
        <v>0</v>
      </c>
      <c r="NT55" s="45" cm="1">
        <f t="array" ref="NT55">IFERROR(INDEX(ArchiveResults!$F$5:$IX$116,ComparisonData!A55,ComparisonData!$NT$1),0)</f>
        <v>0</v>
      </c>
      <c r="NU55" s="56">
        <v>50</v>
      </c>
      <c r="NV55" s="53" t="str">
        <f t="shared" si="584"/>
        <v>London Borough of Croydon Archives</v>
      </c>
      <c r="NW55" s="59">
        <f t="shared" si="308"/>
        <v>0</v>
      </c>
      <c r="NX55" s="59">
        <f t="shared" si="309"/>
        <v>0</v>
      </c>
      <c r="NY55" s="59">
        <f t="shared" si="310"/>
        <v>0</v>
      </c>
      <c r="NZ55" s="59">
        <f t="shared" si="311"/>
        <v>0</v>
      </c>
      <c r="OA55" s="59">
        <f t="shared" si="312"/>
        <v>0</v>
      </c>
      <c r="OB55" s="58">
        <f t="shared" si="313"/>
        <v>0</v>
      </c>
      <c r="OC55" s="45">
        <f t="shared" si="314"/>
        <v>107</v>
      </c>
      <c r="OD55" s="45">
        <f t="shared" si="585"/>
        <v>2.9740000000000002</v>
      </c>
      <c r="OE55" s="45">
        <f t="shared" si="315"/>
        <v>1</v>
      </c>
      <c r="OF55" s="45">
        <f t="shared" si="316"/>
        <v>2</v>
      </c>
      <c r="OG55" s="46">
        <f t="shared" si="317"/>
        <v>0</v>
      </c>
      <c r="OH55" s="46" cm="1">
        <f t="array" ref="OH55">ROUND(IFERROR(INDEX(ArchiveResults!$F$5:$IX$116,ComparisonData!A55,ComparisonData!$OH$1),0),5)</f>
        <v>0</v>
      </c>
      <c r="OI55" s="46" cm="1">
        <f t="array" ref="OI55">ROUND(IFERROR(INDEX(ArchiveResults!$F$5:$IX$116,ComparisonData!A55,ComparisonData!$OI$1),0),5)</f>
        <v>0</v>
      </c>
      <c r="OJ55" s="46" cm="1">
        <f t="array" ref="OJ55">ROUND(IFERROR(INDEX(ArchiveResults!$F$5:$IX$116,ComparisonData!A55,ComparisonData!$OJ$1),0),5)</f>
        <v>0</v>
      </c>
      <c r="OK55" s="46" cm="1">
        <f t="array" ref="OK55">ROUND(IFERROR(INDEX(ArchiveResults!$F$5:$IX$116,ComparisonData!A55,ComparisonData!$OK$1),0),5)</f>
        <v>0</v>
      </c>
      <c r="OL55" s="45" cm="1">
        <f t="array" ref="OL55">IFERROR(INDEX(ArchiveResults!$F$5:$IX$116,ComparisonData!A55,ComparisonData!$OL$1),0)</f>
        <v>0</v>
      </c>
      <c r="OM55" s="56">
        <v>50</v>
      </c>
      <c r="ON55" s="53" t="str">
        <f t="shared" si="586"/>
        <v>London Borough of Croydon Archives</v>
      </c>
      <c r="OO55" s="59">
        <f t="shared" si="318"/>
        <v>0</v>
      </c>
      <c r="OP55" s="59">
        <f t="shared" si="319"/>
        <v>0</v>
      </c>
      <c r="OQ55" s="59">
        <f t="shared" si="320"/>
        <v>0</v>
      </c>
      <c r="OR55" s="59">
        <f t="shared" si="321"/>
        <v>0</v>
      </c>
      <c r="OS55" s="59">
        <f t="shared" si="322"/>
        <v>0</v>
      </c>
      <c r="OT55" s="58">
        <f t="shared" si="323"/>
        <v>0</v>
      </c>
      <c r="OU55" s="45">
        <f t="shared" si="324"/>
        <v>107</v>
      </c>
      <c r="OV55" s="45">
        <f t="shared" si="587"/>
        <v>2.9740000000000002</v>
      </c>
      <c r="OW55" s="45">
        <f t="shared" si="325"/>
        <v>1</v>
      </c>
      <c r="OX55" s="45">
        <f t="shared" si="326"/>
        <v>2</v>
      </c>
      <c r="OY55" s="45">
        <f t="shared" si="327"/>
        <v>0</v>
      </c>
      <c r="OZ55" s="46" cm="1">
        <f t="array" ref="OZ55">ROUND(IFERROR(INDEX(ArchiveResults!$F$5:$IX$116,ComparisonData!A55,ComparisonData!$OZ$1),0),5)</f>
        <v>0</v>
      </c>
      <c r="PA55" s="46" cm="1">
        <f t="array" ref="PA55">ROUND(IFERROR(INDEX(ArchiveResults!$F$5:$IX$116,ComparisonData!A55,ComparisonData!$PA$1),0),5)</f>
        <v>0</v>
      </c>
      <c r="PB55" s="46" cm="1">
        <f t="array" ref="PB55">ROUND(IFERROR(INDEX(ArchiveResults!$F$5:$IX$116,ComparisonData!A55,ComparisonData!$PB$1),0),5)</f>
        <v>0</v>
      </c>
      <c r="PC55" s="46" cm="1">
        <f t="array" ref="PC55">ROUND(IFERROR(INDEX(ArchiveResults!$F$5:$IX$116,ComparisonData!A55,ComparisonData!$PC$1),0),5)</f>
        <v>0</v>
      </c>
      <c r="PD55" s="45" cm="1">
        <f t="array" ref="PD55">IFERROR(INDEX(ArchiveResults!$F$5:$IX$116,ComparisonData!A55,ComparisonData!$PD$1),0)</f>
        <v>0</v>
      </c>
      <c r="PE55" s="56">
        <v>50</v>
      </c>
      <c r="PF55" s="53" t="str">
        <f t="shared" si="588"/>
        <v>London Borough of Croydon Archives</v>
      </c>
      <c r="PG55" s="59">
        <f t="shared" si="328"/>
        <v>0</v>
      </c>
      <c r="PH55" s="59">
        <f t="shared" si="329"/>
        <v>0</v>
      </c>
      <c r="PI55" s="59">
        <f t="shared" si="330"/>
        <v>0</v>
      </c>
      <c r="PJ55" s="59">
        <f t="shared" si="331"/>
        <v>0</v>
      </c>
      <c r="PK55" s="59">
        <f t="shared" si="332"/>
        <v>0</v>
      </c>
      <c r="PL55" s="58">
        <f t="shared" si="333"/>
        <v>0</v>
      </c>
      <c r="PM55" s="45">
        <f t="shared" si="334"/>
        <v>107</v>
      </c>
      <c r="PN55" s="45">
        <f t="shared" si="589"/>
        <v>2.9740000000000002</v>
      </c>
      <c r="PO55" s="45">
        <f t="shared" si="335"/>
        <v>1</v>
      </c>
      <c r="PP55" s="45">
        <f t="shared" si="336"/>
        <v>2</v>
      </c>
      <c r="PQ55" s="45">
        <f t="shared" si="337"/>
        <v>0</v>
      </c>
      <c r="PR55" s="46" cm="1">
        <f t="array" ref="PR55">ROUND(IFERROR(INDEX(ArchiveResults!$F$5:$IX$116,ComparisonData!A55,ComparisonData!$PR$1),0),5)</f>
        <v>0</v>
      </c>
      <c r="PS55" s="46" cm="1">
        <f t="array" ref="PS55">ROUND(IFERROR(INDEX(ArchiveResults!$F$5:$IX$116,ComparisonData!A55,ComparisonData!$PS$1),0),5)</f>
        <v>0</v>
      </c>
      <c r="PT55" s="46" cm="1">
        <f t="array" ref="PT55">ROUND(IFERROR(INDEX(ArchiveResults!$F$5:$IX$116,ComparisonData!A55,ComparisonData!$PT$1),0),5)</f>
        <v>0</v>
      </c>
      <c r="PU55" s="46" cm="1">
        <f t="array" ref="PU55">ROUND(IFERROR(INDEX(ArchiveResults!$F$5:$IX$116,ComparisonData!A55,ComparisonData!$PU$1),0),5)</f>
        <v>0</v>
      </c>
      <c r="PV55" s="45" cm="1">
        <f t="array" ref="PV55">IFERROR(INDEX(ArchiveResults!$F$5:$IX$116,ComparisonData!A55,ComparisonData!$PV$1),0)</f>
        <v>0</v>
      </c>
      <c r="PW55" s="56">
        <v>50</v>
      </c>
      <c r="PX55" s="53" t="str">
        <f t="shared" si="590"/>
        <v>London Borough of Croydon Archives</v>
      </c>
      <c r="PY55" s="59">
        <f t="shared" si="338"/>
        <v>0</v>
      </c>
      <c r="PZ55" s="59">
        <f t="shared" si="339"/>
        <v>0</v>
      </c>
      <c r="QA55" s="59">
        <f t="shared" si="340"/>
        <v>0</v>
      </c>
      <c r="QB55" s="59">
        <f t="shared" si="341"/>
        <v>0</v>
      </c>
      <c r="QC55" s="59">
        <f t="shared" si="342"/>
        <v>0</v>
      </c>
      <c r="QD55" s="58">
        <f t="shared" si="343"/>
        <v>0</v>
      </c>
      <c r="QE55" s="45">
        <f t="shared" si="344"/>
        <v>107</v>
      </c>
      <c r="QF55" s="45">
        <f t="shared" si="591"/>
        <v>2.9740000000000002</v>
      </c>
      <c r="QG55" s="45">
        <f t="shared" si="345"/>
        <v>1</v>
      </c>
      <c r="QH55" s="45">
        <f t="shared" si="346"/>
        <v>2</v>
      </c>
      <c r="QI55" s="45">
        <f t="shared" si="347"/>
        <v>0</v>
      </c>
      <c r="QJ55" s="46" cm="1">
        <f t="array" ref="QJ55">ROUND(IFERROR(INDEX(ArchiveResults!$F$5:$IX$116,ComparisonData!A55,ComparisonData!$QJ$1),0),5)</f>
        <v>0</v>
      </c>
      <c r="QK55" s="46" cm="1">
        <f t="array" ref="QK55">ROUND(IFERROR(INDEX(ArchiveResults!$F$5:$IX$116,ComparisonData!A55,ComparisonData!$QK$1),0),5)</f>
        <v>0</v>
      </c>
      <c r="QL55" s="46" cm="1">
        <f t="array" ref="QL55">ROUND(IFERROR(INDEX(ArchiveResults!$F$5:$IX$116,ComparisonData!A55,ComparisonData!$QL$1),0),5)</f>
        <v>0</v>
      </c>
      <c r="QM55" s="46" cm="1">
        <f t="array" ref="QM55">ROUND(IFERROR(INDEX(ArchiveResults!$F$5:$IX$116,ComparisonData!A55,ComparisonData!$QM$1),0),5)</f>
        <v>0</v>
      </c>
      <c r="QN55" s="45" cm="1">
        <f t="array" ref="QN55">IFERROR(INDEX(ArchiveResults!$F$5:$IX$116,ComparisonData!A55,ComparisonData!$QN$1),0)</f>
        <v>0</v>
      </c>
      <c r="QO55" s="56">
        <v>50</v>
      </c>
      <c r="QP55" s="53" t="str">
        <f t="shared" si="592"/>
        <v>London Borough of Croydon Archives</v>
      </c>
      <c r="QQ55" s="59">
        <f t="shared" si="348"/>
        <v>0</v>
      </c>
      <c r="QR55" s="59">
        <f t="shared" si="349"/>
        <v>0</v>
      </c>
      <c r="QS55" s="59">
        <f t="shared" si="350"/>
        <v>0</v>
      </c>
      <c r="QT55" s="59">
        <f t="shared" si="351"/>
        <v>0</v>
      </c>
      <c r="QU55" s="59">
        <f t="shared" si="352"/>
        <v>0</v>
      </c>
      <c r="QV55" s="58">
        <f t="shared" si="353"/>
        <v>0</v>
      </c>
      <c r="QW55" s="45">
        <f t="shared" si="354"/>
        <v>107</v>
      </c>
      <c r="QX55" s="45">
        <f t="shared" si="593"/>
        <v>2.9740000000000002</v>
      </c>
      <c r="QY55" s="45">
        <f t="shared" si="355"/>
        <v>1</v>
      </c>
      <c r="QZ55" s="45">
        <f t="shared" si="356"/>
        <v>2</v>
      </c>
      <c r="RA55" s="45">
        <f t="shared" si="357"/>
        <v>0</v>
      </c>
      <c r="RB55" s="46" cm="1">
        <f t="array" ref="RB55">ROUND(IFERROR(INDEX(ArchiveResults!$F$5:$IX$116,ComparisonData!A55,ComparisonData!$RB$1),0),5)</f>
        <v>0</v>
      </c>
      <c r="RC55" s="46" cm="1">
        <f t="array" ref="RC55">ROUND(IFERROR(INDEX(ArchiveResults!$F$5:$IX$116,ComparisonData!A55,ComparisonData!$RC$1),0),5)</f>
        <v>0</v>
      </c>
      <c r="RD55" s="46" cm="1">
        <f t="array" ref="RD55">ROUND(IFERROR(INDEX(ArchiveResults!$F$5:$IX$116,ComparisonData!A55,ComparisonData!$RD$1),0),5)</f>
        <v>0</v>
      </c>
      <c r="RE55" s="46" cm="1">
        <f t="array" ref="RE55">ROUND(IFERROR(INDEX(ArchiveResults!$F$5:$IX$116,ComparisonData!A55,ComparisonData!$RE$1),0),5)</f>
        <v>0</v>
      </c>
      <c r="RF55" s="45" cm="1">
        <f t="array" ref="RF55">IFERROR(INDEX(ArchiveResults!$F$5:$IX$116,ComparisonData!A55,ComparisonData!$RF$1),0)</f>
        <v>0</v>
      </c>
      <c r="RG55" s="56">
        <v>50</v>
      </c>
      <c r="RH55" s="53" t="str">
        <f t="shared" si="594"/>
        <v>London Borough of Croydon Archives</v>
      </c>
      <c r="RI55" s="59">
        <f t="shared" si="358"/>
        <v>0</v>
      </c>
      <c r="RJ55" s="59">
        <f t="shared" si="359"/>
        <v>0</v>
      </c>
      <c r="RK55" s="59">
        <f t="shared" si="360"/>
        <v>0</v>
      </c>
      <c r="RL55" s="59">
        <f t="shared" si="361"/>
        <v>0</v>
      </c>
      <c r="RM55" s="59">
        <f t="shared" si="362"/>
        <v>0</v>
      </c>
      <c r="RN55" s="58">
        <f t="shared" si="363"/>
        <v>0</v>
      </c>
      <c r="RO55" s="45">
        <f t="shared" si="364"/>
        <v>107</v>
      </c>
      <c r="RP55" s="45">
        <f t="shared" si="595"/>
        <v>2.9740000000000002</v>
      </c>
      <c r="RQ55" s="45">
        <f t="shared" si="365"/>
        <v>1</v>
      </c>
      <c r="RR55" s="45">
        <f t="shared" si="366"/>
        <v>2</v>
      </c>
      <c r="RS55" s="45">
        <f t="shared" si="367"/>
        <v>0</v>
      </c>
      <c r="RT55" s="46" cm="1">
        <f t="array" ref="RT55">ROUND(IFERROR(INDEX(ArchiveResults!$F$5:$IX$116,ComparisonData!A55,ComparisonData!$RT$1),0),5)</f>
        <v>0</v>
      </c>
      <c r="RU55" s="46" cm="1">
        <f t="array" ref="RU55">ROUND(IFERROR(INDEX(ArchiveResults!$F$5:$IX$116,ComparisonData!A55,ComparisonData!$RU$1),0),5)</f>
        <v>0</v>
      </c>
      <c r="RV55" s="46" cm="1">
        <f t="array" ref="RV55">ROUND(IFERROR(INDEX(ArchiveResults!$F$5:$IX$116,ComparisonData!A55,ComparisonData!$RV$1),0),5)</f>
        <v>0</v>
      </c>
      <c r="RW55" s="46" cm="1">
        <f t="array" ref="RW55">ROUND(IFERROR(INDEX(ArchiveResults!$F$5:$IX$116,ComparisonData!A55,ComparisonData!$RW$1),0),5)</f>
        <v>0</v>
      </c>
      <c r="RX55" s="45" cm="1">
        <f t="array" ref="RX55">IFERROR(INDEX(ArchiveResults!$F$5:$IX$116,ComparisonData!A55,ComparisonData!$RX$1),0)</f>
        <v>0</v>
      </c>
      <c r="RY55" s="56">
        <v>50</v>
      </c>
      <c r="RZ55" s="53" t="str">
        <f t="shared" si="596"/>
        <v>London Borough of Croydon Archives</v>
      </c>
      <c r="SA55" s="59">
        <f t="shared" si="368"/>
        <v>0</v>
      </c>
      <c r="SB55" s="59">
        <f t="shared" si="369"/>
        <v>0</v>
      </c>
      <c r="SC55" s="59">
        <f t="shared" si="370"/>
        <v>0</v>
      </c>
      <c r="SD55" s="59">
        <f t="shared" si="371"/>
        <v>0</v>
      </c>
      <c r="SE55" s="59">
        <f t="shared" si="372"/>
        <v>0</v>
      </c>
      <c r="SF55" s="58">
        <f t="shared" si="373"/>
        <v>0</v>
      </c>
      <c r="SG55" s="45">
        <f t="shared" si="374"/>
        <v>107</v>
      </c>
      <c r="SH55" s="45">
        <f t="shared" si="597"/>
        <v>2.9740000000000002</v>
      </c>
      <c r="SI55" s="45">
        <f t="shared" si="375"/>
        <v>1</v>
      </c>
      <c r="SJ55" s="45">
        <f t="shared" si="376"/>
        <v>2</v>
      </c>
      <c r="SK55" s="45">
        <f t="shared" si="377"/>
        <v>0</v>
      </c>
      <c r="SL55" s="46" cm="1">
        <f t="array" ref="SL55">ROUND(IFERROR(INDEX(ArchiveResults!$F$5:$IX$116,ComparisonData!A55,ComparisonData!$SL$1),0),5)</f>
        <v>0</v>
      </c>
      <c r="SM55" s="46" cm="1">
        <f t="array" ref="SM55">ROUND(IFERROR(INDEX(ArchiveResults!$F$5:$IX$116,ComparisonData!A55,ComparisonData!$SM$1),0),5)</f>
        <v>0</v>
      </c>
      <c r="SN55" s="46" cm="1">
        <f t="array" ref="SN55">ROUND(IFERROR(INDEX(ArchiveResults!$F$5:$IX$116,ComparisonData!A55,ComparisonData!$SN$1),0),5)</f>
        <v>0</v>
      </c>
      <c r="SO55" s="46" cm="1">
        <f t="array" ref="SO55">ROUND(IFERROR(INDEX(ArchiveResults!$F$5:$IX$116,ComparisonData!A55,ComparisonData!$SO$1),0),5)</f>
        <v>0</v>
      </c>
      <c r="SP55" s="45" cm="1">
        <f t="array" ref="SP55">IFERROR(INDEX(ArchiveResults!$F$5:$IX$116,ComparisonData!A55,ComparisonData!$SP$1),0)</f>
        <v>0</v>
      </c>
      <c r="SQ55" s="56">
        <v>50</v>
      </c>
      <c r="SR55" s="53" t="str">
        <f t="shared" si="598"/>
        <v>London Borough of Croydon Archives</v>
      </c>
      <c r="SS55" s="59">
        <f t="shared" si="378"/>
        <v>0</v>
      </c>
      <c r="ST55" s="59">
        <f t="shared" si="379"/>
        <v>0</v>
      </c>
      <c r="SU55" s="59">
        <f t="shared" si="380"/>
        <v>0</v>
      </c>
      <c r="SV55" s="59">
        <f t="shared" si="381"/>
        <v>0</v>
      </c>
      <c r="SW55" s="59">
        <f t="shared" si="382"/>
        <v>0</v>
      </c>
      <c r="SX55" s="58">
        <f t="shared" si="383"/>
        <v>0</v>
      </c>
      <c r="SY55" s="45">
        <f t="shared" si="384"/>
        <v>107</v>
      </c>
      <c r="SZ55" s="45">
        <f t="shared" si="599"/>
        <v>2.9740000000000002</v>
      </c>
      <c r="TA55" s="45">
        <f t="shared" si="385"/>
        <v>1</v>
      </c>
      <c r="TB55" s="45">
        <f t="shared" si="386"/>
        <v>2</v>
      </c>
      <c r="TC55" s="45">
        <f t="shared" si="387"/>
        <v>0</v>
      </c>
      <c r="TD55" s="46" cm="1">
        <f t="array" ref="TD55">ROUND(IFERROR(INDEX(ArchiveResults!$F$5:$IX$116,ComparisonData!A55,ComparisonData!$TD$1),0),5)</f>
        <v>0</v>
      </c>
      <c r="TE55" s="46" cm="1">
        <f t="array" ref="TE55">ROUND(IFERROR(INDEX(ArchiveResults!$F$5:$IX$116,ComparisonData!A55,ComparisonData!$TE$1),0),5)</f>
        <v>0</v>
      </c>
      <c r="TF55" s="46" cm="1">
        <f t="array" ref="TF55">ROUND(IFERROR(INDEX(ArchiveResults!$F$5:$IX$116,ComparisonData!A55,ComparisonData!$TF$1),0),5)</f>
        <v>0</v>
      </c>
      <c r="TG55" s="46" cm="1">
        <f t="array" ref="TG55">ROUND(IFERROR(INDEX(ArchiveResults!$F$5:$IX$116,ComparisonData!A55,ComparisonData!$TG$1),0),5)</f>
        <v>0</v>
      </c>
      <c r="TH55" s="45" cm="1">
        <f t="array" ref="TH55">IFERROR(INDEX(ArchiveResults!$F$5:$IX$116,ComparisonData!A55,ComparisonData!$TH$1),0)</f>
        <v>0</v>
      </c>
      <c r="TI55" s="56">
        <v>50</v>
      </c>
      <c r="TJ55" s="53" t="str">
        <f t="shared" si="600"/>
        <v>London Borough of Croydon Archives</v>
      </c>
      <c r="TK55" s="59">
        <f t="shared" si="388"/>
        <v>0</v>
      </c>
      <c r="TL55" s="59">
        <f t="shared" si="389"/>
        <v>0</v>
      </c>
      <c r="TM55" s="59">
        <f t="shared" si="390"/>
        <v>0</v>
      </c>
      <c r="TN55" s="59">
        <f t="shared" si="391"/>
        <v>0</v>
      </c>
      <c r="TO55" s="59">
        <f t="shared" si="392"/>
        <v>0</v>
      </c>
      <c r="TP55" s="58">
        <f t="shared" si="393"/>
        <v>0</v>
      </c>
      <c r="TQ55" s="45">
        <f t="shared" si="394"/>
        <v>107</v>
      </c>
      <c r="TR55" s="45">
        <f t="shared" si="601"/>
        <v>2.9740000000000002</v>
      </c>
      <c r="TS55" s="45">
        <f t="shared" si="395"/>
        <v>1</v>
      </c>
      <c r="TT55" s="45">
        <f t="shared" si="396"/>
        <v>2</v>
      </c>
      <c r="TU55" s="45">
        <f t="shared" si="397"/>
        <v>0</v>
      </c>
      <c r="TV55" s="46" cm="1">
        <f t="array" ref="TV55">ROUND(IFERROR(INDEX(ArchiveResults!$F$5:$IX$116,ComparisonData!A55,ComparisonData!$TV$1),0),5)</f>
        <v>0</v>
      </c>
      <c r="TW55" s="46" cm="1">
        <f t="array" ref="TW55">ROUND(IFERROR(INDEX(ArchiveResults!$F$5:$IX$116,ComparisonData!A55,ComparisonData!$TW$1),0),5)</f>
        <v>0</v>
      </c>
      <c r="TX55" s="46" cm="1">
        <f t="array" ref="TX55">ROUND(IFERROR(INDEX(ArchiveResults!$F$5:$IX$116,ComparisonData!A55,ComparisonData!$TX$1),0),5)</f>
        <v>0</v>
      </c>
      <c r="TY55" s="46" cm="1">
        <f t="array" ref="TY55">ROUND(IFERROR(INDEX(ArchiveResults!$F$5:$IX$116,ComparisonData!A55,ComparisonData!$TY$1),0),5)</f>
        <v>0</v>
      </c>
      <c r="TZ55" s="45" cm="1">
        <f t="array" ref="TZ55">IFERROR(INDEX(ArchiveResults!$F$5:$IX$116,ComparisonData!A55,ComparisonData!$TZ$1),0)</f>
        <v>0</v>
      </c>
      <c r="UA55" s="56">
        <v>50</v>
      </c>
      <c r="UB55" s="53" t="str">
        <f t="shared" si="602"/>
        <v>London Borough of Croydon Archives</v>
      </c>
      <c r="UC55" s="60">
        <f t="shared" si="398"/>
        <v>0</v>
      </c>
      <c r="UD55" s="60">
        <f t="shared" si="399"/>
        <v>0</v>
      </c>
      <c r="UE55" s="60">
        <f t="shared" si="400"/>
        <v>0</v>
      </c>
      <c r="UF55" s="60">
        <f t="shared" si="401"/>
        <v>0</v>
      </c>
      <c r="UG55" s="60">
        <f t="shared" si="402"/>
        <v>0</v>
      </c>
      <c r="UH55" s="58">
        <f t="shared" si="403"/>
        <v>0</v>
      </c>
      <c r="UI55" s="46">
        <f t="shared" si="404"/>
        <v>107</v>
      </c>
      <c r="UJ55" s="46">
        <f t="shared" si="603"/>
        <v>2.9740000000000002</v>
      </c>
      <c r="UK55" s="46">
        <f t="shared" si="405"/>
        <v>1</v>
      </c>
      <c r="UL55" s="46">
        <f t="shared" si="406"/>
        <v>2</v>
      </c>
      <c r="UM55" s="46" cm="1">
        <f t="array" ref="UM55">ROUND(IFERROR(INDEX(ArchiveResults!$F$5:$IX$116,ComparisonData!A55,ComparisonData!$UM$1),0),5)</f>
        <v>0</v>
      </c>
      <c r="UN55" s="56">
        <v>50</v>
      </c>
      <c r="UO55" s="53" t="str">
        <f t="shared" si="604"/>
        <v>London Borough of Croydon Archives</v>
      </c>
      <c r="UP55" s="46">
        <f t="shared" si="407"/>
        <v>0</v>
      </c>
      <c r="UQ55" s="76">
        <f t="shared" si="408"/>
        <v>0</v>
      </c>
      <c r="UR55" s="46">
        <f t="shared" si="409"/>
        <v>107</v>
      </c>
      <c r="US55" s="46">
        <f t="shared" si="605"/>
        <v>2.9740000000000002</v>
      </c>
      <c r="UT55" s="46">
        <f t="shared" si="410"/>
        <v>1</v>
      </c>
      <c r="UU55" s="46">
        <f t="shared" si="411"/>
        <v>2</v>
      </c>
      <c r="UV55" s="46">
        <f t="shared" si="412"/>
        <v>0</v>
      </c>
      <c r="UW55" s="46" cm="1">
        <f t="array" ref="UW55">ROUND(IFERROR(INDEX(ArchiveResults!$F$5:$IX$116,ComparisonData!A55,ComparisonData!$UW$1),0),5)</f>
        <v>0</v>
      </c>
      <c r="UX55" s="46" cm="1">
        <f t="array" ref="UX55">ROUND(IFERROR(INDEX(ArchiveResults!$F$5:$IX$116,ComparisonData!A55,ComparisonData!$UX$1),0),5)</f>
        <v>0</v>
      </c>
      <c r="UY55" s="46" cm="1">
        <f t="array" ref="UY55">ROUND(IFERROR(INDEX(ArchiveResults!$F$5:$IX$116,ComparisonData!A55,ComparisonData!$UY$1),0),5)</f>
        <v>0</v>
      </c>
      <c r="UZ55" s="46" cm="1">
        <f t="array" ref="UZ55">ROUND(IFERROR(INDEX(ArchiveResults!$F$5:$IX$116,ComparisonData!A55,ComparisonData!$UZ$1),0),5)</f>
        <v>0</v>
      </c>
      <c r="VA55" s="46" cm="1">
        <f t="array" ref="VA55">ROUND(IFERROR(INDEX(ArchiveResults!$F$5:$IX$116,ComparisonData!A55,ComparisonData!$VA$1),0),5)</f>
        <v>0</v>
      </c>
      <c r="VB55" s="56">
        <v>50</v>
      </c>
      <c r="VC55" s="53" t="str">
        <f t="shared" si="606"/>
        <v>London Borough of Croydon Archives</v>
      </c>
      <c r="VD55" s="60">
        <f t="shared" si="413"/>
        <v>0</v>
      </c>
      <c r="VE55" s="60">
        <f t="shared" si="414"/>
        <v>0</v>
      </c>
      <c r="VF55" s="60">
        <f t="shared" si="415"/>
        <v>0</v>
      </c>
      <c r="VG55" s="60">
        <f t="shared" si="416"/>
        <v>0</v>
      </c>
      <c r="VH55" s="60">
        <f t="shared" si="417"/>
        <v>0</v>
      </c>
      <c r="VI55" s="76">
        <f t="shared" si="418"/>
        <v>0</v>
      </c>
      <c r="VJ55" s="46">
        <f t="shared" si="419"/>
        <v>107</v>
      </c>
      <c r="VK55" s="46">
        <f t="shared" si="607"/>
        <v>2.9740000000000002</v>
      </c>
      <c r="VL55" s="46">
        <f t="shared" si="420"/>
        <v>1</v>
      </c>
      <c r="VM55" s="46">
        <f t="shared" si="421"/>
        <v>2</v>
      </c>
      <c r="VN55" s="46" cm="1">
        <f t="array" ref="VN55">ROUND(IFERROR(INDEX(ArchiveResults!$F$5:$IX$116,ComparisonData!A55,ComparisonData!$VN$1),0),5)</f>
        <v>0</v>
      </c>
      <c r="VO55" s="46" cm="1">
        <f t="array" ref="VO55">ROUND(IFERROR(INDEX(ArchiveResults!$F$5:$IX$116,ComparisonData!A55,ComparisonData!$VO$1),0),5)</f>
        <v>0</v>
      </c>
      <c r="VP55" s="46" cm="1">
        <f t="array" ref="VP55">ROUND(IFERROR(INDEX(ArchiveResults!$F$5:$IX$116,ComparisonData!A55,ComparisonData!$VP$1),0),5)</f>
        <v>0</v>
      </c>
      <c r="VQ55" s="46" cm="1">
        <f t="array" ref="VQ55">ROUND(IFERROR(INDEX(ArchiveResults!$F$5:$IX$116,ComparisonData!A55,ComparisonData!$VQ$1),0),5)</f>
        <v>0</v>
      </c>
      <c r="VR55" s="56">
        <v>50</v>
      </c>
      <c r="VS55" s="53" t="str">
        <f t="shared" si="608"/>
        <v>London Borough of Croydon Archives</v>
      </c>
      <c r="VT55" s="60">
        <f t="shared" si="422"/>
        <v>0</v>
      </c>
      <c r="VU55" s="60">
        <f t="shared" si="423"/>
        <v>0</v>
      </c>
      <c r="VV55" s="60">
        <f t="shared" si="424"/>
        <v>0</v>
      </c>
      <c r="VW55" s="60">
        <f t="shared" si="425"/>
        <v>0</v>
      </c>
      <c r="VX55" s="76">
        <f t="shared" si="426"/>
        <v>0</v>
      </c>
      <c r="VY55" s="46">
        <f t="shared" si="427"/>
        <v>107</v>
      </c>
      <c r="VZ55" s="46">
        <f t="shared" si="609"/>
        <v>2.9740000000000002</v>
      </c>
      <c r="WA55" s="46">
        <f t="shared" si="428"/>
        <v>1</v>
      </c>
      <c r="WB55" s="46">
        <f t="shared" si="429"/>
        <v>2</v>
      </c>
      <c r="WC55" s="46" cm="1">
        <f t="array" ref="WC55">ROUND(IFERROR(INDEX(ArchiveResults!$F$5:$IX$116,ComparisonData!A55,ComparisonData!$WC$1),0),5)</f>
        <v>0</v>
      </c>
      <c r="WD55" s="56">
        <v>50</v>
      </c>
      <c r="WE55" s="53" t="str">
        <f t="shared" si="610"/>
        <v>London Borough of Croydon Archives</v>
      </c>
      <c r="WF55" s="46">
        <f t="shared" si="430"/>
        <v>0</v>
      </c>
      <c r="WG55" s="76">
        <f t="shared" si="431"/>
        <v>0</v>
      </c>
      <c r="WH55" s="46">
        <f t="shared" si="432"/>
        <v>107</v>
      </c>
      <c r="WI55" s="46">
        <f t="shared" si="611"/>
        <v>2.9740000000000002</v>
      </c>
      <c r="WJ55" s="46">
        <f t="shared" si="433"/>
        <v>1</v>
      </c>
      <c r="WK55" s="46">
        <f t="shared" si="434"/>
        <v>2</v>
      </c>
      <c r="WL55" s="46" cm="1">
        <f t="array" ref="WL55">ROUND(IFERROR(INDEX(ArchiveResults!$F$5:$IX$116,ComparisonData!A55,ComparisonData!$WL$1),0),5)</f>
        <v>0</v>
      </c>
      <c r="WM55" s="46" cm="1">
        <f t="array" ref="WM55">IFERROR(INDEX(ArchiveResults!$F$5:$IX$116,ComparisonData!A55,ComparisonData!$WM$1),0)</f>
        <v>0</v>
      </c>
      <c r="WN55" s="56">
        <v>50</v>
      </c>
      <c r="WO55" s="53" t="str">
        <f t="shared" si="612"/>
        <v>London Borough of Croydon Archives</v>
      </c>
      <c r="WP55" s="60">
        <f t="shared" si="435"/>
        <v>0</v>
      </c>
      <c r="WQ55" s="60">
        <f t="shared" si="436"/>
        <v>0</v>
      </c>
      <c r="WR55" s="76">
        <f t="shared" si="437"/>
        <v>0</v>
      </c>
      <c r="WS55" s="46">
        <f t="shared" si="438"/>
        <v>107</v>
      </c>
      <c r="WT55" s="46">
        <f t="shared" si="613"/>
        <v>2.9740000000000002</v>
      </c>
      <c r="WU55" s="46">
        <f t="shared" si="439"/>
        <v>1</v>
      </c>
      <c r="WV55" s="46">
        <f t="shared" si="440"/>
        <v>2</v>
      </c>
      <c r="WW55" s="46" cm="1">
        <f t="array" ref="WW55">ROUND(VALUE(IFERROR(INDEX(ArchiveResults!$F$5:$IX$116,ComparisonData!A55,ComparisonData!$WW$1),0)),5)</f>
        <v>0</v>
      </c>
      <c r="WX55" s="46" cm="1">
        <f t="array" ref="WX55">ROUND(IFERROR(INDEX(ArchiveResults!$F$5:$IX$116,ComparisonData!A55,ComparisonData!$WX$1),0),5)</f>
        <v>0</v>
      </c>
      <c r="WY55" s="56">
        <v>50</v>
      </c>
      <c r="WZ55" s="53" t="str">
        <f t="shared" si="614"/>
        <v>London Borough of Croydon Archives</v>
      </c>
      <c r="XA55" s="60">
        <f t="shared" si="615"/>
        <v>0</v>
      </c>
      <c r="XB55" s="60">
        <f t="shared" si="616"/>
        <v>0</v>
      </c>
      <c r="XC55" s="76">
        <f t="shared" si="441"/>
        <v>0</v>
      </c>
      <c r="XD55" s="46">
        <f t="shared" si="442"/>
        <v>107</v>
      </c>
      <c r="XE55" s="46">
        <f t="shared" si="617"/>
        <v>2.9740000000000002</v>
      </c>
      <c r="XF55" s="46">
        <f t="shared" si="443"/>
        <v>1</v>
      </c>
      <c r="XG55" s="46">
        <f t="shared" si="444"/>
        <v>2</v>
      </c>
      <c r="XH55" s="46" cm="1">
        <f t="array" ref="XH55">ROUND(VALUE(IFERROR(INDEX(ArchiveResults!$F$5:$IX$116,ComparisonData!A55,ComparisonData!$XH$1),0)),5)</f>
        <v>0</v>
      </c>
      <c r="XI55" s="46" cm="1">
        <f t="array" ref="XI55">ROUND(VALUE(IFERROR(INDEX(ArchiveResults!$F$5:$IX$116,ComparisonData!A55,ComparisonData!$XI$1),0)),5)</f>
        <v>0</v>
      </c>
      <c r="XJ55" s="56">
        <v>50</v>
      </c>
      <c r="XK55" s="53" t="str">
        <f t="shared" si="618"/>
        <v>London Borough of Croydon Archives</v>
      </c>
      <c r="XL55" s="60">
        <f t="shared" si="445"/>
        <v>0</v>
      </c>
      <c r="XM55" s="60">
        <f t="shared" si="446"/>
        <v>0</v>
      </c>
      <c r="XN55" s="76">
        <f t="shared" si="447"/>
        <v>0</v>
      </c>
      <c r="XO55" s="46">
        <f t="shared" si="448"/>
        <v>107</v>
      </c>
      <c r="XP55" s="46">
        <f t="shared" si="619"/>
        <v>2.9740000000000002</v>
      </c>
      <c r="XQ55" s="46">
        <f t="shared" si="449"/>
        <v>1</v>
      </c>
      <c r="XR55" s="46">
        <f t="shared" si="450"/>
        <v>2</v>
      </c>
      <c r="XS55" s="46" cm="1">
        <f t="array" ref="XS55">ROUND(VALUE(IFERROR(INDEX(ArchiveResults!$F$5:$IX$116,ComparisonData!A55,ComparisonData!$XS$1),0)),5)</f>
        <v>0</v>
      </c>
      <c r="XT55" s="46" cm="1">
        <f t="array" ref="XT55">ROUND(VALUE(IFERROR(INDEX(ArchiveResults!$F$5:$IX$116,ComparisonData!A55,ComparisonData!$XT$1),0)),5)</f>
        <v>0</v>
      </c>
      <c r="XU55" s="56">
        <v>50</v>
      </c>
      <c r="XV55" s="53" t="str">
        <f t="shared" si="620"/>
        <v>London Borough of Croydon Archives</v>
      </c>
      <c r="XW55" s="60">
        <f t="shared" si="451"/>
        <v>0</v>
      </c>
      <c r="XX55" s="60">
        <f t="shared" si="452"/>
        <v>0</v>
      </c>
      <c r="XY55" s="76">
        <f t="shared" si="453"/>
        <v>0</v>
      </c>
      <c r="XZ55" s="46">
        <f t="shared" si="454"/>
        <v>107</v>
      </c>
      <c r="YA55" s="46">
        <f t="shared" si="621"/>
        <v>2.9740000000000002</v>
      </c>
      <c r="YB55" s="46">
        <f t="shared" si="455"/>
        <v>1</v>
      </c>
      <c r="YC55" s="46">
        <f t="shared" si="456"/>
        <v>2</v>
      </c>
      <c r="YD55" s="46" cm="1">
        <f t="array" ref="YD55">ROUND(VALUE(IFERROR(INDEX(ArchiveResults!$F$5:$IX$116,ComparisonData!A55,ComparisonData!$YD$1),0)),5)</f>
        <v>0</v>
      </c>
      <c r="YE55" s="46" cm="1">
        <f t="array" ref="YE55">ROUND(VALUE(IFERROR(INDEX(ArchiveResults!$F$5:$IX$116,ComparisonData!A55,ComparisonData!$YE$1),0)),5)</f>
        <v>0</v>
      </c>
      <c r="YF55" s="56">
        <v>50</v>
      </c>
      <c r="YG55" s="53" t="str">
        <f t="shared" si="622"/>
        <v>London Borough of Croydon Archives</v>
      </c>
      <c r="YH55" s="60">
        <f t="shared" si="457"/>
        <v>0</v>
      </c>
      <c r="YI55" s="60">
        <f t="shared" si="458"/>
        <v>0</v>
      </c>
      <c r="YJ55" s="76">
        <f t="shared" si="459"/>
        <v>0</v>
      </c>
      <c r="YK55" s="46">
        <f t="shared" si="460"/>
        <v>107</v>
      </c>
      <c r="YL55" s="46">
        <f t="shared" si="623"/>
        <v>2.9740000000000002</v>
      </c>
      <c r="YM55" s="46">
        <f t="shared" si="461"/>
        <v>1</v>
      </c>
      <c r="YN55" s="46">
        <f t="shared" si="462"/>
        <v>2</v>
      </c>
      <c r="YO55" s="46" cm="1">
        <f t="array" ref="YO55">ROUND(VALUE(IFERROR(INDEX(ArchiveResults!$F$5:$IX$116,ComparisonData!A55,ComparisonData!$YO$1),0)),5)</f>
        <v>0</v>
      </c>
      <c r="YP55" s="46" cm="1">
        <f t="array" ref="YP55">ROUND(VALUE(IFERROR(INDEX(ArchiveResults!$F$5:$IX$116,ComparisonData!A55,ComparisonData!$YP$1),0)),5)</f>
        <v>0</v>
      </c>
      <c r="YQ55" s="56">
        <v>50</v>
      </c>
      <c r="YR55" s="53" t="str">
        <f t="shared" si="624"/>
        <v>London Borough of Croydon Archives</v>
      </c>
      <c r="YS55" s="60">
        <f t="shared" si="463"/>
        <v>0</v>
      </c>
      <c r="YT55" s="60">
        <f t="shared" si="464"/>
        <v>0</v>
      </c>
      <c r="YU55" s="76">
        <f t="shared" si="465"/>
        <v>0</v>
      </c>
      <c r="YV55" s="46">
        <f t="shared" si="466"/>
        <v>107</v>
      </c>
      <c r="YW55" s="46">
        <f t="shared" si="625"/>
        <v>2.9740000000000002</v>
      </c>
      <c r="YX55" s="46">
        <f t="shared" si="467"/>
        <v>1</v>
      </c>
      <c r="YY55" s="46">
        <f t="shared" si="468"/>
        <v>2</v>
      </c>
      <c r="YZ55" s="46">
        <f t="shared" si="469"/>
        <v>0</v>
      </c>
      <c r="ZA55" s="46" cm="1">
        <f t="array" ref="ZA55">ROUNDDOWN(VALUE(IFERROR(INDEX(ArchiveResults!$F$5:$IX$116,ComparisonData!A55,ComparisonData!$ZA$1),0)),5)</f>
        <v>0</v>
      </c>
      <c r="ZB55" s="46" cm="1">
        <f t="array" ref="ZB55">ROUNDDOWN(VALUE(IFERROR(INDEX(ArchiveResults!$F$5:$IX$116,ComparisonData!A55,ComparisonData!$ZB$1),0)),5)</f>
        <v>0</v>
      </c>
      <c r="ZC55" s="46" cm="1">
        <f t="array" ref="ZC55">ROUNDDOWN(VALUE(IFERROR(INDEX(ArchiveResults!$F$5:$IX$116,ComparisonData!A55,ComparisonData!$ZC$1),0)),5)</f>
        <v>0</v>
      </c>
      <c r="ZD55" s="46" cm="1">
        <f t="array" ref="ZD55">ROUNDDOWN(VALUE(IFERROR(INDEX(ArchiveResults!$F$5:$IX$116,ComparisonData!A55,ComparisonData!$ZD$1),0)),5)</f>
        <v>0</v>
      </c>
      <c r="ZE55" s="46" cm="1">
        <f t="array" ref="ZE55">ROUNDDOWN(VALUE(IFERROR(INDEX(ArchiveResults!$F$5:$IX$116,ComparisonData!A55,ComparisonData!$ZE$1),0)),5)</f>
        <v>0</v>
      </c>
      <c r="ZF55" s="56">
        <v>50</v>
      </c>
      <c r="ZG55" s="53" t="str">
        <f t="shared" si="626"/>
        <v>London Borough of Croydon Archives</v>
      </c>
      <c r="ZH55" s="60">
        <f t="shared" si="470"/>
        <v>0</v>
      </c>
      <c r="ZI55" s="60">
        <f t="shared" si="471"/>
        <v>0</v>
      </c>
      <c r="ZJ55" s="60">
        <f t="shared" si="472"/>
        <v>0</v>
      </c>
      <c r="ZK55" s="60">
        <f t="shared" si="473"/>
        <v>0</v>
      </c>
      <c r="ZL55" s="60">
        <f t="shared" si="474"/>
        <v>0</v>
      </c>
      <c r="ZM55" s="76">
        <f t="shared" si="475"/>
        <v>0</v>
      </c>
      <c r="ZN55" s="46">
        <f t="shared" si="476"/>
        <v>107</v>
      </c>
      <c r="ZO55" s="46">
        <f t="shared" si="627"/>
        <v>2.9740000000000002</v>
      </c>
      <c r="ZP55" s="46">
        <f t="shared" si="477"/>
        <v>1</v>
      </c>
      <c r="ZQ55" s="46">
        <f t="shared" si="478"/>
        <v>2</v>
      </c>
      <c r="ZR55" s="46" cm="1">
        <f t="array" ref="ZR55">ROUND(VALUE(IFERROR(INDEX(ArchiveResults!$F$5:$IX$116,ComparisonData!A55,ComparisonData!$ZR$1),0)),5)</f>
        <v>0</v>
      </c>
      <c r="ZS55" s="56">
        <v>50</v>
      </c>
      <c r="ZT55" s="53" t="str">
        <f t="shared" si="628"/>
        <v>London Borough of Croydon Archives</v>
      </c>
      <c r="ZU55" s="46">
        <f t="shared" si="479"/>
        <v>0</v>
      </c>
      <c r="ZV55" s="76">
        <f t="shared" si="480"/>
        <v>0</v>
      </c>
      <c r="ZW55" s="81" cm="1">
        <f t="array" ref="ZW55">ROUND((IFERROR(INDEX(ArchiveResults!$F$5:$IX$116,ComparisonData!A55,ComparisonData!$ZW$1),0)),5)</f>
        <v>0</v>
      </c>
      <c r="ZX55" s="81" cm="1">
        <f t="array" ref="ZX55">ROUND((IFERROR(INDEX(ArchiveResults!$F$5:$IX$116,ComparisonData!A55,ComparisonData!$ZX$1),0)),5)</f>
        <v>0</v>
      </c>
      <c r="ZY55" s="81" cm="1">
        <f t="array" ref="ZY55">ROUND((IFERROR(INDEX(ArchiveResults!$F$5:$IX$116,ComparisonData!A55,ComparisonData!$ZY$1),0)),5)</f>
        <v>0</v>
      </c>
      <c r="ZZ55" s="81" cm="1">
        <f t="array" ref="ZZ55">ROUND((IFERROR(INDEX(ArchiveResults!$F$5:$IX$116,ComparisonData!A55,ComparisonData!$ZZ$1),0)),5)</f>
        <v>0</v>
      </c>
      <c r="AAA55" s="81" cm="1">
        <f t="array" ref="AAA55">ROUND((IFERROR(INDEX(ArchiveResults!$F$5:$IX$116,ComparisonData!A55,ComparisonData!$AAA$1),0)),5)</f>
        <v>0</v>
      </c>
      <c r="AAB55" s="81" cm="1">
        <f t="array" ref="AAB55">ROUND((IFERROR(INDEX(ArchiveResults!$F$5:$IX$116,ComparisonData!A55,ComparisonData!$AAB$1),0)),5)</f>
        <v>0</v>
      </c>
      <c r="AAC55" s="81" cm="1">
        <f t="array" ref="AAC55">ROUND((IFERROR(INDEX(ArchiveResults!$F$5:$IX$116,ComparisonData!A55,ComparisonData!$AAC$1),0)),5)</f>
        <v>0</v>
      </c>
      <c r="AAD55" s="81" cm="1">
        <f t="array" ref="AAD55">ROUND((IFERROR(INDEX(ArchiveResults!$F$5:$IX$116,ComparisonData!A55,ComparisonData!$AAD$1),0)),5)</f>
        <v>0</v>
      </c>
      <c r="AAE55" s="81" cm="1">
        <f t="array" ref="AAE55">ROUND((IFERROR(INDEX(ArchiveResults!$F$5:$IX$116,ComparisonData!A55,ComparisonData!$AAE$1),0)),5)</f>
        <v>0</v>
      </c>
      <c r="AAF55" s="81" cm="1">
        <f t="array" ref="AAF55">ROUND((IFERROR(INDEX(ArchiveResults!$F$5:$IX$116,ComparisonData!A55,ComparisonData!$AAF$1),0)),5)</f>
        <v>0</v>
      </c>
      <c r="AAG55" s="46">
        <f t="shared" si="481"/>
        <v>107</v>
      </c>
      <c r="AAH55" s="46">
        <f t="shared" si="629"/>
        <v>2.9740000000000002</v>
      </c>
      <c r="AAI55" s="46">
        <f t="shared" si="482"/>
        <v>1</v>
      </c>
      <c r="AAJ55" s="46">
        <f t="shared" si="483"/>
        <v>2</v>
      </c>
      <c r="AAK55" s="46">
        <f t="shared" si="484"/>
        <v>0</v>
      </c>
      <c r="AAL55" s="46">
        <f t="shared" si="485"/>
        <v>0</v>
      </c>
      <c r="AAM55" s="46">
        <f t="shared" si="486"/>
        <v>0</v>
      </c>
      <c r="AAN55" s="46">
        <f t="shared" si="487"/>
        <v>0</v>
      </c>
      <c r="AAO55" s="46">
        <f t="shared" si="488"/>
        <v>0</v>
      </c>
      <c r="AAP55" s="46">
        <f t="shared" si="489"/>
        <v>0</v>
      </c>
      <c r="AAQ55" s="56">
        <v>50</v>
      </c>
      <c r="AAR55" s="53" t="str">
        <f t="shared" si="630"/>
        <v>London Borough of Croydon Archives</v>
      </c>
      <c r="AAS55" s="60">
        <f t="shared" si="490"/>
        <v>0</v>
      </c>
      <c r="AAT55" s="60">
        <f t="shared" si="491"/>
        <v>0</v>
      </c>
      <c r="AAU55" s="60">
        <f t="shared" si="492"/>
        <v>0</v>
      </c>
      <c r="AAV55" s="60">
        <f t="shared" si="493"/>
        <v>0</v>
      </c>
      <c r="AAW55" s="60">
        <f t="shared" si="494"/>
        <v>0</v>
      </c>
      <c r="AAX55" s="76">
        <f t="shared" si="495"/>
        <v>0</v>
      </c>
      <c r="AAY55" s="46">
        <f t="shared" si="496"/>
        <v>107</v>
      </c>
      <c r="AAZ55" s="46">
        <f t="shared" si="631"/>
        <v>2.9740000000000002</v>
      </c>
      <c r="ABA55" s="46">
        <f t="shared" si="497"/>
        <v>1</v>
      </c>
      <c r="ABB55" s="46">
        <f t="shared" si="498"/>
        <v>2</v>
      </c>
      <c r="ABC55" s="46">
        <f t="shared" si="102"/>
        <v>0</v>
      </c>
      <c r="ABD55" s="46" cm="1">
        <f t="array" ref="ABD55">ROUND(VALUE(IFERROR(INDEX(ArchiveResults!$F$5:$IX$116,ComparisonData!A55,ComparisonData!$ABD$1),0)),5)</f>
        <v>0</v>
      </c>
      <c r="ABE55" s="46" cm="1">
        <f t="array" ref="ABE55">ROUND(VALUE(IFERROR(INDEX(ArchiveResults!$F$5:$IX$116,ComparisonData!A55,ComparisonData!$ABE$1),0)),5)</f>
        <v>0</v>
      </c>
      <c r="ABF55" s="46" cm="1">
        <f t="array" ref="ABF55">ROUND(VALUE(IFERROR(INDEX(ArchiveResults!$F$5:$IX$116,ComparisonData!A55,ComparisonData!$ABF$1),0)),5)</f>
        <v>0</v>
      </c>
      <c r="ABG55" s="46" cm="1">
        <f t="array" ref="ABG55">ROUND(VALUE(IFERROR(INDEX(ArchiveResults!$F$5:$IX$116,ComparisonData!A55,ComparisonData!$ABG$1),0)),5)</f>
        <v>0</v>
      </c>
      <c r="ABH55" s="46" cm="1">
        <f t="array" ref="ABH55">ROUND(VALUE(IFERROR(INDEX(ArchiveResults!$F$5:$IX$116,ComparisonData!A55,ComparisonData!$ABH$1),0)),5)</f>
        <v>0</v>
      </c>
      <c r="ABI55" s="56">
        <v>50</v>
      </c>
      <c r="ABJ55" s="53" t="str">
        <f t="shared" si="632"/>
        <v>London Borough of Croydon Archives</v>
      </c>
      <c r="ABK55" s="60">
        <f t="shared" si="499"/>
        <v>0</v>
      </c>
      <c r="ABL55" s="60">
        <f t="shared" si="500"/>
        <v>0</v>
      </c>
      <c r="ABM55" s="60">
        <f t="shared" si="501"/>
        <v>0</v>
      </c>
      <c r="ABN55" s="60">
        <f t="shared" si="502"/>
        <v>0</v>
      </c>
      <c r="ABO55" s="60">
        <f t="shared" si="503"/>
        <v>0</v>
      </c>
      <c r="ABP55" s="76">
        <f t="shared" si="504"/>
        <v>0</v>
      </c>
      <c r="ABQ55" s="46">
        <f t="shared" si="505"/>
        <v>107</v>
      </c>
      <c r="ABR55" s="46">
        <f t="shared" si="633"/>
        <v>2.9740000000000002</v>
      </c>
      <c r="ABS55" s="46">
        <f t="shared" si="506"/>
        <v>1</v>
      </c>
      <c r="ABT55" s="46">
        <f t="shared" si="507"/>
        <v>2</v>
      </c>
      <c r="ABU55" s="46" cm="1">
        <f t="array" ref="ABU55">ROUND(VALUE(IFERROR(INDEX(ArchiveResults!$F$5:$IX$116,ComparisonData!A55,ComparisonData!$ABU$1),0)),5)</f>
        <v>0</v>
      </c>
      <c r="ABV55" s="46" cm="1">
        <f t="array" ref="ABV55">ROUND(VALUE(IFERROR(INDEX(ArchiveResults!$F$5:$IX$116,ComparisonData!A55,ComparisonData!$ABV$1),0)),5)</f>
        <v>0</v>
      </c>
      <c r="ABW55" s="46" cm="1">
        <f t="array" ref="ABW55">ROUND(VALUE(IFERROR(INDEX(ArchiveResults!$F$5:$IX$116,ComparisonData!A55,ComparisonData!$ABW$1),0)),5)</f>
        <v>0</v>
      </c>
      <c r="ABX55" s="46" cm="1">
        <f t="array" ref="ABX55">ROUND(VALUE(IFERROR(INDEX(ArchiveResults!$F$5:$IX$116,ComparisonData!A55,ComparisonData!$ABX$1),0)),5)</f>
        <v>0</v>
      </c>
      <c r="ABY55" s="46" cm="1">
        <f t="array" ref="ABY55">ROUND(VALUE(IFERROR(INDEX(ArchiveResults!$F$5:$IX$116,ComparisonData!A55,ComparisonData!$ABY$1),0)),5)</f>
        <v>0</v>
      </c>
      <c r="ABZ55" s="56">
        <v>50</v>
      </c>
      <c r="ACA55" s="53" t="str">
        <f t="shared" si="634"/>
        <v>London Borough of Croydon Archives</v>
      </c>
      <c r="ACB55" s="60">
        <f t="shared" si="508"/>
        <v>0</v>
      </c>
      <c r="ACC55" s="60">
        <f t="shared" si="509"/>
        <v>0</v>
      </c>
      <c r="ACD55" s="60">
        <f t="shared" si="510"/>
        <v>0</v>
      </c>
      <c r="ACE55" s="60">
        <f t="shared" si="511"/>
        <v>0</v>
      </c>
      <c r="ACF55" s="60">
        <f t="shared" si="512"/>
        <v>0</v>
      </c>
      <c r="ACG55" s="76">
        <f t="shared" si="513"/>
        <v>0</v>
      </c>
      <c r="ACH55" s="46">
        <f t="shared" si="514"/>
        <v>107</v>
      </c>
      <c r="ACI55" s="46">
        <f t="shared" si="635"/>
        <v>2.9740000000000002</v>
      </c>
      <c r="ACJ55" s="46">
        <f t="shared" si="515"/>
        <v>1</v>
      </c>
      <c r="ACK55" s="46">
        <f t="shared" si="516"/>
        <v>2</v>
      </c>
      <c r="ACL55" s="46">
        <f t="shared" si="517"/>
        <v>0</v>
      </c>
      <c r="ACM55" s="46" cm="1">
        <f t="array" ref="ACM55">ROUND(IFERROR(INDEX(ArchiveResults!$F$5:$IX$116,ComparisonData!A55,ComparisonData!$ACM$1),0),5)</f>
        <v>0</v>
      </c>
      <c r="ACN55" s="46" cm="1">
        <f t="array" ref="ACN55">ROUND(IFERROR(INDEX(ArchiveResults!$F$5:$IX$116,ComparisonData!A55,ComparisonData!$ACN$1),0),5)</f>
        <v>0</v>
      </c>
      <c r="ACO55" s="56">
        <v>50</v>
      </c>
      <c r="ACP55" s="53" t="str">
        <f t="shared" si="636"/>
        <v>London Borough of Croydon Archives</v>
      </c>
      <c r="ACQ55" s="60">
        <f t="shared" si="518"/>
        <v>0</v>
      </c>
      <c r="ACR55" s="60">
        <f t="shared" si="519"/>
        <v>0</v>
      </c>
      <c r="ACS55" s="76">
        <f t="shared" si="520"/>
        <v>0</v>
      </c>
      <c r="ACT55" s="46">
        <f t="shared" si="521"/>
        <v>107</v>
      </c>
      <c r="ACU55" s="46">
        <f t="shared" si="637"/>
        <v>2.9740000000000002</v>
      </c>
      <c r="ACV55" s="46">
        <f t="shared" si="522"/>
        <v>1</v>
      </c>
      <c r="ACW55" s="46">
        <f t="shared" si="523"/>
        <v>2</v>
      </c>
      <c r="ACX55" s="46">
        <f t="shared" si="524"/>
        <v>0</v>
      </c>
      <c r="ACY55" s="46" cm="1">
        <f t="array" ref="ACY55">ROUNDDOWN(IFERROR(INDEX(ArchiveResults!$F$5:$IX$116,ComparisonData!A55,ComparisonData!$ACY$1),0),5)</f>
        <v>0</v>
      </c>
      <c r="ACZ55" s="46" cm="1">
        <f t="array" ref="ACZ55">ROUNDDOWN(IFERROR(INDEX(ArchiveResults!$F$5:$IX$116,ComparisonData!A55,ComparisonData!$ACZ$1),0),5)</f>
        <v>0</v>
      </c>
      <c r="ADA55" s="46" cm="1">
        <f t="array" ref="ADA55">ROUNDDOWN(IFERROR(INDEX(ArchiveResults!$F$5:$IX$116,ComparisonData!A55,ComparisonData!$ADA$1),0),5)</f>
        <v>0</v>
      </c>
      <c r="ADB55" s="56">
        <v>50</v>
      </c>
      <c r="ADC55" s="53" t="str">
        <f t="shared" si="638"/>
        <v>London Borough of Croydon Archives</v>
      </c>
      <c r="ADD55" s="60">
        <f t="shared" si="525"/>
        <v>0</v>
      </c>
      <c r="ADE55" s="60">
        <f t="shared" si="526"/>
        <v>0</v>
      </c>
      <c r="ADF55" s="60">
        <f t="shared" si="527"/>
        <v>0</v>
      </c>
      <c r="ADG55" s="76">
        <f t="shared" si="528"/>
        <v>0</v>
      </c>
    </row>
    <row r="56" spans="1:787" x14ac:dyDescent="0.25">
      <c r="A56" s="46" t="str">
        <f>IF(ISBLANK(ComparisonSelection!F52),"",ROW()-5)</f>
        <v/>
      </c>
      <c r="B56" s="53" t="s">
        <v>505</v>
      </c>
      <c r="C56" s="72">
        <v>0.87899999999999989</v>
      </c>
      <c r="D56" s="55">
        <f t="shared" si="110"/>
        <v>88</v>
      </c>
      <c r="E56" s="54">
        <f t="shared" si="111"/>
        <v>2.879</v>
      </c>
      <c r="F56" s="54">
        <f t="shared" si="529"/>
        <v>1</v>
      </c>
      <c r="G56" s="72">
        <f t="shared" si="112"/>
        <v>2</v>
      </c>
      <c r="H56" s="72">
        <f t="shared" si="113"/>
        <v>0</v>
      </c>
      <c r="I56" s="46" cm="1">
        <f t="array" ref="I56">ROUND(IFERROR(INDEX(ArchiveResults!$F$5:$IX$116,ComparisonData!A56,ComparisonData!$I$1),0),5)</f>
        <v>0</v>
      </c>
      <c r="J56" s="46" cm="1">
        <f t="array" ref="J56">ROUND(IFERROR(INDEX(ArchiveResults!$F$5:$IX$116,ComparisonData!A56,ComparisonData!$J$1),0),5)</f>
        <v>0</v>
      </c>
      <c r="K56" s="56">
        <v>51</v>
      </c>
      <c r="L56" s="53" t="str">
        <f t="shared" si="114"/>
        <v>London Metropolitan Archives</v>
      </c>
      <c r="M56" s="57">
        <f t="shared" si="530"/>
        <v>0</v>
      </c>
      <c r="N56" s="57">
        <f t="shared" si="531"/>
        <v>0</v>
      </c>
      <c r="O56" s="58">
        <f t="shared" si="115"/>
        <v>0</v>
      </c>
      <c r="P56" s="48">
        <f t="shared" si="116"/>
        <v>88</v>
      </c>
      <c r="Q56" s="54">
        <f t="shared" si="532"/>
        <v>2.879</v>
      </c>
      <c r="R56" s="45">
        <f t="shared" si="117"/>
        <v>1</v>
      </c>
      <c r="S56" s="46">
        <f t="shared" si="118"/>
        <v>2</v>
      </c>
      <c r="T56" s="72">
        <f t="shared" si="119"/>
        <v>0</v>
      </c>
      <c r="U56" s="46" cm="1">
        <f t="array" ref="U56">ROUND(IFERROR(INDEX(ArchiveResults!$F$5:$IX$116,ComparisonData!A56,ComparisonData!$U$1),0),5)</f>
        <v>0</v>
      </c>
      <c r="V56" s="46" cm="1">
        <f t="array" ref="V56">ROUND(IFERROR(INDEX(ArchiveResults!$F$5:$IX$116,ComparisonData!A56,ComparisonData!$V$1),0),5)</f>
        <v>0</v>
      </c>
      <c r="W56" s="56">
        <v>51</v>
      </c>
      <c r="X56" s="53" t="str">
        <f t="shared" si="533"/>
        <v>London Metropolitan Archives</v>
      </c>
      <c r="Y56" s="57">
        <f t="shared" si="120"/>
        <v>0</v>
      </c>
      <c r="Z56" s="57">
        <f t="shared" si="121"/>
        <v>0</v>
      </c>
      <c r="AA56" s="58">
        <f t="shared" si="122"/>
        <v>0</v>
      </c>
      <c r="AB56" s="45">
        <f t="shared" si="123"/>
        <v>88</v>
      </c>
      <c r="AC56" s="54">
        <f t="shared" si="534"/>
        <v>2.879</v>
      </c>
      <c r="AD56" s="45">
        <f t="shared" si="124"/>
        <v>1</v>
      </c>
      <c r="AE56" s="45">
        <f t="shared" si="125"/>
        <v>2</v>
      </c>
      <c r="AF56" s="45">
        <f t="shared" si="126"/>
        <v>0</v>
      </c>
      <c r="AG56" s="46" cm="1">
        <f t="array" ref="AG56">ROUND(IFERROR(INDEX(ArchiveResults!$F$5:$IX$116,ComparisonData!A56,ComparisonData!$AG$1),0),5)</f>
        <v>0</v>
      </c>
      <c r="AH56" s="46" cm="1">
        <f t="array" ref="AH56">ROUND(IFERROR(INDEX(ArchiveResults!$F$5:$IX$116,ComparisonData!A56,ComparisonData!$AH$1),0),5)</f>
        <v>0</v>
      </c>
      <c r="AI56" s="56">
        <v>51</v>
      </c>
      <c r="AJ56" s="53" t="str">
        <f t="shared" si="535"/>
        <v>London Metropolitan Archives</v>
      </c>
      <c r="AK56" s="59">
        <f t="shared" si="536"/>
        <v>0</v>
      </c>
      <c r="AL56" s="59">
        <f t="shared" si="537"/>
        <v>0</v>
      </c>
      <c r="AM56" s="58">
        <f t="shared" si="127"/>
        <v>0</v>
      </c>
      <c r="AN56" s="45">
        <f t="shared" si="128"/>
        <v>88</v>
      </c>
      <c r="AO56" s="54">
        <f t="shared" si="538"/>
        <v>2.879</v>
      </c>
      <c r="AP56" s="45">
        <f t="shared" si="129"/>
        <v>1</v>
      </c>
      <c r="AQ56" s="45">
        <f t="shared" si="130"/>
        <v>2</v>
      </c>
      <c r="AR56" s="46" cm="1">
        <f t="array" ref="AR56">ROUND(IFERROR(INDEX(ArchiveResults!$F$5:$IX$116,ComparisonData!A56,ComparisonData!$AR$1),0),5)</f>
        <v>0</v>
      </c>
      <c r="AS56" s="46" cm="1">
        <f t="array" ref="AS56">ROUND(IFERROR(INDEX(ArchiveResults!$F$5:$IX$116,ComparisonData!A56,ComparisonData!$AS$1),0),5)</f>
        <v>0</v>
      </c>
      <c r="AT56" s="46" cm="1">
        <f t="array" ref="AT56">ROUND(IFERROR(INDEX(ArchiveResults!$F$5:$IX$116,ComparisonData!A56,ComparisonData!$AT$1),0),5)</f>
        <v>0</v>
      </c>
      <c r="AU56" s="46" cm="1">
        <f t="array" ref="AU56">ROUND(IFERROR(INDEX(ArchiveResults!$F$5:$IX$116,ComparisonData!A56,ComparisonData!$AU$1),0),5)</f>
        <v>0</v>
      </c>
      <c r="AV56" s="46" cm="1">
        <f t="array" ref="AV56">ROUND(IFERROR(INDEX(ArchiveResults!$F$5:$IX$116,ComparisonData!A56,ComparisonData!$AV$1),0),5)</f>
        <v>0</v>
      </c>
      <c r="AW56" s="46" cm="1">
        <f t="array" ref="AW56">ROUND(IFERROR(INDEX(ArchiveResults!$F$5:$IX$116,ComparisonData!A56,ComparisonData!$AW$1),0),5)</f>
        <v>0</v>
      </c>
      <c r="AX56" s="46" cm="1">
        <f t="array" ref="AX56">ROUND(IFERROR(INDEX(ArchiveResults!$F$5:$IX$116,ComparisonData!A56,ComparisonData!$AX$1),0),5)</f>
        <v>0</v>
      </c>
      <c r="AY56" s="46" cm="1">
        <f t="array" ref="AY56">ROUND(IFERROR(INDEX(ArchiveResults!$F$5:$IX$116,ComparisonData!A56,ComparisonData!$AY$1),0),5)</f>
        <v>0</v>
      </c>
      <c r="AZ56" s="46" cm="1">
        <f t="array" ref="AZ56">ROUND(IFERROR(INDEX(ArchiveResults!$F$5:$IX$116,ComparisonData!A56,ComparisonData!$AZ$1),0),5)</f>
        <v>0</v>
      </c>
      <c r="BA56" s="46" cm="1">
        <f t="array" ref="BA56">ROUND(IFERROR(INDEX(ArchiveResults!$F$5:$IX$116,ComparisonData!A56,ComparisonData!$BA$1),0),5)</f>
        <v>0</v>
      </c>
      <c r="BB56" s="56">
        <v>51</v>
      </c>
      <c r="BC56" s="53" t="str">
        <f t="shared" si="539"/>
        <v>London Metropolitan Archives</v>
      </c>
      <c r="BD56" s="60">
        <f t="shared" si="131"/>
        <v>0</v>
      </c>
      <c r="BE56" s="60">
        <f t="shared" si="132"/>
        <v>0</v>
      </c>
      <c r="BF56" s="60">
        <f t="shared" si="133"/>
        <v>0</v>
      </c>
      <c r="BG56" s="60">
        <f t="shared" si="134"/>
        <v>0</v>
      </c>
      <c r="BH56" s="60">
        <f t="shared" si="135"/>
        <v>0</v>
      </c>
      <c r="BI56" s="60">
        <f t="shared" si="136"/>
        <v>0</v>
      </c>
      <c r="BJ56" s="60">
        <f t="shared" si="137"/>
        <v>0</v>
      </c>
      <c r="BK56" s="60">
        <f t="shared" si="138"/>
        <v>0</v>
      </c>
      <c r="BL56" s="60">
        <f t="shared" si="139"/>
        <v>0</v>
      </c>
      <c r="BM56" s="59">
        <f t="shared" si="140"/>
        <v>0</v>
      </c>
      <c r="BN56" s="58">
        <f t="shared" si="141"/>
        <v>0</v>
      </c>
      <c r="BO56" s="45">
        <f t="shared" si="142"/>
        <v>88</v>
      </c>
      <c r="BP56" s="54">
        <f t="shared" si="540"/>
        <v>2.879</v>
      </c>
      <c r="BQ56" s="45">
        <f t="shared" si="143"/>
        <v>1</v>
      </c>
      <c r="BR56" s="45">
        <f t="shared" si="144"/>
        <v>2</v>
      </c>
      <c r="BS56" s="46" cm="1">
        <f t="array" ref="BS56">ROUND(IFERROR(INDEX(ArchiveResults!$F$5:$IX$116,ComparisonData!A56,ComparisonData!$BS$1),0),5)</f>
        <v>0</v>
      </c>
      <c r="BT56" s="46" cm="1">
        <f t="array" ref="BT56">ROUND(IFERROR(INDEX(ArchiveResults!$F$5:$IX$116,ComparisonData!A56,ComparisonData!$BT$1),0),5)</f>
        <v>0</v>
      </c>
      <c r="BU56" s="46" cm="1">
        <f t="array" ref="BU56">ROUND(IFERROR(INDEX(ArchiveResults!$F$5:$IX$116,ComparisonData!A56,ComparisonData!$BU$1),0),5)</f>
        <v>0</v>
      </c>
      <c r="BV56" s="46" cm="1">
        <f t="array" ref="BV56">ROUND(IFERROR(INDEX(ArchiveResults!$F$5:$IX$116,ComparisonData!A56,ComparisonData!$BV$1),0),5)</f>
        <v>0</v>
      </c>
      <c r="BW56" s="46" cm="1">
        <f t="array" ref="BW56">ROUND(IFERROR(INDEX(ArchiveResults!$F$5:$IX$116,ComparisonData!A56,ComparisonData!$BW$1),0),5)</f>
        <v>0</v>
      </c>
      <c r="BX56" s="46" cm="1">
        <f t="array" ref="BX56">ROUND(IFERROR(INDEX(ArchiveResults!$F$5:$IX$116,ComparisonData!A56,ComparisonData!$BX$1),0),5)</f>
        <v>0</v>
      </c>
      <c r="BY56" s="56">
        <v>51</v>
      </c>
      <c r="BZ56" s="53" t="str">
        <f t="shared" si="541"/>
        <v>London Metropolitan Archives</v>
      </c>
      <c r="CA56" s="59">
        <f t="shared" si="145"/>
        <v>0</v>
      </c>
      <c r="CB56" s="59">
        <f t="shared" si="146"/>
        <v>0</v>
      </c>
      <c r="CC56" s="59">
        <f t="shared" si="147"/>
        <v>0</v>
      </c>
      <c r="CD56" s="59">
        <f t="shared" si="148"/>
        <v>0</v>
      </c>
      <c r="CE56" s="59">
        <f t="shared" si="149"/>
        <v>0</v>
      </c>
      <c r="CF56" s="59">
        <f t="shared" si="150"/>
        <v>0</v>
      </c>
      <c r="CG56" s="58">
        <f t="shared" si="151"/>
        <v>0</v>
      </c>
      <c r="CH56" s="45">
        <f t="shared" si="152"/>
        <v>88</v>
      </c>
      <c r="CI56" s="54">
        <f t="shared" si="542"/>
        <v>2.879</v>
      </c>
      <c r="CJ56" s="45">
        <f t="shared" si="153"/>
        <v>1</v>
      </c>
      <c r="CK56" s="45">
        <f t="shared" si="154"/>
        <v>2</v>
      </c>
      <c r="CL56" s="46" cm="1">
        <f t="array" ref="CL56">ROUND(IFERROR(INDEX(ArchiveResults!$F$5:$IX$116,ComparisonData!A56,ComparisonData!$CL$1),0),5)</f>
        <v>0</v>
      </c>
      <c r="CM56" s="56">
        <v>51</v>
      </c>
      <c r="CN56" s="53" t="str">
        <f t="shared" si="543"/>
        <v>London Metropolitan Archives</v>
      </c>
      <c r="CO56" s="45">
        <f t="shared" si="155"/>
        <v>0</v>
      </c>
      <c r="CP56" s="58">
        <f t="shared" si="156"/>
        <v>0</v>
      </c>
      <c r="CQ56" s="45">
        <f t="shared" si="157"/>
        <v>88</v>
      </c>
      <c r="CR56" s="54">
        <f t="shared" si="544"/>
        <v>2.879</v>
      </c>
      <c r="CS56" s="45">
        <f t="shared" si="158"/>
        <v>1</v>
      </c>
      <c r="CT56" s="45">
        <f t="shared" si="159"/>
        <v>2</v>
      </c>
      <c r="CU56" s="46" cm="1">
        <f t="array" ref="CU56">ROUND(IFERROR(INDEX(ArchiveResults!$F$5:$IX$116,ComparisonData!A56,ComparisonData!$CU$1),0),5)</f>
        <v>0</v>
      </c>
      <c r="CV56" s="56">
        <v>51</v>
      </c>
      <c r="CW56" s="53" t="str">
        <f t="shared" si="545"/>
        <v>London Metropolitan Archives</v>
      </c>
      <c r="CX56" s="45">
        <f t="shared" si="160"/>
        <v>0</v>
      </c>
      <c r="CY56" s="58">
        <f t="shared" si="161"/>
        <v>0</v>
      </c>
      <c r="CZ56" s="45">
        <f t="shared" si="162"/>
        <v>88</v>
      </c>
      <c r="DA56" s="54">
        <f t="shared" si="546"/>
        <v>2.879</v>
      </c>
      <c r="DB56" s="45">
        <f t="shared" si="163"/>
        <v>1</v>
      </c>
      <c r="DC56" s="45">
        <f t="shared" si="164"/>
        <v>2</v>
      </c>
      <c r="DD56" s="46" cm="1">
        <f t="array" ref="DD56">ROUND(IFERROR(INDEX(ArchiveResults!$F$5:$IX$116,ComparisonData!A56,ComparisonData!$DD$1),0),5)</f>
        <v>0</v>
      </c>
      <c r="DE56" s="56">
        <v>51</v>
      </c>
      <c r="DF56" s="53" t="str">
        <f t="shared" si="547"/>
        <v>London Metropolitan Archives</v>
      </c>
      <c r="DG56" s="45">
        <f t="shared" si="165"/>
        <v>0</v>
      </c>
      <c r="DH56" s="58">
        <f t="shared" si="166"/>
        <v>0</v>
      </c>
      <c r="DI56" s="45">
        <f t="shared" si="167"/>
        <v>88</v>
      </c>
      <c r="DJ56" s="54">
        <f t="shared" si="548"/>
        <v>2.879</v>
      </c>
      <c r="DK56" s="45">
        <f t="shared" si="168"/>
        <v>1</v>
      </c>
      <c r="DL56" s="45">
        <f t="shared" si="169"/>
        <v>2</v>
      </c>
      <c r="DM56" s="46" cm="1">
        <f t="array" ref="DM56">ROUND(IFERROR(INDEX(ArchiveResults!$F$5:$IX$116,ComparisonData!A56,ComparisonData!$DM$1),0),5)</f>
        <v>0</v>
      </c>
      <c r="DN56" s="46" cm="1">
        <f t="array" ref="DN56">ROUND(IFERROR(INDEX(ArchiveResults!$F$5:$IX$116,ComparisonData!A56,ComparisonData!$DN$1),0),5)</f>
        <v>0</v>
      </c>
      <c r="DO56" s="46" cm="1">
        <f t="array" ref="DO56">ROUND(IFERROR(INDEX(ArchiveResults!$F$5:$IX$116,ComparisonData!A56,ComparisonData!$DO$1),0),5)</f>
        <v>0</v>
      </c>
      <c r="DP56" s="46" cm="1">
        <f t="array" ref="DP56">ROUND(IFERROR(INDEX(ArchiveResults!$F$5:$IX$116,ComparisonData!A56,ComparisonData!$DP$1),0),5)</f>
        <v>0</v>
      </c>
      <c r="DQ56" s="45" cm="1">
        <f t="array" ref="DQ56">IFERROR(INDEX(ArchiveResults!$F$5:$IX$116,ComparisonData!A56,ComparisonData!$DQ$1),0)</f>
        <v>0</v>
      </c>
      <c r="DR56" s="56">
        <v>51</v>
      </c>
      <c r="DS56" s="53" t="str">
        <f t="shared" si="549"/>
        <v>London Metropolitan Archives</v>
      </c>
      <c r="DT56" s="59">
        <f t="shared" si="170"/>
        <v>0</v>
      </c>
      <c r="DU56" s="59">
        <f t="shared" si="171"/>
        <v>0</v>
      </c>
      <c r="DV56" s="59">
        <f t="shared" si="172"/>
        <v>0</v>
      </c>
      <c r="DW56" s="59">
        <f t="shared" si="173"/>
        <v>0</v>
      </c>
      <c r="DX56" s="59">
        <f t="shared" si="174"/>
        <v>0</v>
      </c>
      <c r="DY56" s="58">
        <f t="shared" si="175"/>
        <v>0</v>
      </c>
      <c r="DZ56" s="45">
        <f t="shared" si="176"/>
        <v>88</v>
      </c>
      <c r="EA56" s="54">
        <f t="shared" si="550"/>
        <v>2.879</v>
      </c>
      <c r="EB56" s="45">
        <f t="shared" si="177"/>
        <v>1</v>
      </c>
      <c r="EC56" s="45">
        <f t="shared" si="178"/>
        <v>2</v>
      </c>
      <c r="ED56" s="46" cm="1">
        <f t="array" ref="ED56">ROUND(IFERROR(INDEX(ArchiveResults!$F$5:$IX$116,ComparisonData!A56,ComparisonData!$ED$1),0),5)</f>
        <v>0</v>
      </c>
      <c r="EE56" s="46" cm="1">
        <f t="array" ref="EE56">ROUND(IFERROR(INDEX(ArchiveResults!$F$5:$IX$116,ComparisonData!A56,ComparisonData!$EE$1),0),5)</f>
        <v>0</v>
      </c>
      <c r="EF56" s="46" cm="1">
        <f t="array" ref="EF56">ROUND(IFERROR(INDEX(ArchiveResults!$F$5:$IX$116,ComparisonData!A56,ComparisonData!$EF$1),0),5)</f>
        <v>0</v>
      </c>
      <c r="EG56" s="46" cm="1">
        <f t="array" ref="EG56">ROUND(IFERROR(INDEX(ArchiveResults!$F$5:$IX$116,ComparisonData!A56,ComparisonData!$EG$1),0),5)</f>
        <v>0</v>
      </c>
      <c r="EH56" s="45" cm="1">
        <f t="array" ref="EH56">IFERROR(INDEX(ArchiveResults!$F$5:$IX$116,ComparisonData!A56,ComparisonData!$EH$1),0)</f>
        <v>0</v>
      </c>
      <c r="EI56" s="56">
        <v>51</v>
      </c>
      <c r="EJ56" s="53" t="str">
        <f t="shared" si="551"/>
        <v>London Metropolitan Archives</v>
      </c>
      <c r="EK56" s="59">
        <f t="shared" si="179"/>
        <v>0</v>
      </c>
      <c r="EL56" s="59">
        <f t="shared" si="180"/>
        <v>0</v>
      </c>
      <c r="EM56" s="59">
        <f t="shared" si="181"/>
        <v>0</v>
      </c>
      <c r="EN56" s="59">
        <f t="shared" si="182"/>
        <v>0</v>
      </c>
      <c r="EO56" s="59">
        <f t="shared" si="183"/>
        <v>0</v>
      </c>
      <c r="EP56" s="58">
        <f t="shared" si="184"/>
        <v>0</v>
      </c>
      <c r="EQ56" s="45">
        <f t="shared" si="185"/>
        <v>88</v>
      </c>
      <c r="ER56" s="54">
        <f t="shared" si="552"/>
        <v>2.879</v>
      </c>
      <c r="ES56" s="45">
        <f t="shared" si="186"/>
        <v>1</v>
      </c>
      <c r="ET56" s="45">
        <f t="shared" si="187"/>
        <v>2</v>
      </c>
      <c r="EU56" s="46" cm="1">
        <f t="array" ref="EU56">ROUND(IFERROR(INDEX(ArchiveResults!$F$5:$IX$116,ComparisonData!A56,ComparisonData!$EU$1),0),5)</f>
        <v>0</v>
      </c>
      <c r="EV56" s="46" cm="1">
        <f t="array" ref="EV56">ROUND(IFERROR(INDEX(ArchiveResults!$F$5:$IX$116,ComparisonData!A56,ComparisonData!$EV$1),0),5)</f>
        <v>0</v>
      </c>
      <c r="EW56" s="46" cm="1">
        <f t="array" ref="EW56">ROUND(IFERROR(INDEX(ArchiveResults!$F$5:$IX$116,ComparisonData!A56,ComparisonData!$EW$1),0),5)</f>
        <v>0</v>
      </c>
      <c r="EX56" s="46" cm="1">
        <f t="array" ref="EX56">ROUND(IFERROR(INDEX(ArchiveResults!$F$5:$IX$116,ComparisonData!A56,ComparisonData!$EX$1),0),5)</f>
        <v>0</v>
      </c>
      <c r="EY56" s="45" cm="1">
        <f t="array" ref="EY56">IFERROR(INDEX(ArchiveResults!$F$5:$IX$116,ComparisonData!A56,ComparisonData!$EY$1),0)</f>
        <v>0</v>
      </c>
      <c r="EZ56" s="56">
        <v>51</v>
      </c>
      <c r="FA56" s="53" t="str">
        <f t="shared" si="553"/>
        <v>London Metropolitan Archives</v>
      </c>
      <c r="FB56" s="59">
        <f t="shared" si="188"/>
        <v>0</v>
      </c>
      <c r="FC56" s="59">
        <f t="shared" si="189"/>
        <v>0</v>
      </c>
      <c r="FD56" s="59">
        <f t="shared" si="190"/>
        <v>0</v>
      </c>
      <c r="FE56" s="59">
        <f t="shared" si="191"/>
        <v>0</v>
      </c>
      <c r="FF56" s="59">
        <f t="shared" si="192"/>
        <v>0</v>
      </c>
      <c r="FG56" s="58">
        <f t="shared" si="193"/>
        <v>0</v>
      </c>
      <c r="FH56" s="45">
        <f t="shared" si="194"/>
        <v>88</v>
      </c>
      <c r="FI56" s="54">
        <f t="shared" si="554"/>
        <v>2.879</v>
      </c>
      <c r="FJ56" s="45">
        <f t="shared" si="195"/>
        <v>1</v>
      </c>
      <c r="FK56" s="45">
        <f t="shared" si="196"/>
        <v>2</v>
      </c>
      <c r="FL56" s="46" cm="1">
        <f t="array" ref="FL56">ROUND(IFERROR(INDEX(ArchiveResults!$F$5:$IX$116,ComparisonData!A56,ComparisonData!$FL$1),0),5)</f>
        <v>0</v>
      </c>
      <c r="FM56" s="46" cm="1">
        <f t="array" ref="FM56">ROUND(IFERROR(INDEX(ArchiveResults!$F$5:$IX$116,ComparisonData!A56,ComparisonData!$FM$1),0),5)</f>
        <v>0</v>
      </c>
      <c r="FN56" s="46" cm="1">
        <f t="array" ref="FN56">ROUND(IFERROR(INDEX(ArchiveResults!$F$5:$IX$116,ComparisonData!A56,ComparisonData!$FN$1),0),5)</f>
        <v>0</v>
      </c>
      <c r="FO56" s="46" cm="1">
        <f t="array" ref="FO56">ROUND(IFERROR(INDEX(ArchiveResults!$F$5:$IX$116,ComparisonData!A56,ComparisonData!$FO$1),0),5)</f>
        <v>0</v>
      </c>
      <c r="FP56" s="45" cm="1">
        <f t="array" ref="FP56">IFERROR(INDEX(ArchiveResults!$F$5:$IX$116,ComparisonData!A56,ComparisonData!$FP$1),0)</f>
        <v>0</v>
      </c>
      <c r="FQ56" s="56">
        <v>51</v>
      </c>
      <c r="FR56" s="53" t="str">
        <f t="shared" si="555"/>
        <v>London Metropolitan Archives</v>
      </c>
      <c r="FS56" s="59">
        <f t="shared" si="197"/>
        <v>0</v>
      </c>
      <c r="FT56" s="59">
        <f t="shared" si="198"/>
        <v>0</v>
      </c>
      <c r="FU56" s="59">
        <f t="shared" si="199"/>
        <v>0</v>
      </c>
      <c r="FV56" s="59">
        <f t="shared" si="200"/>
        <v>0</v>
      </c>
      <c r="FW56" s="59">
        <f t="shared" si="201"/>
        <v>0</v>
      </c>
      <c r="FX56" s="58">
        <f t="shared" si="202"/>
        <v>0</v>
      </c>
      <c r="FY56" s="45">
        <f t="shared" si="203"/>
        <v>88</v>
      </c>
      <c r="FZ56" s="45">
        <f t="shared" si="556"/>
        <v>2.879</v>
      </c>
      <c r="GA56" s="45">
        <f t="shared" si="204"/>
        <v>1</v>
      </c>
      <c r="GB56" s="45">
        <f t="shared" si="205"/>
        <v>2</v>
      </c>
      <c r="GC56" s="46" cm="1">
        <f t="array" ref="GC56">ROUND(IFERROR(INDEX(ArchiveResults!$F$5:$IX$116,ComparisonData!A56,ComparisonData!$GC$1),0),5)</f>
        <v>0</v>
      </c>
      <c r="GD56" s="46" cm="1">
        <f t="array" ref="GD56">ROUND(IFERROR(INDEX(ArchiveResults!$F$5:$IX$116,ComparisonData!A56,ComparisonData!$GD$1),0),5)</f>
        <v>0</v>
      </c>
      <c r="GE56" s="46" cm="1">
        <f t="array" ref="GE56">ROUND(IFERROR(INDEX(ArchiveResults!$F$5:$IX$116,ComparisonData!A56,ComparisonData!$GE$1),0),5)</f>
        <v>0</v>
      </c>
      <c r="GF56" s="46" cm="1">
        <f t="array" ref="GF56">ROUND(IFERROR(INDEX(ArchiveResults!$F$5:$IX$116,ComparisonData!A56,ComparisonData!$GF$1),0),5)</f>
        <v>0</v>
      </c>
      <c r="GG56" s="45" cm="1">
        <f t="array" ref="GG56">IFERROR(INDEX(ArchiveResults!$F$5:$IX$116,ComparisonData!A56,ComparisonData!$GG$1),0)</f>
        <v>0</v>
      </c>
      <c r="GH56" s="56">
        <v>51</v>
      </c>
      <c r="GI56" s="53" t="str">
        <f t="shared" si="557"/>
        <v>London Metropolitan Archives</v>
      </c>
      <c r="GJ56" s="59">
        <f t="shared" si="206"/>
        <v>0</v>
      </c>
      <c r="GK56" s="59">
        <f t="shared" si="207"/>
        <v>0</v>
      </c>
      <c r="GL56" s="59">
        <f t="shared" si="208"/>
        <v>0</v>
      </c>
      <c r="GM56" s="59">
        <f t="shared" si="209"/>
        <v>0</v>
      </c>
      <c r="GN56" s="59">
        <f t="shared" si="210"/>
        <v>0</v>
      </c>
      <c r="GO56" s="58">
        <f t="shared" si="211"/>
        <v>0</v>
      </c>
      <c r="GP56" s="45">
        <f t="shared" si="212"/>
        <v>88</v>
      </c>
      <c r="GQ56" s="45">
        <f t="shared" si="558"/>
        <v>2.879</v>
      </c>
      <c r="GR56" s="45">
        <f t="shared" si="213"/>
        <v>1</v>
      </c>
      <c r="GS56" s="45">
        <f t="shared" si="214"/>
        <v>2</v>
      </c>
      <c r="GT56" s="46" cm="1">
        <f t="array" ref="GT56">ROUND(IFERROR(INDEX(ArchiveResults!$F$5:$IX$116,ComparisonData!A56,ComparisonData!$GT$1),0),5)</f>
        <v>0</v>
      </c>
      <c r="GU56" s="46" cm="1">
        <f t="array" ref="GU56">ROUND(IFERROR(INDEX(ArchiveResults!$F$5:$IX$116,ComparisonData!A56,ComparisonData!$GU$1),0),5)</f>
        <v>0</v>
      </c>
      <c r="GV56" s="46" cm="1">
        <f t="array" ref="GV56">ROUND(IFERROR(INDEX(ArchiveResults!$F$5:$IX$116,ComparisonData!A56,ComparisonData!$GV$1),0),5)</f>
        <v>0</v>
      </c>
      <c r="GW56" s="46" cm="1">
        <f t="array" ref="GW56">ROUND(IFERROR(INDEX(ArchiveResults!$F$5:$IX$116,ComparisonData!A56,ComparisonData!$GW$1),0),5)</f>
        <v>0</v>
      </c>
      <c r="GX56" s="45" cm="1">
        <f t="array" ref="GX56">IFERROR(INDEX(ArchiveResults!$F$5:$IX$116,ComparisonData!A56,ComparisonData!$GX$1),0)</f>
        <v>0</v>
      </c>
      <c r="GY56" s="56">
        <v>51</v>
      </c>
      <c r="GZ56" s="53" t="str">
        <f t="shared" si="559"/>
        <v>London Metropolitan Archives</v>
      </c>
      <c r="HA56" s="59">
        <f t="shared" si="215"/>
        <v>0</v>
      </c>
      <c r="HB56" s="59">
        <f t="shared" si="216"/>
        <v>0</v>
      </c>
      <c r="HC56" s="59">
        <f t="shared" si="217"/>
        <v>0</v>
      </c>
      <c r="HD56" s="59">
        <f t="shared" si="218"/>
        <v>0</v>
      </c>
      <c r="HE56" s="59">
        <f t="shared" si="219"/>
        <v>0</v>
      </c>
      <c r="HF56" s="58">
        <f t="shared" si="220"/>
        <v>0</v>
      </c>
      <c r="HG56" s="45">
        <f t="shared" si="221"/>
        <v>88</v>
      </c>
      <c r="HH56" s="45">
        <f t="shared" si="560"/>
        <v>2.879</v>
      </c>
      <c r="HI56" s="45">
        <f t="shared" si="222"/>
        <v>1</v>
      </c>
      <c r="HJ56" s="45">
        <f t="shared" si="223"/>
        <v>2</v>
      </c>
      <c r="HK56" s="46" cm="1">
        <f t="array" ref="HK56">ROUND(IFERROR(INDEX(ArchiveResults!$F$5:$IX$116,ComparisonData!A56,ComparisonData!$HK$1),0),5)</f>
        <v>0</v>
      </c>
      <c r="HL56" s="46" cm="1">
        <f t="array" ref="HL56">ROUND(IFERROR(INDEX(ArchiveResults!$F$5:$IX$116,ComparisonData!A56,ComparisonData!$HL$1),0),5)</f>
        <v>0</v>
      </c>
      <c r="HM56" s="46" cm="1">
        <f t="array" ref="HM56">ROUND(IFERROR(INDEX(ArchiveResults!$F$5:$IX$116,ComparisonData!A56,ComparisonData!$HM$1),0),5)</f>
        <v>0</v>
      </c>
      <c r="HN56" s="46" cm="1">
        <f t="array" ref="HN56">ROUND(IFERROR(INDEX(ArchiveResults!$F$5:$IX$116,ComparisonData!A56,ComparisonData!$HN$1),0),5)</f>
        <v>0</v>
      </c>
      <c r="HO56" s="45" cm="1">
        <f t="array" ref="HO56">IFERROR(INDEX(ArchiveResults!$F$5:$IX$116,ComparisonData!A56,ComparisonData!$HO$1),0)</f>
        <v>0</v>
      </c>
      <c r="HP56" s="56">
        <v>51</v>
      </c>
      <c r="HQ56" s="53" t="str">
        <f t="shared" si="561"/>
        <v>London Metropolitan Archives</v>
      </c>
      <c r="HR56" s="59">
        <f t="shared" si="562"/>
        <v>0</v>
      </c>
      <c r="HS56" s="59">
        <f t="shared" si="563"/>
        <v>0</v>
      </c>
      <c r="HT56" s="59">
        <f t="shared" si="564"/>
        <v>0</v>
      </c>
      <c r="HU56" s="59">
        <f t="shared" si="565"/>
        <v>0</v>
      </c>
      <c r="HV56" s="59">
        <f t="shared" si="566"/>
        <v>0</v>
      </c>
      <c r="HW56" s="58">
        <f t="shared" si="224"/>
        <v>0</v>
      </c>
      <c r="HX56" s="45">
        <f t="shared" si="225"/>
        <v>88</v>
      </c>
      <c r="HY56" s="45">
        <f t="shared" si="567"/>
        <v>2.879</v>
      </c>
      <c r="HZ56" s="45">
        <f t="shared" si="226"/>
        <v>1</v>
      </c>
      <c r="IA56" s="45">
        <f t="shared" si="227"/>
        <v>2</v>
      </c>
      <c r="IB56" s="45">
        <f t="shared" si="228"/>
        <v>0</v>
      </c>
      <c r="IC56" s="46" cm="1">
        <f t="array" ref="IC56">ROUND(IFERROR(INDEX(ArchiveResults!$F$5:$IX$116,ComparisonData!A56,ComparisonData!$IC$1),0),5)</f>
        <v>0</v>
      </c>
      <c r="ID56" s="46" cm="1">
        <f t="array" ref="ID56">ROUND(IFERROR(INDEX(ArchiveResults!$F$5:$IX$116,ComparisonData!A56,ComparisonData!$ID$1),0),5)</f>
        <v>0</v>
      </c>
      <c r="IE56" s="46" cm="1">
        <f t="array" ref="IE56">ROUND(IFERROR(INDEX(ArchiveResults!$F$5:$IX$116,ComparisonData!A56,ComparisonData!$IE$1),0),5)</f>
        <v>0</v>
      </c>
      <c r="IF56" s="46" cm="1">
        <f t="array" ref="IF56">ROUND(IFERROR(INDEX(ArchiveResults!$F$5:$IX$116,ComparisonData!A56,ComparisonData!$IF$1),0),5)</f>
        <v>0</v>
      </c>
      <c r="IG56" s="45" cm="1">
        <f t="array" ref="IG56">IFERROR(INDEX(ArchiveResults!$F$5:$IX$116,ComparisonData!A56,ComparisonData!$IG$1),0)</f>
        <v>0</v>
      </c>
      <c r="IH56" s="56">
        <v>51</v>
      </c>
      <c r="II56" s="53" t="str">
        <f t="shared" si="568"/>
        <v>London Metropolitan Archives</v>
      </c>
      <c r="IJ56" s="59">
        <f t="shared" si="229"/>
        <v>0</v>
      </c>
      <c r="IK56" s="59">
        <f t="shared" si="230"/>
        <v>0</v>
      </c>
      <c r="IL56" s="59">
        <f t="shared" si="231"/>
        <v>0</v>
      </c>
      <c r="IM56" s="59">
        <f t="shared" si="232"/>
        <v>0</v>
      </c>
      <c r="IN56" s="59">
        <f t="shared" si="233"/>
        <v>0</v>
      </c>
      <c r="IO56" s="58">
        <f t="shared" si="234"/>
        <v>0</v>
      </c>
      <c r="IP56" s="45">
        <f t="shared" si="235"/>
        <v>88</v>
      </c>
      <c r="IQ56" s="45">
        <f t="shared" si="569"/>
        <v>2.879</v>
      </c>
      <c r="IR56" s="45">
        <f t="shared" si="236"/>
        <v>1</v>
      </c>
      <c r="IS56" s="45">
        <f t="shared" si="237"/>
        <v>2</v>
      </c>
      <c r="IT56" s="46">
        <f t="shared" si="238"/>
        <v>0</v>
      </c>
      <c r="IU56" s="46" cm="1">
        <f t="array" ref="IU56">ROUND(IFERROR(INDEX(ArchiveResults!$F$5:$IX$116,ComparisonData!A56,ComparisonData!$IU$1),0),5)</f>
        <v>0</v>
      </c>
      <c r="IV56" s="46" cm="1">
        <f t="array" ref="IV56">ROUND(IFERROR(INDEX(ArchiveResults!$F$5:$IX$116,ComparisonData!A56,ComparisonData!$IV$1),0),5)</f>
        <v>0</v>
      </c>
      <c r="IW56" s="46" cm="1">
        <f t="array" ref="IW56">ROUND(IFERROR(INDEX(ArchiveResults!$F$5:$IX$116,ComparisonData!A56,ComparisonData!$IW$1),0),5)</f>
        <v>0</v>
      </c>
      <c r="IX56" s="46" cm="1">
        <f t="array" ref="IX56">ROUND(IFERROR(INDEX(ArchiveResults!$F$5:$IX$116,ComparisonData!A56,ComparisonData!$IX$1),0),5)</f>
        <v>0</v>
      </c>
      <c r="IY56" s="45" cm="1">
        <f t="array" ref="IY56">IFERROR(INDEX(ArchiveResults!$F$5:$IX$116,ComparisonData!A56,ComparisonData!$IY$1),0)</f>
        <v>0</v>
      </c>
      <c r="IZ56" s="56">
        <v>51</v>
      </c>
      <c r="JA56" s="53" t="str">
        <f t="shared" si="570"/>
        <v>London Metropolitan Archives</v>
      </c>
      <c r="JB56" s="59">
        <f t="shared" si="239"/>
        <v>0</v>
      </c>
      <c r="JC56" s="59">
        <f t="shared" si="240"/>
        <v>0</v>
      </c>
      <c r="JD56" s="59">
        <f t="shared" si="241"/>
        <v>0</v>
      </c>
      <c r="JE56" s="59">
        <f t="shared" si="242"/>
        <v>0</v>
      </c>
      <c r="JF56" s="59">
        <f t="shared" si="243"/>
        <v>0</v>
      </c>
      <c r="JG56" s="58">
        <f t="shared" si="244"/>
        <v>0</v>
      </c>
      <c r="JH56" s="45">
        <f t="shared" si="245"/>
        <v>88</v>
      </c>
      <c r="JI56" s="45">
        <f t="shared" si="571"/>
        <v>2.879</v>
      </c>
      <c r="JJ56" s="45">
        <f t="shared" si="246"/>
        <v>1</v>
      </c>
      <c r="JK56" s="45">
        <f t="shared" si="247"/>
        <v>2</v>
      </c>
      <c r="JL56" s="45">
        <f t="shared" si="248"/>
        <v>0</v>
      </c>
      <c r="JM56" s="46" cm="1">
        <f t="array" ref="JM56">ROUND(IFERROR(INDEX(ArchiveResults!$F$5:$IX$116,ComparisonData!A56,ComparisonData!$JM$1),0),5)</f>
        <v>0</v>
      </c>
      <c r="JN56" s="46" cm="1">
        <f t="array" ref="JN56">ROUND(IFERROR(INDEX(ArchiveResults!$F$5:$IX$116,ComparisonData!A56,ComparisonData!$JN$1),0),5)</f>
        <v>0</v>
      </c>
      <c r="JO56" s="46" cm="1">
        <f t="array" ref="JO56">ROUND(IFERROR(INDEX(ArchiveResults!$F$5:$IX$116,ComparisonData!A56,ComparisonData!$JO$1),0),5)</f>
        <v>0</v>
      </c>
      <c r="JP56" s="46" cm="1">
        <f t="array" ref="JP56">ROUND(IFERROR(INDEX(ArchiveResults!$F$5:$IX$116,ComparisonData!A56,ComparisonData!$JP$1),0),5)</f>
        <v>0</v>
      </c>
      <c r="JQ56" s="45" cm="1">
        <f t="array" ref="JQ56">IFERROR(INDEX(ArchiveResults!$F$5:$IX$116,ComparisonData!A56,ComparisonData!$JQ$1),0)</f>
        <v>0</v>
      </c>
      <c r="JR56" s="56">
        <v>51</v>
      </c>
      <c r="JS56" s="53" t="str">
        <f t="shared" si="572"/>
        <v>London Metropolitan Archives</v>
      </c>
      <c r="JT56" s="59">
        <f t="shared" si="249"/>
        <v>0</v>
      </c>
      <c r="JU56" s="59">
        <f t="shared" si="250"/>
        <v>0</v>
      </c>
      <c r="JV56" s="59">
        <f t="shared" si="251"/>
        <v>0</v>
      </c>
      <c r="JW56" s="59">
        <f t="shared" si="252"/>
        <v>0</v>
      </c>
      <c r="JX56" s="59">
        <f t="shared" si="253"/>
        <v>0</v>
      </c>
      <c r="JY56" s="58">
        <f t="shared" si="254"/>
        <v>0</v>
      </c>
      <c r="JZ56" s="45">
        <f t="shared" si="255"/>
        <v>88</v>
      </c>
      <c r="KA56" s="45">
        <f t="shared" si="573"/>
        <v>2.879</v>
      </c>
      <c r="KB56" s="45">
        <f t="shared" si="256"/>
        <v>1</v>
      </c>
      <c r="KC56" s="45">
        <f t="shared" si="257"/>
        <v>2</v>
      </c>
      <c r="KD56" s="45">
        <f t="shared" si="258"/>
        <v>0</v>
      </c>
      <c r="KE56" s="46" cm="1">
        <f t="array" ref="KE56">ROUND(IFERROR(INDEX(ArchiveResults!$F$5:$IX$116,ComparisonData!A56,ComparisonData!$KE$1),0),5)</f>
        <v>0</v>
      </c>
      <c r="KF56" s="46" cm="1">
        <f t="array" ref="KF56">ROUND(IFERROR(INDEX(ArchiveResults!$F$5:$IX$116,ComparisonData!A56,ComparisonData!$KF$1),0),5)</f>
        <v>0</v>
      </c>
      <c r="KG56" s="46" cm="1">
        <f t="array" ref="KG56">ROUND(IFERROR(INDEX(ArchiveResults!$F$5:$IX$116,ComparisonData!A56,ComparisonData!$KG$1),0),5)</f>
        <v>0</v>
      </c>
      <c r="KH56" s="46" cm="1">
        <f t="array" ref="KH56">ROUND(IFERROR(INDEX(ArchiveResults!$F$5:$IX$116,ComparisonData!A56,ComparisonData!$KH$1),0),5)</f>
        <v>0</v>
      </c>
      <c r="KI56" s="45" cm="1">
        <f t="array" ref="KI56">IFERROR(INDEX(ArchiveResults!$F$5:$IX$116,ComparisonData!A56,ComparisonData!$KI$1),0)</f>
        <v>0</v>
      </c>
      <c r="KJ56" s="56">
        <v>51</v>
      </c>
      <c r="KK56" s="53" t="str">
        <f t="shared" si="574"/>
        <v>London Metropolitan Archives</v>
      </c>
      <c r="KL56" s="59">
        <f t="shared" si="259"/>
        <v>0</v>
      </c>
      <c r="KM56" s="59">
        <f t="shared" si="260"/>
        <v>0</v>
      </c>
      <c r="KN56" s="59">
        <f t="shared" si="261"/>
        <v>0</v>
      </c>
      <c r="KO56" s="59">
        <f t="shared" si="262"/>
        <v>0</v>
      </c>
      <c r="KP56" s="59">
        <f t="shared" si="263"/>
        <v>0</v>
      </c>
      <c r="KQ56" s="58">
        <f t="shared" si="264"/>
        <v>0</v>
      </c>
      <c r="KR56" s="45">
        <f t="shared" si="265"/>
        <v>88</v>
      </c>
      <c r="KS56" s="45">
        <f t="shared" si="575"/>
        <v>2.879</v>
      </c>
      <c r="KT56" s="45">
        <f t="shared" si="266"/>
        <v>1</v>
      </c>
      <c r="KU56" s="45">
        <f t="shared" si="267"/>
        <v>2</v>
      </c>
      <c r="KV56" s="45">
        <f t="shared" si="268"/>
        <v>0</v>
      </c>
      <c r="KW56" s="46" cm="1">
        <f t="array" ref="KW56">ROUND(IFERROR(INDEX(ArchiveResults!$F$5:$IX$116,ComparisonData!A56,ComparisonData!$KW$1),0),5)</f>
        <v>0</v>
      </c>
      <c r="KX56" s="46" cm="1">
        <f t="array" ref="KX56">ROUND(IFERROR(INDEX(ArchiveResults!$F$5:$IX$116,ComparisonData!A56,ComparisonData!$KX$1),0),5)</f>
        <v>0</v>
      </c>
      <c r="KY56" s="46" cm="1">
        <f t="array" ref="KY56">ROUND(IFERROR(INDEX(ArchiveResults!$F$5:$IX$116,ComparisonData!A56,ComparisonData!$KY$1),0),5)</f>
        <v>0</v>
      </c>
      <c r="KZ56" s="46" cm="1">
        <f t="array" ref="KZ56">ROUND(IFERROR(INDEX(ArchiveResults!$F$5:$IX$116,ComparisonData!A56,ComparisonData!$KZ$1),0),5)</f>
        <v>0</v>
      </c>
      <c r="LA56" s="45" cm="1">
        <f t="array" ref="LA56">IFERROR(INDEX(ArchiveResults!$F$5:$IX$116,ComparisonData!A56,ComparisonData!$LA$1),0)</f>
        <v>0</v>
      </c>
      <c r="LB56" s="56">
        <v>51</v>
      </c>
      <c r="LC56" s="53" t="str">
        <f t="shared" si="576"/>
        <v>London Metropolitan Archives</v>
      </c>
      <c r="LD56" s="59">
        <f t="shared" si="269"/>
        <v>0</v>
      </c>
      <c r="LE56" s="59">
        <f t="shared" si="270"/>
        <v>0</v>
      </c>
      <c r="LF56" s="59">
        <f t="shared" si="271"/>
        <v>0</v>
      </c>
      <c r="LG56" s="59">
        <f t="shared" si="272"/>
        <v>0</v>
      </c>
      <c r="LH56" s="59">
        <f t="shared" si="273"/>
        <v>0</v>
      </c>
      <c r="LI56" s="58">
        <f t="shared" si="274"/>
        <v>0</v>
      </c>
      <c r="LJ56" s="45">
        <f t="shared" si="275"/>
        <v>88</v>
      </c>
      <c r="LK56" s="45">
        <f t="shared" si="577"/>
        <v>2.879</v>
      </c>
      <c r="LL56" s="45">
        <f t="shared" si="276"/>
        <v>1</v>
      </c>
      <c r="LM56" s="45">
        <f t="shared" si="277"/>
        <v>2</v>
      </c>
      <c r="LN56" s="45">
        <f t="shared" si="278"/>
        <v>0</v>
      </c>
      <c r="LO56" s="46" cm="1">
        <f t="array" ref="LO56">ROUND(IFERROR(INDEX(ArchiveResults!$F$5:$IX$116,ComparisonData!A56,ComparisonData!$LO$1),0),5)</f>
        <v>0</v>
      </c>
      <c r="LP56" s="46" cm="1">
        <f t="array" ref="LP56">ROUND(IFERROR(INDEX(ArchiveResults!$F$5:$IX$116,ComparisonData!A56,ComparisonData!$LP$1),0),5)</f>
        <v>0</v>
      </c>
      <c r="LQ56" s="46" cm="1">
        <f t="array" ref="LQ56">ROUND(IFERROR(INDEX(ArchiveResults!$F$5:$IX$116,ComparisonData!A56,ComparisonData!$LQ$1),0),5)</f>
        <v>0</v>
      </c>
      <c r="LR56" s="46" cm="1">
        <f t="array" ref="LR56">ROUND(IFERROR(INDEX(ArchiveResults!$F$5:$IX$116,ComparisonData!A56,ComparisonData!$LR$1),0),5)</f>
        <v>0</v>
      </c>
      <c r="LS56" s="45" cm="1">
        <f t="array" ref="LS56">IFERROR(INDEX(ArchiveResults!$F$5:$IX$116,ComparisonData!A56,ComparisonData!$LS$1),0)</f>
        <v>0</v>
      </c>
      <c r="LT56" s="56">
        <v>51</v>
      </c>
      <c r="LU56" s="53" t="str">
        <f t="shared" si="578"/>
        <v>London Metropolitan Archives</v>
      </c>
      <c r="LV56" s="59">
        <f t="shared" si="279"/>
        <v>0</v>
      </c>
      <c r="LW56" s="59">
        <f t="shared" si="280"/>
        <v>0</v>
      </c>
      <c r="LX56" s="59">
        <f t="shared" si="281"/>
        <v>0</v>
      </c>
      <c r="LY56" s="59">
        <f t="shared" si="282"/>
        <v>0</v>
      </c>
      <c r="LZ56" s="59">
        <f t="shared" si="283"/>
        <v>0</v>
      </c>
      <c r="MA56" s="58">
        <f t="shared" si="284"/>
        <v>0</v>
      </c>
      <c r="MB56" s="45">
        <f t="shared" si="285"/>
        <v>88</v>
      </c>
      <c r="MC56" s="45">
        <f t="shared" si="579"/>
        <v>2.879</v>
      </c>
      <c r="MD56" s="45">
        <f t="shared" si="286"/>
        <v>1</v>
      </c>
      <c r="ME56" s="45">
        <f t="shared" si="287"/>
        <v>2</v>
      </c>
      <c r="MF56" s="45">
        <f t="shared" si="288"/>
        <v>0</v>
      </c>
      <c r="MG56" s="46" cm="1">
        <f t="array" ref="MG56">ROUND(IFERROR(INDEX(ArchiveResults!$F$5:$IX$116,ComparisonData!A56,ComparisonData!$MG$1),0),5)</f>
        <v>0</v>
      </c>
      <c r="MH56" s="46" cm="1">
        <f t="array" ref="MH56">ROUND(IFERROR(INDEX(ArchiveResults!$F$5:$IX$116,ComparisonData!A56,ComparisonData!$MH$1),0),5)</f>
        <v>0</v>
      </c>
      <c r="MI56" s="46" cm="1">
        <f t="array" ref="MI56">ROUND(IFERROR(INDEX(ArchiveResults!$F$5:$IX$116,ComparisonData!A56,ComparisonData!$MI$1),0),5)</f>
        <v>0</v>
      </c>
      <c r="MJ56" s="46" cm="1">
        <f t="array" ref="MJ56">ROUND(IFERROR(INDEX(ArchiveResults!$F$5:$IX$116,ComparisonData!A56,ComparisonData!$MJ$1),0),5)</f>
        <v>0</v>
      </c>
      <c r="MK56" s="45" cm="1">
        <f t="array" ref="MK56">IFERROR(INDEX(ArchiveResults!$F$5:$IX$116,ComparisonData!A56,ComparisonData!$MK$1),0)</f>
        <v>0</v>
      </c>
      <c r="ML56" s="56">
        <v>51</v>
      </c>
      <c r="MM56" s="53" t="str">
        <f t="shared" si="580"/>
        <v>London Metropolitan Archives</v>
      </c>
      <c r="MN56" s="59">
        <f t="shared" si="289"/>
        <v>0</v>
      </c>
      <c r="MO56" s="59">
        <f t="shared" si="290"/>
        <v>0</v>
      </c>
      <c r="MP56" s="59">
        <f t="shared" si="291"/>
        <v>0</v>
      </c>
      <c r="MQ56" s="59">
        <f t="shared" si="292"/>
        <v>0</v>
      </c>
      <c r="MR56" s="59">
        <f t="shared" si="293"/>
        <v>0</v>
      </c>
      <c r="MS56" s="58">
        <f t="shared" si="294"/>
        <v>0</v>
      </c>
      <c r="MT56" s="45">
        <f t="shared" si="295"/>
        <v>88</v>
      </c>
      <c r="MU56" s="45">
        <f t="shared" si="581"/>
        <v>2.879</v>
      </c>
      <c r="MV56" s="45">
        <f t="shared" si="296"/>
        <v>1</v>
      </c>
      <c r="MW56" s="45">
        <f t="shared" si="297"/>
        <v>2</v>
      </c>
      <c r="MX56" s="45">
        <f t="shared" si="298"/>
        <v>0</v>
      </c>
      <c r="MY56" s="46" cm="1">
        <f t="array" ref="MY56">ROUND(IFERROR(INDEX(ArchiveResults!$F$5:$IX$116,ComparisonData!A56,ComparisonData!$MY$1),0),5)</f>
        <v>0</v>
      </c>
      <c r="MZ56" s="46" cm="1">
        <f t="array" ref="MZ56">ROUND(IFERROR(INDEX(ArchiveResults!$F$5:$IX$116,ComparisonData!A56,ComparisonData!$MZ$1),0),5)</f>
        <v>0</v>
      </c>
      <c r="NA56" s="46" cm="1">
        <f t="array" ref="NA56">ROUND(IFERROR(INDEX(ArchiveResults!$F$5:$IX$116,ComparisonData!A56,ComparisonData!$NA$1),0),5)</f>
        <v>0</v>
      </c>
      <c r="NB56" s="46" cm="1">
        <f t="array" ref="NB56">ROUND(IFERROR(INDEX(ArchiveResults!$F$5:$IX$116,ComparisonData!A56,ComparisonData!$NB$1),0),5)</f>
        <v>0</v>
      </c>
      <c r="NC56" s="45" cm="1">
        <f t="array" ref="NC56">IFERROR(INDEX(ArchiveResults!$F$5:$IX$116,ComparisonData!A56,ComparisonData!$NC$1),0)</f>
        <v>0</v>
      </c>
      <c r="ND56" s="56">
        <v>51</v>
      </c>
      <c r="NE56" s="53" t="str">
        <f t="shared" si="582"/>
        <v>London Metropolitan Archives</v>
      </c>
      <c r="NF56" s="59">
        <f t="shared" si="299"/>
        <v>0</v>
      </c>
      <c r="NG56" s="59">
        <f t="shared" si="300"/>
        <v>0</v>
      </c>
      <c r="NH56" s="59">
        <f t="shared" si="301"/>
        <v>0</v>
      </c>
      <c r="NI56" s="59">
        <f t="shared" si="302"/>
        <v>0</v>
      </c>
      <c r="NJ56" s="59">
        <f t="shared" si="303"/>
        <v>0</v>
      </c>
      <c r="NK56" s="58">
        <f t="shared" si="304"/>
        <v>0</v>
      </c>
      <c r="NL56" s="45">
        <f t="shared" si="305"/>
        <v>88</v>
      </c>
      <c r="NM56" s="45">
        <f t="shared" si="583"/>
        <v>2.879</v>
      </c>
      <c r="NN56" s="45">
        <f t="shared" si="306"/>
        <v>1</v>
      </c>
      <c r="NO56" s="45">
        <f t="shared" si="307"/>
        <v>2</v>
      </c>
      <c r="NP56" s="46" cm="1">
        <f t="array" ref="NP56">ROUND(IFERROR(INDEX(ArchiveResults!$F$5:$IX$116,ComparisonData!A56,ComparisonData!$NP$1),0),5)</f>
        <v>0</v>
      </c>
      <c r="NQ56" s="46" cm="1">
        <f t="array" ref="NQ56">ROUND(IFERROR(INDEX(ArchiveResults!$F$5:$IX$116,ComparisonData!A56,ComparisonData!$NQ$1),0),5)</f>
        <v>0</v>
      </c>
      <c r="NR56" s="46" cm="1">
        <f t="array" ref="NR56">ROUND(IFERROR(INDEX(ArchiveResults!$F$5:$IX$116,ComparisonData!A56,ComparisonData!$NR$1),0),5)</f>
        <v>0</v>
      </c>
      <c r="NS56" s="46" cm="1">
        <f t="array" ref="NS56">ROUND(IFERROR(INDEX(ArchiveResults!$F$5:$IX$116,ComparisonData!A56,ComparisonData!$NS$1),0),5)</f>
        <v>0</v>
      </c>
      <c r="NT56" s="45" cm="1">
        <f t="array" ref="NT56">IFERROR(INDEX(ArchiveResults!$F$5:$IX$116,ComparisonData!A56,ComparisonData!$NT$1),0)</f>
        <v>0</v>
      </c>
      <c r="NU56" s="56">
        <v>51</v>
      </c>
      <c r="NV56" s="53" t="str">
        <f t="shared" si="584"/>
        <v>London Metropolitan Archives</v>
      </c>
      <c r="NW56" s="59">
        <f t="shared" si="308"/>
        <v>0</v>
      </c>
      <c r="NX56" s="59">
        <f t="shared" si="309"/>
        <v>0</v>
      </c>
      <c r="NY56" s="59">
        <f t="shared" si="310"/>
        <v>0</v>
      </c>
      <c r="NZ56" s="59">
        <f t="shared" si="311"/>
        <v>0</v>
      </c>
      <c r="OA56" s="59">
        <f t="shared" si="312"/>
        <v>0</v>
      </c>
      <c r="OB56" s="58">
        <f t="shared" si="313"/>
        <v>0</v>
      </c>
      <c r="OC56" s="45">
        <f t="shared" si="314"/>
        <v>88</v>
      </c>
      <c r="OD56" s="45">
        <f t="shared" si="585"/>
        <v>2.879</v>
      </c>
      <c r="OE56" s="45">
        <f t="shared" si="315"/>
        <v>1</v>
      </c>
      <c r="OF56" s="45">
        <f t="shared" si="316"/>
        <v>2</v>
      </c>
      <c r="OG56" s="46">
        <f t="shared" si="317"/>
        <v>0</v>
      </c>
      <c r="OH56" s="46" cm="1">
        <f t="array" ref="OH56">ROUND(IFERROR(INDEX(ArchiveResults!$F$5:$IX$116,ComparisonData!A56,ComparisonData!$OH$1),0),5)</f>
        <v>0</v>
      </c>
      <c r="OI56" s="46" cm="1">
        <f t="array" ref="OI56">ROUND(IFERROR(INDEX(ArchiveResults!$F$5:$IX$116,ComparisonData!A56,ComparisonData!$OI$1),0),5)</f>
        <v>0</v>
      </c>
      <c r="OJ56" s="46" cm="1">
        <f t="array" ref="OJ56">ROUND(IFERROR(INDEX(ArchiveResults!$F$5:$IX$116,ComparisonData!A56,ComparisonData!$OJ$1),0),5)</f>
        <v>0</v>
      </c>
      <c r="OK56" s="46" cm="1">
        <f t="array" ref="OK56">ROUND(IFERROR(INDEX(ArchiveResults!$F$5:$IX$116,ComparisonData!A56,ComparisonData!$OK$1),0),5)</f>
        <v>0</v>
      </c>
      <c r="OL56" s="45" cm="1">
        <f t="array" ref="OL56">IFERROR(INDEX(ArchiveResults!$F$5:$IX$116,ComparisonData!A56,ComparisonData!$OL$1),0)</f>
        <v>0</v>
      </c>
      <c r="OM56" s="56">
        <v>51</v>
      </c>
      <c r="ON56" s="53" t="str">
        <f t="shared" si="586"/>
        <v>London Metropolitan Archives</v>
      </c>
      <c r="OO56" s="59">
        <f t="shared" si="318"/>
        <v>0</v>
      </c>
      <c r="OP56" s="59">
        <f t="shared" si="319"/>
        <v>0</v>
      </c>
      <c r="OQ56" s="59">
        <f t="shared" si="320"/>
        <v>0</v>
      </c>
      <c r="OR56" s="59">
        <f t="shared" si="321"/>
        <v>0</v>
      </c>
      <c r="OS56" s="59">
        <f t="shared" si="322"/>
        <v>0</v>
      </c>
      <c r="OT56" s="58">
        <f t="shared" si="323"/>
        <v>0</v>
      </c>
      <c r="OU56" s="45">
        <f t="shared" si="324"/>
        <v>88</v>
      </c>
      <c r="OV56" s="45">
        <f t="shared" si="587"/>
        <v>2.879</v>
      </c>
      <c r="OW56" s="45">
        <f t="shared" si="325"/>
        <v>1</v>
      </c>
      <c r="OX56" s="45">
        <f t="shared" si="326"/>
        <v>2</v>
      </c>
      <c r="OY56" s="45">
        <f t="shared" si="327"/>
        <v>0</v>
      </c>
      <c r="OZ56" s="46" cm="1">
        <f t="array" ref="OZ56">ROUND(IFERROR(INDEX(ArchiveResults!$F$5:$IX$116,ComparisonData!A56,ComparisonData!$OZ$1),0),5)</f>
        <v>0</v>
      </c>
      <c r="PA56" s="46" cm="1">
        <f t="array" ref="PA56">ROUND(IFERROR(INDEX(ArchiveResults!$F$5:$IX$116,ComparisonData!A56,ComparisonData!$PA$1),0),5)</f>
        <v>0</v>
      </c>
      <c r="PB56" s="46" cm="1">
        <f t="array" ref="PB56">ROUND(IFERROR(INDEX(ArchiveResults!$F$5:$IX$116,ComparisonData!A56,ComparisonData!$PB$1),0),5)</f>
        <v>0</v>
      </c>
      <c r="PC56" s="46" cm="1">
        <f t="array" ref="PC56">ROUND(IFERROR(INDEX(ArchiveResults!$F$5:$IX$116,ComparisonData!A56,ComparisonData!$PC$1),0),5)</f>
        <v>0</v>
      </c>
      <c r="PD56" s="45" cm="1">
        <f t="array" ref="PD56">IFERROR(INDEX(ArchiveResults!$F$5:$IX$116,ComparisonData!A56,ComparisonData!$PD$1),0)</f>
        <v>0</v>
      </c>
      <c r="PE56" s="56">
        <v>51</v>
      </c>
      <c r="PF56" s="53" t="str">
        <f t="shared" si="588"/>
        <v>London Metropolitan Archives</v>
      </c>
      <c r="PG56" s="59">
        <f t="shared" si="328"/>
        <v>0</v>
      </c>
      <c r="PH56" s="59">
        <f t="shared" si="329"/>
        <v>0</v>
      </c>
      <c r="PI56" s="59">
        <f t="shared" si="330"/>
        <v>0</v>
      </c>
      <c r="PJ56" s="59">
        <f t="shared" si="331"/>
        <v>0</v>
      </c>
      <c r="PK56" s="59">
        <f t="shared" si="332"/>
        <v>0</v>
      </c>
      <c r="PL56" s="58">
        <f t="shared" si="333"/>
        <v>0</v>
      </c>
      <c r="PM56" s="45">
        <f t="shared" si="334"/>
        <v>88</v>
      </c>
      <c r="PN56" s="45">
        <f t="shared" si="589"/>
        <v>2.879</v>
      </c>
      <c r="PO56" s="45">
        <f t="shared" si="335"/>
        <v>1</v>
      </c>
      <c r="PP56" s="45">
        <f t="shared" si="336"/>
        <v>2</v>
      </c>
      <c r="PQ56" s="45">
        <f t="shared" si="337"/>
        <v>0</v>
      </c>
      <c r="PR56" s="46" cm="1">
        <f t="array" ref="PR56">ROUND(IFERROR(INDEX(ArchiveResults!$F$5:$IX$116,ComparisonData!A56,ComparisonData!$PR$1),0),5)</f>
        <v>0</v>
      </c>
      <c r="PS56" s="46" cm="1">
        <f t="array" ref="PS56">ROUND(IFERROR(INDEX(ArchiveResults!$F$5:$IX$116,ComparisonData!A56,ComparisonData!$PS$1),0),5)</f>
        <v>0</v>
      </c>
      <c r="PT56" s="46" cm="1">
        <f t="array" ref="PT56">ROUND(IFERROR(INDEX(ArchiveResults!$F$5:$IX$116,ComparisonData!A56,ComparisonData!$PT$1),0),5)</f>
        <v>0</v>
      </c>
      <c r="PU56" s="46" cm="1">
        <f t="array" ref="PU56">ROUND(IFERROR(INDEX(ArchiveResults!$F$5:$IX$116,ComparisonData!A56,ComparisonData!$PU$1),0),5)</f>
        <v>0</v>
      </c>
      <c r="PV56" s="45" cm="1">
        <f t="array" ref="PV56">IFERROR(INDEX(ArchiveResults!$F$5:$IX$116,ComparisonData!A56,ComparisonData!$PV$1),0)</f>
        <v>0</v>
      </c>
      <c r="PW56" s="56">
        <v>51</v>
      </c>
      <c r="PX56" s="53" t="str">
        <f t="shared" si="590"/>
        <v>London Metropolitan Archives</v>
      </c>
      <c r="PY56" s="59">
        <f t="shared" si="338"/>
        <v>0</v>
      </c>
      <c r="PZ56" s="59">
        <f t="shared" si="339"/>
        <v>0</v>
      </c>
      <c r="QA56" s="59">
        <f t="shared" si="340"/>
        <v>0</v>
      </c>
      <c r="QB56" s="59">
        <f t="shared" si="341"/>
        <v>0</v>
      </c>
      <c r="QC56" s="59">
        <f t="shared" si="342"/>
        <v>0</v>
      </c>
      <c r="QD56" s="58">
        <f t="shared" si="343"/>
        <v>0</v>
      </c>
      <c r="QE56" s="45">
        <f t="shared" si="344"/>
        <v>88</v>
      </c>
      <c r="QF56" s="45">
        <f t="shared" si="591"/>
        <v>2.879</v>
      </c>
      <c r="QG56" s="45">
        <f t="shared" si="345"/>
        <v>1</v>
      </c>
      <c r="QH56" s="45">
        <f t="shared" si="346"/>
        <v>2</v>
      </c>
      <c r="QI56" s="45">
        <f t="shared" si="347"/>
        <v>0</v>
      </c>
      <c r="QJ56" s="46" cm="1">
        <f t="array" ref="QJ56">ROUND(IFERROR(INDEX(ArchiveResults!$F$5:$IX$116,ComparisonData!A56,ComparisonData!$QJ$1),0),5)</f>
        <v>0</v>
      </c>
      <c r="QK56" s="46" cm="1">
        <f t="array" ref="QK56">ROUND(IFERROR(INDEX(ArchiveResults!$F$5:$IX$116,ComparisonData!A56,ComparisonData!$QK$1),0),5)</f>
        <v>0</v>
      </c>
      <c r="QL56" s="46" cm="1">
        <f t="array" ref="QL56">ROUND(IFERROR(INDEX(ArchiveResults!$F$5:$IX$116,ComparisonData!A56,ComparisonData!$QL$1),0),5)</f>
        <v>0</v>
      </c>
      <c r="QM56" s="46" cm="1">
        <f t="array" ref="QM56">ROUND(IFERROR(INDEX(ArchiveResults!$F$5:$IX$116,ComparisonData!A56,ComparisonData!$QM$1),0),5)</f>
        <v>0</v>
      </c>
      <c r="QN56" s="45" cm="1">
        <f t="array" ref="QN56">IFERROR(INDEX(ArchiveResults!$F$5:$IX$116,ComparisonData!A56,ComparisonData!$QN$1),0)</f>
        <v>0</v>
      </c>
      <c r="QO56" s="56">
        <v>51</v>
      </c>
      <c r="QP56" s="53" t="str">
        <f t="shared" si="592"/>
        <v>London Metropolitan Archives</v>
      </c>
      <c r="QQ56" s="59">
        <f t="shared" si="348"/>
        <v>0</v>
      </c>
      <c r="QR56" s="59">
        <f t="shared" si="349"/>
        <v>0</v>
      </c>
      <c r="QS56" s="59">
        <f t="shared" si="350"/>
        <v>0</v>
      </c>
      <c r="QT56" s="59">
        <f t="shared" si="351"/>
        <v>0</v>
      </c>
      <c r="QU56" s="59">
        <f t="shared" si="352"/>
        <v>0</v>
      </c>
      <c r="QV56" s="58">
        <f t="shared" si="353"/>
        <v>0</v>
      </c>
      <c r="QW56" s="45">
        <f t="shared" si="354"/>
        <v>88</v>
      </c>
      <c r="QX56" s="45">
        <f t="shared" si="593"/>
        <v>2.879</v>
      </c>
      <c r="QY56" s="45">
        <f t="shared" si="355"/>
        <v>1</v>
      </c>
      <c r="QZ56" s="45">
        <f t="shared" si="356"/>
        <v>2</v>
      </c>
      <c r="RA56" s="45">
        <f t="shared" si="357"/>
        <v>0</v>
      </c>
      <c r="RB56" s="46" cm="1">
        <f t="array" ref="RB56">ROUND(IFERROR(INDEX(ArchiveResults!$F$5:$IX$116,ComparisonData!A56,ComparisonData!$RB$1),0),5)</f>
        <v>0</v>
      </c>
      <c r="RC56" s="46" cm="1">
        <f t="array" ref="RC56">ROUND(IFERROR(INDEX(ArchiveResults!$F$5:$IX$116,ComparisonData!A56,ComparisonData!$RC$1),0),5)</f>
        <v>0</v>
      </c>
      <c r="RD56" s="46" cm="1">
        <f t="array" ref="RD56">ROUND(IFERROR(INDEX(ArchiveResults!$F$5:$IX$116,ComparisonData!A56,ComparisonData!$RD$1),0),5)</f>
        <v>0</v>
      </c>
      <c r="RE56" s="46" cm="1">
        <f t="array" ref="RE56">ROUND(IFERROR(INDEX(ArchiveResults!$F$5:$IX$116,ComparisonData!A56,ComparisonData!$RE$1),0),5)</f>
        <v>0</v>
      </c>
      <c r="RF56" s="45" cm="1">
        <f t="array" ref="RF56">IFERROR(INDEX(ArchiveResults!$F$5:$IX$116,ComparisonData!A56,ComparisonData!$RF$1),0)</f>
        <v>0</v>
      </c>
      <c r="RG56" s="56">
        <v>51</v>
      </c>
      <c r="RH56" s="53" t="str">
        <f t="shared" si="594"/>
        <v>London Metropolitan Archives</v>
      </c>
      <c r="RI56" s="59">
        <f t="shared" si="358"/>
        <v>0</v>
      </c>
      <c r="RJ56" s="59">
        <f t="shared" si="359"/>
        <v>0</v>
      </c>
      <c r="RK56" s="59">
        <f t="shared" si="360"/>
        <v>0</v>
      </c>
      <c r="RL56" s="59">
        <f t="shared" si="361"/>
        <v>0</v>
      </c>
      <c r="RM56" s="59">
        <f t="shared" si="362"/>
        <v>0</v>
      </c>
      <c r="RN56" s="58">
        <f t="shared" si="363"/>
        <v>0</v>
      </c>
      <c r="RO56" s="45">
        <f t="shared" si="364"/>
        <v>88</v>
      </c>
      <c r="RP56" s="45">
        <f t="shared" si="595"/>
        <v>2.879</v>
      </c>
      <c r="RQ56" s="45">
        <f t="shared" si="365"/>
        <v>1</v>
      </c>
      <c r="RR56" s="45">
        <f t="shared" si="366"/>
        <v>2</v>
      </c>
      <c r="RS56" s="45">
        <f t="shared" si="367"/>
        <v>0</v>
      </c>
      <c r="RT56" s="46" cm="1">
        <f t="array" ref="RT56">ROUND(IFERROR(INDEX(ArchiveResults!$F$5:$IX$116,ComparisonData!A56,ComparisonData!$RT$1),0),5)</f>
        <v>0</v>
      </c>
      <c r="RU56" s="46" cm="1">
        <f t="array" ref="RU56">ROUND(IFERROR(INDEX(ArchiveResults!$F$5:$IX$116,ComparisonData!A56,ComparisonData!$RU$1),0),5)</f>
        <v>0</v>
      </c>
      <c r="RV56" s="46" cm="1">
        <f t="array" ref="RV56">ROUND(IFERROR(INDEX(ArchiveResults!$F$5:$IX$116,ComparisonData!A56,ComparisonData!$RV$1),0),5)</f>
        <v>0</v>
      </c>
      <c r="RW56" s="46" cm="1">
        <f t="array" ref="RW56">ROUND(IFERROR(INDEX(ArchiveResults!$F$5:$IX$116,ComparisonData!A56,ComparisonData!$RW$1),0),5)</f>
        <v>0</v>
      </c>
      <c r="RX56" s="45" cm="1">
        <f t="array" ref="RX56">IFERROR(INDEX(ArchiveResults!$F$5:$IX$116,ComparisonData!A56,ComparisonData!$RX$1),0)</f>
        <v>0</v>
      </c>
      <c r="RY56" s="56">
        <v>51</v>
      </c>
      <c r="RZ56" s="53" t="str">
        <f t="shared" si="596"/>
        <v>London Metropolitan Archives</v>
      </c>
      <c r="SA56" s="59">
        <f t="shared" si="368"/>
        <v>0</v>
      </c>
      <c r="SB56" s="59">
        <f t="shared" si="369"/>
        <v>0</v>
      </c>
      <c r="SC56" s="59">
        <f t="shared" si="370"/>
        <v>0</v>
      </c>
      <c r="SD56" s="59">
        <f t="shared" si="371"/>
        <v>0</v>
      </c>
      <c r="SE56" s="59">
        <f t="shared" si="372"/>
        <v>0</v>
      </c>
      <c r="SF56" s="58">
        <f t="shared" si="373"/>
        <v>0</v>
      </c>
      <c r="SG56" s="45">
        <f t="shared" si="374"/>
        <v>88</v>
      </c>
      <c r="SH56" s="45">
        <f t="shared" si="597"/>
        <v>2.879</v>
      </c>
      <c r="SI56" s="45">
        <f t="shared" si="375"/>
        <v>1</v>
      </c>
      <c r="SJ56" s="45">
        <f t="shared" si="376"/>
        <v>2</v>
      </c>
      <c r="SK56" s="45">
        <f t="shared" si="377"/>
        <v>0</v>
      </c>
      <c r="SL56" s="46" cm="1">
        <f t="array" ref="SL56">ROUND(IFERROR(INDEX(ArchiveResults!$F$5:$IX$116,ComparisonData!A56,ComparisonData!$SL$1),0),5)</f>
        <v>0</v>
      </c>
      <c r="SM56" s="46" cm="1">
        <f t="array" ref="SM56">ROUND(IFERROR(INDEX(ArchiveResults!$F$5:$IX$116,ComparisonData!A56,ComparisonData!$SM$1),0),5)</f>
        <v>0</v>
      </c>
      <c r="SN56" s="46" cm="1">
        <f t="array" ref="SN56">ROUND(IFERROR(INDEX(ArchiveResults!$F$5:$IX$116,ComparisonData!A56,ComparisonData!$SN$1),0),5)</f>
        <v>0</v>
      </c>
      <c r="SO56" s="46" cm="1">
        <f t="array" ref="SO56">ROUND(IFERROR(INDEX(ArchiveResults!$F$5:$IX$116,ComparisonData!A56,ComparisonData!$SO$1),0),5)</f>
        <v>0</v>
      </c>
      <c r="SP56" s="45" cm="1">
        <f t="array" ref="SP56">IFERROR(INDEX(ArchiveResults!$F$5:$IX$116,ComparisonData!A56,ComparisonData!$SP$1),0)</f>
        <v>0</v>
      </c>
      <c r="SQ56" s="56">
        <v>51</v>
      </c>
      <c r="SR56" s="53" t="str">
        <f t="shared" si="598"/>
        <v>London Metropolitan Archives</v>
      </c>
      <c r="SS56" s="59">
        <f t="shared" si="378"/>
        <v>0</v>
      </c>
      <c r="ST56" s="59">
        <f t="shared" si="379"/>
        <v>0</v>
      </c>
      <c r="SU56" s="59">
        <f t="shared" si="380"/>
        <v>0</v>
      </c>
      <c r="SV56" s="59">
        <f t="shared" si="381"/>
        <v>0</v>
      </c>
      <c r="SW56" s="59">
        <f t="shared" si="382"/>
        <v>0</v>
      </c>
      <c r="SX56" s="58">
        <f t="shared" si="383"/>
        <v>0</v>
      </c>
      <c r="SY56" s="45">
        <f t="shared" si="384"/>
        <v>88</v>
      </c>
      <c r="SZ56" s="45">
        <f t="shared" si="599"/>
        <v>2.879</v>
      </c>
      <c r="TA56" s="45">
        <f t="shared" si="385"/>
        <v>1</v>
      </c>
      <c r="TB56" s="45">
        <f t="shared" si="386"/>
        <v>2</v>
      </c>
      <c r="TC56" s="45">
        <f t="shared" si="387"/>
        <v>0</v>
      </c>
      <c r="TD56" s="46" cm="1">
        <f t="array" ref="TD56">ROUND(IFERROR(INDEX(ArchiveResults!$F$5:$IX$116,ComparisonData!A56,ComparisonData!$TD$1),0),5)</f>
        <v>0</v>
      </c>
      <c r="TE56" s="46" cm="1">
        <f t="array" ref="TE56">ROUND(IFERROR(INDEX(ArchiveResults!$F$5:$IX$116,ComparisonData!A56,ComparisonData!$TE$1),0),5)</f>
        <v>0</v>
      </c>
      <c r="TF56" s="46" cm="1">
        <f t="array" ref="TF56">ROUND(IFERROR(INDEX(ArchiveResults!$F$5:$IX$116,ComparisonData!A56,ComparisonData!$TF$1),0),5)</f>
        <v>0</v>
      </c>
      <c r="TG56" s="46" cm="1">
        <f t="array" ref="TG56">ROUND(IFERROR(INDEX(ArchiveResults!$F$5:$IX$116,ComparisonData!A56,ComparisonData!$TG$1),0),5)</f>
        <v>0</v>
      </c>
      <c r="TH56" s="45" cm="1">
        <f t="array" ref="TH56">IFERROR(INDEX(ArchiveResults!$F$5:$IX$116,ComparisonData!A56,ComparisonData!$TH$1),0)</f>
        <v>0</v>
      </c>
      <c r="TI56" s="56">
        <v>51</v>
      </c>
      <c r="TJ56" s="53" t="str">
        <f t="shared" si="600"/>
        <v>London Metropolitan Archives</v>
      </c>
      <c r="TK56" s="59">
        <f t="shared" si="388"/>
        <v>0</v>
      </c>
      <c r="TL56" s="59">
        <f t="shared" si="389"/>
        <v>0</v>
      </c>
      <c r="TM56" s="59">
        <f t="shared" si="390"/>
        <v>0</v>
      </c>
      <c r="TN56" s="59">
        <f t="shared" si="391"/>
        <v>0</v>
      </c>
      <c r="TO56" s="59">
        <f t="shared" si="392"/>
        <v>0</v>
      </c>
      <c r="TP56" s="58">
        <f t="shared" si="393"/>
        <v>0</v>
      </c>
      <c r="TQ56" s="45">
        <f t="shared" si="394"/>
        <v>88</v>
      </c>
      <c r="TR56" s="45">
        <f t="shared" si="601"/>
        <v>2.879</v>
      </c>
      <c r="TS56" s="45">
        <f t="shared" si="395"/>
        <v>1</v>
      </c>
      <c r="TT56" s="45">
        <f t="shared" si="396"/>
        <v>2</v>
      </c>
      <c r="TU56" s="45">
        <f t="shared" si="397"/>
        <v>0</v>
      </c>
      <c r="TV56" s="46" cm="1">
        <f t="array" ref="TV56">ROUND(IFERROR(INDEX(ArchiveResults!$F$5:$IX$116,ComparisonData!A56,ComparisonData!$TV$1),0),5)</f>
        <v>0</v>
      </c>
      <c r="TW56" s="46" cm="1">
        <f t="array" ref="TW56">ROUND(IFERROR(INDEX(ArchiveResults!$F$5:$IX$116,ComparisonData!A56,ComparisonData!$TW$1),0),5)</f>
        <v>0</v>
      </c>
      <c r="TX56" s="46" cm="1">
        <f t="array" ref="TX56">ROUND(IFERROR(INDEX(ArchiveResults!$F$5:$IX$116,ComparisonData!A56,ComparisonData!$TX$1),0),5)</f>
        <v>0</v>
      </c>
      <c r="TY56" s="46" cm="1">
        <f t="array" ref="TY56">ROUND(IFERROR(INDEX(ArchiveResults!$F$5:$IX$116,ComparisonData!A56,ComparisonData!$TY$1),0),5)</f>
        <v>0</v>
      </c>
      <c r="TZ56" s="45" cm="1">
        <f t="array" ref="TZ56">IFERROR(INDEX(ArchiveResults!$F$5:$IX$116,ComparisonData!A56,ComparisonData!$TZ$1),0)</f>
        <v>0</v>
      </c>
      <c r="UA56" s="56">
        <v>51</v>
      </c>
      <c r="UB56" s="53" t="str">
        <f t="shared" si="602"/>
        <v>London Metropolitan Archives</v>
      </c>
      <c r="UC56" s="60">
        <f t="shared" si="398"/>
        <v>0</v>
      </c>
      <c r="UD56" s="60">
        <f t="shared" si="399"/>
        <v>0</v>
      </c>
      <c r="UE56" s="60">
        <f t="shared" si="400"/>
        <v>0</v>
      </c>
      <c r="UF56" s="60">
        <f t="shared" si="401"/>
        <v>0</v>
      </c>
      <c r="UG56" s="60">
        <f t="shared" si="402"/>
        <v>0</v>
      </c>
      <c r="UH56" s="58">
        <f t="shared" si="403"/>
        <v>0</v>
      </c>
      <c r="UI56" s="46">
        <f t="shared" si="404"/>
        <v>88</v>
      </c>
      <c r="UJ56" s="46">
        <f t="shared" si="603"/>
        <v>2.879</v>
      </c>
      <c r="UK56" s="46">
        <f t="shared" si="405"/>
        <v>1</v>
      </c>
      <c r="UL56" s="46">
        <f t="shared" si="406"/>
        <v>2</v>
      </c>
      <c r="UM56" s="46" cm="1">
        <f t="array" ref="UM56">ROUND(IFERROR(INDEX(ArchiveResults!$F$5:$IX$116,ComparisonData!A56,ComparisonData!$UM$1),0),5)</f>
        <v>0</v>
      </c>
      <c r="UN56" s="56">
        <v>51</v>
      </c>
      <c r="UO56" s="53" t="str">
        <f t="shared" si="604"/>
        <v>London Metropolitan Archives</v>
      </c>
      <c r="UP56" s="46">
        <f t="shared" si="407"/>
        <v>0</v>
      </c>
      <c r="UQ56" s="76">
        <f t="shared" si="408"/>
        <v>0</v>
      </c>
      <c r="UR56" s="46">
        <f t="shared" si="409"/>
        <v>88</v>
      </c>
      <c r="US56" s="46">
        <f t="shared" si="605"/>
        <v>2.879</v>
      </c>
      <c r="UT56" s="46">
        <f t="shared" si="410"/>
        <v>1</v>
      </c>
      <c r="UU56" s="46">
        <f t="shared" si="411"/>
        <v>2</v>
      </c>
      <c r="UV56" s="46">
        <f t="shared" si="412"/>
        <v>0</v>
      </c>
      <c r="UW56" s="46" cm="1">
        <f t="array" ref="UW56">ROUND(IFERROR(INDEX(ArchiveResults!$F$5:$IX$116,ComparisonData!A56,ComparisonData!$UW$1),0),5)</f>
        <v>0</v>
      </c>
      <c r="UX56" s="46" cm="1">
        <f t="array" ref="UX56">ROUND(IFERROR(INDEX(ArchiveResults!$F$5:$IX$116,ComparisonData!A56,ComparisonData!$UX$1),0),5)</f>
        <v>0</v>
      </c>
      <c r="UY56" s="46" cm="1">
        <f t="array" ref="UY56">ROUND(IFERROR(INDEX(ArchiveResults!$F$5:$IX$116,ComparisonData!A56,ComparisonData!$UY$1),0),5)</f>
        <v>0</v>
      </c>
      <c r="UZ56" s="46" cm="1">
        <f t="array" ref="UZ56">ROUND(IFERROR(INDEX(ArchiveResults!$F$5:$IX$116,ComparisonData!A56,ComparisonData!$UZ$1),0),5)</f>
        <v>0</v>
      </c>
      <c r="VA56" s="46" cm="1">
        <f t="array" ref="VA56">ROUND(IFERROR(INDEX(ArchiveResults!$F$5:$IX$116,ComparisonData!A56,ComparisonData!$VA$1),0),5)</f>
        <v>0</v>
      </c>
      <c r="VB56" s="56">
        <v>51</v>
      </c>
      <c r="VC56" s="53" t="str">
        <f t="shared" si="606"/>
        <v>London Metropolitan Archives</v>
      </c>
      <c r="VD56" s="60">
        <f t="shared" si="413"/>
        <v>0</v>
      </c>
      <c r="VE56" s="60">
        <f t="shared" si="414"/>
        <v>0</v>
      </c>
      <c r="VF56" s="60">
        <f t="shared" si="415"/>
        <v>0</v>
      </c>
      <c r="VG56" s="60">
        <f t="shared" si="416"/>
        <v>0</v>
      </c>
      <c r="VH56" s="60">
        <f t="shared" si="417"/>
        <v>0</v>
      </c>
      <c r="VI56" s="76">
        <f t="shared" si="418"/>
        <v>0</v>
      </c>
      <c r="VJ56" s="46">
        <f t="shared" si="419"/>
        <v>88</v>
      </c>
      <c r="VK56" s="46">
        <f t="shared" si="607"/>
        <v>2.879</v>
      </c>
      <c r="VL56" s="46">
        <f t="shared" si="420"/>
        <v>1</v>
      </c>
      <c r="VM56" s="46">
        <f t="shared" si="421"/>
        <v>2</v>
      </c>
      <c r="VN56" s="46" cm="1">
        <f t="array" ref="VN56">ROUND(IFERROR(INDEX(ArchiveResults!$F$5:$IX$116,ComparisonData!A56,ComparisonData!$VN$1),0),5)</f>
        <v>0</v>
      </c>
      <c r="VO56" s="46" cm="1">
        <f t="array" ref="VO56">ROUND(IFERROR(INDEX(ArchiveResults!$F$5:$IX$116,ComparisonData!A56,ComparisonData!$VO$1),0),5)</f>
        <v>0</v>
      </c>
      <c r="VP56" s="46" cm="1">
        <f t="array" ref="VP56">ROUND(IFERROR(INDEX(ArchiveResults!$F$5:$IX$116,ComparisonData!A56,ComparisonData!$VP$1),0),5)</f>
        <v>0</v>
      </c>
      <c r="VQ56" s="46" cm="1">
        <f t="array" ref="VQ56">ROUND(IFERROR(INDEX(ArchiveResults!$F$5:$IX$116,ComparisonData!A56,ComparisonData!$VQ$1),0),5)</f>
        <v>0</v>
      </c>
      <c r="VR56" s="56">
        <v>51</v>
      </c>
      <c r="VS56" s="53" t="str">
        <f t="shared" si="608"/>
        <v>London Metropolitan Archives</v>
      </c>
      <c r="VT56" s="60">
        <f t="shared" si="422"/>
        <v>0</v>
      </c>
      <c r="VU56" s="60">
        <f t="shared" si="423"/>
        <v>0</v>
      </c>
      <c r="VV56" s="60">
        <f t="shared" si="424"/>
        <v>0</v>
      </c>
      <c r="VW56" s="60">
        <f t="shared" si="425"/>
        <v>0</v>
      </c>
      <c r="VX56" s="76">
        <f t="shared" si="426"/>
        <v>0</v>
      </c>
      <c r="VY56" s="46">
        <f t="shared" si="427"/>
        <v>88</v>
      </c>
      <c r="VZ56" s="46">
        <f t="shared" si="609"/>
        <v>2.879</v>
      </c>
      <c r="WA56" s="46">
        <f t="shared" si="428"/>
        <v>1</v>
      </c>
      <c r="WB56" s="46">
        <f t="shared" si="429"/>
        <v>2</v>
      </c>
      <c r="WC56" s="46" cm="1">
        <f t="array" ref="WC56">ROUND(IFERROR(INDEX(ArchiveResults!$F$5:$IX$116,ComparisonData!A56,ComparisonData!$WC$1),0),5)</f>
        <v>0</v>
      </c>
      <c r="WD56" s="56">
        <v>51</v>
      </c>
      <c r="WE56" s="53" t="str">
        <f t="shared" si="610"/>
        <v>London Metropolitan Archives</v>
      </c>
      <c r="WF56" s="46">
        <f t="shared" si="430"/>
        <v>0</v>
      </c>
      <c r="WG56" s="76">
        <f t="shared" si="431"/>
        <v>0</v>
      </c>
      <c r="WH56" s="46">
        <f t="shared" si="432"/>
        <v>88</v>
      </c>
      <c r="WI56" s="46">
        <f t="shared" si="611"/>
        <v>2.879</v>
      </c>
      <c r="WJ56" s="46">
        <f t="shared" si="433"/>
        <v>1</v>
      </c>
      <c r="WK56" s="46">
        <f t="shared" si="434"/>
        <v>2</v>
      </c>
      <c r="WL56" s="46" cm="1">
        <f t="array" ref="WL56">ROUND(IFERROR(INDEX(ArchiveResults!$F$5:$IX$116,ComparisonData!A56,ComparisonData!$WL$1),0),5)</f>
        <v>0</v>
      </c>
      <c r="WM56" s="46" cm="1">
        <f t="array" ref="WM56">IFERROR(INDEX(ArchiveResults!$F$5:$IX$116,ComparisonData!A56,ComparisonData!$WM$1),0)</f>
        <v>0</v>
      </c>
      <c r="WN56" s="56">
        <v>51</v>
      </c>
      <c r="WO56" s="53" t="str">
        <f t="shared" si="612"/>
        <v>London Metropolitan Archives</v>
      </c>
      <c r="WP56" s="60">
        <f t="shared" si="435"/>
        <v>0</v>
      </c>
      <c r="WQ56" s="60">
        <f t="shared" si="436"/>
        <v>0</v>
      </c>
      <c r="WR56" s="76">
        <f t="shared" si="437"/>
        <v>0</v>
      </c>
      <c r="WS56" s="46">
        <f t="shared" si="438"/>
        <v>88</v>
      </c>
      <c r="WT56" s="46">
        <f t="shared" si="613"/>
        <v>2.879</v>
      </c>
      <c r="WU56" s="46">
        <f t="shared" si="439"/>
        <v>1</v>
      </c>
      <c r="WV56" s="46">
        <f t="shared" si="440"/>
        <v>2</v>
      </c>
      <c r="WW56" s="46" cm="1">
        <f t="array" ref="WW56">ROUND(VALUE(IFERROR(INDEX(ArchiveResults!$F$5:$IX$116,ComparisonData!A56,ComparisonData!$WW$1),0)),5)</f>
        <v>0</v>
      </c>
      <c r="WX56" s="46" cm="1">
        <f t="array" ref="WX56">ROUND(IFERROR(INDEX(ArchiveResults!$F$5:$IX$116,ComparisonData!A56,ComparisonData!$WX$1),0),5)</f>
        <v>0</v>
      </c>
      <c r="WY56" s="56">
        <v>51</v>
      </c>
      <c r="WZ56" s="53" t="str">
        <f t="shared" si="614"/>
        <v>London Metropolitan Archives</v>
      </c>
      <c r="XA56" s="60">
        <f t="shared" si="615"/>
        <v>0</v>
      </c>
      <c r="XB56" s="60">
        <f t="shared" si="616"/>
        <v>0</v>
      </c>
      <c r="XC56" s="76">
        <f t="shared" si="441"/>
        <v>0</v>
      </c>
      <c r="XD56" s="46">
        <f t="shared" si="442"/>
        <v>88</v>
      </c>
      <c r="XE56" s="46">
        <f t="shared" si="617"/>
        <v>2.879</v>
      </c>
      <c r="XF56" s="46">
        <f t="shared" si="443"/>
        <v>1</v>
      </c>
      <c r="XG56" s="46">
        <f t="shared" si="444"/>
        <v>2</v>
      </c>
      <c r="XH56" s="46" cm="1">
        <f t="array" ref="XH56">ROUND(VALUE(IFERROR(INDEX(ArchiveResults!$F$5:$IX$116,ComparisonData!A56,ComparisonData!$XH$1),0)),5)</f>
        <v>0</v>
      </c>
      <c r="XI56" s="46" cm="1">
        <f t="array" ref="XI56">ROUND(VALUE(IFERROR(INDEX(ArchiveResults!$F$5:$IX$116,ComparisonData!A56,ComparisonData!$XI$1),0)),5)</f>
        <v>0</v>
      </c>
      <c r="XJ56" s="56">
        <v>51</v>
      </c>
      <c r="XK56" s="53" t="str">
        <f t="shared" si="618"/>
        <v>London Metropolitan Archives</v>
      </c>
      <c r="XL56" s="60">
        <f t="shared" si="445"/>
        <v>0</v>
      </c>
      <c r="XM56" s="60">
        <f t="shared" si="446"/>
        <v>0</v>
      </c>
      <c r="XN56" s="76">
        <f t="shared" si="447"/>
        <v>0</v>
      </c>
      <c r="XO56" s="46">
        <f t="shared" si="448"/>
        <v>88</v>
      </c>
      <c r="XP56" s="46">
        <f t="shared" si="619"/>
        <v>2.879</v>
      </c>
      <c r="XQ56" s="46">
        <f t="shared" si="449"/>
        <v>1</v>
      </c>
      <c r="XR56" s="46">
        <f t="shared" si="450"/>
        <v>2</v>
      </c>
      <c r="XS56" s="46" cm="1">
        <f t="array" ref="XS56">ROUND(VALUE(IFERROR(INDEX(ArchiveResults!$F$5:$IX$116,ComparisonData!A56,ComparisonData!$XS$1),0)),5)</f>
        <v>0</v>
      </c>
      <c r="XT56" s="46" cm="1">
        <f t="array" ref="XT56">ROUND(VALUE(IFERROR(INDEX(ArchiveResults!$F$5:$IX$116,ComparisonData!A56,ComparisonData!$XT$1),0)),5)</f>
        <v>0</v>
      </c>
      <c r="XU56" s="56">
        <v>51</v>
      </c>
      <c r="XV56" s="53" t="str">
        <f t="shared" si="620"/>
        <v>London Metropolitan Archives</v>
      </c>
      <c r="XW56" s="60">
        <f t="shared" si="451"/>
        <v>0</v>
      </c>
      <c r="XX56" s="60">
        <f t="shared" si="452"/>
        <v>0</v>
      </c>
      <c r="XY56" s="76">
        <f t="shared" si="453"/>
        <v>0</v>
      </c>
      <c r="XZ56" s="46">
        <f t="shared" si="454"/>
        <v>88</v>
      </c>
      <c r="YA56" s="46">
        <f t="shared" si="621"/>
        <v>2.879</v>
      </c>
      <c r="YB56" s="46">
        <f t="shared" si="455"/>
        <v>1</v>
      </c>
      <c r="YC56" s="46">
        <f t="shared" si="456"/>
        <v>2</v>
      </c>
      <c r="YD56" s="46" cm="1">
        <f t="array" ref="YD56">ROUND(VALUE(IFERROR(INDEX(ArchiveResults!$F$5:$IX$116,ComparisonData!A56,ComparisonData!$YD$1),0)),5)</f>
        <v>0</v>
      </c>
      <c r="YE56" s="46" cm="1">
        <f t="array" ref="YE56">ROUND(VALUE(IFERROR(INDEX(ArchiveResults!$F$5:$IX$116,ComparisonData!A56,ComparisonData!$YE$1),0)),5)</f>
        <v>0</v>
      </c>
      <c r="YF56" s="56">
        <v>51</v>
      </c>
      <c r="YG56" s="53" t="str">
        <f t="shared" si="622"/>
        <v>London Metropolitan Archives</v>
      </c>
      <c r="YH56" s="60">
        <f t="shared" si="457"/>
        <v>0</v>
      </c>
      <c r="YI56" s="60">
        <f t="shared" si="458"/>
        <v>0</v>
      </c>
      <c r="YJ56" s="76">
        <f t="shared" si="459"/>
        <v>0</v>
      </c>
      <c r="YK56" s="46">
        <f t="shared" si="460"/>
        <v>88</v>
      </c>
      <c r="YL56" s="46">
        <f t="shared" si="623"/>
        <v>2.879</v>
      </c>
      <c r="YM56" s="46">
        <f t="shared" si="461"/>
        <v>1</v>
      </c>
      <c r="YN56" s="46">
        <f t="shared" si="462"/>
        <v>2</v>
      </c>
      <c r="YO56" s="46" cm="1">
        <f t="array" ref="YO56">ROUND(VALUE(IFERROR(INDEX(ArchiveResults!$F$5:$IX$116,ComparisonData!A56,ComparisonData!$YO$1),0)),5)</f>
        <v>0</v>
      </c>
      <c r="YP56" s="46" cm="1">
        <f t="array" ref="YP56">ROUND(VALUE(IFERROR(INDEX(ArchiveResults!$F$5:$IX$116,ComparisonData!A56,ComparisonData!$YP$1),0)),5)</f>
        <v>0</v>
      </c>
      <c r="YQ56" s="56">
        <v>51</v>
      </c>
      <c r="YR56" s="53" t="str">
        <f t="shared" si="624"/>
        <v>London Metropolitan Archives</v>
      </c>
      <c r="YS56" s="60">
        <f t="shared" si="463"/>
        <v>0</v>
      </c>
      <c r="YT56" s="60">
        <f t="shared" si="464"/>
        <v>0</v>
      </c>
      <c r="YU56" s="76">
        <f t="shared" si="465"/>
        <v>0</v>
      </c>
      <c r="YV56" s="46">
        <f t="shared" si="466"/>
        <v>88</v>
      </c>
      <c r="YW56" s="46">
        <f t="shared" si="625"/>
        <v>2.879</v>
      </c>
      <c r="YX56" s="46">
        <f t="shared" si="467"/>
        <v>1</v>
      </c>
      <c r="YY56" s="46">
        <f t="shared" si="468"/>
        <v>2</v>
      </c>
      <c r="YZ56" s="46">
        <f t="shared" si="469"/>
        <v>0</v>
      </c>
      <c r="ZA56" s="46" cm="1">
        <f t="array" ref="ZA56">ROUNDDOWN(VALUE(IFERROR(INDEX(ArchiveResults!$F$5:$IX$116,ComparisonData!A56,ComparisonData!$ZA$1),0)),5)</f>
        <v>0</v>
      </c>
      <c r="ZB56" s="46" cm="1">
        <f t="array" ref="ZB56">ROUNDDOWN(VALUE(IFERROR(INDEX(ArchiveResults!$F$5:$IX$116,ComparisonData!A56,ComparisonData!$ZB$1),0)),5)</f>
        <v>0</v>
      </c>
      <c r="ZC56" s="46" cm="1">
        <f t="array" ref="ZC56">ROUNDDOWN(VALUE(IFERROR(INDEX(ArchiveResults!$F$5:$IX$116,ComparisonData!A56,ComparisonData!$ZC$1),0)),5)</f>
        <v>0</v>
      </c>
      <c r="ZD56" s="46" cm="1">
        <f t="array" ref="ZD56">ROUNDDOWN(VALUE(IFERROR(INDEX(ArchiveResults!$F$5:$IX$116,ComparisonData!A56,ComparisonData!$ZD$1),0)),5)</f>
        <v>0</v>
      </c>
      <c r="ZE56" s="46" cm="1">
        <f t="array" ref="ZE56">ROUNDDOWN(VALUE(IFERROR(INDEX(ArchiveResults!$F$5:$IX$116,ComparisonData!A56,ComparisonData!$ZE$1),0)),5)</f>
        <v>0</v>
      </c>
      <c r="ZF56" s="56">
        <v>51</v>
      </c>
      <c r="ZG56" s="53" t="str">
        <f t="shared" si="626"/>
        <v>London Metropolitan Archives</v>
      </c>
      <c r="ZH56" s="60">
        <f t="shared" si="470"/>
        <v>0</v>
      </c>
      <c r="ZI56" s="60">
        <f t="shared" si="471"/>
        <v>0</v>
      </c>
      <c r="ZJ56" s="60">
        <f t="shared" si="472"/>
        <v>0</v>
      </c>
      <c r="ZK56" s="60">
        <f t="shared" si="473"/>
        <v>0</v>
      </c>
      <c r="ZL56" s="60">
        <f t="shared" si="474"/>
        <v>0</v>
      </c>
      <c r="ZM56" s="76">
        <f t="shared" si="475"/>
        <v>0</v>
      </c>
      <c r="ZN56" s="46">
        <f t="shared" si="476"/>
        <v>88</v>
      </c>
      <c r="ZO56" s="46">
        <f t="shared" si="627"/>
        <v>2.879</v>
      </c>
      <c r="ZP56" s="46">
        <f t="shared" si="477"/>
        <v>1</v>
      </c>
      <c r="ZQ56" s="46">
        <f t="shared" si="478"/>
        <v>2</v>
      </c>
      <c r="ZR56" s="46" cm="1">
        <f t="array" ref="ZR56">ROUND(VALUE(IFERROR(INDEX(ArchiveResults!$F$5:$IX$116,ComparisonData!A56,ComparisonData!$ZR$1),0)),5)</f>
        <v>0</v>
      </c>
      <c r="ZS56" s="56">
        <v>51</v>
      </c>
      <c r="ZT56" s="53" t="str">
        <f t="shared" si="628"/>
        <v>London Metropolitan Archives</v>
      </c>
      <c r="ZU56" s="46">
        <f t="shared" si="479"/>
        <v>0</v>
      </c>
      <c r="ZV56" s="76">
        <f t="shared" si="480"/>
        <v>0</v>
      </c>
      <c r="ZW56" s="81" cm="1">
        <f t="array" ref="ZW56">ROUND((IFERROR(INDEX(ArchiveResults!$F$5:$IX$116,ComparisonData!A56,ComparisonData!$ZW$1),0)),5)</f>
        <v>0</v>
      </c>
      <c r="ZX56" s="81" cm="1">
        <f t="array" ref="ZX56">ROUND((IFERROR(INDEX(ArchiveResults!$F$5:$IX$116,ComparisonData!A56,ComparisonData!$ZX$1),0)),5)</f>
        <v>0</v>
      </c>
      <c r="ZY56" s="81" cm="1">
        <f t="array" ref="ZY56">ROUND((IFERROR(INDEX(ArchiveResults!$F$5:$IX$116,ComparisonData!A56,ComparisonData!$ZY$1),0)),5)</f>
        <v>0</v>
      </c>
      <c r="ZZ56" s="81" cm="1">
        <f t="array" ref="ZZ56">ROUND((IFERROR(INDEX(ArchiveResults!$F$5:$IX$116,ComparisonData!A56,ComparisonData!$ZZ$1),0)),5)</f>
        <v>0</v>
      </c>
      <c r="AAA56" s="81" cm="1">
        <f t="array" ref="AAA56">ROUND((IFERROR(INDEX(ArchiveResults!$F$5:$IX$116,ComparisonData!A56,ComparisonData!$AAA$1),0)),5)</f>
        <v>0</v>
      </c>
      <c r="AAB56" s="81" cm="1">
        <f t="array" ref="AAB56">ROUND((IFERROR(INDEX(ArchiveResults!$F$5:$IX$116,ComparisonData!A56,ComparisonData!$AAB$1),0)),5)</f>
        <v>0</v>
      </c>
      <c r="AAC56" s="81" cm="1">
        <f t="array" ref="AAC56">ROUND((IFERROR(INDEX(ArchiveResults!$F$5:$IX$116,ComparisonData!A56,ComparisonData!$AAC$1),0)),5)</f>
        <v>0</v>
      </c>
      <c r="AAD56" s="81" cm="1">
        <f t="array" ref="AAD56">ROUND((IFERROR(INDEX(ArchiveResults!$F$5:$IX$116,ComparisonData!A56,ComparisonData!$AAD$1),0)),5)</f>
        <v>0</v>
      </c>
      <c r="AAE56" s="81" cm="1">
        <f t="array" ref="AAE56">ROUND((IFERROR(INDEX(ArchiveResults!$F$5:$IX$116,ComparisonData!A56,ComparisonData!$AAE$1),0)),5)</f>
        <v>0</v>
      </c>
      <c r="AAF56" s="81" cm="1">
        <f t="array" ref="AAF56">ROUND((IFERROR(INDEX(ArchiveResults!$F$5:$IX$116,ComparisonData!A56,ComparisonData!$AAF$1),0)),5)</f>
        <v>0</v>
      </c>
      <c r="AAG56" s="46">
        <f t="shared" si="481"/>
        <v>88</v>
      </c>
      <c r="AAH56" s="46">
        <f t="shared" si="629"/>
        <v>2.879</v>
      </c>
      <c r="AAI56" s="46">
        <f t="shared" si="482"/>
        <v>1</v>
      </c>
      <c r="AAJ56" s="46">
        <f t="shared" si="483"/>
        <v>2</v>
      </c>
      <c r="AAK56" s="46">
        <f t="shared" si="484"/>
        <v>0</v>
      </c>
      <c r="AAL56" s="46">
        <f t="shared" si="485"/>
        <v>0</v>
      </c>
      <c r="AAM56" s="46">
        <f t="shared" si="486"/>
        <v>0</v>
      </c>
      <c r="AAN56" s="46">
        <f t="shared" si="487"/>
        <v>0</v>
      </c>
      <c r="AAO56" s="46">
        <f t="shared" si="488"/>
        <v>0</v>
      </c>
      <c r="AAP56" s="46">
        <f t="shared" si="489"/>
        <v>0</v>
      </c>
      <c r="AAQ56" s="56">
        <v>51</v>
      </c>
      <c r="AAR56" s="53" t="str">
        <f t="shared" si="630"/>
        <v>London Metropolitan Archives</v>
      </c>
      <c r="AAS56" s="60">
        <f t="shared" si="490"/>
        <v>0</v>
      </c>
      <c r="AAT56" s="60">
        <f t="shared" si="491"/>
        <v>0</v>
      </c>
      <c r="AAU56" s="60">
        <f t="shared" si="492"/>
        <v>0</v>
      </c>
      <c r="AAV56" s="60">
        <f t="shared" si="493"/>
        <v>0</v>
      </c>
      <c r="AAW56" s="60">
        <f t="shared" si="494"/>
        <v>0</v>
      </c>
      <c r="AAX56" s="76">
        <f t="shared" si="495"/>
        <v>0</v>
      </c>
      <c r="AAY56" s="46">
        <f t="shared" si="496"/>
        <v>88</v>
      </c>
      <c r="AAZ56" s="46">
        <f t="shared" si="631"/>
        <v>2.879</v>
      </c>
      <c r="ABA56" s="46">
        <f t="shared" si="497"/>
        <v>1</v>
      </c>
      <c r="ABB56" s="46">
        <f t="shared" si="498"/>
        <v>2</v>
      </c>
      <c r="ABC56" s="46">
        <f t="shared" si="102"/>
        <v>0</v>
      </c>
      <c r="ABD56" s="46" cm="1">
        <f t="array" ref="ABD56">ROUND(VALUE(IFERROR(INDEX(ArchiveResults!$F$5:$IX$116,ComparisonData!A56,ComparisonData!$ABD$1),0)),5)</f>
        <v>0</v>
      </c>
      <c r="ABE56" s="46" cm="1">
        <f t="array" ref="ABE56">ROUND(VALUE(IFERROR(INDEX(ArchiveResults!$F$5:$IX$116,ComparisonData!A56,ComparisonData!$ABE$1),0)),5)</f>
        <v>0</v>
      </c>
      <c r="ABF56" s="46" cm="1">
        <f t="array" ref="ABF56">ROUND(VALUE(IFERROR(INDEX(ArchiveResults!$F$5:$IX$116,ComparisonData!A56,ComparisonData!$ABF$1),0)),5)</f>
        <v>0</v>
      </c>
      <c r="ABG56" s="46" cm="1">
        <f t="array" ref="ABG56">ROUND(VALUE(IFERROR(INDEX(ArchiveResults!$F$5:$IX$116,ComparisonData!A56,ComparisonData!$ABG$1),0)),5)</f>
        <v>0</v>
      </c>
      <c r="ABH56" s="46" cm="1">
        <f t="array" ref="ABH56">ROUND(VALUE(IFERROR(INDEX(ArchiveResults!$F$5:$IX$116,ComparisonData!A56,ComparisonData!$ABH$1),0)),5)</f>
        <v>0</v>
      </c>
      <c r="ABI56" s="56">
        <v>51</v>
      </c>
      <c r="ABJ56" s="53" t="str">
        <f t="shared" si="632"/>
        <v>London Metropolitan Archives</v>
      </c>
      <c r="ABK56" s="60">
        <f t="shared" si="499"/>
        <v>0</v>
      </c>
      <c r="ABL56" s="60">
        <f t="shared" si="500"/>
        <v>0</v>
      </c>
      <c r="ABM56" s="60">
        <f t="shared" si="501"/>
        <v>0</v>
      </c>
      <c r="ABN56" s="60">
        <f t="shared" si="502"/>
        <v>0</v>
      </c>
      <c r="ABO56" s="60">
        <f t="shared" si="503"/>
        <v>0</v>
      </c>
      <c r="ABP56" s="76">
        <f t="shared" si="504"/>
        <v>0</v>
      </c>
      <c r="ABQ56" s="46">
        <f t="shared" si="505"/>
        <v>88</v>
      </c>
      <c r="ABR56" s="46">
        <f t="shared" si="633"/>
        <v>2.879</v>
      </c>
      <c r="ABS56" s="46">
        <f t="shared" si="506"/>
        <v>1</v>
      </c>
      <c r="ABT56" s="46">
        <f t="shared" si="507"/>
        <v>2</v>
      </c>
      <c r="ABU56" s="46" cm="1">
        <f t="array" ref="ABU56">ROUND(VALUE(IFERROR(INDEX(ArchiveResults!$F$5:$IX$116,ComparisonData!A56,ComparisonData!$ABU$1),0)),5)</f>
        <v>0</v>
      </c>
      <c r="ABV56" s="46" cm="1">
        <f t="array" ref="ABV56">ROUND(VALUE(IFERROR(INDEX(ArchiveResults!$F$5:$IX$116,ComparisonData!A56,ComparisonData!$ABV$1),0)),5)</f>
        <v>0</v>
      </c>
      <c r="ABW56" s="46" cm="1">
        <f t="array" ref="ABW56">ROUND(VALUE(IFERROR(INDEX(ArchiveResults!$F$5:$IX$116,ComparisonData!A56,ComparisonData!$ABW$1),0)),5)</f>
        <v>0</v>
      </c>
      <c r="ABX56" s="46" cm="1">
        <f t="array" ref="ABX56">ROUND(VALUE(IFERROR(INDEX(ArchiveResults!$F$5:$IX$116,ComparisonData!A56,ComparisonData!$ABX$1),0)),5)</f>
        <v>0</v>
      </c>
      <c r="ABY56" s="46" cm="1">
        <f t="array" ref="ABY56">ROUND(VALUE(IFERROR(INDEX(ArchiveResults!$F$5:$IX$116,ComparisonData!A56,ComparisonData!$ABY$1),0)),5)</f>
        <v>0</v>
      </c>
      <c r="ABZ56" s="56">
        <v>51</v>
      </c>
      <c r="ACA56" s="53" t="str">
        <f t="shared" si="634"/>
        <v>London Metropolitan Archives</v>
      </c>
      <c r="ACB56" s="60">
        <f t="shared" si="508"/>
        <v>0</v>
      </c>
      <c r="ACC56" s="60">
        <f t="shared" si="509"/>
        <v>0</v>
      </c>
      <c r="ACD56" s="60">
        <f t="shared" si="510"/>
        <v>0</v>
      </c>
      <c r="ACE56" s="60">
        <f t="shared" si="511"/>
        <v>0</v>
      </c>
      <c r="ACF56" s="60">
        <f t="shared" si="512"/>
        <v>0</v>
      </c>
      <c r="ACG56" s="76">
        <f t="shared" si="513"/>
        <v>0</v>
      </c>
      <c r="ACH56" s="46">
        <f t="shared" si="514"/>
        <v>88</v>
      </c>
      <c r="ACI56" s="46">
        <f t="shared" si="635"/>
        <v>2.879</v>
      </c>
      <c r="ACJ56" s="46">
        <f t="shared" si="515"/>
        <v>1</v>
      </c>
      <c r="ACK56" s="46">
        <f t="shared" si="516"/>
        <v>2</v>
      </c>
      <c r="ACL56" s="46">
        <f t="shared" si="517"/>
        <v>0</v>
      </c>
      <c r="ACM56" s="46" cm="1">
        <f t="array" ref="ACM56">ROUND(IFERROR(INDEX(ArchiveResults!$F$5:$IX$116,ComparisonData!A56,ComparisonData!$ACM$1),0),5)</f>
        <v>0</v>
      </c>
      <c r="ACN56" s="46" cm="1">
        <f t="array" ref="ACN56">ROUND(IFERROR(INDEX(ArchiveResults!$F$5:$IX$116,ComparisonData!A56,ComparisonData!$ACN$1),0),5)</f>
        <v>0</v>
      </c>
      <c r="ACO56" s="56">
        <v>51</v>
      </c>
      <c r="ACP56" s="53" t="str">
        <f t="shared" si="636"/>
        <v>London Metropolitan Archives</v>
      </c>
      <c r="ACQ56" s="60">
        <f t="shared" si="518"/>
        <v>0</v>
      </c>
      <c r="ACR56" s="60">
        <f t="shared" si="519"/>
        <v>0</v>
      </c>
      <c r="ACS56" s="76">
        <f t="shared" si="520"/>
        <v>0</v>
      </c>
      <c r="ACT56" s="46">
        <f t="shared" si="521"/>
        <v>88</v>
      </c>
      <c r="ACU56" s="46">
        <f t="shared" si="637"/>
        <v>2.879</v>
      </c>
      <c r="ACV56" s="46">
        <f t="shared" si="522"/>
        <v>1</v>
      </c>
      <c r="ACW56" s="46">
        <f t="shared" si="523"/>
        <v>2</v>
      </c>
      <c r="ACX56" s="46">
        <f t="shared" si="524"/>
        <v>0</v>
      </c>
      <c r="ACY56" s="46" cm="1">
        <f t="array" ref="ACY56">ROUNDDOWN(IFERROR(INDEX(ArchiveResults!$F$5:$IX$116,ComparisonData!A56,ComparisonData!$ACY$1),0),5)</f>
        <v>0</v>
      </c>
      <c r="ACZ56" s="46" cm="1">
        <f t="array" ref="ACZ56">ROUNDDOWN(IFERROR(INDEX(ArchiveResults!$F$5:$IX$116,ComparisonData!A56,ComparisonData!$ACZ$1),0),5)</f>
        <v>0</v>
      </c>
      <c r="ADA56" s="46" cm="1">
        <f t="array" ref="ADA56">ROUNDDOWN(IFERROR(INDEX(ArchiveResults!$F$5:$IX$116,ComparisonData!A56,ComparisonData!$ADA$1),0),5)</f>
        <v>0</v>
      </c>
      <c r="ADB56" s="56">
        <v>51</v>
      </c>
      <c r="ADC56" s="53" t="str">
        <f t="shared" si="638"/>
        <v>London Metropolitan Archives</v>
      </c>
      <c r="ADD56" s="60">
        <f t="shared" si="525"/>
        <v>0</v>
      </c>
      <c r="ADE56" s="60">
        <f t="shared" si="526"/>
        <v>0</v>
      </c>
      <c r="ADF56" s="60">
        <f t="shared" si="527"/>
        <v>0</v>
      </c>
      <c r="ADG56" s="76">
        <f t="shared" si="528"/>
        <v>0</v>
      </c>
    </row>
    <row r="57" spans="1:787" x14ac:dyDescent="0.25">
      <c r="A57" s="46" t="str">
        <f>IF(ISBLANK(ComparisonSelection!F53),"",ROW()-5)</f>
        <v/>
      </c>
      <c r="B57" s="53" t="s">
        <v>506</v>
      </c>
      <c r="C57" s="72">
        <v>0.96399999999999997</v>
      </c>
      <c r="D57" s="55">
        <f t="shared" si="110"/>
        <v>105</v>
      </c>
      <c r="E57" s="54">
        <f t="shared" si="111"/>
        <v>2.964</v>
      </c>
      <c r="F57" s="54">
        <f t="shared" si="529"/>
        <v>1</v>
      </c>
      <c r="G57" s="72">
        <f t="shared" si="112"/>
        <v>2</v>
      </c>
      <c r="H57" s="72">
        <f t="shared" si="113"/>
        <v>0</v>
      </c>
      <c r="I57" s="46" cm="1">
        <f t="array" ref="I57">ROUND(IFERROR(INDEX(ArchiveResults!$F$5:$IX$116,ComparisonData!A57,ComparisonData!$I$1),0),5)</f>
        <v>0</v>
      </c>
      <c r="J57" s="46" cm="1">
        <f t="array" ref="J57">ROUND(IFERROR(INDEX(ArchiveResults!$F$5:$IX$116,ComparisonData!A57,ComparisonData!$J$1),0),5)</f>
        <v>0</v>
      </c>
      <c r="K57" s="56">
        <v>52</v>
      </c>
      <c r="L57" s="53" t="str">
        <f t="shared" si="114"/>
        <v>Manchester and Lancashire Family History Society</v>
      </c>
      <c r="M57" s="57">
        <f t="shared" si="530"/>
        <v>0</v>
      </c>
      <c r="N57" s="57">
        <f t="shared" si="531"/>
        <v>0</v>
      </c>
      <c r="O57" s="58">
        <f t="shared" si="115"/>
        <v>0</v>
      </c>
      <c r="P57" s="48">
        <f t="shared" si="116"/>
        <v>105</v>
      </c>
      <c r="Q57" s="54">
        <f t="shared" si="532"/>
        <v>2.964</v>
      </c>
      <c r="R57" s="45">
        <f t="shared" si="117"/>
        <v>1</v>
      </c>
      <c r="S57" s="46">
        <f t="shared" si="118"/>
        <v>2</v>
      </c>
      <c r="T57" s="72">
        <f t="shared" si="119"/>
        <v>0</v>
      </c>
      <c r="U57" s="46" cm="1">
        <f t="array" ref="U57">ROUND(IFERROR(INDEX(ArchiveResults!$F$5:$IX$116,ComparisonData!A57,ComparisonData!$U$1),0),5)</f>
        <v>0</v>
      </c>
      <c r="V57" s="46" cm="1">
        <f t="array" ref="V57">ROUND(IFERROR(INDEX(ArchiveResults!$F$5:$IX$116,ComparisonData!A57,ComparisonData!$V$1),0),5)</f>
        <v>0</v>
      </c>
      <c r="W57" s="56">
        <v>52</v>
      </c>
      <c r="X57" s="53" t="str">
        <f t="shared" si="533"/>
        <v>Manchester and Lancashire Family History Society</v>
      </c>
      <c r="Y57" s="57">
        <f t="shared" si="120"/>
        <v>0</v>
      </c>
      <c r="Z57" s="57">
        <f t="shared" si="121"/>
        <v>0</v>
      </c>
      <c r="AA57" s="58">
        <f t="shared" si="122"/>
        <v>0</v>
      </c>
      <c r="AB57" s="45">
        <f t="shared" si="123"/>
        <v>105</v>
      </c>
      <c r="AC57" s="54">
        <f t="shared" si="534"/>
        <v>2.964</v>
      </c>
      <c r="AD57" s="45">
        <f t="shared" si="124"/>
        <v>1</v>
      </c>
      <c r="AE57" s="45">
        <f t="shared" si="125"/>
        <v>2</v>
      </c>
      <c r="AF57" s="45">
        <f t="shared" si="126"/>
        <v>0</v>
      </c>
      <c r="AG57" s="46" cm="1">
        <f t="array" ref="AG57">ROUND(IFERROR(INDEX(ArchiveResults!$F$5:$IX$116,ComparisonData!A57,ComparisonData!$AG$1),0),5)</f>
        <v>0</v>
      </c>
      <c r="AH57" s="46" cm="1">
        <f t="array" ref="AH57">ROUND(IFERROR(INDEX(ArchiveResults!$F$5:$IX$116,ComparisonData!A57,ComparisonData!$AH$1),0),5)</f>
        <v>0</v>
      </c>
      <c r="AI57" s="56">
        <v>52</v>
      </c>
      <c r="AJ57" s="53" t="str">
        <f t="shared" si="535"/>
        <v>Manchester and Lancashire Family History Society</v>
      </c>
      <c r="AK57" s="59">
        <f t="shared" si="536"/>
        <v>0</v>
      </c>
      <c r="AL57" s="59">
        <f t="shared" si="537"/>
        <v>0</v>
      </c>
      <c r="AM57" s="58">
        <f t="shared" si="127"/>
        <v>0</v>
      </c>
      <c r="AN57" s="45">
        <f t="shared" si="128"/>
        <v>105</v>
      </c>
      <c r="AO57" s="54">
        <f t="shared" si="538"/>
        <v>2.964</v>
      </c>
      <c r="AP57" s="45">
        <f t="shared" si="129"/>
        <v>1</v>
      </c>
      <c r="AQ57" s="45">
        <f t="shared" si="130"/>
        <v>2</v>
      </c>
      <c r="AR57" s="46" cm="1">
        <f t="array" ref="AR57">ROUND(IFERROR(INDEX(ArchiveResults!$F$5:$IX$116,ComparisonData!A57,ComparisonData!$AR$1),0),5)</f>
        <v>0</v>
      </c>
      <c r="AS57" s="46" cm="1">
        <f t="array" ref="AS57">ROUND(IFERROR(INDEX(ArchiveResults!$F$5:$IX$116,ComparisonData!A57,ComparisonData!$AS$1),0),5)</f>
        <v>0</v>
      </c>
      <c r="AT57" s="46" cm="1">
        <f t="array" ref="AT57">ROUND(IFERROR(INDEX(ArchiveResults!$F$5:$IX$116,ComparisonData!A57,ComparisonData!$AT$1),0),5)</f>
        <v>0</v>
      </c>
      <c r="AU57" s="46" cm="1">
        <f t="array" ref="AU57">ROUND(IFERROR(INDEX(ArchiveResults!$F$5:$IX$116,ComparisonData!A57,ComparisonData!$AU$1),0),5)</f>
        <v>0</v>
      </c>
      <c r="AV57" s="46" cm="1">
        <f t="array" ref="AV57">ROUND(IFERROR(INDEX(ArchiveResults!$F$5:$IX$116,ComparisonData!A57,ComparisonData!$AV$1),0),5)</f>
        <v>0</v>
      </c>
      <c r="AW57" s="46" cm="1">
        <f t="array" ref="AW57">ROUND(IFERROR(INDEX(ArchiveResults!$F$5:$IX$116,ComparisonData!A57,ComparisonData!$AW$1),0),5)</f>
        <v>0</v>
      </c>
      <c r="AX57" s="46" cm="1">
        <f t="array" ref="AX57">ROUND(IFERROR(INDEX(ArchiveResults!$F$5:$IX$116,ComparisonData!A57,ComparisonData!$AX$1),0),5)</f>
        <v>0</v>
      </c>
      <c r="AY57" s="46" cm="1">
        <f t="array" ref="AY57">ROUND(IFERROR(INDEX(ArchiveResults!$F$5:$IX$116,ComparisonData!A57,ComparisonData!$AY$1),0),5)</f>
        <v>0</v>
      </c>
      <c r="AZ57" s="46" cm="1">
        <f t="array" ref="AZ57">ROUND(IFERROR(INDEX(ArchiveResults!$F$5:$IX$116,ComparisonData!A57,ComparisonData!$AZ$1),0),5)</f>
        <v>0</v>
      </c>
      <c r="BA57" s="46" cm="1">
        <f t="array" ref="BA57">ROUND(IFERROR(INDEX(ArchiveResults!$F$5:$IX$116,ComparisonData!A57,ComparisonData!$BA$1),0),5)</f>
        <v>0</v>
      </c>
      <c r="BB57" s="56">
        <v>52</v>
      </c>
      <c r="BC57" s="53" t="str">
        <f t="shared" si="539"/>
        <v>Manchester and Lancashire Family History Society</v>
      </c>
      <c r="BD57" s="60">
        <f t="shared" si="131"/>
        <v>0</v>
      </c>
      <c r="BE57" s="60">
        <f t="shared" si="132"/>
        <v>0</v>
      </c>
      <c r="BF57" s="60">
        <f t="shared" si="133"/>
        <v>0</v>
      </c>
      <c r="BG57" s="60">
        <f t="shared" si="134"/>
        <v>0</v>
      </c>
      <c r="BH57" s="60">
        <f t="shared" si="135"/>
        <v>0</v>
      </c>
      <c r="BI57" s="60">
        <f t="shared" si="136"/>
        <v>0</v>
      </c>
      <c r="BJ57" s="60">
        <f t="shared" si="137"/>
        <v>0</v>
      </c>
      <c r="BK57" s="60">
        <f t="shared" si="138"/>
        <v>0</v>
      </c>
      <c r="BL57" s="60">
        <f t="shared" si="139"/>
        <v>0</v>
      </c>
      <c r="BM57" s="59">
        <f t="shared" si="140"/>
        <v>0</v>
      </c>
      <c r="BN57" s="58">
        <f t="shared" si="141"/>
        <v>0</v>
      </c>
      <c r="BO57" s="45">
        <f t="shared" si="142"/>
        <v>105</v>
      </c>
      <c r="BP57" s="54">
        <f t="shared" si="540"/>
        <v>2.964</v>
      </c>
      <c r="BQ57" s="45">
        <f t="shared" si="143"/>
        <v>1</v>
      </c>
      <c r="BR57" s="45">
        <f t="shared" si="144"/>
        <v>2</v>
      </c>
      <c r="BS57" s="46" cm="1">
        <f t="array" ref="BS57">ROUND(IFERROR(INDEX(ArchiveResults!$F$5:$IX$116,ComparisonData!A57,ComparisonData!$BS$1),0),5)</f>
        <v>0</v>
      </c>
      <c r="BT57" s="46" cm="1">
        <f t="array" ref="BT57">ROUND(IFERROR(INDEX(ArchiveResults!$F$5:$IX$116,ComparisonData!A57,ComparisonData!$BT$1),0),5)</f>
        <v>0</v>
      </c>
      <c r="BU57" s="46" cm="1">
        <f t="array" ref="BU57">ROUND(IFERROR(INDEX(ArchiveResults!$F$5:$IX$116,ComparisonData!A57,ComparisonData!$BU$1),0),5)</f>
        <v>0</v>
      </c>
      <c r="BV57" s="46" cm="1">
        <f t="array" ref="BV57">ROUND(IFERROR(INDEX(ArchiveResults!$F$5:$IX$116,ComparisonData!A57,ComparisonData!$BV$1),0),5)</f>
        <v>0</v>
      </c>
      <c r="BW57" s="46" cm="1">
        <f t="array" ref="BW57">ROUND(IFERROR(INDEX(ArchiveResults!$F$5:$IX$116,ComparisonData!A57,ComparisonData!$BW$1),0),5)</f>
        <v>0</v>
      </c>
      <c r="BX57" s="46" cm="1">
        <f t="array" ref="BX57">ROUND(IFERROR(INDEX(ArchiveResults!$F$5:$IX$116,ComparisonData!A57,ComparisonData!$BX$1),0),5)</f>
        <v>0</v>
      </c>
      <c r="BY57" s="56">
        <v>52</v>
      </c>
      <c r="BZ57" s="53" t="str">
        <f t="shared" si="541"/>
        <v>Manchester and Lancashire Family History Society</v>
      </c>
      <c r="CA57" s="59">
        <f t="shared" si="145"/>
        <v>0</v>
      </c>
      <c r="CB57" s="59">
        <f t="shared" si="146"/>
        <v>0</v>
      </c>
      <c r="CC57" s="59">
        <f t="shared" si="147"/>
        <v>0</v>
      </c>
      <c r="CD57" s="59">
        <f t="shared" si="148"/>
        <v>0</v>
      </c>
      <c r="CE57" s="59">
        <f t="shared" si="149"/>
        <v>0</v>
      </c>
      <c r="CF57" s="59">
        <f t="shared" si="150"/>
        <v>0</v>
      </c>
      <c r="CG57" s="58">
        <f t="shared" si="151"/>
        <v>0</v>
      </c>
      <c r="CH57" s="45">
        <f t="shared" si="152"/>
        <v>105</v>
      </c>
      <c r="CI57" s="54">
        <f t="shared" si="542"/>
        <v>2.964</v>
      </c>
      <c r="CJ57" s="45">
        <f t="shared" si="153"/>
        <v>1</v>
      </c>
      <c r="CK57" s="45">
        <f t="shared" si="154"/>
        <v>2</v>
      </c>
      <c r="CL57" s="46" cm="1">
        <f t="array" ref="CL57">ROUND(IFERROR(INDEX(ArchiveResults!$F$5:$IX$116,ComparisonData!A57,ComparisonData!$CL$1),0),5)</f>
        <v>0</v>
      </c>
      <c r="CM57" s="56">
        <v>52</v>
      </c>
      <c r="CN57" s="53" t="str">
        <f t="shared" si="543"/>
        <v>Manchester and Lancashire Family History Society</v>
      </c>
      <c r="CO57" s="45">
        <f t="shared" si="155"/>
        <v>0</v>
      </c>
      <c r="CP57" s="58">
        <f t="shared" si="156"/>
        <v>0</v>
      </c>
      <c r="CQ57" s="45">
        <f t="shared" si="157"/>
        <v>105</v>
      </c>
      <c r="CR57" s="54">
        <f t="shared" si="544"/>
        <v>2.964</v>
      </c>
      <c r="CS57" s="45">
        <f t="shared" si="158"/>
        <v>1</v>
      </c>
      <c r="CT57" s="45">
        <f t="shared" si="159"/>
        <v>2</v>
      </c>
      <c r="CU57" s="46" cm="1">
        <f t="array" ref="CU57">ROUND(IFERROR(INDEX(ArchiveResults!$F$5:$IX$116,ComparisonData!A57,ComparisonData!$CU$1),0),5)</f>
        <v>0</v>
      </c>
      <c r="CV57" s="56">
        <v>52</v>
      </c>
      <c r="CW57" s="53" t="str">
        <f t="shared" si="545"/>
        <v>Manchester and Lancashire Family History Society</v>
      </c>
      <c r="CX57" s="45">
        <f t="shared" si="160"/>
        <v>0</v>
      </c>
      <c r="CY57" s="58">
        <f t="shared" si="161"/>
        <v>0</v>
      </c>
      <c r="CZ57" s="45">
        <f t="shared" si="162"/>
        <v>105</v>
      </c>
      <c r="DA57" s="54">
        <f t="shared" si="546"/>
        <v>2.964</v>
      </c>
      <c r="DB57" s="45">
        <f t="shared" si="163"/>
        <v>1</v>
      </c>
      <c r="DC57" s="45">
        <f t="shared" si="164"/>
        <v>2</v>
      </c>
      <c r="DD57" s="46" cm="1">
        <f t="array" ref="DD57">ROUND(IFERROR(INDEX(ArchiveResults!$F$5:$IX$116,ComparisonData!A57,ComparisonData!$DD$1),0),5)</f>
        <v>0</v>
      </c>
      <c r="DE57" s="56">
        <v>52</v>
      </c>
      <c r="DF57" s="53" t="str">
        <f t="shared" si="547"/>
        <v>Manchester and Lancashire Family History Society</v>
      </c>
      <c r="DG57" s="45">
        <f t="shared" si="165"/>
        <v>0</v>
      </c>
      <c r="DH57" s="58">
        <f t="shared" si="166"/>
        <v>0</v>
      </c>
      <c r="DI57" s="45">
        <f t="shared" si="167"/>
        <v>105</v>
      </c>
      <c r="DJ57" s="54">
        <f t="shared" si="548"/>
        <v>2.964</v>
      </c>
      <c r="DK57" s="45">
        <f t="shared" si="168"/>
        <v>1</v>
      </c>
      <c r="DL57" s="45">
        <f t="shared" si="169"/>
        <v>2</v>
      </c>
      <c r="DM57" s="46" cm="1">
        <f t="array" ref="DM57">ROUND(IFERROR(INDEX(ArchiveResults!$F$5:$IX$116,ComparisonData!A57,ComparisonData!$DM$1),0),5)</f>
        <v>0</v>
      </c>
      <c r="DN57" s="46" cm="1">
        <f t="array" ref="DN57">ROUND(IFERROR(INDEX(ArchiveResults!$F$5:$IX$116,ComparisonData!A57,ComparisonData!$DN$1),0),5)</f>
        <v>0</v>
      </c>
      <c r="DO57" s="46" cm="1">
        <f t="array" ref="DO57">ROUND(IFERROR(INDEX(ArchiveResults!$F$5:$IX$116,ComparisonData!A57,ComparisonData!$DO$1),0),5)</f>
        <v>0</v>
      </c>
      <c r="DP57" s="46" cm="1">
        <f t="array" ref="DP57">ROUND(IFERROR(INDEX(ArchiveResults!$F$5:$IX$116,ComparisonData!A57,ComparisonData!$DP$1),0),5)</f>
        <v>0</v>
      </c>
      <c r="DQ57" s="45" cm="1">
        <f t="array" ref="DQ57">IFERROR(INDEX(ArchiveResults!$F$5:$IX$116,ComparisonData!A57,ComparisonData!$DQ$1),0)</f>
        <v>0</v>
      </c>
      <c r="DR57" s="56">
        <v>52</v>
      </c>
      <c r="DS57" s="53" t="str">
        <f t="shared" si="549"/>
        <v>Manchester and Lancashire Family History Society</v>
      </c>
      <c r="DT57" s="59">
        <f t="shared" si="170"/>
        <v>0</v>
      </c>
      <c r="DU57" s="59">
        <f t="shared" si="171"/>
        <v>0</v>
      </c>
      <c r="DV57" s="59">
        <f t="shared" si="172"/>
        <v>0</v>
      </c>
      <c r="DW57" s="59">
        <f t="shared" si="173"/>
        <v>0</v>
      </c>
      <c r="DX57" s="59">
        <f t="shared" si="174"/>
        <v>0</v>
      </c>
      <c r="DY57" s="58">
        <f t="shared" si="175"/>
        <v>0</v>
      </c>
      <c r="DZ57" s="45">
        <f t="shared" si="176"/>
        <v>105</v>
      </c>
      <c r="EA57" s="54">
        <f t="shared" si="550"/>
        <v>2.964</v>
      </c>
      <c r="EB57" s="45">
        <f t="shared" si="177"/>
        <v>1</v>
      </c>
      <c r="EC57" s="45">
        <f t="shared" si="178"/>
        <v>2</v>
      </c>
      <c r="ED57" s="46" cm="1">
        <f t="array" ref="ED57">ROUND(IFERROR(INDEX(ArchiveResults!$F$5:$IX$116,ComparisonData!A57,ComparisonData!$ED$1),0),5)</f>
        <v>0</v>
      </c>
      <c r="EE57" s="46" cm="1">
        <f t="array" ref="EE57">ROUND(IFERROR(INDEX(ArchiveResults!$F$5:$IX$116,ComparisonData!A57,ComparisonData!$EE$1),0),5)</f>
        <v>0</v>
      </c>
      <c r="EF57" s="46" cm="1">
        <f t="array" ref="EF57">ROUND(IFERROR(INDEX(ArchiveResults!$F$5:$IX$116,ComparisonData!A57,ComparisonData!$EF$1),0),5)</f>
        <v>0</v>
      </c>
      <c r="EG57" s="46" cm="1">
        <f t="array" ref="EG57">ROUND(IFERROR(INDEX(ArchiveResults!$F$5:$IX$116,ComparisonData!A57,ComparisonData!$EG$1),0),5)</f>
        <v>0</v>
      </c>
      <c r="EH57" s="45" cm="1">
        <f t="array" ref="EH57">IFERROR(INDEX(ArchiveResults!$F$5:$IX$116,ComparisonData!A57,ComparisonData!$EH$1),0)</f>
        <v>0</v>
      </c>
      <c r="EI57" s="56">
        <v>52</v>
      </c>
      <c r="EJ57" s="53" t="str">
        <f t="shared" si="551"/>
        <v>Manchester and Lancashire Family History Society</v>
      </c>
      <c r="EK57" s="59">
        <f t="shared" si="179"/>
        <v>0</v>
      </c>
      <c r="EL57" s="59">
        <f t="shared" si="180"/>
        <v>0</v>
      </c>
      <c r="EM57" s="59">
        <f t="shared" si="181"/>
        <v>0</v>
      </c>
      <c r="EN57" s="59">
        <f t="shared" si="182"/>
        <v>0</v>
      </c>
      <c r="EO57" s="59">
        <f t="shared" si="183"/>
        <v>0</v>
      </c>
      <c r="EP57" s="58">
        <f t="shared" si="184"/>
        <v>0</v>
      </c>
      <c r="EQ57" s="45">
        <f t="shared" si="185"/>
        <v>105</v>
      </c>
      <c r="ER57" s="54">
        <f t="shared" si="552"/>
        <v>2.964</v>
      </c>
      <c r="ES57" s="45">
        <f t="shared" si="186"/>
        <v>1</v>
      </c>
      <c r="ET57" s="45">
        <f t="shared" si="187"/>
        <v>2</v>
      </c>
      <c r="EU57" s="46" cm="1">
        <f t="array" ref="EU57">ROUND(IFERROR(INDEX(ArchiveResults!$F$5:$IX$116,ComparisonData!A57,ComparisonData!$EU$1),0),5)</f>
        <v>0</v>
      </c>
      <c r="EV57" s="46" cm="1">
        <f t="array" ref="EV57">ROUND(IFERROR(INDEX(ArchiveResults!$F$5:$IX$116,ComparisonData!A57,ComparisonData!$EV$1),0),5)</f>
        <v>0</v>
      </c>
      <c r="EW57" s="46" cm="1">
        <f t="array" ref="EW57">ROUND(IFERROR(INDEX(ArchiveResults!$F$5:$IX$116,ComparisonData!A57,ComparisonData!$EW$1),0),5)</f>
        <v>0</v>
      </c>
      <c r="EX57" s="46" cm="1">
        <f t="array" ref="EX57">ROUND(IFERROR(INDEX(ArchiveResults!$F$5:$IX$116,ComparisonData!A57,ComparisonData!$EX$1),0),5)</f>
        <v>0</v>
      </c>
      <c r="EY57" s="45" cm="1">
        <f t="array" ref="EY57">IFERROR(INDEX(ArchiveResults!$F$5:$IX$116,ComparisonData!A57,ComparisonData!$EY$1),0)</f>
        <v>0</v>
      </c>
      <c r="EZ57" s="56">
        <v>52</v>
      </c>
      <c r="FA57" s="53" t="str">
        <f t="shared" si="553"/>
        <v>Manchester and Lancashire Family History Society</v>
      </c>
      <c r="FB57" s="59">
        <f t="shared" si="188"/>
        <v>0</v>
      </c>
      <c r="FC57" s="59">
        <f t="shared" si="189"/>
        <v>0</v>
      </c>
      <c r="FD57" s="59">
        <f t="shared" si="190"/>
        <v>0</v>
      </c>
      <c r="FE57" s="59">
        <f t="shared" si="191"/>
        <v>0</v>
      </c>
      <c r="FF57" s="59">
        <f t="shared" si="192"/>
        <v>0</v>
      </c>
      <c r="FG57" s="58">
        <f t="shared" si="193"/>
        <v>0</v>
      </c>
      <c r="FH57" s="45">
        <f t="shared" si="194"/>
        <v>105</v>
      </c>
      <c r="FI57" s="54">
        <f t="shared" si="554"/>
        <v>2.964</v>
      </c>
      <c r="FJ57" s="45">
        <f t="shared" si="195"/>
        <v>1</v>
      </c>
      <c r="FK57" s="45">
        <f t="shared" si="196"/>
        <v>2</v>
      </c>
      <c r="FL57" s="46" cm="1">
        <f t="array" ref="FL57">ROUND(IFERROR(INDEX(ArchiveResults!$F$5:$IX$116,ComparisonData!A57,ComparisonData!$FL$1),0),5)</f>
        <v>0</v>
      </c>
      <c r="FM57" s="46" cm="1">
        <f t="array" ref="FM57">ROUND(IFERROR(INDEX(ArchiveResults!$F$5:$IX$116,ComparisonData!A57,ComparisonData!$FM$1),0),5)</f>
        <v>0</v>
      </c>
      <c r="FN57" s="46" cm="1">
        <f t="array" ref="FN57">ROUND(IFERROR(INDEX(ArchiveResults!$F$5:$IX$116,ComparisonData!A57,ComparisonData!$FN$1),0),5)</f>
        <v>0</v>
      </c>
      <c r="FO57" s="46" cm="1">
        <f t="array" ref="FO57">ROUND(IFERROR(INDEX(ArchiveResults!$F$5:$IX$116,ComparisonData!A57,ComparisonData!$FO$1),0),5)</f>
        <v>0</v>
      </c>
      <c r="FP57" s="45" cm="1">
        <f t="array" ref="FP57">IFERROR(INDEX(ArchiveResults!$F$5:$IX$116,ComparisonData!A57,ComparisonData!$FP$1),0)</f>
        <v>0</v>
      </c>
      <c r="FQ57" s="56">
        <v>52</v>
      </c>
      <c r="FR57" s="53" t="str">
        <f t="shared" si="555"/>
        <v>Manchester and Lancashire Family History Society</v>
      </c>
      <c r="FS57" s="59">
        <f t="shared" si="197"/>
        <v>0</v>
      </c>
      <c r="FT57" s="59">
        <f t="shared" si="198"/>
        <v>0</v>
      </c>
      <c r="FU57" s="59">
        <f t="shared" si="199"/>
        <v>0</v>
      </c>
      <c r="FV57" s="59">
        <f t="shared" si="200"/>
        <v>0</v>
      </c>
      <c r="FW57" s="59">
        <f t="shared" si="201"/>
        <v>0</v>
      </c>
      <c r="FX57" s="58">
        <f t="shared" si="202"/>
        <v>0</v>
      </c>
      <c r="FY57" s="45">
        <f t="shared" si="203"/>
        <v>105</v>
      </c>
      <c r="FZ57" s="45">
        <f t="shared" si="556"/>
        <v>2.964</v>
      </c>
      <c r="GA57" s="45">
        <f t="shared" si="204"/>
        <v>1</v>
      </c>
      <c r="GB57" s="45">
        <f t="shared" si="205"/>
        <v>2</v>
      </c>
      <c r="GC57" s="46" cm="1">
        <f t="array" ref="GC57">ROUND(IFERROR(INDEX(ArchiveResults!$F$5:$IX$116,ComparisonData!A57,ComparisonData!$GC$1),0),5)</f>
        <v>0</v>
      </c>
      <c r="GD57" s="46" cm="1">
        <f t="array" ref="GD57">ROUND(IFERROR(INDEX(ArchiveResults!$F$5:$IX$116,ComparisonData!A57,ComparisonData!$GD$1),0),5)</f>
        <v>0</v>
      </c>
      <c r="GE57" s="46" cm="1">
        <f t="array" ref="GE57">ROUND(IFERROR(INDEX(ArchiveResults!$F$5:$IX$116,ComparisonData!A57,ComparisonData!$GE$1),0),5)</f>
        <v>0</v>
      </c>
      <c r="GF57" s="46" cm="1">
        <f t="array" ref="GF57">ROUND(IFERROR(INDEX(ArchiveResults!$F$5:$IX$116,ComparisonData!A57,ComparisonData!$GF$1),0),5)</f>
        <v>0</v>
      </c>
      <c r="GG57" s="45" cm="1">
        <f t="array" ref="GG57">IFERROR(INDEX(ArchiveResults!$F$5:$IX$116,ComparisonData!A57,ComparisonData!$GG$1),0)</f>
        <v>0</v>
      </c>
      <c r="GH57" s="56">
        <v>52</v>
      </c>
      <c r="GI57" s="53" t="str">
        <f t="shared" si="557"/>
        <v>Manchester and Lancashire Family History Society</v>
      </c>
      <c r="GJ57" s="59">
        <f t="shared" si="206"/>
        <v>0</v>
      </c>
      <c r="GK57" s="59">
        <f t="shared" si="207"/>
        <v>0</v>
      </c>
      <c r="GL57" s="59">
        <f t="shared" si="208"/>
        <v>0</v>
      </c>
      <c r="GM57" s="59">
        <f t="shared" si="209"/>
        <v>0</v>
      </c>
      <c r="GN57" s="59">
        <f t="shared" si="210"/>
        <v>0</v>
      </c>
      <c r="GO57" s="58">
        <f t="shared" si="211"/>
        <v>0</v>
      </c>
      <c r="GP57" s="45">
        <f t="shared" si="212"/>
        <v>105</v>
      </c>
      <c r="GQ57" s="45">
        <f t="shared" si="558"/>
        <v>2.964</v>
      </c>
      <c r="GR57" s="45">
        <f t="shared" si="213"/>
        <v>1</v>
      </c>
      <c r="GS57" s="45">
        <f t="shared" si="214"/>
        <v>2</v>
      </c>
      <c r="GT57" s="46" cm="1">
        <f t="array" ref="GT57">ROUND(IFERROR(INDEX(ArchiveResults!$F$5:$IX$116,ComparisonData!A57,ComparisonData!$GT$1),0),5)</f>
        <v>0</v>
      </c>
      <c r="GU57" s="46" cm="1">
        <f t="array" ref="GU57">ROUND(IFERROR(INDEX(ArchiveResults!$F$5:$IX$116,ComparisonData!A57,ComparisonData!$GU$1),0),5)</f>
        <v>0</v>
      </c>
      <c r="GV57" s="46" cm="1">
        <f t="array" ref="GV57">ROUND(IFERROR(INDEX(ArchiveResults!$F$5:$IX$116,ComparisonData!A57,ComparisonData!$GV$1),0),5)</f>
        <v>0</v>
      </c>
      <c r="GW57" s="46" cm="1">
        <f t="array" ref="GW57">ROUND(IFERROR(INDEX(ArchiveResults!$F$5:$IX$116,ComparisonData!A57,ComparisonData!$GW$1),0),5)</f>
        <v>0</v>
      </c>
      <c r="GX57" s="45" cm="1">
        <f t="array" ref="GX57">IFERROR(INDEX(ArchiveResults!$F$5:$IX$116,ComparisonData!A57,ComparisonData!$GX$1),0)</f>
        <v>0</v>
      </c>
      <c r="GY57" s="56">
        <v>52</v>
      </c>
      <c r="GZ57" s="53" t="str">
        <f t="shared" si="559"/>
        <v>Manchester and Lancashire Family History Society</v>
      </c>
      <c r="HA57" s="59">
        <f t="shared" si="215"/>
        <v>0</v>
      </c>
      <c r="HB57" s="59">
        <f t="shared" si="216"/>
        <v>0</v>
      </c>
      <c r="HC57" s="59">
        <f t="shared" si="217"/>
        <v>0</v>
      </c>
      <c r="HD57" s="59">
        <f t="shared" si="218"/>
        <v>0</v>
      </c>
      <c r="HE57" s="59">
        <f t="shared" si="219"/>
        <v>0</v>
      </c>
      <c r="HF57" s="58">
        <f t="shared" si="220"/>
        <v>0</v>
      </c>
      <c r="HG57" s="45">
        <f t="shared" si="221"/>
        <v>105</v>
      </c>
      <c r="HH57" s="45">
        <f t="shared" si="560"/>
        <v>2.964</v>
      </c>
      <c r="HI57" s="45">
        <f t="shared" si="222"/>
        <v>1</v>
      </c>
      <c r="HJ57" s="45">
        <f t="shared" si="223"/>
        <v>2</v>
      </c>
      <c r="HK57" s="46" cm="1">
        <f t="array" ref="HK57">ROUND(IFERROR(INDEX(ArchiveResults!$F$5:$IX$116,ComparisonData!A57,ComparisonData!$HK$1),0),5)</f>
        <v>0</v>
      </c>
      <c r="HL57" s="46" cm="1">
        <f t="array" ref="HL57">ROUND(IFERROR(INDEX(ArchiveResults!$F$5:$IX$116,ComparisonData!A57,ComparisonData!$HL$1),0),5)</f>
        <v>0</v>
      </c>
      <c r="HM57" s="46" cm="1">
        <f t="array" ref="HM57">ROUND(IFERROR(INDEX(ArchiveResults!$F$5:$IX$116,ComparisonData!A57,ComparisonData!$HM$1),0),5)</f>
        <v>0</v>
      </c>
      <c r="HN57" s="46" cm="1">
        <f t="array" ref="HN57">ROUND(IFERROR(INDEX(ArchiveResults!$F$5:$IX$116,ComparisonData!A57,ComparisonData!$HN$1),0),5)</f>
        <v>0</v>
      </c>
      <c r="HO57" s="45" cm="1">
        <f t="array" ref="HO57">IFERROR(INDEX(ArchiveResults!$F$5:$IX$116,ComparisonData!A57,ComparisonData!$HO$1),0)</f>
        <v>0</v>
      </c>
      <c r="HP57" s="56">
        <v>52</v>
      </c>
      <c r="HQ57" s="53" t="str">
        <f t="shared" si="561"/>
        <v>Manchester and Lancashire Family History Society</v>
      </c>
      <c r="HR57" s="59">
        <f t="shared" si="562"/>
        <v>0</v>
      </c>
      <c r="HS57" s="59">
        <f t="shared" si="563"/>
        <v>0</v>
      </c>
      <c r="HT57" s="59">
        <f t="shared" si="564"/>
        <v>0</v>
      </c>
      <c r="HU57" s="59">
        <f t="shared" si="565"/>
        <v>0</v>
      </c>
      <c r="HV57" s="59">
        <f t="shared" si="566"/>
        <v>0</v>
      </c>
      <c r="HW57" s="58">
        <f t="shared" si="224"/>
        <v>0</v>
      </c>
      <c r="HX57" s="45">
        <f t="shared" si="225"/>
        <v>105</v>
      </c>
      <c r="HY57" s="45">
        <f t="shared" si="567"/>
        <v>2.964</v>
      </c>
      <c r="HZ57" s="45">
        <f t="shared" si="226"/>
        <v>1</v>
      </c>
      <c r="IA57" s="45">
        <f t="shared" si="227"/>
        <v>2</v>
      </c>
      <c r="IB57" s="45">
        <f t="shared" si="228"/>
        <v>0</v>
      </c>
      <c r="IC57" s="46" cm="1">
        <f t="array" ref="IC57">ROUND(IFERROR(INDEX(ArchiveResults!$F$5:$IX$116,ComparisonData!A57,ComparisonData!$IC$1),0),5)</f>
        <v>0</v>
      </c>
      <c r="ID57" s="46" cm="1">
        <f t="array" ref="ID57">ROUND(IFERROR(INDEX(ArchiveResults!$F$5:$IX$116,ComparisonData!A57,ComparisonData!$ID$1),0),5)</f>
        <v>0</v>
      </c>
      <c r="IE57" s="46" cm="1">
        <f t="array" ref="IE57">ROUND(IFERROR(INDEX(ArchiveResults!$F$5:$IX$116,ComparisonData!A57,ComparisonData!$IE$1),0),5)</f>
        <v>0</v>
      </c>
      <c r="IF57" s="46" cm="1">
        <f t="array" ref="IF57">ROUND(IFERROR(INDEX(ArchiveResults!$F$5:$IX$116,ComparisonData!A57,ComparisonData!$IF$1),0),5)</f>
        <v>0</v>
      </c>
      <c r="IG57" s="45" cm="1">
        <f t="array" ref="IG57">IFERROR(INDEX(ArchiveResults!$F$5:$IX$116,ComparisonData!A57,ComparisonData!$IG$1),0)</f>
        <v>0</v>
      </c>
      <c r="IH57" s="56">
        <v>52</v>
      </c>
      <c r="II57" s="53" t="str">
        <f t="shared" si="568"/>
        <v>Manchester and Lancashire Family History Society</v>
      </c>
      <c r="IJ57" s="59">
        <f t="shared" si="229"/>
        <v>0</v>
      </c>
      <c r="IK57" s="59">
        <f t="shared" si="230"/>
        <v>0</v>
      </c>
      <c r="IL57" s="59">
        <f t="shared" si="231"/>
        <v>0</v>
      </c>
      <c r="IM57" s="59">
        <f t="shared" si="232"/>
        <v>0</v>
      </c>
      <c r="IN57" s="59">
        <f t="shared" si="233"/>
        <v>0</v>
      </c>
      <c r="IO57" s="58">
        <f t="shared" si="234"/>
        <v>0</v>
      </c>
      <c r="IP57" s="45">
        <f t="shared" si="235"/>
        <v>105</v>
      </c>
      <c r="IQ57" s="45">
        <f t="shared" si="569"/>
        <v>2.964</v>
      </c>
      <c r="IR57" s="45">
        <f t="shared" si="236"/>
        <v>1</v>
      </c>
      <c r="IS57" s="45">
        <f t="shared" si="237"/>
        <v>2</v>
      </c>
      <c r="IT57" s="46">
        <f t="shared" si="238"/>
        <v>0</v>
      </c>
      <c r="IU57" s="46" cm="1">
        <f t="array" ref="IU57">ROUND(IFERROR(INDEX(ArchiveResults!$F$5:$IX$116,ComparisonData!A57,ComparisonData!$IU$1),0),5)</f>
        <v>0</v>
      </c>
      <c r="IV57" s="46" cm="1">
        <f t="array" ref="IV57">ROUND(IFERROR(INDEX(ArchiveResults!$F$5:$IX$116,ComparisonData!A57,ComparisonData!$IV$1),0),5)</f>
        <v>0</v>
      </c>
      <c r="IW57" s="46" cm="1">
        <f t="array" ref="IW57">ROUND(IFERROR(INDEX(ArchiveResults!$F$5:$IX$116,ComparisonData!A57,ComparisonData!$IW$1),0),5)</f>
        <v>0</v>
      </c>
      <c r="IX57" s="46" cm="1">
        <f t="array" ref="IX57">ROUND(IFERROR(INDEX(ArchiveResults!$F$5:$IX$116,ComparisonData!A57,ComparisonData!$IX$1),0),5)</f>
        <v>0</v>
      </c>
      <c r="IY57" s="45" cm="1">
        <f t="array" ref="IY57">IFERROR(INDEX(ArchiveResults!$F$5:$IX$116,ComparisonData!A57,ComparisonData!$IY$1),0)</f>
        <v>0</v>
      </c>
      <c r="IZ57" s="56">
        <v>52</v>
      </c>
      <c r="JA57" s="53" t="str">
        <f t="shared" si="570"/>
        <v>Manchester and Lancashire Family History Society</v>
      </c>
      <c r="JB57" s="59">
        <f t="shared" si="239"/>
        <v>0</v>
      </c>
      <c r="JC57" s="59">
        <f t="shared" si="240"/>
        <v>0</v>
      </c>
      <c r="JD57" s="59">
        <f t="shared" si="241"/>
        <v>0</v>
      </c>
      <c r="JE57" s="59">
        <f t="shared" si="242"/>
        <v>0</v>
      </c>
      <c r="JF57" s="59">
        <f t="shared" si="243"/>
        <v>0</v>
      </c>
      <c r="JG57" s="58">
        <f t="shared" si="244"/>
        <v>0</v>
      </c>
      <c r="JH57" s="45">
        <f t="shared" si="245"/>
        <v>105</v>
      </c>
      <c r="JI57" s="45">
        <f t="shared" si="571"/>
        <v>2.964</v>
      </c>
      <c r="JJ57" s="45">
        <f t="shared" si="246"/>
        <v>1</v>
      </c>
      <c r="JK57" s="45">
        <f t="shared" si="247"/>
        <v>2</v>
      </c>
      <c r="JL57" s="45">
        <f t="shared" si="248"/>
        <v>0</v>
      </c>
      <c r="JM57" s="46" cm="1">
        <f t="array" ref="JM57">ROUND(IFERROR(INDEX(ArchiveResults!$F$5:$IX$116,ComparisonData!A57,ComparisonData!$JM$1),0),5)</f>
        <v>0</v>
      </c>
      <c r="JN57" s="46" cm="1">
        <f t="array" ref="JN57">ROUND(IFERROR(INDEX(ArchiveResults!$F$5:$IX$116,ComparisonData!A57,ComparisonData!$JN$1),0),5)</f>
        <v>0</v>
      </c>
      <c r="JO57" s="46" cm="1">
        <f t="array" ref="JO57">ROUND(IFERROR(INDEX(ArchiveResults!$F$5:$IX$116,ComparisonData!A57,ComparisonData!$JO$1),0),5)</f>
        <v>0</v>
      </c>
      <c r="JP57" s="46" cm="1">
        <f t="array" ref="JP57">ROUND(IFERROR(INDEX(ArchiveResults!$F$5:$IX$116,ComparisonData!A57,ComparisonData!$JP$1),0),5)</f>
        <v>0</v>
      </c>
      <c r="JQ57" s="45" cm="1">
        <f t="array" ref="JQ57">IFERROR(INDEX(ArchiveResults!$F$5:$IX$116,ComparisonData!A57,ComparisonData!$JQ$1),0)</f>
        <v>0</v>
      </c>
      <c r="JR57" s="56">
        <v>52</v>
      </c>
      <c r="JS57" s="53" t="str">
        <f t="shared" si="572"/>
        <v>Manchester and Lancashire Family History Society</v>
      </c>
      <c r="JT57" s="59">
        <f t="shared" si="249"/>
        <v>0</v>
      </c>
      <c r="JU57" s="59">
        <f t="shared" si="250"/>
        <v>0</v>
      </c>
      <c r="JV57" s="59">
        <f t="shared" si="251"/>
        <v>0</v>
      </c>
      <c r="JW57" s="59">
        <f t="shared" si="252"/>
        <v>0</v>
      </c>
      <c r="JX57" s="59">
        <f t="shared" si="253"/>
        <v>0</v>
      </c>
      <c r="JY57" s="58">
        <f t="shared" si="254"/>
        <v>0</v>
      </c>
      <c r="JZ57" s="45">
        <f t="shared" si="255"/>
        <v>105</v>
      </c>
      <c r="KA57" s="45">
        <f t="shared" si="573"/>
        <v>2.964</v>
      </c>
      <c r="KB57" s="45">
        <f t="shared" si="256"/>
        <v>1</v>
      </c>
      <c r="KC57" s="45">
        <f t="shared" si="257"/>
        <v>2</v>
      </c>
      <c r="KD57" s="45">
        <f t="shared" si="258"/>
        <v>0</v>
      </c>
      <c r="KE57" s="46" cm="1">
        <f t="array" ref="KE57">ROUND(IFERROR(INDEX(ArchiveResults!$F$5:$IX$116,ComparisonData!A57,ComparisonData!$KE$1),0),5)</f>
        <v>0</v>
      </c>
      <c r="KF57" s="46" cm="1">
        <f t="array" ref="KF57">ROUND(IFERROR(INDEX(ArchiveResults!$F$5:$IX$116,ComparisonData!A57,ComparisonData!$KF$1),0),5)</f>
        <v>0</v>
      </c>
      <c r="KG57" s="46" cm="1">
        <f t="array" ref="KG57">ROUND(IFERROR(INDEX(ArchiveResults!$F$5:$IX$116,ComparisonData!A57,ComparisonData!$KG$1),0),5)</f>
        <v>0</v>
      </c>
      <c r="KH57" s="46" cm="1">
        <f t="array" ref="KH57">ROUND(IFERROR(INDEX(ArchiveResults!$F$5:$IX$116,ComparisonData!A57,ComparisonData!$KH$1),0),5)</f>
        <v>0</v>
      </c>
      <c r="KI57" s="45" cm="1">
        <f t="array" ref="KI57">IFERROR(INDEX(ArchiveResults!$F$5:$IX$116,ComparisonData!A57,ComparisonData!$KI$1),0)</f>
        <v>0</v>
      </c>
      <c r="KJ57" s="56">
        <v>52</v>
      </c>
      <c r="KK57" s="53" t="str">
        <f t="shared" si="574"/>
        <v>Manchester and Lancashire Family History Society</v>
      </c>
      <c r="KL57" s="59">
        <f t="shared" si="259"/>
        <v>0</v>
      </c>
      <c r="KM57" s="59">
        <f t="shared" si="260"/>
        <v>0</v>
      </c>
      <c r="KN57" s="59">
        <f t="shared" si="261"/>
        <v>0</v>
      </c>
      <c r="KO57" s="59">
        <f t="shared" si="262"/>
        <v>0</v>
      </c>
      <c r="KP57" s="59">
        <f t="shared" si="263"/>
        <v>0</v>
      </c>
      <c r="KQ57" s="58">
        <f t="shared" si="264"/>
        <v>0</v>
      </c>
      <c r="KR57" s="45">
        <f t="shared" si="265"/>
        <v>105</v>
      </c>
      <c r="KS57" s="45">
        <f t="shared" si="575"/>
        <v>2.964</v>
      </c>
      <c r="KT57" s="45">
        <f t="shared" si="266"/>
        <v>1</v>
      </c>
      <c r="KU57" s="45">
        <f t="shared" si="267"/>
        <v>2</v>
      </c>
      <c r="KV57" s="45">
        <f t="shared" si="268"/>
        <v>0</v>
      </c>
      <c r="KW57" s="46" cm="1">
        <f t="array" ref="KW57">ROUND(IFERROR(INDEX(ArchiveResults!$F$5:$IX$116,ComparisonData!A57,ComparisonData!$KW$1),0),5)</f>
        <v>0</v>
      </c>
      <c r="KX57" s="46" cm="1">
        <f t="array" ref="KX57">ROUND(IFERROR(INDEX(ArchiveResults!$F$5:$IX$116,ComparisonData!A57,ComparisonData!$KX$1),0),5)</f>
        <v>0</v>
      </c>
      <c r="KY57" s="46" cm="1">
        <f t="array" ref="KY57">ROUND(IFERROR(INDEX(ArchiveResults!$F$5:$IX$116,ComparisonData!A57,ComparisonData!$KY$1),0),5)</f>
        <v>0</v>
      </c>
      <c r="KZ57" s="46" cm="1">
        <f t="array" ref="KZ57">ROUND(IFERROR(INDEX(ArchiveResults!$F$5:$IX$116,ComparisonData!A57,ComparisonData!$KZ$1),0),5)</f>
        <v>0</v>
      </c>
      <c r="LA57" s="45" cm="1">
        <f t="array" ref="LA57">IFERROR(INDEX(ArchiveResults!$F$5:$IX$116,ComparisonData!A57,ComparisonData!$LA$1),0)</f>
        <v>0</v>
      </c>
      <c r="LB57" s="56">
        <v>52</v>
      </c>
      <c r="LC57" s="53" t="str">
        <f t="shared" si="576"/>
        <v>Manchester and Lancashire Family History Society</v>
      </c>
      <c r="LD57" s="59">
        <f t="shared" si="269"/>
        <v>0</v>
      </c>
      <c r="LE57" s="59">
        <f t="shared" si="270"/>
        <v>0</v>
      </c>
      <c r="LF57" s="59">
        <f t="shared" si="271"/>
        <v>0</v>
      </c>
      <c r="LG57" s="59">
        <f t="shared" si="272"/>
        <v>0</v>
      </c>
      <c r="LH57" s="59">
        <f t="shared" si="273"/>
        <v>0</v>
      </c>
      <c r="LI57" s="58">
        <f t="shared" si="274"/>
        <v>0</v>
      </c>
      <c r="LJ57" s="45">
        <f t="shared" si="275"/>
        <v>105</v>
      </c>
      <c r="LK57" s="45">
        <f t="shared" si="577"/>
        <v>2.964</v>
      </c>
      <c r="LL57" s="45">
        <f t="shared" si="276"/>
        <v>1</v>
      </c>
      <c r="LM57" s="45">
        <f t="shared" si="277"/>
        <v>2</v>
      </c>
      <c r="LN57" s="45">
        <f t="shared" si="278"/>
        <v>0</v>
      </c>
      <c r="LO57" s="46" cm="1">
        <f t="array" ref="LO57">ROUND(IFERROR(INDEX(ArchiveResults!$F$5:$IX$116,ComparisonData!A57,ComparisonData!$LO$1),0),5)</f>
        <v>0</v>
      </c>
      <c r="LP57" s="46" cm="1">
        <f t="array" ref="LP57">ROUND(IFERROR(INDEX(ArchiveResults!$F$5:$IX$116,ComparisonData!A57,ComparisonData!$LP$1),0),5)</f>
        <v>0</v>
      </c>
      <c r="LQ57" s="46" cm="1">
        <f t="array" ref="LQ57">ROUND(IFERROR(INDEX(ArchiveResults!$F$5:$IX$116,ComparisonData!A57,ComparisonData!$LQ$1),0),5)</f>
        <v>0</v>
      </c>
      <c r="LR57" s="46" cm="1">
        <f t="array" ref="LR57">ROUND(IFERROR(INDEX(ArchiveResults!$F$5:$IX$116,ComparisonData!A57,ComparisonData!$LR$1),0),5)</f>
        <v>0</v>
      </c>
      <c r="LS57" s="45" cm="1">
        <f t="array" ref="LS57">IFERROR(INDEX(ArchiveResults!$F$5:$IX$116,ComparisonData!A57,ComparisonData!$LS$1),0)</f>
        <v>0</v>
      </c>
      <c r="LT57" s="56">
        <v>52</v>
      </c>
      <c r="LU57" s="53" t="str">
        <f t="shared" si="578"/>
        <v>Manchester and Lancashire Family History Society</v>
      </c>
      <c r="LV57" s="59">
        <f t="shared" si="279"/>
        <v>0</v>
      </c>
      <c r="LW57" s="59">
        <f t="shared" si="280"/>
        <v>0</v>
      </c>
      <c r="LX57" s="59">
        <f t="shared" si="281"/>
        <v>0</v>
      </c>
      <c r="LY57" s="59">
        <f t="shared" si="282"/>
        <v>0</v>
      </c>
      <c r="LZ57" s="59">
        <f t="shared" si="283"/>
        <v>0</v>
      </c>
      <c r="MA57" s="58">
        <f t="shared" si="284"/>
        <v>0</v>
      </c>
      <c r="MB57" s="45">
        <f t="shared" si="285"/>
        <v>105</v>
      </c>
      <c r="MC57" s="45">
        <f t="shared" si="579"/>
        <v>2.964</v>
      </c>
      <c r="MD57" s="45">
        <f t="shared" si="286"/>
        <v>1</v>
      </c>
      <c r="ME57" s="45">
        <f t="shared" si="287"/>
        <v>2</v>
      </c>
      <c r="MF57" s="45">
        <f t="shared" si="288"/>
        <v>0</v>
      </c>
      <c r="MG57" s="46" cm="1">
        <f t="array" ref="MG57">ROUND(IFERROR(INDEX(ArchiveResults!$F$5:$IX$116,ComparisonData!A57,ComparisonData!$MG$1),0),5)</f>
        <v>0</v>
      </c>
      <c r="MH57" s="46" cm="1">
        <f t="array" ref="MH57">ROUND(IFERROR(INDEX(ArchiveResults!$F$5:$IX$116,ComparisonData!A57,ComparisonData!$MH$1),0),5)</f>
        <v>0</v>
      </c>
      <c r="MI57" s="46" cm="1">
        <f t="array" ref="MI57">ROUND(IFERROR(INDEX(ArchiveResults!$F$5:$IX$116,ComparisonData!A57,ComparisonData!$MI$1),0),5)</f>
        <v>0</v>
      </c>
      <c r="MJ57" s="46" cm="1">
        <f t="array" ref="MJ57">ROUND(IFERROR(INDEX(ArchiveResults!$F$5:$IX$116,ComparisonData!A57,ComparisonData!$MJ$1),0),5)</f>
        <v>0</v>
      </c>
      <c r="MK57" s="45" cm="1">
        <f t="array" ref="MK57">IFERROR(INDEX(ArchiveResults!$F$5:$IX$116,ComparisonData!A57,ComparisonData!$MK$1),0)</f>
        <v>0</v>
      </c>
      <c r="ML57" s="56">
        <v>52</v>
      </c>
      <c r="MM57" s="53" t="str">
        <f t="shared" si="580"/>
        <v>Manchester and Lancashire Family History Society</v>
      </c>
      <c r="MN57" s="59">
        <f t="shared" si="289"/>
        <v>0</v>
      </c>
      <c r="MO57" s="59">
        <f t="shared" si="290"/>
        <v>0</v>
      </c>
      <c r="MP57" s="59">
        <f t="shared" si="291"/>
        <v>0</v>
      </c>
      <c r="MQ57" s="59">
        <f t="shared" si="292"/>
        <v>0</v>
      </c>
      <c r="MR57" s="59">
        <f t="shared" si="293"/>
        <v>0</v>
      </c>
      <c r="MS57" s="58">
        <f t="shared" si="294"/>
        <v>0</v>
      </c>
      <c r="MT57" s="45">
        <f t="shared" si="295"/>
        <v>105</v>
      </c>
      <c r="MU57" s="45">
        <f t="shared" si="581"/>
        <v>2.964</v>
      </c>
      <c r="MV57" s="45">
        <f t="shared" si="296"/>
        <v>1</v>
      </c>
      <c r="MW57" s="45">
        <f t="shared" si="297"/>
        <v>2</v>
      </c>
      <c r="MX57" s="45">
        <f t="shared" si="298"/>
        <v>0</v>
      </c>
      <c r="MY57" s="46" cm="1">
        <f t="array" ref="MY57">ROUND(IFERROR(INDEX(ArchiveResults!$F$5:$IX$116,ComparisonData!A57,ComparisonData!$MY$1),0),5)</f>
        <v>0</v>
      </c>
      <c r="MZ57" s="46" cm="1">
        <f t="array" ref="MZ57">ROUND(IFERROR(INDEX(ArchiveResults!$F$5:$IX$116,ComparisonData!A57,ComparisonData!$MZ$1),0),5)</f>
        <v>0</v>
      </c>
      <c r="NA57" s="46" cm="1">
        <f t="array" ref="NA57">ROUND(IFERROR(INDEX(ArchiveResults!$F$5:$IX$116,ComparisonData!A57,ComparisonData!$NA$1),0),5)</f>
        <v>0</v>
      </c>
      <c r="NB57" s="46" cm="1">
        <f t="array" ref="NB57">ROUND(IFERROR(INDEX(ArchiveResults!$F$5:$IX$116,ComparisonData!A57,ComparisonData!$NB$1),0),5)</f>
        <v>0</v>
      </c>
      <c r="NC57" s="45" cm="1">
        <f t="array" ref="NC57">IFERROR(INDEX(ArchiveResults!$F$5:$IX$116,ComparisonData!A57,ComparisonData!$NC$1),0)</f>
        <v>0</v>
      </c>
      <c r="ND57" s="56">
        <v>52</v>
      </c>
      <c r="NE57" s="53" t="str">
        <f t="shared" si="582"/>
        <v>Manchester and Lancashire Family History Society</v>
      </c>
      <c r="NF57" s="59">
        <f t="shared" si="299"/>
        <v>0</v>
      </c>
      <c r="NG57" s="59">
        <f t="shared" si="300"/>
        <v>0</v>
      </c>
      <c r="NH57" s="59">
        <f t="shared" si="301"/>
        <v>0</v>
      </c>
      <c r="NI57" s="59">
        <f t="shared" si="302"/>
        <v>0</v>
      </c>
      <c r="NJ57" s="59">
        <f t="shared" si="303"/>
        <v>0</v>
      </c>
      <c r="NK57" s="58">
        <f t="shared" si="304"/>
        <v>0</v>
      </c>
      <c r="NL57" s="45">
        <f t="shared" si="305"/>
        <v>105</v>
      </c>
      <c r="NM57" s="45">
        <f t="shared" si="583"/>
        <v>2.964</v>
      </c>
      <c r="NN57" s="45">
        <f t="shared" si="306"/>
        <v>1</v>
      </c>
      <c r="NO57" s="45">
        <f t="shared" si="307"/>
        <v>2</v>
      </c>
      <c r="NP57" s="46" cm="1">
        <f t="array" ref="NP57">ROUND(IFERROR(INDEX(ArchiveResults!$F$5:$IX$116,ComparisonData!A57,ComparisonData!$NP$1),0),5)</f>
        <v>0</v>
      </c>
      <c r="NQ57" s="46" cm="1">
        <f t="array" ref="NQ57">ROUND(IFERROR(INDEX(ArchiveResults!$F$5:$IX$116,ComparisonData!A57,ComparisonData!$NQ$1),0),5)</f>
        <v>0</v>
      </c>
      <c r="NR57" s="46" cm="1">
        <f t="array" ref="NR57">ROUND(IFERROR(INDEX(ArchiveResults!$F$5:$IX$116,ComparisonData!A57,ComparisonData!$NR$1),0),5)</f>
        <v>0</v>
      </c>
      <c r="NS57" s="46" cm="1">
        <f t="array" ref="NS57">ROUND(IFERROR(INDEX(ArchiveResults!$F$5:$IX$116,ComparisonData!A57,ComparisonData!$NS$1),0),5)</f>
        <v>0</v>
      </c>
      <c r="NT57" s="45" cm="1">
        <f t="array" ref="NT57">IFERROR(INDEX(ArchiveResults!$F$5:$IX$116,ComparisonData!A57,ComparisonData!$NT$1),0)</f>
        <v>0</v>
      </c>
      <c r="NU57" s="56">
        <v>52</v>
      </c>
      <c r="NV57" s="53" t="str">
        <f t="shared" si="584"/>
        <v>Manchester and Lancashire Family History Society</v>
      </c>
      <c r="NW57" s="59">
        <f t="shared" si="308"/>
        <v>0</v>
      </c>
      <c r="NX57" s="59">
        <f t="shared" si="309"/>
        <v>0</v>
      </c>
      <c r="NY57" s="59">
        <f t="shared" si="310"/>
        <v>0</v>
      </c>
      <c r="NZ57" s="59">
        <f t="shared" si="311"/>
        <v>0</v>
      </c>
      <c r="OA57" s="59">
        <f t="shared" si="312"/>
        <v>0</v>
      </c>
      <c r="OB57" s="58">
        <f t="shared" si="313"/>
        <v>0</v>
      </c>
      <c r="OC57" s="45">
        <f t="shared" si="314"/>
        <v>105</v>
      </c>
      <c r="OD57" s="45">
        <f t="shared" si="585"/>
        <v>2.964</v>
      </c>
      <c r="OE57" s="45">
        <f t="shared" si="315"/>
        <v>1</v>
      </c>
      <c r="OF57" s="45">
        <f t="shared" si="316"/>
        <v>2</v>
      </c>
      <c r="OG57" s="46">
        <f t="shared" si="317"/>
        <v>0</v>
      </c>
      <c r="OH57" s="46" cm="1">
        <f t="array" ref="OH57">ROUND(IFERROR(INDEX(ArchiveResults!$F$5:$IX$116,ComparisonData!A57,ComparisonData!$OH$1),0),5)</f>
        <v>0</v>
      </c>
      <c r="OI57" s="46" cm="1">
        <f t="array" ref="OI57">ROUND(IFERROR(INDEX(ArchiveResults!$F$5:$IX$116,ComparisonData!A57,ComparisonData!$OI$1),0),5)</f>
        <v>0</v>
      </c>
      <c r="OJ57" s="46" cm="1">
        <f t="array" ref="OJ57">ROUND(IFERROR(INDEX(ArchiveResults!$F$5:$IX$116,ComparisonData!A57,ComparisonData!$OJ$1),0),5)</f>
        <v>0</v>
      </c>
      <c r="OK57" s="46" cm="1">
        <f t="array" ref="OK57">ROUND(IFERROR(INDEX(ArchiveResults!$F$5:$IX$116,ComparisonData!A57,ComparisonData!$OK$1),0),5)</f>
        <v>0</v>
      </c>
      <c r="OL57" s="45" cm="1">
        <f t="array" ref="OL57">IFERROR(INDEX(ArchiveResults!$F$5:$IX$116,ComparisonData!A57,ComparisonData!$OL$1),0)</f>
        <v>0</v>
      </c>
      <c r="OM57" s="56">
        <v>52</v>
      </c>
      <c r="ON57" s="53" t="str">
        <f t="shared" si="586"/>
        <v>Manchester and Lancashire Family History Society</v>
      </c>
      <c r="OO57" s="59">
        <f t="shared" si="318"/>
        <v>0</v>
      </c>
      <c r="OP57" s="59">
        <f t="shared" si="319"/>
        <v>0</v>
      </c>
      <c r="OQ57" s="59">
        <f t="shared" si="320"/>
        <v>0</v>
      </c>
      <c r="OR57" s="59">
        <f t="shared" si="321"/>
        <v>0</v>
      </c>
      <c r="OS57" s="59">
        <f t="shared" si="322"/>
        <v>0</v>
      </c>
      <c r="OT57" s="58">
        <f t="shared" si="323"/>
        <v>0</v>
      </c>
      <c r="OU57" s="45">
        <f t="shared" si="324"/>
        <v>105</v>
      </c>
      <c r="OV57" s="45">
        <f t="shared" si="587"/>
        <v>2.964</v>
      </c>
      <c r="OW57" s="45">
        <f t="shared" si="325"/>
        <v>1</v>
      </c>
      <c r="OX57" s="45">
        <f t="shared" si="326"/>
        <v>2</v>
      </c>
      <c r="OY57" s="45">
        <f t="shared" si="327"/>
        <v>0</v>
      </c>
      <c r="OZ57" s="46" cm="1">
        <f t="array" ref="OZ57">ROUND(IFERROR(INDEX(ArchiveResults!$F$5:$IX$116,ComparisonData!A57,ComparisonData!$OZ$1),0),5)</f>
        <v>0</v>
      </c>
      <c r="PA57" s="46" cm="1">
        <f t="array" ref="PA57">ROUND(IFERROR(INDEX(ArchiveResults!$F$5:$IX$116,ComparisonData!A57,ComparisonData!$PA$1),0),5)</f>
        <v>0</v>
      </c>
      <c r="PB57" s="46" cm="1">
        <f t="array" ref="PB57">ROUND(IFERROR(INDEX(ArchiveResults!$F$5:$IX$116,ComparisonData!A57,ComparisonData!$PB$1),0),5)</f>
        <v>0</v>
      </c>
      <c r="PC57" s="46" cm="1">
        <f t="array" ref="PC57">ROUND(IFERROR(INDEX(ArchiveResults!$F$5:$IX$116,ComparisonData!A57,ComparisonData!$PC$1),0),5)</f>
        <v>0</v>
      </c>
      <c r="PD57" s="45" cm="1">
        <f t="array" ref="PD57">IFERROR(INDEX(ArchiveResults!$F$5:$IX$116,ComparisonData!A57,ComparisonData!$PD$1),0)</f>
        <v>0</v>
      </c>
      <c r="PE57" s="56">
        <v>52</v>
      </c>
      <c r="PF57" s="53" t="str">
        <f t="shared" si="588"/>
        <v>Manchester and Lancashire Family History Society</v>
      </c>
      <c r="PG57" s="59">
        <f t="shared" si="328"/>
        <v>0</v>
      </c>
      <c r="PH57" s="59">
        <f t="shared" si="329"/>
        <v>0</v>
      </c>
      <c r="PI57" s="59">
        <f t="shared" si="330"/>
        <v>0</v>
      </c>
      <c r="PJ57" s="59">
        <f t="shared" si="331"/>
        <v>0</v>
      </c>
      <c r="PK57" s="59">
        <f t="shared" si="332"/>
        <v>0</v>
      </c>
      <c r="PL57" s="58">
        <f t="shared" si="333"/>
        <v>0</v>
      </c>
      <c r="PM57" s="45">
        <f t="shared" si="334"/>
        <v>105</v>
      </c>
      <c r="PN57" s="45">
        <f t="shared" si="589"/>
        <v>2.964</v>
      </c>
      <c r="PO57" s="45">
        <f t="shared" si="335"/>
        <v>1</v>
      </c>
      <c r="PP57" s="45">
        <f t="shared" si="336"/>
        <v>2</v>
      </c>
      <c r="PQ57" s="45">
        <f t="shared" si="337"/>
        <v>0</v>
      </c>
      <c r="PR57" s="46" cm="1">
        <f t="array" ref="PR57">ROUND(IFERROR(INDEX(ArchiveResults!$F$5:$IX$116,ComparisonData!A57,ComparisonData!$PR$1),0),5)</f>
        <v>0</v>
      </c>
      <c r="PS57" s="46" cm="1">
        <f t="array" ref="PS57">ROUND(IFERROR(INDEX(ArchiveResults!$F$5:$IX$116,ComparisonData!A57,ComparisonData!$PS$1),0),5)</f>
        <v>0</v>
      </c>
      <c r="PT57" s="46" cm="1">
        <f t="array" ref="PT57">ROUND(IFERROR(INDEX(ArchiveResults!$F$5:$IX$116,ComparisonData!A57,ComparisonData!$PT$1),0),5)</f>
        <v>0</v>
      </c>
      <c r="PU57" s="46" cm="1">
        <f t="array" ref="PU57">ROUND(IFERROR(INDEX(ArchiveResults!$F$5:$IX$116,ComparisonData!A57,ComparisonData!$PU$1),0),5)</f>
        <v>0</v>
      </c>
      <c r="PV57" s="45" cm="1">
        <f t="array" ref="PV57">IFERROR(INDEX(ArchiveResults!$F$5:$IX$116,ComparisonData!A57,ComparisonData!$PV$1),0)</f>
        <v>0</v>
      </c>
      <c r="PW57" s="56">
        <v>52</v>
      </c>
      <c r="PX57" s="53" t="str">
        <f t="shared" si="590"/>
        <v>Manchester and Lancashire Family History Society</v>
      </c>
      <c r="PY57" s="59">
        <f t="shared" si="338"/>
        <v>0</v>
      </c>
      <c r="PZ57" s="59">
        <f t="shared" si="339"/>
        <v>0</v>
      </c>
      <c r="QA57" s="59">
        <f t="shared" si="340"/>
        <v>0</v>
      </c>
      <c r="QB57" s="59">
        <f t="shared" si="341"/>
        <v>0</v>
      </c>
      <c r="QC57" s="59">
        <f t="shared" si="342"/>
        <v>0</v>
      </c>
      <c r="QD57" s="58">
        <f t="shared" si="343"/>
        <v>0</v>
      </c>
      <c r="QE57" s="45">
        <f t="shared" si="344"/>
        <v>105</v>
      </c>
      <c r="QF57" s="45">
        <f t="shared" si="591"/>
        <v>2.964</v>
      </c>
      <c r="QG57" s="45">
        <f t="shared" si="345"/>
        <v>1</v>
      </c>
      <c r="QH57" s="45">
        <f t="shared" si="346"/>
        <v>2</v>
      </c>
      <c r="QI57" s="45">
        <f t="shared" si="347"/>
        <v>0</v>
      </c>
      <c r="QJ57" s="46" cm="1">
        <f t="array" ref="QJ57">ROUND(IFERROR(INDEX(ArchiveResults!$F$5:$IX$116,ComparisonData!A57,ComparisonData!$QJ$1),0),5)</f>
        <v>0</v>
      </c>
      <c r="QK57" s="46" cm="1">
        <f t="array" ref="QK57">ROUND(IFERROR(INDEX(ArchiveResults!$F$5:$IX$116,ComparisonData!A57,ComparisonData!$QK$1),0),5)</f>
        <v>0</v>
      </c>
      <c r="QL57" s="46" cm="1">
        <f t="array" ref="QL57">ROUND(IFERROR(INDEX(ArchiveResults!$F$5:$IX$116,ComparisonData!A57,ComparisonData!$QL$1),0),5)</f>
        <v>0</v>
      </c>
      <c r="QM57" s="46" cm="1">
        <f t="array" ref="QM57">ROUND(IFERROR(INDEX(ArchiveResults!$F$5:$IX$116,ComparisonData!A57,ComparisonData!$QM$1),0),5)</f>
        <v>0</v>
      </c>
      <c r="QN57" s="45" cm="1">
        <f t="array" ref="QN57">IFERROR(INDEX(ArchiveResults!$F$5:$IX$116,ComparisonData!A57,ComparisonData!$QN$1),0)</f>
        <v>0</v>
      </c>
      <c r="QO57" s="56">
        <v>52</v>
      </c>
      <c r="QP57" s="53" t="str">
        <f t="shared" si="592"/>
        <v>Manchester and Lancashire Family History Society</v>
      </c>
      <c r="QQ57" s="59">
        <f t="shared" si="348"/>
        <v>0</v>
      </c>
      <c r="QR57" s="59">
        <f t="shared" si="349"/>
        <v>0</v>
      </c>
      <c r="QS57" s="59">
        <f t="shared" si="350"/>
        <v>0</v>
      </c>
      <c r="QT57" s="59">
        <f t="shared" si="351"/>
        <v>0</v>
      </c>
      <c r="QU57" s="59">
        <f t="shared" si="352"/>
        <v>0</v>
      </c>
      <c r="QV57" s="58">
        <f t="shared" si="353"/>
        <v>0</v>
      </c>
      <c r="QW57" s="45">
        <f t="shared" si="354"/>
        <v>105</v>
      </c>
      <c r="QX57" s="45">
        <f t="shared" si="593"/>
        <v>2.964</v>
      </c>
      <c r="QY57" s="45">
        <f t="shared" si="355"/>
        <v>1</v>
      </c>
      <c r="QZ57" s="45">
        <f t="shared" si="356"/>
        <v>2</v>
      </c>
      <c r="RA57" s="45">
        <f t="shared" si="357"/>
        <v>0</v>
      </c>
      <c r="RB57" s="46" cm="1">
        <f t="array" ref="RB57">ROUND(IFERROR(INDEX(ArchiveResults!$F$5:$IX$116,ComparisonData!A57,ComparisonData!$RB$1),0),5)</f>
        <v>0</v>
      </c>
      <c r="RC57" s="46" cm="1">
        <f t="array" ref="RC57">ROUND(IFERROR(INDEX(ArchiveResults!$F$5:$IX$116,ComparisonData!A57,ComparisonData!$RC$1),0),5)</f>
        <v>0</v>
      </c>
      <c r="RD57" s="46" cm="1">
        <f t="array" ref="RD57">ROUND(IFERROR(INDEX(ArchiveResults!$F$5:$IX$116,ComparisonData!A57,ComparisonData!$RD$1),0),5)</f>
        <v>0</v>
      </c>
      <c r="RE57" s="46" cm="1">
        <f t="array" ref="RE57">ROUND(IFERROR(INDEX(ArchiveResults!$F$5:$IX$116,ComparisonData!A57,ComparisonData!$RE$1),0),5)</f>
        <v>0</v>
      </c>
      <c r="RF57" s="45" cm="1">
        <f t="array" ref="RF57">IFERROR(INDEX(ArchiveResults!$F$5:$IX$116,ComparisonData!A57,ComparisonData!$RF$1),0)</f>
        <v>0</v>
      </c>
      <c r="RG57" s="56">
        <v>52</v>
      </c>
      <c r="RH57" s="53" t="str">
        <f t="shared" si="594"/>
        <v>Manchester and Lancashire Family History Society</v>
      </c>
      <c r="RI57" s="59">
        <f t="shared" si="358"/>
        <v>0</v>
      </c>
      <c r="RJ57" s="59">
        <f t="shared" si="359"/>
        <v>0</v>
      </c>
      <c r="RK57" s="59">
        <f t="shared" si="360"/>
        <v>0</v>
      </c>
      <c r="RL57" s="59">
        <f t="shared" si="361"/>
        <v>0</v>
      </c>
      <c r="RM57" s="59">
        <f t="shared" si="362"/>
        <v>0</v>
      </c>
      <c r="RN57" s="58">
        <f t="shared" si="363"/>
        <v>0</v>
      </c>
      <c r="RO57" s="45">
        <f t="shared" si="364"/>
        <v>105</v>
      </c>
      <c r="RP57" s="45">
        <f t="shared" si="595"/>
        <v>2.964</v>
      </c>
      <c r="RQ57" s="45">
        <f t="shared" si="365"/>
        <v>1</v>
      </c>
      <c r="RR57" s="45">
        <f t="shared" si="366"/>
        <v>2</v>
      </c>
      <c r="RS57" s="45">
        <f t="shared" si="367"/>
        <v>0</v>
      </c>
      <c r="RT57" s="46" cm="1">
        <f t="array" ref="RT57">ROUND(IFERROR(INDEX(ArchiveResults!$F$5:$IX$116,ComparisonData!A57,ComparisonData!$RT$1),0),5)</f>
        <v>0</v>
      </c>
      <c r="RU57" s="46" cm="1">
        <f t="array" ref="RU57">ROUND(IFERROR(INDEX(ArchiveResults!$F$5:$IX$116,ComparisonData!A57,ComparisonData!$RU$1),0),5)</f>
        <v>0</v>
      </c>
      <c r="RV57" s="46" cm="1">
        <f t="array" ref="RV57">ROUND(IFERROR(INDEX(ArchiveResults!$F$5:$IX$116,ComparisonData!A57,ComparisonData!$RV$1),0),5)</f>
        <v>0</v>
      </c>
      <c r="RW57" s="46" cm="1">
        <f t="array" ref="RW57">ROUND(IFERROR(INDEX(ArchiveResults!$F$5:$IX$116,ComparisonData!A57,ComparisonData!$RW$1),0),5)</f>
        <v>0</v>
      </c>
      <c r="RX57" s="45" cm="1">
        <f t="array" ref="RX57">IFERROR(INDEX(ArchiveResults!$F$5:$IX$116,ComparisonData!A57,ComparisonData!$RX$1),0)</f>
        <v>0</v>
      </c>
      <c r="RY57" s="56">
        <v>52</v>
      </c>
      <c r="RZ57" s="53" t="str">
        <f t="shared" si="596"/>
        <v>Manchester and Lancashire Family History Society</v>
      </c>
      <c r="SA57" s="59">
        <f t="shared" si="368"/>
        <v>0</v>
      </c>
      <c r="SB57" s="59">
        <f t="shared" si="369"/>
        <v>0</v>
      </c>
      <c r="SC57" s="59">
        <f t="shared" si="370"/>
        <v>0</v>
      </c>
      <c r="SD57" s="59">
        <f t="shared" si="371"/>
        <v>0</v>
      </c>
      <c r="SE57" s="59">
        <f t="shared" si="372"/>
        <v>0</v>
      </c>
      <c r="SF57" s="58">
        <f t="shared" si="373"/>
        <v>0</v>
      </c>
      <c r="SG57" s="45">
        <f t="shared" si="374"/>
        <v>105</v>
      </c>
      <c r="SH57" s="45">
        <f t="shared" si="597"/>
        <v>2.964</v>
      </c>
      <c r="SI57" s="45">
        <f t="shared" si="375"/>
        <v>1</v>
      </c>
      <c r="SJ57" s="45">
        <f t="shared" si="376"/>
        <v>2</v>
      </c>
      <c r="SK57" s="45">
        <f t="shared" si="377"/>
        <v>0</v>
      </c>
      <c r="SL57" s="46" cm="1">
        <f t="array" ref="SL57">ROUND(IFERROR(INDEX(ArchiveResults!$F$5:$IX$116,ComparisonData!A57,ComparisonData!$SL$1),0),5)</f>
        <v>0</v>
      </c>
      <c r="SM57" s="46" cm="1">
        <f t="array" ref="SM57">ROUND(IFERROR(INDEX(ArchiveResults!$F$5:$IX$116,ComparisonData!A57,ComparisonData!$SM$1),0),5)</f>
        <v>0</v>
      </c>
      <c r="SN57" s="46" cm="1">
        <f t="array" ref="SN57">ROUND(IFERROR(INDEX(ArchiveResults!$F$5:$IX$116,ComparisonData!A57,ComparisonData!$SN$1),0),5)</f>
        <v>0</v>
      </c>
      <c r="SO57" s="46" cm="1">
        <f t="array" ref="SO57">ROUND(IFERROR(INDEX(ArchiveResults!$F$5:$IX$116,ComparisonData!A57,ComparisonData!$SO$1),0),5)</f>
        <v>0</v>
      </c>
      <c r="SP57" s="45" cm="1">
        <f t="array" ref="SP57">IFERROR(INDEX(ArchiveResults!$F$5:$IX$116,ComparisonData!A57,ComparisonData!$SP$1),0)</f>
        <v>0</v>
      </c>
      <c r="SQ57" s="56">
        <v>52</v>
      </c>
      <c r="SR57" s="53" t="str">
        <f t="shared" si="598"/>
        <v>Manchester and Lancashire Family History Society</v>
      </c>
      <c r="SS57" s="59">
        <f t="shared" si="378"/>
        <v>0</v>
      </c>
      <c r="ST57" s="59">
        <f t="shared" si="379"/>
        <v>0</v>
      </c>
      <c r="SU57" s="59">
        <f t="shared" si="380"/>
        <v>0</v>
      </c>
      <c r="SV57" s="59">
        <f t="shared" si="381"/>
        <v>0</v>
      </c>
      <c r="SW57" s="59">
        <f t="shared" si="382"/>
        <v>0</v>
      </c>
      <c r="SX57" s="58">
        <f t="shared" si="383"/>
        <v>0</v>
      </c>
      <c r="SY57" s="45">
        <f t="shared" si="384"/>
        <v>105</v>
      </c>
      <c r="SZ57" s="45">
        <f t="shared" si="599"/>
        <v>2.964</v>
      </c>
      <c r="TA57" s="45">
        <f t="shared" si="385"/>
        <v>1</v>
      </c>
      <c r="TB57" s="45">
        <f t="shared" si="386"/>
        <v>2</v>
      </c>
      <c r="TC57" s="45">
        <f t="shared" si="387"/>
        <v>0</v>
      </c>
      <c r="TD57" s="46" cm="1">
        <f t="array" ref="TD57">ROUND(IFERROR(INDEX(ArchiveResults!$F$5:$IX$116,ComparisonData!A57,ComparisonData!$TD$1),0),5)</f>
        <v>0</v>
      </c>
      <c r="TE57" s="46" cm="1">
        <f t="array" ref="TE57">ROUND(IFERROR(INDEX(ArchiveResults!$F$5:$IX$116,ComparisonData!A57,ComparisonData!$TE$1),0),5)</f>
        <v>0</v>
      </c>
      <c r="TF57" s="46" cm="1">
        <f t="array" ref="TF57">ROUND(IFERROR(INDEX(ArchiveResults!$F$5:$IX$116,ComparisonData!A57,ComparisonData!$TF$1),0),5)</f>
        <v>0</v>
      </c>
      <c r="TG57" s="46" cm="1">
        <f t="array" ref="TG57">ROUND(IFERROR(INDEX(ArchiveResults!$F$5:$IX$116,ComparisonData!A57,ComparisonData!$TG$1),0),5)</f>
        <v>0</v>
      </c>
      <c r="TH57" s="45" cm="1">
        <f t="array" ref="TH57">IFERROR(INDEX(ArchiveResults!$F$5:$IX$116,ComparisonData!A57,ComparisonData!$TH$1),0)</f>
        <v>0</v>
      </c>
      <c r="TI57" s="56">
        <v>52</v>
      </c>
      <c r="TJ57" s="53" t="str">
        <f t="shared" si="600"/>
        <v>Manchester and Lancashire Family History Society</v>
      </c>
      <c r="TK57" s="59">
        <f t="shared" si="388"/>
        <v>0</v>
      </c>
      <c r="TL57" s="59">
        <f t="shared" si="389"/>
        <v>0</v>
      </c>
      <c r="TM57" s="59">
        <f t="shared" si="390"/>
        <v>0</v>
      </c>
      <c r="TN57" s="59">
        <f t="shared" si="391"/>
        <v>0</v>
      </c>
      <c r="TO57" s="59">
        <f t="shared" si="392"/>
        <v>0</v>
      </c>
      <c r="TP57" s="58">
        <f t="shared" si="393"/>
        <v>0</v>
      </c>
      <c r="TQ57" s="45">
        <f t="shared" si="394"/>
        <v>105</v>
      </c>
      <c r="TR57" s="45">
        <f t="shared" si="601"/>
        <v>2.964</v>
      </c>
      <c r="TS57" s="45">
        <f t="shared" si="395"/>
        <v>1</v>
      </c>
      <c r="TT57" s="45">
        <f t="shared" si="396"/>
        <v>2</v>
      </c>
      <c r="TU57" s="45">
        <f t="shared" si="397"/>
        <v>0</v>
      </c>
      <c r="TV57" s="46" cm="1">
        <f t="array" ref="TV57">ROUND(IFERROR(INDEX(ArchiveResults!$F$5:$IX$116,ComparisonData!A57,ComparisonData!$TV$1),0),5)</f>
        <v>0</v>
      </c>
      <c r="TW57" s="46" cm="1">
        <f t="array" ref="TW57">ROUND(IFERROR(INDEX(ArchiveResults!$F$5:$IX$116,ComparisonData!A57,ComparisonData!$TW$1),0),5)</f>
        <v>0</v>
      </c>
      <c r="TX57" s="46" cm="1">
        <f t="array" ref="TX57">ROUND(IFERROR(INDEX(ArchiveResults!$F$5:$IX$116,ComparisonData!A57,ComparisonData!$TX$1),0),5)</f>
        <v>0</v>
      </c>
      <c r="TY57" s="46" cm="1">
        <f t="array" ref="TY57">ROUND(IFERROR(INDEX(ArchiveResults!$F$5:$IX$116,ComparisonData!A57,ComparisonData!$TY$1),0),5)</f>
        <v>0</v>
      </c>
      <c r="TZ57" s="45" cm="1">
        <f t="array" ref="TZ57">IFERROR(INDEX(ArchiveResults!$F$5:$IX$116,ComparisonData!A57,ComparisonData!$TZ$1),0)</f>
        <v>0</v>
      </c>
      <c r="UA57" s="56">
        <v>52</v>
      </c>
      <c r="UB57" s="53" t="str">
        <f t="shared" si="602"/>
        <v>Manchester and Lancashire Family History Society</v>
      </c>
      <c r="UC57" s="60">
        <f t="shared" si="398"/>
        <v>0</v>
      </c>
      <c r="UD57" s="60">
        <f t="shared" si="399"/>
        <v>0</v>
      </c>
      <c r="UE57" s="60">
        <f t="shared" si="400"/>
        <v>0</v>
      </c>
      <c r="UF57" s="60">
        <f t="shared" si="401"/>
        <v>0</v>
      </c>
      <c r="UG57" s="60">
        <f t="shared" si="402"/>
        <v>0</v>
      </c>
      <c r="UH57" s="58">
        <f t="shared" si="403"/>
        <v>0</v>
      </c>
      <c r="UI57" s="46">
        <f t="shared" si="404"/>
        <v>105</v>
      </c>
      <c r="UJ57" s="46">
        <f t="shared" si="603"/>
        <v>2.964</v>
      </c>
      <c r="UK57" s="46">
        <f t="shared" si="405"/>
        <v>1</v>
      </c>
      <c r="UL57" s="46">
        <f t="shared" si="406"/>
        <v>2</v>
      </c>
      <c r="UM57" s="46" cm="1">
        <f t="array" ref="UM57">ROUND(IFERROR(INDEX(ArchiveResults!$F$5:$IX$116,ComparisonData!A57,ComparisonData!$UM$1),0),5)</f>
        <v>0</v>
      </c>
      <c r="UN57" s="56">
        <v>52</v>
      </c>
      <c r="UO57" s="53" t="str">
        <f t="shared" si="604"/>
        <v>Manchester and Lancashire Family History Society</v>
      </c>
      <c r="UP57" s="46">
        <f t="shared" si="407"/>
        <v>0</v>
      </c>
      <c r="UQ57" s="76">
        <f t="shared" si="408"/>
        <v>0</v>
      </c>
      <c r="UR57" s="46">
        <f t="shared" si="409"/>
        <v>105</v>
      </c>
      <c r="US57" s="46">
        <f t="shared" si="605"/>
        <v>2.964</v>
      </c>
      <c r="UT57" s="46">
        <f t="shared" si="410"/>
        <v>1</v>
      </c>
      <c r="UU57" s="46">
        <f t="shared" si="411"/>
        <v>2</v>
      </c>
      <c r="UV57" s="46">
        <f t="shared" si="412"/>
        <v>0</v>
      </c>
      <c r="UW57" s="46" cm="1">
        <f t="array" ref="UW57">ROUND(IFERROR(INDEX(ArchiveResults!$F$5:$IX$116,ComparisonData!A57,ComparisonData!$UW$1),0),5)</f>
        <v>0</v>
      </c>
      <c r="UX57" s="46" cm="1">
        <f t="array" ref="UX57">ROUND(IFERROR(INDEX(ArchiveResults!$F$5:$IX$116,ComparisonData!A57,ComparisonData!$UX$1),0),5)</f>
        <v>0</v>
      </c>
      <c r="UY57" s="46" cm="1">
        <f t="array" ref="UY57">ROUND(IFERROR(INDEX(ArchiveResults!$F$5:$IX$116,ComparisonData!A57,ComparisonData!$UY$1),0),5)</f>
        <v>0</v>
      </c>
      <c r="UZ57" s="46" cm="1">
        <f t="array" ref="UZ57">ROUND(IFERROR(INDEX(ArchiveResults!$F$5:$IX$116,ComparisonData!A57,ComparisonData!$UZ$1),0),5)</f>
        <v>0</v>
      </c>
      <c r="VA57" s="46" cm="1">
        <f t="array" ref="VA57">ROUND(IFERROR(INDEX(ArchiveResults!$F$5:$IX$116,ComparisonData!A57,ComparisonData!$VA$1),0),5)</f>
        <v>0</v>
      </c>
      <c r="VB57" s="56">
        <v>52</v>
      </c>
      <c r="VC57" s="53" t="str">
        <f t="shared" si="606"/>
        <v>Manchester and Lancashire Family History Society</v>
      </c>
      <c r="VD57" s="60">
        <f t="shared" si="413"/>
        <v>0</v>
      </c>
      <c r="VE57" s="60">
        <f t="shared" si="414"/>
        <v>0</v>
      </c>
      <c r="VF57" s="60">
        <f t="shared" si="415"/>
        <v>0</v>
      </c>
      <c r="VG57" s="60">
        <f t="shared" si="416"/>
        <v>0</v>
      </c>
      <c r="VH57" s="60">
        <f t="shared" si="417"/>
        <v>0</v>
      </c>
      <c r="VI57" s="76">
        <f t="shared" si="418"/>
        <v>0</v>
      </c>
      <c r="VJ57" s="46">
        <f t="shared" si="419"/>
        <v>105</v>
      </c>
      <c r="VK57" s="46">
        <f t="shared" si="607"/>
        <v>2.964</v>
      </c>
      <c r="VL57" s="46">
        <f t="shared" si="420"/>
        <v>1</v>
      </c>
      <c r="VM57" s="46">
        <f t="shared" si="421"/>
        <v>2</v>
      </c>
      <c r="VN57" s="46" cm="1">
        <f t="array" ref="VN57">ROUND(IFERROR(INDEX(ArchiveResults!$F$5:$IX$116,ComparisonData!A57,ComparisonData!$VN$1),0),5)</f>
        <v>0</v>
      </c>
      <c r="VO57" s="46" cm="1">
        <f t="array" ref="VO57">ROUND(IFERROR(INDEX(ArchiveResults!$F$5:$IX$116,ComparisonData!A57,ComparisonData!$VO$1),0),5)</f>
        <v>0</v>
      </c>
      <c r="VP57" s="46" cm="1">
        <f t="array" ref="VP57">ROUND(IFERROR(INDEX(ArchiveResults!$F$5:$IX$116,ComparisonData!A57,ComparisonData!$VP$1),0),5)</f>
        <v>0</v>
      </c>
      <c r="VQ57" s="46" cm="1">
        <f t="array" ref="VQ57">ROUND(IFERROR(INDEX(ArchiveResults!$F$5:$IX$116,ComparisonData!A57,ComparisonData!$VQ$1),0),5)</f>
        <v>0</v>
      </c>
      <c r="VR57" s="56">
        <v>52</v>
      </c>
      <c r="VS57" s="53" t="str">
        <f t="shared" si="608"/>
        <v>Manchester and Lancashire Family History Society</v>
      </c>
      <c r="VT57" s="60">
        <f t="shared" si="422"/>
        <v>0</v>
      </c>
      <c r="VU57" s="60">
        <f t="shared" si="423"/>
        <v>0</v>
      </c>
      <c r="VV57" s="60">
        <f t="shared" si="424"/>
        <v>0</v>
      </c>
      <c r="VW57" s="60">
        <f t="shared" si="425"/>
        <v>0</v>
      </c>
      <c r="VX57" s="76">
        <f t="shared" si="426"/>
        <v>0</v>
      </c>
      <c r="VY57" s="46">
        <f t="shared" si="427"/>
        <v>105</v>
      </c>
      <c r="VZ57" s="46">
        <f t="shared" si="609"/>
        <v>2.964</v>
      </c>
      <c r="WA57" s="46">
        <f t="shared" si="428"/>
        <v>1</v>
      </c>
      <c r="WB57" s="46">
        <f t="shared" si="429"/>
        <v>2</v>
      </c>
      <c r="WC57" s="46" cm="1">
        <f t="array" ref="WC57">ROUND(IFERROR(INDEX(ArchiveResults!$F$5:$IX$116,ComparisonData!A57,ComparisonData!$WC$1),0),5)</f>
        <v>0</v>
      </c>
      <c r="WD57" s="56">
        <v>52</v>
      </c>
      <c r="WE57" s="53" t="str">
        <f t="shared" si="610"/>
        <v>Manchester and Lancashire Family History Society</v>
      </c>
      <c r="WF57" s="46">
        <f t="shared" si="430"/>
        <v>0</v>
      </c>
      <c r="WG57" s="76">
        <f t="shared" si="431"/>
        <v>0</v>
      </c>
      <c r="WH57" s="46">
        <f t="shared" si="432"/>
        <v>105</v>
      </c>
      <c r="WI57" s="46">
        <f t="shared" si="611"/>
        <v>2.964</v>
      </c>
      <c r="WJ57" s="46">
        <f t="shared" si="433"/>
        <v>1</v>
      </c>
      <c r="WK57" s="46">
        <f t="shared" si="434"/>
        <v>2</v>
      </c>
      <c r="WL57" s="46" cm="1">
        <f t="array" ref="WL57">ROUND(IFERROR(INDEX(ArchiveResults!$F$5:$IX$116,ComparisonData!A57,ComparisonData!$WL$1),0),5)</f>
        <v>0</v>
      </c>
      <c r="WM57" s="46" cm="1">
        <f t="array" ref="WM57">IFERROR(INDEX(ArchiveResults!$F$5:$IX$116,ComparisonData!A57,ComparisonData!$WM$1),0)</f>
        <v>0</v>
      </c>
      <c r="WN57" s="56">
        <v>52</v>
      </c>
      <c r="WO57" s="53" t="str">
        <f t="shared" si="612"/>
        <v>Manchester and Lancashire Family History Society</v>
      </c>
      <c r="WP57" s="60">
        <f t="shared" si="435"/>
        <v>0</v>
      </c>
      <c r="WQ57" s="60">
        <f t="shared" si="436"/>
        <v>0</v>
      </c>
      <c r="WR57" s="76">
        <f t="shared" si="437"/>
        <v>0</v>
      </c>
      <c r="WS57" s="46">
        <f t="shared" si="438"/>
        <v>105</v>
      </c>
      <c r="WT57" s="46">
        <f t="shared" si="613"/>
        <v>2.964</v>
      </c>
      <c r="WU57" s="46">
        <f t="shared" si="439"/>
        <v>1</v>
      </c>
      <c r="WV57" s="46">
        <f t="shared" si="440"/>
        <v>2</v>
      </c>
      <c r="WW57" s="46" cm="1">
        <f t="array" ref="WW57">ROUND(VALUE(IFERROR(INDEX(ArchiveResults!$F$5:$IX$116,ComparisonData!A57,ComparisonData!$WW$1),0)),5)</f>
        <v>0</v>
      </c>
      <c r="WX57" s="46" cm="1">
        <f t="array" ref="WX57">ROUND(IFERROR(INDEX(ArchiveResults!$F$5:$IX$116,ComparisonData!A57,ComparisonData!$WX$1),0),5)</f>
        <v>0</v>
      </c>
      <c r="WY57" s="56">
        <v>52</v>
      </c>
      <c r="WZ57" s="53" t="str">
        <f t="shared" si="614"/>
        <v>Manchester and Lancashire Family History Society</v>
      </c>
      <c r="XA57" s="60">
        <f t="shared" si="615"/>
        <v>0</v>
      </c>
      <c r="XB57" s="60">
        <f t="shared" si="616"/>
        <v>0</v>
      </c>
      <c r="XC57" s="76">
        <f t="shared" si="441"/>
        <v>0</v>
      </c>
      <c r="XD57" s="46">
        <f t="shared" si="442"/>
        <v>105</v>
      </c>
      <c r="XE57" s="46">
        <f t="shared" si="617"/>
        <v>2.964</v>
      </c>
      <c r="XF57" s="46">
        <f t="shared" si="443"/>
        <v>1</v>
      </c>
      <c r="XG57" s="46">
        <f t="shared" si="444"/>
        <v>2</v>
      </c>
      <c r="XH57" s="46" cm="1">
        <f t="array" ref="XH57">ROUND(VALUE(IFERROR(INDEX(ArchiveResults!$F$5:$IX$116,ComparisonData!A57,ComparisonData!$XH$1),0)),5)</f>
        <v>0</v>
      </c>
      <c r="XI57" s="46" cm="1">
        <f t="array" ref="XI57">ROUND(VALUE(IFERROR(INDEX(ArchiveResults!$F$5:$IX$116,ComparisonData!A57,ComparisonData!$XI$1),0)),5)</f>
        <v>0</v>
      </c>
      <c r="XJ57" s="56">
        <v>52</v>
      </c>
      <c r="XK57" s="53" t="str">
        <f t="shared" si="618"/>
        <v>Manchester and Lancashire Family History Society</v>
      </c>
      <c r="XL57" s="60">
        <f t="shared" si="445"/>
        <v>0</v>
      </c>
      <c r="XM57" s="60">
        <f t="shared" si="446"/>
        <v>0</v>
      </c>
      <c r="XN57" s="76">
        <f t="shared" si="447"/>
        <v>0</v>
      </c>
      <c r="XO57" s="46">
        <f t="shared" si="448"/>
        <v>105</v>
      </c>
      <c r="XP57" s="46">
        <f t="shared" si="619"/>
        <v>2.964</v>
      </c>
      <c r="XQ57" s="46">
        <f t="shared" si="449"/>
        <v>1</v>
      </c>
      <c r="XR57" s="46">
        <f t="shared" si="450"/>
        <v>2</v>
      </c>
      <c r="XS57" s="46" cm="1">
        <f t="array" ref="XS57">ROUND(VALUE(IFERROR(INDEX(ArchiveResults!$F$5:$IX$116,ComparisonData!A57,ComparisonData!$XS$1),0)),5)</f>
        <v>0</v>
      </c>
      <c r="XT57" s="46" cm="1">
        <f t="array" ref="XT57">ROUND(VALUE(IFERROR(INDEX(ArchiveResults!$F$5:$IX$116,ComparisonData!A57,ComparisonData!$XT$1),0)),5)</f>
        <v>0</v>
      </c>
      <c r="XU57" s="56">
        <v>52</v>
      </c>
      <c r="XV57" s="53" t="str">
        <f t="shared" si="620"/>
        <v>Manchester and Lancashire Family History Society</v>
      </c>
      <c r="XW57" s="60">
        <f t="shared" si="451"/>
        <v>0</v>
      </c>
      <c r="XX57" s="60">
        <f t="shared" si="452"/>
        <v>0</v>
      </c>
      <c r="XY57" s="76">
        <f t="shared" si="453"/>
        <v>0</v>
      </c>
      <c r="XZ57" s="46">
        <f t="shared" si="454"/>
        <v>105</v>
      </c>
      <c r="YA57" s="46">
        <f t="shared" si="621"/>
        <v>2.964</v>
      </c>
      <c r="YB57" s="46">
        <f t="shared" si="455"/>
        <v>1</v>
      </c>
      <c r="YC57" s="46">
        <f t="shared" si="456"/>
        <v>2</v>
      </c>
      <c r="YD57" s="46" cm="1">
        <f t="array" ref="YD57">ROUND(VALUE(IFERROR(INDEX(ArchiveResults!$F$5:$IX$116,ComparisonData!A57,ComparisonData!$YD$1),0)),5)</f>
        <v>0</v>
      </c>
      <c r="YE57" s="46" cm="1">
        <f t="array" ref="YE57">ROUND(VALUE(IFERROR(INDEX(ArchiveResults!$F$5:$IX$116,ComparisonData!A57,ComparisonData!$YE$1),0)),5)</f>
        <v>0</v>
      </c>
      <c r="YF57" s="56">
        <v>52</v>
      </c>
      <c r="YG57" s="53" t="str">
        <f t="shared" si="622"/>
        <v>Manchester and Lancashire Family History Society</v>
      </c>
      <c r="YH57" s="60">
        <f t="shared" si="457"/>
        <v>0</v>
      </c>
      <c r="YI57" s="60">
        <f t="shared" si="458"/>
        <v>0</v>
      </c>
      <c r="YJ57" s="76">
        <f t="shared" si="459"/>
        <v>0</v>
      </c>
      <c r="YK57" s="46">
        <f t="shared" si="460"/>
        <v>105</v>
      </c>
      <c r="YL57" s="46">
        <f t="shared" si="623"/>
        <v>2.964</v>
      </c>
      <c r="YM57" s="46">
        <f t="shared" si="461"/>
        <v>1</v>
      </c>
      <c r="YN57" s="46">
        <f t="shared" si="462"/>
        <v>2</v>
      </c>
      <c r="YO57" s="46" cm="1">
        <f t="array" ref="YO57">ROUND(VALUE(IFERROR(INDEX(ArchiveResults!$F$5:$IX$116,ComparisonData!A57,ComparisonData!$YO$1),0)),5)</f>
        <v>0</v>
      </c>
      <c r="YP57" s="46" cm="1">
        <f t="array" ref="YP57">ROUND(VALUE(IFERROR(INDEX(ArchiveResults!$F$5:$IX$116,ComparisonData!A57,ComparisonData!$YP$1),0)),5)</f>
        <v>0</v>
      </c>
      <c r="YQ57" s="56">
        <v>52</v>
      </c>
      <c r="YR57" s="53" t="str">
        <f t="shared" si="624"/>
        <v>Manchester and Lancashire Family History Society</v>
      </c>
      <c r="YS57" s="60">
        <f t="shared" si="463"/>
        <v>0</v>
      </c>
      <c r="YT57" s="60">
        <f t="shared" si="464"/>
        <v>0</v>
      </c>
      <c r="YU57" s="76">
        <f t="shared" si="465"/>
        <v>0</v>
      </c>
      <c r="YV57" s="46">
        <f t="shared" si="466"/>
        <v>105</v>
      </c>
      <c r="YW57" s="46">
        <f t="shared" si="625"/>
        <v>2.964</v>
      </c>
      <c r="YX57" s="46">
        <f t="shared" si="467"/>
        <v>1</v>
      </c>
      <c r="YY57" s="46">
        <f t="shared" si="468"/>
        <v>2</v>
      </c>
      <c r="YZ57" s="46">
        <f t="shared" si="469"/>
        <v>0</v>
      </c>
      <c r="ZA57" s="46" cm="1">
        <f t="array" ref="ZA57">ROUNDDOWN(VALUE(IFERROR(INDEX(ArchiveResults!$F$5:$IX$116,ComparisonData!A57,ComparisonData!$ZA$1),0)),5)</f>
        <v>0</v>
      </c>
      <c r="ZB57" s="46" cm="1">
        <f t="array" ref="ZB57">ROUNDDOWN(VALUE(IFERROR(INDEX(ArchiveResults!$F$5:$IX$116,ComparisonData!A57,ComparisonData!$ZB$1),0)),5)</f>
        <v>0</v>
      </c>
      <c r="ZC57" s="46" cm="1">
        <f t="array" ref="ZC57">ROUNDDOWN(VALUE(IFERROR(INDEX(ArchiveResults!$F$5:$IX$116,ComparisonData!A57,ComparisonData!$ZC$1),0)),5)</f>
        <v>0</v>
      </c>
      <c r="ZD57" s="46" cm="1">
        <f t="array" ref="ZD57">ROUNDDOWN(VALUE(IFERROR(INDEX(ArchiveResults!$F$5:$IX$116,ComparisonData!A57,ComparisonData!$ZD$1),0)),5)</f>
        <v>0</v>
      </c>
      <c r="ZE57" s="46" cm="1">
        <f t="array" ref="ZE57">ROUNDDOWN(VALUE(IFERROR(INDEX(ArchiveResults!$F$5:$IX$116,ComparisonData!A57,ComparisonData!$ZE$1),0)),5)</f>
        <v>0</v>
      </c>
      <c r="ZF57" s="56">
        <v>52</v>
      </c>
      <c r="ZG57" s="53" t="str">
        <f t="shared" si="626"/>
        <v>Manchester and Lancashire Family History Society</v>
      </c>
      <c r="ZH57" s="60">
        <f t="shared" si="470"/>
        <v>0</v>
      </c>
      <c r="ZI57" s="60">
        <f t="shared" si="471"/>
        <v>0</v>
      </c>
      <c r="ZJ57" s="60">
        <f t="shared" si="472"/>
        <v>0</v>
      </c>
      <c r="ZK57" s="60">
        <f t="shared" si="473"/>
        <v>0</v>
      </c>
      <c r="ZL57" s="60">
        <f t="shared" si="474"/>
        <v>0</v>
      </c>
      <c r="ZM57" s="76">
        <f t="shared" si="475"/>
        <v>0</v>
      </c>
      <c r="ZN57" s="46">
        <f t="shared" si="476"/>
        <v>105</v>
      </c>
      <c r="ZO57" s="46">
        <f t="shared" si="627"/>
        <v>2.964</v>
      </c>
      <c r="ZP57" s="46">
        <f t="shared" si="477"/>
        <v>1</v>
      </c>
      <c r="ZQ57" s="46">
        <f t="shared" si="478"/>
        <v>2</v>
      </c>
      <c r="ZR57" s="46" cm="1">
        <f t="array" ref="ZR57">ROUND(VALUE(IFERROR(INDEX(ArchiveResults!$F$5:$IX$116,ComparisonData!A57,ComparisonData!$ZR$1),0)),5)</f>
        <v>0</v>
      </c>
      <c r="ZS57" s="56">
        <v>52</v>
      </c>
      <c r="ZT57" s="53" t="str">
        <f t="shared" si="628"/>
        <v>Manchester and Lancashire Family History Society</v>
      </c>
      <c r="ZU57" s="46">
        <f t="shared" si="479"/>
        <v>0</v>
      </c>
      <c r="ZV57" s="76">
        <f t="shared" si="480"/>
        <v>0</v>
      </c>
      <c r="ZW57" s="81" cm="1">
        <f t="array" ref="ZW57">ROUND((IFERROR(INDEX(ArchiveResults!$F$5:$IX$116,ComparisonData!A57,ComparisonData!$ZW$1),0)),5)</f>
        <v>0</v>
      </c>
      <c r="ZX57" s="81" cm="1">
        <f t="array" ref="ZX57">ROUND((IFERROR(INDEX(ArchiveResults!$F$5:$IX$116,ComparisonData!A57,ComparisonData!$ZX$1),0)),5)</f>
        <v>0</v>
      </c>
      <c r="ZY57" s="81" cm="1">
        <f t="array" ref="ZY57">ROUND((IFERROR(INDEX(ArchiveResults!$F$5:$IX$116,ComparisonData!A57,ComparisonData!$ZY$1),0)),5)</f>
        <v>0</v>
      </c>
      <c r="ZZ57" s="81" cm="1">
        <f t="array" ref="ZZ57">ROUND((IFERROR(INDEX(ArchiveResults!$F$5:$IX$116,ComparisonData!A57,ComparisonData!$ZZ$1),0)),5)</f>
        <v>0</v>
      </c>
      <c r="AAA57" s="81" cm="1">
        <f t="array" ref="AAA57">ROUND((IFERROR(INDEX(ArchiveResults!$F$5:$IX$116,ComparisonData!A57,ComparisonData!$AAA$1),0)),5)</f>
        <v>0</v>
      </c>
      <c r="AAB57" s="81" cm="1">
        <f t="array" ref="AAB57">ROUND((IFERROR(INDEX(ArchiveResults!$F$5:$IX$116,ComparisonData!A57,ComparisonData!$AAB$1),0)),5)</f>
        <v>0</v>
      </c>
      <c r="AAC57" s="81" cm="1">
        <f t="array" ref="AAC57">ROUND((IFERROR(INDEX(ArchiveResults!$F$5:$IX$116,ComparisonData!A57,ComparisonData!$AAC$1),0)),5)</f>
        <v>0</v>
      </c>
      <c r="AAD57" s="81" cm="1">
        <f t="array" ref="AAD57">ROUND((IFERROR(INDEX(ArchiveResults!$F$5:$IX$116,ComparisonData!A57,ComparisonData!$AAD$1),0)),5)</f>
        <v>0</v>
      </c>
      <c r="AAE57" s="81" cm="1">
        <f t="array" ref="AAE57">ROUND((IFERROR(INDEX(ArchiveResults!$F$5:$IX$116,ComparisonData!A57,ComparisonData!$AAE$1),0)),5)</f>
        <v>0</v>
      </c>
      <c r="AAF57" s="81" cm="1">
        <f t="array" ref="AAF57">ROUND((IFERROR(INDEX(ArchiveResults!$F$5:$IX$116,ComparisonData!A57,ComparisonData!$AAF$1),0)),5)</f>
        <v>0</v>
      </c>
      <c r="AAG57" s="46">
        <f t="shared" si="481"/>
        <v>105</v>
      </c>
      <c r="AAH57" s="46">
        <f t="shared" si="629"/>
        <v>2.964</v>
      </c>
      <c r="AAI57" s="46">
        <f t="shared" si="482"/>
        <v>1</v>
      </c>
      <c r="AAJ57" s="46">
        <f t="shared" si="483"/>
        <v>2</v>
      </c>
      <c r="AAK57" s="46">
        <f t="shared" si="484"/>
        <v>0</v>
      </c>
      <c r="AAL57" s="46">
        <f t="shared" si="485"/>
        <v>0</v>
      </c>
      <c r="AAM57" s="46">
        <f t="shared" si="486"/>
        <v>0</v>
      </c>
      <c r="AAN57" s="46">
        <f t="shared" si="487"/>
        <v>0</v>
      </c>
      <c r="AAO57" s="46">
        <f t="shared" si="488"/>
        <v>0</v>
      </c>
      <c r="AAP57" s="46">
        <f t="shared" si="489"/>
        <v>0</v>
      </c>
      <c r="AAQ57" s="56">
        <v>52</v>
      </c>
      <c r="AAR57" s="53" t="str">
        <f t="shared" si="630"/>
        <v>Manchester and Lancashire Family History Society</v>
      </c>
      <c r="AAS57" s="60">
        <f t="shared" si="490"/>
        <v>0</v>
      </c>
      <c r="AAT57" s="60">
        <f t="shared" si="491"/>
        <v>0</v>
      </c>
      <c r="AAU57" s="60">
        <f t="shared" si="492"/>
        <v>0</v>
      </c>
      <c r="AAV57" s="60">
        <f t="shared" si="493"/>
        <v>0</v>
      </c>
      <c r="AAW57" s="60">
        <f t="shared" si="494"/>
        <v>0</v>
      </c>
      <c r="AAX57" s="76">
        <f t="shared" si="495"/>
        <v>0</v>
      </c>
      <c r="AAY57" s="46">
        <f t="shared" si="496"/>
        <v>105</v>
      </c>
      <c r="AAZ57" s="46">
        <f t="shared" si="631"/>
        <v>2.964</v>
      </c>
      <c r="ABA57" s="46">
        <f t="shared" si="497"/>
        <v>1</v>
      </c>
      <c r="ABB57" s="46">
        <f t="shared" si="498"/>
        <v>2</v>
      </c>
      <c r="ABC57" s="46">
        <f t="shared" si="102"/>
        <v>0</v>
      </c>
      <c r="ABD57" s="46" cm="1">
        <f t="array" ref="ABD57">ROUND(VALUE(IFERROR(INDEX(ArchiveResults!$F$5:$IX$116,ComparisonData!A57,ComparisonData!$ABD$1),0)),5)</f>
        <v>0</v>
      </c>
      <c r="ABE57" s="46" cm="1">
        <f t="array" ref="ABE57">ROUND(VALUE(IFERROR(INDEX(ArchiveResults!$F$5:$IX$116,ComparisonData!A57,ComparisonData!$ABE$1),0)),5)</f>
        <v>0</v>
      </c>
      <c r="ABF57" s="46" cm="1">
        <f t="array" ref="ABF57">ROUND(VALUE(IFERROR(INDEX(ArchiveResults!$F$5:$IX$116,ComparisonData!A57,ComparisonData!$ABF$1),0)),5)</f>
        <v>0</v>
      </c>
      <c r="ABG57" s="46" cm="1">
        <f t="array" ref="ABG57">ROUND(VALUE(IFERROR(INDEX(ArchiveResults!$F$5:$IX$116,ComparisonData!A57,ComparisonData!$ABG$1),0)),5)</f>
        <v>0</v>
      </c>
      <c r="ABH57" s="46" cm="1">
        <f t="array" ref="ABH57">ROUND(VALUE(IFERROR(INDEX(ArchiveResults!$F$5:$IX$116,ComparisonData!A57,ComparisonData!$ABH$1),0)),5)</f>
        <v>0</v>
      </c>
      <c r="ABI57" s="56">
        <v>52</v>
      </c>
      <c r="ABJ57" s="53" t="str">
        <f t="shared" si="632"/>
        <v>Manchester and Lancashire Family History Society</v>
      </c>
      <c r="ABK57" s="60">
        <f t="shared" si="499"/>
        <v>0</v>
      </c>
      <c r="ABL57" s="60">
        <f t="shared" si="500"/>
        <v>0</v>
      </c>
      <c r="ABM57" s="60">
        <f t="shared" si="501"/>
        <v>0</v>
      </c>
      <c r="ABN57" s="60">
        <f t="shared" si="502"/>
        <v>0</v>
      </c>
      <c r="ABO57" s="60">
        <f t="shared" si="503"/>
        <v>0</v>
      </c>
      <c r="ABP57" s="76">
        <f t="shared" si="504"/>
        <v>0</v>
      </c>
      <c r="ABQ57" s="46">
        <f t="shared" si="505"/>
        <v>105</v>
      </c>
      <c r="ABR57" s="46">
        <f t="shared" si="633"/>
        <v>2.964</v>
      </c>
      <c r="ABS57" s="46">
        <f t="shared" si="506"/>
        <v>1</v>
      </c>
      <c r="ABT57" s="46">
        <f t="shared" si="507"/>
        <v>2</v>
      </c>
      <c r="ABU57" s="46" cm="1">
        <f t="array" ref="ABU57">ROUND(VALUE(IFERROR(INDEX(ArchiveResults!$F$5:$IX$116,ComparisonData!A57,ComparisonData!$ABU$1),0)),5)</f>
        <v>0</v>
      </c>
      <c r="ABV57" s="46" cm="1">
        <f t="array" ref="ABV57">ROUND(VALUE(IFERROR(INDEX(ArchiveResults!$F$5:$IX$116,ComparisonData!A57,ComparisonData!$ABV$1),0)),5)</f>
        <v>0</v>
      </c>
      <c r="ABW57" s="46" cm="1">
        <f t="array" ref="ABW57">ROUND(VALUE(IFERROR(INDEX(ArchiveResults!$F$5:$IX$116,ComparisonData!A57,ComparisonData!$ABW$1),0)),5)</f>
        <v>0</v>
      </c>
      <c r="ABX57" s="46" cm="1">
        <f t="array" ref="ABX57">ROUND(VALUE(IFERROR(INDEX(ArchiveResults!$F$5:$IX$116,ComparisonData!A57,ComparisonData!$ABX$1),0)),5)</f>
        <v>0</v>
      </c>
      <c r="ABY57" s="46" cm="1">
        <f t="array" ref="ABY57">ROUND(VALUE(IFERROR(INDEX(ArchiveResults!$F$5:$IX$116,ComparisonData!A57,ComparisonData!$ABY$1),0)),5)</f>
        <v>0</v>
      </c>
      <c r="ABZ57" s="56">
        <v>52</v>
      </c>
      <c r="ACA57" s="53" t="str">
        <f t="shared" si="634"/>
        <v>Manchester and Lancashire Family History Society</v>
      </c>
      <c r="ACB57" s="60">
        <f t="shared" si="508"/>
        <v>0</v>
      </c>
      <c r="ACC57" s="60">
        <f t="shared" si="509"/>
        <v>0</v>
      </c>
      <c r="ACD57" s="60">
        <f t="shared" si="510"/>
        <v>0</v>
      </c>
      <c r="ACE57" s="60">
        <f t="shared" si="511"/>
        <v>0</v>
      </c>
      <c r="ACF57" s="60">
        <f t="shared" si="512"/>
        <v>0</v>
      </c>
      <c r="ACG57" s="76">
        <f t="shared" si="513"/>
        <v>0</v>
      </c>
      <c r="ACH57" s="46">
        <f t="shared" si="514"/>
        <v>105</v>
      </c>
      <c r="ACI57" s="46">
        <f t="shared" si="635"/>
        <v>2.964</v>
      </c>
      <c r="ACJ57" s="46">
        <f t="shared" si="515"/>
        <v>1</v>
      </c>
      <c r="ACK57" s="46">
        <f t="shared" si="516"/>
        <v>2</v>
      </c>
      <c r="ACL57" s="46">
        <f t="shared" si="517"/>
        <v>0</v>
      </c>
      <c r="ACM57" s="46" cm="1">
        <f t="array" ref="ACM57">ROUND(IFERROR(INDEX(ArchiveResults!$F$5:$IX$116,ComparisonData!A57,ComparisonData!$ACM$1),0),5)</f>
        <v>0</v>
      </c>
      <c r="ACN57" s="46" cm="1">
        <f t="array" ref="ACN57">ROUND(IFERROR(INDEX(ArchiveResults!$F$5:$IX$116,ComparisonData!A57,ComparisonData!$ACN$1),0),5)</f>
        <v>0</v>
      </c>
      <c r="ACO57" s="56">
        <v>52</v>
      </c>
      <c r="ACP57" s="53" t="str">
        <f t="shared" si="636"/>
        <v>Manchester and Lancashire Family History Society</v>
      </c>
      <c r="ACQ57" s="60">
        <f t="shared" si="518"/>
        <v>0</v>
      </c>
      <c r="ACR57" s="60">
        <f t="shared" si="519"/>
        <v>0</v>
      </c>
      <c r="ACS57" s="76">
        <f t="shared" si="520"/>
        <v>0</v>
      </c>
      <c r="ACT57" s="46">
        <f t="shared" si="521"/>
        <v>105</v>
      </c>
      <c r="ACU57" s="46">
        <f t="shared" si="637"/>
        <v>2.964</v>
      </c>
      <c r="ACV57" s="46">
        <f t="shared" si="522"/>
        <v>1</v>
      </c>
      <c r="ACW57" s="46">
        <f t="shared" si="523"/>
        <v>2</v>
      </c>
      <c r="ACX57" s="46">
        <f t="shared" si="524"/>
        <v>0</v>
      </c>
      <c r="ACY57" s="46" cm="1">
        <f t="array" ref="ACY57">ROUNDDOWN(IFERROR(INDEX(ArchiveResults!$F$5:$IX$116,ComparisonData!A57,ComparisonData!$ACY$1),0),5)</f>
        <v>0</v>
      </c>
      <c r="ACZ57" s="46" cm="1">
        <f t="array" ref="ACZ57">ROUNDDOWN(IFERROR(INDEX(ArchiveResults!$F$5:$IX$116,ComparisonData!A57,ComparisonData!$ACZ$1),0),5)</f>
        <v>0</v>
      </c>
      <c r="ADA57" s="46" cm="1">
        <f t="array" ref="ADA57">ROUNDDOWN(IFERROR(INDEX(ArchiveResults!$F$5:$IX$116,ComparisonData!A57,ComparisonData!$ADA$1),0),5)</f>
        <v>0</v>
      </c>
      <c r="ADB57" s="56">
        <v>52</v>
      </c>
      <c r="ADC57" s="53" t="str">
        <f t="shared" si="638"/>
        <v>Manchester and Lancashire Family History Society</v>
      </c>
      <c r="ADD57" s="60">
        <f t="shared" si="525"/>
        <v>0</v>
      </c>
      <c r="ADE57" s="60">
        <f t="shared" si="526"/>
        <v>0</v>
      </c>
      <c r="ADF57" s="60">
        <f t="shared" si="527"/>
        <v>0</v>
      </c>
      <c r="ADG57" s="76">
        <f t="shared" si="528"/>
        <v>0</v>
      </c>
    </row>
    <row r="58" spans="1:787" x14ac:dyDescent="0.25">
      <c r="A58" s="46" t="str">
        <f>IF(ISBLANK(ComparisonSelection!F54),"",ROW()-5)</f>
        <v/>
      </c>
      <c r="B58" s="53" t="s">
        <v>507</v>
      </c>
      <c r="C58" s="72">
        <v>0.73399999999999976</v>
      </c>
      <c r="D58" s="55">
        <f t="shared" si="110"/>
        <v>60</v>
      </c>
      <c r="E58" s="54">
        <f t="shared" si="111"/>
        <v>2.734</v>
      </c>
      <c r="F58" s="54">
        <f t="shared" si="529"/>
        <v>1</v>
      </c>
      <c r="G58" s="72">
        <f t="shared" si="112"/>
        <v>2</v>
      </c>
      <c r="H58" s="72">
        <f t="shared" si="113"/>
        <v>0</v>
      </c>
      <c r="I58" s="46" cm="1">
        <f t="array" ref="I58">ROUND(IFERROR(INDEX(ArchiveResults!$F$5:$IX$116,ComparisonData!A58,ComparisonData!$I$1),0),5)</f>
        <v>0</v>
      </c>
      <c r="J58" s="46" cm="1">
        <f t="array" ref="J58">ROUND(IFERROR(INDEX(ArchiveResults!$F$5:$IX$116,ComparisonData!A58,ComparisonData!$J$1),0),5)</f>
        <v>0</v>
      </c>
      <c r="K58" s="56">
        <v>53</v>
      </c>
      <c r="L58" s="53" t="str">
        <f t="shared" si="114"/>
        <v>Manchester Archives</v>
      </c>
      <c r="M58" s="57">
        <f t="shared" si="530"/>
        <v>0</v>
      </c>
      <c r="N58" s="57">
        <f t="shared" si="531"/>
        <v>0</v>
      </c>
      <c r="O58" s="58">
        <f t="shared" si="115"/>
        <v>0</v>
      </c>
      <c r="P58" s="48">
        <f t="shared" si="116"/>
        <v>60</v>
      </c>
      <c r="Q58" s="54">
        <f t="shared" si="532"/>
        <v>2.734</v>
      </c>
      <c r="R58" s="45">
        <f t="shared" si="117"/>
        <v>1</v>
      </c>
      <c r="S58" s="46">
        <f t="shared" si="118"/>
        <v>2</v>
      </c>
      <c r="T58" s="72">
        <f t="shared" si="119"/>
        <v>0</v>
      </c>
      <c r="U58" s="46" cm="1">
        <f t="array" ref="U58">ROUND(IFERROR(INDEX(ArchiveResults!$F$5:$IX$116,ComparisonData!A58,ComparisonData!$U$1),0),5)</f>
        <v>0</v>
      </c>
      <c r="V58" s="46" cm="1">
        <f t="array" ref="V58">ROUND(IFERROR(INDEX(ArchiveResults!$F$5:$IX$116,ComparisonData!A58,ComparisonData!$V$1),0),5)</f>
        <v>0</v>
      </c>
      <c r="W58" s="56">
        <v>53</v>
      </c>
      <c r="X58" s="53" t="str">
        <f t="shared" si="533"/>
        <v>Manchester Archives</v>
      </c>
      <c r="Y58" s="57">
        <f t="shared" si="120"/>
        <v>0</v>
      </c>
      <c r="Z58" s="57">
        <f t="shared" si="121"/>
        <v>0</v>
      </c>
      <c r="AA58" s="58">
        <f t="shared" si="122"/>
        <v>0</v>
      </c>
      <c r="AB58" s="45">
        <f t="shared" si="123"/>
        <v>60</v>
      </c>
      <c r="AC58" s="54">
        <f t="shared" si="534"/>
        <v>2.734</v>
      </c>
      <c r="AD58" s="45">
        <f t="shared" si="124"/>
        <v>1</v>
      </c>
      <c r="AE58" s="45">
        <f t="shared" si="125"/>
        <v>2</v>
      </c>
      <c r="AF58" s="45">
        <f t="shared" si="126"/>
        <v>0</v>
      </c>
      <c r="AG58" s="46" cm="1">
        <f t="array" ref="AG58">ROUND(IFERROR(INDEX(ArchiveResults!$F$5:$IX$116,ComparisonData!A58,ComparisonData!$AG$1),0),5)</f>
        <v>0</v>
      </c>
      <c r="AH58" s="46" cm="1">
        <f t="array" ref="AH58">ROUND(IFERROR(INDEX(ArchiveResults!$F$5:$IX$116,ComparisonData!A58,ComparisonData!$AH$1),0),5)</f>
        <v>0</v>
      </c>
      <c r="AI58" s="56">
        <v>53</v>
      </c>
      <c r="AJ58" s="53" t="str">
        <f t="shared" si="535"/>
        <v>Manchester Archives</v>
      </c>
      <c r="AK58" s="59">
        <f t="shared" si="536"/>
        <v>0</v>
      </c>
      <c r="AL58" s="59">
        <f t="shared" si="537"/>
        <v>0</v>
      </c>
      <c r="AM58" s="58">
        <f t="shared" si="127"/>
        <v>0</v>
      </c>
      <c r="AN58" s="45">
        <f t="shared" si="128"/>
        <v>60</v>
      </c>
      <c r="AO58" s="54">
        <f t="shared" si="538"/>
        <v>2.734</v>
      </c>
      <c r="AP58" s="45">
        <f t="shared" si="129"/>
        <v>1</v>
      </c>
      <c r="AQ58" s="45">
        <f t="shared" si="130"/>
        <v>2</v>
      </c>
      <c r="AR58" s="46" cm="1">
        <f t="array" ref="AR58">ROUND(IFERROR(INDEX(ArchiveResults!$F$5:$IX$116,ComparisonData!A58,ComparisonData!$AR$1),0),5)</f>
        <v>0</v>
      </c>
      <c r="AS58" s="46" cm="1">
        <f t="array" ref="AS58">ROUND(IFERROR(INDEX(ArchiveResults!$F$5:$IX$116,ComparisonData!A58,ComparisonData!$AS$1),0),5)</f>
        <v>0</v>
      </c>
      <c r="AT58" s="46" cm="1">
        <f t="array" ref="AT58">ROUND(IFERROR(INDEX(ArchiveResults!$F$5:$IX$116,ComparisonData!A58,ComparisonData!$AT$1),0),5)</f>
        <v>0</v>
      </c>
      <c r="AU58" s="46" cm="1">
        <f t="array" ref="AU58">ROUND(IFERROR(INDEX(ArchiveResults!$F$5:$IX$116,ComparisonData!A58,ComparisonData!$AU$1),0),5)</f>
        <v>0</v>
      </c>
      <c r="AV58" s="46" cm="1">
        <f t="array" ref="AV58">ROUND(IFERROR(INDEX(ArchiveResults!$F$5:$IX$116,ComparisonData!A58,ComparisonData!$AV$1),0),5)</f>
        <v>0</v>
      </c>
      <c r="AW58" s="46" cm="1">
        <f t="array" ref="AW58">ROUND(IFERROR(INDEX(ArchiveResults!$F$5:$IX$116,ComparisonData!A58,ComparisonData!$AW$1),0),5)</f>
        <v>0</v>
      </c>
      <c r="AX58" s="46" cm="1">
        <f t="array" ref="AX58">ROUND(IFERROR(INDEX(ArchiveResults!$F$5:$IX$116,ComparisonData!A58,ComparisonData!$AX$1),0),5)</f>
        <v>0</v>
      </c>
      <c r="AY58" s="46" cm="1">
        <f t="array" ref="AY58">ROUND(IFERROR(INDEX(ArchiveResults!$F$5:$IX$116,ComparisonData!A58,ComparisonData!$AY$1),0),5)</f>
        <v>0</v>
      </c>
      <c r="AZ58" s="46" cm="1">
        <f t="array" ref="AZ58">ROUND(IFERROR(INDEX(ArchiveResults!$F$5:$IX$116,ComparisonData!A58,ComparisonData!$AZ$1),0),5)</f>
        <v>0</v>
      </c>
      <c r="BA58" s="46" cm="1">
        <f t="array" ref="BA58">ROUND(IFERROR(INDEX(ArchiveResults!$F$5:$IX$116,ComparisonData!A58,ComparisonData!$BA$1),0),5)</f>
        <v>0</v>
      </c>
      <c r="BB58" s="56">
        <v>53</v>
      </c>
      <c r="BC58" s="53" t="str">
        <f t="shared" si="539"/>
        <v>Manchester Archives</v>
      </c>
      <c r="BD58" s="60">
        <f t="shared" si="131"/>
        <v>0</v>
      </c>
      <c r="BE58" s="60">
        <f t="shared" si="132"/>
        <v>0</v>
      </c>
      <c r="BF58" s="60">
        <f t="shared" si="133"/>
        <v>0</v>
      </c>
      <c r="BG58" s="60">
        <f t="shared" si="134"/>
        <v>0</v>
      </c>
      <c r="BH58" s="60">
        <f t="shared" si="135"/>
        <v>0</v>
      </c>
      <c r="BI58" s="60">
        <f t="shared" si="136"/>
        <v>0</v>
      </c>
      <c r="BJ58" s="60">
        <f t="shared" si="137"/>
        <v>0</v>
      </c>
      <c r="BK58" s="60">
        <f t="shared" si="138"/>
        <v>0</v>
      </c>
      <c r="BL58" s="60">
        <f t="shared" si="139"/>
        <v>0</v>
      </c>
      <c r="BM58" s="59">
        <f t="shared" si="140"/>
        <v>0</v>
      </c>
      <c r="BN58" s="58">
        <f t="shared" si="141"/>
        <v>0</v>
      </c>
      <c r="BO58" s="45">
        <f t="shared" si="142"/>
        <v>60</v>
      </c>
      <c r="BP58" s="54">
        <f t="shared" si="540"/>
        <v>2.734</v>
      </c>
      <c r="BQ58" s="45">
        <f t="shared" si="143"/>
        <v>1</v>
      </c>
      <c r="BR58" s="45">
        <f t="shared" si="144"/>
        <v>2</v>
      </c>
      <c r="BS58" s="46" cm="1">
        <f t="array" ref="BS58">ROUND(IFERROR(INDEX(ArchiveResults!$F$5:$IX$116,ComparisonData!A58,ComparisonData!$BS$1),0),5)</f>
        <v>0</v>
      </c>
      <c r="BT58" s="46" cm="1">
        <f t="array" ref="BT58">ROUND(IFERROR(INDEX(ArchiveResults!$F$5:$IX$116,ComparisonData!A58,ComparisonData!$BT$1),0),5)</f>
        <v>0</v>
      </c>
      <c r="BU58" s="46" cm="1">
        <f t="array" ref="BU58">ROUND(IFERROR(INDEX(ArchiveResults!$F$5:$IX$116,ComparisonData!A58,ComparisonData!$BU$1),0),5)</f>
        <v>0</v>
      </c>
      <c r="BV58" s="46" cm="1">
        <f t="array" ref="BV58">ROUND(IFERROR(INDEX(ArchiveResults!$F$5:$IX$116,ComparisonData!A58,ComparisonData!$BV$1),0),5)</f>
        <v>0</v>
      </c>
      <c r="BW58" s="46" cm="1">
        <f t="array" ref="BW58">ROUND(IFERROR(INDEX(ArchiveResults!$F$5:$IX$116,ComparisonData!A58,ComparisonData!$BW$1),0),5)</f>
        <v>0</v>
      </c>
      <c r="BX58" s="46" cm="1">
        <f t="array" ref="BX58">ROUND(IFERROR(INDEX(ArchiveResults!$F$5:$IX$116,ComparisonData!A58,ComparisonData!$BX$1),0),5)</f>
        <v>0</v>
      </c>
      <c r="BY58" s="56">
        <v>53</v>
      </c>
      <c r="BZ58" s="53" t="str">
        <f t="shared" si="541"/>
        <v>Manchester Archives</v>
      </c>
      <c r="CA58" s="59">
        <f t="shared" si="145"/>
        <v>0</v>
      </c>
      <c r="CB58" s="59">
        <f t="shared" si="146"/>
        <v>0</v>
      </c>
      <c r="CC58" s="59">
        <f t="shared" si="147"/>
        <v>0</v>
      </c>
      <c r="CD58" s="59">
        <f t="shared" si="148"/>
        <v>0</v>
      </c>
      <c r="CE58" s="59">
        <f t="shared" si="149"/>
        <v>0</v>
      </c>
      <c r="CF58" s="59">
        <f t="shared" si="150"/>
        <v>0</v>
      </c>
      <c r="CG58" s="58">
        <f t="shared" si="151"/>
        <v>0</v>
      </c>
      <c r="CH58" s="45">
        <f t="shared" si="152"/>
        <v>60</v>
      </c>
      <c r="CI58" s="54">
        <f t="shared" si="542"/>
        <v>2.734</v>
      </c>
      <c r="CJ58" s="45">
        <f t="shared" si="153"/>
        <v>1</v>
      </c>
      <c r="CK58" s="45">
        <f t="shared" si="154"/>
        <v>2</v>
      </c>
      <c r="CL58" s="46" cm="1">
        <f t="array" ref="CL58">ROUND(IFERROR(INDEX(ArchiveResults!$F$5:$IX$116,ComparisonData!A58,ComparisonData!$CL$1),0),5)</f>
        <v>0</v>
      </c>
      <c r="CM58" s="56">
        <v>53</v>
      </c>
      <c r="CN58" s="53" t="str">
        <f t="shared" si="543"/>
        <v>Manchester Archives</v>
      </c>
      <c r="CO58" s="45">
        <f t="shared" si="155"/>
        <v>0</v>
      </c>
      <c r="CP58" s="58">
        <f t="shared" si="156"/>
        <v>0</v>
      </c>
      <c r="CQ58" s="45">
        <f t="shared" si="157"/>
        <v>60</v>
      </c>
      <c r="CR58" s="54">
        <f t="shared" si="544"/>
        <v>2.734</v>
      </c>
      <c r="CS58" s="45">
        <f t="shared" si="158"/>
        <v>1</v>
      </c>
      <c r="CT58" s="45">
        <f t="shared" si="159"/>
        <v>2</v>
      </c>
      <c r="CU58" s="46" cm="1">
        <f t="array" ref="CU58">ROUND(IFERROR(INDEX(ArchiveResults!$F$5:$IX$116,ComparisonData!A58,ComparisonData!$CU$1),0),5)</f>
        <v>0</v>
      </c>
      <c r="CV58" s="56">
        <v>53</v>
      </c>
      <c r="CW58" s="53" t="str">
        <f t="shared" si="545"/>
        <v>Manchester Archives</v>
      </c>
      <c r="CX58" s="45">
        <f t="shared" si="160"/>
        <v>0</v>
      </c>
      <c r="CY58" s="58">
        <f t="shared" si="161"/>
        <v>0</v>
      </c>
      <c r="CZ58" s="45">
        <f t="shared" si="162"/>
        <v>60</v>
      </c>
      <c r="DA58" s="54">
        <f t="shared" si="546"/>
        <v>2.734</v>
      </c>
      <c r="DB58" s="45">
        <f t="shared" si="163"/>
        <v>1</v>
      </c>
      <c r="DC58" s="45">
        <f t="shared" si="164"/>
        <v>2</v>
      </c>
      <c r="DD58" s="46" cm="1">
        <f t="array" ref="DD58">ROUND(IFERROR(INDEX(ArchiveResults!$F$5:$IX$116,ComparisonData!A58,ComparisonData!$DD$1),0),5)</f>
        <v>0</v>
      </c>
      <c r="DE58" s="56">
        <v>53</v>
      </c>
      <c r="DF58" s="53" t="str">
        <f t="shared" si="547"/>
        <v>Manchester Archives</v>
      </c>
      <c r="DG58" s="45">
        <f t="shared" si="165"/>
        <v>0</v>
      </c>
      <c r="DH58" s="58">
        <f t="shared" si="166"/>
        <v>0</v>
      </c>
      <c r="DI58" s="45">
        <f t="shared" si="167"/>
        <v>60</v>
      </c>
      <c r="DJ58" s="54">
        <f t="shared" si="548"/>
        <v>2.734</v>
      </c>
      <c r="DK58" s="45">
        <f t="shared" si="168"/>
        <v>1</v>
      </c>
      <c r="DL58" s="45">
        <f t="shared" si="169"/>
        <v>2</v>
      </c>
      <c r="DM58" s="46" cm="1">
        <f t="array" ref="DM58">ROUND(IFERROR(INDEX(ArchiveResults!$F$5:$IX$116,ComparisonData!A58,ComparisonData!$DM$1),0),5)</f>
        <v>0</v>
      </c>
      <c r="DN58" s="46" cm="1">
        <f t="array" ref="DN58">ROUND(IFERROR(INDEX(ArchiveResults!$F$5:$IX$116,ComparisonData!A58,ComparisonData!$DN$1),0),5)</f>
        <v>0</v>
      </c>
      <c r="DO58" s="46" cm="1">
        <f t="array" ref="DO58">ROUND(IFERROR(INDEX(ArchiveResults!$F$5:$IX$116,ComparisonData!A58,ComparisonData!$DO$1),0),5)</f>
        <v>0</v>
      </c>
      <c r="DP58" s="46" cm="1">
        <f t="array" ref="DP58">ROUND(IFERROR(INDEX(ArchiveResults!$F$5:$IX$116,ComparisonData!A58,ComparisonData!$DP$1),0),5)</f>
        <v>0</v>
      </c>
      <c r="DQ58" s="45" cm="1">
        <f t="array" ref="DQ58">IFERROR(INDEX(ArchiveResults!$F$5:$IX$116,ComparisonData!A58,ComparisonData!$DQ$1),0)</f>
        <v>0</v>
      </c>
      <c r="DR58" s="56">
        <v>53</v>
      </c>
      <c r="DS58" s="53" t="str">
        <f t="shared" si="549"/>
        <v>Manchester Archives</v>
      </c>
      <c r="DT58" s="59">
        <f t="shared" si="170"/>
        <v>0</v>
      </c>
      <c r="DU58" s="59">
        <f t="shared" si="171"/>
        <v>0</v>
      </c>
      <c r="DV58" s="59">
        <f t="shared" si="172"/>
        <v>0</v>
      </c>
      <c r="DW58" s="59">
        <f t="shared" si="173"/>
        <v>0</v>
      </c>
      <c r="DX58" s="59">
        <f t="shared" si="174"/>
        <v>0</v>
      </c>
      <c r="DY58" s="58">
        <f t="shared" si="175"/>
        <v>0</v>
      </c>
      <c r="DZ58" s="45">
        <f t="shared" si="176"/>
        <v>60</v>
      </c>
      <c r="EA58" s="54">
        <f t="shared" si="550"/>
        <v>2.734</v>
      </c>
      <c r="EB58" s="45">
        <f t="shared" si="177"/>
        <v>1</v>
      </c>
      <c r="EC58" s="45">
        <f t="shared" si="178"/>
        <v>2</v>
      </c>
      <c r="ED58" s="46" cm="1">
        <f t="array" ref="ED58">ROUND(IFERROR(INDEX(ArchiveResults!$F$5:$IX$116,ComparisonData!A58,ComparisonData!$ED$1),0),5)</f>
        <v>0</v>
      </c>
      <c r="EE58" s="46" cm="1">
        <f t="array" ref="EE58">ROUND(IFERROR(INDEX(ArchiveResults!$F$5:$IX$116,ComparisonData!A58,ComparisonData!$EE$1),0),5)</f>
        <v>0</v>
      </c>
      <c r="EF58" s="46" cm="1">
        <f t="array" ref="EF58">ROUND(IFERROR(INDEX(ArchiveResults!$F$5:$IX$116,ComparisonData!A58,ComparisonData!$EF$1),0),5)</f>
        <v>0</v>
      </c>
      <c r="EG58" s="46" cm="1">
        <f t="array" ref="EG58">ROUND(IFERROR(INDEX(ArchiveResults!$F$5:$IX$116,ComparisonData!A58,ComparisonData!$EG$1),0),5)</f>
        <v>0</v>
      </c>
      <c r="EH58" s="45" cm="1">
        <f t="array" ref="EH58">IFERROR(INDEX(ArchiveResults!$F$5:$IX$116,ComparisonData!A58,ComparisonData!$EH$1),0)</f>
        <v>0</v>
      </c>
      <c r="EI58" s="56">
        <v>53</v>
      </c>
      <c r="EJ58" s="53" t="str">
        <f t="shared" si="551"/>
        <v>Manchester Archives</v>
      </c>
      <c r="EK58" s="59">
        <f t="shared" si="179"/>
        <v>0</v>
      </c>
      <c r="EL58" s="59">
        <f t="shared" si="180"/>
        <v>0</v>
      </c>
      <c r="EM58" s="59">
        <f t="shared" si="181"/>
        <v>0</v>
      </c>
      <c r="EN58" s="59">
        <f t="shared" si="182"/>
        <v>0</v>
      </c>
      <c r="EO58" s="59">
        <f t="shared" si="183"/>
        <v>0</v>
      </c>
      <c r="EP58" s="58">
        <f t="shared" si="184"/>
        <v>0</v>
      </c>
      <c r="EQ58" s="45">
        <f t="shared" si="185"/>
        <v>60</v>
      </c>
      <c r="ER58" s="54">
        <f t="shared" si="552"/>
        <v>2.734</v>
      </c>
      <c r="ES58" s="45">
        <f t="shared" si="186"/>
        <v>1</v>
      </c>
      <c r="ET58" s="45">
        <f t="shared" si="187"/>
        <v>2</v>
      </c>
      <c r="EU58" s="46" cm="1">
        <f t="array" ref="EU58">ROUND(IFERROR(INDEX(ArchiveResults!$F$5:$IX$116,ComparisonData!A58,ComparisonData!$EU$1),0),5)</f>
        <v>0</v>
      </c>
      <c r="EV58" s="46" cm="1">
        <f t="array" ref="EV58">ROUND(IFERROR(INDEX(ArchiveResults!$F$5:$IX$116,ComparisonData!A58,ComparisonData!$EV$1),0),5)</f>
        <v>0</v>
      </c>
      <c r="EW58" s="46" cm="1">
        <f t="array" ref="EW58">ROUND(IFERROR(INDEX(ArchiveResults!$F$5:$IX$116,ComparisonData!A58,ComparisonData!$EW$1),0),5)</f>
        <v>0</v>
      </c>
      <c r="EX58" s="46" cm="1">
        <f t="array" ref="EX58">ROUND(IFERROR(INDEX(ArchiveResults!$F$5:$IX$116,ComparisonData!A58,ComparisonData!$EX$1),0),5)</f>
        <v>0</v>
      </c>
      <c r="EY58" s="45" cm="1">
        <f t="array" ref="EY58">IFERROR(INDEX(ArchiveResults!$F$5:$IX$116,ComparisonData!A58,ComparisonData!$EY$1),0)</f>
        <v>0</v>
      </c>
      <c r="EZ58" s="56">
        <v>53</v>
      </c>
      <c r="FA58" s="53" t="str">
        <f t="shared" si="553"/>
        <v>Manchester Archives</v>
      </c>
      <c r="FB58" s="59">
        <f t="shared" si="188"/>
        <v>0</v>
      </c>
      <c r="FC58" s="59">
        <f t="shared" si="189"/>
        <v>0</v>
      </c>
      <c r="FD58" s="59">
        <f t="shared" si="190"/>
        <v>0</v>
      </c>
      <c r="FE58" s="59">
        <f t="shared" si="191"/>
        <v>0</v>
      </c>
      <c r="FF58" s="59">
        <f t="shared" si="192"/>
        <v>0</v>
      </c>
      <c r="FG58" s="58">
        <f t="shared" si="193"/>
        <v>0</v>
      </c>
      <c r="FH58" s="45">
        <f t="shared" si="194"/>
        <v>60</v>
      </c>
      <c r="FI58" s="54">
        <f t="shared" si="554"/>
        <v>2.734</v>
      </c>
      <c r="FJ58" s="45">
        <f t="shared" si="195"/>
        <v>1</v>
      </c>
      <c r="FK58" s="45">
        <f t="shared" si="196"/>
        <v>2</v>
      </c>
      <c r="FL58" s="46" cm="1">
        <f t="array" ref="FL58">ROUND(IFERROR(INDEX(ArchiveResults!$F$5:$IX$116,ComparisonData!A58,ComparisonData!$FL$1),0),5)</f>
        <v>0</v>
      </c>
      <c r="FM58" s="46" cm="1">
        <f t="array" ref="FM58">ROUND(IFERROR(INDEX(ArchiveResults!$F$5:$IX$116,ComparisonData!A58,ComparisonData!$FM$1),0),5)</f>
        <v>0</v>
      </c>
      <c r="FN58" s="46" cm="1">
        <f t="array" ref="FN58">ROUND(IFERROR(INDEX(ArchiveResults!$F$5:$IX$116,ComparisonData!A58,ComparisonData!$FN$1),0),5)</f>
        <v>0</v>
      </c>
      <c r="FO58" s="46" cm="1">
        <f t="array" ref="FO58">ROUND(IFERROR(INDEX(ArchiveResults!$F$5:$IX$116,ComparisonData!A58,ComparisonData!$FO$1),0),5)</f>
        <v>0</v>
      </c>
      <c r="FP58" s="45" cm="1">
        <f t="array" ref="FP58">IFERROR(INDEX(ArchiveResults!$F$5:$IX$116,ComparisonData!A58,ComparisonData!$FP$1),0)</f>
        <v>0</v>
      </c>
      <c r="FQ58" s="56">
        <v>53</v>
      </c>
      <c r="FR58" s="53" t="str">
        <f t="shared" si="555"/>
        <v>Manchester Archives</v>
      </c>
      <c r="FS58" s="59">
        <f t="shared" si="197"/>
        <v>0</v>
      </c>
      <c r="FT58" s="59">
        <f t="shared" si="198"/>
        <v>0</v>
      </c>
      <c r="FU58" s="59">
        <f t="shared" si="199"/>
        <v>0</v>
      </c>
      <c r="FV58" s="59">
        <f t="shared" si="200"/>
        <v>0</v>
      </c>
      <c r="FW58" s="59">
        <f t="shared" si="201"/>
        <v>0</v>
      </c>
      <c r="FX58" s="58">
        <f t="shared" si="202"/>
        <v>0</v>
      </c>
      <c r="FY58" s="45">
        <f t="shared" si="203"/>
        <v>60</v>
      </c>
      <c r="FZ58" s="45">
        <f t="shared" si="556"/>
        <v>2.734</v>
      </c>
      <c r="GA58" s="45">
        <f t="shared" si="204"/>
        <v>1</v>
      </c>
      <c r="GB58" s="45">
        <f t="shared" si="205"/>
        <v>2</v>
      </c>
      <c r="GC58" s="46" cm="1">
        <f t="array" ref="GC58">ROUND(IFERROR(INDEX(ArchiveResults!$F$5:$IX$116,ComparisonData!A58,ComparisonData!$GC$1),0),5)</f>
        <v>0</v>
      </c>
      <c r="GD58" s="46" cm="1">
        <f t="array" ref="GD58">ROUND(IFERROR(INDEX(ArchiveResults!$F$5:$IX$116,ComparisonData!A58,ComparisonData!$GD$1),0),5)</f>
        <v>0</v>
      </c>
      <c r="GE58" s="46" cm="1">
        <f t="array" ref="GE58">ROUND(IFERROR(INDEX(ArchiveResults!$F$5:$IX$116,ComparisonData!A58,ComparisonData!$GE$1),0),5)</f>
        <v>0</v>
      </c>
      <c r="GF58" s="46" cm="1">
        <f t="array" ref="GF58">ROUND(IFERROR(INDEX(ArchiveResults!$F$5:$IX$116,ComparisonData!A58,ComparisonData!$GF$1),0),5)</f>
        <v>0</v>
      </c>
      <c r="GG58" s="45" cm="1">
        <f t="array" ref="GG58">IFERROR(INDEX(ArchiveResults!$F$5:$IX$116,ComparisonData!A58,ComparisonData!$GG$1),0)</f>
        <v>0</v>
      </c>
      <c r="GH58" s="56">
        <v>53</v>
      </c>
      <c r="GI58" s="53" t="str">
        <f t="shared" si="557"/>
        <v>Manchester Archives</v>
      </c>
      <c r="GJ58" s="59">
        <f t="shared" si="206"/>
        <v>0</v>
      </c>
      <c r="GK58" s="59">
        <f t="shared" si="207"/>
        <v>0</v>
      </c>
      <c r="GL58" s="59">
        <f t="shared" si="208"/>
        <v>0</v>
      </c>
      <c r="GM58" s="59">
        <f t="shared" si="209"/>
        <v>0</v>
      </c>
      <c r="GN58" s="59">
        <f t="shared" si="210"/>
        <v>0</v>
      </c>
      <c r="GO58" s="58">
        <f t="shared" si="211"/>
        <v>0</v>
      </c>
      <c r="GP58" s="45">
        <f t="shared" si="212"/>
        <v>60</v>
      </c>
      <c r="GQ58" s="45">
        <f t="shared" si="558"/>
        <v>2.734</v>
      </c>
      <c r="GR58" s="45">
        <f t="shared" si="213"/>
        <v>1</v>
      </c>
      <c r="GS58" s="45">
        <f t="shared" si="214"/>
        <v>2</v>
      </c>
      <c r="GT58" s="46" cm="1">
        <f t="array" ref="GT58">ROUND(IFERROR(INDEX(ArchiveResults!$F$5:$IX$116,ComparisonData!A58,ComparisonData!$GT$1),0),5)</f>
        <v>0</v>
      </c>
      <c r="GU58" s="46" cm="1">
        <f t="array" ref="GU58">ROUND(IFERROR(INDEX(ArchiveResults!$F$5:$IX$116,ComparisonData!A58,ComparisonData!$GU$1),0),5)</f>
        <v>0</v>
      </c>
      <c r="GV58" s="46" cm="1">
        <f t="array" ref="GV58">ROUND(IFERROR(INDEX(ArchiveResults!$F$5:$IX$116,ComparisonData!A58,ComparisonData!$GV$1),0),5)</f>
        <v>0</v>
      </c>
      <c r="GW58" s="46" cm="1">
        <f t="array" ref="GW58">ROUND(IFERROR(INDEX(ArchiveResults!$F$5:$IX$116,ComparisonData!A58,ComparisonData!$GW$1),0),5)</f>
        <v>0</v>
      </c>
      <c r="GX58" s="45" cm="1">
        <f t="array" ref="GX58">IFERROR(INDEX(ArchiveResults!$F$5:$IX$116,ComparisonData!A58,ComparisonData!$GX$1),0)</f>
        <v>0</v>
      </c>
      <c r="GY58" s="56">
        <v>53</v>
      </c>
      <c r="GZ58" s="53" t="str">
        <f t="shared" si="559"/>
        <v>Manchester Archives</v>
      </c>
      <c r="HA58" s="59">
        <f t="shared" si="215"/>
        <v>0</v>
      </c>
      <c r="HB58" s="59">
        <f t="shared" si="216"/>
        <v>0</v>
      </c>
      <c r="HC58" s="59">
        <f t="shared" si="217"/>
        <v>0</v>
      </c>
      <c r="HD58" s="59">
        <f t="shared" si="218"/>
        <v>0</v>
      </c>
      <c r="HE58" s="59">
        <f t="shared" si="219"/>
        <v>0</v>
      </c>
      <c r="HF58" s="58">
        <f t="shared" si="220"/>
        <v>0</v>
      </c>
      <c r="HG58" s="45">
        <f t="shared" si="221"/>
        <v>60</v>
      </c>
      <c r="HH58" s="45">
        <f t="shared" si="560"/>
        <v>2.734</v>
      </c>
      <c r="HI58" s="45">
        <f t="shared" si="222"/>
        <v>1</v>
      </c>
      <c r="HJ58" s="45">
        <f t="shared" si="223"/>
        <v>2</v>
      </c>
      <c r="HK58" s="46" cm="1">
        <f t="array" ref="HK58">ROUND(IFERROR(INDEX(ArchiveResults!$F$5:$IX$116,ComparisonData!A58,ComparisonData!$HK$1),0),5)</f>
        <v>0</v>
      </c>
      <c r="HL58" s="46" cm="1">
        <f t="array" ref="HL58">ROUND(IFERROR(INDEX(ArchiveResults!$F$5:$IX$116,ComparisonData!A58,ComparisonData!$HL$1),0),5)</f>
        <v>0</v>
      </c>
      <c r="HM58" s="46" cm="1">
        <f t="array" ref="HM58">ROUND(IFERROR(INDEX(ArchiveResults!$F$5:$IX$116,ComparisonData!A58,ComparisonData!$HM$1),0),5)</f>
        <v>0</v>
      </c>
      <c r="HN58" s="46" cm="1">
        <f t="array" ref="HN58">ROUND(IFERROR(INDEX(ArchiveResults!$F$5:$IX$116,ComparisonData!A58,ComparisonData!$HN$1),0),5)</f>
        <v>0</v>
      </c>
      <c r="HO58" s="45" cm="1">
        <f t="array" ref="HO58">IFERROR(INDEX(ArchiveResults!$F$5:$IX$116,ComparisonData!A58,ComparisonData!$HO$1),0)</f>
        <v>0</v>
      </c>
      <c r="HP58" s="56">
        <v>53</v>
      </c>
      <c r="HQ58" s="53" t="str">
        <f t="shared" si="561"/>
        <v>Manchester Archives</v>
      </c>
      <c r="HR58" s="59">
        <f t="shared" si="562"/>
        <v>0</v>
      </c>
      <c r="HS58" s="59">
        <f t="shared" si="563"/>
        <v>0</v>
      </c>
      <c r="HT58" s="59">
        <f t="shared" si="564"/>
        <v>0</v>
      </c>
      <c r="HU58" s="59">
        <f t="shared" si="565"/>
        <v>0</v>
      </c>
      <c r="HV58" s="59">
        <f t="shared" si="566"/>
        <v>0</v>
      </c>
      <c r="HW58" s="58">
        <f t="shared" si="224"/>
        <v>0</v>
      </c>
      <c r="HX58" s="45">
        <f t="shared" si="225"/>
        <v>60</v>
      </c>
      <c r="HY58" s="45">
        <f t="shared" si="567"/>
        <v>2.734</v>
      </c>
      <c r="HZ58" s="45">
        <f t="shared" si="226"/>
        <v>1</v>
      </c>
      <c r="IA58" s="45">
        <f t="shared" si="227"/>
        <v>2</v>
      </c>
      <c r="IB58" s="45">
        <f t="shared" si="228"/>
        <v>0</v>
      </c>
      <c r="IC58" s="46" cm="1">
        <f t="array" ref="IC58">ROUND(IFERROR(INDEX(ArchiveResults!$F$5:$IX$116,ComparisonData!A58,ComparisonData!$IC$1),0),5)</f>
        <v>0</v>
      </c>
      <c r="ID58" s="46" cm="1">
        <f t="array" ref="ID58">ROUND(IFERROR(INDEX(ArchiveResults!$F$5:$IX$116,ComparisonData!A58,ComparisonData!$ID$1),0),5)</f>
        <v>0</v>
      </c>
      <c r="IE58" s="46" cm="1">
        <f t="array" ref="IE58">ROUND(IFERROR(INDEX(ArchiveResults!$F$5:$IX$116,ComparisonData!A58,ComparisonData!$IE$1),0),5)</f>
        <v>0</v>
      </c>
      <c r="IF58" s="46" cm="1">
        <f t="array" ref="IF58">ROUND(IFERROR(INDEX(ArchiveResults!$F$5:$IX$116,ComparisonData!A58,ComparisonData!$IF$1),0),5)</f>
        <v>0</v>
      </c>
      <c r="IG58" s="45" cm="1">
        <f t="array" ref="IG58">IFERROR(INDEX(ArchiveResults!$F$5:$IX$116,ComparisonData!A58,ComparisonData!$IG$1),0)</f>
        <v>0</v>
      </c>
      <c r="IH58" s="56">
        <v>53</v>
      </c>
      <c r="II58" s="53" t="str">
        <f t="shared" si="568"/>
        <v>Manchester Archives</v>
      </c>
      <c r="IJ58" s="59">
        <f t="shared" si="229"/>
        <v>0</v>
      </c>
      <c r="IK58" s="59">
        <f t="shared" si="230"/>
        <v>0</v>
      </c>
      <c r="IL58" s="59">
        <f t="shared" si="231"/>
        <v>0</v>
      </c>
      <c r="IM58" s="59">
        <f t="shared" si="232"/>
        <v>0</v>
      </c>
      <c r="IN58" s="59">
        <f t="shared" si="233"/>
        <v>0</v>
      </c>
      <c r="IO58" s="58">
        <f t="shared" si="234"/>
        <v>0</v>
      </c>
      <c r="IP58" s="45">
        <f t="shared" si="235"/>
        <v>60</v>
      </c>
      <c r="IQ58" s="45">
        <f t="shared" si="569"/>
        <v>2.734</v>
      </c>
      <c r="IR58" s="45">
        <f t="shared" si="236"/>
        <v>1</v>
      </c>
      <c r="IS58" s="45">
        <f t="shared" si="237"/>
        <v>2</v>
      </c>
      <c r="IT58" s="46">
        <f t="shared" si="238"/>
        <v>0</v>
      </c>
      <c r="IU58" s="46" cm="1">
        <f t="array" ref="IU58">ROUND(IFERROR(INDEX(ArchiveResults!$F$5:$IX$116,ComparisonData!A58,ComparisonData!$IU$1),0),5)</f>
        <v>0</v>
      </c>
      <c r="IV58" s="46" cm="1">
        <f t="array" ref="IV58">ROUND(IFERROR(INDEX(ArchiveResults!$F$5:$IX$116,ComparisonData!A58,ComparisonData!$IV$1),0),5)</f>
        <v>0</v>
      </c>
      <c r="IW58" s="46" cm="1">
        <f t="array" ref="IW58">ROUND(IFERROR(INDEX(ArchiveResults!$F$5:$IX$116,ComparisonData!A58,ComparisonData!$IW$1),0),5)</f>
        <v>0</v>
      </c>
      <c r="IX58" s="46" cm="1">
        <f t="array" ref="IX58">ROUND(IFERROR(INDEX(ArchiveResults!$F$5:$IX$116,ComparisonData!A58,ComparisonData!$IX$1),0),5)</f>
        <v>0</v>
      </c>
      <c r="IY58" s="45" cm="1">
        <f t="array" ref="IY58">IFERROR(INDEX(ArchiveResults!$F$5:$IX$116,ComparisonData!A58,ComparisonData!$IY$1),0)</f>
        <v>0</v>
      </c>
      <c r="IZ58" s="56">
        <v>53</v>
      </c>
      <c r="JA58" s="53" t="str">
        <f t="shared" si="570"/>
        <v>Manchester Archives</v>
      </c>
      <c r="JB58" s="59">
        <f t="shared" si="239"/>
        <v>0</v>
      </c>
      <c r="JC58" s="59">
        <f t="shared" si="240"/>
        <v>0</v>
      </c>
      <c r="JD58" s="59">
        <f t="shared" si="241"/>
        <v>0</v>
      </c>
      <c r="JE58" s="59">
        <f t="shared" si="242"/>
        <v>0</v>
      </c>
      <c r="JF58" s="59">
        <f t="shared" si="243"/>
        <v>0</v>
      </c>
      <c r="JG58" s="58">
        <f t="shared" si="244"/>
        <v>0</v>
      </c>
      <c r="JH58" s="45">
        <f t="shared" si="245"/>
        <v>60</v>
      </c>
      <c r="JI58" s="45">
        <f t="shared" si="571"/>
        <v>2.734</v>
      </c>
      <c r="JJ58" s="45">
        <f t="shared" si="246"/>
        <v>1</v>
      </c>
      <c r="JK58" s="45">
        <f t="shared" si="247"/>
        <v>2</v>
      </c>
      <c r="JL58" s="45">
        <f t="shared" si="248"/>
        <v>0</v>
      </c>
      <c r="JM58" s="46" cm="1">
        <f t="array" ref="JM58">ROUND(IFERROR(INDEX(ArchiveResults!$F$5:$IX$116,ComparisonData!A58,ComparisonData!$JM$1),0),5)</f>
        <v>0</v>
      </c>
      <c r="JN58" s="46" cm="1">
        <f t="array" ref="JN58">ROUND(IFERROR(INDEX(ArchiveResults!$F$5:$IX$116,ComparisonData!A58,ComparisonData!$JN$1),0),5)</f>
        <v>0</v>
      </c>
      <c r="JO58" s="46" cm="1">
        <f t="array" ref="JO58">ROUND(IFERROR(INDEX(ArchiveResults!$F$5:$IX$116,ComparisonData!A58,ComparisonData!$JO$1),0),5)</f>
        <v>0</v>
      </c>
      <c r="JP58" s="46" cm="1">
        <f t="array" ref="JP58">ROUND(IFERROR(INDEX(ArchiveResults!$F$5:$IX$116,ComparisonData!A58,ComparisonData!$JP$1),0),5)</f>
        <v>0</v>
      </c>
      <c r="JQ58" s="45" cm="1">
        <f t="array" ref="JQ58">IFERROR(INDEX(ArchiveResults!$F$5:$IX$116,ComparisonData!A58,ComparisonData!$JQ$1),0)</f>
        <v>0</v>
      </c>
      <c r="JR58" s="56">
        <v>53</v>
      </c>
      <c r="JS58" s="53" t="str">
        <f t="shared" si="572"/>
        <v>Manchester Archives</v>
      </c>
      <c r="JT58" s="59">
        <f t="shared" si="249"/>
        <v>0</v>
      </c>
      <c r="JU58" s="59">
        <f t="shared" si="250"/>
        <v>0</v>
      </c>
      <c r="JV58" s="59">
        <f t="shared" si="251"/>
        <v>0</v>
      </c>
      <c r="JW58" s="59">
        <f t="shared" si="252"/>
        <v>0</v>
      </c>
      <c r="JX58" s="59">
        <f t="shared" si="253"/>
        <v>0</v>
      </c>
      <c r="JY58" s="58">
        <f t="shared" si="254"/>
        <v>0</v>
      </c>
      <c r="JZ58" s="45">
        <f t="shared" si="255"/>
        <v>60</v>
      </c>
      <c r="KA58" s="45">
        <f t="shared" si="573"/>
        <v>2.734</v>
      </c>
      <c r="KB58" s="45">
        <f t="shared" si="256"/>
        <v>1</v>
      </c>
      <c r="KC58" s="45">
        <f t="shared" si="257"/>
        <v>2</v>
      </c>
      <c r="KD58" s="45">
        <f t="shared" si="258"/>
        <v>0</v>
      </c>
      <c r="KE58" s="46" cm="1">
        <f t="array" ref="KE58">ROUND(IFERROR(INDEX(ArchiveResults!$F$5:$IX$116,ComparisonData!A58,ComparisonData!$KE$1),0),5)</f>
        <v>0</v>
      </c>
      <c r="KF58" s="46" cm="1">
        <f t="array" ref="KF58">ROUND(IFERROR(INDEX(ArchiveResults!$F$5:$IX$116,ComparisonData!A58,ComparisonData!$KF$1),0),5)</f>
        <v>0</v>
      </c>
      <c r="KG58" s="46" cm="1">
        <f t="array" ref="KG58">ROUND(IFERROR(INDEX(ArchiveResults!$F$5:$IX$116,ComparisonData!A58,ComparisonData!$KG$1),0),5)</f>
        <v>0</v>
      </c>
      <c r="KH58" s="46" cm="1">
        <f t="array" ref="KH58">ROUND(IFERROR(INDEX(ArchiveResults!$F$5:$IX$116,ComparisonData!A58,ComparisonData!$KH$1),0),5)</f>
        <v>0</v>
      </c>
      <c r="KI58" s="45" cm="1">
        <f t="array" ref="KI58">IFERROR(INDEX(ArchiveResults!$F$5:$IX$116,ComparisonData!A58,ComparisonData!$KI$1),0)</f>
        <v>0</v>
      </c>
      <c r="KJ58" s="56">
        <v>53</v>
      </c>
      <c r="KK58" s="53" t="str">
        <f t="shared" si="574"/>
        <v>Manchester Archives</v>
      </c>
      <c r="KL58" s="59">
        <f t="shared" si="259"/>
        <v>0</v>
      </c>
      <c r="KM58" s="59">
        <f t="shared" si="260"/>
        <v>0</v>
      </c>
      <c r="KN58" s="59">
        <f t="shared" si="261"/>
        <v>0</v>
      </c>
      <c r="KO58" s="59">
        <f t="shared" si="262"/>
        <v>0</v>
      </c>
      <c r="KP58" s="59">
        <f t="shared" si="263"/>
        <v>0</v>
      </c>
      <c r="KQ58" s="58">
        <f t="shared" si="264"/>
        <v>0</v>
      </c>
      <c r="KR58" s="45">
        <f t="shared" si="265"/>
        <v>60</v>
      </c>
      <c r="KS58" s="45">
        <f t="shared" si="575"/>
        <v>2.734</v>
      </c>
      <c r="KT58" s="45">
        <f t="shared" si="266"/>
        <v>1</v>
      </c>
      <c r="KU58" s="45">
        <f t="shared" si="267"/>
        <v>2</v>
      </c>
      <c r="KV58" s="45">
        <f t="shared" si="268"/>
        <v>0</v>
      </c>
      <c r="KW58" s="46" cm="1">
        <f t="array" ref="KW58">ROUND(IFERROR(INDEX(ArchiveResults!$F$5:$IX$116,ComparisonData!A58,ComparisonData!$KW$1),0),5)</f>
        <v>0</v>
      </c>
      <c r="KX58" s="46" cm="1">
        <f t="array" ref="KX58">ROUND(IFERROR(INDEX(ArchiveResults!$F$5:$IX$116,ComparisonData!A58,ComparisonData!$KX$1),0),5)</f>
        <v>0</v>
      </c>
      <c r="KY58" s="46" cm="1">
        <f t="array" ref="KY58">ROUND(IFERROR(INDEX(ArchiveResults!$F$5:$IX$116,ComparisonData!A58,ComparisonData!$KY$1),0),5)</f>
        <v>0</v>
      </c>
      <c r="KZ58" s="46" cm="1">
        <f t="array" ref="KZ58">ROUND(IFERROR(INDEX(ArchiveResults!$F$5:$IX$116,ComparisonData!A58,ComparisonData!$KZ$1),0),5)</f>
        <v>0</v>
      </c>
      <c r="LA58" s="45" cm="1">
        <f t="array" ref="LA58">IFERROR(INDEX(ArchiveResults!$F$5:$IX$116,ComparisonData!A58,ComparisonData!$LA$1),0)</f>
        <v>0</v>
      </c>
      <c r="LB58" s="56">
        <v>53</v>
      </c>
      <c r="LC58" s="53" t="str">
        <f t="shared" si="576"/>
        <v>Manchester Archives</v>
      </c>
      <c r="LD58" s="59">
        <f t="shared" si="269"/>
        <v>0</v>
      </c>
      <c r="LE58" s="59">
        <f t="shared" si="270"/>
        <v>0</v>
      </c>
      <c r="LF58" s="59">
        <f t="shared" si="271"/>
        <v>0</v>
      </c>
      <c r="LG58" s="59">
        <f t="shared" si="272"/>
        <v>0</v>
      </c>
      <c r="LH58" s="59">
        <f t="shared" si="273"/>
        <v>0</v>
      </c>
      <c r="LI58" s="58">
        <f t="shared" si="274"/>
        <v>0</v>
      </c>
      <c r="LJ58" s="45">
        <f t="shared" si="275"/>
        <v>60</v>
      </c>
      <c r="LK58" s="45">
        <f t="shared" si="577"/>
        <v>2.734</v>
      </c>
      <c r="LL58" s="45">
        <f t="shared" si="276"/>
        <v>1</v>
      </c>
      <c r="LM58" s="45">
        <f t="shared" si="277"/>
        <v>2</v>
      </c>
      <c r="LN58" s="45">
        <f t="shared" si="278"/>
        <v>0</v>
      </c>
      <c r="LO58" s="46" cm="1">
        <f t="array" ref="LO58">ROUND(IFERROR(INDEX(ArchiveResults!$F$5:$IX$116,ComparisonData!A58,ComparisonData!$LO$1),0),5)</f>
        <v>0</v>
      </c>
      <c r="LP58" s="46" cm="1">
        <f t="array" ref="LP58">ROUND(IFERROR(INDEX(ArchiveResults!$F$5:$IX$116,ComparisonData!A58,ComparisonData!$LP$1),0),5)</f>
        <v>0</v>
      </c>
      <c r="LQ58" s="46" cm="1">
        <f t="array" ref="LQ58">ROUND(IFERROR(INDEX(ArchiveResults!$F$5:$IX$116,ComparisonData!A58,ComparisonData!$LQ$1),0),5)</f>
        <v>0</v>
      </c>
      <c r="LR58" s="46" cm="1">
        <f t="array" ref="LR58">ROUND(IFERROR(INDEX(ArchiveResults!$F$5:$IX$116,ComparisonData!A58,ComparisonData!$LR$1),0),5)</f>
        <v>0</v>
      </c>
      <c r="LS58" s="45" cm="1">
        <f t="array" ref="LS58">IFERROR(INDEX(ArchiveResults!$F$5:$IX$116,ComparisonData!A58,ComparisonData!$LS$1),0)</f>
        <v>0</v>
      </c>
      <c r="LT58" s="56">
        <v>53</v>
      </c>
      <c r="LU58" s="53" t="str">
        <f t="shared" si="578"/>
        <v>Manchester Archives</v>
      </c>
      <c r="LV58" s="59">
        <f t="shared" si="279"/>
        <v>0</v>
      </c>
      <c r="LW58" s="59">
        <f t="shared" si="280"/>
        <v>0</v>
      </c>
      <c r="LX58" s="59">
        <f t="shared" si="281"/>
        <v>0</v>
      </c>
      <c r="LY58" s="59">
        <f t="shared" si="282"/>
        <v>0</v>
      </c>
      <c r="LZ58" s="59">
        <f t="shared" si="283"/>
        <v>0</v>
      </c>
      <c r="MA58" s="58">
        <f t="shared" si="284"/>
        <v>0</v>
      </c>
      <c r="MB58" s="45">
        <f t="shared" si="285"/>
        <v>60</v>
      </c>
      <c r="MC58" s="45">
        <f t="shared" si="579"/>
        <v>2.734</v>
      </c>
      <c r="MD58" s="45">
        <f t="shared" si="286"/>
        <v>1</v>
      </c>
      <c r="ME58" s="45">
        <f t="shared" si="287"/>
        <v>2</v>
      </c>
      <c r="MF58" s="45">
        <f t="shared" si="288"/>
        <v>0</v>
      </c>
      <c r="MG58" s="46" cm="1">
        <f t="array" ref="MG58">ROUND(IFERROR(INDEX(ArchiveResults!$F$5:$IX$116,ComparisonData!A58,ComparisonData!$MG$1),0),5)</f>
        <v>0</v>
      </c>
      <c r="MH58" s="46" cm="1">
        <f t="array" ref="MH58">ROUND(IFERROR(INDEX(ArchiveResults!$F$5:$IX$116,ComparisonData!A58,ComparisonData!$MH$1),0),5)</f>
        <v>0</v>
      </c>
      <c r="MI58" s="46" cm="1">
        <f t="array" ref="MI58">ROUND(IFERROR(INDEX(ArchiveResults!$F$5:$IX$116,ComparisonData!A58,ComparisonData!$MI$1),0),5)</f>
        <v>0</v>
      </c>
      <c r="MJ58" s="46" cm="1">
        <f t="array" ref="MJ58">ROUND(IFERROR(INDEX(ArchiveResults!$F$5:$IX$116,ComparisonData!A58,ComparisonData!$MJ$1),0),5)</f>
        <v>0</v>
      </c>
      <c r="MK58" s="45" cm="1">
        <f t="array" ref="MK58">IFERROR(INDEX(ArchiveResults!$F$5:$IX$116,ComparisonData!A58,ComparisonData!$MK$1),0)</f>
        <v>0</v>
      </c>
      <c r="ML58" s="56">
        <v>53</v>
      </c>
      <c r="MM58" s="53" t="str">
        <f t="shared" si="580"/>
        <v>Manchester Archives</v>
      </c>
      <c r="MN58" s="59">
        <f t="shared" si="289"/>
        <v>0</v>
      </c>
      <c r="MO58" s="59">
        <f t="shared" si="290"/>
        <v>0</v>
      </c>
      <c r="MP58" s="59">
        <f t="shared" si="291"/>
        <v>0</v>
      </c>
      <c r="MQ58" s="59">
        <f t="shared" si="292"/>
        <v>0</v>
      </c>
      <c r="MR58" s="59">
        <f t="shared" si="293"/>
        <v>0</v>
      </c>
      <c r="MS58" s="58">
        <f t="shared" si="294"/>
        <v>0</v>
      </c>
      <c r="MT58" s="45">
        <f t="shared" si="295"/>
        <v>60</v>
      </c>
      <c r="MU58" s="45">
        <f t="shared" si="581"/>
        <v>2.734</v>
      </c>
      <c r="MV58" s="45">
        <f t="shared" si="296"/>
        <v>1</v>
      </c>
      <c r="MW58" s="45">
        <f t="shared" si="297"/>
        <v>2</v>
      </c>
      <c r="MX58" s="45">
        <f t="shared" si="298"/>
        <v>0</v>
      </c>
      <c r="MY58" s="46" cm="1">
        <f t="array" ref="MY58">ROUND(IFERROR(INDEX(ArchiveResults!$F$5:$IX$116,ComparisonData!A58,ComparisonData!$MY$1),0),5)</f>
        <v>0</v>
      </c>
      <c r="MZ58" s="46" cm="1">
        <f t="array" ref="MZ58">ROUND(IFERROR(INDEX(ArchiveResults!$F$5:$IX$116,ComparisonData!A58,ComparisonData!$MZ$1),0),5)</f>
        <v>0</v>
      </c>
      <c r="NA58" s="46" cm="1">
        <f t="array" ref="NA58">ROUND(IFERROR(INDEX(ArchiveResults!$F$5:$IX$116,ComparisonData!A58,ComparisonData!$NA$1),0),5)</f>
        <v>0</v>
      </c>
      <c r="NB58" s="46" cm="1">
        <f t="array" ref="NB58">ROUND(IFERROR(INDEX(ArchiveResults!$F$5:$IX$116,ComparisonData!A58,ComparisonData!$NB$1),0),5)</f>
        <v>0</v>
      </c>
      <c r="NC58" s="45" cm="1">
        <f t="array" ref="NC58">IFERROR(INDEX(ArchiveResults!$F$5:$IX$116,ComparisonData!A58,ComparisonData!$NC$1),0)</f>
        <v>0</v>
      </c>
      <c r="ND58" s="56">
        <v>53</v>
      </c>
      <c r="NE58" s="53" t="str">
        <f t="shared" si="582"/>
        <v>Manchester Archives</v>
      </c>
      <c r="NF58" s="59">
        <f t="shared" si="299"/>
        <v>0</v>
      </c>
      <c r="NG58" s="59">
        <f t="shared" si="300"/>
        <v>0</v>
      </c>
      <c r="NH58" s="59">
        <f t="shared" si="301"/>
        <v>0</v>
      </c>
      <c r="NI58" s="59">
        <f t="shared" si="302"/>
        <v>0</v>
      </c>
      <c r="NJ58" s="59">
        <f t="shared" si="303"/>
        <v>0</v>
      </c>
      <c r="NK58" s="58">
        <f t="shared" si="304"/>
        <v>0</v>
      </c>
      <c r="NL58" s="45">
        <f t="shared" si="305"/>
        <v>60</v>
      </c>
      <c r="NM58" s="45">
        <f t="shared" si="583"/>
        <v>2.734</v>
      </c>
      <c r="NN58" s="45">
        <f t="shared" si="306"/>
        <v>1</v>
      </c>
      <c r="NO58" s="45">
        <f t="shared" si="307"/>
        <v>2</v>
      </c>
      <c r="NP58" s="46" cm="1">
        <f t="array" ref="NP58">ROUND(IFERROR(INDEX(ArchiveResults!$F$5:$IX$116,ComparisonData!A58,ComparisonData!$NP$1),0),5)</f>
        <v>0</v>
      </c>
      <c r="NQ58" s="46" cm="1">
        <f t="array" ref="NQ58">ROUND(IFERROR(INDEX(ArchiveResults!$F$5:$IX$116,ComparisonData!A58,ComparisonData!$NQ$1),0),5)</f>
        <v>0</v>
      </c>
      <c r="NR58" s="46" cm="1">
        <f t="array" ref="NR58">ROUND(IFERROR(INDEX(ArchiveResults!$F$5:$IX$116,ComparisonData!A58,ComparisonData!$NR$1),0),5)</f>
        <v>0</v>
      </c>
      <c r="NS58" s="46" cm="1">
        <f t="array" ref="NS58">ROUND(IFERROR(INDEX(ArchiveResults!$F$5:$IX$116,ComparisonData!A58,ComparisonData!$NS$1),0),5)</f>
        <v>0</v>
      </c>
      <c r="NT58" s="45" cm="1">
        <f t="array" ref="NT58">IFERROR(INDEX(ArchiveResults!$F$5:$IX$116,ComparisonData!A58,ComparisonData!$NT$1),0)</f>
        <v>0</v>
      </c>
      <c r="NU58" s="56">
        <v>53</v>
      </c>
      <c r="NV58" s="53" t="str">
        <f t="shared" si="584"/>
        <v>Manchester Archives</v>
      </c>
      <c r="NW58" s="59">
        <f t="shared" si="308"/>
        <v>0</v>
      </c>
      <c r="NX58" s="59">
        <f t="shared" si="309"/>
        <v>0</v>
      </c>
      <c r="NY58" s="59">
        <f t="shared" si="310"/>
        <v>0</v>
      </c>
      <c r="NZ58" s="59">
        <f t="shared" si="311"/>
        <v>0</v>
      </c>
      <c r="OA58" s="59">
        <f t="shared" si="312"/>
        <v>0</v>
      </c>
      <c r="OB58" s="58">
        <f t="shared" si="313"/>
        <v>0</v>
      </c>
      <c r="OC58" s="45">
        <f t="shared" si="314"/>
        <v>60</v>
      </c>
      <c r="OD58" s="45">
        <f t="shared" si="585"/>
        <v>2.734</v>
      </c>
      <c r="OE58" s="45">
        <f t="shared" si="315"/>
        <v>1</v>
      </c>
      <c r="OF58" s="45">
        <f t="shared" si="316"/>
        <v>2</v>
      </c>
      <c r="OG58" s="46">
        <f t="shared" si="317"/>
        <v>0</v>
      </c>
      <c r="OH58" s="46" cm="1">
        <f t="array" ref="OH58">ROUND(IFERROR(INDEX(ArchiveResults!$F$5:$IX$116,ComparisonData!A58,ComparisonData!$OH$1),0),5)</f>
        <v>0</v>
      </c>
      <c r="OI58" s="46" cm="1">
        <f t="array" ref="OI58">ROUND(IFERROR(INDEX(ArchiveResults!$F$5:$IX$116,ComparisonData!A58,ComparisonData!$OI$1),0),5)</f>
        <v>0</v>
      </c>
      <c r="OJ58" s="46" cm="1">
        <f t="array" ref="OJ58">ROUND(IFERROR(INDEX(ArchiveResults!$F$5:$IX$116,ComparisonData!A58,ComparisonData!$OJ$1),0),5)</f>
        <v>0</v>
      </c>
      <c r="OK58" s="46" cm="1">
        <f t="array" ref="OK58">ROUND(IFERROR(INDEX(ArchiveResults!$F$5:$IX$116,ComparisonData!A58,ComparisonData!$OK$1),0),5)</f>
        <v>0</v>
      </c>
      <c r="OL58" s="45" cm="1">
        <f t="array" ref="OL58">IFERROR(INDEX(ArchiveResults!$F$5:$IX$116,ComparisonData!A58,ComparisonData!$OL$1),0)</f>
        <v>0</v>
      </c>
      <c r="OM58" s="56">
        <v>53</v>
      </c>
      <c r="ON58" s="53" t="str">
        <f t="shared" si="586"/>
        <v>Manchester Archives</v>
      </c>
      <c r="OO58" s="59">
        <f t="shared" si="318"/>
        <v>0</v>
      </c>
      <c r="OP58" s="59">
        <f t="shared" si="319"/>
        <v>0</v>
      </c>
      <c r="OQ58" s="59">
        <f t="shared" si="320"/>
        <v>0</v>
      </c>
      <c r="OR58" s="59">
        <f t="shared" si="321"/>
        <v>0</v>
      </c>
      <c r="OS58" s="59">
        <f t="shared" si="322"/>
        <v>0</v>
      </c>
      <c r="OT58" s="58">
        <f t="shared" si="323"/>
        <v>0</v>
      </c>
      <c r="OU58" s="45">
        <f t="shared" si="324"/>
        <v>60</v>
      </c>
      <c r="OV58" s="45">
        <f t="shared" si="587"/>
        <v>2.734</v>
      </c>
      <c r="OW58" s="45">
        <f t="shared" si="325"/>
        <v>1</v>
      </c>
      <c r="OX58" s="45">
        <f t="shared" si="326"/>
        <v>2</v>
      </c>
      <c r="OY58" s="45">
        <f t="shared" si="327"/>
        <v>0</v>
      </c>
      <c r="OZ58" s="46" cm="1">
        <f t="array" ref="OZ58">ROUND(IFERROR(INDEX(ArchiveResults!$F$5:$IX$116,ComparisonData!A58,ComparisonData!$OZ$1),0),5)</f>
        <v>0</v>
      </c>
      <c r="PA58" s="46" cm="1">
        <f t="array" ref="PA58">ROUND(IFERROR(INDEX(ArchiveResults!$F$5:$IX$116,ComparisonData!A58,ComparisonData!$PA$1),0),5)</f>
        <v>0</v>
      </c>
      <c r="PB58" s="46" cm="1">
        <f t="array" ref="PB58">ROUND(IFERROR(INDEX(ArchiveResults!$F$5:$IX$116,ComparisonData!A58,ComparisonData!$PB$1),0),5)</f>
        <v>0</v>
      </c>
      <c r="PC58" s="46" cm="1">
        <f t="array" ref="PC58">ROUND(IFERROR(INDEX(ArchiveResults!$F$5:$IX$116,ComparisonData!A58,ComparisonData!$PC$1),0),5)</f>
        <v>0</v>
      </c>
      <c r="PD58" s="45" cm="1">
        <f t="array" ref="PD58">IFERROR(INDEX(ArchiveResults!$F$5:$IX$116,ComparisonData!A58,ComparisonData!$PD$1),0)</f>
        <v>0</v>
      </c>
      <c r="PE58" s="56">
        <v>53</v>
      </c>
      <c r="PF58" s="53" t="str">
        <f t="shared" si="588"/>
        <v>Manchester Archives</v>
      </c>
      <c r="PG58" s="59">
        <f t="shared" si="328"/>
        <v>0</v>
      </c>
      <c r="PH58" s="59">
        <f t="shared" si="329"/>
        <v>0</v>
      </c>
      <c r="PI58" s="59">
        <f t="shared" si="330"/>
        <v>0</v>
      </c>
      <c r="PJ58" s="59">
        <f t="shared" si="331"/>
        <v>0</v>
      </c>
      <c r="PK58" s="59">
        <f t="shared" si="332"/>
        <v>0</v>
      </c>
      <c r="PL58" s="58">
        <f t="shared" si="333"/>
        <v>0</v>
      </c>
      <c r="PM58" s="45">
        <f t="shared" si="334"/>
        <v>60</v>
      </c>
      <c r="PN58" s="45">
        <f t="shared" si="589"/>
        <v>2.734</v>
      </c>
      <c r="PO58" s="45">
        <f t="shared" si="335"/>
        <v>1</v>
      </c>
      <c r="PP58" s="45">
        <f t="shared" si="336"/>
        <v>2</v>
      </c>
      <c r="PQ58" s="45">
        <f t="shared" si="337"/>
        <v>0</v>
      </c>
      <c r="PR58" s="46" cm="1">
        <f t="array" ref="PR58">ROUND(IFERROR(INDEX(ArchiveResults!$F$5:$IX$116,ComparisonData!A58,ComparisonData!$PR$1),0),5)</f>
        <v>0</v>
      </c>
      <c r="PS58" s="46" cm="1">
        <f t="array" ref="PS58">ROUND(IFERROR(INDEX(ArchiveResults!$F$5:$IX$116,ComparisonData!A58,ComparisonData!$PS$1),0),5)</f>
        <v>0</v>
      </c>
      <c r="PT58" s="46" cm="1">
        <f t="array" ref="PT58">ROUND(IFERROR(INDEX(ArchiveResults!$F$5:$IX$116,ComparisonData!A58,ComparisonData!$PT$1),0),5)</f>
        <v>0</v>
      </c>
      <c r="PU58" s="46" cm="1">
        <f t="array" ref="PU58">ROUND(IFERROR(INDEX(ArchiveResults!$F$5:$IX$116,ComparisonData!A58,ComparisonData!$PU$1),0),5)</f>
        <v>0</v>
      </c>
      <c r="PV58" s="45" cm="1">
        <f t="array" ref="PV58">IFERROR(INDEX(ArchiveResults!$F$5:$IX$116,ComparisonData!A58,ComparisonData!$PV$1),0)</f>
        <v>0</v>
      </c>
      <c r="PW58" s="56">
        <v>53</v>
      </c>
      <c r="PX58" s="53" t="str">
        <f t="shared" si="590"/>
        <v>Manchester Archives</v>
      </c>
      <c r="PY58" s="59">
        <f t="shared" si="338"/>
        <v>0</v>
      </c>
      <c r="PZ58" s="59">
        <f t="shared" si="339"/>
        <v>0</v>
      </c>
      <c r="QA58" s="59">
        <f t="shared" si="340"/>
        <v>0</v>
      </c>
      <c r="QB58" s="59">
        <f t="shared" si="341"/>
        <v>0</v>
      </c>
      <c r="QC58" s="59">
        <f t="shared" si="342"/>
        <v>0</v>
      </c>
      <c r="QD58" s="58">
        <f t="shared" si="343"/>
        <v>0</v>
      </c>
      <c r="QE58" s="45">
        <f t="shared" si="344"/>
        <v>60</v>
      </c>
      <c r="QF58" s="45">
        <f t="shared" si="591"/>
        <v>2.734</v>
      </c>
      <c r="QG58" s="45">
        <f t="shared" si="345"/>
        <v>1</v>
      </c>
      <c r="QH58" s="45">
        <f t="shared" si="346"/>
        <v>2</v>
      </c>
      <c r="QI58" s="45">
        <f t="shared" si="347"/>
        <v>0</v>
      </c>
      <c r="QJ58" s="46" cm="1">
        <f t="array" ref="QJ58">ROUND(IFERROR(INDEX(ArchiveResults!$F$5:$IX$116,ComparisonData!A58,ComparisonData!$QJ$1),0),5)</f>
        <v>0</v>
      </c>
      <c r="QK58" s="46" cm="1">
        <f t="array" ref="QK58">ROUND(IFERROR(INDEX(ArchiveResults!$F$5:$IX$116,ComparisonData!A58,ComparisonData!$QK$1),0),5)</f>
        <v>0</v>
      </c>
      <c r="QL58" s="46" cm="1">
        <f t="array" ref="QL58">ROUND(IFERROR(INDEX(ArchiveResults!$F$5:$IX$116,ComparisonData!A58,ComparisonData!$QL$1),0),5)</f>
        <v>0</v>
      </c>
      <c r="QM58" s="46" cm="1">
        <f t="array" ref="QM58">ROUND(IFERROR(INDEX(ArchiveResults!$F$5:$IX$116,ComparisonData!A58,ComparisonData!$QM$1),0),5)</f>
        <v>0</v>
      </c>
      <c r="QN58" s="45" cm="1">
        <f t="array" ref="QN58">IFERROR(INDEX(ArchiveResults!$F$5:$IX$116,ComparisonData!A58,ComparisonData!$QN$1),0)</f>
        <v>0</v>
      </c>
      <c r="QO58" s="56">
        <v>53</v>
      </c>
      <c r="QP58" s="53" t="str">
        <f t="shared" si="592"/>
        <v>Manchester Archives</v>
      </c>
      <c r="QQ58" s="59">
        <f t="shared" si="348"/>
        <v>0</v>
      </c>
      <c r="QR58" s="59">
        <f t="shared" si="349"/>
        <v>0</v>
      </c>
      <c r="QS58" s="59">
        <f t="shared" si="350"/>
        <v>0</v>
      </c>
      <c r="QT58" s="59">
        <f t="shared" si="351"/>
        <v>0</v>
      </c>
      <c r="QU58" s="59">
        <f t="shared" si="352"/>
        <v>0</v>
      </c>
      <c r="QV58" s="58">
        <f t="shared" si="353"/>
        <v>0</v>
      </c>
      <c r="QW58" s="45">
        <f t="shared" si="354"/>
        <v>60</v>
      </c>
      <c r="QX58" s="45">
        <f t="shared" si="593"/>
        <v>2.734</v>
      </c>
      <c r="QY58" s="45">
        <f t="shared" si="355"/>
        <v>1</v>
      </c>
      <c r="QZ58" s="45">
        <f t="shared" si="356"/>
        <v>2</v>
      </c>
      <c r="RA58" s="45">
        <f t="shared" si="357"/>
        <v>0</v>
      </c>
      <c r="RB58" s="46" cm="1">
        <f t="array" ref="RB58">ROUND(IFERROR(INDEX(ArchiveResults!$F$5:$IX$116,ComparisonData!A58,ComparisonData!$RB$1),0),5)</f>
        <v>0</v>
      </c>
      <c r="RC58" s="46" cm="1">
        <f t="array" ref="RC58">ROUND(IFERROR(INDEX(ArchiveResults!$F$5:$IX$116,ComparisonData!A58,ComparisonData!$RC$1),0),5)</f>
        <v>0</v>
      </c>
      <c r="RD58" s="46" cm="1">
        <f t="array" ref="RD58">ROUND(IFERROR(INDEX(ArchiveResults!$F$5:$IX$116,ComparisonData!A58,ComparisonData!$RD$1),0),5)</f>
        <v>0</v>
      </c>
      <c r="RE58" s="46" cm="1">
        <f t="array" ref="RE58">ROUND(IFERROR(INDEX(ArchiveResults!$F$5:$IX$116,ComparisonData!A58,ComparisonData!$RE$1),0),5)</f>
        <v>0</v>
      </c>
      <c r="RF58" s="45" cm="1">
        <f t="array" ref="RF58">IFERROR(INDEX(ArchiveResults!$F$5:$IX$116,ComparisonData!A58,ComparisonData!$RF$1),0)</f>
        <v>0</v>
      </c>
      <c r="RG58" s="56">
        <v>53</v>
      </c>
      <c r="RH58" s="53" t="str">
        <f t="shared" si="594"/>
        <v>Manchester Archives</v>
      </c>
      <c r="RI58" s="59">
        <f t="shared" si="358"/>
        <v>0</v>
      </c>
      <c r="RJ58" s="59">
        <f t="shared" si="359"/>
        <v>0</v>
      </c>
      <c r="RK58" s="59">
        <f t="shared" si="360"/>
        <v>0</v>
      </c>
      <c r="RL58" s="59">
        <f t="shared" si="361"/>
        <v>0</v>
      </c>
      <c r="RM58" s="59">
        <f t="shared" si="362"/>
        <v>0</v>
      </c>
      <c r="RN58" s="58">
        <f t="shared" si="363"/>
        <v>0</v>
      </c>
      <c r="RO58" s="45">
        <f t="shared" si="364"/>
        <v>60</v>
      </c>
      <c r="RP58" s="45">
        <f t="shared" si="595"/>
        <v>2.734</v>
      </c>
      <c r="RQ58" s="45">
        <f t="shared" si="365"/>
        <v>1</v>
      </c>
      <c r="RR58" s="45">
        <f t="shared" si="366"/>
        <v>2</v>
      </c>
      <c r="RS58" s="45">
        <f t="shared" si="367"/>
        <v>0</v>
      </c>
      <c r="RT58" s="46" cm="1">
        <f t="array" ref="RT58">ROUND(IFERROR(INDEX(ArchiveResults!$F$5:$IX$116,ComparisonData!A58,ComparisonData!$RT$1),0),5)</f>
        <v>0</v>
      </c>
      <c r="RU58" s="46" cm="1">
        <f t="array" ref="RU58">ROUND(IFERROR(INDEX(ArchiveResults!$F$5:$IX$116,ComparisonData!A58,ComparisonData!$RU$1),0),5)</f>
        <v>0</v>
      </c>
      <c r="RV58" s="46" cm="1">
        <f t="array" ref="RV58">ROUND(IFERROR(INDEX(ArchiveResults!$F$5:$IX$116,ComparisonData!A58,ComparisonData!$RV$1),0),5)</f>
        <v>0</v>
      </c>
      <c r="RW58" s="46" cm="1">
        <f t="array" ref="RW58">ROUND(IFERROR(INDEX(ArchiveResults!$F$5:$IX$116,ComparisonData!A58,ComparisonData!$RW$1),0),5)</f>
        <v>0</v>
      </c>
      <c r="RX58" s="45" cm="1">
        <f t="array" ref="RX58">IFERROR(INDEX(ArchiveResults!$F$5:$IX$116,ComparisonData!A58,ComparisonData!$RX$1),0)</f>
        <v>0</v>
      </c>
      <c r="RY58" s="56">
        <v>53</v>
      </c>
      <c r="RZ58" s="53" t="str">
        <f t="shared" si="596"/>
        <v>Manchester Archives</v>
      </c>
      <c r="SA58" s="59">
        <f t="shared" si="368"/>
        <v>0</v>
      </c>
      <c r="SB58" s="59">
        <f t="shared" si="369"/>
        <v>0</v>
      </c>
      <c r="SC58" s="59">
        <f t="shared" si="370"/>
        <v>0</v>
      </c>
      <c r="SD58" s="59">
        <f t="shared" si="371"/>
        <v>0</v>
      </c>
      <c r="SE58" s="59">
        <f t="shared" si="372"/>
        <v>0</v>
      </c>
      <c r="SF58" s="58">
        <f t="shared" si="373"/>
        <v>0</v>
      </c>
      <c r="SG58" s="45">
        <f t="shared" si="374"/>
        <v>60</v>
      </c>
      <c r="SH58" s="45">
        <f t="shared" si="597"/>
        <v>2.734</v>
      </c>
      <c r="SI58" s="45">
        <f t="shared" si="375"/>
        <v>1</v>
      </c>
      <c r="SJ58" s="45">
        <f t="shared" si="376"/>
        <v>2</v>
      </c>
      <c r="SK58" s="45">
        <f t="shared" si="377"/>
        <v>0</v>
      </c>
      <c r="SL58" s="46" cm="1">
        <f t="array" ref="SL58">ROUND(IFERROR(INDEX(ArchiveResults!$F$5:$IX$116,ComparisonData!A58,ComparisonData!$SL$1),0),5)</f>
        <v>0</v>
      </c>
      <c r="SM58" s="46" cm="1">
        <f t="array" ref="SM58">ROUND(IFERROR(INDEX(ArchiveResults!$F$5:$IX$116,ComparisonData!A58,ComparisonData!$SM$1),0),5)</f>
        <v>0</v>
      </c>
      <c r="SN58" s="46" cm="1">
        <f t="array" ref="SN58">ROUND(IFERROR(INDEX(ArchiveResults!$F$5:$IX$116,ComparisonData!A58,ComparisonData!$SN$1),0),5)</f>
        <v>0</v>
      </c>
      <c r="SO58" s="46" cm="1">
        <f t="array" ref="SO58">ROUND(IFERROR(INDEX(ArchiveResults!$F$5:$IX$116,ComparisonData!A58,ComparisonData!$SO$1),0),5)</f>
        <v>0</v>
      </c>
      <c r="SP58" s="45" cm="1">
        <f t="array" ref="SP58">IFERROR(INDEX(ArchiveResults!$F$5:$IX$116,ComparisonData!A58,ComparisonData!$SP$1),0)</f>
        <v>0</v>
      </c>
      <c r="SQ58" s="56">
        <v>53</v>
      </c>
      <c r="SR58" s="53" t="str">
        <f t="shared" si="598"/>
        <v>Manchester Archives</v>
      </c>
      <c r="SS58" s="59">
        <f t="shared" si="378"/>
        <v>0</v>
      </c>
      <c r="ST58" s="59">
        <f t="shared" si="379"/>
        <v>0</v>
      </c>
      <c r="SU58" s="59">
        <f t="shared" si="380"/>
        <v>0</v>
      </c>
      <c r="SV58" s="59">
        <f t="shared" si="381"/>
        <v>0</v>
      </c>
      <c r="SW58" s="59">
        <f t="shared" si="382"/>
        <v>0</v>
      </c>
      <c r="SX58" s="58">
        <f t="shared" si="383"/>
        <v>0</v>
      </c>
      <c r="SY58" s="45">
        <f t="shared" si="384"/>
        <v>60</v>
      </c>
      <c r="SZ58" s="45">
        <f t="shared" si="599"/>
        <v>2.734</v>
      </c>
      <c r="TA58" s="45">
        <f t="shared" si="385"/>
        <v>1</v>
      </c>
      <c r="TB58" s="45">
        <f t="shared" si="386"/>
        <v>2</v>
      </c>
      <c r="TC58" s="45">
        <f t="shared" si="387"/>
        <v>0</v>
      </c>
      <c r="TD58" s="46" cm="1">
        <f t="array" ref="TD58">ROUND(IFERROR(INDEX(ArchiveResults!$F$5:$IX$116,ComparisonData!A58,ComparisonData!$TD$1),0),5)</f>
        <v>0</v>
      </c>
      <c r="TE58" s="46" cm="1">
        <f t="array" ref="TE58">ROUND(IFERROR(INDEX(ArchiveResults!$F$5:$IX$116,ComparisonData!A58,ComparisonData!$TE$1),0),5)</f>
        <v>0</v>
      </c>
      <c r="TF58" s="46" cm="1">
        <f t="array" ref="TF58">ROUND(IFERROR(INDEX(ArchiveResults!$F$5:$IX$116,ComparisonData!A58,ComparisonData!$TF$1),0),5)</f>
        <v>0</v>
      </c>
      <c r="TG58" s="46" cm="1">
        <f t="array" ref="TG58">ROUND(IFERROR(INDEX(ArchiveResults!$F$5:$IX$116,ComparisonData!A58,ComparisonData!$TG$1),0),5)</f>
        <v>0</v>
      </c>
      <c r="TH58" s="45" cm="1">
        <f t="array" ref="TH58">IFERROR(INDEX(ArchiveResults!$F$5:$IX$116,ComparisonData!A58,ComparisonData!$TH$1),0)</f>
        <v>0</v>
      </c>
      <c r="TI58" s="56">
        <v>53</v>
      </c>
      <c r="TJ58" s="53" t="str">
        <f t="shared" si="600"/>
        <v>Manchester Archives</v>
      </c>
      <c r="TK58" s="59">
        <f t="shared" si="388"/>
        <v>0</v>
      </c>
      <c r="TL58" s="59">
        <f t="shared" si="389"/>
        <v>0</v>
      </c>
      <c r="TM58" s="59">
        <f t="shared" si="390"/>
        <v>0</v>
      </c>
      <c r="TN58" s="59">
        <f t="shared" si="391"/>
        <v>0</v>
      </c>
      <c r="TO58" s="59">
        <f t="shared" si="392"/>
        <v>0</v>
      </c>
      <c r="TP58" s="58">
        <f t="shared" si="393"/>
        <v>0</v>
      </c>
      <c r="TQ58" s="45">
        <f t="shared" si="394"/>
        <v>60</v>
      </c>
      <c r="TR58" s="45">
        <f t="shared" si="601"/>
        <v>2.734</v>
      </c>
      <c r="TS58" s="45">
        <f t="shared" si="395"/>
        <v>1</v>
      </c>
      <c r="TT58" s="45">
        <f t="shared" si="396"/>
        <v>2</v>
      </c>
      <c r="TU58" s="45">
        <f t="shared" si="397"/>
        <v>0</v>
      </c>
      <c r="TV58" s="46" cm="1">
        <f t="array" ref="TV58">ROUND(IFERROR(INDEX(ArchiveResults!$F$5:$IX$116,ComparisonData!A58,ComparisonData!$TV$1),0),5)</f>
        <v>0</v>
      </c>
      <c r="TW58" s="46" cm="1">
        <f t="array" ref="TW58">ROUND(IFERROR(INDEX(ArchiveResults!$F$5:$IX$116,ComparisonData!A58,ComparisonData!$TW$1),0),5)</f>
        <v>0</v>
      </c>
      <c r="TX58" s="46" cm="1">
        <f t="array" ref="TX58">ROUND(IFERROR(INDEX(ArchiveResults!$F$5:$IX$116,ComparisonData!A58,ComparisonData!$TX$1),0),5)</f>
        <v>0</v>
      </c>
      <c r="TY58" s="46" cm="1">
        <f t="array" ref="TY58">ROUND(IFERROR(INDEX(ArchiveResults!$F$5:$IX$116,ComparisonData!A58,ComparisonData!$TY$1),0),5)</f>
        <v>0</v>
      </c>
      <c r="TZ58" s="45" cm="1">
        <f t="array" ref="TZ58">IFERROR(INDEX(ArchiveResults!$F$5:$IX$116,ComparisonData!A58,ComparisonData!$TZ$1),0)</f>
        <v>0</v>
      </c>
      <c r="UA58" s="56">
        <v>53</v>
      </c>
      <c r="UB58" s="53" t="str">
        <f t="shared" si="602"/>
        <v>Manchester Archives</v>
      </c>
      <c r="UC58" s="60">
        <f t="shared" si="398"/>
        <v>0</v>
      </c>
      <c r="UD58" s="60">
        <f t="shared" si="399"/>
        <v>0</v>
      </c>
      <c r="UE58" s="60">
        <f t="shared" si="400"/>
        <v>0</v>
      </c>
      <c r="UF58" s="60">
        <f t="shared" si="401"/>
        <v>0</v>
      </c>
      <c r="UG58" s="60">
        <f t="shared" si="402"/>
        <v>0</v>
      </c>
      <c r="UH58" s="58">
        <f t="shared" si="403"/>
        <v>0</v>
      </c>
      <c r="UI58" s="46">
        <f t="shared" si="404"/>
        <v>60</v>
      </c>
      <c r="UJ58" s="46">
        <f t="shared" si="603"/>
        <v>2.734</v>
      </c>
      <c r="UK58" s="46">
        <f t="shared" si="405"/>
        <v>1</v>
      </c>
      <c r="UL58" s="46">
        <f t="shared" si="406"/>
        <v>2</v>
      </c>
      <c r="UM58" s="46" cm="1">
        <f t="array" ref="UM58">ROUND(IFERROR(INDEX(ArchiveResults!$F$5:$IX$116,ComparisonData!A58,ComparisonData!$UM$1),0),5)</f>
        <v>0</v>
      </c>
      <c r="UN58" s="56">
        <v>53</v>
      </c>
      <c r="UO58" s="53" t="str">
        <f t="shared" si="604"/>
        <v>Manchester Archives</v>
      </c>
      <c r="UP58" s="46">
        <f t="shared" si="407"/>
        <v>0</v>
      </c>
      <c r="UQ58" s="76">
        <f t="shared" si="408"/>
        <v>0</v>
      </c>
      <c r="UR58" s="46">
        <f t="shared" si="409"/>
        <v>60</v>
      </c>
      <c r="US58" s="46">
        <f t="shared" si="605"/>
        <v>2.734</v>
      </c>
      <c r="UT58" s="46">
        <f t="shared" si="410"/>
        <v>1</v>
      </c>
      <c r="UU58" s="46">
        <f t="shared" si="411"/>
        <v>2</v>
      </c>
      <c r="UV58" s="46">
        <f t="shared" si="412"/>
        <v>0</v>
      </c>
      <c r="UW58" s="46" cm="1">
        <f t="array" ref="UW58">ROUND(IFERROR(INDEX(ArchiveResults!$F$5:$IX$116,ComparisonData!A58,ComparisonData!$UW$1),0),5)</f>
        <v>0</v>
      </c>
      <c r="UX58" s="46" cm="1">
        <f t="array" ref="UX58">ROUND(IFERROR(INDEX(ArchiveResults!$F$5:$IX$116,ComparisonData!A58,ComparisonData!$UX$1),0),5)</f>
        <v>0</v>
      </c>
      <c r="UY58" s="46" cm="1">
        <f t="array" ref="UY58">ROUND(IFERROR(INDEX(ArchiveResults!$F$5:$IX$116,ComparisonData!A58,ComparisonData!$UY$1),0),5)</f>
        <v>0</v>
      </c>
      <c r="UZ58" s="46" cm="1">
        <f t="array" ref="UZ58">ROUND(IFERROR(INDEX(ArchiveResults!$F$5:$IX$116,ComparisonData!A58,ComparisonData!$UZ$1),0),5)</f>
        <v>0</v>
      </c>
      <c r="VA58" s="46" cm="1">
        <f t="array" ref="VA58">ROUND(IFERROR(INDEX(ArchiveResults!$F$5:$IX$116,ComparisonData!A58,ComparisonData!$VA$1),0),5)</f>
        <v>0</v>
      </c>
      <c r="VB58" s="56">
        <v>53</v>
      </c>
      <c r="VC58" s="53" t="str">
        <f t="shared" si="606"/>
        <v>Manchester Archives</v>
      </c>
      <c r="VD58" s="60">
        <f t="shared" si="413"/>
        <v>0</v>
      </c>
      <c r="VE58" s="60">
        <f t="shared" si="414"/>
        <v>0</v>
      </c>
      <c r="VF58" s="60">
        <f t="shared" si="415"/>
        <v>0</v>
      </c>
      <c r="VG58" s="60">
        <f t="shared" si="416"/>
        <v>0</v>
      </c>
      <c r="VH58" s="60">
        <f t="shared" si="417"/>
        <v>0</v>
      </c>
      <c r="VI58" s="76">
        <f t="shared" si="418"/>
        <v>0</v>
      </c>
      <c r="VJ58" s="46">
        <f t="shared" si="419"/>
        <v>60</v>
      </c>
      <c r="VK58" s="46">
        <f t="shared" si="607"/>
        <v>2.734</v>
      </c>
      <c r="VL58" s="46">
        <f t="shared" si="420"/>
        <v>1</v>
      </c>
      <c r="VM58" s="46">
        <f t="shared" si="421"/>
        <v>2</v>
      </c>
      <c r="VN58" s="46" cm="1">
        <f t="array" ref="VN58">ROUND(IFERROR(INDEX(ArchiveResults!$F$5:$IX$116,ComparisonData!A58,ComparisonData!$VN$1),0),5)</f>
        <v>0</v>
      </c>
      <c r="VO58" s="46" cm="1">
        <f t="array" ref="VO58">ROUND(IFERROR(INDEX(ArchiveResults!$F$5:$IX$116,ComparisonData!A58,ComparisonData!$VO$1),0),5)</f>
        <v>0</v>
      </c>
      <c r="VP58" s="46" cm="1">
        <f t="array" ref="VP58">ROUND(IFERROR(INDEX(ArchiveResults!$F$5:$IX$116,ComparisonData!A58,ComparisonData!$VP$1),0),5)</f>
        <v>0</v>
      </c>
      <c r="VQ58" s="46" cm="1">
        <f t="array" ref="VQ58">ROUND(IFERROR(INDEX(ArchiveResults!$F$5:$IX$116,ComparisonData!A58,ComparisonData!$VQ$1),0),5)</f>
        <v>0</v>
      </c>
      <c r="VR58" s="56">
        <v>53</v>
      </c>
      <c r="VS58" s="53" t="str">
        <f t="shared" si="608"/>
        <v>Manchester Archives</v>
      </c>
      <c r="VT58" s="60">
        <f t="shared" si="422"/>
        <v>0</v>
      </c>
      <c r="VU58" s="60">
        <f t="shared" si="423"/>
        <v>0</v>
      </c>
      <c r="VV58" s="60">
        <f t="shared" si="424"/>
        <v>0</v>
      </c>
      <c r="VW58" s="60">
        <f t="shared" si="425"/>
        <v>0</v>
      </c>
      <c r="VX58" s="76">
        <f t="shared" si="426"/>
        <v>0</v>
      </c>
      <c r="VY58" s="46">
        <f t="shared" si="427"/>
        <v>60</v>
      </c>
      <c r="VZ58" s="46">
        <f t="shared" si="609"/>
        <v>2.734</v>
      </c>
      <c r="WA58" s="46">
        <f t="shared" si="428"/>
        <v>1</v>
      </c>
      <c r="WB58" s="46">
        <f t="shared" si="429"/>
        <v>2</v>
      </c>
      <c r="WC58" s="46" cm="1">
        <f t="array" ref="WC58">ROUND(IFERROR(INDEX(ArchiveResults!$F$5:$IX$116,ComparisonData!A58,ComparisonData!$WC$1),0),5)</f>
        <v>0</v>
      </c>
      <c r="WD58" s="56">
        <v>53</v>
      </c>
      <c r="WE58" s="53" t="str">
        <f t="shared" si="610"/>
        <v>Manchester Archives</v>
      </c>
      <c r="WF58" s="46">
        <f t="shared" si="430"/>
        <v>0</v>
      </c>
      <c r="WG58" s="76">
        <f t="shared" si="431"/>
        <v>0</v>
      </c>
      <c r="WH58" s="46">
        <f t="shared" si="432"/>
        <v>60</v>
      </c>
      <c r="WI58" s="46">
        <f t="shared" si="611"/>
        <v>2.734</v>
      </c>
      <c r="WJ58" s="46">
        <f t="shared" si="433"/>
        <v>1</v>
      </c>
      <c r="WK58" s="46">
        <f t="shared" si="434"/>
        <v>2</v>
      </c>
      <c r="WL58" s="46" cm="1">
        <f t="array" ref="WL58">ROUND(IFERROR(INDEX(ArchiveResults!$F$5:$IX$116,ComparisonData!A58,ComparisonData!$WL$1),0),5)</f>
        <v>0</v>
      </c>
      <c r="WM58" s="46" cm="1">
        <f t="array" ref="WM58">IFERROR(INDEX(ArchiveResults!$F$5:$IX$116,ComparisonData!A58,ComparisonData!$WM$1),0)</f>
        <v>0</v>
      </c>
      <c r="WN58" s="56">
        <v>53</v>
      </c>
      <c r="WO58" s="53" t="str">
        <f t="shared" si="612"/>
        <v>Manchester Archives</v>
      </c>
      <c r="WP58" s="60">
        <f t="shared" si="435"/>
        <v>0</v>
      </c>
      <c r="WQ58" s="60">
        <f t="shared" si="436"/>
        <v>0</v>
      </c>
      <c r="WR58" s="76">
        <f t="shared" si="437"/>
        <v>0</v>
      </c>
      <c r="WS58" s="46">
        <f t="shared" si="438"/>
        <v>60</v>
      </c>
      <c r="WT58" s="46">
        <f t="shared" si="613"/>
        <v>2.734</v>
      </c>
      <c r="WU58" s="46">
        <f t="shared" si="439"/>
        <v>1</v>
      </c>
      <c r="WV58" s="46">
        <f t="shared" si="440"/>
        <v>2</v>
      </c>
      <c r="WW58" s="46" cm="1">
        <f t="array" ref="WW58">ROUND(VALUE(IFERROR(INDEX(ArchiveResults!$F$5:$IX$116,ComparisonData!A58,ComparisonData!$WW$1),0)),5)</f>
        <v>0</v>
      </c>
      <c r="WX58" s="46" cm="1">
        <f t="array" ref="WX58">ROUND(IFERROR(INDEX(ArchiveResults!$F$5:$IX$116,ComparisonData!A58,ComparisonData!$WX$1),0),5)</f>
        <v>0</v>
      </c>
      <c r="WY58" s="56">
        <v>53</v>
      </c>
      <c r="WZ58" s="53" t="str">
        <f t="shared" si="614"/>
        <v>Manchester Archives</v>
      </c>
      <c r="XA58" s="60">
        <f t="shared" si="615"/>
        <v>0</v>
      </c>
      <c r="XB58" s="60">
        <f t="shared" si="616"/>
        <v>0</v>
      </c>
      <c r="XC58" s="76">
        <f t="shared" si="441"/>
        <v>0</v>
      </c>
      <c r="XD58" s="46">
        <f t="shared" si="442"/>
        <v>60</v>
      </c>
      <c r="XE58" s="46">
        <f t="shared" si="617"/>
        <v>2.734</v>
      </c>
      <c r="XF58" s="46">
        <f t="shared" si="443"/>
        <v>1</v>
      </c>
      <c r="XG58" s="46">
        <f t="shared" si="444"/>
        <v>2</v>
      </c>
      <c r="XH58" s="46" cm="1">
        <f t="array" ref="XH58">ROUND(VALUE(IFERROR(INDEX(ArchiveResults!$F$5:$IX$116,ComparisonData!A58,ComparisonData!$XH$1),0)),5)</f>
        <v>0</v>
      </c>
      <c r="XI58" s="46" cm="1">
        <f t="array" ref="XI58">ROUND(VALUE(IFERROR(INDEX(ArchiveResults!$F$5:$IX$116,ComparisonData!A58,ComparisonData!$XI$1),0)),5)</f>
        <v>0</v>
      </c>
      <c r="XJ58" s="56">
        <v>53</v>
      </c>
      <c r="XK58" s="53" t="str">
        <f t="shared" si="618"/>
        <v>Manchester Archives</v>
      </c>
      <c r="XL58" s="60">
        <f t="shared" si="445"/>
        <v>0</v>
      </c>
      <c r="XM58" s="60">
        <f t="shared" si="446"/>
        <v>0</v>
      </c>
      <c r="XN58" s="76">
        <f t="shared" si="447"/>
        <v>0</v>
      </c>
      <c r="XO58" s="46">
        <f t="shared" si="448"/>
        <v>60</v>
      </c>
      <c r="XP58" s="46">
        <f t="shared" si="619"/>
        <v>2.734</v>
      </c>
      <c r="XQ58" s="46">
        <f t="shared" si="449"/>
        <v>1</v>
      </c>
      <c r="XR58" s="46">
        <f t="shared" si="450"/>
        <v>2</v>
      </c>
      <c r="XS58" s="46" cm="1">
        <f t="array" ref="XS58">ROUND(VALUE(IFERROR(INDEX(ArchiveResults!$F$5:$IX$116,ComparisonData!A58,ComparisonData!$XS$1),0)),5)</f>
        <v>0</v>
      </c>
      <c r="XT58" s="46" cm="1">
        <f t="array" ref="XT58">ROUND(VALUE(IFERROR(INDEX(ArchiveResults!$F$5:$IX$116,ComparisonData!A58,ComparisonData!$XT$1),0)),5)</f>
        <v>0</v>
      </c>
      <c r="XU58" s="56">
        <v>53</v>
      </c>
      <c r="XV58" s="53" t="str">
        <f t="shared" si="620"/>
        <v>Manchester Archives</v>
      </c>
      <c r="XW58" s="60">
        <f t="shared" si="451"/>
        <v>0</v>
      </c>
      <c r="XX58" s="60">
        <f t="shared" si="452"/>
        <v>0</v>
      </c>
      <c r="XY58" s="76">
        <f t="shared" si="453"/>
        <v>0</v>
      </c>
      <c r="XZ58" s="46">
        <f t="shared" si="454"/>
        <v>60</v>
      </c>
      <c r="YA58" s="46">
        <f t="shared" si="621"/>
        <v>2.734</v>
      </c>
      <c r="YB58" s="46">
        <f t="shared" si="455"/>
        <v>1</v>
      </c>
      <c r="YC58" s="46">
        <f t="shared" si="456"/>
        <v>2</v>
      </c>
      <c r="YD58" s="46" cm="1">
        <f t="array" ref="YD58">ROUND(VALUE(IFERROR(INDEX(ArchiveResults!$F$5:$IX$116,ComparisonData!A58,ComparisonData!$YD$1),0)),5)</f>
        <v>0</v>
      </c>
      <c r="YE58" s="46" cm="1">
        <f t="array" ref="YE58">ROUND(VALUE(IFERROR(INDEX(ArchiveResults!$F$5:$IX$116,ComparisonData!A58,ComparisonData!$YE$1),0)),5)</f>
        <v>0</v>
      </c>
      <c r="YF58" s="56">
        <v>53</v>
      </c>
      <c r="YG58" s="53" t="str">
        <f t="shared" si="622"/>
        <v>Manchester Archives</v>
      </c>
      <c r="YH58" s="60">
        <f t="shared" si="457"/>
        <v>0</v>
      </c>
      <c r="YI58" s="60">
        <f t="shared" si="458"/>
        <v>0</v>
      </c>
      <c r="YJ58" s="76">
        <f t="shared" si="459"/>
        <v>0</v>
      </c>
      <c r="YK58" s="46">
        <f t="shared" si="460"/>
        <v>60</v>
      </c>
      <c r="YL58" s="46">
        <f t="shared" si="623"/>
        <v>2.734</v>
      </c>
      <c r="YM58" s="46">
        <f t="shared" si="461"/>
        <v>1</v>
      </c>
      <c r="YN58" s="46">
        <f t="shared" si="462"/>
        <v>2</v>
      </c>
      <c r="YO58" s="46" cm="1">
        <f t="array" ref="YO58">ROUND(VALUE(IFERROR(INDEX(ArchiveResults!$F$5:$IX$116,ComparisonData!A58,ComparisonData!$YO$1),0)),5)</f>
        <v>0</v>
      </c>
      <c r="YP58" s="46" cm="1">
        <f t="array" ref="YP58">ROUND(VALUE(IFERROR(INDEX(ArchiveResults!$F$5:$IX$116,ComparisonData!A58,ComparisonData!$YP$1),0)),5)</f>
        <v>0</v>
      </c>
      <c r="YQ58" s="56">
        <v>53</v>
      </c>
      <c r="YR58" s="53" t="str">
        <f t="shared" si="624"/>
        <v>Manchester Archives</v>
      </c>
      <c r="YS58" s="60">
        <f t="shared" si="463"/>
        <v>0</v>
      </c>
      <c r="YT58" s="60">
        <f t="shared" si="464"/>
        <v>0</v>
      </c>
      <c r="YU58" s="76">
        <f t="shared" si="465"/>
        <v>0</v>
      </c>
      <c r="YV58" s="46">
        <f t="shared" si="466"/>
        <v>60</v>
      </c>
      <c r="YW58" s="46">
        <f t="shared" si="625"/>
        <v>2.734</v>
      </c>
      <c r="YX58" s="46">
        <f t="shared" si="467"/>
        <v>1</v>
      </c>
      <c r="YY58" s="46">
        <f t="shared" si="468"/>
        <v>2</v>
      </c>
      <c r="YZ58" s="46">
        <f t="shared" si="469"/>
        <v>0</v>
      </c>
      <c r="ZA58" s="46" cm="1">
        <f t="array" ref="ZA58">ROUNDDOWN(VALUE(IFERROR(INDEX(ArchiveResults!$F$5:$IX$116,ComparisonData!A58,ComparisonData!$ZA$1),0)),5)</f>
        <v>0</v>
      </c>
      <c r="ZB58" s="46" cm="1">
        <f t="array" ref="ZB58">ROUNDDOWN(VALUE(IFERROR(INDEX(ArchiveResults!$F$5:$IX$116,ComparisonData!A58,ComparisonData!$ZB$1),0)),5)</f>
        <v>0</v>
      </c>
      <c r="ZC58" s="46" cm="1">
        <f t="array" ref="ZC58">ROUNDDOWN(VALUE(IFERROR(INDEX(ArchiveResults!$F$5:$IX$116,ComparisonData!A58,ComparisonData!$ZC$1),0)),5)</f>
        <v>0</v>
      </c>
      <c r="ZD58" s="46" cm="1">
        <f t="array" ref="ZD58">ROUNDDOWN(VALUE(IFERROR(INDEX(ArchiveResults!$F$5:$IX$116,ComparisonData!A58,ComparisonData!$ZD$1),0)),5)</f>
        <v>0</v>
      </c>
      <c r="ZE58" s="46" cm="1">
        <f t="array" ref="ZE58">ROUNDDOWN(VALUE(IFERROR(INDEX(ArchiveResults!$F$5:$IX$116,ComparisonData!A58,ComparisonData!$ZE$1),0)),5)</f>
        <v>0</v>
      </c>
      <c r="ZF58" s="56">
        <v>53</v>
      </c>
      <c r="ZG58" s="53" t="str">
        <f t="shared" si="626"/>
        <v>Manchester Archives</v>
      </c>
      <c r="ZH58" s="60">
        <f t="shared" si="470"/>
        <v>0</v>
      </c>
      <c r="ZI58" s="60">
        <f t="shared" si="471"/>
        <v>0</v>
      </c>
      <c r="ZJ58" s="60">
        <f t="shared" si="472"/>
        <v>0</v>
      </c>
      <c r="ZK58" s="60">
        <f t="shared" si="473"/>
        <v>0</v>
      </c>
      <c r="ZL58" s="60">
        <f t="shared" si="474"/>
        <v>0</v>
      </c>
      <c r="ZM58" s="76">
        <f t="shared" si="475"/>
        <v>0</v>
      </c>
      <c r="ZN58" s="46">
        <f t="shared" si="476"/>
        <v>60</v>
      </c>
      <c r="ZO58" s="46">
        <f t="shared" si="627"/>
        <v>2.734</v>
      </c>
      <c r="ZP58" s="46">
        <f t="shared" si="477"/>
        <v>1</v>
      </c>
      <c r="ZQ58" s="46">
        <f t="shared" si="478"/>
        <v>2</v>
      </c>
      <c r="ZR58" s="46" cm="1">
        <f t="array" ref="ZR58">ROUND(VALUE(IFERROR(INDEX(ArchiveResults!$F$5:$IX$116,ComparisonData!A58,ComparisonData!$ZR$1),0)),5)</f>
        <v>0</v>
      </c>
      <c r="ZS58" s="56">
        <v>53</v>
      </c>
      <c r="ZT58" s="53" t="str">
        <f t="shared" si="628"/>
        <v>Manchester Archives</v>
      </c>
      <c r="ZU58" s="46">
        <f t="shared" si="479"/>
        <v>0</v>
      </c>
      <c r="ZV58" s="76">
        <f t="shared" si="480"/>
        <v>0</v>
      </c>
      <c r="ZW58" s="81" cm="1">
        <f t="array" ref="ZW58">ROUND((IFERROR(INDEX(ArchiveResults!$F$5:$IX$116,ComparisonData!A58,ComparisonData!$ZW$1),0)),5)</f>
        <v>0</v>
      </c>
      <c r="ZX58" s="81" cm="1">
        <f t="array" ref="ZX58">ROUND((IFERROR(INDEX(ArchiveResults!$F$5:$IX$116,ComparisonData!A58,ComparisonData!$ZX$1),0)),5)</f>
        <v>0</v>
      </c>
      <c r="ZY58" s="81" cm="1">
        <f t="array" ref="ZY58">ROUND((IFERROR(INDEX(ArchiveResults!$F$5:$IX$116,ComparisonData!A58,ComparisonData!$ZY$1),0)),5)</f>
        <v>0</v>
      </c>
      <c r="ZZ58" s="81" cm="1">
        <f t="array" ref="ZZ58">ROUND((IFERROR(INDEX(ArchiveResults!$F$5:$IX$116,ComparisonData!A58,ComparisonData!$ZZ$1),0)),5)</f>
        <v>0</v>
      </c>
      <c r="AAA58" s="81" cm="1">
        <f t="array" ref="AAA58">ROUND((IFERROR(INDEX(ArchiveResults!$F$5:$IX$116,ComparisonData!A58,ComparisonData!$AAA$1),0)),5)</f>
        <v>0</v>
      </c>
      <c r="AAB58" s="81" cm="1">
        <f t="array" ref="AAB58">ROUND((IFERROR(INDEX(ArchiveResults!$F$5:$IX$116,ComparisonData!A58,ComparisonData!$AAB$1),0)),5)</f>
        <v>0</v>
      </c>
      <c r="AAC58" s="81" cm="1">
        <f t="array" ref="AAC58">ROUND((IFERROR(INDEX(ArchiveResults!$F$5:$IX$116,ComparisonData!A58,ComparisonData!$AAC$1),0)),5)</f>
        <v>0</v>
      </c>
      <c r="AAD58" s="81" cm="1">
        <f t="array" ref="AAD58">ROUND((IFERROR(INDEX(ArchiveResults!$F$5:$IX$116,ComparisonData!A58,ComparisonData!$AAD$1),0)),5)</f>
        <v>0</v>
      </c>
      <c r="AAE58" s="81" cm="1">
        <f t="array" ref="AAE58">ROUND((IFERROR(INDEX(ArchiveResults!$F$5:$IX$116,ComparisonData!A58,ComparisonData!$AAE$1),0)),5)</f>
        <v>0</v>
      </c>
      <c r="AAF58" s="81" cm="1">
        <f t="array" ref="AAF58">ROUND((IFERROR(INDEX(ArchiveResults!$F$5:$IX$116,ComparisonData!A58,ComparisonData!$AAF$1),0)),5)</f>
        <v>0</v>
      </c>
      <c r="AAG58" s="46">
        <f t="shared" si="481"/>
        <v>60</v>
      </c>
      <c r="AAH58" s="46">
        <f t="shared" si="629"/>
        <v>2.734</v>
      </c>
      <c r="AAI58" s="46">
        <f t="shared" si="482"/>
        <v>1</v>
      </c>
      <c r="AAJ58" s="46">
        <f t="shared" si="483"/>
        <v>2</v>
      </c>
      <c r="AAK58" s="46">
        <f t="shared" si="484"/>
        <v>0</v>
      </c>
      <c r="AAL58" s="46">
        <f t="shared" si="485"/>
        <v>0</v>
      </c>
      <c r="AAM58" s="46">
        <f t="shared" si="486"/>
        <v>0</v>
      </c>
      <c r="AAN58" s="46">
        <f t="shared" si="487"/>
        <v>0</v>
      </c>
      <c r="AAO58" s="46">
        <f t="shared" si="488"/>
        <v>0</v>
      </c>
      <c r="AAP58" s="46">
        <f t="shared" si="489"/>
        <v>0</v>
      </c>
      <c r="AAQ58" s="56">
        <v>53</v>
      </c>
      <c r="AAR58" s="53" t="str">
        <f t="shared" si="630"/>
        <v>Manchester Archives</v>
      </c>
      <c r="AAS58" s="60">
        <f t="shared" si="490"/>
        <v>0</v>
      </c>
      <c r="AAT58" s="60">
        <f t="shared" si="491"/>
        <v>0</v>
      </c>
      <c r="AAU58" s="60">
        <f t="shared" si="492"/>
        <v>0</v>
      </c>
      <c r="AAV58" s="60">
        <f t="shared" si="493"/>
        <v>0</v>
      </c>
      <c r="AAW58" s="60">
        <f t="shared" si="494"/>
        <v>0</v>
      </c>
      <c r="AAX58" s="76">
        <f t="shared" si="495"/>
        <v>0</v>
      </c>
      <c r="AAY58" s="46">
        <f t="shared" si="496"/>
        <v>60</v>
      </c>
      <c r="AAZ58" s="46">
        <f t="shared" si="631"/>
        <v>2.734</v>
      </c>
      <c r="ABA58" s="46">
        <f t="shared" si="497"/>
        <v>1</v>
      </c>
      <c r="ABB58" s="46">
        <f t="shared" si="498"/>
        <v>2</v>
      </c>
      <c r="ABC58" s="46">
        <f t="shared" si="102"/>
        <v>0</v>
      </c>
      <c r="ABD58" s="46" cm="1">
        <f t="array" ref="ABD58">ROUND(VALUE(IFERROR(INDEX(ArchiveResults!$F$5:$IX$116,ComparisonData!A58,ComparisonData!$ABD$1),0)),5)</f>
        <v>0</v>
      </c>
      <c r="ABE58" s="46" cm="1">
        <f t="array" ref="ABE58">ROUND(VALUE(IFERROR(INDEX(ArchiveResults!$F$5:$IX$116,ComparisonData!A58,ComparisonData!$ABE$1),0)),5)</f>
        <v>0</v>
      </c>
      <c r="ABF58" s="46" cm="1">
        <f t="array" ref="ABF58">ROUND(VALUE(IFERROR(INDEX(ArchiveResults!$F$5:$IX$116,ComparisonData!A58,ComparisonData!$ABF$1),0)),5)</f>
        <v>0</v>
      </c>
      <c r="ABG58" s="46" cm="1">
        <f t="array" ref="ABG58">ROUND(VALUE(IFERROR(INDEX(ArchiveResults!$F$5:$IX$116,ComparisonData!A58,ComparisonData!$ABG$1),0)),5)</f>
        <v>0</v>
      </c>
      <c r="ABH58" s="46" cm="1">
        <f t="array" ref="ABH58">ROUND(VALUE(IFERROR(INDEX(ArchiveResults!$F$5:$IX$116,ComparisonData!A58,ComparisonData!$ABH$1),0)),5)</f>
        <v>0</v>
      </c>
      <c r="ABI58" s="56">
        <v>53</v>
      </c>
      <c r="ABJ58" s="53" t="str">
        <f t="shared" si="632"/>
        <v>Manchester Archives</v>
      </c>
      <c r="ABK58" s="60">
        <f t="shared" si="499"/>
        <v>0</v>
      </c>
      <c r="ABL58" s="60">
        <f t="shared" si="500"/>
        <v>0</v>
      </c>
      <c r="ABM58" s="60">
        <f t="shared" si="501"/>
        <v>0</v>
      </c>
      <c r="ABN58" s="60">
        <f t="shared" si="502"/>
        <v>0</v>
      </c>
      <c r="ABO58" s="60">
        <f t="shared" si="503"/>
        <v>0</v>
      </c>
      <c r="ABP58" s="76">
        <f t="shared" si="504"/>
        <v>0</v>
      </c>
      <c r="ABQ58" s="46">
        <f t="shared" si="505"/>
        <v>60</v>
      </c>
      <c r="ABR58" s="46">
        <f t="shared" si="633"/>
        <v>2.734</v>
      </c>
      <c r="ABS58" s="46">
        <f t="shared" si="506"/>
        <v>1</v>
      </c>
      <c r="ABT58" s="46">
        <f t="shared" si="507"/>
        <v>2</v>
      </c>
      <c r="ABU58" s="46" cm="1">
        <f t="array" ref="ABU58">ROUND(VALUE(IFERROR(INDEX(ArchiveResults!$F$5:$IX$116,ComparisonData!A58,ComparisonData!$ABU$1),0)),5)</f>
        <v>0</v>
      </c>
      <c r="ABV58" s="46" cm="1">
        <f t="array" ref="ABV58">ROUND(VALUE(IFERROR(INDEX(ArchiveResults!$F$5:$IX$116,ComparisonData!A58,ComparisonData!$ABV$1),0)),5)</f>
        <v>0</v>
      </c>
      <c r="ABW58" s="46" cm="1">
        <f t="array" ref="ABW58">ROUND(VALUE(IFERROR(INDEX(ArchiveResults!$F$5:$IX$116,ComparisonData!A58,ComparisonData!$ABW$1),0)),5)</f>
        <v>0</v>
      </c>
      <c r="ABX58" s="46" cm="1">
        <f t="array" ref="ABX58">ROUND(VALUE(IFERROR(INDEX(ArchiveResults!$F$5:$IX$116,ComparisonData!A58,ComparisonData!$ABX$1),0)),5)</f>
        <v>0</v>
      </c>
      <c r="ABY58" s="46" cm="1">
        <f t="array" ref="ABY58">ROUND(VALUE(IFERROR(INDEX(ArchiveResults!$F$5:$IX$116,ComparisonData!A58,ComparisonData!$ABY$1),0)),5)</f>
        <v>0</v>
      </c>
      <c r="ABZ58" s="56">
        <v>53</v>
      </c>
      <c r="ACA58" s="53" t="str">
        <f t="shared" si="634"/>
        <v>Manchester Archives</v>
      </c>
      <c r="ACB58" s="60">
        <f t="shared" si="508"/>
        <v>0</v>
      </c>
      <c r="ACC58" s="60">
        <f t="shared" si="509"/>
        <v>0</v>
      </c>
      <c r="ACD58" s="60">
        <f t="shared" si="510"/>
        <v>0</v>
      </c>
      <c r="ACE58" s="60">
        <f t="shared" si="511"/>
        <v>0</v>
      </c>
      <c r="ACF58" s="60">
        <f t="shared" si="512"/>
        <v>0</v>
      </c>
      <c r="ACG58" s="76">
        <f t="shared" si="513"/>
        <v>0</v>
      </c>
      <c r="ACH58" s="46">
        <f t="shared" si="514"/>
        <v>60</v>
      </c>
      <c r="ACI58" s="46">
        <f t="shared" si="635"/>
        <v>2.734</v>
      </c>
      <c r="ACJ58" s="46">
        <f t="shared" si="515"/>
        <v>1</v>
      </c>
      <c r="ACK58" s="46">
        <f t="shared" si="516"/>
        <v>2</v>
      </c>
      <c r="ACL58" s="46">
        <f t="shared" si="517"/>
        <v>0</v>
      </c>
      <c r="ACM58" s="46" cm="1">
        <f t="array" ref="ACM58">ROUND(IFERROR(INDEX(ArchiveResults!$F$5:$IX$116,ComparisonData!A58,ComparisonData!$ACM$1),0),5)</f>
        <v>0</v>
      </c>
      <c r="ACN58" s="46" cm="1">
        <f t="array" ref="ACN58">ROUND(IFERROR(INDEX(ArchiveResults!$F$5:$IX$116,ComparisonData!A58,ComparisonData!$ACN$1),0),5)</f>
        <v>0</v>
      </c>
      <c r="ACO58" s="56">
        <v>53</v>
      </c>
      <c r="ACP58" s="53" t="str">
        <f t="shared" si="636"/>
        <v>Manchester Archives</v>
      </c>
      <c r="ACQ58" s="60">
        <f t="shared" si="518"/>
        <v>0</v>
      </c>
      <c r="ACR58" s="60">
        <f t="shared" si="519"/>
        <v>0</v>
      </c>
      <c r="ACS58" s="76">
        <f t="shared" si="520"/>
        <v>0</v>
      </c>
      <c r="ACT58" s="46">
        <f t="shared" si="521"/>
        <v>60</v>
      </c>
      <c r="ACU58" s="46">
        <f t="shared" si="637"/>
        <v>2.734</v>
      </c>
      <c r="ACV58" s="46">
        <f t="shared" si="522"/>
        <v>1</v>
      </c>
      <c r="ACW58" s="46">
        <f t="shared" si="523"/>
        <v>2</v>
      </c>
      <c r="ACX58" s="46">
        <f t="shared" si="524"/>
        <v>0</v>
      </c>
      <c r="ACY58" s="46" cm="1">
        <f t="array" ref="ACY58">ROUNDDOWN(IFERROR(INDEX(ArchiveResults!$F$5:$IX$116,ComparisonData!A58,ComparisonData!$ACY$1),0),5)</f>
        <v>0</v>
      </c>
      <c r="ACZ58" s="46" cm="1">
        <f t="array" ref="ACZ58">ROUNDDOWN(IFERROR(INDEX(ArchiveResults!$F$5:$IX$116,ComparisonData!A58,ComparisonData!$ACZ$1),0),5)</f>
        <v>0</v>
      </c>
      <c r="ADA58" s="46" cm="1">
        <f t="array" ref="ADA58">ROUNDDOWN(IFERROR(INDEX(ArchiveResults!$F$5:$IX$116,ComparisonData!A58,ComparisonData!$ADA$1),0),5)</f>
        <v>0</v>
      </c>
      <c r="ADB58" s="56">
        <v>53</v>
      </c>
      <c r="ADC58" s="53" t="str">
        <f t="shared" si="638"/>
        <v>Manchester Archives</v>
      </c>
      <c r="ADD58" s="60">
        <f t="shared" si="525"/>
        <v>0</v>
      </c>
      <c r="ADE58" s="60">
        <f t="shared" si="526"/>
        <v>0</v>
      </c>
      <c r="ADF58" s="60">
        <f t="shared" si="527"/>
        <v>0</v>
      </c>
      <c r="ADG58" s="76">
        <f t="shared" si="528"/>
        <v>0</v>
      </c>
    </row>
    <row r="59" spans="1:787" x14ac:dyDescent="0.25">
      <c r="A59" s="46" t="str">
        <f>IF(ISBLANK(ComparisonSelection!F55),"",ROW()-5)</f>
        <v/>
      </c>
      <c r="B59" s="53" t="s">
        <v>508</v>
      </c>
      <c r="C59" s="72">
        <v>0.56399999999999961</v>
      </c>
      <c r="D59" s="55">
        <f t="shared" si="110"/>
        <v>26</v>
      </c>
      <c r="E59" s="54">
        <f t="shared" si="111"/>
        <v>2.5639999999999996</v>
      </c>
      <c r="F59" s="54">
        <f t="shared" si="529"/>
        <v>1</v>
      </c>
      <c r="G59" s="72">
        <f t="shared" si="112"/>
        <v>2</v>
      </c>
      <c r="H59" s="72">
        <f t="shared" si="113"/>
        <v>0</v>
      </c>
      <c r="I59" s="46" cm="1">
        <f t="array" ref="I59">ROUND(IFERROR(INDEX(ArchiveResults!$F$5:$IX$116,ComparisonData!A59,ComparisonData!$I$1),0),5)</f>
        <v>0</v>
      </c>
      <c r="J59" s="46" cm="1">
        <f t="array" ref="J59">ROUND(IFERROR(INDEX(ArchiveResults!$F$5:$IX$116,ComparisonData!A59,ComparisonData!$J$1),0),5)</f>
        <v>0</v>
      </c>
      <c r="K59" s="56">
        <v>54</v>
      </c>
      <c r="L59" s="53" t="str">
        <f t="shared" si="114"/>
        <v>National Library of Scotland</v>
      </c>
      <c r="M59" s="57">
        <f t="shared" si="530"/>
        <v>0</v>
      </c>
      <c r="N59" s="57">
        <f t="shared" si="531"/>
        <v>0</v>
      </c>
      <c r="O59" s="58">
        <f t="shared" si="115"/>
        <v>0</v>
      </c>
      <c r="P59" s="48">
        <f t="shared" si="116"/>
        <v>26</v>
      </c>
      <c r="Q59" s="54">
        <f t="shared" si="532"/>
        <v>2.5639999999999996</v>
      </c>
      <c r="R59" s="45">
        <f t="shared" si="117"/>
        <v>1</v>
      </c>
      <c r="S59" s="46">
        <f t="shared" si="118"/>
        <v>2</v>
      </c>
      <c r="T59" s="72">
        <f t="shared" si="119"/>
        <v>0</v>
      </c>
      <c r="U59" s="46" cm="1">
        <f t="array" ref="U59">ROUND(IFERROR(INDEX(ArchiveResults!$F$5:$IX$116,ComparisonData!A59,ComparisonData!$U$1),0),5)</f>
        <v>0</v>
      </c>
      <c r="V59" s="46" cm="1">
        <f t="array" ref="V59">ROUND(IFERROR(INDEX(ArchiveResults!$F$5:$IX$116,ComparisonData!A59,ComparisonData!$V$1),0),5)</f>
        <v>0</v>
      </c>
      <c r="W59" s="56">
        <v>54</v>
      </c>
      <c r="X59" s="53" t="str">
        <f t="shared" si="533"/>
        <v>National Library of Scotland</v>
      </c>
      <c r="Y59" s="57">
        <f t="shared" si="120"/>
        <v>0</v>
      </c>
      <c r="Z59" s="57">
        <f t="shared" si="121"/>
        <v>0</v>
      </c>
      <c r="AA59" s="58">
        <f t="shared" si="122"/>
        <v>0</v>
      </c>
      <c r="AB59" s="45">
        <f t="shared" si="123"/>
        <v>26</v>
      </c>
      <c r="AC59" s="54">
        <f t="shared" si="534"/>
        <v>2.5639999999999996</v>
      </c>
      <c r="AD59" s="45">
        <f t="shared" si="124"/>
        <v>1</v>
      </c>
      <c r="AE59" s="45">
        <f t="shared" si="125"/>
        <v>2</v>
      </c>
      <c r="AF59" s="45">
        <f t="shared" si="126"/>
        <v>0</v>
      </c>
      <c r="AG59" s="46" cm="1">
        <f t="array" ref="AG59">ROUND(IFERROR(INDEX(ArchiveResults!$F$5:$IX$116,ComparisonData!A59,ComparisonData!$AG$1),0),5)</f>
        <v>0</v>
      </c>
      <c r="AH59" s="46" cm="1">
        <f t="array" ref="AH59">ROUND(IFERROR(INDEX(ArchiveResults!$F$5:$IX$116,ComparisonData!A59,ComparisonData!$AH$1),0),5)</f>
        <v>0</v>
      </c>
      <c r="AI59" s="56">
        <v>54</v>
      </c>
      <c r="AJ59" s="53" t="str">
        <f t="shared" si="535"/>
        <v>National Library of Scotland</v>
      </c>
      <c r="AK59" s="59">
        <f t="shared" si="536"/>
        <v>0</v>
      </c>
      <c r="AL59" s="59">
        <f t="shared" si="537"/>
        <v>0</v>
      </c>
      <c r="AM59" s="58">
        <f t="shared" si="127"/>
        <v>0</v>
      </c>
      <c r="AN59" s="45">
        <f t="shared" si="128"/>
        <v>26</v>
      </c>
      <c r="AO59" s="54">
        <f t="shared" si="538"/>
        <v>2.5639999999999996</v>
      </c>
      <c r="AP59" s="45">
        <f t="shared" si="129"/>
        <v>1</v>
      </c>
      <c r="AQ59" s="45">
        <f t="shared" si="130"/>
        <v>2</v>
      </c>
      <c r="AR59" s="46" cm="1">
        <f t="array" ref="AR59">ROUND(IFERROR(INDEX(ArchiveResults!$F$5:$IX$116,ComparisonData!A59,ComparisonData!$AR$1),0),5)</f>
        <v>0</v>
      </c>
      <c r="AS59" s="46" cm="1">
        <f t="array" ref="AS59">ROUND(IFERROR(INDEX(ArchiveResults!$F$5:$IX$116,ComparisonData!A59,ComparisonData!$AS$1),0),5)</f>
        <v>0</v>
      </c>
      <c r="AT59" s="46" cm="1">
        <f t="array" ref="AT59">ROUND(IFERROR(INDEX(ArchiveResults!$F$5:$IX$116,ComparisonData!A59,ComparisonData!$AT$1),0),5)</f>
        <v>0</v>
      </c>
      <c r="AU59" s="46" cm="1">
        <f t="array" ref="AU59">ROUND(IFERROR(INDEX(ArchiveResults!$F$5:$IX$116,ComparisonData!A59,ComparisonData!$AU$1),0),5)</f>
        <v>0</v>
      </c>
      <c r="AV59" s="46" cm="1">
        <f t="array" ref="AV59">ROUND(IFERROR(INDEX(ArchiveResults!$F$5:$IX$116,ComparisonData!A59,ComparisonData!$AV$1),0),5)</f>
        <v>0</v>
      </c>
      <c r="AW59" s="46" cm="1">
        <f t="array" ref="AW59">ROUND(IFERROR(INDEX(ArchiveResults!$F$5:$IX$116,ComparisonData!A59,ComparisonData!$AW$1),0),5)</f>
        <v>0</v>
      </c>
      <c r="AX59" s="46" cm="1">
        <f t="array" ref="AX59">ROUND(IFERROR(INDEX(ArchiveResults!$F$5:$IX$116,ComparisonData!A59,ComparisonData!$AX$1),0),5)</f>
        <v>0</v>
      </c>
      <c r="AY59" s="46" cm="1">
        <f t="array" ref="AY59">ROUND(IFERROR(INDEX(ArchiveResults!$F$5:$IX$116,ComparisonData!A59,ComparisonData!$AY$1),0),5)</f>
        <v>0</v>
      </c>
      <c r="AZ59" s="46" cm="1">
        <f t="array" ref="AZ59">ROUND(IFERROR(INDEX(ArchiveResults!$F$5:$IX$116,ComparisonData!A59,ComparisonData!$AZ$1),0),5)</f>
        <v>0</v>
      </c>
      <c r="BA59" s="46" cm="1">
        <f t="array" ref="BA59">ROUND(IFERROR(INDEX(ArchiveResults!$F$5:$IX$116,ComparisonData!A59,ComparisonData!$BA$1),0),5)</f>
        <v>0</v>
      </c>
      <c r="BB59" s="56">
        <v>54</v>
      </c>
      <c r="BC59" s="53" t="str">
        <f t="shared" si="539"/>
        <v>National Library of Scotland</v>
      </c>
      <c r="BD59" s="60">
        <f t="shared" si="131"/>
        <v>0</v>
      </c>
      <c r="BE59" s="60">
        <f t="shared" si="132"/>
        <v>0</v>
      </c>
      <c r="BF59" s="60">
        <f t="shared" si="133"/>
        <v>0</v>
      </c>
      <c r="BG59" s="60">
        <f t="shared" si="134"/>
        <v>0</v>
      </c>
      <c r="BH59" s="60">
        <f t="shared" si="135"/>
        <v>0</v>
      </c>
      <c r="BI59" s="60">
        <f t="shared" si="136"/>
        <v>0</v>
      </c>
      <c r="BJ59" s="60">
        <f t="shared" si="137"/>
        <v>0</v>
      </c>
      <c r="BK59" s="60">
        <f t="shared" si="138"/>
        <v>0</v>
      </c>
      <c r="BL59" s="60">
        <f t="shared" si="139"/>
        <v>0</v>
      </c>
      <c r="BM59" s="59">
        <f t="shared" si="140"/>
        <v>0</v>
      </c>
      <c r="BN59" s="58">
        <f t="shared" si="141"/>
        <v>0</v>
      </c>
      <c r="BO59" s="45">
        <f t="shared" si="142"/>
        <v>26</v>
      </c>
      <c r="BP59" s="54">
        <f t="shared" si="540"/>
        <v>2.5639999999999996</v>
      </c>
      <c r="BQ59" s="45">
        <f t="shared" si="143"/>
        <v>1</v>
      </c>
      <c r="BR59" s="45">
        <f t="shared" si="144"/>
        <v>2</v>
      </c>
      <c r="BS59" s="46" cm="1">
        <f t="array" ref="BS59">ROUND(IFERROR(INDEX(ArchiveResults!$F$5:$IX$116,ComparisonData!A59,ComparisonData!$BS$1),0),5)</f>
        <v>0</v>
      </c>
      <c r="BT59" s="46" cm="1">
        <f t="array" ref="BT59">ROUND(IFERROR(INDEX(ArchiveResults!$F$5:$IX$116,ComparisonData!A59,ComparisonData!$BT$1),0),5)</f>
        <v>0</v>
      </c>
      <c r="BU59" s="46" cm="1">
        <f t="array" ref="BU59">ROUND(IFERROR(INDEX(ArchiveResults!$F$5:$IX$116,ComparisonData!A59,ComparisonData!$BU$1),0),5)</f>
        <v>0</v>
      </c>
      <c r="BV59" s="46" cm="1">
        <f t="array" ref="BV59">ROUND(IFERROR(INDEX(ArchiveResults!$F$5:$IX$116,ComparisonData!A59,ComparisonData!$BV$1),0),5)</f>
        <v>0</v>
      </c>
      <c r="BW59" s="46" cm="1">
        <f t="array" ref="BW59">ROUND(IFERROR(INDEX(ArchiveResults!$F$5:$IX$116,ComparisonData!A59,ComparisonData!$BW$1),0),5)</f>
        <v>0</v>
      </c>
      <c r="BX59" s="46" cm="1">
        <f t="array" ref="BX59">ROUND(IFERROR(INDEX(ArchiveResults!$F$5:$IX$116,ComparisonData!A59,ComparisonData!$BX$1),0),5)</f>
        <v>0</v>
      </c>
      <c r="BY59" s="56">
        <v>54</v>
      </c>
      <c r="BZ59" s="53" t="str">
        <f t="shared" si="541"/>
        <v>National Library of Scotland</v>
      </c>
      <c r="CA59" s="59">
        <f t="shared" si="145"/>
        <v>0</v>
      </c>
      <c r="CB59" s="59">
        <f t="shared" si="146"/>
        <v>0</v>
      </c>
      <c r="CC59" s="59">
        <f t="shared" si="147"/>
        <v>0</v>
      </c>
      <c r="CD59" s="59">
        <f t="shared" si="148"/>
        <v>0</v>
      </c>
      <c r="CE59" s="59">
        <f t="shared" si="149"/>
        <v>0</v>
      </c>
      <c r="CF59" s="59">
        <f t="shared" si="150"/>
        <v>0</v>
      </c>
      <c r="CG59" s="58">
        <f t="shared" si="151"/>
        <v>0</v>
      </c>
      <c r="CH59" s="45">
        <f t="shared" si="152"/>
        <v>26</v>
      </c>
      <c r="CI59" s="54">
        <f t="shared" si="542"/>
        <v>2.5639999999999996</v>
      </c>
      <c r="CJ59" s="45">
        <f t="shared" si="153"/>
        <v>1</v>
      </c>
      <c r="CK59" s="45">
        <f t="shared" si="154"/>
        <v>2</v>
      </c>
      <c r="CL59" s="46" cm="1">
        <f t="array" ref="CL59">ROUND(IFERROR(INDEX(ArchiveResults!$F$5:$IX$116,ComparisonData!A59,ComparisonData!$CL$1),0),5)</f>
        <v>0</v>
      </c>
      <c r="CM59" s="56">
        <v>54</v>
      </c>
      <c r="CN59" s="53" t="str">
        <f t="shared" si="543"/>
        <v>National Library of Scotland</v>
      </c>
      <c r="CO59" s="45">
        <f t="shared" si="155"/>
        <v>0</v>
      </c>
      <c r="CP59" s="58">
        <f t="shared" si="156"/>
        <v>0</v>
      </c>
      <c r="CQ59" s="45">
        <f t="shared" si="157"/>
        <v>26</v>
      </c>
      <c r="CR59" s="54">
        <f t="shared" si="544"/>
        <v>2.5639999999999996</v>
      </c>
      <c r="CS59" s="45">
        <f t="shared" si="158"/>
        <v>1</v>
      </c>
      <c r="CT59" s="45">
        <f t="shared" si="159"/>
        <v>2</v>
      </c>
      <c r="CU59" s="46" cm="1">
        <f t="array" ref="CU59">ROUND(IFERROR(INDEX(ArchiveResults!$F$5:$IX$116,ComparisonData!A59,ComparisonData!$CU$1),0),5)</f>
        <v>0</v>
      </c>
      <c r="CV59" s="56">
        <v>54</v>
      </c>
      <c r="CW59" s="53" t="str">
        <f t="shared" si="545"/>
        <v>National Library of Scotland</v>
      </c>
      <c r="CX59" s="45">
        <f t="shared" si="160"/>
        <v>0</v>
      </c>
      <c r="CY59" s="58">
        <f t="shared" si="161"/>
        <v>0</v>
      </c>
      <c r="CZ59" s="45">
        <f t="shared" si="162"/>
        <v>26</v>
      </c>
      <c r="DA59" s="54">
        <f t="shared" si="546"/>
        <v>2.5639999999999996</v>
      </c>
      <c r="DB59" s="45">
        <f t="shared" si="163"/>
        <v>1</v>
      </c>
      <c r="DC59" s="45">
        <f t="shared" si="164"/>
        <v>2</v>
      </c>
      <c r="DD59" s="46" cm="1">
        <f t="array" ref="DD59">ROUND(IFERROR(INDEX(ArchiveResults!$F$5:$IX$116,ComparisonData!A59,ComparisonData!$DD$1),0),5)</f>
        <v>0</v>
      </c>
      <c r="DE59" s="56">
        <v>54</v>
      </c>
      <c r="DF59" s="53" t="str">
        <f t="shared" si="547"/>
        <v>National Library of Scotland</v>
      </c>
      <c r="DG59" s="45">
        <f t="shared" si="165"/>
        <v>0</v>
      </c>
      <c r="DH59" s="58">
        <f t="shared" si="166"/>
        <v>0</v>
      </c>
      <c r="DI59" s="45">
        <f t="shared" si="167"/>
        <v>26</v>
      </c>
      <c r="DJ59" s="54">
        <f t="shared" si="548"/>
        <v>2.5639999999999996</v>
      </c>
      <c r="DK59" s="45">
        <f t="shared" si="168"/>
        <v>1</v>
      </c>
      <c r="DL59" s="45">
        <f t="shared" si="169"/>
        <v>2</v>
      </c>
      <c r="DM59" s="46" cm="1">
        <f t="array" ref="DM59">ROUND(IFERROR(INDEX(ArchiveResults!$F$5:$IX$116,ComparisonData!A59,ComparisonData!$DM$1),0),5)</f>
        <v>0</v>
      </c>
      <c r="DN59" s="46" cm="1">
        <f t="array" ref="DN59">ROUND(IFERROR(INDEX(ArchiveResults!$F$5:$IX$116,ComparisonData!A59,ComparisonData!$DN$1),0),5)</f>
        <v>0</v>
      </c>
      <c r="DO59" s="46" cm="1">
        <f t="array" ref="DO59">ROUND(IFERROR(INDEX(ArchiveResults!$F$5:$IX$116,ComparisonData!A59,ComparisonData!$DO$1),0),5)</f>
        <v>0</v>
      </c>
      <c r="DP59" s="46" cm="1">
        <f t="array" ref="DP59">ROUND(IFERROR(INDEX(ArchiveResults!$F$5:$IX$116,ComparisonData!A59,ComparisonData!$DP$1),0),5)</f>
        <v>0</v>
      </c>
      <c r="DQ59" s="45" cm="1">
        <f t="array" ref="DQ59">IFERROR(INDEX(ArchiveResults!$F$5:$IX$116,ComparisonData!A59,ComparisonData!$DQ$1),0)</f>
        <v>0</v>
      </c>
      <c r="DR59" s="56">
        <v>54</v>
      </c>
      <c r="DS59" s="53" t="str">
        <f t="shared" si="549"/>
        <v>National Library of Scotland</v>
      </c>
      <c r="DT59" s="59">
        <f t="shared" si="170"/>
        <v>0</v>
      </c>
      <c r="DU59" s="59">
        <f t="shared" si="171"/>
        <v>0</v>
      </c>
      <c r="DV59" s="59">
        <f t="shared" si="172"/>
        <v>0</v>
      </c>
      <c r="DW59" s="59">
        <f t="shared" si="173"/>
        <v>0</v>
      </c>
      <c r="DX59" s="59">
        <f t="shared" si="174"/>
        <v>0</v>
      </c>
      <c r="DY59" s="58">
        <f t="shared" si="175"/>
        <v>0</v>
      </c>
      <c r="DZ59" s="45">
        <f t="shared" si="176"/>
        <v>26</v>
      </c>
      <c r="EA59" s="54">
        <f t="shared" si="550"/>
        <v>2.5639999999999996</v>
      </c>
      <c r="EB59" s="45">
        <f t="shared" si="177"/>
        <v>1</v>
      </c>
      <c r="EC59" s="45">
        <f t="shared" si="178"/>
        <v>2</v>
      </c>
      <c r="ED59" s="46" cm="1">
        <f t="array" ref="ED59">ROUND(IFERROR(INDEX(ArchiveResults!$F$5:$IX$116,ComparisonData!A59,ComparisonData!$ED$1),0),5)</f>
        <v>0</v>
      </c>
      <c r="EE59" s="46" cm="1">
        <f t="array" ref="EE59">ROUND(IFERROR(INDEX(ArchiveResults!$F$5:$IX$116,ComparisonData!A59,ComparisonData!$EE$1),0),5)</f>
        <v>0</v>
      </c>
      <c r="EF59" s="46" cm="1">
        <f t="array" ref="EF59">ROUND(IFERROR(INDEX(ArchiveResults!$F$5:$IX$116,ComparisonData!A59,ComparisonData!$EF$1),0),5)</f>
        <v>0</v>
      </c>
      <c r="EG59" s="46" cm="1">
        <f t="array" ref="EG59">ROUND(IFERROR(INDEX(ArchiveResults!$F$5:$IX$116,ComparisonData!A59,ComparisonData!$EG$1),0),5)</f>
        <v>0</v>
      </c>
      <c r="EH59" s="45" cm="1">
        <f t="array" ref="EH59">IFERROR(INDEX(ArchiveResults!$F$5:$IX$116,ComparisonData!A59,ComparisonData!$EH$1),0)</f>
        <v>0</v>
      </c>
      <c r="EI59" s="56">
        <v>54</v>
      </c>
      <c r="EJ59" s="53" t="str">
        <f t="shared" si="551"/>
        <v>National Library of Scotland</v>
      </c>
      <c r="EK59" s="59">
        <f t="shared" si="179"/>
        <v>0</v>
      </c>
      <c r="EL59" s="59">
        <f t="shared" si="180"/>
        <v>0</v>
      </c>
      <c r="EM59" s="59">
        <f t="shared" si="181"/>
        <v>0</v>
      </c>
      <c r="EN59" s="59">
        <f t="shared" si="182"/>
        <v>0</v>
      </c>
      <c r="EO59" s="59">
        <f t="shared" si="183"/>
        <v>0</v>
      </c>
      <c r="EP59" s="58">
        <f t="shared" si="184"/>
        <v>0</v>
      </c>
      <c r="EQ59" s="45">
        <f t="shared" si="185"/>
        <v>26</v>
      </c>
      <c r="ER59" s="54">
        <f t="shared" si="552"/>
        <v>2.5639999999999996</v>
      </c>
      <c r="ES59" s="45">
        <f t="shared" si="186"/>
        <v>1</v>
      </c>
      <c r="ET59" s="45">
        <f t="shared" si="187"/>
        <v>2</v>
      </c>
      <c r="EU59" s="46" cm="1">
        <f t="array" ref="EU59">ROUND(IFERROR(INDEX(ArchiveResults!$F$5:$IX$116,ComparisonData!A59,ComparisonData!$EU$1),0),5)</f>
        <v>0</v>
      </c>
      <c r="EV59" s="46" cm="1">
        <f t="array" ref="EV59">ROUND(IFERROR(INDEX(ArchiveResults!$F$5:$IX$116,ComparisonData!A59,ComparisonData!$EV$1),0),5)</f>
        <v>0</v>
      </c>
      <c r="EW59" s="46" cm="1">
        <f t="array" ref="EW59">ROUND(IFERROR(INDEX(ArchiveResults!$F$5:$IX$116,ComparisonData!A59,ComparisonData!$EW$1),0),5)</f>
        <v>0</v>
      </c>
      <c r="EX59" s="46" cm="1">
        <f t="array" ref="EX59">ROUND(IFERROR(INDEX(ArchiveResults!$F$5:$IX$116,ComparisonData!A59,ComparisonData!$EX$1),0),5)</f>
        <v>0</v>
      </c>
      <c r="EY59" s="45" cm="1">
        <f t="array" ref="EY59">IFERROR(INDEX(ArchiveResults!$F$5:$IX$116,ComparisonData!A59,ComparisonData!$EY$1),0)</f>
        <v>0</v>
      </c>
      <c r="EZ59" s="56">
        <v>54</v>
      </c>
      <c r="FA59" s="53" t="str">
        <f t="shared" si="553"/>
        <v>National Library of Scotland</v>
      </c>
      <c r="FB59" s="59">
        <f t="shared" si="188"/>
        <v>0</v>
      </c>
      <c r="FC59" s="59">
        <f t="shared" si="189"/>
        <v>0</v>
      </c>
      <c r="FD59" s="59">
        <f t="shared" si="190"/>
        <v>0</v>
      </c>
      <c r="FE59" s="59">
        <f t="shared" si="191"/>
        <v>0</v>
      </c>
      <c r="FF59" s="59">
        <f t="shared" si="192"/>
        <v>0</v>
      </c>
      <c r="FG59" s="58">
        <f t="shared" si="193"/>
        <v>0</v>
      </c>
      <c r="FH59" s="45">
        <f t="shared" si="194"/>
        <v>26</v>
      </c>
      <c r="FI59" s="54">
        <f t="shared" si="554"/>
        <v>2.5639999999999996</v>
      </c>
      <c r="FJ59" s="45">
        <f t="shared" si="195"/>
        <v>1</v>
      </c>
      <c r="FK59" s="45">
        <f t="shared" si="196"/>
        <v>2</v>
      </c>
      <c r="FL59" s="46" cm="1">
        <f t="array" ref="FL59">ROUND(IFERROR(INDEX(ArchiveResults!$F$5:$IX$116,ComparisonData!A59,ComparisonData!$FL$1),0),5)</f>
        <v>0</v>
      </c>
      <c r="FM59" s="46" cm="1">
        <f t="array" ref="FM59">ROUND(IFERROR(INDEX(ArchiveResults!$F$5:$IX$116,ComparisonData!A59,ComparisonData!$FM$1),0),5)</f>
        <v>0</v>
      </c>
      <c r="FN59" s="46" cm="1">
        <f t="array" ref="FN59">ROUND(IFERROR(INDEX(ArchiveResults!$F$5:$IX$116,ComparisonData!A59,ComparisonData!$FN$1),0),5)</f>
        <v>0</v>
      </c>
      <c r="FO59" s="46" cm="1">
        <f t="array" ref="FO59">ROUND(IFERROR(INDEX(ArchiveResults!$F$5:$IX$116,ComparisonData!A59,ComparisonData!$FO$1),0),5)</f>
        <v>0</v>
      </c>
      <c r="FP59" s="45" cm="1">
        <f t="array" ref="FP59">IFERROR(INDEX(ArchiveResults!$F$5:$IX$116,ComparisonData!A59,ComparisonData!$FP$1),0)</f>
        <v>0</v>
      </c>
      <c r="FQ59" s="56">
        <v>54</v>
      </c>
      <c r="FR59" s="53" t="str">
        <f t="shared" si="555"/>
        <v>National Library of Scotland</v>
      </c>
      <c r="FS59" s="59">
        <f t="shared" si="197"/>
        <v>0</v>
      </c>
      <c r="FT59" s="59">
        <f t="shared" si="198"/>
        <v>0</v>
      </c>
      <c r="FU59" s="59">
        <f t="shared" si="199"/>
        <v>0</v>
      </c>
      <c r="FV59" s="59">
        <f t="shared" si="200"/>
        <v>0</v>
      </c>
      <c r="FW59" s="59">
        <f t="shared" si="201"/>
        <v>0</v>
      </c>
      <c r="FX59" s="58">
        <f t="shared" si="202"/>
        <v>0</v>
      </c>
      <c r="FY59" s="45">
        <f t="shared" si="203"/>
        <v>26</v>
      </c>
      <c r="FZ59" s="45">
        <f t="shared" si="556"/>
        <v>2.5639999999999996</v>
      </c>
      <c r="GA59" s="45">
        <f t="shared" si="204"/>
        <v>1</v>
      </c>
      <c r="GB59" s="45">
        <f t="shared" si="205"/>
        <v>2</v>
      </c>
      <c r="GC59" s="46" cm="1">
        <f t="array" ref="GC59">ROUND(IFERROR(INDEX(ArchiveResults!$F$5:$IX$116,ComparisonData!A59,ComparisonData!$GC$1),0),5)</f>
        <v>0</v>
      </c>
      <c r="GD59" s="46" cm="1">
        <f t="array" ref="GD59">ROUND(IFERROR(INDEX(ArchiveResults!$F$5:$IX$116,ComparisonData!A59,ComparisonData!$GD$1),0),5)</f>
        <v>0</v>
      </c>
      <c r="GE59" s="46" cm="1">
        <f t="array" ref="GE59">ROUND(IFERROR(INDEX(ArchiveResults!$F$5:$IX$116,ComparisonData!A59,ComparisonData!$GE$1),0),5)</f>
        <v>0</v>
      </c>
      <c r="GF59" s="46" cm="1">
        <f t="array" ref="GF59">ROUND(IFERROR(INDEX(ArchiveResults!$F$5:$IX$116,ComparisonData!A59,ComparisonData!$GF$1),0),5)</f>
        <v>0</v>
      </c>
      <c r="GG59" s="45" cm="1">
        <f t="array" ref="GG59">IFERROR(INDEX(ArchiveResults!$F$5:$IX$116,ComparisonData!A59,ComparisonData!$GG$1),0)</f>
        <v>0</v>
      </c>
      <c r="GH59" s="56">
        <v>54</v>
      </c>
      <c r="GI59" s="53" t="str">
        <f t="shared" si="557"/>
        <v>National Library of Scotland</v>
      </c>
      <c r="GJ59" s="59">
        <f t="shared" si="206"/>
        <v>0</v>
      </c>
      <c r="GK59" s="59">
        <f t="shared" si="207"/>
        <v>0</v>
      </c>
      <c r="GL59" s="59">
        <f t="shared" si="208"/>
        <v>0</v>
      </c>
      <c r="GM59" s="59">
        <f t="shared" si="209"/>
        <v>0</v>
      </c>
      <c r="GN59" s="59">
        <f t="shared" si="210"/>
        <v>0</v>
      </c>
      <c r="GO59" s="58">
        <f t="shared" si="211"/>
        <v>0</v>
      </c>
      <c r="GP59" s="45">
        <f t="shared" si="212"/>
        <v>26</v>
      </c>
      <c r="GQ59" s="45">
        <f t="shared" si="558"/>
        <v>2.5639999999999996</v>
      </c>
      <c r="GR59" s="45">
        <f t="shared" si="213"/>
        <v>1</v>
      </c>
      <c r="GS59" s="45">
        <f t="shared" si="214"/>
        <v>2</v>
      </c>
      <c r="GT59" s="46" cm="1">
        <f t="array" ref="GT59">ROUND(IFERROR(INDEX(ArchiveResults!$F$5:$IX$116,ComparisonData!A59,ComparisonData!$GT$1),0),5)</f>
        <v>0</v>
      </c>
      <c r="GU59" s="46" cm="1">
        <f t="array" ref="GU59">ROUND(IFERROR(INDEX(ArchiveResults!$F$5:$IX$116,ComparisonData!A59,ComparisonData!$GU$1),0),5)</f>
        <v>0</v>
      </c>
      <c r="GV59" s="46" cm="1">
        <f t="array" ref="GV59">ROUND(IFERROR(INDEX(ArchiveResults!$F$5:$IX$116,ComparisonData!A59,ComparisonData!$GV$1),0),5)</f>
        <v>0</v>
      </c>
      <c r="GW59" s="46" cm="1">
        <f t="array" ref="GW59">ROUND(IFERROR(INDEX(ArchiveResults!$F$5:$IX$116,ComparisonData!A59,ComparisonData!$GW$1),0),5)</f>
        <v>0</v>
      </c>
      <c r="GX59" s="45" cm="1">
        <f t="array" ref="GX59">IFERROR(INDEX(ArchiveResults!$F$5:$IX$116,ComparisonData!A59,ComparisonData!$GX$1),0)</f>
        <v>0</v>
      </c>
      <c r="GY59" s="56">
        <v>54</v>
      </c>
      <c r="GZ59" s="53" t="str">
        <f t="shared" si="559"/>
        <v>National Library of Scotland</v>
      </c>
      <c r="HA59" s="59">
        <f t="shared" si="215"/>
        <v>0</v>
      </c>
      <c r="HB59" s="59">
        <f t="shared" si="216"/>
        <v>0</v>
      </c>
      <c r="HC59" s="59">
        <f t="shared" si="217"/>
        <v>0</v>
      </c>
      <c r="HD59" s="59">
        <f t="shared" si="218"/>
        <v>0</v>
      </c>
      <c r="HE59" s="59">
        <f t="shared" si="219"/>
        <v>0</v>
      </c>
      <c r="HF59" s="58">
        <f t="shared" si="220"/>
        <v>0</v>
      </c>
      <c r="HG59" s="45">
        <f t="shared" si="221"/>
        <v>26</v>
      </c>
      <c r="HH59" s="45">
        <f t="shared" si="560"/>
        <v>2.5639999999999996</v>
      </c>
      <c r="HI59" s="45">
        <f t="shared" si="222"/>
        <v>1</v>
      </c>
      <c r="HJ59" s="45">
        <f t="shared" si="223"/>
        <v>2</v>
      </c>
      <c r="HK59" s="46" cm="1">
        <f t="array" ref="HK59">ROUND(IFERROR(INDEX(ArchiveResults!$F$5:$IX$116,ComparisonData!A59,ComparisonData!$HK$1),0),5)</f>
        <v>0</v>
      </c>
      <c r="HL59" s="46" cm="1">
        <f t="array" ref="HL59">ROUND(IFERROR(INDEX(ArchiveResults!$F$5:$IX$116,ComparisonData!A59,ComparisonData!$HL$1),0),5)</f>
        <v>0</v>
      </c>
      <c r="HM59" s="46" cm="1">
        <f t="array" ref="HM59">ROUND(IFERROR(INDEX(ArchiveResults!$F$5:$IX$116,ComparisonData!A59,ComparisonData!$HM$1),0),5)</f>
        <v>0</v>
      </c>
      <c r="HN59" s="46" cm="1">
        <f t="array" ref="HN59">ROUND(IFERROR(INDEX(ArchiveResults!$F$5:$IX$116,ComparisonData!A59,ComparisonData!$HN$1),0),5)</f>
        <v>0</v>
      </c>
      <c r="HO59" s="45" cm="1">
        <f t="array" ref="HO59">IFERROR(INDEX(ArchiveResults!$F$5:$IX$116,ComparisonData!A59,ComparisonData!$HO$1),0)</f>
        <v>0</v>
      </c>
      <c r="HP59" s="56">
        <v>54</v>
      </c>
      <c r="HQ59" s="53" t="str">
        <f t="shared" si="561"/>
        <v>National Library of Scotland</v>
      </c>
      <c r="HR59" s="59">
        <f t="shared" si="562"/>
        <v>0</v>
      </c>
      <c r="HS59" s="59">
        <f t="shared" si="563"/>
        <v>0</v>
      </c>
      <c r="HT59" s="59">
        <f t="shared" si="564"/>
        <v>0</v>
      </c>
      <c r="HU59" s="59">
        <f t="shared" si="565"/>
        <v>0</v>
      </c>
      <c r="HV59" s="59">
        <f t="shared" si="566"/>
        <v>0</v>
      </c>
      <c r="HW59" s="58">
        <f t="shared" si="224"/>
        <v>0</v>
      </c>
      <c r="HX59" s="45">
        <f t="shared" si="225"/>
        <v>26</v>
      </c>
      <c r="HY59" s="45">
        <f t="shared" si="567"/>
        <v>2.5639999999999996</v>
      </c>
      <c r="HZ59" s="45">
        <f t="shared" si="226"/>
        <v>1</v>
      </c>
      <c r="IA59" s="45">
        <f t="shared" si="227"/>
        <v>2</v>
      </c>
      <c r="IB59" s="45">
        <f t="shared" si="228"/>
        <v>0</v>
      </c>
      <c r="IC59" s="46" cm="1">
        <f t="array" ref="IC59">ROUND(IFERROR(INDEX(ArchiveResults!$F$5:$IX$116,ComparisonData!A59,ComparisonData!$IC$1),0),5)</f>
        <v>0</v>
      </c>
      <c r="ID59" s="46" cm="1">
        <f t="array" ref="ID59">ROUND(IFERROR(INDEX(ArchiveResults!$F$5:$IX$116,ComparisonData!A59,ComparisonData!$ID$1),0),5)</f>
        <v>0</v>
      </c>
      <c r="IE59" s="46" cm="1">
        <f t="array" ref="IE59">ROUND(IFERROR(INDEX(ArchiveResults!$F$5:$IX$116,ComparisonData!A59,ComparisonData!$IE$1),0),5)</f>
        <v>0</v>
      </c>
      <c r="IF59" s="46" cm="1">
        <f t="array" ref="IF59">ROUND(IFERROR(INDEX(ArchiveResults!$F$5:$IX$116,ComparisonData!A59,ComparisonData!$IF$1),0),5)</f>
        <v>0</v>
      </c>
      <c r="IG59" s="45" cm="1">
        <f t="array" ref="IG59">IFERROR(INDEX(ArchiveResults!$F$5:$IX$116,ComparisonData!A59,ComparisonData!$IG$1),0)</f>
        <v>0</v>
      </c>
      <c r="IH59" s="56">
        <v>54</v>
      </c>
      <c r="II59" s="53" t="str">
        <f t="shared" si="568"/>
        <v>National Library of Scotland</v>
      </c>
      <c r="IJ59" s="59">
        <f t="shared" si="229"/>
        <v>0</v>
      </c>
      <c r="IK59" s="59">
        <f t="shared" si="230"/>
        <v>0</v>
      </c>
      <c r="IL59" s="59">
        <f t="shared" si="231"/>
        <v>0</v>
      </c>
      <c r="IM59" s="59">
        <f t="shared" si="232"/>
        <v>0</v>
      </c>
      <c r="IN59" s="59">
        <f t="shared" si="233"/>
        <v>0</v>
      </c>
      <c r="IO59" s="58">
        <f t="shared" si="234"/>
        <v>0</v>
      </c>
      <c r="IP59" s="45">
        <f t="shared" si="235"/>
        <v>26</v>
      </c>
      <c r="IQ59" s="45">
        <f t="shared" si="569"/>
        <v>2.5639999999999996</v>
      </c>
      <c r="IR59" s="45">
        <f t="shared" si="236"/>
        <v>1</v>
      </c>
      <c r="IS59" s="45">
        <f t="shared" si="237"/>
        <v>2</v>
      </c>
      <c r="IT59" s="46">
        <f t="shared" si="238"/>
        <v>0</v>
      </c>
      <c r="IU59" s="46" cm="1">
        <f t="array" ref="IU59">ROUND(IFERROR(INDEX(ArchiveResults!$F$5:$IX$116,ComparisonData!A59,ComparisonData!$IU$1),0),5)</f>
        <v>0</v>
      </c>
      <c r="IV59" s="46" cm="1">
        <f t="array" ref="IV59">ROUND(IFERROR(INDEX(ArchiveResults!$F$5:$IX$116,ComparisonData!A59,ComparisonData!$IV$1),0),5)</f>
        <v>0</v>
      </c>
      <c r="IW59" s="46" cm="1">
        <f t="array" ref="IW59">ROUND(IFERROR(INDEX(ArchiveResults!$F$5:$IX$116,ComparisonData!A59,ComparisonData!$IW$1),0),5)</f>
        <v>0</v>
      </c>
      <c r="IX59" s="46" cm="1">
        <f t="array" ref="IX59">ROUND(IFERROR(INDEX(ArchiveResults!$F$5:$IX$116,ComparisonData!A59,ComparisonData!$IX$1),0),5)</f>
        <v>0</v>
      </c>
      <c r="IY59" s="45" cm="1">
        <f t="array" ref="IY59">IFERROR(INDEX(ArchiveResults!$F$5:$IX$116,ComparisonData!A59,ComparisonData!$IY$1),0)</f>
        <v>0</v>
      </c>
      <c r="IZ59" s="56">
        <v>54</v>
      </c>
      <c r="JA59" s="53" t="str">
        <f t="shared" si="570"/>
        <v>National Library of Scotland</v>
      </c>
      <c r="JB59" s="59">
        <f t="shared" si="239"/>
        <v>0</v>
      </c>
      <c r="JC59" s="59">
        <f t="shared" si="240"/>
        <v>0</v>
      </c>
      <c r="JD59" s="59">
        <f t="shared" si="241"/>
        <v>0</v>
      </c>
      <c r="JE59" s="59">
        <f t="shared" si="242"/>
        <v>0</v>
      </c>
      <c r="JF59" s="59">
        <f t="shared" si="243"/>
        <v>0</v>
      </c>
      <c r="JG59" s="58">
        <f t="shared" si="244"/>
        <v>0</v>
      </c>
      <c r="JH59" s="45">
        <f t="shared" si="245"/>
        <v>26</v>
      </c>
      <c r="JI59" s="45">
        <f t="shared" si="571"/>
        <v>2.5639999999999996</v>
      </c>
      <c r="JJ59" s="45">
        <f t="shared" si="246"/>
        <v>1</v>
      </c>
      <c r="JK59" s="45">
        <f t="shared" si="247"/>
        <v>2</v>
      </c>
      <c r="JL59" s="45">
        <f t="shared" si="248"/>
        <v>0</v>
      </c>
      <c r="JM59" s="46" cm="1">
        <f t="array" ref="JM59">ROUND(IFERROR(INDEX(ArchiveResults!$F$5:$IX$116,ComparisonData!A59,ComparisonData!$JM$1),0),5)</f>
        <v>0</v>
      </c>
      <c r="JN59" s="46" cm="1">
        <f t="array" ref="JN59">ROUND(IFERROR(INDEX(ArchiveResults!$F$5:$IX$116,ComparisonData!A59,ComparisonData!$JN$1),0),5)</f>
        <v>0</v>
      </c>
      <c r="JO59" s="46" cm="1">
        <f t="array" ref="JO59">ROUND(IFERROR(INDEX(ArchiveResults!$F$5:$IX$116,ComparisonData!A59,ComparisonData!$JO$1),0),5)</f>
        <v>0</v>
      </c>
      <c r="JP59" s="46" cm="1">
        <f t="array" ref="JP59">ROUND(IFERROR(INDEX(ArchiveResults!$F$5:$IX$116,ComparisonData!A59,ComparisonData!$JP$1),0),5)</f>
        <v>0</v>
      </c>
      <c r="JQ59" s="45" cm="1">
        <f t="array" ref="JQ59">IFERROR(INDEX(ArchiveResults!$F$5:$IX$116,ComparisonData!A59,ComparisonData!$JQ$1),0)</f>
        <v>0</v>
      </c>
      <c r="JR59" s="56">
        <v>54</v>
      </c>
      <c r="JS59" s="53" t="str">
        <f t="shared" si="572"/>
        <v>National Library of Scotland</v>
      </c>
      <c r="JT59" s="59">
        <f t="shared" si="249"/>
        <v>0</v>
      </c>
      <c r="JU59" s="59">
        <f t="shared" si="250"/>
        <v>0</v>
      </c>
      <c r="JV59" s="59">
        <f t="shared" si="251"/>
        <v>0</v>
      </c>
      <c r="JW59" s="59">
        <f t="shared" si="252"/>
        <v>0</v>
      </c>
      <c r="JX59" s="59">
        <f t="shared" si="253"/>
        <v>0</v>
      </c>
      <c r="JY59" s="58">
        <f t="shared" si="254"/>
        <v>0</v>
      </c>
      <c r="JZ59" s="45">
        <f t="shared" si="255"/>
        <v>26</v>
      </c>
      <c r="KA59" s="45">
        <f t="shared" si="573"/>
        <v>2.5639999999999996</v>
      </c>
      <c r="KB59" s="45">
        <f t="shared" si="256"/>
        <v>1</v>
      </c>
      <c r="KC59" s="45">
        <f t="shared" si="257"/>
        <v>2</v>
      </c>
      <c r="KD59" s="45">
        <f t="shared" si="258"/>
        <v>0</v>
      </c>
      <c r="KE59" s="46" cm="1">
        <f t="array" ref="KE59">ROUND(IFERROR(INDEX(ArchiveResults!$F$5:$IX$116,ComparisonData!A59,ComparisonData!$KE$1),0),5)</f>
        <v>0</v>
      </c>
      <c r="KF59" s="46" cm="1">
        <f t="array" ref="KF59">ROUND(IFERROR(INDEX(ArchiveResults!$F$5:$IX$116,ComparisonData!A59,ComparisonData!$KF$1),0),5)</f>
        <v>0</v>
      </c>
      <c r="KG59" s="46" cm="1">
        <f t="array" ref="KG59">ROUND(IFERROR(INDEX(ArchiveResults!$F$5:$IX$116,ComparisonData!A59,ComparisonData!$KG$1),0),5)</f>
        <v>0</v>
      </c>
      <c r="KH59" s="46" cm="1">
        <f t="array" ref="KH59">ROUND(IFERROR(INDEX(ArchiveResults!$F$5:$IX$116,ComparisonData!A59,ComparisonData!$KH$1),0),5)</f>
        <v>0</v>
      </c>
      <c r="KI59" s="45" cm="1">
        <f t="array" ref="KI59">IFERROR(INDEX(ArchiveResults!$F$5:$IX$116,ComparisonData!A59,ComparisonData!$KI$1),0)</f>
        <v>0</v>
      </c>
      <c r="KJ59" s="56">
        <v>54</v>
      </c>
      <c r="KK59" s="53" t="str">
        <f t="shared" si="574"/>
        <v>National Library of Scotland</v>
      </c>
      <c r="KL59" s="59">
        <f t="shared" si="259"/>
        <v>0</v>
      </c>
      <c r="KM59" s="59">
        <f t="shared" si="260"/>
        <v>0</v>
      </c>
      <c r="KN59" s="59">
        <f t="shared" si="261"/>
        <v>0</v>
      </c>
      <c r="KO59" s="59">
        <f t="shared" si="262"/>
        <v>0</v>
      </c>
      <c r="KP59" s="59">
        <f t="shared" si="263"/>
        <v>0</v>
      </c>
      <c r="KQ59" s="58">
        <f t="shared" si="264"/>
        <v>0</v>
      </c>
      <c r="KR59" s="45">
        <f t="shared" si="265"/>
        <v>26</v>
      </c>
      <c r="KS59" s="45">
        <f t="shared" si="575"/>
        <v>2.5639999999999996</v>
      </c>
      <c r="KT59" s="45">
        <f t="shared" si="266"/>
        <v>1</v>
      </c>
      <c r="KU59" s="45">
        <f t="shared" si="267"/>
        <v>2</v>
      </c>
      <c r="KV59" s="45">
        <f t="shared" si="268"/>
        <v>0</v>
      </c>
      <c r="KW59" s="46" cm="1">
        <f t="array" ref="KW59">ROUND(IFERROR(INDEX(ArchiveResults!$F$5:$IX$116,ComparisonData!A59,ComparisonData!$KW$1),0),5)</f>
        <v>0</v>
      </c>
      <c r="KX59" s="46" cm="1">
        <f t="array" ref="KX59">ROUND(IFERROR(INDEX(ArchiveResults!$F$5:$IX$116,ComparisonData!A59,ComparisonData!$KX$1),0),5)</f>
        <v>0</v>
      </c>
      <c r="KY59" s="46" cm="1">
        <f t="array" ref="KY59">ROUND(IFERROR(INDEX(ArchiveResults!$F$5:$IX$116,ComparisonData!A59,ComparisonData!$KY$1),0),5)</f>
        <v>0</v>
      </c>
      <c r="KZ59" s="46" cm="1">
        <f t="array" ref="KZ59">ROUND(IFERROR(INDEX(ArchiveResults!$F$5:$IX$116,ComparisonData!A59,ComparisonData!$KZ$1),0),5)</f>
        <v>0</v>
      </c>
      <c r="LA59" s="45" cm="1">
        <f t="array" ref="LA59">IFERROR(INDEX(ArchiveResults!$F$5:$IX$116,ComparisonData!A59,ComparisonData!$LA$1),0)</f>
        <v>0</v>
      </c>
      <c r="LB59" s="56">
        <v>54</v>
      </c>
      <c r="LC59" s="53" t="str">
        <f t="shared" si="576"/>
        <v>National Library of Scotland</v>
      </c>
      <c r="LD59" s="59">
        <f t="shared" si="269"/>
        <v>0</v>
      </c>
      <c r="LE59" s="59">
        <f t="shared" si="270"/>
        <v>0</v>
      </c>
      <c r="LF59" s="59">
        <f t="shared" si="271"/>
        <v>0</v>
      </c>
      <c r="LG59" s="59">
        <f t="shared" si="272"/>
        <v>0</v>
      </c>
      <c r="LH59" s="59">
        <f t="shared" si="273"/>
        <v>0</v>
      </c>
      <c r="LI59" s="58">
        <f t="shared" si="274"/>
        <v>0</v>
      </c>
      <c r="LJ59" s="45">
        <f t="shared" si="275"/>
        <v>26</v>
      </c>
      <c r="LK59" s="45">
        <f t="shared" si="577"/>
        <v>2.5639999999999996</v>
      </c>
      <c r="LL59" s="45">
        <f t="shared" si="276"/>
        <v>1</v>
      </c>
      <c r="LM59" s="45">
        <f t="shared" si="277"/>
        <v>2</v>
      </c>
      <c r="LN59" s="45">
        <f t="shared" si="278"/>
        <v>0</v>
      </c>
      <c r="LO59" s="46" cm="1">
        <f t="array" ref="LO59">ROUND(IFERROR(INDEX(ArchiveResults!$F$5:$IX$116,ComparisonData!A59,ComparisonData!$LO$1),0),5)</f>
        <v>0</v>
      </c>
      <c r="LP59" s="46" cm="1">
        <f t="array" ref="LP59">ROUND(IFERROR(INDEX(ArchiveResults!$F$5:$IX$116,ComparisonData!A59,ComparisonData!$LP$1),0),5)</f>
        <v>0</v>
      </c>
      <c r="LQ59" s="46" cm="1">
        <f t="array" ref="LQ59">ROUND(IFERROR(INDEX(ArchiveResults!$F$5:$IX$116,ComparisonData!A59,ComparisonData!$LQ$1),0),5)</f>
        <v>0</v>
      </c>
      <c r="LR59" s="46" cm="1">
        <f t="array" ref="LR59">ROUND(IFERROR(INDEX(ArchiveResults!$F$5:$IX$116,ComparisonData!A59,ComparisonData!$LR$1),0),5)</f>
        <v>0</v>
      </c>
      <c r="LS59" s="45" cm="1">
        <f t="array" ref="LS59">IFERROR(INDEX(ArchiveResults!$F$5:$IX$116,ComparisonData!A59,ComparisonData!$LS$1),0)</f>
        <v>0</v>
      </c>
      <c r="LT59" s="56">
        <v>54</v>
      </c>
      <c r="LU59" s="53" t="str">
        <f t="shared" si="578"/>
        <v>National Library of Scotland</v>
      </c>
      <c r="LV59" s="59">
        <f t="shared" si="279"/>
        <v>0</v>
      </c>
      <c r="LW59" s="59">
        <f t="shared" si="280"/>
        <v>0</v>
      </c>
      <c r="LX59" s="59">
        <f t="shared" si="281"/>
        <v>0</v>
      </c>
      <c r="LY59" s="59">
        <f t="shared" si="282"/>
        <v>0</v>
      </c>
      <c r="LZ59" s="59">
        <f t="shared" si="283"/>
        <v>0</v>
      </c>
      <c r="MA59" s="58">
        <f t="shared" si="284"/>
        <v>0</v>
      </c>
      <c r="MB59" s="45">
        <f t="shared" si="285"/>
        <v>26</v>
      </c>
      <c r="MC59" s="45">
        <f t="shared" si="579"/>
        <v>2.5639999999999996</v>
      </c>
      <c r="MD59" s="45">
        <f t="shared" si="286"/>
        <v>1</v>
      </c>
      <c r="ME59" s="45">
        <f t="shared" si="287"/>
        <v>2</v>
      </c>
      <c r="MF59" s="45">
        <f t="shared" si="288"/>
        <v>0</v>
      </c>
      <c r="MG59" s="46" cm="1">
        <f t="array" ref="MG59">ROUND(IFERROR(INDEX(ArchiveResults!$F$5:$IX$116,ComparisonData!A59,ComparisonData!$MG$1),0),5)</f>
        <v>0</v>
      </c>
      <c r="MH59" s="46" cm="1">
        <f t="array" ref="MH59">ROUND(IFERROR(INDEX(ArchiveResults!$F$5:$IX$116,ComparisonData!A59,ComparisonData!$MH$1),0),5)</f>
        <v>0</v>
      </c>
      <c r="MI59" s="46" cm="1">
        <f t="array" ref="MI59">ROUND(IFERROR(INDEX(ArchiveResults!$F$5:$IX$116,ComparisonData!A59,ComparisonData!$MI$1),0),5)</f>
        <v>0</v>
      </c>
      <c r="MJ59" s="46" cm="1">
        <f t="array" ref="MJ59">ROUND(IFERROR(INDEX(ArchiveResults!$F$5:$IX$116,ComparisonData!A59,ComparisonData!$MJ$1),0),5)</f>
        <v>0</v>
      </c>
      <c r="MK59" s="45" cm="1">
        <f t="array" ref="MK59">IFERROR(INDEX(ArchiveResults!$F$5:$IX$116,ComparisonData!A59,ComparisonData!$MK$1),0)</f>
        <v>0</v>
      </c>
      <c r="ML59" s="56">
        <v>54</v>
      </c>
      <c r="MM59" s="53" t="str">
        <f t="shared" si="580"/>
        <v>National Library of Scotland</v>
      </c>
      <c r="MN59" s="59">
        <f t="shared" si="289"/>
        <v>0</v>
      </c>
      <c r="MO59" s="59">
        <f t="shared" si="290"/>
        <v>0</v>
      </c>
      <c r="MP59" s="59">
        <f t="shared" si="291"/>
        <v>0</v>
      </c>
      <c r="MQ59" s="59">
        <f t="shared" si="292"/>
        <v>0</v>
      </c>
      <c r="MR59" s="59">
        <f t="shared" si="293"/>
        <v>0</v>
      </c>
      <c r="MS59" s="58">
        <f t="shared" si="294"/>
        <v>0</v>
      </c>
      <c r="MT59" s="45">
        <f t="shared" si="295"/>
        <v>26</v>
      </c>
      <c r="MU59" s="45">
        <f t="shared" si="581"/>
        <v>2.5639999999999996</v>
      </c>
      <c r="MV59" s="45">
        <f t="shared" si="296"/>
        <v>1</v>
      </c>
      <c r="MW59" s="45">
        <f t="shared" si="297"/>
        <v>2</v>
      </c>
      <c r="MX59" s="45">
        <f t="shared" si="298"/>
        <v>0</v>
      </c>
      <c r="MY59" s="46" cm="1">
        <f t="array" ref="MY59">ROUND(IFERROR(INDEX(ArchiveResults!$F$5:$IX$116,ComparisonData!A59,ComparisonData!$MY$1),0),5)</f>
        <v>0</v>
      </c>
      <c r="MZ59" s="46" cm="1">
        <f t="array" ref="MZ59">ROUND(IFERROR(INDEX(ArchiveResults!$F$5:$IX$116,ComparisonData!A59,ComparisonData!$MZ$1),0),5)</f>
        <v>0</v>
      </c>
      <c r="NA59" s="46" cm="1">
        <f t="array" ref="NA59">ROUND(IFERROR(INDEX(ArchiveResults!$F$5:$IX$116,ComparisonData!A59,ComparisonData!$NA$1),0),5)</f>
        <v>0</v>
      </c>
      <c r="NB59" s="46" cm="1">
        <f t="array" ref="NB59">ROUND(IFERROR(INDEX(ArchiveResults!$F$5:$IX$116,ComparisonData!A59,ComparisonData!$NB$1),0),5)</f>
        <v>0</v>
      </c>
      <c r="NC59" s="45" cm="1">
        <f t="array" ref="NC59">IFERROR(INDEX(ArchiveResults!$F$5:$IX$116,ComparisonData!A59,ComparisonData!$NC$1),0)</f>
        <v>0</v>
      </c>
      <c r="ND59" s="56">
        <v>54</v>
      </c>
      <c r="NE59" s="53" t="str">
        <f t="shared" si="582"/>
        <v>National Library of Scotland</v>
      </c>
      <c r="NF59" s="59">
        <f t="shared" si="299"/>
        <v>0</v>
      </c>
      <c r="NG59" s="59">
        <f t="shared" si="300"/>
        <v>0</v>
      </c>
      <c r="NH59" s="59">
        <f t="shared" si="301"/>
        <v>0</v>
      </c>
      <c r="NI59" s="59">
        <f t="shared" si="302"/>
        <v>0</v>
      </c>
      <c r="NJ59" s="59">
        <f t="shared" si="303"/>
        <v>0</v>
      </c>
      <c r="NK59" s="58">
        <f t="shared" si="304"/>
        <v>0</v>
      </c>
      <c r="NL59" s="45">
        <f t="shared" si="305"/>
        <v>26</v>
      </c>
      <c r="NM59" s="45">
        <f t="shared" si="583"/>
        <v>2.5639999999999996</v>
      </c>
      <c r="NN59" s="45">
        <f t="shared" si="306"/>
        <v>1</v>
      </c>
      <c r="NO59" s="45">
        <f t="shared" si="307"/>
        <v>2</v>
      </c>
      <c r="NP59" s="46" cm="1">
        <f t="array" ref="NP59">ROUND(IFERROR(INDEX(ArchiveResults!$F$5:$IX$116,ComparisonData!A59,ComparisonData!$NP$1),0),5)</f>
        <v>0</v>
      </c>
      <c r="NQ59" s="46" cm="1">
        <f t="array" ref="NQ59">ROUND(IFERROR(INDEX(ArchiveResults!$F$5:$IX$116,ComparisonData!A59,ComparisonData!$NQ$1),0),5)</f>
        <v>0</v>
      </c>
      <c r="NR59" s="46" cm="1">
        <f t="array" ref="NR59">ROUND(IFERROR(INDEX(ArchiveResults!$F$5:$IX$116,ComparisonData!A59,ComparisonData!$NR$1),0),5)</f>
        <v>0</v>
      </c>
      <c r="NS59" s="46" cm="1">
        <f t="array" ref="NS59">ROUND(IFERROR(INDEX(ArchiveResults!$F$5:$IX$116,ComparisonData!A59,ComparisonData!$NS$1),0),5)</f>
        <v>0</v>
      </c>
      <c r="NT59" s="45" cm="1">
        <f t="array" ref="NT59">IFERROR(INDEX(ArchiveResults!$F$5:$IX$116,ComparisonData!A59,ComparisonData!$NT$1),0)</f>
        <v>0</v>
      </c>
      <c r="NU59" s="56">
        <v>54</v>
      </c>
      <c r="NV59" s="53" t="str">
        <f t="shared" si="584"/>
        <v>National Library of Scotland</v>
      </c>
      <c r="NW59" s="59">
        <f t="shared" si="308"/>
        <v>0</v>
      </c>
      <c r="NX59" s="59">
        <f t="shared" si="309"/>
        <v>0</v>
      </c>
      <c r="NY59" s="59">
        <f t="shared" si="310"/>
        <v>0</v>
      </c>
      <c r="NZ59" s="59">
        <f t="shared" si="311"/>
        <v>0</v>
      </c>
      <c r="OA59" s="59">
        <f t="shared" si="312"/>
        <v>0</v>
      </c>
      <c r="OB59" s="58">
        <f t="shared" si="313"/>
        <v>0</v>
      </c>
      <c r="OC59" s="45">
        <f t="shared" si="314"/>
        <v>26</v>
      </c>
      <c r="OD59" s="45">
        <f t="shared" si="585"/>
        <v>2.5639999999999996</v>
      </c>
      <c r="OE59" s="45">
        <f t="shared" si="315"/>
        <v>1</v>
      </c>
      <c r="OF59" s="45">
        <f t="shared" si="316"/>
        <v>2</v>
      </c>
      <c r="OG59" s="46">
        <f t="shared" si="317"/>
        <v>0</v>
      </c>
      <c r="OH59" s="46" cm="1">
        <f t="array" ref="OH59">ROUND(IFERROR(INDEX(ArchiveResults!$F$5:$IX$116,ComparisonData!A59,ComparisonData!$OH$1),0),5)</f>
        <v>0</v>
      </c>
      <c r="OI59" s="46" cm="1">
        <f t="array" ref="OI59">ROUND(IFERROR(INDEX(ArchiveResults!$F$5:$IX$116,ComparisonData!A59,ComparisonData!$OI$1),0),5)</f>
        <v>0</v>
      </c>
      <c r="OJ59" s="46" cm="1">
        <f t="array" ref="OJ59">ROUND(IFERROR(INDEX(ArchiveResults!$F$5:$IX$116,ComparisonData!A59,ComparisonData!$OJ$1),0),5)</f>
        <v>0</v>
      </c>
      <c r="OK59" s="46" cm="1">
        <f t="array" ref="OK59">ROUND(IFERROR(INDEX(ArchiveResults!$F$5:$IX$116,ComparisonData!A59,ComparisonData!$OK$1),0),5)</f>
        <v>0</v>
      </c>
      <c r="OL59" s="45" cm="1">
        <f t="array" ref="OL59">IFERROR(INDEX(ArchiveResults!$F$5:$IX$116,ComparisonData!A59,ComparisonData!$OL$1),0)</f>
        <v>0</v>
      </c>
      <c r="OM59" s="56">
        <v>54</v>
      </c>
      <c r="ON59" s="53" t="str">
        <f t="shared" si="586"/>
        <v>National Library of Scotland</v>
      </c>
      <c r="OO59" s="59">
        <f t="shared" si="318"/>
        <v>0</v>
      </c>
      <c r="OP59" s="59">
        <f t="shared" si="319"/>
        <v>0</v>
      </c>
      <c r="OQ59" s="59">
        <f t="shared" si="320"/>
        <v>0</v>
      </c>
      <c r="OR59" s="59">
        <f t="shared" si="321"/>
        <v>0</v>
      </c>
      <c r="OS59" s="59">
        <f t="shared" si="322"/>
        <v>0</v>
      </c>
      <c r="OT59" s="58">
        <f t="shared" si="323"/>
        <v>0</v>
      </c>
      <c r="OU59" s="45">
        <f t="shared" si="324"/>
        <v>26</v>
      </c>
      <c r="OV59" s="45">
        <f t="shared" si="587"/>
        <v>2.5639999999999996</v>
      </c>
      <c r="OW59" s="45">
        <f t="shared" si="325"/>
        <v>1</v>
      </c>
      <c r="OX59" s="45">
        <f t="shared" si="326"/>
        <v>2</v>
      </c>
      <c r="OY59" s="45">
        <f t="shared" si="327"/>
        <v>0</v>
      </c>
      <c r="OZ59" s="46" cm="1">
        <f t="array" ref="OZ59">ROUND(IFERROR(INDEX(ArchiveResults!$F$5:$IX$116,ComparisonData!A59,ComparisonData!$OZ$1),0),5)</f>
        <v>0</v>
      </c>
      <c r="PA59" s="46" cm="1">
        <f t="array" ref="PA59">ROUND(IFERROR(INDEX(ArchiveResults!$F$5:$IX$116,ComparisonData!A59,ComparisonData!$PA$1),0),5)</f>
        <v>0</v>
      </c>
      <c r="PB59" s="46" cm="1">
        <f t="array" ref="PB59">ROUND(IFERROR(INDEX(ArchiveResults!$F$5:$IX$116,ComparisonData!A59,ComparisonData!$PB$1),0),5)</f>
        <v>0</v>
      </c>
      <c r="PC59" s="46" cm="1">
        <f t="array" ref="PC59">ROUND(IFERROR(INDEX(ArchiveResults!$F$5:$IX$116,ComparisonData!A59,ComparisonData!$PC$1),0),5)</f>
        <v>0</v>
      </c>
      <c r="PD59" s="45" cm="1">
        <f t="array" ref="PD59">IFERROR(INDEX(ArchiveResults!$F$5:$IX$116,ComparisonData!A59,ComparisonData!$PD$1),0)</f>
        <v>0</v>
      </c>
      <c r="PE59" s="56">
        <v>54</v>
      </c>
      <c r="PF59" s="53" t="str">
        <f t="shared" si="588"/>
        <v>National Library of Scotland</v>
      </c>
      <c r="PG59" s="59">
        <f t="shared" si="328"/>
        <v>0</v>
      </c>
      <c r="PH59" s="59">
        <f t="shared" si="329"/>
        <v>0</v>
      </c>
      <c r="PI59" s="59">
        <f t="shared" si="330"/>
        <v>0</v>
      </c>
      <c r="PJ59" s="59">
        <f t="shared" si="331"/>
        <v>0</v>
      </c>
      <c r="PK59" s="59">
        <f t="shared" si="332"/>
        <v>0</v>
      </c>
      <c r="PL59" s="58">
        <f t="shared" si="333"/>
        <v>0</v>
      </c>
      <c r="PM59" s="45">
        <f t="shared" si="334"/>
        <v>26</v>
      </c>
      <c r="PN59" s="45">
        <f t="shared" si="589"/>
        <v>2.5639999999999996</v>
      </c>
      <c r="PO59" s="45">
        <f t="shared" si="335"/>
        <v>1</v>
      </c>
      <c r="PP59" s="45">
        <f t="shared" si="336"/>
        <v>2</v>
      </c>
      <c r="PQ59" s="45">
        <f t="shared" si="337"/>
        <v>0</v>
      </c>
      <c r="PR59" s="46" cm="1">
        <f t="array" ref="PR59">ROUND(IFERROR(INDEX(ArchiveResults!$F$5:$IX$116,ComparisonData!A59,ComparisonData!$PR$1),0),5)</f>
        <v>0</v>
      </c>
      <c r="PS59" s="46" cm="1">
        <f t="array" ref="PS59">ROUND(IFERROR(INDEX(ArchiveResults!$F$5:$IX$116,ComparisonData!A59,ComparisonData!$PS$1),0),5)</f>
        <v>0</v>
      </c>
      <c r="PT59" s="46" cm="1">
        <f t="array" ref="PT59">ROUND(IFERROR(INDEX(ArchiveResults!$F$5:$IX$116,ComparisonData!A59,ComparisonData!$PT$1),0),5)</f>
        <v>0</v>
      </c>
      <c r="PU59" s="46" cm="1">
        <f t="array" ref="PU59">ROUND(IFERROR(INDEX(ArchiveResults!$F$5:$IX$116,ComparisonData!A59,ComparisonData!$PU$1),0),5)</f>
        <v>0</v>
      </c>
      <c r="PV59" s="45" cm="1">
        <f t="array" ref="PV59">IFERROR(INDEX(ArchiveResults!$F$5:$IX$116,ComparisonData!A59,ComparisonData!$PV$1),0)</f>
        <v>0</v>
      </c>
      <c r="PW59" s="56">
        <v>54</v>
      </c>
      <c r="PX59" s="53" t="str">
        <f t="shared" si="590"/>
        <v>National Library of Scotland</v>
      </c>
      <c r="PY59" s="59">
        <f t="shared" si="338"/>
        <v>0</v>
      </c>
      <c r="PZ59" s="59">
        <f t="shared" si="339"/>
        <v>0</v>
      </c>
      <c r="QA59" s="59">
        <f t="shared" si="340"/>
        <v>0</v>
      </c>
      <c r="QB59" s="59">
        <f t="shared" si="341"/>
        <v>0</v>
      </c>
      <c r="QC59" s="59">
        <f t="shared" si="342"/>
        <v>0</v>
      </c>
      <c r="QD59" s="58">
        <f t="shared" si="343"/>
        <v>0</v>
      </c>
      <c r="QE59" s="45">
        <f t="shared" si="344"/>
        <v>26</v>
      </c>
      <c r="QF59" s="45">
        <f t="shared" si="591"/>
        <v>2.5639999999999996</v>
      </c>
      <c r="QG59" s="45">
        <f t="shared" si="345"/>
        <v>1</v>
      </c>
      <c r="QH59" s="45">
        <f t="shared" si="346"/>
        <v>2</v>
      </c>
      <c r="QI59" s="45">
        <f t="shared" si="347"/>
        <v>0</v>
      </c>
      <c r="QJ59" s="46" cm="1">
        <f t="array" ref="QJ59">ROUND(IFERROR(INDEX(ArchiveResults!$F$5:$IX$116,ComparisonData!A59,ComparisonData!$QJ$1),0),5)</f>
        <v>0</v>
      </c>
      <c r="QK59" s="46" cm="1">
        <f t="array" ref="QK59">ROUND(IFERROR(INDEX(ArchiveResults!$F$5:$IX$116,ComparisonData!A59,ComparisonData!$QK$1),0),5)</f>
        <v>0</v>
      </c>
      <c r="QL59" s="46" cm="1">
        <f t="array" ref="QL59">ROUND(IFERROR(INDEX(ArchiveResults!$F$5:$IX$116,ComparisonData!A59,ComparisonData!$QL$1),0),5)</f>
        <v>0</v>
      </c>
      <c r="QM59" s="46" cm="1">
        <f t="array" ref="QM59">ROUND(IFERROR(INDEX(ArchiveResults!$F$5:$IX$116,ComparisonData!A59,ComparisonData!$QM$1),0),5)</f>
        <v>0</v>
      </c>
      <c r="QN59" s="45" cm="1">
        <f t="array" ref="QN59">IFERROR(INDEX(ArchiveResults!$F$5:$IX$116,ComparisonData!A59,ComparisonData!$QN$1),0)</f>
        <v>0</v>
      </c>
      <c r="QO59" s="56">
        <v>54</v>
      </c>
      <c r="QP59" s="53" t="str">
        <f t="shared" si="592"/>
        <v>National Library of Scotland</v>
      </c>
      <c r="QQ59" s="59">
        <f t="shared" si="348"/>
        <v>0</v>
      </c>
      <c r="QR59" s="59">
        <f t="shared" si="349"/>
        <v>0</v>
      </c>
      <c r="QS59" s="59">
        <f t="shared" si="350"/>
        <v>0</v>
      </c>
      <c r="QT59" s="59">
        <f t="shared" si="351"/>
        <v>0</v>
      </c>
      <c r="QU59" s="59">
        <f t="shared" si="352"/>
        <v>0</v>
      </c>
      <c r="QV59" s="58">
        <f t="shared" si="353"/>
        <v>0</v>
      </c>
      <c r="QW59" s="45">
        <f t="shared" si="354"/>
        <v>26</v>
      </c>
      <c r="QX59" s="45">
        <f t="shared" si="593"/>
        <v>2.5639999999999996</v>
      </c>
      <c r="QY59" s="45">
        <f t="shared" si="355"/>
        <v>1</v>
      </c>
      <c r="QZ59" s="45">
        <f t="shared" si="356"/>
        <v>2</v>
      </c>
      <c r="RA59" s="45">
        <f t="shared" si="357"/>
        <v>0</v>
      </c>
      <c r="RB59" s="46" cm="1">
        <f t="array" ref="RB59">ROUND(IFERROR(INDEX(ArchiveResults!$F$5:$IX$116,ComparisonData!A59,ComparisonData!$RB$1),0),5)</f>
        <v>0</v>
      </c>
      <c r="RC59" s="46" cm="1">
        <f t="array" ref="RC59">ROUND(IFERROR(INDEX(ArchiveResults!$F$5:$IX$116,ComparisonData!A59,ComparisonData!$RC$1),0),5)</f>
        <v>0</v>
      </c>
      <c r="RD59" s="46" cm="1">
        <f t="array" ref="RD59">ROUND(IFERROR(INDEX(ArchiveResults!$F$5:$IX$116,ComparisonData!A59,ComparisonData!$RD$1),0),5)</f>
        <v>0</v>
      </c>
      <c r="RE59" s="46" cm="1">
        <f t="array" ref="RE59">ROUND(IFERROR(INDEX(ArchiveResults!$F$5:$IX$116,ComparisonData!A59,ComparisonData!$RE$1),0),5)</f>
        <v>0</v>
      </c>
      <c r="RF59" s="45" cm="1">
        <f t="array" ref="RF59">IFERROR(INDEX(ArchiveResults!$F$5:$IX$116,ComparisonData!A59,ComparisonData!$RF$1),0)</f>
        <v>0</v>
      </c>
      <c r="RG59" s="56">
        <v>54</v>
      </c>
      <c r="RH59" s="53" t="str">
        <f t="shared" si="594"/>
        <v>National Library of Scotland</v>
      </c>
      <c r="RI59" s="59">
        <f t="shared" si="358"/>
        <v>0</v>
      </c>
      <c r="RJ59" s="59">
        <f t="shared" si="359"/>
        <v>0</v>
      </c>
      <c r="RK59" s="59">
        <f t="shared" si="360"/>
        <v>0</v>
      </c>
      <c r="RL59" s="59">
        <f t="shared" si="361"/>
        <v>0</v>
      </c>
      <c r="RM59" s="59">
        <f t="shared" si="362"/>
        <v>0</v>
      </c>
      <c r="RN59" s="58">
        <f t="shared" si="363"/>
        <v>0</v>
      </c>
      <c r="RO59" s="45">
        <f t="shared" si="364"/>
        <v>26</v>
      </c>
      <c r="RP59" s="45">
        <f t="shared" si="595"/>
        <v>2.5639999999999996</v>
      </c>
      <c r="RQ59" s="45">
        <f t="shared" si="365"/>
        <v>1</v>
      </c>
      <c r="RR59" s="45">
        <f t="shared" si="366"/>
        <v>2</v>
      </c>
      <c r="RS59" s="45">
        <f t="shared" si="367"/>
        <v>0</v>
      </c>
      <c r="RT59" s="46" cm="1">
        <f t="array" ref="RT59">ROUND(IFERROR(INDEX(ArchiveResults!$F$5:$IX$116,ComparisonData!A59,ComparisonData!$RT$1),0),5)</f>
        <v>0</v>
      </c>
      <c r="RU59" s="46" cm="1">
        <f t="array" ref="RU59">ROUND(IFERROR(INDEX(ArchiveResults!$F$5:$IX$116,ComparisonData!A59,ComparisonData!$RU$1),0),5)</f>
        <v>0</v>
      </c>
      <c r="RV59" s="46" cm="1">
        <f t="array" ref="RV59">ROUND(IFERROR(INDEX(ArchiveResults!$F$5:$IX$116,ComparisonData!A59,ComparisonData!$RV$1),0),5)</f>
        <v>0</v>
      </c>
      <c r="RW59" s="46" cm="1">
        <f t="array" ref="RW59">ROUND(IFERROR(INDEX(ArchiveResults!$F$5:$IX$116,ComparisonData!A59,ComparisonData!$RW$1),0),5)</f>
        <v>0</v>
      </c>
      <c r="RX59" s="45" cm="1">
        <f t="array" ref="RX59">IFERROR(INDEX(ArchiveResults!$F$5:$IX$116,ComparisonData!A59,ComparisonData!$RX$1),0)</f>
        <v>0</v>
      </c>
      <c r="RY59" s="56">
        <v>54</v>
      </c>
      <c r="RZ59" s="53" t="str">
        <f t="shared" si="596"/>
        <v>National Library of Scotland</v>
      </c>
      <c r="SA59" s="59">
        <f t="shared" si="368"/>
        <v>0</v>
      </c>
      <c r="SB59" s="59">
        <f t="shared" si="369"/>
        <v>0</v>
      </c>
      <c r="SC59" s="59">
        <f t="shared" si="370"/>
        <v>0</v>
      </c>
      <c r="SD59" s="59">
        <f t="shared" si="371"/>
        <v>0</v>
      </c>
      <c r="SE59" s="59">
        <f t="shared" si="372"/>
        <v>0</v>
      </c>
      <c r="SF59" s="58">
        <f t="shared" si="373"/>
        <v>0</v>
      </c>
      <c r="SG59" s="45">
        <f t="shared" si="374"/>
        <v>26</v>
      </c>
      <c r="SH59" s="45">
        <f t="shared" si="597"/>
        <v>2.5639999999999996</v>
      </c>
      <c r="SI59" s="45">
        <f t="shared" si="375"/>
        <v>1</v>
      </c>
      <c r="SJ59" s="45">
        <f t="shared" si="376"/>
        <v>2</v>
      </c>
      <c r="SK59" s="45">
        <f t="shared" si="377"/>
        <v>0</v>
      </c>
      <c r="SL59" s="46" cm="1">
        <f t="array" ref="SL59">ROUND(IFERROR(INDEX(ArchiveResults!$F$5:$IX$116,ComparisonData!A59,ComparisonData!$SL$1),0),5)</f>
        <v>0</v>
      </c>
      <c r="SM59" s="46" cm="1">
        <f t="array" ref="SM59">ROUND(IFERROR(INDEX(ArchiveResults!$F$5:$IX$116,ComparisonData!A59,ComparisonData!$SM$1),0),5)</f>
        <v>0</v>
      </c>
      <c r="SN59" s="46" cm="1">
        <f t="array" ref="SN59">ROUND(IFERROR(INDEX(ArchiveResults!$F$5:$IX$116,ComparisonData!A59,ComparisonData!$SN$1),0),5)</f>
        <v>0</v>
      </c>
      <c r="SO59" s="46" cm="1">
        <f t="array" ref="SO59">ROUND(IFERROR(INDEX(ArchiveResults!$F$5:$IX$116,ComparisonData!A59,ComparisonData!$SO$1),0),5)</f>
        <v>0</v>
      </c>
      <c r="SP59" s="45" cm="1">
        <f t="array" ref="SP59">IFERROR(INDEX(ArchiveResults!$F$5:$IX$116,ComparisonData!A59,ComparisonData!$SP$1),0)</f>
        <v>0</v>
      </c>
      <c r="SQ59" s="56">
        <v>54</v>
      </c>
      <c r="SR59" s="53" t="str">
        <f t="shared" si="598"/>
        <v>National Library of Scotland</v>
      </c>
      <c r="SS59" s="59">
        <f t="shared" si="378"/>
        <v>0</v>
      </c>
      <c r="ST59" s="59">
        <f t="shared" si="379"/>
        <v>0</v>
      </c>
      <c r="SU59" s="59">
        <f t="shared" si="380"/>
        <v>0</v>
      </c>
      <c r="SV59" s="59">
        <f t="shared" si="381"/>
        <v>0</v>
      </c>
      <c r="SW59" s="59">
        <f t="shared" si="382"/>
        <v>0</v>
      </c>
      <c r="SX59" s="58">
        <f t="shared" si="383"/>
        <v>0</v>
      </c>
      <c r="SY59" s="45">
        <f t="shared" si="384"/>
        <v>26</v>
      </c>
      <c r="SZ59" s="45">
        <f t="shared" si="599"/>
        <v>2.5639999999999996</v>
      </c>
      <c r="TA59" s="45">
        <f t="shared" si="385"/>
        <v>1</v>
      </c>
      <c r="TB59" s="45">
        <f t="shared" si="386"/>
        <v>2</v>
      </c>
      <c r="TC59" s="45">
        <f t="shared" si="387"/>
        <v>0</v>
      </c>
      <c r="TD59" s="46" cm="1">
        <f t="array" ref="TD59">ROUND(IFERROR(INDEX(ArchiveResults!$F$5:$IX$116,ComparisonData!A59,ComparisonData!$TD$1),0),5)</f>
        <v>0</v>
      </c>
      <c r="TE59" s="46" cm="1">
        <f t="array" ref="TE59">ROUND(IFERROR(INDEX(ArchiveResults!$F$5:$IX$116,ComparisonData!A59,ComparisonData!$TE$1),0),5)</f>
        <v>0</v>
      </c>
      <c r="TF59" s="46" cm="1">
        <f t="array" ref="TF59">ROUND(IFERROR(INDEX(ArchiveResults!$F$5:$IX$116,ComparisonData!A59,ComparisonData!$TF$1),0),5)</f>
        <v>0</v>
      </c>
      <c r="TG59" s="46" cm="1">
        <f t="array" ref="TG59">ROUND(IFERROR(INDEX(ArchiveResults!$F$5:$IX$116,ComparisonData!A59,ComparisonData!$TG$1),0),5)</f>
        <v>0</v>
      </c>
      <c r="TH59" s="45" cm="1">
        <f t="array" ref="TH59">IFERROR(INDEX(ArchiveResults!$F$5:$IX$116,ComparisonData!A59,ComparisonData!$TH$1),0)</f>
        <v>0</v>
      </c>
      <c r="TI59" s="56">
        <v>54</v>
      </c>
      <c r="TJ59" s="53" t="str">
        <f t="shared" si="600"/>
        <v>National Library of Scotland</v>
      </c>
      <c r="TK59" s="59">
        <f t="shared" si="388"/>
        <v>0</v>
      </c>
      <c r="TL59" s="59">
        <f t="shared" si="389"/>
        <v>0</v>
      </c>
      <c r="TM59" s="59">
        <f t="shared" si="390"/>
        <v>0</v>
      </c>
      <c r="TN59" s="59">
        <f t="shared" si="391"/>
        <v>0</v>
      </c>
      <c r="TO59" s="59">
        <f t="shared" si="392"/>
        <v>0</v>
      </c>
      <c r="TP59" s="58">
        <f t="shared" si="393"/>
        <v>0</v>
      </c>
      <c r="TQ59" s="45">
        <f t="shared" si="394"/>
        <v>26</v>
      </c>
      <c r="TR59" s="45">
        <f t="shared" si="601"/>
        <v>2.5639999999999996</v>
      </c>
      <c r="TS59" s="45">
        <f t="shared" si="395"/>
        <v>1</v>
      </c>
      <c r="TT59" s="45">
        <f t="shared" si="396"/>
        <v>2</v>
      </c>
      <c r="TU59" s="45">
        <f t="shared" si="397"/>
        <v>0</v>
      </c>
      <c r="TV59" s="46" cm="1">
        <f t="array" ref="TV59">ROUND(IFERROR(INDEX(ArchiveResults!$F$5:$IX$116,ComparisonData!A59,ComparisonData!$TV$1),0),5)</f>
        <v>0</v>
      </c>
      <c r="TW59" s="46" cm="1">
        <f t="array" ref="TW59">ROUND(IFERROR(INDEX(ArchiveResults!$F$5:$IX$116,ComparisonData!A59,ComparisonData!$TW$1),0),5)</f>
        <v>0</v>
      </c>
      <c r="TX59" s="46" cm="1">
        <f t="array" ref="TX59">ROUND(IFERROR(INDEX(ArchiveResults!$F$5:$IX$116,ComparisonData!A59,ComparisonData!$TX$1),0),5)</f>
        <v>0</v>
      </c>
      <c r="TY59" s="46" cm="1">
        <f t="array" ref="TY59">ROUND(IFERROR(INDEX(ArchiveResults!$F$5:$IX$116,ComparisonData!A59,ComparisonData!$TY$1),0),5)</f>
        <v>0</v>
      </c>
      <c r="TZ59" s="45" cm="1">
        <f t="array" ref="TZ59">IFERROR(INDEX(ArchiveResults!$F$5:$IX$116,ComparisonData!A59,ComparisonData!$TZ$1),0)</f>
        <v>0</v>
      </c>
      <c r="UA59" s="56">
        <v>54</v>
      </c>
      <c r="UB59" s="53" t="str">
        <f t="shared" si="602"/>
        <v>National Library of Scotland</v>
      </c>
      <c r="UC59" s="60">
        <f t="shared" si="398"/>
        <v>0</v>
      </c>
      <c r="UD59" s="60">
        <f t="shared" si="399"/>
        <v>0</v>
      </c>
      <c r="UE59" s="60">
        <f t="shared" si="400"/>
        <v>0</v>
      </c>
      <c r="UF59" s="60">
        <f t="shared" si="401"/>
        <v>0</v>
      </c>
      <c r="UG59" s="60">
        <f t="shared" si="402"/>
        <v>0</v>
      </c>
      <c r="UH59" s="58">
        <f t="shared" si="403"/>
        <v>0</v>
      </c>
      <c r="UI59" s="46">
        <f t="shared" si="404"/>
        <v>26</v>
      </c>
      <c r="UJ59" s="46">
        <f t="shared" si="603"/>
        <v>2.5639999999999996</v>
      </c>
      <c r="UK59" s="46">
        <f t="shared" si="405"/>
        <v>1</v>
      </c>
      <c r="UL59" s="46">
        <f t="shared" si="406"/>
        <v>2</v>
      </c>
      <c r="UM59" s="46" cm="1">
        <f t="array" ref="UM59">ROUND(IFERROR(INDEX(ArchiveResults!$F$5:$IX$116,ComparisonData!A59,ComparisonData!$UM$1),0),5)</f>
        <v>0</v>
      </c>
      <c r="UN59" s="56">
        <v>54</v>
      </c>
      <c r="UO59" s="53" t="str">
        <f t="shared" si="604"/>
        <v>National Library of Scotland</v>
      </c>
      <c r="UP59" s="46">
        <f t="shared" si="407"/>
        <v>0</v>
      </c>
      <c r="UQ59" s="76">
        <f t="shared" si="408"/>
        <v>0</v>
      </c>
      <c r="UR59" s="46">
        <f t="shared" si="409"/>
        <v>26</v>
      </c>
      <c r="US59" s="46">
        <f t="shared" si="605"/>
        <v>2.5639999999999996</v>
      </c>
      <c r="UT59" s="46">
        <f t="shared" si="410"/>
        <v>1</v>
      </c>
      <c r="UU59" s="46">
        <f t="shared" si="411"/>
        <v>2</v>
      </c>
      <c r="UV59" s="46">
        <f t="shared" si="412"/>
        <v>0</v>
      </c>
      <c r="UW59" s="46" cm="1">
        <f t="array" ref="UW59">ROUND(IFERROR(INDEX(ArchiveResults!$F$5:$IX$116,ComparisonData!A59,ComparisonData!$UW$1),0),5)</f>
        <v>0</v>
      </c>
      <c r="UX59" s="46" cm="1">
        <f t="array" ref="UX59">ROUND(IFERROR(INDEX(ArchiveResults!$F$5:$IX$116,ComparisonData!A59,ComparisonData!$UX$1),0),5)</f>
        <v>0</v>
      </c>
      <c r="UY59" s="46" cm="1">
        <f t="array" ref="UY59">ROUND(IFERROR(INDEX(ArchiveResults!$F$5:$IX$116,ComparisonData!A59,ComparisonData!$UY$1),0),5)</f>
        <v>0</v>
      </c>
      <c r="UZ59" s="46" cm="1">
        <f t="array" ref="UZ59">ROUND(IFERROR(INDEX(ArchiveResults!$F$5:$IX$116,ComparisonData!A59,ComparisonData!$UZ$1),0),5)</f>
        <v>0</v>
      </c>
      <c r="VA59" s="46" cm="1">
        <f t="array" ref="VA59">ROUND(IFERROR(INDEX(ArchiveResults!$F$5:$IX$116,ComparisonData!A59,ComparisonData!$VA$1),0),5)</f>
        <v>0</v>
      </c>
      <c r="VB59" s="56">
        <v>54</v>
      </c>
      <c r="VC59" s="53" t="str">
        <f t="shared" si="606"/>
        <v>National Library of Scotland</v>
      </c>
      <c r="VD59" s="60">
        <f t="shared" si="413"/>
        <v>0</v>
      </c>
      <c r="VE59" s="60">
        <f t="shared" si="414"/>
        <v>0</v>
      </c>
      <c r="VF59" s="60">
        <f t="shared" si="415"/>
        <v>0</v>
      </c>
      <c r="VG59" s="60">
        <f t="shared" si="416"/>
        <v>0</v>
      </c>
      <c r="VH59" s="60">
        <f t="shared" si="417"/>
        <v>0</v>
      </c>
      <c r="VI59" s="76">
        <f t="shared" si="418"/>
        <v>0</v>
      </c>
      <c r="VJ59" s="46">
        <f t="shared" si="419"/>
        <v>26</v>
      </c>
      <c r="VK59" s="46">
        <f t="shared" si="607"/>
        <v>2.5639999999999996</v>
      </c>
      <c r="VL59" s="46">
        <f t="shared" si="420"/>
        <v>1</v>
      </c>
      <c r="VM59" s="46">
        <f t="shared" si="421"/>
        <v>2</v>
      </c>
      <c r="VN59" s="46" cm="1">
        <f t="array" ref="VN59">ROUND(IFERROR(INDEX(ArchiveResults!$F$5:$IX$116,ComparisonData!A59,ComparisonData!$VN$1),0),5)</f>
        <v>0</v>
      </c>
      <c r="VO59" s="46" cm="1">
        <f t="array" ref="VO59">ROUND(IFERROR(INDEX(ArchiveResults!$F$5:$IX$116,ComparisonData!A59,ComparisonData!$VO$1),0),5)</f>
        <v>0</v>
      </c>
      <c r="VP59" s="46" cm="1">
        <f t="array" ref="VP59">ROUND(IFERROR(INDEX(ArchiveResults!$F$5:$IX$116,ComparisonData!A59,ComparisonData!$VP$1),0),5)</f>
        <v>0</v>
      </c>
      <c r="VQ59" s="46" cm="1">
        <f t="array" ref="VQ59">ROUND(IFERROR(INDEX(ArchiveResults!$F$5:$IX$116,ComparisonData!A59,ComparisonData!$VQ$1),0),5)</f>
        <v>0</v>
      </c>
      <c r="VR59" s="56">
        <v>54</v>
      </c>
      <c r="VS59" s="53" t="str">
        <f t="shared" si="608"/>
        <v>National Library of Scotland</v>
      </c>
      <c r="VT59" s="60">
        <f t="shared" si="422"/>
        <v>0</v>
      </c>
      <c r="VU59" s="60">
        <f t="shared" si="423"/>
        <v>0</v>
      </c>
      <c r="VV59" s="60">
        <f t="shared" si="424"/>
        <v>0</v>
      </c>
      <c r="VW59" s="60">
        <f t="shared" si="425"/>
        <v>0</v>
      </c>
      <c r="VX59" s="76">
        <f t="shared" si="426"/>
        <v>0</v>
      </c>
      <c r="VY59" s="46">
        <f t="shared" si="427"/>
        <v>26</v>
      </c>
      <c r="VZ59" s="46">
        <f t="shared" si="609"/>
        <v>2.5639999999999996</v>
      </c>
      <c r="WA59" s="46">
        <f t="shared" si="428"/>
        <v>1</v>
      </c>
      <c r="WB59" s="46">
        <f t="shared" si="429"/>
        <v>2</v>
      </c>
      <c r="WC59" s="46" cm="1">
        <f t="array" ref="WC59">ROUND(IFERROR(INDEX(ArchiveResults!$F$5:$IX$116,ComparisonData!A59,ComparisonData!$WC$1),0),5)</f>
        <v>0</v>
      </c>
      <c r="WD59" s="56">
        <v>54</v>
      </c>
      <c r="WE59" s="53" t="str">
        <f t="shared" si="610"/>
        <v>National Library of Scotland</v>
      </c>
      <c r="WF59" s="46">
        <f t="shared" si="430"/>
        <v>0</v>
      </c>
      <c r="WG59" s="76">
        <f t="shared" si="431"/>
        <v>0</v>
      </c>
      <c r="WH59" s="46">
        <f t="shared" si="432"/>
        <v>26</v>
      </c>
      <c r="WI59" s="46">
        <f t="shared" si="611"/>
        <v>2.5639999999999996</v>
      </c>
      <c r="WJ59" s="46">
        <f t="shared" si="433"/>
        <v>1</v>
      </c>
      <c r="WK59" s="46">
        <f t="shared" si="434"/>
        <v>2</v>
      </c>
      <c r="WL59" s="46" cm="1">
        <f t="array" ref="WL59">ROUND(IFERROR(INDEX(ArchiveResults!$F$5:$IX$116,ComparisonData!A59,ComparisonData!$WL$1),0),5)</f>
        <v>0</v>
      </c>
      <c r="WM59" s="46" cm="1">
        <f t="array" ref="WM59">IFERROR(INDEX(ArchiveResults!$F$5:$IX$116,ComparisonData!A59,ComparisonData!$WM$1),0)</f>
        <v>0</v>
      </c>
      <c r="WN59" s="56">
        <v>54</v>
      </c>
      <c r="WO59" s="53" t="str">
        <f t="shared" si="612"/>
        <v>National Library of Scotland</v>
      </c>
      <c r="WP59" s="60">
        <f t="shared" si="435"/>
        <v>0</v>
      </c>
      <c r="WQ59" s="60">
        <f t="shared" si="436"/>
        <v>0</v>
      </c>
      <c r="WR59" s="76">
        <f t="shared" si="437"/>
        <v>0</v>
      </c>
      <c r="WS59" s="46">
        <f t="shared" si="438"/>
        <v>26</v>
      </c>
      <c r="WT59" s="46">
        <f t="shared" si="613"/>
        <v>2.5639999999999996</v>
      </c>
      <c r="WU59" s="46">
        <f t="shared" si="439"/>
        <v>1</v>
      </c>
      <c r="WV59" s="46">
        <f t="shared" si="440"/>
        <v>2</v>
      </c>
      <c r="WW59" s="46" cm="1">
        <f t="array" ref="WW59">ROUND(VALUE(IFERROR(INDEX(ArchiveResults!$F$5:$IX$116,ComparisonData!A59,ComparisonData!$WW$1),0)),5)</f>
        <v>0</v>
      </c>
      <c r="WX59" s="46" cm="1">
        <f t="array" ref="WX59">ROUND(IFERROR(INDEX(ArchiveResults!$F$5:$IX$116,ComparisonData!A59,ComparisonData!$WX$1),0),5)</f>
        <v>0</v>
      </c>
      <c r="WY59" s="56">
        <v>54</v>
      </c>
      <c r="WZ59" s="53" t="str">
        <f t="shared" si="614"/>
        <v>National Library of Scotland</v>
      </c>
      <c r="XA59" s="60">
        <f t="shared" si="615"/>
        <v>0</v>
      </c>
      <c r="XB59" s="60">
        <f t="shared" si="616"/>
        <v>0</v>
      </c>
      <c r="XC59" s="76">
        <f t="shared" si="441"/>
        <v>0</v>
      </c>
      <c r="XD59" s="46">
        <f t="shared" si="442"/>
        <v>26</v>
      </c>
      <c r="XE59" s="46">
        <f t="shared" si="617"/>
        <v>2.5639999999999996</v>
      </c>
      <c r="XF59" s="46">
        <f t="shared" si="443"/>
        <v>1</v>
      </c>
      <c r="XG59" s="46">
        <f t="shared" si="444"/>
        <v>2</v>
      </c>
      <c r="XH59" s="46" cm="1">
        <f t="array" ref="XH59">ROUND(VALUE(IFERROR(INDEX(ArchiveResults!$F$5:$IX$116,ComparisonData!A59,ComparisonData!$XH$1),0)),5)</f>
        <v>0</v>
      </c>
      <c r="XI59" s="46" cm="1">
        <f t="array" ref="XI59">ROUND(VALUE(IFERROR(INDEX(ArchiveResults!$F$5:$IX$116,ComparisonData!A59,ComparisonData!$XI$1),0)),5)</f>
        <v>0</v>
      </c>
      <c r="XJ59" s="56">
        <v>54</v>
      </c>
      <c r="XK59" s="53" t="str">
        <f t="shared" si="618"/>
        <v>National Library of Scotland</v>
      </c>
      <c r="XL59" s="60">
        <f t="shared" si="445"/>
        <v>0</v>
      </c>
      <c r="XM59" s="60">
        <f t="shared" si="446"/>
        <v>0</v>
      </c>
      <c r="XN59" s="76">
        <f t="shared" si="447"/>
        <v>0</v>
      </c>
      <c r="XO59" s="46">
        <f t="shared" si="448"/>
        <v>26</v>
      </c>
      <c r="XP59" s="46">
        <f t="shared" si="619"/>
        <v>2.5639999999999996</v>
      </c>
      <c r="XQ59" s="46">
        <f t="shared" si="449"/>
        <v>1</v>
      </c>
      <c r="XR59" s="46">
        <f t="shared" si="450"/>
        <v>2</v>
      </c>
      <c r="XS59" s="46" cm="1">
        <f t="array" ref="XS59">ROUND(VALUE(IFERROR(INDEX(ArchiveResults!$F$5:$IX$116,ComparisonData!A59,ComparisonData!$XS$1),0)),5)</f>
        <v>0</v>
      </c>
      <c r="XT59" s="46" cm="1">
        <f t="array" ref="XT59">ROUND(VALUE(IFERROR(INDEX(ArchiveResults!$F$5:$IX$116,ComparisonData!A59,ComparisonData!$XT$1),0)),5)</f>
        <v>0</v>
      </c>
      <c r="XU59" s="56">
        <v>54</v>
      </c>
      <c r="XV59" s="53" t="str">
        <f t="shared" si="620"/>
        <v>National Library of Scotland</v>
      </c>
      <c r="XW59" s="60">
        <f t="shared" si="451"/>
        <v>0</v>
      </c>
      <c r="XX59" s="60">
        <f t="shared" si="452"/>
        <v>0</v>
      </c>
      <c r="XY59" s="76">
        <f t="shared" si="453"/>
        <v>0</v>
      </c>
      <c r="XZ59" s="46">
        <f t="shared" si="454"/>
        <v>26</v>
      </c>
      <c r="YA59" s="46">
        <f t="shared" si="621"/>
        <v>2.5639999999999996</v>
      </c>
      <c r="YB59" s="46">
        <f t="shared" si="455"/>
        <v>1</v>
      </c>
      <c r="YC59" s="46">
        <f t="shared" si="456"/>
        <v>2</v>
      </c>
      <c r="YD59" s="46" cm="1">
        <f t="array" ref="YD59">ROUND(VALUE(IFERROR(INDEX(ArchiveResults!$F$5:$IX$116,ComparisonData!A59,ComparisonData!$YD$1),0)),5)</f>
        <v>0</v>
      </c>
      <c r="YE59" s="46" cm="1">
        <f t="array" ref="YE59">ROUND(VALUE(IFERROR(INDEX(ArchiveResults!$F$5:$IX$116,ComparisonData!A59,ComparisonData!$YE$1),0)),5)</f>
        <v>0</v>
      </c>
      <c r="YF59" s="56">
        <v>54</v>
      </c>
      <c r="YG59" s="53" t="str">
        <f t="shared" si="622"/>
        <v>National Library of Scotland</v>
      </c>
      <c r="YH59" s="60">
        <f t="shared" si="457"/>
        <v>0</v>
      </c>
      <c r="YI59" s="60">
        <f t="shared" si="458"/>
        <v>0</v>
      </c>
      <c r="YJ59" s="76">
        <f t="shared" si="459"/>
        <v>0</v>
      </c>
      <c r="YK59" s="46">
        <f t="shared" si="460"/>
        <v>26</v>
      </c>
      <c r="YL59" s="46">
        <f t="shared" si="623"/>
        <v>2.5639999999999996</v>
      </c>
      <c r="YM59" s="46">
        <f t="shared" si="461"/>
        <v>1</v>
      </c>
      <c r="YN59" s="46">
        <f t="shared" si="462"/>
        <v>2</v>
      </c>
      <c r="YO59" s="46" cm="1">
        <f t="array" ref="YO59">ROUND(VALUE(IFERROR(INDEX(ArchiveResults!$F$5:$IX$116,ComparisonData!A59,ComparisonData!$YO$1),0)),5)</f>
        <v>0</v>
      </c>
      <c r="YP59" s="46" cm="1">
        <f t="array" ref="YP59">ROUND(VALUE(IFERROR(INDEX(ArchiveResults!$F$5:$IX$116,ComparisonData!A59,ComparisonData!$YP$1),0)),5)</f>
        <v>0</v>
      </c>
      <c r="YQ59" s="56">
        <v>54</v>
      </c>
      <c r="YR59" s="53" t="str">
        <f t="shared" si="624"/>
        <v>National Library of Scotland</v>
      </c>
      <c r="YS59" s="60">
        <f t="shared" si="463"/>
        <v>0</v>
      </c>
      <c r="YT59" s="60">
        <f t="shared" si="464"/>
        <v>0</v>
      </c>
      <c r="YU59" s="76">
        <f t="shared" si="465"/>
        <v>0</v>
      </c>
      <c r="YV59" s="46">
        <f t="shared" si="466"/>
        <v>26</v>
      </c>
      <c r="YW59" s="46">
        <f t="shared" si="625"/>
        <v>2.5639999999999996</v>
      </c>
      <c r="YX59" s="46">
        <f t="shared" si="467"/>
        <v>1</v>
      </c>
      <c r="YY59" s="46">
        <f t="shared" si="468"/>
        <v>2</v>
      </c>
      <c r="YZ59" s="46">
        <f t="shared" si="469"/>
        <v>0</v>
      </c>
      <c r="ZA59" s="46" cm="1">
        <f t="array" ref="ZA59">ROUNDDOWN(VALUE(IFERROR(INDEX(ArchiveResults!$F$5:$IX$116,ComparisonData!A59,ComparisonData!$ZA$1),0)),5)</f>
        <v>0</v>
      </c>
      <c r="ZB59" s="46" cm="1">
        <f t="array" ref="ZB59">ROUNDDOWN(VALUE(IFERROR(INDEX(ArchiveResults!$F$5:$IX$116,ComparisonData!A59,ComparisonData!$ZB$1),0)),5)</f>
        <v>0</v>
      </c>
      <c r="ZC59" s="46" cm="1">
        <f t="array" ref="ZC59">ROUNDDOWN(VALUE(IFERROR(INDEX(ArchiveResults!$F$5:$IX$116,ComparisonData!A59,ComparisonData!$ZC$1),0)),5)</f>
        <v>0</v>
      </c>
      <c r="ZD59" s="46" cm="1">
        <f t="array" ref="ZD59">ROUNDDOWN(VALUE(IFERROR(INDEX(ArchiveResults!$F$5:$IX$116,ComparisonData!A59,ComparisonData!$ZD$1),0)),5)</f>
        <v>0</v>
      </c>
      <c r="ZE59" s="46" cm="1">
        <f t="array" ref="ZE59">ROUNDDOWN(VALUE(IFERROR(INDEX(ArchiveResults!$F$5:$IX$116,ComparisonData!A59,ComparisonData!$ZE$1),0)),5)</f>
        <v>0</v>
      </c>
      <c r="ZF59" s="56">
        <v>54</v>
      </c>
      <c r="ZG59" s="53" t="str">
        <f t="shared" si="626"/>
        <v>National Library of Scotland</v>
      </c>
      <c r="ZH59" s="60">
        <f t="shared" si="470"/>
        <v>0</v>
      </c>
      <c r="ZI59" s="60">
        <f t="shared" si="471"/>
        <v>0</v>
      </c>
      <c r="ZJ59" s="60">
        <f t="shared" si="472"/>
        <v>0</v>
      </c>
      <c r="ZK59" s="60">
        <f t="shared" si="473"/>
        <v>0</v>
      </c>
      <c r="ZL59" s="60">
        <f t="shared" si="474"/>
        <v>0</v>
      </c>
      <c r="ZM59" s="76">
        <f t="shared" si="475"/>
        <v>0</v>
      </c>
      <c r="ZN59" s="46">
        <f t="shared" si="476"/>
        <v>26</v>
      </c>
      <c r="ZO59" s="46">
        <f t="shared" si="627"/>
        <v>2.5639999999999996</v>
      </c>
      <c r="ZP59" s="46">
        <f t="shared" si="477"/>
        <v>1</v>
      </c>
      <c r="ZQ59" s="46">
        <f t="shared" si="478"/>
        <v>2</v>
      </c>
      <c r="ZR59" s="46" cm="1">
        <f t="array" ref="ZR59">ROUND(VALUE(IFERROR(INDEX(ArchiveResults!$F$5:$IX$116,ComparisonData!A59,ComparisonData!$ZR$1),0)),5)</f>
        <v>0</v>
      </c>
      <c r="ZS59" s="56">
        <v>54</v>
      </c>
      <c r="ZT59" s="53" t="str">
        <f t="shared" si="628"/>
        <v>National Library of Scotland</v>
      </c>
      <c r="ZU59" s="46">
        <f t="shared" si="479"/>
        <v>0</v>
      </c>
      <c r="ZV59" s="76">
        <f t="shared" si="480"/>
        <v>0</v>
      </c>
      <c r="ZW59" s="81" cm="1">
        <f t="array" ref="ZW59">ROUND((IFERROR(INDEX(ArchiveResults!$F$5:$IX$116,ComparisonData!A59,ComparisonData!$ZW$1),0)),5)</f>
        <v>0</v>
      </c>
      <c r="ZX59" s="81" cm="1">
        <f t="array" ref="ZX59">ROUND((IFERROR(INDEX(ArchiveResults!$F$5:$IX$116,ComparisonData!A59,ComparisonData!$ZX$1),0)),5)</f>
        <v>0</v>
      </c>
      <c r="ZY59" s="81" cm="1">
        <f t="array" ref="ZY59">ROUND((IFERROR(INDEX(ArchiveResults!$F$5:$IX$116,ComparisonData!A59,ComparisonData!$ZY$1),0)),5)</f>
        <v>0</v>
      </c>
      <c r="ZZ59" s="81" cm="1">
        <f t="array" ref="ZZ59">ROUND((IFERROR(INDEX(ArchiveResults!$F$5:$IX$116,ComparisonData!A59,ComparisonData!$ZZ$1),0)),5)</f>
        <v>0</v>
      </c>
      <c r="AAA59" s="81" cm="1">
        <f t="array" ref="AAA59">ROUND((IFERROR(INDEX(ArchiveResults!$F$5:$IX$116,ComparisonData!A59,ComparisonData!$AAA$1),0)),5)</f>
        <v>0</v>
      </c>
      <c r="AAB59" s="81" cm="1">
        <f t="array" ref="AAB59">ROUND((IFERROR(INDEX(ArchiveResults!$F$5:$IX$116,ComparisonData!A59,ComparisonData!$AAB$1),0)),5)</f>
        <v>0</v>
      </c>
      <c r="AAC59" s="81" cm="1">
        <f t="array" ref="AAC59">ROUND((IFERROR(INDEX(ArchiveResults!$F$5:$IX$116,ComparisonData!A59,ComparisonData!$AAC$1),0)),5)</f>
        <v>0</v>
      </c>
      <c r="AAD59" s="81" cm="1">
        <f t="array" ref="AAD59">ROUND((IFERROR(INDEX(ArchiveResults!$F$5:$IX$116,ComparisonData!A59,ComparisonData!$AAD$1),0)),5)</f>
        <v>0</v>
      </c>
      <c r="AAE59" s="81" cm="1">
        <f t="array" ref="AAE59">ROUND((IFERROR(INDEX(ArchiveResults!$F$5:$IX$116,ComparisonData!A59,ComparisonData!$AAE$1),0)),5)</f>
        <v>0</v>
      </c>
      <c r="AAF59" s="81" cm="1">
        <f t="array" ref="AAF59">ROUND((IFERROR(INDEX(ArchiveResults!$F$5:$IX$116,ComparisonData!A59,ComparisonData!$AAF$1),0)),5)</f>
        <v>0</v>
      </c>
      <c r="AAG59" s="46">
        <f t="shared" si="481"/>
        <v>26</v>
      </c>
      <c r="AAH59" s="46">
        <f t="shared" si="629"/>
        <v>2.5639999999999996</v>
      </c>
      <c r="AAI59" s="46">
        <f t="shared" si="482"/>
        <v>1</v>
      </c>
      <c r="AAJ59" s="46">
        <f t="shared" si="483"/>
        <v>2</v>
      </c>
      <c r="AAK59" s="46">
        <f t="shared" si="484"/>
        <v>0</v>
      </c>
      <c r="AAL59" s="46">
        <f t="shared" si="485"/>
        <v>0</v>
      </c>
      <c r="AAM59" s="46">
        <f t="shared" si="486"/>
        <v>0</v>
      </c>
      <c r="AAN59" s="46">
        <f t="shared" si="487"/>
        <v>0</v>
      </c>
      <c r="AAO59" s="46">
        <f t="shared" si="488"/>
        <v>0</v>
      </c>
      <c r="AAP59" s="46">
        <f t="shared" si="489"/>
        <v>0</v>
      </c>
      <c r="AAQ59" s="56">
        <v>54</v>
      </c>
      <c r="AAR59" s="53" t="str">
        <f t="shared" si="630"/>
        <v>National Library of Scotland</v>
      </c>
      <c r="AAS59" s="60">
        <f t="shared" si="490"/>
        <v>0</v>
      </c>
      <c r="AAT59" s="60">
        <f t="shared" si="491"/>
        <v>0</v>
      </c>
      <c r="AAU59" s="60">
        <f t="shared" si="492"/>
        <v>0</v>
      </c>
      <c r="AAV59" s="60">
        <f t="shared" si="493"/>
        <v>0</v>
      </c>
      <c r="AAW59" s="60">
        <f t="shared" si="494"/>
        <v>0</v>
      </c>
      <c r="AAX59" s="76">
        <f t="shared" si="495"/>
        <v>0</v>
      </c>
      <c r="AAY59" s="46">
        <f t="shared" si="496"/>
        <v>26</v>
      </c>
      <c r="AAZ59" s="46">
        <f t="shared" si="631"/>
        <v>2.5639999999999996</v>
      </c>
      <c r="ABA59" s="46">
        <f t="shared" si="497"/>
        <v>1</v>
      </c>
      <c r="ABB59" s="46">
        <f t="shared" si="498"/>
        <v>2</v>
      </c>
      <c r="ABC59" s="46">
        <f t="shared" si="102"/>
        <v>0</v>
      </c>
      <c r="ABD59" s="46" cm="1">
        <f t="array" ref="ABD59">ROUND(VALUE(IFERROR(INDEX(ArchiveResults!$F$5:$IX$116,ComparisonData!A59,ComparisonData!$ABD$1),0)),5)</f>
        <v>0</v>
      </c>
      <c r="ABE59" s="46" cm="1">
        <f t="array" ref="ABE59">ROUND(VALUE(IFERROR(INDEX(ArchiveResults!$F$5:$IX$116,ComparisonData!A59,ComparisonData!$ABE$1),0)),5)</f>
        <v>0</v>
      </c>
      <c r="ABF59" s="46" cm="1">
        <f t="array" ref="ABF59">ROUND(VALUE(IFERROR(INDEX(ArchiveResults!$F$5:$IX$116,ComparisonData!A59,ComparisonData!$ABF$1),0)),5)</f>
        <v>0</v>
      </c>
      <c r="ABG59" s="46" cm="1">
        <f t="array" ref="ABG59">ROUND(VALUE(IFERROR(INDEX(ArchiveResults!$F$5:$IX$116,ComparisonData!A59,ComparisonData!$ABG$1),0)),5)</f>
        <v>0</v>
      </c>
      <c r="ABH59" s="46" cm="1">
        <f t="array" ref="ABH59">ROUND(VALUE(IFERROR(INDEX(ArchiveResults!$F$5:$IX$116,ComparisonData!A59,ComparisonData!$ABH$1),0)),5)</f>
        <v>0</v>
      </c>
      <c r="ABI59" s="56">
        <v>54</v>
      </c>
      <c r="ABJ59" s="53" t="str">
        <f t="shared" si="632"/>
        <v>National Library of Scotland</v>
      </c>
      <c r="ABK59" s="60">
        <f t="shared" si="499"/>
        <v>0</v>
      </c>
      <c r="ABL59" s="60">
        <f t="shared" si="500"/>
        <v>0</v>
      </c>
      <c r="ABM59" s="60">
        <f t="shared" si="501"/>
        <v>0</v>
      </c>
      <c r="ABN59" s="60">
        <f t="shared" si="502"/>
        <v>0</v>
      </c>
      <c r="ABO59" s="60">
        <f t="shared" si="503"/>
        <v>0</v>
      </c>
      <c r="ABP59" s="76">
        <f t="shared" si="504"/>
        <v>0</v>
      </c>
      <c r="ABQ59" s="46">
        <f t="shared" si="505"/>
        <v>26</v>
      </c>
      <c r="ABR59" s="46">
        <f t="shared" si="633"/>
        <v>2.5639999999999996</v>
      </c>
      <c r="ABS59" s="46">
        <f t="shared" si="506"/>
        <v>1</v>
      </c>
      <c r="ABT59" s="46">
        <f t="shared" si="507"/>
        <v>2</v>
      </c>
      <c r="ABU59" s="46" cm="1">
        <f t="array" ref="ABU59">ROUND(VALUE(IFERROR(INDEX(ArchiveResults!$F$5:$IX$116,ComparisonData!A59,ComparisonData!$ABU$1),0)),5)</f>
        <v>0</v>
      </c>
      <c r="ABV59" s="46" cm="1">
        <f t="array" ref="ABV59">ROUND(VALUE(IFERROR(INDEX(ArchiveResults!$F$5:$IX$116,ComparisonData!A59,ComparisonData!$ABV$1),0)),5)</f>
        <v>0</v>
      </c>
      <c r="ABW59" s="46" cm="1">
        <f t="array" ref="ABW59">ROUND(VALUE(IFERROR(INDEX(ArchiveResults!$F$5:$IX$116,ComparisonData!A59,ComparisonData!$ABW$1),0)),5)</f>
        <v>0</v>
      </c>
      <c r="ABX59" s="46" cm="1">
        <f t="array" ref="ABX59">ROUND(VALUE(IFERROR(INDEX(ArchiveResults!$F$5:$IX$116,ComparisonData!A59,ComparisonData!$ABX$1),0)),5)</f>
        <v>0</v>
      </c>
      <c r="ABY59" s="46" cm="1">
        <f t="array" ref="ABY59">ROUND(VALUE(IFERROR(INDEX(ArchiveResults!$F$5:$IX$116,ComparisonData!A59,ComparisonData!$ABY$1),0)),5)</f>
        <v>0</v>
      </c>
      <c r="ABZ59" s="56">
        <v>54</v>
      </c>
      <c r="ACA59" s="53" t="str">
        <f t="shared" si="634"/>
        <v>National Library of Scotland</v>
      </c>
      <c r="ACB59" s="60">
        <f t="shared" si="508"/>
        <v>0</v>
      </c>
      <c r="ACC59" s="60">
        <f t="shared" si="509"/>
        <v>0</v>
      </c>
      <c r="ACD59" s="60">
        <f t="shared" si="510"/>
        <v>0</v>
      </c>
      <c r="ACE59" s="60">
        <f t="shared" si="511"/>
        <v>0</v>
      </c>
      <c r="ACF59" s="60">
        <f t="shared" si="512"/>
        <v>0</v>
      </c>
      <c r="ACG59" s="76">
        <f t="shared" si="513"/>
        <v>0</v>
      </c>
      <c r="ACH59" s="46">
        <f t="shared" si="514"/>
        <v>26</v>
      </c>
      <c r="ACI59" s="46">
        <f t="shared" si="635"/>
        <v>2.5639999999999996</v>
      </c>
      <c r="ACJ59" s="46">
        <f t="shared" si="515"/>
        <v>1</v>
      </c>
      <c r="ACK59" s="46">
        <f t="shared" si="516"/>
        <v>2</v>
      </c>
      <c r="ACL59" s="46">
        <f t="shared" si="517"/>
        <v>0</v>
      </c>
      <c r="ACM59" s="46" cm="1">
        <f t="array" ref="ACM59">ROUND(IFERROR(INDEX(ArchiveResults!$F$5:$IX$116,ComparisonData!A59,ComparisonData!$ACM$1),0),5)</f>
        <v>0</v>
      </c>
      <c r="ACN59" s="46" cm="1">
        <f t="array" ref="ACN59">ROUND(IFERROR(INDEX(ArchiveResults!$F$5:$IX$116,ComparisonData!A59,ComparisonData!$ACN$1),0),5)</f>
        <v>0</v>
      </c>
      <c r="ACO59" s="56">
        <v>54</v>
      </c>
      <c r="ACP59" s="53" t="str">
        <f t="shared" si="636"/>
        <v>National Library of Scotland</v>
      </c>
      <c r="ACQ59" s="60">
        <f t="shared" si="518"/>
        <v>0</v>
      </c>
      <c r="ACR59" s="60">
        <f t="shared" si="519"/>
        <v>0</v>
      </c>
      <c r="ACS59" s="76">
        <f t="shared" si="520"/>
        <v>0</v>
      </c>
      <c r="ACT59" s="46">
        <f t="shared" si="521"/>
        <v>26</v>
      </c>
      <c r="ACU59" s="46">
        <f t="shared" si="637"/>
        <v>2.5639999999999996</v>
      </c>
      <c r="ACV59" s="46">
        <f t="shared" si="522"/>
        <v>1</v>
      </c>
      <c r="ACW59" s="46">
        <f t="shared" si="523"/>
        <v>2</v>
      </c>
      <c r="ACX59" s="46">
        <f t="shared" si="524"/>
        <v>0</v>
      </c>
      <c r="ACY59" s="46" cm="1">
        <f t="array" ref="ACY59">ROUNDDOWN(IFERROR(INDEX(ArchiveResults!$F$5:$IX$116,ComparisonData!A59,ComparisonData!$ACY$1),0),5)</f>
        <v>0</v>
      </c>
      <c r="ACZ59" s="46" cm="1">
        <f t="array" ref="ACZ59">ROUNDDOWN(IFERROR(INDEX(ArchiveResults!$F$5:$IX$116,ComparisonData!A59,ComparisonData!$ACZ$1),0),5)</f>
        <v>0</v>
      </c>
      <c r="ADA59" s="46" cm="1">
        <f t="array" ref="ADA59">ROUNDDOWN(IFERROR(INDEX(ArchiveResults!$F$5:$IX$116,ComparisonData!A59,ComparisonData!$ADA$1),0),5)</f>
        <v>0</v>
      </c>
      <c r="ADB59" s="56">
        <v>54</v>
      </c>
      <c r="ADC59" s="53" t="str">
        <f t="shared" si="638"/>
        <v>National Library of Scotland</v>
      </c>
      <c r="ADD59" s="60">
        <f t="shared" si="525"/>
        <v>0</v>
      </c>
      <c r="ADE59" s="60">
        <f t="shared" si="526"/>
        <v>0</v>
      </c>
      <c r="ADF59" s="60">
        <f t="shared" si="527"/>
        <v>0</v>
      </c>
      <c r="ADG59" s="76">
        <f t="shared" si="528"/>
        <v>0</v>
      </c>
    </row>
    <row r="60" spans="1:787" x14ac:dyDescent="0.25">
      <c r="A60" s="46" t="str">
        <f>IF(ISBLANK(ComparisonSelection!F56),"",ROW()-5)</f>
        <v/>
      </c>
      <c r="B60" s="53" t="s">
        <v>509</v>
      </c>
      <c r="C60" s="72">
        <v>0.46899999999999953</v>
      </c>
      <c r="D60" s="55">
        <f t="shared" si="110"/>
        <v>7</v>
      </c>
      <c r="E60" s="54">
        <f t="shared" si="111"/>
        <v>2.4689999999999994</v>
      </c>
      <c r="F60" s="54">
        <f t="shared" si="529"/>
        <v>1</v>
      </c>
      <c r="G60" s="72">
        <f t="shared" si="112"/>
        <v>2</v>
      </c>
      <c r="H60" s="72">
        <f t="shared" si="113"/>
        <v>0</v>
      </c>
      <c r="I60" s="46" cm="1">
        <f t="array" ref="I60">ROUND(IFERROR(INDEX(ArchiveResults!$F$5:$IX$116,ComparisonData!A60,ComparisonData!$I$1),0),5)</f>
        <v>0</v>
      </c>
      <c r="J60" s="46" cm="1">
        <f t="array" ref="J60">ROUND(IFERROR(INDEX(ArchiveResults!$F$5:$IX$116,ComparisonData!A60,ComparisonData!$J$1),0),5)</f>
        <v>0</v>
      </c>
      <c r="K60" s="56">
        <v>55</v>
      </c>
      <c r="L60" s="53" t="str">
        <f t="shared" si="114"/>
        <v>National Maritime Museum: The Caird Library and Archive</v>
      </c>
      <c r="M60" s="57">
        <f t="shared" si="530"/>
        <v>0</v>
      </c>
      <c r="N60" s="57">
        <f t="shared" si="531"/>
        <v>0</v>
      </c>
      <c r="O60" s="58">
        <f t="shared" si="115"/>
        <v>0</v>
      </c>
      <c r="P60" s="48">
        <f t="shared" si="116"/>
        <v>7</v>
      </c>
      <c r="Q60" s="54">
        <f t="shared" si="532"/>
        <v>2.4689999999999994</v>
      </c>
      <c r="R60" s="45">
        <f t="shared" si="117"/>
        <v>1</v>
      </c>
      <c r="S60" s="46">
        <f t="shared" si="118"/>
        <v>2</v>
      </c>
      <c r="T60" s="72">
        <f t="shared" si="119"/>
        <v>0</v>
      </c>
      <c r="U60" s="46" cm="1">
        <f t="array" ref="U60">ROUND(IFERROR(INDEX(ArchiveResults!$F$5:$IX$116,ComparisonData!A60,ComparisonData!$U$1),0),5)</f>
        <v>0</v>
      </c>
      <c r="V60" s="46" cm="1">
        <f t="array" ref="V60">ROUND(IFERROR(INDEX(ArchiveResults!$F$5:$IX$116,ComparisonData!A60,ComparisonData!$V$1),0),5)</f>
        <v>0</v>
      </c>
      <c r="W60" s="56">
        <v>55</v>
      </c>
      <c r="X60" s="53" t="str">
        <f t="shared" si="533"/>
        <v>National Maritime Museum: The Caird Library and Archive</v>
      </c>
      <c r="Y60" s="57">
        <f t="shared" si="120"/>
        <v>0</v>
      </c>
      <c r="Z60" s="57">
        <f t="shared" si="121"/>
        <v>0</v>
      </c>
      <c r="AA60" s="58">
        <f t="shared" si="122"/>
        <v>0</v>
      </c>
      <c r="AB60" s="45">
        <f t="shared" si="123"/>
        <v>7</v>
      </c>
      <c r="AC60" s="54">
        <f t="shared" si="534"/>
        <v>2.4689999999999994</v>
      </c>
      <c r="AD60" s="45">
        <f t="shared" si="124"/>
        <v>1</v>
      </c>
      <c r="AE60" s="45">
        <f t="shared" si="125"/>
        <v>2</v>
      </c>
      <c r="AF60" s="45">
        <f t="shared" si="126"/>
        <v>0</v>
      </c>
      <c r="AG60" s="46" cm="1">
        <f t="array" ref="AG60">ROUND(IFERROR(INDEX(ArchiveResults!$F$5:$IX$116,ComparisonData!A60,ComparisonData!$AG$1),0),5)</f>
        <v>0</v>
      </c>
      <c r="AH60" s="46" cm="1">
        <f t="array" ref="AH60">ROUND(IFERROR(INDEX(ArchiveResults!$F$5:$IX$116,ComparisonData!A60,ComparisonData!$AH$1),0),5)</f>
        <v>0</v>
      </c>
      <c r="AI60" s="56">
        <v>55</v>
      </c>
      <c r="AJ60" s="53" t="str">
        <f t="shared" si="535"/>
        <v>National Maritime Museum: The Caird Library and Archive</v>
      </c>
      <c r="AK60" s="59">
        <f t="shared" si="536"/>
        <v>0</v>
      </c>
      <c r="AL60" s="59">
        <f t="shared" si="537"/>
        <v>0</v>
      </c>
      <c r="AM60" s="58">
        <f t="shared" si="127"/>
        <v>0</v>
      </c>
      <c r="AN60" s="45">
        <f t="shared" si="128"/>
        <v>7</v>
      </c>
      <c r="AO60" s="54">
        <f t="shared" si="538"/>
        <v>2.4689999999999994</v>
      </c>
      <c r="AP60" s="45">
        <f t="shared" si="129"/>
        <v>1</v>
      </c>
      <c r="AQ60" s="45">
        <f t="shared" si="130"/>
        <v>2</v>
      </c>
      <c r="AR60" s="46" cm="1">
        <f t="array" ref="AR60">ROUND(IFERROR(INDEX(ArchiveResults!$F$5:$IX$116,ComparisonData!A60,ComparisonData!$AR$1),0),5)</f>
        <v>0</v>
      </c>
      <c r="AS60" s="46" cm="1">
        <f t="array" ref="AS60">ROUND(IFERROR(INDEX(ArchiveResults!$F$5:$IX$116,ComparisonData!A60,ComparisonData!$AS$1),0),5)</f>
        <v>0</v>
      </c>
      <c r="AT60" s="46" cm="1">
        <f t="array" ref="AT60">ROUND(IFERROR(INDEX(ArchiveResults!$F$5:$IX$116,ComparisonData!A60,ComparisonData!$AT$1),0),5)</f>
        <v>0</v>
      </c>
      <c r="AU60" s="46" cm="1">
        <f t="array" ref="AU60">ROUND(IFERROR(INDEX(ArchiveResults!$F$5:$IX$116,ComparisonData!A60,ComparisonData!$AU$1),0),5)</f>
        <v>0</v>
      </c>
      <c r="AV60" s="46" cm="1">
        <f t="array" ref="AV60">ROUND(IFERROR(INDEX(ArchiveResults!$F$5:$IX$116,ComparisonData!A60,ComparisonData!$AV$1),0),5)</f>
        <v>0</v>
      </c>
      <c r="AW60" s="46" cm="1">
        <f t="array" ref="AW60">ROUND(IFERROR(INDEX(ArchiveResults!$F$5:$IX$116,ComparisonData!A60,ComparisonData!$AW$1),0),5)</f>
        <v>0</v>
      </c>
      <c r="AX60" s="46" cm="1">
        <f t="array" ref="AX60">ROUND(IFERROR(INDEX(ArchiveResults!$F$5:$IX$116,ComparisonData!A60,ComparisonData!$AX$1),0),5)</f>
        <v>0</v>
      </c>
      <c r="AY60" s="46" cm="1">
        <f t="array" ref="AY60">ROUND(IFERROR(INDEX(ArchiveResults!$F$5:$IX$116,ComparisonData!A60,ComparisonData!$AY$1),0),5)</f>
        <v>0</v>
      </c>
      <c r="AZ60" s="46" cm="1">
        <f t="array" ref="AZ60">ROUND(IFERROR(INDEX(ArchiveResults!$F$5:$IX$116,ComparisonData!A60,ComparisonData!$AZ$1),0),5)</f>
        <v>0</v>
      </c>
      <c r="BA60" s="46" cm="1">
        <f t="array" ref="BA60">ROUND(IFERROR(INDEX(ArchiveResults!$F$5:$IX$116,ComparisonData!A60,ComparisonData!$BA$1),0),5)</f>
        <v>0</v>
      </c>
      <c r="BB60" s="56">
        <v>55</v>
      </c>
      <c r="BC60" s="53" t="str">
        <f t="shared" si="539"/>
        <v>National Maritime Museum: The Caird Library and Archive</v>
      </c>
      <c r="BD60" s="60">
        <f t="shared" si="131"/>
        <v>0</v>
      </c>
      <c r="BE60" s="60">
        <f t="shared" si="132"/>
        <v>0</v>
      </c>
      <c r="BF60" s="60">
        <f t="shared" si="133"/>
        <v>0</v>
      </c>
      <c r="BG60" s="60">
        <f t="shared" si="134"/>
        <v>0</v>
      </c>
      <c r="BH60" s="60">
        <f t="shared" si="135"/>
        <v>0</v>
      </c>
      <c r="BI60" s="60">
        <f t="shared" si="136"/>
        <v>0</v>
      </c>
      <c r="BJ60" s="60">
        <f t="shared" si="137"/>
        <v>0</v>
      </c>
      <c r="BK60" s="60">
        <f t="shared" si="138"/>
        <v>0</v>
      </c>
      <c r="BL60" s="60">
        <f t="shared" si="139"/>
        <v>0</v>
      </c>
      <c r="BM60" s="59">
        <f t="shared" si="140"/>
        <v>0</v>
      </c>
      <c r="BN60" s="58">
        <f t="shared" si="141"/>
        <v>0</v>
      </c>
      <c r="BO60" s="45">
        <f t="shared" si="142"/>
        <v>7</v>
      </c>
      <c r="BP60" s="54">
        <f t="shared" si="540"/>
        <v>2.4689999999999994</v>
      </c>
      <c r="BQ60" s="45">
        <f t="shared" si="143"/>
        <v>1</v>
      </c>
      <c r="BR60" s="45">
        <f t="shared" si="144"/>
        <v>2</v>
      </c>
      <c r="BS60" s="46" cm="1">
        <f t="array" ref="BS60">ROUND(IFERROR(INDEX(ArchiveResults!$F$5:$IX$116,ComparisonData!A60,ComparisonData!$BS$1),0),5)</f>
        <v>0</v>
      </c>
      <c r="BT60" s="46" cm="1">
        <f t="array" ref="BT60">ROUND(IFERROR(INDEX(ArchiveResults!$F$5:$IX$116,ComparisonData!A60,ComparisonData!$BT$1),0),5)</f>
        <v>0</v>
      </c>
      <c r="BU60" s="46" cm="1">
        <f t="array" ref="BU60">ROUND(IFERROR(INDEX(ArchiveResults!$F$5:$IX$116,ComparisonData!A60,ComparisonData!$BU$1),0),5)</f>
        <v>0</v>
      </c>
      <c r="BV60" s="46" cm="1">
        <f t="array" ref="BV60">ROUND(IFERROR(INDEX(ArchiveResults!$F$5:$IX$116,ComparisonData!A60,ComparisonData!$BV$1),0),5)</f>
        <v>0</v>
      </c>
      <c r="BW60" s="46" cm="1">
        <f t="array" ref="BW60">ROUND(IFERROR(INDEX(ArchiveResults!$F$5:$IX$116,ComparisonData!A60,ComparisonData!$BW$1),0),5)</f>
        <v>0</v>
      </c>
      <c r="BX60" s="46" cm="1">
        <f t="array" ref="BX60">ROUND(IFERROR(INDEX(ArchiveResults!$F$5:$IX$116,ComparisonData!A60,ComparisonData!$BX$1),0),5)</f>
        <v>0</v>
      </c>
      <c r="BY60" s="56">
        <v>55</v>
      </c>
      <c r="BZ60" s="53" t="str">
        <f t="shared" si="541"/>
        <v>National Maritime Museum: The Caird Library and Archive</v>
      </c>
      <c r="CA60" s="59">
        <f t="shared" si="145"/>
        <v>0</v>
      </c>
      <c r="CB60" s="59">
        <f t="shared" si="146"/>
        <v>0</v>
      </c>
      <c r="CC60" s="59">
        <f t="shared" si="147"/>
        <v>0</v>
      </c>
      <c r="CD60" s="59">
        <f t="shared" si="148"/>
        <v>0</v>
      </c>
      <c r="CE60" s="59">
        <f t="shared" si="149"/>
        <v>0</v>
      </c>
      <c r="CF60" s="59">
        <f t="shared" si="150"/>
        <v>0</v>
      </c>
      <c r="CG60" s="58">
        <f t="shared" si="151"/>
        <v>0</v>
      </c>
      <c r="CH60" s="45">
        <f t="shared" si="152"/>
        <v>7</v>
      </c>
      <c r="CI60" s="54">
        <f t="shared" si="542"/>
        <v>2.4689999999999994</v>
      </c>
      <c r="CJ60" s="45">
        <f t="shared" si="153"/>
        <v>1</v>
      </c>
      <c r="CK60" s="45">
        <f t="shared" si="154"/>
        <v>2</v>
      </c>
      <c r="CL60" s="46" cm="1">
        <f t="array" ref="CL60">ROUND(IFERROR(INDEX(ArchiveResults!$F$5:$IX$116,ComparisonData!A60,ComparisonData!$CL$1),0),5)</f>
        <v>0</v>
      </c>
      <c r="CM60" s="56">
        <v>55</v>
      </c>
      <c r="CN60" s="53" t="str">
        <f t="shared" si="543"/>
        <v>National Maritime Museum: The Caird Library and Archive</v>
      </c>
      <c r="CO60" s="45">
        <f t="shared" si="155"/>
        <v>0</v>
      </c>
      <c r="CP60" s="58">
        <f t="shared" si="156"/>
        <v>0</v>
      </c>
      <c r="CQ60" s="45">
        <f t="shared" si="157"/>
        <v>7</v>
      </c>
      <c r="CR60" s="54">
        <f t="shared" si="544"/>
        <v>2.4689999999999994</v>
      </c>
      <c r="CS60" s="45">
        <f t="shared" si="158"/>
        <v>1</v>
      </c>
      <c r="CT60" s="45">
        <f t="shared" si="159"/>
        <v>2</v>
      </c>
      <c r="CU60" s="46" cm="1">
        <f t="array" ref="CU60">ROUND(IFERROR(INDEX(ArchiveResults!$F$5:$IX$116,ComparisonData!A60,ComparisonData!$CU$1),0),5)</f>
        <v>0</v>
      </c>
      <c r="CV60" s="56">
        <v>55</v>
      </c>
      <c r="CW60" s="53" t="str">
        <f t="shared" si="545"/>
        <v>National Maritime Museum: The Caird Library and Archive</v>
      </c>
      <c r="CX60" s="45">
        <f t="shared" si="160"/>
        <v>0</v>
      </c>
      <c r="CY60" s="58">
        <f t="shared" si="161"/>
        <v>0</v>
      </c>
      <c r="CZ60" s="45">
        <f t="shared" si="162"/>
        <v>7</v>
      </c>
      <c r="DA60" s="54">
        <f t="shared" si="546"/>
        <v>2.4689999999999994</v>
      </c>
      <c r="DB60" s="45">
        <f t="shared" si="163"/>
        <v>1</v>
      </c>
      <c r="DC60" s="45">
        <f t="shared" si="164"/>
        <v>2</v>
      </c>
      <c r="DD60" s="46" cm="1">
        <f t="array" ref="DD60">ROUND(IFERROR(INDEX(ArchiveResults!$F$5:$IX$116,ComparisonData!A60,ComparisonData!$DD$1),0),5)</f>
        <v>0</v>
      </c>
      <c r="DE60" s="56">
        <v>55</v>
      </c>
      <c r="DF60" s="53" t="str">
        <f t="shared" si="547"/>
        <v>National Maritime Museum: The Caird Library and Archive</v>
      </c>
      <c r="DG60" s="45">
        <f t="shared" si="165"/>
        <v>0</v>
      </c>
      <c r="DH60" s="58">
        <f t="shared" si="166"/>
        <v>0</v>
      </c>
      <c r="DI60" s="45">
        <f t="shared" si="167"/>
        <v>7</v>
      </c>
      <c r="DJ60" s="54">
        <f t="shared" si="548"/>
        <v>2.4689999999999994</v>
      </c>
      <c r="DK60" s="45">
        <f t="shared" si="168"/>
        <v>1</v>
      </c>
      <c r="DL60" s="45">
        <f t="shared" si="169"/>
        <v>2</v>
      </c>
      <c r="DM60" s="46" cm="1">
        <f t="array" ref="DM60">ROUND(IFERROR(INDEX(ArchiveResults!$F$5:$IX$116,ComparisonData!A60,ComparisonData!$DM$1),0),5)</f>
        <v>0</v>
      </c>
      <c r="DN60" s="46" cm="1">
        <f t="array" ref="DN60">ROUND(IFERROR(INDEX(ArchiveResults!$F$5:$IX$116,ComparisonData!A60,ComparisonData!$DN$1),0),5)</f>
        <v>0</v>
      </c>
      <c r="DO60" s="46" cm="1">
        <f t="array" ref="DO60">ROUND(IFERROR(INDEX(ArchiveResults!$F$5:$IX$116,ComparisonData!A60,ComparisonData!$DO$1),0),5)</f>
        <v>0</v>
      </c>
      <c r="DP60" s="46" cm="1">
        <f t="array" ref="DP60">ROUND(IFERROR(INDEX(ArchiveResults!$F$5:$IX$116,ComparisonData!A60,ComparisonData!$DP$1),0),5)</f>
        <v>0</v>
      </c>
      <c r="DQ60" s="45" cm="1">
        <f t="array" ref="DQ60">IFERROR(INDEX(ArchiveResults!$F$5:$IX$116,ComparisonData!A60,ComparisonData!$DQ$1),0)</f>
        <v>0</v>
      </c>
      <c r="DR60" s="56">
        <v>55</v>
      </c>
      <c r="DS60" s="53" t="str">
        <f t="shared" si="549"/>
        <v>National Maritime Museum: The Caird Library and Archive</v>
      </c>
      <c r="DT60" s="59">
        <f t="shared" si="170"/>
        <v>0</v>
      </c>
      <c r="DU60" s="59">
        <f t="shared" si="171"/>
        <v>0</v>
      </c>
      <c r="DV60" s="59">
        <f t="shared" si="172"/>
        <v>0</v>
      </c>
      <c r="DW60" s="59">
        <f t="shared" si="173"/>
        <v>0</v>
      </c>
      <c r="DX60" s="59">
        <f t="shared" si="174"/>
        <v>0</v>
      </c>
      <c r="DY60" s="58">
        <f t="shared" si="175"/>
        <v>0</v>
      </c>
      <c r="DZ60" s="45">
        <f t="shared" si="176"/>
        <v>7</v>
      </c>
      <c r="EA60" s="54">
        <f t="shared" si="550"/>
        <v>2.4689999999999994</v>
      </c>
      <c r="EB60" s="45">
        <f t="shared" si="177"/>
        <v>1</v>
      </c>
      <c r="EC60" s="45">
        <f t="shared" si="178"/>
        <v>2</v>
      </c>
      <c r="ED60" s="46" cm="1">
        <f t="array" ref="ED60">ROUND(IFERROR(INDEX(ArchiveResults!$F$5:$IX$116,ComparisonData!A60,ComparisonData!$ED$1),0),5)</f>
        <v>0</v>
      </c>
      <c r="EE60" s="46" cm="1">
        <f t="array" ref="EE60">ROUND(IFERROR(INDEX(ArchiveResults!$F$5:$IX$116,ComparisonData!A60,ComparisonData!$EE$1),0),5)</f>
        <v>0</v>
      </c>
      <c r="EF60" s="46" cm="1">
        <f t="array" ref="EF60">ROUND(IFERROR(INDEX(ArchiveResults!$F$5:$IX$116,ComparisonData!A60,ComparisonData!$EF$1),0),5)</f>
        <v>0</v>
      </c>
      <c r="EG60" s="46" cm="1">
        <f t="array" ref="EG60">ROUND(IFERROR(INDEX(ArchiveResults!$F$5:$IX$116,ComparisonData!A60,ComparisonData!$EG$1),0),5)</f>
        <v>0</v>
      </c>
      <c r="EH60" s="45" cm="1">
        <f t="array" ref="EH60">IFERROR(INDEX(ArchiveResults!$F$5:$IX$116,ComparisonData!A60,ComparisonData!$EH$1),0)</f>
        <v>0</v>
      </c>
      <c r="EI60" s="56">
        <v>55</v>
      </c>
      <c r="EJ60" s="53" t="str">
        <f t="shared" si="551"/>
        <v>National Maritime Museum: The Caird Library and Archive</v>
      </c>
      <c r="EK60" s="59">
        <f t="shared" si="179"/>
        <v>0</v>
      </c>
      <c r="EL60" s="59">
        <f t="shared" si="180"/>
        <v>0</v>
      </c>
      <c r="EM60" s="59">
        <f t="shared" si="181"/>
        <v>0</v>
      </c>
      <c r="EN60" s="59">
        <f t="shared" si="182"/>
        <v>0</v>
      </c>
      <c r="EO60" s="59">
        <f t="shared" si="183"/>
        <v>0</v>
      </c>
      <c r="EP60" s="58">
        <f t="shared" si="184"/>
        <v>0</v>
      </c>
      <c r="EQ60" s="45">
        <f t="shared" si="185"/>
        <v>7</v>
      </c>
      <c r="ER60" s="54">
        <f t="shared" si="552"/>
        <v>2.4689999999999994</v>
      </c>
      <c r="ES60" s="45">
        <f t="shared" si="186"/>
        <v>1</v>
      </c>
      <c r="ET60" s="45">
        <f t="shared" si="187"/>
        <v>2</v>
      </c>
      <c r="EU60" s="46" cm="1">
        <f t="array" ref="EU60">ROUND(IFERROR(INDEX(ArchiveResults!$F$5:$IX$116,ComparisonData!A60,ComparisonData!$EU$1),0),5)</f>
        <v>0</v>
      </c>
      <c r="EV60" s="46" cm="1">
        <f t="array" ref="EV60">ROUND(IFERROR(INDEX(ArchiveResults!$F$5:$IX$116,ComparisonData!A60,ComparisonData!$EV$1),0),5)</f>
        <v>0</v>
      </c>
      <c r="EW60" s="46" cm="1">
        <f t="array" ref="EW60">ROUND(IFERROR(INDEX(ArchiveResults!$F$5:$IX$116,ComparisonData!A60,ComparisonData!$EW$1),0),5)</f>
        <v>0</v>
      </c>
      <c r="EX60" s="46" cm="1">
        <f t="array" ref="EX60">ROUND(IFERROR(INDEX(ArchiveResults!$F$5:$IX$116,ComparisonData!A60,ComparisonData!$EX$1),0),5)</f>
        <v>0</v>
      </c>
      <c r="EY60" s="45" cm="1">
        <f t="array" ref="EY60">IFERROR(INDEX(ArchiveResults!$F$5:$IX$116,ComparisonData!A60,ComparisonData!$EY$1),0)</f>
        <v>0</v>
      </c>
      <c r="EZ60" s="56">
        <v>55</v>
      </c>
      <c r="FA60" s="53" t="str">
        <f t="shared" si="553"/>
        <v>National Maritime Museum: The Caird Library and Archive</v>
      </c>
      <c r="FB60" s="59">
        <f t="shared" si="188"/>
        <v>0</v>
      </c>
      <c r="FC60" s="59">
        <f t="shared" si="189"/>
        <v>0</v>
      </c>
      <c r="FD60" s="59">
        <f t="shared" si="190"/>
        <v>0</v>
      </c>
      <c r="FE60" s="59">
        <f t="shared" si="191"/>
        <v>0</v>
      </c>
      <c r="FF60" s="59">
        <f t="shared" si="192"/>
        <v>0</v>
      </c>
      <c r="FG60" s="58">
        <f t="shared" si="193"/>
        <v>0</v>
      </c>
      <c r="FH60" s="45">
        <f t="shared" si="194"/>
        <v>7</v>
      </c>
      <c r="FI60" s="54">
        <f t="shared" si="554"/>
        <v>2.4689999999999994</v>
      </c>
      <c r="FJ60" s="45">
        <f t="shared" si="195"/>
        <v>1</v>
      </c>
      <c r="FK60" s="45">
        <f t="shared" si="196"/>
        <v>2</v>
      </c>
      <c r="FL60" s="46" cm="1">
        <f t="array" ref="FL60">ROUND(IFERROR(INDEX(ArchiveResults!$F$5:$IX$116,ComparisonData!A60,ComparisonData!$FL$1),0),5)</f>
        <v>0</v>
      </c>
      <c r="FM60" s="46" cm="1">
        <f t="array" ref="FM60">ROUND(IFERROR(INDEX(ArchiveResults!$F$5:$IX$116,ComparisonData!A60,ComparisonData!$FM$1),0),5)</f>
        <v>0</v>
      </c>
      <c r="FN60" s="46" cm="1">
        <f t="array" ref="FN60">ROUND(IFERROR(INDEX(ArchiveResults!$F$5:$IX$116,ComparisonData!A60,ComparisonData!$FN$1),0),5)</f>
        <v>0</v>
      </c>
      <c r="FO60" s="46" cm="1">
        <f t="array" ref="FO60">ROUND(IFERROR(INDEX(ArchiveResults!$F$5:$IX$116,ComparisonData!A60,ComparisonData!$FO$1),0),5)</f>
        <v>0</v>
      </c>
      <c r="FP60" s="45" cm="1">
        <f t="array" ref="FP60">IFERROR(INDEX(ArchiveResults!$F$5:$IX$116,ComparisonData!A60,ComparisonData!$FP$1),0)</f>
        <v>0</v>
      </c>
      <c r="FQ60" s="56">
        <v>55</v>
      </c>
      <c r="FR60" s="53" t="str">
        <f t="shared" si="555"/>
        <v>National Maritime Museum: The Caird Library and Archive</v>
      </c>
      <c r="FS60" s="59">
        <f t="shared" si="197"/>
        <v>0</v>
      </c>
      <c r="FT60" s="59">
        <f t="shared" si="198"/>
        <v>0</v>
      </c>
      <c r="FU60" s="59">
        <f t="shared" si="199"/>
        <v>0</v>
      </c>
      <c r="FV60" s="59">
        <f t="shared" si="200"/>
        <v>0</v>
      </c>
      <c r="FW60" s="59">
        <f t="shared" si="201"/>
        <v>0</v>
      </c>
      <c r="FX60" s="58">
        <f t="shared" si="202"/>
        <v>0</v>
      </c>
      <c r="FY60" s="45">
        <f t="shared" si="203"/>
        <v>7</v>
      </c>
      <c r="FZ60" s="45">
        <f t="shared" si="556"/>
        <v>2.4689999999999994</v>
      </c>
      <c r="GA60" s="45">
        <f t="shared" si="204"/>
        <v>1</v>
      </c>
      <c r="GB60" s="45">
        <f t="shared" si="205"/>
        <v>2</v>
      </c>
      <c r="GC60" s="46" cm="1">
        <f t="array" ref="GC60">ROUND(IFERROR(INDEX(ArchiveResults!$F$5:$IX$116,ComparisonData!A60,ComparisonData!$GC$1),0),5)</f>
        <v>0</v>
      </c>
      <c r="GD60" s="46" cm="1">
        <f t="array" ref="GD60">ROUND(IFERROR(INDEX(ArchiveResults!$F$5:$IX$116,ComparisonData!A60,ComparisonData!$GD$1),0),5)</f>
        <v>0</v>
      </c>
      <c r="GE60" s="46" cm="1">
        <f t="array" ref="GE60">ROUND(IFERROR(INDEX(ArchiveResults!$F$5:$IX$116,ComparisonData!A60,ComparisonData!$GE$1),0),5)</f>
        <v>0</v>
      </c>
      <c r="GF60" s="46" cm="1">
        <f t="array" ref="GF60">ROUND(IFERROR(INDEX(ArchiveResults!$F$5:$IX$116,ComparisonData!A60,ComparisonData!$GF$1),0),5)</f>
        <v>0</v>
      </c>
      <c r="GG60" s="45" cm="1">
        <f t="array" ref="GG60">IFERROR(INDEX(ArchiveResults!$F$5:$IX$116,ComparisonData!A60,ComparisonData!$GG$1),0)</f>
        <v>0</v>
      </c>
      <c r="GH60" s="56">
        <v>55</v>
      </c>
      <c r="GI60" s="53" t="str">
        <f t="shared" si="557"/>
        <v>National Maritime Museum: The Caird Library and Archive</v>
      </c>
      <c r="GJ60" s="59">
        <f t="shared" si="206"/>
        <v>0</v>
      </c>
      <c r="GK60" s="59">
        <f t="shared" si="207"/>
        <v>0</v>
      </c>
      <c r="GL60" s="59">
        <f t="shared" si="208"/>
        <v>0</v>
      </c>
      <c r="GM60" s="59">
        <f t="shared" si="209"/>
        <v>0</v>
      </c>
      <c r="GN60" s="59">
        <f t="shared" si="210"/>
        <v>0</v>
      </c>
      <c r="GO60" s="58">
        <f t="shared" si="211"/>
        <v>0</v>
      </c>
      <c r="GP60" s="45">
        <f t="shared" si="212"/>
        <v>7</v>
      </c>
      <c r="GQ60" s="45">
        <f t="shared" si="558"/>
        <v>2.4689999999999994</v>
      </c>
      <c r="GR60" s="45">
        <f t="shared" si="213"/>
        <v>1</v>
      </c>
      <c r="GS60" s="45">
        <f t="shared" si="214"/>
        <v>2</v>
      </c>
      <c r="GT60" s="46" cm="1">
        <f t="array" ref="GT60">ROUND(IFERROR(INDEX(ArchiveResults!$F$5:$IX$116,ComparisonData!A60,ComparisonData!$GT$1),0),5)</f>
        <v>0</v>
      </c>
      <c r="GU60" s="46" cm="1">
        <f t="array" ref="GU60">ROUND(IFERROR(INDEX(ArchiveResults!$F$5:$IX$116,ComparisonData!A60,ComparisonData!$GU$1),0),5)</f>
        <v>0</v>
      </c>
      <c r="GV60" s="46" cm="1">
        <f t="array" ref="GV60">ROUND(IFERROR(INDEX(ArchiveResults!$F$5:$IX$116,ComparisonData!A60,ComparisonData!$GV$1),0),5)</f>
        <v>0</v>
      </c>
      <c r="GW60" s="46" cm="1">
        <f t="array" ref="GW60">ROUND(IFERROR(INDEX(ArchiveResults!$F$5:$IX$116,ComparisonData!A60,ComparisonData!$GW$1),0),5)</f>
        <v>0</v>
      </c>
      <c r="GX60" s="45" cm="1">
        <f t="array" ref="GX60">IFERROR(INDEX(ArchiveResults!$F$5:$IX$116,ComparisonData!A60,ComparisonData!$GX$1),0)</f>
        <v>0</v>
      </c>
      <c r="GY60" s="56">
        <v>55</v>
      </c>
      <c r="GZ60" s="53" t="str">
        <f t="shared" si="559"/>
        <v>National Maritime Museum: The Caird Library and Archive</v>
      </c>
      <c r="HA60" s="59">
        <f t="shared" si="215"/>
        <v>0</v>
      </c>
      <c r="HB60" s="59">
        <f t="shared" si="216"/>
        <v>0</v>
      </c>
      <c r="HC60" s="59">
        <f t="shared" si="217"/>
        <v>0</v>
      </c>
      <c r="HD60" s="59">
        <f t="shared" si="218"/>
        <v>0</v>
      </c>
      <c r="HE60" s="59">
        <f t="shared" si="219"/>
        <v>0</v>
      </c>
      <c r="HF60" s="58">
        <f t="shared" si="220"/>
        <v>0</v>
      </c>
      <c r="HG60" s="45">
        <f t="shared" si="221"/>
        <v>7</v>
      </c>
      <c r="HH60" s="45">
        <f t="shared" si="560"/>
        <v>2.4689999999999994</v>
      </c>
      <c r="HI60" s="45">
        <f t="shared" si="222"/>
        <v>1</v>
      </c>
      <c r="HJ60" s="45">
        <f t="shared" si="223"/>
        <v>2</v>
      </c>
      <c r="HK60" s="46" cm="1">
        <f t="array" ref="HK60">ROUND(IFERROR(INDEX(ArchiveResults!$F$5:$IX$116,ComparisonData!A60,ComparisonData!$HK$1),0),5)</f>
        <v>0</v>
      </c>
      <c r="HL60" s="46" cm="1">
        <f t="array" ref="HL60">ROUND(IFERROR(INDEX(ArchiveResults!$F$5:$IX$116,ComparisonData!A60,ComparisonData!$HL$1),0),5)</f>
        <v>0</v>
      </c>
      <c r="HM60" s="46" cm="1">
        <f t="array" ref="HM60">ROUND(IFERROR(INDEX(ArchiveResults!$F$5:$IX$116,ComparisonData!A60,ComparisonData!$HM$1),0),5)</f>
        <v>0</v>
      </c>
      <c r="HN60" s="46" cm="1">
        <f t="array" ref="HN60">ROUND(IFERROR(INDEX(ArchiveResults!$F$5:$IX$116,ComparisonData!A60,ComparisonData!$HN$1),0),5)</f>
        <v>0</v>
      </c>
      <c r="HO60" s="45" cm="1">
        <f t="array" ref="HO60">IFERROR(INDEX(ArchiveResults!$F$5:$IX$116,ComparisonData!A60,ComparisonData!$HO$1),0)</f>
        <v>0</v>
      </c>
      <c r="HP60" s="56">
        <v>55</v>
      </c>
      <c r="HQ60" s="53" t="str">
        <f t="shared" si="561"/>
        <v>National Maritime Museum: The Caird Library and Archive</v>
      </c>
      <c r="HR60" s="59">
        <f t="shared" si="562"/>
        <v>0</v>
      </c>
      <c r="HS60" s="59">
        <f t="shared" si="563"/>
        <v>0</v>
      </c>
      <c r="HT60" s="59">
        <f t="shared" si="564"/>
        <v>0</v>
      </c>
      <c r="HU60" s="59">
        <f t="shared" si="565"/>
        <v>0</v>
      </c>
      <c r="HV60" s="59">
        <f t="shared" si="566"/>
        <v>0</v>
      </c>
      <c r="HW60" s="58">
        <f t="shared" si="224"/>
        <v>0</v>
      </c>
      <c r="HX60" s="45">
        <f t="shared" si="225"/>
        <v>7</v>
      </c>
      <c r="HY60" s="45">
        <f t="shared" si="567"/>
        <v>2.4689999999999994</v>
      </c>
      <c r="HZ60" s="45">
        <f t="shared" si="226"/>
        <v>1</v>
      </c>
      <c r="IA60" s="45">
        <f t="shared" si="227"/>
        <v>2</v>
      </c>
      <c r="IB60" s="45">
        <f t="shared" si="228"/>
        <v>0</v>
      </c>
      <c r="IC60" s="46" cm="1">
        <f t="array" ref="IC60">ROUND(IFERROR(INDEX(ArchiveResults!$F$5:$IX$116,ComparisonData!A60,ComparisonData!$IC$1),0),5)</f>
        <v>0</v>
      </c>
      <c r="ID60" s="46" cm="1">
        <f t="array" ref="ID60">ROUND(IFERROR(INDEX(ArchiveResults!$F$5:$IX$116,ComparisonData!A60,ComparisonData!$ID$1),0),5)</f>
        <v>0</v>
      </c>
      <c r="IE60" s="46" cm="1">
        <f t="array" ref="IE60">ROUND(IFERROR(INDEX(ArchiveResults!$F$5:$IX$116,ComparisonData!A60,ComparisonData!$IE$1),0),5)</f>
        <v>0</v>
      </c>
      <c r="IF60" s="46" cm="1">
        <f t="array" ref="IF60">ROUND(IFERROR(INDEX(ArchiveResults!$F$5:$IX$116,ComparisonData!A60,ComparisonData!$IF$1),0),5)</f>
        <v>0</v>
      </c>
      <c r="IG60" s="45" cm="1">
        <f t="array" ref="IG60">IFERROR(INDEX(ArchiveResults!$F$5:$IX$116,ComparisonData!A60,ComparisonData!$IG$1),0)</f>
        <v>0</v>
      </c>
      <c r="IH60" s="56">
        <v>55</v>
      </c>
      <c r="II60" s="53" t="str">
        <f t="shared" si="568"/>
        <v>National Maritime Museum: The Caird Library and Archive</v>
      </c>
      <c r="IJ60" s="59">
        <f t="shared" si="229"/>
        <v>0</v>
      </c>
      <c r="IK60" s="59">
        <f t="shared" si="230"/>
        <v>0</v>
      </c>
      <c r="IL60" s="59">
        <f t="shared" si="231"/>
        <v>0</v>
      </c>
      <c r="IM60" s="59">
        <f t="shared" si="232"/>
        <v>0</v>
      </c>
      <c r="IN60" s="59">
        <f t="shared" si="233"/>
        <v>0</v>
      </c>
      <c r="IO60" s="58">
        <f t="shared" si="234"/>
        <v>0</v>
      </c>
      <c r="IP60" s="45">
        <f t="shared" si="235"/>
        <v>7</v>
      </c>
      <c r="IQ60" s="45">
        <f t="shared" si="569"/>
        <v>2.4689999999999994</v>
      </c>
      <c r="IR60" s="45">
        <f t="shared" si="236"/>
        <v>1</v>
      </c>
      <c r="IS60" s="45">
        <f t="shared" si="237"/>
        <v>2</v>
      </c>
      <c r="IT60" s="46">
        <f t="shared" si="238"/>
        <v>0</v>
      </c>
      <c r="IU60" s="46" cm="1">
        <f t="array" ref="IU60">ROUND(IFERROR(INDEX(ArchiveResults!$F$5:$IX$116,ComparisonData!A60,ComparisonData!$IU$1),0),5)</f>
        <v>0</v>
      </c>
      <c r="IV60" s="46" cm="1">
        <f t="array" ref="IV60">ROUND(IFERROR(INDEX(ArchiveResults!$F$5:$IX$116,ComparisonData!A60,ComparisonData!$IV$1),0),5)</f>
        <v>0</v>
      </c>
      <c r="IW60" s="46" cm="1">
        <f t="array" ref="IW60">ROUND(IFERROR(INDEX(ArchiveResults!$F$5:$IX$116,ComparisonData!A60,ComparisonData!$IW$1),0),5)</f>
        <v>0</v>
      </c>
      <c r="IX60" s="46" cm="1">
        <f t="array" ref="IX60">ROUND(IFERROR(INDEX(ArchiveResults!$F$5:$IX$116,ComparisonData!A60,ComparisonData!$IX$1),0),5)</f>
        <v>0</v>
      </c>
      <c r="IY60" s="45" cm="1">
        <f t="array" ref="IY60">IFERROR(INDEX(ArchiveResults!$F$5:$IX$116,ComparisonData!A60,ComparisonData!$IY$1),0)</f>
        <v>0</v>
      </c>
      <c r="IZ60" s="56">
        <v>55</v>
      </c>
      <c r="JA60" s="53" t="str">
        <f t="shared" si="570"/>
        <v>National Maritime Museum: The Caird Library and Archive</v>
      </c>
      <c r="JB60" s="59">
        <f t="shared" si="239"/>
        <v>0</v>
      </c>
      <c r="JC60" s="59">
        <f t="shared" si="240"/>
        <v>0</v>
      </c>
      <c r="JD60" s="59">
        <f t="shared" si="241"/>
        <v>0</v>
      </c>
      <c r="JE60" s="59">
        <f t="shared" si="242"/>
        <v>0</v>
      </c>
      <c r="JF60" s="59">
        <f t="shared" si="243"/>
        <v>0</v>
      </c>
      <c r="JG60" s="58">
        <f t="shared" si="244"/>
        <v>0</v>
      </c>
      <c r="JH60" s="45">
        <f t="shared" si="245"/>
        <v>7</v>
      </c>
      <c r="JI60" s="45">
        <f t="shared" si="571"/>
        <v>2.4689999999999994</v>
      </c>
      <c r="JJ60" s="45">
        <f t="shared" si="246"/>
        <v>1</v>
      </c>
      <c r="JK60" s="45">
        <f t="shared" si="247"/>
        <v>2</v>
      </c>
      <c r="JL60" s="45">
        <f t="shared" si="248"/>
        <v>0</v>
      </c>
      <c r="JM60" s="46" cm="1">
        <f t="array" ref="JM60">ROUND(IFERROR(INDEX(ArchiveResults!$F$5:$IX$116,ComparisonData!A60,ComparisonData!$JM$1),0),5)</f>
        <v>0</v>
      </c>
      <c r="JN60" s="46" cm="1">
        <f t="array" ref="JN60">ROUND(IFERROR(INDEX(ArchiveResults!$F$5:$IX$116,ComparisonData!A60,ComparisonData!$JN$1),0),5)</f>
        <v>0</v>
      </c>
      <c r="JO60" s="46" cm="1">
        <f t="array" ref="JO60">ROUND(IFERROR(INDEX(ArchiveResults!$F$5:$IX$116,ComparisonData!A60,ComparisonData!$JO$1),0),5)</f>
        <v>0</v>
      </c>
      <c r="JP60" s="46" cm="1">
        <f t="array" ref="JP60">ROUND(IFERROR(INDEX(ArchiveResults!$F$5:$IX$116,ComparisonData!A60,ComparisonData!$JP$1),0),5)</f>
        <v>0</v>
      </c>
      <c r="JQ60" s="45" cm="1">
        <f t="array" ref="JQ60">IFERROR(INDEX(ArchiveResults!$F$5:$IX$116,ComparisonData!A60,ComparisonData!$JQ$1),0)</f>
        <v>0</v>
      </c>
      <c r="JR60" s="56">
        <v>55</v>
      </c>
      <c r="JS60" s="53" t="str">
        <f t="shared" si="572"/>
        <v>National Maritime Museum: The Caird Library and Archive</v>
      </c>
      <c r="JT60" s="59">
        <f t="shared" si="249"/>
        <v>0</v>
      </c>
      <c r="JU60" s="59">
        <f t="shared" si="250"/>
        <v>0</v>
      </c>
      <c r="JV60" s="59">
        <f t="shared" si="251"/>
        <v>0</v>
      </c>
      <c r="JW60" s="59">
        <f t="shared" si="252"/>
        <v>0</v>
      </c>
      <c r="JX60" s="59">
        <f t="shared" si="253"/>
        <v>0</v>
      </c>
      <c r="JY60" s="58">
        <f t="shared" si="254"/>
        <v>0</v>
      </c>
      <c r="JZ60" s="45">
        <f t="shared" si="255"/>
        <v>7</v>
      </c>
      <c r="KA60" s="45">
        <f t="shared" si="573"/>
        <v>2.4689999999999994</v>
      </c>
      <c r="KB60" s="45">
        <f t="shared" si="256"/>
        <v>1</v>
      </c>
      <c r="KC60" s="45">
        <f t="shared" si="257"/>
        <v>2</v>
      </c>
      <c r="KD60" s="45">
        <f t="shared" si="258"/>
        <v>0</v>
      </c>
      <c r="KE60" s="46" cm="1">
        <f t="array" ref="KE60">ROUND(IFERROR(INDEX(ArchiveResults!$F$5:$IX$116,ComparisonData!A60,ComparisonData!$KE$1),0),5)</f>
        <v>0</v>
      </c>
      <c r="KF60" s="46" cm="1">
        <f t="array" ref="KF60">ROUND(IFERROR(INDEX(ArchiveResults!$F$5:$IX$116,ComparisonData!A60,ComparisonData!$KF$1),0),5)</f>
        <v>0</v>
      </c>
      <c r="KG60" s="46" cm="1">
        <f t="array" ref="KG60">ROUND(IFERROR(INDEX(ArchiveResults!$F$5:$IX$116,ComparisonData!A60,ComparisonData!$KG$1),0),5)</f>
        <v>0</v>
      </c>
      <c r="KH60" s="46" cm="1">
        <f t="array" ref="KH60">ROUND(IFERROR(INDEX(ArchiveResults!$F$5:$IX$116,ComparisonData!A60,ComparisonData!$KH$1),0),5)</f>
        <v>0</v>
      </c>
      <c r="KI60" s="45" cm="1">
        <f t="array" ref="KI60">IFERROR(INDEX(ArchiveResults!$F$5:$IX$116,ComparisonData!A60,ComparisonData!$KI$1),0)</f>
        <v>0</v>
      </c>
      <c r="KJ60" s="56">
        <v>55</v>
      </c>
      <c r="KK60" s="53" t="str">
        <f t="shared" si="574"/>
        <v>National Maritime Museum: The Caird Library and Archive</v>
      </c>
      <c r="KL60" s="59">
        <f t="shared" si="259"/>
        <v>0</v>
      </c>
      <c r="KM60" s="59">
        <f t="shared" si="260"/>
        <v>0</v>
      </c>
      <c r="KN60" s="59">
        <f t="shared" si="261"/>
        <v>0</v>
      </c>
      <c r="KO60" s="59">
        <f t="shared" si="262"/>
        <v>0</v>
      </c>
      <c r="KP60" s="59">
        <f t="shared" si="263"/>
        <v>0</v>
      </c>
      <c r="KQ60" s="58">
        <f t="shared" si="264"/>
        <v>0</v>
      </c>
      <c r="KR60" s="45">
        <f t="shared" si="265"/>
        <v>7</v>
      </c>
      <c r="KS60" s="45">
        <f t="shared" si="575"/>
        <v>2.4689999999999994</v>
      </c>
      <c r="KT60" s="45">
        <f t="shared" si="266"/>
        <v>1</v>
      </c>
      <c r="KU60" s="45">
        <f t="shared" si="267"/>
        <v>2</v>
      </c>
      <c r="KV60" s="45">
        <f t="shared" si="268"/>
        <v>0</v>
      </c>
      <c r="KW60" s="46" cm="1">
        <f t="array" ref="KW60">ROUND(IFERROR(INDEX(ArchiveResults!$F$5:$IX$116,ComparisonData!A60,ComparisonData!$KW$1),0),5)</f>
        <v>0</v>
      </c>
      <c r="KX60" s="46" cm="1">
        <f t="array" ref="KX60">ROUND(IFERROR(INDEX(ArchiveResults!$F$5:$IX$116,ComparisonData!A60,ComparisonData!$KX$1),0),5)</f>
        <v>0</v>
      </c>
      <c r="KY60" s="46" cm="1">
        <f t="array" ref="KY60">ROUND(IFERROR(INDEX(ArchiveResults!$F$5:$IX$116,ComparisonData!A60,ComparisonData!$KY$1),0),5)</f>
        <v>0</v>
      </c>
      <c r="KZ60" s="46" cm="1">
        <f t="array" ref="KZ60">ROUND(IFERROR(INDEX(ArchiveResults!$F$5:$IX$116,ComparisonData!A60,ComparisonData!$KZ$1),0),5)</f>
        <v>0</v>
      </c>
      <c r="LA60" s="45" cm="1">
        <f t="array" ref="LA60">IFERROR(INDEX(ArchiveResults!$F$5:$IX$116,ComparisonData!A60,ComparisonData!$LA$1),0)</f>
        <v>0</v>
      </c>
      <c r="LB60" s="56">
        <v>55</v>
      </c>
      <c r="LC60" s="53" t="str">
        <f t="shared" si="576"/>
        <v>National Maritime Museum: The Caird Library and Archive</v>
      </c>
      <c r="LD60" s="59">
        <f t="shared" si="269"/>
        <v>0</v>
      </c>
      <c r="LE60" s="59">
        <f t="shared" si="270"/>
        <v>0</v>
      </c>
      <c r="LF60" s="59">
        <f t="shared" si="271"/>
        <v>0</v>
      </c>
      <c r="LG60" s="59">
        <f t="shared" si="272"/>
        <v>0</v>
      </c>
      <c r="LH60" s="59">
        <f t="shared" si="273"/>
        <v>0</v>
      </c>
      <c r="LI60" s="58">
        <f t="shared" si="274"/>
        <v>0</v>
      </c>
      <c r="LJ60" s="45">
        <f t="shared" si="275"/>
        <v>7</v>
      </c>
      <c r="LK60" s="45">
        <f t="shared" si="577"/>
        <v>2.4689999999999994</v>
      </c>
      <c r="LL60" s="45">
        <f t="shared" si="276"/>
        <v>1</v>
      </c>
      <c r="LM60" s="45">
        <f t="shared" si="277"/>
        <v>2</v>
      </c>
      <c r="LN60" s="45">
        <f t="shared" si="278"/>
        <v>0</v>
      </c>
      <c r="LO60" s="46" cm="1">
        <f t="array" ref="LO60">ROUND(IFERROR(INDEX(ArchiveResults!$F$5:$IX$116,ComparisonData!A60,ComparisonData!$LO$1),0),5)</f>
        <v>0</v>
      </c>
      <c r="LP60" s="46" cm="1">
        <f t="array" ref="LP60">ROUND(IFERROR(INDEX(ArchiveResults!$F$5:$IX$116,ComparisonData!A60,ComparisonData!$LP$1),0),5)</f>
        <v>0</v>
      </c>
      <c r="LQ60" s="46" cm="1">
        <f t="array" ref="LQ60">ROUND(IFERROR(INDEX(ArchiveResults!$F$5:$IX$116,ComparisonData!A60,ComparisonData!$LQ$1),0),5)</f>
        <v>0</v>
      </c>
      <c r="LR60" s="46" cm="1">
        <f t="array" ref="LR60">ROUND(IFERROR(INDEX(ArchiveResults!$F$5:$IX$116,ComparisonData!A60,ComparisonData!$LR$1),0),5)</f>
        <v>0</v>
      </c>
      <c r="LS60" s="45" cm="1">
        <f t="array" ref="LS60">IFERROR(INDEX(ArchiveResults!$F$5:$IX$116,ComparisonData!A60,ComparisonData!$LS$1),0)</f>
        <v>0</v>
      </c>
      <c r="LT60" s="56">
        <v>55</v>
      </c>
      <c r="LU60" s="53" t="str">
        <f t="shared" si="578"/>
        <v>National Maritime Museum: The Caird Library and Archive</v>
      </c>
      <c r="LV60" s="59">
        <f t="shared" si="279"/>
        <v>0</v>
      </c>
      <c r="LW60" s="59">
        <f t="shared" si="280"/>
        <v>0</v>
      </c>
      <c r="LX60" s="59">
        <f t="shared" si="281"/>
        <v>0</v>
      </c>
      <c r="LY60" s="59">
        <f t="shared" si="282"/>
        <v>0</v>
      </c>
      <c r="LZ60" s="59">
        <f t="shared" si="283"/>
        <v>0</v>
      </c>
      <c r="MA60" s="58">
        <f t="shared" si="284"/>
        <v>0</v>
      </c>
      <c r="MB60" s="45">
        <f t="shared" si="285"/>
        <v>7</v>
      </c>
      <c r="MC60" s="45">
        <f t="shared" si="579"/>
        <v>2.4689999999999994</v>
      </c>
      <c r="MD60" s="45">
        <f t="shared" si="286"/>
        <v>1</v>
      </c>
      <c r="ME60" s="45">
        <f t="shared" si="287"/>
        <v>2</v>
      </c>
      <c r="MF60" s="45">
        <f t="shared" si="288"/>
        <v>0</v>
      </c>
      <c r="MG60" s="46" cm="1">
        <f t="array" ref="MG60">ROUND(IFERROR(INDEX(ArchiveResults!$F$5:$IX$116,ComparisonData!A60,ComparisonData!$MG$1),0),5)</f>
        <v>0</v>
      </c>
      <c r="MH60" s="46" cm="1">
        <f t="array" ref="MH60">ROUND(IFERROR(INDEX(ArchiveResults!$F$5:$IX$116,ComparisonData!A60,ComparisonData!$MH$1),0),5)</f>
        <v>0</v>
      </c>
      <c r="MI60" s="46" cm="1">
        <f t="array" ref="MI60">ROUND(IFERROR(INDEX(ArchiveResults!$F$5:$IX$116,ComparisonData!A60,ComparisonData!$MI$1),0),5)</f>
        <v>0</v>
      </c>
      <c r="MJ60" s="46" cm="1">
        <f t="array" ref="MJ60">ROUND(IFERROR(INDEX(ArchiveResults!$F$5:$IX$116,ComparisonData!A60,ComparisonData!$MJ$1),0),5)</f>
        <v>0</v>
      </c>
      <c r="MK60" s="45" cm="1">
        <f t="array" ref="MK60">IFERROR(INDEX(ArchiveResults!$F$5:$IX$116,ComparisonData!A60,ComparisonData!$MK$1),0)</f>
        <v>0</v>
      </c>
      <c r="ML60" s="56">
        <v>55</v>
      </c>
      <c r="MM60" s="53" t="str">
        <f t="shared" si="580"/>
        <v>National Maritime Museum: The Caird Library and Archive</v>
      </c>
      <c r="MN60" s="59">
        <f t="shared" si="289"/>
        <v>0</v>
      </c>
      <c r="MO60" s="59">
        <f t="shared" si="290"/>
        <v>0</v>
      </c>
      <c r="MP60" s="59">
        <f t="shared" si="291"/>
        <v>0</v>
      </c>
      <c r="MQ60" s="59">
        <f t="shared" si="292"/>
        <v>0</v>
      </c>
      <c r="MR60" s="59">
        <f t="shared" si="293"/>
        <v>0</v>
      </c>
      <c r="MS60" s="58">
        <f t="shared" si="294"/>
        <v>0</v>
      </c>
      <c r="MT60" s="45">
        <f t="shared" si="295"/>
        <v>7</v>
      </c>
      <c r="MU60" s="45">
        <f t="shared" si="581"/>
        <v>2.4689999999999994</v>
      </c>
      <c r="MV60" s="45">
        <f t="shared" si="296"/>
        <v>1</v>
      </c>
      <c r="MW60" s="45">
        <f t="shared" si="297"/>
        <v>2</v>
      </c>
      <c r="MX60" s="45">
        <f t="shared" si="298"/>
        <v>0</v>
      </c>
      <c r="MY60" s="46" cm="1">
        <f t="array" ref="MY60">ROUND(IFERROR(INDEX(ArchiveResults!$F$5:$IX$116,ComparisonData!A60,ComparisonData!$MY$1),0),5)</f>
        <v>0</v>
      </c>
      <c r="MZ60" s="46" cm="1">
        <f t="array" ref="MZ60">ROUND(IFERROR(INDEX(ArchiveResults!$F$5:$IX$116,ComparisonData!A60,ComparisonData!$MZ$1),0),5)</f>
        <v>0</v>
      </c>
      <c r="NA60" s="46" cm="1">
        <f t="array" ref="NA60">ROUND(IFERROR(INDEX(ArchiveResults!$F$5:$IX$116,ComparisonData!A60,ComparisonData!$NA$1),0),5)</f>
        <v>0</v>
      </c>
      <c r="NB60" s="46" cm="1">
        <f t="array" ref="NB60">ROUND(IFERROR(INDEX(ArchiveResults!$F$5:$IX$116,ComparisonData!A60,ComparisonData!$NB$1),0),5)</f>
        <v>0</v>
      </c>
      <c r="NC60" s="45" cm="1">
        <f t="array" ref="NC60">IFERROR(INDEX(ArchiveResults!$F$5:$IX$116,ComparisonData!A60,ComparisonData!$NC$1),0)</f>
        <v>0</v>
      </c>
      <c r="ND60" s="56">
        <v>55</v>
      </c>
      <c r="NE60" s="53" t="str">
        <f t="shared" si="582"/>
        <v>National Maritime Museum: The Caird Library and Archive</v>
      </c>
      <c r="NF60" s="59">
        <f t="shared" si="299"/>
        <v>0</v>
      </c>
      <c r="NG60" s="59">
        <f t="shared" si="300"/>
        <v>0</v>
      </c>
      <c r="NH60" s="59">
        <f t="shared" si="301"/>
        <v>0</v>
      </c>
      <c r="NI60" s="59">
        <f t="shared" si="302"/>
        <v>0</v>
      </c>
      <c r="NJ60" s="59">
        <f t="shared" si="303"/>
        <v>0</v>
      </c>
      <c r="NK60" s="58">
        <f t="shared" si="304"/>
        <v>0</v>
      </c>
      <c r="NL60" s="45">
        <f t="shared" si="305"/>
        <v>7</v>
      </c>
      <c r="NM60" s="45">
        <f t="shared" si="583"/>
        <v>2.4689999999999994</v>
      </c>
      <c r="NN60" s="45">
        <f t="shared" si="306"/>
        <v>1</v>
      </c>
      <c r="NO60" s="45">
        <f t="shared" si="307"/>
        <v>2</v>
      </c>
      <c r="NP60" s="46" cm="1">
        <f t="array" ref="NP60">ROUND(IFERROR(INDEX(ArchiveResults!$F$5:$IX$116,ComparisonData!A60,ComparisonData!$NP$1),0),5)</f>
        <v>0</v>
      </c>
      <c r="NQ60" s="46" cm="1">
        <f t="array" ref="NQ60">ROUND(IFERROR(INDEX(ArchiveResults!$F$5:$IX$116,ComparisonData!A60,ComparisonData!$NQ$1),0),5)</f>
        <v>0</v>
      </c>
      <c r="NR60" s="46" cm="1">
        <f t="array" ref="NR60">ROUND(IFERROR(INDEX(ArchiveResults!$F$5:$IX$116,ComparisonData!A60,ComparisonData!$NR$1),0),5)</f>
        <v>0</v>
      </c>
      <c r="NS60" s="46" cm="1">
        <f t="array" ref="NS60">ROUND(IFERROR(INDEX(ArchiveResults!$F$5:$IX$116,ComparisonData!A60,ComparisonData!$NS$1),0),5)</f>
        <v>0</v>
      </c>
      <c r="NT60" s="45" cm="1">
        <f t="array" ref="NT60">IFERROR(INDEX(ArchiveResults!$F$5:$IX$116,ComparisonData!A60,ComparisonData!$NT$1),0)</f>
        <v>0</v>
      </c>
      <c r="NU60" s="56">
        <v>55</v>
      </c>
      <c r="NV60" s="53" t="str">
        <f t="shared" si="584"/>
        <v>National Maritime Museum: The Caird Library and Archive</v>
      </c>
      <c r="NW60" s="59">
        <f t="shared" si="308"/>
        <v>0</v>
      </c>
      <c r="NX60" s="59">
        <f t="shared" si="309"/>
        <v>0</v>
      </c>
      <c r="NY60" s="59">
        <f t="shared" si="310"/>
        <v>0</v>
      </c>
      <c r="NZ60" s="59">
        <f t="shared" si="311"/>
        <v>0</v>
      </c>
      <c r="OA60" s="59">
        <f t="shared" si="312"/>
        <v>0</v>
      </c>
      <c r="OB60" s="58">
        <f t="shared" si="313"/>
        <v>0</v>
      </c>
      <c r="OC60" s="45">
        <f t="shared" si="314"/>
        <v>7</v>
      </c>
      <c r="OD60" s="45">
        <f t="shared" si="585"/>
        <v>2.4689999999999994</v>
      </c>
      <c r="OE60" s="45">
        <f t="shared" si="315"/>
        <v>1</v>
      </c>
      <c r="OF60" s="45">
        <f t="shared" si="316"/>
        <v>2</v>
      </c>
      <c r="OG60" s="46">
        <f t="shared" si="317"/>
        <v>0</v>
      </c>
      <c r="OH60" s="46" cm="1">
        <f t="array" ref="OH60">ROUND(IFERROR(INDEX(ArchiveResults!$F$5:$IX$116,ComparisonData!A60,ComparisonData!$OH$1),0),5)</f>
        <v>0</v>
      </c>
      <c r="OI60" s="46" cm="1">
        <f t="array" ref="OI60">ROUND(IFERROR(INDEX(ArchiveResults!$F$5:$IX$116,ComparisonData!A60,ComparisonData!$OI$1),0),5)</f>
        <v>0</v>
      </c>
      <c r="OJ60" s="46" cm="1">
        <f t="array" ref="OJ60">ROUND(IFERROR(INDEX(ArchiveResults!$F$5:$IX$116,ComparisonData!A60,ComparisonData!$OJ$1),0),5)</f>
        <v>0</v>
      </c>
      <c r="OK60" s="46" cm="1">
        <f t="array" ref="OK60">ROUND(IFERROR(INDEX(ArchiveResults!$F$5:$IX$116,ComparisonData!A60,ComparisonData!$OK$1),0),5)</f>
        <v>0</v>
      </c>
      <c r="OL60" s="45" cm="1">
        <f t="array" ref="OL60">IFERROR(INDEX(ArchiveResults!$F$5:$IX$116,ComparisonData!A60,ComparisonData!$OL$1),0)</f>
        <v>0</v>
      </c>
      <c r="OM60" s="56">
        <v>55</v>
      </c>
      <c r="ON60" s="53" t="str">
        <f t="shared" si="586"/>
        <v>National Maritime Museum: The Caird Library and Archive</v>
      </c>
      <c r="OO60" s="59">
        <f t="shared" si="318"/>
        <v>0</v>
      </c>
      <c r="OP60" s="59">
        <f t="shared" si="319"/>
        <v>0</v>
      </c>
      <c r="OQ60" s="59">
        <f t="shared" si="320"/>
        <v>0</v>
      </c>
      <c r="OR60" s="59">
        <f t="shared" si="321"/>
        <v>0</v>
      </c>
      <c r="OS60" s="59">
        <f t="shared" si="322"/>
        <v>0</v>
      </c>
      <c r="OT60" s="58">
        <f t="shared" si="323"/>
        <v>0</v>
      </c>
      <c r="OU60" s="45">
        <f t="shared" si="324"/>
        <v>7</v>
      </c>
      <c r="OV60" s="45">
        <f t="shared" si="587"/>
        <v>2.4689999999999994</v>
      </c>
      <c r="OW60" s="45">
        <f t="shared" si="325"/>
        <v>1</v>
      </c>
      <c r="OX60" s="45">
        <f t="shared" si="326"/>
        <v>2</v>
      </c>
      <c r="OY60" s="45">
        <f t="shared" si="327"/>
        <v>0</v>
      </c>
      <c r="OZ60" s="46" cm="1">
        <f t="array" ref="OZ60">ROUND(IFERROR(INDEX(ArchiveResults!$F$5:$IX$116,ComparisonData!A60,ComparisonData!$OZ$1),0),5)</f>
        <v>0</v>
      </c>
      <c r="PA60" s="46" cm="1">
        <f t="array" ref="PA60">ROUND(IFERROR(INDEX(ArchiveResults!$F$5:$IX$116,ComparisonData!A60,ComparisonData!$PA$1),0),5)</f>
        <v>0</v>
      </c>
      <c r="PB60" s="46" cm="1">
        <f t="array" ref="PB60">ROUND(IFERROR(INDEX(ArchiveResults!$F$5:$IX$116,ComparisonData!A60,ComparisonData!$PB$1),0),5)</f>
        <v>0</v>
      </c>
      <c r="PC60" s="46" cm="1">
        <f t="array" ref="PC60">ROUND(IFERROR(INDEX(ArchiveResults!$F$5:$IX$116,ComparisonData!A60,ComparisonData!$PC$1),0),5)</f>
        <v>0</v>
      </c>
      <c r="PD60" s="45" cm="1">
        <f t="array" ref="PD60">IFERROR(INDEX(ArchiveResults!$F$5:$IX$116,ComparisonData!A60,ComparisonData!$PD$1),0)</f>
        <v>0</v>
      </c>
      <c r="PE60" s="56">
        <v>55</v>
      </c>
      <c r="PF60" s="53" t="str">
        <f t="shared" si="588"/>
        <v>National Maritime Museum: The Caird Library and Archive</v>
      </c>
      <c r="PG60" s="59">
        <f t="shared" si="328"/>
        <v>0</v>
      </c>
      <c r="PH60" s="59">
        <f t="shared" si="329"/>
        <v>0</v>
      </c>
      <c r="PI60" s="59">
        <f t="shared" si="330"/>
        <v>0</v>
      </c>
      <c r="PJ60" s="59">
        <f t="shared" si="331"/>
        <v>0</v>
      </c>
      <c r="PK60" s="59">
        <f t="shared" si="332"/>
        <v>0</v>
      </c>
      <c r="PL60" s="58">
        <f t="shared" si="333"/>
        <v>0</v>
      </c>
      <c r="PM60" s="45">
        <f t="shared" si="334"/>
        <v>7</v>
      </c>
      <c r="PN60" s="45">
        <f t="shared" si="589"/>
        <v>2.4689999999999994</v>
      </c>
      <c r="PO60" s="45">
        <f t="shared" si="335"/>
        <v>1</v>
      </c>
      <c r="PP60" s="45">
        <f t="shared" si="336"/>
        <v>2</v>
      </c>
      <c r="PQ60" s="45">
        <f t="shared" si="337"/>
        <v>0</v>
      </c>
      <c r="PR60" s="46" cm="1">
        <f t="array" ref="PR60">ROUND(IFERROR(INDEX(ArchiveResults!$F$5:$IX$116,ComparisonData!A60,ComparisonData!$PR$1),0),5)</f>
        <v>0</v>
      </c>
      <c r="PS60" s="46" cm="1">
        <f t="array" ref="PS60">ROUND(IFERROR(INDEX(ArchiveResults!$F$5:$IX$116,ComparisonData!A60,ComparisonData!$PS$1),0),5)</f>
        <v>0</v>
      </c>
      <c r="PT60" s="46" cm="1">
        <f t="array" ref="PT60">ROUND(IFERROR(INDEX(ArchiveResults!$F$5:$IX$116,ComparisonData!A60,ComparisonData!$PT$1),0),5)</f>
        <v>0</v>
      </c>
      <c r="PU60" s="46" cm="1">
        <f t="array" ref="PU60">ROUND(IFERROR(INDEX(ArchiveResults!$F$5:$IX$116,ComparisonData!A60,ComparisonData!$PU$1),0),5)</f>
        <v>0</v>
      </c>
      <c r="PV60" s="45" cm="1">
        <f t="array" ref="PV60">IFERROR(INDEX(ArchiveResults!$F$5:$IX$116,ComparisonData!A60,ComparisonData!$PV$1),0)</f>
        <v>0</v>
      </c>
      <c r="PW60" s="56">
        <v>55</v>
      </c>
      <c r="PX60" s="53" t="str">
        <f t="shared" si="590"/>
        <v>National Maritime Museum: The Caird Library and Archive</v>
      </c>
      <c r="PY60" s="59">
        <f t="shared" si="338"/>
        <v>0</v>
      </c>
      <c r="PZ60" s="59">
        <f t="shared" si="339"/>
        <v>0</v>
      </c>
      <c r="QA60" s="59">
        <f t="shared" si="340"/>
        <v>0</v>
      </c>
      <c r="QB60" s="59">
        <f t="shared" si="341"/>
        <v>0</v>
      </c>
      <c r="QC60" s="59">
        <f t="shared" si="342"/>
        <v>0</v>
      </c>
      <c r="QD60" s="58">
        <f t="shared" si="343"/>
        <v>0</v>
      </c>
      <c r="QE60" s="45">
        <f t="shared" si="344"/>
        <v>7</v>
      </c>
      <c r="QF60" s="45">
        <f t="shared" si="591"/>
        <v>2.4689999999999994</v>
      </c>
      <c r="QG60" s="45">
        <f t="shared" si="345"/>
        <v>1</v>
      </c>
      <c r="QH60" s="45">
        <f t="shared" si="346"/>
        <v>2</v>
      </c>
      <c r="QI60" s="45">
        <f t="shared" si="347"/>
        <v>0</v>
      </c>
      <c r="QJ60" s="46" cm="1">
        <f t="array" ref="QJ60">ROUND(IFERROR(INDEX(ArchiveResults!$F$5:$IX$116,ComparisonData!A60,ComparisonData!$QJ$1),0),5)</f>
        <v>0</v>
      </c>
      <c r="QK60" s="46" cm="1">
        <f t="array" ref="QK60">ROUND(IFERROR(INDEX(ArchiveResults!$F$5:$IX$116,ComparisonData!A60,ComparisonData!$QK$1),0),5)</f>
        <v>0</v>
      </c>
      <c r="QL60" s="46" cm="1">
        <f t="array" ref="QL60">ROUND(IFERROR(INDEX(ArchiveResults!$F$5:$IX$116,ComparisonData!A60,ComparisonData!$QL$1),0),5)</f>
        <v>0</v>
      </c>
      <c r="QM60" s="46" cm="1">
        <f t="array" ref="QM60">ROUND(IFERROR(INDEX(ArchiveResults!$F$5:$IX$116,ComparisonData!A60,ComparisonData!$QM$1),0),5)</f>
        <v>0</v>
      </c>
      <c r="QN60" s="45" cm="1">
        <f t="array" ref="QN60">IFERROR(INDEX(ArchiveResults!$F$5:$IX$116,ComparisonData!A60,ComparisonData!$QN$1),0)</f>
        <v>0</v>
      </c>
      <c r="QO60" s="56">
        <v>55</v>
      </c>
      <c r="QP60" s="53" t="str">
        <f t="shared" si="592"/>
        <v>National Maritime Museum: The Caird Library and Archive</v>
      </c>
      <c r="QQ60" s="59">
        <f t="shared" si="348"/>
        <v>0</v>
      </c>
      <c r="QR60" s="59">
        <f t="shared" si="349"/>
        <v>0</v>
      </c>
      <c r="QS60" s="59">
        <f t="shared" si="350"/>
        <v>0</v>
      </c>
      <c r="QT60" s="59">
        <f t="shared" si="351"/>
        <v>0</v>
      </c>
      <c r="QU60" s="59">
        <f t="shared" si="352"/>
        <v>0</v>
      </c>
      <c r="QV60" s="58">
        <f t="shared" si="353"/>
        <v>0</v>
      </c>
      <c r="QW60" s="45">
        <f t="shared" si="354"/>
        <v>7</v>
      </c>
      <c r="QX60" s="45">
        <f t="shared" si="593"/>
        <v>2.4689999999999994</v>
      </c>
      <c r="QY60" s="45">
        <f t="shared" si="355"/>
        <v>1</v>
      </c>
      <c r="QZ60" s="45">
        <f t="shared" si="356"/>
        <v>2</v>
      </c>
      <c r="RA60" s="45">
        <f t="shared" si="357"/>
        <v>0</v>
      </c>
      <c r="RB60" s="46" cm="1">
        <f t="array" ref="RB60">ROUND(IFERROR(INDEX(ArchiveResults!$F$5:$IX$116,ComparisonData!A60,ComparisonData!$RB$1),0),5)</f>
        <v>0</v>
      </c>
      <c r="RC60" s="46" cm="1">
        <f t="array" ref="RC60">ROUND(IFERROR(INDEX(ArchiveResults!$F$5:$IX$116,ComparisonData!A60,ComparisonData!$RC$1),0),5)</f>
        <v>0</v>
      </c>
      <c r="RD60" s="46" cm="1">
        <f t="array" ref="RD60">ROUND(IFERROR(INDEX(ArchiveResults!$F$5:$IX$116,ComparisonData!A60,ComparisonData!$RD$1),0),5)</f>
        <v>0</v>
      </c>
      <c r="RE60" s="46" cm="1">
        <f t="array" ref="RE60">ROUND(IFERROR(INDEX(ArchiveResults!$F$5:$IX$116,ComparisonData!A60,ComparisonData!$RE$1),0),5)</f>
        <v>0</v>
      </c>
      <c r="RF60" s="45" cm="1">
        <f t="array" ref="RF60">IFERROR(INDEX(ArchiveResults!$F$5:$IX$116,ComparisonData!A60,ComparisonData!$RF$1),0)</f>
        <v>0</v>
      </c>
      <c r="RG60" s="56">
        <v>55</v>
      </c>
      <c r="RH60" s="53" t="str">
        <f t="shared" si="594"/>
        <v>National Maritime Museum: The Caird Library and Archive</v>
      </c>
      <c r="RI60" s="59">
        <f t="shared" si="358"/>
        <v>0</v>
      </c>
      <c r="RJ60" s="59">
        <f t="shared" si="359"/>
        <v>0</v>
      </c>
      <c r="RK60" s="59">
        <f t="shared" si="360"/>
        <v>0</v>
      </c>
      <c r="RL60" s="59">
        <f t="shared" si="361"/>
        <v>0</v>
      </c>
      <c r="RM60" s="59">
        <f t="shared" si="362"/>
        <v>0</v>
      </c>
      <c r="RN60" s="58">
        <f t="shared" si="363"/>
        <v>0</v>
      </c>
      <c r="RO60" s="45">
        <f t="shared" si="364"/>
        <v>7</v>
      </c>
      <c r="RP60" s="45">
        <f t="shared" si="595"/>
        <v>2.4689999999999994</v>
      </c>
      <c r="RQ60" s="45">
        <f t="shared" si="365"/>
        <v>1</v>
      </c>
      <c r="RR60" s="45">
        <f t="shared" si="366"/>
        <v>2</v>
      </c>
      <c r="RS60" s="45">
        <f t="shared" si="367"/>
        <v>0</v>
      </c>
      <c r="RT60" s="46" cm="1">
        <f t="array" ref="RT60">ROUND(IFERROR(INDEX(ArchiveResults!$F$5:$IX$116,ComparisonData!A60,ComparisonData!$RT$1),0),5)</f>
        <v>0</v>
      </c>
      <c r="RU60" s="46" cm="1">
        <f t="array" ref="RU60">ROUND(IFERROR(INDEX(ArchiveResults!$F$5:$IX$116,ComparisonData!A60,ComparisonData!$RU$1),0),5)</f>
        <v>0</v>
      </c>
      <c r="RV60" s="46" cm="1">
        <f t="array" ref="RV60">ROUND(IFERROR(INDEX(ArchiveResults!$F$5:$IX$116,ComparisonData!A60,ComparisonData!$RV$1),0),5)</f>
        <v>0</v>
      </c>
      <c r="RW60" s="46" cm="1">
        <f t="array" ref="RW60">ROUND(IFERROR(INDEX(ArchiveResults!$F$5:$IX$116,ComparisonData!A60,ComparisonData!$RW$1),0),5)</f>
        <v>0</v>
      </c>
      <c r="RX60" s="45" cm="1">
        <f t="array" ref="RX60">IFERROR(INDEX(ArchiveResults!$F$5:$IX$116,ComparisonData!A60,ComparisonData!$RX$1),0)</f>
        <v>0</v>
      </c>
      <c r="RY60" s="56">
        <v>55</v>
      </c>
      <c r="RZ60" s="53" t="str">
        <f t="shared" si="596"/>
        <v>National Maritime Museum: The Caird Library and Archive</v>
      </c>
      <c r="SA60" s="59">
        <f t="shared" si="368"/>
        <v>0</v>
      </c>
      <c r="SB60" s="59">
        <f t="shared" si="369"/>
        <v>0</v>
      </c>
      <c r="SC60" s="59">
        <f t="shared" si="370"/>
        <v>0</v>
      </c>
      <c r="SD60" s="59">
        <f t="shared" si="371"/>
        <v>0</v>
      </c>
      <c r="SE60" s="59">
        <f t="shared" si="372"/>
        <v>0</v>
      </c>
      <c r="SF60" s="58">
        <f t="shared" si="373"/>
        <v>0</v>
      </c>
      <c r="SG60" s="45">
        <f t="shared" si="374"/>
        <v>7</v>
      </c>
      <c r="SH60" s="45">
        <f t="shared" si="597"/>
        <v>2.4689999999999994</v>
      </c>
      <c r="SI60" s="45">
        <f t="shared" si="375"/>
        <v>1</v>
      </c>
      <c r="SJ60" s="45">
        <f t="shared" si="376"/>
        <v>2</v>
      </c>
      <c r="SK60" s="45">
        <f t="shared" si="377"/>
        <v>0</v>
      </c>
      <c r="SL60" s="46" cm="1">
        <f t="array" ref="SL60">ROUND(IFERROR(INDEX(ArchiveResults!$F$5:$IX$116,ComparisonData!A60,ComparisonData!$SL$1),0),5)</f>
        <v>0</v>
      </c>
      <c r="SM60" s="46" cm="1">
        <f t="array" ref="SM60">ROUND(IFERROR(INDEX(ArchiveResults!$F$5:$IX$116,ComparisonData!A60,ComparisonData!$SM$1),0),5)</f>
        <v>0</v>
      </c>
      <c r="SN60" s="46" cm="1">
        <f t="array" ref="SN60">ROUND(IFERROR(INDEX(ArchiveResults!$F$5:$IX$116,ComparisonData!A60,ComparisonData!$SN$1),0),5)</f>
        <v>0</v>
      </c>
      <c r="SO60" s="46" cm="1">
        <f t="array" ref="SO60">ROUND(IFERROR(INDEX(ArchiveResults!$F$5:$IX$116,ComparisonData!A60,ComparisonData!$SO$1),0),5)</f>
        <v>0</v>
      </c>
      <c r="SP60" s="45" cm="1">
        <f t="array" ref="SP60">IFERROR(INDEX(ArchiveResults!$F$5:$IX$116,ComparisonData!A60,ComparisonData!$SP$1),0)</f>
        <v>0</v>
      </c>
      <c r="SQ60" s="56">
        <v>55</v>
      </c>
      <c r="SR60" s="53" t="str">
        <f t="shared" si="598"/>
        <v>National Maritime Museum: The Caird Library and Archive</v>
      </c>
      <c r="SS60" s="59">
        <f t="shared" si="378"/>
        <v>0</v>
      </c>
      <c r="ST60" s="59">
        <f t="shared" si="379"/>
        <v>0</v>
      </c>
      <c r="SU60" s="59">
        <f t="shared" si="380"/>
        <v>0</v>
      </c>
      <c r="SV60" s="59">
        <f t="shared" si="381"/>
        <v>0</v>
      </c>
      <c r="SW60" s="59">
        <f t="shared" si="382"/>
        <v>0</v>
      </c>
      <c r="SX60" s="58">
        <f t="shared" si="383"/>
        <v>0</v>
      </c>
      <c r="SY60" s="45">
        <f t="shared" si="384"/>
        <v>7</v>
      </c>
      <c r="SZ60" s="45">
        <f t="shared" si="599"/>
        <v>2.4689999999999994</v>
      </c>
      <c r="TA60" s="45">
        <f t="shared" si="385"/>
        <v>1</v>
      </c>
      <c r="TB60" s="45">
        <f t="shared" si="386"/>
        <v>2</v>
      </c>
      <c r="TC60" s="45">
        <f t="shared" si="387"/>
        <v>0</v>
      </c>
      <c r="TD60" s="46" cm="1">
        <f t="array" ref="TD60">ROUND(IFERROR(INDEX(ArchiveResults!$F$5:$IX$116,ComparisonData!A60,ComparisonData!$TD$1),0),5)</f>
        <v>0</v>
      </c>
      <c r="TE60" s="46" cm="1">
        <f t="array" ref="TE60">ROUND(IFERROR(INDEX(ArchiveResults!$F$5:$IX$116,ComparisonData!A60,ComparisonData!$TE$1),0),5)</f>
        <v>0</v>
      </c>
      <c r="TF60" s="46" cm="1">
        <f t="array" ref="TF60">ROUND(IFERROR(INDEX(ArchiveResults!$F$5:$IX$116,ComparisonData!A60,ComparisonData!$TF$1),0),5)</f>
        <v>0</v>
      </c>
      <c r="TG60" s="46" cm="1">
        <f t="array" ref="TG60">ROUND(IFERROR(INDEX(ArchiveResults!$F$5:$IX$116,ComparisonData!A60,ComparisonData!$TG$1),0),5)</f>
        <v>0</v>
      </c>
      <c r="TH60" s="45" cm="1">
        <f t="array" ref="TH60">IFERROR(INDEX(ArchiveResults!$F$5:$IX$116,ComparisonData!A60,ComparisonData!$TH$1),0)</f>
        <v>0</v>
      </c>
      <c r="TI60" s="56">
        <v>55</v>
      </c>
      <c r="TJ60" s="53" t="str">
        <f t="shared" si="600"/>
        <v>National Maritime Museum: The Caird Library and Archive</v>
      </c>
      <c r="TK60" s="59">
        <f t="shared" si="388"/>
        <v>0</v>
      </c>
      <c r="TL60" s="59">
        <f t="shared" si="389"/>
        <v>0</v>
      </c>
      <c r="TM60" s="59">
        <f t="shared" si="390"/>
        <v>0</v>
      </c>
      <c r="TN60" s="59">
        <f t="shared" si="391"/>
        <v>0</v>
      </c>
      <c r="TO60" s="59">
        <f t="shared" si="392"/>
        <v>0</v>
      </c>
      <c r="TP60" s="58">
        <f t="shared" si="393"/>
        <v>0</v>
      </c>
      <c r="TQ60" s="45">
        <f t="shared" si="394"/>
        <v>7</v>
      </c>
      <c r="TR60" s="45">
        <f t="shared" si="601"/>
        <v>2.4689999999999994</v>
      </c>
      <c r="TS60" s="45">
        <f t="shared" si="395"/>
        <v>1</v>
      </c>
      <c r="TT60" s="45">
        <f t="shared" si="396"/>
        <v>2</v>
      </c>
      <c r="TU60" s="45">
        <f t="shared" si="397"/>
        <v>0</v>
      </c>
      <c r="TV60" s="46" cm="1">
        <f t="array" ref="TV60">ROUND(IFERROR(INDEX(ArchiveResults!$F$5:$IX$116,ComparisonData!A60,ComparisonData!$TV$1),0),5)</f>
        <v>0</v>
      </c>
      <c r="TW60" s="46" cm="1">
        <f t="array" ref="TW60">ROUND(IFERROR(INDEX(ArchiveResults!$F$5:$IX$116,ComparisonData!A60,ComparisonData!$TW$1),0),5)</f>
        <v>0</v>
      </c>
      <c r="TX60" s="46" cm="1">
        <f t="array" ref="TX60">ROUND(IFERROR(INDEX(ArchiveResults!$F$5:$IX$116,ComparisonData!A60,ComparisonData!$TX$1),0),5)</f>
        <v>0</v>
      </c>
      <c r="TY60" s="46" cm="1">
        <f t="array" ref="TY60">ROUND(IFERROR(INDEX(ArchiveResults!$F$5:$IX$116,ComparisonData!A60,ComparisonData!$TY$1),0),5)</f>
        <v>0</v>
      </c>
      <c r="TZ60" s="45" cm="1">
        <f t="array" ref="TZ60">IFERROR(INDEX(ArchiveResults!$F$5:$IX$116,ComparisonData!A60,ComparisonData!$TZ$1),0)</f>
        <v>0</v>
      </c>
      <c r="UA60" s="56">
        <v>55</v>
      </c>
      <c r="UB60" s="53" t="str">
        <f t="shared" si="602"/>
        <v>National Maritime Museum: The Caird Library and Archive</v>
      </c>
      <c r="UC60" s="60">
        <f t="shared" si="398"/>
        <v>0</v>
      </c>
      <c r="UD60" s="60">
        <f t="shared" si="399"/>
        <v>0</v>
      </c>
      <c r="UE60" s="60">
        <f t="shared" si="400"/>
        <v>0</v>
      </c>
      <c r="UF60" s="60">
        <f t="shared" si="401"/>
        <v>0</v>
      </c>
      <c r="UG60" s="60">
        <f t="shared" si="402"/>
        <v>0</v>
      </c>
      <c r="UH60" s="58">
        <f t="shared" si="403"/>
        <v>0</v>
      </c>
      <c r="UI60" s="46">
        <f t="shared" si="404"/>
        <v>7</v>
      </c>
      <c r="UJ60" s="46">
        <f t="shared" si="603"/>
        <v>2.4689999999999994</v>
      </c>
      <c r="UK60" s="46">
        <f t="shared" si="405"/>
        <v>1</v>
      </c>
      <c r="UL60" s="46">
        <f t="shared" si="406"/>
        <v>2</v>
      </c>
      <c r="UM60" s="46" cm="1">
        <f t="array" ref="UM60">ROUND(IFERROR(INDEX(ArchiveResults!$F$5:$IX$116,ComparisonData!A60,ComparisonData!$UM$1),0),5)</f>
        <v>0</v>
      </c>
      <c r="UN60" s="56">
        <v>55</v>
      </c>
      <c r="UO60" s="53" t="str">
        <f t="shared" si="604"/>
        <v>National Maritime Museum: The Caird Library and Archive</v>
      </c>
      <c r="UP60" s="46">
        <f t="shared" si="407"/>
        <v>0</v>
      </c>
      <c r="UQ60" s="76">
        <f t="shared" si="408"/>
        <v>0</v>
      </c>
      <c r="UR60" s="46">
        <f t="shared" si="409"/>
        <v>7</v>
      </c>
      <c r="US60" s="46">
        <f t="shared" si="605"/>
        <v>2.4689999999999994</v>
      </c>
      <c r="UT60" s="46">
        <f t="shared" si="410"/>
        <v>1</v>
      </c>
      <c r="UU60" s="46">
        <f t="shared" si="411"/>
        <v>2</v>
      </c>
      <c r="UV60" s="46">
        <f t="shared" si="412"/>
        <v>0</v>
      </c>
      <c r="UW60" s="46" cm="1">
        <f t="array" ref="UW60">ROUND(IFERROR(INDEX(ArchiveResults!$F$5:$IX$116,ComparisonData!A60,ComparisonData!$UW$1),0),5)</f>
        <v>0</v>
      </c>
      <c r="UX60" s="46" cm="1">
        <f t="array" ref="UX60">ROUND(IFERROR(INDEX(ArchiveResults!$F$5:$IX$116,ComparisonData!A60,ComparisonData!$UX$1),0),5)</f>
        <v>0</v>
      </c>
      <c r="UY60" s="46" cm="1">
        <f t="array" ref="UY60">ROUND(IFERROR(INDEX(ArchiveResults!$F$5:$IX$116,ComparisonData!A60,ComparisonData!$UY$1),0),5)</f>
        <v>0</v>
      </c>
      <c r="UZ60" s="46" cm="1">
        <f t="array" ref="UZ60">ROUND(IFERROR(INDEX(ArchiveResults!$F$5:$IX$116,ComparisonData!A60,ComparisonData!$UZ$1),0),5)</f>
        <v>0</v>
      </c>
      <c r="VA60" s="46" cm="1">
        <f t="array" ref="VA60">ROUND(IFERROR(INDEX(ArchiveResults!$F$5:$IX$116,ComparisonData!A60,ComparisonData!$VA$1),0),5)</f>
        <v>0</v>
      </c>
      <c r="VB60" s="56">
        <v>55</v>
      </c>
      <c r="VC60" s="53" t="str">
        <f t="shared" si="606"/>
        <v>National Maritime Museum: The Caird Library and Archive</v>
      </c>
      <c r="VD60" s="60">
        <f t="shared" si="413"/>
        <v>0</v>
      </c>
      <c r="VE60" s="60">
        <f t="shared" si="414"/>
        <v>0</v>
      </c>
      <c r="VF60" s="60">
        <f t="shared" si="415"/>
        <v>0</v>
      </c>
      <c r="VG60" s="60">
        <f t="shared" si="416"/>
        <v>0</v>
      </c>
      <c r="VH60" s="60">
        <f t="shared" si="417"/>
        <v>0</v>
      </c>
      <c r="VI60" s="76">
        <f t="shared" si="418"/>
        <v>0</v>
      </c>
      <c r="VJ60" s="46">
        <f t="shared" si="419"/>
        <v>7</v>
      </c>
      <c r="VK60" s="46">
        <f t="shared" si="607"/>
        <v>2.4689999999999994</v>
      </c>
      <c r="VL60" s="46">
        <f t="shared" si="420"/>
        <v>1</v>
      </c>
      <c r="VM60" s="46">
        <f t="shared" si="421"/>
        <v>2</v>
      </c>
      <c r="VN60" s="46" cm="1">
        <f t="array" ref="VN60">ROUND(IFERROR(INDEX(ArchiveResults!$F$5:$IX$116,ComparisonData!A60,ComparisonData!$VN$1),0),5)</f>
        <v>0</v>
      </c>
      <c r="VO60" s="46" cm="1">
        <f t="array" ref="VO60">ROUND(IFERROR(INDEX(ArchiveResults!$F$5:$IX$116,ComparisonData!A60,ComparisonData!$VO$1),0),5)</f>
        <v>0</v>
      </c>
      <c r="VP60" s="46" cm="1">
        <f t="array" ref="VP60">ROUND(IFERROR(INDEX(ArchiveResults!$F$5:$IX$116,ComparisonData!A60,ComparisonData!$VP$1),0),5)</f>
        <v>0</v>
      </c>
      <c r="VQ60" s="46" cm="1">
        <f t="array" ref="VQ60">ROUND(IFERROR(INDEX(ArchiveResults!$F$5:$IX$116,ComparisonData!A60,ComparisonData!$VQ$1),0),5)</f>
        <v>0</v>
      </c>
      <c r="VR60" s="56">
        <v>55</v>
      </c>
      <c r="VS60" s="53" t="str">
        <f t="shared" si="608"/>
        <v>National Maritime Museum: The Caird Library and Archive</v>
      </c>
      <c r="VT60" s="60">
        <f t="shared" si="422"/>
        <v>0</v>
      </c>
      <c r="VU60" s="60">
        <f t="shared" si="423"/>
        <v>0</v>
      </c>
      <c r="VV60" s="60">
        <f t="shared" si="424"/>
        <v>0</v>
      </c>
      <c r="VW60" s="60">
        <f t="shared" si="425"/>
        <v>0</v>
      </c>
      <c r="VX60" s="76">
        <f t="shared" si="426"/>
        <v>0</v>
      </c>
      <c r="VY60" s="46">
        <f t="shared" si="427"/>
        <v>7</v>
      </c>
      <c r="VZ60" s="46">
        <f t="shared" si="609"/>
        <v>2.4689999999999994</v>
      </c>
      <c r="WA60" s="46">
        <f t="shared" si="428"/>
        <v>1</v>
      </c>
      <c r="WB60" s="46">
        <f t="shared" si="429"/>
        <v>2</v>
      </c>
      <c r="WC60" s="46" cm="1">
        <f t="array" ref="WC60">ROUND(IFERROR(INDEX(ArchiveResults!$F$5:$IX$116,ComparisonData!A60,ComparisonData!$WC$1),0),5)</f>
        <v>0</v>
      </c>
      <c r="WD60" s="56">
        <v>55</v>
      </c>
      <c r="WE60" s="53" t="str">
        <f t="shared" si="610"/>
        <v>National Maritime Museum: The Caird Library and Archive</v>
      </c>
      <c r="WF60" s="46">
        <f t="shared" si="430"/>
        <v>0</v>
      </c>
      <c r="WG60" s="76">
        <f t="shared" si="431"/>
        <v>0</v>
      </c>
      <c r="WH60" s="46">
        <f t="shared" si="432"/>
        <v>7</v>
      </c>
      <c r="WI60" s="46">
        <f t="shared" si="611"/>
        <v>2.4689999999999994</v>
      </c>
      <c r="WJ60" s="46">
        <f t="shared" si="433"/>
        <v>1</v>
      </c>
      <c r="WK60" s="46">
        <f t="shared" si="434"/>
        <v>2</v>
      </c>
      <c r="WL60" s="46" cm="1">
        <f t="array" ref="WL60">ROUND(IFERROR(INDEX(ArchiveResults!$F$5:$IX$116,ComparisonData!A60,ComparisonData!$WL$1),0),5)</f>
        <v>0</v>
      </c>
      <c r="WM60" s="46" cm="1">
        <f t="array" ref="WM60">IFERROR(INDEX(ArchiveResults!$F$5:$IX$116,ComparisonData!A60,ComparisonData!$WM$1),0)</f>
        <v>0</v>
      </c>
      <c r="WN60" s="56">
        <v>55</v>
      </c>
      <c r="WO60" s="53" t="str">
        <f t="shared" si="612"/>
        <v>National Maritime Museum: The Caird Library and Archive</v>
      </c>
      <c r="WP60" s="60">
        <f t="shared" si="435"/>
        <v>0</v>
      </c>
      <c r="WQ60" s="60">
        <f t="shared" si="436"/>
        <v>0</v>
      </c>
      <c r="WR60" s="76">
        <f t="shared" si="437"/>
        <v>0</v>
      </c>
      <c r="WS60" s="46">
        <f t="shared" si="438"/>
        <v>7</v>
      </c>
      <c r="WT60" s="46">
        <f t="shared" si="613"/>
        <v>2.4689999999999994</v>
      </c>
      <c r="WU60" s="46">
        <f t="shared" si="439"/>
        <v>1</v>
      </c>
      <c r="WV60" s="46">
        <f t="shared" si="440"/>
        <v>2</v>
      </c>
      <c r="WW60" s="46" cm="1">
        <f t="array" ref="WW60">ROUND(VALUE(IFERROR(INDEX(ArchiveResults!$F$5:$IX$116,ComparisonData!A60,ComparisonData!$WW$1),0)),5)</f>
        <v>0</v>
      </c>
      <c r="WX60" s="46" cm="1">
        <f t="array" ref="WX60">ROUND(IFERROR(INDEX(ArchiveResults!$F$5:$IX$116,ComparisonData!A60,ComparisonData!$WX$1),0),5)</f>
        <v>0</v>
      </c>
      <c r="WY60" s="56">
        <v>55</v>
      </c>
      <c r="WZ60" s="53" t="str">
        <f t="shared" si="614"/>
        <v>National Maritime Museum: The Caird Library and Archive</v>
      </c>
      <c r="XA60" s="60">
        <f t="shared" si="615"/>
        <v>0</v>
      </c>
      <c r="XB60" s="60">
        <f t="shared" si="616"/>
        <v>0</v>
      </c>
      <c r="XC60" s="76">
        <f t="shared" si="441"/>
        <v>0</v>
      </c>
      <c r="XD60" s="46">
        <f t="shared" si="442"/>
        <v>7</v>
      </c>
      <c r="XE60" s="46">
        <f t="shared" si="617"/>
        <v>2.4689999999999994</v>
      </c>
      <c r="XF60" s="46">
        <f t="shared" si="443"/>
        <v>1</v>
      </c>
      <c r="XG60" s="46">
        <f t="shared" si="444"/>
        <v>2</v>
      </c>
      <c r="XH60" s="46" cm="1">
        <f t="array" ref="XH60">ROUND(VALUE(IFERROR(INDEX(ArchiveResults!$F$5:$IX$116,ComparisonData!A60,ComparisonData!$XH$1),0)),5)</f>
        <v>0</v>
      </c>
      <c r="XI60" s="46" cm="1">
        <f t="array" ref="XI60">ROUND(VALUE(IFERROR(INDEX(ArchiveResults!$F$5:$IX$116,ComparisonData!A60,ComparisonData!$XI$1),0)),5)</f>
        <v>0</v>
      </c>
      <c r="XJ60" s="56">
        <v>55</v>
      </c>
      <c r="XK60" s="53" t="str">
        <f t="shared" si="618"/>
        <v>National Maritime Museum: The Caird Library and Archive</v>
      </c>
      <c r="XL60" s="60">
        <f t="shared" si="445"/>
        <v>0</v>
      </c>
      <c r="XM60" s="60">
        <f t="shared" si="446"/>
        <v>0</v>
      </c>
      <c r="XN60" s="76">
        <f t="shared" si="447"/>
        <v>0</v>
      </c>
      <c r="XO60" s="46">
        <f t="shared" si="448"/>
        <v>7</v>
      </c>
      <c r="XP60" s="46">
        <f t="shared" si="619"/>
        <v>2.4689999999999994</v>
      </c>
      <c r="XQ60" s="46">
        <f t="shared" si="449"/>
        <v>1</v>
      </c>
      <c r="XR60" s="46">
        <f t="shared" si="450"/>
        <v>2</v>
      </c>
      <c r="XS60" s="46" cm="1">
        <f t="array" ref="XS60">ROUND(VALUE(IFERROR(INDEX(ArchiveResults!$F$5:$IX$116,ComparisonData!A60,ComparisonData!$XS$1),0)),5)</f>
        <v>0</v>
      </c>
      <c r="XT60" s="46" cm="1">
        <f t="array" ref="XT60">ROUND(VALUE(IFERROR(INDEX(ArchiveResults!$F$5:$IX$116,ComparisonData!A60,ComparisonData!$XT$1),0)),5)</f>
        <v>0</v>
      </c>
      <c r="XU60" s="56">
        <v>55</v>
      </c>
      <c r="XV60" s="53" t="str">
        <f t="shared" si="620"/>
        <v>National Maritime Museum: The Caird Library and Archive</v>
      </c>
      <c r="XW60" s="60">
        <f t="shared" si="451"/>
        <v>0</v>
      </c>
      <c r="XX60" s="60">
        <f t="shared" si="452"/>
        <v>0</v>
      </c>
      <c r="XY60" s="76">
        <f t="shared" si="453"/>
        <v>0</v>
      </c>
      <c r="XZ60" s="46">
        <f t="shared" si="454"/>
        <v>7</v>
      </c>
      <c r="YA60" s="46">
        <f t="shared" si="621"/>
        <v>2.4689999999999994</v>
      </c>
      <c r="YB60" s="46">
        <f t="shared" si="455"/>
        <v>1</v>
      </c>
      <c r="YC60" s="46">
        <f t="shared" si="456"/>
        <v>2</v>
      </c>
      <c r="YD60" s="46" cm="1">
        <f t="array" ref="YD60">ROUND(VALUE(IFERROR(INDEX(ArchiveResults!$F$5:$IX$116,ComparisonData!A60,ComparisonData!$YD$1),0)),5)</f>
        <v>0</v>
      </c>
      <c r="YE60" s="46" cm="1">
        <f t="array" ref="YE60">ROUND(VALUE(IFERROR(INDEX(ArchiveResults!$F$5:$IX$116,ComparisonData!A60,ComparisonData!$YE$1),0)),5)</f>
        <v>0</v>
      </c>
      <c r="YF60" s="56">
        <v>55</v>
      </c>
      <c r="YG60" s="53" t="str">
        <f t="shared" si="622"/>
        <v>National Maritime Museum: The Caird Library and Archive</v>
      </c>
      <c r="YH60" s="60">
        <f t="shared" si="457"/>
        <v>0</v>
      </c>
      <c r="YI60" s="60">
        <f t="shared" si="458"/>
        <v>0</v>
      </c>
      <c r="YJ60" s="76">
        <f t="shared" si="459"/>
        <v>0</v>
      </c>
      <c r="YK60" s="46">
        <f t="shared" si="460"/>
        <v>7</v>
      </c>
      <c r="YL60" s="46">
        <f t="shared" si="623"/>
        <v>2.4689999999999994</v>
      </c>
      <c r="YM60" s="46">
        <f t="shared" si="461"/>
        <v>1</v>
      </c>
      <c r="YN60" s="46">
        <f t="shared" si="462"/>
        <v>2</v>
      </c>
      <c r="YO60" s="46" cm="1">
        <f t="array" ref="YO60">ROUND(VALUE(IFERROR(INDEX(ArchiveResults!$F$5:$IX$116,ComparisonData!A60,ComparisonData!$YO$1),0)),5)</f>
        <v>0</v>
      </c>
      <c r="YP60" s="46" cm="1">
        <f t="array" ref="YP60">ROUND(VALUE(IFERROR(INDEX(ArchiveResults!$F$5:$IX$116,ComparisonData!A60,ComparisonData!$YP$1),0)),5)</f>
        <v>0</v>
      </c>
      <c r="YQ60" s="56">
        <v>55</v>
      </c>
      <c r="YR60" s="53" t="str">
        <f t="shared" si="624"/>
        <v>National Maritime Museum: The Caird Library and Archive</v>
      </c>
      <c r="YS60" s="60">
        <f t="shared" si="463"/>
        <v>0</v>
      </c>
      <c r="YT60" s="60">
        <f t="shared" si="464"/>
        <v>0</v>
      </c>
      <c r="YU60" s="76">
        <f t="shared" si="465"/>
        <v>0</v>
      </c>
      <c r="YV60" s="46">
        <f t="shared" si="466"/>
        <v>7</v>
      </c>
      <c r="YW60" s="46">
        <f t="shared" si="625"/>
        <v>2.4689999999999994</v>
      </c>
      <c r="YX60" s="46">
        <f t="shared" si="467"/>
        <v>1</v>
      </c>
      <c r="YY60" s="46">
        <f t="shared" si="468"/>
        <v>2</v>
      </c>
      <c r="YZ60" s="46">
        <f t="shared" si="469"/>
        <v>0</v>
      </c>
      <c r="ZA60" s="46" cm="1">
        <f t="array" ref="ZA60">ROUNDDOWN(VALUE(IFERROR(INDEX(ArchiveResults!$F$5:$IX$116,ComparisonData!A60,ComparisonData!$ZA$1),0)),5)</f>
        <v>0</v>
      </c>
      <c r="ZB60" s="46" cm="1">
        <f t="array" ref="ZB60">ROUNDDOWN(VALUE(IFERROR(INDEX(ArchiveResults!$F$5:$IX$116,ComparisonData!A60,ComparisonData!$ZB$1),0)),5)</f>
        <v>0</v>
      </c>
      <c r="ZC60" s="46" cm="1">
        <f t="array" ref="ZC60">ROUNDDOWN(VALUE(IFERROR(INDEX(ArchiveResults!$F$5:$IX$116,ComparisonData!A60,ComparisonData!$ZC$1),0)),5)</f>
        <v>0</v>
      </c>
      <c r="ZD60" s="46" cm="1">
        <f t="array" ref="ZD60">ROUNDDOWN(VALUE(IFERROR(INDEX(ArchiveResults!$F$5:$IX$116,ComparisonData!A60,ComparisonData!$ZD$1),0)),5)</f>
        <v>0</v>
      </c>
      <c r="ZE60" s="46" cm="1">
        <f t="array" ref="ZE60">ROUNDDOWN(VALUE(IFERROR(INDEX(ArchiveResults!$F$5:$IX$116,ComparisonData!A60,ComparisonData!$ZE$1),0)),5)</f>
        <v>0</v>
      </c>
      <c r="ZF60" s="56">
        <v>55</v>
      </c>
      <c r="ZG60" s="53" t="str">
        <f t="shared" si="626"/>
        <v>National Maritime Museum: The Caird Library and Archive</v>
      </c>
      <c r="ZH60" s="60">
        <f t="shared" si="470"/>
        <v>0</v>
      </c>
      <c r="ZI60" s="60">
        <f t="shared" si="471"/>
        <v>0</v>
      </c>
      <c r="ZJ60" s="60">
        <f t="shared" si="472"/>
        <v>0</v>
      </c>
      <c r="ZK60" s="60">
        <f t="shared" si="473"/>
        <v>0</v>
      </c>
      <c r="ZL60" s="60">
        <f t="shared" si="474"/>
        <v>0</v>
      </c>
      <c r="ZM60" s="76">
        <f t="shared" si="475"/>
        <v>0</v>
      </c>
      <c r="ZN60" s="46">
        <f t="shared" si="476"/>
        <v>7</v>
      </c>
      <c r="ZO60" s="46">
        <f t="shared" si="627"/>
        <v>2.4689999999999994</v>
      </c>
      <c r="ZP60" s="46">
        <f t="shared" si="477"/>
        <v>1</v>
      </c>
      <c r="ZQ60" s="46">
        <f t="shared" si="478"/>
        <v>2</v>
      </c>
      <c r="ZR60" s="46" cm="1">
        <f t="array" ref="ZR60">ROUND(VALUE(IFERROR(INDEX(ArchiveResults!$F$5:$IX$116,ComparisonData!A60,ComparisonData!$ZR$1),0)),5)</f>
        <v>0</v>
      </c>
      <c r="ZS60" s="56">
        <v>55</v>
      </c>
      <c r="ZT60" s="53" t="str">
        <f t="shared" si="628"/>
        <v>National Maritime Museum: The Caird Library and Archive</v>
      </c>
      <c r="ZU60" s="46">
        <f t="shared" si="479"/>
        <v>0</v>
      </c>
      <c r="ZV60" s="76">
        <f t="shared" si="480"/>
        <v>0</v>
      </c>
      <c r="ZW60" s="81" cm="1">
        <f t="array" ref="ZW60">ROUND((IFERROR(INDEX(ArchiveResults!$F$5:$IX$116,ComparisonData!A60,ComparisonData!$ZW$1),0)),5)</f>
        <v>0</v>
      </c>
      <c r="ZX60" s="81" cm="1">
        <f t="array" ref="ZX60">ROUND((IFERROR(INDEX(ArchiveResults!$F$5:$IX$116,ComparisonData!A60,ComparisonData!$ZX$1),0)),5)</f>
        <v>0</v>
      </c>
      <c r="ZY60" s="81" cm="1">
        <f t="array" ref="ZY60">ROUND((IFERROR(INDEX(ArchiveResults!$F$5:$IX$116,ComparisonData!A60,ComparisonData!$ZY$1),0)),5)</f>
        <v>0</v>
      </c>
      <c r="ZZ60" s="81" cm="1">
        <f t="array" ref="ZZ60">ROUND((IFERROR(INDEX(ArchiveResults!$F$5:$IX$116,ComparisonData!A60,ComparisonData!$ZZ$1),0)),5)</f>
        <v>0</v>
      </c>
      <c r="AAA60" s="81" cm="1">
        <f t="array" ref="AAA60">ROUND((IFERROR(INDEX(ArchiveResults!$F$5:$IX$116,ComparisonData!A60,ComparisonData!$AAA$1),0)),5)</f>
        <v>0</v>
      </c>
      <c r="AAB60" s="81" cm="1">
        <f t="array" ref="AAB60">ROUND((IFERROR(INDEX(ArchiveResults!$F$5:$IX$116,ComparisonData!A60,ComparisonData!$AAB$1),0)),5)</f>
        <v>0</v>
      </c>
      <c r="AAC60" s="81" cm="1">
        <f t="array" ref="AAC60">ROUND((IFERROR(INDEX(ArchiveResults!$F$5:$IX$116,ComparisonData!A60,ComparisonData!$AAC$1),0)),5)</f>
        <v>0</v>
      </c>
      <c r="AAD60" s="81" cm="1">
        <f t="array" ref="AAD60">ROUND((IFERROR(INDEX(ArchiveResults!$F$5:$IX$116,ComparisonData!A60,ComparisonData!$AAD$1),0)),5)</f>
        <v>0</v>
      </c>
      <c r="AAE60" s="81" cm="1">
        <f t="array" ref="AAE60">ROUND((IFERROR(INDEX(ArchiveResults!$F$5:$IX$116,ComparisonData!A60,ComparisonData!$AAE$1),0)),5)</f>
        <v>0</v>
      </c>
      <c r="AAF60" s="81" cm="1">
        <f t="array" ref="AAF60">ROUND((IFERROR(INDEX(ArchiveResults!$F$5:$IX$116,ComparisonData!A60,ComparisonData!$AAF$1),0)),5)</f>
        <v>0</v>
      </c>
      <c r="AAG60" s="46">
        <f t="shared" si="481"/>
        <v>7</v>
      </c>
      <c r="AAH60" s="46">
        <f t="shared" si="629"/>
        <v>2.4689999999999994</v>
      </c>
      <c r="AAI60" s="46">
        <f t="shared" si="482"/>
        <v>1</v>
      </c>
      <c r="AAJ60" s="46">
        <f t="shared" si="483"/>
        <v>2</v>
      </c>
      <c r="AAK60" s="46">
        <f t="shared" si="484"/>
        <v>0</v>
      </c>
      <c r="AAL60" s="46">
        <f t="shared" si="485"/>
        <v>0</v>
      </c>
      <c r="AAM60" s="46">
        <f t="shared" si="486"/>
        <v>0</v>
      </c>
      <c r="AAN60" s="46">
        <f t="shared" si="487"/>
        <v>0</v>
      </c>
      <c r="AAO60" s="46">
        <f t="shared" si="488"/>
        <v>0</v>
      </c>
      <c r="AAP60" s="46">
        <f t="shared" si="489"/>
        <v>0</v>
      </c>
      <c r="AAQ60" s="56">
        <v>55</v>
      </c>
      <c r="AAR60" s="53" t="str">
        <f t="shared" si="630"/>
        <v>National Maritime Museum: The Caird Library and Archive</v>
      </c>
      <c r="AAS60" s="60">
        <f t="shared" si="490"/>
        <v>0</v>
      </c>
      <c r="AAT60" s="60">
        <f t="shared" si="491"/>
        <v>0</v>
      </c>
      <c r="AAU60" s="60">
        <f t="shared" si="492"/>
        <v>0</v>
      </c>
      <c r="AAV60" s="60">
        <f t="shared" si="493"/>
        <v>0</v>
      </c>
      <c r="AAW60" s="60">
        <f t="shared" si="494"/>
        <v>0</v>
      </c>
      <c r="AAX60" s="76">
        <f t="shared" si="495"/>
        <v>0</v>
      </c>
      <c r="AAY60" s="46">
        <f t="shared" si="496"/>
        <v>7</v>
      </c>
      <c r="AAZ60" s="46">
        <f t="shared" si="631"/>
        <v>2.4689999999999994</v>
      </c>
      <c r="ABA60" s="46">
        <f t="shared" si="497"/>
        <v>1</v>
      </c>
      <c r="ABB60" s="46">
        <f t="shared" si="498"/>
        <v>2</v>
      </c>
      <c r="ABC60" s="46">
        <f t="shared" si="102"/>
        <v>0</v>
      </c>
      <c r="ABD60" s="46" cm="1">
        <f t="array" ref="ABD60">ROUND(VALUE(IFERROR(INDEX(ArchiveResults!$F$5:$IX$116,ComparisonData!A60,ComparisonData!$ABD$1),0)),5)</f>
        <v>0</v>
      </c>
      <c r="ABE60" s="46" cm="1">
        <f t="array" ref="ABE60">ROUND(VALUE(IFERROR(INDEX(ArchiveResults!$F$5:$IX$116,ComparisonData!A60,ComparisonData!$ABE$1),0)),5)</f>
        <v>0</v>
      </c>
      <c r="ABF60" s="46" cm="1">
        <f t="array" ref="ABF60">ROUND(VALUE(IFERROR(INDEX(ArchiveResults!$F$5:$IX$116,ComparisonData!A60,ComparisonData!$ABF$1),0)),5)</f>
        <v>0</v>
      </c>
      <c r="ABG60" s="46" cm="1">
        <f t="array" ref="ABG60">ROUND(VALUE(IFERROR(INDEX(ArchiveResults!$F$5:$IX$116,ComparisonData!A60,ComparisonData!$ABG$1),0)),5)</f>
        <v>0</v>
      </c>
      <c r="ABH60" s="46" cm="1">
        <f t="array" ref="ABH60">ROUND(VALUE(IFERROR(INDEX(ArchiveResults!$F$5:$IX$116,ComparisonData!A60,ComparisonData!$ABH$1),0)),5)</f>
        <v>0</v>
      </c>
      <c r="ABI60" s="56">
        <v>55</v>
      </c>
      <c r="ABJ60" s="53" t="str">
        <f t="shared" si="632"/>
        <v>National Maritime Museum: The Caird Library and Archive</v>
      </c>
      <c r="ABK60" s="60">
        <f t="shared" si="499"/>
        <v>0</v>
      </c>
      <c r="ABL60" s="60">
        <f t="shared" si="500"/>
        <v>0</v>
      </c>
      <c r="ABM60" s="60">
        <f t="shared" si="501"/>
        <v>0</v>
      </c>
      <c r="ABN60" s="60">
        <f t="shared" si="502"/>
        <v>0</v>
      </c>
      <c r="ABO60" s="60">
        <f t="shared" si="503"/>
        <v>0</v>
      </c>
      <c r="ABP60" s="76">
        <f t="shared" si="504"/>
        <v>0</v>
      </c>
      <c r="ABQ60" s="46">
        <f t="shared" si="505"/>
        <v>7</v>
      </c>
      <c r="ABR60" s="46">
        <f t="shared" si="633"/>
        <v>2.4689999999999994</v>
      </c>
      <c r="ABS60" s="46">
        <f t="shared" si="506"/>
        <v>1</v>
      </c>
      <c r="ABT60" s="46">
        <f t="shared" si="507"/>
        <v>2</v>
      </c>
      <c r="ABU60" s="46" cm="1">
        <f t="array" ref="ABU60">ROUND(VALUE(IFERROR(INDEX(ArchiveResults!$F$5:$IX$116,ComparisonData!A60,ComparisonData!$ABU$1),0)),5)</f>
        <v>0</v>
      </c>
      <c r="ABV60" s="46" cm="1">
        <f t="array" ref="ABV60">ROUND(VALUE(IFERROR(INDEX(ArchiveResults!$F$5:$IX$116,ComparisonData!A60,ComparisonData!$ABV$1),0)),5)</f>
        <v>0</v>
      </c>
      <c r="ABW60" s="46" cm="1">
        <f t="array" ref="ABW60">ROUND(VALUE(IFERROR(INDEX(ArchiveResults!$F$5:$IX$116,ComparisonData!A60,ComparisonData!$ABW$1),0)),5)</f>
        <v>0</v>
      </c>
      <c r="ABX60" s="46" cm="1">
        <f t="array" ref="ABX60">ROUND(VALUE(IFERROR(INDEX(ArchiveResults!$F$5:$IX$116,ComparisonData!A60,ComparisonData!$ABX$1),0)),5)</f>
        <v>0</v>
      </c>
      <c r="ABY60" s="46" cm="1">
        <f t="array" ref="ABY60">ROUND(VALUE(IFERROR(INDEX(ArchiveResults!$F$5:$IX$116,ComparisonData!A60,ComparisonData!$ABY$1),0)),5)</f>
        <v>0</v>
      </c>
      <c r="ABZ60" s="56">
        <v>55</v>
      </c>
      <c r="ACA60" s="53" t="str">
        <f t="shared" si="634"/>
        <v>National Maritime Museum: The Caird Library and Archive</v>
      </c>
      <c r="ACB60" s="60">
        <f t="shared" si="508"/>
        <v>0</v>
      </c>
      <c r="ACC60" s="60">
        <f t="shared" si="509"/>
        <v>0</v>
      </c>
      <c r="ACD60" s="60">
        <f t="shared" si="510"/>
        <v>0</v>
      </c>
      <c r="ACE60" s="60">
        <f t="shared" si="511"/>
        <v>0</v>
      </c>
      <c r="ACF60" s="60">
        <f t="shared" si="512"/>
        <v>0</v>
      </c>
      <c r="ACG60" s="76">
        <f t="shared" si="513"/>
        <v>0</v>
      </c>
      <c r="ACH60" s="46">
        <f t="shared" si="514"/>
        <v>7</v>
      </c>
      <c r="ACI60" s="46">
        <f t="shared" si="635"/>
        <v>2.4689999999999994</v>
      </c>
      <c r="ACJ60" s="46">
        <f t="shared" si="515"/>
        <v>1</v>
      </c>
      <c r="ACK60" s="46">
        <f t="shared" si="516"/>
        <v>2</v>
      </c>
      <c r="ACL60" s="46">
        <f t="shared" si="517"/>
        <v>0</v>
      </c>
      <c r="ACM60" s="46" cm="1">
        <f t="array" ref="ACM60">ROUND(IFERROR(INDEX(ArchiveResults!$F$5:$IX$116,ComparisonData!A60,ComparisonData!$ACM$1),0),5)</f>
        <v>0</v>
      </c>
      <c r="ACN60" s="46" cm="1">
        <f t="array" ref="ACN60">ROUND(IFERROR(INDEX(ArchiveResults!$F$5:$IX$116,ComparisonData!A60,ComparisonData!$ACN$1),0),5)</f>
        <v>0</v>
      </c>
      <c r="ACO60" s="56">
        <v>55</v>
      </c>
      <c r="ACP60" s="53" t="str">
        <f t="shared" si="636"/>
        <v>National Maritime Museum: The Caird Library and Archive</v>
      </c>
      <c r="ACQ60" s="60">
        <f t="shared" si="518"/>
        <v>0</v>
      </c>
      <c r="ACR60" s="60">
        <f t="shared" si="519"/>
        <v>0</v>
      </c>
      <c r="ACS60" s="76">
        <f t="shared" si="520"/>
        <v>0</v>
      </c>
      <c r="ACT60" s="46">
        <f t="shared" si="521"/>
        <v>7</v>
      </c>
      <c r="ACU60" s="46">
        <f t="shared" si="637"/>
        <v>2.4689999999999994</v>
      </c>
      <c r="ACV60" s="46">
        <f t="shared" si="522"/>
        <v>1</v>
      </c>
      <c r="ACW60" s="46">
        <f t="shared" si="523"/>
        <v>2</v>
      </c>
      <c r="ACX60" s="46">
        <f t="shared" si="524"/>
        <v>0</v>
      </c>
      <c r="ACY60" s="46" cm="1">
        <f t="array" ref="ACY60">ROUNDDOWN(IFERROR(INDEX(ArchiveResults!$F$5:$IX$116,ComparisonData!A60,ComparisonData!$ACY$1),0),5)</f>
        <v>0</v>
      </c>
      <c r="ACZ60" s="46" cm="1">
        <f t="array" ref="ACZ60">ROUNDDOWN(IFERROR(INDEX(ArchiveResults!$F$5:$IX$116,ComparisonData!A60,ComparisonData!$ACZ$1),0),5)</f>
        <v>0</v>
      </c>
      <c r="ADA60" s="46" cm="1">
        <f t="array" ref="ADA60">ROUNDDOWN(IFERROR(INDEX(ArchiveResults!$F$5:$IX$116,ComparisonData!A60,ComparisonData!$ADA$1),0),5)</f>
        <v>0</v>
      </c>
      <c r="ADB60" s="56">
        <v>55</v>
      </c>
      <c r="ADC60" s="53" t="str">
        <f t="shared" si="638"/>
        <v>National Maritime Museum: The Caird Library and Archive</v>
      </c>
      <c r="ADD60" s="60">
        <f t="shared" si="525"/>
        <v>0</v>
      </c>
      <c r="ADE60" s="60">
        <f t="shared" si="526"/>
        <v>0</v>
      </c>
      <c r="ADF60" s="60">
        <f t="shared" si="527"/>
        <v>0</v>
      </c>
      <c r="ADG60" s="76">
        <f t="shared" si="528"/>
        <v>0</v>
      </c>
    </row>
    <row r="61" spans="1:787" x14ac:dyDescent="0.25">
      <c r="A61" s="46" t="str">
        <f>IF(ISBLANK(ComparisonSelection!F57),"",ROW()-5)</f>
        <v/>
      </c>
      <c r="B61" s="53" t="s">
        <v>510</v>
      </c>
      <c r="C61" s="72">
        <v>0.7789999999999998</v>
      </c>
      <c r="D61" s="55">
        <f t="shared" si="110"/>
        <v>69</v>
      </c>
      <c r="E61" s="54">
        <f t="shared" si="111"/>
        <v>2.7789999999999999</v>
      </c>
      <c r="F61" s="54">
        <f t="shared" si="529"/>
        <v>1</v>
      </c>
      <c r="G61" s="72">
        <f t="shared" si="112"/>
        <v>2</v>
      </c>
      <c r="H61" s="72">
        <f t="shared" si="113"/>
        <v>0</v>
      </c>
      <c r="I61" s="46" cm="1">
        <f t="array" ref="I61">ROUND(IFERROR(INDEX(ArchiveResults!$F$5:$IX$116,ComparisonData!A61,ComparisonData!$I$1),0),5)</f>
        <v>0</v>
      </c>
      <c r="J61" s="46" cm="1">
        <f t="array" ref="J61">ROUND(IFERROR(INDEX(ArchiveResults!$F$5:$IX$116,ComparisonData!A61,ComparisonData!$J$1),0),5)</f>
        <v>0</v>
      </c>
      <c r="K61" s="56">
        <v>56</v>
      </c>
      <c r="L61" s="53" t="str">
        <f t="shared" si="114"/>
        <v>National Museum of the Royal Navy</v>
      </c>
      <c r="M61" s="57">
        <f t="shared" si="530"/>
        <v>0</v>
      </c>
      <c r="N61" s="57">
        <f t="shared" si="531"/>
        <v>0</v>
      </c>
      <c r="O61" s="58">
        <f t="shared" si="115"/>
        <v>0</v>
      </c>
      <c r="P61" s="48">
        <f t="shared" si="116"/>
        <v>69</v>
      </c>
      <c r="Q61" s="54">
        <f t="shared" si="532"/>
        <v>2.7789999999999999</v>
      </c>
      <c r="R61" s="45">
        <f t="shared" si="117"/>
        <v>1</v>
      </c>
      <c r="S61" s="46">
        <f t="shared" si="118"/>
        <v>2</v>
      </c>
      <c r="T61" s="72">
        <f t="shared" si="119"/>
        <v>0</v>
      </c>
      <c r="U61" s="46" cm="1">
        <f t="array" ref="U61">ROUND(IFERROR(INDEX(ArchiveResults!$F$5:$IX$116,ComparisonData!A61,ComparisonData!$U$1),0),5)</f>
        <v>0</v>
      </c>
      <c r="V61" s="46" cm="1">
        <f t="array" ref="V61">ROUND(IFERROR(INDEX(ArchiveResults!$F$5:$IX$116,ComparisonData!A61,ComparisonData!$V$1),0),5)</f>
        <v>0</v>
      </c>
      <c r="W61" s="56">
        <v>56</v>
      </c>
      <c r="X61" s="53" t="str">
        <f t="shared" si="533"/>
        <v>National Museum of the Royal Navy</v>
      </c>
      <c r="Y61" s="57">
        <f t="shared" si="120"/>
        <v>0</v>
      </c>
      <c r="Z61" s="57">
        <f t="shared" si="121"/>
        <v>0</v>
      </c>
      <c r="AA61" s="58">
        <f t="shared" si="122"/>
        <v>0</v>
      </c>
      <c r="AB61" s="45">
        <f t="shared" si="123"/>
        <v>69</v>
      </c>
      <c r="AC61" s="54">
        <f t="shared" si="534"/>
        <v>2.7789999999999999</v>
      </c>
      <c r="AD61" s="45">
        <f t="shared" si="124"/>
        <v>1</v>
      </c>
      <c r="AE61" s="45">
        <f t="shared" si="125"/>
        <v>2</v>
      </c>
      <c r="AF61" s="45">
        <f>AG61+(AH61/100)</f>
        <v>0</v>
      </c>
      <c r="AG61" s="46" cm="1">
        <f t="array" ref="AG61">ROUND(IFERROR(INDEX(ArchiveResults!$F$5:$IX$116,ComparisonData!A61,ComparisonData!$AG$1),0),5)</f>
        <v>0</v>
      </c>
      <c r="AH61" s="46" cm="1">
        <f t="array" ref="AH61">ROUND(IFERROR(INDEX(ArchiveResults!$F$5:$IX$116,ComparisonData!A61,ComparisonData!$AH$1),0),5)</f>
        <v>0</v>
      </c>
      <c r="AI61" s="56">
        <v>56</v>
      </c>
      <c r="AJ61" s="53" t="str">
        <f t="shared" si="535"/>
        <v>National Museum of the Royal Navy</v>
      </c>
      <c r="AK61" s="59">
        <f t="shared" si="536"/>
        <v>0</v>
      </c>
      <c r="AL61" s="59">
        <f t="shared" si="537"/>
        <v>0</v>
      </c>
      <c r="AM61" s="58">
        <f t="shared" si="127"/>
        <v>0</v>
      </c>
      <c r="AN61" s="45">
        <f t="shared" si="128"/>
        <v>69</v>
      </c>
      <c r="AO61" s="54">
        <f t="shared" si="538"/>
        <v>2.7789999999999999</v>
      </c>
      <c r="AP61" s="45">
        <f t="shared" si="129"/>
        <v>1</v>
      </c>
      <c r="AQ61" s="45">
        <f t="shared" si="130"/>
        <v>2</v>
      </c>
      <c r="AR61" s="46" cm="1">
        <f t="array" ref="AR61">ROUND(IFERROR(INDEX(ArchiveResults!$F$5:$IX$116,ComparisonData!A61,ComparisonData!$AR$1),0),5)</f>
        <v>0</v>
      </c>
      <c r="AS61" s="46" cm="1">
        <f t="array" ref="AS61">ROUND(IFERROR(INDEX(ArchiveResults!$F$5:$IX$116,ComparisonData!A61,ComparisonData!$AS$1),0),5)</f>
        <v>0</v>
      </c>
      <c r="AT61" s="46" cm="1">
        <f t="array" ref="AT61">ROUND(IFERROR(INDEX(ArchiveResults!$F$5:$IX$116,ComparisonData!A61,ComparisonData!$AT$1),0),5)</f>
        <v>0</v>
      </c>
      <c r="AU61" s="46" cm="1">
        <f t="array" ref="AU61">ROUND(IFERROR(INDEX(ArchiveResults!$F$5:$IX$116,ComparisonData!A61,ComparisonData!$AU$1),0),5)</f>
        <v>0</v>
      </c>
      <c r="AV61" s="46" cm="1">
        <f t="array" ref="AV61">ROUND(IFERROR(INDEX(ArchiveResults!$F$5:$IX$116,ComparisonData!A61,ComparisonData!$AV$1),0),5)</f>
        <v>0</v>
      </c>
      <c r="AW61" s="46" cm="1">
        <f t="array" ref="AW61">ROUND(IFERROR(INDEX(ArchiveResults!$F$5:$IX$116,ComparisonData!A61,ComparisonData!$AW$1),0),5)</f>
        <v>0</v>
      </c>
      <c r="AX61" s="46" cm="1">
        <f t="array" ref="AX61">ROUND(IFERROR(INDEX(ArchiveResults!$F$5:$IX$116,ComparisonData!A61,ComparisonData!$AX$1),0),5)</f>
        <v>0</v>
      </c>
      <c r="AY61" s="46" cm="1">
        <f t="array" ref="AY61">ROUND(IFERROR(INDEX(ArchiveResults!$F$5:$IX$116,ComparisonData!A61,ComparisonData!$AY$1),0),5)</f>
        <v>0</v>
      </c>
      <c r="AZ61" s="46" cm="1">
        <f t="array" ref="AZ61">ROUND(IFERROR(INDEX(ArchiveResults!$F$5:$IX$116,ComparisonData!A61,ComparisonData!$AZ$1),0),5)</f>
        <v>0</v>
      </c>
      <c r="BA61" s="46" cm="1">
        <f t="array" ref="BA61">ROUND(IFERROR(INDEX(ArchiveResults!$F$5:$IX$116,ComparisonData!A61,ComparisonData!$BA$1),0),5)</f>
        <v>0</v>
      </c>
      <c r="BB61" s="56">
        <v>56</v>
      </c>
      <c r="BC61" s="53" t="str">
        <f t="shared" si="539"/>
        <v>National Museum of the Royal Navy</v>
      </c>
      <c r="BD61" s="60">
        <f t="shared" si="131"/>
        <v>0</v>
      </c>
      <c r="BE61" s="60">
        <f t="shared" si="132"/>
        <v>0</v>
      </c>
      <c r="BF61" s="60">
        <f t="shared" si="133"/>
        <v>0</v>
      </c>
      <c r="BG61" s="60">
        <f t="shared" si="134"/>
        <v>0</v>
      </c>
      <c r="BH61" s="60">
        <f t="shared" si="135"/>
        <v>0</v>
      </c>
      <c r="BI61" s="60">
        <f t="shared" si="136"/>
        <v>0</v>
      </c>
      <c r="BJ61" s="60">
        <f t="shared" si="137"/>
        <v>0</v>
      </c>
      <c r="BK61" s="60">
        <f t="shared" si="138"/>
        <v>0</v>
      </c>
      <c r="BL61" s="60">
        <f t="shared" si="139"/>
        <v>0</v>
      </c>
      <c r="BM61" s="59">
        <f t="shared" si="140"/>
        <v>0</v>
      </c>
      <c r="BN61" s="58">
        <f t="shared" si="141"/>
        <v>0</v>
      </c>
      <c r="BO61" s="45">
        <f t="shared" si="142"/>
        <v>69</v>
      </c>
      <c r="BP61" s="54">
        <f t="shared" si="540"/>
        <v>2.7789999999999999</v>
      </c>
      <c r="BQ61" s="45">
        <f t="shared" si="143"/>
        <v>1</v>
      </c>
      <c r="BR61" s="45">
        <f t="shared" si="144"/>
        <v>2</v>
      </c>
      <c r="BS61" s="46" cm="1">
        <f t="array" ref="BS61">ROUND(IFERROR(INDEX(ArchiveResults!$F$5:$IX$116,ComparisonData!A61,ComparisonData!$BS$1),0),5)</f>
        <v>0</v>
      </c>
      <c r="BT61" s="46" cm="1">
        <f t="array" ref="BT61">ROUND(IFERROR(INDEX(ArchiveResults!$F$5:$IX$116,ComparisonData!A61,ComparisonData!$BT$1),0),5)</f>
        <v>0</v>
      </c>
      <c r="BU61" s="46" cm="1">
        <f t="array" ref="BU61">ROUND(IFERROR(INDEX(ArchiveResults!$F$5:$IX$116,ComparisonData!A61,ComparisonData!$BU$1),0),5)</f>
        <v>0</v>
      </c>
      <c r="BV61" s="46" cm="1">
        <f t="array" ref="BV61">ROUND(IFERROR(INDEX(ArchiveResults!$F$5:$IX$116,ComparisonData!A61,ComparisonData!$BV$1),0),5)</f>
        <v>0</v>
      </c>
      <c r="BW61" s="46" cm="1">
        <f t="array" ref="BW61">ROUND(IFERROR(INDEX(ArchiveResults!$F$5:$IX$116,ComparisonData!A61,ComparisonData!$BW$1),0),5)</f>
        <v>0</v>
      </c>
      <c r="BX61" s="46" cm="1">
        <f t="array" ref="BX61">ROUND(IFERROR(INDEX(ArchiveResults!$F$5:$IX$116,ComparisonData!A61,ComparisonData!$BX$1),0),5)</f>
        <v>0</v>
      </c>
      <c r="BY61" s="56">
        <v>56</v>
      </c>
      <c r="BZ61" s="53" t="str">
        <f t="shared" si="541"/>
        <v>National Museum of the Royal Navy</v>
      </c>
      <c r="CA61" s="59">
        <f t="shared" si="145"/>
        <v>0</v>
      </c>
      <c r="CB61" s="59">
        <f t="shared" si="146"/>
        <v>0</v>
      </c>
      <c r="CC61" s="59">
        <f t="shared" si="147"/>
        <v>0</v>
      </c>
      <c r="CD61" s="59">
        <f t="shared" si="148"/>
        <v>0</v>
      </c>
      <c r="CE61" s="59">
        <f t="shared" si="149"/>
        <v>0</v>
      </c>
      <c r="CF61" s="59">
        <f t="shared" si="150"/>
        <v>0</v>
      </c>
      <c r="CG61" s="58">
        <f t="shared" si="151"/>
        <v>0</v>
      </c>
      <c r="CH61" s="45">
        <f t="shared" si="152"/>
        <v>69</v>
      </c>
      <c r="CI61" s="54">
        <f t="shared" si="542"/>
        <v>2.7789999999999999</v>
      </c>
      <c r="CJ61" s="45">
        <f t="shared" si="153"/>
        <v>1</v>
      </c>
      <c r="CK61" s="45">
        <f t="shared" si="154"/>
        <v>2</v>
      </c>
      <c r="CL61" s="46" cm="1">
        <f t="array" ref="CL61">ROUND(IFERROR(INDEX(ArchiveResults!$F$5:$IX$116,ComparisonData!A61,ComparisonData!$CL$1),0),5)</f>
        <v>0</v>
      </c>
      <c r="CM61" s="56">
        <v>56</v>
      </c>
      <c r="CN61" s="53" t="str">
        <f t="shared" si="543"/>
        <v>National Museum of the Royal Navy</v>
      </c>
      <c r="CO61" s="45">
        <f t="shared" si="155"/>
        <v>0</v>
      </c>
      <c r="CP61" s="58">
        <f t="shared" si="156"/>
        <v>0</v>
      </c>
      <c r="CQ61" s="45">
        <f t="shared" si="157"/>
        <v>69</v>
      </c>
      <c r="CR61" s="54">
        <f t="shared" si="544"/>
        <v>2.7789999999999999</v>
      </c>
      <c r="CS61" s="45">
        <f t="shared" si="158"/>
        <v>1</v>
      </c>
      <c r="CT61" s="45">
        <f t="shared" si="159"/>
        <v>2</v>
      </c>
      <c r="CU61" s="46" cm="1">
        <f t="array" ref="CU61">ROUND(IFERROR(INDEX(ArchiveResults!$F$5:$IX$116,ComparisonData!A61,ComparisonData!$CU$1),0),5)</f>
        <v>0</v>
      </c>
      <c r="CV61" s="56">
        <v>56</v>
      </c>
      <c r="CW61" s="53" t="str">
        <f t="shared" si="545"/>
        <v>National Museum of the Royal Navy</v>
      </c>
      <c r="CX61" s="45">
        <f t="shared" si="160"/>
        <v>0</v>
      </c>
      <c r="CY61" s="58">
        <f t="shared" si="161"/>
        <v>0</v>
      </c>
      <c r="CZ61" s="45">
        <f t="shared" si="162"/>
        <v>69</v>
      </c>
      <c r="DA61" s="54">
        <f t="shared" si="546"/>
        <v>2.7789999999999999</v>
      </c>
      <c r="DB61" s="45">
        <f t="shared" si="163"/>
        <v>1</v>
      </c>
      <c r="DC61" s="45">
        <f t="shared" si="164"/>
        <v>2</v>
      </c>
      <c r="DD61" s="46" cm="1">
        <f t="array" ref="DD61">ROUND(IFERROR(INDEX(ArchiveResults!$F$5:$IX$116,ComparisonData!A61,ComparisonData!$DD$1),0),5)</f>
        <v>0</v>
      </c>
      <c r="DE61" s="56">
        <v>56</v>
      </c>
      <c r="DF61" s="53" t="str">
        <f t="shared" si="547"/>
        <v>National Museum of the Royal Navy</v>
      </c>
      <c r="DG61" s="45">
        <f t="shared" si="165"/>
        <v>0</v>
      </c>
      <c r="DH61" s="58">
        <f t="shared" si="166"/>
        <v>0</v>
      </c>
      <c r="DI61" s="45">
        <f t="shared" si="167"/>
        <v>69</v>
      </c>
      <c r="DJ61" s="54">
        <f t="shared" si="548"/>
        <v>2.7789999999999999</v>
      </c>
      <c r="DK61" s="45">
        <f t="shared" si="168"/>
        <v>1</v>
      </c>
      <c r="DL61" s="45">
        <f t="shared" si="169"/>
        <v>2</v>
      </c>
      <c r="DM61" s="46" cm="1">
        <f t="array" ref="DM61">ROUND(IFERROR(INDEX(ArchiveResults!$F$5:$IX$116,ComparisonData!A61,ComparisonData!$DM$1),0),5)</f>
        <v>0</v>
      </c>
      <c r="DN61" s="46" cm="1">
        <f t="array" ref="DN61">ROUND(IFERROR(INDEX(ArchiveResults!$F$5:$IX$116,ComparisonData!A61,ComparisonData!$DN$1),0),5)</f>
        <v>0</v>
      </c>
      <c r="DO61" s="46" cm="1">
        <f t="array" ref="DO61">ROUND(IFERROR(INDEX(ArchiveResults!$F$5:$IX$116,ComparisonData!A61,ComparisonData!$DO$1),0),5)</f>
        <v>0</v>
      </c>
      <c r="DP61" s="46" cm="1">
        <f t="array" ref="DP61">ROUND(IFERROR(INDEX(ArchiveResults!$F$5:$IX$116,ComparisonData!A61,ComparisonData!$DP$1),0),5)</f>
        <v>0</v>
      </c>
      <c r="DQ61" s="45" cm="1">
        <f t="array" ref="DQ61">IFERROR(INDEX(ArchiveResults!$F$5:$IX$116,ComparisonData!A61,ComparisonData!$DQ$1),0)</f>
        <v>0</v>
      </c>
      <c r="DR61" s="56">
        <v>56</v>
      </c>
      <c r="DS61" s="53" t="str">
        <f t="shared" si="549"/>
        <v>National Museum of the Royal Navy</v>
      </c>
      <c r="DT61" s="59">
        <f t="shared" si="170"/>
        <v>0</v>
      </c>
      <c r="DU61" s="59">
        <f t="shared" si="171"/>
        <v>0</v>
      </c>
      <c r="DV61" s="59">
        <f t="shared" si="172"/>
        <v>0</v>
      </c>
      <c r="DW61" s="59">
        <f t="shared" si="173"/>
        <v>0</v>
      </c>
      <c r="DX61" s="59">
        <f t="shared" si="174"/>
        <v>0</v>
      </c>
      <c r="DY61" s="58">
        <f t="shared" si="175"/>
        <v>0</v>
      </c>
      <c r="DZ61" s="45">
        <f t="shared" si="176"/>
        <v>69</v>
      </c>
      <c r="EA61" s="54">
        <f t="shared" si="550"/>
        <v>2.7789999999999999</v>
      </c>
      <c r="EB61" s="45">
        <f t="shared" si="177"/>
        <v>1</v>
      </c>
      <c r="EC61" s="45">
        <f t="shared" si="178"/>
        <v>2</v>
      </c>
      <c r="ED61" s="46" cm="1">
        <f t="array" ref="ED61">ROUND(IFERROR(INDEX(ArchiveResults!$F$5:$IX$116,ComparisonData!A61,ComparisonData!$ED$1),0),5)</f>
        <v>0</v>
      </c>
      <c r="EE61" s="46" cm="1">
        <f t="array" ref="EE61">ROUND(IFERROR(INDEX(ArchiveResults!$F$5:$IX$116,ComparisonData!A61,ComparisonData!$EE$1),0),5)</f>
        <v>0</v>
      </c>
      <c r="EF61" s="46" cm="1">
        <f t="array" ref="EF61">ROUND(IFERROR(INDEX(ArchiveResults!$F$5:$IX$116,ComparisonData!A61,ComparisonData!$EF$1),0),5)</f>
        <v>0</v>
      </c>
      <c r="EG61" s="46" cm="1">
        <f t="array" ref="EG61">ROUND(IFERROR(INDEX(ArchiveResults!$F$5:$IX$116,ComparisonData!A61,ComparisonData!$EG$1),0),5)</f>
        <v>0</v>
      </c>
      <c r="EH61" s="45" cm="1">
        <f t="array" ref="EH61">IFERROR(INDEX(ArchiveResults!$F$5:$IX$116,ComparisonData!A61,ComparisonData!$EH$1),0)</f>
        <v>0</v>
      </c>
      <c r="EI61" s="56">
        <v>56</v>
      </c>
      <c r="EJ61" s="53" t="str">
        <f t="shared" si="551"/>
        <v>National Museum of the Royal Navy</v>
      </c>
      <c r="EK61" s="59">
        <f t="shared" si="179"/>
        <v>0</v>
      </c>
      <c r="EL61" s="59">
        <f t="shared" si="180"/>
        <v>0</v>
      </c>
      <c r="EM61" s="59">
        <f t="shared" si="181"/>
        <v>0</v>
      </c>
      <c r="EN61" s="59">
        <f t="shared" si="182"/>
        <v>0</v>
      </c>
      <c r="EO61" s="59">
        <f t="shared" si="183"/>
        <v>0</v>
      </c>
      <c r="EP61" s="58">
        <f t="shared" si="184"/>
        <v>0</v>
      </c>
      <c r="EQ61" s="45">
        <f t="shared" si="185"/>
        <v>69</v>
      </c>
      <c r="ER61" s="54">
        <f t="shared" si="552"/>
        <v>2.7789999999999999</v>
      </c>
      <c r="ES61" s="45">
        <f t="shared" si="186"/>
        <v>1</v>
      </c>
      <c r="ET61" s="45">
        <f t="shared" si="187"/>
        <v>2</v>
      </c>
      <c r="EU61" s="46" cm="1">
        <f t="array" ref="EU61">ROUND(IFERROR(INDEX(ArchiveResults!$F$5:$IX$116,ComparisonData!A61,ComparisonData!$EU$1),0),5)</f>
        <v>0</v>
      </c>
      <c r="EV61" s="46" cm="1">
        <f t="array" ref="EV61">ROUND(IFERROR(INDEX(ArchiveResults!$F$5:$IX$116,ComparisonData!A61,ComparisonData!$EV$1),0),5)</f>
        <v>0</v>
      </c>
      <c r="EW61" s="46" cm="1">
        <f t="array" ref="EW61">ROUND(IFERROR(INDEX(ArchiveResults!$F$5:$IX$116,ComparisonData!A61,ComparisonData!$EW$1),0),5)</f>
        <v>0</v>
      </c>
      <c r="EX61" s="46" cm="1">
        <f t="array" ref="EX61">ROUND(IFERROR(INDEX(ArchiveResults!$F$5:$IX$116,ComparisonData!A61,ComparisonData!$EX$1),0),5)</f>
        <v>0</v>
      </c>
      <c r="EY61" s="45" cm="1">
        <f t="array" ref="EY61">IFERROR(INDEX(ArchiveResults!$F$5:$IX$116,ComparisonData!A61,ComparisonData!$EY$1),0)</f>
        <v>0</v>
      </c>
      <c r="EZ61" s="56">
        <v>56</v>
      </c>
      <c r="FA61" s="53" t="str">
        <f t="shared" si="553"/>
        <v>National Museum of the Royal Navy</v>
      </c>
      <c r="FB61" s="59">
        <f t="shared" si="188"/>
        <v>0</v>
      </c>
      <c r="FC61" s="59">
        <f t="shared" si="189"/>
        <v>0</v>
      </c>
      <c r="FD61" s="59">
        <f t="shared" si="190"/>
        <v>0</v>
      </c>
      <c r="FE61" s="59">
        <f t="shared" si="191"/>
        <v>0</v>
      </c>
      <c r="FF61" s="59">
        <f t="shared" si="192"/>
        <v>0</v>
      </c>
      <c r="FG61" s="58">
        <f t="shared" si="193"/>
        <v>0</v>
      </c>
      <c r="FH61" s="45">
        <f t="shared" si="194"/>
        <v>69</v>
      </c>
      <c r="FI61" s="54">
        <f t="shared" si="554"/>
        <v>2.7789999999999999</v>
      </c>
      <c r="FJ61" s="45">
        <f t="shared" si="195"/>
        <v>1</v>
      </c>
      <c r="FK61" s="45">
        <f t="shared" si="196"/>
        <v>2</v>
      </c>
      <c r="FL61" s="46" cm="1">
        <f t="array" ref="FL61">ROUND(IFERROR(INDEX(ArchiveResults!$F$5:$IX$116,ComparisonData!A61,ComparisonData!$FL$1),0),5)</f>
        <v>0</v>
      </c>
      <c r="FM61" s="46" cm="1">
        <f t="array" ref="FM61">ROUND(IFERROR(INDEX(ArchiveResults!$F$5:$IX$116,ComparisonData!A61,ComparisonData!$FM$1),0),5)</f>
        <v>0</v>
      </c>
      <c r="FN61" s="46" cm="1">
        <f t="array" ref="FN61">ROUND(IFERROR(INDEX(ArchiveResults!$F$5:$IX$116,ComparisonData!A61,ComparisonData!$FN$1),0),5)</f>
        <v>0</v>
      </c>
      <c r="FO61" s="46" cm="1">
        <f t="array" ref="FO61">ROUND(IFERROR(INDEX(ArchiveResults!$F$5:$IX$116,ComparisonData!A61,ComparisonData!$FO$1),0),5)</f>
        <v>0</v>
      </c>
      <c r="FP61" s="45" cm="1">
        <f t="array" ref="FP61">IFERROR(INDEX(ArchiveResults!$F$5:$IX$116,ComparisonData!A61,ComparisonData!$FP$1),0)</f>
        <v>0</v>
      </c>
      <c r="FQ61" s="56">
        <v>56</v>
      </c>
      <c r="FR61" s="53" t="str">
        <f t="shared" si="555"/>
        <v>National Museum of the Royal Navy</v>
      </c>
      <c r="FS61" s="59">
        <f t="shared" si="197"/>
        <v>0</v>
      </c>
      <c r="FT61" s="59">
        <f t="shared" si="198"/>
        <v>0</v>
      </c>
      <c r="FU61" s="59">
        <f t="shared" si="199"/>
        <v>0</v>
      </c>
      <c r="FV61" s="59">
        <f t="shared" si="200"/>
        <v>0</v>
      </c>
      <c r="FW61" s="59">
        <f t="shared" si="201"/>
        <v>0</v>
      </c>
      <c r="FX61" s="58">
        <f t="shared" si="202"/>
        <v>0</v>
      </c>
      <c r="FY61" s="45">
        <f t="shared" si="203"/>
        <v>69</v>
      </c>
      <c r="FZ61" s="45">
        <f t="shared" si="556"/>
        <v>2.7789999999999999</v>
      </c>
      <c r="GA61" s="45">
        <f t="shared" si="204"/>
        <v>1</v>
      </c>
      <c r="GB61" s="45">
        <f t="shared" si="205"/>
        <v>2</v>
      </c>
      <c r="GC61" s="46" cm="1">
        <f t="array" ref="GC61">ROUND(IFERROR(INDEX(ArchiveResults!$F$5:$IX$116,ComparisonData!A61,ComparisonData!$GC$1),0),5)</f>
        <v>0</v>
      </c>
      <c r="GD61" s="46" cm="1">
        <f t="array" ref="GD61">ROUND(IFERROR(INDEX(ArchiveResults!$F$5:$IX$116,ComparisonData!A61,ComparisonData!$GD$1),0),5)</f>
        <v>0</v>
      </c>
      <c r="GE61" s="46" cm="1">
        <f t="array" ref="GE61">ROUND(IFERROR(INDEX(ArchiveResults!$F$5:$IX$116,ComparisonData!A61,ComparisonData!$GE$1),0),5)</f>
        <v>0</v>
      </c>
      <c r="GF61" s="46" cm="1">
        <f t="array" ref="GF61">ROUND(IFERROR(INDEX(ArchiveResults!$F$5:$IX$116,ComparisonData!A61,ComparisonData!$GF$1),0),5)</f>
        <v>0</v>
      </c>
      <c r="GG61" s="45" cm="1">
        <f t="array" ref="GG61">IFERROR(INDEX(ArchiveResults!$F$5:$IX$116,ComparisonData!A61,ComparisonData!$GG$1),0)</f>
        <v>0</v>
      </c>
      <c r="GH61" s="56">
        <v>56</v>
      </c>
      <c r="GI61" s="53" t="str">
        <f t="shared" si="557"/>
        <v>National Museum of the Royal Navy</v>
      </c>
      <c r="GJ61" s="59">
        <f t="shared" si="206"/>
        <v>0</v>
      </c>
      <c r="GK61" s="59">
        <f t="shared" si="207"/>
        <v>0</v>
      </c>
      <c r="GL61" s="59">
        <f t="shared" si="208"/>
        <v>0</v>
      </c>
      <c r="GM61" s="59">
        <f t="shared" si="209"/>
        <v>0</v>
      </c>
      <c r="GN61" s="59">
        <f t="shared" si="210"/>
        <v>0</v>
      </c>
      <c r="GO61" s="58">
        <f t="shared" si="211"/>
        <v>0</v>
      </c>
      <c r="GP61" s="45">
        <f t="shared" si="212"/>
        <v>69</v>
      </c>
      <c r="GQ61" s="45">
        <f t="shared" si="558"/>
        <v>2.7789999999999999</v>
      </c>
      <c r="GR61" s="45">
        <f t="shared" si="213"/>
        <v>1</v>
      </c>
      <c r="GS61" s="45">
        <f t="shared" si="214"/>
        <v>2</v>
      </c>
      <c r="GT61" s="46" cm="1">
        <f t="array" ref="GT61">ROUND(IFERROR(INDEX(ArchiveResults!$F$5:$IX$116,ComparisonData!A61,ComparisonData!$GT$1),0),5)</f>
        <v>0</v>
      </c>
      <c r="GU61" s="46" cm="1">
        <f t="array" ref="GU61">ROUND(IFERROR(INDEX(ArchiveResults!$F$5:$IX$116,ComparisonData!A61,ComparisonData!$GU$1),0),5)</f>
        <v>0</v>
      </c>
      <c r="GV61" s="46" cm="1">
        <f t="array" ref="GV61">ROUND(IFERROR(INDEX(ArchiveResults!$F$5:$IX$116,ComparisonData!A61,ComparisonData!$GV$1),0),5)</f>
        <v>0</v>
      </c>
      <c r="GW61" s="46" cm="1">
        <f t="array" ref="GW61">ROUND(IFERROR(INDEX(ArchiveResults!$F$5:$IX$116,ComparisonData!A61,ComparisonData!$GW$1),0),5)</f>
        <v>0</v>
      </c>
      <c r="GX61" s="45" cm="1">
        <f t="array" ref="GX61">IFERROR(INDEX(ArchiveResults!$F$5:$IX$116,ComparisonData!A61,ComparisonData!$GX$1),0)</f>
        <v>0</v>
      </c>
      <c r="GY61" s="56">
        <v>56</v>
      </c>
      <c r="GZ61" s="53" t="str">
        <f t="shared" si="559"/>
        <v>National Museum of the Royal Navy</v>
      </c>
      <c r="HA61" s="59">
        <f t="shared" si="215"/>
        <v>0</v>
      </c>
      <c r="HB61" s="59">
        <f t="shared" si="216"/>
        <v>0</v>
      </c>
      <c r="HC61" s="59">
        <f t="shared" si="217"/>
        <v>0</v>
      </c>
      <c r="HD61" s="59">
        <f t="shared" si="218"/>
        <v>0</v>
      </c>
      <c r="HE61" s="59">
        <f t="shared" si="219"/>
        <v>0</v>
      </c>
      <c r="HF61" s="58">
        <f t="shared" si="220"/>
        <v>0</v>
      </c>
      <c r="HG61" s="45">
        <f t="shared" si="221"/>
        <v>69</v>
      </c>
      <c r="HH61" s="45">
        <f t="shared" si="560"/>
        <v>2.7789999999999999</v>
      </c>
      <c r="HI61" s="45">
        <f t="shared" si="222"/>
        <v>1</v>
      </c>
      <c r="HJ61" s="45">
        <f t="shared" si="223"/>
        <v>2</v>
      </c>
      <c r="HK61" s="46" cm="1">
        <f t="array" ref="HK61">ROUND(IFERROR(INDEX(ArchiveResults!$F$5:$IX$116,ComparisonData!A61,ComparisonData!$HK$1),0),5)</f>
        <v>0</v>
      </c>
      <c r="HL61" s="46" cm="1">
        <f t="array" ref="HL61">ROUND(IFERROR(INDEX(ArchiveResults!$F$5:$IX$116,ComparisonData!A61,ComparisonData!$HL$1),0),5)</f>
        <v>0</v>
      </c>
      <c r="HM61" s="46" cm="1">
        <f t="array" ref="HM61">ROUND(IFERROR(INDEX(ArchiveResults!$F$5:$IX$116,ComparisonData!A61,ComparisonData!$HM$1),0),5)</f>
        <v>0</v>
      </c>
      <c r="HN61" s="46" cm="1">
        <f t="array" ref="HN61">ROUND(IFERROR(INDEX(ArchiveResults!$F$5:$IX$116,ComparisonData!A61,ComparisonData!$HN$1),0),5)</f>
        <v>0</v>
      </c>
      <c r="HO61" s="45" cm="1">
        <f t="array" ref="HO61">IFERROR(INDEX(ArchiveResults!$F$5:$IX$116,ComparisonData!A61,ComparisonData!$HO$1),0)</f>
        <v>0</v>
      </c>
      <c r="HP61" s="56">
        <v>56</v>
      </c>
      <c r="HQ61" s="53" t="str">
        <f t="shared" si="561"/>
        <v>National Museum of the Royal Navy</v>
      </c>
      <c r="HR61" s="59">
        <f t="shared" si="562"/>
        <v>0</v>
      </c>
      <c r="HS61" s="59">
        <f t="shared" si="563"/>
        <v>0</v>
      </c>
      <c r="HT61" s="59">
        <f t="shared" si="564"/>
        <v>0</v>
      </c>
      <c r="HU61" s="59">
        <f t="shared" si="565"/>
        <v>0</v>
      </c>
      <c r="HV61" s="59">
        <f t="shared" si="566"/>
        <v>0</v>
      </c>
      <c r="HW61" s="58">
        <f t="shared" si="224"/>
        <v>0</v>
      </c>
      <c r="HX61" s="45">
        <f t="shared" si="225"/>
        <v>69</v>
      </c>
      <c r="HY61" s="45">
        <f t="shared" si="567"/>
        <v>2.7789999999999999</v>
      </c>
      <c r="HZ61" s="45">
        <f t="shared" si="226"/>
        <v>1</v>
      </c>
      <c r="IA61" s="45">
        <f t="shared" si="227"/>
        <v>2</v>
      </c>
      <c r="IB61" s="45">
        <f t="shared" si="228"/>
        <v>0</v>
      </c>
      <c r="IC61" s="46" cm="1">
        <f t="array" ref="IC61">ROUND(IFERROR(INDEX(ArchiveResults!$F$5:$IX$116,ComparisonData!A61,ComparisonData!$IC$1),0),5)</f>
        <v>0</v>
      </c>
      <c r="ID61" s="46" cm="1">
        <f t="array" ref="ID61">ROUND(IFERROR(INDEX(ArchiveResults!$F$5:$IX$116,ComparisonData!A61,ComparisonData!$ID$1),0),5)</f>
        <v>0</v>
      </c>
      <c r="IE61" s="46" cm="1">
        <f t="array" ref="IE61">ROUND(IFERROR(INDEX(ArchiveResults!$F$5:$IX$116,ComparisonData!A61,ComparisonData!$IE$1),0),5)</f>
        <v>0</v>
      </c>
      <c r="IF61" s="46" cm="1">
        <f t="array" ref="IF61">ROUND(IFERROR(INDEX(ArchiveResults!$F$5:$IX$116,ComparisonData!A61,ComparisonData!$IF$1),0),5)</f>
        <v>0</v>
      </c>
      <c r="IG61" s="45" cm="1">
        <f t="array" ref="IG61">IFERROR(INDEX(ArchiveResults!$F$5:$IX$116,ComparisonData!A61,ComparisonData!$IG$1),0)</f>
        <v>0</v>
      </c>
      <c r="IH61" s="56">
        <v>56</v>
      </c>
      <c r="II61" s="53" t="str">
        <f t="shared" si="568"/>
        <v>National Museum of the Royal Navy</v>
      </c>
      <c r="IJ61" s="59">
        <f t="shared" si="229"/>
        <v>0</v>
      </c>
      <c r="IK61" s="59">
        <f t="shared" si="230"/>
        <v>0</v>
      </c>
      <c r="IL61" s="59">
        <f t="shared" si="231"/>
        <v>0</v>
      </c>
      <c r="IM61" s="59">
        <f t="shared" si="232"/>
        <v>0</v>
      </c>
      <c r="IN61" s="59">
        <f t="shared" si="233"/>
        <v>0</v>
      </c>
      <c r="IO61" s="58">
        <f t="shared" si="234"/>
        <v>0</v>
      </c>
      <c r="IP61" s="45">
        <f t="shared" si="235"/>
        <v>69</v>
      </c>
      <c r="IQ61" s="45">
        <f t="shared" si="569"/>
        <v>2.7789999999999999</v>
      </c>
      <c r="IR61" s="45">
        <f t="shared" si="236"/>
        <v>1</v>
      </c>
      <c r="IS61" s="45">
        <f t="shared" si="237"/>
        <v>2</v>
      </c>
      <c r="IT61" s="46">
        <f t="shared" si="238"/>
        <v>0</v>
      </c>
      <c r="IU61" s="46" cm="1">
        <f t="array" ref="IU61">ROUND(IFERROR(INDEX(ArchiveResults!$F$5:$IX$116,ComparisonData!A61,ComparisonData!$IU$1),0),5)</f>
        <v>0</v>
      </c>
      <c r="IV61" s="46" cm="1">
        <f t="array" ref="IV61">ROUND(IFERROR(INDEX(ArchiveResults!$F$5:$IX$116,ComparisonData!A61,ComparisonData!$IV$1),0),5)</f>
        <v>0</v>
      </c>
      <c r="IW61" s="46" cm="1">
        <f t="array" ref="IW61">ROUND(IFERROR(INDEX(ArchiveResults!$F$5:$IX$116,ComparisonData!A61,ComparisonData!$IW$1),0),5)</f>
        <v>0</v>
      </c>
      <c r="IX61" s="46" cm="1">
        <f t="array" ref="IX61">ROUND(IFERROR(INDEX(ArchiveResults!$F$5:$IX$116,ComparisonData!A61,ComparisonData!$IX$1),0),5)</f>
        <v>0</v>
      </c>
      <c r="IY61" s="45" cm="1">
        <f t="array" ref="IY61">IFERROR(INDEX(ArchiveResults!$F$5:$IX$116,ComparisonData!A61,ComparisonData!$IY$1),0)</f>
        <v>0</v>
      </c>
      <c r="IZ61" s="56">
        <v>56</v>
      </c>
      <c r="JA61" s="53" t="str">
        <f t="shared" si="570"/>
        <v>National Museum of the Royal Navy</v>
      </c>
      <c r="JB61" s="59">
        <f t="shared" si="239"/>
        <v>0</v>
      </c>
      <c r="JC61" s="59">
        <f t="shared" si="240"/>
        <v>0</v>
      </c>
      <c r="JD61" s="59">
        <f t="shared" si="241"/>
        <v>0</v>
      </c>
      <c r="JE61" s="59">
        <f t="shared" si="242"/>
        <v>0</v>
      </c>
      <c r="JF61" s="59">
        <f t="shared" si="243"/>
        <v>0</v>
      </c>
      <c r="JG61" s="58">
        <f t="shared" si="244"/>
        <v>0</v>
      </c>
      <c r="JH61" s="45">
        <f t="shared" si="245"/>
        <v>69</v>
      </c>
      <c r="JI61" s="45">
        <f t="shared" si="571"/>
        <v>2.7789999999999999</v>
      </c>
      <c r="JJ61" s="45">
        <f t="shared" si="246"/>
        <v>1</v>
      </c>
      <c r="JK61" s="45">
        <f t="shared" si="247"/>
        <v>2</v>
      </c>
      <c r="JL61" s="45">
        <f t="shared" si="248"/>
        <v>0</v>
      </c>
      <c r="JM61" s="46" cm="1">
        <f t="array" ref="JM61">ROUND(IFERROR(INDEX(ArchiveResults!$F$5:$IX$116,ComparisonData!A61,ComparisonData!$JM$1),0),5)</f>
        <v>0</v>
      </c>
      <c r="JN61" s="46" cm="1">
        <f t="array" ref="JN61">ROUND(IFERROR(INDEX(ArchiveResults!$F$5:$IX$116,ComparisonData!A61,ComparisonData!$JN$1),0),5)</f>
        <v>0</v>
      </c>
      <c r="JO61" s="46" cm="1">
        <f t="array" ref="JO61">ROUND(IFERROR(INDEX(ArchiveResults!$F$5:$IX$116,ComparisonData!A61,ComparisonData!$JO$1),0),5)</f>
        <v>0</v>
      </c>
      <c r="JP61" s="46" cm="1">
        <f t="array" ref="JP61">ROUND(IFERROR(INDEX(ArchiveResults!$F$5:$IX$116,ComparisonData!A61,ComparisonData!$JP$1),0),5)</f>
        <v>0</v>
      </c>
      <c r="JQ61" s="45" cm="1">
        <f t="array" ref="JQ61">IFERROR(INDEX(ArchiveResults!$F$5:$IX$116,ComparisonData!A61,ComparisonData!$JQ$1),0)</f>
        <v>0</v>
      </c>
      <c r="JR61" s="56">
        <v>56</v>
      </c>
      <c r="JS61" s="53" t="str">
        <f t="shared" si="572"/>
        <v>National Museum of the Royal Navy</v>
      </c>
      <c r="JT61" s="59">
        <f t="shared" si="249"/>
        <v>0</v>
      </c>
      <c r="JU61" s="59">
        <f t="shared" si="250"/>
        <v>0</v>
      </c>
      <c r="JV61" s="59">
        <f t="shared" si="251"/>
        <v>0</v>
      </c>
      <c r="JW61" s="59">
        <f t="shared" si="252"/>
        <v>0</v>
      </c>
      <c r="JX61" s="59">
        <f t="shared" si="253"/>
        <v>0</v>
      </c>
      <c r="JY61" s="58">
        <f t="shared" si="254"/>
        <v>0</v>
      </c>
      <c r="JZ61" s="45">
        <f t="shared" si="255"/>
        <v>69</v>
      </c>
      <c r="KA61" s="45">
        <f t="shared" si="573"/>
        <v>2.7789999999999999</v>
      </c>
      <c r="KB61" s="45">
        <f t="shared" si="256"/>
        <v>1</v>
      </c>
      <c r="KC61" s="45">
        <f t="shared" si="257"/>
        <v>2</v>
      </c>
      <c r="KD61" s="45">
        <f t="shared" si="258"/>
        <v>0</v>
      </c>
      <c r="KE61" s="46" cm="1">
        <f t="array" ref="KE61">ROUND(IFERROR(INDEX(ArchiveResults!$F$5:$IX$116,ComparisonData!A61,ComparisonData!$KE$1),0),5)</f>
        <v>0</v>
      </c>
      <c r="KF61" s="46" cm="1">
        <f t="array" ref="KF61">ROUND(IFERROR(INDEX(ArchiveResults!$F$5:$IX$116,ComparisonData!A61,ComparisonData!$KF$1),0),5)</f>
        <v>0</v>
      </c>
      <c r="KG61" s="46" cm="1">
        <f t="array" ref="KG61">ROUND(IFERROR(INDEX(ArchiveResults!$F$5:$IX$116,ComparisonData!A61,ComparisonData!$KG$1),0),5)</f>
        <v>0</v>
      </c>
      <c r="KH61" s="46" cm="1">
        <f t="array" ref="KH61">ROUND(IFERROR(INDEX(ArchiveResults!$F$5:$IX$116,ComparisonData!A61,ComparisonData!$KH$1),0),5)</f>
        <v>0</v>
      </c>
      <c r="KI61" s="45" cm="1">
        <f t="array" ref="KI61">IFERROR(INDEX(ArchiveResults!$F$5:$IX$116,ComparisonData!A61,ComparisonData!$KI$1),0)</f>
        <v>0</v>
      </c>
      <c r="KJ61" s="56">
        <v>56</v>
      </c>
      <c r="KK61" s="53" t="str">
        <f t="shared" si="574"/>
        <v>National Museum of the Royal Navy</v>
      </c>
      <c r="KL61" s="59">
        <f t="shared" si="259"/>
        <v>0</v>
      </c>
      <c r="KM61" s="59">
        <f t="shared" si="260"/>
        <v>0</v>
      </c>
      <c r="KN61" s="59">
        <f t="shared" si="261"/>
        <v>0</v>
      </c>
      <c r="KO61" s="59">
        <f t="shared" si="262"/>
        <v>0</v>
      </c>
      <c r="KP61" s="59">
        <f t="shared" si="263"/>
        <v>0</v>
      </c>
      <c r="KQ61" s="58">
        <f t="shared" si="264"/>
        <v>0</v>
      </c>
      <c r="KR61" s="45">
        <f t="shared" si="265"/>
        <v>69</v>
      </c>
      <c r="KS61" s="45">
        <f t="shared" si="575"/>
        <v>2.7789999999999999</v>
      </c>
      <c r="KT61" s="45">
        <f t="shared" si="266"/>
        <v>1</v>
      </c>
      <c r="KU61" s="45">
        <f t="shared" si="267"/>
        <v>2</v>
      </c>
      <c r="KV61" s="45">
        <f t="shared" si="268"/>
        <v>0</v>
      </c>
      <c r="KW61" s="46" cm="1">
        <f t="array" ref="KW61">ROUND(IFERROR(INDEX(ArchiveResults!$F$5:$IX$116,ComparisonData!A61,ComparisonData!$KW$1),0),5)</f>
        <v>0</v>
      </c>
      <c r="KX61" s="46" cm="1">
        <f t="array" ref="KX61">ROUND(IFERROR(INDEX(ArchiveResults!$F$5:$IX$116,ComparisonData!A61,ComparisonData!$KX$1),0),5)</f>
        <v>0</v>
      </c>
      <c r="KY61" s="46" cm="1">
        <f t="array" ref="KY61">ROUND(IFERROR(INDEX(ArchiveResults!$F$5:$IX$116,ComparisonData!A61,ComparisonData!$KY$1),0),5)</f>
        <v>0</v>
      </c>
      <c r="KZ61" s="46" cm="1">
        <f t="array" ref="KZ61">ROUND(IFERROR(INDEX(ArchiveResults!$F$5:$IX$116,ComparisonData!A61,ComparisonData!$KZ$1),0),5)</f>
        <v>0</v>
      </c>
      <c r="LA61" s="45" cm="1">
        <f t="array" ref="LA61">IFERROR(INDEX(ArchiveResults!$F$5:$IX$116,ComparisonData!A61,ComparisonData!$LA$1),0)</f>
        <v>0</v>
      </c>
      <c r="LB61" s="56">
        <v>56</v>
      </c>
      <c r="LC61" s="53" t="str">
        <f t="shared" si="576"/>
        <v>National Museum of the Royal Navy</v>
      </c>
      <c r="LD61" s="59">
        <f t="shared" si="269"/>
        <v>0</v>
      </c>
      <c r="LE61" s="59">
        <f t="shared" si="270"/>
        <v>0</v>
      </c>
      <c r="LF61" s="59">
        <f t="shared" si="271"/>
        <v>0</v>
      </c>
      <c r="LG61" s="59">
        <f t="shared" si="272"/>
        <v>0</v>
      </c>
      <c r="LH61" s="59">
        <f t="shared" si="273"/>
        <v>0</v>
      </c>
      <c r="LI61" s="58">
        <f t="shared" si="274"/>
        <v>0</v>
      </c>
      <c r="LJ61" s="45">
        <f t="shared" si="275"/>
        <v>69</v>
      </c>
      <c r="LK61" s="45">
        <f t="shared" si="577"/>
        <v>2.7789999999999999</v>
      </c>
      <c r="LL61" s="45">
        <f t="shared" si="276"/>
        <v>1</v>
      </c>
      <c r="LM61" s="45">
        <f t="shared" si="277"/>
        <v>2</v>
      </c>
      <c r="LN61" s="45">
        <f t="shared" si="278"/>
        <v>0</v>
      </c>
      <c r="LO61" s="46" cm="1">
        <f t="array" ref="LO61">ROUND(IFERROR(INDEX(ArchiveResults!$F$5:$IX$116,ComparisonData!A61,ComparisonData!$LO$1),0),5)</f>
        <v>0</v>
      </c>
      <c r="LP61" s="46" cm="1">
        <f t="array" ref="LP61">ROUND(IFERROR(INDEX(ArchiveResults!$F$5:$IX$116,ComparisonData!A61,ComparisonData!$LP$1),0),5)</f>
        <v>0</v>
      </c>
      <c r="LQ61" s="46" cm="1">
        <f t="array" ref="LQ61">ROUND(IFERROR(INDEX(ArchiveResults!$F$5:$IX$116,ComparisonData!A61,ComparisonData!$LQ$1),0),5)</f>
        <v>0</v>
      </c>
      <c r="LR61" s="46" cm="1">
        <f t="array" ref="LR61">ROUND(IFERROR(INDEX(ArchiveResults!$F$5:$IX$116,ComparisonData!A61,ComparisonData!$LR$1),0),5)</f>
        <v>0</v>
      </c>
      <c r="LS61" s="45" cm="1">
        <f t="array" ref="LS61">IFERROR(INDEX(ArchiveResults!$F$5:$IX$116,ComparisonData!A61,ComparisonData!$LS$1),0)</f>
        <v>0</v>
      </c>
      <c r="LT61" s="56">
        <v>56</v>
      </c>
      <c r="LU61" s="53" t="str">
        <f t="shared" si="578"/>
        <v>National Museum of the Royal Navy</v>
      </c>
      <c r="LV61" s="59">
        <f t="shared" si="279"/>
        <v>0</v>
      </c>
      <c r="LW61" s="59">
        <f t="shared" si="280"/>
        <v>0</v>
      </c>
      <c r="LX61" s="59">
        <f t="shared" si="281"/>
        <v>0</v>
      </c>
      <c r="LY61" s="59">
        <f t="shared" si="282"/>
        <v>0</v>
      </c>
      <c r="LZ61" s="59">
        <f t="shared" si="283"/>
        <v>0</v>
      </c>
      <c r="MA61" s="58">
        <f t="shared" si="284"/>
        <v>0</v>
      </c>
      <c r="MB61" s="45">
        <f t="shared" si="285"/>
        <v>69</v>
      </c>
      <c r="MC61" s="45">
        <f t="shared" si="579"/>
        <v>2.7789999999999999</v>
      </c>
      <c r="MD61" s="45">
        <f t="shared" si="286"/>
        <v>1</v>
      </c>
      <c r="ME61" s="45">
        <f t="shared" si="287"/>
        <v>2</v>
      </c>
      <c r="MF61" s="45">
        <f t="shared" si="288"/>
        <v>0</v>
      </c>
      <c r="MG61" s="46" cm="1">
        <f t="array" ref="MG61">ROUND(IFERROR(INDEX(ArchiveResults!$F$5:$IX$116,ComparisonData!A61,ComparisonData!$MG$1),0),5)</f>
        <v>0</v>
      </c>
      <c r="MH61" s="46" cm="1">
        <f t="array" ref="MH61">ROUND(IFERROR(INDEX(ArchiveResults!$F$5:$IX$116,ComparisonData!A61,ComparisonData!$MH$1),0),5)</f>
        <v>0</v>
      </c>
      <c r="MI61" s="46" cm="1">
        <f t="array" ref="MI61">ROUND(IFERROR(INDEX(ArchiveResults!$F$5:$IX$116,ComparisonData!A61,ComparisonData!$MI$1),0),5)</f>
        <v>0</v>
      </c>
      <c r="MJ61" s="46" cm="1">
        <f t="array" ref="MJ61">ROUND(IFERROR(INDEX(ArchiveResults!$F$5:$IX$116,ComparisonData!A61,ComparisonData!$MJ$1),0),5)</f>
        <v>0</v>
      </c>
      <c r="MK61" s="45" cm="1">
        <f t="array" ref="MK61">IFERROR(INDEX(ArchiveResults!$F$5:$IX$116,ComparisonData!A61,ComparisonData!$MK$1),0)</f>
        <v>0</v>
      </c>
      <c r="ML61" s="56">
        <v>56</v>
      </c>
      <c r="MM61" s="53" t="str">
        <f t="shared" si="580"/>
        <v>National Museum of the Royal Navy</v>
      </c>
      <c r="MN61" s="59">
        <f t="shared" si="289"/>
        <v>0</v>
      </c>
      <c r="MO61" s="59">
        <f t="shared" si="290"/>
        <v>0</v>
      </c>
      <c r="MP61" s="59">
        <f t="shared" si="291"/>
        <v>0</v>
      </c>
      <c r="MQ61" s="59">
        <f t="shared" si="292"/>
        <v>0</v>
      </c>
      <c r="MR61" s="59">
        <f t="shared" si="293"/>
        <v>0</v>
      </c>
      <c r="MS61" s="58">
        <f t="shared" si="294"/>
        <v>0</v>
      </c>
      <c r="MT61" s="45">
        <f t="shared" si="295"/>
        <v>69</v>
      </c>
      <c r="MU61" s="45">
        <f t="shared" si="581"/>
        <v>2.7789999999999999</v>
      </c>
      <c r="MV61" s="45">
        <f t="shared" si="296"/>
        <v>1</v>
      </c>
      <c r="MW61" s="45">
        <f t="shared" si="297"/>
        <v>2</v>
      </c>
      <c r="MX61" s="45">
        <f t="shared" si="298"/>
        <v>0</v>
      </c>
      <c r="MY61" s="46" cm="1">
        <f t="array" ref="MY61">ROUND(IFERROR(INDEX(ArchiveResults!$F$5:$IX$116,ComparisonData!A61,ComparisonData!$MY$1),0),5)</f>
        <v>0</v>
      </c>
      <c r="MZ61" s="46" cm="1">
        <f t="array" ref="MZ61">ROUND(IFERROR(INDEX(ArchiveResults!$F$5:$IX$116,ComparisonData!A61,ComparisonData!$MZ$1),0),5)</f>
        <v>0</v>
      </c>
      <c r="NA61" s="46" cm="1">
        <f t="array" ref="NA61">ROUND(IFERROR(INDEX(ArchiveResults!$F$5:$IX$116,ComparisonData!A61,ComparisonData!$NA$1),0),5)</f>
        <v>0</v>
      </c>
      <c r="NB61" s="46" cm="1">
        <f t="array" ref="NB61">ROUND(IFERROR(INDEX(ArchiveResults!$F$5:$IX$116,ComparisonData!A61,ComparisonData!$NB$1),0),5)</f>
        <v>0</v>
      </c>
      <c r="NC61" s="45" cm="1">
        <f t="array" ref="NC61">IFERROR(INDEX(ArchiveResults!$F$5:$IX$116,ComparisonData!A61,ComparisonData!$NC$1),0)</f>
        <v>0</v>
      </c>
      <c r="ND61" s="56">
        <v>56</v>
      </c>
      <c r="NE61" s="53" t="str">
        <f t="shared" si="582"/>
        <v>National Museum of the Royal Navy</v>
      </c>
      <c r="NF61" s="59">
        <f t="shared" si="299"/>
        <v>0</v>
      </c>
      <c r="NG61" s="59">
        <f t="shared" si="300"/>
        <v>0</v>
      </c>
      <c r="NH61" s="59">
        <f t="shared" si="301"/>
        <v>0</v>
      </c>
      <c r="NI61" s="59">
        <f t="shared" si="302"/>
        <v>0</v>
      </c>
      <c r="NJ61" s="59">
        <f t="shared" si="303"/>
        <v>0</v>
      </c>
      <c r="NK61" s="58">
        <f t="shared" si="304"/>
        <v>0</v>
      </c>
      <c r="NL61" s="45">
        <f t="shared" si="305"/>
        <v>69</v>
      </c>
      <c r="NM61" s="45">
        <f t="shared" si="583"/>
        <v>2.7789999999999999</v>
      </c>
      <c r="NN61" s="45">
        <f t="shared" si="306"/>
        <v>1</v>
      </c>
      <c r="NO61" s="45">
        <f t="shared" si="307"/>
        <v>2</v>
      </c>
      <c r="NP61" s="46" cm="1">
        <f t="array" ref="NP61">ROUND(IFERROR(INDEX(ArchiveResults!$F$5:$IX$116,ComparisonData!A61,ComparisonData!$NP$1),0),5)</f>
        <v>0</v>
      </c>
      <c r="NQ61" s="46" cm="1">
        <f t="array" ref="NQ61">ROUND(IFERROR(INDEX(ArchiveResults!$F$5:$IX$116,ComparisonData!A61,ComparisonData!$NQ$1),0),5)</f>
        <v>0</v>
      </c>
      <c r="NR61" s="46" cm="1">
        <f t="array" ref="NR61">ROUND(IFERROR(INDEX(ArchiveResults!$F$5:$IX$116,ComparisonData!A61,ComparisonData!$NR$1),0),5)</f>
        <v>0</v>
      </c>
      <c r="NS61" s="46" cm="1">
        <f t="array" ref="NS61">ROUND(IFERROR(INDEX(ArchiveResults!$F$5:$IX$116,ComparisonData!A61,ComparisonData!$NS$1),0),5)</f>
        <v>0</v>
      </c>
      <c r="NT61" s="45" cm="1">
        <f t="array" ref="NT61">IFERROR(INDEX(ArchiveResults!$F$5:$IX$116,ComparisonData!A61,ComparisonData!$NT$1),0)</f>
        <v>0</v>
      </c>
      <c r="NU61" s="56">
        <v>56</v>
      </c>
      <c r="NV61" s="53" t="str">
        <f t="shared" si="584"/>
        <v>National Museum of the Royal Navy</v>
      </c>
      <c r="NW61" s="59">
        <f t="shared" si="308"/>
        <v>0</v>
      </c>
      <c r="NX61" s="59">
        <f t="shared" si="309"/>
        <v>0</v>
      </c>
      <c r="NY61" s="59">
        <f t="shared" si="310"/>
        <v>0</v>
      </c>
      <c r="NZ61" s="59">
        <f t="shared" si="311"/>
        <v>0</v>
      </c>
      <c r="OA61" s="59">
        <f t="shared" si="312"/>
        <v>0</v>
      </c>
      <c r="OB61" s="58">
        <f t="shared" si="313"/>
        <v>0</v>
      </c>
      <c r="OC61" s="45">
        <f t="shared" si="314"/>
        <v>69</v>
      </c>
      <c r="OD61" s="45">
        <f t="shared" si="585"/>
        <v>2.7789999999999999</v>
      </c>
      <c r="OE61" s="45">
        <f t="shared" si="315"/>
        <v>1</v>
      </c>
      <c r="OF61" s="45">
        <f t="shared" si="316"/>
        <v>2</v>
      </c>
      <c r="OG61" s="46">
        <f t="shared" si="317"/>
        <v>0</v>
      </c>
      <c r="OH61" s="46" cm="1">
        <f t="array" ref="OH61">ROUND(IFERROR(INDEX(ArchiveResults!$F$5:$IX$116,ComparisonData!A61,ComparisonData!$OH$1),0),5)</f>
        <v>0</v>
      </c>
      <c r="OI61" s="46" cm="1">
        <f t="array" ref="OI61">ROUND(IFERROR(INDEX(ArchiveResults!$F$5:$IX$116,ComparisonData!A61,ComparisonData!$OI$1),0),5)</f>
        <v>0</v>
      </c>
      <c r="OJ61" s="46" cm="1">
        <f t="array" ref="OJ61">ROUND(IFERROR(INDEX(ArchiveResults!$F$5:$IX$116,ComparisonData!A61,ComparisonData!$OJ$1),0),5)</f>
        <v>0</v>
      </c>
      <c r="OK61" s="46" cm="1">
        <f t="array" ref="OK61">ROUND(IFERROR(INDEX(ArchiveResults!$F$5:$IX$116,ComparisonData!A61,ComparisonData!$OK$1),0),5)</f>
        <v>0</v>
      </c>
      <c r="OL61" s="45" cm="1">
        <f t="array" ref="OL61">IFERROR(INDEX(ArchiveResults!$F$5:$IX$116,ComparisonData!A61,ComparisonData!$OL$1),0)</f>
        <v>0</v>
      </c>
      <c r="OM61" s="56">
        <v>56</v>
      </c>
      <c r="ON61" s="53" t="str">
        <f t="shared" si="586"/>
        <v>National Museum of the Royal Navy</v>
      </c>
      <c r="OO61" s="59">
        <f t="shared" si="318"/>
        <v>0</v>
      </c>
      <c r="OP61" s="59">
        <f t="shared" si="319"/>
        <v>0</v>
      </c>
      <c r="OQ61" s="59">
        <f t="shared" si="320"/>
        <v>0</v>
      </c>
      <c r="OR61" s="59">
        <f t="shared" si="321"/>
        <v>0</v>
      </c>
      <c r="OS61" s="59">
        <f t="shared" si="322"/>
        <v>0</v>
      </c>
      <c r="OT61" s="58">
        <f t="shared" si="323"/>
        <v>0</v>
      </c>
      <c r="OU61" s="45">
        <f t="shared" si="324"/>
        <v>69</v>
      </c>
      <c r="OV61" s="45">
        <f t="shared" si="587"/>
        <v>2.7789999999999999</v>
      </c>
      <c r="OW61" s="45">
        <f t="shared" si="325"/>
        <v>1</v>
      </c>
      <c r="OX61" s="45">
        <f t="shared" si="326"/>
        <v>2</v>
      </c>
      <c r="OY61" s="45">
        <f t="shared" si="327"/>
        <v>0</v>
      </c>
      <c r="OZ61" s="46" cm="1">
        <f t="array" ref="OZ61">ROUND(IFERROR(INDEX(ArchiveResults!$F$5:$IX$116,ComparisonData!A61,ComparisonData!$OZ$1),0),5)</f>
        <v>0</v>
      </c>
      <c r="PA61" s="46" cm="1">
        <f t="array" ref="PA61">ROUND(IFERROR(INDEX(ArchiveResults!$F$5:$IX$116,ComparisonData!A61,ComparisonData!$PA$1),0),5)</f>
        <v>0</v>
      </c>
      <c r="PB61" s="46" cm="1">
        <f t="array" ref="PB61">ROUND(IFERROR(INDEX(ArchiveResults!$F$5:$IX$116,ComparisonData!A61,ComparisonData!$PB$1),0),5)</f>
        <v>0</v>
      </c>
      <c r="PC61" s="46" cm="1">
        <f t="array" ref="PC61">ROUND(IFERROR(INDEX(ArchiveResults!$F$5:$IX$116,ComparisonData!A61,ComparisonData!$PC$1),0),5)</f>
        <v>0</v>
      </c>
      <c r="PD61" s="45" cm="1">
        <f t="array" ref="PD61">IFERROR(INDEX(ArchiveResults!$F$5:$IX$116,ComparisonData!A61,ComparisonData!$PD$1),0)</f>
        <v>0</v>
      </c>
      <c r="PE61" s="56">
        <v>56</v>
      </c>
      <c r="PF61" s="53" t="str">
        <f t="shared" si="588"/>
        <v>National Museum of the Royal Navy</v>
      </c>
      <c r="PG61" s="59">
        <f t="shared" si="328"/>
        <v>0</v>
      </c>
      <c r="PH61" s="59">
        <f t="shared" si="329"/>
        <v>0</v>
      </c>
      <c r="PI61" s="59">
        <f t="shared" si="330"/>
        <v>0</v>
      </c>
      <c r="PJ61" s="59">
        <f t="shared" si="331"/>
        <v>0</v>
      </c>
      <c r="PK61" s="59">
        <f t="shared" si="332"/>
        <v>0</v>
      </c>
      <c r="PL61" s="58">
        <f t="shared" si="333"/>
        <v>0</v>
      </c>
      <c r="PM61" s="45">
        <f t="shared" si="334"/>
        <v>69</v>
      </c>
      <c r="PN61" s="45">
        <f t="shared" si="589"/>
        <v>2.7789999999999999</v>
      </c>
      <c r="PO61" s="45">
        <f t="shared" si="335"/>
        <v>1</v>
      </c>
      <c r="PP61" s="45">
        <f t="shared" si="336"/>
        <v>2</v>
      </c>
      <c r="PQ61" s="45">
        <f t="shared" si="337"/>
        <v>0</v>
      </c>
      <c r="PR61" s="46" cm="1">
        <f t="array" ref="PR61">ROUND(IFERROR(INDEX(ArchiveResults!$F$5:$IX$116,ComparisonData!A61,ComparisonData!$PR$1),0),5)</f>
        <v>0</v>
      </c>
      <c r="PS61" s="46" cm="1">
        <f t="array" ref="PS61">ROUND(IFERROR(INDEX(ArchiveResults!$F$5:$IX$116,ComparisonData!A61,ComparisonData!$PS$1),0),5)</f>
        <v>0</v>
      </c>
      <c r="PT61" s="46" cm="1">
        <f t="array" ref="PT61">ROUND(IFERROR(INDEX(ArchiveResults!$F$5:$IX$116,ComparisonData!A61,ComparisonData!$PT$1),0),5)</f>
        <v>0</v>
      </c>
      <c r="PU61" s="46" cm="1">
        <f t="array" ref="PU61">ROUND(IFERROR(INDEX(ArchiveResults!$F$5:$IX$116,ComparisonData!A61,ComparisonData!$PU$1),0),5)</f>
        <v>0</v>
      </c>
      <c r="PV61" s="45" cm="1">
        <f t="array" ref="PV61">IFERROR(INDEX(ArchiveResults!$F$5:$IX$116,ComparisonData!A61,ComparisonData!$PV$1),0)</f>
        <v>0</v>
      </c>
      <c r="PW61" s="56">
        <v>56</v>
      </c>
      <c r="PX61" s="53" t="str">
        <f t="shared" si="590"/>
        <v>National Museum of the Royal Navy</v>
      </c>
      <c r="PY61" s="59">
        <f t="shared" si="338"/>
        <v>0</v>
      </c>
      <c r="PZ61" s="59">
        <f t="shared" si="339"/>
        <v>0</v>
      </c>
      <c r="QA61" s="59">
        <f t="shared" si="340"/>
        <v>0</v>
      </c>
      <c r="QB61" s="59">
        <f t="shared" si="341"/>
        <v>0</v>
      </c>
      <c r="QC61" s="59">
        <f t="shared" si="342"/>
        <v>0</v>
      </c>
      <c r="QD61" s="58">
        <f t="shared" si="343"/>
        <v>0</v>
      </c>
      <c r="QE61" s="45">
        <f t="shared" si="344"/>
        <v>69</v>
      </c>
      <c r="QF61" s="45">
        <f t="shared" si="591"/>
        <v>2.7789999999999999</v>
      </c>
      <c r="QG61" s="45">
        <f t="shared" si="345"/>
        <v>1</v>
      </c>
      <c r="QH61" s="45">
        <f t="shared" si="346"/>
        <v>2</v>
      </c>
      <c r="QI61" s="45">
        <f t="shared" si="347"/>
        <v>0</v>
      </c>
      <c r="QJ61" s="46" cm="1">
        <f t="array" ref="QJ61">ROUND(IFERROR(INDEX(ArchiveResults!$F$5:$IX$116,ComparisonData!A61,ComparisonData!$QJ$1),0),5)</f>
        <v>0</v>
      </c>
      <c r="QK61" s="46" cm="1">
        <f t="array" ref="QK61">ROUND(IFERROR(INDEX(ArchiveResults!$F$5:$IX$116,ComparisonData!A61,ComparisonData!$QK$1),0),5)</f>
        <v>0</v>
      </c>
      <c r="QL61" s="46" cm="1">
        <f t="array" ref="QL61">ROUND(IFERROR(INDEX(ArchiveResults!$F$5:$IX$116,ComparisonData!A61,ComparisonData!$QL$1),0),5)</f>
        <v>0</v>
      </c>
      <c r="QM61" s="46" cm="1">
        <f t="array" ref="QM61">ROUND(IFERROR(INDEX(ArchiveResults!$F$5:$IX$116,ComparisonData!A61,ComparisonData!$QM$1),0),5)</f>
        <v>0</v>
      </c>
      <c r="QN61" s="45" cm="1">
        <f t="array" ref="QN61">IFERROR(INDEX(ArchiveResults!$F$5:$IX$116,ComparisonData!A61,ComparisonData!$QN$1),0)</f>
        <v>0</v>
      </c>
      <c r="QO61" s="56">
        <v>56</v>
      </c>
      <c r="QP61" s="53" t="str">
        <f t="shared" si="592"/>
        <v>National Museum of the Royal Navy</v>
      </c>
      <c r="QQ61" s="59">
        <f t="shared" si="348"/>
        <v>0</v>
      </c>
      <c r="QR61" s="59">
        <f t="shared" si="349"/>
        <v>0</v>
      </c>
      <c r="QS61" s="59">
        <f t="shared" si="350"/>
        <v>0</v>
      </c>
      <c r="QT61" s="59">
        <f t="shared" si="351"/>
        <v>0</v>
      </c>
      <c r="QU61" s="59">
        <f t="shared" si="352"/>
        <v>0</v>
      </c>
      <c r="QV61" s="58">
        <f t="shared" si="353"/>
        <v>0</v>
      </c>
      <c r="QW61" s="45">
        <f t="shared" si="354"/>
        <v>69</v>
      </c>
      <c r="QX61" s="45">
        <f t="shared" si="593"/>
        <v>2.7789999999999999</v>
      </c>
      <c r="QY61" s="45">
        <f t="shared" si="355"/>
        <v>1</v>
      </c>
      <c r="QZ61" s="45">
        <f t="shared" si="356"/>
        <v>2</v>
      </c>
      <c r="RA61" s="45">
        <f t="shared" si="357"/>
        <v>0</v>
      </c>
      <c r="RB61" s="46" cm="1">
        <f t="array" ref="RB61">ROUND(IFERROR(INDEX(ArchiveResults!$F$5:$IX$116,ComparisonData!A61,ComparisonData!$RB$1),0),5)</f>
        <v>0</v>
      </c>
      <c r="RC61" s="46" cm="1">
        <f t="array" ref="RC61">ROUND(IFERROR(INDEX(ArchiveResults!$F$5:$IX$116,ComparisonData!A61,ComparisonData!$RC$1),0),5)</f>
        <v>0</v>
      </c>
      <c r="RD61" s="46" cm="1">
        <f t="array" ref="RD61">ROUND(IFERROR(INDEX(ArchiveResults!$F$5:$IX$116,ComparisonData!A61,ComparisonData!$RD$1),0),5)</f>
        <v>0</v>
      </c>
      <c r="RE61" s="46" cm="1">
        <f t="array" ref="RE61">ROUND(IFERROR(INDEX(ArchiveResults!$F$5:$IX$116,ComparisonData!A61,ComparisonData!$RE$1),0),5)</f>
        <v>0</v>
      </c>
      <c r="RF61" s="45" cm="1">
        <f t="array" ref="RF61">IFERROR(INDEX(ArchiveResults!$F$5:$IX$116,ComparisonData!A61,ComparisonData!$RF$1),0)</f>
        <v>0</v>
      </c>
      <c r="RG61" s="56">
        <v>56</v>
      </c>
      <c r="RH61" s="53" t="str">
        <f t="shared" si="594"/>
        <v>National Museum of the Royal Navy</v>
      </c>
      <c r="RI61" s="59">
        <f t="shared" si="358"/>
        <v>0</v>
      </c>
      <c r="RJ61" s="59">
        <f t="shared" si="359"/>
        <v>0</v>
      </c>
      <c r="RK61" s="59">
        <f t="shared" si="360"/>
        <v>0</v>
      </c>
      <c r="RL61" s="59">
        <f t="shared" si="361"/>
        <v>0</v>
      </c>
      <c r="RM61" s="59">
        <f t="shared" si="362"/>
        <v>0</v>
      </c>
      <c r="RN61" s="58">
        <f t="shared" si="363"/>
        <v>0</v>
      </c>
      <c r="RO61" s="45">
        <f t="shared" si="364"/>
        <v>69</v>
      </c>
      <c r="RP61" s="45">
        <f t="shared" si="595"/>
        <v>2.7789999999999999</v>
      </c>
      <c r="RQ61" s="45">
        <f t="shared" si="365"/>
        <v>1</v>
      </c>
      <c r="RR61" s="45">
        <f t="shared" si="366"/>
        <v>2</v>
      </c>
      <c r="RS61" s="45">
        <f t="shared" si="367"/>
        <v>0</v>
      </c>
      <c r="RT61" s="46" cm="1">
        <f t="array" ref="RT61">ROUND(IFERROR(INDEX(ArchiveResults!$F$5:$IX$116,ComparisonData!A61,ComparisonData!$RT$1),0),5)</f>
        <v>0</v>
      </c>
      <c r="RU61" s="46" cm="1">
        <f t="array" ref="RU61">ROUND(IFERROR(INDEX(ArchiveResults!$F$5:$IX$116,ComparisonData!A61,ComparisonData!$RU$1),0),5)</f>
        <v>0</v>
      </c>
      <c r="RV61" s="46" cm="1">
        <f t="array" ref="RV61">ROUND(IFERROR(INDEX(ArchiveResults!$F$5:$IX$116,ComparisonData!A61,ComparisonData!$RV$1),0),5)</f>
        <v>0</v>
      </c>
      <c r="RW61" s="46" cm="1">
        <f t="array" ref="RW61">ROUND(IFERROR(INDEX(ArchiveResults!$F$5:$IX$116,ComparisonData!A61,ComparisonData!$RW$1),0),5)</f>
        <v>0</v>
      </c>
      <c r="RX61" s="45" cm="1">
        <f t="array" ref="RX61">IFERROR(INDEX(ArchiveResults!$F$5:$IX$116,ComparisonData!A61,ComparisonData!$RX$1),0)</f>
        <v>0</v>
      </c>
      <c r="RY61" s="56">
        <v>56</v>
      </c>
      <c r="RZ61" s="53" t="str">
        <f t="shared" si="596"/>
        <v>National Museum of the Royal Navy</v>
      </c>
      <c r="SA61" s="59">
        <f t="shared" si="368"/>
        <v>0</v>
      </c>
      <c r="SB61" s="59">
        <f t="shared" si="369"/>
        <v>0</v>
      </c>
      <c r="SC61" s="59">
        <f t="shared" si="370"/>
        <v>0</v>
      </c>
      <c r="SD61" s="59">
        <f t="shared" si="371"/>
        <v>0</v>
      </c>
      <c r="SE61" s="59">
        <f t="shared" si="372"/>
        <v>0</v>
      </c>
      <c r="SF61" s="58">
        <f t="shared" si="373"/>
        <v>0</v>
      </c>
      <c r="SG61" s="45">
        <f t="shared" si="374"/>
        <v>69</v>
      </c>
      <c r="SH61" s="45">
        <f t="shared" si="597"/>
        <v>2.7789999999999999</v>
      </c>
      <c r="SI61" s="45">
        <f t="shared" si="375"/>
        <v>1</v>
      </c>
      <c r="SJ61" s="45">
        <f t="shared" si="376"/>
        <v>2</v>
      </c>
      <c r="SK61" s="45">
        <f t="shared" si="377"/>
        <v>0</v>
      </c>
      <c r="SL61" s="46" cm="1">
        <f t="array" ref="SL61">ROUND(IFERROR(INDEX(ArchiveResults!$F$5:$IX$116,ComparisonData!A61,ComparisonData!$SL$1),0),5)</f>
        <v>0</v>
      </c>
      <c r="SM61" s="46" cm="1">
        <f t="array" ref="SM61">ROUND(IFERROR(INDEX(ArchiveResults!$F$5:$IX$116,ComparisonData!A61,ComparisonData!$SM$1),0),5)</f>
        <v>0</v>
      </c>
      <c r="SN61" s="46" cm="1">
        <f t="array" ref="SN61">ROUND(IFERROR(INDEX(ArchiveResults!$F$5:$IX$116,ComparisonData!A61,ComparisonData!$SN$1),0),5)</f>
        <v>0</v>
      </c>
      <c r="SO61" s="46" cm="1">
        <f t="array" ref="SO61">ROUND(IFERROR(INDEX(ArchiveResults!$F$5:$IX$116,ComparisonData!A61,ComparisonData!$SO$1),0),5)</f>
        <v>0</v>
      </c>
      <c r="SP61" s="45" cm="1">
        <f t="array" ref="SP61">IFERROR(INDEX(ArchiveResults!$F$5:$IX$116,ComparisonData!A61,ComparisonData!$SP$1),0)</f>
        <v>0</v>
      </c>
      <c r="SQ61" s="56">
        <v>56</v>
      </c>
      <c r="SR61" s="53" t="str">
        <f t="shared" si="598"/>
        <v>National Museum of the Royal Navy</v>
      </c>
      <c r="SS61" s="59">
        <f t="shared" si="378"/>
        <v>0</v>
      </c>
      <c r="ST61" s="59">
        <f t="shared" si="379"/>
        <v>0</v>
      </c>
      <c r="SU61" s="59">
        <f t="shared" si="380"/>
        <v>0</v>
      </c>
      <c r="SV61" s="59">
        <f t="shared" si="381"/>
        <v>0</v>
      </c>
      <c r="SW61" s="59">
        <f t="shared" si="382"/>
        <v>0</v>
      </c>
      <c r="SX61" s="58">
        <f t="shared" si="383"/>
        <v>0</v>
      </c>
      <c r="SY61" s="45">
        <f t="shared" si="384"/>
        <v>69</v>
      </c>
      <c r="SZ61" s="45">
        <f t="shared" si="599"/>
        <v>2.7789999999999999</v>
      </c>
      <c r="TA61" s="45">
        <f t="shared" si="385"/>
        <v>1</v>
      </c>
      <c r="TB61" s="45">
        <f t="shared" si="386"/>
        <v>2</v>
      </c>
      <c r="TC61" s="45">
        <f t="shared" si="387"/>
        <v>0</v>
      </c>
      <c r="TD61" s="46" cm="1">
        <f t="array" ref="TD61">ROUND(IFERROR(INDEX(ArchiveResults!$F$5:$IX$116,ComparisonData!A61,ComparisonData!$TD$1),0),5)</f>
        <v>0</v>
      </c>
      <c r="TE61" s="46" cm="1">
        <f t="array" ref="TE61">ROUND(IFERROR(INDEX(ArchiveResults!$F$5:$IX$116,ComparisonData!A61,ComparisonData!$TE$1),0),5)</f>
        <v>0</v>
      </c>
      <c r="TF61" s="46" cm="1">
        <f t="array" ref="TF61">ROUND(IFERROR(INDEX(ArchiveResults!$F$5:$IX$116,ComparisonData!A61,ComparisonData!$TF$1),0),5)</f>
        <v>0</v>
      </c>
      <c r="TG61" s="46" cm="1">
        <f t="array" ref="TG61">ROUND(IFERROR(INDEX(ArchiveResults!$F$5:$IX$116,ComparisonData!A61,ComparisonData!$TG$1),0),5)</f>
        <v>0</v>
      </c>
      <c r="TH61" s="45" cm="1">
        <f t="array" ref="TH61">IFERROR(INDEX(ArchiveResults!$F$5:$IX$116,ComparisonData!A61,ComparisonData!$TH$1),0)</f>
        <v>0</v>
      </c>
      <c r="TI61" s="56">
        <v>56</v>
      </c>
      <c r="TJ61" s="53" t="str">
        <f t="shared" si="600"/>
        <v>National Museum of the Royal Navy</v>
      </c>
      <c r="TK61" s="59">
        <f t="shared" si="388"/>
        <v>0</v>
      </c>
      <c r="TL61" s="59">
        <f t="shared" si="389"/>
        <v>0</v>
      </c>
      <c r="TM61" s="59">
        <f t="shared" si="390"/>
        <v>0</v>
      </c>
      <c r="TN61" s="59">
        <f t="shared" si="391"/>
        <v>0</v>
      </c>
      <c r="TO61" s="59">
        <f t="shared" si="392"/>
        <v>0</v>
      </c>
      <c r="TP61" s="58">
        <f t="shared" si="393"/>
        <v>0</v>
      </c>
      <c r="TQ61" s="45">
        <f t="shared" si="394"/>
        <v>69</v>
      </c>
      <c r="TR61" s="45">
        <f t="shared" si="601"/>
        <v>2.7789999999999999</v>
      </c>
      <c r="TS61" s="45">
        <f t="shared" si="395"/>
        <v>1</v>
      </c>
      <c r="TT61" s="45">
        <f t="shared" si="396"/>
        <v>2</v>
      </c>
      <c r="TU61" s="45">
        <f t="shared" si="397"/>
        <v>0</v>
      </c>
      <c r="TV61" s="46" cm="1">
        <f t="array" ref="TV61">ROUND(IFERROR(INDEX(ArchiveResults!$F$5:$IX$116,ComparisonData!A61,ComparisonData!$TV$1),0),5)</f>
        <v>0</v>
      </c>
      <c r="TW61" s="46" cm="1">
        <f t="array" ref="TW61">ROUND(IFERROR(INDEX(ArchiveResults!$F$5:$IX$116,ComparisonData!A61,ComparisonData!$TW$1),0),5)</f>
        <v>0</v>
      </c>
      <c r="TX61" s="46" cm="1">
        <f t="array" ref="TX61">ROUND(IFERROR(INDEX(ArchiveResults!$F$5:$IX$116,ComparisonData!A61,ComparisonData!$TX$1),0),5)</f>
        <v>0</v>
      </c>
      <c r="TY61" s="46" cm="1">
        <f t="array" ref="TY61">ROUND(IFERROR(INDEX(ArchiveResults!$F$5:$IX$116,ComparisonData!A61,ComparisonData!$TY$1),0),5)</f>
        <v>0</v>
      </c>
      <c r="TZ61" s="45" cm="1">
        <f t="array" ref="TZ61">IFERROR(INDEX(ArchiveResults!$F$5:$IX$116,ComparisonData!A61,ComparisonData!$TZ$1),0)</f>
        <v>0</v>
      </c>
      <c r="UA61" s="56">
        <v>56</v>
      </c>
      <c r="UB61" s="53" t="str">
        <f t="shared" si="602"/>
        <v>National Museum of the Royal Navy</v>
      </c>
      <c r="UC61" s="60">
        <f t="shared" si="398"/>
        <v>0</v>
      </c>
      <c r="UD61" s="60">
        <f t="shared" si="399"/>
        <v>0</v>
      </c>
      <c r="UE61" s="60">
        <f t="shared" si="400"/>
        <v>0</v>
      </c>
      <c r="UF61" s="60">
        <f t="shared" si="401"/>
        <v>0</v>
      </c>
      <c r="UG61" s="60">
        <f t="shared" si="402"/>
        <v>0</v>
      </c>
      <c r="UH61" s="58">
        <f t="shared" si="403"/>
        <v>0</v>
      </c>
      <c r="UI61" s="46">
        <f t="shared" si="404"/>
        <v>69</v>
      </c>
      <c r="UJ61" s="46">
        <f t="shared" si="603"/>
        <v>2.7789999999999999</v>
      </c>
      <c r="UK61" s="46">
        <f t="shared" si="405"/>
        <v>1</v>
      </c>
      <c r="UL61" s="46">
        <f t="shared" si="406"/>
        <v>2</v>
      </c>
      <c r="UM61" s="46" cm="1">
        <f t="array" ref="UM61">ROUND(IFERROR(INDEX(ArchiveResults!$F$5:$IX$116,ComparisonData!A61,ComparisonData!$UM$1),0),5)</f>
        <v>0</v>
      </c>
      <c r="UN61" s="56">
        <v>56</v>
      </c>
      <c r="UO61" s="53" t="str">
        <f t="shared" si="604"/>
        <v>National Museum of the Royal Navy</v>
      </c>
      <c r="UP61" s="46">
        <f t="shared" si="407"/>
        <v>0</v>
      </c>
      <c r="UQ61" s="76">
        <f t="shared" si="408"/>
        <v>0</v>
      </c>
      <c r="UR61" s="46">
        <f t="shared" si="409"/>
        <v>69</v>
      </c>
      <c r="US61" s="46">
        <f t="shared" si="605"/>
        <v>2.7789999999999999</v>
      </c>
      <c r="UT61" s="46">
        <f t="shared" si="410"/>
        <v>1</v>
      </c>
      <c r="UU61" s="46">
        <f t="shared" si="411"/>
        <v>2</v>
      </c>
      <c r="UV61" s="46">
        <f t="shared" si="412"/>
        <v>0</v>
      </c>
      <c r="UW61" s="46" cm="1">
        <f t="array" ref="UW61">ROUND(IFERROR(INDEX(ArchiveResults!$F$5:$IX$116,ComparisonData!A61,ComparisonData!$UW$1),0),5)</f>
        <v>0</v>
      </c>
      <c r="UX61" s="46" cm="1">
        <f t="array" ref="UX61">ROUND(IFERROR(INDEX(ArchiveResults!$F$5:$IX$116,ComparisonData!A61,ComparisonData!$UX$1),0),5)</f>
        <v>0</v>
      </c>
      <c r="UY61" s="46" cm="1">
        <f t="array" ref="UY61">ROUND(IFERROR(INDEX(ArchiveResults!$F$5:$IX$116,ComparisonData!A61,ComparisonData!$UY$1),0),5)</f>
        <v>0</v>
      </c>
      <c r="UZ61" s="46" cm="1">
        <f t="array" ref="UZ61">ROUND(IFERROR(INDEX(ArchiveResults!$F$5:$IX$116,ComparisonData!A61,ComparisonData!$UZ$1),0),5)</f>
        <v>0</v>
      </c>
      <c r="VA61" s="46" cm="1">
        <f t="array" ref="VA61">ROUND(IFERROR(INDEX(ArchiveResults!$F$5:$IX$116,ComparisonData!A61,ComparisonData!$VA$1),0),5)</f>
        <v>0</v>
      </c>
      <c r="VB61" s="56">
        <v>56</v>
      </c>
      <c r="VC61" s="53" t="str">
        <f t="shared" si="606"/>
        <v>National Museum of the Royal Navy</v>
      </c>
      <c r="VD61" s="60">
        <f t="shared" si="413"/>
        <v>0</v>
      </c>
      <c r="VE61" s="60">
        <f t="shared" si="414"/>
        <v>0</v>
      </c>
      <c r="VF61" s="60">
        <f t="shared" si="415"/>
        <v>0</v>
      </c>
      <c r="VG61" s="60">
        <f t="shared" si="416"/>
        <v>0</v>
      </c>
      <c r="VH61" s="60">
        <f t="shared" si="417"/>
        <v>0</v>
      </c>
      <c r="VI61" s="76">
        <f t="shared" si="418"/>
        <v>0</v>
      </c>
      <c r="VJ61" s="46">
        <f t="shared" si="419"/>
        <v>69</v>
      </c>
      <c r="VK61" s="46">
        <f t="shared" si="607"/>
        <v>2.7789999999999999</v>
      </c>
      <c r="VL61" s="46">
        <f t="shared" si="420"/>
        <v>1</v>
      </c>
      <c r="VM61" s="46">
        <f t="shared" si="421"/>
        <v>2</v>
      </c>
      <c r="VN61" s="46" cm="1">
        <f t="array" ref="VN61">ROUND(IFERROR(INDEX(ArchiveResults!$F$5:$IX$116,ComparisonData!A61,ComparisonData!$VN$1),0),5)</f>
        <v>0</v>
      </c>
      <c r="VO61" s="46" cm="1">
        <f t="array" ref="VO61">ROUND(IFERROR(INDEX(ArchiveResults!$F$5:$IX$116,ComparisonData!A61,ComparisonData!$VO$1),0),5)</f>
        <v>0</v>
      </c>
      <c r="VP61" s="46" cm="1">
        <f t="array" ref="VP61">ROUND(IFERROR(INDEX(ArchiveResults!$F$5:$IX$116,ComparisonData!A61,ComparisonData!$VP$1),0),5)</f>
        <v>0</v>
      </c>
      <c r="VQ61" s="46" cm="1">
        <f t="array" ref="VQ61">ROUND(IFERROR(INDEX(ArchiveResults!$F$5:$IX$116,ComparisonData!A61,ComparisonData!$VQ$1),0),5)</f>
        <v>0</v>
      </c>
      <c r="VR61" s="56">
        <v>56</v>
      </c>
      <c r="VS61" s="53" t="str">
        <f t="shared" si="608"/>
        <v>National Museum of the Royal Navy</v>
      </c>
      <c r="VT61" s="60">
        <f t="shared" si="422"/>
        <v>0</v>
      </c>
      <c r="VU61" s="60">
        <f t="shared" si="423"/>
        <v>0</v>
      </c>
      <c r="VV61" s="60">
        <f t="shared" si="424"/>
        <v>0</v>
      </c>
      <c r="VW61" s="60">
        <f t="shared" si="425"/>
        <v>0</v>
      </c>
      <c r="VX61" s="76">
        <f t="shared" si="426"/>
        <v>0</v>
      </c>
      <c r="VY61" s="46">
        <f t="shared" si="427"/>
        <v>69</v>
      </c>
      <c r="VZ61" s="46">
        <f t="shared" si="609"/>
        <v>2.7789999999999999</v>
      </c>
      <c r="WA61" s="46">
        <f t="shared" si="428"/>
        <v>1</v>
      </c>
      <c r="WB61" s="46">
        <f t="shared" si="429"/>
        <v>2</v>
      </c>
      <c r="WC61" s="46" cm="1">
        <f t="array" ref="WC61">ROUND(IFERROR(INDEX(ArchiveResults!$F$5:$IX$116,ComparisonData!A61,ComparisonData!$WC$1),0),5)</f>
        <v>0</v>
      </c>
      <c r="WD61" s="56">
        <v>56</v>
      </c>
      <c r="WE61" s="53" t="str">
        <f t="shared" si="610"/>
        <v>National Museum of the Royal Navy</v>
      </c>
      <c r="WF61" s="46">
        <f t="shared" si="430"/>
        <v>0</v>
      </c>
      <c r="WG61" s="76">
        <f t="shared" si="431"/>
        <v>0</v>
      </c>
      <c r="WH61" s="46">
        <f t="shared" si="432"/>
        <v>69</v>
      </c>
      <c r="WI61" s="46">
        <f t="shared" si="611"/>
        <v>2.7789999999999999</v>
      </c>
      <c r="WJ61" s="46">
        <f t="shared" si="433"/>
        <v>1</v>
      </c>
      <c r="WK61" s="46">
        <f t="shared" si="434"/>
        <v>2</v>
      </c>
      <c r="WL61" s="46" cm="1">
        <f t="array" ref="WL61">ROUND(IFERROR(INDEX(ArchiveResults!$F$5:$IX$116,ComparisonData!A61,ComparisonData!$WL$1),0),5)</f>
        <v>0</v>
      </c>
      <c r="WM61" s="46" cm="1">
        <f t="array" ref="WM61">IFERROR(INDEX(ArchiveResults!$F$5:$IX$116,ComparisonData!A61,ComparisonData!$WM$1),0)</f>
        <v>0</v>
      </c>
      <c r="WN61" s="56">
        <v>56</v>
      </c>
      <c r="WO61" s="53" t="str">
        <f t="shared" si="612"/>
        <v>National Museum of the Royal Navy</v>
      </c>
      <c r="WP61" s="60">
        <f t="shared" si="435"/>
        <v>0</v>
      </c>
      <c r="WQ61" s="60">
        <f t="shared" si="436"/>
        <v>0</v>
      </c>
      <c r="WR61" s="76">
        <f t="shared" si="437"/>
        <v>0</v>
      </c>
      <c r="WS61" s="46">
        <f t="shared" si="438"/>
        <v>69</v>
      </c>
      <c r="WT61" s="46">
        <f t="shared" si="613"/>
        <v>2.7789999999999999</v>
      </c>
      <c r="WU61" s="46">
        <f t="shared" si="439"/>
        <v>1</v>
      </c>
      <c r="WV61" s="46">
        <f t="shared" si="440"/>
        <v>2</v>
      </c>
      <c r="WW61" s="46" cm="1">
        <f t="array" ref="WW61">ROUND(VALUE(IFERROR(INDEX(ArchiveResults!$F$5:$IX$116,ComparisonData!A61,ComparisonData!$WW$1),0)),5)</f>
        <v>0</v>
      </c>
      <c r="WX61" s="46" cm="1">
        <f t="array" ref="WX61">ROUND(IFERROR(INDEX(ArchiveResults!$F$5:$IX$116,ComparisonData!A61,ComparisonData!$WX$1),0),5)</f>
        <v>0</v>
      </c>
      <c r="WY61" s="56">
        <v>56</v>
      </c>
      <c r="WZ61" s="53" t="str">
        <f t="shared" si="614"/>
        <v>National Museum of the Royal Navy</v>
      </c>
      <c r="XA61" s="60">
        <f t="shared" si="615"/>
        <v>0</v>
      </c>
      <c r="XB61" s="60">
        <f t="shared" si="616"/>
        <v>0</v>
      </c>
      <c r="XC61" s="76">
        <f t="shared" si="441"/>
        <v>0</v>
      </c>
      <c r="XD61" s="46">
        <f t="shared" si="442"/>
        <v>69</v>
      </c>
      <c r="XE61" s="46">
        <f t="shared" si="617"/>
        <v>2.7789999999999999</v>
      </c>
      <c r="XF61" s="46">
        <f t="shared" si="443"/>
        <v>1</v>
      </c>
      <c r="XG61" s="46">
        <f t="shared" si="444"/>
        <v>2</v>
      </c>
      <c r="XH61" s="46" cm="1">
        <f t="array" ref="XH61">ROUND(VALUE(IFERROR(INDEX(ArchiveResults!$F$5:$IX$116,ComparisonData!A61,ComparisonData!$XH$1),0)),5)</f>
        <v>0</v>
      </c>
      <c r="XI61" s="46" cm="1">
        <f t="array" ref="XI61">ROUND(VALUE(IFERROR(INDEX(ArchiveResults!$F$5:$IX$116,ComparisonData!A61,ComparisonData!$XI$1),0)),5)</f>
        <v>0</v>
      </c>
      <c r="XJ61" s="56">
        <v>56</v>
      </c>
      <c r="XK61" s="53" t="str">
        <f t="shared" si="618"/>
        <v>National Museum of the Royal Navy</v>
      </c>
      <c r="XL61" s="60">
        <f t="shared" si="445"/>
        <v>0</v>
      </c>
      <c r="XM61" s="60">
        <f t="shared" si="446"/>
        <v>0</v>
      </c>
      <c r="XN61" s="76">
        <f t="shared" si="447"/>
        <v>0</v>
      </c>
      <c r="XO61" s="46">
        <f t="shared" si="448"/>
        <v>69</v>
      </c>
      <c r="XP61" s="46">
        <f t="shared" si="619"/>
        <v>2.7789999999999999</v>
      </c>
      <c r="XQ61" s="46">
        <f t="shared" si="449"/>
        <v>1</v>
      </c>
      <c r="XR61" s="46">
        <f t="shared" si="450"/>
        <v>2</v>
      </c>
      <c r="XS61" s="46" cm="1">
        <f t="array" ref="XS61">ROUND(VALUE(IFERROR(INDEX(ArchiveResults!$F$5:$IX$116,ComparisonData!A61,ComparisonData!$XS$1),0)),5)</f>
        <v>0</v>
      </c>
      <c r="XT61" s="46" cm="1">
        <f t="array" ref="XT61">ROUND(VALUE(IFERROR(INDEX(ArchiveResults!$F$5:$IX$116,ComparisonData!A61,ComparisonData!$XT$1),0)),5)</f>
        <v>0</v>
      </c>
      <c r="XU61" s="56">
        <v>56</v>
      </c>
      <c r="XV61" s="53" t="str">
        <f t="shared" si="620"/>
        <v>National Museum of the Royal Navy</v>
      </c>
      <c r="XW61" s="60">
        <f t="shared" si="451"/>
        <v>0</v>
      </c>
      <c r="XX61" s="60">
        <f t="shared" si="452"/>
        <v>0</v>
      </c>
      <c r="XY61" s="76">
        <f t="shared" si="453"/>
        <v>0</v>
      </c>
      <c r="XZ61" s="46">
        <f t="shared" si="454"/>
        <v>69</v>
      </c>
      <c r="YA61" s="46">
        <f t="shared" si="621"/>
        <v>2.7789999999999999</v>
      </c>
      <c r="YB61" s="46">
        <f t="shared" si="455"/>
        <v>1</v>
      </c>
      <c r="YC61" s="46">
        <f t="shared" si="456"/>
        <v>2</v>
      </c>
      <c r="YD61" s="46" cm="1">
        <f t="array" ref="YD61">ROUND(VALUE(IFERROR(INDEX(ArchiveResults!$F$5:$IX$116,ComparisonData!A61,ComparisonData!$YD$1),0)),5)</f>
        <v>0</v>
      </c>
      <c r="YE61" s="46" cm="1">
        <f t="array" ref="YE61">ROUND(VALUE(IFERROR(INDEX(ArchiveResults!$F$5:$IX$116,ComparisonData!A61,ComparisonData!$YE$1),0)),5)</f>
        <v>0</v>
      </c>
      <c r="YF61" s="56">
        <v>56</v>
      </c>
      <c r="YG61" s="53" t="str">
        <f t="shared" si="622"/>
        <v>National Museum of the Royal Navy</v>
      </c>
      <c r="YH61" s="60">
        <f t="shared" si="457"/>
        <v>0</v>
      </c>
      <c r="YI61" s="60">
        <f t="shared" si="458"/>
        <v>0</v>
      </c>
      <c r="YJ61" s="76">
        <f t="shared" si="459"/>
        <v>0</v>
      </c>
      <c r="YK61" s="46">
        <f t="shared" si="460"/>
        <v>69</v>
      </c>
      <c r="YL61" s="46">
        <f t="shared" si="623"/>
        <v>2.7789999999999999</v>
      </c>
      <c r="YM61" s="46">
        <f t="shared" si="461"/>
        <v>1</v>
      </c>
      <c r="YN61" s="46">
        <f t="shared" si="462"/>
        <v>2</v>
      </c>
      <c r="YO61" s="46" cm="1">
        <f t="array" ref="YO61">ROUND(VALUE(IFERROR(INDEX(ArchiveResults!$F$5:$IX$116,ComparisonData!A61,ComparisonData!$YO$1),0)),5)</f>
        <v>0</v>
      </c>
      <c r="YP61" s="46" cm="1">
        <f t="array" ref="YP61">ROUND(VALUE(IFERROR(INDEX(ArchiveResults!$F$5:$IX$116,ComparisonData!A61,ComparisonData!$YP$1),0)),5)</f>
        <v>0</v>
      </c>
      <c r="YQ61" s="56">
        <v>56</v>
      </c>
      <c r="YR61" s="53" t="str">
        <f t="shared" si="624"/>
        <v>National Museum of the Royal Navy</v>
      </c>
      <c r="YS61" s="60">
        <f t="shared" si="463"/>
        <v>0</v>
      </c>
      <c r="YT61" s="60">
        <f t="shared" si="464"/>
        <v>0</v>
      </c>
      <c r="YU61" s="76">
        <f t="shared" si="465"/>
        <v>0</v>
      </c>
      <c r="YV61" s="46">
        <f t="shared" si="466"/>
        <v>69</v>
      </c>
      <c r="YW61" s="46">
        <f t="shared" si="625"/>
        <v>2.7789999999999999</v>
      </c>
      <c r="YX61" s="46">
        <f t="shared" si="467"/>
        <v>1</v>
      </c>
      <c r="YY61" s="46">
        <f t="shared" si="468"/>
        <v>2</v>
      </c>
      <c r="YZ61" s="46">
        <f t="shared" si="469"/>
        <v>0</v>
      </c>
      <c r="ZA61" s="46" cm="1">
        <f t="array" ref="ZA61">ROUNDDOWN(VALUE(IFERROR(INDEX(ArchiveResults!$F$5:$IX$116,ComparisonData!A61,ComparisonData!$ZA$1),0)),5)</f>
        <v>0</v>
      </c>
      <c r="ZB61" s="46" cm="1">
        <f t="array" ref="ZB61">ROUNDDOWN(VALUE(IFERROR(INDEX(ArchiveResults!$F$5:$IX$116,ComparisonData!A61,ComparisonData!$ZB$1),0)),5)</f>
        <v>0</v>
      </c>
      <c r="ZC61" s="46" cm="1">
        <f t="array" ref="ZC61">ROUNDDOWN(VALUE(IFERROR(INDEX(ArchiveResults!$F$5:$IX$116,ComparisonData!A61,ComparisonData!$ZC$1),0)),5)</f>
        <v>0</v>
      </c>
      <c r="ZD61" s="46" cm="1">
        <f t="array" ref="ZD61">ROUNDDOWN(VALUE(IFERROR(INDEX(ArchiveResults!$F$5:$IX$116,ComparisonData!A61,ComparisonData!$ZD$1),0)),5)</f>
        <v>0</v>
      </c>
      <c r="ZE61" s="46" cm="1">
        <f t="array" ref="ZE61">ROUNDDOWN(VALUE(IFERROR(INDEX(ArchiveResults!$F$5:$IX$116,ComparisonData!A61,ComparisonData!$ZE$1),0)),5)</f>
        <v>0</v>
      </c>
      <c r="ZF61" s="56">
        <v>56</v>
      </c>
      <c r="ZG61" s="53" t="str">
        <f t="shared" si="626"/>
        <v>National Museum of the Royal Navy</v>
      </c>
      <c r="ZH61" s="60">
        <f t="shared" si="470"/>
        <v>0</v>
      </c>
      <c r="ZI61" s="60">
        <f t="shared" si="471"/>
        <v>0</v>
      </c>
      <c r="ZJ61" s="60">
        <f t="shared" si="472"/>
        <v>0</v>
      </c>
      <c r="ZK61" s="60">
        <f t="shared" si="473"/>
        <v>0</v>
      </c>
      <c r="ZL61" s="60">
        <f t="shared" si="474"/>
        <v>0</v>
      </c>
      <c r="ZM61" s="76">
        <f t="shared" si="475"/>
        <v>0</v>
      </c>
      <c r="ZN61" s="46">
        <f t="shared" si="476"/>
        <v>69</v>
      </c>
      <c r="ZO61" s="46">
        <f t="shared" si="627"/>
        <v>2.7789999999999999</v>
      </c>
      <c r="ZP61" s="46">
        <f t="shared" si="477"/>
        <v>1</v>
      </c>
      <c r="ZQ61" s="46">
        <f t="shared" si="478"/>
        <v>2</v>
      </c>
      <c r="ZR61" s="46" cm="1">
        <f t="array" ref="ZR61">ROUND(VALUE(IFERROR(INDEX(ArchiveResults!$F$5:$IX$116,ComparisonData!A61,ComparisonData!$ZR$1),0)),5)</f>
        <v>0</v>
      </c>
      <c r="ZS61" s="56">
        <v>56</v>
      </c>
      <c r="ZT61" s="53" t="str">
        <f t="shared" si="628"/>
        <v>National Museum of the Royal Navy</v>
      </c>
      <c r="ZU61" s="46">
        <f t="shared" si="479"/>
        <v>0</v>
      </c>
      <c r="ZV61" s="76">
        <f t="shared" si="480"/>
        <v>0</v>
      </c>
      <c r="ZW61" s="81" cm="1">
        <f t="array" ref="ZW61">ROUND((IFERROR(INDEX(ArchiveResults!$F$5:$IX$116,ComparisonData!A61,ComparisonData!$ZW$1),0)),5)</f>
        <v>0</v>
      </c>
      <c r="ZX61" s="81" cm="1">
        <f t="array" ref="ZX61">ROUND((IFERROR(INDEX(ArchiveResults!$F$5:$IX$116,ComparisonData!A61,ComparisonData!$ZX$1),0)),5)</f>
        <v>0</v>
      </c>
      <c r="ZY61" s="81" cm="1">
        <f t="array" ref="ZY61">ROUND((IFERROR(INDEX(ArchiveResults!$F$5:$IX$116,ComparisonData!A61,ComparisonData!$ZY$1),0)),5)</f>
        <v>0</v>
      </c>
      <c r="ZZ61" s="81" cm="1">
        <f t="array" ref="ZZ61">ROUND((IFERROR(INDEX(ArchiveResults!$F$5:$IX$116,ComparisonData!A61,ComparisonData!$ZZ$1),0)),5)</f>
        <v>0</v>
      </c>
      <c r="AAA61" s="81" cm="1">
        <f t="array" ref="AAA61">ROUND((IFERROR(INDEX(ArchiveResults!$F$5:$IX$116,ComparisonData!A61,ComparisonData!$AAA$1),0)),5)</f>
        <v>0</v>
      </c>
      <c r="AAB61" s="81" cm="1">
        <f t="array" ref="AAB61">ROUND((IFERROR(INDEX(ArchiveResults!$F$5:$IX$116,ComparisonData!A61,ComparisonData!$AAB$1),0)),5)</f>
        <v>0</v>
      </c>
      <c r="AAC61" s="81" cm="1">
        <f t="array" ref="AAC61">ROUND((IFERROR(INDEX(ArchiveResults!$F$5:$IX$116,ComparisonData!A61,ComparisonData!$AAC$1),0)),5)</f>
        <v>0</v>
      </c>
      <c r="AAD61" s="81" cm="1">
        <f t="array" ref="AAD61">ROUND((IFERROR(INDEX(ArchiveResults!$F$5:$IX$116,ComparisonData!A61,ComparisonData!$AAD$1),0)),5)</f>
        <v>0</v>
      </c>
      <c r="AAE61" s="81" cm="1">
        <f t="array" ref="AAE61">ROUND((IFERROR(INDEX(ArchiveResults!$F$5:$IX$116,ComparisonData!A61,ComparisonData!$AAE$1),0)),5)</f>
        <v>0</v>
      </c>
      <c r="AAF61" s="81" cm="1">
        <f t="array" ref="AAF61">ROUND((IFERROR(INDEX(ArchiveResults!$F$5:$IX$116,ComparisonData!A61,ComparisonData!$AAF$1),0)),5)</f>
        <v>0</v>
      </c>
      <c r="AAG61" s="46">
        <f t="shared" si="481"/>
        <v>69</v>
      </c>
      <c r="AAH61" s="46">
        <f t="shared" si="629"/>
        <v>2.7789999999999999</v>
      </c>
      <c r="AAI61" s="46">
        <f t="shared" si="482"/>
        <v>1</v>
      </c>
      <c r="AAJ61" s="46">
        <f t="shared" si="483"/>
        <v>2</v>
      </c>
      <c r="AAK61" s="46">
        <f t="shared" si="484"/>
        <v>0</v>
      </c>
      <c r="AAL61" s="46">
        <f t="shared" si="485"/>
        <v>0</v>
      </c>
      <c r="AAM61" s="46">
        <f t="shared" si="486"/>
        <v>0</v>
      </c>
      <c r="AAN61" s="46">
        <f t="shared" si="487"/>
        <v>0</v>
      </c>
      <c r="AAO61" s="46">
        <f t="shared" si="488"/>
        <v>0</v>
      </c>
      <c r="AAP61" s="46">
        <f t="shared" si="489"/>
        <v>0</v>
      </c>
      <c r="AAQ61" s="56">
        <v>56</v>
      </c>
      <c r="AAR61" s="53" t="str">
        <f t="shared" si="630"/>
        <v>National Museum of the Royal Navy</v>
      </c>
      <c r="AAS61" s="60">
        <f t="shared" si="490"/>
        <v>0</v>
      </c>
      <c r="AAT61" s="60">
        <f t="shared" si="491"/>
        <v>0</v>
      </c>
      <c r="AAU61" s="60">
        <f t="shared" si="492"/>
        <v>0</v>
      </c>
      <c r="AAV61" s="60">
        <f t="shared" si="493"/>
        <v>0</v>
      </c>
      <c r="AAW61" s="60">
        <f t="shared" si="494"/>
        <v>0</v>
      </c>
      <c r="AAX61" s="76">
        <f t="shared" si="495"/>
        <v>0</v>
      </c>
      <c r="AAY61" s="46">
        <f t="shared" si="496"/>
        <v>69</v>
      </c>
      <c r="AAZ61" s="46">
        <f t="shared" si="631"/>
        <v>2.7789999999999999</v>
      </c>
      <c r="ABA61" s="46">
        <f t="shared" si="497"/>
        <v>1</v>
      </c>
      <c r="ABB61" s="46">
        <f t="shared" si="498"/>
        <v>2</v>
      </c>
      <c r="ABC61" s="46">
        <f t="shared" si="102"/>
        <v>0</v>
      </c>
      <c r="ABD61" s="46" cm="1">
        <f t="array" ref="ABD61">ROUND(VALUE(IFERROR(INDEX(ArchiveResults!$F$5:$IX$116,ComparisonData!A61,ComparisonData!$ABD$1),0)),5)</f>
        <v>0</v>
      </c>
      <c r="ABE61" s="46" cm="1">
        <f t="array" ref="ABE61">ROUND(VALUE(IFERROR(INDEX(ArchiveResults!$F$5:$IX$116,ComparisonData!A61,ComparisonData!$ABE$1),0)),5)</f>
        <v>0</v>
      </c>
      <c r="ABF61" s="46" cm="1">
        <f t="array" ref="ABF61">ROUND(VALUE(IFERROR(INDEX(ArchiveResults!$F$5:$IX$116,ComparisonData!A61,ComparisonData!$ABF$1),0)),5)</f>
        <v>0</v>
      </c>
      <c r="ABG61" s="46" cm="1">
        <f t="array" ref="ABG61">ROUND(VALUE(IFERROR(INDEX(ArchiveResults!$F$5:$IX$116,ComparisonData!A61,ComparisonData!$ABG$1),0)),5)</f>
        <v>0</v>
      </c>
      <c r="ABH61" s="46" cm="1">
        <f t="array" ref="ABH61">ROUND(VALUE(IFERROR(INDEX(ArchiveResults!$F$5:$IX$116,ComparisonData!A61,ComparisonData!$ABH$1),0)),5)</f>
        <v>0</v>
      </c>
      <c r="ABI61" s="56">
        <v>56</v>
      </c>
      <c r="ABJ61" s="53" t="str">
        <f t="shared" si="632"/>
        <v>National Museum of the Royal Navy</v>
      </c>
      <c r="ABK61" s="60">
        <f t="shared" si="499"/>
        <v>0</v>
      </c>
      <c r="ABL61" s="60">
        <f t="shared" si="500"/>
        <v>0</v>
      </c>
      <c r="ABM61" s="60">
        <f t="shared" si="501"/>
        <v>0</v>
      </c>
      <c r="ABN61" s="60">
        <f t="shared" si="502"/>
        <v>0</v>
      </c>
      <c r="ABO61" s="60">
        <f t="shared" si="503"/>
        <v>0</v>
      </c>
      <c r="ABP61" s="76">
        <f t="shared" si="504"/>
        <v>0</v>
      </c>
      <c r="ABQ61" s="46">
        <f t="shared" si="505"/>
        <v>69</v>
      </c>
      <c r="ABR61" s="46">
        <f t="shared" si="633"/>
        <v>2.7789999999999999</v>
      </c>
      <c r="ABS61" s="46">
        <f t="shared" si="506"/>
        <v>1</v>
      </c>
      <c r="ABT61" s="46">
        <f t="shared" si="507"/>
        <v>2</v>
      </c>
      <c r="ABU61" s="46" cm="1">
        <f t="array" ref="ABU61">ROUND(VALUE(IFERROR(INDEX(ArchiveResults!$F$5:$IX$116,ComparisonData!A61,ComparisonData!$ABU$1),0)),5)</f>
        <v>0</v>
      </c>
      <c r="ABV61" s="46" cm="1">
        <f t="array" ref="ABV61">ROUND(VALUE(IFERROR(INDEX(ArchiveResults!$F$5:$IX$116,ComparisonData!A61,ComparisonData!$ABV$1),0)),5)</f>
        <v>0</v>
      </c>
      <c r="ABW61" s="46" cm="1">
        <f t="array" ref="ABW61">ROUND(VALUE(IFERROR(INDEX(ArchiveResults!$F$5:$IX$116,ComparisonData!A61,ComparisonData!$ABW$1),0)),5)</f>
        <v>0</v>
      </c>
      <c r="ABX61" s="46" cm="1">
        <f t="array" ref="ABX61">ROUND(VALUE(IFERROR(INDEX(ArchiveResults!$F$5:$IX$116,ComparisonData!A61,ComparisonData!$ABX$1),0)),5)</f>
        <v>0</v>
      </c>
      <c r="ABY61" s="46" cm="1">
        <f t="array" ref="ABY61">ROUND(VALUE(IFERROR(INDEX(ArchiveResults!$F$5:$IX$116,ComparisonData!A61,ComparisonData!$ABY$1),0)),5)</f>
        <v>0</v>
      </c>
      <c r="ABZ61" s="56">
        <v>56</v>
      </c>
      <c r="ACA61" s="53" t="str">
        <f t="shared" si="634"/>
        <v>National Museum of the Royal Navy</v>
      </c>
      <c r="ACB61" s="60">
        <f t="shared" si="508"/>
        <v>0</v>
      </c>
      <c r="ACC61" s="60">
        <f t="shared" si="509"/>
        <v>0</v>
      </c>
      <c r="ACD61" s="60">
        <f t="shared" si="510"/>
        <v>0</v>
      </c>
      <c r="ACE61" s="60">
        <f t="shared" si="511"/>
        <v>0</v>
      </c>
      <c r="ACF61" s="60">
        <f t="shared" si="512"/>
        <v>0</v>
      </c>
      <c r="ACG61" s="76">
        <f t="shared" si="513"/>
        <v>0</v>
      </c>
      <c r="ACH61" s="46">
        <f t="shared" si="514"/>
        <v>69</v>
      </c>
      <c r="ACI61" s="46">
        <f t="shared" si="635"/>
        <v>2.7789999999999999</v>
      </c>
      <c r="ACJ61" s="46">
        <f t="shared" si="515"/>
        <v>1</v>
      </c>
      <c r="ACK61" s="46">
        <f t="shared" si="516"/>
        <v>2</v>
      </c>
      <c r="ACL61" s="46">
        <f t="shared" si="517"/>
        <v>0</v>
      </c>
      <c r="ACM61" s="46" cm="1">
        <f t="array" ref="ACM61">ROUND(IFERROR(INDEX(ArchiveResults!$F$5:$IX$116,ComparisonData!A61,ComparisonData!$ACM$1),0),5)</f>
        <v>0</v>
      </c>
      <c r="ACN61" s="46" cm="1">
        <f t="array" ref="ACN61">ROUND(IFERROR(INDEX(ArchiveResults!$F$5:$IX$116,ComparisonData!A61,ComparisonData!$ACN$1),0),5)</f>
        <v>0</v>
      </c>
      <c r="ACO61" s="56">
        <v>56</v>
      </c>
      <c r="ACP61" s="53" t="str">
        <f t="shared" si="636"/>
        <v>National Museum of the Royal Navy</v>
      </c>
      <c r="ACQ61" s="60">
        <f t="shared" si="518"/>
        <v>0</v>
      </c>
      <c r="ACR61" s="60">
        <f t="shared" si="519"/>
        <v>0</v>
      </c>
      <c r="ACS61" s="76">
        <f t="shared" si="520"/>
        <v>0</v>
      </c>
      <c r="ACT61" s="46">
        <f t="shared" si="521"/>
        <v>69</v>
      </c>
      <c r="ACU61" s="46">
        <f t="shared" si="637"/>
        <v>2.7789999999999999</v>
      </c>
      <c r="ACV61" s="46">
        <f t="shared" si="522"/>
        <v>1</v>
      </c>
      <c r="ACW61" s="46">
        <f t="shared" si="523"/>
        <v>2</v>
      </c>
      <c r="ACX61" s="46">
        <f t="shared" si="524"/>
        <v>0</v>
      </c>
      <c r="ACY61" s="46" cm="1">
        <f t="array" ref="ACY61">ROUNDDOWN(IFERROR(INDEX(ArchiveResults!$F$5:$IX$116,ComparisonData!A61,ComparisonData!$ACY$1),0),5)</f>
        <v>0</v>
      </c>
      <c r="ACZ61" s="46" cm="1">
        <f t="array" ref="ACZ61">ROUNDDOWN(IFERROR(INDEX(ArchiveResults!$F$5:$IX$116,ComparisonData!A61,ComparisonData!$ACZ$1),0),5)</f>
        <v>0</v>
      </c>
      <c r="ADA61" s="46" cm="1">
        <f t="array" ref="ADA61">ROUNDDOWN(IFERROR(INDEX(ArchiveResults!$F$5:$IX$116,ComparisonData!A61,ComparisonData!$ADA$1),0),5)</f>
        <v>0</v>
      </c>
      <c r="ADB61" s="56">
        <v>56</v>
      </c>
      <c r="ADC61" s="53" t="str">
        <f t="shared" si="638"/>
        <v>National Museum of the Royal Navy</v>
      </c>
      <c r="ADD61" s="60">
        <f t="shared" si="525"/>
        <v>0</v>
      </c>
      <c r="ADE61" s="60">
        <f t="shared" si="526"/>
        <v>0</v>
      </c>
      <c r="ADF61" s="60">
        <f t="shared" si="527"/>
        <v>0</v>
      </c>
      <c r="ADG61" s="76">
        <f t="shared" si="528"/>
        <v>0</v>
      </c>
    </row>
    <row r="62" spans="1:787" x14ac:dyDescent="0.25">
      <c r="A62" s="46" t="str">
        <f>IF(ISBLANK(ComparisonSelection!F58),"",ROW()-5)</f>
        <v/>
      </c>
      <c r="B62" s="53" t="s">
        <v>511</v>
      </c>
      <c r="C62" s="72">
        <v>0.99399999999999999</v>
      </c>
      <c r="D62" s="55">
        <f t="shared" si="110"/>
        <v>111</v>
      </c>
      <c r="E62" s="54">
        <f t="shared" si="111"/>
        <v>2.9939999999999998</v>
      </c>
      <c r="F62" s="54">
        <f t="shared" si="529"/>
        <v>1</v>
      </c>
      <c r="G62" s="72">
        <f t="shared" si="112"/>
        <v>2</v>
      </c>
      <c r="H62" s="72">
        <f t="shared" si="113"/>
        <v>0</v>
      </c>
      <c r="I62" s="46" cm="1">
        <f t="array" ref="I62">ROUND(IFERROR(INDEX(ArchiveResults!$F$5:$IX$116,ComparisonData!A62,ComparisonData!$I$1),0),5)</f>
        <v>0</v>
      </c>
      <c r="J62" s="46" cm="1">
        <f t="array" ref="J62">ROUND(IFERROR(INDEX(ArchiveResults!$F$5:$IX$116,ComparisonData!A62,ComparisonData!$J$1),0),5)</f>
        <v>0</v>
      </c>
      <c r="K62" s="56">
        <v>57</v>
      </c>
      <c r="L62" s="53" t="str">
        <f t="shared" si="114"/>
        <v>Norfolk Record Office</v>
      </c>
      <c r="M62" s="57">
        <f t="shared" si="530"/>
        <v>0</v>
      </c>
      <c r="N62" s="57">
        <f t="shared" si="531"/>
        <v>0</v>
      </c>
      <c r="O62" s="58">
        <f t="shared" si="115"/>
        <v>0</v>
      </c>
      <c r="P62" s="48">
        <f t="shared" si="116"/>
        <v>111</v>
      </c>
      <c r="Q62" s="54">
        <f t="shared" si="532"/>
        <v>2.9939999999999998</v>
      </c>
      <c r="R62" s="45">
        <f t="shared" si="117"/>
        <v>1</v>
      </c>
      <c r="S62" s="46">
        <f t="shared" si="118"/>
        <v>2</v>
      </c>
      <c r="T62" s="72">
        <f t="shared" si="119"/>
        <v>0</v>
      </c>
      <c r="U62" s="46" cm="1">
        <f t="array" ref="U62">ROUND(IFERROR(INDEX(ArchiveResults!$F$5:$IX$116,ComparisonData!A62,ComparisonData!$U$1),0),5)</f>
        <v>0</v>
      </c>
      <c r="V62" s="46" cm="1">
        <f t="array" ref="V62">ROUND(IFERROR(INDEX(ArchiveResults!$F$5:$IX$116,ComparisonData!A62,ComparisonData!$V$1),0),5)</f>
        <v>0</v>
      </c>
      <c r="W62" s="56">
        <v>57</v>
      </c>
      <c r="X62" s="53" t="str">
        <f t="shared" si="533"/>
        <v>Norfolk Record Office</v>
      </c>
      <c r="Y62" s="57">
        <f t="shared" si="120"/>
        <v>0</v>
      </c>
      <c r="Z62" s="57">
        <f t="shared" si="121"/>
        <v>0</v>
      </c>
      <c r="AA62" s="58">
        <f t="shared" si="122"/>
        <v>0</v>
      </c>
      <c r="AB62" s="45">
        <f t="shared" si="123"/>
        <v>111</v>
      </c>
      <c r="AC62" s="54">
        <f t="shared" si="534"/>
        <v>2.9939999999999998</v>
      </c>
      <c r="AD62" s="45">
        <f t="shared" si="124"/>
        <v>1</v>
      </c>
      <c r="AE62" s="45">
        <f t="shared" si="125"/>
        <v>2</v>
      </c>
      <c r="AF62" s="45">
        <f t="shared" ref="AF62:AF117" si="639">AG62+(AH62/100)</f>
        <v>0</v>
      </c>
      <c r="AG62" s="46" cm="1">
        <f t="array" ref="AG62">ROUND(IFERROR(INDEX(ArchiveResults!$F$5:$IX$116,ComparisonData!A62,ComparisonData!$AG$1),0),5)</f>
        <v>0</v>
      </c>
      <c r="AH62" s="46" cm="1">
        <f t="array" ref="AH62">ROUND(IFERROR(INDEX(ArchiveResults!$F$5:$IX$116,ComparisonData!A62,ComparisonData!$AH$1),0),5)</f>
        <v>0</v>
      </c>
      <c r="AI62" s="56">
        <v>57</v>
      </c>
      <c r="AJ62" s="53" t="str">
        <f t="shared" si="535"/>
        <v>Norfolk Record Office</v>
      </c>
      <c r="AK62" s="59">
        <f t="shared" si="536"/>
        <v>0</v>
      </c>
      <c r="AL62" s="59">
        <f t="shared" si="537"/>
        <v>0</v>
      </c>
      <c r="AM62" s="58">
        <f t="shared" si="127"/>
        <v>0</v>
      </c>
      <c r="AN62" s="45">
        <f t="shared" si="128"/>
        <v>111</v>
      </c>
      <c r="AO62" s="54">
        <f t="shared" si="538"/>
        <v>2.9939999999999998</v>
      </c>
      <c r="AP62" s="45">
        <f t="shared" si="129"/>
        <v>1</v>
      </c>
      <c r="AQ62" s="45">
        <f t="shared" si="130"/>
        <v>2</v>
      </c>
      <c r="AR62" s="46" cm="1">
        <f t="array" ref="AR62">ROUND(IFERROR(INDEX(ArchiveResults!$F$5:$IX$116,ComparisonData!A62,ComparisonData!$AR$1),0),5)</f>
        <v>0</v>
      </c>
      <c r="AS62" s="46" cm="1">
        <f t="array" ref="AS62">ROUND(IFERROR(INDEX(ArchiveResults!$F$5:$IX$116,ComparisonData!A62,ComparisonData!$AS$1),0),5)</f>
        <v>0</v>
      </c>
      <c r="AT62" s="46" cm="1">
        <f t="array" ref="AT62">ROUND(IFERROR(INDEX(ArchiveResults!$F$5:$IX$116,ComparisonData!A62,ComparisonData!$AT$1),0),5)</f>
        <v>0</v>
      </c>
      <c r="AU62" s="46" cm="1">
        <f t="array" ref="AU62">ROUND(IFERROR(INDEX(ArchiveResults!$F$5:$IX$116,ComparisonData!A62,ComparisonData!$AU$1),0),5)</f>
        <v>0</v>
      </c>
      <c r="AV62" s="46" cm="1">
        <f t="array" ref="AV62">ROUND(IFERROR(INDEX(ArchiveResults!$F$5:$IX$116,ComparisonData!A62,ComparisonData!$AV$1),0),5)</f>
        <v>0</v>
      </c>
      <c r="AW62" s="46" cm="1">
        <f t="array" ref="AW62">ROUND(IFERROR(INDEX(ArchiveResults!$F$5:$IX$116,ComparisonData!A62,ComparisonData!$AW$1),0),5)</f>
        <v>0</v>
      </c>
      <c r="AX62" s="46" cm="1">
        <f t="array" ref="AX62">ROUND(IFERROR(INDEX(ArchiveResults!$F$5:$IX$116,ComparisonData!A62,ComparisonData!$AX$1),0),5)</f>
        <v>0</v>
      </c>
      <c r="AY62" s="46" cm="1">
        <f t="array" ref="AY62">ROUND(IFERROR(INDEX(ArchiveResults!$F$5:$IX$116,ComparisonData!A62,ComparisonData!$AY$1),0),5)</f>
        <v>0</v>
      </c>
      <c r="AZ62" s="46" cm="1">
        <f t="array" ref="AZ62">ROUND(IFERROR(INDEX(ArchiveResults!$F$5:$IX$116,ComparisonData!A62,ComparisonData!$AZ$1),0),5)</f>
        <v>0</v>
      </c>
      <c r="BA62" s="46" cm="1">
        <f t="array" ref="BA62">ROUND(IFERROR(INDEX(ArchiveResults!$F$5:$IX$116,ComparisonData!A62,ComparisonData!$BA$1),0),5)</f>
        <v>0</v>
      </c>
      <c r="BB62" s="56">
        <v>57</v>
      </c>
      <c r="BC62" s="53" t="str">
        <f t="shared" si="539"/>
        <v>Norfolk Record Office</v>
      </c>
      <c r="BD62" s="60">
        <f t="shared" si="131"/>
        <v>0</v>
      </c>
      <c r="BE62" s="60">
        <f t="shared" si="132"/>
        <v>0</v>
      </c>
      <c r="BF62" s="60">
        <f t="shared" si="133"/>
        <v>0</v>
      </c>
      <c r="BG62" s="60">
        <f t="shared" si="134"/>
        <v>0</v>
      </c>
      <c r="BH62" s="60">
        <f t="shared" si="135"/>
        <v>0</v>
      </c>
      <c r="BI62" s="60">
        <f t="shared" si="136"/>
        <v>0</v>
      </c>
      <c r="BJ62" s="60">
        <f t="shared" si="137"/>
        <v>0</v>
      </c>
      <c r="BK62" s="60">
        <f t="shared" si="138"/>
        <v>0</v>
      </c>
      <c r="BL62" s="60">
        <f t="shared" si="139"/>
        <v>0</v>
      </c>
      <c r="BM62" s="59">
        <f t="shared" si="140"/>
        <v>0</v>
      </c>
      <c r="BN62" s="58">
        <f t="shared" si="141"/>
        <v>0</v>
      </c>
      <c r="BO62" s="45">
        <f t="shared" si="142"/>
        <v>111</v>
      </c>
      <c r="BP62" s="54">
        <f t="shared" si="540"/>
        <v>2.9939999999999998</v>
      </c>
      <c r="BQ62" s="45">
        <f t="shared" si="143"/>
        <v>1</v>
      </c>
      <c r="BR62" s="45">
        <f t="shared" si="144"/>
        <v>2</v>
      </c>
      <c r="BS62" s="46" cm="1">
        <f t="array" ref="BS62">ROUND(IFERROR(INDEX(ArchiveResults!$F$5:$IX$116,ComparisonData!A62,ComparisonData!$BS$1),0),5)</f>
        <v>0</v>
      </c>
      <c r="BT62" s="46" cm="1">
        <f t="array" ref="BT62">ROUND(IFERROR(INDEX(ArchiveResults!$F$5:$IX$116,ComparisonData!A62,ComparisonData!$BT$1),0),5)</f>
        <v>0</v>
      </c>
      <c r="BU62" s="46" cm="1">
        <f t="array" ref="BU62">ROUND(IFERROR(INDEX(ArchiveResults!$F$5:$IX$116,ComparisonData!A62,ComparisonData!$BU$1),0),5)</f>
        <v>0</v>
      </c>
      <c r="BV62" s="46" cm="1">
        <f t="array" ref="BV62">ROUND(IFERROR(INDEX(ArchiveResults!$F$5:$IX$116,ComparisonData!A62,ComparisonData!$BV$1),0),5)</f>
        <v>0</v>
      </c>
      <c r="BW62" s="46" cm="1">
        <f t="array" ref="BW62">ROUND(IFERROR(INDEX(ArchiveResults!$F$5:$IX$116,ComparisonData!A62,ComparisonData!$BW$1),0),5)</f>
        <v>0</v>
      </c>
      <c r="BX62" s="46" cm="1">
        <f t="array" ref="BX62">ROUND(IFERROR(INDEX(ArchiveResults!$F$5:$IX$116,ComparisonData!A62,ComparisonData!$BX$1),0),5)</f>
        <v>0</v>
      </c>
      <c r="BY62" s="56">
        <v>57</v>
      </c>
      <c r="BZ62" s="53" t="str">
        <f t="shared" si="541"/>
        <v>Norfolk Record Office</v>
      </c>
      <c r="CA62" s="59">
        <f t="shared" si="145"/>
        <v>0</v>
      </c>
      <c r="CB62" s="59">
        <f t="shared" si="146"/>
        <v>0</v>
      </c>
      <c r="CC62" s="59">
        <f t="shared" si="147"/>
        <v>0</v>
      </c>
      <c r="CD62" s="59">
        <f t="shared" si="148"/>
        <v>0</v>
      </c>
      <c r="CE62" s="59">
        <f t="shared" si="149"/>
        <v>0</v>
      </c>
      <c r="CF62" s="59">
        <f t="shared" si="150"/>
        <v>0</v>
      </c>
      <c r="CG62" s="58">
        <f t="shared" si="151"/>
        <v>0</v>
      </c>
      <c r="CH62" s="45">
        <f t="shared" si="152"/>
        <v>111</v>
      </c>
      <c r="CI62" s="54">
        <f t="shared" si="542"/>
        <v>2.9939999999999998</v>
      </c>
      <c r="CJ62" s="45">
        <f t="shared" si="153"/>
        <v>1</v>
      </c>
      <c r="CK62" s="45">
        <f t="shared" si="154"/>
        <v>2</v>
      </c>
      <c r="CL62" s="46" cm="1">
        <f t="array" ref="CL62">ROUND(IFERROR(INDEX(ArchiveResults!$F$5:$IX$116,ComparisonData!A62,ComparisonData!$CL$1),0),5)</f>
        <v>0</v>
      </c>
      <c r="CM62" s="56">
        <v>57</v>
      </c>
      <c r="CN62" s="53" t="str">
        <f t="shared" si="543"/>
        <v>Norfolk Record Office</v>
      </c>
      <c r="CO62" s="45">
        <f t="shared" si="155"/>
        <v>0</v>
      </c>
      <c r="CP62" s="58">
        <f t="shared" si="156"/>
        <v>0</v>
      </c>
      <c r="CQ62" s="45">
        <f t="shared" si="157"/>
        <v>111</v>
      </c>
      <c r="CR62" s="54">
        <f t="shared" si="544"/>
        <v>2.9939999999999998</v>
      </c>
      <c r="CS62" s="45">
        <f t="shared" si="158"/>
        <v>1</v>
      </c>
      <c r="CT62" s="45">
        <f t="shared" si="159"/>
        <v>2</v>
      </c>
      <c r="CU62" s="46" cm="1">
        <f t="array" ref="CU62">ROUND(IFERROR(INDEX(ArchiveResults!$F$5:$IX$116,ComparisonData!A62,ComparisonData!$CU$1),0),5)</f>
        <v>0</v>
      </c>
      <c r="CV62" s="56">
        <v>57</v>
      </c>
      <c r="CW62" s="53" t="str">
        <f t="shared" si="545"/>
        <v>Norfolk Record Office</v>
      </c>
      <c r="CX62" s="45">
        <f t="shared" si="160"/>
        <v>0</v>
      </c>
      <c r="CY62" s="58">
        <f t="shared" si="161"/>
        <v>0</v>
      </c>
      <c r="CZ62" s="45">
        <f t="shared" si="162"/>
        <v>111</v>
      </c>
      <c r="DA62" s="54">
        <f t="shared" si="546"/>
        <v>2.9939999999999998</v>
      </c>
      <c r="DB62" s="45">
        <f t="shared" si="163"/>
        <v>1</v>
      </c>
      <c r="DC62" s="45">
        <f t="shared" si="164"/>
        <v>2</v>
      </c>
      <c r="DD62" s="46" cm="1">
        <f t="array" ref="DD62">ROUND(IFERROR(INDEX(ArchiveResults!$F$5:$IX$116,ComparisonData!A62,ComparisonData!$DD$1),0),5)</f>
        <v>0</v>
      </c>
      <c r="DE62" s="56">
        <v>57</v>
      </c>
      <c r="DF62" s="53" t="str">
        <f t="shared" si="547"/>
        <v>Norfolk Record Office</v>
      </c>
      <c r="DG62" s="45">
        <f t="shared" si="165"/>
        <v>0</v>
      </c>
      <c r="DH62" s="58">
        <f t="shared" si="166"/>
        <v>0</v>
      </c>
      <c r="DI62" s="45">
        <f t="shared" si="167"/>
        <v>111</v>
      </c>
      <c r="DJ62" s="54">
        <f t="shared" si="548"/>
        <v>2.9939999999999998</v>
      </c>
      <c r="DK62" s="45">
        <f t="shared" si="168"/>
        <v>1</v>
      </c>
      <c r="DL62" s="45">
        <f t="shared" si="169"/>
        <v>2</v>
      </c>
      <c r="DM62" s="46" cm="1">
        <f t="array" ref="DM62">ROUND(IFERROR(INDEX(ArchiveResults!$F$5:$IX$116,ComparisonData!A62,ComparisonData!$DM$1),0),5)</f>
        <v>0</v>
      </c>
      <c r="DN62" s="46" cm="1">
        <f t="array" ref="DN62">ROUND(IFERROR(INDEX(ArchiveResults!$F$5:$IX$116,ComparisonData!A62,ComparisonData!$DN$1),0),5)</f>
        <v>0</v>
      </c>
      <c r="DO62" s="46" cm="1">
        <f t="array" ref="DO62">ROUND(IFERROR(INDEX(ArchiveResults!$F$5:$IX$116,ComparisonData!A62,ComparisonData!$DO$1),0),5)</f>
        <v>0</v>
      </c>
      <c r="DP62" s="46" cm="1">
        <f t="array" ref="DP62">ROUND(IFERROR(INDEX(ArchiveResults!$F$5:$IX$116,ComparisonData!A62,ComparisonData!$DP$1),0),5)</f>
        <v>0</v>
      </c>
      <c r="DQ62" s="45" cm="1">
        <f t="array" ref="DQ62">IFERROR(INDEX(ArchiveResults!$F$5:$IX$116,ComparisonData!A62,ComparisonData!$DQ$1),0)</f>
        <v>0</v>
      </c>
      <c r="DR62" s="56">
        <v>57</v>
      </c>
      <c r="DS62" s="53" t="str">
        <f t="shared" si="549"/>
        <v>Norfolk Record Office</v>
      </c>
      <c r="DT62" s="59">
        <f t="shared" si="170"/>
        <v>0</v>
      </c>
      <c r="DU62" s="59">
        <f t="shared" si="171"/>
        <v>0</v>
      </c>
      <c r="DV62" s="59">
        <f t="shared" si="172"/>
        <v>0</v>
      </c>
      <c r="DW62" s="59">
        <f t="shared" si="173"/>
        <v>0</v>
      </c>
      <c r="DX62" s="59">
        <f t="shared" si="174"/>
        <v>0</v>
      </c>
      <c r="DY62" s="58">
        <f t="shared" si="175"/>
        <v>0</v>
      </c>
      <c r="DZ62" s="45">
        <f t="shared" si="176"/>
        <v>111</v>
      </c>
      <c r="EA62" s="54">
        <f t="shared" si="550"/>
        <v>2.9939999999999998</v>
      </c>
      <c r="EB62" s="45">
        <f t="shared" si="177"/>
        <v>1</v>
      </c>
      <c r="EC62" s="45">
        <f t="shared" si="178"/>
        <v>2</v>
      </c>
      <c r="ED62" s="46" cm="1">
        <f t="array" ref="ED62">ROUND(IFERROR(INDEX(ArchiveResults!$F$5:$IX$116,ComparisonData!A62,ComparisonData!$ED$1),0),5)</f>
        <v>0</v>
      </c>
      <c r="EE62" s="46" cm="1">
        <f t="array" ref="EE62">ROUND(IFERROR(INDEX(ArchiveResults!$F$5:$IX$116,ComparisonData!A62,ComparisonData!$EE$1),0),5)</f>
        <v>0</v>
      </c>
      <c r="EF62" s="46" cm="1">
        <f t="array" ref="EF62">ROUND(IFERROR(INDEX(ArchiveResults!$F$5:$IX$116,ComparisonData!A62,ComparisonData!$EF$1),0),5)</f>
        <v>0</v>
      </c>
      <c r="EG62" s="46" cm="1">
        <f t="array" ref="EG62">ROUND(IFERROR(INDEX(ArchiveResults!$F$5:$IX$116,ComparisonData!A62,ComparisonData!$EG$1),0),5)</f>
        <v>0</v>
      </c>
      <c r="EH62" s="45" cm="1">
        <f t="array" ref="EH62">IFERROR(INDEX(ArchiveResults!$F$5:$IX$116,ComparisonData!A62,ComparisonData!$EH$1),0)</f>
        <v>0</v>
      </c>
      <c r="EI62" s="56">
        <v>57</v>
      </c>
      <c r="EJ62" s="53" t="str">
        <f t="shared" si="551"/>
        <v>Norfolk Record Office</v>
      </c>
      <c r="EK62" s="59">
        <f t="shared" si="179"/>
        <v>0</v>
      </c>
      <c r="EL62" s="59">
        <f t="shared" si="180"/>
        <v>0</v>
      </c>
      <c r="EM62" s="59">
        <f t="shared" si="181"/>
        <v>0</v>
      </c>
      <c r="EN62" s="59">
        <f t="shared" si="182"/>
        <v>0</v>
      </c>
      <c r="EO62" s="59">
        <f t="shared" si="183"/>
        <v>0</v>
      </c>
      <c r="EP62" s="58">
        <f t="shared" si="184"/>
        <v>0</v>
      </c>
      <c r="EQ62" s="45">
        <f t="shared" si="185"/>
        <v>111</v>
      </c>
      <c r="ER62" s="54">
        <f t="shared" si="552"/>
        <v>2.9939999999999998</v>
      </c>
      <c r="ES62" s="45">
        <f t="shared" si="186"/>
        <v>1</v>
      </c>
      <c r="ET62" s="45">
        <f t="shared" si="187"/>
        <v>2</v>
      </c>
      <c r="EU62" s="46" cm="1">
        <f t="array" ref="EU62">ROUND(IFERROR(INDEX(ArchiveResults!$F$5:$IX$116,ComparisonData!A62,ComparisonData!$EU$1),0),5)</f>
        <v>0</v>
      </c>
      <c r="EV62" s="46" cm="1">
        <f t="array" ref="EV62">ROUND(IFERROR(INDEX(ArchiveResults!$F$5:$IX$116,ComparisonData!A62,ComparisonData!$EV$1),0),5)</f>
        <v>0</v>
      </c>
      <c r="EW62" s="46" cm="1">
        <f t="array" ref="EW62">ROUND(IFERROR(INDEX(ArchiveResults!$F$5:$IX$116,ComparisonData!A62,ComparisonData!$EW$1),0),5)</f>
        <v>0</v>
      </c>
      <c r="EX62" s="46" cm="1">
        <f t="array" ref="EX62">ROUND(IFERROR(INDEX(ArchiveResults!$F$5:$IX$116,ComparisonData!A62,ComparisonData!$EX$1),0),5)</f>
        <v>0</v>
      </c>
      <c r="EY62" s="45" cm="1">
        <f t="array" ref="EY62">IFERROR(INDEX(ArchiveResults!$F$5:$IX$116,ComparisonData!A62,ComparisonData!$EY$1),0)</f>
        <v>0</v>
      </c>
      <c r="EZ62" s="56">
        <v>57</v>
      </c>
      <c r="FA62" s="53" t="str">
        <f t="shared" si="553"/>
        <v>Norfolk Record Office</v>
      </c>
      <c r="FB62" s="59">
        <f t="shared" si="188"/>
        <v>0</v>
      </c>
      <c r="FC62" s="59">
        <f t="shared" si="189"/>
        <v>0</v>
      </c>
      <c r="FD62" s="59">
        <f t="shared" si="190"/>
        <v>0</v>
      </c>
      <c r="FE62" s="59">
        <f t="shared" si="191"/>
        <v>0</v>
      </c>
      <c r="FF62" s="59">
        <f t="shared" si="192"/>
        <v>0</v>
      </c>
      <c r="FG62" s="58">
        <f t="shared" si="193"/>
        <v>0</v>
      </c>
      <c r="FH62" s="45">
        <f t="shared" si="194"/>
        <v>111</v>
      </c>
      <c r="FI62" s="54">
        <f t="shared" si="554"/>
        <v>2.9939999999999998</v>
      </c>
      <c r="FJ62" s="45">
        <f t="shared" si="195"/>
        <v>1</v>
      </c>
      <c r="FK62" s="45">
        <f t="shared" si="196"/>
        <v>2</v>
      </c>
      <c r="FL62" s="46" cm="1">
        <f t="array" ref="FL62">ROUND(IFERROR(INDEX(ArchiveResults!$F$5:$IX$116,ComparisonData!A62,ComparisonData!$FL$1),0),5)</f>
        <v>0</v>
      </c>
      <c r="FM62" s="46" cm="1">
        <f t="array" ref="FM62">ROUND(IFERROR(INDEX(ArchiveResults!$F$5:$IX$116,ComparisonData!A62,ComparisonData!$FM$1),0),5)</f>
        <v>0</v>
      </c>
      <c r="FN62" s="46" cm="1">
        <f t="array" ref="FN62">ROUND(IFERROR(INDEX(ArchiveResults!$F$5:$IX$116,ComparisonData!A62,ComparisonData!$FN$1),0),5)</f>
        <v>0</v>
      </c>
      <c r="FO62" s="46" cm="1">
        <f t="array" ref="FO62">ROUND(IFERROR(INDEX(ArchiveResults!$F$5:$IX$116,ComparisonData!A62,ComparisonData!$FO$1),0),5)</f>
        <v>0</v>
      </c>
      <c r="FP62" s="45" cm="1">
        <f t="array" ref="FP62">IFERROR(INDEX(ArchiveResults!$F$5:$IX$116,ComparisonData!A62,ComparisonData!$FP$1),0)</f>
        <v>0</v>
      </c>
      <c r="FQ62" s="56">
        <v>57</v>
      </c>
      <c r="FR62" s="53" t="str">
        <f t="shared" si="555"/>
        <v>Norfolk Record Office</v>
      </c>
      <c r="FS62" s="59">
        <f t="shared" si="197"/>
        <v>0</v>
      </c>
      <c r="FT62" s="59">
        <f t="shared" si="198"/>
        <v>0</v>
      </c>
      <c r="FU62" s="59">
        <f t="shared" si="199"/>
        <v>0</v>
      </c>
      <c r="FV62" s="59">
        <f t="shared" si="200"/>
        <v>0</v>
      </c>
      <c r="FW62" s="59">
        <f t="shared" si="201"/>
        <v>0</v>
      </c>
      <c r="FX62" s="58">
        <f t="shared" si="202"/>
        <v>0</v>
      </c>
      <c r="FY62" s="45">
        <f t="shared" si="203"/>
        <v>111</v>
      </c>
      <c r="FZ62" s="45">
        <f t="shared" si="556"/>
        <v>2.9939999999999998</v>
      </c>
      <c r="GA62" s="45">
        <f t="shared" si="204"/>
        <v>1</v>
      </c>
      <c r="GB62" s="45">
        <f t="shared" si="205"/>
        <v>2</v>
      </c>
      <c r="GC62" s="46" cm="1">
        <f t="array" ref="GC62">ROUND(IFERROR(INDEX(ArchiveResults!$F$5:$IX$116,ComparisonData!A62,ComparisonData!$GC$1),0),5)</f>
        <v>0</v>
      </c>
      <c r="GD62" s="46" cm="1">
        <f t="array" ref="GD62">ROUND(IFERROR(INDEX(ArchiveResults!$F$5:$IX$116,ComparisonData!A62,ComparisonData!$GD$1),0),5)</f>
        <v>0</v>
      </c>
      <c r="GE62" s="46" cm="1">
        <f t="array" ref="GE62">ROUND(IFERROR(INDEX(ArchiveResults!$F$5:$IX$116,ComparisonData!A62,ComparisonData!$GE$1),0),5)</f>
        <v>0</v>
      </c>
      <c r="GF62" s="46" cm="1">
        <f t="array" ref="GF62">ROUND(IFERROR(INDEX(ArchiveResults!$F$5:$IX$116,ComparisonData!A62,ComparisonData!$GF$1),0),5)</f>
        <v>0</v>
      </c>
      <c r="GG62" s="45" cm="1">
        <f t="array" ref="GG62">IFERROR(INDEX(ArchiveResults!$F$5:$IX$116,ComparisonData!A62,ComparisonData!$GG$1),0)</f>
        <v>0</v>
      </c>
      <c r="GH62" s="56">
        <v>57</v>
      </c>
      <c r="GI62" s="53" t="str">
        <f t="shared" si="557"/>
        <v>Norfolk Record Office</v>
      </c>
      <c r="GJ62" s="59">
        <f t="shared" si="206"/>
        <v>0</v>
      </c>
      <c r="GK62" s="59">
        <f t="shared" si="207"/>
        <v>0</v>
      </c>
      <c r="GL62" s="59">
        <f t="shared" si="208"/>
        <v>0</v>
      </c>
      <c r="GM62" s="59">
        <f t="shared" si="209"/>
        <v>0</v>
      </c>
      <c r="GN62" s="59">
        <f t="shared" si="210"/>
        <v>0</v>
      </c>
      <c r="GO62" s="58">
        <f t="shared" si="211"/>
        <v>0</v>
      </c>
      <c r="GP62" s="45">
        <f t="shared" si="212"/>
        <v>111</v>
      </c>
      <c r="GQ62" s="45">
        <f t="shared" si="558"/>
        <v>2.9939999999999998</v>
      </c>
      <c r="GR62" s="45">
        <f t="shared" si="213"/>
        <v>1</v>
      </c>
      <c r="GS62" s="45">
        <f t="shared" si="214"/>
        <v>2</v>
      </c>
      <c r="GT62" s="46" cm="1">
        <f t="array" ref="GT62">ROUND(IFERROR(INDEX(ArchiveResults!$F$5:$IX$116,ComparisonData!A62,ComparisonData!$GT$1),0),5)</f>
        <v>0</v>
      </c>
      <c r="GU62" s="46" cm="1">
        <f t="array" ref="GU62">ROUND(IFERROR(INDEX(ArchiveResults!$F$5:$IX$116,ComparisonData!A62,ComparisonData!$GU$1),0),5)</f>
        <v>0</v>
      </c>
      <c r="GV62" s="46" cm="1">
        <f t="array" ref="GV62">ROUND(IFERROR(INDEX(ArchiveResults!$F$5:$IX$116,ComparisonData!A62,ComparisonData!$GV$1),0),5)</f>
        <v>0</v>
      </c>
      <c r="GW62" s="46" cm="1">
        <f t="array" ref="GW62">ROUND(IFERROR(INDEX(ArchiveResults!$F$5:$IX$116,ComparisonData!A62,ComparisonData!$GW$1),0),5)</f>
        <v>0</v>
      </c>
      <c r="GX62" s="45" cm="1">
        <f t="array" ref="GX62">IFERROR(INDEX(ArchiveResults!$F$5:$IX$116,ComparisonData!A62,ComparisonData!$GX$1),0)</f>
        <v>0</v>
      </c>
      <c r="GY62" s="56">
        <v>57</v>
      </c>
      <c r="GZ62" s="53" t="str">
        <f t="shared" si="559"/>
        <v>Norfolk Record Office</v>
      </c>
      <c r="HA62" s="59">
        <f t="shared" si="215"/>
        <v>0</v>
      </c>
      <c r="HB62" s="59">
        <f t="shared" si="216"/>
        <v>0</v>
      </c>
      <c r="HC62" s="59">
        <f t="shared" si="217"/>
        <v>0</v>
      </c>
      <c r="HD62" s="59">
        <f t="shared" si="218"/>
        <v>0</v>
      </c>
      <c r="HE62" s="59">
        <f t="shared" si="219"/>
        <v>0</v>
      </c>
      <c r="HF62" s="58">
        <f t="shared" si="220"/>
        <v>0</v>
      </c>
      <c r="HG62" s="45">
        <f t="shared" si="221"/>
        <v>111</v>
      </c>
      <c r="HH62" s="45">
        <f t="shared" si="560"/>
        <v>2.9939999999999998</v>
      </c>
      <c r="HI62" s="45">
        <f t="shared" si="222"/>
        <v>1</v>
      </c>
      <c r="HJ62" s="45">
        <f t="shared" si="223"/>
        <v>2</v>
      </c>
      <c r="HK62" s="46" cm="1">
        <f t="array" ref="HK62">ROUND(IFERROR(INDEX(ArchiveResults!$F$5:$IX$116,ComparisonData!A62,ComparisonData!$HK$1),0),5)</f>
        <v>0</v>
      </c>
      <c r="HL62" s="46" cm="1">
        <f t="array" ref="HL62">ROUND(IFERROR(INDEX(ArchiveResults!$F$5:$IX$116,ComparisonData!A62,ComparisonData!$HL$1),0),5)</f>
        <v>0</v>
      </c>
      <c r="HM62" s="46" cm="1">
        <f t="array" ref="HM62">ROUND(IFERROR(INDEX(ArchiveResults!$F$5:$IX$116,ComparisonData!A62,ComparisonData!$HM$1),0),5)</f>
        <v>0</v>
      </c>
      <c r="HN62" s="46" cm="1">
        <f t="array" ref="HN62">ROUND(IFERROR(INDEX(ArchiveResults!$F$5:$IX$116,ComparisonData!A62,ComparisonData!$HN$1),0),5)</f>
        <v>0</v>
      </c>
      <c r="HO62" s="45" cm="1">
        <f t="array" ref="HO62">IFERROR(INDEX(ArchiveResults!$F$5:$IX$116,ComparisonData!A62,ComparisonData!$HO$1),0)</f>
        <v>0</v>
      </c>
      <c r="HP62" s="56">
        <v>57</v>
      </c>
      <c r="HQ62" s="53" t="str">
        <f t="shared" si="561"/>
        <v>Norfolk Record Office</v>
      </c>
      <c r="HR62" s="59">
        <f t="shared" si="562"/>
        <v>0</v>
      </c>
      <c r="HS62" s="59">
        <f t="shared" si="563"/>
        <v>0</v>
      </c>
      <c r="HT62" s="59">
        <f t="shared" si="564"/>
        <v>0</v>
      </c>
      <c r="HU62" s="59">
        <f t="shared" si="565"/>
        <v>0</v>
      </c>
      <c r="HV62" s="59">
        <f t="shared" si="566"/>
        <v>0</v>
      </c>
      <c r="HW62" s="58">
        <f t="shared" si="224"/>
        <v>0</v>
      </c>
      <c r="HX62" s="45">
        <f t="shared" si="225"/>
        <v>111</v>
      </c>
      <c r="HY62" s="45">
        <f t="shared" si="567"/>
        <v>2.9939999999999998</v>
      </c>
      <c r="HZ62" s="45">
        <f t="shared" si="226"/>
        <v>1</v>
      </c>
      <c r="IA62" s="45">
        <f t="shared" si="227"/>
        <v>2</v>
      </c>
      <c r="IB62" s="45">
        <f t="shared" si="228"/>
        <v>0</v>
      </c>
      <c r="IC62" s="46" cm="1">
        <f t="array" ref="IC62">ROUND(IFERROR(INDEX(ArchiveResults!$F$5:$IX$116,ComparisonData!A62,ComparisonData!$IC$1),0),5)</f>
        <v>0</v>
      </c>
      <c r="ID62" s="46" cm="1">
        <f t="array" ref="ID62">ROUND(IFERROR(INDEX(ArchiveResults!$F$5:$IX$116,ComparisonData!A62,ComparisonData!$ID$1),0),5)</f>
        <v>0</v>
      </c>
      <c r="IE62" s="46" cm="1">
        <f t="array" ref="IE62">ROUND(IFERROR(INDEX(ArchiveResults!$F$5:$IX$116,ComparisonData!A62,ComparisonData!$IE$1),0),5)</f>
        <v>0</v>
      </c>
      <c r="IF62" s="46" cm="1">
        <f t="array" ref="IF62">ROUND(IFERROR(INDEX(ArchiveResults!$F$5:$IX$116,ComparisonData!A62,ComparisonData!$IF$1),0),5)</f>
        <v>0</v>
      </c>
      <c r="IG62" s="45" cm="1">
        <f t="array" ref="IG62">IFERROR(INDEX(ArchiveResults!$F$5:$IX$116,ComparisonData!A62,ComparisonData!$IG$1),0)</f>
        <v>0</v>
      </c>
      <c r="IH62" s="56">
        <v>57</v>
      </c>
      <c r="II62" s="53" t="str">
        <f t="shared" si="568"/>
        <v>Norfolk Record Office</v>
      </c>
      <c r="IJ62" s="59">
        <f t="shared" si="229"/>
        <v>0</v>
      </c>
      <c r="IK62" s="59">
        <f t="shared" si="230"/>
        <v>0</v>
      </c>
      <c r="IL62" s="59">
        <f t="shared" si="231"/>
        <v>0</v>
      </c>
      <c r="IM62" s="59">
        <f t="shared" si="232"/>
        <v>0</v>
      </c>
      <c r="IN62" s="59">
        <f t="shared" si="233"/>
        <v>0</v>
      </c>
      <c r="IO62" s="58">
        <f t="shared" si="234"/>
        <v>0</v>
      </c>
      <c r="IP62" s="45">
        <f t="shared" si="235"/>
        <v>111</v>
      </c>
      <c r="IQ62" s="45">
        <f t="shared" si="569"/>
        <v>2.9939999999999998</v>
      </c>
      <c r="IR62" s="45">
        <f t="shared" si="236"/>
        <v>1</v>
      </c>
      <c r="IS62" s="45">
        <f t="shared" si="237"/>
        <v>2</v>
      </c>
      <c r="IT62" s="46">
        <f t="shared" si="238"/>
        <v>0</v>
      </c>
      <c r="IU62" s="46" cm="1">
        <f t="array" ref="IU62">ROUND(IFERROR(INDEX(ArchiveResults!$F$5:$IX$116,ComparisonData!A62,ComparisonData!$IU$1),0),5)</f>
        <v>0</v>
      </c>
      <c r="IV62" s="46" cm="1">
        <f t="array" ref="IV62">ROUND(IFERROR(INDEX(ArchiveResults!$F$5:$IX$116,ComparisonData!A62,ComparisonData!$IV$1),0),5)</f>
        <v>0</v>
      </c>
      <c r="IW62" s="46" cm="1">
        <f t="array" ref="IW62">ROUND(IFERROR(INDEX(ArchiveResults!$F$5:$IX$116,ComparisonData!A62,ComparisonData!$IW$1),0),5)</f>
        <v>0</v>
      </c>
      <c r="IX62" s="46" cm="1">
        <f t="array" ref="IX62">ROUND(IFERROR(INDEX(ArchiveResults!$F$5:$IX$116,ComparisonData!A62,ComparisonData!$IX$1),0),5)</f>
        <v>0</v>
      </c>
      <c r="IY62" s="45" cm="1">
        <f t="array" ref="IY62">IFERROR(INDEX(ArchiveResults!$F$5:$IX$116,ComparisonData!A62,ComparisonData!$IY$1),0)</f>
        <v>0</v>
      </c>
      <c r="IZ62" s="56">
        <v>57</v>
      </c>
      <c r="JA62" s="53" t="str">
        <f t="shared" si="570"/>
        <v>Norfolk Record Office</v>
      </c>
      <c r="JB62" s="59">
        <f t="shared" si="239"/>
        <v>0</v>
      </c>
      <c r="JC62" s="59">
        <f t="shared" si="240"/>
        <v>0</v>
      </c>
      <c r="JD62" s="59">
        <f t="shared" si="241"/>
        <v>0</v>
      </c>
      <c r="JE62" s="59">
        <f t="shared" si="242"/>
        <v>0</v>
      </c>
      <c r="JF62" s="59">
        <f t="shared" si="243"/>
        <v>0</v>
      </c>
      <c r="JG62" s="58">
        <f t="shared" si="244"/>
        <v>0</v>
      </c>
      <c r="JH62" s="45">
        <f t="shared" si="245"/>
        <v>111</v>
      </c>
      <c r="JI62" s="45">
        <f t="shared" si="571"/>
        <v>2.9939999999999998</v>
      </c>
      <c r="JJ62" s="45">
        <f t="shared" si="246"/>
        <v>1</v>
      </c>
      <c r="JK62" s="45">
        <f t="shared" si="247"/>
        <v>2</v>
      </c>
      <c r="JL62" s="45">
        <f t="shared" si="248"/>
        <v>0</v>
      </c>
      <c r="JM62" s="46" cm="1">
        <f t="array" ref="JM62">ROUND(IFERROR(INDEX(ArchiveResults!$F$5:$IX$116,ComparisonData!A62,ComparisonData!$JM$1),0),5)</f>
        <v>0</v>
      </c>
      <c r="JN62" s="46" cm="1">
        <f t="array" ref="JN62">ROUND(IFERROR(INDEX(ArchiveResults!$F$5:$IX$116,ComparisonData!A62,ComparisonData!$JN$1),0),5)</f>
        <v>0</v>
      </c>
      <c r="JO62" s="46" cm="1">
        <f t="array" ref="JO62">ROUND(IFERROR(INDEX(ArchiveResults!$F$5:$IX$116,ComparisonData!A62,ComparisonData!$JO$1),0),5)</f>
        <v>0</v>
      </c>
      <c r="JP62" s="46" cm="1">
        <f t="array" ref="JP62">ROUND(IFERROR(INDEX(ArchiveResults!$F$5:$IX$116,ComparisonData!A62,ComparisonData!$JP$1),0),5)</f>
        <v>0</v>
      </c>
      <c r="JQ62" s="45" cm="1">
        <f t="array" ref="JQ62">IFERROR(INDEX(ArchiveResults!$F$5:$IX$116,ComparisonData!A62,ComparisonData!$JQ$1),0)</f>
        <v>0</v>
      </c>
      <c r="JR62" s="56">
        <v>57</v>
      </c>
      <c r="JS62" s="53" t="str">
        <f t="shared" si="572"/>
        <v>Norfolk Record Office</v>
      </c>
      <c r="JT62" s="59">
        <f t="shared" si="249"/>
        <v>0</v>
      </c>
      <c r="JU62" s="59">
        <f t="shared" si="250"/>
        <v>0</v>
      </c>
      <c r="JV62" s="59">
        <f t="shared" si="251"/>
        <v>0</v>
      </c>
      <c r="JW62" s="59">
        <f t="shared" si="252"/>
        <v>0</v>
      </c>
      <c r="JX62" s="59">
        <f t="shared" si="253"/>
        <v>0</v>
      </c>
      <c r="JY62" s="58">
        <f t="shared" si="254"/>
        <v>0</v>
      </c>
      <c r="JZ62" s="45">
        <f t="shared" si="255"/>
        <v>111</v>
      </c>
      <c r="KA62" s="45">
        <f t="shared" si="573"/>
        <v>2.9939999999999998</v>
      </c>
      <c r="KB62" s="45">
        <f t="shared" si="256"/>
        <v>1</v>
      </c>
      <c r="KC62" s="45">
        <f t="shared" si="257"/>
        <v>2</v>
      </c>
      <c r="KD62" s="45">
        <f t="shared" si="258"/>
        <v>0</v>
      </c>
      <c r="KE62" s="46" cm="1">
        <f t="array" ref="KE62">ROUND(IFERROR(INDEX(ArchiveResults!$F$5:$IX$116,ComparisonData!A62,ComparisonData!$KE$1),0),5)</f>
        <v>0</v>
      </c>
      <c r="KF62" s="46" cm="1">
        <f t="array" ref="KF62">ROUND(IFERROR(INDEX(ArchiveResults!$F$5:$IX$116,ComparisonData!A62,ComparisonData!$KF$1),0),5)</f>
        <v>0</v>
      </c>
      <c r="KG62" s="46" cm="1">
        <f t="array" ref="KG62">ROUND(IFERROR(INDEX(ArchiveResults!$F$5:$IX$116,ComparisonData!A62,ComparisonData!$KG$1),0),5)</f>
        <v>0</v>
      </c>
      <c r="KH62" s="46" cm="1">
        <f t="array" ref="KH62">ROUND(IFERROR(INDEX(ArchiveResults!$F$5:$IX$116,ComparisonData!A62,ComparisonData!$KH$1),0),5)</f>
        <v>0</v>
      </c>
      <c r="KI62" s="45" cm="1">
        <f t="array" ref="KI62">IFERROR(INDEX(ArchiveResults!$F$5:$IX$116,ComparisonData!A62,ComparisonData!$KI$1),0)</f>
        <v>0</v>
      </c>
      <c r="KJ62" s="56">
        <v>57</v>
      </c>
      <c r="KK62" s="53" t="str">
        <f t="shared" si="574"/>
        <v>Norfolk Record Office</v>
      </c>
      <c r="KL62" s="59">
        <f t="shared" si="259"/>
        <v>0</v>
      </c>
      <c r="KM62" s="59">
        <f t="shared" si="260"/>
        <v>0</v>
      </c>
      <c r="KN62" s="59">
        <f t="shared" si="261"/>
        <v>0</v>
      </c>
      <c r="KO62" s="59">
        <f t="shared" si="262"/>
        <v>0</v>
      </c>
      <c r="KP62" s="59">
        <f t="shared" si="263"/>
        <v>0</v>
      </c>
      <c r="KQ62" s="58">
        <f t="shared" si="264"/>
        <v>0</v>
      </c>
      <c r="KR62" s="45">
        <f t="shared" si="265"/>
        <v>111</v>
      </c>
      <c r="KS62" s="45">
        <f t="shared" si="575"/>
        <v>2.9939999999999998</v>
      </c>
      <c r="KT62" s="45">
        <f t="shared" si="266"/>
        <v>1</v>
      </c>
      <c r="KU62" s="45">
        <f t="shared" si="267"/>
        <v>2</v>
      </c>
      <c r="KV62" s="45">
        <f t="shared" si="268"/>
        <v>0</v>
      </c>
      <c r="KW62" s="46" cm="1">
        <f t="array" ref="KW62">ROUND(IFERROR(INDEX(ArchiveResults!$F$5:$IX$116,ComparisonData!A62,ComparisonData!$KW$1),0),5)</f>
        <v>0</v>
      </c>
      <c r="KX62" s="46" cm="1">
        <f t="array" ref="KX62">ROUND(IFERROR(INDEX(ArchiveResults!$F$5:$IX$116,ComparisonData!A62,ComparisonData!$KX$1),0),5)</f>
        <v>0</v>
      </c>
      <c r="KY62" s="46" cm="1">
        <f t="array" ref="KY62">ROUND(IFERROR(INDEX(ArchiveResults!$F$5:$IX$116,ComparisonData!A62,ComparisonData!$KY$1),0),5)</f>
        <v>0</v>
      </c>
      <c r="KZ62" s="46" cm="1">
        <f t="array" ref="KZ62">ROUND(IFERROR(INDEX(ArchiveResults!$F$5:$IX$116,ComparisonData!A62,ComparisonData!$KZ$1),0),5)</f>
        <v>0</v>
      </c>
      <c r="LA62" s="45" cm="1">
        <f t="array" ref="LA62">IFERROR(INDEX(ArchiveResults!$F$5:$IX$116,ComparisonData!A62,ComparisonData!$LA$1),0)</f>
        <v>0</v>
      </c>
      <c r="LB62" s="56">
        <v>57</v>
      </c>
      <c r="LC62" s="53" t="str">
        <f t="shared" si="576"/>
        <v>Norfolk Record Office</v>
      </c>
      <c r="LD62" s="59">
        <f t="shared" si="269"/>
        <v>0</v>
      </c>
      <c r="LE62" s="59">
        <f t="shared" si="270"/>
        <v>0</v>
      </c>
      <c r="LF62" s="59">
        <f t="shared" si="271"/>
        <v>0</v>
      </c>
      <c r="LG62" s="59">
        <f t="shared" si="272"/>
        <v>0</v>
      </c>
      <c r="LH62" s="59">
        <f t="shared" si="273"/>
        <v>0</v>
      </c>
      <c r="LI62" s="58">
        <f t="shared" si="274"/>
        <v>0</v>
      </c>
      <c r="LJ62" s="45">
        <f t="shared" si="275"/>
        <v>111</v>
      </c>
      <c r="LK62" s="45">
        <f t="shared" si="577"/>
        <v>2.9939999999999998</v>
      </c>
      <c r="LL62" s="45">
        <f t="shared" si="276"/>
        <v>1</v>
      </c>
      <c r="LM62" s="45">
        <f t="shared" si="277"/>
        <v>2</v>
      </c>
      <c r="LN62" s="45">
        <f t="shared" si="278"/>
        <v>0</v>
      </c>
      <c r="LO62" s="46" cm="1">
        <f t="array" ref="LO62">ROUND(IFERROR(INDEX(ArchiveResults!$F$5:$IX$116,ComparisonData!A62,ComparisonData!$LO$1),0),5)</f>
        <v>0</v>
      </c>
      <c r="LP62" s="46" cm="1">
        <f t="array" ref="LP62">ROUND(IFERROR(INDEX(ArchiveResults!$F$5:$IX$116,ComparisonData!A62,ComparisonData!$LP$1),0),5)</f>
        <v>0</v>
      </c>
      <c r="LQ62" s="46" cm="1">
        <f t="array" ref="LQ62">ROUND(IFERROR(INDEX(ArchiveResults!$F$5:$IX$116,ComparisonData!A62,ComparisonData!$LQ$1),0),5)</f>
        <v>0</v>
      </c>
      <c r="LR62" s="46" cm="1">
        <f t="array" ref="LR62">ROUND(IFERROR(INDEX(ArchiveResults!$F$5:$IX$116,ComparisonData!A62,ComparisonData!$LR$1),0),5)</f>
        <v>0</v>
      </c>
      <c r="LS62" s="45" cm="1">
        <f t="array" ref="LS62">IFERROR(INDEX(ArchiveResults!$F$5:$IX$116,ComparisonData!A62,ComparisonData!$LS$1),0)</f>
        <v>0</v>
      </c>
      <c r="LT62" s="56">
        <v>57</v>
      </c>
      <c r="LU62" s="53" t="str">
        <f t="shared" si="578"/>
        <v>Norfolk Record Office</v>
      </c>
      <c r="LV62" s="59">
        <f t="shared" si="279"/>
        <v>0</v>
      </c>
      <c r="LW62" s="59">
        <f t="shared" si="280"/>
        <v>0</v>
      </c>
      <c r="LX62" s="59">
        <f t="shared" si="281"/>
        <v>0</v>
      </c>
      <c r="LY62" s="59">
        <f t="shared" si="282"/>
        <v>0</v>
      </c>
      <c r="LZ62" s="59">
        <f t="shared" si="283"/>
        <v>0</v>
      </c>
      <c r="MA62" s="58">
        <f t="shared" si="284"/>
        <v>0</v>
      </c>
      <c r="MB62" s="45">
        <f t="shared" si="285"/>
        <v>111</v>
      </c>
      <c r="MC62" s="45">
        <f t="shared" si="579"/>
        <v>2.9939999999999998</v>
      </c>
      <c r="MD62" s="45">
        <f t="shared" si="286"/>
        <v>1</v>
      </c>
      <c r="ME62" s="45">
        <f t="shared" si="287"/>
        <v>2</v>
      </c>
      <c r="MF62" s="45">
        <f t="shared" si="288"/>
        <v>0</v>
      </c>
      <c r="MG62" s="46" cm="1">
        <f t="array" ref="MG62">ROUND(IFERROR(INDEX(ArchiveResults!$F$5:$IX$116,ComparisonData!A62,ComparisonData!$MG$1),0),5)</f>
        <v>0</v>
      </c>
      <c r="MH62" s="46" cm="1">
        <f t="array" ref="MH62">ROUND(IFERROR(INDEX(ArchiveResults!$F$5:$IX$116,ComparisonData!A62,ComparisonData!$MH$1),0),5)</f>
        <v>0</v>
      </c>
      <c r="MI62" s="46" cm="1">
        <f t="array" ref="MI62">ROUND(IFERROR(INDEX(ArchiveResults!$F$5:$IX$116,ComparisonData!A62,ComparisonData!$MI$1),0),5)</f>
        <v>0</v>
      </c>
      <c r="MJ62" s="46" cm="1">
        <f t="array" ref="MJ62">ROUND(IFERROR(INDEX(ArchiveResults!$F$5:$IX$116,ComparisonData!A62,ComparisonData!$MJ$1),0),5)</f>
        <v>0</v>
      </c>
      <c r="MK62" s="45" cm="1">
        <f t="array" ref="MK62">IFERROR(INDEX(ArchiveResults!$F$5:$IX$116,ComparisonData!A62,ComparisonData!$MK$1),0)</f>
        <v>0</v>
      </c>
      <c r="ML62" s="56">
        <v>57</v>
      </c>
      <c r="MM62" s="53" t="str">
        <f t="shared" si="580"/>
        <v>Norfolk Record Office</v>
      </c>
      <c r="MN62" s="59">
        <f t="shared" si="289"/>
        <v>0</v>
      </c>
      <c r="MO62" s="59">
        <f t="shared" si="290"/>
        <v>0</v>
      </c>
      <c r="MP62" s="59">
        <f t="shared" si="291"/>
        <v>0</v>
      </c>
      <c r="MQ62" s="59">
        <f t="shared" si="292"/>
        <v>0</v>
      </c>
      <c r="MR62" s="59">
        <f t="shared" si="293"/>
        <v>0</v>
      </c>
      <c r="MS62" s="58">
        <f t="shared" si="294"/>
        <v>0</v>
      </c>
      <c r="MT62" s="45">
        <f t="shared" si="295"/>
        <v>111</v>
      </c>
      <c r="MU62" s="45">
        <f t="shared" si="581"/>
        <v>2.9939999999999998</v>
      </c>
      <c r="MV62" s="45">
        <f t="shared" si="296"/>
        <v>1</v>
      </c>
      <c r="MW62" s="45">
        <f t="shared" si="297"/>
        <v>2</v>
      </c>
      <c r="MX62" s="45">
        <f t="shared" si="298"/>
        <v>0</v>
      </c>
      <c r="MY62" s="46" cm="1">
        <f t="array" ref="MY62">ROUND(IFERROR(INDEX(ArchiveResults!$F$5:$IX$116,ComparisonData!A62,ComparisonData!$MY$1),0),5)</f>
        <v>0</v>
      </c>
      <c r="MZ62" s="46" cm="1">
        <f t="array" ref="MZ62">ROUND(IFERROR(INDEX(ArchiveResults!$F$5:$IX$116,ComparisonData!A62,ComparisonData!$MZ$1),0),5)</f>
        <v>0</v>
      </c>
      <c r="NA62" s="46" cm="1">
        <f t="array" ref="NA62">ROUND(IFERROR(INDEX(ArchiveResults!$F$5:$IX$116,ComparisonData!A62,ComparisonData!$NA$1),0),5)</f>
        <v>0</v>
      </c>
      <c r="NB62" s="46" cm="1">
        <f t="array" ref="NB62">ROUND(IFERROR(INDEX(ArchiveResults!$F$5:$IX$116,ComparisonData!A62,ComparisonData!$NB$1),0),5)</f>
        <v>0</v>
      </c>
      <c r="NC62" s="45" cm="1">
        <f t="array" ref="NC62">IFERROR(INDEX(ArchiveResults!$F$5:$IX$116,ComparisonData!A62,ComparisonData!$NC$1),0)</f>
        <v>0</v>
      </c>
      <c r="ND62" s="56">
        <v>57</v>
      </c>
      <c r="NE62" s="53" t="str">
        <f t="shared" si="582"/>
        <v>Norfolk Record Office</v>
      </c>
      <c r="NF62" s="59">
        <f t="shared" si="299"/>
        <v>0</v>
      </c>
      <c r="NG62" s="59">
        <f t="shared" si="300"/>
        <v>0</v>
      </c>
      <c r="NH62" s="59">
        <f t="shared" si="301"/>
        <v>0</v>
      </c>
      <c r="NI62" s="59">
        <f t="shared" si="302"/>
        <v>0</v>
      </c>
      <c r="NJ62" s="59">
        <f t="shared" si="303"/>
        <v>0</v>
      </c>
      <c r="NK62" s="58">
        <f t="shared" si="304"/>
        <v>0</v>
      </c>
      <c r="NL62" s="45">
        <f t="shared" si="305"/>
        <v>111</v>
      </c>
      <c r="NM62" s="45">
        <f t="shared" si="583"/>
        <v>2.9939999999999998</v>
      </c>
      <c r="NN62" s="45">
        <f t="shared" si="306"/>
        <v>1</v>
      </c>
      <c r="NO62" s="45">
        <f t="shared" si="307"/>
        <v>2</v>
      </c>
      <c r="NP62" s="46" cm="1">
        <f t="array" ref="NP62">ROUND(IFERROR(INDEX(ArchiveResults!$F$5:$IX$116,ComparisonData!A62,ComparisonData!$NP$1),0),5)</f>
        <v>0</v>
      </c>
      <c r="NQ62" s="46" cm="1">
        <f t="array" ref="NQ62">ROUND(IFERROR(INDEX(ArchiveResults!$F$5:$IX$116,ComparisonData!A62,ComparisonData!$NQ$1),0),5)</f>
        <v>0</v>
      </c>
      <c r="NR62" s="46" cm="1">
        <f t="array" ref="NR62">ROUND(IFERROR(INDEX(ArchiveResults!$F$5:$IX$116,ComparisonData!A62,ComparisonData!$NR$1),0),5)</f>
        <v>0</v>
      </c>
      <c r="NS62" s="46" cm="1">
        <f t="array" ref="NS62">ROUND(IFERROR(INDEX(ArchiveResults!$F$5:$IX$116,ComparisonData!A62,ComparisonData!$NS$1),0),5)</f>
        <v>0</v>
      </c>
      <c r="NT62" s="45" cm="1">
        <f t="array" ref="NT62">IFERROR(INDEX(ArchiveResults!$F$5:$IX$116,ComparisonData!A62,ComparisonData!$NT$1),0)</f>
        <v>0</v>
      </c>
      <c r="NU62" s="56">
        <v>57</v>
      </c>
      <c r="NV62" s="53" t="str">
        <f t="shared" si="584"/>
        <v>Norfolk Record Office</v>
      </c>
      <c r="NW62" s="59">
        <f t="shared" si="308"/>
        <v>0</v>
      </c>
      <c r="NX62" s="59">
        <f t="shared" si="309"/>
        <v>0</v>
      </c>
      <c r="NY62" s="59">
        <f t="shared" si="310"/>
        <v>0</v>
      </c>
      <c r="NZ62" s="59">
        <f t="shared" si="311"/>
        <v>0</v>
      </c>
      <c r="OA62" s="59">
        <f t="shared" si="312"/>
        <v>0</v>
      </c>
      <c r="OB62" s="58">
        <f t="shared" si="313"/>
        <v>0</v>
      </c>
      <c r="OC62" s="45">
        <f t="shared" si="314"/>
        <v>111</v>
      </c>
      <c r="OD62" s="45">
        <f t="shared" si="585"/>
        <v>2.9939999999999998</v>
      </c>
      <c r="OE62" s="45">
        <f t="shared" si="315"/>
        <v>1</v>
      </c>
      <c r="OF62" s="45">
        <f t="shared" si="316"/>
        <v>2</v>
      </c>
      <c r="OG62" s="46">
        <f t="shared" si="317"/>
        <v>0</v>
      </c>
      <c r="OH62" s="46" cm="1">
        <f t="array" ref="OH62">ROUND(IFERROR(INDEX(ArchiveResults!$F$5:$IX$116,ComparisonData!A62,ComparisonData!$OH$1),0),5)</f>
        <v>0</v>
      </c>
      <c r="OI62" s="46" cm="1">
        <f t="array" ref="OI62">ROUND(IFERROR(INDEX(ArchiveResults!$F$5:$IX$116,ComparisonData!A62,ComparisonData!$OI$1),0),5)</f>
        <v>0</v>
      </c>
      <c r="OJ62" s="46" cm="1">
        <f t="array" ref="OJ62">ROUND(IFERROR(INDEX(ArchiveResults!$F$5:$IX$116,ComparisonData!A62,ComparisonData!$OJ$1),0),5)</f>
        <v>0</v>
      </c>
      <c r="OK62" s="46" cm="1">
        <f t="array" ref="OK62">ROUND(IFERROR(INDEX(ArchiveResults!$F$5:$IX$116,ComparisonData!A62,ComparisonData!$OK$1),0),5)</f>
        <v>0</v>
      </c>
      <c r="OL62" s="45" cm="1">
        <f t="array" ref="OL62">IFERROR(INDEX(ArchiveResults!$F$5:$IX$116,ComparisonData!A62,ComparisonData!$OL$1),0)</f>
        <v>0</v>
      </c>
      <c r="OM62" s="56">
        <v>57</v>
      </c>
      <c r="ON62" s="53" t="str">
        <f t="shared" si="586"/>
        <v>Norfolk Record Office</v>
      </c>
      <c r="OO62" s="59">
        <f t="shared" si="318"/>
        <v>0</v>
      </c>
      <c r="OP62" s="59">
        <f t="shared" si="319"/>
        <v>0</v>
      </c>
      <c r="OQ62" s="59">
        <f t="shared" si="320"/>
        <v>0</v>
      </c>
      <c r="OR62" s="59">
        <f t="shared" si="321"/>
        <v>0</v>
      </c>
      <c r="OS62" s="59">
        <f t="shared" si="322"/>
        <v>0</v>
      </c>
      <c r="OT62" s="58">
        <f t="shared" si="323"/>
        <v>0</v>
      </c>
      <c r="OU62" s="45">
        <f t="shared" si="324"/>
        <v>111</v>
      </c>
      <c r="OV62" s="45">
        <f t="shared" si="587"/>
        <v>2.9939999999999998</v>
      </c>
      <c r="OW62" s="45">
        <f t="shared" si="325"/>
        <v>1</v>
      </c>
      <c r="OX62" s="45">
        <f t="shared" si="326"/>
        <v>2</v>
      </c>
      <c r="OY62" s="45">
        <f t="shared" si="327"/>
        <v>0</v>
      </c>
      <c r="OZ62" s="46" cm="1">
        <f t="array" ref="OZ62">ROUND(IFERROR(INDEX(ArchiveResults!$F$5:$IX$116,ComparisonData!A62,ComparisonData!$OZ$1),0),5)</f>
        <v>0</v>
      </c>
      <c r="PA62" s="46" cm="1">
        <f t="array" ref="PA62">ROUND(IFERROR(INDEX(ArchiveResults!$F$5:$IX$116,ComparisonData!A62,ComparisonData!$PA$1),0),5)</f>
        <v>0</v>
      </c>
      <c r="PB62" s="46" cm="1">
        <f t="array" ref="PB62">ROUND(IFERROR(INDEX(ArchiveResults!$F$5:$IX$116,ComparisonData!A62,ComparisonData!$PB$1),0),5)</f>
        <v>0</v>
      </c>
      <c r="PC62" s="46" cm="1">
        <f t="array" ref="PC62">ROUND(IFERROR(INDEX(ArchiveResults!$F$5:$IX$116,ComparisonData!A62,ComparisonData!$PC$1),0),5)</f>
        <v>0</v>
      </c>
      <c r="PD62" s="45" cm="1">
        <f t="array" ref="PD62">IFERROR(INDEX(ArchiveResults!$F$5:$IX$116,ComparisonData!A62,ComparisonData!$PD$1),0)</f>
        <v>0</v>
      </c>
      <c r="PE62" s="56">
        <v>57</v>
      </c>
      <c r="PF62" s="53" t="str">
        <f t="shared" si="588"/>
        <v>Norfolk Record Office</v>
      </c>
      <c r="PG62" s="59">
        <f t="shared" si="328"/>
        <v>0</v>
      </c>
      <c r="PH62" s="59">
        <f t="shared" si="329"/>
        <v>0</v>
      </c>
      <c r="PI62" s="59">
        <f t="shared" si="330"/>
        <v>0</v>
      </c>
      <c r="PJ62" s="59">
        <f t="shared" si="331"/>
        <v>0</v>
      </c>
      <c r="PK62" s="59">
        <f t="shared" si="332"/>
        <v>0</v>
      </c>
      <c r="PL62" s="58">
        <f t="shared" si="333"/>
        <v>0</v>
      </c>
      <c r="PM62" s="45">
        <f t="shared" si="334"/>
        <v>111</v>
      </c>
      <c r="PN62" s="45">
        <f t="shared" si="589"/>
        <v>2.9939999999999998</v>
      </c>
      <c r="PO62" s="45">
        <f t="shared" si="335"/>
        <v>1</v>
      </c>
      <c r="PP62" s="45">
        <f t="shared" si="336"/>
        <v>2</v>
      </c>
      <c r="PQ62" s="45">
        <f t="shared" si="337"/>
        <v>0</v>
      </c>
      <c r="PR62" s="46" cm="1">
        <f t="array" ref="PR62">ROUND(IFERROR(INDEX(ArchiveResults!$F$5:$IX$116,ComparisonData!A62,ComparisonData!$PR$1),0),5)</f>
        <v>0</v>
      </c>
      <c r="PS62" s="46" cm="1">
        <f t="array" ref="PS62">ROUND(IFERROR(INDEX(ArchiveResults!$F$5:$IX$116,ComparisonData!A62,ComparisonData!$PS$1),0),5)</f>
        <v>0</v>
      </c>
      <c r="PT62" s="46" cm="1">
        <f t="array" ref="PT62">ROUND(IFERROR(INDEX(ArchiveResults!$F$5:$IX$116,ComparisonData!A62,ComparisonData!$PT$1),0),5)</f>
        <v>0</v>
      </c>
      <c r="PU62" s="46" cm="1">
        <f t="array" ref="PU62">ROUND(IFERROR(INDEX(ArchiveResults!$F$5:$IX$116,ComparisonData!A62,ComparisonData!$PU$1),0),5)</f>
        <v>0</v>
      </c>
      <c r="PV62" s="45" cm="1">
        <f t="array" ref="PV62">IFERROR(INDEX(ArchiveResults!$F$5:$IX$116,ComparisonData!A62,ComparisonData!$PV$1),0)</f>
        <v>0</v>
      </c>
      <c r="PW62" s="56">
        <v>57</v>
      </c>
      <c r="PX62" s="53" t="str">
        <f t="shared" si="590"/>
        <v>Norfolk Record Office</v>
      </c>
      <c r="PY62" s="59">
        <f t="shared" si="338"/>
        <v>0</v>
      </c>
      <c r="PZ62" s="59">
        <f t="shared" si="339"/>
        <v>0</v>
      </c>
      <c r="QA62" s="59">
        <f t="shared" si="340"/>
        <v>0</v>
      </c>
      <c r="QB62" s="59">
        <f t="shared" si="341"/>
        <v>0</v>
      </c>
      <c r="QC62" s="59">
        <f t="shared" si="342"/>
        <v>0</v>
      </c>
      <c r="QD62" s="58">
        <f t="shared" si="343"/>
        <v>0</v>
      </c>
      <c r="QE62" s="45">
        <f t="shared" si="344"/>
        <v>111</v>
      </c>
      <c r="QF62" s="45">
        <f t="shared" si="591"/>
        <v>2.9939999999999998</v>
      </c>
      <c r="QG62" s="45">
        <f t="shared" si="345"/>
        <v>1</v>
      </c>
      <c r="QH62" s="45">
        <f t="shared" si="346"/>
        <v>2</v>
      </c>
      <c r="QI62" s="45">
        <f t="shared" si="347"/>
        <v>0</v>
      </c>
      <c r="QJ62" s="46" cm="1">
        <f t="array" ref="QJ62">ROUND(IFERROR(INDEX(ArchiveResults!$F$5:$IX$116,ComparisonData!A62,ComparisonData!$QJ$1),0),5)</f>
        <v>0</v>
      </c>
      <c r="QK62" s="46" cm="1">
        <f t="array" ref="QK62">ROUND(IFERROR(INDEX(ArchiveResults!$F$5:$IX$116,ComparisonData!A62,ComparisonData!$QK$1),0),5)</f>
        <v>0</v>
      </c>
      <c r="QL62" s="46" cm="1">
        <f t="array" ref="QL62">ROUND(IFERROR(INDEX(ArchiveResults!$F$5:$IX$116,ComparisonData!A62,ComparisonData!$QL$1),0),5)</f>
        <v>0</v>
      </c>
      <c r="QM62" s="46" cm="1">
        <f t="array" ref="QM62">ROUND(IFERROR(INDEX(ArchiveResults!$F$5:$IX$116,ComparisonData!A62,ComparisonData!$QM$1),0),5)</f>
        <v>0</v>
      </c>
      <c r="QN62" s="45" cm="1">
        <f t="array" ref="QN62">IFERROR(INDEX(ArchiveResults!$F$5:$IX$116,ComparisonData!A62,ComparisonData!$QN$1),0)</f>
        <v>0</v>
      </c>
      <c r="QO62" s="56">
        <v>57</v>
      </c>
      <c r="QP62" s="53" t="str">
        <f t="shared" si="592"/>
        <v>Norfolk Record Office</v>
      </c>
      <c r="QQ62" s="59">
        <f t="shared" si="348"/>
        <v>0</v>
      </c>
      <c r="QR62" s="59">
        <f t="shared" si="349"/>
        <v>0</v>
      </c>
      <c r="QS62" s="59">
        <f t="shared" si="350"/>
        <v>0</v>
      </c>
      <c r="QT62" s="59">
        <f t="shared" si="351"/>
        <v>0</v>
      </c>
      <c r="QU62" s="59">
        <f t="shared" si="352"/>
        <v>0</v>
      </c>
      <c r="QV62" s="58">
        <f t="shared" si="353"/>
        <v>0</v>
      </c>
      <c r="QW62" s="45">
        <f t="shared" si="354"/>
        <v>111</v>
      </c>
      <c r="QX62" s="45">
        <f t="shared" si="593"/>
        <v>2.9939999999999998</v>
      </c>
      <c r="QY62" s="45">
        <f t="shared" si="355"/>
        <v>1</v>
      </c>
      <c r="QZ62" s="45">
        <f t="shared" si="356"/>
        <v>2</v>
      </c>
      <c r="RA62" s="45">
        <f t="shared" si="357"/>
        <v>0</v>
      </c>
      <c r="RB62" s="46" cm="1">
        <f t="array" ref="RB62">ROUND(IFERROR(INDEX(ArchiveResults!$F$5:$IX$116,ComparisonData!A62,ComparisonData!$RB$1),0),5)</f>
        <v>0</v>
      </c>
      <c r="RC62" s="46" cm="1">
        <f t="array" ref="RC62">ROUND(IFERROR(INDEX(ArchiveResults!$F$5:$IX$116,ComparisonData!A62,ComparisonData!$RC$1),0),5)</f>
        <v>0</v>
      </c>
      <c r="RD62" s="46" cm="1">
        <f t="array" ref="RD62">ROUND(IFERROR(INDEX(ArchiveResults!$F$5:$IX$116,ComparisonData!A62,ComparisonData!$RD$1),0),5)</f>
        <v>0</v>
      </c>
      <c r="RE62" s="46" cm="1">
        <f t="array" ref="RE62">ROUND(IFERROR(INDEX(ArchiveResults!$F$5:$IX$116,ComparisonData!A62,ComparisonData!$RE$1),0),5)</f>
        <v>0</v>
      </c>
      <c r="RF62" s="45" cm="1">
        <f t="array" ref="RF62">IFERROR(INDEX(ArchiveResults!$F$5:$IX$116,ComparisonData!A62,ComparisonData!$RF$1),0)</f>
        <v>0</v>
      </c>
      <c r="RG62" s="56">
        <v>57</v>
      </c>
      <c r="RH62" s="53" t="str">
        <f t="shared" si="594"/>
        <v>Norfolk Record Office</v>
      </c>
      <c r="RI62" s="59">
        <f t="shared" si="358"/>
        <v>0</v>
      </c>
      <c r="RJ62" s="59">
        <f t="shared" si="359"/>
        <v>0</v>
      </c>
      <c r="RK62" s="59">
        <f t="shared" si="360"/>
        <v>0</v>
      </c>
      <c r="RL62" s="59">
        <f t="shared" si="361"/>
        <v>0</v>
      </c>
      <c r="RM62" s="59">
        <f t="shared" si="362"/>
        <v>0</v>
      </c>
      <c r="RN62" s="58">
        <f t="shared" si="363"/>
        <v>0</v>
      </c>
      <c r="RO62" s="45">
        <f t="shared" si="364"/>
        <v>111</v>
      </c>
      <c r="RP62" s="45">
        <f t="shared" si="595"/>
        <v>2.9939999999999998</v>
      </c>
      <c r="RQ62" s="45">
        <f t="shared" si="365"/>
        <v>1</v>
      </c>
      <c r="RR62" s="45">
        <f t="shared" si="366"/>
        <v>2</v>
      </c>
      <c r="RS62" s="45">
        <f t="shared" si="367"/>
        <v>0</v>
      </c>
      <c r="RT62" s="46" cm="1">
        <f t="array" ref="RT62">ROUND(IFERROR(INDEX(ArchiveResults!$F$5:$IX$116,ComparisonData!A62,ComparisonData!$RT$1),0),5)</f>
        <v>0</v>
      </c>
      <c r="RU62" s="46" cm="1">
        <f t="array" ref="RU62">ROUND(IFERROR(INDEX(ArchiveResults!$F$5:$IX$116,ComparisonData!A62,ComparisonData!$RU$1),0),5)</f>
        <v>0</v>
      </c>
      <c r="RV62" s="46" cm="1">
        <f t="array" ref="RV62">ROUND(IFERROR(INDEX(ArchiveResults!$F$5:$IX$116,ComparisonData!A62,ComparisonData!$RV$1),0),5)</f>
        <v>0</v>
      </c>
      <c r="RW62" s="46" cm="1">
        <f t="array" ref="RW62">ROUND(IFERROR(INDEX(ArchiveResults!$F$5:$IX$116,ComparisonData!A62,ComparisonData!$RW$1),0),5)</f>
        <v>0</v>
      </c>
      <c r="RX62" s="45" cm="1">
        <f t="array" ref="RX62">IFERROR(INDEX(ArchiveResults!$F$5:$IX$116,ComparisonData!A62,ComparisonData!$RX$1),0)</f>
        <v>0</v>
      </c>
      <c r="RY62" s="56">
        <v>57</v>
      </c>
      <c r="RZ62" s="53" t="str">
        <f t="shared" si="596"/>
        <v>Norfolk Record Office</v>
      </c>
      <c r="SA62" s="59">
        <f t="shared" si="368"/>
        <v>0</v>
      </c>
      <c r="SB62" s="59">
        <f t="shared" si="369"/>
        <v>0</v>
      </c>
      <c r="SC62" s="59">
        <f t="shared" si="370"/>
        <v>0</v>
      </c>
      <c r="SD62" s="59">
        <f t="shared" si="371"/>
        <v>0</v>
      </c>
      <c r="SE62" s="59">
        <f t="shared" si="372"/>
        <v>0</v>
      </c>
      <c r="SF62" s="58">
        <f t="shared" si="373"/>
        <v>0</v>
      </c>
      <c r="SG62" s="45">
        <f t="shared" si="374"/>
        <v>111</v>
      </c>
      <c r="SH62" s="45">
        <f t="shared" si="597"/>
        <v>2.9939999999999998</v>
      </c>
      <c r="SI62" s="45">
        <f t="shared" si="375"/>
        <v>1</v>
      </c>
      <c r="SJ62" s="45">
        <f t="shared" si="376"/>
        <v>2</v>
      </c>
      <c r="SK62" s="45">
        <f t="shared" si="377"/>
        <v>0</v>
      </c>
      <c r="SL62" s="46" cm="1">
        <f t="array" ref="SL62">ROUND(IFERROR(INDEX(ArchiveResults!$F$5:$IX$116,ComparisonData!A62,ComparisonData!$SL$1),0),5)</f>
        <v>0</v>
      </c>
      <c r="SM62" s="46" cm="1">
        <f t="array" ref="SM62">ROUND(IFERROR(INDEX(ArchiveResults!$F$5:$IX$116,ComparisonData!A62,ComparisonData!$SM$1),0),5)</f>
        <v>0</v>
      </c>
      <c r="SN62" s="46" cm="1">
        <f t="array" ref="SN62">ROUND(IFERROR(INDEX(ArchiveResults!$F$5:$IX$116,ComparisonData!A62,ComparisonData!$SN$1),0),5)</f>
        <v>0</v>
      </c>
      <c r="SO62" s="46" cm="1">
        <f t="array" ref="SO62">ROUND(IFERROR(INDEX(ArchiveResults!$F$5:$IX$116,ComparisonData!A62,ComparisonData!$SO$1),0),5)</f>
        <v>0</v>
      </c>
      <c r="SP62" s="45" cm="1">
        <f t="array" ref="SP62">IFERROR(INDEX(ArchiveResults!$F$5:$IX$116,ComparisonData!A62,ComparisonData!$SP$1),0)</f>
        <v>0</v>
      </c>
      <c r="SQ62" s="56">
        <v>57</v>
      </c>
      <c r="SR62" s="53" t="str">
        <f t="shared" si="598"/>
        <v>Norfolk Record Office</v>
      </c>
      <c r="SS62" s="59">
        <f t="shared" si="378"/>
        <v>0</v>
      </c>
      <c r="ST62" s="59">
        <f t="shared" si="379"/>
        <v>0</v>
      </c>
      <c r="SU62" s="59">
        <f t="shared" si="380"/>
        <v>0</v>
      </c>
      <c r="SV62" s="59">
        <f t="shared" si="381"/>
        <v>0</v>
      </c>
      <c r="SW62" s="59">
        <f t="shared" si="382"/>
        <v>0</v>
      </c>
      <c r="SX62" s="58">
        <f t="shared" si="383"/>
        <v>0</v>
      </c>
      <c r="SY62" s="45">
        <f t="shared" si="384"/>
        <v>111</v>
      </c>
      <c r="SZ62" s="45">
        <f t="shared" si="599"/>
        <v>2.9939999999999998</v>
      </c>
      <c r="TA62" s="45">
        <f t="shared" si="385"/>
        <v>1</v>
      </c>
      <c r="TB62" s="45">
        <f t="shared" si="386"/>
        <v>2</v>
      </c>
      <c r="TC62" s="45">
        <f t="shared" si="387"/>
        <v>0</v>
      </c>
      <c r="TD62" s="46" cm="1">
        <f t="array" ref="TD62">ROUND(IFERROR(INDEX(ArchiveResults!$F$5:$IX$116,ComparisonData!A62,ComparisonData!$TD$1),0),5)</f>
        <v>0</v>
      </c>
      <c r="TE62" s="46" cm="1">
        <f t="array" ref="TE62">ROUND(IFERROR(INDEX(ArchiveResults!$F$5:$IX$116,ComparisonData!A62,ComparisonData!$TE$1),0),5)</f>
        <v>0</v>
      </c>
      <c r="TF62" s="46" cm="1">
        <f t="array" ref="TF62">ROUND(IFERROR(INDEX(ArchiveResults!$F$5:$IX$116,ComparisonData!A62,ComparisonData!$TF$1),0),5)</f>
        <v>0</v>
      </c>
      <c r="TG62" s="46" cm="1">
        <f t="array" ref="TG62">ROUND(IFERROR(INDEX(ArchiveResults!$F$5:$IX$116,ComparisonData!A62,ComparisonData!$TG$1),0),5)</f>
        <v>0</v>
      </c>
      <c r="TH62" s="45" cm="1">
        <f t="array" ref="TH62">IFERROR(INDEX(ArchiveResults!$F$5:$IX$116,ComparisonData!A62,ComparisonData!$TH$1),0)</f>
        <v>0</v>
      </c>
      <c r="TI62" s="56">
        <v>57</v>
      </c>
      <c r="TJ62" s="53" t="str">
        <f t="shared" si="600"/>
        <v>Norfolk Record Office</v>
      </c>
      <c r="TK62" s="59">
        <f t="shared" si="388"/>
        <v>0</v>
      </c>
      <c r="TL62" s="59">
        <f t="shared" si="389"/>
        <v>0</v>
      </c>
      <c r="TM62" s="59">
        <f t="shared" si="390"/>
        <v>0</v>
      </c>
      <c r="TN62" s="59">
        <f t="shared" si="391"/>
        <v>0</v>
      </c>
      <c r="TO62" s="59">
        <f t="shared" si="392"/>
        <v>0</v>
      </c>
      <c r="TP62" s="58">
        <f t="shared" si="393"/>
        <v>0</v>
      </c>
      <c r="TQ62" s="45">
        <f t="shared" si="394"/>
        <v>111</v>
      </c>
      <c r="TR62" s="45">
        <f t="shared" si="601"/>
        <v>2.9939999999999998</v>
      </c>
      <c r="TS62" s="45">
        <f t="shared" si="395"/>
        <v>1</v>
      </c>
      <c r="TT62" s="45">
        <f t="shared" si="396"/>
        <v>2</v>
      </c>
      <c r="TU62" s="45">
        <f t="shared" si="397"/>
        <v>0</v>
      </c>
      <c r="TV62" s="46" cm="1">
        <f t="array" ref="TV62">ROUND(IFERROR(INDEX(ArchiveResults!$F$5:$IX$116,ComparisonData!A62,ComparisonData!$TV$1),0),5)</f>
        <v>0</v>
      </c>
      <c r="TW62" s="46" cm="1">
        <f t="array" ref="TW62">ROUND(IFERROR(INDEX(ArchiveResults!$F$5:$IX$116,ComparisonData!A62,ComparisonData!$TW$1),0),5)</f>
        <v>0</v>
      </c>
      <c r="TX62" s="46" cm="1">
        <f t="array" ref="TX62">ROUND(IFERROR(INDEX(ArchiveResults!$F$5:$IX$116,ComparisonData!A62,ComparisonData!$TX$1),0),5)</f>
        <v>0</v>
      </c>
      <c r="TY62" s="46" cm="1">
        <f t="array" ref="TY62">ROUND(IFERROR(INDEX(ArchiveResults!$F$5:$IX$116,ComparisonData!A62,ComparisonData!$TY$1),0),5)</f>
        <v>0</v>
      </c>
      <c r="TZ62" s="45" cm="1">
        <f t="array" ref="TZ62">IFERROR(INDEX(ArchiveResults!$F$5:$IX$116,ComparisonData!A62,ComparisonData!$TZ$1),0)</f>
        <v>0</v>
      </c>
      <c r="UA62" s="56">
        <v>57</v>
      </c>
      <c r="UB62" s="53" t="str">
        <f t="shared" si="602"/>
        <v>Norfolk Record Office</v>
      </c>
      <c r="UC62" s="60">
        <f t="shared" si="398"/>
        <v>0</v>
      </c>
      <c r="UD62" s="60">
        <f t="shared" si="399"/>
        <v>0</v>
      </c>
      <c r="UE62" s="60">
        <f t="shared" si="400"/>
        <v>0</v>
      </c>
      <c r="UF62" s="60">
        <f t="shared" si="401"/>
        <v>0</v>
      </c>
      <c r="UG62" s="60">
        <f t="shared" si="402"/>
        <v>0</v>
      </c>
      <c r="UH62" s="58">
        <f t="shared" si="403"/>
        <v>0</v>
      </c>
      <c r="UI62" s="46">
        <f t="shared" si="404"/>
        <v>111</v>
      </c>
      <c r="UJ62" s="46">
        <f t="shared" si="603"/>
        <v>2.9939999999999998</v>
      </c>
      <c r="UK62" s="46">
        <f t="shared" si="405"/>
        <v>1</v>
      </c>
      <c r="UL62" s="46">
        <f t="shared" si="406"/>
        <v>2</v>
      </c>
      <c r="UM62" s="46" cm="1">
        <f t="array" ref="UM62">ROUND(IFERROR(INDEX(ArchiveResults!$F$5:$IX$116,ComparisonData!A62,ComparisonData!$UM$1),0),5)</f>
        <v>0</v>
      </c>
      <c r="UN62" s="56">
        <v>57</v>
      </c>
      <c r="UO62" s="53" t="str">
        <f t="shared" si="604"/>
        <v>Norfolk Record Office</v>
      </c>
      <c r="UP62" s="46">
        <f t="shared" si="407"/>
        <v>0</v>
      </c>
      <c r="UQ62" s="76">
        <f t="shared" si="408"/>
        <v>0</v>
      </c>
      <c r="UR62" s="46">
        <f t="shared" si="409"/>
        <v>111</v>
      </c>
      <c r="US62" s="46">
        <f t="shared" si="605"/>
        <v>2.9939999999999998</v>
      </c>
      <c r="UT62" s="46">
        <f t="shared" si="410"/>
        <v>1</v>
      </c>
      <c r="UU62" s="46">
        <f t="shared" si="411"/>
        <v>2</v>
      </c>
      <c r="UV62" s="46">
        <f t="shared" si="412"/>
        <v>0</v>
      </c>
      <c r="UW62" s="46" cm="1">
        <f t="array" ref="UW62">ROUND(IFERROR(INDEX(ArchiveResults!$F$5:$IX$116,ComparisonData!A62,ComparisonData!$UW$1),0),5)</f>
        <v>0</v>
      </c>
      <c r="UX62" s="46" cm="1">
        <f t="array" ref="UX62">ROUND(IFERROR(INDEX(ArchiveResults!$F$5:$IX$116,ComparisonData!A62,ComparisonData!$UX$1),0),5)</f>
        <v>0</v>
      </c>
      <c r="UY62" s="46" cm="1">
        <f t="array" ref="UY62">ROUND(IFERROR(INDEX(ArchiveResults!$F$5:$IX$116,ComparisonData!A62,ComparisonData!$UY$1),0),5)</f>
        <v>0</v>
      </c>
      <c r="UZ62" s="46" cm="1">
        <f t="array" ref="UZ62">ROUND(IFERROR(INDEX(ArchiveResults!$F$5:$IX$116,ComparisonData!A62,ComparisonData!$UZ$1),0),5)</f>
        <v>0</v>
      </c>
      <c r="VA62" s="46" cm="1">
        <f t="array" ref="VA62">ROUND(IFERROR(INDEX(ArchiveResults!$F$5:$IX$116,ComparisonData!A62,ComparisonData!$VA$1),0),5)</f>
        <v>0</v>
      </c>
      <c r="VB62" s="56">
        <v>57</v>
      </c>
      <c r="VC62" s="53" t="str">
        <f t="shared" si="606"/>
        <v>Norfolk Record Office</v>
      </c>
      <c r="VD62" s="60">
        <f t="shared" si="413"/>
        <v>0</v>
      </c>
      <c r="VE62" s="60">
        <f t="shared" si="414"/>
        <v>0</v>
      </c>
      <c r="VF62" s="60">
        <f t="shared" si="415"/>
        <v>0</v>
      </c>
      <c r="VG62" s="60">
        <f t="shared" si="416"/>
        <v>0</v>
      </c>
      <c r="VH62" s="60">
        <f t="shared" si="417"/>
        <v>0</v>
      </c>
      <c r="VI62" s="76">
        <f t="shared" si="418"/>
        <v>0</v>
      </c>
      <c r="VJ62" s="46">
        <f t="shared" si="419"/>
        <v>111</v>
      </c>
      <c r="VK62" s="46">
        <f t="shared" si="607"/>
        <v>2.9939999999999998</v>
      </c>
      <c r="VL62" s="46">
        <f t="shared" si="420"/>
        <v>1</v>
      </c>
      <c r="VM62" s="46">
        <f t="shared" si="421"/>
        <v>2</v>
      </c>
      <c r="VN62" s="46" cm="1">
        <f t="array" ref="VN62">ROUND(IFERROR(INDEX(ArchiveResults!$F$5:$IX$116,ComparisonData!A62,ComparisonData!$VN$1),0),5)</f>
        <v>0</v>
      </c>
      <c r="VO62" s="46" cm="1">
        <f t="array" ref="VO62">ROUND(IFERROR(INDEX(ArchiveResults!$F$5:$IX$116,ComparisonData!A62,ComparisonData!$VO$1),0),5)</f>
        <v>0</v>
      </c>
      <c r="VP62" s="46" cm="1">
        <f t="array" ref="VP62">ROUND(IFERROR(INDEX(ArchiveResults!$F$5:$IX$116,ComparisonData!A62,ComparisonData!$VP$1),0),5)</f>
        <v>0</v>
      </c>
      <c r="VQ62" s="46" cm="1">
        <f t="array" ref="VQ62">ROUND(IFERROR(INDEX(ArchiveResults!$F$5:$IX$116,ComparisonData!A62,ComparisonData!$VQ$1),0),5)</f>
        <v>0</v>
      </c>
      <c r="VR62" s="56">
        <v>57</v>
      </c>
      <c r="VS62" s="53" t="str">
        <f t="shared" si="608"/>
        <v>Norfolk Record Office</v>
      </c>
      <c r="VT62" s="60">
        <f t="shared" si="422"/>
        <v>0</v>
      </c>
      <c r="VU62" s="60">
        <f t="shared" si="423"/>
        <v>0</v>
      </c>
      <c r="VV62" s="60">
        <f t="shared" si="424"/>
        <v>0</v>
      </c>
      <c r="VW62" s="60">
        <f t="shared" si="425"/>
        <v>0</v>
      </c>
      <c r="VX62" s="76">
        <f t="shared" si="426"/>
        <v>0</v>
      </c>
      <c r="VY62" s="46">
        <f t="shared" si="427"/>
        <v>111</v>
      </c>
      <c r="VZ62" s="46">
        <f t="shared" si="609"/>
        <v>2.9939999999999998</v>
      </c>
      <c r="WA62" s="46">
        <f t="shared" si="428"/>
        <v>1</v>
      </c>
      <c r="WB62" s="46">
        <f t="shared" si="429"/>
        <v>2</v>
      </c>
      <c r="WC62" s="46" cm="1">
        <f t="array" ref="WC62">ROUND(IFERROR(INDEX(ArchiveResults!$F$5:$IX$116,ComparisonData!A62,ComparisonData!$WC$1),0),5)</f>
        <v>0</v>
      </c>
      <c r="WD62" s="56">
        <v>57</v>
      </c>
      <c r="WE62" s="53" t="str">
        <f t="shared" si="610"/>
        <v>Norfolk Record Office</v>
      </c>
      <c r="WF62" s="46">
        <f t="shared" si="430"/>
        <v>0</v>
      </c>
      <c r="WG62" s="76">
        <f t="shared" si="431"/>
        <v>0</v>
      </c>
      <c r="WH62" s="46">
        <f t="shared" si="432"/>
        <v>111</v>
      </c>
      <c r="WI62" s="46">
        <f t="shared" si="611"/>
        <v>2.9939999999999998</v>
      </c>
      <c r="WJ62" s="46">
        <f t="shared" si="433"/>
        <v>1</v>
      </c>
      <c r="WK62" s="46">
        <f t="shared" si="434"/>
        <v>2</v>
      </c>
      <c r="WL62" s="46" cm="1">
        <f t="array" ref="WL62">ROUND(IFERROR(INDEX(ArchiveResults!$F$5:$IX$116,ComparisonData!A62,ComparisonData!$WL$1),0),5)</f>
        <v>0</v>
      </c>
      <c r="WM62" s="46" cm="1">
        <f t="array" ref="WM62">IFERROR(INDEX(ArchiveResults!$F$5:$IX$116,ComparisonData!A62,ComparisonData!$WM$1),0)</f>
        <v>0</v>
      </c>
      <c r="WN62" s="56">
        <v>57</v>
      </c>
      <c r="WO62" s="53" t="str">
        <f t="shared" si="612"/>
        <v>Norfolk Record Office</v>
      </c>
      <c r="WP62" s="60">
        <f t="shared" si="435"/>
        <v>0</v>
      </c>
      <c r="WQ62" s="60">
        <f t="shared" si="436"/>
        <v>0</v>
      </c>
      <c r="WR62" s="76">
        <f t="shared" si="437"/>
        <v>0</v>
      </c>
      <c r="WS62" s="46">
        <f t="shared" si="438"/>
        <v>111</v>
      </c>
      <c r="WT62" s="46">
        <f t="shared" si="613"/>
        <v>2.9939999999999998</v>
      </c>
      <c r="WU62" s="46">
        <f t="shared" si="439"/>
        <v>1</v>
      </c>
      <c r="WV62" s="46">
        <f t="shared" si="440"/>
        <v>2</v>
      </c>
      <c r="WW62" s="46" cm="1">
        <f t="array" ref="WW62">ROUND(VALUE(IFERROR(INDEX(ArchiveResults!$F$5:$IX$116,ComparisonData!A62,ComparisonData!$WW$1),0)),5)</f>
        <v>0</v>
      </c>
      <c r="WX62" s="46" cm="1">
        <f t="array" ref="WX62">ROUND(IFERROR(INDEX(ArchiveResults!$F$5:$IX$116,ComparisonData!A62,ComparisonData!$WX$1),0),5)</f>
        <v>0</v>
      </c>
      <c r="WY62" s="56">
        <v>57</v>
      </c>
      <c r="WZ62" s="53" t="str">
        <f t="shared" si="614"/>
        <v>Norfolk Record Office</v>
      </c>
      <c r="XA62" s="60">
        <f t="shared" si="615"/>
        <v>0</v>
      </c>
      <c r="XB62" s="60">
        <f t="shared" si="616"/>
        <v>0</v>
      </c>
      <c r="XC62" s="76">
        <f t="shared" si="441"/>
        <v>0</v>
      </c>
      <c r="XD62" s="46">
        <f t="shared" si="442"/>
        <v>111</v>
      </c>
      <c r="XE62" s="46">
        <f t="shared" si="617"/>
        <v>2.9939999999999998</v>
      </c>
      <c r="XF62" s="46">
        <f t="shared" si="443"/>
        <v>1</v>
      </c>
      <c r="XG62" s="46">
        <f t="shared" si="444"/>
        <v>2</v>
      </c>
      <c r="XH62" s="46" cm="1">
        <f t="array" ref="XH62">ROUND(VALUE(IFERROR(INDEX(ArchiveResults!$F$5:$IX$116,ComparisonData!A62,ComparisonData!$XH$1),0)),5)</f>
        <v>0</v>
      </c>
      <c r="XI62" s="46" cm="1">
        <f t="array" ref="XI62">ROUND(VALUE(IFERROR(INDEX(ArchiveResults!$F$5:$IX$116,ComparisonData!A62,ComparisonData!$XI$1),0)),5)</f>
        <v>0</v>
      </c>
      <c r="XJ62" s="56">
        <v>57</v>
      </c>
      <c r="XK62" s="53" t="str">
        <f t="shared" si="618"/>
        <v>Norfolk Record Office</v>
      </c>
      <c r="XL62" s="60">
        <f t="shared" si="445"/>
        <v>0</v>
      </c>
      <c r="XM62" s="60">
        <f t="shared" si="446"/>
        <v>0</v>
      </c>
      <c r="XN62" s="76">
        <f t="shared" si="447"/>
        <v>0</v>
      </c>
      <c r="XO62" s="46">
        <f t="shared" si="448"/>
        <v>111</v>
      </c>
      <c r="XP62" s="46">
        <f t="shared" si="619"/>
        <v>2.9939999999999998</v>
      </c>
      <c r="XQ62" s="46">
        <f t="shared" si="449"/>
        <v>1</v>
      </c>
      <c r="XR62" s="46">
        <f t="shared" si="450"/>
        <v>2</v>
      </c>
      <c r="XS62" s="46" cm="1">
        <f t="array" ref="XS62">ROUND(VALUE(IFERROR(INDEX(ArchiveResults!$F$5:$IX$116,ComparisonData!A62,ComparisonData!$XS$1),0)),5)</f>
        <v>0</v>
      </c>
      <c r="XT62" s="46" cm="1">
        <f t="array" ref="XT62">ROUND(VALUE(IFERROR(INDEX(ArchiveResults!$F$5:$IX$116,ComparisonData!A62,ComparisonData!$XT$1),0)),5)</f>
        <v>0</v>
      </c>
      <c r="XU62" s="56">
        <v>57</v>
      </c>
      <c r="XV62" s="53" t="str">
        <f t="shared" si="620"/>
        <v>Norfolk Record Office</v>
      </c>
      <c r="XW62" s="60">
        <f t="shared" si="451"/>
        <v>0</v>
      </c>
      <c r="XX62" s="60">
        <f t="shared" si="452"/>
        <v>0</v>
      </c>
      <c r="XY62" s="76">
        <f t="shared" si="453"/>
        <v>0</v>
      </c>
      <c r="XZ62" s="46">
        <f t="shared" si="454"/>
        <v>111</v>
      </c>
      <c r="YA62" s="46">
        <f t="shared" si="621"/>
        <v>2.9939999999999998</v>
      </c>
      <c r="YB62" s="46">
        <f t="shared" si="455"/>
        <v>1</v>
      </c>
      <c r="YC62" s="46">
        <f t="shared" si="456"/>
        <v>2</v>
      </c>
      <c r="YD62" s="46" cm="1">
        <f t="array" ref="YD62">ROUND(VALUE(IFERROR(INDEX(ArchiveResults!$F$5:$IX$116,ComparisonData!A62,ComparisonData!$YD$1),0)),5)</f>
        <v>0</v>
      </c>
      <c r="YE62" s="46" cm="1">
        <f t="array" ref="YE62">ROUND(VALUE(IFERROR(INDEX(ArchiveResults!$F$5:$IX$116,ComparisonData!A62,ComparisonData!$YE$1),0)),5)</f>
        <v>0</v>
      </c>
      <c r="YF62" s="56">
        <v>57</v>
      </c>
      <c r="YG62" s="53" t="str">
        <f t="shared" si="622"/>
        <v>Norfolk Record Office</v>
      </c>
      <c r="YH62" s="60">
        <f t="shared" si="457"/>
        <v>0</v>
      </c>
      <c r="YI62" s="60">
        <f t="shared" si="458"/>
        <v>0</v>
      </c>
      <c r="YJ62" s="76">
        <f t="shared" si="459"/>
        <v>0</v>
      </c>
      <c r="YK62" s="46">
        <f t="shared" si="460"/>
        <v>111</v>
      </c>
      <c r="YL62" s="46">
        <f t="shared" si="623"/>
        <v>2.9939999999999998</v>
      </c>
      <c r="YM62" s="46">
        <f t="shared" si="461"/>
        <v>1</v>
      </c>
      <c r="YN62" s="46">
        <f t="shared" si="462"/>
        <v>2</v>
      </c>
      <c r="YO62" s="46" cm="1">
        <f t="array" ref="YO62">ROUND(VALUE(IFERROR(INDEX(ArchiveResults!$F$5:$IX$116,ComparisonData!A62,ComparisonData!$YO$1),0)),5)</f>
        <v>0</v>
      </c>
      <c r="YP62" s="46" cm="1">
        <f t="array" ref="YP62">ROUND(VALUE(IFERROR(INDEX(ArchiveResults!$F$5:$IX$116,ComparisonData!A62,ComparisonData!$YP$1),0)),5)</f>
        <v>0</v>
      </c>
      <c r="YQ62" s="56">
        <v>57</v>
      </c>
      <c r="YR62" s="53" t="str">
        <f t="shared" si="624"/>
        <v>Norfolk Record Office</v>
      </c>
      <c r="YS62" s="60">
        <f t="shared" si="463"/>
        <v>0</v>
      </c>
      <c r="YT62" s="60">
        <f t="shared" si="464"/>
        <v>0</v>
      </c>
      <c r="YU62" s="76">
        <f t="shared" si="465"/>
        <v>0</v>
      </c>
      <c r="YV62" s="46">
        <f t="shared" si="466"/>
        <v>111</v>
      </c>
      <c r="YW62" s="46">
        <f t="shared" si="625"/>
        <v>2.9939999999999998</v>
      </c>
      <c r="YX62" s="46">
        <f t="shared" si="467"/>
        <v>1</v>
      </c>
      <c r="YY62" s="46">
        <f t="shared" si="468"/>
        <v>2</v>
      </c>
      <c r="YZ62" s="46">
        <f t="shared" si="469"/>
        <v>0</v>
      </c>
      <c r="ZA62" s="46" cm="1">
        <f t="array" ref="ZA62">ROUNDDOWN(VALUE(IFERROR(INDEX(ArchiveResults!$F$5:$IX$116,ComparisonData!A62,ComparisonData!$ZA$1),0)),5)</f>
        <v>0</v>
      </c>
      <c r="ZB62" s="46" cm="1">
        <f t="array" ref="ZB62">ROUNDDOWN(VALUE(IFERROR(INDEX(ArchiveResults!$F$5:$IX$116,ComparisonData!A62,ComparisonData!$ZB$1),0)),5)</f>
        <v>0</v>
      </c>
      <c r="ZC62" s="46" cm="1">
        <f t="array" ref="ZC62">ROUNDDOWN(VALUE(IFERROR(INDEX(ArchiveResults!$F$5:$IX$116,ComparisonData!A62,ComparisonData!$ZC$1),0)),5)</f>
        <v>0</v>
      </c>
      <c r="ZD62" s="46" cm="1">
        <f t="array" ref="ZD62">ROUNDDOWN(VALUE(IFERROR(INDEX(ArchiveResults!$F$5:$IX$116,ComparisonData!A62,ComparisonData!$ZD$1),0)),5)</f>
        <v>0</v>
      </c>
      <c r="ZE62" s="46" cm="1">
        <f t="array" ref="ZE62">ROUNDDOWN(VALUE(IFERROR(INDEX(ArchiveResults!$F$5:$IX$116,ComparisonData!A62,ComparisonData!$ZE$1),0)),5)</f>
        <v>0</v>
      </c>
      <c r="ZF62" s="56">
        <v>57</v>
      </c>
      <c r="ZG62" s="53" t="str">
        <f t="shared" si="626"/>
        <v>Norfolk Record Office</v>
      </c>
      <c r="ZH62" s="60">
        <f t="shared" si="470"/>
        <v>0</v>
      </c>
      <c r="ZI62" s="60">
        <f t="shared" si="471"/>
        <v>0</v>
      </c>
      <c r="ZJ62" s="60">
        <f t="shared" si="472"/>
        <v>0</v>
      </c>
      <c r="ZK62" s="60">
        <f t="shared" si="473"/>
        <v>0</v>
      </c>
      <c r="ZL62" s="60">
        <f t="shared" si="474"/>
        <v>0</v>
      </c>
      <c r="ZM62" s="76">
        <f t="shared" si="475"/>
        <v>0</v>
      </c>
      <c r="ZN62" s="46">
        <f t="shared" si="476"/>
        <v>111</v>
      </c>
      <c r="ZO62" s="46">
        <f t="shared" si="627"/>
        <v>2.9939999999999998</v>
      </c>
      <c r="ZP62" s="46">
        <f t="shared" si="477"/>
        <v>1</v>
      </c>
      <c r="ZQ62" s="46">
        <f t="shared" si="478"/>
        <v>2</v>
      </c>
      <c r="ZR62" s="46" cm="1">
        <f t="array" ref="ZR62">ROUND(VALUE(IFERROR(INDEX(ArchiveResults!$F$5:$IX$116,ComparisonData!A62,ComparisonData!$ZR$1),0)),5)</f>
        <v>0</v>
      </c>
      <c r="ZS62" s="56">
        <v>57</v>
      </c>
      <c r="ZT62" s="53" t="str">
        <f t="shared" si="628"/>
        <v>Norfolk Record Office</v>
      </c>
      <c r="ZU62" s="46">
        <f t="shared" si="479"/>
        <v>0</v>
      </c>
      <c r="ZV62" s="76">
        <f t="shared" si="480"/>
        <v>0</v>
      </c>
      <c r="ZW62" s="81" cm="1">
        <f t="array" ref="ZW62">ROUND((IFERROR(INDEX(ArchiveResults!$F$5:$IX$116,ComparisonData!A62,ComparisonData!$ZW$1),0)),5)</f>
        <v>0</v>
      </c>
      <c r="ZX62" s="81" cm="1">
        <f t="array" ref="ZX62">ROUND((IFERROR(INDEX(ArchiveResults!$F$5:$IX$116,ComparisonData!A62,ComparisonData!$ZX$1),0)),5)</f>
        <v>0</v>
      </c>
      <c r="ZY62" s="81" cm="1">
        <f t="array" ref="ZY62">ROUND((IFERROR(INDEX(ArchiveResults!$F$5:$IX$116,ComparisonData!A62,ComparisonData!$ZY$1),0)),5)</f>
        <v>0</v>
      </c>
      <c r="ZZ62" s="81" cm="1">
        <f t="array" ref="ZZ62">ROUND((IFERROR(INDEX(ArchiveResults!$F$5:$IX$116,ComparisonData!A62,ComparisonData!$ZZ$1),0)),5)</f>
        <v>0</v>
      </c>
      <c r="AAA62" s="81" cm="1">
        <f t="array" ref="AAA62">ROUND((IFERROR(INDEX(ArchiveResults!$F$5:$IX$116,ComparisonData!A62,ComparisonData!$AAA$1),0)),5)</f>
        <v>0</v>
      </c>
      <c r="AAB62" s="81" cm="1">
        <f t="array" ref="AAB62">ROUND((IFERROR(INDEX(ArchiveResults!$F$5:$IX$116,ComparisonData!A62,ComparisonData!$AAB$1),0)),5)</f>
        <v>0</v>
      </c>
      <c r="AAC62" s="81" cm="1">
        <f t="array" ref="AAC62">ROUND((IFERROR(INDEX(ArchiveResults!$F$5:$IX$116,ComparisonData!A62,ComparisonData!$AAC$1),0)),5)</f>
        <v>0</v>
      </c>
      <c r="AAD62" s="81" cm="1">
        <f t="array" ref="AAD62">ROUND((IFERROR(INDEX(ArchiveResults!$F$5:$IX$116,ComparisonData!A62,ComparisonData!$AAD$1),0)),5)</f>
        <v>0</v>
      </c>
      <c r="AAE62" s="81" cm="1">
        <f t="array" ref="AAE62">ROUND((IFERROR(INDEX(ArchiveResults!$F$5:$IX$116,ComparisonData!A62,ComparisonData!$AAE$1),0)),5)</f>
        <v>0</v>
      </c>
      <c r="AAF62" s="81" cm="1">
        <f t="array" ref="AAF62">ROUND((IFERROR(INDEX(ArchiveResults!$F$5:$IX$116,ComparisonData!A62,ComparisonData!$AAF$1),0)),5)</f>
        <v>0</v>
      </c>
      <c r="AAG62" s="46">
        <f t="shared" si="481"/>
        <v>111</v>
      </c>
      <c r="AAH62" s="46">
        <f t="shared" si="629"/>
        <v>2.9939999999999998</v>
      </c>
      <c r="AAI62" s="46">
        <f t="shared" si="482"/>
        <v>1</v>
      </c>
      <c r="AAJ62" s="46">
        <f t="shared" si="483"/>
        <v>2</v>
      </c>
      <c r="AAK62" s="46">
        <f t="shared" si="484"/>
        <v>0</v>
      </c>
      <c r="AAL62" s="46">
        <f t="shared" si="485"/>
        <v>0</v>
      </c>
      <c r="AAM62" s="46">
        <f t="shared" si="486"/>
        <v>0</v>
      </c>
      <c r="AAN62" s="46">
        <f t="shared" si="487"/>
        <v>0</v>
      </c>
      <c r="AAO62" s="46">
        <f t="shared" si="488"/>
        <v>0</v>
      </c>
      <c r="AAP62" s="46">
        <f t="shared" si="489"/>
        <v>0</v>
      </c>
      <c r="AAQ62" s="56">
        <v>57</v>
      </c>
      <c r="AAR62" s="53" t="str">
        <f t="shared" si="630"/>
        <v>Norfolk Record Office</v>
      </c>
      <c r="AAS62" s="60">
        <f t="shared" si="490"/>
        <v>0</v>
      </c>
      <c r="AAT62" s="60">
        <f t="shared" si="491"/>
        <v>0</v>
      </c>
      <c r="AAU62" s="60">
        <f t="shared" si="492"/>
        <v>0</v>
      </c>
      <c r="AAV62" s="60">
        <f t="shared" si="493"/>
        <v>0</v>
      </c>
      <c r="AAW62" s="60">
        <f t="shared" si="494"/>
        <v>0</v>
      </c>
      <c r="AAX62" s="76">
        <f t="shared" si="495"/>
        <v>0</v>
      </c>
      <c r="AAY62" s="46">
        <f t="shared" si="496"/>
        <v>111</v>
      </c>
      <c r="AAZ62" s="46">
        <f t="shared" si="631"/>
        <v>2.9939999999999998</v>
      </c>
      <c r="ABA62" s="46">
        <f t="shared" si="497"/>
        <v>1</v>
      </c>
      <c r="ABB62" s="46">
        <f t="shared" si="498"/>
        <v>2</v>
      </c>
      <c r="ABC62" s="46">
        <f t="shared" si="102"/>
        <v>0</v>
      </c>
      <c r="ABD62" s="46" cm="1">
        <f t="array" ref="ABD62">ROUND(VALUE(IFERROR(INDEX(ArchiveResults!$F$5:$IX$116,ComparisonData!A62,ComparisonData!$ABD$1),0)),5)</f>
        <v>0</v>
      </c>
      <c r="ABE62" s="46" cm="1">
        <f t="array" ref="ABE62">ROUND(VALUE(IFERROR(INDEX(ArchiveResults!$F$5:$IX$116,ComparisonData!A62,ComparisonData!$ABE$1),0)),5)</f>
        <v>0</v>
      </c>
      <c r="ABF62" s="46" cm="1">
        <f t="array" ref="ABF62">ROUND(VALUE(IFERROR(INDEX(ArchiveResults!$F$5:$IX$116,ComparisonData!A62,ComparisonData!$ABF$1),0)),5)</f>
        <v>0</v>
      </c>
      <c r="ABG62" s="46" cm="1">
        <f t="array" ref="ABG62">ROUND(VALUE(IFERROR(INDEX(ArchiveResults!$F$5:$IX$116,ComparisonData!A62,ComparisonData!$ABG$1),0)),5)</f>
        <v>0</v>
      </c>
      <c r="ABH62" s="46" cm="1">
        <f t="array" ref="ABH62">ROUND(VALUE(IFERROR(INDEX(ArchiveResults!$F$5:$IX$116,ComparisonData!A62,ComparisonData!$ABH$1),0)),5)</f>
        <v>0</v>
      </c>
      <c r="ABI62" s="56">
        <v>57</v>
      </c>
      <c r="ABJ62" s="53" t="str">
        <f t="shared" si="632"/>
        <v>Norfolk Record Office</v>
      </c>
      <c r="ABK62" s="60">
        <f t="shared" si="499"/>
        <v>0</v>
      </c>
      <c r="ABL62" s="60">
        <f t="shared" si="500"/>
        <v>0</v>
      </c>
      <c r="ABM62" s="60">
        <f t="shared" si="501"/>
        <v>0</v>
      </c>
      <c r="ABN62" s="60">
        <f t="shared" si="502"/>
        <v>0</v>
      </c>
      <c r="ABO62" s="60">
        <f t="shared" si="503"/>
        <v>0</v>
      </c>
      <c r="ABP62" s="76">
        <f t="shared" si="504"/>
        <v>0</v>
      </c>
      <c r="ABQ62" s="46">
        <f t="shared" si="505"/>
        <v>111</v>
      </c>
      <c r="ABR62" s="46">
        <f t="shared" si="633"/>
        <v>2.9939999999999998</v>
      </c>
      <c r="ABS62" s="46">
        <f t="shared" si="506"/>
        <v>1</v>
      </c>
      <c r="ABT62" s="46">
        <f t="shared" si="507"/>
        <v>2</v>
      </c>
      <c r="ABU62" s="46" cm="1">
        <f t="array" ref="ABU62">ROUND(VALUE(IFERROR(INDEX(ArchiveResults!$F$5:$IX$116,ComparisonData!A62,ComparisonData!$ABU$1),0)),5)</f>
        <v>0</v>
      </c>
      <c r="ABV62" s="46" cm="1">
        <f t="array" ref="ABV62">ROUND(VALUE(IFERROR(INDEX(ArchiveResults!$F$5:$IX$116,ComparisonData!A62,ComparisonData!$ABV$1),0)),5)</f>
        <v>0</v>
      </c>
      <c r="ABW62" s="46" cm="1">
        <f t="array" ref="ABW62">ROUND(VALUE(IFERROR(INDEX(ArchiveResults!$F$5:$IX$116,ComparisonData!A62,ComparisonData!$ABW$1),0)),5)</f>
        <v>0</v>
      </c>
      <c r="ABX62" s="46" cm="1">
        <f t="array" ref="ABX62">ROUND(VALUE(IFERROR(INDEX(ArchiveResults!$F$5:$IX$116,ComparisonData!A62,ComparisonData!$ABX$1),0)),5)</f>
        <v>0</v>
      </c>
      <c r="ABY62" s="46" cm="1">
        <f t="array" ref="ABY62">ROUND(VALUE(IFERROR(INDEX(ArchiveResults!$F$5:$IX$116,ComparisonData!A62,ComparisonData!$ABY$1),0)),5)</f>
        <v>0</v>
      </c>
      <c r="ABZ62" s="56">
        <v>57</v>
      </c>
      <c r="ACA62" s="53" t="str">
        <f t="shared" si="634"/>
        <v>Norfolk Record Office</v>
      </c>
      <c r="ACB62" s="60">
        <f t="shared" si="508"/>
        <v>0</v>
      </c>
      <c r="ACC62" s="60">
        <f t="shared" si="509"/>
        <v>0</v>
      </c>
      <c r="ACD62" s="60">
        <f t="shared" si="510"/>
        <v>0</v>
      </c>
      <c r="ACE62" s="60">
        <f t="shared" si="511"/>
        <v>0</v>
      </c>
      <c r="ACF62" s="60">
        <f t="shared" si="512"/>
        <v>0</v>
      </c>
      <c r="ACG62" s="76">
        <f t="shared" si="513"/>
        <v>0</v>
      </c>
      <c r="ACH62" s="46">
        <f t="shared" si="514"/>
        <v>111</v>
      </c>
      <c r="ACI62" s="46">
        <f t="shared" si="635"/>
        <v>2.9939999999999998</v>
      </c>
      <c r="ACJ62" s="46">
        <f t="shared" si="515"/>
        <v>1</v>
      </c>
      <c r="ACK62" s="46">
        <f t="shared" si="516"/>
        <v>2</v>
      </c>
      <c r="ACL62" s="46">
        <f t="shared" si="517"/>
        <v>0</v>
      </c>
      <c r="ACM62" s="46" cm="1">
        <f t="array" ref="ACM62">ROUND(IFERROR(INDEX(ArchiveResults!$F$5:$IX$116,ComparisonData!A62,ComparisonData!$ACM$1),0),5)</f>
        <v>0</v>
      </c>
      <c r="ACN62" s="46" cm="1">
        <f t="array" ref="ACN62">ROUND(IFERROR(INDEX(ArchiveResults!$F$5:$IX$116,ComparisonData!A62,ComparisonData!$ACN$1),0),5)</f>
        <v>0</v>
      </c>
      <c r="ACO62" s="56">
        <v>57</v>
      </c>
      <c r="ACP62" s="53" t="str">
        <f t="shared" si="636"/>
        <v>Norfolk Record Office</v>
      </c>
      <c r="ACQ62" s="60">
        <f t="shared" si="518"/>
        <v>0</v>
      </c>
      <c r="ACR62" s="60">
        <f t="shared" si="519"/>
        <v>0</v>
      </c>
      <c r="ACS62" s="76">
        <f t="shared" si="520"/>
        <v>0</v>
      </c>
      <c r="ACT62" s="46">
        <f t="shared" si="521"/>
        <v>111</v>
      </c>
      <c r="ACU62" s="46">
        <f t="shared" si="637"/>
        <v>2.9939999999999998</v>
      </c>
      <c r="ACV62" s="46">
        <f t="shared" si="522"/>
        <v>1</v>
      </c>
      <c r="ACW62" s="46">
        <f t="shared" si="523"/>
        <v>2</v>
      </c>
      <c r="ACX62" s="46">
        <f t="shared" si="524"/>
        <v>0</v>
      </c>
      <c r="ACY62" s="46" cm="1">
        <f t="array" ref="ACY62">ROUNDDOWN(IFERROR(INDEX(ArchiveResults!$F$5:$IX$116,ComparisonData!A62,ComparisonData!$ACY$1),0),5)</f>
        <v>0</v>
      </c>
      <c r="ACZ62" s="46" cm="1">
        <f t="array" ref="ACZ62">ROUNDDOWN(IFERROR(INDEX(ArchiveResults!$F$5:$IX$116,ComparisonData!A62,ComparisonData!$ACZ$1),0),5)</f>
        <v>0</v>
      </c>
      <c r="ADA62" s="46" cm="1">
        <f t="array" ref="ADA62">ROUNDDOWN(IFERROR(INDEX(ArchiveResults!$F$5:$IX$116,ComparisonData!A62,ComparisonData!$ADA$1),0),5)</f>
        <v>0</v>
      </c>
      <c r="ADB62" s="56">
        <v>57</v>
      </c>
      <c r="ADC62" s="53" t="str">
        <f t="shared" si="638"/>
        <v>Norfolk Record Office</v>
      </c>
      <c r="ADD62" s="60">
        <f t="shared" si="525"/>
        <v>0</v>
      </c>
      <c r="ADE62" s="60">
        <f t="shared" si="526"/>
        <v>0</v>
      </c>
      <c r="ADF62" s="60">
        <f t="shared" si="527"/>
        <v>0</v>
      </c>
      <c r="ADG62" s="76">
        <f t="shared" si="528"/>
        <v>0</v>
      </c>
    </row>
    <row r="63" spans="1:787" x14ac:dyDescent="0.25">
      <c r="A63" s="46" t="str">
        <f>IF(ISBLANK(ComparisonSelection!F59),"",ROW()-5)</f>
        <v/>
      </c>
      <c r="B63" s="53" t="s">
        <v>512</v>
      </c>
      <c r="C63" s="72">
        <v>0.97899999999999998</v>
      </c>
      <c r="D63" s="55">
        <f t="shared" si="110"/>
        <v>108</v>
      </c>
      <c r="E63" s="54">
        <f t="shared" si="111"/>
        <v>2.9790000000000001</v>
      </c>
      <c r="F63" s="54">
        <f t="shared" si="529"/>
        <v>1</v>
      </c>
      <c r="G63" s="72">
        <f t="shared" si="112"/>
        <v>2</v>
      </c>
      <c r="H63" s="72">
        <f t="shared" si="113"/>
        <v>0</v>
      </c>
      <c r="I63" s="46" cm="1">
        <f t="array" ref="I63">ROUND(IFERROR(INDEX(ArchiveResults!$F$5:$IX$116,ComparisonData!A63,ComparisonData!$I$1),0),5)</f>
        <v>0</v>
      </c>
      <c r="J63" s="46" cm="1">
        <f t="array" ref="J63">ROUND(IFERROR(INDEX(ArchiveResults!$F$5:$IX$116,ComparisonData!A63,ComparisonData!$J$1),0),5)</f>
        <v>0</v>
      </c>
      <c r="K63" s="56">
        <v>58</v>
      </c>
      <c r="L63" s="53" t="str">
        <f t="shared" si="114"/>
        <v>North East Wales Archives (Hawarden)</v>
      </c>
      <c r="M63" s="57">
        <f t="shared" si="530"/>
        <v>0</v>
      </c>
      <c r="N63" s="57">
        <f t="shared" si="531"/>
        <v>0</v>
      </c>
      <c r="O63" s="58">
        <f t="shared" si="115"/>
        <v>0</v>
      </c>
      <c r="P63" s="48">
        <f t="shared" si="116"/>
        <v>108</v>
      </c>
      <c r="Q63" s="54">
        <f t="shared" si="532"/>
        <v>2.9790000000000001</v>
      </c>
      <c r="R63" s="45">
        <f t="shared" si="117"/>
        <v>1</v>
      </c>
      <c r="S63" s="46">
        <f t="shared" si="118"/>
        <v>2</v>
      </c>
      <c r="T63" s="72">
        <f t="shared" si="119"/>
        <v>0</v>
      </c>
      <c r="U63" s="46" cm="1">
        <f t="array" ref="U63">ROUND(IFERROR(INDEX(ArchiveResults!$F$5:$IX$116,ComparisonData!A63,ComparisonData!$U$1),0),5)</f>
        <v>0</v>
      </c>
      <c r="V63" s="46" cm="1">
        <f t="array" ref="V63">ROUND(IFERROR(INDEX(ArchiveResults!$F$5:$IX$116,ComparisonData!A63,ComparisonData!$V$1),0),5)</f>
        <v>0</v>
      </c>
      <c r="W63" s="56">
        <v>58</v>
      </c>
      <c r="X63" s="53" t="str">
        <f t="shared" si="533"/>
        <v>North East Wales Archives (Hawarden)</v>
      </c>
      <c r="Y63" s="57">
        <f t="shared" si="120"/>
        <v>0</v>
      </c>
      <c r="Z63" s="57">
        <f t="shared" si="121"/>
        <v>0</v>
      </c>
      <c r="AA63" s="58">
        <f t="shared" si="122"/>
        <v>0</v>
      </c>
      <c r="AB63" s="45">
        <f t="shared" si="123"/>
        <v>108</v>
      </c>
      <c r="AC63" s="54">
        <f t="shared" si="534"/>
        <v>2.9790000000000001</v>
      </c>
      <c r="AD63" s="45">
        <f t="shared" si="124"/>
        <v>1</v>
      </c>
      <c r="AE63" s="45">
        <f t="shared" si="125"/>
        <v>2</v>
      </c>
      <c r="AF63" s="45">
        <f t="shared" si="639"/>
        <v>0</v>
      </c>
      <c r="AG63" s="46" cm="1">
        <f t="array" ref="AG63">ROUND(IFERROR(INDEX(ArchiveResults!$F$5:$IX$116,ComparisonData!A63,ComparisonData!$AG$1),0),5)</f>
        <v>0</v>
      </c>
      <c r="AH63" s="46" cm="1">
        <f t="array" ref="AH63">ROUND(IFERROR(INDEX(ArchiveResults!$F$5:$IX$116,ComparisonData!A63,ComparisonData!$AH$1),0),5)</f>
        <v>0</v>
      </c>
      <c r="AI63" s="56">
        <v>58</v>
      </c>
      <c r="AJ63" s="53" t="str">
        <f t="shared" si="535"/>
        <v>North East Wales Archives (Hawarden)</v>
      </c>
      <c r="AK63" s="59">
        <f t="shared" si="536"/>
        <v>0</v>
      </c>
      <c r="AL63" s="59">
        <f t="shared" si="537"/>
        <v>0</v>
      </c>
      <c r="AM63" s="58">
        <f t="shared" si="127"/>
        <v>0</v>
      </c>
      <c r="AN63" s="45">
        <f t="shared" si="128"/>
        <v>108</v>
      </c>
      <c r="AO63" s="54">
        <f t="shared" si="538"/>
        <v>2.9790000000000001</v>
      </c>
      <c r="AP63" s="45">
        <f t="shared" si="129"/>
        <v>1</v>
      </c>
      <c r="AQ63" s="45">
        <f t="shared" si="130"/>
        <v>2</v>
      </c>
      <c r="AR63" s="46" cm="1">
        <f t="array" ref="AR63">ROUND(IFERROR(INDEX(ArchiveResults!$F$5:$IX$116,ComparisonData!A63,ComparisonData!$AR$1),0),5)</f>
        <v>0</v>
      </c>
      <c r="AS63" s="46" cm="1">
        <f t="array" ref="AS63">ROUND(IFERROR(INDEX(ArchiveResults!$F$5:$IX$116,ComparisonData!A63,ComparisonData!$AS$1),0),5)</f>
        <v>0</v>
      </c>
      <c r="AT63" s="46" cm="1">
        <f t="array" ref="AT63">ROUND(IFERROR(INDEX(ArchiveResults!$F$5:$IX$116,ComparisonData!A63,ComparisonData!$AT$1),0),5)</f>
        <v>0</v>
      </c>
      <c r="AU63" s="46" cm="1">
        <f t="array" ref="AU63">ROUND(IFERROR(INDEX(ArchiveResults!$F$5:$IX$116,ComparisonData!A63,ComparisonData!$AU$1),0),5)</f>
        <v>0</v>
      </c>
      <c r="AV63" s="46" cm="1">
        <f t="array" ref="AV63">ROUND(IFERROR(INDEX(ArchiveResults!$F$5:$IX$116,ComparisonData!A63,ComparisonData!$AV$1),0),5)</f>
        <v>0</v>
      </c>
      <c r="AW63" s="46" cm="1">
        <f t="array" ref="AW63">ROUND(IFERROR(INDEX(ArchiveResults!$F$5:$IX$116,ComparisonData!A63,ComparisonData!$AW$1),0),5)</f>
        <v>0</v>
      </c>
      <c r="AX63" s="46" cm="1">
        <f t="array" ref="AX63">ROUND(IFERROR(INDEX(ArchiveResults!$F$5:$IX$116,ComparisonData!A63,ComparisonData!$AX$1),0),5)</f>
        <v>0</v>
      </c>
      <c r="AY63" s="46" cm="1">
        <f t="array" ref="AY63">ROUND(IFERROR(INDEX(ArchiveResults!$F$5:$IX$116,ComparisonData!A63,ComparisonData!$AY$1),0),5)</f>
        <v>0</v>
      </c>
      <c r="AZ63" s="46" cm="1">
        <f t="array" ref="AZ63">ROUND(IFERROR(INDEX(ArchiveResults!$F$5:$IX$116,ComparisonData!A63,ComparisonData!$AZ$1),0),5)</f>
        <v>0</v>
      </c>
      <c r="BA63" s="46" cm="1">
        <f t="array" ref="BA63">ROUND(IFERROR(INDEX(ArchiveResults!$F$5:$IX$116,ComparisonData!A63,ComparisonData!$BA$1),0),5)</f>
        <v>0</v>
      </c>
      <c r="BB63" s="56">
        <v>58</v>
      </c>
      <c r="BC63" s="53" t="str">
        <f t="shared" si="539"/>
        <v>North East Wales Archives (Hawarden)</v>
      </c>
      <c r="BD63" s="60">
        <f t="shared" si="131"/>
        <v>0</v>
      </c>
      <c r="BE63" s="60">
        <f t="shared" si="132"/>
        <v>0</v>
      </c>
      <c r="BF63" s="60">
        <f t="shared" si="133"/>
        <v>0</v>
      </c>
      <c r="BG63" s="60">
        <f t="shared" si="134"/>
        <v>0</v>
      </c>
      <c r="BH63" s="60">
        <f t="shared" si="135"/>
        <v>0</v>
      </c>
      <c r="BI63" s="60">
        <f t="shared" si="136"/>
        <v>0</v>
      </c>
      <c r="BJ63" s="60">
        <f t="shared" si="137"/>
        <v>0</v>
      </c>
      <c r="BK63" s="60">
        <f t="shared" si="138"/>
        <v>0</v>
      </c>
      <c r="BL63" s="60">
        <f t="shared" si="139"/>
        <v>0</v>
      </c>
      <c r="BM63" s="59">
        <f t="shared" si="140"/>
        <v>0</v>
      </c>
      <c r="BN63" s="58">
        <f t="shared" si="141"/>
        <v>0</v>
      </c>
      <c r="BO63" s="45">
        <f t="shared" si="142"/>
        <v>108</v>
      </c>
      <c r="BP63" s="54">
        <f t="shared" si="540"/>
        <v>2.9790000000000001</v>
      </c>
      <c r="BQ63" s="45">
        <f t="shared" si="143"/>
        <v>1</v>
      </c>
      <c r="BR63" s="45">
        <f t="shared" si="144"/>
        <v>2</v>
      </c>
      <c r="BS63" s="46" cm="1">
        <f t="array" ref="BS63">ROUND(IFERROR(INDEX(ArchiveResults!$F$5:$IX$116,ComparisonData!A63,ComparisonData!$BS$1),0),5)</f>
        <v>0</v>
      </c>
      <c r="BT63" s="46" cm="1">
        <f t="array" ref="BT63">ROUND(IFERROR(INDEX(ArchiveResults!$F$5:$IX$116,ComparisonData!A63,ComparisonData!$BT$1),0),5)</f>
        <v>0</v>
      </c>
      <c r="BU63" s="46" cm="1">
        <f t="array" ref="BU63">ROUND(IFERROR(INDEX(ArchiveResults!$F$5:$IX$116,ComparisonData!A63,ComparisonData!$BU$1),0),5)</f>
        <v>0</v>
      </c>
      <c r="BV63" s="46" cm="1">
        <f t="array" ref="BV63">ROUND(IFERROR(INDEX(ArchiveResults!$F$5:$IX$116,ComparisonData!A63,ComparisonData!$BV$1),0),5)</f>
        <v>0</v>
      </c>
      <c r="BW63" s="46" cm="1">
        <f t="array" ref="BW63">ROUND(IFERROR(INDEX(ArchiveResults!$F$5:$IX$116,ComparisonData!A63,ComparisonData!$BW$1),0),5)</f>
        <v>0</v>
      </c>
      <c r="BX63" s="46" cm="1">
        <f t="array" ref="BX63">ROUND(IFERROR(INDEX(ArchiveResults!$F$5:$IX$116,ComparisonData!A63,ComparisonData!$BX$1),0),5)</f>
        <v>0</v>
      </c>
      <c r="BY63" s="56">
        <v>58</v>
      </c>
      <c r="BZ63" s="53" t="str">
        <f t="shared" si="541"/>
        <v>North East Wales Archives (Hawarden)</v>
      </c>
      <c r="CA63" s="59">
        <f t="shared" si="145"/>
        <v>0</v>
      </c>
      <c r="CB63" s="59">
        <f t="shared" si="146"/>
        <v>0</v>
      </c>
      <c r="CC63" s="59">
        <f t="shared" si="147"/>
        <v>0</v>
      </c>
      <c r="CD63" s="59">
        <f t="shared" si="148"/>
        <v>0</v>
      </c>
      <c r="CE63" s="59">
        <f t="shared" si="149"/>
        <v>0</v>
      </c>
      <c r="CF63" s="59">
        <f t="shared" si="150"/>
        <v>0</v>
      </c>
      <c r="CG63" s="58">
        <f t="shared" si="151"/>
        <v>0</v>
      </c>
      <c r="CH63" s="45">
        <f t="shared" si="152"/>
        <v>108</v>
      </c>
      <c r="CI63" s="54">
        <f t="shared" si="542"/>
        <v>2.9790000000000001</v>
      </c>
      <c r="CJ63" s="45">
        <f t="shared" si="153"/>
        <v>1</v>
      </c>
      <c r="CK63" s="45">
        <f t="shared" si="154"/>
        <v>2</v>
      </c>
      <c r="CL63" s="46" cm="1">
        <f t="array" ref="CL63">ROUND(IFERROR(INDEX(ArchiveResults!$F$5:$IX$116,ComparisonData!A63,ComparisonData!$CL$1),0),5)</f>
        <v>0</v>
      </c>
      <c r="CM63" s="56">
        <v>58</v>
      </c>
      <c r="CN63" s="53" t="str">
        <f t="shared" si="543"/>
        <v>North East Wales Archives (Hawarden)</v>
      </c>
      <c r="CO63" s="45">
        <f t="shared" si="155"/>
        <v>0</v>
      </c>
      <c r="CP63" s="58">
        <f t="shared" si="156"/>
        <v>0</v>
      </c>
      <c r="CQ63" s="45">
        <f t="shared" si="157"/>
        <v>108</v>
      </c>
      <c r="CR63" s="54">
        <f t="shared" si="544"/>
        <v>2.9790000000000001</v>
      </c>
      <c r="CS63" s="45">
        <f t="shared" si="158"/>
        <v>1</v>
      </c>
      <c r="CT63" s="45">
        <f t="shared" si="159"/>
        <v>2</v>
      </c>
      <c r="CU63" s="46" cm="1">
        <f t="array" ref="CU63">ROUND(IFERROR(INDEX(ArchiveResults!$F$5:$IX$116,ComparisonData!A63,ComparisonData!$CU$1),0),5)</f>
        <v>0</v>
      </c>
      <c r="CV63" s="56">
        <v>58</v>
      </c>
      <c r="CW63" s="53" t="str">
        <f t="shared" si="545"/>
        <v>North East Wales Archives (Hawarden)</v>
      </c>
      <c r="CX63" s="45">
        <f t="shared" si="160"/>
        <v>0</v>
      </c>
      <c r="CY63" s="58">
        <f t="shared" si="161"/>
        <v>0</v>
      </c>
      <c r="CZ63" s="45">
        <f t="shared" si="162"/>
        <v>108</v>
      </c>
      <c r="DA63" s="54">
        <f t="shared" si="546"/>
        <v>2.9790000000000001</v>
      </c>
      <c r="DB63" s="45">
        <f t="shared" si="163"/>
        <v>1</v>
      </c>
      <c r="DC63" s="45">
        <f t="shared" si="164"/>
        <v>2</v>
      </c>
      <c r="DD63" s="46" cm="1">
        <f t="array" ref="DD63">ROUND(IFERROR(INDEX(ArchiveResults!$F$5:$IX$116,ComparisonData!A63,ComparisonData!$DD$1),0),5)</f>
        <v>0</v>
      </c>
      <c r="DE63" s="56">
        <v>58</v>
      </c>
      <c r="DF63" s="53" t="str">
        <f t="shared" si="547"/>
        <v>North East Wales Archives (Hawarden)</v>
      </c>
      <c r="DG63" s="45">
        <f t="shared" si="165"/>
        <v>0</v>
      </c>
      <c r="DH63" s="58">
        <f t="shared" si="166"/>
        <v>0</v>
      </c>
      <c r="DI63" s="45">
        <f t="shared" si="167"/>
        <v>108</v>
      </c>
      <c r="DJ63" s="54">
        <f t="shared" si="548"/>
        <v>2.9790000000000001</v>
      </c>
      <c r="DK63" s="45">
        <f t="shared" si="168"/>
        <v>1</v>
      </c>
      <c r="DL63" s="45">
        <f t="shared" si="169"/>
        <v>2</v>
      </c>
      <c r="DM63" s="46" cm="1">
        <f t="array" ref="DM63">ROUND(IFERROR(INDEX(ArchiveResults!$F$5:$IX$116,ComparisonData!A63,ComparisonData!$DM$1),0),5)</f>
        <v>0</v>
      </c>
      <c r="DN63" s="46" cm="1">
        <f t="array" ref="DN63">ROUND(IFERROR(INDEX(ArchiveResults!$F$5:$IX$116,ComparisonData!A63,ComparisonData!$DN$1),0),5)</f>
        <v>0</v>
      </c>
      <c r="DO63" s="46" cm="1">
        <f t="array" ref="DO63">ROUND(IFERROR(INDEX(ArchiveResults!$F$5:$IX$116,ComparisonData!A63,ComparisonData!$DO$1),0),5)</f>
        <v>0</v>
      </c>
      <c r="DP63" s="46" cm="1">
        <f t="array" ref="DP63">ROUND(IFERROR(INDEX(ArchiveResults!$F$5:$IX$116,ComparisonData!A63,ComparisonData!$DP$1),0),5)</f>
        <v>0</v>
      </c>
      <c r="DQ63" s="45" cm="1">
        <f t="array" ref="DQ63">IFERROR(INDEX(ArchiveResults!$F$5:$IX$116,ComparisonData!A63,ComparisonData!$DQ$1),0)</f>
        <v>0</v>
      </c>
      <c r="DR63" s="56">
        <v>58</v>
      </c>
      <c r="DS63" s="53" t="str">
        <f t="shared" si="549"/>
        <v>North East Wales Archives (Hawarden)</v>
      </c>
      <c r="DT63" s="59">
        <f t="shared" si="170"/>
        <v>0</v>
      </c>
      <c r="DU63" s="59">
        <f t="shared" si="171"/>
        <v>0</v>
      </c>
      <c r="DV63" s="59">
        <f t="shared" si="172"/>
        <v>0</v>
      </c>
      <c r="DW63" s="59">
        <f t="shared" si="173"/>
        <v>0</v>
      </c>
      <c r="DX63" s="59">
        <f t="shared" si="174"/>
        <v>0</v>
      </c>
      <c r="DY63" s="58">
        <f t="shared" si="175"/>
        <v>0</v>
      </c>
      <c r="DZ63" s="45">
        <f t="shared" si="176"/>
        <v>108</v>
      </c>
      <c r="EA63" s="54">
        <f t="shared" si="550"/>
        <v>2.9790000000000001</v>
      </c>
      <c r="EB63" s="45">
        <f t="shared" si="177"/>
        <v>1</v>
      </c>
      <c r="EC63" s="45">
        <f t="shared" si="178"/>
        <v>2</v>
      </c>
      <c r="ED63" s="46" cm="1">
        <f t="array" ref="ED63">ROUND(IFERROR(INDEX(ArchiveResults!$F$5:$IX$116,ComparisonData!A63,ComparisonData!$ED$1),0),5)</f>
        <v>0</v>
      </c>
      <c r="EE63" s="46" cm="1">
        <f t="array" ref="EE63">ROUND(IFERROR(INDEX(ArchiveResults!$F$5:$IX$116,ComparisonData!A63,ComparisonData!$EE$1),0),5)</f>
        <v>0</v>
      </c>
      <c r="EF63" s="46" cm="1">
        <f t="array" ref="EF63">ROUND(IFERROR(INDEX(ArchiveResults!$F$5:$IX$116,ComparisonData!A63,ComparisonData!$EF$1),0),5)</f>
        <v>0</v>
      </c>
      <c r="EG63" s="46" cm="1">
        <f t="array" ref="EG63">ROUND(IFERROR(INDEX(ArchiveResults!$F$5:$IX$116,ComparisonData!A63,ComparisonData!$EG$1),0),5)</f>
        <v>0</v>
      </c>
      <c r="EH63" s="45" cm="1">
        <f t="array" ref="EH63">IFERROR(INDEX(ArchiveResults!$F$5:$IX$116,ComparisonData!A63,ComparisonData!$EH$1),0)</f>
        <v>0</v>
      </c>
      <c r="EI63" s="56">
        <v>58</v>
      </c>
      <c r="EJ63" s="53" t="str">
        <f t="shared" si="551"/>
        <v>North East Wales Archives (Hawarden)</v>
      </c>
      <c r="EK63" s="59">
        <f t="shared" si="179"/>
        <v>0</v>
      </c>
      <c r="EL63" s="59">
        <f t="shared" si="180"/>
        <v>0</v>
      </c>
      <c r="EM63" s="59">
        <f t="shared" si="181"/>
        <v>0</v>
      </c>
      <c r="EN63" s="59">
        <f t="shared" si="182"/>
        <v>0</v>
      </c>
      <c r="EO63" s="59">
        <f t="shared" si="183"/>
        <v>0</v>
      </c>
      <c r="EP63" s="58">
        <f t="shared" si="184"/>
        <v>0</v>
      </c>
      <c r="EQ63" s="45">
        <f t="shared" si="185"/>
        <v>108</v>
      </c>
      <c r="ER63" s="54">
        <f t="shared" si="552"/>
        <v>2.9790000000000001</v>
      </c>
      <c r="ES63" s="45">
        <f t="shared" si="186"/>
        <v>1</v>
      </c>
      <c r="ET63" s="45">
        <f t="shared" si="187"/>
        <v>2</v>
      </c>
      <c r="EU63" s="46" cm="1">
        <f t="array" ref="EU63">ROUND(IFERROR(INDEX(ArchiveResults!$F$5:$IX$116,ComparisonData!A63,ComparisonData!$EU$1),0),5)</f>
        <v>0</v>
      </c>
      <c r="EV63" s="46" cm="1">
        <f t="array" ref="EV63">ROUND(IFERROR(INDEX(ArchiveResults!$F$5:$IX$116,ComparisonData!A63,ComparisonData!$EV$1),0),5)</f>
        <v>0</v>
      </c>
      <c r="EW63" s="46" cm="1">
        <f t="array" ref="EW63">ROUND(IFERROR(INDEX(ArchiveResults!$F$5:$IX$116,ComparisonData!A63,ComparisonData!$EW$1),0),5)</f>
        <v>0</v>
      </c>
      <c r="EX63" s="46" cm="1">
        <f t="array" ref="EX63">ROUND(IFERROR(INDEX(ArchiveResults!$F$5:$IX$116,ComparisonData!A63,ComparisonData!$EX$1),0),5)</f>
        <v>0</v>
      </c>
      <c r="EY63" s="45" cm="1">
        <f t="array" ref="EY63">IFERROR(INDEX(ArchiveResults!$F$5:$IX$116,ComparisonData!A63,ComparisonData!$EY$1),0)</f>
        <v>0</v>
      </c>
      <c r="EZ63" s="56">
        <v>58</v>
      </c>
      <c r="FA63" s="53" t="str">
        <f t="shared" si="553"/>
        <v>North East Wales Archives (Hawarden)</v>
      </c>
      <c r="FB63" s="59">
        <f t="shared" si="188"/>
        <v>0</v>
      </c>
      <c r="FC63" s="59">
        <f t="shared" si="189"/>
        <v>0</v>
      </c>
      <c r="FD63" s="59">
        <f t="shared" si="190"/>
        <v>0</v>
      </c>
      <c r="FE63" s="59">
        <f t="shared" si="191"/>
        <v>0</v>
      </c>
      <c r="FF63" s="59">
        <f t="shared" si="192"/>
        <v>0</v>
      </c>
      <c r="FG63" s="58">
        <f t="shared" si="193"/>
        <v>0</v>
      </c>
      <c r="FH63" s="45">
        <f t="shared" si="194"/>
        <v>108</v>
      </c>
      <c r="FI63" s="54">
        <f t="shared" si="554"/>
        <v>2.9790000000000001</v>
      </c>
      <c r="FJ63" s="45">
        <f t="shared" si="195"/>
        <v>1</v>
      </c>
      <c r="FK63" s="45">
        <f t="shared" si="196"/>
        <v>2</v>
      </c>
      <c r="FL63" s="46" cm="1">
        <f t="array" ref="FL63">ROUND(IFERROR(INDEX(ArchiveResults!$F$5:$IX$116,ComparisonData!A63,ComparisonData!$FL$1),0),5)</f>
        <v>0</v>
      </c>
      <c r="FM63" s="46" cm="1">
        <f t="array" ref="FM63">ROUND(IFERROR(INDEX(ArchiveResults!$F$5:$IX$116,ComparisonData!A63,ComparisonData!$FM$1),0),5)</f>
        <v>0</v>
      </c>
      <c r="FN63" s="46" cm="1">
        <f t="array" ref="FN63">ROUND(IFERROR(INDEX(ArchiveResults!$F$5:$IX$116,ComparisonData!A63,ComparisonData!$FN$1),0),5)</f>
        <v>0</v>
      </c>
      <c r="FO63" s="46" cm="1">
        <f t="array" ref="FO63">ROUND(IFERROR(INDEX(ArchiveResults!$F$5:$IX$116,ComparisonData!A63,ComparisonData!$FO$1),0),5)</f>
        <v>0</v>
      </c>
      <c r="FP63" s="45" cm="1">
        <f t="array" ref="FP63">IFERROR(INDEX(ArchiveResults!$F$5:$IX$116,ComparisonData!A63,ComparisonData!$FP$1),0)</f>
        <v>0</v>
      </c>
      <c r="FQ63" s="56">
        <v>58</v>
      </c>
      <c r="FR63" s="53" t="str">
        <f t="shared" si="555"/>
        <v>North East Wales Archives (Hawarden)</v>
      </c>
      <c r="FS63" s="59">
        <f t="shared" si="197"/>
        <v>0</v>
      </c>
      <c r="FT63" s="59">
        <f t="shared" si="198"/>
        <v>0</v>
      </c>
      <c r="FU63" s="59">
        <f t="shared" si="199"/>
        <v>0</v>
      </c>
      <c r="FV63" s="59">
        <f t="shared" si="200"/>
        <v>0</v>
      </c>
      <c r="FW63" s="59">
        <f t="shared" si="201"/>
        <v>0</v>
      </c>
      <c r="FX63" s="58">
        <f t="shared" si="202"/>
        <v>0</v>
      </c>
      <c r="FY63" s="45">
        <f t="shared" si="203"/>
        <v>108</v>
      </c>
      <c r="FZ63" s="45">
        <f t="shared" si="556"/>
        <v>2.9790000000000001</v>
      </c>
      <c r="GA63" s="45">
        <f t="shared" si="204"/>
        <v>1</v>
      </c>
      <c r="GB63" s="45">
        <f t="shared" si="205"/>
        <v>2</v>
      </c>
      <c r="GC63" s="46" cm="1">
        <f t="array" ref="GC63">ROUND(IFERROR(INDEX(ArchiveResults!$F$5:$IX$116,ComparisonData!A63,ComparisonData!$GC$1),0),5)</f>
        <v>0</v>
      </c>
      <c r="GD63" s="46" cm="1">
        <f t="array" ref="GD63">ROUND(IFERROR(INDEX(ArchiveResults!$F$5:$IX$116,ComparisonData!A63,ComparisonData!$GD$1),0),5)</f>
        <v>0</v>
      </c>
      <c r="GE63" s="46" cm="1">
        <f t="array" ref="GE63">ROUND(IFERROR(INDEX(ArchiveResults!$F$5:$IX$116,ComparisonData!A63,ComparisonData!$GE$1),0),5)</f>
        <v>0</v>
      </c>
      <c r="GF63" s="46" cm="1">
        <f t="array" ref="GF63">ROUND(IFERROR(INDEX(ArchiveResults!$F$5:$IX$116,ComparisonData!A63,ComparisonData!$GF$1),0),5)</f>
        <v>0</v>
      </c>
      <c r="GG63" s="45" cm="1">
        <f t="array" ref="GG63">IFERROR(INDEX(ArchiveResults!$F$5:$IX$116,ComparisonData!A63,ComparisonData!$GG$1),0)</f>
        <v>0</v>
      </c>
      <c r="GH63" s="56">
        <v>58</v>
      </c>
      <c r="GI63" s="53" t="str">
        <f t="shared" si="557"/>
        <v>North East Wales Archives (Hawarden)</v>
      </c>
      <c r="GJ63" s="59">
        <f t="shared" si="206"/>
        <v>0</v>
      </c>
      <c r="GK63" s="59">
        <f t="shared" si="207"/>
        <v>0</v>
      </c>
      <c r="GL63" s="59">
        <f t="shared" si="208"/>
        <v>0</v>
      </c>
      <c r="GM63" s="59">
        <f t="shared" si="209"/>
        <v>0</v>
      </c>
      <c r="GN63" s="59">
        <f t="shared" si="210"/>
        <v>0</v>
      </c>
      <c r="GO63" s="58">
        <f t="shared" si="211"/>
        <v>0</v>
      </c>
      <c r="GP63" s="45">
        <f t="shared" si="212"/>
        <v>108</v>
      </c>
      <c r="GQ63" s="45">
        <f t="shared" si="558"/>
        <v>2.9790000000000001</v>
      </c>
      <c r="GR63" s="45">
        <f t="shared" si="213"/>
        <v>1</v>
      </c>
      <c r="GS63" s="45">
        <f t="shared" si="214"/>
        <v>2</v>
      </c>
      <c r="GT63" s="46" cm="1">
        <f t="array" ref="GT63">ROUND(IFERROR(INDEX(ArchiveResults!$F$5:$IX$116,ComparisonData!A63,ComparisonData!$GT$1),0),5)</f>
        <v>0</v>
      </c>
      <c r="GU63" s="46" cm="1">
        <f t="array" ref="GU63">ROUND(IFERROR(INDEX(ArchiveResults!$F$5:$IX$116,ComparisonData!A63,ComparisonData!$GU$1),0),5)</f>
        <v>0</v>
      </c>
      <c r="GV63" s="46" cm="1">
        <f t="array" ref="GV63">ROUND(IFERROR(INDEX(ArchiveResults!$F$5:$IX$116,ComparisonData!A63,ComparisonData!$GV$1),0),5)</f>
        <v>0</v>
      </c>
      <c r="GW63" s="46" cm="1">
        <f t="array" ref="GW63">ROUND(IFERROR(INDEX(ArchiveResults!$F$5:$IX$116,ComparisonData!A63,ComparisonData!$GW$1),0),5)</f>
        <v>0</v>
      </c>
      <c r="GX63" s="45" cm="1">
        <f t="array" ref="GX63">IFERROR(INDEX(ArchiveResults!$F$5:$IX$116,ComparisonData!A63,ComparisonData!$GX$1),0)</f>
        <v>0</v>
      </c>
      <c r="GY63" s="56">
        <v>58</v>
      </c>
      <c r="GZ63" s="53" t="str">
        <f t="shared" si="559"/>
        <v>North East Wales Archives (Hawarden)</v>
      </c>
      <c r="HA63" s="59">
        <f t="shared" si="215"/>
        <v>0</v>
      </c>
      <c r="HB63" s="59">
        <f t="shared" si="216"/>
        <v>0</v>
      </c>
      <c r="HC63" s="59">
        <f t="shared" si="217"/>
        <v>0</v>
      </c>
      <c r="HD63" s="59">
        <f t="shared" si="218"/>
        <v>0</v>
      </c>
      <c r="HE63" s="59">
        <f t="shared" si="219"/>
        <v>0</v>
      </c>
      <c r="HF63" s="58">
        <f t="shared" si="220"/>
        <v>0</v>
      </c>
      <c r="HG63" s="45">
        <f t="shared" si="221"/>
        <v>108</v>
      </c>
      <c r="HH63" s="45">
        <f t="shared" si="560"/>
        <v>2.9790000000000001</v>
      </c>
      <c r="HI63" s="45">
        <f t="shared" si="222"/>
        <v>1</v>
      </c>
      <c r="HJ63" s="45">
        <f t="shared" si="223"/>
        <v>2</v>
      </c>
      <c r="HK63" s="46" cm="1">
        <f t="array" ref="HK63">ROUND(IFERROR(INDEX(ArchiveResults!$F$5:$IX$116,ComparisonData!A63,ComparisonData!$HK$1),0),5)</f>
        <v>0</v>
      </c>
      <c r="HL63" s="46" cm="1">
        <f t="array" ref="HL63">ROUND(IFERROR(INDEX(ArchiveResults!$F$5:$IX$116,ComparisonData!A63,ComparisonData!$HL$1),0),5)</f>
        <v>0</v>
      </c>
      <c r="HM63" s="46" cm="1">
        <f t="array" ref="HM63">ROUND(IFERROR(INDEX(ArchiveResults!$F$5:$IX$116,ComparisonData!A63,ComparisonData!$HM$1),0),5)</f>
        <v>0</v>
      </c>
      <c r="HN63" s="46" cm="1">
        <f t="array" ref="HN63">ROUND(IFERROR(INDEX(ArchiveResults!$F$5:$IX$116,ComparisonData!A63,ComparisonData!$HN$1),0),5)</f>
        <v>0</v>
      </c>
      <c r="HO63" s="45" cm="1">
        <f t="array" ref="HO63">IFERROR(INDEX(ArchiveResults!$F$5:$IX$116,ComparisonData!A63,ComparisonData!$HO$1),0)</f>
        <v>0</v>
      </c>
      <c r="HP63" s="56">
        <v>58</v>
      </c>
      <c r="HQ63" s="53" t="str">
        <f t="shared" si="561"/>
        <v>North East Wales Archives (Hawarden)</v>
      </c>
      <c r="HR63" s="59">
        <f t="shared" si="562"/>
        <v>0</v>
      </c>
      <c r="HS63" s="59">
        <f t="shared" si="563"/>
        <v>0</v>
      </c>
      <c r="HT63" s="59">
        <f t="shared" si="564"/>
        <v>0</v>
      </c>
      <c r="HU63" s="59">
        <f t="shared" si="565"/>
        <v>0</v>
      </c>
      <c r="HV63" s="59">
        <f t="shared" si="566"/>
        <v>0</v>
      </c>
      <c r="HW63" s="58">
        <f t="shared" si="224"/>
        <v>0</v>
      </c>
      <c r="HX63" s="45">
        <f t="shared" si="225"/>
        <v>108</v>
      </c>
      <c r="HY63" s="45">
        <f t="shared" si="567"/>
        <v>2.9790000000000001</v>
      </c>
      <c r="HZ63" s="45">
        <f t="shared" si="226"/>
        <v>1</v>
      </c>
      <c r="IA63" s="45">
        <f t="shared" si="227"/>
        <v>2</v>
      </c>
      <c r="IB63" s="45">
        <f t="shared" si="228"/>
        <v>0</v>
      </c>
      <c r="IC63" s="46" cm="1">
        <f t="array" ref="IC63">ROUND(IFERROR(INDEX(ArchiveResults!$F$5:$IX$116,ComparisonData!A63,ComparisonData!$IC$1),0),5)</f>
        <v>0</v>
      </c>
      <c r="ID63" s="46" cm="1">
        <f t="array" ref="ID63">ROUND(IFERROR(INDEX(ArchiveResults!$F$5:$IX$116,ComparisonData!A63,ComparisonData!$ID$1),0),5)</f>
        <v>0</v>
      </c>
      <c r="IE63" s="46" cm="1">
        <f t="array" ref="IE63">ROUND(IFERROR(INDEX(ArchiveResults!$F$5:$IX$116,ComparisonData!A63,ComparisonData!$IE$1),0),5)</f>
        <v>0</v>
      </c>
      <c r="IF63" s="46" cm="1">
        <f t="array" ref="IF63">ROUND(IFERROR(INDEX(ArchiveResults!$F$5:$IX$116,ComparisonData!A63,ComparisonData!$IF$1),0),5)</f>
        <v>0</v>
      </c>
      <c r="IG63" s="45" cm="1">
        <f t="array" ref="IG63">IFERROR(INDEX(ArchiveResults!$F$5:$IX$116,ComparisonData!A63,ComparisonData!$IG$1),0)</f>
        <v>0</v>
      </c>
      <c r="IH63" s="56">
        <v>58</v>
      </c>
      <c r="II63" s="53" t="str">
        <f t="shared" si="568"/>
        <v>North East Wales Archives (Hawarden)</v>
      </c>
      <c r="IJ63" s="59">
        <f t="shared" si="229"/>
        <v>0</v>
      </c>
      <c r="IK63" s="59">
        <f t="shared" si="230"/>
        <v>0</v>
      </c>
      <c r="IL63" s="59">
        <f t="shared" si="231"/>
        <v>0</v>
      </c>
      <c r="IM63" s="59">
        <f t="shared" si="232"/>
        <v>0</v>
      </c>
      <c r="IN63" s="59">
        <f t="shared" si="233"/>
        <v>0</v>
      </c>
      <c r="IO63" s="58">
        <f t="shared" si="234"/>
        <v>0</v>
      </c>
      <c r="IP63" s="45">
        <f t="shared" si="235"/>
        <v>108</v>
      </c>
      <c r="IQ63" s="45">
        <f t="shared" si="569"/>
        <v>2.9790000000000001</v>
      </c>
      <c r="IR63" s="45">
        <f t="shared" si="236"/>
        <v>1</v>
      </c>
      <c r="IS63" s="45">
        <f t="shared" si="237"/>
        <v>2</v>
      </c>
      <c r="IT63" s="46">
        <f t="shared" si="238"/>
        <v>0</v>
      </c>
      <c r="IU63" s="46" cm="1">
        <f t="array" ref="IU63">ROUND(IFERROR(INDEX(ArchiveResults!$F$5:$IX$116,ComparisonData!A63,ComparisonData!$IU$1),0),5)</f>
        <v>0</v>
      </c>
      <c r="IV63" s="46" cm="1">
        <f t="array" ref="IV63">ROUND(IFERROR(INDEX(ArchiveResults!$F$5:$IX$116,ComparisonData!A63,ComparisonData!$IV$1),0),5)</f>
        <v>0</v>
      </c>
      <c r="IW63" s="46" cm="1">
        <f t="array" ref="IW63">ROUND(IFERROR(INDEX(ArchiveResults!$F$5:$IX$116,ComparisonData!A63,ComparisonData!$IW$1),0),5)</f>
        <v>0</v>
      </c>
      <c r="IX63" s="46" cm="1">
        <f t="array" ref="IX63">ROUND(IFERROR(INDEX(ArchiveResults!$F$5:$IX$116,ComparisonData!A63,ComparisonData!$IX$1),0),5)</f>
        <v>0</v>
      </c>
      <c r="IY63" s="45" cm="1">
        <f t="array" ref="IY63">IFERROR(INDEX(ArchiveResults!$F$5:$IX$116,ComparisonData!A63,ComparisonData!$IY$1),0)</f>
        <v>0</v>
      </c>
      <c r="IZ63" s="56">
        <v>58</v>
      </c>
      <c r="JA63" s="53" t="str">
        <f t="shared" si="570"/>
        <v>North East Wales Archives (Hawarden)</v>
      </c>
      <c r="JB63" s="59">
        <f t="shared" si="239"/>
        <v>0</v>
      </c>
      <c r="JC63" s="59">
        <f t="shared" si="240"/>
        <v>0</v>
      </c>
      <c r="JD63" s="59">
        <f t="shared" si="241"/>
        <v>0</v>
      </c>
      <c r="JE63" s="59">
        <f t="shared" si="242"/>
        <v>0</v>
      </c>
      <c r="JF63" s="59">
        <f t="shared" si="243"/>
        <v>0</v>
      </c>
      <c r="JG63" s="58">
        <f t="shared" si="244"/>
        <v>0</v>
      </c>
      <c r="JH63" s="45">
        <f t="shared" si="245"/>
        <v>108</v>
      </c>
      <c r="JI63" s="45">
        <f t="shared" si="571"/>
        <v>2.9790000000000001</v>
      </c>
      <c r="JJ63" s="45">
        <f t="shared" si="246"/>
        <v>1</v>
      </c>
      <c r="JK63" s="45">
        <f t="shared" si="247"/>
        <v>2</v>
      </c>
      <c r="JL63" s="45">
        <f t="shared" si="248"/>
        <v>0</v>
      </c>
      <c r="JM63" s="46" cm="1">
        <f t="array" ref="JM63">ROUND(IFERROR(INDEX(ArchiveResults!$F$5:$IX$116,ComparisonData!A63,ComparisonData!$JM$1),0),5)</f>
        <v>0</v>
      </c>
      <c r="JN63" s="46" cm="1">
        <f t="array" ref="JN63">ROUND(IFERROR(INDEX(ArchiveResults!$F$5:$IX$116,ComparisonData!A63,ComparisonData!$JN$1),0),5)</f>
        <v>0</v>
      </c>
      <c r="JO63" s="46" cm="1">
        <f t="array" ref="JO63">ROUND(IFERROR(INDEX(ArchiveResults!$F$5:$IX$116,ComparisonData!A63,ComparisonData!$JO$1),0),5)</f>
        <v>0</v>
      </c>
      <c r="JP63" s="46" cm="1">
        <f t="array" ref="JP63">ROUND(IFERROR(INDEX(ArchiveResults!$F$5:$IX$116,ComparisonData!A63,ComparisonData!$JP$1),0),5)</f>
        <v>0</v>
      </c>
      <c r="JQ63" s="45" cm="1">
        <f t="array" ref="JQ63">IFERROR(INDEX(ArchiveResults!$F$5:$IX$116,ComparisonData!A63,ComparisonData!$JQ$1),0)</f>
        <v>0</v>
      </c>
      <c r="JR63" s="56">
        <v>58</v>
      </c>
      <c r="JS63" s="53" t="str">
        <f t="shared" si="572"/>
        <v>North East Wales Archives (Hawarden)</v>
      </c>
      <c r="JT63" s="59">
        <f t="shared" si="249"/>
        <v>0</v>
      </c>
      <c r="JU63" s="59">
        <f t="shared" si="250"/>
        <v>0</v>
      </c>
      <c r="JV63" s="59">
        <f t="shared" si="251"/>
        <v>0</v>
      </c>
      <c r="JW63" s="59">
        <f t="shared" si="252"/>
        <v>0</v>
      </c>
      <c r="JX63" s="59">
        <f t="shared" si="253"/>
        <v>0</v>
      </c>
      <c r="JY63" s="58">
        <f t="shared" si="254"/>
        <v>0</v>
      </c>
      <c r="JZ63" s="45">
        <f t="shared" si="255"/>
        <v>108</v>
      </c>
      <c r="KA63" s="45">
        <f t="shared" si="573"/>
        <v>2.9790000000000001</v>
      </c>
      <c r="KB63" s="45">
        <f t="shared" si="256"/>
        <v>1</v>
      </c>
      <c r="KC63" s="45">
        <f t="shared" si="257"/>
        <v>2</v>
      </c>
      <c r="KD63" s="45">
        <f t="shared" si="258"/>
        <v>0</v>
      </c>
      <c r="KE63" s="46" cm="1">
        <f t="array" ref="KE63">ROUND(IFERROR(INDEX(ArchiveResults!$F$5:$IX$116,ComparisonData!A63,ComparisonData!$KE$1),0),5)</f>
        <v>0</v>
      </c>
      <c r="KF63" s="46" cm="1">
        <f t="array" ref="KF63">ROUND(IFERROR(INDEX(ArchiveResults!$F$5:$IX$116,ComparisonData!A63,ComparisonData!$KF$1),0),5)</f>
        <v>0</v>
      </c>
      <c r="KG63" s="46" cm="1">
        <f t="array" ref="KG63">ROUND(IFERROR(INDEX(ArchiveResults!$F$5:$IX$116,ComparisonData!A63,ComparisonData!$KG$1),0),5)</f>
        <v>0</v>
      </c>
      <c r="KH63" s="46" cm="1">
        <f t="array" ref="KH63">ROUND(IFERROR(INDEX(ArchiveResults!$F$5:$IX$116,ComparisonData!A63,ComparisonData!$KH$1),0),5)</f>
        <v>0</v>
      </c>
      <c r="KI63" s="45" cm="1">
        <f t="array" ref="KI63">IFERROR(INDEX(ArchiveResults!$F$5:$IX$116,ComparisonData!A63,ComparisonData!$KI$1),0)</f>
        <v>0</v>
      </c>
      <c r="KJ63" s="56">
        <v>58</v>
      </c>
      <c r="KK63" s="53" t="str">
        <f t="shared" si="574"/>
        <v>North East Wales Archives (Hawarden)</v>
      </c>
      <c r="KL63" s="59">
        <f t="shared" si="259"/>
        <v>0</v>
      </c>
      <c r="KM63" s="59">
        <f t="shared" si="260"/>
        <v>0</v>
      </c>
      <c r="KN63" s="59">
        <f t="shared" si="261"/>
        <v>0</v>
      </c>
      <c r="KO63" s="59">
        <f t="shared" si="262"/>
        <v>0</v>
      </c>
      <c r="KP63" s="59">
        <f t="shared" si="263"/>
        <v>0</v>
      </c>
      <c r="KQ63" s="58">
        <f t="shared" si="264"/>
        <v>0</v>
      </c>
      <c r="KR63" s="45">
        <f t="shared" si="265"/>
        <v>108</v>
      </c>
      <c r="KS63" s="45">
        <f t="shared" si="575"/>
        <v>2.9790000000000001</v>
      </c>
      <c r="KT63" s="45">
        <f t="shared" si="266"/>
        <v>1</v>
      </c>
      <c r="KU63" s="45">
        <f t="shared" si="267"/>
        <v>2</v>
      </c>
      <c r="KV63" s="45">
        <f t="shared" si="268"/>
        <v>0</v>
      </c>
      <c r="KW63" s="46" cm="1">
        <f t="array" ref="KW63">ROUND(IFERROR(INDEX(ArchiveResults!$F$5:$IX$116,ComparisonData!A63,ComparisonData!$KW$1),0),5)</f>
        <v>0</v>
      </c>
      <c r="KX63" s="46" cm="1">
        <f t="array" ref="KX63">ROUND(IFERROR(INDEX(ArchiveResults!$F$5:$IX$116,ComparisonData!A63,ComparisonData!$KX$1),0),5)</f>
        <v>0</v>
      </c>
      <c r="KY63" s="46" cm="1">
        <f t="array" ref="KY63">ROUND(IFERROR(INDEX(ArchiveResults!$F$5:$IX$116,ComparisonData!A63,ComparisonData!$KY$1),0),5)</f>
        <v>0</v>
      </c>
      <c r="KZ63" s="46" cm="1">
        <f t="array" ref="KZ63">ROUND(IFERROR(INDEX(ArchiveResults!$F$5:$IX$116,ComparisonData!A63,ComparisonData!$KZ$1),0),5)</f>
        <v>0</v>
      </c>
      <c r="LA63" s="45" cm="1">
        <f t="array" ref="LA63">IFERROR(INDEX(ArchiveResults!$F$5:$IX$116,ComparisonData!A63,ComparisonData!$LA$1),0)</f>
        <v>0</v>
      </c>
      <c r="LB63" s="56">
        <v>58</v>
      </c>
      <c r="LC63" s="53" t="str">
        <f t="shared" si="576"/>
        <v>North East Wales Archives (Hawarden)</v>
      </c>
      <c r="LD63" s="59">
        <f t="shared" si="269"/>
        <v>0</v>
      </c>
      <c r="LE63" s="59">
        <f t="shared" si="270"/>
        <v>0</v>
      </c>
      <c r="LF63" s="59">
        <f t="shared" si="271"/>
        <v>0</v>
      </c>
      <c r="LG63" s="59">
        <f t="shared" si="272"/>
        <v>0</v>
      </c>
      <c r="LH63" s="59">
        <f t="shared" si="273"/>
        <v>0</v>
      </c>
      <c r="LI63" s="58">
        <f t="shared" si="274"/>
        <v>0</v>
      </c>
      <c r="LJ63" s="45">
        <f t="shared" si="275"/>
        <v>108</v>
      </c>
      <c r="LK63" s="45">
        <f t="shared" si="577"/>
        <v>2.9790000000000001</v>
      </c>
      <c r="LL63" s="45">
        <f t="shared" si="276"/>
        <v>1</v>
      </c>
      <c r="LM63" s="45">
        <f t="shared" si="277"/>
        <v>2</v>
      </c>
      <c r="LN63" s="45">
        <f t="shared" si="278"/>
        <v>0</v>
      </c>
      <c r="LO63" s="46" cm="1">
        <f t="array" ref="LO63">ROUND(IFERROR(INDEX(ArchiveResults!$F$5:$IX$116,ComparisonData!A63,ComparisonData!$LO$1),0),5)</f>
        <v>0</v>
      </c>
      <c r="LP63" s="46" cm="1">
        <f t="array" ref="LP63">ROUND(IFERROR(INDEX(ArchiveResults!$F$5:$IX$116,ComparisonData!A63,ComparisonData!$LP$1),0),5)</f>
        <v>0</v>
      </c>
      <c r="LQ63" s="46" cm="1">
        <f t="array" ref="LQ63">ROUND(IFERROR(INDEX(ArchiveResults!$F$5:$IX$116,ComparisonData!A63,ComparisonData!$LQ$1),0),5)</f>
        <v>0</v>
      </c>
      <c r="LR63" s="46" cm="1">
        <f t="array" ref="LR63">ROUND(IFERROR(INDEX(ArchiveResults!$F$5:$IX$116,ComparisonData!A63,ComparisonData!$LR$1),0),5)</f>
        <v>0</v>
      </c>
      <c r="LS63" s="45" cm="1">
        <f t="array" ref="LS63">IFERROR(INDEX(ArchiveResults!$F$5:$IX$116,ComparisonData!A63,ComparisonData!$LS$1),0)</f>
        <v>0</v>
      </c>
      <c r="LT63" s="56">
        <v>58</v>
      </c>
      <c r="LU63" s="53" t="str">
        <f t="shared" si="578"/>
        <v>North East Wales Archives (Hawarden)</v>
      </c>
      <c r="LV63" s="59">
        <f t="shared" si="279"/>
        <v>0</v>
      </c>
      <c r="LW63" s="59">
        <f t="shared" si="280"/>
        <v>0</v>
      </c>
      <c r="LX63" s="59">
        <f t="shared" si="281"/>
        <v>0</v>
      </c>
      <c r="LY63" s="59">
        <f t="shared" si="282"/>
        <v>0</v>
      </c>
      <c r="LZ63" s="59">
        <f t="shared" si="283"/>
        <v>0</v>
      </c>
      <c r="MA63" s="58">
        <f t="shared" si="284"/>
        <v>0</v>
      </c>
      <c r="MB63" s="45">
        <f t="shared" si="285"/>
        <v>108</v>
      </c>
      <c r="MC63" s="45">
        <f t="shared" si="579"/>
        <v>2.9790000000000001</v>
      </c>
      <c r="MD63" s="45">
        <f t="shared" si="286"/>
        <v>1</v>
      </c>
      <c r="ME63" s="45">
        <f t="shared" si="287"/>
        <v>2</v>
      </c>
      <c r="MF63" s="45">
        <f t="shared" si="288"/>
        <v>0</v>
      </c>
      <c r="MG63" s="46" cm="1">
        <f t="array" ref="MG63">ROUND(IFERROR(INDEX(ArchiveResults!$F$5:$IX$116,ComparisonData!A63,ComparisonData!$MG$1),0),5)</f>
        <v>0</v>
      </c>
      <c r="MH63" s="46" cm="1">
        <f t="array" ref="MH63">ROUND(IFERROR(INDEX(ArchiveResults!$F$5:$IX$116,ComparisonData!A63,ComparisonData!$MH$1),0),5)</f>
        <v>0</v>
      </c>
      <c r="MI63" s="46" cm="1">
        <f t="array" ref="MI63">ROUND(IFERROR(INDEX(ArchiveResults!$F$5:$IX$116,ComparisonData!A63,ComparisonData!$MI$1),0),5)</f>
        <v>0</v>
      </c>
      <c r="MJ63" s="46" cm="1">
        <f t="array" ref="MJ63">ROUND(IFERROR(INDEX(ArchiveResults!$F$5:$IX$116,ComparisonData!A63,ComparisonData!$MJ$1),0),5)</f>
        <v>0</v>
      </c>
      <c r="MK63" s="45" cm="1">
        <f t="array" ref="MK63">IFERROR(INDEX(ArchiveResults!$F$5:$IX$116,ComparisonData!A63,ComparisonData!$MK$1),0)</f>
        <v>0</v>
      </c>
      <c r="ML63" s="56">
        <v>58</v>
      </c>
      <c r="MM63" s="53" t="str">
        <f t="shared" si="580"/>
        <v>North East Wales Archives (Hawarden)</v>
      </c>
      <c r="MN63" s="59">
        <f t="shared" si="289"/>
        <v>0</v>
      </c>
      <c r="MO63" s="59">
        <f t="shared" si="290"/>
        <v>0</v>
      </c>
      <c r="MP63" s="59">
        <f t="shared" si="291"/>
        <v>0</v>
      </c>
      <c r="MQ63" s="59">
        <f t="shared" si="292"/>
        <v>0</v>
      </c>
      <c r="MR63" s="59">
        <f t="shared" si="293"/>
        <v>0</v>
      </c>
      <c r="MS63" s="58">
        <f t="shared" si="294"/>
        <v>0</v>
      </c>
      <c r="MT63" s="45">
        <f t="shared" si="295"/>
        <v>108</v>
      </c>
      <c r="MU63" s="45">
        <f t="shared" si="581"/>
        <v>2.9790000000000001</v>
      </c>
      <c r="MV63" s="45">
        <f t="shared" si="296"/>
        <v>1</v>
      </c>
      <c r="MW63" s="45">
        <f t="shared" si="297"/>
        <v>2</v>
      </c>
      <c r="MX63" s="45">
        <f t="shared" si="298"/>
        <v>0</v>
      </c>
      <c r="MY63" s="46" cm="1">
        <f t="array" ref="MY63">ROUND(IFERROR(INDEX(ArchiveResults!$F$5:$IX$116,ComparisonData!A63,ComparisonData!$MY$1),0),5)</f>
        <v>0</v>
      </c>
      <c r="MZ63" s="46" cm="1">
        <f t="array" ref="MZ63">ROUND(IFERROR(INDEX(ArchiveResults!$F$5:$IX$116,ComparisonData!A63,ComparisonData!$MZ$1),0),5)</f>
        <v>0</v>
      </c>
      <c r="NA63" s="46" cm="1">
        <f t="array" ref="NA63">ROUND(IFERROR(INDEX(ArchiveResults!$F$5:$IX$116,ComparisonData!A63,ComparisonData!$NA$1),0),5)</f>
        <v>0</v>
      </c>
      <c r="NB63" s="46" cm="1">
        <f t="array" ref="NB63">ROUND(IFERROR(INDEX(ArchiveResults!$F$5:$IX$116,ComparisonData!A63,ComparisonData!$NB$1),0),5)</f>
        <v>0</v>
      </c>
      <c r="NC63" s="45" cm="1">
        <f t="array" ref="NC63">IFERROR(INDEX(ArchiveResults!$F$5:$IX$116,ComparisonData!A63,ComparisonData!$NC$1),0)</f>
        <v>0</v>
      </c>
      <c r="ND63" s="56">
        <v>58</v>
      </c>
      <c r="NE63" s="53" t="str">
        <f t="shared" si="582"/>
        <v>North East Wales Archives (Hawarden)</v>
      </c>
      <c r="NF63" s="59">
        <f t="shared" si="299"/>
        <v>0</v>
      </c>
      <c r="NG63" s="59">
        <f t="shared" si="300"/>
        <v>0</v>
      </c>
      <c r="NH63" s="59">
        <f t="shared" si="301"/>
        <v>0</v>
      </c>
      <c r="NI63" s="59">
        <f t="shared" si="302"/>
        <v>0</v>
      </c>
      <c r="NJ63" s="59">
        <f t="shared" si="303"/>
        <v>0</v>
      </c>
      <c r="NK63" s="58">
        <f t="shared" si="304"/>
        <v>0</v>
      </c>
      <c r="NL63" s="45">
        <f t="shared" si="305"/>
        <v>108</v>
      </c>
      <c r="NM63" s="45">
        <f t="shared" si="583"/>
        <v>2.9790000000000001</v>
      </c>
      <c r="NN63" s="45">
        <f t="shared" si="306"/>
        <v>1</v>
      </c>
      <c r="NO63" s="45">
        <f t="shared" si="307"/>
        <v>2</v>
      </c>
      <c r="NP63" s="46" cm="1">
        <f t="array" ref="NP63">ROUND(IFERROR(INDEX(ArchiveResults!$F$5:$IX$116,ComparisonData!A63,ComparisonData!$NP$1),0),5)</f>
        <v>0</v>
      </c>
      <c r="NQ63" s="46" cm="1">
        <f t="array" ref="NQ63">ROUND(IFERROR(INDEX(ArchiveResults!$F$5:$IX$116,ComparisonData!A63,ComparisonData!$NQ$1),0),5)</f>
        <v>0</v>
      </c>
      <c r="NR63" s="46" cm="1">
        <f t="array" ref="NR63">ROUND(IFERROR(INDEX(ArchiveResults!$F$5:$IX$116,ComparisonData!A63,ComparisonData!$NR$1),0),5)</f>
        <v>0</v>
      </c>
      <c r="NS63" s="46" cm="1">
        <f t="array" ref="NS63">ROUND(IFERROR(INDEX(ArchiveResults!$F$5:$IX$116,ComparisonData!A63,ComparisonData!$NS$1),0),5)</f>
        <v>0</v>
      </c>
      <c r="NT63" s="45" cm="1">
        <f t="array" ref="NT63">IFERROR(INDEX(ArchiveResults!$F$5:$IX$116,ComparisonData!A63,ComparisonData!$NT$1),0)</f>
        <v>0</v>
      </c>
      <c r="NU63" s="56">
        <v>58</v>
      </c>
      <c r="NV63" s="53" t="str">
        <f t="shared" si="584"/>
        <v>North East Wales Archives (Hawarden)</v>
      </c>
      <c r="NW63" s="59">
        <f t="shared" si="308"/>
        <v>0</v>
      </c>
      <c r="NX63" s="59">
        <f t="shared" si="309"/>
        <v>0</v>
      </c>
      <c r="NY63" s="59">
        <f t="shared" si="310"/>
        <v>0</v>
      </c>
      <c r="NZ63" s="59">
        <f t="shared" si="311"/>
        <v>0</v>
      </c>
      <c r="OA63" s="59">
        <f t="shared" si="312"/>
        <v>0</v>
      </c>
      <c r="OB63" s="58">
        <f t="shared" si="313"/>
        <v>0</v>
      </c>
      <c r="OC63" s="45">
        <f t="shared" si="314"/>
        <v>108</v>
      </c>
      <c r="OD63" s="45">
        <f t="shared" si="585"/>
        <v>2.9790000000000001</v>
      </c>
      <c r="OE63" s="45">
        <f t="shared" si="315"/>
        <v>1</v>
      </c>
      <c r="OF63" s="45">
        <f t="shared" si="316"/>
        <v>2</v>
      </c>
      <c r="OG63" s="46">
        <f t="shared" si="317"/>
        <v>0</v>
      </c>
      <c r="OH63" s="46" cm="1">
        <f t="array" ref="OH63">ROUND(IFERROR(INDEX(ArchiveResults!$F$5:$IX$116,ComparisonData!A63,ComparisonData!$OH$1),0),5)</f>
        <v>0</v>
      </c>
      <c r="OI63" s="46" cm="1">
        <f t="array" ref="OI63">ROUND(IFERROR(INDEX(ArchiveResults!$F$5:$IX$116,ComparisonData!A63,ComparisonData!$OI$1),0),5)</f>
        <v>0</v>
      </c>
      <c r="OJ63" s="46" cm="1">
        <f t="array" ref="OJ63">ROUND(IFERROR(INDEX(ArchiveResults!$F$5:$IX$116,ComparisonData!A63,ComparisonData!$OJ$1),0),5)</f>
        <v>0</v>
      </c>
      <c r="OK63" s="46" cm="1">
        <f t="array" ref="OK63">ROUND(IFERROR(INDEX(ArchiveResults!$F$5:$IX$116,ComparisonData!A63,ComparisonData!$OK$1),0),5)</f>
        <v>0</v>
      </c>
      <c r="OL63" s="45" cm="1">
        <f t="array" ref="OL63">IFERROR(INDEX(ArchiveResults!$F$5:$IX$116,ComparisonData!A63,ComparisonData!$OL$1),0)</f>
        <v>0</v>
      </c>
      <c r="OM63" s="56">
        <v>58</v>
      </c>
      <c r="ON63" s="53" t="str">
        <f t="shared" si="586"/>
        <v>North East Wales Archives (Hawarden)</v>
      </c>
      <c r="OO63" s="59">
        <f t="shared" si="318"/>
        <v>0</v>
      </c>
      <c r="OP63" s="59">
        <f t="shared" si="319"/>
        <v>0</v>
      </c>
      <c r="OQ63" s="59">
        <f t="shared" si="320"/>
        <v>0</v>
      </c>
      <c r="OR63" s="59">
        <f t="shared" si="321"/>
        <v>0</v>
      </c>
      <c r="OS63" s="59">
        <f t="shared" si="322"/>
        <v>0</v>
      </c>
      <c r="OT63" s="58">
        <f t="shared" si="323"/>
        <v>0</v>
      </c>
      <c r="OU63" s="45">
        <f t="shared" si="324"/>
        <v>108</v>
      </c>
      <c r="OV63" s="45">
        <f t="shared" si="587"/>
        <v>2.9790000000000001</v>
      </c>
      <c r="OW63" s="45">
        <f t="shared" si="325"/>
        <v>1</v>
      </c>
      <c r="OX63" s="45">
        <f t="shared" si="326"/>
        <v>2</v>
      </c>
      <c r="OY63" s="45">
        <f t="shared" si="327"/>
        <v>0</v>
      </c>
      <c r="OZ63" s="46" cm="1">
        <f t="array" ref="OZ63">ROUND(IFERROR(INDEX(ArchiveResults!$F$5:$IX$116,ComparisonData!A63,ComparisonData!$OZ$1),0),5)</f>
        <v>0</v>
      </c>
      <c r="PA63" s="46" cm="1">
        <f t="array" ref="PA63">ROUND(IFERROR(INDEX(ArchiveResults!$F$5:$IX$116,ComparisonData!A63,ComparisonData!$PA$1),0),5)</f>
        <v>0</v>
      </c>
      <c r="PB63" s="46" cm="1">
        <f t="array" ref="PB63">ROUND(IFERROR(INDEX(ArchiveResults!$F$5:$IX$116,ComparisonData!A63,ComparisonData!$PB$1),0),5)</f>
        <v>0</v>
      </c>
      <c r="PC63" s="46" cm="1">
        <f t="array" ref="PC63">ROUND(IFERROR(INDEX(ArchiveResults!$F$5:$IX$116,ComparisonData!A63,ComparisonData!$PC$1),0),5)</f>
        <v>0</v>
      </c>
      <c r="PD63" s="45" cm="1">
        <f t="array" ref="PD63">IFERROR(INDEX(ArchiveResults!$F$5:$IX$116,ComparisonData!A63,ComparisonData!$PD$1),0)</f>
        <v>0</v>
      </c>
      <c r="PE63" s="56">
        <v>58</v>
      </c>
      <c r="PF63" s="53" t="str">
        <f t="shared" si="588"/>
        <v>North East Wales Archives (Hawarden)</v>
      </c>
      <c r="PG63" s="59">
        <f t="shared" si="328"/>
        <v>0</v>
      </c>
      <c r="PH63" s="59">
        <f t="shared" si="329"/>
        <v>0</v>
      </c>
      <c r="PI63" s="59">
        <f t="shared" si="330"/>
        <v>0</v>
      </c>
      <c r="PJ63" s="59">
        <f t="shared" si="331"/>
        <v>0</v>
      </c>
      <c r="PK63" s="59">
        <f t="shared" si="332"/>
        <v>0</v>
      </c>
      <c r="PL63" s="58">
        <f t="shared" si="333"/>
        <v>0</v>
      </c>
      <c r="PM63" s="45">
        <f t="shared" si="334"/>
        <v>108</v>
      </c>
      <c r="PN63" s="45">
        <f t="shared" si="589"/>
        <v>2.9790000000000001</v>
      </c>
      <c r="PO63" s="45">
        <f t="shared" si="335"/>
        <v>1</v>
      </c>
      <c r="PP63" s="45">
        <f t="shared" si="336"/>
        <v>2</v>
      </c>
      <c r="PQ63" s="45">
        <f t="shared" si="337"/>
        <v>0</v>
      </c>
      <c r="PR63" s="46" cm="1">
        <f t="array" ref="PR63">ROUND(IFERROR(INDEX(ArchiveResults!$F$5:$IX$116,ComparisonData!A63,ComparisonData!$PR$1),0),5)</f>
        <v>0</v>
      </c>
      <c r="PS63" s="46" cm="1">
        <f t="array" ref="PS63">ROUND(IFERROR(INDEX(ArchiveResults!$F$5:$IX$116,ComparisonData!A63,ComparisonData!$PS$1),0),5)</f>
        <v>0</v>
      </c>
      <c r="PT63" s="46" cm="1">
        <f t="array" ref="PT63">ROUND(IFERROR(INDEX(ArchiveResults!$F$5:$IX$116,ComparisonData!A63,ComparisonData!$PT$1),0),5)</f>
        <v>0</v>
      </c>
      <c r="PU63" s="46" cm="1">
        <f t="array" ref="PU63">ROUND(IFERROR(INDEX(ArchiveResults!$F$5:$IX$116,ComparisonData!A63,ComparisonData!$PU$1),0),5)</f>
        <v>0</v>
      </c>
      <c r="PV63" s="45" cm="1">
        <f t="array" ref="PV63">IFERROR(INDEX(ArchiveResults!$F$5:$IX$116,ComparisonData!A63,ComparisonData!$PV$1),0)</f>
        <v>0</v>
      </c>
      <c r="PW63" s="56">
        <v>58</v>
      </c>
      <c r="PX63" s="53" t="str">
        <f t="shared" si="590"/>
        <v>North East Wales Archives (Hawarden)</v>
      </c>
      <c r="PY63" s="59">
        <f t="shared" si="338"/>
        <v>0</v>
      </c>
      <c r="PZ63" s="59">
        <f t="shared" si="339"/>
        <v>0</v>
      </c>
      <c r="QA63" s="59">
        <f t="shared" si="340"/>
        <v>0</v>
      </c>
      <c r="QB63" s="59">
        <f t="shared" si="341"/>
        <v>0</v>
      </c>
      <c r="QC63" s="59">
        <f t="shared" si="342"/>
        <v>0</v>
      </c>
      <c r="QD63" s="58">
        <f t="shared" si="343"/>
        <v>0</v>
      </c>
      <c r="QE63" s="45">
        <f t="shared" si="344"/>
        <v>108</v>
      </c>
      <c r="QF63" s="45">
        <f t="shared" si="591"/>
        <v>2.9790000000000001</v>
      </c>
      <c r="QG63" s="45">
        <f t="shared" si="345"/>
        <v>1</v>
      </c>
      <c r="QH63" s="45">
        <f t="shared" si="346"/>
        <v>2</v>
      </c>
      <c r="QI63" s="45">
        <f t="shared" si="347"/>
        <v>0</v>
      </c>
      <c r="QJ63" s="46" cm="1">
        <f t="array" ref="QJ63">ROUND(IFERROR(INDEX(ArchiveResults!$F$5:$IX$116,ComparisonData!A63,ComparisonData!$QJ$1),0),5)</f>
        <v>0</v>
      </c>
      <c r="QK63" s="46" cm="1">
        <f t="array" ref="QK63">ROUND(IFERROR(INDEX(ArchiveResults!$F$5:$IX$116,ComparisonData!A63,ComparisonData!$QK$1),0),5)</f>
        <v>0</v>
      </c>
      <c r="QL63" s="46" cm="1">
        <f t="array" ref="QL63">ROUND(IFERROR(INDEX(ArchiveResults!$F$5:$IX$116,ComparisonData!A63,ComparisonData!$QL$1),0),5)</f>
        <v>0</v>
      </c>
      <c r="QM63" s="46" cm="1">
        <f t="array" ref="QM63">ROUND(IFERROR(INDEX(ArchiveResults!$F$5:$IX$116,ComparisonData!A63,ComparisonData!$QM$1),0),5)</f>
        <v>0</v>
      </c>
      <c r="QN63" s="45" cm="1">
        <f t="array" ref="QN63">IFERROR(INDEX(ArchiveResults!$F$5:$IX$116,ComparisonData!A63,ComparisonData!$QN$1),0)</f>
        <v>0</v>
      </c>
      <c r="QO63" s="56">
        <v>58</v>
      </c>
      <c r="QP63" s="53" t="str">
        <f t="shared" si="592"/>
        <v>North East Wales Archives (Hawarden)</v>
      </c>
      <c r="QQ63" s="59">
        <f t="shared" si="348"/>
        <v>0</v>
      </c>
      <c r="QR63" s="59">
        <f t="shared" si="349"/>
        <v>0</v>
      </c>
      <c r="QS63" s="59">
        <f t="shared" si="350"/>
        <v>0</v>
      </c>
      <c r="QT63" s="59">
        <f t="shared" si="351"/>
        <v>0</v>
      </c>
      <c r="QU63" s="59">
        <f t="shared" si="352"/>
        <v>0</v>
      </c>
      <c r="QV63" s="58">
        <f t="shared" si="353"/>
        <v>0</v>
      </c>
      <c r="QW63" s="45">
        <f t="shared" si="354"/>
        <v>108</v>
      </c>
      <c r="QX63" s="45">
        <f t="shared" si="593"/>
        <v>2.9790000000000001</v>
      </c>
      <c r="QY63" s="45">
        <f t="shared" si="355"/>
        <v>1</v>
      </c>
      <c r="QZ63" s="45">
        <f t="shared" si="356"/>
        <v>2</v>
      </c>
      <c r="RA63" s="45">
        <f t="shared" si="357"/>
        <v>0</v>
      </c>
      <c r="RB63" s="46" cm="1">
        <f t="array" ref="RB63">ROUND(IFERROR(INDEX(ArchiveResults!$F$5:$IX$116,ComparisonData!A63,ComparisonData!$RB$1),0),5)</f>
        <v>0</v>
      </c>
      <c r="RC63" s="46" cm="1">
        <f t="array" ref="RC63">ROUND(IFERROR(INDEX(ArchiveResults!$F$5:$IX$116,ComparisonData!A63,ComparisonData!$RC$1),0),5)</f>
        <v>0</v>
      </c>
      <c r="RD63" s="46" cm="1">
        <f t="array" ref="RD63">ROUND(IFERROR(INDEX(ArchiveResults!$F$5:$IX$116,ComparisonData!A63,ComparisonData!$RD$1),0),5)</f>
        <v>0</v>
      </c>
      <c r="RE63" s="46" cm="1">
        <f t="array" ref="RE63">ROUND(IFERROR(INDEX(ArchiveResults!$F$5:$IX$116,ComparisonData!A63,ComparisonData!$RE$1),0),5)</f>
        <v>0</v>
      </c>
      <c r="RF63" s="45" cm="1">
        <f t="array" ref="RF63">IFERROR(INDEX(ArchiveResults!$F$5:$IX$116,ComparisonData!A63,ComparisonData!$RF$1),0)</f>
        <v>0</v>
      </c>
      <c r="RG63" s="56">
        <v>58</v>
      </c>
      <c r="RH63" s="53" t="str">
        <f t="shared" si="594"/>
        <v>North East Wales Archives (Hawarden)</v>
      </c>
      <c r="RI63" s="59">
        <f t="shared" si="358"/>
        <v>0</v>
      </c>
      <c r="RJ63" s="59">
        <f t="shared" si="359"/>
        <v>0</v>
      </c>
      <c r="RK63" s="59">
        <f t="shared" si="360"/>
        <v>0</v>
      </c>
      <c r="RL63" s="59">
        <f t="shared" si="361"/>
        <v>0</v>
      </c>
      <c r="RM63" s="59">
        <f t="shared" si="362"/>
        <v>0</v>
      </c>
      <c r="RN63" s="58">
        <f t="shared" si="363"/>
        <v>0</v>
      </c>
      <c r="RO63" s="45">
        <f t="shared" si="364"/>
        <v>108</v>
      </c>
      <c r="RP63" s="45">
        <f t="shared" si="595"/>
        <v>2.9790000000000001</v>
      </c>
      <c r="RQ63" s="45">
        <f t="shared" si="365"/>
        <v>1</v>
      </c>
      <c r="RR63" s="45">
        <f t="shared" si="366"/>
        <v>2</v>
      </c>
      <c r="RS63" s="45">
        <f t="shared" si="367"/>
        <v>0</v>
      </c>
      <c r="RT63" s="46" cm="1">
        <f t="array" ref="RT63">ROUND(IFERROR(INDEX(ArchiveResults!$F$5:$IX$116,ComparisonData!A63,ComparisonData!$RT$1),0),5)</f>
        <v>0</v>
      </c>
      <c r="RU63" s="46" cm="1">
        <f t="array" ref="RU63">ROUND(IFERROR(INDEX(ArchiveResults!$F$5:$IX$116,ComparisonData!A63,ComparisonData!$RU$1),0),5)</f>
        <v>0</v>
      </c>
      <c r="RV63" s="46" cm="1">
        <f t="array" ref="RV63">ROUND(IFERROR(INDEX(ArchiveResults!$F$5:$IX$116,ComparisonData!A63,ComparisonData!$RV$1),0),5)</f>
        <v>0</v>
      </c>
      <c r="RW63" s="46" cm="1">
        <f t="array" ref="RW63">ROUND(IFERROR(INDEX(ArchiveResults!$F$5:$IX$116,ComparisonData!A63,ComparisonData!$RW$1),0),5)</f>
        <v>0</v>
      </c>
      <c r="RX63" s="45" cm="1">
        <f t="array" ref="RX63">IFERROR(INDEX(ArchiveResults!$F$5:$IX$116,ComparisonData!A63,ComparisonData!$RX$1),0)</f>
        <v>0</v>
      </c>
      <c r="RY63" s="56">
        <v>58</v>
      </c>
      <c r="RZ63" s="53" t="str">
        <f t="shared" si="596"/>
        <v>North East Wales Archives (Hawarden)</v>
      </c>
      <c r="SA63" s="59">
        <f t="shared" si="368"/>
        <v>0</v>
      </c>
      <c r="SB63" s="59">
        <f t="shared" si="369"/>
        <v>0</v>
      </c>
      <c r="SC63" s="59">
        <f t="shared" si="370"/>
        <v>0</v>
      </c>
      <c r="SD63" s="59">
        <f t="shared" si="371"/>
        <v>0</v>
      </c>
      <c r="SE63" s="59">
        <f t="shared" si="372"/>
        <v>0</v>
      </c>
      <c r="SF63" s="58">
        <f t="shared" si="373"/>
        <v>0</v>
      </c>
      <c r="SG63" s="45">
        <f t="shared" si="374"/>
        <v>108</v>
      </c>
      <c r="SH63" s="45">
        <f t="shared" si="597"/>
        <v>2.9790000000000001</v>
      </c>
      <c r="SI63" s="45">
        <f t="shared" si="375"/>
        <v>1</v>
      </c>
      <c r="SJ63" s="45">
        <f t="shared" si="376"/>
        <v>2</v>
      </c>
      <c r="SK63" s="45">
        <f t="shared" si="377"/>
        <v>0</v>
      </c>
      <c r="SL63" s="46" cm="1">
        <f t="array" ref="SL63">ROUND(IFERROR(INDEX(ArchiveResults!$F$5:$IX$116,ComparisonData!A63,ComparisonData!$SL$1),0),5)</f>
        <v>0</v>
      </c>
      <c r="SM63" s="46" cm="1">
        <f t="array" ref="SM63">ROUND(IFERROR(INDEX(ArchiveResults!$F$5:$IX$116,ComparisonData!A63,ComparisonData!$SM$1),0),5)</f>
        <v>0</v>
      </c>
      <c r="SN63" s="46" cm="1">
        <f t="array" ref="SN63">ROUND(IFERROR(INDEX(ArchiveResults!$F$5:$IX$116,ComparisonData!A63,ComparisonData!$SN$1),0),5)</f>
        <v>0</v>
      </c>
      <c r="SO63" s="46" cm="1">
        <f t="array" ref="SO63">ROUND(IFERROR(INDEX(ArchiveResults!$F$5:$IX$116,ComparisonData!A63,ComparisonData!$SO$1),0),5)</f>
        <v>0</v>
      </c>
      <c r="SP63" s="45" cm="1">
        <f t="array" ref="SP63">IFERROR(INDEX(ArchiveResults!$F$5:$IX$116,ComparisonData!A63,ComparisonData!$SP$1),0)</f>
        <v>0</v>
      </c>
      <c r="SQ63" s="56">
        <v>58</v>
      </c>
      <c r="SR63" s="53" t="str">
        <f t="shared" si="598"/>
        <v>North East Wales Archives (Hawarden)</v>
      </c>
      <c r="SS63" s="59">
        <f t="shared" si="378"/>
        <v>0</v>
      </c>
      <c r="ST63" s="59">
        <f t="shared" si="379"/>
        <v>0</v>
      </c>
      <c r="SU63" s="59">
        <f t="shared" si="380"/>
        <v>0</v>
      </c>
      <c r="SV63" s="59">
        <f t="shared" si="381"/>
        <v>0</v>
      </c>
      <c r="SW63" s="59">
        <f t="shared" si="382"/>
        <v>0</v>
      </c>
      <c r="SX63" s="58">
        <f t="shared" si="383"/>
        <v>0</v>
      </c>
      <c r="SY63" s="45">
        <f t="shared" si="384"/>
        <v>108</v>
      </c>
      <c r="SZ63" s="45">
        <f t="shared" si="599"/>
        <v>2.9790000000000001</v>
      </c>
      <c r="TA63" s="45">
        <f t="shared" si="385"/>
        <v>1</v>
      </c>
      <c r="TB63" s="45">
        <f t="shared" si="386"/>
        <v>2</v>
      </c>
      <c r="TC63" s="45">
        <f t="shared" si="387"/>
        <v>0</v>
      </c>
      <c r="TD63" s="46" cm="1">
        <f t="array" ref="TD63">ROUND(IFERROR(INDEX(ArchiveResults!$F$5:$IX$116,ComparisonData!A63,ComparisonData!$TD$1),0),5)</f>
        <v>0</v>
      </c>
      <c r="TE63" s="46" cm="1">
        <f t="array" ref="TE63">ROUND(IFERROR(INDEX(ArchiveResults!$F$5:$IX$116,ComparisonData!A63,ComparisonData!$TE$1),0),5)</f>
        <v>0</v>
      </c>
      <c r="TF63" s="46" cm="1">
        <f t="array" ref="TF63">ROUND(IFERROR(INDEX(ArchiveResults!$F$5:$IX$116,ComparisonData!A63,ComparisonData!$TF$1),0),5)</f>
        <v>0</v>
      </c>
      <c r="TG63" s="46" cm="1">
        <f t="array" ref="TG63">ROUND(IFERROR(INDEX(ArchiveResults!$F$5:$IX$116,ComparisonData!A63,ComparisonData!$TG$1),0),5)</f>
        <v>0</v>
      </c>
      <c r="TH63" s="45" cm="1">
        <f t="array" ref="TH63">IFERROR(INDEX(ArchiveResults!$F$5:$IX$116,ComparisonData!A63,ComparisonData!$TH$1),0)</f>
        <v>0</v>
      </c>
      <c r="TI63" s="56">
        <v>58</v>
      </c>
      <c r="TJ63" s="53" t="str">
        <f t="shared" si="600"/>
        <v>North East Wales Archives (Hawarden)</v>
      </c>
      <c r="TK63" s="59">
        <f t="shared" si="388"/>
        <v>0</v>
      </c>
      <c r="TL63" s="59">
        <f t="shared" si="389"/>
        <v>0</v>
      </c>
      <c r="TM63" s="59">
        <f t="shared" si="390"/>
        <v>0</v>
      </c>
      <c r="TN63" s="59">
        <f t="shared" si="391"/>
        <v>0</v>
      </c>
      <c r="TO63" s="59">
        <f t="shared" si="392"/>
        <v>0</v>
      </c>
      <c r="TP63" s="58">
        <f t="shared" si="393"/>
        <v>0</v>
      </c>
      <c r="TQ63" s="45">
        <f t="shared" si="394"/>
        <v>108</v>
      </c>
      <c r="TR63" s="45">
        <f t="shared" si="601"/>
        <v>2.9790000000000001</v>
      </c>
      <c r="TS63" s="45">
        <f t="shared" si="395"/>
        <v>1</v>
      </c>
      <c r="TT63" s="45">
        <f t="shared" si="396"/>
        <v>2</v>
      </c>
      <c r="TU63" s="45">
        <f t="shared" si="397"/>
        <v>0</v>
      </c>
      <c r="TV63" s="46" cm="1">
        <f t="array" ref="TV63">ROUND(IFERROR(INDEX(ArchiveResults!$F$5:$IX$116,ComparisonData!A63,ComparisonData!$TV$1),0),5)</f>
        <v>0</v>
      </c>
      <c r="TW63" s="46" cm="1">
        <f t="array" ref="TW63">ROUND(IFERROR(INDEX(ArchiveResults!$F$5:$IX$116,ComparisonData!A63,ComparisonData!$TW$1),0),5)</f>
        <v>0</v>
      </c>
      <c r="TX63" s="46" cm="1">
        <f t="array" ref="TX63">ROUND(IFERROR(INDEX(ArchiveResults!$F$5:$IX$116,ComparisonData!A63,ComparisonData!$TX$1),0),5)</f>
        <v>0</v>
      </c>
      <c r="TY63" s="46" cm="1">
        <f t="array" ref="TY63">ROUND(IFERROR(INDEX(ArchiveResults!$F$5:$IX$116,ComparisonData!A63,ComparisonData!$TY$1),0),5)</f>
        <v>0</v>
      </c>
      <c r="TZ63" s="45" cm="1">
        <f t="array" ref="TZ63">IFERROR(INDEX(ArchiveResults!$F$5:$IX$116,ComparisonData!A63,ComparisonData!$TZ$1),0)</f>
        <v>0</v>
      </c>
      <c r="UA63" s="56">
        <v>58</v>
      </c>
      <c r="UB63" s="53" t="str">
        <f t="shared" si="602"/>
        <v>North East Wales Archives (Hawarden)</v>
      </c>
      <c r="UC63" s="60">
        <f t="shared" si="398"/>
        <v>0</v>
      </c>
      <c r="UD63" s="60">
        <f t="shared" si="399"/>
        <v>0</v>
      </c>
      <c r="UE63" s="60">
        <f t="shared" si="400"/>
        <v>0</v>
      </c>
      <c r="UF63" s="60">
        <f t="shared" si="401"/>
        <v>0</v>
      </c>
      <c r="UG63" s="60">
        <f t="shared" si="402"/>
        <v>0</v>
      </c>
      <c r="UH63" s="58">
        <f t="shared" si="403"/>
        <v>0</v>
      </c>
      <c r="UI63" s="46">
        <f t="shared" si="404"/>
        <v>108</v>
      </c>
      <c r="UJ63" s="46">
        <f t="shared" si="603"/>
        <v>2.9790000000000001</v>
      </c>
      <c r="UK63" s="46">
        <f t="shared" si="405"/>
        <v>1</v>
      </c>
      <c r="UL63" s="46">
        <f t="shared" si="406"/>
        <v>2</v>
      </c>
      <c r="UM63" s="46" cm="1">
        <f t="array" ref="UM63">ROUND(IFERROR(INDEX(ArchiveResults!$F$5:$IX$116,ComparisonData!A63,ComparisonData!$UM$1),0),5)</f>
        <v>0</v>
      </c>
      <c r="UN63" s="56">
        <v>58</v>
      </c>
      <c r="UO63" s="53" t="str">
        <f t="shared" si="604"/>
        <v>North East Wales Archives (Hawarden)</v>
      </c>
      <c r="UP63" s="46">
        <f t="shared" si="407"/>
        <v>0</v>
      </c>
      <c r="UQ63" s="76">
        <f t="shared" si="408"/>
        <v>0</v>
      </c>
      <c r="UR63" s="46">
        <f t="shared" si="409"/>
        <v>108</v>
      </c>
      <c r="US63" s="46">
        <f t="shared" si="605"/>
        <v>2.9790000000000001</v>
      </c>
      <c r="UT63" s="46">
        <f t="shared" si="410"/>
        <v>1</v>
      </c>
      <c r="UU63" s="46">
        <f t="shared" si="411"/>
        <v>2</v>
      </c>
      <c r="UV63" s="46">
        <f t="shared" si="412"/>
        <v>0</v>
      </c>
      <c r="UW63" s="46" cm="1">
        <f t="array" ref="UW63">ROUND(IFERROR(INDEX(ArchiveResults!$F$5:$IX$116,ComparisonData!A63,ComparisonData!$UW$1),0),5)</f>
        <v>0</v>
      </c>
      <c r="UX63" s="46" cm="1">
        <f t="array" ref="UX63">ROUND(IFERROR(INDEX(ArchiveResults!$F$5:$IX$116,ComparisonData!A63,ComparisonData!$UX$1),0),5)</f>
        <v>0</v>
      </c>
      <c r="UY63" s="46" cm="1">
        <f t="array" ref="UY63">ROUND(IFERROR(INDEX(ArchiveResults!$F$5:$IX$116,ComparisonData!A63,ComparisonData!$UY$1),0),5)</f>
        <v>0</v>
      </c>
      <c r="UZ63" s="46" cm="1">
        <f t="array" ref="UZ63">ROUND(IFERROR(INDEX(ArchiveResults!$F$5:$IX$116,ComparisonData!A63,ComparisonData!$UZ$1),0),5)</f>
        <v>0</v>
      </c>
      <c r="VA63" s="46" cm="1">
        <f t="array" ref="VA63">ROUND(IFERROR(INDEX(ArchiveResults!$F$5:$IX$116,ComparisonData!A63,ComparisonData!$VA$1),0),5)</f>
        <v>0</v>
      </c>
      <c r="VB63" s="56">
        <v>58</v>
      </c>
      <c r="VC63" s="53" t="str">
        <f t="shared" si="606"/>
        <v>North East Wales Archives (Hawarden)</v>
      </c>
      <c r="VD63" s="60">
        <f t="shared" si="413"/>
        <v>0</v>
      </c>
      <c r="VE63" s="60">
        <f t="shared" si="414"/>
        <v>0</v>
      </c>
      <c r="VF63" s="60">
        <f t="shared" si="415"/>
        <v>0</v>
      </c>
      <c r="VG63" s="60">
        <f t="shared" si="416"/>
        <v>0</v>
      </c>
      <c r="VH63" s="60">
        <f t="shared" si="417"/>
        <v>0</v>
      </c>
      <c r="VI63" s="76">
        <f t="shared" si="418"/>
        <v>0</v>
      </c>
      <c r="VJ63" s="46">
        <f t="shared" si="419"/>
        <v>108</v>
      </c>
      <c r="VK63" s="46">
        <f t="shared" si="607"/>
        <v>2.9790000000000001</v>
      </c>
      <c r="VL63" s="46">
        <f t="shared" si="420"/>
        <v>1</v>
      </c>
      <c r="VM63" s="46">
        <f t="shared" si="421"/>
        <v>2</v>
      </c>
      <c r="VN63" s="46" cm="1">
        <f t="array" ref="VN63">ROUND(IFERROR(INDEX(ArchiveResults!$F$5:$IX$116,ComparisonData!A63,ComparisonData!$VN$1),0),5)</f>
        <v>0</v>
      </c>
      <c r="VO63" s="46" cm="1">
        <f t="array" ref="VO63">ROUND(IFERROR(INDEX(ArchiveResults!$F$5:$IX$116,ComparisonData!A63,ComparisonData!$VO$1),0),5)</f>
        <v>0</v>
      </c>
      <c r="VP63" s="46" cm="1">
        <f t="array" ref="VP63">ROUND(IFERROR(INDEX(ArchiveResults!$F$5:$IX$116,ComparisonData!A63,ComparisonData!$VP$1),0),5)</f>
        <v>0</v>
      </c>
      <c r="VQ63" s="46" cm="1">
        <f t="array" ref="VQ63">ROUND(IFERROR(INDEX(ArchiveResults!$F$5:$IX$116,ComparisonData!A63,ComparisonData!$VQ$1),0),5)</f>
        <v>0</v>
      </c>
      <c r="VR63" s="56">
        <v>58</v>
      </c>
      <c r="VS63" s="53" t="str">
        <f t="shared" si="608"/>
        <v>North East Wales Archives (Hawarden)</v>
      </c>
      <c r="VT63" s="60">
        <f t="shared" si="422"/>
        <v>0</v>
      </c>
      <c r="VU63" s="60">
        <f t="shared" si="423"/>
        <v>0</v>
      </c>
      <c r="VV63" s="60">
        <f t="shared" si="424"/>
        <v>0</v>
      </c>
      <c r="VW63" s="60">
        <f t="shared" si="425"/>
        <v>0</v>
      </c>
      <c r="VX63" s="76">
        <f t="shared" si="426"/>
        <v>0</v>
      </c>
      <c r="VY63" s="46">
        <f t="shared" si="427"/>
        <v>108</v>
      </c>
      <c r="VZ63" s="46">
        <f t="shared" si="609"/>
        <v>2.9790000000000001</v>
      </c>
      <c r="WA63" s="46">
        <f t="shared" si="428"/>
        <v>1</v>
      </c>
      <c r="WB63" s="46">
        <f t="shared" si="429"/>
        <v>2</v>
      </c>
      <c r="WC63" s="46" cm="1">
        <f t="array" ref="WC63">ROUND(IFERROR(INDEX(ArchiveResults!$F$5:$IX$116,ComparisonData!A63,ComparisonData!$WC$1),0),5)</f>
        <v>0</v>
      </c>
      <c r="WD63" s="56">
        <v>58</v>
      </c>
      <c r="WE63" s="53" t="str">
        <f t="shared" si="610"/>
        <v>North East Wales Archives (Hawarden)</v>
      </c>
      <c r="WF63" s="46">
        <f t="shared" si="430"/>
        <v>0</v>
      </c>
      <c r="WG63" s="76">
        <f t="shared" si="431"/>
        <v>0</v>
      </c>
      <c r="WH63" s="46">
        <f t="shared" si="432"/>
        <v>108</v>
      </c>
      <c r="WI63" s="46">
        <f t="shared" si="611"/>
        <v>2.9790000000000001</v>
      </c>
      <c r="WJ63" s="46">
        <f t="shared" si="433"/>
        <v>1</v>
      </c>
      <c r="WK63" s="46">
        <f t="shared" si="434"/>
        <v>2</v>
      </c>
      <c r="WL63" s="46" cm="1">
        <f t="array" ref="WL63">ROUND(IFERROR(INDEX(ArchiveResults!$F$5:$IX$116,ComparisonData!A63,ComparisonData!$WL$1),0),5)</f>
        <v>0</v>
      </c>
      <c r="WM63" s="46" cm="1">
        <f t="array" ref="WM63">IFERROR(INDEX(ArchiveResults!$F$5:$IX$116,ComparisonData!A63,ComparisonData!$WM$1),0)</f>
        <v>0</v>
      </c>
      <c r="WN63" s="56">
        <v>58</v>
      </c>
      <c r="WO63" s="53" t="str">
        <f t="shared" si="612"/>
        <v>North East Wales Archives (Hawarden)</v>
      </c>
      <c r="WP63" s="60">
        <f t="shared" si="435"/>
        <v>0</v>
      </c>
      <c r="WQ63" s="60">
        <f t="shared" si="436"/>
        <v>0</v>
      </c>
      <c r="WR63" s="76">
        <f t="shared" si="437"/>
        <v>0</v>
      </c>
      <c r="WS63" s="46">
        <f t="shared" si="438"/>
        <v>108</v>
      </c>
      <c r="WT63" s="46">
        <f t="shared" si="613"/>
        <v>2.9790000000000001</v>
      </c>
      <c r="WU63" s="46">
        <f t="shared" si="439"/>
        <v>1</v>
      </c>
      <c r="WV63" s="46">
        <f t="shared" si="440"/>
        <v>2</v>
      </c>
      <c r="WW63" s="46" cm="1">
        <f t="array" ref="WW63">ROUND(VALUE(IFERROR(INDEX(ArchiveResults!$F$5:$IX$116,ComparisonData!A63,ComparisonData!$WW$1),0)),5)</f>
        <v>0</v>
      </c>
      <c r="WX63" s="46" cm="1">
        <f t="array" ref="WX63">ROUND(IFERROR(INDEX(ArchiveResults!$F$5:$IX$116,ComparisonData!A63,ComparisonData!$WX$1),0),5)</f>
        <v>0</v>
      </c>
      <c r="WY63" s="56">
        <v>58</v>
      </c>
      <c r="WZ63" s="53" t="str">
        <f t="shared" si="614"/>
        <v>North East Wales Archives (Hawarden)</v>
      </c>
      <c r="XA63" s="60">
        <f t="shared" si="615"/>
        <v>0</v>
      </c>
      <c r="XB63" s="60">
        <f t="shared" si="616"/>
        <v>0</v>
      </c>
      <c r="XC63" s="76">
        <f t="shared" si="441"/>
        <v>0</v>
      </c>
      <c r="XD63" s="46">
        <f t="shared" si="442"/>
        <v>108</v>
      </c>
      <c r="XE63" s="46">
        <f t="shared" si="617"/>
        <v>2.9790000000000001</v>
      </c>
      <c r="XF63" s="46">
        <f t="shared" si="443"/>
        <v>1</v>
      </c>
      <c r="XG63" s="46">
        <f t="shared" si="444"/>
        <v>2</v>
      </c>
      <c r="XH63" s="46" cm="1">
        <f t="array" ref="XH63">ROUND(VALUE(IFERROR(INDEX(ArchiveResults!$F$5:$IX$116,ComparisonData!A63,ComparisonData!$XH$1),0)),5)</f>
        <v>0</v>
      </c>
      <c r="XI63" s="46" cm="1">
        <f t="array" ref="XI63">ROUND(VALUE(IFERROR(INDEX(ArchiveResults!$F$5:$IX$116,ComparisonData!A63,ComparisonData!$XI$1),0)),5)</f>
        <v>0</v>
      </c>
      <c r="XJ63" s="56">
        <v>58</v>
      </c>
      <c r="XK63" s="53" t="str">
        <f t="shared" si="618"/>
        <v>North East Wales Archives (Hawarden)</v>
      </c>
      <c r="XL63" s="60">
        <f t="shared" si="445"/>
        <v>0</v>
      </c>
      <c r="XM63" s="60">
        <f t="shared" si="446"/>
        <v>0</v>
      </c>
      <c r="XN63" s="76">
        <f t="shared" si="447"/>
        <v>0</v>
      </c>
      <c r="XO63" s="46">
        <f t="shared" si="448"/>
        <v>108</v>
      </c>
      <c r="XP63" s="46">
        <f t="shared" si="619"/>
        <v>2.9790000000000001</v>
      </c>
      <c r="XQ63" s="46">
        <f t="shared" si="449"/>
        <v>1</v>
      </c>
      <c r="XR63" s="46">
        <f t="shared" si="450"/>
        <v>2</v>
      </c>
      <c r="XS63" s="46" cm="1">
        <f t="array" ref="XS63">ROUND(VALUE(IFERROR(INDEX(ArchiveResults!$F$5:$IX$116,ComparisonData!A63,ComparisonData!$XS$1),0)),5)</f>
        <v>0</v>
      </c>
      <c r="XT63" s="46" cm="1">
        <f t="array" ref="XT63">ROUND(VALUE(IFERROR(INDEX(ArchiveResults!$F$5:$IX$116,ComparisonData!A63,ComparisonData!$XT$1),0)),5)</f>
        <v>0</v>
      </c>
      <c r="XU63" s="56">
        <v>58</v>
      </c>
      <c r="XV63" s="53" t="str">
        <f t="shared" si="620"/>
        <v>North East Wales Archives (Hawarden)</v>
      </c>
      <c r="XW63" s="60">
        <f t="shared" si="451"/>
        <v>0</v>
      </c>
      <c r="XX63" s="60">
        <f t="shared" si="452"/>
        <v>0</v>
      </c>
      <c r="XY63" s="76">
        <f t="shared" si="453"/>
        <v>0</v>
      </c>
      <c r="XZ63" s="46">
        <f t="shared" si="454"/>
        <v>108</v>
      </c>
      <c r="YA63" s="46">
        <f t="shared" si="621"/>
        <v>2.9790000000000001</v>
      </c>
      <c r="YB63" s="46">
        <f t="shared" si="455"/>
        <v>1</v>
      </c>
      <c r="YC63" s="46">
        <f t="shared" si="456"/>
        <v>2</v>
      </c>
      <c r="YD63" s="46" cm="1">
        <f t="array" ref="YD63">ROUND(VALUE(IFERROR(INDEX(ArchiveResults!$F$5:$IX$116,ComparisonData!A63,ComparisonData!$YD$1),0)),5)</f>
        <v>0</v>
      </c>
      <c r="YE63" s="46" cm="1">
        <f t="array" ref="YE63">ROUND(VALUE(IFERROR(INDEX(ArchiveResults!$F$5:$IX$116,ComparisonData!A63,ComparisonData!$YE$1),0)),5)</f>
        <v>0</v>
      </c>
      <c r="YF63" s="56">
        <v>58</v>
      </c>
      <c r="YG63" s="53" t="str">
        <f t="shared" si="622"/>
        <v>North East Wales Archives (Hawarden)</v>
      </c>
      <c r="YH63" s="60">
        <f t="shared" si="457"/>
        <v>0</v>
      </c>
      <c r="YI63" s="60">
        <f t="shared" si="458"/>
        <v>0</v>
      </c>
      <c r="YJ63" s="76">
        <f t="shared" si="459"/>
        <v>0</v>
      </c>
      <c r="YK63" s="46">
        <f t="shared" si="460"/>
        <v>108</v>
      </c>
      <c r="YL63" s="46">
        <f t="shared" si="623"/>
        <v>2.9790000000000001</v>
      </c>
      <c r="YM63" s="46">
        <f t="shared" si="461"/>
        <v>1</v>
      </c>
      <c r="YN63" s="46">
        <f t="shared" si="462"/>
        <v>2</v>
      </c>
      <c r="YO63" s="46" cm="1">
        <f t="array" ref="YO63">ROUND(VALUE(IFERROR(INDEX(ArchiveResults!$F$5:$IX$116,ComparisonData!A63,ComparisonData!$YO$1),0)),5)</f>
        <v>0</v>
      </c>
      <c r="YP63" s="46" cm="1">
        <f t="array" ref="YP63">ROUND(VALUE(IFERROR(INDEX(ArchiveResults!$F$5:$IX$116,ComparisonData!A63,ComparisonData!$YP$1),0)),5)</f>
        <v>0</v>
      </c>
      <c r="YQ63" s="56">
        <v>58</v>
      </c>
      <c r="YR63" s="53" t="str">
        <f t="shared" si="624"/>
        <v>North East Wales Archives (Hawarden)</v>
      </c>
      <c r="YS63" s="60">
        <f t="shared" si="463"/>
        <v>0</v>
      </c>
      <c r="YT63" s="60">
        <f t="shared" si="464"/>
        <v>0</v>
      </c>
      <c r="YU63" s="76">
        <f t="shared" si="465"/>
        <v>0</v>
      </c>
      <c r="YV63" s="46">
        <f t="shared" si="466"/>
        <v>108</v>
      </c>
      <c r="YW63" s="46">
        <f t="shared" si="625"/>
        <v>2.9790000000000001</v>
      </c>
      <c r="YX63" s="46">
        <f t="shared" si="467"/>
        <v>1</v>
      </c>
      <c r="YY63" s="46">
        <f t="shared" si="468"/>
        <v>2</v>
      </c>
      <c r="YZ63" s="46">
        <f t="shared" si="469"/>
        <v>0</v>
      </c>
      <c r="ZA63" s="46" cm="1">
        <f t="array" ref="ZA63">ROUNDDOWN(VALUE(IFERROR(INDEX(ArchiveResults!$F$5:$IX$116,ComparisonData!A63,ComparisonData!$ZA$1),0)),5)</f>
        <v>0</v>
      </c>
      <c r="ZB63" s="46" cm="1">
        <f t="array" ref="ZB63">ROUNDDOWN(VALUE(IFERROR(INDEX(ArchiveResults!$F$5:$IX$116,ComparisonData!A63,ComparisonData!$ZB$1),0)),5)</f>
        <v>0</v>
      </c>
      <c r="ZC63" s="46" cm="1">
        <f t="array" ref="ZC63">ROUNDDOWN(VALUE(IFERROR(INDEX(ArchiveResults!$F$5:$IX$116,ComparisonData!A63,ComparisonData!$ZC$1),0)),5)</f>
        <v>0</v>
      </c>
      <c r="ZD63" s="46" cm="1">
        <f t="array" ref="ZD63">ROUNDDOWN(VALUE(IFERROR(INDEX(ArchiveResults!$F$5:$IX$116,ComparisonData!A63,ComparisonData!$ZD$1),0)),5)</f>
        <v>0</v>
      </c>
      <c r="ZE63" s="46" cm="1">
        <f t="array" ref="ZE63">ROUNDDOWN(VALUE(IFERROR(INDEX(ArchiveResults!$F$5:$IX$116,ComparisonData!A63,ComparisonData!$ZE$1),0)),5)</f>
        <v>0</v>
      </c>
      <c r="ZF63" s="56">
        <v>58</v>
      </c>
      <c r="ZG63" s="53" t="str">
        <f t="shared" si="626"/>
        <v>North East Wales Archives (Hawarden)</v>
      </c>
      <c r="ZH63" s="60">
        <f t="shared" si="470"/>
        <v>0</v>
      </c>
      <c r="ZI63" s="60">
        <f t="shared" si="471"/>
        <v>0</v>
      </c>
      <c r="ZJ63" s="60">
        <f t="shared" si="472"/>
        <v>0</v>
      </c>
      <c r="ZK63" s="60">
        <f t="shared" si="473"/>
        <v>0</v>
      </c>
      <c r="ZL63" s="60">
        <f t="shared" si="474"/>
        <v>0</v>
      </c>
      <c r="ZM63" s="76">
        <f t="shared" si="475"/>
        <v>0</v>
      </c>
      <c r="ZN63" s="46">
        <f t="shared" si="476"/>
        <v>108</v>
      </c>
      <c r="ZO63" s="46">
        <f t="shared" si="627"/>
        <v>2.9790000000000001</v>
      </c>
      <c r="ZP63" s="46">
        <f t="shared" si="477"/>
        <v>1</v>
      </c>
      <c r="ZQ63" s="46">
        <f t="shared" si="478"/>
        <v>2</v>
      </c>
      <c r="ZR63" s="46" cm="1">
        <f t="array" ref="ZR63">ROUND(VALUE(IFERROR(INDEX(ArchiveResults!$F$5:$IX$116,ComparisonData!A63,ComparisonData!$ZR$1),0)),5)</f>
        <v>0</v>
      </c>
      <c r="ZS63" s="56">
        <v>58</v>
      </c>
      <c r="ZT63" s="53" t="str">
        <f t="shared" si="628"/>
        <v>North East Wales Archives (Hawarden)</v>
      </c>
      <c r="ZU63" s="46">
        <f t="shared" si="479"/>
        <v>0</v>
      </c>
      <c r="ZV63" s="76">
        <f t="shared" si="480"/>
        <v>0</v>
      </c>
      <c r="ZW63" s="81" cm="1">
        <f t="array" ref="ZW63">ROUND((IFERROR(INDEX(ArchiveResults!$F$5:$IX$116,ComparisonData!A63,ComparisonData!$ZW$1),0)),5)</f>
        <v>0</v>
      </c>
      <c r="ZX63" s="81" cm="1">
        <f t="array" ref="ZX63">ROUND((IFERROR(INDEX(ArchiveResults!$F$5:$IX$116,ComparisonData!A63,ComparisonData!$ZX$1),0)),5)</f>
        <v>0</v>
      </c>
      <c r="ZY63" s="81" cm="1">
        <f t="array" ref="ZY63">ROUND((IFERROR(INDEX(ArchiveResults!$F$5:$IX$116,ComparisonData!A63,ComparisonData!$ZY$1),0)),5)</f>
        <v>0</v>
      </c>
      <c r="ZZ63" s="81" cm="1">
        <f t="array" ref="ZZ63">ROUND((IFERROR(INDEX(ArchiveResults!$F$5:$IX$116,ComparisonData!A63,ComparisonData!$ZZ$1),0)),5)</f>
        <v>0</v>
      </c>
      <c r="AAA63" s="81" cm="1">
        <f t="array" ref="AAA63">ROUND((IFERROR(INDEX(ArchiveResults!$F$5:$IX$116,ComparisonData!A63,ComparisonData!$AAA$1),0)),5)</f>
        <v>0</v>
      </c>
      <c r="AAB63" s="81" cm="1">
        <f t="array" ref="AAB63">ROUND((IFERROR(INDEX(ArchiveResults!$F$5:$IX$116,ComparisonData!A63,ComparisonData!$AAB$1),0)),5)</f>
        <v>0</v>
      </c>
      <c r="AAC63" s="81" cm="1">
        <f t="array" ref="AAC63">ROUND((IFERROR(INDEX(ArchiveResults!$F$5:$IX$116,ComparisonData!A63,ComparisonData!$AAC$1),0)),5)</f>
        <v>0</v>
      </c>
      <c r="AAD63" s="81" cm="1">
        <f t="array" ref="AAD63">ROUND((IFERROR(INDEX(ArchiveResults!$F$5:$IX$116,ComparisonData!A63,ComparisonData!$AAD$1),0)),5)</f>
        <v>0</v>
      </c>
      <c r="AAE63" s="81" cm="1">
        <f t="array" ref="AAE63">ROUND((IFERROR(INDEX(ArchiveResults!$F$5:$IX$116,ComparisonData!A63,ComparisonData!$AAE$1),0)),5)</f>
        <v>0</v>
      </c>
      <c r="AAF63" s="81" cm="1">
        <f t="array" ref="AAF63">ROUND((IFERROR(INDEX(ArchiveResults!$F$5:$IX$116,ComparisonData!A63,ComparisonData!$AAF$1),0)),5)</f>
        <v>0</v>
      </c>
      <c r="AAG63" s="46">
        <f t="shared" si="481"/>
        <v>108</v>
      </c>
      <c r="AAH63" s="46">
        <f t="shared" si="629"/>
        <v>2.9790000000000001</v>
      </c>
      <c r="AAI63" s="46">
        <f t="shared" si="482"/>
        <v>1</v>
      </c>
      <c r="AAJ63" s="46">
        <f t="shared" si="483"/>
        <v>2</v>
      </c>
      <c r="AAK63" s="46">
        <f t="shared" si="484"/>
        <v>0</v>
      </c>
      <c r="AAL63" s="46">
        <f t="shared" si="485"/>
        <v>0</v>
      </c>
      <c r="AAM63" s="46">
        <f t="shared" si="486"/>
        <v>0</v>
      </c>
      <c r="AAN63" s="46">
        <f t="shared" si="487"/>
        <v>0</v>
      </c>
      <c r="AAO63" s="46">
        <f t="shared" si="488"/>
        <v>0</v>
      </c>
      <c r="AAP63" s="46">
        <f t="shared" si="489"/>
        <v>0</v>
      </c>
      <c r="AAQ63" s="56">
        <v>58</v>
      </c>
      <c r="AAR63" s="53" t="str">
        <f t="shared" si="630"/>
        <v>North East Wales Archives (Hawarden)</v>
      </c>
      <c r="AAS63" s="60">
        <f t="shared" si="490"/>
        <v>0</v>
      </c>
      <c r="AAT63" s="60">
        <f t="shared" si="491"/>
        <v>0</v>
      </c>
      <c r="AAU63" s="60">
        <f t="shared" si="492"/>
        <v>0</v>
      </c>
      <c r="AAV63" s="60">
        <f t="shared" si="493"/>
        <v>0</v>
      </c>
      <c r="AAW63" s="60">
        <f t="shared" si="494"/>
        <v>0</v>
      </c>
      <c r="AAX63" s="76">
        <f t="shared" si="495"/>
        <v>0</v>
      </c>
      <c r="AAY63" s="46">
        <f t="shared" si="496"/>
        <v>108</v>
      </c>
      <c r="AAZ63" s="46">
        <f t="shared" si="631"/>
        <v>2.9790000000000001</v>
      </c>
      <c r="ABA63" s="46">
        <f t="shared" si="497"/>
        <v>1</v>
      </c>
      <c r="ABB63" s="46">
        <f t="shared" si="498"/>
        <v>2</v>
      </c>
      <c r="ABC63" s="46">
        <f t="shared" si="102"/>
        <v>0</v>
      </c>
      <c r="ABD63" s="46" cm="1">
        <f t="array" ref="ABD63">ROUND(VALUE(IFERROR(INDEX(ArchiveResults!$F$5:$IX$116,ComparisonData!A63,ComparisonData!$ABD$1),0)),5)</f>
        <v>0</v>
      </c>
      <c r="ABE63" s="46" cm="1">
        <f t="array" ref="ABE63">ROUND(VALUE(IFERROR(INDEX(ArchiveResults!$F$5:$IX$116,ComparisonData!A63,ComparisonData!$ABE$1),0)),5)</f>
        <v>0</v>
      </c>
      <c r="ABF63" s="46" cm="1">
        <f t="array" ref="ABF63">ROUND(VALUE(IFERROR(INDEX(ArchiveResults!$F$5:$IX$116,ComparisonData!A63,ComparisonData!$ABF$1),0)),5)</f>
        <v>0</v>
      </c>
      <c r="ABG63" s="46" cm="1">
        <f t="array" ref="ABG63">ROUND(VALUE(IFERROR(INDEX(ArchiveResults!$F$5:$IX$116,ComparisonData!A63,ComparisonData!$ABG$1),0)),5)</f>
        <v>0</v>
      </c>
      <c r="ABH63" s="46" cm="1">
        <f t="array" ref="ABH63">ROUND(VALUE(IFERROR(INDEX(ArchiveResults!$F$5:$IX$116,ComparisonData!A63,ComparisonData!$ABH$1),0)),5)</f>
        <v>0</v>
      </c>
      <c r="ABI63" s="56">
        <v>58</v>
      </c>
      <c r="ABJ63" s="53" t="str">
        <f t="shared" si="632"/>
        <v>North East Wales Archives (Hawarden)</v>
      </c>
      <c r="ABK63" s="60">
        <f t="shared" si="499"/>
        <v>0</v>
      </c>
      <c r="ABL63" s="60">
        <f t="shared" si="500"/>
        <v>0</v>
      </c>
      <c r="ABM63" s="60">
        <f t="shared" si="501"/>
        <v>0</v>
      </c>
      <c r="ABN63" s="60">
        <f t="shared" si="502"/>
        <v>0</v>
      </c>
      <c r="ABO63" s="60">
        <f t="shared" si="503"/>
        <v>0</v>
      </c>
      <c r="ABP63" s="76">
        <f t="shared" si="504"/>
        <v>0</v>
      </c>
      <c r="ABQ63" s="46">
        <f t="shared" si="505"/>
        <v>108</v>
      </c>
      <c r="ABR63" s="46">
        <f t="shared" si="633"/>
        <v>2.9790000000000001</v>
      </c>
      <c r="ABS63" s="46">
        <f t="shared" si="506"/>
        <v>1</v>
      </c>
      <c r="ABT63" s="46">
        <f t="shared" si="507"/>
        <v>2</v>
      </c>
      <c r="ABU63" s="46" cm="1">
        <f t="array" ref="ABU63">ROUND(VALUE(IFERROR(INDEX(ArchiveResults!$F$5:$IX$116,ComparisonData!A63,ComparisonData!$ABU$1),0)),5)</f>
        <v>0</v>
      </c>
      <c r="ABV63" s="46" cm="1">
        <f t="array" ref="ABV63">ROUND(VALUE(IFERROR(INDEX(ArchiveResults!$F$5:$IX$116,ComparisonData!A63,ComparisonData!$ABV$1),0)),5)</f>
        <v>0</v>
      </c>
      <c r="ABW63" s="46" cm="1">
        <f t="array" ref="ABW63">ROUND(VALUE(IFERROR(INDEX(ArchiveResults!$F$5:$IX$116,ComparisonData!A63,ComparisonData!$ABW$1),0)),5)</f>
        <v>0</v>
      </c>
      <c r="ABX63" s="46" cm="1">
        <f t="array" ref="ABX63">ROUND(VALUE(IFERROR(INDEX(ArchiveResults!$F$5:$IX$116,ComparisonData!A63,ComparisonData!$ABX$1),0)),5)</f>
        <v>0</v>
      </c>
      <c r="ABY63" s="46" cm="1">
        <f t="array" ref="ABY63">ROUND(VALUE(IFERROR(INDEX(ArchiveResults!$F$5:$IX$116,ComparisonData!A63,ComparisonData!$ABY$1),0)),5)</f>
        <v>0</v>
      </c>
      <c r="ABZ63" s="56">
        <v>58</v>
      </c>
      <c r="ACA63" s="53" t="str">
        <f t="shared" si="634"/>
        <v>North East Wales Archives (Hawarden)</v>
      </c>
      <c r="ACB63" s="60">
        <f t="shared" si="508"/>
        <v>0</v>
      </c>
      <c r="ACC63" s="60">
        <f t="shared" si="509"/>
        <v>0</v>
      </c>
      <c r="ACD63" s="60">
        <f t="shared" si="510"/>
        <v>0</v>
      </c>
      <c r="ACE63" s="60">
        <f t="shared" si="511"/>
        <v>0</v>
      </c>
      <c r="ACF63" s="60">
        <f t="shared" si="512"/>
        <v>0</v>
      </c>
      <c r="ACG63" s="76">
        <f t="shared" si="513"/>
        <v>0</v>
      </c>
      <c r="ACH63" s="46">
        <f t="shared" si="514"/>
        <v>108</v>
      </c>
      <c r="ACI63" s="46">
        <f t="shared" si="635"/>
        <v>2.9790000000000001</v>
      </c>
      <c r="ACJ63" s="46">
        <f t="shared" si="515"/>
        <v>1</v>
      </c>
      <c r="ACK63" s="46">
        <f t="shared" si="516"/>
        <v>2</v>
      </c>
      <c r="ACL63" s="46">
        <f t="shared" si="517"/>
        <v>0</v>
      </c>
      <c r="ACM63" s="46" cm="1">
        <f t="array" ref="ACM63">ROUND(IFERROR(INDEX(ArchiveResults!$F$5:$IX$116,ComparisonData!A63,ComparisonData!$ACM$1),0),5)</f>
        <v>0</v>
      </c>
      <c r="ACN63" s="46" cm="1">
        <f t="array" ref="ACN63">ROUND(IFERROR(INDEX(ArchiveResults!$F$5:$IX$116,ComparisonData!A63,ComparisonData!$ACN$1),0),5)</f>
        <v>0</v>
      </c>
      <c r="ACO63" s="56">
        <v>58</v>
      </c>
      <c r="ACP63" s="53" t="str">
        <f t="shared" si="636"/>
        <v>North East Wales Archives (Hawarden)</v>
      </c>
      <c r="ACQ63" s="60">
        <f t="shared" si="518"/>
        <v>0</v>
      </c>
      <c r="ACR63" s="60">
        <f t="shared" si="519"/>
        <v>0</v>
      </c>
      <c r="ACS63" s="76">
        <f t="shared" si="520"/>
        <v>0</v>
      </c>
      <c r="ACT63" s="46">
        <f t="shared" si="521"/>
        <v>108</v>
      </c>
      <c r="ACU63" s="46">
        <f t="shared" si="637"/>
        <v>2.9790000000000001</v>
      </c>
      <c r="ACV63" s="46">
        <f t="shared" si="522"/>
        <v>1</v>
      </c>
      <c r="ACW63" s="46">
        <f t="shared" si="523"/>
        <v>2</v>
      </c>
      <c r="ACX63" s="46">
        <f t="shared" si="524"/>
        <v>0</v>
      </c>
      <c r="ACY63" s="46" cm="1">
        <f t="array" ref="ACY63">ROUNDDOWN(IFERROR(INDEX(ArchiveResults!$F$5:$IX$116,ComparisonData!A63,ComparisonData!$ACY$1),0),5)</f>
        <v>0</v>
      </c>
      <c r="ACZ63" s="46" cm="1">
        <f t="array" ref="ACZ63">ROUNDDOWN(IFERROR(INDEX(ArchiveResults!$F$5:$IX$116,ComparisonData!A63,ComparisonData!$ACZ$1),0),5)</f>
        <v>0</v>
      </c>
      <c r="ADA63" s="46" cm="1">
        <f t="array" ref="ADA63">ROUNDDOWN(IFERROR(INDEX(ArchiveResults!$F$5:$IX$116,ComparisonData!A63,ComparisonData!$ADA$1),0),5)</f>
        <v>0</v>
      </c>
      <c r="ADB63" s="56">
        <v>58</v>
      </c>
      <c r="ADC63" s="53" t="str">
        <f t="shared" si="638"/>
        <v>North East Wales Archives (Hawarden)</v>
      </c>
      <c r="ADD63" s="60">
        <f t="shared" si="525"/>
        <v>0</v>
      </c>
      <c r="ADE63" s="60">
        <f t="shared" si="526"/>
        <v>0</v>
      </c>
      <c r="ADF63" s="60">
        <f t="shared" si="527"/>
        <v>0</v>
      </c>
      <c r="ADG63" s="76">
        <f t="shared" si="528"/>
        <v>0</v>
      </c>
    </row>
    <row r="64" spans="1:787" x14ac:dyDescent="0.25">
      <c r="A64" s="46" t="str">
        <f>IF(ISBLANK(ComparisonSelection!F60),"",ROW()-5)</f>
        <v/>
      </c>
      <c r="B64" s="53" t="s">
        <v>513</v>
      </c>
      <c r="C64" s="72">
        <v>0.98399999999999999</v>
      </c>
      <c r="D64" s="55">
        <f t="shared" si="110"/>
        <v>109</v>
      </c>
      <c r="E64" s="54">
        <f t="shared" si="111"/>
        <v>2.984</v>
      </c>
      <c r="F64" s="54">
        <f t="shared" si="529"/>
        <v>1</v>
      </c>
      <c r="G64" s="72">
        <f t="shared" si="112"/>
        <v>2</v>
      </c>
      <c r="H64" s="72">
        <f t="shared" si="113"/>
        <v>0</v>
      </c>
      <c r="I64" s="46" cm="1">
        <f t="array" ref="I64">ROUND(IFERROR(INDEX(ArchiveResults!$F$5:$IX$116,ComparisonData!A64,ComparisonData!$I$1),0),5)</f>
        <v>0</v>
      </c>
      <c r="J64" s="46" cm="1">
        <f t="array" ref="J64">ROUND(IFERROR(INDEX(ArchiveResults!$F$5:$IX$116,ComparisonData!A64,ComparisonData!$J$1),0),5)</f>
        <v>0</v>
      </c>
      <c r="K64" s="56">
        <v>59</v>
      </c>
      <c r="L64" s="53" t="str">
        <f t="shared" si="114"/>
        <v>North East Wales Archives (Ruthin)</v>
      </c>
      <c r="M64" s="57">
        <f t="shared" si="530"/>
        <v>0</v>
      </c>
      <c r="N64" s="57">
        <f t="shared" si="531"/>
        <v>0</v>
      </c>
      <c r="O64" s="58">
        <f t="shared" si="115"/>
        <v>0</v>
      </c>
      <c r="P64" s="48">
        <f t="shared" si="116"/>
        <v>109</v>
      </c>
      <c r="Q64" s="54">
        <f t="shared" si="532"/>
        <v>2.984</v>
      </c>
      <c r="R64" s="45">
        <f t="shared" si="117"/>
        <v>1</v>
      </c>
      <c r="S64" s="46">
        <f t="shared" si="118"/>
        <v>2</v>
      </c>
      <c r="T64" s="72">
        <f t="shared" si="119"/>
        <v>0</v>
      </c>
      <c r="U64" s="46" cm="1">
        <f t="array" ref="U64">ROUND(IFERROR(INDEX(ArchiveResults!$F$5:$IX$116,ComparisonData!A64,ComparisonData!$U$1),0),5)</f>
        <v>0</v>
      </c>
      <c r="V64" s="46" cm="1">
        <f t="array" ref="V64">ROUND(IFERROR(INDEX(ArchiveResults!$F$5:$IX$116,ComparisonData!A64,ComparisonData!$V$1),0),5)</f>
        <v>0</v>
      </c>
      <c r="W64" s="56">
        <v>59</v>
      </c>
      <c r="X64" s="53" t="str">
        <f t="shared" si="533"/>
        <v>North East Wales Archives (Ruthin)</v>
      </c>
      <c r="Y64" s="57">
        <f t="shared" si="120"/>
        <v>0</v>
      </c>
      <c r="Z64" s="57">
        <f t="shared" si="121"/>
        <v>0</v>
      </c>
      <c r="AA64" s="58">
        <f t="shared" si="122"/>
        <v>0</v>
      </c>
      <c r="AB64" s="45">
        <f t="shared" si="123"/>
        <v>109</v>
      </c>
      <c r="AC64" s="54">
        <f t="shared" si="534"/>
        <v>2.984</v>
      </c>
      <c r="AD64" s="45">
        <f t="shared" si="124"/>
        <v>1</v>
      </c>
      <c r="AE64" s="45">
        <f t="shared" si="125"/>
        <v>2</v>
      </c>
      <c r="AF64" s="45">
        <f t="shared" si="639"/>
        <v>0</v>
      </c>
      <c r="AG64" s="46" cm="1">
        <f t="array" ref="AG64">ROUND(IFERROR(INDEX(ArchiveResults!$F$5:$IX$116,ComparisonData!A64,ComparisonData!$AG$1),0),5)</f>
        <v>0</v>
      </c>
      <c r="AH64" s="46" cm="1">
        <f t="array" ref="AH64">ROUND(IFERROR(INDEX(ArchiveResults!$F$5:$IX$116,ComparisonData!A64,ComparisonData!$AH$1),0),5)</f>
        <v>0</v>
      </c>
      <c r="AI64" s="56">
        <v>59</v>
      </c>
      <c r="AJ64" s="53" t="str">
        <f t="shared" si="535"/>
        <v>North East Wales Archives (Ruthin)</v>
      </c>
      <c r="AK64" s="59">
        <f t="shared" si="536"/>
        <v>0</v>
      </c>
      <c r="AL64" s="59">
        <f t="shared" si="537"/>
        <v>0</v>
      </c>
      <c r="AM64" s="58">
        <f t="shared" si="127"/>
        <v>0</v>
      </c>
      <c r="AN64" s="45">
        <f t="shared" si="128"/>
        <v>109</v>
      </c>
      <c r="AO64" s="54">
        <f t="shared" si="538"/>
        <v>2.984</v>
      </c>
      <c r="AP64" s="45">
        <f t="shared" si="129"/>
        <v>1</v>
      </c>
      <c r="AQ64" s="45">
        <f t="shared" si="130"/>
        <v>2</v>
      </c>
      <c r="AR64" s="46" cm="1">
        <f t="array" ref="AR64">ROUND(IFERROR(INDEX(ArchiveResults!$F$5:$IX$116,ComparisonData!A64,ComparisonData!$AR$1),0),5)</f>
        <v>0</v>
      </c>
      <c r="AS64" s="46" cm="1">
        <f t="array" ref="AS64">ROUND(IFERROR(INDEX(ArchiveResults!$F$5:$IX$116,ComparisonData!A64,ComparisonData!$AS$1),0),5)</f>
        <v>0</v>
      </c>
      <c r="AT64" s="46" cm="1">
        <f t="array" ref="AT64">ROUND(IFERROR(INDEX(ArchiveResults!$F$5:$IX$116,ComparisonData!A64,ComparisonData!$AT$1),0),5)</f>
        <v>0</v>
      </c>
      <c r="AU64" s="46" cm="1">
        <f t="array" ref="AU64">ROUND(IFERROR(INDEX(ArchiveResults!$F$5:$IX$116,ComparisonData!A64,ComparisonData!$AU$1),0),5)</f>
        <v>0</v>
      </c>
      <c r="AV64" s="46" cm="1">
        <f t="array" ref="AV64">ROUND(IFERROR(INDEX(ArchiveResults!$F$5:$IX$116,ComparisonData!A64,ComparisonData!$AV$1),0),5)</f>
        <v>0</v>
      </c>
      <c r="AW64" s="46" cm="1">
        <f t="array" ref="AW64">ROUND(IFERROR(INDEX(ArchiveResults!$F$5:$IX$116,ComparisonData!A64,ComparisonData!$AW$1),0),5)</f>
        <v>0</v>
      </c>
      <c r="AX64" s="46" cm="1">
        <f t="array" ref="AX64">ROUND(IFERROR(INDEX(ArchiveResults!$F$5:$IX$116,ComparisonData!A64,ComparisonData!$AX$1),0),5)</f>
        <v>0</v>
      </c>
      <c r="AY64" s="46" cm="1">
        <f t="array" ref="AY64">ROUND(IFERROR(INDEX(ArchiveResults!$F$5:$IX$116,ComparisonData!A64,ComparisonData!$AY$1),0),5)</f>
        <v>0</v>
      </c>
      <c r="AZ64" s="46" cm="1">
        <f t="array" ref="AZ64">ROUND(IFERROR(INDEX(ArchiveResults!$F$5:$IX$116,ComparisonData!A64,ComparisonData!$AZ$1),0),5)</f>
        <v>0</v>
      </c>
      <c r="BA64" s="46" cm="1">
        <f t="array" ref="BA64">ROUND(IFERROR(INDEX(ArchiveResults!$F$5:$IX$116,ComparisonData!A64,ComparisonData!$BA$1),0),5)</f>
        <v>0</v>
      </c>
      <c r="BB64" s="56">
        <v>59</v>
      </c>
      <c r="BC64" s="53" t="str">
        <f t="shared" si="539"/>
        <v>North East Wales Archives (Ruthin)</v>
      </c>
      <c r="BD64" s="60">
        <f t="shared" si="131"/>
        <v>0</v>
      </c>
      <c r="BE64" s="60">
        <f t="shared" si="132"/>
        <v>0</v>
      </c>
      <c r="BF64" s="60">
        <f t="shared" si="133"/>
        <v>0</v>
      </c>
      <c r="BG64" s="60">
        <f t="shared" si="134"/>
        <v>0</v>
      </c>
      <c r="BH64" s="60">
        <f t="shared" si="135"/>
        <v>0</v>
      </c>
      <c r="BI64" s="60">
        <f t="shared" si="136"/>
        <v>0</v>
      </c>
      <c r="BJ64" s="60">
        <f t="shared" si="137"/>
        <v>0</v>
      </c>
      <c r="BK64" s="60">
        <f t="shared" si="138"/>
        <v>0</v>
      </c>
      <c r="BL64" s="60">
        <f t="shared" si="139"/>
        <v>0</v>
      </c>
      <c r="BM64" s="59">
        <f t="shared" si="140"/>
        <v>0</v>
      </c>
      <c r="BN64" s="58">
        <f t="shared" si="141"/>
        <v>0</v>
      </c>
      <c r="BO64" s="45">
        <f t="shared" si="142"/>
        <v>109</v>
      </c>
      <c r="BP64" s="54">
        <f t="shared" si="540"/>
        <v>2.984</v>
      </c>
      <c r="BQ64" s="45">
        <f t="shared" si="143"/>
        <v>1</v>
      </c>
      <c r="BR64" s="45">
        <f t="shared" si="144"/>
        <v>2</v>
      </c>
      <c r="BS64" s="46" cm="1">
        <f t="array" ref="BS64">ROUND(IFERROR(INDEX(ArchiveResults!$F$5:$IX$116,ComparisonData!A64,ComparisonData!$BS$1),0),5)</f>
        <v>0</v>
      </c>
      <c r="BT64" s="46" cm="1">
        <f t="array" ref="BT64">ROUND(IFERROR(INDEX(ArchiveResults!$F$5:$IX$116,ComparisonData!A64,ComparisonData!$BT$1),0),5)</f>
        <v>0</v>
      </c>
      <c r="BU64" s="46" cm="1">
        <f t="array" ref="BU64">ROUND(IFERROR(INDEX(ArchiveResults!$F$5:$IX$116,ComparisonData!A64,ComparisonData!$BU$1),0),5)</f>
        <v>0</v>
      </c>
      <c r="BV64" s="46" cm="1">
        <f t="array" ref="BV64">ROUND(IFERROR(INDEX(ArchiveResults!$F$5:$IX$116,ComparisonData!A64,ComparisonData!$BV$1),0),5)</f>
        <v>0</v>
      </c>
      <c r="BW64" s="46" cm="1">
        <f t="array" ref="BW64">ROUND(IFERROR(INDEX(ArchiveResults!$F$5:$IX$116,ComparisonData!A64,ComparisonData!$BW$1),0),5)</f>
        <v>0</v>
      </c>
      <c r="BX64" s="46" cm="1">
        <f t="array" ref="BX64">ROUND(IFERROR(INDEX(ArchiveResults!$F$5:$IX$116,ComparisonData!A64,ComparisonData!$BX$1),0),5)</f>
        <v>0</v>
      </c>
      <c r="BY64" s="56">
        <v>59</v>
      </c>
      <c r="BZ64" s="53" t="str">
        <f t="shared" si="541"/>
        <v>North East Wales Archives (Ruthin)</v>
      </c>
      <c r="CA64" s="59">
        <f t="shared" si="145"/>
        <v>0</v>
      </c>
      <c r="CB64" s="59">
        <f t="shared" si="146"/>
        <v>0</v>
      </c>
      <c r="CC64" s="59">
        <f t="shared" si="147"/>
        <v>0</v>
      </c>
      <c r="CD64" s="59">
        <f t="shared" si="148"/>
        <v>0</v>
      </c>
      <c r="CE64" s="59">
        <f t="shared" si="149"/>
        <v>0</v>
      </c>
      <c r="CF64" s="59">
        <f t="shared" si="150"/>
        <v>0</v>
      </c>
      <c r="CG64" s="58">
        <f t="shared" si="151"/>
        <v>0</v>
      </c>
      <c r="CH64" s="45">
        <f t="shared" si="152"/>
        <v>109</v>
      </c>
      <c r="CI64" s="54">
        <f t="shared" si="542"/>
        <v>2.984</v>
      </c>
      <c r="CJ64" s="45">
        <f t="shared" si="153"/>
        <v>1</v>
      </c>
      <c r="CK64" s="45">
        <f t="shared" si="154"/>
        <v>2</v>
      </c>
      <c r="CL64" s="46" cm="1">
        <f t="array" ref="CL64">ROUND(IFERROR(INDEX(ArchiveResults!$F$5:$IX$116,ComparisonData!A64,ComparisonData!$CL$1),0),5)</f>
        <v>0</v>
      </c>
      <c r="CM64" s="56">
        <v>59</v>
      </c>
      <c r="CN64" s="53" t="str">
        <f t="shared" si="543"/>
        <v>North East Wales Archives (Ruthin)</v>
      </c>
      <c r="CO64" s="45">
        <f t="shared" si="155"/>
        <v>0</v>
      </c>
      <c r="CP64" s="58">
        <f t="shared" si="156"/>
        <v>0</v>
      </c>
      <c r="CQ64" s="45">
        <f t="shared" si="157"/>
        <v>109</v>
      </c>
      <c r="CR64" s="54">
        <f t="shared" si="544"/>
        <v>2.984</v>
      </c>
      <c r="CS64" s="45">
        <f t="shared" si="158"/>
        <v>1</v>
      </c>
      <c r="CT64" s="45">
        <f t="shared" si="159"/>
        <v>2</v>
      </c>
      <c r="CU64" s="46" cm="1">
        <f t="array" ref="CU64">ROUND(IFERROR(INDEX(ArchiveResults!$F$5:$IX$116,ComparisonData!A64,ComparisonData!$CU$1),0),5)</f>
        <v>0</v>
      </c>
      <c r="CV64" s="56">
        <v>59</v>
      </c>
      <c r="CW64" s="53" t="str">
        <f t="shared" si="545"/>
        <v>North East Wales Archives (Ruthin)</v>
      </c>
      <c r="CX64" s="45">
        <f t="shared" si="160"/>
        <v>0</v>
      </c>
      <c r="CY64" s="58">
        <f t="shared" si="161"/>
        <v>0</v>
      </c>
      <c r="CZ64" s="45">
        <f t="shared" si="162"/>
        <v>109</v>
      </c>
      <c r="DA64" s="54">
        <f t="shared" si="546"/>
        <v>2.984</v>
      </c>
      <c r="DB64" s="45">
        <f t="shared" si="163"/>
        <v>1</v>
      </c>
      <c r="DC64" s="45">
        <f t="shared" si="164"/>
        <v>2</v>
      </c>
      <c r="DD64" s="46" cm="1">
        <f t="array" ref="DD64">ROUND(IFERROR(INDEX(ArchiveResults!$F$5:$IX$116,ComparisonData!A64,ComparisonData!$DD$1),0),5)</f>
        <v>0</v>
      </c>
      <c r="DE64" s="56">
        <v>59</v>
      </c>
      <c r="DF64" s="53" t="str">
        <f t="shared" si="547"/>
        <v>North East Wales Archives (Ruthin)</v>
      </c>
      <c r="DG64" s="45">
        <f t="shared" si="165"/>
        <v>0</v>
      </c>
      <c r="DH64" s="58">
        <f t="shared" si="166"/>
        <v>0</v>
      </c>
      <c r="DI64" s="45">
        <f t="shared" si="167"/>
        <v>109</v>
      </c>
      <c r="DJ64" s="54">
        <f t="shared" si="548"/>
        <v>2.984</v>
      </c>
      <c r="DK64" s="45">
        <f t="shared" si="168"/>
        <v>1</v>
      </c>
      <c r="DL64" s="45">
        <f t="shared" si="169"/>
        <v>2</v>
      </c>
      <c r="DM64" s="46" cm="1">
        <f t="array" ref="DM64">ROUND(IFERROR(INDEX(ArchiveResults!$F$5:$IX$116,ComparisonData!A64,ComparisonData!$DM$1),0),5)</f>
        <v>0</v>
      </c>
      <c r="DN64" s="46" cm="1">
        <f t="array" ref="DN64">ROUND(IFERROR(INDEX(ArchiveResults!$F$5:$IX$116,ComparisonData!A64,ComparisonData!$DN$1),0),5)</f>
        <v>0</v>
      </c>
      <c r="DO64" s="46" cm="1">
        <f t="array" ref="DO64">ROUND(IFERROR(INDEX(ArchiveResults!$F$5:$IX$116,ComparisonData!A64,ComparisonData!$DO$1),0),5)</f>
        <v>0</v>
      </c>
      <c r="DP64" s="46" cm="1">
        <f t="array" ref="DP64">ROUND(IFERROR(INDEX(ArchiveResults!$F$5:$IX$116,ComparisonData!A64,ComparisonData!$DP$1),0),5)</f>
        <v>0</v>
      </c>
      <c r="DQ64" s="45" cm="1">
        <f t="array" ref="DQ64">IFERROR(INDEX(ArchiveResults!$F$5:$IX$116,ComparisonData!A64,ComparisonData!$DQ$1),0)</f>
        <v>0</v>
      </c>
      <c r="DR64" s="56">
        <v>59</v>
      </c>
      <c r="DS64" s="53" t="str">
        <f t="shared" si="549"/>
        <v>North East Wales Archives (Ruthin)</v>
      </c>
      <c r="DT64" s="59">
        <f t="shared" si="170"/>
        <v>0</v>
      </c>
      <c r="DU64" s="59">
        <f t="shared" si="171"/>
        <v>0</v>
      </c>
      <c r="DV64" s="59">
        <f t="shared" si="172"/>
        <v>0</v>
      </c>
      <c r="DW64" s="59">
        <f t="shared" si="173"/>
        <v>0</v>
      </c>
      <c r="DX64" s="59">
        <f t="shared" si="174"/>
        <v>0</v>
      </c>
      <c r="DY64" s="58">
        <f t="shared" si="175"/>
        <v>0</v>
      </c>
      <c r="DZ64" s="45">
        <f t="shared" si="176"/>
        <v>109</v>
      </c>
      <c r="EA64" s="54">
        <f t="shared" si="550"/>
        <v>2.984</v>
      </c>
      <c r="EB64" s="45">
        <f t="shared" si="177"/>
        <v>1</v>
      </c>
      <c r="EC64" s="45">
        <f t="shared" si="178"/>
        <v>2</v>
      </c>
      <c r="ED64" s="46" cm="1">
        <f t="array" ref="ED64">ROUND(IFERROR(INDEX(ArchiveResults!$F$5:$IX$116,ComparisonData!A64,ComparisonData!$ED$1),0),5)</f>
        <v>0</v>
      </c>
      <c r="EE64" s="46" cm="1">
        <f t="array" ref="EE64">ROUND(IFERROR(INDEX(ArchiveResults!$F$5:$IX$116,ComparisonData!A64,ComparisonData!$EE$1),0),5)</f>
        <v>0</v>
      </c>
      <c r="EF64" s="46" cm="1">
        <f t="array" ref="EF64">ROUND(IFERROR(INDEX(ArchiveResults!$F$5:$IX$116,ComparisonData!A64,ComparisonData!$EF$1),0),5)</f>
        <v>0</v>
      </c>
      <c r="EG64" s="46" cm="1">
        <f t="array" ref="EG64">ROUND(IFERROR(INDEX(ArchiveResults!$F$5:$IX$116,ComparisonData!A64,ComparisonData!$EG$1),0),5)</f>
        <v>0</v>
      </c>
      <c r="EH64" s="45" cm="1">
        <f t="array" ref="EH64">IFERROR(INDEX(ArchiveResults!$F$5:$IX$116,ComparisonData!A64,ComparisonData!$EH$1),0)</f>
        <v>0</v>
      </c>
      <c r="EI64" s="56">
        <v>59</v>
      </c>
      <c r="EJ64" s="53" t="str">
        <f t="shared" si="551"/>
        <v>North East Wales Archives (Ruthin)</v>
      </c>
      <c r="EK64" s="59">
        <f t="shared" si="179"/>
        <v>0</v>
      </c>
      <c r="EL64" s="59">
        <f t="shared" si="180"/>
        <v>0</v>
      </c>
      <c r="EM64" s="59">
        <f t="shared" si="181"/>
        <v>0</v>
      </c>
      <c r="EN64" s="59">
        <f t="shared" si="182"/>
        <v>0</v>
      </c>
      <c r="EO64" s="59">
        <f t="shared" si="183"/>
        <v>0</v>
      </c>
      <c r="EP64" s="58">
        <f t="shared" si="184"/>
        <v>0</v>
      </c>
      <c r="EQ64" s="45">
        <f t="shared" si="185"/>
        <v>109</v>
      </c>
      <c r="ER64" s="54">
        <f t="shared" si="552"/>
        <v>2.984</v>
      </c>
      <c r="ES64" s="45">
        <f t="shared" si="186"/>
        <v>1</v>
      </c>
      <c r="ET64" s="45">
        <f t="shared" si="187"/>
        <v>2</v>
      </c>
      <c r="EU64" s="46" cm="1">
        <f t="array" ref="EU64">ROUND(IFERROR(INDEX(ArchiveResults!$F$5:$IX$116,ComparisonData!A64,ComparisonData!$EU$1),0),5)</f>
        <v>0</v>
      </c>
      <c r="EV64" s="46" cm="1">
        <f t="array" ref="EV64">ROUND(IFERROR(INDEX(ArchiveResults!$F$5:$IX$116,ComparisonData!A64,ComparisonData!$EV$1),0),5)</f>
        <v>0</v>
      </c>
      <c r="EW64" s="46" cm="1">
        <f t="array" ref="EW64">ROUND(IFERROR(INDEX(ArchiveResults!$F$5:$IX$116,ComparisonData!A64,ComparisonData!$EW$1),0),5)</f>
        <v>0</v>
      </c>
      <c r="EX64" s="46" cm="1">
        <f t="array" ref="EX64">ROUND(IFERROR(INDEX(ArchiveResults!$F$5:$IX$116,ComparisonData!A64,ComparisonData!$EX$1),0),5)</f>
        <v>0</v>
      </c>
      <c r="EY64" s="45" cm="1">
        <f t="array" ref="EY64">IFERROR(INDEX(ArchiveResults!$F$5:$IX$116,ComparisonData!A64,ComparisonData!$EY$1),0)</f>
        <v>0</v>
      </c>
      <c r="EZ64" s="56">
        <v>59</v>
      </c>
      <c r="FA64" s="53" t="str">
        <f t="shared" si="553"/>
        <v>North East Wales Archives (Ruthin)</v>
      </c>
      <c r="FB64" s="59">
        <f t="shared" si="188"/>
        <v>0</v>
      </c>
      <c r="FC64" s="59">
        <f t="shared" si="189"/>
        <v>0</v>
      </c>
      <c r="FD64" s="59">
        <f t="shared" si="190"/>
        <v>0</v>
      </c>
      <c r="FE64" s="59">
        <f t="shared" si="191"/>
        <v>0</v>
      </c>
      <c r="FF64" s="59">
        <f t="shared" si="192"/>
        <v>0</v>
      </c>
      <c r="FG64" s="58">
        <f t="shared" si="193"/>
        <v>0</v>
      </c>
      <c r="FH64" s="45">
        <f t="shared" si="194"/>
        <v>109</v>
      </c>
      <c r="FI64" s="54">
        <f t="shared" si="554"/>
        <v>2.984</v>
      </c>
      <c r="FJ64" s="45">
        <f t="shared" si="195"/>
        <v>1</v>
      </c>
      <c r="FK64" s="45">
        <f t="shared" si="196"/>
        <v>2</v>
      </c>
      <c r="FL64" s="46" cm="1">
        <f t="array" ref="FL64">ROUND(IFERROR(INDEX(ArchiveResults!$F$5:$IX$116,ComparisonData!A64,ComparisonData!$FL$1),0),5)</f>
        <v>0</v>
      </c>
      <c r="FM64" s="46" cm="1">
        <f t="array" ref="FM64">ROUND(IFERROR(INDEX(ArchiveResults!$F$5:$IX$116,ComparisonData!A64,ComparisonData!$FM$1),0),5)</f>
        <v>0</v>
      </c>
      <c r="FN64" s="46" cm="1">
        <f t="array" ref="FN64">ROUND(IFERROR(INDEX(ArchiveResults!$F$5:$IX$116,ComparisonData!A64,ComparisonData!$FN$1),0),5)</f>
        <v>0</v>
      </c>
      <c r="FO64" s="46" cm="1">
        <f t="array" ref="FO64">ROUND(IFERROR(INDEX(ArchiveResults!$F$5:$IX$116,ComparisonData!A64,ComparisonData!$FO$1),0),5)</f>
        <v>0</v>
      </c>
      <c r="FP64" s="45" cm="1">
        <f t="array" ref="FP64">IFERROR(INDEX(ArchiveResults!$F$5:$IX$116,ComparisonData!A64,ComparisonData!$FP$1),0)</f>
        <v>0</v>
      </c>
      <c r="FQ64" s="56">
        <v>59</v>
      </c>
      <c r="FR64" s="53" t="str">
        <f t="shared" si="555"/>
        <v>North East Wales Archives (Ruthin)</v>
      </c>
      <c r="FS64" s="59">
        <f t="shared" si="197"/>
        <v>0</v>
      </c>
      <c r="FT64" s="59">
        <f t="shared" si="198"/>
        <v>0</v>
      </c>
      <c r="FU64" s="59">
        <f t="shared" si="199"/>
        <v>0</v>
      </c>
      <c r="FV64" s="59">
        <f t="shared" si="200"/>
        <v>0</v>
      </c>
      <c r="FW64" s="59">
        <f t="shared" si="201"/>
        <v>0</v>
      </c>
      <c r="FX64" s="58">
        <f t="shared" si="202"/>
        <v>0</v>
      </c>
      <c r="FY64" s="45">
        <f t="shared" si="203"/>
        <v>109</v>
      </c>
      <c r="FZ64" s="45">
        <f t="shared" si="556"/>
        <v>2.984</v>
      </c>
      <c r="GA64" s="45">
        <f t="shared" si="204"/>
        <v>1</v>
      </c>
      <c r="GB64" s="45">
        <f t="shared" si="205"/>
        <v>2</v>
      </c>
      <c r="GC64" s="46" cm="1">
        <f t="array" ref="GC64">ROUND(IFERROR(INDEX(ArchiveResults!$F$5:$IX$116,ComparisonData!A64,ComparisonData!$GC$1),0),5)</f>
        <v>0</v>
      </c>
      <c r="GD64" s="46" cm="1">
        <f t="array" ref="GD64">ROUND(IFERROR(INDEX(ArchiveResults!$F$5:$IX$116,ComparisonData!A64,ComparisonData!$GD$1),0),5)</f>
        <v>0</v>
      </c>
      <c r="GE64" s="46" cm="1">
        <f t="array" ref="GE64">ROUND(IFERROR(INDEX(ArchiveResults!$F$5:$IX$116,ComparisonData!A64,ComparisonData!$GE$1),0),5)</f>
        <v>0</v>
      </c>
      <c r="GF64" s="46" cm="1">
        <f t="array" ref="GF64">ROUND(IFERROR(INDEX(ArchiveResults!$F$5:$IX$116,ComparisonData!A64,ComparisonData!$GF$1),0),5)</f>
        <v>0</v>
      </c>
      <c r="GG64" s="45" cm="1">
        <f t="array" ref="GG64">IFERROR(INDEX(ArchiveResults!$F$5:$IX$116,ComparisonData!A64,ComparisonData!$GG$1),0)</f>
        <v>0</v>
      </c>
      <c r="GH64" s="56">
        <v>59</v>
      </c>
      <c r="GI64" s="53" t="str">
        <f t="shared" si="557"/>
        <v>North East Wales Archives (Ruthin)</v>
      </c>
      <c r="GJ64" s="59">
        <f t="shared" si="206"/>
        <v>0</v>
      </c>
      <c r="GK64" s="59">
        <f t="shared" si="207"/>
        <v>0</v>
      </c>
      <c r="GL64" s="59">
        <f t="shared" si="208"/>
        <v>0</v>
      </c>
      <c r="GM64" s="59">
        <f t="shared" si="209"/>
        <v>0</v>
      </c>
      <c r="GN64" s="59">
        <f t="shared" si="210"/>
        <v>0</v>
      </c>
      <c r="GO64" s="58">
        <f t="shared" si="211"/>
        <v>0</v>
      </c>
      <c r="GP64" s="45">
        <f t="shared" si="212"/>
        <v>109</v>
      </c>
      <c r="GQ64" s="45">
        <f t="shared" si="558"/>
        <v>2.984</v>
      </c>
      <c r="GR64" s="45">
        <f t="shared" si="213"/>
        <v>1</v>
      </c>
      <c r="GS64" s="45">
        <f t="shared" si="214"/>
        <v>2</v>
      </c>
      <c r="GT64" s="46" cm="1">
        <f t="array" ref="GT64">ROUND(IFERROR(INDEX(ArchiveResults!$F$5:$IX$116,ComparisonData!A64,ComparisonData!$GT$1),0),5)</f>
        <v>0</v>
      </c>
      <c r="GU64" s="46" cm="1">
        <f t="array" ref="GU64">ROUND(IFERROR(INDEX(ArchiveResults!$F$5:$IX$116,ComparisonData!A64,ComparisonData!$GU$1),0),5)</f>
        <v>0</v>
      </c>
      <c r="GV64" s="46" cm="1">
        <f t="array" ref="GV64">ROUND(IFERROR(INDEX(ArchiveResults!$F$5:$IX$116,ComparisonData!A64,ComparisonData!$GV$1),0),5)</f>
        <v>0</v>
      </c>
      <c r="GW64" s="46" cm="1">
        <f t="array" ref="GW64">ROUND(IFERROR(INDEX(ArchiveResults!$F$5:$IX$116,ComparisonData!A64,ComparisonData!$GW$1),0),5)</f>
        <v>0</v>
      </c>
      <c r="GX64" s="45" cm="1">
        <f t="array" ref="GX64">IFERROR(INDEX(ArchiveResults!$F$5:$IX$116,ComparisonData!A64,ComparisonData!$GX$1),0)</f>
        <v>0</v>
      </c>
      <c r="GY64" s="56">
        <v>59</v>
      </c>
      <c r="GZ64" s="53" t="str">
        <f t="shared" si="559"/>
        <v>North East Wales Archives (Ruthin)</v>
      </c>
      <c r="HA64" s="59">
        <f t="shared" si="215"/>
        <v>0</v>
      </c>
      <c r="HB64" s="59">
        <f t="shared" si="216"/>
        <v>0</v>
      </c>
      <c r="HC64" s="59">
        <f t="shared" si="217"/>
        <v>0</v>
      </c>
      <c r="HD64" s="59">
        <f t="shared" si="218"/>
        <v>0</v>
      </c>
      <c r="HE64" s="59">
        <f t="shared" si="219"/>
        <v>0</v>
      </c>
      <c r="HF64" s="58">
        <f t="shared" si="220"/>
        <v>0</v>
      </c>
      <c r="HG64" s="45">
        <f t="shared" si="221"/>
        <v>109</v>
      </c>
      <c r="HH64" s="45">
        <f t="shared" si="560"/>
        <v>2.984</v>
      </c>
      <c r="HI64" s="45">
        <f t="shared" si="222"/>
        <v>1</v>
      </c>
      <c r="HJ64" s="45">
        <f t="shared" si="223"/>
        <v>2</v>
      </c>
      <c r="HK64" s="46" cm="1">
        <f t="array" ref="HK64">ROUND(IFERROR(INDEX(ArchiveResults!$F$5:$IX$116,ComparisonData!A64,ComparisonData!$HK$1),0),5)</f>
        <v>0</v>
      </c>
      <c r="HL64" s="46" cm="1">
        <f t="array" ref="HL64">ROUND(IFERROR(INDEX(ArchiveResults!$F$5:$IX$116,ComparisonData!A64,ComparisonData!$HL$1),0),5)</f>
        <v>0</v>
      </c>
      <c r="HM64" s="46" cm="1">
        <f t="array" ref="HM64">ROUND(IFERROR(INDEX(ArchiveResults!$F$5:$IX$116,ComparisonData!A64,ComparisonData!$HM$1),0),5)</f>
        <v>0</v>
      </c>
      <c r="HN64" s="46" cm="1">
        <f t="array" ref="HN64">ROUND(IFERROR(INDEX(ArchiveResults!$F$5:$IX$116,ComparisonData!A64,ComparisonData!$HN$1),0),5)</f>
        <v>0</v>
      </c>
      <c r="HO64" s="45" cm="1">
        <f t="array" ref="HO64">IFERROR(INDEX(ArchiveResults!$F$5:$IX$116,ComparisonData!A64,ComparisonData!$HO$1),0)</f>
        <v>0</v>
      </c>
      <c r="HP64" s="56">
        <v>59</v>
      </c>
      <c r="HQ64" s="53" t="str">
        <f t="shared" si="561"/>
        <v>North East Wales Archives (Ruthin)</v>
      </c>
      <c r="HR64" s="59">
        <f t="shared" si="562"/>
        <v>0</v>
      </c>
      <c r="HS64" s="59">
        <f t="shared" si="563"/>
        <v>0</v>
      </c>
      <c r="HT64" s="59">
        <f t="shared" si="564"/>
        <v>0</v>
      </c>
      <c r="HU64" s="59">
        <f t="shared" si="565"/>
        <v>0</v>
      </c>
      <c r="HV64" s="59">
        <f t="shared" si="566"/>
        <v>0</v>
      </c>
      <c r="HW64" s="58">
        <f t="shared" si="224"/>
        <v>0</v>
      </c>
      <c r="HX64" s="45">
        <f t="shared" si="225"/>
        <v>109</v>
      </c>
      <c r="HY64" s="45">
        <f t="shared" si="567"/>
        <v>2.984</v>
      </c>
      <c r="HZ64" s="45">
        <f t="shared" si="226"/>
        <v>1</v>
      </c>
      <c r="IA64" s="45">
        <f t="shared" si="227"/>
        <v>2</v>
      </c>
      <c r="IB64" s="45">
        <f t="shared" si="228"/>
        <v>0</v>
      </c>
      <c r="IC64" s="46" cm="1">
        <f t="array" ref="IC64">ROUND(IFERROR(INDEX(ArchiveResults!$F$5:$IX$116,ComparisonData!A64,ComparisonData!$IC$1),0),5)</f>
        <v>0</v>
      </c>
      <c r="ID64" s="46" cm="1">
        <f t="array" ref="ID64">ROUND(IFERROR(INDEX(ArchiveResults!$F$5:$IX$116,ComparisonData!A64,ComparisonData!$ID$1),0),5)</f>
        <v>0</v>
      </c>
      <c r="IE64" s="46" cm="1">
        <f t="array" ref="IE64">ROUND(IFERROR(INDEX(ArchiveResults!$F$5:$IX$116,ComparisonData!A64,ComparisonData!$IE$1),0),5)</f>
        <v>0</v>
      </c>
      <c r="IF64" s="46" cm="1">
        <f t="array" ref="IF64">ROUND(IFERROR(INDEX(ArchiveResults!$F$5:$IX$116,ComparisonData!A64,ComparisonData!$IF$1),0),5)</f>
        <v>0</v>
      </c>
      <c r="IG64" s="45" cm="1">
        <f t="array" ref="IG64">IFERROR(INDEX(ArchiveResults!$F$5:$IX$116,ComparisonData!A64,ComparisonData!$IG$1),0)</f>
        <v>0</v>
      </c>
      <c r="IH64" s="56">
        <v>59</v>
      </c>
      <c r="II64" s="53" t="str">
        <f t="shared" si="568"/>
        <v>North East Wales Archives (Ruthin)</v>
      </c>
      <c r="IJ64" s="59">
        <f t="shared" si="229"/>
        <v>0</v>
      </c>
      <c r="IK64" s="59">
        <f t="shared" si="230"/>
        <v>0</v>
      </c>
      <c r="IL64" s="59">
        <f t="shared" si="231"/>
        <v>0</v>
      </c>
      <c r="IM64" s="59">
        <f t="shared" si="232"/>
        <v>0</v>
      </c>
      <c r="IN64" s="59">
        <f t="shared" si="233"/>
        <v>0</v>
      </c>
      <c r="IO64" s="58">
        <f t="shared" si="234"/>
        <v>0</v>
      </c>
      <c r="IP64" s="45">
        <f t="shared" si="235"/>
        <v>109</v>
      </c>
      <c r="IQ64" s="45">
        <f t="shared" si="569"/>
        <v>2.984</v>
      </c>
      <c r="IR64" s="45">
        <f t="shared" si="236"/>
        <v>1</v>
      </c>
      <c r="IS64" s="45">
        <f t="shared" si="237"/>
        <v>2</v>
      </c>
      <c r="IT64" s="46">
        <f t="shared" si="238"/>
        <v>0</v>
      </c>
      <c r="IU64" s="46" cm="1">
        <f t="array" ref="IU64">ROUND(IFERROR(INDEX(ArchiveResults!$F$5:$IX$116,ComparisonData!A64,ComparisonData!$IU$1),0),5)</f>
        <v>0</v>
      </c>
      <c r="IV64" s="46" cm="1">
        <f t="array" ref="IV64">ROUND(IFERROR(INDEX(ArchiveResults!$F$5:$IX$116,ComparisonData!A64,ComparisonData!$IV$1),0),5)</f>
        <v>0</v>
      </c>
      <c r="IW64" s="46" cm="1">
        <f t="array" ref="IW64">ROUND(IFERROR(INDEX(ArchiveResults!$F$5:$IX$116,ComparisonData!A64,ComparisonData!$IW$1),0),5)</f>
        <v>0</v>
      </c>
      <c r="IX64" s="46" cm="1">
        <f t="array" ref="IX64">ROUND(IFERROR(INDEX(ArchiveResults!$F$5:$IX$116,ComparisonData!A64,ComparisonData!$IX$1),0),5)</f>
        <v>0</v>
      </c>
      <c r="IY64" s="45" cm="1">
        <f t="array" ref="IY64">IFERROR(INDEX(ArchiveResults!$F$5:$IX$116,ComparisonData!A64,ComparisonData!$IY$1),0)</f>
        <v>0</v>
      </c>
      <c r="IZ64" s="56">
        <v>59</v>
      </c>
      <c r="JA64" s="53" t="str">
        <f t="shared" si="570"/>
        <v>North East Wales Archives (Ruthin)</v>
      </c>
      <c r="JB64" s="59">
        <f t="shared" si="239"/>
        <v>0</v>
      </c>
      <c r="JC64" s="59">
        <f t="shared" si="240"/>
        <v>0</v>
      </c>
      <c r="JD64" s="59">
        <f t="shared" si="241"/>
        <v>0</v>
      </c>
      <c r="JE64" s="59">
        <f t="shared" si="242"/>
        <v>0</v>
      </c>
      <c r="JF64" s="59">
        <f t="shared" si="243"/>
        <v>0</v>
      </c>
      <c r="JG64" s="58">
        <f t="shared" si="244"/>
        <v>0</v>
      </c>
      <c r="JH64" s="45">
        <f t="shared" si="245"/>
        <v>109</v>
      </c>
      <c r="JI64" s="45">
        <f t="shared" si="571"/>
        <v>2.984</v>
      </c>
      <c r="JJ64" s="45">
        <f t="shared" si="246"/>
        <v>1</v>
      </c>
      <c r="JK64" s="45">
        <f t="shared" si="247"/>
        <v>2</v>
      </c>
      <c r="JL64" s="45">
        <f t="shared" si="248"/>
        <v>0</v>
      </c>
      <c r="JM64" s="46" cm="1">
        <f t="array" ref="JM64">ROUND(IFERROR(INDEX(ArchiveResults!$F$5:$IX$116,ComparisonData!A64,ComparisonData!$JM$1),0),5)</f>
        <v>0</v>
      </c>
      <c r="JN64" s="46" cm="1">
        <f t="array" ref="JN64">ROUND(IFERROR(INDEX(ArchiveResults!$F$5:$IX$116,ComparisonData!A64,ComparisonData!$JN$1),0),5)</f>
        <v>0</v>
      </c>
      <c r="JO64" s="46" cm="1">
        <f t="array" ref="JO64">ROUND(IFERROR(INDEX(ArchiveResults!$F$5:$IX$116,ComparisonData!A64,ComparisonData!$JO$1),0),5)</f>
        <v>0</v>
      </c>
      <c r="JP64" s="46" cm="1">
        <f t="array" ref="JP64">ROUND(IFERROR(INDEX(ArchiveResults!$F$5:$IX$116,ComparisonData!A64,ComparisonData!$JP$1),0),5)</f>
        <v>0</v>
      </c>
      <c r="JQ64" s="45" cm="1">
        <f t="array" ref="JQ64">IFERROR(INDEX(ArchiveResults!$F$5:$IX$116,ComparisonData!A64,ComparisonData!$JQ$1),0)</f>
        <v>0</v>
      </c>
      <c r="JR64" s="56">
        <v>59</v>
      </c>
      <c r="JS64" s="53" t="str">
        <f t="shared" si="572"/>
        <v>North East Wales Archives (Ruthin)</v>
      </c>
      <c r="JT64" s="59">
        <f t="shared" si="249"/>
        <v>0</v>
      </c>
      <c r="JU64" s="59">
        <f t="shared" si="250"/>
        <v>0</v>
      </c>
      <c r="JV64" s="59">
        <f t="shared" si="251"/>
        <v>0</v>
      </c>
      <c r="JW64" s="59">
        <f t="shared" si="252"/>
        <v>0</v>
      </c>
      <c r="JX64" s="59">
        <f t="shared" si="253"/>
        <v>0</v>
      </c>
      <c r="JY64" s="58">
        <f t="shared" si="254"/>
        <v>0</v>
      </c>
      <c r="JZ64" s="45">
        <f t="shared" si="255"/>
        <v>109</v>
      </c>
      <c r="KA64" s="45">
        <f t="shared" si="573"/>
        <v>2.984</v>
      </c>
      <c r="KB64" s="45">
        <f t="shared" si="256"/>
        <v>1</v>
      </c>
      <c r="KC64" s="45">
        <f t="shared" si="257"/>
        <v>2</v>
      </c>
      <c r="KD64" s="45">
        <f t="shared" si="258"/>
        <v>0</v>
      </c>
      <c r="KE64" s="46" cm="1">
        <f t="array" ref="KE64">ROUND(IFERROR(INDEX(ArchiveResults!$F$5:$IX$116,ComparisonData!A64,ComparisonData!$KE$1),0),5)</f>
        <v>0</v>
      </c>
      <c r="KF64" s="46" cm="1">
        <f t="array" ref="KF64">ROUND(IFERROR(INDEX(ArchiveResults!$F$5:$IX$116,ComparisonData!A64,ComparisonData!$KF$1),0),5)</f>
        <v>0</v>
      </c>
      <c r="KG64" s="46" cm="1">
        <f t="array" ref="KG64">ROUND(IFERROR(INDEX(ArchiveResults!$F$5:$IX$116,ComparisonData!A64,ComparisonData!$KG$1),0),5)</f>
        <v>0</v>
      </c>
      <c r="KH64" s="46" cm="1">
        <f t="array" ref="KH64">ROUND(IFERROR(INDEX(ArchiveResults!$F$5:$IX$116,ComparisonData!A64,ComparisonData!$KH$1),0),5)</f>
        <v>0</v>
      </c>
      <c r="KI64" s="45" cm="1">
        <f t="array" ref="KI64">IFERROR(INDEX(ArchiveResults!$F$5:$IX$116,ComparisonData!A64,ComparisonData!$KI$1),0)</f>
        <v>0</v>
      </c>
      <c r="KJ64" s="56">
        <v>59</v>
      </c>
      <c r="KK64" s="53" t="str">
        <f t="shared" si="574"/>
        <v>North East Wales Archives (Ruthin)</v>
      </c>
      <c r="KL64" s="59">
        <f t="shared" si="259"/>
        <v>0</v>
      </c>
      <c r="KM64" s="59">
        <f t="shared" si="260"/>
        <v>0</v>
      </c>
      <c r="KN64" s="59">
        <f t="shared" si="261"/>
        <v>0</v>
      </c>
      <c r="KO64" s="59">
        <f t="shared" si="262"/>
        <v>0</v>
      </c>
      <c r="KP64" s="59">
        <f t="shared" si="263"/>
        <v>0</v>
      </c>
      <c r="KQ64" s="58">
        <f t="shared" si="264"/>
        <v>0</v>
      </c>
      <c r="KR64" s="45">
        <f t="shared" si="265"/>
        <v>109</v>
      </c>
      <c r="KS64" s="45">
        <f t="shared" si="575"/>
        <v>2.984</v>
      </c>
      <c r="KT64" s="45">
        <f t="shared" si="266"/>
        <v>1</v>
      </c>
      <c r="KU64" s="45">
        <f t="shared" si="267"/>
        <v>2</v>
      </c>
      <c r="KV64" s="45">
        <f t="shared" si="268"/>
        <v>0</v>
      </c>
      <c r="KW64" s="46" cm="1">
        <f t="array" ref="KW64">ROUND(IFERROR(INDEX(ArchiveResults!$F$5:$IX$116,ComparisonData!A64,ComparisonData!$KW$1),0),5)</f>
        <v>0</v>
      </c>
      <c r="KX64" s="46" cm="1">
        <f t="array" ref="KX64">ROUND(IFERROR(INDEX(ArchiveResults!$F$5:$IX$116,ComparisonData!A64,ComparisonData!$KX$1),0),5)</f>
        <v>0</v>
      </c>
      <c r="KY64" s="46" cm="1">
        <f t="array" ref="KY64">ROUND(IFERROR(INDEX(ArchiveResults!$F$5:$IX$116,ComparisonData!A64,ComparisonData!$KY$1),0),5)</f>
        <v>0</v>
      </c>
      <c r="KZ64" s="46" cm="1">
        <f t="array" ref="KZ64">ROUND(IFERROR(INDEX(ArchiveResults!$F$5:$IX$116,ComparisonData!A64,ComparisonData!$KZ$1),0),5)</f>
        <v>0</v>
      </c>
      <c r="LA64" s="45" cm="1">
        <f t="array" ref="LA64">IFERROR(INDEX(ArchiveResults!$F$5:$IX$116,ComparisonData!A64,ComparisonData!$LA$1),0)</f>
        <v>0</v>
      </c>
      <c r="LB64" s="56">
        <v>59</v>
      </c>
      <c r="LC64" s="53" t="str">
        <f t="shared" si="576"/>
        <v>North East Wales Archives (Ruthin)</v>
      </c>
      <c r="LD64" s="59">
        <f t="shared" si="269"/>
        <v>0</v>
      </c>
      <c r="LE64" s="59">
        <f t="shared" si="270"/>
        <v>0</v>
      </c>
      <c r="LF64" s="59">
        <f t="shared" si="271"/>
        <v>0</v>
      </c>
      <c r="LG64" s="59">
        <f t="shared" si="272"/>
        <v>0</v>
      </c>
      <c r="LH64" s="59">
        <f t="shared" si="273"/>
        <v>0</v>
      </c>
      <c r="LI64" s="58">
        <f t="shared" si="274"/>
        <v>0</v>
      </c>
      <c r="LJ64" s="45">
        <f t="shared" si="275"/>
        <v>109</v>
      </c>
      <c r="LK64" s="45">
        <f t="shared" si="577"/>
        <v>2.984</v>
      </c>
      <c r="LL64" s="45">
        <f t="shared" si="276"/>
        <v>1</v>
      </c>
      <c r="LM64" s="45">
        <f t="shared" si="277"/>
        <v>2</v>
      </c>
      <c r="LN64" s="45">
        <f t="shared" si="278"/>
        <v>0</v>
      </c>
      <c r="LO64" s="46" cm="1">
        <f t="array" ref="LO64">ROUND(IFERROR(INDEX(ArchiveResults!$F$5:$IX$116,ComparisonData!A64,ComparisonData!$LO$1),0),5)</f>
        <v>0</v>
      </c>
      <c r="LP64" s="46" cm="1">
        <f t="array" ref="LP64">ROUND(IFERROR(INDEX(ArchiveResults!$F$5:$IX$116,ComparisonData!A64,ComparisonData!$LP$1),0),5)</f>
        <v>0</v>
      </c>
      <c r="LQ64" s="46" cm="1">
        <f t="array" ref="LQ64">ROUND(IFERROR(INDEX(ArchiveResults!$F$5:$IX$116,ComparisonData!A64,ComparisonData!$LQ$1),0),5)</f>
        <v>0</v>
      </c>
      <c r="LR64" s="46" cm="1">
        <f t="array" ref="LR64">ROUND(IFERROR(INDEX(ArchiveResults!$F$5:$IX$116,ComparisonData!A64,ComparisonData!$LR$1),0),5)</f>
        <v>0</v>
      </c>
      <c r="LS64" s="45" cm="1">
        <f t="array" ref="LS64">IFERROR(INDEX(ArchiveResults!$F$5:$IX$116,ComparisonData!A64,ComparisonData!$LS$1),0)</f>
        <v>0</v>
      </c>
      <c r="LT64" s="56">
        <v>59</v>
      </c>
      <c r="LU64" s="53" t="str">
        <f t="shared" si="578"/>
        <v>North East Wales Archives (Ruthin)</v>
      </c>
      <c r="LV64" s="59">
        <f t="shared" si="279"/>
        <v>0</v>
      </c>
      <c r="LW64" s="59">
        <f t="shared" si="280"/>
        <v>0</v>
      </c>
      <c r="LX64" s="59">
        <f t="shared" si="281"/>
        <v>0</v>
      </c>
      <c r="LY64" s="59">
        <f t="shared" si="282"/>
        <v>0</v>
      </c>
      <c r="LZ64" s="59">
        <f t="shared" si="283"/>
        <v>0</v>
      </c>
      <c r="MA64" s="58">
        <f t="shared" si="284"/>
        <v>0</v>
      </c>
      <c r="MB64" s="45">
        <f t="shared" si="285"/>
        <v>109</v>
      </c>
      <c r="MC64" s="45">
        <f t="shared" si="579"/>
        <v>2.984</v>
      </c>
      <c r="MD64" s="45">
        <f t="shared" si="286"/>
        <v>1</v>
      </c>
      <c r="ME64" s="45">
        <f t="shared" si="287"/>
        <v>2</v>
      </c>
      <c r="MF64" s="45">
        <f t="shared" si="288"/>
        <v>0</v>
      </c>
      <c r="MG64" s="46" cm="1">
        <f t="array" ref="MG64">ROUND(IFERROR(INDEX(ArchiveResults!$F$5:$IX$116,ComparisonData!A64,ComparisonData!$MG$1),0),5)</f>
        <v>0</v>
      </c>
      <c r="MH64" s="46" cm="1">
        <f t="array" ref="MH64">ROUND(IFERROR(INDEX(ArchiveResults!$F$5:$IX$116,ComparisonData!A64,ComparisonData!$MH$1),0),5)</f>
        <v>0</v>
      </c>
      <c r="MI64" s="46" cm="1">
        <f t="array" ref="MI64">ROUND(IFERROR(INDEX(ArchiveResults!$F$5:$IX$116,ComparisonData!A64,ComparisonData!$MI$1),0),5)</f>
        <v>0</v>
      </c>
      <c r="MJ64" s="46" cm="1">
        <f t="array" ref="MJ64">ROUND(IFERROR(INDEX(ArchiveResults!$F$5:$IX$116,ComparisonData!A64,ComparisonData!$MJ$1),0),5)</f>
        <v>0</v>
      </c>
      <c r="MK64" s="45" cm="1">
        <f t="array" ref="MK64">IFERROR(INDEX(ArchiveResults!$F$5:$IX$116,ComparisonData!A64,ComparisonData!$MK$1),0)</f>
        <v>0</v>
      </c>
      <c r="ML64" s="56">
        <v>59</v>
      </c>
      <c r="MM64" s="53" t="str">
        <f t="shared" si="580"/>
        <v>North East Wales Archives (Ruthin)</v>
      </c>
      <c r="MN64" s="59">
        <f t="shared" si="289"/>
        <v>0</v>
      </c>
      <c r="MO64" s="59">
        <f t="shared" si="290"/>
        <v>0</v>
      </c>
      <c r="MP64" s="59">
        <f t="shared" si="291"/>
        <v>0</v>
      </c>
      <c r="MQ64" s="59">
        <f t="shared" si="292"/>
        <v>0</v>
      </c>
      <c r="MR64" s="59">
        <f t="shared" si="293"/>
        <v>0</v>
      </c>
      <c r="MS64" s="58">
        <f t="shared" si="294"/>
        <v>0</v>
      </c>
      <c r="MT64" s="45">
        <f t="shared" si="295"/>
        <v>109</v>
      </c>
      <c r="MU64" s="45">
        <f t="shared" si="581"/>
        <v>2.984</v>
      </c>
      <c r="MV64" s="45">
        <f t="shared" si="296"/>
        <v>1</v>
      </c>
      <c r="MW64" s="45">
        <f t="shared" si="297"/>
        <v>2</v>
      </c>
      <c r="MX64" s="45">
        <f t="shared" si="298"/>
        <v>0</v>
      </c>
      <c r="MY64" s="46" cm="1">
        <f t="array" ref="MY64">ROUND(IFERROR(INDEX(ArchiveResults!$F$5:$IX$116,ComparisonData!A64,ComparisonData!$MY$1),0),5)</f>
        <v>0</v>
      </c>
      <c r="MZ64" s="46" cm="1">
        <f t="array" ref="MZ64">ROUND(IFERROR(INDEX(ArchiveResults!$F$5:$IX$116,ComparisonData!A64,ComparisonData!$MZ$1),0),5)</f>
        <v>0</v>
      </c>
      <c r="NA64" s="46" cm="1">
        <f t="array" ref="NA64">ROUND(IFERROR(INDEX(ArchiveResults!$F$5:$IX$116,ComparisonData!A64,ComparisonData!$NA$1),0),5)</f>
        <v>0</v>
      </c>
      <c r="NB64" s="46" cm="1">
        <f t="array" ref="NB64">ROUND(IFERROR(INDEX(ArchiveResults!$F$5:$IX$116,ComparisonData!A64,ComparisonData!$NB$1),0),5)</f>
        <v>0</v>
      </c>
      <c r="NC64" s="45" cm="1">
        <f t="array" ref="NC64">IFERROR(INDEX(ArchiveResults!$F$5:$IX$116,ComparisonData!A64,ComparisonData!$NC$1),0)</f>
        <v>0</v>
      </c>
      <c r="ND64" s="56">
        <v>59</v>
      </c>
      <c r="NE64" s="53" t="str">
        <f t="shared" si="582"/>
        <v>North East Wales Archives (Ruthin)</v>
      </c>
      <c r="NF64" s="59">
        <f t="shared" si="299"/>
        <v>0</v>
      </c>
      <c r="NG64" s="59">
        <f t="shared" si="300"/>
        <v>0</v>
      </c>
      <c r="NH64" s="59">
        <f t="shared" si="301"/>
        <v>0</v>
      </c>
      <c r="NI64" s="59">
        <f t="shared" si="302"/>
        <v>0</v>
      </c>
      <c r="NJ64" s="59">
        <f t="shared" si="303"/>
        <v>0</v>
      </c>
      <c r="NK64" s="58">
        <f t="shared" si="304"/>
        <v>0</v>
      </c>
      <c r="NL64" s="45">
        <f t="shared" si="305"/>
        <v>109</v>
      </c>
      <c r="NM64" s="45">
        <f t="shared" si="583"/>
        <v>2.984</v>
      </c>
      <c r="NN64" s="45">
        <f t="shared" si="306"/>
        <v>1</v>
      </c>
      <c r="NO64" s="45">
        <f t="shared" si="307"/>
        <v>2</v>
      </c>
      <c r="NP64" s="46" cm="1">
        <f t="array" ref="NP64">ROUND(IFERROR(INDEX(ArchiveResults!$F$5:$IX$116,ComparisonData!A64,ComparisonData!$NP$1),0),5)</f>
        <v>0</v>
      </c>
      <c r="NQ64" s="46" cm="1">
        <f t="array" ref="NQ64">ROUND(IFERROR(INDEX(ArchiveResults!$F$5:$IX$116,ComparisonData!A64,ComparisonData!$NQ$1),0),5)</f>
        <v>0</v>
      </c>
      <c r="NR64" s="46" cm="1">
        <f t="array" ref="NR64">ROUND(IFERROR(INDEX(ArchiveResults!$F$5:$IX$116,ComparisonData!A64,ComparisonData!$NR$1),0),5)</f>
        <v>0</v>
      </c>
      <c r="NS64" s="46" cm="1">
        <f t="array" ref="NS64">ROUND(IFERROR(INDEX(ArchiveResults!$F$5:$IX$116,ComparisonData!A64,ComparisonData!$NS$1),0),5)</f>
        <v>0</v>
      </c>
      <c r="NT64" s="45" cm="1">
        <f t="array" ref="NT64">IFERROR(INDEX(ArchiveResults!$F$5:$IX$116,ComparisonData!A64,ComparisonData!$NT$1),0)</f>
        <v>0</v>
      </c>
      <c r="NU64" s="56">
        <v>59</v>
      </c>
      <c r="NV64" s="53" t="str">
        <f t="shared" si="584"/>
        <v>North East Wales Archives (Ruthin)</v>
      </c>
      <c r="NW64" s="59">
        <f t="shared" si="308"/>
        <v>0</v>
      </c>
      <c r="NX64" s="59">
        <f t="shared" si="309"/>
        <v>0</v>
      </c>
      <c r="NY64" s="59">
        <f t="shared" si="310"/>
        <v>0</v>
      </c>
      <c r="NZ64" s="59">
        <f t="shared" si="311"/>
        <v>0</v>
      </c>
      <c r="OA64" s="59">
        <f t="shared" si="312"/>
        <v>0</v>
      </c>
      <c r="OB64" s="58">
        <f t="shared" si="313"/>
        <v>0</v>
      </c>
      <c r="OC64" s="45">
        <f t="shared" si="314"/>
        <v>109</v>
      </c>
      <c r="OD64" s="45">
        <f t="shared" si="585"/>
        <v>2.984</v>
      </c>
      <c r="OE64" s="45">
        <f t="shared" si="315"/>
        <v>1</v>
      </c>
      <c r="OF64" s="45">
        <f t="shared" si="316"/>
        <v>2</v>
      </c>
      <c r="OG64" s="46">
        <f t="shared" si="317"/>
        <v>0</v>
      </c>
      <c r="OH64" s="46" cm="1">
        <f t="array" ref="OH64">ROUND(IFERROR(INDEX(ArchiveResults!$F$5:$IX$116,ComparisonData!A64,ComparisonData!$OH$1),0),5)</f>
        <v>0</v>
      </c>
      <c r="OI64" s="46" cm="1">
        <f t="array" ref="OI64">ROUND(IFERROR(INDEX(ArchiveResults!$F$5:$IX$116,ComparisonData!A64,ComparisonData!$OI$1),0),5)</f>
        <v>0</v>
      </c>
      <c r="OJ64" s="46" cm="1">
        <f t="array" ref="OJ64">ROUND(IFERROR(INDEX(ArchiveResults!$F$5:$IX$116,ComparisonData!A64,ComparisonData!$OJ$1),0),5)</f>
        <v>0</v>
      </c>
      <c r="OK64" s="46" cm="1">
        <f t="array" ref="OK64">ROUND(IFERROR(INDEX(ArchiveResults!$F$5:$IX$116,ComparisonData!A64,ComparisonData!$OK$1),0),5)</f>
        <v>0</v>
      </c>
      <c r="OL64" s="45" cm="1">
        <f t="array" ref="OL64">IFERROR(INDEX(ArchiveResults!$F$5:$IX$116,ComparisonData!A64,ComparisonData!$OL$1),0)</f>
        <v>0</v>
      </c>
      <c r="OM64" s="56">
        <v>59</v>
      </c>
      <c r="ON64" s="53" t="str">
        <f t="shared" si="586"/>
        <v>North East Wales Archives (Ruthin)</v>
      </c>
      <c r="OO64" s="59">
        <f t="shared" si="318"/>
        <v>0</v>
      </c>
      <c r="OP64" s="59">
        <f t="shared" si="319"/>
        <v>0</v>
      </c>
      <c r="OQ64" s="59">
        <f t="shared" si="320"/>
        <v>0</v>
      </c>
      <c r="OR64" s="59">
        <f t="shared" si="321"/>
        <v>0</v>
      </c>
      <c r="OS64" s="59">
        <f t="shared" si="322"/>
        <v>0</v>
      </c>
      <c r="OT64" s="58">
        <f t="shared" si="323"/>
        <v>0</v>
      </c>
      <c r="OU64" s="45">
        <f t="shared" si="324"/>
        <v>109</v>
      </c>
      <c r="OV64" s="45">
        <f t="shared" si="587"/>
        <v>2.984</v>
      </c>
      <c r="OW64" s="45">
        <f t="shared" si="325"/>
        <v>1</v>
      </c>
      <c r="OX64" s="45">
        <f t="shared" si="326"/>
        <v>2</v>
      </c>
      <c r="OY64" s="45">
        <f t="shared" si="327"/>
        <v>0</v>
      </c>
      <c r="OZ64" s="46" cm="1">
        <f t="array" ref="OZ64">ROUND(IFERROR(INDEX(ArchiveResults!$F$5:$IX$116,ComparisonData!A64,ComparisonData!$OZ$1),0),5)</f>
        <v>0</v>
      </c>
      <c r="PA64" s="46" cm="1">
        <f t="array" ref="PA64">ROUND(IFERROR(INDEX(ArchiveResults!$F$5:$IX$116,ComparisonData!A64,ComparisonData!$PA$1),0),5)</f>
        <v>0</v>
      </c>
      <c r="PB64" s="46" cm="1">
        <f t="array" ref="PB64">ROUND(IFERROR(INDEX(ArchiveResults!$F$5:$IX$116,ComparisonData!A64,ComparisonData!$PB$1),0),5)</f>
        <v>0</v>
      </c>
      <c r="PC64" s="46" cm="1">
        <f t="array" ref="PC64">ROUND(IFERROR(INDEX(ArchiveResults!$F$5:$IX$116,ComparisonData!A64,ComparisonData!$PC$1),0),5)</f>
        <v>0</v>
      </c>
      <c r="PD64" s="45" cm="1">
        <f t="array" ref="PD64">IFERROR(INDEX(ArchiveResults!$F$5:$IX$116,ComparisonData!A64,ComparisonData!$PD$1),0)</f>
        <v>0</v>
      </c>
      <c r="PE64" s="56">
        <v>59</v>
      </c>
      <c r="PF64" s="53" t="str">
        <f t="shared" si="588"/>
        <v>North East Wales Archives (Ruthin)</v>
      </c>
      <c r="PG64" s="59">
        <f t="shared" si="328"/>
        <v>0</v>
      </c>
      <c r="PH64" s="59">
        <f t="shared" si="329"/>
        <v>0</v>
      </c>
      <c r="PI64" s="59">
        <f t="shared" si="330"/>
        <v>0</v>
      </c>
      <c r="PJ64" s="59">
        <f t="shared" si="331"/>
        <v>0</v>
      </c>
      <c r="PK64" s="59">
        <f t="shared" si="332"/>
        <v>0</v>
      </c>
      <c r="PL64" s="58">
        <f t="shared" si="333"/>
        <v>0</v>
      </c>
      <c r="PM64" s="45">
        <f t="shared" si="334"/>
        <v>109</v>
      </c>
      <c r="PN64" s="45">
        <f t="shared" si="589"/>
        <v>2.984</v>
      </c>
      <c r="PO64" s="45">
        <f t="shared" si="335"/>
        <v>1</v>
      </c>
      <c r="PP64" s="45">
        <f t="shared" si="336"/>
        <v>2</v>
      </c>
      <c r="PQ64" s="45">
        <f t="shared" si="337"/>
        <v>0</v>
      </c>
      <c r="PR64" s="46" cm="1">
        <f t="array" ref="PR64">ROUND(IFERROR(INDEX(ArchiveResults!$F$5:$IX$116,ComparisonData!A64,ComparisonData!$PR$1),0),5)</f>
        <v>0</v>
      </c>
      <c r="PS64" s="46" cm="1">
        <f t="array" ref="PS64">ROUND(IFERROR(INDEX(ArchiveResults!$F$5:$IX$116,ComparisonData!A64,ComparisonData!$PS$1),0),5)</f>
        <v>0</v>
      </c>
      <c r="PT64" s="46" cm="1">
        <f t="array" ref="PT64">ROUND(IFERROR(INDEX(ArchiveResults!$F$5:$IX$116,ComparisonData!A64,ComparisonData!$PT$1),0),5)</f>
        <v>0</v>
      </c>
      <c r="PU64" s="46" cm="1">
        <f t="array" ref="PU64">ROUND(IFERROR(INDEX(ArchiveResults!$F$5:$IX$116,ComparisonData!A64,ComparisonData!$PU$1),0),5)</f>
        <v>0</v>
      </c>
      <c r="PV64" s="45" cm="1">
        <f t="array" ref="PV64">IFERROR(INDEX(ArchiveResults!$F$5:$IX$116,ComparisonData!A64,ComparisonData!$PV$1),0)</f>
        <v>0</v>
      </c>
      <c r="PW64" s="56">
        <v>59</v>
      </c>
      <c r="PX64" s="53" t="str">
        <f t="shared" si="590"/>
        <v>North East Wales Archives (Ruthin)</v>
      </c>
      <c r="PY64" s="59">
        <f t="shared" si="338"/>
        <v>0</v>
      </c>
      <c r="PZ64" s="59">
        <f t="shared" si="339"/>
        <v>0</v>
      </c>
      <c r="QA64" s="59">
        <f t="shared" si="340"/>
        <v>0</v>
      </c>
      <c r="QB64" s="59">
        <f t="shared" si="341"/>
        <v>0</v>
      </c>
      <c r="QC64" s="59">
        <f t="shared" si="342"/>
        <v>0</v>
      </c>
      <c r="QD64" s="58">
        <f t="shared" si="343"/>
        <v>0</v>
      </c>
      <c r="QE64" s="45">
        <f t="shared" si="344"/>
        <v>109</v>
      </c>
      <c r="QF64" s="45">
        <f t="shared" si="591"/>
        <v>2.984</v>
      </c>
      <c r="QG64" s="45">
        <f t="shared" si="345"/>
        <v>1</v>
      </c>
      <c r="QH64" s="45">
        <f t="shared" si="346"/>
        <v>2</v>
      </c>
      <c r="QI64" s="45">
        <f t="shared" si="347"/>
        <v>0</v>
      </c>
      <c r="QJ64" s="46" cm="1">
        <f t="array" ref="QJ64">ROUND(IFERROR(INDEX(ArchiveResults!$F$5:$IX$116,ComparisonData!A64,ComparisonData!$QJ$1),0),5)</f>
        <v>0</v>
      </c>
      <c r="QK64" s="46" cm="1">
        <f t="array" ref="QK64">ROUND(IFERROR(INDEX(ArchiveResults!$F$5:$IX$116,ComparisonData!A64,ComparisonData!$QK$1),0),5)</f>
        <v>0</v>
      </c>
      <c r="QL64" s="46" cm="1">
        <f t="array" ref="QL64">ROUND(IFERROR(INDEX(ArchiveResults!$F$5:$IX$116,ComparisonData!A64,ComparisonData!$QL$1),0),5)</f>
        <v>0</v>
      </c>
      <c r="QM64" s="46" cm="1">
        <f t="array" ref="QM64">ROUND(IFERROR(INDEX(ArchiveResults!$F$5:$IX$116,ComparisonData!A64,ComparisonData!$QM$1),0),5)</f>
        <v>0</v>
      </c>
      <c r="QN64" s="45" cm="1">
        <f t="array" ref="QN64">IFERROR(INDEX(ArchiveResults!$F$5:$IX$116,ComparisonData!A64,ComparisonData!$QN$1),0)</f>
        <v>0</v>
      </c>
      <c r="QO64" s="56">
        <v>59</v>
      </c>
      <c r="QP64" s="53" t="str">
        <f t="shared" si="592"/>
        <v>North East Wales Archives (Ruthin)</v>
      </c>
      <c r="QQ64" s="59">
        <f t="shared" si="348"/>
        <v>0</v>
      </c>
      <c r="QR64" s="59">
        <f t="shared" si="349"/>
        <v>0</v>
      </c>
      <c r="QS64" s="59">
        <f t="shared" si="350"/>
        <v>0</v>
      </c>
      <c r="QT64" s="59">
        <f t="shared" si="351"/>
        <v>0</v>
      </c>
      <c r="QU64" s="59">
        <f t="shared" si="352"/>
        <v>0</v>
      </c>
      <c r="QV64" s="58">
        <f t="shared" si="353"/>
        <v>0</v>
      </c>
      <c r="QW64" s="45">
        <f t="shared" si="354"/>
        <v>109</v>
      </c>
      <c r="QX64" s="45">
        <f t="shared" si="593"/>
        <v>2.984</v>
      </c>
      <c r="QY64" s="45">
        <f t="shared" si="355"/>
        <v>1</v>
      </c>
      <c r="QZ64" s="45">
        <f t="shared" si="356"/>
        <v>2</v>
      </c>
      <c r="RA64" s="45">
        <f t="shared" si="357"/>
        <v>0</v>
      </c>
      <c r="RB64" s="46" cm="1">
        <f t="array" ref="RB64">ROUND(IFERROR(INDEX(ArchiveResults!$F$5:$IX$116,ComparisonData!A64,ComparisonData!$RB$1),0),5)</f>
        <v>0</v>
      </c>
      <c r="RC64" s="46" cm="1">
        <f t="array" ref="RC64">ROUND(IFERROR(INDEX(ArchiveResults!$F$5:$IX$116,ComparisonData!A64,ComparisonData!$RC$1),0),5)</f>
        <v>0</v>
      </c>
      <c r="RD64" s="46" cm="1">
        <f t="array" ref="RD64">ROUND(IFERROR(INDEX(ArchiveResults!$F$5:$IX$116,ComparisonData!A64,ComparisonData!$RD$1),0),5)</f>
        <v>0</v>
      </c>
      <c r="RE64" s="46" cm="1">
        <f t="array" ref="RE64">ROUND(IFERROR(INDEX(ArchiveResults!$F$5:$IX$116,ComparisonData!A64,ComparisonData!$RE$1),0),5)</f>
        <v>0</v>
      </c>
      <c r="RF64" s="45" cm="1">
        <f t="array" ref="RF64">IFERROR(INDEX(ArchiveResults!$F$5:$IX$116,ComparisonData!A64,ComparisonData!$RF$1),0)</f>
        <v>0</v>
      </c>
      <c r="RG64" s="56">
        <v>59</v>
      </c>
      <c r="RH64" s="53" t="str">
        <f t="shared" si="594"/>
        <v>North East Wales Archives (Ruthin)</v>
      </c>
      <c r="RI64" s="59">
        <f t="shared" si="358"/>
        <v>0</v>
      </c>
      <c r="RJ64" s="59">
        <f t="shared" si="359"/>
        <v>0</v>
      </c>
      <c r="RK64" s="59">
        <f t="shared" si="360"/>
        <v>0</v>
      </c>
      <c r="RL64" s="59">
        <f t="shared" si="361"/>
        <v>0</v>
      </c>
      <c r="RM64" s="59">
        <f t="shared" si="362"/>
        <v>0</v>
      </c>
      <c r="RN64" s="58">
        <f t="shared" si="363"/>
        <v>0</v>
      </c>
      <c r="RO64" s="45">
        <f t="shared" si="364"/>
        <v>109</v>
      </c>
      <c r="RP64" s="45">
        <f t="shared" si="595"/>
        <v>2.984</v>
      </c>
      <c r="RQ64" s="45">
        <f t="shared" si="365"/>
        <v>1</v>
      </c>
      <c r="RR64" s="45">
        <f t="shared" si="366"/>
        <v>2</v>
      </c>
      <c r="RS64" s="45">
        <f t="shared" si="367"/>
        <v>0</v>
      </c>
      <c r="RT64" s="46" cm="1">
        <f t="array" ref="RT64">ROUND(IFERROR(INDEX(ArchiveResults!$F$5:$IX$116,ComparisonData!A64,ComparisonData!$RT$1),0),5)</f>
        <v>0</v>
      </c>
      <c r="RU64" s="46" cm="1">
        <f t="array" ref="RU64">ROUND(IFERROR(INDEX(ArchiveResults!$F$5:$IX$116,ComparisonData!A64,ComparisonData!$RU$1),0),5)</f>
        <v>0</v>
      </c>
      <c r="RV64" s="46" cm="1">
        <f t="array" ref="RV64">ROUND(IFERROR(INDEX(ArchiveResults!$F$5:$IX$116,ComparisonData!A64,ComparisonData!$RV$1),0),5)</f>
        <v>0</v>
      </c>
      <c r="RW64" s="46" cm="1">
        <f t="array" ref="RW64">ROUND(IFERROR(INDEX(ArchiveResults!$F$5:$IX$116,ComparisonData!A64,ComparisonData!$RW$1),0),5)</f>
        <v>0</v>
      </c>
      <c r="RX64" s="45" cm="1">
        <f t="array" ref="RX64">IFERROR(INDEX(ArchiveResults!$F$5:$IX$116,ComparisonData!A64,ComparisonData!$RX$1),0)</f>
        <v>0</v>
      </c>
      <c r="RY64" s="56">
        <v>59</v>
      </c>
      <c r="RZ64" s="53" t="str">
        <f t="shared" si="596"/>
        <v>North East Wales Archives (Ruthin)</v>
      </c>
      <c r="SA64" s="59">
        <f t="shared" si="368"/>
        <v>0</v>
      </c>
      <c r="SB64" s="59">
        <f t="shared" si="369"/>
        <v>0</v>
      </c>
      <c r="SC64" s="59">
        <f t="shared" si="370"/>
        <v>0</v>
      </c>
      <c r="SD64" s="59">
        <f t="shared" si="371"/>
        <v>0</v>
      </c>
      <c r="SE64" s="59">
        <f t="shared" si="372"/>
        <v>0</v>
      </c>
      <c r="SF64" s="58">
        <f t="shared" si="373"/>
        <v>0</v>
      </c>
      <c r="SG64" s="45">
        <f t="shared" si="374"/>
        <v>109</v>
      </c>
      <c r="SH64" s="45">
        <f t="shared" si="597"/>
        <v>2.984</v>
      </c>
      <c r="SI64" s="45">
        <f t="shared" si="375"/>
        <v>1</v>
      </c>
      <c r="SJ64" s="45">
        <f t="shared" si="376"/>
        <v>2</v>
      </c>
      <c r="SK64" s="45">
        <f t="shared" si="377"/>
        <v>0</v>
      </c>
      <c r="SL64" s="46" cm="1">
        <f t="array" ref="SL64">ROUND(IFERROR(INDEX(ArchiveResults!$F$5:$IX$116,ComparisonData!A64,ComparisonData!$SL$1),0),5)</f>
        <v>0</v>
      </c>
      <c r="SM64" s="46" cm="1">
        <f t="array" ref="SM64">ROUND(IFERROR(INDEX(ArchiveResults!$F$5:$IX$116,ComparisonData!A64,ComparisonData!$SM$1),0),5)</f>
        <v>0</v>
      </c>
      <c r="SN64" s="46" cm="1">
        <f t="array" ref="SN64">ROUND(IFERROR(INDEX(ArchiveResults!$F$5:$IX$116,ComparisonData!A64,ComparisonData!$SN$1),0),5)</f>
        <v>0</v>
      </c>
      <c r="SO64" s="46" cm="1">
        <f t="array" ref="SO64">ROUND(IFERROR(INDEX(ArchiveResults!$F$5:$IX$116,ComparisonData!A64,ComparisonData!$SO$1),0),5)</f>
        <v>0</v>
      </c>
      <c r="SP64" s="45" cm="1">
        <f t="array" ref="SP64">IFERROR(INDEX(ArchiveResults!$F$5:$IX$116,ComparisonData!A64,ComparisonData!$SP$1),0)</f>
        <v>0</v>
      </c>
      <c r="SQ64" s="56">
        <v>59</v>
      </c>
      <c r="SR64" s="53" t="str">
        <f t="shared" si="598"/>
        <v>North East Wales Archives (Ruthin)</v>
      </c>
      <c r="SS64" s="59">
        <f t="shared" si="378"/>
        <v>0</v>
      </c>
      <c r="ST64" s="59">
        <f t="shared" si="379"/>
        <v>0</v>
      </c>
      <c r="SU64" s="59">
        <f t="shared" si="380"/>
        <v>0</v>
      </c>
      <c r="SV64" s="59">
        <f t="shared" si="381"/>
        <v>0</v>
      </c>
      <c r="SW64" s="59">
        <f t="shared" si="382"/>
        <v>0</v>
      </c>
      <c r="SX64" s="58">
        <f t="shared" si="383"/>
        <v>0</v>
      </c>
      <c r="SY64" s="45">
        <f t="shared" si="384"/>
        <v>109</v>
      </c>
      <c r="SZ64" s="45">
        <f t="shared" si="599"/>
        <v>2.984</v>
      </c>
      <c r="TA64" s="45">
        <f t="shared" si="385"/>
        <v>1</v>
      </c>
      <c r="TB64" s="45">
        <f t="shared" si="386"/>
        <v>2</v>
      </c>
      <c r="TC64" s="45">
        <f t="shared" si="387"/>
        <v>0</v>
      </c>
      <c r="TD64" s="46" cm="1">
        <f t="array" ref="TD64">ROUND(IFERROR(INDEX(ArchiveResults!$F$5:$IX$116,ComparisonData!A64,ComparisonData!$TD$1),0),5)</f>
        <v>0</v>
      </c>
      <c r="TE64" s="46" cm="1">
        <f t="array" ref="TE64">ROUND(IFERROR(INDEX(ArchiveResults!$F$5:$IX$116,ComparisonData!A64,ComparisonData!$TE$1),0),5)</f>
        <v>0</v>
      </c>
      <c r="TF64" s="46" cm="1">
        <f t="array" ref="TF64">ROUND(IFERROR(INDEX(ArchiveResults!$F$5:$IX$116,ComparisonData!A64,ComparisonData!$TF$1),0),5)</f>
        <v>0</v>
      </c>
      <c r="TG64" s="46" cm="1">
        <f t="array" ref="TG64">ROUND(IFERROR(INDEX(ArchiveResults!$F$5:$IX$116,ComparisonData!A64,ComparisonData!$TG$1),0),5)</f>
        <v>0</v>
      </c>
      <c r="TH64" s="45" cm="1">
        <f t="array" ref="TH64">IFERROR(INDEX(ArchiveResults!$F$5:$IX$116,ComparisonData!A64,ComparisonData!$TH$1),0)</f>
        <v>0</v>
      </c>
      <c r="TI64" s="56">
        <v>59</v>
      </c>
      <c r="TJ64" s="53" t="str">
        <f t="shared" si="600"/>
        <v>North East Wales Archives (Ruthin)</v>
      </c>
      <c r="TK64" s="59">
        <f t="shared" si="388"/>
        <v>0</v>
      </c>
      <c r="TL64" s="59">
        <f t="shared" si="389"/>
        <v>0</v>
      </c>
      <c r="TM64" s="59">
        <f t="shared" si="390"/>
        <v>0</v>
      </c>
      <c r="TN64" s="59">
        <f t="shared" si="391"/>
        <v>0</v>
      </c>
      <c r="TO64" s="59">
        <f t="shared" si="392"/>
        <v>0</v>
      </c>
      <c r="TP64" s="58">
        <f t="shared" si="393"/>
        <v>0</v>
      </c>
      <c r="TQ64" s="45">
        <f t="shared" si="394"/>
        <v>109</v>
      </c>
      <c r="TR64" s="45">
        <f t="shared" si="601"/>
        <v>2.984</v>
      </c>
      <c r="TS64" s="45">
        <f t="shared" si="395"/>
        <v>1</v>
      </c>
      <c r="TT64" s="45">
        <f t="shared" si="396"/>
        <v>2</v>
      </c>
      <c r="TU64" s="45">
        <f t="shared" si="397"/>
        <v>0</v>
      </c>
      <c r="TV64" s="46" cm="1">
        <f t="array" ref="TV64">ROUND(IFERROR(INDEX(ArchiveResults!$F$5:$IX$116,ComparisonData!A64,ComparisonData!$TV$1),0),5)</f>
        <v>0</v>
      </c>
      <c r="TW64" s="46" cm="1">
        <f t="array" ref="TW64">ROUND(IFERROR(INDEX(ArchiveResults!$F$5:$IX$116,ComparisonData!A64,ComparisonData!$TW$1),0),5)</f>
        <v>0</v>
      </c>
      <c r="TX64" s="46" cm="1">
        <f t="array" ref="TX64">ROUND(IFERROR(INDEX(ArchiveResults!$F$5:$IX$116,ComparisonData!A64,ComparisonData!$TX$1),0),5)</f>
        <v>0</v>
      </c>
      <c r="TY64" s="46" cm="1">
        <f t="array" ref="TY64">ROUND(IFERROR(INDEX(ArchiveResults!$F$5:$IX$116,ComparisonData!A64,ComparisonData!$TY$1),0),5)</f>
        <v>0</v>
      </c>
      <c r="TZ64" s="45" cm="1">
        <f t="array" ref="TZ64">IFERROR(INDEX(ArchiveResults!$F$5:$IX$116,ComparisonData!A64,ComparisonData!$TZ$1),0)</f>
        <v>0</v>
      </c>
      <c r="UA64" s="56">
        <v>59</v>
      </c>
      <c r="UB64" s="53" t="str">
        <f t="shared" si="602"/>
        <v>North East Wales Archives (Ruthin)</v>
      </c>
      <c r="UC64" s="60">
        <f t="shared" si="398"/>
        <v>0</v>
      </c>
      <c r="UD64" s="60">
        <f t="shared" si="399"/>
        <v>0</v>
      </c>
      <c r="UE64" s="60">
        <f t="shared" si="400"/>
        <v>0</v>
      </c>
      <c r="UF64" s="60">
        <f t="shared" si="401"/>
        <v>0</v>
      </c>
      <c r="UG64" s="60">
        <f t="shared" si="402"/>
        <v>0</v>
      </c>
      <c r="UH64" s="58">
        <f t="shared" si="403"/>
        <v>0</v>
      </c>
      <c r="UI64" s="46">
        <f t="shared" si="404"/>
        <v>109</v>
      </c>
      <c r="UJ64" s="46">
        <f t="shared" si="603"/>
        <v>2.984</v>
      </c>
      <c r="UK64" s="46">
        <f t="shared" si="405"/>
        <v>1</v>
      </c>
      <c r="UL64" s="46">
        <f t="shared" si="406"/>
        <v>2</v>
      </c>
      <c r="UM64" s="46" cm="1">
        <f t="array" ref="UM64">ROUND(IFERROR(INDEX(ArchiveResults!$F$5:$IX$116,ComparisonData!A64,ComparisonData!$UM$1),0),5)</f>
        <v>0</v>
      </c>
      <c r="UN64" s="56">
        <v>59</v>
      </c>
      <c r="UO64" s="53" t="str">
        <f t="shared" si="604"/>
        <v>North East Wales Archives (Ruthin)</v>
      </c>
      <c r="UP64" s="46">
        <f t="shared" si="407"/>
        <v>0</v>
      </c>
      <c r="UQ64" s="76">
        <f t="shared" si="408"/>
        <v>0</v>
      </c>
      <c r="UR64" s="46">
        <f t="shared" si="409"/>
        <v>109</v>
      </c>
      <c r="US64" s="46">
        <f t="shared" si="605"/>
        <v>2.984</v>
      </c>
      <c r="UT64" s="46">
        <f t="shared" si="410"/>
        <v>1</v>
      </c>
      <c r="UU64" s="46">
        <f t="shared" si="411"/>
        <v>2</v>
      </c>
      <c r="UV64" s="46">
        <f t="shared" si="412"/>
        <v>0</v>
      </c>
      <c r="UW64" s="46" cm="1">
        <f t="array" ref="UW64">ROUND(IFERROR(INDEX(ArchiveResults!$F$5:$IX$116,ComparisonData!A64,ComparisonData!$UW$1),0),5)</f>
        <v>0</v>
      </c>
      <c r="UX64" s="46" cm="1">
        <f t="array" ref="UX64">ROUND(IFERROR(INDEX(ArchiveResults!$F$5:$IX$116,ComparisonData!A64,ComparisonData!$UX$1),0),5)</f>
        <v>0</v>
      </c>
      <c r="UY64" s="46" cm="1">
        <f t="array" ref="UY64">ROUND(IFERROR(INDEX(ArchiveResults!$F$5:$IX$116,ComparisonData!A64,ComparisonData!$UY$1),0),5)</f>
        <v>0</v>
      </c>
      <c r="UZ64" s="46" cm="1">
        <f t="array" ref="UZ64">ROUND(IFERROR(INDEX(ArchiveResults!$F$5:$IX$116,ComparisonData!A64,ComparisonData!$UZ$1),0),5)</f>
        <v>0</v>
      </c>
      <c r="VA64" s="46" cm="1">
        <f t="array" ref="VA64">ROUND(IFERROR(INDEX(ArchiveResults!$F$5:$IX$116,ComparisonData!A64,ComparisonData!$VA$1),0),5)</f>
        <v>0</v>
      </c>
      <c r="VB64" s="56">
        <v>59</v>
      </c>
      <c r="VC64" s="53" t="str">
        <f t="shared" si="606"/>
        <v>North East Wales Archives (Ruthin)</v>
      </c>
      <c r="VD64" s="60">
        <f t="shared" si="413"/>
        <v>0</v>
      </c>
      <c r="VE64" s="60">
        <f t="shared" si="414"/>
        <v>0</v>
      </c>
      <c r="VF64" s="60">
        <f t="shared" si="415"/>
        <v>0</v>
      </c>
      <c r="VG64" s="60">
        <f t="shared" si="416"/>
        <v>0</v>
      </c>
      <c r="VH64" s="60">
        <f t="shared" si="417"/>
        <v>0</v>
      </c>
      <c r="VI64" s="76">
        <f t="shared" si="418"/>
        <v>0</v>
      </c>
      <c r="VJ64" s="46">
        <f t="shared" si="419"/>
        <v>109</v>
      </c>
      <c r="VK64" s="46">
        <f t="shared" si="607"/>
        <v>2.984</v>
      </c>
      <c r="VL64" s="46">
        <f t="shared" si="420"/>
        <v>1</v>
      </c>
      <c r="VM64" s="46">
        <f t="shared" si="421"/>
        <v>2</v>
      </c>
      <c r="VN64" s="46" cm="1">
        <f t="array" ref="VN64">ROUND(IFERROR(INDEX(ArchiveResults!$F$5:$IX$116,ComparisonData!A64,ComparisonData!$VN$1),0),5)</f>
        <v>0</v>
      </c>
      <c r="VO64" s="46" cm="1">
        <f t="array" ref="VO64">ROUND(IFERROR(INDEX(ArchiveResults!$F$5:$IX$116,ComparisonData!A64,ComparisonData!$VO$1),0),5)</f>
        <v>0</v>
      </c>
      <c r="VP64" s="46" cm="1">
        <f t="array" ref="VP64">ROUND(IFERROR(INDEX(ArchiveResults!$F$5:$IX$116,ComparisonData!A64,ComparisonData!$VP$1),0),5)</f>
        <v>0</v>
      </c>
      <c r="VQ64" s="46" cm="1">
        <f t="array" ref="VQ64">ROUND(IFERROR(INDEX(ArchiveResults!$F$5:$IX$116,ComparisonData!A64,ComparisonData!$VQ$1),0),5)</f>
        <v>0</v>
      </c>
      <c r="VR64" s="56">
        <v>59</v>
      </c>
      <c r="VS64" s="53" t="str">
        <f t="shared" si="608"/>
        <v>North East Wales Archives (Ruthin)</v>
      </c>
      <c r="VT64" s="60">
        <f t="shared" si="422"/>
        <v>0</v>
      </c>
      <c r="VU64" s="60">
        <f t="shared" si="423"/>
        <v>0</v>
      </c>
      <c r="VV64" s="60">
        <f t="shared" si="424"/>
        <v>0</v>
      </c>
      <c r="VW64" s="60">
        <f t="shared" si="425"/>
        <v>0</v>
      </c>
      <c r="VX64" s="76">
        <f t="shared" si="426"/>
        <v>0</v>
      </c>
      <c r="VY64" s="46">
        <f t="shared" si="427"/>
        <v>109</v>
      </c>
      <c r="VZ64" s="46">
        <f t="shared" si="609"/>
        <v>2.984</v>
      </c>
      <c r="WA64" s="46">
        <f t="shared" si="428"/>
        <v>1</v>
      </c>
      <c r="WB64" s="46">
        <f t="shared" si="429"/>
        <v>2</v>
      </c>
      <c r="WC64" s="46" cm="1">
        <f t="array" ref="WC64">ROUND(IFERROR(INDEX(ArchiveResults!$F$5:$IX$116,ComparisonData!A64,ComparisonData!$WC$1),0),5)</f>
        <v>0</v>
      </c>
      <c r="WD64" s="56">
        <v>59</v>
      </c>
      <c r="WE64" s="53" t="str">
        <f t="shared" si="610"/>
        <v>North East Wales Archives (Ruthin)</v>
      </c>
      <c r="WF64" s="46">
        <f t="shared" si="430"/>
        <v>0</v>
      </c>
      <c r="WG64" s="76">
        <f t="shared" si="431"/>
        <v>0</v>
      </c>
      <c r="WH64" s="46">
        <f t="shared" si="432"/>
        <v>109</v>
      </c>
      <c r="WI64" s="46">
        <f t="shared" si="611"/>
        <v>2.984</v>
      </c>
      <c r="WJ64" s="46">
        <f t="shared" si="433"/>
        <v>1</v>
      </c>
      <c r="WK64" s="46">
        <f t="shared" si="434"/>
        <v>2</v>
      </c>
      <c r="WL64" s="46" cm="1">
        <f t="array" ref="WL64">ROUND(IFERROR(INDEX(ArchiveResults!$F$5:$IX$116,ComparisonData!A64,ComparisonData!$WL$1),0),5)</f>
        <v>0</v>
      </c>
      <c r="WM64" s="46" cm="1">
        <f t="array" ref="WM64">IFERROR(INDEX(ArchiveResults!$F$5:$IX$116,ComparisonData!A64,ComparisonData!$WM$1),0)</f>
        <v>0</v>
      </c>
      <c r="WN64" s="56">
        <v>59</v>
      </c>
      <c r="WO64" s="53" t="str">
        <f t="shared" si="612"/>
        <v>North East Wales Archives (Ruthin)</v>
      </c>
      <c r="WP64" s="60">
        <f t="shared" si="435"/>
        <v>0</v>
      </c>
      <c r="WQ64" s="60">
        <f t="shared" si="436"/>
        <v>0</v>
      </c>
      <c r="WR64" s="76">
        <f t="shared" si="437"/>
        <v>0</v>
      </c>
      <c r="WS64" s="46">
        <f t="shared" si="438"/>
        <v>109</v>
      </c>
      <c r="WT64" s="46">
        <f t="shared" si="613"/>
        <v>2.984</v>
      </c>
      <c r="WU64" s="46">
        <f t="shared" si="439"/>
        <v>1</v>
      </c>
      <c r="WV64" s="46">
        <f t="shared" si="440"/>
        <v>2</v>
      </c>
      <c r="WW64" s="46" cm="1">
        <f t="array" ref="WW64">ROUND(VALUE(IFERROR(INDEX(ArchiveResults!$F$5:$IX$116,ComparisonData!A64,ComparisonData!$WW$1),0)),5)</f>
        <v>0</v>
      </c>
      <c r="WX64" s="46" cm="1">
        <f t="array" ref="WX64">ROUND(IFERROR(INDEX(ArchiveResults!$F$5:$IX$116,ComparisonData!A64,ComparisonData!$WX$1),0),5)</f>
        <v>0</v>
      </c>
      <c r="WY64" s="56">
        <v>59</v>
      </c>
      <c r="WZ64" s="53" t="str">
        <f t="shared" si="614"/>
        <v>North East Wales Archives (Ruthin)</v>
      </c>
      <c r="XA64" s="60">
        <f t="shared" si="615"/>
        <v>0</v>
      </c>
      <c r="XB64" s="60">
        <f t="shared" si="616"/>
        <v>0</v>
      </c>
      <c r="XC64" s="76">
        <f t="shared" si="441"/>
        <v>0</v>
      </c>
      <c r="XD64" s="46">
        <f t="shared" si="442"/>
        <v>109</v>
      </c>
      <c r="XE64" s="46">
        <f t="shared" si="617"/>
        <v>2.984</v>
      </c>
      <c r="XF64" s="46">
        <f t="shared" si="443"/>
        <v>1</v>
      </c>
      <c r="XG64" s="46">
        <f t="shared" si="444"/>
        <v>2</v>
      </c>
      <c r="XH64" s="46" cm="1">
        <f t="array" ref="XH64">ROUND(VALUE(IFERROR(INDEX(ArchiveResults!$F$5:$IX$116,ComparisonData!A64,ComparisonData!$XH$1),0)),5)</f>
        <v>0</v>
      </c>
      <c r="XI64" s="46" cm="1">
        <f t="array" ref="XI64">ROUND(VALUE(IFERROR(INDEX(ArchiveResults!$F$5:$IX$116,ComparisonData!A64,ComparisonData!$XI$1),0)),5)</f>
        <v>0</v>
      </c>
      <c r="XJ64" s="56">
        <v>59</v>
      </c>
      <c r="XK64" s="53" t="str">
        <f t="shared" si="618"/>
        <v>North East Wales Archives (Ruthin)</v>
      </c>
      <c r="XL64" s="60">
        <f t="shared" si="445"/>
        <v>0</v>
      </c>
      <c r="XM64" s="60">
        <f t="shared" si="446"/>
        <v>0</v>
      </c>
      <c r="XN64" s="76">
        <f t="shared" si="447"/>
        <v>0</v>
      </c>
      <c r="XO64" s="46">
        <f t="shared" si="448"/>
        <v>109</v>
      </c>
      <c r="XP64" s="46">
        <f t="shared" si="619"/>
        <v>2.984</v>
      </c>
      <c r="XQ64" s="46">
        <f t="shared" si="449"/>
        <v>1</v>
      </c>
      <c r="XR64" s="46">
        <f t="shared" si="450"/>
        <v>2</v>
      </c>
      <c r="XS64" s="46" cm="1">
        <f t="array" ref="XS64">ROUND(VALUE(IFERROR(INDEX(ArchiveResults!$F$5:$IX$116,ComparisonData!A64,ComparisonData!$XS$1),0)),5)</f>
        <v>0</v>
      </c>
      <c r="XT64" s="46" cm="1">
        <f t="array" ref="XT64">ROUND(VALUE(IFERROR(INDEX(ArchiveResults!$F$5:$IX$116,ComparisonData!A64,ComparisonData!$XT$1),0)),5)</f>
        <v>0</v>
      </c>
      <c r="XU64" s="56">
        <v>59</v>
      </c>
      <c r="XV64" s="53" t="str">
        <f t="shared" si="620"/>
        <v>North East Wales Archives (Ruthin)</v>
      </c>
      <c r="XW64" s="60">
        <f t="shared" si="451"/>
        <v>0</v>
      </c>
      <c r="XX64" s="60">
        <f t="shared" si="452"/>
        <v>0</v>
      </c>
      <c r="XY64" s="76">
        <f t="shared" si="453"/>
        <v>0</v>
      </c>
      <c r="XZ64" s="46">
        <f t="shared" si="454"/>
        <v>109</v>
      </c>
      <c r="YA64" s="46">
        <f t="shared" si="621"/>
        <v>2.984</v>
      </c>
      <c r="YB64" s="46">
        <f t="shared" si="455"/>
        <v>1</v>
      </c>
      <c r="YC64" s="46">
        <f t="shared" si="456"/>
        <v>2</v>
      </c>
      <c r="YD64" s="46" cm="1">
        <f t="array" ref="YD64">ROUND(VALUE(IFERROR(INDEX(ArchiveResults!$F$5:$IX$116,ComparisonData!A64,ComparisonData!$YD$1),0)),5)</f>
        <v>0</v>
      </c>
      <c r="YE64" s="46" cm="1">
        <f t="array" ref="YE64">ROUND(VALUE(IFERROR(INDEX(ArchiveResults!$F$5:$IX$116,ComparisonData!A64,ComparisonData!$YE$1),0)),5)</f>
        <v>0</v>
      </c>
      <c r="YF64" s="56">
        <v>59</v>
      </c>
      <c r="YG64" s="53" t="str">
        <f t="shared" si="622"/>
        <v>North East Wales Archives (Ruthin)</v>
      </c>
      <c r="YH64" s="60">
        <f t="shared" si="457"/>
        <v>0</v>
      </c>
      <c r="YI64" s="60">
        <f t="shared" si="458"/>
        <v>0</v>
      </c>
      <c r="YJ64" s="76">
        <f t="shared" si="459"/>
        <v>0</v>
      </c>
      <c r="YK64" s="46">
        <f t="shared" si="460"/>
        <v>109</v>
      </c>
      <c r="YL64" s="46">
        <f t="shared" si="623"/>
        <v>2.984</v>
      </c>
      <c r="YM64" s="46">
        <f t="shared" si="461"/>
        <v>1</v>
      </c>
      <c r="YN64" s="46">
        <f t="shared" si="462"/>
        <v>2</v>
      </c>
      <c r="YO64" s="46" cm="1">
        <f t="array" ref="YO64">ROUND(VALUE(IFERROR(INDEX(ArchiveResults!$F$5:$IX$116,ComparisonData!A64,ComparisonData!$YO$1),0)),5)</f>
        <v>0</v>
      </c>
      <c r="YP64" s="46" cm="1">
        <f t="array" ref="YP64">ROUND(VALUE(IFERROR(INDEX(ArchiveResults!$F$5:$IX$116,ComparisonData!A64,ComparisonData!$YP$1),0)),5)</f>
        <v>0</v>
      </c>
      <c r="YQ64" s="56">
        <v>59</v>
      </c>
      <c r="YR64" s="53" t="str">
        <f t="shared" si="624"/>
        <v>North East Wales Archives (Ruthin)</v>
      </c>
      <c r="YS64" s="60">
        <f t="shared" si="463"/>
        <v>0</v>
      </c>
      <c r="YT64" s="60">
        <f t="shared" si="464"/>
        <v>0</v>
      </c>
      <c r="YU64" s="76">
        <f t="shared" si="465"/>
        <v>0</v>
      </c>
      <c r="YV64" s="46">
        <f t="shared" si="466"/>
        <v>109</v>
      </c>
      <c r="YW64" s="46">
        <f t="shared" si="625"/>
        <v>2.984</v>
      </c>
      <c r="YX64" s="46">
        <f t="shared" si="467"/>
        <v>1</v>
      </c>
      <c r="YY64" s="46">
        <f t="shared" si="468"/>
        <v>2</v>
      </c>
      <c r="YZ64" s="46">
        <f t="shared" si="469"/>
        <v>0</v>
      </c>
      <c r="ZA64" s="46" cm="1">
        <f t="array" ref="ZA64">ROUNDDOWN(VALUE(IFERROR(INDEX(ArchiveResults!$F$5:$IX$116,ComparisonData!A64,ComparisonData!$ZA$1),0)),5)</f>
        <v>0</v>
      </c>
      <c r="ZB64" s="46" cm="1">
        <f t="array" ref="ZB64">ROUNDDOWN(VALUE(IFERROR(INDEX(ArchiveResults!$F$5:$IX$116,ComparisonData!A64,ComparisonData!$ZB$1),0)),5)</f>
        <v>0</v>
      </c>
      <c r="ZC64" s="46" cm="1">
        <f t="array" ref="ZC64">ROUNDDOWN(VALUE(IFERROR(INDEX(ArchiveResults!$F$5:$IX$116,ComparisonData!A64,ComparisonData!$ZC$1),0)),5)</f>
        <v>0</v>
      </c>
      <c r="ZD64" s="46" cm="1">
        <f t="array" ref="ZD64">ROUNDDOWN(VALUE(IFERROR(INDEX(ArchiveResults!$F$5:$IX$116,ComparisonData!A64,ComparisonData!$ZD$1),0)),5)</f>
        <v>0</v>
      </c>
      <c r="ZE64" s="46" cm="1">
        <f t="array" ref="ZE64">ROUNDDOWN(VALUE(IFERROR(INDEX(ArchiveResults!$F$5:$IX$116,ComparisonData!A64,ComparisonData!$ZE$1),0)),5)</f>
        <v>0</v>
      </c>
      <c r="ZF64" s="56">
        <v>59</v>
      </c>
      <c r="ZG64" s="53" t="str">
        <f t="shared" si="626"/>
        <v>North East Wales Archives (Ruthin)</v>
      </c>
      <c r="ZH64" s="60">
        <f t="shared" si="470"/>
        <v>0</v>
      </c>
      <c r="ZI64" s="60">
        <f t="shared" si="471"/>
        <v>0</v>
      </c>
      <c r="ZJ64" s="60">
        <f t="shared" si="472"/>
        <v>0</v>
      </c>
      <c r="ZK64" s="60">
        <f t="shared" si="473"/>
        <v>0</v>
      </c>
      <c r="ZL64" s="60">
        <f t="shared" si="474"/>
        <v>0</v>
      </c>
      <c r="ZM64" s="76">
        <f t="shared" si="475"/>
        <v>0</v>
      </c>
      <c r="ZN64" s="46">
        <f t="shared" si="476"/>
        <v>109</v>
      </c>
      <c r="ZO64" s="46">
        <f t="shared" si="627"/>
        <v>2.984</v>
      </c>
      <c r="ZP64" s="46">
        <f t="shared" si="477"/>
        <v>1</v>
      </c>
      <c r="ZQ64" s="46">
        <f t="shared" si="478"/>
        <v>2</v>
      </c>
      <c r="ZR64" s="46" cm="1">
        <f t="array" ref="ZR64">ROUND(VALUE(IFERROR(INDEX(ArchiveResults!$F$5:$IX$116,ComparisonData!A64,ComparisonData!$ZR$1),0)),5)</f>
        <v>0</v>
      </c>
      <c r="ZS64" s="56">
        <v>59</v>
      </c>
      <c r="ZT64" s="53" t="str">
        <f t="shared" si="628"/>
        <v>North East Wales Archives (Ruthin)</v>
      </c>
      <c r="ZU64" s="46">
        <f t="shared" si="479"/>
        <v>0</v>
      </c>
      <c r="ZV64" s="76">
        <f t="shared" si="480"/>
        <v>0</v>
      </c>
      <c r="ZW64" s="81" cm="1">
        <f t="array" ref="ZW64">ROUND((IFERROR(INDEX(ArchiveResults!$F$5:$IX$116,ComparisonData!A64,ComparisonData!$ZW$1),0)),5)</f>
        <v>0</v>
      </c>
      <c r="ZX64" s="81" cm="1">
        <f t="array" ref="ZX64">ROUND((IFERROR(INDEX(ArchiveResults!$F$5:$IX$116,ComparisonData!A64,ComparisonData!$ZX$1),0)),5)</f>
        <v>0</v>
      </c>
      <c r="ZY64" s="81" cm="1">
        <f t="array" ref="ZY64">ROUND((IFERROR(INDEX(ArchiveResults!$F$5:$IX$116,ComparisonData!A64,ComparisonData!$ZY$1),0)),5)</f>
        <v>0</v>
      </c>
      <c r="ZZ64" s="81" cm="1">
        <f t="array" ref="ZZ64">ROUND((IFERROR(INDEX(ArchiveResults!$F$5:$IX$116,ComparisonData!A64,ComparisonData!$ZZ$1),0)),5)</f>
        <v>0</v>
      </c>
      <c r="AAA64" s="81" cm="1">
        <f t="array" ref="AAA64">ROUND((IFERROR(INDEX(ArchiveResults!$F$5:$IX$116,ComparisonData!A64,ComparisonData!$AAA$1),0)),5)</f>
        <v>0</v>
      </c>
      <c r="AAB64" s="81" cm="1">
        <f t="array" ref="AAB64">ROUND((IFERROR(INDEX(ArchiveResults!$F$5:$IX$116,ComparisonData!A64,ComparisonData!$AAB$1),0)),5)</f>
        <v>0</v>
      </c>
      <c r="AAC64" s="81" cm="1">
        <f t="array" ref="AAC64">ROUND((IFERROR(INDEX(ArchiveResults!$F$5:$IX$116,ComparisonData!A64,ComparisonData!$AAC$1),0)),5)</f>
        <v>0</v>
      </c>
      <c r="AAD64" s="81" cm="1">
        <f t="array" ref="AAD64">ROUND((IFERROR(INDEX(ArchiveResults!$F$5:$IX$116,ComparisonData!A64,ComparisonData!$AAD$1),0)),5)</f>
        <v>0</v>
      </c>
      <c r="AAE64" s="81" cm="1">
        <f t="array" ref="AAE64">ROUND((IFERROR(INDEX(ArchiveResults!$F$5:$IX$116,ComparisonData!A64,ComparisonData!$AAE$1),0)),5)</f>
        <v>0</v>
      </c>
      <c r="AAF64" s="81" cm="1">
        <f t="array" ref="AAF64">ROUND((IFERROR(INDEX(ArchiveResults!$F$5:$IX$116,ComparisonData!A64,ComparisonData!$AAF$1),0)),5)</f>
        <v>0</v>
      </c>
      <c r="AAG64" s="46">
        <f t="shared" si="481"/>
        <v>109</v>
      </c>
      <c r="AAH64" s="46">
        <f t="shared" si="629"/>
        <v>2.984</v>
      </c>
      <c r="AAI64" s="46">
        <f t="shared" si="482"/>
        <v>1</v>
      </c>
      <c r="AAJ64" s="46">
        <f t="shared" si="483"/>
        <v>2</v>
      </c>
      <c r="AAK64" s="46">
        <f t="shared" si="484"/>
        <v>0</v>
      </c>
      <c r="AAL64" s="46">
        <f t="shared" si="485"/>
        <v>0</v>
      </c>
      <c r="AAM64" s="46">
        <f t="shared" si="486"/>
        <v>0</v>
      </c>
      <c r="AAN64" s="46">
        <f t="shared" si="487"/>
        <v>0</v>
      </c>
      <c r="AAO64" s="46">
        <f t="shared" si="488"/>
        <v>0</v>
      </c>
      <c r="AAP64" s="46">
        <f t="shared" si="489"/>
        <v>0</v>
      </c>
      <c r="AAQ64" s="56">
        <v>59</v>
      </c>
      <c r="AAR64" s="53" t="str">
        <f t="shared" si="630"/>
        <v>North East Wales Archives (Ruthin)</v>
      </c>
      <c r="AAS64" s="60">
        <f t="shared" si="490"/>
        <v>0</v>
      </c>
      <c r="AAT64" s="60">
        <f t="shared" si="491"/>
        <v>0</v>
      </c>
      <c r="AAU64" s="60">
        <f t="shared" si="492"/>
        <v>0</v>
      </c>
      <c r="AAV64" s="60">
        <f t="shared" si="493"/>
        <v>0</v>
      </c>
      <c r="AAW64" s="60">
        <f t="shared" si="494"/>
        <v>0</v>
      </c>
      <c r="AAX64" s="76">
        <f t="shared" si="495"/>
        <v>0</v>
      </c>
      <c r="AAY64" s="46">
        <f t="shared" si="496"/>
        <v>109</v>
      </c>
      <c r="AAZ64" s="46">
        <f t="shared" si="631"/>
        <v>2.984</v>
      </c>
      <c r="ABA64" s="46">
        <f t="shared" si="497"/>
        <v>1</v>
      </c>
      <c r="ABB64" s="46">
        <f t="shared" si="498"/>
        <v>2</v>
      </c>
      <c r="ABC64" s="46">
        <f t="shared" si="102"/>
        <v>0</v>
      </c>
      <c r="ABD64" s="46" cm="1">
        <f t="array" ref="ABD64">ROUND(VALUE(IFERROR(INDEX(ArchiveResults!$F$5:$IX$116,ComparisonData!A64,ComparisonData!$ABD$1),0)),5)</f>
        <v>0</v>
      </c>
      <c r="ABE64" s="46" cm="1">
        <f t="array" ref="ABE64">ROUND(VALUE(IFERROR(INDEX(ArchiveResults!$F$5:$IX$116,ComparisonData!A64,ComparisonData!$ABE$1),0)),5)</f>
        <v>0</v>
      </c>
      <c r="ABF64" s="46" cm="1">
        <f t="array" ref="ABF64">ROUND(VALUE(IFERROR(INDEX(ArchiveResults!$F$5:$IX$116,ComparisonData!A64,ComparisonData!$ABF$1),0)),5)</f>
        <v>0</v>
      </c>
      <c r="ABG64" s="46" cm="1">
        <f t="array" ref="ABG64">ROUND(VALUE(IFERROR(INDEX(ArchiveResults!$F$5:$IX$116,ComparisonData!A64,ComparisonData!$ABG$1),0)),5)</f>
        <v>0</v>
      </c>
      <c r="ABH64" s="46" cm="1">
        <f t="array" ref="ABH64">ROUND(VALUE(IFERROR(INDEX(ArchiveResults!$F$5:$IX$116,ComparisonData!A64,ComparisonData!$ABH$1),0)),5)</f>
        <v>0</v>
      </c>
      <c r="ABI64" s="56">
        <v>59</v>
      </c>
      <c r="ABJ64" s="53" t="str">
        <f t="shared" si="632"/>
        <v>North East Wales Archives (Ruthin)</v>
      </c>
      <c r="ABK64" s="60">
        <f t="shared" si="499"/>
        <v>0</v>
      </c>
      <c r="ABL64" s="60">
        <f t="shared" si="500"/>
        <v>0</v>
      </c>
      <c r="ABM64" s="60">
        <f t="shared" si="501"/>
        <v>0</v>
      </c>
      <c r="ABN64" s="60">
        <f t="shared" si="502"/>
        <v>0</v>
      </c>
      <c r="ABO64" s="60">
        <f t="shared" si="503"/>
        <v>0</v>
      </c>
      <c r="ABP64" s="76">
        <f t="shared" si="504"/>
        <v>0</v>
      </c>
      <c r="ABQ64" s="46">
        <f t="shared" si="505"/>
        <v>109</v>
      </c>
      <c r="ABR64" s="46">
        <f t="shared" si="633"/>
        <v>2.984</v>
      </c>
      <c r="ABS64" s="46">
        <f t="shared" si="506"/>
        <v>1</v>
      </c>
      <c r="ABT64" s="46">
        <f t="shared" si="507"/>
        <v>2</v>
      </c>
      <c r="ABU64" s="46" cm="1">
        <f t="array" ref="ABU64">ROUND(VALUE(IFERROR(INDEX(ArchiveResults!$F$5:$IX$116,ComparisonData!A64,ComparisonData!$ABU$1),0)),5)</f>
        <v>0</v>
      </c>
      <c r="ABV64" s="46" cm="1">
        <f t="array" ref="ABV64">ROUND(VALUE(IFERROR(INDEX(ArchiveResults!$F$5:$IX$116,ComparisonData!A64,ComparisonData!$ABV$1),0)),5)</f>
        <v>0</v>
      </c>
      <c r="ABW64" s="46" cm="1">
        <f t="array" ref="ABW64">ROUND(VALUE(IFERROR(INDEX(ArchiveResults!$F$5:$IX$116,ComparisonData!A64,ComparisonData!$ABW$1),0)),5)</f>
        <v>0</v>
      </c>
      <c r="ABX64" s="46" cm="1">
        <f t="array" ref="ABX64">ROUND(VALUE(IFERROR(INDEX(ArchiveResults!$F$5:$IX$116,ComparisonData!A64,ComparisonData!$ABX$1),0)),5)</f>
        <v>0</v>
      </c>
      <c r="ABY64" s="46" cm="1">
        <f t="array" ref="ABY64">ROUND(VALUE(IFERROR(INDEX(ArchiveResults!$F$5:$IX$116,ComparisonData!A64,ComparisonData!$ABY$1),0)),5)</f>
        <v>0</v>
      </c>
      <c r="ABZ64" s="56">
        <v>59</v>
      </c>
      <c r="ACA64" s="53" t="str">
        <f t="shared" si="634"/>
        <v>North East Wales Archives (Ruthin)</v>
      </c>
      <c r="ACB64" s="60">
        <f t="shared" si="508"/>
        <v>0</v>
      </c>
      <c r="ACC64" s="60">
        <f t="shared" si="509"/>
        <v>0</v>
      </c>
      <c r="ACD64" s="60">
        <f t="shared" si="510"/>
        <v>0</v>
      </c>
      <c r="ACE64" s="60">
        <f t="shared" si="511"/>
        <v>0</v>
      </c>
      <c r="ACF64" s="60">
        <f t="shared" si="512"/>
        <v>0</v>
      </c>
      <c r="ACG64" s="76">
        <f t="shared" si="513"/>
        <v>0</v>
      </c>
      <c r="ACH64" s="46">
        <f t="shared" si="514"/>
        <v>109</v>
      </c>
      <c r="ACI64" s="46">
        <f t="shared" si="635"/>
        <v>2.984</v>
      </c>
      <c r="ACJ64" s="46">
        <f t="shared" si="515"/>
        <v>1</v>
      </c>
      <c r="ACK64" s="46">
        <f t="shared" si="516"/>
        <v>2</v>
      </c>
      <c r="ACL64" s="46">
        <f t="shared" si="517"/>
        <v>0</v>
      </c>
      <c r="ACM64" s="46" cm="1">
        <f t="array" ref="ACM64">ROUND(IFERROR(INDEX(ArchiveResults!$F$5:$IX$116,ComparisonData!A64,ComparisonData!$ACM$1),0),5)</f>
        <v>0</v>
      </c>
      <c r="ACN64" s="46" cm="1">
        <f t="array" ref="ACN64">ROUND(IFERROR(INDEX(ArchiveResults!$F$5:$IX$116,ComparisonData!A64,ComparisonData!$ACN$1),0),5)</f>
        <v>0</v>
      </c>
      <c r="ACO64" s="56">
        <v>59</v>
      </c>
      <c r="ACP64" s="53" t="str">
        <f t="shared" si="636"/>
        <v>North East Wales Archives (Ruthin)</v>
      </c>
      <c r="ACQ64" s="60">
        <f t="shared" si="518"/>
        <v>0</v>
      </c>
      <c r="ACR64" s="60">
        <f t="shared" si="519"/>
        <v>0</v>
      </c>
      <c r="ACS64" s="76">
        <f t="shared" si="520"/>
        <v>0</v>
      </c>
      <c r="ACT64" s="46">
        <f t="shared" si="521"/>
        <v>109</v>
      </c>
      <c r="ACU64" s="46">
        <f t="shared" si="637"/>
        <v>2.984</v>
      </c>
      <c r="ACV64" s="46">
        <f t="shared" si="522"/>
        <v>1</v>
      </c>
      <c r="ACW64" s="46">
        <f t="shared" si="523"/>
        <v>2</v>
      </c>
      <c r="ACX64" s="46">
        <f t="shared" si="524"/>
        <v>0</v>
      </c>
      <c r="ACY64" s="46" cm="1">
        <f t="array" ref="ACY64">ROUNDDOWN(IFERROR(INDEX(ArchiveResults!$F$5:$IX$116,ComparisonData!A64,ComparisonData!$ACY$1),0),5)</f>
        <v>0</v>
      </c>
      <c r="ACZ64" s="46" cm="1">
        <f t="array" ref="ACZ64">ROUNDDOWN(IFERROR(INDEX(ArchiveResults!$F$5:$IX$116,ComparisonData!A64,ComparisonData!$ACZ$1),0),5)</f>
        <v>0</v>
      </c>
      <c r="ADA64" s="46" cm="1">
        <f t="array" ref="ADA64">ROUNDDOWN(IFERROR(INDEX(ArchiveResults!$F$5:$IX$116,ComparisonData!A64,ComparisonData!$ADA$1),0),5)</f>
        <v>0</v>
      </c>
      <c r="ADB64" s="56">
        <v>59</v>
      </c>
      <c r="ADC64" s="53" t="str">
        <f t="shared" si="638"/>
        <v>North East Wales Archives (Ruthin)</v>
      </c>
      <c r="ADD64" s="60">
        <f t="shared" si="525"/>
        <v>0</v>
      </c>
      <c r="ADE64" s="60">
        <f t="shared" si="526"/>
        <v>0</v>
      </c>
      <c r="ADF64" s="60">
        <f t="shared" si="527"/>
        <v>0</v>
      </c>
      <c r="ADG64" s="76">
        <f t="shared" si="528"/>
        <v>0</v>
      </c>
    </row>
    <row r="65" spans="1:787" x14ac:dyDescent="0.25">
      <c r="A65" s="46" t="str">
        <f>IF(ISBLANK(ComparisonSelection!F61),"",ROW()-5)</f>
        <v/>
      </c>
      <c r="B65" s="53" t="s">
        <v>514</v>
      </c>
      <c r="C65" s="72">
        <v>0.98899999999999999</v>
      </c>
      <c r="D65" s="55">
        <f t="shared" si="110"/>
        <v>110</v>
      </c>
      <c r="E65" s="54">
        <f t="shared" si="111"/>
        <v>2.9889999999999999</v>
      </c>
      <c r="F65" s="54">
        <f t="shared" si="529"/>
        <v>1</v>
      </c>
      <c r="G65" s="72">
        <f t="shared" si="112"/>
        <v>2</v>
      </c>
      <c r="H65" s="72">
        <f t="shared" si="113"/>
        <v>0</v>
      </c>
      <c r="I65" s="46" cm="1">
        <f t="array" ref="I65">ROUND(IFERROR(INDEX(ArchiveResults!$F$5:$IX$116,ComparisonData!A65,ComparisonData!$I$1),0),5)</f>
        <v>0</v>
      </c>
      <c r="J65" s="46" cm="1">
        <f t="array" ref="J65">ROUND(IFERROR(INDEX(ArchiveResults!$F$5:$IX$116,ComparisonData!A65,ComparisonData!$J$1),0),5)</f>
        <v>0</v>
      </c>
      <c r="K65" s="56">
        <v>60</v>
      </c>
      <c r="L65" s="53" t="str">
        <f t="shared" si="114"/>
        <v>North Yorkshire County Record Office</v>
      </c>
      <c r="M65" s="57">
        <f t="shared" si="530"/>
        <v>0</v>
      </c>
      <c r="N65" s="57">
        <f t="shared" si="531"/>
        <v>0</v>
      </c>
      <c r="O65" s="58">
        <f t="shared" si="115"/>
        <v>0</v>
      </c>
      <c r="P65" s="48">
        <f t="shared" si="116"/>
        <v>110</v>
      </c>
      <c r="Q65" s="54">
        <f t="shared" si="532"/>
        <v>2.9889999999999999</v>
      </c>
      <c r="R65" s="45">
        <f t="shared" si="117"/>
        <v>1</v>
      </c>
      <c r="S65" s="46">
        <f t="shared" si="118"/>
        <v>2</v>
      </c>
      <c r="T65" s="72">
        <f t="shared" si="119"/>
        <v>0</v>
      </c>
      <c r="U65" s="46" cm="1">
        <f t="array" ref="U65">ROUND(IFERROR(INDEX(ArchiveResults!$F$5:$IX$116,ComparisonData!A65,ComparisonData!$U$1),0),5)</f>
        <v>0</v>
      </c>
      <c r="V65" s="46" cm="1">
        <f t="array" ref="V65">ROUND(IFERROR(INDEX(ArchiveResults!$F$5:$IX$116,ComparisonData!A65,ComparisonData!$V$1),0),5)</f>
        <v>0</v>
      </c>
      <c r="W65" s="56">
        <v>60</v>
      </c>
      <c r="X65" s="53" t="str">
        <f t="shared" si="533"/>
        <v>North Yorkshire County Record Office</v>
      </c>
      <c r="Y65" s="57">
        <f t="shared" si="120"/>
        <v>0</v>
      </c>
      <c r="Z65" s="57">
        <f t="shared" si="121"/>
        <v>0</v>
      </c>
      <c r="AA65" s="58">
        <f t="shared" si="122"/>
        <v>0</v>
      </c>
      <c r="AB65" s="45">
        <f t="shared" si="123"/>
        <v>110</v>
      </c>
      <c r="AC65" s="54">
        <f t="shared" si="534"/>
        <v>2.9889999999999999</v>
      </c>
      <c r="AD65" s="45">
        <f t="shared" si="124"/>
        <v>1</v>
      </c>
      <c r="AE65" s="45">
        <f t="shared" si="125"/>
        <v>2</v>
      </c>
      <c r="AF65" s="45">
        <f t="shared" si="639"/>
        <v>0</v>
      </c>
      <c r="AG65" s="46" cm="1">
        <f t="array" ref="AG65">ROUND(IFERROR(INDEX(ArchiveResults!$F$5:$IX$116,ComparisonData!A65,ComparisonData!$AG$1),0),5)</f>
        <v>0</v>
      </c>
      <c r="AH65" s="46" cm="1">
        <f t="array" ref="AH65">ROUND(IFERROR(INDEX(ArchiveResults!$F$5:$IX$116,ComparisonData!A65,ComparisonData!$AH$1),0),5)</f>
        <v>0</v>
      </c>
      <c r="AI65" s="56">
        <v>60</v>
      </c>
      <c r="AJ65" s="53" t="str">
        <f t="shared" si="535"/>
        <v>North Yorkshire County Record Office</v>
      </c>
      <c r="AK65" s="59">
        <f t="shared" si="536"/>
        <v>0</v>
      </c>
      <c r="AL65" s="59">
        <f t="shared" si="537"/>
        <v>0</v>
      </c>
      <c r="AM65" s="58">
        <f t="shared" si="127"/>
        <v>0</v>
      </c>
      <c r="AN65" s="45">
        <f t="shared" si="128"/>
        <v>110</v>
      </c>
      <c r="AO65" s="54">
        <f t="shared" si="538"/>
        <v>2.9889999999999999</v>
      </c>
      <c r="AP65" s="45">
        <f t="shared" si="129"/>
        <v>1</v>
      </c>
      <c r="AQ65" s="45">
        <f t="shared" si="130"/>
        <v>2</v>
      </c>
      <c r="AR65" s="46" cm="1">
        <f t="array" ref="AR65">ROUND(IFERROR(INDEX(ArchiveResults!$F$5:$IX$116,ComparisonData!A65,ComparisonData!$AR$1),0),5)</f>
        <v>0</v>
      </c>
      <c r="AS65" s="46" cm="1">
        <f t="array" ref="AS65">ROUND(IFERROR(INDEX(ArchiveResults!$F$5:$IX$116,ComparisonData!A65,ComparisonData!$AS$1),0),5)</f>
        <v>0</v>
      </c>
      <c r="AT65" s="46" cm="1">
        <f t="array" ref="AT65">ROUND(IFERROR(INDEX(ArchiveResults!$F$5:$IX$116,ComparisonData!A65,ComparisonData!$AT$1),0),5)</f>
        <v>0</v>
      </c>
      <c r="AU65" s="46" cm="1">
        <f t="array" ref="AU65">ROUND(IFERROR(INDEX(ArchiveResults!$F$5:$IX$116,ComparisonData!A65,ComparisonData!$AU$1),0),5)</f>
        <v>0</v>
      </c>
      <c r="AV65" s="46" cm="1">
        <f t="array" ref="AV65">ROUND(IFERROR(INDEX(ArchiveResults!$F$5:$IX$116,ComparisonData!A65,ComparisonData!$AV$1),0),5)</f>
        <v>0</v>
      </c>
      <c r="AW65" s="46" cm="1">
        <f t="array" ref="AW65">ROUND(IFERROR(INDEX(ArchiveResults!$F$5:$IX$116,ComparisonData!A65,ComparisonData!$AW$1),0),5)</f>
        <v>0</v>
      </c>
      <c r="AX65" s="46" cm="1">
        <f t="array" ref="AX65">ROUND(IFERROR(INDEX(ArchiveResults!$F$5:$IX$116,ComparisonData!A65,ComparisonData!$AX$1),0),5)</f>
        <v>0</v>
      </c>
      <c r="AY65" s="46" cm="1">
        <f t="array" ref="AY65">ROUND(IFERROR(INDEX(ArchiveResults!$F$5:$IX$116,ComparisonData!A65,ComparisonData!$AY$1),0),5)</f>
        <v>0</v>
      </c>
      <c r="AZ65" s="46" cm="1">
        <f t="array" ref="AZ65">ROUND(IFERROR(INDEX(ArchiveResults!$F$5:$IX$116,ComparisonData!A65,ComparisonData!$AZ$1),0),5)</f>
        <v>0</v>
      </c>
      <c r="BA65" s="46" cm="1">
        <f t="array" ref="BA65">ROUND(IFERROR(INDEX(ArchiveResults!$F$5:$IX$116,ComparisonData!A65,ComparisonData!$BA$1),0),5)</f>
        <v>0</v>
      </c>
      <c r="BB65" s="56">
        <v>60</v>
      </c>
      <c r="BC65" s="53" t="str">
        <f t="shared" si="539"/>
        <v>North Yorkshire County Record Office</v>
      </c>
      <c r="BD65" s="60">
        <f t="shared" si="131"/>
        <v>0</v>
      </c>
      <c r="BE65" s="60">
        <f t="shared" si="132"/>
        <v>0</v>
      </c>
      <c r="BF65" s="60">
        <f t="shared" si="133"/>
        <v>0</v>
      </c>
      <c r="BG65" s="60">
        <f t="shared" si="134"/>
        <v>0</v>
      </c>
      <c r="BH65" s="60">
        <f t="shared" si="135"/>
        <v>0</v>
      </c>
      <c r="BI65" s="60">
        <f t="shared" si="136"/>
        <v>0</v>
      </c>
      <c r="BJ65" s="60">
        <f t="shared" si="137"/>
        <v>0</v>
      </c>
      <c r="BK65" s="60">
        <f t="shared" si="138"/>
        <v>0</v>
      </c>
      <c r="BL65" s="60">
        <f t="shared" si="139"/>
        <v>0</v>
      </c>
      <c r="BM65" s="59">
        <f t="shared" si="140"/>
        <v>0</v>
      </c>
      <c r="BN65" s="58">
        <f t="shared" si="141"/>
        <v>0</v>
      </c>
      <c r="BO65" s="45">
        <f t="shared" si="142"/>
        <v>110</v>
      </c>
      <c r="BP65" s="54">
        <f t="shared" si="540"/>
        <v>2.9889999999999999</v>
      </c>
      <c r="BQ65" s="45">
        <f t="shared" si="143"/>
        <v>1</v>
      </c>
      <c r="BR65" s="45">
        <f t="shared" si="144"/>
        <v>2</v>
      </c>
      <c r="BS65" s="46" cm="1">
        <f t="array" ref="BS65">ROUND(IFERROR(INDEX(ArchiveResults!$F$5:$IX$116,ComparisonData!A65,ComparisonData!$BS$1),0),5)</f>
        <v>0</v>
      </c>
      <c r="BT65" s="46" cm="1">
        <f t="array" ref="BT65">ROUND(IFERROR(INDEX(ArchiveResults!$F$5:$IX$116,ComparisonData!A65,ComparisonData!$BT$1),0),5)</f>
        <v>0</v>
      </c>
      <c r="BU65" s="46" cm="1">
        <f t="array" ref="BU65">ROUND(IFERROR(INDEX(ArchiveResults!$F$5:$IX$116,ComparisonData!A65,ComparisonData!$BU$1),0),5)</f>
        <v>0</v>
      </c>
      <c r="BV65" s="46" cm="1">
        <f t="array" ref="BV65">ROUND(IFERROR(INDEX(ArchiveResults!$F$5:$IX$116,ComparisonData!A65,ComparisonData!$BV$1),0),5)</f>
        <v>0</v>
      </c>
      <c r="BW65" s="46" cm="1">
        <f t="array" ref="BW65">ROUND(IFERROR(INDEX(ArchiveResults!$F$5:$IX$116,ComparisonData!A65,ComparisonData!$BW$1),0),5)</f>
        <v>0</v>
      </c>
      <c r="BX65" s="46" cm="1">
        <f t="array" ref="BX65">ROUND(IFERROR(INDEX(ArchiveResults!$F$5:$IX$116,ComparisonData!A65,ComparisonData!$BX$1),0),5)</f>
        <v>0</v>
      </c>
      <c r="BY65" s="56">
        <v>60</v>
      </c>
      <c r="BZ65" s="53" t="str">
        <f t="shared" si="541"/>
        <v>North Yorkshire County Record Office</v>
      </c>
      <c r="CA65" s="59">
        <f t="shared" si="145"/>
        <v>0</v>
      </c>
      <c r="CB65" s="59">
        <f t="shared" si="146"/>
        <v>0</v>
      </c>
      <c r="CC65" s="59">
        <f t="shared" si="147"/>
        <v>0</v>
      </c>
      <c r="CD65" s="59">
        <f t="shared" si="148"/>
        <v>0</v>
      </c>
      <c r="CE65" s="59">
        <f t="shared" si="149"/>
        <v>0</v>
      </c>
      <c r="CF65" s="59">
        <f t="shared" si="150"/>
        <v>0</v>
      </c>
      <c r="CG65" s="58">
        <f t="shared" si="151"/>
        <v>0</v>
      </c>
      <c r="CH65" s="45">
        <f t="shared" si="152"/>
        <v>110</v>
      </c>
      <c r="CI65" s="54">
        <f t="shared" si="542"/>
        <v>2.9889999999999999</v>
      </c>
      <c r="CJ65" s="45">
        <f t="shared" si="153"/>
        <v>1</v>
      </c>
      <c r="CK65" s="45">
        <f t="shared" si="154"/>
        <v>2</v>
      </c>
      <c r="CL65" s="46" cm="1">
        <f t="array" ref="CL65">ROUND(IFERROR(INDEX(ArchiveResults!$F$5:$IX$116,ComparisonData!A65,ComparisonData!$CL$1),0),5)</f>
        <v>0</v>
      </c>
      <c r="CM65" s="56">
        <v>60</v>
      </c>
      <c r="CN65" s="53" t="str">
        <f t="shared" si="543"/>
        <v>North Yorkshire County Record Office</v>
      </c>
      <c r="CO65" s="45">
        <f t="shared" si="155"/>
        <v>0</v>
      </c>
      <c r="CP65" s="58">
        <f t="shared" si="156"/>
        <v>0</v>
      </c>
      <c r="CQ65" s="45">
        <f t="shared" si="157"/>
        <v>110</v>
      </c>
      <c r="CR65" s="54">
        <f t="shared" si="544"/>
        <v>2.9889999999999999</v>
      </c>
      <c r="CS65" s="45">
        <f t="shared" si="158"/>
        <v>1</v>
      </c>
      <c r="CT65" s="45">
        <f t="shared" si="159"/>
        <v>2</v>
      </c>
      <c r="CU65" s="46" cm="1">
        <f t="array" ref="CU65">ROUND(IFERROR(INDEX(ArchiveResults!$F$5:$IX$116,ComparisonData!A65,ComparisonData!$CU$1),0),5)</f>
        <v>0</v>
      </c>
      <c r="CV65" s="56">
        <v>60</v>
      </c>
      <c r="CW65" s="53" t="str">
        <f t="shared" si="545"/>
        <v>North Yorkshire County Record Office</v>
      </c>
      <c r="CX65" s="45">
        <f t="shared" si="160"/>
        <v>0</v>
      </c>
      <c r="CY65" s="58">
        <f t="shared" si="161"/>
        <v>0</v>
      </c>
      <c r="CZ65" s="45">
        <f t="shared" si="162"/>
        <v>110</v>
      </c>
      <c r="DA65" s="54">
        <f t="shared" si="546"/>
        <v>2.9889999999999999</v>
      </c>
      <c r="DB65" s="45">
        <f t="shared" si="163"/>
        <v>1</v>
      </c>
      <c r="DC65" s="45">
        <f t="shared" si="164"/>
        <v>2</v>
      </c>
      <c r="DD65" s="46" cm="1">
        <f t="array" ref="DD65">ROUND(IFERROR(INDEX(ArchiveResults!$F$5:$IX$116,ComparisonData!A65,ComparisonData!$DD$1),0),5)</f>
        <v>0</v>
      </c>
      <c r="DE65" s="56">
        <v>60</v>
      </c>
      <c r="DF65" s="53" t="str">
        <f t="shared" si="547"/>
        <v>North Yorkshire County Record Office</v>
      </c>
      <c r="DG65" s="45">
        <f t="shared" si="165"/>
        <v>0</v>
      </c>
      <c r="DH65" s="58">
        <f t="shared" si="166"/>
        <v>0</v>
      </c>
      <c r="DI65" s="45">
        <f t="shared" si="167"/>
        <v>110</v>
      </c>
      <c r="DJ65" s="54">
        <f t="shared" si="548"/>
        <v>2.9889999999999999</v>
      </c>
      <c r="DK65" s="45">
        <f t="shared" si="168"/>
        <v>1</v>
      </c>
      <c r="DL65" s="45">
        <f t="shared" si="169"/>
        <v>2</v>
      </c>
      <c r="DM65" s="46" cm="1">
        <f t="array" ref="DM65">ROUND(IFERROR(INDEX(ArchiveResults!$F$5:$IX$116,ComparisonData!A65,ComparisonData!$DM$1),0),5)</f>
        <v>0</v>
      </c>
      <c r="DN65" s="46" cm="1">
        <f t="array" ref="DN65">ROUND(IFERROR(INDEX(ArchiveResults!$F$5:$IX$116,ComparisonData!A65,ComparisonData!$DN$1),0),5)</f>
        <v>0</v>
      </c>
      <c r="DO65" s="46" cm="1">
        <f t="array" ref="DO65">ROUND(IFERROR(INDEX(ArchiveResults!$F$5:$IX$116,ComparisonData!A65,ComparisonData!$DO$1),0),5)</f>
        <v>0</v>
      </c>
      <c r="DP65" s="46" cm="1">
        <f t="array" ref="DP65">ROUND(IFERROR(INDEX(ArchiveResults!$F$5:$IX$116,ComparisonData!A65,ComparisonData!$DP$1),0),5)</f>
        <v>0</v>
      </c>
      <c r="DQ65" s="45" cm="1">
        <f t="array" ref="DQ65">IFERROR(INDEX(ArchiveResults!$F$5:$IX$116,ComparisonData!A65,ComparisonData!$DQ$1),0)</f>
        <v>0</v>
      </c>
      <c r="DR65" s="56">
        <v>60</v>
      </c>
      <c r="DS65" s="53" t="str">
        <f t="shared" si="549"/>
        <v>North Yorkshire County Record Office</v>
      </c>
      <c r="DT65" s="59">
        <f t="shared" si="170"/>
        <v>0</v>
      </c>
      <c r="DU65" s="59">
        <f t="shared" si="171"/>
        <v>0</v>
      </c>
      <c r="DV65" s="59">
        <f t="shared" si="172"/>
        <v>0</v>
      </c>
      <c r="DW65" s="59">
        <f t="shared" si="173"/>
        <v>0</v>
      </c>
      <c r="DX65" s="59">
        <f t="shared" si="174"/>
        <v>0</v>
      </c>
      <c r="DY65" s="58">
        <f t="shared" si="175"/>
        <v>0</v>
      </c>
      <c r="DZ65" s="45">
        <f t="shared" si="176"/>
        <v>110</v>
      </c>
      <c r="EA65" s="54">
        <f t="shared" si="550"/>
        <v>2.9889999999999999</v>
      </c>
      <c r="EB65" s="45">
        <f t="shared" si="177"/>
        <v>1</v>
      </c>
      <c r="EC65" s="45">
        <f t="shared" si="178"/>
        <v>2</v>
      </c>
      <c r="ED65" s="46" cm="1">
        <f t="array" ref="ED65">ROUND(IFERROR(INDEX(ArchiveResults!$F$5:$IX$116,ComparisonData!A65,ComparisonData!$ED$1),0),5)</f>
        <v>0</v>
      </c>
      <c r="EE65" s="46" cm="1">
        <f t="array" ref="EE65">ROUND(IFERROR(INDEX(ArchiveResults!$F$5:$IX$116,ComparisonData!A65,ComparisonData!$EE$1),0),5)</f>
        <v>0</v>
      </c>
      <c r="EF65" s="46" cm="1">
        <f t="array" ref="EF65">ROUND(IFERROR(INDEX(ArchiveResults!$F$5:$IX$116,ComparisonData!A65,ComparisonData!$EF$1),0),5)</f>
        <v>0</v>
      </c>
      <c r="EG65" s="46" cm="1">
        <f t="array" ref="EG65">ROUND(IFERROR(INDEX(ArchiveResults!$F$5:$IX$116,ComparisonData!A65,ComparisonData!$EG$1),0),5)</f>
        <v>0</v>
      </c>
      <c r="EH65" s="45" cm="1">
        <f t="array" ref="EH65">IFERROR(INDEX(ArchiveResults!$F$5:$IX$116,ComparisonData!A65,ComparisonData!$EH$1),0)</f>
        <v>0</v>
      </c>
      <c r="EI65" s="56">
        <v>60</v>
      </c>
      <c r="EJ65" s="53" t="str">
        <f t="shared" si="551"/>
        <v>North Yorkshire County Record Office</v>
      </c>
      <c r="EK65" s="59">
        <f t="shared" si="179"/>
        <v>0</v>
      </c>
      <c r="EL65" s="59">
        <f t="shared" si="180"/>
        <v>0</v>
      </c>
      <c r="EM65" s="59">
        <f t="shared" si="181"/>
        <v>0</v>
      </c>
      <c r="EN65" s="59">
        <f t="shared" si="182"/>
        <v>0</v>
      </c>
      <c r="EO65" s="59">
        <f t="shared" si="183"/>
        <v>0</v>
      </c>
      <c r="EP65" s="58">
        <f t="shared" si="184"/>
        <v>0</v>
      </c>
      <c r="EQ65" s="45">
        <f t="shared" si="185"/>
        <v>110</v>
      </c>
      <c r="ER65" s="54">
        <f t="shared" si="552"/>
        <v>2.9889999999999999</v>
      </c>
      <c r="ES65" s="45">
        <f t="shared" si="186"/>
        <v>1</v>
      </c>
      <c r="ET65" s="45">
        <f t="shared" si="187"/>
        <v>2</v>
      </c>
      <c r="EU65" s="46" cm="1">
        <f t="array" ref="EU65">ROUND(IFERROR(INDEX(ArchiveResults!$F$5:$IX$116,ComparisonData!A65,ComparisonData!$EU$1),0),5)</f>
        <v>0</v>
      </c>
      <c r="EV65" s="46" cm="1">
        <f t="array" ref="EV65">ROUND(IFERROR(INDEX(ArchiveResults!$F$5:$IX$116,ComparisonData!A65,ComparisonData!$EV$1),0),5)</f>
        <v>0</v>
      </c>
      <c r="EW65" s="46" cm="1">
        <f t="array" ref="EW65">ROUND(IFERROR(INDEX(ArchiveResults!$F$5:$IX$116,ComparisonData!A65,ComparisonData!$EW$1),0),5)</f>
        <v>0</v>
      </c>
      <c r="EX65" s="46" cm="1">
        <f t="array" ref="EX65">ROUND(IFERROR(INDEX(ArchiveResults!$F$5:$IX$116,ComparisonData!A65,ComparisonData!$EX$1),0),5)</f>
        <v>0</v>
      </c>
      <c r="EY65" s="45" cm="1">
        <f t="array" ref="EY65">IFERROR(INDEX(ArchiveResults!$F$5:$IX$116,ComparisonData!A65,ComparisonData!$EY$1),0)</f>
        <v>0</v>
      </c>
      <c r="EZ65" s="56">
        <v>60</v>
      </c>
      <c r="FA65" s="53" t="str">
        <f t="shared" si="553"/>
        <v>North Yorkshire County Record Office</v>
      </c>
      <c r="FB65" s="59">
        <f t="shared" si="188"/>
        <v>0</v>
      </c>
      <c r="FC65" s="59">
        <f t="shared" si="189"/>
        <v>0</v>
      </c>
      <c r="FD65" s="59">
        <f t="shared" si="190"/>
        <v>0</v>
      </c>
      <c r="FE65" s="59">
        <f t="shared" si="191"/>
        <v>0</v>
      </c>
      <c r="FF65" s="59">
        <f t="shared" si="192"/>
        <v>0</v>
      </c>
      <c r="FG65" s="58">
        <f t="shared" si="193"/>
        <v>0</v>
      </c>
      <c r="FH65" s="45">
        <f t="shared" si="194"/>
        <v>110</v>
      </c>
      <c r="FI65" s="54">
        <f t="shared" si="554"/>
        <v>2.9889999999999999</v>
      </c>
      <c r="FJ65" s="45">
        <f t="shared" si="195"/>
        <v>1</v>
      </c>
      <c r="FK65" s="45">
        <f t="shared" si="196"/>
        <v>2</v>
      </c>
      <c r="FL65" s="46" cm="1">
        <f t="array" ref="FL65">ROUND(IFERROR(INDEX(ArchiveResults!$F$5:$IX$116,ComparisonData!A65,ComparisonData!$FL$1),0),5)</f>
        <v>0</v>
      </c>
      <c r="FM65" s="46" cm="1">
        <f t="array" ref="FM65">ROUND(IFERROR(INDEX(ArchiveResults!$F$5:$IX$116,ComparisonData!A65,ComparisonData!$FM$1),0),5)</f>
        <v>0</v>
      </c>
      <c r="FN65" s="46" cm="1">
        <f t="array" ref="FN65">ROUND(IFERROR(INDEX(ArchiveResults!$F$5:$IX$116,ComparisonData!A65,ComparisonData!$FN$1),0),5)</f>
        <v>0</v>
      </c>
      <c r="FO65" s="46" cm="1">
        <f t="array" ref="FO65">ROUND(IFERROR(INDEX(ArchiveResults!$F$5:$IX$116,ComparisonData!A65,ComparisonData!$FO$1),0),5)</f>
        <v>0</v>
      </c>
      <c r="FP65" s="45" cm="1">
        <f t="array" ref="FP65">IFERROR(INDEX(ArchiveResults!$F$5:$IX$116,ComparisonData!A65,ComparisonData!$FP$1),0)</f>
        <v>0</v>
      </c>
      <c r="FQ65" s="56">
        <v>60</v>
      </c>
      <c r="FR65" s="53" t="str">
        <f t="shared" si="555"/>
        <v>North Yorkshire County Record Office</v>
      </c>
      <c r="FS65" s="59">
        <f t="shared" si="197"/>
        <v>0</v>
      </c>
      <c r="FT65" s="59">
        <f t="shared" si="198"/>
        <v>0</v>
      </c>
      <c r="FU65" s="59">
        <f t="shared" si="199"/>
        <v>0</v>
      </c>
      <c r="FV65" s="59">
        <f t="shared" si="200"/>
        <v>0</v>
      </c>
      <c r="FW65" s="59">
        <f t="shared" si="201"/>
        <v>0</v>
      </c>
      <c r="FX65" s="58">
        <f t="shared" si="202"/>
        <v>0</v>
      </c>
      <c r="FY65" s="45">
        <f t="shared" si="203"/>
        <v>110</v>
      </c>
      <c r="FZ65" s="45">
        <f t="shared" si="556"/>
        <v>2.9889999999999999</v>
      </c>
      <c r="GA65" s="45">
        <f t="shared" si="204"/>
        <v>1</v>
      </c>
      <c r="GB65" s="45">
        <f t="shared" si="205"/>
        <v>2</v>
      </c>
      <c r="GC65" s="46" cm="1">
        <f t="array" ref="GC65">ROUND(IFERROR(INDEX(ArchiveResults!$F$5:$IX$116,ComparisonData!A65,ComparisonData!$GC$1),0),5)</f>
        <v>0</v>
      </c>
      <c r="GD65" s="46" cm="1">
        <f t="array" ref="GD65">ROUND(IFERROR(INDEX(ArchiveResults!$F$5:$IX$116,ComparisonData!A65,ComparisonData!$GD$1),0),5)</f>
        <v>0</v>
      </c>
      <c r="GE65" s="46" cm="1">
        <f t="array" ref="GE65">ROUND(IFERROR(INDEX(ArchiveResults!$F$5:$IX$116,ComparisonData!A65,ComparisonData!$GE$1),0),5)</f>
        <v>0</v>
      </c>
      <c r="GF65" s="46" cm="1">
        <f t="array" ref="GF65">ROUND(IFERROR(INDEX(ArchiveResults!$F$5:$IX$116,ComparisonData!A65,ComparisonData!$GF$1),0),5)</f>
        <v>0</v>
      </c>
      <c r="GG65" s="45" cm="1">
        <f t="array" ref="GG65">IFERROR(INDEX(ArchiveResults!$F$5:$IX$116,ComparisonData!A65,ComparisonData!$GG$1),0)</f>
        <v>0</v>
      </c>
      <c r="GH65" s="56">
        <v>60</v>
      </c>
      <c r="GI65" s="53" t="str">
        <f t="shared" si="557"/>
        <v>North Yorkshire County Record Office</v>
      </c>
      <c r="GJ65" s="59">
        <f t="shared" si="206"/>
        <v>0</v>
      </c>
      <c r="GK65" s="59">
        <f t="shared" si="207"/>
        <v>0</v>
      </c>
      <c r="GL65" s="59">
        <f t="shared" si="208"/>
        <v>0</v>
      </c>
      <c r="GM65" s="59">
        <f t="shared" si="209"/>
        <v>0</v>
      </c>
      <c r="GN65" s="59">
        <f t="shared" si="210"/>
        <v>0</v>
      </c>
      <c r="GO65" s="58">
        <f t="shared" si="211"/>
        <v>0</v>
      </c>
      <c r="GP65" s="45">
        <f t="shared" si="212"/>
        <v>110</v>
      </c>
      <c r="GQ65" s="45">
        <f t="shared" si="558"/>
        <v>2.9889999999999999</v>
      </c>
      <c r="GR65" s="45">
        <f t="shared" si="213"/>
        <v>1</v>
      </c>
      <c r="GS65" s="45">
        <f t="shared" si="214"/>
        <v>2</v>
      </c>
      <c r="GT65" s="46" cm="1">
        <f t="array" ref="GT65">ROUND(IFERROR(INDEX(ArchiveResults!$F$5:$IX$116,ComparisonData!A65,ComparisonData!$GT$1),0),5)</f>
        <v>0</v>
      </c>
      <c r="GU65" s="46" cm="1">
        <f t="array" ref="GU65">ROUND(IFERROR(INDEX(ArchiveResults!$F$5:$IX$116,ComparisonData!A65,ComparisonData!$GU$1),0),5)</f>
        <v>0</v>
      </c>
      <c r="GV65" s="46" cm="1">
        <f t="array" ref="GV65">ROUND(IFERROR(INDEX(ArchiveResults!$F$5:$IX$116,ComparisonData!A65,ComparisonData!$GV$1),0),5)</f>
        <v>0</v>
      </c>
      <c r="GW65" s="46" cm="1">
        <f t="array" ref="GW65">ROUND(IFERROR(INDEX(ArchiveResults!$F$5:$IX$116,ComparisonData!A65,ComparisonData!$GW$1),0),5)</f>
        <v>0</v>
      </c>
      <c r="GX65" s="45" cm="1">
        <f t="array" ref="GX65">IFERROR(INDEX(ArchiveResults!$F$5:$IX$116,ComparisonData!A65,ComparisonData!$GX$1),0)</f>
        <v>0</v>
      </c>
      <c r="GY65" s="56">
        <v>60</v>
      </c>
      <c r="GZ65" s="53" t="str">
        <f t="shared" si="559"/>
        <v>North Yorkshire County Record Office</v>
      </c>
      <c r="HA65" s="59">
        <f t="shared" si="215"/>
        <v>0</v>
      </c>
      <c r="HB65" s="59">
        <f t="shared" si="216"/>
        <v>0</v>
      </c>
      <c r="HC65" s="59">
        <f t="shared" si="217"/>
        <v>0</v>
      </c>
      <c r="HD65" s="59">
        <f t="shared" si="218"/>
        <v>0</v>
      </c>
      <c r="HE65" s="59">
        <f t="shared" si="219"/>
        <v>0</v>
      </c>
      <c r="HF65" s="58">
        <f t="shared" si="220"/>
        <v>0</v>
      </c>
      <c r="HG65" s="45">
        <f t="shared" si="221"/>
        <v>110</v>
      </c>
      <c r="HH65" s="45">
        <f t="shared" si="560"/>
        <v>2.9889999999999999</v>
      </c>
      <c r="HI65" s="45">
        <f t="shared" si="222"/>
        <v>1</v>
      </c>
      <c r="HJ65" s="45">
        <f t="shared" si="223"/>
        <v>2</v>
      </c>
      <c r="HK65" s="46" cm="1">
        <f t="array" ref="HK65">ROUND(IFERROR(INDEX(ArchiveResults!$F$5:$IX$116,ComparisonData!A65,ComparisonData!$HK$1),0),5)</f>
        <v>0</v>
      </c>
      <c r="HL65" s="46" cm="1">
        <f t="array" ref="HL65">ROUND(IFERROR(INDEX(ArchiveResults!$F$5:$IX$116,ComparisonData!A65,ComparisonData!$HL$1),0),5)</f>
        <v>0</v>
      </c>
      <c r="HM65" s="46" cm="1">
        <f t="array" ref="HM65">ROUND(IFERROR(INDEX(ArchiveResults!$F$5:$IX$116,ComparisonData!A65,ComparisonData!$HM$1),0),5)</f>
        <v>0</v>
      </c>
      <c r="HN65" s="46" cm="1">
        <f t="array" ref="HN65">ROUND(IFERROR(INDEX(ArchiveResults!$F$5:$IX$116,ComparisonData!A65,ComparisonData!$HN$1),0),5)</f>
        <v>0</v>
      </c>
      <c r="HO65" s="45" cm="1">
        <f t="array" ref="HO65">IFERROR(INDEX(ArchiveResults!$F$5:$IX$116,ComparisonData!A65,ComparisonData!$HO$1),0)</f>
        <v>0</v>
      </c>
      <c r="HP65" s="56">
        <v>60</v>
      </c>
      <c r="HQ65" s="53" t="str">
        <f t="shared" si="561"/>
        <v>North Yorkshire County Record Office</v>
      </c>
      <c r="HR65" s="59">
        <f t="shared" si="562"/>
        <v>0</v>
      </c>
      <c r="HS65" s="59">
        <f t="shared" si="563"/>
        <v>0</v>
      </c>
      <c r="HT65" s="59">
        <f t="shared" si="564"/>
        <v>0</v>
      </c>
      <c r="HU65" s="59">
        <f t="shared" si="565"/>
        <v>0</v>
      </c>
      <c r="HV65" s="59">
        <f t="shared" si="566"/>
        <v>0</v>
      </c>
      <c r="HW65" s="58">
        <f t="shared" si="224"/>
        <v>0</v>
      </c>
      <c r="HX65" s="45">
        <f t="shared" si="225"/>
        <v>110</v>
      </c>
      <c r="HY65" s="45">
        <f t="shared" si="567"/>
        <v>2.9889999999999999</v>
      </c>
      <c r="HZ65" s="45">
        <f t="shared" si="226"/>
        <v>1</v>
      </c>
      <c r="IA65" s="45">
        <f t="shared" si="227"/>
        <v>2</v>
      </c>
      <c r="IB65" s="45">
        <f t="shared" si="228"/>
        <v>0</v>
      </c>
      <c r="IC65" s="46" cm="1">
        <f t="array" ref="IC65">ROUND(IFERROR(INDEX(ArchiveResults!$F$5:$IX$116,ComparisonData!A65,ComparisonData!$IC$1),0),5)</f>
        <v>0</v>
      </c>
      <c r="ID65" s="46" cm="1">
        <f t="array" ref="ID65">ROUND(IFERROR(INDEX(ArchiveResults!$F$5:$IX$116,ComparisonData!A65,ComparisonData!$ID$1),0),5)</f>
        <v>0</v>
      </c>
      <c r="IE65" s="46" cm="1">
        <f t="array" ref="IE65">ROUND(IFERROR(INDEX(ArchiveResults!$F$5:$IX$116,ComparisonData!A65,ComparisonData!$IE$1),0),5)</f>
        <v>0</v>
      </c>
      <c r="IF65" s="46" cm="1">
        <f t="array" ref="IF65">ROUND(IFERROR(INDEX(ArchiveResults!$F$5:$IX$116,ComparisonData!A65,ComparisonData!$IF$1),0),5)</f>
        <v>0</v>
      </c>
      <c r="IG65" s="45" cm="1">
        <f t="array" ref="IG65">IFERROR(INDEX(ArchiveResults!$F$5:$IX$116,ComparisonData!A65,ComparisonData!$IG$1),0)</f>
        <v>0</v>
      </c>
      <c r="IH65" s="56">
        <v>60</v>
      </c>
      <c r="II65" s="53" t="str">
        <f t="shared" si="568"/>
        <v>North Yorkshire County Record Office</v>
      </c>
      <c r="IJ65" s="59">
        <f t="shared" si="229"/>
        <v>0</v>
      </c>
      <c r="IK65" s="59">
        <f t="shared" si="230"/>
        <v>0</v>
      </c>
      <c r="IL65" s="59">
        <f t="shared" si="231"/>
        <v>0</v>
      </c>
      <c r="IM65" s="59">
        <f t="shared" si="232"/>
        <v>0</v>
      </c>
      <c r="IN65" s="59">
        <f t="shared" si="233"/>
        <v>0</v>
      </c>
      <c r="IO65" s="58">
        <f t="shared" si="234"/>
        <v>0</v>
      </c>
      <c r="IP65" s="45">
        <f t="shared" si="235"/>
        <v>110</v>
      </c>
      <c r="IQ65" s="45">
        <f t="shared" si="569"/>
        <v>2.9889999999999999</v>
      </c>
      <c r="IR65" s="45">
        <f t="shared" si="236"/>
        <v>1</v>
      </c>
      <c r="IS65" s="45">
        <f t="shared" si="237"/>
        <v>2</v>
      </c>
      <c r="IT65" s="46">
        <f t="shared" si="238"/>
        <v>0</v>
      </c>
      <c r="IU65" s="46" cm="1">
        <f t="array" ref="IU65">ROUND(IFERROR(INDEX(ArchiveResults!$F$5:$IX$116,ComparisonData!A65,ComparisonData!$IU$1),0),5)</f>
        <v>0</v>
      </c>
      <c r="IV65" s="46" cm="1">
        <f t="array" ref="IV65">ROUND(IFERROR(INDEX(ArchiveResults!$F$5:$IX$116,ComparisonData!A65,ComparisonData!$IV$1),0),5)</f>
        <v>0</v>
      </c>
      <c r="IW65" s="46" cm="1">
        <f t="array" ref="IW65">ROUND(IFERROR(INDEX(ArchiveResults!$F$5:$IX$116,ComparisonData!A65,ComparisonData!$IW$1),0),5)</f>
        <v>0</v>
      </c>
      <c r="IX65" s="46" cm="1">
        <f t="array" ref="IX65">ROUND(IFERROR(INDEX(ArchiveResults!$F$5:$IX$116,ComparisonData!A65,ComparisonData!$IX$1),0),5)</f>
        <v>0</v>
      </c>
      <c r="IY65" s="45" cm="1">
        <f t="array" ref="IY65">IFERROR(INDEX(ArchiveResults!$F$5:$IX$116,ComparisonData!A65,ComparisonData!$IY$1),0)</f>
        <v>0</v>
      </c>
      <c r="IZ65" s="56">
        <v>60</v>
      </c>
      <c r="JA65" s="53" t="str">
        <f t="shared" si="570"/>
        <v>North Yorkshire County Record Office</v>
      </c>
      <c r="JB65" s="59">
        <f t="shared" si="239"/>
        <v>0</v>
      </c>
      <c r="JC65" s="59">
        <f t="shared" si="240"/>
        <v>0</v>
      </c>
      <c r="JD65" s="59">
        <f t="shared" si="241"/>
        <v>0</v>
      </c>
      <c r="JE65" s="59">
        <f t="shared" si="242"/>
        <v>0</v>
      </c>
      <c r="JF65" s="59">
        <f t="shared" si="243"/>
        <v>0</v>
      </c>
      <c r="JG65" s="58">
        <f t="shared" si="244"/>
        <v>0</v>
      </c>
      <c r="JH65" s="45">
        <f t="shared" si="245"/>
        <v>110</v>
      </c>
      <c r="JI65" s="45">
        <f t="shared" si="571"/>
        <v>2.9889999999999999</v>
      </c>
      <c r="JJ65" s="45">
        <f t="shared" si="246"/>
        <v>1</v>
      </c>
      <c r="JK65" s="45">
        <f t="shared" si="247"/>
        <v>2</v>
      </c>
      <c r="JL65" s="45">
        <f t="shared" si="248"/>
        <v>0</v>
      </c>
      <c r="JM65" s="46" cm="1">
        <f t="array" ref="JM65">ROUND(IFERROR(INDEX(ArchiveResults!$F$5:$IX$116,ComparisonData!A65,ComparisonData!$JM$1),0),5)</f>
        <v>0</v>
      </c>
      <c r="JN65" s="46" cm="1">
        <f t="array" ref="JN65">ROUND(IFERROR(INDEX(ArchiveResults!$F$5:$IX$116,ComparisonData!A65,ComparisonData!$JN$1),0),5)</f>
        <v>0</v>
      </c>
      <c r="JO65" s="46" cm="1">
        <f t="array" ref="JO65">ROUND(IFERROR(INDEX(ArchiveResults!$F$5:$IX$116,ComparisonData!A65,ComparisonData!$JO$1),0),5)</f>
        <v>0</v>
      </c>
      <c r="JP65" s="46" cm="1">
        <f t="array" ref="JP65">ROUND(IFERROR(INDEX(ArchiveResults!$F$5:$IX$116,ComparisonData!A65,ComparisonData!$JP$1),0),5)</f>
        <v>0</v>
      </c>
      <c r="JQ65" s="45" cm="1">
        <f t="array" ref="JQ65">IFERROR(INDEX(ArchiveResults!$F$5:$IX$116,ComparisonData!A65,ComparisonData!$JQ$1),0)</f>
        <v>0</v>
      </c>
      <c r="JR65" s="56">
        <v>60</v>
      </c>
      <c r="JS65" s="53" t="str">
        <f t="shared" si="572"/>
        <v>North Yorkshire County Record Office</v>
      </c>
      <c r="JT65" s="59">
        <f t="shared" si="249"/>
        <v>0</v>
      </c>
      <c r="JU65" s="59">
        <f t="shared" si="250"/>
        <v>0</v>
      </c>
      <c r="JV65" s="59">
        <f t="shared" si="251"/>
        <v>0</v>
      </c>
      <c r="JW65" s="59">
        <f t="shared" si="252"/>
        <v>0</v>
      </c>
      <c r="JX65" s="59">
        <f t="shared" si="253"/>
        <v>0</v>
      </c>
      <c r="JY65" s="58">
        <f t="shared" si="254"/>
        <v>0</v>
      </c>
      <c r="JZ65" s="45">
        <f t="shared" si="255"/>
        <v>110</v>
      </c>
      <c r="KA65" s="45">
        <f t="shared" si="573"/>
        <v>2.9889999999999999</v>
      </c>
      <c r="KB65" s="45">
        <f t="shared" si="256"/>
        <v>1</v>
      </c>
      <c r="KC65" s="45">
        <f t="shared" si="257"/>
        <v>2</v>
      </c>
      <c r="KD65" s="45">
        <f t="shared" si="258"/>
        <v>0</v>
      </c>
      <c r="KE65" s="46" cm="1">
        <f t="array" ref="KE65">ROUND(IFERROR(INDEX(ArchiveResults!$F$5:$IX$116,ComparisonData!A65,ComparisonData!$KE$1),0),5)</f>
        <v>0</v>
      </c>
      <c r="KF65" s="46" cm="1">
        <f t="array" ref="KF65">ROUND(IFERROR(INDEX(ArchiveResults!$F$5:$IX$116,ComparisonData!A65,ComparisonData!$KF$1),0),5)</f>
        <v>0</v>
      </c>
      <c r="KG65" s="46" cm="1">
        <f t="array" ref="KG65">ROUND(IFERROR(INDEX(ArchiveResults!$F$5:$IX$116,ComparisonData!A65,ComparisonData!$KG$1),0),5)</f>
        <v>0</v>
      </c>
      <c r="KH65" s="46" cm="1">
        <f t="array" ref="KH65">ROUND(IFERROR(INDEX(ArchiveResults!$F$5:$IX$116,ComparisonData!A65,ComparisonData!$KH$1),0),5)</f>
        <v>0</v>
      </c>
      <c r="KI65" s="45" cm="1">
        <f t="array" ref="KI65">IFERROR(INDEX(ArchiveResults!$F$5:$IX$116,ComparisonData!A65,ComparisonData!$KI$1),0)</f>
        <v>0</v>
      </c>
      <c r="KJ65" s="56">
        <v>60</v>
      </c>
      <c r="KK65" s="53" t="str">
        <f t="shared" si="574"/>
        <v>North Yorkshire County Record Office</v>
      </c>
      <c r="KL65" s="59">
        <f t="shared" si="259"/>
        <v>0</v>
      </c>
      <c r="KM65" s="59">
        <f t="shared" si="260"/>
        <v>0</v>
      </c>
      <c r="KN65" s="59">
        <f t="shared" si="261"/>
        <v>0</v>
      </c>
      <c r="KO65" s="59">
        <f t="shared" si="262"/>
        <v>0</v>
      </c>
      <c r="KP65" s="59">
        <f t="shared" si="263"/>
        <v>0</v>
      </c>
      <c r="KQ65" s="58">
        <f t="shared" si="264"/>
        <v>0</v>
      </c>
      <c r="KR65" s="45">
        <f t="shared" si="265"/>
        <v>110</v>
      </c>
      <c r="KS65" s="45">
        <f t="shared" si="575"/>
        <v>2.9889999999999999</v>
      </c>
      <c r="KT65" s="45">
        <f t="shared" si="266"/>
        <v>1</v>
      </c>
      <c r="KU65" s="45">
        <f t="shared" si="267"/>
        <v>2</v>
      </c>
      <c r="KV65" s="45">
        <f t="shared" si="268"/>
        <v>0</v>
      </c>
      <c r="KW65" s="46" cm="1">
        <f t="array" ref="KW65">ROUND(IFERROR(INDEX(ArchiveResults!$F$5:$IX$116,ComparisonData!A65,ComparisonData!$KW$1),0),5)</f>
        <v>0</v>
      </c>
      <c r="KX65" s="46" cm="1">
        <f t="array" ref="KX65">ROUND(IFERROR(INDEX(ArchiveResults!$F$5:$IX$116,ComparisonData!A65,ComparisonData!$KX$1),0),5)</f>
        <v>0</v>
      </c>
      <c r="KY65" s="46" cm="1">
        <f t="array" ref="KY65">ROUND(IFERROR(INDEX(ArchiveResults!$F$5:$IX$116,ComparisonData!A65,ComparisonData!$KY$1),0),5)</f>
        <v>0</v>
      </c>
      <c r="KZ65" s="46" cm="1">
        <f t="array" ref="KZ65">ROUND(IFERROR(INDEX(ArchiveResults!$F$5:$IX$116,ComparisonData!A65,ComparisonData!$KZ$1),0),5)</f>
        <v>0</v>
      </c>
      <c r="LA65" s="45" cm="1">
        <f t="array" ref="LA65">IFERROR(INDEX(ArchiveResults!$F$5:$IX$116,ComparisonData!A65,ComparisonData!$LA$1),0)</f>
        <v>0</v>
      </c>
      <c r="LB65" s="56">
        <v>60</v>
      </c>
      <c r="LC65" s="53" t="str">
        <f t="shared" si="576"/>
        <v>North Yorkshire County Record Office</v>
      </c>
      <c r="LD65" s="59">
        <f t="shared" si="269"/>
        <v>0</v>
      </c>
      <c r="LE65" s="59">
        <f t="shared" si="270"/>
        <v>0</v>
      </c>
      <c r="LF65" s="59">
        <f t="shared" si="271"/>
        <v>0</v>
      </c>
      <c r="LG65" s="59">
        <f t="shared" si="272"/>
        <v>0</v>
      </c>
      <c r="LH65" s="59">
        <f t="shared" si="273"/>
        <v>0</v>
      </c>
      <c r="LI65" s="58">
        <f t="shared" si="274"/>
        <v>0</v>
      </c>
      <c r="LJ65" s="45">
        <f t="shared" si="275"/>
        <v>110</v>
      </c>
      <c r="LK65" s="45">
        <f t="shared" si="577"/>
        <v>2.9889999999999999</v>
      </c>
      <c r="LL65" s="45">
        <f t="shared" si="276"/>
        <v>1</v>
      </c>
      <c r="LM65" s="45">
        <f t="shared" si="277"/>
        <v>2</v>
      </c>
      <c r="LN65" s="45">
        <f t="shared" si="278"/>
        <v>0</v>
      </c>
      <c r="LO65" s="46" cm="1">
        <f t="array" ref="LO65">ROUND(IFERROR(INDEX(ArchiveResults!$F$5:$IX$116,ComparisonData!A65,ComparisonData!$LO$1),0),5)</f>
        <v>0</v>
      </c>
      <c r="LP65" s="46" cm="1">
        <f t="array" ref="LP65">ROUND(IFERROR(INDEX(ArchiveResults!$F$5:$IX$116,ComparisonData!A65,ComparisonData!$LP$1),0),5)</f>
        <v>0</v>
      </c>
      <c r="LQ65" s="46" cm="1">
        <f t="array" ref="LQ65">ROUND(IFERROR(INDEX(ArchiveResults!$F$5:$IX$116,ComparisonData!A65,ComparisonData!$LQ$1),0),5)</f>
        <v>0</v>
      </c>
      <c r="LR65" s="46" cm="1">
        <f t="array" ref="LR65">ROUND(IFERROR(INDEX(ArchiveResults!$F$5:$IX$116,ComparisonData!A65,ComparisonData!$LR$1),0),5)</f>
        <v>0</v>
      </c>
      <c r="LS65" s="45" cm="1">
        <f t="array" ref="LS65">IFERROR(INDEX(ArchiveResults!$F$5:$IX$116,ComparisonData!A65,ComparisonData!$LS$1),0)</f>
        <v>0</v>
      </c>
      <c r="LT65" s="56">
        <v>60</v>
      </c>
      <c r="LU65" s="53" t="str">
        <f t="shared" si="578"/>
        <v>North Yorkshire County Record Office</v>
      </c>
      <c r="LV65" s="59">
        <f t="shared" si="279"/>
        <v>0</v>
      </c>
      <c r="LW65" s="59">
        <f t="shared" si="280"/>
        <v>0</v>
      </c>
      <c r="LX65" s="59">
        <f t="shared" si="281"/>
        <v>0</v>
      </c>
      <c r="LY65" s="59">
        <f t="shared" si="282"/>
        <v>0</v>
      </c>
      <c r="LZ65" s="59">
        <f t="shared" si="283"/>
        <v>0</v>
      </c>
      <c r="MA65" s="58">
        <f t="shared" si="284"/>
        <v>0</v>
      </c>
      <c r="MB65" s="45">
        <f t="shared" si="285"/>
        <v>110</v>
      </c>
      <c r="MC65" s="45">
        <f t="shared" si="579"/>
        <v>2.9889999999999999</v>
      </c>
      <c r="MD65" s="45">
        <f t="shared" si="286"/>
        <v>1</v>
      </c>
      <c r="ME65" s="45">
        <f t="shared" si="287"/>
        <v>2</v>
      </c>
      <c r="MF65" s="45">
        <f t="shared" si="288"/>
        <v>0</v>
      </c>
      <c r="MG65" s="46" cm="1">
        <f t="array" ref="MG65">ROUND(IFERROR(INDEX(ArchiveResults!$F$5:$IX$116,ComparisonData!A65,ComparisonData!$MG$1),0),5)</f>
        <v>0</v>
      </c>
      <c r="MH65" s="46" cm="1">
        <f t="array" ref="MH65">ROUND(IFERROR(INDEX(ArchiveResults!$F$5:$IX$116,ComparisonData!A65,ComparisonData!$MH$1),0),5)</f>
        <v>0</v>
      </c>
      <c r="MI65" s="46" cm="1">
        <f t="array" ref="MI65">ROUND(IFERROR(INDEX(ArchiveResults!$F$5:$IX$116,ComparisonData!A65,ComparisonData!$MI$1),0),5)</f>
        <v>0</v>
      </c>
      <c r="MJ65" s="46" cm="1">
        <f t="array" ref="MJ65">ROUND(IFERROR(INDEX(ArchiveResults!$F$5:$IX$116,ComparisonData!A65,ComparisonData!$MJ$1),0),5)</f>
        <v>0</v>
      </c>
      <c r="MK65" s="45" cm="1">
        <f t="array" ref="MK65">IFERROR(INDEX(ArchiveResults!$F$5:$IX$116,ComparisonData!A65,ComparisonData!$MK$1),0)</f>
        <v>0</v>
      </c>
      <c r="ML65" s="56">
        <v>60</v>
      </c>
      <c r="MM65" s="53" t="str">
        <f t="shared" si="580"/>
        <v>North Yorkshire County Record Office</v>
      </c>
      <c r="MN65" s="59">
        <f t="shared" si="289"/>
        <v>0</v>
      </c>
      <c r="MO65" s="59">
        <f t="shared" si="290"/>
        <v>0</v>
      </c>
      <c r="MP65" s="59">
        <f t="shared" si="291"/>
        <v>0</v>
      </c>
      <c r="MQ65" s="59">
        <f t="shared" si="292"/>
        <v>0</v>
      </c>
      <c r="MR65" s="59">
        <f t="shared" si="293"/>
        <v>0</v>
      </c>
      <c r="MS65" s="58">
        <f t="shared" si="294"/>
        <v>0</v>
      </c>
      <c r="MT65" s="45">
        <f t="shared" si="295"/>
        <v>110</v>
      </c>
      <c r="MU65" s="45">
        <f t="shared" si="581"/>
        <v>2.9889999999999999</v>
      </c>
      <c r="MV65" s="45">
        <f t="shared" si="296"/>
        <v>1</v>
      </c>
      <c r="MW65" s="45">
        <f t="shared" si="297"/>
        <v>2</v>
      </c>
      <c r="MX65" s="45">
        <f t="shared" si="298"/>
        <v>0</v>
      </c>
      <c r="MY65" s="46" cm="1">
        <f t="array" ref="MY65">ROUND(IFERROR(INDEX(ArchiveResults!$F$5:$IX$116,ComparisonData!A65,ComparisonData!$MY$1),0),5)</f>
        <v>0</v>
      </c>
      <c r="MZ65" s="46" cm="1">
        <f t="array" ref="MZ65">ROUND(IFERROR(INDEX(ArchiveResults!$F$5:$IX$116,ComparisonData!A65,ComparisonData!$MZ$1),0),5)</f>
        <v>0</v>
      </c>
      <c r="NA65" s="46" cm="1">
        <f t="array" ref="NA65">ROUND(IFERROR(INDEX(ArchiveResults!$F$5:$IX$116,ComparisonData!A65,ComparisonData!$NA$1),0),5)</f>
        <v>0</v>
      </c>
      <c r="NB65" s="46" cm="1">
        <f t="array" ref="NB65">ROUND(IFERROR(INDEX(ArchiveResults!$F$5:$IX$116,ComparisonData!A65,ComparisonData!$NB$1),0),5)</f>
        <v>0</v>
      </c>
      <c r="NC65" s="45" cm="1">
        <f t="array" ref="NC65">IFERROR(INDEX(ArchiveResults!$F$5:$IX$116,ComparisonData!A65,ComparisonData!$NC$1),0)</f>
        <v>0</v>
      </c>
      <c r="ND65" s="56">
        <v>60</v>
      </c>
      <c r="NE65" s="53" t="str">
        <f t="shared" si="582"/>
        <v>North Yorkshire County Record Office</v>
      </c>
      <c r="NF65" s="59">
        <f t="shared" si="299"/>
        <v>0</v>
      </c>
      <c r="NG65" s="59">
        <f t="shared" si="300"/>
        <v>0</v>
      </c>
      <c r="NH65" s="59">
        <f t="shared" si="301"/>
        <v>0</v>
      </c>
      <c r="NI65" s="59">
        <f t="shared" si="302"/>
        <v>0</v>
      </c>
      <c r="NJ65" s="59">
        <f t="shared" si="303"/>
        <v>0</v>
      </c>
      <c r="NK65" s="58">
        <f t="shared" si="304"/>
        <v>0</v>
      </c>
      <c r="NL65" s="45">
        <f t="shared" si="305"/>
        <v>110</v>
      </c>
      <c r="NM65" s="45">
        <f t="shared" si="583"/>
        <v>2.9889999999999999</v>
      </c>
      <c r="NN65" s="45">
        <f t="shared" si="306"/>
        <v>1</v>
      </c>
      <c r="NO65" s="45">
        <f t="shared" si="307"/>
        <v>2</v>
      </c>
      <c r="NP65" s="46" cm="1">
        <f t="array" ref="NP65">ROUND(IFERROR(INDEX(ArchiveResults!$F$5:$IX$116,ComparisonData!A65,ComparisonData!$NP$1),0),5)</f>
        <v>0</v>
      </c>
      <c r="NQ65" s="46" cm="1">
        <f t="array" ref="NQ65">ROUND(IFERROR(INDEX(ArchiveResults!$F$5:$IX$116,ComparisonData!A65,ComparisonData!$NQ$1),0),5)</f>
        <v>0</v>
      </c>
      <c r="NR65" s="46" cm="1">
        <f t="array" ref="NR65">ROUND(IFERROR(INDEX(ArchiveResults!$F$5:$IX$116,ComparisonData!A65,ComparisonData!$NR$1),0),5)</f>
        <v>0</v>
      </c>
      <c r="NS65" s="46" cm="1">
        <f t="array" ref="NS65">ROUND(IFERROR(INDEX(ArchiveResults!$F$5:$IX$116,ComparisonData!A65,ComparisonData!$NS$1),0),5)</f>
        <v>0</v>
      </c>
      <c r="NT65" s="45" cm="1">
        <f t="array" ref="NT65">IFERROR(INDEX(ArchiveResults!$F$5:$IX$116,ComparisonData!A65,ComparisonData!$NT$1),0)</f>
        <v>0</v>
      </c>
      <c r="NU65" s="56">
        <v>60</v>
      </c>
      <c r="NV65" s="53" t="str">
        <f t="shared" si="584"/>
        <v>North Yorkshire County Record Office</v>
      </c>
      <c r="NW65" s="59">
        <f t="shared" si="308"/>
        <v>0</v>
      </c>
      <c r="NX65" s="59">
        <f t="shared" si="309"/>
        <v>0</v>
      </c>
      <c r="NY65" s="59">
        <f t="shared" si="310"/>
        <v>0</v>
      </c>
      <c r="NZ65" s="59">
        <f t="shared" si="311"/>
        <v>0</v>
      </c>
      <c r="OA65" s="59">
        <f t="shared" si="312"/>
        <v>0</v>
      </c>
      <c r="OB65" s="58">
        <f t="shared" si="313"/>
        <v>0</v>
      </c>
      <c r="OC65" s="45">
        <f t="shared" si="314"/>
        <v>110</v>
      </c>
      <c r="OD65" s="45">
        <f t="shared" si="585"/>
        <v>2.9889999999999999</v>
      </c>
      <c r="OE65" s="45">
        <f t="shared" si="315"/>
        <v>1</v>
      </c>
      <c r="OF65" s="45">
        <f t="shared" si="316"/>
        <v>2</v>
      </c>
      <c r="OG65" s="46">
        <f t="shared" si="317"/>
        <v>0</v>
      </c>
      <c r="OH65" s="46" cm="1">
        <f t="array" ref="OH65">ROUND(IFERROR(INDEX(ArchiveResults!$F$5:$IX$116,ComparisonData!A65,ComparisonData!$OH$1),0),5)</f>
        <v>0</v>
      </c>
      <c r="OI65" s="46" cm="1">
        <f t="array" ref="OI65">ROUND(IFERROR(INDEX(ArchiveResults!$F$5:$IX$116,ComparisonData!A65,ComparisonData!$OI$1),0),5)</f>
        <v>0</v>
      </c>
      <c r="OJ65" s="46" cm="1">
        <f t="array" ref="OJ65">ROUND(IFERROR(INDEX(ArchiveResults!$F$5:$IX$116,ComparisonData!A65,ComparisonData!$OJ$1),0),5)</f>
        <v>0</v>
      </c>
      <c r="OK65" s="46" cm="1">
        <f t="array" ref="OK65">ROUND(IFERROR(INDEX(ArchiveResults!$F$5:$IX$116,ComparisonData!A65,ComparisonData!$OK$1),0),5)</f>
        <v>0</v>
      </c>
      <c r="OL65" s="45" cm="1">
        <f t="array" ref="OL65">IFERROR(INDEX(ArchiveResults!$F$5:$IX$116,ComparisonData!A65,ComparisonData!$OL$1),0)</f>
        <v>0</v>
      </c>
      <c r="OM65" s="56">
        <v>60</v>
      </c>
      <c r="ON65" s="53" t="str">
        <f t="shared" si="586"/>
        <v>North Yorkshire County Record Office</v>
      </c>
      <c r="OO65" s="59">
        <f t="shared" si="318"/>
        <v>0</v>
      </c>
      <c r="OP65" s="59">
        <f t="shared" si="319"/>
        <v>0</v>
      </c>
      <c r="OQ65" s="59">
        <f t="shared" si="320"/>
        <v>0</v>
      </c>
      <c r="OR65" s="59">
        <f t="shared" si="321"/>
        <v>0</v>
      </c>
      <c r="OS65" s="59">
        <f t="shared" si="322"/>
        <v>0</v>
      </c>
      <c r="OT65" s="58">
        <f t="shared" si="323"/>
        <v>0</v>
      </c>
      <c r="OU65" s="45">
        <f t="shared" si="324"/>
        <v>110</v>
      </c>
      <c r="OV65" s="45">
        <f t="shared" si="587"/>
        <v>2.9889999999999999</v>
      </c>
      <c r="OW65" s="45">
        <f t="shared" si="325"/>
        <v>1</v>
      </c>
      <c r="OX65" s="45">
        <f t="shared" si="326"/>
        <v>2</v>
      </c>
      <c r="OY65" s="45">
        <f t="shared" si="327"/>
        <v>0</v>
      </c>
      <c r="OZ65" s="46" cm="1">
        <f t="array" ref="OZ65">ROUND(IFERROR(INDEX(ArchiveResults!$F$5:$IX$116,ComparisonData!A65,ComparisonData!$OZ$1),0),5)</f>
        <v>0</v>
      </c>
      <c r="PA65" s="46" cm="1">
        <f t="array" ref="PA65">ROUND(IFERROR(INDEX(ArchiveResults!$F$5:$IX$116,ComparisonData!A65,ComparisonData!$PA$1),0),5)</f>
        <v>0</v>
      </c>
      <c r="PB65" s="46" cm="1">
        <f t="array" ref="PB65">ROUND(IFERROR(INDEX(ArchiveResults!$F$5:$IX$116,ComparisonData!A65,ComparisonData!$PB$1),0),5)</f>
        <v>0</v>
      </c>
      <c r="PC65" s="46" cm="1">
        <f t="array" ref="PC65">ROUND(IFERROR(INDEX(ArchiveResults!$F$5:$IX$116,ComparisonData!A65,ComparisonData!$PC$1),0),5)</f>
        <v>0</v>
      </c>
      <c r="PD65" s="45" cm="1">
        <f t="array" ref="PD65">IFERROR(INDEX(ArchiveResults!$F$5:$IX$116,ComparisonData!A65,ComparisonData!$PD$1),0)</f>
        <v>0</v>
      </c>
      <c r="PE65" s="56">
        <v>60</v>
      </c>
      <c r="PF65" s="53" t="str">
        <f t="shared" si="588"/>
        <v>North Yorkshire County Record Office</v>
      </c>
      <c r="PG65" s="59">
        <f t="shared" si="328"/>
        <v>0</v>
      </c>
      <c r="PH65" s="59">
        <f t="shared" si="329"/>
        <v>0</v>
      </c>
      <c r="PI65" s="59">
        <f t="shared" si="330"/>
        <v>0</v>
      </c>
      <c r="PJ65" s="59">
        <f t="shared" si="331"/>
        <v>0</v>
      </c>
      <c r="PK65" s="59">
        <f t="shared" si="332"/>
        <v>0</v>
      </c>
      <c r="PL65" s="58">
        <f t="shared" si="333"/>
        <v>0</v>
      </c>
      <c r="PM65" s="45">
        <f t="shared" si="334"/>
        <v>110</v>
      </c>
      <c r="PN65" s="45">
        <f t="shared" si="589"/>
        <v>2.9889999999999999</v>
      </c>
      <c r="PO65" s="45">
        <f t="shared" si="335"/>
        <v>1</v>
      </c>
      <c r="PP65" s="45">
        <f t="shared" si="336"/>
        <v>2</v>
      </c>
      <c r="PQ65" s="45">
        <f t="shared" si="337"/>
        <v>0</v>
      </c>
      <c r="PR65" s="46" cm="1">
        <f t="array" ref="PR65">ROUND(IFERROR(INDEX(ArchiveResults!$F$5:$IX$116,ComparisonData!A65,ComparisonData!$PR$1),0),5)</f>
        <v>0</v>
      </c>
      <c r="PS65" s="46" cm="1">
        <f t="array" ref="PS65">ROUND(IFERROR(INDEX(ArchiveResults!$F$5:$IX$116,ComparisonData!A65,ComparisonData!$PS$1),0),5)</f>
        <v>0</v>
      </c>
      <c r="PT65" s="46" cm="1">
        <f t="array" ref="PT65">ROUND(IFERROR(INDEX(ArchiveResults!$F$5:$IX$116,ComparisonData!A65,ComparisonData!$PT$1),0),5)</f>
        <v>0</v>
      </c>
      <c r="PU65" s="46" cm="1">
        <f t="array" ref="PU65">ROUND(IFERROR(INDEX(ArchiveResults!$F$5:$IX$116,ComparisonData!A65,ComparisonData!$PU$1),0),5)</f>
        <v>0</v>
      </c>
      <c r="PV65" s="45" cm="1">
        <f t="array" ref="PV65">IFERROR(INDEX(ArchiveResults!$F$5:$IX$116,ComparisonData!A65,ComparisonData!$PV$1),0)</f>
        <v>0</v>
      </c>
      <c r="PW65" s="56">
        <v>60</v>
      </c>
      <c r="PX65" s="53" t="str">
        <f t="shared" si="590"/>
        <v>North Yorkshire County Record Office</v>
      </c>
      <c r="PY65" s="59">
        <f t="shared" si="338"/>
        <v>0</v>
      </c>
      <c r="PZ65" s="59">
        <f t="shared" si="339"/>
        <v>0</v>
      </c>
      <c r="QA65" s="59">
        <f t="shared" si="340"/>
        <v>0</v>
      </c>
      <c r="QB65" s="59">
        <f t="shared" si="341"/>
        <v>0</v>
      </c>
      <c r="QC65" s="59">
        <f t="shared" si="342"/>
        <v>0</v>
      </c>
      <c r="QD65" s="58">
        <f t="shared" si="343"/>
        <v>0</v>
      </c>
      <c r="QE65" s="45">
        <f t="shared" si="344"/>
        <v>110</v>
      </c>
      <c r="QF65" s="45">
        <f t="shared" si="591"/>
        <v>2.9889999999999999</v>
      </c>
      <c r="QG65" s="45">
        <f t="shared" si="345"/>
        <v>1</v>
      </c>
      <c r="QH65" s="45">
        <f t="shared" si="346"/>
        <v>2</v>
      </c>
      <c r="QI65" s="45">
        <f t="shared" si="347"/>
        <v>0</v>
      </c>
      <c r="QJ65" s="46" cm="1">
        <f t="array" ref="QJ65">ROUND(IFERROR(INDEX(ArchiveResults!$F$5:$IX$116,ComparisonData!A65,ComparisonData!$QJ$1),0),5)</f>
        <v>0</v>
      </c>
      <c r="QK65" s="46" cm="1">
        <f t="array" ref="QK65">ROUND(IFERROR(INDEX(ArchiveResults!$F$5:$IX$116,ComparisonData!A65,ComparisonData!$QK$1),0),5)</f>
        <v>0</v>
      </c>
      <c r="QL65" s="46" cm="1">
        <f t="array" ref="QL65">ROUND(IFERROR(INDEX(ArchiveResults!$F$5:$IX$116,ComparisonData!A65,ComparisonData!$QL$1),0),5)</f>
        <v>0</v>
      </c>
      <c r="QM65" s="46" cm="1">
        <f t="array" ref="QM65">ROUND(IFERROR(INDEX(ArchiveResults!$F$5:$IX$116,ComparisonData!A65,ComparisonData!$QM$1),0),5)</f>
        <v>0</v>
      </c>
      <c r="QN65" s="45" cm="1">
        <f t="array" ref="QN65">IFERROR(INDEX(ArchiveResults!$F$5:$IX$116,ComparisonData!A65,ComparisonData!$QN$1),0)</f>
        <v>0</v>
      </c>
      <c r="QO65" s="56">
        <v>60</v>
      </c>
      <c r="QP65" s="53" t="str">
        <f t="shared" si="592"/>
        <v>North Yorkshire County Record Office</v>
      </c>
      <c r="QQ65" s="59">
        <f t="shared" si="348"/>
        <v>0</v>
      </c>
      <c r="QR65" s="59">
        <f t="shared" si="349"/>
        <v>0</v>
      </c>
      <c r="QS65" s="59">
        <f t="shared" si="350"/>
        <v>0</v>
      </c>
      <c r="QT65" s="59">
        <f t="shared" si="351"/>
        <v>0</v>
      </c>
      <c r="QU65" s="59">
        <f t="shared" si="352"/>
        <v>0</v>
      </c>
      <c r="QV65" s="58">
        <f t="shared" si="353"/>
        <v>0</v>
      </c>
      <c r="QW65" s="45">
        <f t="shared" si="354"/>
        <v>110</v>
      </c>
      <c r="QX65" s="45">
        <f t="shared" si="593"/>
        <v>2.9889999999999999</v>
      </c>
      <c r="QY65" s="45">
        <f t="shared" si="355"/>
        <v>1</v>
      </c>
      <c r="QZ65" s="45">
        <f t="shared" si="356"/>
        <v>2</v>
      </c>
      <c r="RA65" s="45">
        <f t="shared" si="357"/>
        <v>0</v>
      </c>
      <c r="RB65" s="46" cm="1">
        <f t="array" ref="RB65">ROUND(IFERROR(INDEX(ArchiveResults!$F$5:$IX$116,ComparisonData!A65,ComparisonData!$RB$1),0),5)</f>
        <v>0</v>
      </c>
      <c r="RC65" s="46" cm="1">
        <f t="array" ref="RC65">ROUND(IFERROR(INDEX(ArchiveResults!$F$5:$IX$116,ComparisonData!A65,ComparisonData!$RC$1),0),5)</f>
        <v>0</v>
      </c>
      <c r="RD65" s="46" cm="1">
        <f t="array" ref="RD65">ROUND(IFERROR(INDEX(ArchiveResults!$F$5:$IX$116,ComparisonData!A65,ComparisonData!$RD$1),0),5)</f>
        <v>0</v>
      </c>
      <c r="RE65" s="46" cm="1">
        <f t="array" ref="RE65">ROUND(IFERROR(INDEX(ArchiveResults!$F$5:$IX$116,ComparisonData!A65,ComparisonData!$RE$1),0),5)</f>
        <v>0</v>
      </c>
      <c r="RF65" s="45" cm="1">
        <f t="array" ref="RF65">IFERROR(INDEX(ArchiveResults!$F$5:$IX$116,ComparisonData!A65,ComparisonData!$RF$1),0)</f>
        <v>0</v>
      </c>
      <c r="RG65" s="56">
        <v>60</v>
      </c>
      <c r="RH65" s="53" t="str">
        <f t="shared" si="594"/>
        <v>North Yorkshire County Record Office</v>
      </c>
      <c r="RI65" s="59">
        <f t="shared" si="358"/>
        <v>0</v>
      </c>
      <c r="RJ65" s="59">
        <f t="shared" si="359"/>
        <v>0</v>
      </c>
      <c r="RK65" s="59">
        <f t="shared" si="360"/>
        <v>0</v>
      </c>
      <c r="RL65" s="59">
        <f t="shared" si="361"/>
        <v>0</v>
      </c>
      <c r="RM65" s="59">
        <f t="shared" si="362"/>
        <v>0</v>
      </c>
      <c r="RN65" s="58">
        <f t="shared" si="363"/>
        <v>0</v>
      </c>
      <c r="RO65" s="45">
        <f t="shared" si="364"/>
        <v>110</v>
      </c>
      <c r="RP65" s="45">
        <f t="shared" si="595"/>
        <v>2.9889999999999999</v>
      </c>
      <c r="RQ65" s="45">
        <f t="shared" si="365"/>
        <v>1</v>
      </c>
      <c r="RR65" s="45">
        <f t="shared" si="366"/>
        <v>2</v>
      </c>
      <c r="RS65" s="45">
        <f t="shared" si="367"/>
        <v>0</v>
      </c>
      <c r="RT65" s="46" cm="1">
        <f t="array" ref="RT65">ROUND(IFERROR(INDEX(ArchiveResults!$F$5:$IX$116,ComparisonData!A65,ComparisonData!$RT$1),0),5)</f>
        <v>0</v>
      </c>
      <c r="RU65" s="46" cm="1">
        <f t="array" ref="RU65">ROUND(IFERROR(INDEX(ArchiveResults!$F$5:$IX$116,ComparisonData!A65,ComparisonData!$RU$1),0),5)</f>
        <v>0</v>
      </c>
      <c r="RV65" s="46" cm="1">
        <f t="array" ref="RV65">ROUND(IFERROR(INDEX(ArchiveResults!$F$5:$IX$116,ComparisonData!A65,ComparisonData!$RV$1),0),5)</f>
        <v>0</v>
      </c>
      <c r="RW65" s="46" cm="1">
        <f t="array" ref="RW65">ROUND(IFERROR(INDEX(ArchiveResults!$F$5:$IX$116,ComparisonData!A65,ComparisonData!$RW$1),0),5)</f>
        <v>0</v>
      </c>
      <c r="RX65" s="45" cm="1">
        <f t="array" ref="RX65">IFERROR(INDEX(ArchiveResults!$F$5:$IX$116,ComparisonData!A65,ComparisonData!$RX$1),0)</f>
        <v>0</v>
      </c>
      <c r="RY65" s="56">
        <v>60</v>
      </c>
      <c r="RZ65" s="53" t="str">
        <f t="shared" si="596"/>
        <v>North Yorkshire County Record Office</v>
      </c>
      <c r="SA65" s="59">
        <f t="shared" si="368"/>
        <v>0</v>
      </c>
      <c r="SB65" s="59">
        <f t="shared" si="369"/>
        <v>0</v>
      </c>
      <c r="SC65" s="59">
        <f t="shared" si="370"/>
        <v>0</v>
      </c>
      <c r="SD65" s="59">
        <f t="shared" si="371"/>
        <v>0</v>
      </c>
      <c r="SE65" s="59">
        <f t="shared" si="372"/>
        <v>0</v>
      </c>
      <c r="SF65" s="58">
        <f t="shared" si="373"/>
        <v>0</v>
      </c>
      <c r="SG65" s="45">
        <f t="shared" si="374"/>
        <v>110</v>
      </c>
      <c r="SH65" s="45">
        <f t="shared" si="597"/>
        <v>2.9889999999999999</v>
      </c>
      <c r="SI65" s="45">
        <f t="shared" si="375"/>
        <v>1</v>
      </c>
      <c r="SJ65" s="45">
        <f t="shared" si="376"/>
        <v>2</v>
      </c>
      <c r="SK65" s="45">
        <f t="shared" si="377"/>
        <v>0</v>
      </c>
      <c r="SL65" s="46" cm="1">
        <f t="array" ref="SL65">ROUND(IFERROR(INDEX(ArchiveResults!$F$5:$IX$116,ComparisonData!A65,ComparisonData!$SL$1),0),5)</f>
        <v>0</v>
      </c>
      <c r="SM65" s="46" cm="1">
        <f t="array" ref="SM65">ROUND(IFERROR(INDEX(ArchiveResults!$F$5:$IX$116,ComparisonData!A65,ComparisonData!$SM$1),0),5)</f>
        <v>0</v>
      </c>
      <c r="SN65" s="46" cm="1">
        <f t="array" ref="SN65">ROUND(IFERROR(INDEX(ArchiveResults!$F$5:$IX$116,ComparisonData!A65,ComparisonData!$SN$1),0),5)</f>
        <v>0</v>
      </c>
      <c r="SO65" s="46" cm="1">
        <f t="array" ref="SO65">ROUND(IFERROR(INDEX(ArchiveResults!$F$5:$IX$116,ComparisonData!A65,ComparisonData!$SO$1),0),5)</f>
        <v>0</v>
      </c>
      <c r="SP65" s="45" cm="1">
        <f t="array" ref="SP65">IFERROR(INDEX(ArchiveResults!$F$5:$IX$116,ComparisonData!A65,ComparisonData!$SP$1),0)</f>
        <v>0</v>
      </c>
      <c r="SQ65" s="56">
        <v>60</v>
      </c>
      <c r="SR65" s="53" t="str">
        <f t="shared" si="598"/>
        <v>North Yorkshire County Record Office</v>
      </c>
      <c r="SS65" s="59">
        <f t="shared" si="378"/>
        <v>0</v>
      </c>
      <c r="ST65" s="59">
        <f t="shared" si="379"/>
        <v>0</v>
      </c>
      <c r="SU65" s="59">
        <f t="shared" si="380"/>
        <v>0</v>
      </c>
      <c r="SV65" s="59">
        <f t="shared" si="381"/>
        <v>0</v>
      </c>
      <c r="SW65" s="59">
        <f t="shared" si="382"/>
        <v>0</v>
      </c>
      <c r="SX65" s="58">
        <f t="shared" si="383"/>
        <v>0</v>
      </c>
      <c r="SY65" s="45">
        <f t="shared" si="384"/>
        <v>110</v>
      </c>
      <c r="SZ65" s="45">
        <f t="shared" si="599"/>
        <v>2.9889999999999999</v>
      </c>
      <c r="TA65" s="45">
        <f t="shared" si="385"/>
        <v>1</v>
      </c>
      <c r="TB65" s="45">
        <f t="shared" si="386"/>
        <v>2</v>
      </c>
      <c r="TC65" s="45">
        <f t="shared" si="387"/>
        <v>0</v>
      </c>
      <c r="TD65" s="46" cm="1">
        <f t="array" ref="TD65">ROUND(IFERROR(INDEX(ArchiveResults!$F$5:$IX$116,ComparisonData!A65,ComparisonData!$TD$1),0),5)</f>
        <v>0</v>
      </c>
      <c r="TE65" s="46" cm="1">
        <f t="array" ref="TE65">ROUND(IFERROR(INDEX(ArchiveResults!$F$5:$IX$116,ComparisonData!A65,ComparisonData!$TE$1),0),5)</f>
        <v>0</v>
      </c>
      <c r="TF65" s="46" cm="1">
        <f t="array" ref="TF65">ROUND(IFERROR(INDEX(ArchiveResults!$F$5:$IX$116,ComparisonData!A65,ComparisonData!$TF$1),0),5)</f>
        <v>0</v>
      </c>
      <c r="TG65" s="46" cm="1">
        <f t="array" ref="TG65">ROUND(IFERROR(INDEX(ArchiveResults!$F$5:$IX$116,ComparisonData!A65,ComparisonData!$TG$1),0),5)</f>
        <v>0</v>
      </c>
      <c r="TH65" s="45" cm="1">
        <f t="array" ref="TH65">IFERROR(INDEX(ArchiveResults!$F$5:$IX$116,ComparisonData!A65,ComparisonData!$TH$1),0)</f>
        <v>0</v>
      </c>
      <c r="TI65" s="56">
        <v>60</v>
      </c>
      <c r="TJ65" s="53" t="str">
        <f t="shared" si="600"/>
        <v>North Yorkshire County Record Office</v>
      </c>
      <c r="TK65" s="59">
        <f t="shared" si="388"/>
        <v>0</v>
      </c>
      <c r="TL65" s="59">
        <f t="shared" si="389"/>
        <v>0</v>
      </c>
      <c r="TM65" s="59">
        <f t="shared" si="390"/>
        <v>0</v>
      </c>
      <c r="TN65" s="59">
        <f t="shared" si="391"/>
        <v>0</v>
      </c>
      <c r="TO65" s="59">
        <f t="shared" si="392"/>
        <v>0</v>
      </c>
      <c r="TP65" s="58">
        <f t="shared" si="393"/>
        <v>0</v>
      </c>
      <c r="TQ65" s="45">
        <f t="shared" si="394"/>
        <v>110</v>
      </c>
      <c r="TR65" s="45">
        <f t="shared" si="601"/>
        <v>2.9889999999999999</v>
      </c>
      <c r="TS65" s="45">
        <f t="shared" si="395"/>
        <v>1</v>
      </c>
      <c r="TT65" s="45">
        <f t="shared" si="396"/>
        <v>2</v>
      </c>
      <c r="TU65" s="45">
        <f t="shared" si="397"/>
        <v>0</v>
      </c>
      <c r="TV65" s="46" cm="1">
        <f t="array" ref="TV65">ROUND(IFERROR(INDEX(ArchiveResults!$F$5:$IX$116,ComparisonData!A65,ComparisonData!$TV$1),0),5)</f>
        <v>0</v>
      </c>
      <c r="TW65" s="46" cm="1">
        <f t="array" ref="TW65">ROUND(IFERROR(INDEX(ArchiveResults!$F$5:$IX$116,ComparisonData!A65,ComparisonData!$TW$1),0),5)</f>
        <v>0</v>
      </c>
      <c r="TX65" s="46" cm="1">
        <f t="array" ref="TX65">ROUND(IFERROR(INDEX(ArchiveResults!$F$5:$IX$116,ComparisonData!A65,ComparisonData!$TX$1),0),5)</f>
        <v>0</v>
      </c>
      <c r="TY65" s="46" cm="1">
        <f t="array" ref="TY65">ROUND(IFERROR(INDEX(ArchiveResults!$F$5:$IX$116,ComparisonData!A65,ComparisonData!$TY$1),0),5)</f>
        <v>0</v>
      </c>
      <c r="TZ65" s="45" cm="1">
        <f t="array" ref="TZ65">IFERROR(INDEX(ArchiveResults!$F$5:$IX$116,ComparisonData!A65,ComparisonData!$TZ$1),0)</f>
        <v>0</v>
      </c>
      <c r="UA65" s="56">
        <v>60</v>
      </c>
      <c r="UB65" s="53" t="str">
        <f t="shared" si="602"/>
        <v>North Yorkshire County Record Office</v>
      </c>
      <c r="UC65" s="60">
        <f t="shared" si="398"/>
        <v>0</v>
      </c>
      <c r="UD65" s="60">
        <f t="shared" si="399"/>
        <v>0</v>
      </c>
      <c r="UE65" s="60">
        <f t="shared" si="400"/>
        <v>0</v>
      </c>
      <c r="UF65" s="60">
        <f t="shared" si="401"/>
        <v>0</v>
      </c>
      <c r="UG65" s="60">
        <f t="shared" si="402"/>
        <v>0</v>
      </c>
      <c r="UH65" s="58">
        <f t="shared" si="403"/>
        <v>0</v>
      </c>
      <c r="UI65" s="46">
        <f t="shared" si="404"/>
        <v>110</v>
      </c>
      <c r="UJ65" s="46">
        <f t="shared" si="603"/>
        <v>2.9889999999999999</v>
      </c>
      <c r="UK65" s="46">
        <f t="shared" si="405"/>
        <v>1</v>
      </c>
      <c r="UL65" s="46">
        <f t="shared" si="406"/>
        <v>2</v>
      </c>
      <c r="UM65" s="46" cm="1">
        <f t="array" ref="UM65">ROUND(IFERROR(INDEX(ArchiveResults!$F$5:$IX$116,ComparisonData!A65,ComparisonData!$UM$1),0),5)</f>
        <v>0</v>
      </c>
      <c r="UN65" s="56">
        <v>60</v>
      </c>
      <c r="UO65" s="53" t="str">
        <f t="shared" si="604"/>
        <v>North Yorkshire County Record Office</v>
      </c>
      <c r="UP65" s="46">
        <f t="shared" si="407"/>
        <v>0</v>
      </c>
      <c r="UQ65" s="76">
        <f t="shared" si="408"/>
        <v>0</v>
      </c>
      <c r="UR65" s="46">
        <f t="shared" si="409"/>
        <v>110</v>
      </c>
      <c r="US65" s="46">
        <f t="shared" si="605"/>
        <v>2.9889999999999999</v>
      </c>
      <c r="UT65" s="46">
        <f t="shared" si="410"/>
        <v>1</v>
      </c>
      <c r="UU65" s="46">
        <f t="shared" si="411"/>
        <v>2</v>
      </c>
      <c r="UV65" s="46">
        <f t="shared" si="412"/>
        <v>0</v>
      </c>
      <c r="UW65" s="46" cm="1">
        <f t="array" ref="UW65">ROUND(IFERROR(INDEX(ArchiveResults!$F$5:$IX$116,ComparisonData!A65,ComparisonData!$UW$1),0),5)</f>
        <v>0</v>
      </c>
      <c r="UX65" s="46" cm="1">
        <f t="array" ref="UX65">ROUND(IFERROR(INDEX(ArchiveResults!$F$5:$IX$116,ComparisonData!A65,ComparisonData!$UX$1),0),5)</f>
        <v>0</v>
      </c>
      <c r="UY65" s="46" cm="1">
        <f t="array" ref="UY65">ROUND(IFERROR(INDEX(ArchiveResults!$F$5:$IX$116,ComparisonData!A65,ComparisonData!$UY$1),0),5)</f>
        <v>0</v>
      </c>
      <c r="UZ65" s="46" cm="1">
        <f t="array" ref="UZ65">ROUND(IFERROR(INDEX(ArchiveResults!$F$5:$IX$116,ComparisonData!A65,ComparisonData!$UZ$1),0),5)</f>
        <v>0</v>
      </c>
      <c r="VA65" s="46" cm="1">
        <f t="array" ref="VA65">ROUND(IFERROR(INDEX(ArchiveResults!$F$5:$IX$116,ComparisonData!A65,ComparisonData!$VA$1),0),5)</f>
        <v>0</v>
      </c>
      <c r="VB65" s="56">
        <v>60</v>
      </c>
      <c r="VC65" s="53" t="str">
        <f t="shared" si="606"/>
        <v>North Yorkshire County Record Office</v>
      </c>
      <c r="VD65" s="60">
        <f t="shared" si="413"/>
        <v>0</v>
      </c>
      <c r="VE65" s="60">
        <f t="shared" si="414"/>
        <v>0</v>
      </c>
      <c r="VF65" s="60">
        <f t="shared" si="415"/>
        <v>0</v>
      </c>
      <c r="VG65" s="60">
        <f t="shared" si="416"/>
        <v>0</v>
      </c>
      <c r="VH65" s="60">
        <f t="shared" si="417"/>
        <v>0</v>
      </c>
      <c r="VI65" s="76">
        <f t="shared" si="418"/>
        <v>0</v>
      </c>
      <c r="VJ65" s="46">
        <f t="shared" si="419"/>
        <v>110</v>
      </c>
      <c r="VK65" s="46">
        <f t="shared" si="607"/>
        <v>2.9889999999999999</v>
      </c>
      <c r="VL65" s="46">
        <f t="shared" si="420"/>
        <v>1</v>
      </c>
      <c r="VM65" s="46">
        <f t="shared" si="421"/>
        <v>2</v>
      </c>
      <c r="VN65" s="46" cm="1">
        <f t="array" ref="VN65">ROUND(IFERROR(INDEX(ArchiveResults!$F$5:$IX$116,ComparisonData!A65,ComparisonData!$VN$1),0),5)</f>
        <v>0</v>
      </c>
      <c r="VO65" s="46" cm="1">
        <f t="array" ref="VO65">ROUND(IFERROR(INDEX(ArchiveResults!$F$5:$IX$116,ComparisonData!A65,ComparisonData!$VO$1),0),5)</f>
        <v>0</v>
      </c>
      <c r="VP65" s="46" cm="1">
        <f t="array" ref="VP65">ROUND(IFERROR(INDEX(ArchiveResults!$F$5:$IX$116,ComparisonData!A65,ComparisonData!$VP$1),0),5)</f>
        <v>0</v>
      </c>
      <c r="VQ65" s="46" cm="1">
        <f t="array" ref="VQ65">ROUND(IFERROR(INDEX(ArchiveResults!$F$5:$IX$116,ComparisonData!A65,ComparisonData!$VQ$1),0),5)</f>
        <v>0</v>
      </c>
      <c r="VR65" s="56">
        <v>60</v>
      </c>
      <c r="VS65" s="53" t="str">
        <f t="shared" si="608"/>
        <v>North Yorkshire County Record Office</v>
      </c>
      <c r="VT65" s="60">
        <f t="shared" si="422"/>
        <v>0</v>
      </c>
      <c r="VU65" s="60">
        <f t="shared" si="423"/>
        <v>0</v>
      </c>
      <c r="VV65" s="60">
        <f t="shared" si="424"/>
        <v>0</v>
      </c>
      <c r="VW65" s="60">
        <f t="shared" si="425"/>
        <v>0</v>
      </c>
      <c r="VX65" s="76">
        <f t="shared" si="426"/>
        <v>0</v>
      </c>
      <c r="VY65" s="46">
        <f t="shared" si="427"/>
        <v>110</v>
      </c>
      <c r="VZ65" s="46">
        <f t="shared" si="609"/>
        <v>2.9889999999999999</v>
      </c>
      <c r="WA65" s="46">
        <f t="shared" si="428"/>
        <v>1</v>
      </c>
      <c r="WB65" s="46">
        <f t="shared" si="429"/>
        <v>2</v>
      </c>
      <c r="WC65" s="46" cm="1">
        <f t="array" ref="WC65">ROUND(IFERROR(INDEX(ArchiveResults!$F$5:$IX$116,ComparisonData!A65,ComparisonData!$WC$1),0),5)</f>
        <v>0</v>
      </c>
      <c r="WD65" s="56">
        <v>60</v>
      </c>
      <c r="WE65" s="53" t="str">
        <f t="shared" si="610"/>
        <v>North Yorkshire County Record Office</v>
      </c>
      <c r="WF65" s="46">
        <f t="shared" si="430"/>
        <v>0</v>
      </c>
      <c r="WG65" s="76">
        <f t="shared" si="431"/>
        <v>0</v>
      </c>
      <c r="WH65" s="46">
        <f t="shared" si="432"/>
        <v>110</v>
      </c>
      <c r="WI65" s="46">
        <f t="shared" si="611"/>
        <v>2.9889999999999999</v>
      </c>
      <c r="WJ65" s="46">
        <f t="shared" si="433"/>
        <v>1</v>
      </c>
      <c r="WK65" s="46">
        <f t="shared" si="434"/>
        <v>2</v>
      </c>
      <c r="WL65" s="46" cm="1">
        <f t="array" ref="WL65">ROUND(IFERROR(INDEX(ArchiveResults!$F$5:$IX$116,ComparisonData!A65,ComparisonData!$WL$1),0),5)</f>
        <v>0</v>
      </c>
      <c r="WM65" s="46" cm="1">
        <f t="array" ref="WM65">IFERROR(INDEX(ArchiveResults!$F$5:$IX$116,ComparisonData!A65,ComparisonData!$WM$1),0)</f>
        <v>0</v>
      </c>
      <c r="WN65" s="56">
        <v>60</v>
      </c>
      <c r="WO65" s="53" t="str">
        <f t="shared" si="612"/>
        <v>North Yorkshire County Record Office</v>
      </c>
      <c r="WP65" s="60">
        <f t="shared" si="435"/>
        <v>0</v>
      </c>
      <c r="WQ65" s="60">
        <f t="shared" si="436"/>
        <v>0</v>
      </c>
      <c r="WR65" s="76">
        <f t="shared" si="437"/>
        <v>0</v>
      </c>
      <c r="WS65" s="46">
        <f t="shared" si="438"/>
        <v>110</v>
      </c>
      <c r="WT65" s="46">
        <f t="shared" si="613"/>
        <v>2.9889999999999999</v>
      </c>
      <c r="WU65" s="46">
        <f t="shared" si="439"/>
        <v>1</v>
      </c>
      <c r="WV65" s="46">
        <f t="shared" si="440"/>
        <v>2</v>
      </c>
      <c r="WW65" s="46" cm="1">
        <f t="array" ref="WW65">ROUND(VALUE(IFERROR(INDEX(ArchiveResults!$F$5:$IX$116,ComparisonData!A65,ComparisonData!$WW$1),0)),5)</f>
        <v>0</v>
      </c>
      <c r="WX65" s="46" cm="1">
        <f t="array" ref="WX65">ROUND(IFERROR(INDEX(ArchiveResults!$F$5:$IX$116,ComparisonData!A65,ComparisonData!$WX$1),0),5)</f>
        <v>0</v>
      </c>
      <c r="WY65" s="56">
        <v>60</v>
      </c>
      <c r="WZ65" s="53" t="str">
        <f t="shared" si="614"/>
        <v>North Yorkshire County Record Office</v>
      </c>
      <c r="XA65" s="60">
        <f t="shared" si="615"/>
        <v>0</v>
      </c>
      <c r="XB65" s="60">
        <f t="shared" si="616"/>
        <v>0</v>
      </c>
      <c r="XC65" s="76">
        <f t="shared" si="441"/>
        <v>0</v>
      </c>
      <c r="XD65" s="46">
        <f t="shared" si="442"/>
        <v>110</v>
      </c>
      <c r="XE65" s="46">
        <f t="shared" si="617"/>
        <v>2.9889999999999999</v>
      </c>
      <c r="XF65" s="46">
        <f t="shared" si="443"/>
        <v>1</v>
      </c>
      <c r="XG65" s="46">
        <f t="shared" si="444"/>
        <v>2</v>
      </c>
      <c r="XH65" s="46" cm="1">
        <f t="array" ref="XH65">ROUND(VALUE(IFERROR(INDEX(ArchiveResults!$F$5:$IX$116,ComparisonData!A65,ComparisonData!$XH$1),0)),5)</f>
        <v>0</v>
      </c>
      <c r="XI65" s="46" cm="1">
        <f t="array" ref="XI65">ROUND(VALUE(IFERROR(INDEX(ArchiveResults!$F$5:$IX$116,ComparisonData!A65,ComparisonData!$XI$1),0)),5)</f>
        <v>0</v>
      </c>
      <c r="XJ65" s="56">
        <v>60</v>
      </c>
      <c r="XK65" s="53" t="str">
        <f t="shared" si="618"/>
        <v>North Yorkshire County Record Office</v>
      </c>
      <c r="XL65" s="60">
        <f t="shared" si="445"/>
        <v>0</v>
      </c>
      <c r="XM65" s="60">
        <f t="shared" si="446"/>
        <v>0</v>
      </c>
      <c r="XN65" s="76">
        <f t="shared" si="447"/>
        <v>0</v>
      </c>
      <c r="XO65" s="46">
        <f t="shared" si="448"/>
        <v>110</v>
      </c>
      <c r="XP65" s="46">
        <f t="shared" si="619"/>
        <v>2.9889999999999999</v>
      </c>
      <c r="XQ65" s="46">
        <f t="shared" si="449"/>
        <v>1</v>
      </c>
      <c r="XR65" s="46">
        <f t="shared" si="450"/>
        <v>2</v>
      </c>
      <c r="XS65" s="46" cm="1">
        <f t="array" ref="XS65">ROUND(VALUE(IFERROR(INDEX(ArchiveResults!$F$5:$IX$116,ComparisonData!A65,ComparisonData!$XS$1),0)),5)</f>
        <v>0</v>
      </c>
      <c r="XT65" s="46" cm="1">
        <f t="array" ref="XT65">ROUND(VALUE(IFERROR(INDEX(ArchiveResults!$F$5:$IX$116,ComparisonData!A65,ComparisonData!$XT$1),0)),5)</f>
        <v>0</v>
      </c>
      <c r="XU65" s="56">
        <v>60</v>
      </c>
      <c r="XV65" s="53" t="str">
        <f t="shared" si="620"/>
        <v>North Yorkshire County Record Office</v>
      </c>
      <c r="XW65" s="60">
        <f t="shared" si="451"/>
        <v>0</v>
      </c>
      <c r="XX65" s="60">
        <f t="shared" si="452"/>
        <v>0</v>
      </c>
      <c r="XY65" s="76">
        <f t="shared" si="453"/>
        <v>0</v>
      </c>
      <c r="XZ65" s="46">
        <f t="shared" si="454"/>
        <v>110</v>
      </c>
      <c r="YA65" s="46">
        <f t="shared" si="621"/>
        <v>2.9889999999999999</v>
      </c>
      <c r="YB65" s="46">
        <f t="shared" si="455"/>
        <v>1</v>
      </c>
      <c r="YC65" s="46">
        <f t="shared" si="456"/>
        <v>2</v>
      </c>
      <c r="YD65" s="46" cm="1">
        <f t="array" ref="YD65">ROUND(VALUE(IFERROR(INDEX(ArchiveResults!$F$5:$IX$116,ComparisonData!A65,ComparisonData!$YD$1),0)),5)</f>
        <v>0</v>
      </c>
      <c r="YE65" s="46" cm="1">
        <f t="array" ref="YE65">ROUND(VALUE(IFERROR(INDEX(ArchiveResults!$F$5:$IX$116,ComparisonData!A65,ComparisonData!$YE$1),0)),5)</f>
        <v>0</v>
      </c>
      <c r="YF65" s="56">
        <v>60</v>
      </c>
      <c r="YG65" s="53" t="str">
        <f t="shared" si="622"/>
        <v>North Yorkshire County Record Office</v>
      </c>
      <c r="YH65" s="60">
        <f t="shared" si="457"/>
        <v>0</v>
      </c>
      <c r="YI65" s="60">
        <f t="shared" si="458"/>
        <v>0</v>
      </c>
      <c r="YJ65" s="76">
        <f t="shared" si="459"/>
        <v>0</v>
      </c>
      <c r="YK65" s="46">
        <f t="shared" si="460"/>
        <v>110</v>
      </c>
      <c r="YL65" s="46">
        <f t="shared" si="623"/>
        <v>2.9889999999999999</v>
      </c>
      <c r="YM65" s="46">
        <f t="shared" si="461"/>
        <v>1</v>
      </c>
      <c r="YN65" s="46">
        <f t="shared" si="462"/>
        <v>2</v>
      </c>
      <c r="YO65" s="46" cm="1">
        <f t="array" ref="YO65">ROUND(VALUE(IFERROR(INDEX(ArchiveResults!$F$5:$IX$116,ComparisonData!A65,ComparisonData!$YO$1),0)),5)</f>
        <v>0</v>
      </c>
      <c r="YP65" s="46" cm="1">
        <f t="array" ref="YP65">ROUND(VALUE(IFERROR(INDEX(ArchiveResults!$F$5:$IX$116,ComparisonData!A65,ComparisonData!$YP$1),0)),5)</f>
        <v>0</v>
      </c>
      <c r="YQ65" s="56">
        <v>60</v>
      </c>
      <c r="YR65" s="53" t="str">
        <f t="shared" si="624"/>
        <v>North Yorkshire County Record Office</v>
      </c>
      <c r="YS65" s="60">
        <f t="shared" si="463"/>
        <v>0</v>
      </c>
      <c r="YT65" s="60">
        <f t="shared" si="464"/>
        <v>0</v>
      </c>
      <c r="YU65" s="76">
        <f t="shared" si="465"/>
        <v>0</v>
      </c>
      <c r="YV65" s="46">
        <f t="shared" si="466"/>
        <v>110</v>
      </c>
      <c r="YW65" s="46">
        <f t="shared" si="625"/>
        <v>2.9889999999999999</v>
      </c>
      <c r="YX65" s="46">
        <f t="shared" si="467"/>
        <v>1</v>
      </c>
      <c r="YY65" s="46">
        <f t="shared" si="468"/>
        <v>2</v>
      </c>
      <c r="YZ65" s="46">
        <f t="shared" si="469"/>
        <v>0</v>
      </c>
      <c r="ZA65" s="46" cm="1">
        <f t="array" ref="ZA65">ROUNDDOWN(VALUE(IFERROR(INDEX(ArchiveResults!$F$5:$IX$116,ComparisonData!A65,ComparisonData!$ZA$1),0)),5)</f>
        <v>0</v>
      </c>
      <c r="ZB65" s="46" cm="1">
        <f t="array" ref="ZB65">ROUNDDOWN(VALUE(IFERROR(INDEX(ArchiveResults!$F$5:$IX$116,ComparisonData!A65,ComparisonData!$ZB$1),0)),5)</f>
        <v>0</v>
      </c>
      <c r="ZC65" s="46" cm="1">
        <f t="array" ref="ZC65">ROUNDDOWN(VALUE(IFERROR(INDEX(ArchiveResults!$F$5:$IX$116,ComparisonData!A65,ComparisonData!$ZC$1),0)),5)</f>
        <v>0</v>
      </c>
      <c r="ZD65" s="46" cm="1">
        <f t="array" ref="ZD65">ROUNDDOWN(VALUE(IFERROR(INDEX(ArchiveResults!$F$5:$IX$116,ComparisonData!A65,ComparisonData!$ZD$1),0)),5)</f>
        <v>0</v>
      </c>
      <c r="ZE65" s="46" cm="1">
        <f t="array" ref="ZE65">ROUNDDOWN(VALUE(IFERROR(INDEX(ArchiveResults!$F$5:$IX$116,ComparisonData!A65,ComparisonData!$ZE$1),0)),5)</f>
        <v>0</v>
      </c>
      <c r="ZF65" s="56">
        <v>60</v>
      </c>
      <c r="ZG65" s="53" t="str">
        <f t="shared" si="626"/>
        <v>North Yorkshire County Record Office</v>
      </c>
      <c r="ZH65" s="60">
        <f t="shared" si="470"/>
        <v>0</v>
      </c>
      <c r="ZI65" s="60">
        <f t="shared" si="471"/>
        <v>0</v>
      </c>
      <c r="ZJ65" s="60">
        <f t="shared" si="472"/>
        <v>0</v>
      </c>
      <c r="ZK65" s="60">
        <f t="shared" si="473"/>
        <v>0</v>
      </c>
      <c r="ZL65" s="60">
        <f t="shared" si="474"/>
        <v>0</v>
      </c>
      <c r="ZM65" s="76">
        <f t="shared" si="475"/>
        <v>0</v>
      </c>
      <c r="ZN65" s="46">
        <f t="shared" si="476"/>
        <v>110</v>
      </c>
      <c r="ZO65" s="46">
        <f t="shared" si="627"/>
        <v>2.9889999999999999</v>
      </c>
      <c r="ZP65" s="46">
        <f t="shared" si="477"/>
        <v>1</v>
      </c>
      <c r="ZQ65" s="46">
        <f t="shared" si="478"/>
        <v>2</v>
      </c>
      <c r="ZR65" s="46" cm="1">
        <f t="array" ref="ZR65">ROUND(VALUE(IFERROR(INDEX(ArchiveResults!$F$5:$IX$116,ComparisonData!A65,ComparisonData!$ZR$1),0)),5)</f>
        <v>0</v>
      </c>
      <c r="ZS65" s="56">
        <v>60</v>
      </c>
      <c r="ZT65" s="53" t="str">
        <f t="shared" si="628"/>
        <v>North Yorkshire County Record Office</v>
      </c>
      <c r="ZU65" s="46">
        <f t="shared" si="479"/>
        <v>0</v>
      </c>
      <c r="ZV65" s="76">
        <f t="shared" si="480"/>
        <v>0</v>
      </c>
      <c r="ZW65" s="81" cm="1">
        <f t="array" ref="ZW65">ROUND((IFERROR(INDEX(ArchiveResults!$F$5:$IX$116,ComparisonData!A65,ComparisonData!$ZW$1),0)),5)</f>
        <v>0</v>
      </c>
      <c r="ZX65" s="81" cm="1">
        <f t="array" ref="ZX65">ROUND((IFERROR(INDEX(ArchiveResults!$F$5:$IX$116,ComparisonData!A65,ComparisonData!$ZX$1),0)),5)</f>
        <v>0</v>
      </c>
      <c r="ZY65" s="81" cm="1">
        <f t="array" ref="ZY65">ROUND((IFERROR(INDEX(ArchiveResults!$F$5:$IX$116,ComparisonData!A65,ComparisonData!$ZY$1),0)),5)</f>
        <v>0</v>
      </c>
      <c r="ZZ65" s="81" cm="1">
        <f t="array" ref="ZZ65">ROUND((IFERROR(INDEX(ArchiveResults!$F$5:$IX$116,ComparisonData!A65,ComparisonData!$ZZ$1),0)),5)</f>
        <v>0</v>
      </c>
      <c r="AAA65" s="81" cm="1">
        <f t="array" ref="AAA65">ROUND((IFERROR(INDEX(ArchiveResults!$F$5:$IX$116,ComparisonData!A65,ComparisonData!$AAA$1),0)),5)</f>
        <v>0</v>
      </c>
      <c r="AAB65" s="81" cm="1">
        <f t="array" ref="AAB65">ROUND((IFERROR(INDEX(ArchiveResults!$F$5:$IX$116,ComparisonData!A65,ComparisonData!$AAB$1),0)),5)</f>
        <v>0</v>
      </c>
      <c r="AAC65" s="81" cm="1">
        <f t="array" ref="AAC65">ROUND((IFERROR(INDEX(ArchiveResults!$F$5:$IX$116,ComparisonData!A65,ComparisonData!$AAC$1),0)),5)</f>
        <v>0</v>
      </c>
      <c r="AAD65" s="81" cm="1">
        <f t="array" ref="AAD65">ROUND((IFERROR(INDEX(ArchiveResults!$F$5:$IX$116,ComparisonData!A65,ComparisonData!$AAD$1),0)),5)</f>
        <v>0</v>
      </c>
      <c r="AAE65" s="81" cm="1">
        <f t="array" ref="AAE65">ROUND((IFERROR(INDEX(ArchiveResults!$F$5:$IX$116,ComparisonData!A65,ComparisonData!$AAE$1),0)),5)</f>
        <v>0</v>
      </c>
      <c r="AAF65" s="81" cm="1">
        <f t="array" ref="AAF65">ROUND((IFERROR(INDEX(ArchiveResults!$F$5:$IX$116,ComparisonData!A65,ComparisonData!$AAF$1),0)),5)</f>
        <v>0</v>
      </c>
      <c r="AAG65" s="46">
        <f t="shared" si="481"/>
        <v>110</v>
      </c>
      <c r="AAH65" s="46">
        <f t="shared" si="629"/>
        <v>2.9889999999999999</v>
      </c>
      <c r="AAI65" s="46">
        <f t="shared" si="482"/>
        <v>1</v>
      </c>
      <c r="AAJ65" s="46">
        <f t="shared" si="483"/>
        <v>2</v>
      </c>
      <c r="AAK65" s="46">
        <f t="shared" si="484"/>
        <v>0</v>
      </c>
      <c r="AAL65" s="46">
        <f t="shared" si="485"/>
        <v>0</v>
      </c>
      <c r="AAM65" s="46">
        <f t="shared" si="486"/>
        <v>0</v>
      </c>
      <c r="AAN65" s="46">
        <f t="shared" si="487"/>
        <v>0</v>
      </c>
      <c r="AAO65" s="46">
        <f t="shared" si="488"/>
        <v>0</v>
      </c>
      <c r="AAP65" s="46">
        <f t="shared" si="489"/>
        <v>0</v>
      </c>
      <c r="AAQ65" s="56">
        <v>60</v>
      </c>
      <c r="AAR65" s="53" t="str">
        <f t="shared" si="630"/>
        <v>North Yorkshire County Record Office</v>
      </c>
      <c r="AAS65" s="60">
        <f t="shared" si="490"/>
        <v>0</v>
      </c>
      <c r="AAT65" s="60">
        <f t="shared" si="491"/>
        <v>0</v>
      </c>
      <c r="AAU65" s="60">
        <f t="shared" si="492"/>
        <v>0</v>
      </c>
      <c r="AAV65" s="60">
        <f t="shared" si="493"/>
        <v>0</v>
      </c>
      <c r="AAW65" s="60">
        <f t="shared" si="494"/>
        <v>0</v>
      </c>
      <c r="AAX65" s="76">
        <f t="shared" si="495"/>
        <v>0</v>
      </c>
      <c r="AAY65" s="46">
        <f t="shared" si="496"/>
        <v>110</v>
      </c>
      <c r="AAZ65" s="46">
        <f t="shared" si="631"/>
        <v>2.9889999999999999</v>
      </c>
      <c r="ABA65" s="46">
        <f t="shared" si="497"/>
        <v>1</v>
      </c>
      <c r="ABB65" s="46">
        <f t="shared" si="498"/>
        <v>2</v>
      </c>
      <c r="ABC65" s="46">
        <f t="shared" si="102"/>
        <v>0</v>
      </c>
      <c r="ABD65" s="46" cm="1">
        <f t="array" ref="ABD65">ROUND(VALUE(IFERROR(INDEX(ArchiveResults!$F$5:$IX$116,ComparisonData!A65,ComparisonData!$ABD$1),0)),5)</f>
        <v>0</v>
      </c>
      <c r="ABE65" s="46" cm="1">
        <f t="array" ref="ABE65">ROUND(VALUE(IFERROR(INDEX(ArchiveResults!$F$5:$IX$116,ComparisonData!A65,ComparisonData!$ABE$1),0)),5)</f>
        <v>0</v>
      </c>
      <c r="ABF65" s="46" cm="1">
        <f t="array" ref="ABF65">ROUND(VALUE(IFERROR(INDEX(ArchiveResults!$F$5:$IX$116,ComparisonData!A65,ComparisonData!$ABF$1),0)),5)</f>
        <v>0</v>
      </c>
      <c r="ABG65" s="46" cm="1">
        <f t="array" ref="ABG65">ROUND(VALUE(IFERROR(INDEX(ArchiveResults!$F$5:$IX$116,ComparisonData!A65,ComparisonData!$ABG$1),0)),5)</f>
        <v>0</v>
      </c>
      <c r="ABH65" s="46" cm="1">
        <f t="array" ref="ABH65">ROUND(VALUE(IFERROR(INDEX(ArchiveResults!$F$5:$IX$116,ComparisonData!A65,ComparisonData!$ABH$1),0)),5)</f>
        <v>0</v>
      </c>
      <c r="ABI65" s="56">
        <v>60</v>
      </c>
      <c r="ABJ65" s="53" t="str">
        <f t="shared" si="632"/>
        <v>North Yorkshire County Record Office</v>
      </c>
      <c r="ABK65" s="60">
        <f t="shared" si="499"/>
        <v>0</v>
      </c>
      <c r="ABL65" s="60">
        <f t="shared" si="500"/>
        <v>0</v>
      </c>
      <c r="ABM65" s="60">
        <f t="shared" si="501"/>
        <v>0</v>
      </c>
      <c r="ABN65" s="60">
        <f t="shared" si="502"/>
        <v>0</v>
      </c>
      <c r="ABO65" s="60">
        <f t="shared" si="503"/>
        <v>0</v>
      </c>
      <c r="ABP65" s="76">
        <f t="shared" si="504"/>
        <v>0</v>
      </c>
      <c r="ABQ65" s="46">
        <f t="shared" si="505"/>
        <v>110</v>
      </c>
      <c r="ABR65" s="46">
        <f t="shared" si="633"/>
        <v>2.9889999999999999</v>
      </c>
      <c r="ABS65" s="46">
        <f t="shared" si="506"/>
        <v>1</v>
      </c>
      <c r="ABT65" s="46">
        <f t="shared" si="507"/>
        <v>2</v>
      </c>
      <c r="ABU65" s="46" cm="1">
        <f t="array" ref="ABU65">ROUND(VALUE(IFERROR(INDEX(ArchiveResults!$F$5:$IX$116,ComparisonData!A65,ComparisonData!$ABU$1),0)),5)</f>
        <v>0</v>
      </c>
      <c r="ABV65" s="46" cm="1">
        <f t="array" ref="ABV65">ROUND(VALUE(IFERROR(INDEX(ArchiveResults!$F$5:$IX$116,ComparisonData!A65,ComparisonData!$ABV$1),0)),5)</f>
        <v>0</v>
      </c>
      <c r="ABW65" s="46" cm="1">
        <f t="array" ref="ABW65">ROUND(VALUE(IFERROR(INDEX(ArchiveResults!$F$5:$IX$116,ComparisonData!A65,ComparisonData!$ABW$1),0)),5)</f>
        <v>0</v>
      </c>
      <c r="ABX65" s="46" cm="1">
        <f t="array" ref="ABX65">ROUND(VALUE(IFERROR(INDEX(ArchiveResults!$F$5:$IX$116,ComparisonData!A65,ComparisonData!$ABX$1),0)),5)</f>
        <v>0</v>
      </c>
      <c r="ABY65" s="46" cm="1">
        <f t="array" ref="ABY65">ROUND(VALUE(IFERROR(INDEX(ArchiveResults!$F$5:$IX$116,ComparisonData!A65,ComparisonData!$ABY$1),0)),5)</f>
        <v>0</v>
      </c>
      <c r="ABZ65" s="56">
        <v>60</v>
      </c>
      <c r="ACA65" s="53" t="str">
        <f t="shared" si="634"/>
        <v>North Yorkshire County Record Office</v>
      </c>
      <c r="ACB65" s="60">
        <f t="shared" si="508"/>
        <v>0</v>
      </c>
      <c r="ACC65" s="60">
        <f t="shared" si="509"/>
        <v>0</v>
      </c>
      <c r="ACD65" s="60">
        <f t="shared" si="510"/>
        <v>0</v>
      </c>
      <c r="ACE65" s="60">
        <f t="shared" si="511"/>
        <v>0</v>
      </c>
      <c r="ACF65" s="60">
        <f t="shared" si="512"/>
        <v>0</v>
      </c>
      <c r="ACG65" s="76">
        <f t="shared" si="513"/>
        <v>0</v>
      </c>
      <c r="ACH65" s="46">
        <f t="shared" si="514"/>
        <v>110</v>
      </c>
      <c r="ACI65" s="46">
        <f t="shared" si="635"/>
        <v>2.9889999999999999</v>
      </c>
      <c r="ACJ65" s="46">
        <f t="shared" si="515"/>
        <v>1</v>
      </c>
      <c r="ACK65" s="46">
        <f t="shared" si="516"/>
        <v>2</v>
      </c>
      <c r="ACL65" s="46">
        <f t="shared" si="517"/>
        <v>0</v>
      </c>
      <c r="ACM65" s="46" cm="1">
        <f t="array" ref="ACM65">ROUND(IFERROR(INDEX(ArchiveResults!$F$5:$IX$116,ComparisonData!A65,ComparisonData!$ACM$1),0),5)</f>
        <v>0</v>
      </c>
      <c r="ACN65" s="46" cm="1">
        <f t="array" ref="ACN65">ROUND(IFERROR(INDEX(ArchiveResults!$F$5:$IX$116,ComparisonData!A65,ComparisonData!$ACN$1),0),5)</f>
        <v>0</v>
      </c>
      <c r="ACO65" s="56">
        <v>60</v>
      </c>
      <c r="ACP65" s="53" t="str">
        <f t="shared" si="636"/>
        <v>North Yorkshire County Record Office</v>
      </c>
      <c r="ACQ65" s="60">
        <f t="shared" si="518"/>
        <v>0</v>
      </c>
      <c r="ACR65" s="60">
        <f t="shared" si="519"/>
        <v>0</v>
      </c>
      <c r="ACS65" s="76">
        <f t="shared" si="520"/>
        <v>0</v>
      </c>
      <c r="ACT65" s="46">
        <f t="shared" si="521"/>
        <v>110</v>
      </c>
      <c r="ACU65" s="46">
        <f t="shared" si="637"/>
        <v>2.9889999999999999</v>
      </c>
      <c r="ACV65" s="46">
        <f t="shared" si="522"/>
        <v>1</v>
      </c>
      <c r="ACW65" s="46">
        <f t="shared" si="523"/>
        <v>2</v>
      </c>
      <c r="ACX65" s="46">
        <f t="shared" si="524"/>
        <v>0</v>
      </c>
      <c r="ACY65" s="46" cm="1">
        <f t="array" ref="ACY65">ROUNDDOWN(IFERROR(INDEX(ArchiveResults!$F$5:$IX$116,ComparisonData!A65,ComparisonData!$ACY$1),0),5)</f>
        <v>0</v>
      </c>
      <c r="ACZ65" s="46" cm="1">
        <f t="array" ref="ACZ65">ROUNDDOWN(IFERROR(INDEX(ArchiveResults!$F$5:$IX$116,ComparisonData!A65,ComparisonData!$ACZ$1),0),5)</f>
        <v>0</v>
      </c>
      <c r="ADA65" s="46" cm="1">
        <f t="array" ref="ADA65">ROUNDDOWN(IFERROR(INDEX(ArchiveResults!$F$5:$IX$116,ComparisonData!A65,ComparisonData!$ADA$1),0),5)</f>
        <v>0</v>
      </c>
      <c r="ADB65" s="56">
        <v>60</v>
      </c>
      <c r="ADC65" s="53" t="str">
        <f t="shared" si="638"/>
        <v>North Yorkshire County Record Office</v>
      </c>
      <c r="ADD65" s="60">
        <f t="shared" si="525"/>
        <v>0</v>
      </c>
      <c r="ADE65" s="60">
        <f t="shared" si="526"/>
        <v>0</v>
      </c>
      <c r="ADF65" s="60">
        <f t="shared" si="527"/>
        <v>0</v>
      </c>
      <c r="ADG65" s="76">
        <f t="shared" si="528"/>
        <v>0</v>
      </c>
    </row>
    <row r="66" spans="1:787" x14ac:dyDescent="0.25">
      <c r="A66" s="46" t="str">
        <f>IF(ISBLANK(ComparisonSelection!F62),"",ROW()-5)</f>
        <v/>
      </c>
      <c r="B66" s="53" t="s">
        <v>515</v>
      </c>
      <c r="C66" s="72">
        <v>0.92399999999999993</v>
      </c>
      <c r="D66" s="55">
        <f t="shared" si="110"/>
        <v>97</v>
      </c>
      <c r="E66" s="54">
        <f t="shared" si="111"/>
        <v>2.9239999999999999</v>
      </c>
      <c r="F66" s="54">
        <f t="shared" si="529"/>
        <v>1</v>
      </c>
      <c r="G66" s="72">
        <f t="shared" si="112"/>
        <v>2</v>
      </c>
      <c r="H66" s="72">
        <f t="shared" si="113"/>
        <v>0</v>
      </c>
      <c r="I66" s="46" cm="1">
        <f t="array" ref="I66">ROUND(IFERROR(INDEX(ArchiveResults!$F$5:$IX$116,ComparisonData!A66,ComparisonData!$I$1),0),5)</f>
        <v>0</v>
      </c>
      <c r="J66" s="46" cm="1">
        <f t="array" ref="J66">ROUND(IFERROR(INDEX(ArchiveResults!$F$5:$IX$116,ComparisonData!A66,ComparisonData!$J$1),0),5)</f>
        <v>0</v>
      </c>
      <c r="K66" s="56">
        <v>61</v>
      </c>
      <c r="L66" s="53" t="str">
        <f t="shared" si="114"/>
        <v>Northumberland Archives: Berwick Record Office</v>
      </c>
      <c r="M66" s="57">
        <f t="shared" si="530"/>
        <v>0</v>
      </c>
      <c r="N66" s="57">
        <f t="shared" si="531"/>
        <v>0</v>
      </c>
      <c r="O66" s="58">
        <f t="shared" si="115"/>
        <v>0</v>
      </c>
      <c r="P66" s="48">
        <f t="shared" si="116"/>
        <v>97</v>
      </c>
      <c r="Q66" s="54">
        <f t="shared" si="532"/>
        <v>2.9239999999999999</v>
      </c>
      <c r="R66" s="45">
        <f t="shared" si="117"/>
        <v>1</v>
      </c>
      <c r="S66" s="46">
        <f t="shared" si="118"/>
        <v>2</v>
      </c>
      <c r="T66" s="72">
        <f t="shared" si="119"/>
        <v>0</v>
      </c>
      <c r="U66" s="46" cm="1">
        <f t="array" ref="U66">ROUND(IFERROR(INDEX(ArchiveResults!$F$5:$IX$116,ComparisonData!A66,ComparisonData!$U$1),0),5)</f>
        <v>0</v>
      </c>
      <c r="V66" s="46" cm="1">
        <f t="array" ref="V66">ROUND(IFERROR(INDEX(ArchiveResults!$F$5:$IX$116,ComparisonData!A66,ComparisonData!$V$1),0),5)</f>
        <v>0</v>
      </c>
      <c r="W66" s="56">
        <v>61</v>
      </c>
      <c r="X66" s="53" t="str">
        <f t="shared" si="533"/>
        <v>Northumberland Archives: Berwick Record Office</v>
      </c>
      <c r="Y66" s="57">
        <f t="shared" si="120"/>
        <v>0</v>
      </c>
      <c r="Z66" s="57">
        <f t="shared" si="121"/>
        <v>0</v>
      </c>
      <c r="AA66" s="58">
        <f t="shared" si="122"/>
        <v>0</v>
      </c>
      <c r="AB66" s="45">
        <f t="shared" si="123"/>
        <v>97</v>
      </c>
      <c r="AC66" s="54">
        <f t="shared" si="534"/>
        <v>2.9239999999999999</v>
      </c>
      <c r="AD66" s="45">
        <f t="shared" si="124"/>
        <v>1</v>
      </c>
      <c r="AE66" s="45">
        <f t="shared" si="125"/>
        <v>2</v>
      </c>
      <c r="AF66" s="45">
        <f t="shared" si="639"/>
        <v>0</v>
      </c>
      <c r="AG66" s="46" cm="1">
        <f t="array" ref="AG66">ROUND(IFERROR(INDEX(ArchiveResults!$F$5:$IX$116,ComparisonData!A66,ComparisonData!$AG$1),0),5)</f>
        <v>0</v>
      </c>
      <c r="AH66" s="46" cm="1">
        <f t="array" ref="AH66">ROUND(IFERROR(INDEX(ArchiveResults!$F$5:$IX$116,ComparisonData!A66,ComparisonData!$AH$1),0),5)</f>
        <v>0</v>
      </c>
      <c r="AI66" s="56">
        <v>61</v>
      </c>
      <c r="AJ66" s="53" t="str">
        <f t="shared" si="535"/>
        <v>Northumberland Archives: Berwick Record Office</v>
      </c>
      <c r="AK66" s="59">
        <f t="shared" si="536"/>
        <v>0</v>
      </c>
      <c r="AL66" s="59">
        <f t="shared" si="537"/>
        <v>0</v>
      </c>
      <c r="AM66" s="58">
        <f t="shared" si="127"/>
        <v>0</v>
      </c>
      <c r="AN66" s="45">
        <f t="shared" si="128"/>
        <v>97</v>
      </c>
      <c r="AO66" s="54">
        <f t="shared" si="538"/>
        <v>2.9239999999999999</v>
      </c>
      <c r="AP66" s="45">
        <f t="shared" si="129"/>
        <v>1</v>
      </c>
      <c r="AQ66" s="45">
        <f t="shared" si="130"/>
        <v>2</v>
      </c>
      <c r="AR66" s="46" cm="1">
        <f t="array" ref="AR66">ROUND(IFERROR(INDEX(ArchiveResults!$F$5:$IX$116,ComparisonData!A66,ComparisonData!$AR$1),0),5)</f>
        <v>0</v>
      </c>
      <c r="AS66" s="46" cm="1">
        <f t="array" ref="AS66">ROUND(IFERROR(INDEX(ArchiveResults!$F$5:$IX$116,ComparisonData!A66,ComparisonData!$AS$1),0),5)</f>
        <v>0</v>
      </c>
      <c r="AT66" s="46" cm="1">
        <f t="array" ref="AT66">ROUND(IFERROR(INDEX(ArchiveResults!$F$5:$IX$116,ComparisonData!A66,ComparisonData!$AT$1),0),5)</f>
        <v>0</v>
      </c>
      <c r="AU66" s="46" cm="1">
        <f t="array" ref="AU66">ROUND(IFERROR(INDEX(ArchiveResults!$F$5:$IX$116,ComparisonData!A66,ComparisonData!$AU$1),0),5)</f>
        <v>0</v>
      </c>
      <c r="AV66" s="46" cm="1">
        <f t="array" ref="AV66">ROUND(IFERROR(INDEX(ArchiveResults!$F$5:$IX$116,ComparisonData!A66,ComparisonData!$AV$1),0),5)</f>
        <v>0</v>
      </c>
      <c r="AW66" s="46" cm="1">
        <f t="array" ref="AW66">ROUND(IFERROR(INDEX(ArchiveResults!$F$5:$IX$116,ComparisonData!A66,ComparisonData!$AW$1),0),5)</f>
        <v>0</v>
      </c>
      <c r="AX66" s="46" cm="1">
        <f t="array" ref="AX66">ROUND(IFERROR(INDEX(ArchiveResults!$F$5:$IX$116,ComparisonData!A66,ComparisonData!$AX$1),0),5)</f>
        <v>0</v>
      </c>
      <c r="AY66" s="46" cm="1">
        <f t="array" ref="AY66">ROUND(IFERROR(INDEX(ArchiveResults!$F$5:$IX$116,ComparisonData!A66,ComparisonData!$AY$1),0),5)</f>
        <v>0</v>
      </c>
      <c r="AZ66" s="46" cm="1">
        <f t="array" ref="AZ66">ROUND(IFERROR(INDEX(ArchiveResults!$F$5:$IX$116,ComparisonData!A66,ComparisonData!$AZ$1),0),5)</f>
        <v>0</v>
      </c>
      <c r="BA66" s="46" cm="1">
        <f t="array" ref="BA66">ROUND(IFERROR(INDEX(ArchiveResults!$F$5:$IX$116,ComparisonData!A66,ComparisonData!$BA$1),0),5)</f>
        <v>0</v>
      </c>
      <c r="BB66" s="56">
        <v>61</v>
      </c>
      <c r="BC66" s="53" t="str">
        <f t="shared" si="539"/>
        <v>Northumberland Archives: Berwick Record Office</v>
      </c>
      <c r="BD66" s="60">
        <f t="shared" si="131"/>
        <v>0</v>
      </c>
      <c r="BE66" s="60">
        <f t="shared" si="132"/>
        <v>0</v>
      </c>
      <c r="BF66" s="60">
        <f t="shared" si="133"/>
        <v>0</v>
      </c>
      <c r="BG66" s="60">
        <f t="shared" si="134"/>
        <v>0</v>
      </c>
      <c r="BH66" s="60">
        <f t="shared" si="135"/>
        <v>0</v>
      </c>
      <c r="BI66" s="60">
        <f t="shared" si="136"/>
        <v>0</v>
      </c>
      <c r="BJ66" s="60">
        <f t="shared" si="137"/>
        <v>0</v>
      </c>
      <c r="BK66" s="60">
        <f t="shared" si="138"/>
        <v>0</v>
      </c>
      <c r="BL66" s="60">
        <f t="shared" si="139"/>
        <v>0</v>
      </c>
      <c r="BM66" s="59">
        <f t="shared" si="140"/>
        <v>0</v>
      </c>
      <c r="BN66" s="58">
        <f t="shared" si="141"/>
        <v>0</v>
      </c>
      <c r="BO66" s="45">
        <f t="shared" si="142"/>
        <v>97</v>
      </c>
      <c r="BP66" s="54">
        <f t="shared" si="540"/>
        <v>2.9239999999999999</v>
      </c>
      <c r="BQ66" s="45">
        <f t="shared" si="143"/>
        <v>1</v>
      </c>
      <c r="BR66" s="45">
        <f t="shared" si="144"/>
        <v>2</v>
      </c>
      <c r="BS66" s="46" cm="1">
        <f t="array" ref="BS66">ROUND(IFERROR(INDEX(ArchiveResults!$F$5:$IX$116,ComparisonData!A66,ComparisonData!$BS$1),0),5)</f>
        <v>0</v>
      </c>
      <c r="BT66" s="46" cm="1">
        <f t="array" ref="BT66">ROUND(IFERROR(INDEX(ArchiveResults!$F$5:$IX$116,ComparisonData!A66,ComparisonData!$BT$1),0),5)</f>
        <v>0</v>
      </c>
      <c r="BU66" s="46" cm="1">
        <f t="array" ref="BU66">ROUND(IFERROR(INDEX(ArchiveResults!$F$5:$IX$116,ComparisonData!A66,ComparisonData!$BU$1),0),5)</f>
        <v>0</v>
      </c>
      <c r="BV66" s="46" cm="1">
        <f t="array" ref="BV66">ROUND(IFERROR(INDEX(ArchiveResults!$F$5:$IX$116,ComparisonData!A66,ComparisonData!$BV$1),0),5)</f>
        <v>0</v>
      </c>
      <c r="BW66" s="46" cm="1">
        <f t="array" ref="BW66">ROUND(IFERROR(INDEX(ArchiveResults!$F$5:$IX$116,ComparisonData!A66,ComparisonData!$BW$1),0),5)</f>
        <v>0</v>
      </c>
      <c r="BX66" s="46" cm="1">
        <f t="array" ref="BX66">ROUND(IFERROR(INDEX(ArchiveResults!$F$5:$IX$116,ComparisonData!A66,ComparisonData!$BX$1),0),5)</f>
        <v>0</v>
      </c>
      <c r="BY66" s="56">
        <v>61</v>
      </c>
      <c r="BZ66" s="53" t="str">
        <f t="shared" si="541"/>
        <v>Northumberland Archives: Berwick Record Office</v>
      </c>
      <c r="CA66" s="59">
        <f t="shared" si="145"/>
        <v>0</v>
      </c>
      <c r="CB66" s="59">
        <f t="shared" si="146"/>
        <v>0</v>
      </c>
      <c r="CC66" s="59">
        <f t="shared" si="147"/>
        <v>0</v>
      </c>
      <c r="CD66" s="59">
        <f t="shared" si="148"/>
        <v>0</v>
      </c>
      <c r="CE66" s="59">
        <f t="shared" si="149"/>
        <v>0</v>
      </c>
      <c r="CF66" s="59">
        <f t="shared" si="150"/>
        <v>0</v>
      </c>
      <c r="CG66" s="58">
        <f t="shared" si="151"/>
        <v>0</v>
      </c>
      <c r="CH66" s="45">
        <f t="shared" si="152"/>
        <v>97</v>
      </c>
      <c r="CI66" s="54">
        <f t="shared" si="542"/>
        <v>2.9239999999999999</v>
      </c>
      <c r="CJ66" s="45">
        <f t="shared" si="153"/>
        <v>1</v>
      </c>
      <c r="CK66" s="45">
        <f t="shared" si="154"/>
        <v>2</v>
      </c>
      <c r="CL66" s="46" cm="1">
        <f t="array" ref="CL66">ROUND(IFERROR(INDEX(ArchiveResults!$F$5:$IX$116,ComparisonData!A66,ComparisonData!$CL$1),0),5)</f>
        <v>0</v>
      </c>
      <c r="CM66" s="56">
        <v>61</v>
      </c>
      <c r="CN66" s="53" t="str">
        <f t="shared" si="543"/>
        <v>Northumberland Archives: Berwick Record Office</v>
      </c>
      <c r="CO66" s="45">
        <f t="shared" si="155"/>
        <v>0</v>
      </c>
      <c r="CP66" s="58">
        <f t="shared" si="156"/>
        <v>0</v>
      </c>
      <c r="CQ66" s="45">
        <f t="shared" si="157"/>
        <v>97</v>
      </c>
      <c r="CR66" s="54">
        <f t="shared" si="544"/>
        <v>2.9239999999999999</v>
      </c>
      <c r="CS66" s="45">
        <f t="shared" si="158"/>
        <v>1</v>
      </c>
      <c r="CT66" s="45">
        <f t="shared" si="159"/>
        <v>2</v>
      </c>
      <c r="CU66" s="46" cm="1">
        <f t="array" ref="CU66">ROUND(IFERROR(INDEX(ArchiveResults!$F$5:$IX$116,ComparisonData!A66,ComparisonData!$CU$1),0),5)</f>
        <v>0</v>
      </c>
      <c r="CV66" s="56">
        <v>61</v>
      </c>
      <c r="CW66" s="53" t="str">
        <f t="shared" si="545"/>
        <v>Northumberland Archives: Berwick Record Office</v>
      </c>
      <c r="CX66" s="45">
        <f t="shared" si="160"/>
        <v>0</v>
      </c>
      <c r="CY66" s="58">
        <f t="shared" si="161"/>
        <v>0</v>
      </c>
      <c r="CZ66" s="45">
        <f t="shared" si="162"/>
        <v>97</v>
      </c>
      <c r="DA66" s="54">
        <f t="shared" si="546"/>
        <v>2.9239999999999999</v>
      </c>
      <c r="DB66" s="45">
        <f t="shared" si="163"/>
        <v>1</v>
      </c>
      <c r="DC66" s="45">
        <f t="shared" si="164"/>
        <v>2</v>
      </c>
      <c r="DD66" s="46" cm="1">
        <f t="array" ref="DD66">ROUND(IFERROR(INDEX(ArchiveResults!$F$5:$IX$116,ComparisonData!A66,ComparisonData!$DD$1),0),5)</f>
        <v>0</v>
      </c>
      <c r="DE66" s="56">
        <v>61</v>
      </c>
      <c r="DF66" s="53" t="str">
        <f t="shared" si="547"/>
        <v>Northumberland Archives: Berwick Record Office</v>
      </c>
      <c r="DG66" s="45">
        <f t="shared" si="165"/>
        <v>0</v>
      </c>
      <c r="DH66" s="58">
        <f t="shared" si="166"/>
        <v>0</v>
      </c>
      <c r="DI66" s="45">
        <f t="shared" si="167"/>
        <v>97</v>
      </c>
      <c r="DJ66" s="54">
        <f t="shared" si="548"/>
        <v>2.9239999999999999</v>
      </c>
      <c r="DK66" s="45">
        <f t="shared" si="168"/>
        <v>1</v>
      </c>
      <c r="DL66" s="45">
        <f t="shared" si="169"/>
        <v>2</v>
      </c>
      <c r="DM66" s="46" cm="1">
        <f t="array" ref="DM66">ROUND(IFERROR(INDEX(ArchiveResults!$F$5:$IX$116,ComparisonData!A66,ComparisonData!$DM$1),0),5)</f>
        <v>0</v>
      </c>
      <c r="DN66" s="46" cm="1">
        <f t="array" ref="DN66">ROUND(IFERROR(INDEX(ArchiveResults!$F$5:$IX$116,ComparisonData!A66,ComparisonData!$DN$1),0),5)</f>
        <v>0</v>
      </c>
      <c r="DO66" s="46" cm="1">
        <f t="array" ref="DO66">ROUND(IFERROR(INDEX(ArchiveResults!$F$5:$IX$116,ComparisonData!A66,ComparisonData!$DO$1),0),5)</f>
        <v>0</v>
      </c>
      <c r="DP66" s="46" cm="1">
        <f t="array" ref="DP66">ROUND(IFERROR(INDEX(ArchiveResults!$F$5:$IX$116,ComparisonData!A66,ComparisonData!$DP$1),0),5)</f>
        <v>0</v>
      </c>
      <c r="DQ66" s="45" cm="1">
        <f t="array" ref="DQ66">IFERROR(INDEX(ArchiveResults!$F$5:$IX$116,ComparisonData!A66,ComparisonData!$DQ$1),0)</f>
        <v>0</v>
      </c>
      <c r="DR66" s="56">
        <v>61</v>
      </c>
      <c r="DS66" s="53" t="str">
        <f t="shared" si="549"/>
        <v>Northumberland Archives: Berwick Record Office</v>
      </c>
      <c r="DT66" s="59">
        <f t="shared" si="170"/>
        <v>0</v>
      </c>
      <c r="DU66" s="59">
        <f t="shared" si="171"/>
        <v>0</v>
      </c>
      <c r="DV66" s="59">
        <f t="shared" si="172"/>
        <v>0</v>
      </c>
      <c r="DW66" s="59">
        <f t="shared" si="173"/>
        <v>0</v>
      </c>
      <c r="DX66" s="59">
        <f t="shared" si="174"/>
        <v>0</v>
      </c>
      <c r="DY66" s="58">
        <f t="shared" si="175"/>
        <v>0</v>
      </c>
      <c r="DZ66" s="45">
        <f t="shared" si="176"/>
        <v>97</v>
      </c>
      <c r="EA66" s="54">
        <f t="shared" si="550"/>
        <v>2.9239999999999999</v>
      </c>
      <c r="EB66" s="45">
        <f t="shared" si="177"/>
        <v>1</v>
      </c>
      <c r="EC66" s="45">
        <f t="shared" si="178"/>
        <v>2</v>
      </c>
      <c r="ED66" s="46" cm="1">
        <f t="array" ref="ED66">ROUND(IFERROR(INDEX(ArchiveResults!$F$5:$IX$116,ComparisonData!A66,ComparisonData!$ED$1),0),5)</f>
        <v>0</v>
      </c>
      <c r="EE66" s="46" cm="1">
        <f t="array" ref="EE66">ROUND(IFERROR(INDEX(ArchiveResults!$F$5:$IX$116,ComparisonData!A66,ComparisonData!$EE$1),0),5)</f>
        <v>0</v>
      </c>
      <c r="EF66" s="46" cm="1">
        <f t="array" ref="EF66">ROUND(IFERROR(INDEX(ArchiveResults!$F$5:$IX$116,ComparisonData!A66,ComparisonData!$EF$1),0),5)</f>
        <v>0</v>
      </c>
      <c r="EG66" s="46" cm="1">
        <f t="array" ref="EG66">ROUND(IFERROR(INDEX(ArchiveResults!$F$5:$IX$116,ComparisonData!A66,ComparisonData!$EG$1),0),5)</f>
        <v>0</v>
      </c>
      <c r="EH66" s="45" cm="1">
        <f t="array" ref="EH66">IFERROR(INDEX(ArchiveResults!$F$5:$IX$116,ComparisonData!A66,ComparisonData!$EH$1),0)</f>
        <v>0</v>
      </c>
      <c r="EI66" s="56">
        <v>61</v>
      </c>
      <c r="EJ66" s="53" t="str">
        <f t="shared" si="551"/>
        <v>Northumberland Archives: Berwick Record Office</v>
      </c>
      <c r="EK66" s="59">
        <f t="shared" si="179"/>
        <v>0</v>
      </c>
      <c r="EL66" s="59">
        <f t="shared" si="180"/>
        <v>0</v>
      </c>
      <c r="EM66" s="59">
        <f t="shared" si="181"/>
        <v>0</v>
      </c>
      <c r="EN66" s="59">
        <f t="shared" si="182"/>
        <v>0</v>
      </c>
      <c r="EO66" s="59">
        <f t="shared" si="183"/>
        <v>0</v>
      </c>
      <c r="EP66" s="58">
        <f t="shared" si="184"/>
        <v>0</v>
      </c>
      <c r="EQ66" s="45">
        <f t="shared" si="185"/>
        <v>97</v>
      </c>
      <c r="ER66" s="54">
        <f t="shared" si="552"/>
        <v>2.9239999999999999</v>
      </c>
      <c r="ES66" s="45">
        <f t="shared" si="186"/>
        <v>1</v>
      </c>
      <c r="ET66" s="45">
        <f t="shared" si="187"/>
        <v>2</v>
      </c>
      <c r="EU66" s="46" cm="1">
        <f t="array" ref="EU66">ROUND(IFERROR(INDEX(ArchiveResults!$F$5:$IX$116,ComparisonData!A66,ComparisonData!$EU$1),0),5)</f>
        <v>0</v>
      </c>
      <c r="EV66" s="46" cm="1">
        <f t="array" ref="EV66">ROUND(IFERROR(INDEX(ArchiveResults!$F$5:$IX$116,ComparisonData!A66,ComparisonData!$EV$1),0),5)</f>
        <v>0</v>
      </c>
      <c r="EW66" s="46" cm="1">
        <f t="array" ref="EW66">ROUND(IFERROR(INDEX(ArchiveResults!$F$5:$IX$116,ComparisonData!A66,ComparisonData!$EW$1),0),5)</f>
        <v>0</v>
      </c>
      <c r="EX66" s="46" cm="1">
        <f t="array" ref="EX66">ROUND(IFERROR(INDEX(ArchiveResults!$F$5:$IX$116,ComparisonData!A66,ComparisonData!$EX$1),0),5)</f>
        <v>0</v>
      </c>
      <c r="EY66" s="45" cm="1">
        <f t="array" ref="EY66">IFERROR(INDEX(ArchiveResults!$F$5:$IX$116,ComparisonData!A66,ComparisonData!$EY$1),0)</f>
        <v>0</v>
      </c>
      <c r="EZ66" s="56">
        <v>61</v>
      </c>
      <c r="FA66" s="53" t="str">
        <f t="shared" si="553"/>
        <v>Northumberland Archives: Berwick Record Office</v>
      </c>
      <c r="FB66" s="59">
        <f t="shared" si="188"/>
        <v>0</v>
      </c>
      <c r="FC66" s="59">
        <f t="shared" si="189"/>
        <v>0</v>
      </c>
      <c r="FD66" s="59">
        <f t="shared" si="190"/>
        <v>0</v>
      </c>
      <c r="FE66" s="59">
        <f t="shared" si="191"/>
        <v>0</v>
      </c>
      <c r="FF66" s="59">
        <f t="shared" si="192"/>
        <v>0</v>
      </c>
      <c r="FG66" s="58">
        <f t="shared" si="193"/>
        <v>0</v>
      </c>
      <c r="FH66" s="45">
        <f t="shared" si="194"/>
        <v>97</v>
      </c>
      <c r="FI66" s="54">
        <f t="shared" si="554"/>
        <v>2.9239999999999999</v>
      </c>
      <c r="FJ66" s="45">
        <f t="shared" si="195"/>
        <v>1</v>
      </c>
      <c r="FK66" s="45">
        <f t="shared" si="196"/>
        <v>2</v>
      </c>
      <c r="FL66" s="46" cm="1">
        <f t="array" ref="FL66">ROUND(IFERROR(INDEX(ArchiveResults!$F$5:$IX$116,ComparisonData!A66,ComparisonData!$FL$1),0),5)</f>
        <v>0</v>
      </c>
      <c r="FM66" s="46" cm="1">
        <f t="array" ref="FM66">ROUND(IFERROR(INDEX(ArchiveResults!$F$5:$IX$116,ComparisonData!A66,ComparisonData!$FM$1),0),5)</f>
        <v>0</v>
      </c>
      <c r="FN66" s="46" cm="1">
        <f t="array" ref="FN66">ROUND(IFERROR(INDEX(ArchiveResults!$F$5:$IX$116,ComparisonData!A66,ComparisonData!$FN$1),0),5)</f>
        <v>0</v>
      </c>
      <c r="FO66" s="46" cm="1">
        <f t="array" ref="FO66">ROUND(IFERROR(INDEX(ArchiveResults!$F$5:$IX$116,ComparisonData!A66,ComparisonData!$FO$1),0),5)</f>
        <v>0</v>
      </c>
      <c r="FP66" s="45" cm="1">
        <f t="array" ref="FP66">IFERROR(INDEX(ArchiveResults!$F$5:$IX$116,ComparisonData!A66,ComparisonData!$FP$1),0)</f>
        <v>0</v>
      </c>
      <c r="FQ66" s="56">
        <v>61</v>
      </c>
      <c r="FR66" s="53" t="str">
        <f t="shared" si="555"/>
        <v>Northumberland Archives: Berwick Record Office</v>
      </c>
      <c r="FS66" s="59">
        <f t="shared" si="197"/>
        <v>0</v>
      </c>
      <c r="FT66" s="59">
        <f t="shared" si="198"/>
        <v>0</v>
      </c>
      <c r="FU66" s="59">
        <f t="shared" si="199"/>
        <v>0</v>
      </c>
      <c r="FV66" s="59">
        <f t="shared" si="200"/>
        <v>0</v>
      </c>
      <c r="FW66" s="59">
        <f t="shared" si="201"/>
        <v>0</v>
      </c>
      <c r="FX66" s="58">
        <f t="shared" si="202"/>
        <v>0</v>
      </c>
      <c r="FY66" s="45">
        <f t="shared" si="203"/>
        <v>97</v>
      </c>
      <c r="FZ66" s="45">
        <f t="shared" si="556"/>
        <v>2.9239999999999999</v>
      </c>
      <c r="GA66" s="45">
        <f t="shared" si="204"/>
        <v>1</v>
      </c>
      <c r="GB66" s="45">
        <f t="shared" si="205"/>
        <v>2</v>
      </c>
      <c r="GC66" s="46" cm="1">
        <f t="array" ref="GC66">ROUND(IFERROR(INDEX(ArchiveResults!$F$5:$IX$116,ComparisonData!A66,ComparisonData!$GC$1),0),5)</f>
        <v>0</v>
      </c>
      <c r="GD66" s="46" cm="1">
        <f t="array" ref="GD66">ROUND(IFERROR(INDEX(ArchiveResults!$F$5:$IX$116,ComparisonData!A66,ComparisonData!$GD$1),0),5)</f>
        <v>0</v>
      </c>
      <c r="GE66" s="46" cm="1">
        <f t="array" ref="GE66">ROUND(IFERROR(INDEX(ArchiveResults!$F$5:$IX$116,ComparisonData!A66,ComparisonData!$GE$1),0),5)</f>
        <v>0</v>
      </c>
      <c r="GF66" s="46" cm="1">
        <f t="array" ref="GF66">ROUND(IFERROR(INDEX(ArchiveResults!$F$5:$IX$116,ComparisonData!A66,ComparisonData!$GF$1),0),5)</f>
        <v>0</v>
      </c>
      <c r="GG66" s="45" cm="1">
        <f t="array" ref="GG66">IFERROR(INDEX(ArchiveResults!$F$5:$IX$116,ComparisonData!A66,ComparisonData!$GG$1),0)</f>
        <v>0</v>
      </c>
      <c r="GH66" s="56">
        <v>61</v>
      </c>
      <c r="GI66" s="53" t="str">
        <f t="shared" si="557"/>
        <v>Northumberland Archives: Berwick Record Office</v>
      </c>
      <c r="GJ66" s="59">
        <f t="shared" si="206"/>
        <v>0</v>
      </c>
      <c r="GK66" s="59">
        <f t="shared" si="207"/>
        <v>0</v>
      </c>
      <c r="GL66" s="59">
        <f t="shared" si="208"/>
        <v>0</v>
      </c>
      <c r="GM66" s="59">
        <f t="shared" si="209"/>
        <v>0</v>
      </c>
      <c r="GN66" s="59">
        <f t="shared" si="210"/>
        <v>0</v>
      </c>
      <c r="GO66" s="58">
        <f t="shared" si="211"/>
        <v>0</v>
      </c>
      <c r="GP66" s="45">
        <f t="shared" si="212"/>
        <v>97</v>
      </c>
      <c r="GQ66" s="45">
        <f t="shared" si="558"/>
        <v>2.9239999999999999</v>
      </c>
      <c r="GR66" s="45">
        <f t="shared" si="213"/>
        <v>1</v>
      </c>
      <c r="GS66" s="45">
        <f t="shared" si="214"/>
        <v>2</v>
      </c>
      <c r="GT66" s="46" cm="1">
        <f t="array" ref="GT66">ROUND(IFERROR(INDEX(ArchiveResults!$F$5:$IX$116,ComparisonData!A66,ComparisonData!$GT$1),0),5)</f>
        <v>0</v>
      </c>
      <c r="GU66" s="46" cm="1">
        <f t="array" ref="GU66">ROUND(IFERROR(INDEX(ArchiveResults!$F$5:$IX$116,ComparisonData!A66,ComparisonData!$GU$1),0),5)</f>
        <v>0</v>
      </c>
      <c r="GV66" s="46" cm="1">
        <f t="array" ref="GV66">ROUND(IFERROR(INDEX(ArchiveResults!$F$5:$IX$116,ComparisonData!A66,ComparisonData!$GV$1),0),5)</f>
        <v>0</v>
      </c>
      <c r="GW66" s="46" cm="1">
        <f t="array" ref="GW66">ROUND(IFERROR(INDEX(ArchiveResults!$F$5:$IX$116,ComparisonData!A66,ComparisonData!$GW$1),0),5)</f>
        <v>0</v>
      </c>
      <c r="GX66" s="45" cm="1">
        <f t="array" ref="GX66">IFERROR(INDEX(ArchiveResults!$F$5:$IX$116,ComparisonData!A66,ComparisonData!$GX$1),0)</f>
        <v>0</v>
      </c>
      <c r="GY66" s="56">
        <v>61</v>
      </c>
      <c r="GZ66" s="53" t="str">
        <f t="shared" si="559"/>
        <v>Northumberland Archives: Berwick Record Office</v>
      </c>
      <c r="HA66" s="59">
        <f t="shared" si="215"/>
        <v>0</v>
      </c>
      <c r="HB66" s="59">
        <f t="shared" si="216"/>
        <v>0</v>
      </c>
      <c r="HC66" s="59">
        <f t="shared" si="217"/>
        <v>0</v>
      </c>
      <c r="HD66" s="59">
        <f t="shared" si="218"/>
        <v>0</v>
      </c>
      <c r="HE66" s="59">
        <f t="shared" si="219"/>
        <v>0</v>
      </c>
      <c r="HF66" s="58">
        <f t="shared" si="220"/>
        <v>0</v>
      </c>
      <c r="HG66" s="45">
        <f t="shared" si="221"/>
        <v>97</v>
      </c>
      <c r="HH66" s="45">
        <f t="shared" si="560"/>
        <v>2.9239999999999999</v>
      </c>
      <c r="HI66" s="45">
        <f t="shared" si="222"/>
        <v>1</v>
      </c>
      <c r="HJ66" s="45">
        <f t="shared" si="223"/>
        <v>2</v>
      </c>
      <c r="HK66" s="46" cm="1">
        <f t="array" ref="HK66">ROUND(IFERROR(INDEX(ArchiveResults!$F$5:$IX$116,ComparisonData!A66,ComparisonData!$HK$1),0),5)</f>
        <v>0</v>
      </c>
      <c r="HL66" s="46" cm="1">
        <f t="array" ref="HL66">ROUND(IFERROR(INDEX(ArchiveResults!$F$5:$IX$116,ComparisonData!A66,ComparisonData!$HL$1),0),5)</f>
        <v>0</v>
      </c>
      <c r="HM66" s="46" cm="1">
        <f t="array" ref="HM66">ROUND(IFERROR(INDEX(ArchiveResults!$F$5:$IX$116,ComparisonData!A66,ComparisonData!$HM$1),0),5)</f>
        <v>0</v>
      </c>
      <c r="HN66" s="46" cm="1">
        <f t="array" ref="HN66">ROUND(IFERROR(INDEX(ArchiveResults!$F$5:$IX$116,ComparisonData!A66,ComparisonData!$HN$1),0),5)</f>
        <v>0</v>
      </c>
      <c r="HO66" s="45" cm="1">
        <f t="array" ref="HO66">IFERROR(INDEX(ArchiveResults!$F$5:$IX$116,ComparisonData!A66,ComparisonData!$HO$1),0)</f>
        <v>0</v>
      </c>
      <c r="HP66" s="56">
        <v>61</v>
      </c>
      <c r="HQ66" s="53" t="str">
        <f t="shared" si="561"/>
        <v>Northumberland Archives: Berwick Record Office</v>
      </c>
      <c r="HR66" s="59">
        <f t="shared" si="562"/>
        <v>0</v>
      </c>
      <c r="HS66" s="59">
        <f t="shared" si="563"/>
        <v>0</v>
      </c>
      <c r="HT66" s="59">
        <f t="shared" si="564"/>
        <v>0</v>
      </c>
      <c r="HU66" s="59">
        <f t="shared" si="565"/>
        <v>0</v>
      </c>
      <c r="HV66" s="59">
        <f t="shared" si="566"/>
        <v>0</v>
      </c>
      <c r="HW66" s="58">
        <f t="shared" si="224"/>
        <v>0</v>
      </c>
      <c r="HX66" s="45">
        <f t="shared" si="225"/>
        <v>97</v>
      </c>
      <c r="HY66" s="45">
        <f t="shared" si="567"/>
        <v>2.9239999999999999</v>
      </c>
      <c r="HZ66" s="45">
        <f t="shared" si="226"/>
        <v>1</v>
      </c>
      <c r="IA66" s="45">
        <f t="shared" si="227"/>
        <v>2</v>
      </c>
      <c r="IB66" s="45">
        <f t="shared" si="228"/>
        <v>0</v>
      </c>
      <c r="IC66" s="46" cm="1">
        <f t="array" ref="IC66">ROUND(IFERROR(INDEX(ArchiveResults!$F$5:$IX$116,ComparisonData!A66,ComparisonData!$IC$1),0),5)</f>
        <v>0</v>
      </c>
      <c r="ID66" s="46" cm="1">
        <f t="array" ref="ID66">ROUND(IFERROR(INDEX(ArchiveResults!$F$5:$IX$116,ComparisonData!A66,ComparisonData!$ID$1),0),5)</f>
        <v>0</v>
      </c>
      <c r="IE66" s="46" cm="1">
        <f t="array" ref="IE66">ROUND(IFERROR(INDEX(ArchiveResults!$F$5:$IX$116,ComparisonData!A66,ComparisonData!$IE$1),0),5)</f>
        <v>0</v>
      </c>
      <c r="IF66" s="46" cm="1">
        <f t="array" ref="IF66">ROUND(IFERROR(INDEX(ArchiveResults!$F$5:$IX$116,ComparisonData!A66,ComparisonData!$IF$1),0),5)</f>
        <v>0</v>
      </c>
      <c r="IG66" s="45" cm="1">
        <f t="array" ref="IG66">IFERROR(INDEX(ArchiveResults!$F$5:$IX$116,ComparisonData!A66,ComparisonData!$IG$1),0)</f>
        <v>0</v>
      </c>
      <c r="IH66" s="56">
        <v>61</v>
      </c>
      <c r="II66" s="53" t="str">
        <f t="shared" si="568"/>
        <v>Northumberland Archives: Berwick Record Office</v>
      </c>
      <c r="IJ66" s="59">
        <f t="shared" si="229"/>
        <v>0</v>
      </c>
      <c r="IK66" s="59">
        <f t="shared" si="230"/>
        <v>0</v>
      </c>
      <c r="IL66" s="59">
        <f t="shared" si="231"/>
        <v>0</v>
      </c>
      <c r="IM66" s="59">
        <f t="shared" si="232"/>
        <v>0</v>
      </c>
      <c r="IN66" s="59">
        <f t="shared" si="233"/>
        <v>0</v>
      </c>
      <c r="IO66" s="58">
        <f t="shared" si="234"/>
        <v>0</v>
      </c>
      <c r="IP66" s="45">
        <f t="shared" si="235"/>
        <v>97</v>
      </c>
      <c r="IQ66" s="45">
        <f t="shared" si="569"/>
        <v>2.9239999999999999</v>
      </c>
      <c r="IR66" s="45">
        <f t="shared" si="236"/>
        <v>1</v>
      </c>
      <c r="IS66" s="45">
        <f t="shared" si="237"/>
        <v>2</v>
      </c>
      <c r="IT66" s="46">
        <f t="shared" si="238"/>
        <v>0</v>
      </c>
      <c r="IU66" s="46" cm="1">
        <f t="array" ref="IU66">ROUND(IFERROR(INDEX(ArchiveResults!$F$5:$IX$116,ComparisonData!A66,ComparisonData!$IU$1),0),5)</f>
        <v>0</v>
      </c>
      <c r="IV66" s="46" cm="1">
        <f t="array" ref="IV66">ROUND(IFERROR(INDEX(ArchiveResults!$F$5:$IX$116,ComparisonData!A66,ComparisonData!$IV$1),0),5)</f>
        <v>0</v>
      </c>
      <c r="IW66" s="46" cm="1">
        <f t="array" ref="IW66">ROUND(IFERROR(INDEX(ArchiveResults!$F$5:$IX$116,ComparisonData!A66,ComparisonData!$IW$1),0),5)</f>
        <v>0</v>
      </c>
      <c r="IX66" s="46" cm="1">
        <f t="array" ref="IX66">ROUND(IFERROR(INDEX(ArchiveResults!$F$5:$IX$116,ComparisonData!A66,ComparisonData!$IX$1),0),5)</f>
        <v>0</v>
      </c>
      <c r="IY66" s="45" cm="1">
        <f t="array" ref="IY66">IFERROR(INDEX(ArchiveResults!$F$5:$IX$116,ComparisonData!A66,ComparisonData!$IY$1),0)</f>
        <v>0</v>
      </c>
      <c r="IZ66" s="56">
        <v>61</v>
      </c>
      <c r="JA66" s="53" t="str">
        <f t="shared" si="570"/>
        <v>Northumberland Archives: Berwick Record Office</v>
      </c>
      <c r="JB66" s="59">
        <f t="shared" si="239"/>
        <v>0</v>
      </c>
      <c r="JC66" s="59">
        <f t="shared" si="240"/>
        <v>0</v>
      </c>
      <c r="JD66" s="59">
        <f t="shared" si="241"/>
        <v>0</v>
      </c>
      <c r="JE66" s="59">
        <f t="shared" si="242"/>
        <v>0</v>
      </c>
      <c r="JF66" s="59">
        <f t="shared" si="243"/>
        <v>0</v>
      </c>
      <c r="JG66" s="58">
        <f t="shared" si="244"/>
        <v>0</v>
      </c>
      <c r="JH66" s="45">
        <f t="shared" si="245"/>
        <v>97</v>
      </c>
      <c r="JI66" s="45">
        <f t="shared" si="571"/>
        <v>2.9239999999999999</v>
      </c>
      <c r="JJ66" s="45">
        <f t="shared" si="246"/>
        <v>1</v>
      </c>
      <c r="JK66" s="45">
        <f t="shared" si="247"/>
        <v>2</v>
      </c>
      <c r="JL66" s="45">
        <f t="shared" si="248"/>
        <v>0</v>
      </c>
      <c r="JM66" s="46" cm="1">
        <f t="array" ref="JM66">ROUND(IFERROR(INDEX(ArchiveResults!$F$5:$IX$116,ComparisonData!A66,ComparisonData!$JM$1),0),5)</f>
        <v>0</v>
      </c>
      <c r="JN66" s="46" cm="1">
        <f t="array" ref="JN66">ROUND(IFERROR(INDEX(ArchiveResults!$F$5:$IX$116,ComparisonData!A66,ComparisonData!$JN$1),0),5)</f>
        <v>0</v>
      </c>
      <c r="JO66" s="46" cm="1">
        <f t="array" ref="JO66">ROUND(IFERROR(INDEX(ArchiveResults!$F$5:$IX$116,ComparisonData!A66,ComparisonData!$JO$1),0),5)</f>
        <v>0</v>
      </c>
      <c r="JP66" s="46" cm="1">
        <f t="array" ref="JP66">ROUND(IFERROR(INDEX(ArchiveResults!$F$5:$IX$116,ComparisonData!A66,ComparisonData!$JP$1),0),5)</f>
        <v>0</v>
      </c>
      <c r="JQ66" s="45" cm="1">
        <f t="array" ref="JQ66">IFERROR(INDEX(ArchiveResults!$F$5:$IX$116,ComparisonData!A66,ComparisonData!$JQ$1),0)</f>
        <v>0</v>
      </c>
      <c r="JR66" s="56">
        <v>61</v>
      </c>
      <c r="JS66" s="53" t="str">
        <f t="shared" si="572"/>
        <v>Northumberland Archives: Berwick Record Office</v>
      </c>
      <c r="JT66" s="59">
        <f t="shared" si="249"/>
        <v>0</v>
      </c>
      <c r="JU66" s="59">
        <f t="shared" si="250"/>
        <v>0</v>
      </c>
      <c r="JV66" s="59">
        <f t="shared" si="251"/>
        <v>0</v>
      </c>
      <c r="JW66" s="59">
        <f t="shared" si="252"/>
        <v>0</v>
      </c>
      <c r="JX66" s="59">
        <f t="shared" si="253"/>
        <v>0</v>
      </c>
      <c r="JY66" s="58">
        <f t="shared" si="254"/>
        <v>0</v>
      </c>
      <c r="JZ66" s="45">
        <f t="shared" si="255"/>
        <v>97</v>
      </c>
      <c r="KA66" s="45">
        <f t="shared" si="573"/>
        <v>2.9239999999999999</v>
      </c>
      <c r="KB66" s="45">
        <f t="shared" si="256"/>
        <v>1</v>
      </c>
      <c r="KC66" s="45">
        <f t="shared" si="257"/>
        <v>2</v>
      </c>
      <c r="KD66" s="45">
        <f t="shared" si="258"/>
        <v>0</v>
      </c>
      <c r="KE66" s="46" cm="1">
        <f t="array" ref="KE66">ROUND(IFERROR(INDEX(ArchiveResults!$F$5:$IX$116,ComparisonData!A66,ComparisonData!$KE$1),0),5)</f>
        <v>0</v>
      </c>
      <c r="KF66" s="46" cm="1">
        <f t="array" ref="KF66">ROUND(IFERROR(INDEX(ArchiveResults!$F$5:$IX$116,ComparisonData!A66,ComparisonData!$KF$1),0),5)</f>
        <v>0</v>
      </c>
      <c r="KG66" s="46" cm="1">
        <f t="array" ref="KG66">ROUND(IFERROR(INDEX(ArchiveResults!$F$5:$IX$116,ComparisonData!A66,ComparisonData!$KG$1),0),5)</f>
        <v>0</v>
      </c>
      <c r="KH66" s="46" cm="1">
        <f t="array" ref="KH66">ROUND(IFERROR(INDEX(ArchiveResults!$F$5:$IX$116,ComparisonData!A66,ComparisonData!$KH$1),0),5)</f>
        <v>0</v>
      </c>
      <c r="KI66" s="45" cm="1">
        <f t="array" ref="KI66">IFERROR(INDEX(ArchiveResults!$F$5:$IX$116,ComparisonData!A66,ComparisonData!$KI$1),0)</f>
        <v>0</v>
      </c>
      <c r="KJ66" s="56">
        <v>61</v>
      </c>
      <c r="KK66" s="53" t="str">
        <f t="shared" si="574"/>
        <v>Northumberland Archives: Berwick Record Office</v>
      </c>
      <c r="KL66" s="59">
        <f t="shared" si="259"/>
        <v>0</v>
      </c>
      <c r="KM66" s="59">
        <f t="shared" si="260"/>
        <v>0</v>
      </c>
      <c r="KN66" s="59">
        <f t="shared" si="261"/>
        <v>0</v>
      </c>
      <c r="KO66" s="59">
        <f t="shared" si="262"/>
        <v>0</v>
      </c>
      <c r="KP66" s="59">
        <f t="shared" si="263"/>
        <v>0</v>
      </c>
      <c r="KQ66" s="58">
        <f t="shared" si="264"/>
        <v>0</v>
      </c>
      <c r="KR66" s="45">
        <f t="shared" si="265"/>
        <v>97</v>
      </c>
      <c r="KS66" s="45">
        <f t="shared" si="575"/>
        <v>2.9239999999999999</v>
      </c>
      <c r="KT66" s="45">
        <f t="shared" si="266"/>
        <v>1</v>
      </c>
      <c r="KU66" s="45">
        <f t="shared" si="267"/>
        <v>2</v>
      </c>
      <c r="KV66" s="45">
        <f t="shared" si="268"/>
        <v>0</v>
      </c>
      <c r="KW66" s="46" cm="1">
        <f t="array" ref="KW66">ROUND(IFERROR(INDEX(ArchiveResults!$F$5:$IX$116,ComparisonData!A66,ComparisonData!$KW$1),0),5)</f>
        <v>0</v>
      </c>
      <c r="KX66" s="46" cm="1">
        <f t="array" ref="KX66">ROUND(IFERROR(INDEX(ArchiveResults!$F$5:$IX$116,ComparisonData!A66,ComparisonData!$KX$1),0),5)</f>
        <v>0</v>
      </c>
      <c r="KY66" s="46" cm="1">
        <f t="array" ref="KY66">ROUND(IFERROR(INDEX(ArchiveResults!$F$5:$IX$116,ComparisonData!A66,ComparisonData!$KY$1),0),5)</f>
        <v>0</v>
      </c>
      <c r="KZ66" s="46" cm="1">
        <f t="array" ref="KZ66">ROUND(IFERROR(INDEX(ArchiveResults!$F$5:$IX$116,ComparisonData!A66,ComparisonData!$KZ$1),0),5)</f>
        <v>0</v>
      </c>
      <c r="LA66" s="45" cm="1">
        <f t="array" ref="LA66">IFERROR(INDEX(ArchiveResults!$F$5:$IX$116,ComparisonData!A66,ComparisonData!$LA$1),0)</f>
        <v>0</v>
      </c>
      <c r="LB66" s="56">
        <v>61</v>
      </c>
      <c r="LC66" s="53" t="str">
        <f t="shared" si="576"/>
        <v>Northumberland Archives: Berwick Record Office</v>
      </c>
      <c r="LD66" s="59">
        <f t="shared" si="269"/>
        <v>0</v>
      </c>
      <c r="LE66" s="59">
        <f t="shared" si="270"/>
        <v>0</v>
      </c>
      <c r="LF66" s="59">
        <f t="shared" si="271"/>
        <v>0</v>
      </c>
      <c r="LG66" s="59">
        <f t="shared" si="272"/>
        <v>0</v>
      </c>
      <c r="LH66" s="59">
        <f t="shared" si="273"/>
        <v>0</v>
      </c>
      <c r="LI66" s="58">
        <f t="shared" si="274"/>
        <v>0</v>
      </c>
      <c r="LJ66" s="45">
        <f t="shared" si="275"/>
        <v>97</v>
      </c>
      <c r="LK66" s="45">
        <f t="shared" si="577"/>
        <v>2.9239999999999999</v>
      </c>
      <c r="LL66" s="45">
        <f t="shared" si="276"/>
        <v>1</v>
      </c>
      <c r="LM66" s="45">
        <f t="shared" si="277"/>
        <v>2</v>
      </c>
      <c r="LN66" s="45">
        <f t="shared" si="278"/>
        <v>0</v>
      </c>
      <c r="LO66" s="46" cm="1">
        <f t="array" ref="LO66">ROUND(IFERROR(INDEX(ArchiveResults!$F$5:$IX$116,ComparisonData!A66,ComparisonData!$LO$1),0),5)</f>
        <v>0</v>
      </c>
      <c r="LP66" s="46" cm="1">
        <f t="array" ref="LP66">ROUND(IFERROR(INDEX(ArchiveResults!$F$5:$IX$116,ComparisonData!A66,ComparisonData!$LP$1),0),5)</f>
        <v>0</v>
      </c>
      <c r="LQ66" s="46" cm="1">
        <f t="array" ref="LQ66">ROUND(IFERROR(INDEX(ArchiveResults!$F$5:$IX$116,ComparisonData!A66,ComparisonData!$LQ$1),0),5)</f>
        <v>0</v>
      </c>
      <c r="LR66" s="46" cm="1">
        <f t="array" ref="LR66">ROUND(IFERROR(INDEX(ArchiveResults!$F$5:$IX$116,ComparisonData!A66,ComparisonData!$LR$1),0),5)</f>
        <v>0</v>
      </c>
      <c r="LS66" s="45" cm="1">
        <f t="array" ref="LS66">IFERROR(INDEX(ArchiveResults!$F$5:$IX$116,ComparisonData!A66,ComparisonData!$LS$1),0)</f>
        <v>0</v>
      </c>
      <c r="LT66" s="56">
        <v>61</v>
      </c>
      <c r="LU66" s="53" t="str">
        <f t="shared" si="578"/>
        <v>Northumberland Archives: Berwick Record Office</v>
      </c>
      <c r="LV66" s="59">
        <f t="shared" si="279"/>
        <v>0</v>
      </c>
      <c r="LW66" s="59">
        <f t="shared" si="280"/>
        <v>0</v>
      </c>
      <c r="LX66" s="59">
        <f t="shared" si="281"/>
        <v>0</v>
      </c>
      <c r="LY66" s="59">
        <f t="shared" si="282"/>
        <v>0</v>
      </c>
      <c r="LZ66" s="59">
        <f t="shared" si="283"/>
        <v>0</v>
      </c>
      <c r="MA66" s="58">
        <f t="shared" si="284"/>
        <v>0</v>
      </c>
      <c r="MB66" s="45">
        <f t="shared" si="285"/>
        <v>97</v>
      </c>
      <c r="MC66" s="45">
        <f t="shared" si="579"/>
        <v>2.9239999999999999</v>
      </c>
      <c r="MD66" s="45">
        <f t="shared" si="286"/>
        <v>1</v>
      </c>
      <c r="ME66" s="45">
        <f t="shared" si="287"/>
        <v>2</v>
      </c>
      <c r="MF66" s="45">
        <f t="shared" si="288"/>
        <v>0</v>
      </c>
      <c r="MG66" s="46" cm="1">
        <f t="array" ref="MG66">ROUND(IFERROR(INDEX(ArchiveResults!$F$5:$IX$116,ComparisonData!A66,ComparisonData!$MG$1),0),5)</f>
        <v>0</v>
      </c>
      <c r="MH66" s="46" cm="1">
        <f t="array" ref="MH66">ROUND(IFERROR(INDEX(ArchiveResults!$F$5:$IX$116,ComparisonData!A66,ComparisonData!$MH$1),0),5)</f>
        <v>0</v>
      </c>
      <c r="MI66" s="46" cm="1">
        <f t="array" ref="MI66">ROUND(IFERROR(INDEX(ArchiveResults!$F$5:$IX$116,ComparisonData!A66,ComparisonData!$MI$1),0),5)</f>
        <v>0</v>
      </c>
      <c r="MJ66" s="46" cm="1">
        <f t="array" ref="MJ66">ROUND(IFERROR(INDEX(ArchiveResults!$F$5:$IX$116,ComparisonData!A66,ComparisonData!$MJ$1),0),5)</f>
        <v>0</v>
      </c>
      <c r="MK66" s="45" cm="1">
        <f t="array" ref="MK66">IFERROR(INDEX(ArchiveResults!$F$5:$IX$116,ComparisonData!A66,ComparisonData!$MK$1),0)</f>
        <v>0</v>
      </c>
      <c r="ML66" s="56">
        <v>61</v>
      </c>
      <c r="MM66" s="53" t="str">
        <f t="shared" si="580"/>
        <v>Northumberland Archives: Berwick Record Office</v>
      </c>
      <c r="MN66" s="59">
        <f t="shared" si="289"/>
        <v>0</v>
      </c>
      <c r="MO66" s="59">
        <f t="shared" si="290"/>
        <v>0</v>
      </c>
      <c r="MP66" s="59">
        <f t="shared" si="291"/>
        <v>0</v>
      </c>
      <c r="MQ66" s="59">
        <f t="shared" si="292"/>
        <v>0</v>
      </c>
      <c r="MR66" s="59">
        <f t="shared" si="293"/>
        <v>0</v>
      </c>
      <c r="MS66" s="58">
        <f t="shared" si="294"/>
        <v>0</v>
      </c>
      <c r="MT66" s="45">
        <f t="shared" si="295"/>
        <v>97</v>
      </c>
      <c r="MU66" s="45">
        <f t="shared" si="581"/>
        <v>2.9239999999999999</v>
      </c>
      <c r="MV66" s="45">
        <f t="shared" si="296"/>
        <v>1</v>
      </c>
      <c r="MW66" s="45">
        <f t="shared" si="297"/>
        <v>2</v>
      </c>
      <c r="MX66" s="45">
        <f t="shared" si="298"/>
        <v>0</v>
      </c>
      <c r="MY66" s="46" cm="1">
        <f t="array" ref="MY66">ROUND(IFERROR(INDEX(ArchiveResults!$F$5:$IX$116,ComparisonData!A66,ComparisonData!$MY$1),0),5)</f>
        <v>0</v>
      </c>
      <c r="MZ66" s="46" cm="1">
        <f t="array" ref="MZ66">ROUND(IFERROR(INDEX(ArchiveResults!$F$5:$IX$116,ComparisonData!A66,ComparisonData!$MZ$1),0),5)</f>
        <v>0</v>
      </c>
      <c r="NA66" s="46" cm="1">
        <f t="array" ref="NA66">ROUND(IFERROR(INDEX(ArchiveResults!$F$5:$IX$116,ComparisonData!A66,ComparisonData!$NA$1),0),5)</f>
        <v>0</v>
      </c>
      <c r="NB66" s="46" cm="1">
        <f t="array" ref="NB66">ROUND(IFERROR(INDEX(ArchiveResults!$F$5:$IX$116,ComparisonData!A66,ComparisonData!$NB$1),0),5)</f>
        <v>0</v>
      </c>
      <c r="NC66" s="45" cm="1">
        <f t="array" ref="NC66">IFERROR(INDEX(ArchiveResults!$F$5:$IX$116,ComparisonData!A66,ComparisonData!$NC$1),0)</f>
        <v>0</v>
      </c>
      <c r="ND66" s="56">
        <v>61</v>
      </c>
      <c r="NE66" s="53" t="str">
        <f t="shared" si="582"/>
        <v>Northumberland Archives: Berwick Record Office</v>
      </c>
      <c r="NF66" s="59">
        <f t="shared" si="299"/>
        <v>0</v>
      </c>
      <c r="NG66" s="59">
        <f t="shared" si="300"/>
        <v>0</v>
      </c>
      <c r="NH66" s="59">
        <f t="shared" si="301"/>
        <v>0</v>
      </c>
      <c r="NI66" s="59">
        <f t="shared" si="302"/>
        <v>0</v>
      </c>
      <c r="NJ66" s="59">
        <f t="shared" si="303"/>
        <v>0</v>
      </c>
      <c r="NK66" s="58">
        <f t="shared" si="304"/>
        <v>0</v>
      </c>
      <c r="NL66" s="45">
        <f t="shared" si="305"/>
        <v>97</v>
      </c>
      <c r="NM66" s="45">
        <f t="shared" si="583"/>
        <v>2.9239999999999999</v>
      </c>
      <c r="NN66" s="45">
        <f t="shared" si="306"/>
        <v>1</v>
      </c>
      <c r="NO66" s="45">
        <f t="shared" si="307"/>
        <v>2</v>
      </c>
      <c r="NP66" s="46" cm="1">
        <f t="array" ref="NP66">ROUND(IFERROR(INDEX(ArchiveResults!$F$5:$IX$116,ComparisonData!A66,ComparisonData!$NP$1),0),5)</f>
        <v>0</v>
      </c>
      <c r="NQ66" s="46" cm="1">
        <f t="array" ref="NQ66">ROUND(IFERROR(INDEX(ArchiveResults!$F$5:$IX$116,ComparisonData!A66,ComparisonData!$NQ$1),0),5)</f>
        <v>0</v>
      </c>
      <c r="NR66" s="46" cm="1">
        <f t="array" ref="NR66">ROUND(IFERROR(INDEX(ArchiveResults!$F$5:$IX$116,ComparisonData!A66,ComparisonData!$NR$1),0),5)</f>
        <v>0</v>
      </c>
      <c r="NS66" s="46" cm="1">
        <f t="array" ref="NS66">ROUND(IFERROR(INDEX(ArchiveResults!$F$5:$IX$116,ComparisonData!A66,ComparisonData!$NS$1),0),5)</f>
        <v>0</v>
      </c>
      <c r="NT66" s="45" cm="1">
        <f t="array" ref="NT66">IFERROR(INDEX(ArchiveResults!$F$5:$IX$116,ComparisonData!A66,ComparisonData!$NT$1),0)</f>
        <v>0</v>
      </c>
      <c r="NU66" s="56">
        <v>61</v>
      </c>
      <c r="NV66" s="53" t="str">
        <f t="shared" si="584"/>
        <v>Northumberland Archives: Berwick Record Office</v>
      </c>
      <c r="NW66" s="59">
        <f t="shared" si="308"/>
        <v>0</v>
      </c>
      <c r="NX66" s="59">
        <f t="shared" si="309"/>
        <v>0</v>
      </c>
      <c r="NY66" s="59">
        <f t="shared" si="310"/>
        <v>0</v>
      </c>
      <c r="NZ66" s="59">
        <f t="shared" si="311"/>
        <v>0</v>
      </c>
      <c r="OA66" s="59">
        <f t="shared" si="312"/>
        <v>0</v>
      </c>
      <c r="OB66" s="58">
        <f t="shared" si="313"/>
        <v>0</v>
      </c>
      <c r="OC66" s="45">
        <f t="shared" si="314"/>
        <v>97</v>
      </c>
      <c r="OD66" s="45">
        <f t="shared" si="585"/>
        <v>2.9239999999999999</v>
      </c>
      <c r="OE66" s="45">
        <f t="shared" si="315"/>
        <v>1</v>
      </c>
      <c r="OF66" s="45">
        <f t="shared" si="316"/>
        <v>2</v>
      </c>
      <c r="OG66" s="46">
        <f t="shared" si="317"/>
        <v>0</v>
      </c>
      <c r="OH66" s="46" cm="1">
        <f t="array" ref="OH66">ROUND(IFERROR(INDEX(ArchiveResults!$F$5:$IX$116,ComparisonData!A66,ComparisonData!$OH$1),0),5)</f>
        <v>0</v>
      </c>
      <c r="OI66" s="46" cm="1">
        <f t="array" ref="OI66">ROUND(IFERROR(INDEX(ArchiveResults!$F$5:$IX$116,ComparisonData!A66,ComparisonData!$OI$1),0),5)</f>
        <v>0</v>
      </c>
      <c r="OJ66" s="46" cm="1">
        <f t="array" ref="OJ66">ROUND(IFERROR(INDEX(ArchiveResults!$F$5:$IX$116,ComparisonData!A66,ComparisonData!$OJ$1),0),5)</f>
        <v>0</v>
      </c>
      <c r="OK66" s="46" cm="1">
        <f t="array" ref="OK66">ROUND(IFERROR(INDEX(ArchiveResults!$F$5:$IX$116,ComparisonData!A66,ComparisonData!$OK$1),0),5)</f>
        <v>0</v>
      </c>
      <c r="OL66" s="45" cm="1">
        <f t="array" ref="OL66">IFERROR(INDEX(ArchiveResults!$F$5:$IX$116,ComparisonData!A66,ComparisonData!$OL$1),0)</f>
        <v>0</v>
      </c>
      <c r="OM66" s="56">
        <v>61</v>
      </c>
      <c r="ON66" s="53" t="str">
        <f t="shared" si="586"/>
        <v>Northumberland Archives: Berwick Record Office</v>
      </c>
      <c r="OO66" s="59">
        <f t="shared" si="318"/>
        <v>0</v>
      </c>
      <c r="OP66" s="59">
        <f t="shared" si="319"/>
        <v>0</v>
      </c>
      <c r="OQ66" s="59">
        <f t="shared" si="320"/>
        <v>0</v>
      </c>
      <c r="OR66" s="59">
        <f t="shared" si="321"/>
        <v>0</v>
      </c>
      <c r="OS66" s="59">
        <f t="shared" si="322"/>
        <v>0</v>
      </c>
      <c r="OT66" s="58">
        <f t="shared" si="323"/>
        <v>0</v>
      </c>
      <c r="OU66" s="45">
        <f t="shared" si="324"/>
        <v>97</v>
      </c>
      <c r="OV66" s="45">
        <f t="shared" si="587"/>
        <v>2.9239999999999999</v>
      </c>
      <c r="OW66" s="45">
        <f t="shared" si="325"/>
        <v>1</v>
      </c>
      <c r="OX66" s="45">
        <f t="shared" si="326"/>
        <v>2</v>
      </c>
      <c r="OY66" s="45">
        <f t="shared" si="327"/>
        <v>0</v>
      </c>
      <c r="OZ66" s="46" cm="1">
        <f t="array" ref="OZ66">ROUND(IFERROR(INDEX(ArchiveResults!$F$5:$IX$116,ComparisonData!A66,ComparisonData!$OZ$1),0),5)</f>
        <v>0</v>
      </c>
      <c r="PA66" s="46" cm="1">
        <f t="array" ref="PA66">ROUND(IFERROR(INDEX(ArchiveResults!$F$5:$IX$116,ComparisonData!A66,ComparisonData!$PA$1),0),5)</f>
        <v>0</v>
      </c>
      <c r="PB66" s="46" cm="1">
        <f t="array" ref="PB66">ROUND(IFERROR(INDEX(ArchiveResults!$F$5:$IX$116,ComparisonData!A66,ComparisonData!$PB$1),0),5)</f>
        <v>0</v>
      </c>
      <c r="PC66" s="46" cm="1">
        <f t="array" ref="PC66">ROUND(IFERROR(INDEX(ArchiveResults!$F$5:$IX$116,ComparisonData!A66,ComparisonData!$PC$1),0),5)</f>
        <v>0</v>
      </c>
      <c r="PD66" s="45" cm="1">
        <f t="array" ref="PD66">IFERROR(INDEX(ArchiveResults!$F$5:$IX$116,ComparisonData!A66,ComparisonData!$PD$1),0)</f>
        <v>0</v>
      </c>
      <c r="PE66" s="56">
        <v>61</v>
      </c>
      <c r="PF66" s="53" t="str">
        <f t="shared" si="588"/>
        <v>Northumberland Archives: Berwick Record Office</v>
      </c>
      <c r="PG66" s="59">
        <f t="shared" si="328"/>
        <v>0</v>
      </c>
      <c r="PH66" s="59">
        <f t="shared" si="329"/>
        <v>0</v>
      </c>
      <c r="PI66" s="59">
        <f t="shared" si="330"/>
        <v>0</v>
      </c>
      <c r="PJ66" s="59">
        <f t="shared" si="331"/>
        <v>0</v>
      </c>
      <c r="PK66" s="59">
        <f t="shared" si="332"/>
        <v>0</v>
      </c>
      <c r="PL66" s="58">
        <f t="shared" si="333"/>
        <v>0</v>
      </c>
      <c r="PM66" s="45">
        <f t="shared" si="334"/>
        <v>97</v>
      </c>
      <c r="PN66" s="45">
        <f t="shared" si="589"/>
        <v>2.9239999999999999</v>
      </c>
      <c r="PO66" s="45">
        <f t="shared" si="335"/>
        <v>1</v>
      </c>
      <c r="PP66" s="45">
        <f t="shared" si="336"/>
        <v>2</v>
      </c>
      <c r="PQ66" s="45">
        <f t="shared" si="337"/>
        <v>0</v>
      </c>
      <c r="PR66" s="46" cm="1">
        <f t="array" ref="PR66">ROUND(IFERROR(INDEX(ArchiveResults!$F$5:$IX$116,ComparisonData!A66,ComparisonData!$PR$1),0),5)</f>
        <v>0</v>
      </c>
      <c r="PS66" s="46" cm="1">
        <f t="array" ref="PS66">ROUND(IFERROR(INDEX(ArchiveResults!$F$5:$IX$116,ComparisonData!A66,ComparisonData!$PS$1),0),5)</f>
        <v>0</v>
      </c>
      <c r="PT66" s="46" cm="1">
        <f t="array" ref="PT66">ROUND(IFERROR(INDEX(ArchiveResults!$F$5:$IX$116,ComparisonData!A66,ComparisonData!$PT$1),0),5)</f>
        <v>0</v>
      </c>
      <c r="PU66" s="46" cm="1">
        <f t="array" ref="PU66">ROUND(IFERROR(INDEX(ArchiveResults!$F$5:$IX$116,ComparisonData!A66,ComparisonData!$PU$1),0),5)</f>
        <v>0</v>
      </c>
      <c r="PV66" s="45" cm="1">
        <f t="array" ref="PV66">IFERROR(INDEX(ArchiveResults!$F$5:$IX$116,ComparisonData!A66,ComparisonData!$PV$1),0)</f>
        <v>0</v>
      </c>
      <c r="PW66" s="56">
        <v>61</v>
      </c>
      <c r="PX66" s="53" t="str">
        <f t="shared" si="590"/>
        <v>Northumberland Archives: Berwick Record Office</v>
      </c>
      <c r="PY66" s="59">
        <f t="shared" si="338"/>
        <v>0</v>
      </c>
      <c r="PZ66" s="59">
        <f t="shared" si="339"/>
        <v>0</v>
      </c>
      <c r="QA66" s="59">
        <f t="shared" si="340"/>
        <v>0</v>
      </c>
      <c r="QB66" s="59">
        <f t="shared" si="341"/>
        <v>0</v>
      </c>
      <c r="QC66" s="59">
        <f t="shared" si="342"/>
        <v>0</v>
      </c>
      <c r="QD66" s="58">
        <f t="shared" si="343"/>
        <v>0</v>
      </c>
      <c r="QE66" s="45">
        <f t="shared" si="344"/>
        <v>97</v>
      </c>
      <c r="QF66" s="45">
        <f t="shared" si="591"/>
        <v>2.9239999999999999</v>
      </c>
      <c r="QG66" s="45">
        <f t="shared" si="345"/>
        <v>1</v>
      </c>
      <c r="QH66" s="45">
        <f t="shared" si="346"/>
        <v>2</v>
      </c>
      <c r="QI66" s="45">
        <f t="shared" si="347"/>
        <v>0</v>
      </c>
      <c r="QJ66" s="46" cm="1">
        <f t="array" ref="QJ66">ROUND(IFERROR(INDEX(ArchiveResults!$F$5:$IX$116,ComparisonData!A66,ComparisonData!$QJ$1),0),5)</f>
        <v>0</v>
      </c>
      <c r="QK66" s="46" cm="1">
        <f t="array" ref="QK66">ROUND(IFERROR(INDEX(ArchiveResults!$F$5:$IX$116,ComparisonData!A66,ComparisonData!$QK$1),0),5)</f>
        <v>0</v>
      </c>
      <c r="QL66" s="46" cm="1">
        <f t="array" ref="QL66">ROUND(IFERROR(INDEX(ArchiveResults!$F$5:$IX$116,ComparisonData!A66,ComparisonData!$QL$1),0),5)</f>
        <v>0</v>
      </c>
      <c r="QM66" s="46" cm="1">
        <f t="array" ref="QM66">ROUND(IFERROR(INDEX(ArchiveResults!$F$5:$IX$116,ComparisonData!A66,ComparisonData!$QM$1),0),5)</f>
        <v>0</v>
      </c>
      <c r="QN66" s="45" cm="1">
        <f t="array" ref="QN66">IFERROR(INDEX(ArchiveResults!$F$5:$IX$116,ComparisonData!A66,ComparisonData!$QN$1),0)</f>
        <v>0</v>
      </c>
      <c r="QO66" s="56">
        <v>61</v>
      </c>
      <c r="QP66" s="53" t="str">
        <f t="shared" si="592"/>
        <v>Northumberland Archives: Berwick Record Office</v>
      </c>
      <c r="QQ66" s="59">
        <f t="shared" si="348"/>
        <v>0</v>
      </c>
      <c r="QR66" s="59">
        <f t="shared" si="349"/>
        <v>0</v>
      </c>
      <c r="QS66" s="59">
        <f t="shared" si="350"/>
        <v>0</v>
      </c>
      <c r="QT66" s="59">
        <f t="shared" si="351"/>
        <v>0</v>
      </c>
      <c r="QU66" s="59">
        <f t="shared" si="352"/>
        <v>0</v>
      </c>
      <c r="QV66" s="58">
        <f t="shared" si="353"/>
        <v>0</v>
      </c>
      <c r="QW66" s="45">
        <f t="shared" si="354"/>
        <v>97</v>
      </c>
      <c r="QX66" s="45">
        <f t="shared" si="593"/>
        <v>2.9239999999999999</v>
      </c>
      <c r="QY66" s="45">
        <f t="shared" si="355"/>
        <v>1</v>
      </c>
      <c r="QZ66" s="45">
        <f t="shared" si="356"/>
        <v>2</v>
      </c>
      <c r="RA66" s="45">
        <f t="shared" si="357"/>
        <v>0</v>
      </c>
      <c r="RB66" s="46" cm="1">
        <f t="array" ref="RB66">ROUND(IFERROR(INDEX(ArchiveResults!$F$5:$IX$116,ComparisonData!A66,ComparisonData!$RB$1),0),5)</f>
        <v>0</v>
      </c>
      <c r="RC66" s="46" cm="1">
        <f t="array" ref="RC66">ROUND(IFERROR(INDEX(ArchiveResults!$F$5:$IX$116,ComparisonData!A66,ComparisonData!$RC$1),0),5)</f>
        <v>0</v>
      </c>
      <c r="RD66" s="46" cm="1">
        <f t="array" ref="RD66">ROUND(IFERROR(INDEX(ArchiveResults!$F$5:$IX$116,ComparisonData!A66,ComparisonData!$RD$1),0),5)</f>
        <v>0</v>
      </c>
      <c r="RE66" s="46" cm="1">
        <f t="array" ref="RE66">ROUND(IFERROR(INDEX(ArchiveResults!$F$5:$IX$116,ComparisonData!A66,ComparisonData!$RE$1),0),5)</f>
        <v>0</v>
      </c>
      <c r="RF66" s="45" cm="1">
        <f t="array" ref="RF66">IFERROR(INDEX(ArchiveResults!$F$5:$IX$116,ComparisonData!A66,ComparisonData!$RF$1),0)</f>
        <v>0</v>
      </c>
      <c r="RG66" s="56">
        <v>61</v>
      </c>
      <c r="RH66" s="53" t="str">
        <f t="shared" si="594"/>
        <v>Northumberland Archives: Berwick Record Office</v>
      </c>
      <c r="RI66" s="59">
        <f t="shared" si="358"/>
        <v>0</v>
      </c>
      <c r="RJ66" s="59">
        <f t="shared" si="359"/>
        <v>0</v>
      </c>
      <c r="RK66" s="59">
        <f t="shared" si="360"/>
        <v>0</v>
      </c>
      <c r="RL66" s="59">
        <f t="shared" si="361"/>
        <v>0</v>
      </c>
      <c r="RM66" s="59">
        <f t="shared" si="362"/>
        <v>0</v>
      </c>
      <c r="RN66" s="58">
        <f t="shared" si="363"/>
        <v>0</v>
      </c>
      <c r="RO66" s="45">
        <f t="shared" si="364"/>
        <v>97</v>
      </c>
      <c r="RP66" s="45">
        <f t="shared" si="595"/>
        <v>2.9239999999999999</v>
      </c>
      <c r="RQ66" s="45">
        <f t="shared" si="365"/>
        <v>1</v>
      </c>
      <c r="RR66" s="45">
        <f t="shared" si="366"/>
        <v>2</v>
      </c>
      <c r="RS66" s="45">
        <f t="shared" si="367"/>
        <v>0</v>
      </c>
      <c r="RT66" s="46" cm="1">
        <f t="array" ref="RT66">ROUND(IFERROR(INDEX(ArchiveResults!$F$5:$IX$116,ComparisonData!A66,ComparisonData!$RT$1),0),5)</f>
        <v>0</v>
      </c>
      <c r="RU66" s="46" cm="1">
        <f t="array" ref="RU66">ROUND(IFERROR(INDEX(ArchiveResults!$F$5:$IX$116,ComparisonData!A66,ComparisonData!$RU$1),0),5)</f>
        <v>0</v>
      </c>
      <c r="RV66" s="46" cm="1">
        <f t="array" ref="RV66">ROUND(IFERROR(INDEX(ArchiveResults!$F$5:$IX$116,ComparisonData!A66,ComparisonData!$RV$1),0),5)</f>
        <v>0</v>
      </c>
      <c r="RW66" s="46" cm="1">
        <f t="array" ref="RW66">ROUND(IFERROR(INDEX(ArchiveResults!$F$5:$IX$116,ComparisonData!A66,ComparisonData!$RW$1),0),5)</f>
        <v>0</v>
      </c>
      <c r="RX66" s="45" cm="1">
        <f t="array" ref="RX66">IFERROR(INDEX(ArchiveResults!$F$5:$IX$116,ComparisonData!A66,ComparisonData!$RX$1),0)</f>
        <v>0</v>
      </c>
      <c r="RY66" s="56">
        <v>61</v>
      </c>
      <c r="RZ66" s="53" t="str">
        <f t="shared" si="596"/>
        <v>Northumberland Archives: Berwick Record Office</v>
      </c>
      <c r="SA66" s="59">
        <f t="shared" si="368"/>
        <v>0</v>
      </c>
      <c r="SB66" s="59">
        <f t="shared" si="369"/>
        <v>0</v>
      </c>
      <c r="SC66" s="59">
        <f t="shared" si="370"/>
        <v>0</v>
      </c>
      <c r="SD66" s="59">
        <f t="shared" si="371"/>
        <v>0</v>
      </c>
      <c r="SE66" s="59">
        <f t="shared" si="372"/>
        <v>0</v>
      </c>
      <c r="SF66" s="58">
        <f t="shared" si="373"/>
        <v>0</v>
      </c>
      <c r="SG66" s="45">
        <f t="shared" si="374"/>
        <v>97</v>
      </c>
      <c r="SH66" s="45">
        <f t="shared" si="597"/>
        <v>2.9239999999999999</v>
      </c>
      <c r="SI66" s="45">
        <f t="shared" si="375"/>
        <v>1</v>
      </c>
      <c r="SJ66" s="45">
        <f t="shared" si="376"/>
        <v>2</v>
      </c>
      <c r="SK66" s="45">
        <f t="shared" si="377"/>
        <v>0</v>
      </c>
      <c r="SL66" s="46" cm="1">
        <f t="array" ref="SL66">ROUND(IFERROR(INDEX(ArchiveResults!$F$5:$IX$116,ComparisonData!A66,ComparisonData!$SL$1),0),5)</f>
        <v>0</v>
      </c>
      <c r="SM66" s="46" cm="1">
        <f t="array" ref="SM66">ROUND(IFERROR(INDEX(ArchiveResults!$F$5:$IX$116,ComparisonData!A66,ComparisonData!$SM$1),0),5)</f>
        <v>0</v>
      </c>
      <c r="SN66" s="46" cm="1">
        <f t="array" ref="SN66">ROUND(IFERROR(INDEX(ArchiveResults!$F$5:$IX$116,ComparisonData!A66,ComparisonData!$SN$1),0),5)</f>
        <v>0</v>
      </c>
      <c r="SO66" s="46" cm="1">
        <f t="array" ref="SO66">ROUND(IFERROR(INDEX(ArchiveResults!$F$5:$IX$116,ComparisonData!A66,ComparisonData!$SO$1),0),5)</f>
        <v>0</v>
      </c>
      <c r="SP66" s="45" cm="1">
        <f t="array" ref="SP66">IFERROR(INDEX(ArchiveResults!$F$5:$IX$116,ComparisonData!A66,ComparisonData!$SP$1),0)</f>
        <v>0</v>
      </c>
      <c r="SQ66" s="56">
        <v>61</v>
      </c>
      <c r="SR66" s="53" t="str">
        <f t="shared" si="598"/>
        <v>Northumberland Archives: Berwick Record Office</v>
      </c>
      <c r="SS66" s="59">
        <f t="shared" si="378"/>
        <v>0</v>
      </c>
      <c r="ST66" s="59">
        <f t="shared" si="379"/>
        <v>0</v>
      </c>
      <c r="SU66" s="59">
        <f t="shared" si="380"/>
        <v>0</v>
      </c>
      <c r="SV66" s="59">
        <f t="shared" si="381"/>
        <v>0</v>
      </c>
      <c r="SW66" s="59">
        <f t="shared" si="382"/>
        <v>0</v>
      </c>
      <c r="SX66" s="58">
        <f t="shared" si="383"/>
        <v>0</v>
      </c>
      <c r="SY66" s="45">
        <f t="shared" si="384"/>
        <v>97</v>
      </c>
      <c r="SZ66" s="45">
        <f t="shared" si="599"/>
        <v>2.9239999999999999</v>
      </c>
      <c r="TA66" s="45">
        <f t="shared" si="385"/>
        <v>1</v>
      </c>
      <c r="TB66" s="45">
        <f t="shared" si="386"/>
        <v>2</v>
      </c>
      <c r="TC66" s="45">
        <f t="shared" si="387"/>
        <v>0</v>
      </c>
      <c r="TD66" s="46" cm="1">
        <f t="array" ref="TD66">ROUND(IFERROR(INDEX(ArchiveResults!$F$5:$IX$116,ComparisonData!A66,ComparisonData!$TD$1),0),5)</f>
        <v>0</v>
      </c>
      <c r="TE66" s="46" cm="1">
        <f t="array" ref="TE66">ROUND(IFERROR(INDEX(ArchiveResults!$F$5:$IX$116,ComparisonData!A66,ComparisonData!$TE$1),0),5)</f>
        <v>0</v>
      </c>
      <c r="TF66" s="46" cm="1">
        <f t="array" ref="TF66">ROUND(IFERROR(INDEX(ArchiveResults!$F$5:$IX$116,ComparisonData!A66,ComparisonData!$TF$1),0),5)</f>
        <v>0</v>
      </c>
      <c r="TG66" s="46" cm="1">
        <f t="array" ref="TG66">ROUND(IFERROR(INDEX(ArchiveResults!$F$5:$IX$116,ComparisonData!A66,ComparisonData!$TG$1),0),5)</f>
        <v>0</v>
      </c>
      <c r="TH66" s="45" cm="1">
        <f t="array" ref="TH66">IFERROR(INDEX(ArchiveResults!$F$5:$IX$116,ComparisonData!A66,ComparisonData!$TH$1),0)</f>
        <v>0</v>
      </c>
      <c r="TI66" s="56">
        <v>61</v>
      </c>
      <c r="TJ66" s="53" t="str">
        <f t="shared" si="600"/>
        <v>Northumberland Archives: Berwick Record Office</v>
      </c>
      <c r="TK66" s="59">
        <f t="shared" si="388"/>
        <v>0</v>
      </c>
      <c r="TL66" s="59">
        <f t="shared" si="389"/>
        <v>0</v>
      </c>
      <c r="TM66" s="59">
        <f t="shared" si="390"/>
        <v>0</v>
      </c>
      <c r="TN66" s="59">
        <f t="shared" si="391"/>
        <v>0</v>
      </c>
      <c r="TO66" s="59">
        <f t="shared" si="392"/>
        <v>0</v>
      </c>
      <c r="TP66" s="58">
        <f t="shared" si="393"/>
        <v>0</v>
      </c>
      <c r="TQ66" s="45">
        <f t="shared" si="394"/>
        <v>97</v>
      </c>
      <c r="TR66" s="45">
        <f t="shared" si="601"/>
        <v>2.9239999999999999</v>
      </c>
      <c r="TS66" s="45">
        <f t="shared" si="395"/>
        <v>1</v>
      </c>
      <c r="TT66" s="45">
        <f t="shared" si="396"/>
        <v>2</v>
      </c>
      <c r="TU66" s="45">
        <f t="shared" si="397"/>
        <v>0</v>
      </c>
      <c r="TV66" s="46" cm="1">
        <f t="array" ref="TV66">ROUND(IFERROR(INDEX(ArchiveResults!$F$5:$IX$116,ComparisonData!A66,ComparisonData!$TV$1),0),5)</f>
        <v>0</v>
      </c>
      <c r="TW66" s="46" cm="1">
        <f t="array" ref="TW66">ROUND(IFERROR(INDEX(ArchiveResults!$F$5:$IX$116,ComparisonData!A66,ComparisonData!$TW$1),0),5)</f>
        <v>0</v>
      </c>
      <c r="TX66" s="46" cm="1">
        <f t="array" ref="TX66">ROUND(IFERROR(INDEX(ArchiveResults!$F$5:$IX$116,ComparisonData!A66,ComparisonData!$TX$1),0),5)</f>
        <v>0</v>
      </c>
      <c r="TY66" s="46" cm="1">
        <f t="array" ref="TY66">ROUND(IFERROR(INDEX(ArchiveResults!$F$5:$IX$116,ComparisonData!A66,ComparisonData!$TY$1),0),5)</f>
        <v>0</v>
      </c>
      <c r="TZ66" s="45" cm="1">
        <f t="array" ref="TZ66">IFERROR(INDEX(ArchiveResults!$F$5:$IX$116,ComparisonData!A66,ComparisonData!$TZ$1),0)</f>
        <v>0</v>
      </c>
      <c r="UA66" s="56">
        <v>61</v>
      </c>
      <c r="UB66" s="53" t="str">
        <f t="shared" si="602"/>
        <v>Northumberland Archives: Berwick Record Office</v>
      </c>
      <c r="UC66" s="60">
        <f t="shared" si="398"/>
        <v>0</v>
      </c>
      <c r="UD66" s="60">
        <f t="shared" si="399"/>
        <v>0</v>
      </c>
      <c r="UE66" s="60">
        <f t="shared" si="400"/>
        <v>0</v>
      </c>
      <c r="UF66" s="60">
        <f t="shared" si="401"/>
        <v>0</v>
      </c>
      <c r="UG66" s="60">
        <f t="shared" si="402"/>
        <v>0</v>
      </c>
      <c r="UH66" s="58">
        <f t="shared" si="403"/>
        <v>0</v>
      </c>
      <c r="UI66" s="46">
        <f t="shared" si="404"/>
        <v>97</v>
      </c>
      <c r="UJ66" s="46">
        <f t="shared" si="603"/>
        <v>2.9239999999999999</v>
      </c>
      <c r="UK66" s="46">
        <f t="shared" si="405"/>
        <v>1</v>
      </c>
      <c r="UL66" s="46">
        <f t="shared" si="406"/>
        <v>2</v>
      </c>
      <c r="UM66" s="46" cm="1">
        <f t="array" ref="UM66">ROUND(IFERROR(INDEX(ArchiveResults!$F$5:$IX$116,ComparisonData!A66,ComparisonData!$UM$1),0),5)</f>
        <v>0</v>
      </c>
      <c r="UN66" s="56">
        <v>61</v>
      </c>
      <c r="UO66" s="53" t="str">
        <f t="shared" si="604"/>
        <v>Northumberland Archives: Berwick Record Office</v>
      </c>
      <c r="UP66" s="46">
        <f t="shared" si="407"/>
        <v>0</v>
      </c>
      <c r="UQ66" s="76">
        <f t="shared" si="408"/>
        <v>0</v>
      </c>
      <c r="UR66" s="46">
        <f t="shared" si="409"/>
        <v>97</v>
      </c>
      <c r="US66" s="46">
        <f t="shared" si="605"/>
        <v>2.9239999999999999</v>
      </c>
      <c r="UT66" s="46">
        <f t="shared" si="410"/>
        <v>1</v>
      </c>
      <c r="UU66" s="46">
        <f t="shared" si="411"/>
        <v>2</v>
      </c>
      <c r="UV66" s="46">
        <f t="shared" si="412"/>
        <v>0</v>
      </c>
      <c r="UW66" s="46" cm="1">
        <f t="array" ref="UW66">ROUND(IFERROR(INDEX(ArchiveResults!$F$5:$IX$116,ComparisonData!A66,ComparisonData!$UW$1),0),5)</f>
        <v>0</v>
      </c>
      <c r="UX66" s="46" cm="1">
        <f t="array" ref="UX66">ROUND(IFERROR(INDEX(ArchiveResults!$F$5:$IX$116,ComparisonData!A66,ComparisonData!$UX$1),0),5)</f>
        <v>0</v>
      </c>
      <c r="UY66" s="46" cm="1">
        <f t="array" ref="UY66">ROUND(IFERROR(INDEX(ArchiveResults!$F$5:$IX$116,ComparisonData!A66,ComparisonData!$UY$1),0),5)</f>
        <v>0</v>
      </c>
      <c r="UZ66" s="46" cm="1">
        <f t="array" ref="UZ66">ROUND(IFERROR(INDEX(ArchiveResults!$F$5:$IX$116,ComparisonData!A66,ComparisonData!$UZ$1),0),5)</f>
        <v>0</v>
      </c>
      <c r="VA66" s="46" cm="1">
        <f t="array" ref="VA66">ROUND(IFERROR(INDEX(ArchiveResults!$F$5:$IX$116,ComparisonData!A66,ComparisonData!$VA$1),0),5)</f>
        <v>0</v>
      </c>
      <c r="VB66" s="56">
        <v>61</v>
      </c>
      <c r="VC66" s="53" t="str">
        <f t="shared" si="606"/>
        <v>Northumberland Archives: Berwick Record Office</v>
      </c>
      <c r="VD66" s="60">
        <f t="shared" si="413"/>
        <v>0</v>
      </c>
      <c r="VE66" s="60">
        <f t="shared" si="414"/>
        <v>0</v>
      </c>
      <c r="VF66" s="60">
        <f t="shared" si="415"/>
        <v>0</v>
      </c>
      <c r="VG66" s="60">
        <f t="shared" si="416"/>
        <v>0</v>
      </c>
      <c r="VH66" s="60">
        <f t="shared" si="417"/>
        <v>0</v>
      </c>
      <c r="VI66" s="76">
        <f t="shared" si="418"/>
        <v>0</v>
      </c>
      <c r="VJ66" s="46">
        <f t="shared" si="419"/>
        <v>97</v>
      </c>
      <c r="VK66" s="46">
        <f t="shared" si="607"/>
        <v>2.9239999999999999</v>
      </c>
      <c r="VL66" s="46">
        <f t="shared" si="420"/>
        <v>1</v>
      </c>
      <c r="VM66" s="46">
        <f t="shared" si="421"/>
        <v>2</v>
      </c>
      <c r="VN66" s="46" cm="1">
        <f t="array" ref="VN66">ROUND(IFERROR(INDEX(ArchiveResults!$F$5:$IX$116,ComparisonData!A66,ComparisonData!$VN$1),0),5)</f>
        <v>0</v>
      </c>
      <c r="VO66" s="46" cm="1">
        <f t="array" ref="VO66">ROUND(IFERROR(INDEX(ArchiveResults!$F$5:$IX$116,ComparisonData!A66,ComparisonData!$VO$1),0),5)</f>
        <v>0</v>
      </c>
      <c r="VP66" s="46" cm="1">
        <f t="array" ref="VP66">ROUND(IFERROR(INDEX(ArchiveResults!$F$5:$IX$116,ComparisonData!A66,ComparisonData!$VP$1),0),5)</f>
        <v>0</v>
      </c>
      <c r="VQ66" s="46" cm="1">
        <f t="array" ref="VQ66">ROUND(IFERROR(INDEX(ArchiveResults!$F$5:$IX$116,ComparisonData!A66,ComparisonData!$VQ$1),0),5)</f>
        <v>0</v>
      </c>
      <c r="VR66" s="56">
        <v>61</v>
      </c>
      <c r="VS66" s="53" t="str">
        <f t="shared" si="608"/>
        <v>Northumberland Archives: Berwick Record Office</v>
      </c>
      <c r="VT66" s="60">
        <f t="shared" si="422"/>
        <v>0</v>
      </c>
      <c r="VU66" s="60">
        <f t="shared" si="423"/>
        <v>0</v>
      </c>
      <c r="VV66" s="60">
        <f t="shared" si="424"/>
        <v>0</v>
      </c>
      <c r="VW66" s="60">
        <f t="shared" si="425"/>
        <v>0</v>
      </c>
      <c r="VX66" s="76">
        <f t="shared" si="426"/>
        <v>0</v>
      </c>
      <c r="VY66" s="46">
        <f t="shared" si="427"/>
        <v>97</v>
      </c>
      <c r="VZ66" s="46">
        <f t="shared" si="609"/>
        <v>2.9239999999999999</v>
      </c>
      <c r="WA66" s="46">
        <f t="shared" si="428"/>
        <v>1</v>
      </c>
      <c r="WB66" s="46">
        <f t="shared" si="429"/>
        <v>2</v>
      </c>
      <c r="WC66" s="46" cm="1">
        <f t="array" ref="WC66">ROUND(IFERROR(INDEX(ArchiveResults!$F$5:$IX$116,ComparisonData!A66,ComparisonData!$WC$1),0),5)</f>
        <v>0</v>
      </c>
      <c r="WD66" s="56">
        <v>61</v>
      </c>
      <c r="WE66" s="53" t="str">
        <f t="shared" si="610"/>
        <v>Northumberland Archives: Berwick Record Office</v>
      </c>
      <c r="WF66" s="46">
        <f t="shared" si="430"/>
        <v>0</v>
      </c>
      <c r="WG66" s="76">
        <f t="shared" si="431"/>
        <v>0</v>
      </c>
      <c r="WH66" s="46">
        <f t="shared" si="432"/>
        <v>97</v>
      </c>
      <c r="WI66" s="46">
        <f t="shared" si="611"/>
        <v>2.9239999999999999</v>
      </c>
      <c r="WJ66" s="46">
        <f t="shared" si="433"/>
        <v>1</v>
      </c>
      <c r="WK66" s="46">
        <f t="shared" si="434"/>
        <v>2</v>
      </c>
      <c r="WL66" s="46" cm="1">
        <f t="array" ref="WL66">ROUND(IFERROR(INDEX(ArchiveResults!$F$5:$IX$116,ComparisonData!A66,ComparisonData!$WL$1),0),5)</f>
        <v>0</v>
      </c>
      <c r="WM66" s="46" cm="1">
        <f t="array" ref="WM66">IFERROR(INDEX(ArchiveResults!$F$5:$IX$116,ComparisonData!A66,ComparisonData!$WM$1),0)</f>
        <v>0</v>
      </c>
      <c r="WN66" s="56">
        <v>61</v>
      </c>
      <c r="WO66" s="53" t="str">
        <f t="shared" si="612"/>
        <v>Northumberland Archives: Berwick Record Office</v>
      </c>
      <c r="WP66" s="60">
        <f t="shared" si="435"/>
        <v>0</v>
      </c>
      <c r="WQ66" s="60">
        <f t="shared" si="436"/>
        <v>0</v>
      </c>
      <c r="WR66" s="76">
        <f t="shared" si="437"/>
        <v>0</v>
      </c>
      <c r="WS66" s="46">
        <f t="shared" si="438"/>
        <v>97</v>
      </c>
      <c r="WT66" s="46">
        <f t="shared" si="613"/>
        <v>2.9239999999999999</v>
      </c>
      <c r="WU66" s="46">
        <f t="shared" si="439"/>
        <v>1</v>
      </c>
      <c r="WV66" s="46">
        <f t="shared" si="440"/>
        <v>2</v>
      </c>
      <c r="WW66" s="46" cm="1">
        <f t="array" ref="WW66">ROUND(VALUE(IFERROR(INDEX(ArchiveResults!$F$5:$IX$116,ComparisonData!A66,ComparisonData!$WW$1),0)),5)</f>
        <v>0</v>
      </c>
      <c r="WX66" s="46" cm="1">
        <f t="array" ref="WX66">ROUND(IFERROR(INDEX(ArchiveResults!$F$5:$IX$116,ComparisonData!A66,ComparisonData!$WX$1),0),5)</f>
        <v>0</v>
      </c>
      <c r="WY66" s="56">
        <v>61</v>
      </c>
      <c r="WZ66" s="53" t="str">
        <f t="shared" si="614"/>
        <v>Northumberland Archives: Berwick Record Office</v>
      </c>
      <c r="XA66" s="60">
        <f t="shared" si="615"/>
        <v>0</v>
      </c>
      <c r="XB66" s="60">
        <f t="shared" si="616"/>
        <v>0</v>
      </c>
      <c r="XC66" s="76">
        <f t="shared" si="441"/>
        <v>0</v>
      </c>
      <c r="XD66" s="46">
        <f t="shared" si="442"/>
        <v>97</v>
      </c>
      <c r="XE66" s="46">
        <f t="shared" si="617"/>
        <v>2.9239999999999999</v>
      </c>
      <c r="XF66" s="46">
        <f t="shared" si="443"/>
        <v>1</v>
      </c>
      <c r="XG66" s="46">
        <f t="shared" si="444"/>
        <v>2</v>
      </c>
      <c r="XH66" s="46" cm="1">
        <f t="array" ref="XH66">ROUND(VALUE(IFERROR(INDEX(ArchiveResults!$F$5:$IX$116,ComparisonData!A66,ComparisonData!$XH$1),0)),5)</f>
        <v>0</v>
      </c>
      <c r="XI66" s="46" cm="1">
        <f t="array" ref="XI66">ROUND(VALUE(IFERROR(INDEX(ArchiveResults!$F$5:$IX$116,ComparisonData!A66,ComparisonData!$XI$1),0)),5)</f>
        <v>0</v>
      </c>
      <c r="XJ66" s="56">
        <v>61</v>
      </c>
      <c r="XK66" s="53" t="str">
        <f t="shared" si="618"/>
        <v>Northumberland Archives: Berwick Record Office</v>
      </c>
      <c r="XL66" s="60">
        <f t="shared" si="445"/>
        <v>0</v>
      </c>
      <c r="XM66" s="60">
        <f t="shared" si="446"/>
        <v>0</v>
      </c>
      <c r="XN66" s="76">
        <f t="shared" si="447"/>
        <v>0</v>
      </c>
      <c r="XO66" s="46">
        <f t="shared" si="448"/>
        <v>97</v>
      </c>
      <c r="XP66" s="46">
        <f t="shared" si="619"/>
        <v>2.9239999999999999</v>
      </c>
      <c r="XQ66" s="46">
        <f t="shared" si="449"/>
        <v>1</v>
      </c>
      <c r="XR66" s="46">
        <f t="shared" si="450"/>
        <v>2</v>
      </c>
      <c r="XS66" s="46" cm="1">
        <f t="array" ref="XS66">ROUND(VALUE(IFERROR(INDEX(ArchiveResults!$F$5:$IX$116,ComparisonData!A66,ComparisonData!$XS$1),0)),5)</f>
        <v>0</v>
      </c>
      <c r="XT66" s="46" cm="1">
        <f t="array" ref="XT66">ROUND(VALUE(IFERROR(INDEX(ArchiveResults!$F$5:$IX$116,ComparisonData!A66,ComparisonData!$XT$1),0)),5)</f>
        <v>0</v>
      </c>
      <c r="XU66" s="56">
        <v>61</v>
      </c>
      <c r="XV66" s="53" t="str">
        <f t="shared" si="620"/>
        <v>Northumberland Archives: Berwick Record Office</v>
      </c>
      <c r="XW66" s="60">
        <f t="shared" si="451"/>
        <v>0</v>
      </c>
      <c r="XX66" s="60">
        <f t="shared" si="452"/>
        <v>0</v>
      </c>
      <c r="XY66" s="76">
        <f t="shared" si="453"/>
        <v>0</v>
      </c>
      <c r="XZ66" s="46">
        <f t="shared" si="454"/>
        <v>97</v>
      </c>
      <c r="YA66" s="46">
        <f t="shared" si="621"/>
        <v>2.9239999999999999</v>
      </c>
      <c r="YB66" s="46">
        <f t="shared" si="455"/>
        <v>1</v>
      </c>
      <c r="YC66" s="46">
        <f t="shared" si="456"/>
        <v>2</v>
      </c>
      <c r="YD66" s="46" cm="1">
        <f t="array" ref="YD66">ROUND(VALUE(IFERROR(INDEX(ArchiveResults!$F$5:$IX$116,ComparisonData!A66,ComparisonData!$YD$1),0)),5)</f>
        <v>0</v>
      </c>
      <c r="YE66" s="46" cm="1">
        <f t="array" ref="YE66">ROUND(VALUE(IFERROR(INDEX(ArchiveResults!$F$5:$IX$116,ComparisonData!A66,ComparisonData!$YE$1),0)),5)</f>
        <v>0</v>
      </c>
      <c r="YF66" s="56">
        <v>61</v>
      </c>
      <c r="YG66" s="53" t="str">
        <f t="shared" si="622"/>
        <v>Northumberland Archives: Berwick Record Office</v>
      </c>
      <c r="YH66" s="60">
        <f t="shared" si="457"/>
        <v>0</v>
      </c>
      <c r="YI66" s="60">
        <f t="shared" si="458"/>
        <v>0</v>
      </c>
      <c r="YJ66" s="76">
        <f t="shared" si="459"/>
        <v>0</v>
      </c>
      <c r="YK66" s="46">
        <f t="shared" si="460"/>
        <v>97</v>
      </c>
      <c r="YL66" s="46">
        <f t="shared" si="623"/>
        <v>2.9239999999999999</v>
      </c>
      <c r="YM66" s="46">
        <f t="shared" si="461"/>
        <v>1</v>
      </c>
      <c r="YN66" s="46">
        <f t="shared" si="462"/>
        <v>2</v>
      </c>
      <c r="YO66" s="46" cm="1">
        <f t="array" ref="YO66">ROUND(VALUE(IFERROR(INDEX(ArchiveResults!$F$5:$IX$116,ComparisonData!A66,ComparisonData!$YO$1),0)),5)</f>
        <v>0</v>
      </c>
      <c r="YP66" s="46" cm="1">
        <f t="array" ref="YP66">ROUND(VALUE(IFERROR(INDEX(ArchiveResults!$F$5:$IX$116,ComparisonData!A66,ComparisonData!$YP$1),0)),5)</f>
        <v>0</v>
      </c>
      <c r="YQ66" s="56">
        <v>61</v>
      </c>
      <c r="YR66" s="53" t="str">
        <f t="shared" si="624"/>
        <v>Northumberland Archives: Berwick Record Office</v>
      </c>
      <c r="YS66" s="60">
        <f t="shared" si="463"/>
        <v>0</v>
      </c>
      <c r="YT66" s="60">
        <f t="shared" si="464"/>
        <v>0</v>
      </c>
      <c r="YU66" s="76">
        <f t="shared" si="465"/>
        <v>0</v>
      </c>
      <c r="YV66" s="46">
        <f t="shared" si="466"/>
        <v>97</v>
      </c>
      <c r="YW66" s="46">
        <f t="shared" si="625"/>
        <v>2.9239999999999999</v>
      </c>
      <c r="YX66" s="46">
        <f t="shared" si="467"/>
        <v>1</v>
      </c>
      <c r="YY66" s="46">
        <f t="shared" si="468"/>
        <v>2</v>
      </c>
      <c r="YZ66" s="46">
        <f t="shared" si="469"/>
        <v>0</v>
      </c>
      <c r="ZA66" s="46" cm="1">
        <f t="array" ref="ZA66">ROUNDDOWN(VALUE(IFERROR(INDEX(ArchiveResults!$F$5:$IX$116,ComparisonData!A66,ComparisonData!$ZA$1),0)),5)</f>
        <v>0</v>
      </c>
      <c r="ZB66" s="46" cm="1">
        <f t="array" ref="ZB66">ROUNDDOWN(VALUE(IFERROR(INDEX(ArchiveResults!$F$5:$IX$116,ComparisonData!A66,ComparisonData!$ZB$1),0)),5)</f>
        <v>0</v>
      </c>
      <c r="ZC66" s="46" cm="1">
        <f t="array" ref="ZC66">ROUNDDOWN(VALUE(IFERROR(INDEX(ArchiveResults!$F$5:$IX$116,ComparisonData!A66,ComparisonData!$ZC$1),0)),5)</f>
        <v>0</v>
      </c>
      <c r="ZD66" s="46" cm="1">
        <f t="array" ref="ZD66">ROUNDDOWN(VALUE(IFERROR(INDEX(ArchiveResults!$F$5:$IX$116,ComparisonData!A66,ComparisonData!$ZD$1),0)),5)</f>
        <v>0</v>
      </c>
      <c r="ZE66" s="46" cm="1">
        <f t="array" ref="ZE66">ROUNDDOWN(VALUE(IFERROR(INDEX(ArchiveResults!$F$5:$IX$116,ComparisonData!A66,ComparisonData!$ZE$1),0)),5)</f>
        <v>0</v>
      </c>
      <c r="ZF66" s="56">
        <v>61</v>
      </c>
      <c r="ZG66" s="53" t="str">
        <f t="shared" si="626"/>
        <v>Northumberland Archives: Berwick Record Office</v>
      </c>
      <c r="ZH66" s="60">
        <f t="shared" si="470"/>
        <v>0</v>
      </c>
      <c r="ZI66" s="60">
        <f t="shared" si="471"/>
        <v>0</v>
      </c>
      <c r="ZJ66" s="60">
        <f t="shared" si="472"/>
        <v>0</v>
      </c>
      <c r="ZK66" s="60">
        <f t="shared" si="473"/>
        <v>0</v>
      </c>
      <c r="ZL66" s="60">
        <f t="shared" si="474"/>
        <v>0</v>
      </c>
      <c r="ZM66" s="76">
        <f t="shared" si="475"/>
        <v>0</v>
      </c>
      <c r="ZN66" s="46">
        <f t="shared" si="476"/>
        <v>97</v>
      </c>
      <c r="ZO66" s="46">
        <f t="shared" si="627"/>
        <v>2.9239999999999999</v>
      </c>
      <c r="ZP66" s="46">
        <f t="shared" si="477"/>
        <v>1</v>
      </c>
      <c r="ZQ66" s="46">
        <f t="shared" si="478"/>
        <v>2</v>
      </c>
      <c r="ZR66" s="46" cm="1">
        <f t="array" ref="ZR66">ROUND(VALUE(IFERROR(INDEX(ArchiveResults!$F$5:$IX$116,ComparisonData!A66,ComparisonData!$ZR$1),0)),5)</f>
        <v>0</v>
      </c>
      <c r="ZS66" s="56">
        <v>61</v>
      </c>
      <c r="ZT66" s="53" t="str">
        <f t="shared" si="628"/>
        <v>Northumberland Archives: Berwick Record Office</v>
      </c>
      <c r="ZU66" s="46">
        <f t="shared" si="479"/>
        <v>0</v>
      </c>
      <c r="ZV66" s="76">
        <f t="shared" si="480"/>
        <v>0</v>
      </c>
      <c r="ZW66" s="81" cm="1">
        <f t="array" ref="ZW66">ROUND((IFERROR(INDEX(ArchiveResults!$F$5:$IX$116,ComparisonData!A66,ComparisonData!$ZW$1),0)),5)</f>
        <v>0</v>
      </c>
      <c r="ZX66" s="81" cm="1">
        <f t="array" ref="ZX66">ROUND((IFERROR(INDEX(ArchiveResults!$F$5:$IX$116,ComparisonData!A66,ComparisonData!$ZX$1),0)),5)</f>
        <v>0</v>
      </c>
      <c r="ZY66" s="81" cm="1">
        <f t="array" ref="ZY66">ROUND((IFERROR(INDEX(ArchiveResults!$F$5:$IX$116,ComparisonData!A66,ComparisonData!$ZY$1),0)),5)</f>
        <v>0</v>
      </c>
      <c r="ZZ66" s="81" cm="1">
        <f t="array" ref="ZZ66">ROUND((IFERROR(INDEX(ArchiveResults!$F$5:$IX$116,ComparisonData!A66,ComparisonData!$ZZ$1),0)),5)</f>
        <v>0</v>
      </c>
      <c r="AAA66" s="81" cm="1">
        <f t="array" ref="AAA66">ROUND((IFERROR(INDEX(ArchiveResults!$F$5:$IX$116,ComparisonData!A66,ComparisonData!$AAA$1),0)),5)</f>
        <v>0</v>
      </c>
      <c r="AAB66" s="81" cm="1">
        <f t="array" ref="AAB66">ROUND((IFERROR(INDEX(ArchiveResults!$F$5:$IX$116,ComparisonData!A66,ComparisonData!$AAB$1),0)),5)</f>
        <v>0</v>
      </c>
      <c r="AAC66" s="81" cm="1">
        <f t="array" ref="AAC66">ROUND((IFERROR(INDEX(ArchiveResults!$F$5:$IX$116,ComparisonData!A66,ComparisonData!$AAC$1),0)),5)</f>
        <v>0</v>
      </c>
      <c r="AAD66" s="81" cm="1">
        <f t="array" ref="AAD66">ROUND((IFERROR(INDEX(ArchiveResults!$F$5:$IX$116,ComparisonData!A66,ComparisonData!$AAD$1),0)),5)</f>
        <v>0</v>
      </c>
      <c r="AAE66" s="81" cm="1">
        <f t="array" ref="AAE66">ROUND((IFERROR(INDEX(ArchiveResults!$F$5:$IX$116,ComparisonData!A66,ComparisonData!$AAE$1),0)),5)</f>
        <v>0</v>
      </c>
      <c r="AAF66" s="81" cm="1">
        <f t="array" ref="AAF66">ROUND((IFERROR(INDEX(ArchiveResults!$F$5:$IX$116,ComparisonData!A66,ComparisonData!$AAF$1),0)),5)</f>
        <v>0</v>
      </c>
      <c r="AAG66" s="46">
        <f t="shared" si="481"/>
        <v>97</v>
      </c>
      <c r="AAH66" s="46">
        <f t="shared" si="629"/>
        <v>2.9239999999999999</v>
      </c>
      <c r="AAI66" s="46">
        <f t="shared" si="482"/>
        <v>1</v>
      </c>
      <c r="AAJ66" s="46">
        <f t="shared" si="483"/>
        <v>2</v>
      </c>
      <c r="AAK66" s="46">
        <f t="shared" si="484"/>
        <v>0</v>
      </c>
      <c r="AAL66" s="46">
        <f t="shared" si="485"/>
        <v>0</v>
      </c>
      <c r="AAM66" s="46">
        <f t="shared" si="486"/>
        <v>0</v>
      </c>
      <c r="AAN66" s="46">
        <f t="shared" si="487"/>
        <v>0</v>
      </c>
      <c r="AAO66" s="46">
        <f t="shared" si="488"/>
        <v>0</v>
      </c>
      <c r="AAP66" s="46">
        <f t="shared" si="489"/>
        <v>0</v>
      </c>
      <c r="AAQ66" s="56">
        <v>61</v>
      </c>
      <c r="AAR66" s="53" t="str">
        <f t="shared" si="630"/>
        <v>Northumberland Archives: Berwick Record Office</v>
      </c>
      <c r="AAS66" s="60">
        <f t="shared" si="490"/>
        <v>0</v>
      </c>
      <c r="AAT66" s="60">
        <f t="shared" si="491"/>
        <v>0</v>
      </c>
      <c r="AAU66" s="60">
        <f t="shared" si="492"/>
        <v>0</v>
      </c>
      <c r="AAV66" s="60">
        <f t="shared" si="493"/>
        <v>0</v>
      </c>
      <c r="AAW66" s="60">
        <f t="shared" si="494"/>
        <v>0</v>
      </c>
      <c r="AAX66" s="76">
        <f t="shared" si="495"/>
        <v>0</v>
      </c>
      <c r="AAY66" s="46">
        <f t="shared" si="496"/>
        <v>97</v>
      </c>
      <c r="AAZ66" s="46">
        <f t="shared" si="631"/>
        <v>2.9239999999999999</v>
      </c>
      <c r="ABA66" s="46">
        <f t="shared" si="497"/>
        <v>1</v>
      </c>
      <c r="ABB66" s="46">
        <f t="shared" si="498"/>
        <v>2</v>
      </c>
      <c r="ABC66" s="46">
        <f t="shared" si="102"/>
        <v>0</v>
      </c>
      <c r="ABD66" s="46" cm="1">
        <f t="array" ref="ABD66">ROUND(VALUE(IFERROR(INDEX(ArchiveResults!$F$5:$IX$116,ComparisonData!A66,ComparisonData!$ABD$1),0)),5)</f>
        <v>0</v>
      </c>
      <c r="ABE66" s="46" cm="1">
        <f t="array" ref="ABE66">ROUND(VALUE(IFERROR(INDEX(ArchiveResults!$F$5:$IX$116,ComparisonData!A66,ComparisonData!$ABE$1),0)),5)</f>
        <v>0</v>
      </c>
      <c r="ABF66" s="46" cm="1">
        <f t="array" ref="ABF66">ROUND(VALUE(IFERROR(INDEX(ArchiveResults!$F$5:$IX$116,ComparisonData!A66,ComparisonData!$ABF$1),0)),5)</f>
        <v>0</v>
      </c>
      <c r="ABG66" s="46" cm="1">
        <f t="array" ref="ABG66">ROUND(VALUE(IFERROR(INDEX(ArchiveResults!$F$5:$IX$116,ComparisonData!A66,ComparisonData!$ABG$1),0)),5)</f>
        <v>0</v>
      </c>
      <c r="ABH66" s="46" cm="1">
        <f t="array" ref="ABH66">ROUND(VALUE(IFERROR(INDEX(ArchiveResults!$F$5:$IX$116,ComparisonData!A66,ComparisonData!$ABH$1),0)),5)</f>
        <v>0</v>
      </c>
      <c r="ABI66" s="56">
        <v>61</v>
      </c>
      <c r="ABJ66" s="53" t="str">
        <f t="shared" si="632"/>
        <v>Northumberland Archives: Berwick Record Office</v>
      </c>
      <c r="ABK66" s="60">
        <f t="shared" si="499"/>
        <v>0</v>
      </c>
      <c r="ABL66" s="60">
        <f t="shared" si="500"/>
        <v>0</v>
      </c>
      <c r="ABM66" s="60">
        <f t="shared" si="501"/>
        <v>0</v>
      </c>
      <c r="ABN66" s="60">
        <f t="shared" si="502"/>
        <v>0</v>
      </c>
      <c r="ABO66" s="60">
        <f t="shared" si="503"/>
        <v>0</v>
      </c>
      <c r="ABP66" s="76">
        <f t="shared" si="504"/>
        <v>0</v>
      </c>
      <c r="ABQ66" s="46">
        <f t="shared" si="505"/>
        <v>97</v>
      </c>
      <c r="ABR66" s="46">
        <f t="shared" si="633"/>
        <v>2.9239999999999999</v>
      </c>
      <c r="ABS66" s="46">
        <f t="shared" si="506"/>
        <v>1</v>
      </c>
      <c r="ABT66" s="46">
        <f t="shared" si="507"/>
        <v>2</v>
      </c>
      <c r="ABU66" s="46" cm="1">
        <f t="array" ref="ABU66">ROUND(VALUE(IFERROR(INDEX(ArchiveResults!$F$5:$IX$116,ComparisonData!A66,ComparisonData!$ABU$1),0)),5)</f>
        <v>0</v>
      </c>
      <c r="ABV66" s="46" cm="1">
        <f t="array" ref="ABV66">ROUND(VALUE(IFERROR(INDEX(ArchiveResults!$F$5:$IX$116,ComparisonData!A66,ComparisonData!$ABV$1),0)),5)</f>
        <v>0</v>
      </c>
      <c r="ABW66" s="46" cm="1">
        <f t="array" ref="ABW66">ROUND(VALUE(IFERROR(INDEX(ArchiveResults!$F$5:$IX$116,ComparisonData!A66,ComparisonData!$ABW$1),0)),5)</f>
        <v>0</v>
      </c>
      <c r="ABX66" s="46" cm="1">
        <f t="array" ref="ABX66">ROUND(VALUE(IFERROR(INDEX(ArchiveResults!$F$5:$IX$116,ComparisonData!A66,ComparisonData!$ABX$1),0)),5)</f>
        <v>0</v>
      </c>
      <c r="ABY66" s="46" cm="1">
        <f t="array" ref="ABY66">ROUND(VALUE(IFERROR(INDEX(ArchiveResults!$F$5:$IX$116,ComparisonData!A66,ComparisonData!$ABY$1),0)),5)</f>
        <v>0</v>
      </c>
      <c r="ABZ66" s="56">
        <v>61</v>
      </c>
      <c r="ACA66" s="53" t="str">
        <f t="shared" si="634"/>
        <v>Northumberland Archives: Berwick Record Office</v>
      </c>
      <c r="ACB66" s="60">
        <f t="shared" si="508"/>
        <v>0</v>
      </c>
      <c r="ACC66" s="60">
        <f t="shared" si="509"/>
        <v>0</v>
      </c>
      <c r="ACD66" s="60">
        <f t="shared" si="510"/>
        <v>0</v>
      </c>
      <c r="ACE66" s="60">
        <f t="shared" si="511"/>
        <v>0</v>
      </c>
      <c r="ACF66" s="60">
        <f t="shared" si="512"/>
        <v>0</v>
      </c>
      <c r="ACG66" s="76">
        <f t="shared" si="513"/>
        <v>0</v>
      </c>
      <c r="ACH66" s="46">
        <f t="shared" si="514"/>
        <v>97</v>
      </c>
      <c r="ACI66" s="46">
        <f t="shared" si="635"/>
        <v>2.9239999999999999</v>
      </c>
      <c r="ACJ66" s="46">
        <f t="shared" si="515"/>
        <v>1</v>
      </c>
      <c r="ACK66" s="46">
        <f t="shared" si="516"/>
        <v>2</v>
      </c>
      <c r="ACL66" s="46">
        <f t="shared" si="517"/>
        <v>0</v>
      </c>
      <c r="ACM66" s="46" cm="1">
        <f t="array" ref="ACM66">ROUND(IFERROR(INDEX(ArchiveResults!$F$5:$IX$116,ComparisonData!A66,ComparisonData!$ACM$1),0),5)</f>
        <v>0</v>
      </c>
      <c r="ACN66" s="46" cm="1">
        <f t="array" ref="ACN66">ROUND(IFERROR(INDEX(ArchiveResults!$F$5:$IX$116,ComparisonData!A66,ComparisonData!$ACN$1),0),5)</f>
        <v>0</v>
      </c>
      <c r="ACO66" s="56">
        <v>61</v>
      </c>
      <c r="ACP66" s="53" t="str">
        <f t="shared" si="636"/>
        <v>Northumberland Archives: Berwick Record Office</v>
      </c>
      <c r="ACQ66" s="60">
        <f t="shared" si="518"/>
        <v>0</v>
      </c>
      <c r="ACR66" s="60">
        <f t="shared" si="519"/>
        <v>0</v>
      </c>
      <c r="ACS66" s="76">
        <f t="shared" si="520"/>
        <v>0</v>
      </c>
      <c r="ACT66" s="46">
        <f t="shared" si="521"/>
        <v>97</v>
      </c>
      <c r="ACU66" s="46">
        <f t="shared" si="637"/>
        <v>2.9239999999999999</v>
      </c>
      <c r="ACV66" s="46">
        <f t="shared" si="522"/>
        <v>1</v>
      </c>
      <c r="ACW66" s="46">
        <f t="shared" si="523"/>
        <v>2</v>
      </c>
      <c r="ACX66" s="46">
        <f t="shared" si="524"/>
        <v>0</v>
      </c>
      <c r="ACY66" s="46" cm="1">
        <f t="array" ref="ACY66">ROUNDDOWN(IFERROR(INDEX(ArchiveResults!$F$5:$IX$116,ComparisonData!A66,ComparisonData!$ACY$1),0),5)</f>
        <v>0</v>
      </c>
      <c r="ACZ66" s="46" cm="1">
        <f t="array" ref="ACZ66">ROUNDDOWN(IFERROR(INDEX(ArchiveResults!$F$5:$IX$116,ComparisonData!A66,ComparisonData!$ACZ$1),0),5)</f>
        <v>0</v>
      </c>
      <c r="ADA66" s="46" cm="1">
        <f t="array" ref="ADA66">ROUNDDOWN(IFERROR(INDEX(ArchiveResults!$F$5:$IX$116,ComparisonData!A66,ComparisonData!$ADA$1),0),5)</f>
        <v>0</v>
      </c>
      <c r="ADB66" s="56">
        <v>61</v>
      </c>
      <c r="ADC66" s="53" t="str">
        <f t="shared" si="638"/>
        <v>Northumberland Archives: Berwick Record Office</v>
      </c>
      <c r="ADD66" s="60">
        <f t="shared" si="525"/>
        <v>0</v>
      </c>
      <c r="ADE66" s="60">
        <f t="shared" si="526"/>
        <v>0</v>
      </c>
      <c r="ADF66" s="60">
        <f t="shared" si="527"/>
        <v>0</v>
      </c>
      <c r="ADG66" s="76">
        <f t="shared" si="528"/>
        <v>0</v>
      </c>
    </row>
    <row r="67" spans="1:787" x14ac:dyDescent="0.25">
      <c r="A67" s="46" t="str">
        <f>IF(ISBLANK(ComparisonSelection!F63),"",ROW()-5)</f>
        <v/>
      </c>
      <c r="B67" s="53" t="s">
        <v>610</v>
      </c>
      <c r="C67" s="72">
        <v>0.72399999999999975</v>
      </c>
      <c r="D67" s="55">
        <f t="shared" si="110"/>
        <v>58</v>
      </c>
      <c r="E67" s="54">
        <f t="shared" si="111"/>
        <v>2.7239999999999998</v>
      </c>
      <c r="F67" s="54">
        <f t="shared" si="529"/>
        <v>1</v>
      </c>
      <c r="G67" s="72">
        <f t="shared" si="112"/>
        <v>2</v>
      </c>
      <c r="H67" s="72">
        <f t="shared" si="113"/>
        <v>0</v>
      </c>
      <c r="I67" s="46" cm="1">
        <f t="array" ref="I67">ROUND(IFERROR(INDEX(ArchiveResults!$F$5:$IX$116,ComparisonData!A67,ComparisonData!$I$1),0),5)</f>
        <v>0</v>
      </c>
      <c r="J67" s="46" cm="1">
        <f t="array" ref="J67">ROUND(IFERROR(INDEX(ArchiveResults!$F$5:$IX$116,ComparisonData!A67,ComparisonData!$J$1),0),5)</f>
        <v>0</v>
      </c>
      <c r="K67" s="56">
        <v>62</v>
      </c>
      <c r="L67" s="53" t="str">
        <f t="shared" si="114"/>
        <v>Northumberland Archives: QEII Country Park</v>
      </c>
      <c r="M67" s="57">
        <f t="shared" si="530"/>
        <v>0</v>
      </c>
      <c r="N67" s="57">
        <f t="shared" si="531"/>
        <v>0</v>
      </c>
      <c r="O67" s="58">
        <f t="shared" si="115"/>
        <v>0</v>
      </c>
      <c r="P67" s="48">
        <f t="shared" si="116"/>
        <v>58</v>
      </c>
      <c r="Q67" s="54">
        <f t="shared" si="532"/>
        <v>2.7239999999999998</v>
      </c>
      <c r="R67" s="45">
        <f t="shared" si="117"/>
        <v>1</v>
      </c>
      <c r="S67" s="46">
        <f t="shared" si="118"/>
        <v>2</v>
      </c>
      <c r="T67" s="72">
        <f t="shared" si="119"/>
        <v>0</v>
      </c>
      <c r="U67" s="46" cm="1">
        <f t="array" ref="U67">ROUND(IFERROR(INDEX(ArchiveResults!$F$5:$IX$116,ComparisonData!A67,ComparisonData!$U$1),0),5)</f>
        <v>0</v>
      </c>
      <c r="V67" s="46" cm="1">
        <f t="array" ref="V67">ROUND(IFERROR(INDEX(ArchiveResults!$F$5:$IX$116,ComparisonData!A67,ComparisonData!$V$1),0),5)</f>
        <v>0</v>
      </c>
      <c r="W67" s="56">
        <v>62</v>
      </c>
      <c r="X67" s="53" t="str">
        <f t="shared" si="533"/>
        <v>Northumberland Archives: QEII Country Park</v>
      </c>
      <c r="Y67" s="57">
        <f t="shared" si="120"/>
        <v>0</v>
      </c>
      <c r="Z67" s="57">
        <f t="shared" si="121"/>
        <v>0</v>
      </c>
      <c r="AA67" s="58">
        <f t="shared" si="122"/>
        <v>0</v>
      </c>
      <c r="AB67" s="45">
        <f t="shared" si="123"/>
        <v>58</v>
      </c>
      <c r="AC67" s="54">
        <f t="shared" si="534"/>
        <v>2.7239999999999998</v>
      </c>
      <c r="AD67" s="45">
        <f t="shared" si="124"/>
        <v>1</v>
      </c>
      <c r="AE67" s="45">
        <f t="shared" si="125"/>
        <v>2</v>
      </c>
      <c r="AF67" s="45">
        <f t="shared" si="639"/>
        <v>0</v>
      </c>
      <c r="AG67" s="46" cm="1">
        <f t="array" ref="AG67">ROUND(IFERROR(INDEX(ArchiveResults!$F$5:$IX$116,ComparisonData!A67,ComparisonData!$AG$1),0),5)</f>
        <v>0</v>
      </c>
      <c r="AH67" s="46" cm="1">
        <f t="array" ref="AH67">ROUND(IFERROR(INDEX(ArchiveResults!$F$5:$IX$116,ComparisonData!A67,ComparisonData!$AH$1),0),5)</f>
        <v>0</v>
      </c>
      <c r="AI67" s="56">
        <v>62</v>
      </c>
      <c r="AJ67" s="53" t="str">
        <f t="shared" si="535"/>
        <v>Northumberland Archives: QEII Country Park</v>
      </c>
      <c r="AK67" s="59">
        <f t="shared" si="536"/>
        <v>0</v>
      </c>
      <c r="AL67" s="59">
        <f t="shared" si="537"/>
        <v>0</v>
      </c>
      <c r="AM67" s="58">
        <f t="shared" si="127"/>
        <v>0</v>
      </c>
      <c r="AN67" s="45">
        <f t="shared" si="128"/>
        <v>58</v>
      </c>
      <c r="AO67" s="54">
        <f t="shared" si="538"/>
        <v>2.7239999999999998</v>
      </c>
      <c r="AP67" s="45">
        <f t="shared" si="129"/>
        <v>1</v>
      </c>
      <c r="AQ67" s="45">
        <f t="shared" si="130"/>
        <v>2</v>
      </c>
      <c r="AR67" s="46" cm="1">
        <f t="array" ref="AR67">ROUND(IFERROR(INDEX(ArchiveResults!$F$5:$IX$116,ComparisonData!A67,ComparisonData!$AR$1),0),5)</f>
        <v>0</v>
      </c>
      <c r="AS67" s="46" cm="1">
        <f t="array" ref="AS67">ROUND(IFERROR(INDEX(ArchiveResults!$F$5:$IX$116,ComparisonData!A67,ComparisonData!$AS$1),0),5)</f>
        <v>0</v>
      </c>
      <c r="AT67" s="46" cm="1">
        <f t="array" ref="AT67">ROUND(IFERROR(INDEX(ArchiveResults!$F$5:$IX$116,ComparisonData!A67,ComparisonData!$AT$1),0),5)</f>
        <v>0</v>
      </c>
      <c r="AU67" s="46" cm="1">
        <f t="array" ref="AU67">ROUND(IFERROR(INDEX(ArchiveResults!$F$5:$IX$116,ComparisonData!A67,ComparisonData!$AU$1),0),5)</f>
        <v>0</v>
      </c>
      <c r="AV67" s="46" cm="1">
        <f t="array" ref="AV67">ROUND(IFERROR(INDEX(ArchiveResults!$F$5:$IX$116,ComparisonData!A67,ComparisonData!$AV$1),0),5)</f>
        <v>0</v>
      </c>
      <c r="AW67" s="46" cm="1">
        <f t="array" ref="AW67">ROUND(IFERROR(INDEX(ArchiveResults!$F$5:$IX$116,ComparisonData!A67,ComparisonData!$AW$1),0),5)</f>
        <v>0</v>
      </c>
      <c r="AX67" s="46" cm="1">
        <f t="array" ref="AX67">ROUND(IFERROR(INDEX(ArchiveResults!$F$5:$IX$116,ComparisonData!A67,ComparisonData!$AX$1),0),5)</f>
        <v>0</v>
      </c>
      <c r="AY67" s="46" cm="1">
        <f t="array" ref="AY67">ROUND(IFERROR(INDEX(ArchiveResults!$F$5:$IX$116,ComparisonData!A67,ComparisonData!$AY$1),0),5)</f>
        <v>0</v>
      </c>
      <c r="AZ67" s="46" cm="1">
        <f t="array" ref="AZ67">ROUND(IFERROR(INDEX(ArchiveResults!$F$5:$IX$116,ComparisonData!A67,ComparisonData!$AZ$1),0),5)</f>
        <v>0</v>
      </c>
      <c r="BA67" s="46" cm="1">
        <f t="array" ref="BA67">ROUND(IFERROR(INDEX(ArchiveResults!$F$5:$IX$116,ComparisonData!A67,ComparisonData!$BA$1),0),5)</f>
        <v>0</v>
      </c>
      <c r="BB67" s="56">
        <v>62</v>
      </c>
      <c r="BC67" s="53" t="str">
        <f t="shared" si="539"/>
        <v>Northumberland Archives: QEII Country Park</v>
      </c>
      <c r="BD67" s="60">
        <f t="shared" si="131"/>
        <v>0</v>
      </c>
      <c r="BE67" s="60">
        <f t="shared" si="132"/>
        <v>0</v>
      </c>
      <c r="BF67" s="60">
        <f t="shared" si="133"/>
        <v>0</v>
      </c>
      <c r="BG67" s="60">
        <f t="shared" si="134"/>
        <v>0</v>
      </c>
      <c r="BH67" s="60">
        <f t="shared" si="135"/>
        <v>0</v>
      </c>
      <c r="BI67" s="60">
        <f t="shared" si="136"/>
        <v>0</v>
      </c>
      <c r="BJ67" s="60">
        <f t="shared" si="137"/>
        <v>0</v>
      </c>
      <c r="BK67" s="60">
        <f t="shared" si="138"/>
        <v>0</v>
      </c>
      <c r="BL67" s="60">
        <f t="shared" si="139"/>
        <v>0</v>
      </c>
      <c r="BM67" s="59">
        <f t="shared" si="140"/>
        <v>0</v>
      </c>
      <c r="BN67" s="58">
        <f t="shared" si="141"/>
        <v>0</v>
      </c>
      <c r="BO67" s="45">
        <f t="shared" si="142"/>
        <v>58</v>
      </c>
      <c r="BP67" s="54">
        <f t="shared" si="540"/>
        <v>2.7239999999999998</v>
      </c>
      <c r="BQ67" s="45">
        <f t="shared" si="143"/>
        <v>1</v>
      </c>
      <c r="BR67" s="45">
        <f t="shared" si="144"/>
        <v>2</v>
      </c>
      <c r="BS67" s="46" cm="1">
        <f t="array" ref="BS67">ROUND(IFERROR(INDEX(ArchiveResults!$F$5:$IX$116,ComparisonData!A67,ComparisonData!$BS$1),0),5)</f>
        <v>0</v>
      </c>
      <c r="BT67" s="46" cm="1">
        <f t="array" ref="BT67">ROUND(IFERROR(INDEX(ArchiveResults!$F$5:$IX$116,ComparisonData!A67,ComparisonData!$BT$1),0),5)</f>
        <v>0</v>
      </c>
      <c r="BU67" s="46" cm="1">
        <f t="array" ref="BU67">ROUND(IFERROR(INDEX(ArchiveResults!$F$5:$IX$116,ComparisonData!A67,ComparisonData!$BU$1),0),5)</f>
        <v>0</v>
      </c>
      <c r="BV67" s="46" cm="1">
        <f t="array" ref="BV67">ROUND(IFERROR(INDEX(ArchiveResults!$F$5:$IX$116,ComparisonData!A67,ComparisonData!$BV$1),0),5)</f>
        <v>0</v>
      </c>
      <c r="BW67" s="46" cm="1">
        <f t="array" ref="BW67">ROUND(IFERROR(INDEX(ArchiveResults!$F$5:$IX$116,ComparisonData!A67,ComparisonData!$BW$1),0),5)</f>
        <v>0</v>
      </c>
      <c r="BX67" s="46" cm="1">
        <f t="array" ref="BX67">ROUND(IFERROR(INDEX(ArchiveResults!$F$5:$IX$116,ComparisonData!A67,ComparisonData!$BX$1),0),5)</f>
        <v>0</v>
      </c>
      <c r="BY67" s="56">
        <v>62</v>
      </c>
      <c r="BZ67" s="53" t="str">
        <f t="shared" si="541"/>
        <v>Northumberland Archives: QEII Country Park</v>
      </c>
      <c r="CA67" s="59">
        <f t="shared" si="145"/>
        <v>0</v>
      </c>
      <c r="CB67" s="59">
        <f t="shared" si="146"/>
        <v>0</v>
      </c>
      <c r="CC67" s="59">
        <f t="shared" si="147"/>
        <v>0</v>
      </c>
      <c r="CD67" s="59">
        <f t="shared" si="148"/>
        <v>0</v>
      </c>
      <c r="CE67" s="59">
        <f t="shared" si="149"/>
        <v>0</v>
      </c>
      <c r="CF67" s="59">
        <f t="shared" si="150"/>
        <v>0</v>
      </c>
      <c r="CG67" s="58">
        <f t="shared" si="151"/>
        <v>0</v>
      </c>
      <c r="CH67" s="45">
        <f t="shared" si="152"/>
        <v>58</v>
      </c>
      <c r="CI67" s="54">
        <f t="shared" si="542"/>
        <v>2.7239999999999998</v>
      </c>
      <c r="CJ67" s="45">
        <f t="shared" si="153"/>
        <v>1</v>
      </c>
      <c r="CK67" s="45">
        <f t="shared" si="154"/>
        <v>2</v>
      </c>
      <c r="CL67" s="46" cm="1">
        <f t="array" ref="CL67">ROUND(IFERROR(INDEX(ArchiveResults!$F$5:$IX$116,ComparisonData!A67,ComparisonData!$CL$1),0),5)</f>
        <v>0</v>
      </c>
      <c r="CM67" s="56">
        <v>62</v>
      </c>
      <c r="CN67" s="53" t="str">
        <f t="shared" si="543"/>
        <v>Northumberland Archives: QEII Country Park</v>
      </c>
      <c r="CO67" s="45">
        <f t="shared" si="155"/>
        <v>0</v>
      </c>
      <c r="CP67" s="58">
        <f t="shared" si="156"/>
        <v>0</v>
      </c>
      <c r="CQ67" s="45">
        <f t="shared" si="157"/>
        <v>58</v>
      </c>
      <c r="CR67" s="54">
        <f t="shared" si="544"/>
        <v>2.7239999999999998</v>
      </c>
      <c r="CS67" s="45">
        <f t="shared" si="158"/>
        <v>1</v>
      </c>
      <c r="CT67" s="45">
        <f t="shared" si="159"/>
        <v>2</v>
      </c>
      <c r="CU67" s="46" cm="1">
        <f t="array" ref="CU67">ROUND(IFERROR(INDEX(ArchiveResults!$F$5:$IX$116,ComparisonData!A67,ComparisonData!$CU$1),0),5)</f>
        <v>0</v>
      </c>
      <c r="CV67" s="56">
        <v>62</v>
      </c>
      <c r="CW67" s="53" t="str">
        <f t="shared" si="545"/>
        <v>Northumberland Archives: QEII Country Park</v>
      </c>
      <c r="CX67" s="45">
        <f t="shared" si="160"/>
        <v>0</v>
      </c>
      <c r="CY67" s="58">
        <f t="shared" si="161"/>
        <v>0</v>
      </c>
      <c r="CZ67" s="45">
        <f t="shared" si="162"/>
        <v>58</v>
      </c>
      <c r="DA67" s="54">
        <f t="shared" si="546"/>
        <v>2.7239999999999998</v>
      </c>
      <c r="DB67" s="45">
        <f t="shared" si="163"/>
        <v>1</v>
      </c>
      <c r="DC67" s="45">
        <f t="shared" si="164"/>
        <v>2</v>
      </c>
      <c r="DD67" s="46" cm="1">
        <f t="array" ref="DD67">ROUND(IFERROR(INDEX(ArchiveResults!$F$5:$IX$116,ComparisonData!A67,ComparisonData!$DD$1),0),5)</f>
        <v>0</v>
      </c>
      <c r="DE67" s="56">
        <v>62</v>
      </c>
      <c r="DF67" s="53" t="str">
        <f t="shared" si="547"/>
        <v>Northumberland Archives: QEII Country Park</v>
      </c>
      <c r="DG67" s="45">
        <f t="shared" si="165"/>
        <v>0</v>
      </c>
      <c r="DH67" s="58">
        <f t="shared" si="166"/>
        <v>0</v>
      </c>
      <c r="DI67" s="45">
        <f t="shared" si="167"/>
        <v>58</v>
      </c>
      <c r="DJ67" s="54">
        <f t="shared" si="548"/>
        <v>2.7239999999999998</v>
      </c>
      <c r="DK67" s="45">
        <f t="shared" si="168"/>
        <v>1</v>
      </c>
      <c r="DL67" s="45">
        <f t="shared" si="169"/>
        <v>2</v>
      </c>
      <c r="DM67" s="46" cm="1">
        <f t="array" ref="DM67">ROUND(IFERROR(INDEX(ArchiveResults!$F$5:$IX$116,ComparisonData!A67,ComparisonData!$DM$1),0),5)</f>
        <v>0</v>
      </c>
      <c r="DN67" s="46" cm="1">
        <f t="array" ref="DN67">ROUND(IFERROR(INDEX(ArchiveResults!$F$5:$IX$116,ComparisonData!A67,ComparisonData!$DN$1),0),5)</f>
        <v>0</v>
      </c>
      <c r="DO67" s="46" cm="1">
        <f t="array" ref="DO67">ROUND(IFERROR(INDEX(ArchiveResults!$F$5:$IX$116,ComparisonData!A67,ComparisonData!$DO$1),0),5)</f>
        <v>0</v>
      </c>
      <c r="DP67" s="46" cm="1">
        <f t="array" ref="DP67">ROUND(IFERROR(INDEX(ArchiveResults!$F$5:$IX$116,ComparisonData!A67,ComparisonData!$DP$1),0),5)</f>
        <v>0</v>
      </c>
      <c r="DQ67" s="45" cm="1">
        <f t="array" ref="DQ67">IFERROR(INDEX(ArchiveResults!$F$5:$IX$116,ComparisonData!A67,ComparisonData!$DQ$1),0)</f>
        <v>0</v>
      </c>
      <c r="DR67" s="56">
        <v>62</v>
      </c>
      <c r="DS67" s="53" t="str">
        <f t="shared" si="549"/>
        <v>Northumberland Archives: QEII Country Park</v>
      </c>
      <c r="DT67" s="59">
        <f t="shared" si="170"/>
        <v>0</v>
      </c>
      <c r="DU67" s="59">
        <f t="shared" si="171"/>
        <v>0</v>
      </c>
      <c r="DV67" s="59">
        <f t="shared" si="172"/>
        <v>0</v>
      </c>
      <c r="DW67" s="59">
        <f t="shared" si="173"/>
        <v>0</v>
      </c>
      <c r="DX67" s="59">
        <f t="shared" si="174"/>
        <v>0</v>
      </c>
      <c r="DY67" s="58">
        <f t="shared" si="175"/>
        <v>0</v>
      </c>
      <c r="DZ67" s="45">
        <f t="shared" si="176"/>
        <v>58</v>
      </c>
      <c r="EA67" s="54">
        <f t="shared" si="550"/>
        <v>2.7239999999999998</v>
      </c>
      <c r="EB67" s="45">
        <f t="shared" si="177"/>
        <v>1</v>
      </c>
      <c r="EC67" s="45">
        <f t="shared" si="178"/>
        <v>2</v>
      </c>
      <c r="ED67" s="46" cm="1">
        <f t="array" ref="ED67">ROUND(IFERROR(INDEX(ArchiveResults!$F$5:$IX$116,ComparisonData!A67,ComparisonData!$ED$1),0),5)</f>
        <v>0</v>
      </c>
      <c r="EE67" s="46" cm="1">
        <f t="array" ref="EE67">ROUND(IFERROR(INDEX(ArchiveResults!$F$5:$IX$116,ComparisonData!A67,ComparisonData!$EE$1),0),5)</f>
        <v>0</v>
      </c>
      <c r="EF67" s="46" cm="1">
        <f t="array" ref="EF67">ROUND(IFERROR(INDEX(ArchiveResults!$F$5:$IX$116,ComparisonData!A67,ComparisonData!$EF$1),0),5)</f>
        <v>0</v>
      </c>
      <c r="EG67" s="46" cm="1">
        <f t="array" ref="EG67">ROUND(IFERROR(INDEX(ArchiveResults!$F$5:$IX$116,ComparisonData!A67,ComparisonData!$EG$1),0),5)</f>
        <v>0</v>
      </c>
      <c r="EH67" s="45" cm="1">
        <f t="array" ref="EH67">IFERROR(INDEX(ArchiveResults!$F$5:$IX$116,ComparisonData!A67,ComparisonData!$EH$1),0)</f>
        <v>0</v>
      </c>
      <c r="EI67" s="56">
        <v>62</v>
      </c>
      <c r="EJ67" s="53" t="str">
        <f t="shared" si="551"/>
        <v>Northumberland Archives: QEII Country Park</v>
      </c>
      <c r="EK67" s="59">
        <f t="shared" si="179"/>
        <v>0</v>
      </c>
      <c r="EL67" s="59">
        <f t="shared" si="180"/>
        <v>0</v>
      </c>
      <c r="EM67" s="59">
        <f t="shared" si="181"/>
        <v>0</v>
      </c>
      <c r="EN67" s="59">
        <f t="shared" si="182"/>
        <v>0</v>
      </c>
      <c r="EO67" s="59">
        <f t="shared" si="183"/>
        <v>0</v>
      </c>
      <c r="EP67" s="58">
        <f t="shared" si="184"/>
        <v>0</v>
      </c>
      <c r="EQ67" s="45">
        <f t="shared" si="185"/>
        <v>58</v>
      </c>
      <c r="ER67" s="54">
        <f t="shared" si="552"/>
        <v>2.7239999999999998</v>
      </c>
      <c r="ES67" s="45">
        <f t="shared" si="186"/>
        <v>1</v>
      </c>
      <c r="ET67" s="45">
        <f t="shared" si="187"/>
        <v>2</v>
      </c>
      <c r="EU67" s="46" cm="1">
        <f t="array" ref="EU67">ROUND(IFERROR(INDEX(ArchiveResults!$F$5:$IX$116,ComparisonData!A67,ComparisonData!$EU$1),0),5)</f>
        <v>0</v>
      </c>
      <c r="EV67" s="46" cm="1">
        <f t="array" ref="EV67">ROUND(IFERROR(INDEX(ArchiveResults!$F$5:$IX$116,ComparisonData!A67,ComparisonData!$EV$1),0),5)</f>
        <v>0</v>
      </c>
      <c r="EW67" s="46" cm="1">
        <f t="array" ref="EW67">ROUND(IFERROR(INDEX(ArchiveResults!$F$5:$IX$116,ComparisonData!A67,ComparisonData!$EW$1),0),5)</f>
        <v>0</v>
      </c>
      <c r="EX67" s="46" cm="1">
        <f t="array" ref="EX67">ROUND(IFERROR(INDEX(ArchiveResults!$F$5:$IX$116,ComparisonData!A67,ComparisonData!$EX$1),0),5)</f>
        <v>0</v>
      </c>
      <c r="EY67" s="45" cm="1">
        <f t="array" ref="EY67">IFERROR(INDEX(ArchiveResults!$F$5:$IX$116,ComparisonData!A67,ComparisonData!$EY$1),0)</f>
        <v>0</v>
      </c>
      <c r="EZ67" s="56">
        <v>62</v>
      </c>
      <c r="FA67" s="53" t="str">
        <f t="shared" si="553"/>
        <v>Northumberland Archives: QEII Country Park</v>
      </c>
      <c r="FB67" s="59">
        <f t="shared" si="188"/>
        <v>0</v>
      </c>
      <c r="FC67" s="59">
        <f t="shared" si="189"/>
        <v>0</v>
      </c>
      <c r="FD67" s="59">
        <f t="shared" si="190"/>
        <v>0</v>
      </c>
      <c r="FE67" s="59">
        <f t="shared" si="191"/>
        <v>0</v>
      </c>
      <c r="FF67" s="59">
        <f t="shared" si="192"/>
        <v>0</v>
      </c>
      <c r="FG67" s="58">
        <f t="shared" si="193"/>
        <v>0</v>
      </c>
      <c r="FH67" s="45">
        <f t="shared" si="194"/>
        <v>58</v>
      </c>
      <c r="FI67" s="54">
        <f t="shared" si="554"/>
        <v>2.7239999999999998</v>
      </c>
      <c r="FJ67" s="45">
        <f t="shared" si="195"/>
        <v>1</v>
      </c>
      <c r="FK67" s="45">
        <f t="shared" si="196"/>
        <v>2</v>
      </c>
      <c r="FL67" s="46" cm="1">
        <f t="array" ref="FL67">ROUND(IFERROR(INDEX(ArchiveResults!$F$5:$IX$116,ComparisonData!A67,ComparisonData!$FL$1),0),5)</f>
        <v>0</v>
      </c>
      <c r="FM67" s="46" cm="1">
        <f t="array" ref="FM67">ROUND(IFERROR(INDEX(ArchiveResults!$F$5:$IX$116,ComparisonData!A67,ComparisonData!$FM$1),0),5)</f>
        <v>0</v>
      </c>
      <c r="FN67" s="46" cm="1">
        <f t="array" ref="FN67">ROUND(IFERROR(INDEX(ArchiveResults!$F$5:$IX$116,ComparisonData!A67,ComparisonData!$FN$1),0),5)</f>
        <v>0</v>
      </c>
      <c r="FO67" s="46" cm="1">
        <f t="array" ref="FO67">ROUND(IFERROR(INDEX(ArchiveResults!$F$5:$IX$116,ComparisonData!A67,ComparisonData!$FO$1),0),5)</f>
        <v>0</v>
      </c>
      <c r="FP67" s="45" cm="1">
        <f t="array" ref="FP67">IFERROR(INDEX(ArchiveResults!$F$5:$IX$116,ComparisonData!A67,ComparisonData!$FP$1),0)</f>
        <v>0</v>
      </c>
      <c r="FQ67" s="56">
        <v>62</v>
      </c>
      <c r="FR67" s="53" t="str">
        <f t="shared" si="555"/>
        <v>Northumberland Archives: QEII Country Park</v>
      </c>
      <c r="FS67" s="59">
        <f t="shared" si="197"/>
        <v>0</v>
      </c>
      <c r="FT67" s="59">
        <f t="shared" si="198"/>
        <v>0</v>
      </c>
      <c r="FU67" s="59">
        <f t="shared" si="199"/>
        <v>0</v>
      </c>
      <c r="FV67" s="59">
        <f t="shared" si="200"/>
        <v>0</v>
      </c>
      <c r="FW67" s="59">
        <f t="shared" si="201"/>
        <v>0</v>
      </c>
      <c r="FX67" s="58">
        <f t="shared" si="202"/>
        <v>0</v>
      </c>
      <c r="FY67" s="45">
        <f t="shared" si="203"/>
        <v>58</v>
      </c>
      <c r="FZ67" s="45">
        <f t="shared" si="556"/>
        <v>2.7239999999999998</v>
      </c>
      <c r="GA67" s="45">
        <f t="shared" si="204"/>
        <v>1</v>
      </c>
      <c r="GB67" s="45">
        <f t="shared" si="205"/>
        <v>2</v>
      </c>
      <c r="GC67" s="46" cm="1">
        <f t="array" ref="GC67">ROUND(IFERROR(INDEX(ArchiveResults!$F$5:$IX$116,ComparisonData!A67,ComparisonData!$GC$1),0),5)</f>
        <v>0</v>
      </c>
      <c r="GD67" s="46" cm="1">
        <f t="array" ref="GD67">ROUND(IFERROR(INDEX(ArchiveResults!$F$5:$IX$116,ComparisonData!A67,ComparisonData!$GD$1),0),5)</f>
        <v>0</v>
      </c>
      <c r="GE67" s="46" cm="1">
        <f t="array" ref="GE67">ROUND(IFERROR(INDEX(ArchiveResults!$F$5:$IX$116,ComparisonData!A67,ComparisonData!$GE$1),0),5)</f>
        <v>0</v>
      </c>
      <c r="GF67" s="46" cm="1">
        <f t="array" ref="GF67">ROUND(IFERROR(INDEX(ArchiveResults!$F$5:$IX$116,ComparisonData!A67,ComparisonData!$GF$1),0),5)</f>
        <v>0</v>
      </c>
      <c r="GG67" s="45" cm="1">
        <f t="array" ref="GG67">IFERROR(INDEX(ArchiveResults!$F$5:$IX$116,ComparisonData!A67,ComparisonData!$GG$1),0)</f>
        <v>0</v>
      </c>
      <c r="GH67" s="56">
        <v>62</v>
      </c>
      <c r="GI67" s="53" t="str">
        <f t="shared" si="557"/>
        <v>Northumberland Archives: QEII Country Park</v>
      </c>
      <c r="GJ67" s="59">
        <f t="shared" si="206"/>
        <v>0</v>
      </c>
      <c r="GK67" s="59">
        <f t="shared" si="207"/>
        <v>0</v>
      </c>
      <c r="GL67" s="59">
        <f t="shared" si="208"/>
        <v>0</v>
      </c>
      <c r="GM67" s="59">
        <f t="shared" si="209"/>
        <v>0</v>
      </c>
      <c r="GN67" s="59">
        <f t="shared" si="210"/>
        <v>0</v>
      </c>
      <c r="GO67" s="58">
        <f t="shared" si="211"/>
        <v>0</v>
      </c>
      <c r="GP67" s="45">
        <f t="shared" si="212"/>
        <v>58</v>
      </c>
      <c r="GQ67" s="45">
        <f t="shared" si="558"/>
        <v>2.7239999999999998</v>
      </c>
      <c r="GR67" s="45">
        <f t="shared" si="213"/>
        <v>1</v>
      </c>
      <c r="GS67" s="45">
        <f t="shared" si="214"/>
        <v>2</v>
      </c>
      <c r="GT67" s="46" cm="1">
        <f t="array" ref="GT67">ROUND(IFERROR(INDEX(ArchiveResults!$F$5:$IX$116,ComparisonData!A67,ComparisonData!$GT$1),0),5)</f>
        <v>0</v>
      </c>
      <c r="GU67" s="46" cm="1">
        <f t="array" ref="GU67">ROUND(IFERROR(INDEX(ArchiveResults!$F$5:$IX$116,ComparisonData!A67,ComparisonData!$GU$1),0),5)</f>
        <v>0</v>
      </c>
      <c r="GV67" s="46" cm="1">
        <f t="array" ref="GV67">ROUND(IFERROR(INDEX(ArchiveResults!$F$5:$IX$116,ComparisonData!A67,ComparisonData!$GV$1),0),5)</f>
        <v>0</v>
      </c>
      <c r="GW67" s="46" cm="1">
        <f t="array" ref="GW67">ROUND(IFERROR(INDEX(ArchiveResults!$F$5:$IX$116,ComparisonData!A67,ComparisonData!$GW$1),0),5)</f>
        <v>0</v>
      </c>
      <c r="GX67" s="45" cm="1">
        <f t="array" ref="GX67">IFERROR(INDEX(ArchiveResults!$F$5:$IX$116,ComparisonData!A67,ComparisonData!$GX$1),0)</f>
        <v>0</v>
      </c>
      <c r="GY67" s="56">
        <v>62</v>
      </c>
      <c r="GZ67" s="53" t="str">
        <f t="shared" si="559"/>
        <v>Northumberland Archives: QEII Country Park</v>
      </c>
      <c r="HA67" s="59">
        <f t="shared" si="215"/>
        <v>0</v>
      </c>
      <c r="HB67" s="59">
        <f t="shared" si="216"/>
        <v>0</v>
      </c>
      <c r="HC67" s="59">
        <f t="shared" si="217"/>
        <v>0</v>
      </c>
      <c r="HD67" s="59">
        <f t="shared" si="218"/>
        <v>0</v>
      </c>
      <c r="HE67" s="59">
        <f t="shared" si="219"/>
        <v>0</v>
      </c>
      <c r="HF67" s="58">
        <f t="shared" si="220"/>
        <v>0</v>
      </c>
      <c r="HG67" s="45">
        <f t="shared" si="221"/>
        <v>58</v>
      </c>
      <c r="HH67" s="45">
        <f t="shared" si="560"/>
        <v>2.7239999999999998</v>
      </c>
      <c r="HI67" s="45">
        <f t="shared" si="222"/>
        <v>1</v>
      </c>
      <c r="HJ67" s="45">
        <f t="shared" si="223"/>
        <v>2</v>
      </c>
      <c r="HK67" s="46" cm="1">
        <f t="array" ref="HK67">ROUND(IFERROR(INDEX(ArchiveResults!$F$5:$IX$116,ComparisonData!A67,ComparisonData!$HK$1),0),5)</f>
        <v>0</v>
      </c>
      <c r="HL67" s="46" cm="1">
        <f t="array" ref="HL67">ROUND(IFERROR(INDEX(ArchiveResults!$F$5:$IX$116,ComparisonData!A67,ComparisonData!$HL$1),0),5)</f>
        <v>0</v>
      </c>
      <c r="HM67" s="46" cm="1">
        <f t="array" ref="HM67">ROUND(IFERROR(INDEX(ArchiveResults!$F$5:$IX$116,ComparisonData!A67,ComparisonData!$HM$1),0),5)</f>
        <v>0</v>
      </c>
      <c r="HN67" s="46" cm="1">
        <f t="array" ref="HN67">ROUND(IFERROR(INDEX(ArchiveResults!$F$5:$IX$116,ComparisonData!A67,ComparisonData!$HN$1),0),5)</f>
        <v>0</v>
      </c>
      <c r="HO67" s="45" cm="1">
        <f t="array" ref="HO67">IFERROR(INDEX(ArchiveResults!$F$5:$IX$116,ComparisonData!A67,ComparisonData!$HO$1),0)</f>
        <v>0</v>
      </c>
      <c r="HP67" s="56">
        <v>62</v>
      </c>
      <c r="HQ67" s="53" t="str">
        <f t="shared" si="561"/>
        <v>Northumberland Archives: QEII Country Park</v>
      </c>
      <c r="HR67" s="59">
        <f t="shared" si="562"/>
        <v>0</v>
      </c>
      <c r="HS67" s="59">
        <f t="shared" si="563"/>
        <v>0</v>
      </c>
      <c r="HT67" s="59">
        <f t="shared" si="564"/>
        <v>0</v>
      </c>
      <c r="HU67" s="59">
        <f t="shared" si="565"/>
        <v>0</v>
      </c>
      <c r="HV67" s="59">
        <f t="shared" si="566"/>
        <v>0</v>
      </c>
      <c r="HW67" s="58">
        <f t="shared" si="224"/>
        <v>0</v>
      </c>
      <c r="HX67" s="45">
        <f t="shared" si="225"/>
        <v>58</v>
      </c>
      <c r="HY67" s="45">
        <f t="shared" si="567"/>
        <v>2.7239999999999998</v>
      </c>
      <c r="HZ67" s="45">
        <f t="shared" si="226"/>
        <v>1</v>
      </c>
      <c r="IA67" s="45">
        <f t="shared" si="227"/>
        <v>2</v>
      </c>
      <c r="IB67" s="45">
        <f t="shared" si="228"/>
        <v>0</v>
      </c>
      <c r="IC67" s="46" cm="1">
        <f t="array" ref="IC67">ROUND(IFERROR(INDEX(ArchiveResults!$F$5:$IX$116,ComparisonData!A67,ComparisonData!$IC$1),0),5)</f>
        <v>0</v>
      </c>
      <c r="ID67" s="46" cm="1">
        <f t="array" ref="ID67">ROUND(IFERROR(INDEX(ArchiveResults!$F$5:$IX$116,ComparisonData!A67,ComparisonData!$ID$1),0),5)</f>
        <v>0</v>
      </c>
      <c r="IE67" s="46" cm="1">
        <f t="array" ref="IE67">ROUND(IFERROR(INDEX(ArchiveResults!$F$5:$IX$116,ComparisonData!A67,ComparisonData!$IE$1),0),5)</f>
        <v>0</v>
      </c>
      <c r="IF67" s="46" cm="1">
        <f t="array" ref="IF67">ROUND(IFERROR(INDEX(ArchiveResults!$F$5:$IX$116,ComparisonData!A67,ComparisonData!$IF$1),0),5)</f>
        <v>0</v>
      </c>
      <c r="IG67" s="45" cm="1">
        <f t="array" ref="IG67">IFERROR(INDEX(ArchiveResults!$F$5:$IX$116,ComparisonData!A67,ComparisonData!$IG$1),0)</f>
        <v>0</v>
      </c>
      <c r="IH67" s="56">
        <v>62</v>
      </c>
      <c r="II67" s="53" t="str">
        <f t="shared" si="568"/>
        <v>Northumberland Archives: QEII Country Park</v>
      </c>
      <c r="IJ67" s="59">
        <f t="shared" si="229"/>
        <v>0</v>
      </c>
      <c r="IK67" s="59">
        <f t="shared" si="230"/>
        <v>0</v>
      </c>
      <c r="IL67" s="59">
        <f t="shared" si="231"/>
        <v>0</v>
      </c>
      <c r="IM67" s="59">
        <f t="shared" si="232"/>
        <v>0</v>
      </c>
      <c r="IN67" s="59">
        <f t="shared" si="233"/>
        <v>0</v>
      </c>
      <c r="IO67" s="58">
        <f t="shared" si="234"/>
        <v>0</v>
      </c>
      <c r="IP67" s="45">
        <f t="shared" si="235"/>
        <v>58</v>
      </c>
      <c r="IQ67" s="45">
        <f t="shared" si="569"/>
        <v>2.7239999999999998</v>
      </c>
      <c r="IR67" s="45">
        <f t="shared" si="236"/>
        <v>1</v>
      </c>
      <c r="IS67" s="45">
        <f t="shared" si="237"/>
        <v>2</v>
      </c>
      <c r="IT67" s="46">
        <f t="shared" si="238"/>
        <v>0</v>
      </c>
      <c r="IU67" s="46" cm="1">
        <f t="array" ref="IU67">ROUND(IFERROR(INDEX(ArchiveResults!$F$5:$IX$116,ComparisonData!A67,ComparisonData!$IU$1),0),5)</f>
        <v>0</v>
      </c>
      <c r="IV67" s="46" cm="1">
        <f t="array" ref="IV67">ROUND(IFERROR(INDEX(ArchiveResults!$F$5:$IX$116,ComparisonData!A67,ComparisonData!$IV$1),0),5)</f>
        <v>0</v>
      </c>
      <c r="IW67" s="46" cm="1">
        <f t="array" ref="IW67">ROUND(IFERROR(INDEX(ArchiveResults!$F$5:$IX$116,ComparisonData!A67,ComparisonData!$IW$1),0),5)</f>
        <v>0</v>
      </c>
      <c r="IX67" s="46" cm="1">
        <f t="array" ref="IX67">ROUND(IFERROR(INDEX(ArchiveResults!$F$5:$IX$116,ComparisonData!A67,ComparisonData!$IX$1),0),5)</f>
        <v>0</v>
      </c>
      <c r="IY67" s="45" cm="1">
        <f t="array" ref="IY67">IFERROR(INDEX(ArchiveResults!$F$5:$IX$116,ComparisonData!A67,ComparisonData!$IY$1),0)</f>
        <v>0</v>
      </c>
      <c r="IZ67" s="56">
        <v>62</v>
      </c>
      <c r="JA67" s="53" t="str">
        <f t="shared" si="570"/>
        <v>Northumberland Archives: QEII Country Park</v>
      </c>
      <c r="JB67" s="59">
        <f t="shared" si="239"/>
        <v>0</v>
      </c>
      <c r="JC67" s="59">
        <f t="shared" si="240"/>
        <v>0</v>
      </c>
      <c r="JD67" s="59">
        <f t="shared" si="241"/>
        <v>0</v>
      </c>
      <c r="JE67" s="59">
        <f t="shared" si="242"/>
        <v>0</v>
      </c>
      <c r="JF67" s="59">
        <f t="shared" si="243"/>
        <v>0</v>
      </c>
      <c r="JG67" s="58">
        <f t="shared" si="244"/>
        <v>0</v>
      </c>
      <c r="JH67" s="45">
        <f t="shared" si="245"/>
        <v>58</v>
      </c>
      <c r="JI67" s="45">
        <f t="shared" si="571"/>
        <v>2.7239999999999998</v>
      </c>
      <c r="JJ67" s="45">
        <f t="shared" si="246"/>
        <v>1</v>
      </c>
      <c r="JK67" s="45">
        <f t="shared" si="247"/>
        <v>2</v>
      </c>
      <c r="JL67" s="45">
        <f t="shared" si="248"/>
        <v>0</v>
      </c>
      <c r="JM67" s="46" cm="1">
        <f t="array" ref="JM67">ROUND(IFERROR(INDEX(ArchiveResults!$F$5:$IX$116,ComparisonData!A67,ComparisonData!$JM$1),0),5)</f>
        <v>0</v>
      </c>
      <c r="JN67" s="46" cm="1">
        <f t="array" ref="JN67">ROUND(IFERROR(INDEX(ArchiveResults!$F$5:$IX$116,ComparisonData!A67,ComparisonData!$JN$1),0),5)</f>
        <v>0</v>
      </c>
      <c r="JO67" s="46" cm="1">
        <f t="array" ref="JO67">ROUND(IFERROR(INDEX(ArchiveResults!$F$5:$IX$116,ComparisonData!A67,ComparisonData!$JO$1),0),5)</f>
        <v>0</v>
      </c>
      <c r="JP67" s="46" cm="1">
        <f t="array" ref="JP67">ROUND(IFERROR(INDEX(ArchiveResults!$F$5:$IX$116,ComparisonData!A67,ComparisonData!$JP$1),0),5)</f>
        <v>0</v>
      </c>
      <c r="JQ67" s="45" cm="1">
        <f t="array" ref="JQ67">IFERROR(INDEX(ArchiveResults!$F$5:$IX$116,ComparisonData!A67,ComparisonData!$JQ$1),0)</f>
        <v>0</v>
      </c>
      <c r="JR67" s="56">
        <v>62</v>
      </c>
      <c r="JS67" s="53" t="str">
        <f t="shared" si="572"/>
        <v>Northumberland Archives: QEII Country Park</v>
      </c>
      <c r="JT67" s="59">
        <f t="shared" si="249"/>
        <v>0</v>
      </c>
      <c r="JU67" s="59">
        <f t="shared" si="250"/>
        <v>0</v>
      </c>
      <c r="JV67" s="59">
        <f t="shared" si="251"/>
        <v>0</v>
      </c>
      <c r="JW67" s="59">
        <f t="shared" si="252"/>
        <v>0</v>
      </c>
      <c r="JX67" s="59">
        <f t="shared" si="253"/>
        <v>0</v>
      </c>
      <c r="JY67" s="58">
        <f t="shared" si="254"/>
        <v>0</v>
      </c>
      <c r="JZ67" s="45">
        <f t="shared" si="255"/>
        <v>58</v>
      </c>
      <c r="KA67" s="45">
        <f t="shared" si="573"/>
        <v>2.7239999999999998</v>
      </c>
      <c r="KB67" s="45">
        <f t="shared" si="256"/>
        <v>1</v>
      </c>
      <c r="KC67" s="45">
        <f t="shared" si="257"/>
        <v>2</v>
      </c>
      <c r="KD67" s="45">
        <f t="shared" si="258"/>
        <v>0</v>
      </c>
      <c r="KE67" s="46" cm="1">
        <f t="array" ref="KE67">ROUND(IFERROR(INDEX(ArchiveResults!$F$5:$IX$116,ComparisonData!A67,ComparisonData!$KE$1),0),5)</f>
        <v>0</v>
      </c>
      <c r="KF67" s="46" cm="1">
        <f t="array" ref="KF67">ROUND(IFERROR(INDEX(ArchiveResults!$F$5:$IX$116,ComparisonData!A67,ComparisonData!$KF$1),0),5)</f>
        <v>0</v>
      </c>
      <c r="KG67" s="46" cm="1">
        <f t="array" ref="KG67">ROUND(IFERROR(INDEX(ArchiveResults!$F$5:$IX$116,ComparisonData!A67,ComparisonData!$KG$1),0),5)</f>
        <v>0</v>
      </c>
      <c r="KH67" s="46" cm="1">
        <f t="array" ref="KH67">ROUND(IFERROR(INDEX(ArchiveResults!$F$5:$IX$116,ComparisonData!A67,ComparisonData!$KH$1),0),5)</f>
        <v>0</v>
      </c>
      <c r="KI67" s="45" cm="1">
        <f t="array" ref="KI67">IFERROR(INDEX(ArchiveResults!$F$5:$IX$116,ComparisonData!A67,ComparisonData!$KI$1),0)</f>
        <v>0</v>
      </c>
      <c r="KJ67" s="56">
        <v>62</v>
      </c>
      <c r="KK67" s="53" t="str">
        <f t="shared" si="574"/>
        <v>Northumberland Archives: QEII Country Park</v>
      </c>
      <c r="KL67" s="59">
        <f t="shared" si="259"/>
        <v>0</v>
      </c>
      <c r="KM67" s="59">
        <f t="shared" si="260"/>
        <v>0</v>
      </c>
      <c r="KN67" s="59">
        <f t="shared" si="261"/>
        <v>0</v>
      </c>
      <c r="KO67" s="59">
        <f t="shared" si="262"/>
        <v>0</v>
      </c>
      <c r="KP67" s="59">
        <f t="shared" si="263"/>
        <v>0</v>
      </c>
      <c r="KQ67" s="58">
        <f t="shared" si="264"/>
        <v>0</v>
      </c>
      <c r="KR67" s="45">
        <f t="shared" si="265"/>
        <v>58</v>
      </c>
      <c r="KS67" s="45">
        <f t="shared" si="575"/>
        <v>2.7239999999999998</v>
      </c>
      <c r="KT67" s="45">
        <f t="shared" si="266"/>
        <v>1</v>
      </c>
      <c r="KU67" s="45">
        <f t="shared" si="267"/>
        <v>2</v>
      </c>
      <c r="KV67" s="45">
        <f t="shared" si="268"/>
        <v>0</v>
      </c>
      <c r="KW67" s="46" cm="1">
        <f t="array" ref="KW67">ROUND(IFERROR(INDEX(ArchiveResults!$F$5:$IX$116,ComparisonData!A67,ComparisonData!$KW$1),0),5)</f>
        <v>0</v>
      </c>
      <c r="KX67" s="46" cm="1">
        <f t="array" ref="KX67">ROUND(IFERROR(INDEX(ArchiveResults!$F$5:$IX$116,ComparisonData!A67,ComparisonData!$KX$1),0),5)</f>
        <v>0</v>
      </c>
      <c r="KY67" s="46" cm="1">
        <f t="array" ref="KY67">ROUND(IFERROR(INDEX(ArchiveResults!$F$5:$IX$116,ComparisonData!A67,ComparisonData!$KY$1),0),5)</f>
        <v>0</v>
      </c>
      <c r="KZ67" s="46" cm="1">
        <f t="array" ref="KZ67">ROUND(IFERROR(INDEX(ArchiveResults!$F$5:$IX$116,ComparisonData!A67,ComparisonData!$KZ$1),0),5)</f>
        <v>0</v>
      </c>
      <c r="LA67" s="45" cm="1">
        <f t="array" ref="LA67">IFERROR(INDEX(ArchiveResults!$F$5:$IX$116,ComparisonData!A67,ComparisonData!$LA$1),0)</f>
        <v>0</v>
      </c>
      <c r="LB67" s="56">
        <v>62</v>
      </c>
      <c r="LC67" s="53" t="str">
        <f t="shared" si="576"/>
        <v>Northumberland Archives: QEII Country Park</v>
      </c>
      <c r="LD67" s="59">
        <f t="shared" si="269"/>
        <v>0</v>
      </c>
      <c r="LE67" s="59">
        <f t="shared" si="270"/>
        <v>0</v>
      </c>
      <c r="LF67" s="59">
        <f t="shared" si="271"/>
        <v>0</v>
      </c>
      <c r="LG67" s="59">
        <f t="shared" si="272"/>
        <v>0</v>
      </c>
      <c r="LH67" s="59">
        <f t="shared" si="273"/>
        <v>0</v>
      </c>
      <c r="LI67" s="58">
        <f t="shared" si="274"/>
        <v>0</v>
      </c>
      <c r="LJ67" s="45">
        <f t="shared" si="275"/>
        <v>58</v>
      </c>
      <c r="LK67" s="45">
        <f t="shared" si="577"/>
        <v>2.7239999999999998</v>
      </c>
      <c r="LL67" s="45">
        <f t="shared" si="276"/>
        <v>1</v>
      </c>
      <c r="LM67" s="45">
        <f t="shared" si="277"/>
        <v>2</v>
      </c>
      <c r="LN67" s="45">
        <f t="shared" si="278"/>
        <v>0</v>
      </c>
      <c r="LO67" s="46" cm="1">
        <f t="array" ref="LO67">ROUND(IFERROR(INDEX(ArchiveResults!$F$5:$IX$116,ComparisonData!A67,ComparisonData!$LO$1),0),5)</f>
        <v>0</v>
      </c>
      <c r="LP67" s="46" cm="1">
        <f t="array" ref="LP67">ROUND(IFERROR(INDEX(ArchiveResults!$F$5:$IX$116,ComparisonData!A67,ComparisonData!$LP$1),0),5)</f>
        <v>0</v>
      </c>
      <c r="LQ67" s="46" cm="1">
        <f t="array" ref="LQ67">ROUND(IFERROR(INDEX(ArchiveResults!$F$5:$IX$116,ComparisonData!A67,ComparisonData!$LQ$1),0),5)</f>
        <v>0</v>
      </c>
      <c r="LR67" s="46" cm="1">
        <f t="array" ref="LR67">ROUND(IFERROR(INDEX(ArchiveResults!$F$5:$IX$116,ComparisonData!A67,ComparisonData!$LR$1),0),5)</f>
        <v>0</v>
      </c>
      <c r="LS67" s="45" cm="1">
        <f t="array" ref="LS67">IFERROR(INDEX(ArchiveResults!$F$5:$IX$116,ComparisonData!A67,ComparisonData!$LS$1),0)</f>
        <v>0</v>
      </c>
      <c r="LT67" s="56">
        <v>62</v>
      </c>
      <c r="LU67" s="53" t="str">
        <f t="shared" si="578"/>
        <v>Northumberland Archives: QEII Country Park</v>
      </c>
      <c r="LV67" s="59">
        <f t="shared" si="279"/>
        <v>0</v>
      </c>
      <c r="LW67" s="59">
        <f t="shared" si="280"/>
        <v>0</v>
      </c>
      <c r="LX67" s="59">
        <f t="shared" si="281"/>
        <v>0</v>
      </c>
      <c r="LY67" s="59">
        <f t="shared" si="282"/>
        <v>0</v>
      </c>
      <c r="LZ67" s="59">
        <f t="shared" si="283"/>
        <v>0</v>
      </c>
      <c r="MA67" s="58">
        <f t="shared" si="284"/>
        <v>0</v>
      </c>
      <c r="MB67" s="45">
        <f t="shared" si="285"/>
        <v>58</v>
      </c>
      <c r="MC67" s="45">
        <f t="shared" si="579"/>
        <v>2.7239999999999998</v>
      </c>
      <c r="MD67" s="45">
        <f t="shared" si="286"/>
        <v>1</v>
      </c>
      <c r="ME67" s="45">
        <f t="shared" si="287"/>
        <v>2</v>
      </c>
      <c r="MF67" s="45">
        <f t="shared" si="288"/>
        <v>0</v>
      </c>
      <c r="MG67" s="46" cm="1">
        <f t="array" ref="MG67">ROUND(IFERROR(INDEX(ArchiveResults!$F$5:$IX$116,ComparisonData!A67,ComparisonData!$MG$1),0),5)</f>
        <v>0</v>
      </c>
      <c r="MH67" s="46" cm="1">
        <f t="array" ref="MH67">ROUND(IFERROR(INDEX(ArchiveResults!$F$5:$IX$116,ComparisonData!A67,ComparisonData!$MH$1),0),5)</f>
        <v>0</v>
      </c>
      <c r="MI67" s="46" cm="1">
        <f t="array" ref="MI67">ROUND(IFERROR(INDEX(ArchiveResults!$F$5:$IX$116,ComparisonData!A67,ComparisonData!$MI$1),0),5)</f>
        <v>0</v>
      </c>
      <c r="MJ67" s="46" cm="1">
        <f t="array" ref="MJ67">ROUND(IFERROR(INDEX(ArchiveResults!$F$5:$IX$116,ComparisonData!A67,ComparisonData!$MJ$1),0),5)</f>
        <v>0</v>
      </c>
      <c r="MK67" s="45" cm="1">
        <f t="array" ref="MK67">IFERROR(INDEX(ArchiveResults!$F$5:$IX$116,ComparisonData!A67,ComparisonData!$MK$1),0)</f>
        <v>0</v>
      </c>
      <c r="ML67" s="56">
        <v>62</v>
      </c>
      <c r="MM67" s="53" t="str">
        <f t="shared" si="580"/>
        <v>Northumberland Archives: QEII Country Park</v>
      </c>
      <c r="MN67" s="59">
        <f t="shared" si="289"/>
        <v>0</v>
      </c>
      <c r="MO67" s="59">
        <f t="shared" si="290"/>
        <v>0</v>
      </c>
      <c r="MP67" s="59">
        <f t="shared" si="291"/>
        <v>0</v>
      </c>
      <c r="MQ67" s="59">
        <f t="shared" si="292"/>
        <v>0</v>
      </c>
      <c r="MR67" s="59">
        <f t="shared" si="293"/>
        <v>0</v>
      </c>
      <c r="MS67" s="58">
        <f t="shared" si="294"/>
        <v>0</v>
      </c>
      <c r="MT67" s="45">
        <f t="shared" si="295"/>
        <v>58</v>
      </c>
      <c r="MU67" s="45">
        <f t="shared" si="581"/>
        <v>2.7239999999999998</v>
      </c>
      <c r="MV67" s="45">
        <f t="shared" si="296"/>
        <v>1</v>
      </c>
      <c r="MW67" s="45">
        <f t="shared" si="297"/>
        <v>2</v>
      </c>
      <c r="MX67" s="45">
        <f t="shared" si="298"/>
        <v>0</v>
      </c>
      <c r="MY67" s="46" cm="1">
        <f t="array" ref="MY67">ROUND(IFERROR(INDEX(ArchiveResults!$F$5:$IX$116,ComparisonData!A67,ComparisonData!$MY$1),0),5)</f>
        <v>0</v>
      </c>
      <c r="MZ67" s="46" cm="1">
        <f t="array" ref="MZ67">ROUND(IFERROR(INDEX(ArchiveResults!$F$5:$IX$116,ComparisonData!A67,ComparisonData!$MZ$1),0),5)</f>
        <v>0</v>
      </c>
      <c r="NA67" s="46" cm="1">
        <f t="array" ref="NA67">ROUND(IFERROR(INDEX(ArchiveResults!$F$5:$IX$116,ComparisonData!A67,ComparisonData!$NA$1),0),5)</f>
        <v>0</v>
      </c>
      <c r="NB67" s="46" cm="1">
        <f t="array" ref="NB67">ROUND(IFERROR(INDEX(ArchiveResults!$F$5:$IX$116,ComparisonData!A67,ComparisonData!$NB$1),0),5)</f>
        <v>0</v>
      </c>
      <c r="NC67" s="45" cm="1">
        <f t="array" ref="NC67">IFERROR(INDEX(ArchiveResults!$F$5:$IX$116,ComparisonData!A67,ComparisonData!$NC$1),0)</f>
        <v>0</v>
      </c>
      <c r="ND67" s="56">
        <v>62</v>
      </c>
      <c r="NE67" s="53" t="str">
        <f t="shared" si="582"/>
        <v>Northumberland Archives: QEII Country Park</v>
      </c>
      <c r="NF67" s="59">
        <f t="shared" si="299"/>
        <v>0</v>
      </c>
      <c r="NG67" s="59">
        <f t="shared" si="300"/>
        <v>0</v>
      </c>
      <c r="NH67" s="59">
        <f t="shared" si="301"/>
        <v>0</v>
      </c>
      <c r="NI67" s="59">
        <f t="shared" si="302"/>
        <v>0</v>
      </c>
      <c r="NJ67" s="59">
        <f t="shared" si="303"/>
        <v>0</v>
      </c>
      <c r="NK67" s="58">
        <f t="shared" si="304"/>
        <v>0</v>
      </c>
      <c r="NL67" s="45">
        <f t="shared" si="305"/>
        <v>58</v>
      </c>
      <c r="NM67" s="45">
        <f t="shared" si="583"/>
        <v>2.7239999999999998</v>
      </c>
      <c r="NN67" s="45">
        <f t="shared" si="306"/>
        <v>1</v>
      </c>
      <c r="NO67" s="45">
        <f t="shared" si="307"/>
        <v>2</v>
      </c>
      <c r="NP67" s="46" cm="1">
        <f t="array" ref="NP67">ROUND(IFERROR(INDEX(ArchiveResults!$F$5:$IX$116,ComparisonData!A67,ComparisonData!$NP$1),0),5)</f>
        <v>0</v>
      </c>
      <c r="NQ67" s="46" cm="1">
        <f t="array" ref="NQ67">ROUND(IFERROR(INDEX(ArchiveResults!$F$5:$IX$116,ComparisonData!A67,ComparisonData!$NQ$1),0),5)</f>
        <v>0</v>
      </c>
      <c r="NR67" s="46" cm="1">
        <f t="array" ref="NR67">ROUND(IFERROR(INDEX(ArchiveResults!$F$5:$IX$116,ComparisonData!A67,ComparisonData!$NR$1),0),5)</f>
        <v>0</v>
      </c>
      <c r="NS67" s="46" cm="1">
        <f t="array" ref="NS67">ROUND(IFERROR(INDEX(ArchiveResults!$F$5:$IX$116,ComparisonData!A67,ComparisonData!$NS$1),0),5)</f>
        <v>0</v>
      </c>
      <c r="NT67" s="45" cm="1">
        <f t="array" ref="NT67">IFERROR(INDEX(ArchiveResults!$F$5:$IX$116,ComparisonData!A67,ComparisonData!$NT$1),0)</f>
        <v>0</v>
      </c>
      <c r="NU67" s="56">
        <v>62</v>
      </c>
      <c r="NV67" s="53" t="str">
        <f t="shared" si="584"/>
        <v>Northumberland Archives: QEII Country Park</v>
      </c>
      <c r="NW67" s="59">
        <f t="shared" si="308"/>
        <v>0</v>
      </c>
      <c r="NX67" s="59">
        <f t="shared" si="309"/>
        <v>0</v>
      </c>
      <c r="NY67" s="59">
        <f t="shared" si="310"/>
        <v>0</v>
      </c>
      <c r="NZ67" s="59">
        <f t="shared" si="311"/>
        <v>0</v>
      </c>
      <c r="OA67" s="59">
        <f t="shared" si="312"/>
        <v>0</v>
      </c>
      <c r="OB67" s="58">
        <f t="shared" si="313"/>
        <v>0</v>
      </c>
      <c r="OC67" s="45">
        <f t="shared" si="314"/>
        <v>58</v>
      </c>
      <c r="OD67" s="45">
        <f t="shared" si="585"/>
        <v>2.7239999999999998</v>
      </c>
      <c r="OE67" s="45">
        <f t="shared" si="315"/>
        <v>1</v>
      </c>
      <c r="OF67" s="45">
        <f t="shared" si="316"/>
        <v>2</v>
      </c>
      <c r="OG67" s="46">
        <f t="shared" si="317"/>
        <v>0</v>
      </c>
      <c r="OH67" s="46" cm="1">
        <f t="array" ref="OH67">ROUND(IFERROR(INDEX(ArchiveResults!$F$5:$IX$116,ComparisonData!A67,ComparisonData!$OH$1),0),5)</f>
        <v>0</v>
      </c>
      <c r="OI67" s="46" cm="1">
        <f t="array" ref="OI67">ROUND(IFERROR(INDEX(ArchiveResults!$F$5:$IX$116,ComparisonData!A67,ComparisonData!$OI$1),0),5)</f>
        <v>0</v>
      </c>
      <c r="OJ67" s="46" cm="1">
        <f t="array" ref="OJ67">ROUND(IFERROR(INDEX(ArchiveResults!$F$5:$IX$116,ComparisonData!A67,ComparisonData!$OJ$1),0),5)</f>
        <v>0</v>
      </c>
      <c r="OK67" s="46" cm="1">
        <f t="array" ref="OK67">ROUND(IFERROR(INDEX(ArchiveResults!$F$5:$IX$116,ComparisonData!A67,ComparisonData!$OK$1),0),5)</f>
        <v>0</v>
      </c>
      <c r="OL67" s="45" cm="1">
        <f t="array" ref="OL67">IFERROR(INDEX(ArchiveResults!$F$5:$IX$116,ComparisonData!A67,ComparisonData!$OL$1),0)</f>
        <v>0</v>
      </c>
      <c r="OM67" s="56">
        <v>62</v>
      </c>
      <c r="ON67" s="53" t="str">
        <f t="shared" si="586"/>
        <v>Northumberland Archives: QEII Country Park</v>
      </c>
      <c r="OO67" s="59">
        <f t="shared" si="318"/>
        <v>0</v>
      </c>
      <c r="OP67" s="59">
        <f t="shared" si="319"/>
        <v>0</v>
      </c>
      <c r="OQ67" s="59">
        <f t="shared" si="320"/>
        <v>0</v>
      </c>
      <c r="OR67" s="59">
        <f t="shared" si="321"/>
        <v>0</v>
      </c>
      <c r="OS67" s="59">
        <f t="shared" si="322"/>
        <v>0</v>
      </c>
      <c r="OT67" s="58">
        <f t="shared" si="323"/>
        <v>0</v>
      </c>
      <c r="OU67" s="45">
        <f t="shared" si="324"/>
        <v>58</v>
      </c>
      <c r="OV67" s="45">
        <f t="shared" si="587"/>
        <v>2.7239999999999998</v>
      </c>
      <c r="OW67" s="45">
        <f t="shared" si="325"/>
        <v>1</v>
      </c>
      <c r="OX67" s="45">
        <f t="shared" si="326"/>
        <v>2</v>
      </c>
      <c r="OY67" s="45">
        <f t="shared" si="327"/>
        <v>0</v>
      </c>
      <c r="OZ67" s="46" cm="1">
        <f t="array" ref="OZ67">ROUND(IFERROR(INDEX(ArchiveResults!$F$5:$IX$116,ComparisonData!A67,ComparisonData!$OZ$1),0),5)</f>
        <v>0</v>
      </c>
      <c r="PA67" s="46" cm="1">
        <f t="array" ref="PA67">ROUND(IFERROR(INDEX(ArchiveResults!$F$5:$IX$116,ComparisonData!A67,ComparisonData!$PA$1),0),5)</f>
        <v>0</v>
      </c>
      <c r="PB67" s="46" cm="1">
        <f t="array" ref="PB67">ROUND(IFERROR(INDEX(ArchiveResults!$F$5:$IX$116,ComparisonData!A67,ComparisonData!$PB$1),0),5)</f>
        <v>0</v>
      </c>
      <c r="PC67" s="46" cm="1">
        <f t="array" ref="PC67">ROUND(IFERROR(INDEX(ArchiveResults!$F$5:$IX$116,ComparisonData!A67,ComparisonData!$PC$1),0),5)</f>
        <v>0</v>
      </c>
      <c r="PD67" s="45" cm="1">
        <f t="array" ref="PD67">IFERROR(INDEX(ArchiveResults!$F$5:$IX$116,ComparisonData!A67,ComparisonData!$PD$1),0)</f>
        <v>0</v>
      </c>
      <c r="PE67" s="56">
        <v>62</v>
      </c>
      <c r="PF67" s="53" t="str">
        <f t="shared" si="588"/>
        <v>Northumberland Archives: QEII Country Park</v>
      </c>
      <c r="PG67" s="59">
        <f t="shared" si="328"/>
        <v>0</v>
      </c>
      <c r="PH67" s="59">
        <f t="shared" si="329"/>
        <v>0</v>
      </c>
      <c r="PI67" s="59">
        <f t="shared" si="330"/>
        <v>0</v>
      </c>
      <c r="PJ67" s="59">
        <f t="shared" si="331"/>
        <v>0</v>
      </c>
      <c r="PK67" s="59">
        <f t="shared" si="332"/>
        <v>0</v>
      </c>
      <c r="PL67" s="58">
        <f t="shared" si="333"/>
        <v>0</v>
      </c>
      <c r="PM67" s="45">
        <f t="shared" si="334"/>
        <v>58</v>
      </c>
      <c r="PN67" s="45">
        <f t="shared" si="589"/>
        <v>2.7239999999999998</v>
      </c>
      <c r="PO67" s="45">
        <f t="shared" si="335"/>
        <v>1</v>
      </c>
      <c r="PP67" s="45">
        <f t="shared" si="336"/>
        <v>2</v>
      </c>
      <c r="PQ67" s="45">
        <f t="shared" si="337"/>
        <v>0</v>
      </c>
      <c r="PR67" s="46" cm="1">
        <f t="array" ref="PR67">ROUND(IFERROR(INDEX(ArchiveResults!$F$5:$IX$116,ComparisonData!A67,ComparisonData!$PR$1),0),5)</f>
        <v>0</v>
      </c>
      <c r="PS67" s="46" cm="1">
        <f t="array" ref="PS67">ROUND(IFERROR(INDEX(ArchiveResults!$F$5:$IX$116,ComparisonData!A67,ComparisonData!$PS$1),0),5)</f>
        <v>0</v>
      </c>
      <c r="PT67" s="46" cm="1">
        <f t="array" ref="PT67">ROUND(IFERROR(INDEX(ArchiveResults!$F$5:$IX$116,ComparisonData!A67,ComparisonData!$PT$1),0),5)</f>
        <v>0</v>
      </c>
      <c r="PU67" s="46" cm="1">
        <f t="array" ref="PU67">ROUND(IFERROR(INDEX(ArchiveResults!$F$5:$IX$116,ComparisonData!A67,ComparisonData!$PU$1),0),5)</f>
        <v>0</v>
      </c>
      <c r="PV67" s="45" cm="1">
        <f t="array" ref="PV67">IFERROR(INDEX(ArchiveResults!$F$5:$IX$116,ComparisonData!A67,ComparisonData!$PV$1),0)</f>
        <v>0</v>
      </c>
      <c r="PW67" s="56">
        <v>62</v>
      </c>
      <c r="PX67" s="53" t="str">
        <f t="shared" si="590"/>
        <v>Northumberland Archives: QEII Country Park</v>
      </c>
      <c r="PY67" s="59">
        <f t="shared" si="338"/>
        <v>0</v>
      </c>
      <c r="PZ67" s="59">
        <f t="shared" si="339"/>
        <v>0</v>
      </c>
      <c r="QA67" s="59">
        <f t="shared" si="340"/>
        <v>0</v>
      </c>
      <c r="QB67" s="59">
        <f t="shared" si="341"/>
        <v>0</v>
      </c>
      <c r="QC67" s="59">
        <f t="shared" si="342"/>
        <v>0</v>
      </c>
      <c r="QD67" s="58">
        <f t="shared" si="343"/>
        <v>0</v>
      </c>
      <c r="QE67" s="45">
        <f t="shared" si="344"/>
        <v>58</v>
      </c>
      <c r="QF67" s="45">
        <f t="shared" si="591"/>
        <v>2.7239999999999998</v>
      </c>
      <c r="QG67" s="45">
        <f t="shared" si="345"/>
        <v>1</v>
      </c>
      <c r="QH67" s="45">
        <f t="shared" si="346"/>
        <v>2</v>
      </c>
      <c r="QI67" s="45">
        <f t="shared" si="347"/>
        <v>0</v>
      </c>
      <c r="QJ67" s="46" cm="1">
        <f t="array" ref="QJ67">ROUND(IFERROR(INDEX(ArchiveResults!$F$5:$IX$116,ComparisonData!A67,ComparisonData!$QJ$1),0),5)</f>
        <v>0</v>
      </c>
      <c r="QK67" s="46" cm="1">
        <f t="array" ref="QK67">ROUND(IFERROR(INDEX(ArchiveResults!$F$5:$IX$116,ComparisonData!A67,ComparisonData!$QK$1),0),5)</f>
        <v>0</v>
      </c>
      <c r="QL67" s="46" cm="1">
        <f t="array" ref="QL67">ROUND(IFERROR(INDEX(ArchiveResults!$F$5:$IX$116,ComparisonData!A67,ComparisonData!$QL$1),0),5)</f>
        <v>0</v>
      </c>
      <c r="QM67" s="46" cm="1">
        <f t="array" ref="QM67">ROUND(IFERROR(INDEX(ArchiveResults!$F$5:$IX$116,ComparisonData!A67,ComparisonData!$QM$1),0),5)</f>
        <v>0</v>
      </c>
      <c r="QN67" s="45" cm="1">
        <f t="array" ref="QN67">IFERROR(INDEX(ArchiveResults!$F$5:$IX$116,ComparisonData!A67,ComparisonData!$QN$1),0)</f>
        <v>0</v>
      </c>
      <c r="QO67" s="56">
        <v>62</v>
      </c>
      <c r="QP67" s="53" t="str">
        <f t="shared" si="592"/>
        <v>Northumberland Archives: QEII Country Park</v>
      </c>
      <c r="QQ67" s="59">
        <f t="shared" si="348"/>
        <v>0</v>
      </c>
      <c r="QR67" s="59">
        <f t="shared" si="349"/>
        <v>0</v>
      </c>
      <c r="QS67" s="59">
        <f t="shared" si="350"/>
        <v>0</v>
      </c>
      <c r="QT67" s="59">
        <f t="shared" si="351"/>
        <v>0</v>
      </c>
      <c r="QU67" s="59">
        <f t="shared" si="352"/>
        <v>0</v>
      </c>
      <c r="QV67" s="58">
        <f t="shared" si="353"/>
        <v>0</v>
      </c>
      <c r="QW67" s="45">
        <f t="shared" si="354"/>
        <v>58</v>
      </c>
      <c r="QX67" s="45">
        <f t="shared" si="593"/>
        <v>2.7239999999999998</v>
      </c>
      <c r="QY67" s="45">
        <f t="shared" si="355"/>
        <v>1</v>
      </c>
      <c r="QZ67" s="45">
        <f t="shared" si="356"/>
        <v>2</v>
      </c>
      <c r="RA67" s="45">
        <f t="shared" si="357"/>
        <v>0</v>
      </c>
      <c r="RB67" s="46" cm="1">
        <f t="array" ref="RB67">ROUND(IFERROR(INDEX(ArchiveResults!$F$5:$IX$116,ComparisonData!A67,ComparisonData!$RB$1),0),5)</f>
        <v>0</v>
      </c>
      <c r="RC67" s="46" cm="1">
        <f t="array" ref="RC67">ROUND(IFERROR(INDEX(ArchiveResults!$F$5:$IX$116,ComparisonData!A67,ComparisonData!$RC$1),0),5)</f>
        <v>0</v>
      </c>
      <c r="RD67" s="46" cm="1">
        <f t="array" ref="RD67">ROUND(IFERROR(INDEX(ArchiveResults!$F$5:$IX$116,ComparisonData!A67,ComparisonData!$RD$1),0),5)</f>
        <v>0</v>
      </c>
      <c r="RE67" s="46" cm="1">
        <f t="array" ref="RE67">ROUND(IFERROR(INDEX(ArchiveResults!$F$5:$IX$116,ComparisonData!A67,ComparisonData!$RE$1),0),5)</f>
        <v>0</v>
      </c>
      <c r="RF67" s="45" cm="1">
        <f t="array" ref="RF67">IFERROR(INDEX(ArchiveResults!$F$5:$IX$116,ComparisonData!A67,ComparisonData!$RF$1),0)</f>
        <v>0</v>
      </c>
      <c r="RG67" s="56">
        <v>62</v>
      </c>
      <c r="RH67" s="53" t="str">
        <f t="shared" si="594"/>
        <v>Northumberland Archives: QEII Country Park</v>
      </c>
      <c r="RI67" s="59">
        <f t="shared" si="358"/>
        <v>0</v>
      </c>
      <c r="RJ67" s="59">
        <f t="shared" si="359"/>
        <v>0</v>
      </c>
      <c r="RK67" s="59">
        <f t="shared" si="360"/>
        <v>0</v>
      </c>
      <c r="RL67" s="59">
        <f t="shared" si="361"/>
        <v>0</v>
      </c>
      <c r="RM67" s="59">
        <f t="shared" si="362"/>
        <v>0</v>
      </c>
      <c r="RN67" s="58">
        <f t="shared" si="363"/>
        <v>0</v>
      </c>
      <c r="RO67" s="45">
        <f t="shared" si="364"/>
        <v>58</v>
      </c>
      <c r="RP67" s="45">
        <f t="shared" si="595"/>
        <v>2.7239999999999998</v>
      </c>
      <c r="RQ67" s="45">
        <f t="shared" si="365"/>
        <v>1</v>
      </c>
      <c r="RR67" s="45">
        <f t="shared" si="366"/>
        <v>2</v>
      </c>
      <c r="RS67" s="45">
        <f t="shared" si="367"/>
        <v>0</v>
      </c>
      <c r="RT67" s="46" cm="1">
        <f t="array" ref="RT67">ROUND(IFERROR(INDEX(ArchiveResults!$F$5:$IX$116,ComparisonData!A67,ComparisonData!$RT$1),0),5)</f>
        <v>0</v>
      </c>
      <c r="RU67" s="46" cm="1">
        <f t="array" ref="RU67">ROUND(IFERROR(INDEX(ArchiveResults!$F$5:$IX$116,ComparisonData!A67,ComparisonData!$RU$1),0),5)</f>
        <v>0</v>
      </c>
      <c r="RV67" s="46" cm="1">
        <f t="array" ref="RV67">ROUND(IFERROR(INDEX(ArchiveResults!$F$5:$IX$116,ComparisonData!A67,ComparisonData!$RV$1),0),5)</f>
        <v>0</v>
      </c>
      <c r="RW67" s="46" cm="1">
        <f t="array" ref="RW67">ROUND(IFERROR(INDEX(ArchiveResults!$F$5:$IX$116,ComparisonData!A67,ComparisonData!$RW$1),0),5)</f>
        <v>0</v>
      </c>
      <c r="RX67" s="45" cm="1">
        <f t="array" ref="RX67">IFERROR(INDEX(ArchiveResults!$F$5:$IX$116,ComparisonData!A67,ComparisonData!$RX$1),0)</f>
        <v>0</v>
      </c>
      <c r="RY67" s="56">
        <v>62</v>
      </c>
      <c r="RZ67" s="53" t="str">
        <f t="shared" si="596"/>
        <v>Northumberland Archives: QEII Country Park</v>
      </c>
      <c r="SA67" s="59">
        <f t="shared" si="368"/>
        <v>0</v>
      </c>
      <c r="SB67" s="59">
        <f t="shared" si="369"/>
        <v>0</v>
      </c>
      <c r="SC67" s="59">
        <f t="shared" si="370"/>
        <v>0</v>
      </c>
      <c r="SD67" s="59">
        <f t="shared" si="371"/>
        <v>0</v>
      </c>
      <c r="SE67" s="59">
        <f t="shared" si="372"/>
        <v>0</v>
      </c>
      <c r="SF67" s="58">
        <f t="shared" si="373"/>
        <v>0</v>
      </c>
      <c r="SG67" s="45">
        <f t="shared" si="374"/>
        <v>58</v>
      </c>
      <c r="SH67" s="45">
        <f t="shared" si="597"/>
        <v>2.7239999999999998</v>
      </c>
      <c r="SI67" s="45">
        <f t="shared" si="375"/>
        <v>1</v>
      </c>
      <c r="SJ67" s="45">
        <f t="shared" si="376"/>
        <v>2</v>
      </c>
      <c r="SK67" s="45">
        <f t="shared" si="377"/>
        <v>0</v>
      </c>
      <c r="SL67" s="46" cm="1">
        <f t="array" ref="SL67">ROUND(IFERROR(INDEX(ArchiveResults!$F$5:$IX$116,ComparisonData!A67,ComparisonData!$SL$1),0),5)</f>
        <v>0</v>
      </c>
      <c r="SM67" s="46" cm="1">
        <f t="array" ref="SM67">ROUND(IFERROR(INDEX(ArchiveResults!$F$5:$IX$116,ComparisonData!A67,ComparisonData!$SM$1),0),5)</f>
        <v>0</v>
      </c>
      <c r="SN67" s="46" cm="1">
        <f t="array" ref="SN67">ROUND(IFERROR(INDEX(ArchiveResults!$F$5:$IX$116,ComparisonData!A67,ComparisonData!$SN$1),0),5)</f>
        <v>0</v>
      </c>
      <c r="SO67" s="46" cm="1">
        <f t="array" ref="SO67">ROUND(IFERROR(INDEX(ArchiveResults!$F$5:$IX$116,ComparisonData!A67,ComparisonData!$SO$1),0),5)</f>
        <v>0</v>
      </c>
      <c r="SP67" s="45" cm="1">
        <f t="array" ref="SP67">IFERROR(INDEX(ArchiveResults!$F$5:$IX$116,ComparisonData!A67,ComparisonData!$SP$1),0)</f>
        <v>0</v>
      </c>
      <c r="SQ67" s="56">
        <v>62</v>
      </c>
      <c r="SR67" s="53" t="str">
        <f t="shared" si="598"/>
        <v>Northumberland Archives: QEII Country Park</v>
      </c>
      <c r="SS67" s="59">
        <f t="shared" si="378"/>
        <v>0</v>
      </c>
      <c r="ST67" s="59">
        <f t="shared" si="379"/>
        <v>0</v>
      </c>
      <c r="SU67" s="59">
        <f t="shared" si="380"/>
        <v>0</v>
      </c>
      <c r="SV67" s="59">
        <f t="shared" si="381"/>
        <v>0</v>
      </c>
      <c r="SW67" s="59">
        <f t="shared" si="382"/>
        <v>0</v>
      </c>
      <c r="SX67" s="58">
        <f t="shared" si="383"/>
        <v>0</v>
      </c>
      <c r="SY67" s="45">
        <f t="shared" si="384"/>
        <v>58</v>
      </c>
      <c r="SZ67" s="45">
        <f t="shared" si="599"/>
        <v>2.7239999999999998</v>
      </c>
      <c r="TA67" s="45">
        <f t="shared" si="385"/>
        <v>1</v>
      </c>
      <c r="TB67" s="45">
        <f t="shared" si="386"/>
        <v>2</v>
      </c>
      <c r="TC67" s="45">
        <f t="shared" si="387"/>
        <v>0</v>
      </c>
      <c r="TD67" s="46" cm="1">
        <f t="array" ref="TD67">ROUND(IFERROR(INDEX(ArchiveResults!$F$5:$IX$116,ComparisonData!A67,ComparisonData!$TD$1),0),5)</f>
        <v>0</v>
      </c>
      <c r="TE67" s="46" cm="1">
        <f t="array" ref="TE67">ROUND(IFERROR(INDEX(ArchiveResults!$F$5:$IX$116,ComparisonData!A67,ComparisonData!$TE$1),0),5)</f>
        <v>0</v>
      </c>
      <c r="TF67" s="46" cm="1">
        <f t="array" ref="TF67">ROUND(IFERROR(INDEX(ArchiveResults!$F$5:$IX$116,ComparisonData!A67,ComparisonData!$TF$1),0),5)</f>
        <v>0</v>
      </c>
      <c r="TG67" s="46" cm="1">
        <f t="array" ref="TG67">ROUND(IFERROR(INDEX(ArchiveResults!$F$5:$IX$116,ComparisonData!A67,ComparisonData!$TG$1),0),5)</f>
        <v>0</v>
      </c>
      <c r="TH67" s="45" cm="1">
        <f t="array" ref="TH67">IFERROR(INDEX(ArchiveResults!$F$5:$IX$116,ComparisonData!A67,ComparisonData!$TH$1),0)</f>
        <v>0</v>
      </c>
      <c r="TI67" s="56">
        <v>62</v>
      </c>
      <c r="TJ67" s="53" t="str">
        <f t="shared" si="600"/>
        <v>Northumberland Archives: QEII Country Park</v>
      </c>
      <c r="TK67" s="59">
        <f t="shared" si="388"/>
        <v>0</v>
      </c>
      <c r="TL67" s="59">
        <f t="shared" si="389"/>
        <v>0</v>
      </c>
      <c r="TM67" s="59">
        <f t="shared" si="390"/>
        <v>0</v>
      </c>
      <c r="TN67" s="59">
        <f t="shared" si="391"/>
        <v>0</v>
      </c>
      <c r="TO67" s="59">
        <f t="shared" si="392"/>
        <v>0</v>
      </c>
      <c r="TP67" s="58">
        <f t="shared" si="393"/>
        <v>0</v>
      </c>
      <c r="TQ67" s="45">
        <f t="shared" si="394"/>
        <v>58</v>
      </c>
      <c r="TR67" s="45">
        <f t="shared" si="601"/>
        <v>2.7239999999999998</v>
      </c>
      <c r="TS67" s="45">
        <f t="shared" si="395"/>
        <v>1</v>
      </c>
      <c r="TT67" s="45">
        <f t="shared" si="396"/>
        <v>2</v>
      </c>
      <c r="TU67" s="45">
        <f t="shared" si="397"/>
        <v>0</v>
      </c>
      <c r="TV67" s="46" cm="1">
        <f t="array" ref="TV67">ROUND(IFERROR(INDEX(ArchiveResults!$F$5:$IX$116,ComparisonData!A67,ComparisonData!$TV$1),0),5)</f>
        <v>0</v>
      </c>
      <c r="TW67" s="46" cm="1">
        <f t="array" ref="TW67">ROUND(IFERROR(INDEX(ArchiveResults!$F$5:$IX$116,ComparisonData!A67,ComparisonData!$TW$1),0),5)</f>
        <v>0</v>
      </c>
      <c r="TX67" s="46" cm="1">
        <f t="array" ref="TX67">ROUND(IFERROR(INDEX(ArchiveResults!$F$5:$IX$116,ComparisonData!A67,ComparisonData!$TX$1),0),5)</f>
        <v>0</v>
      </c>
      <c r="TY67" s="46" cm="1">
        <f t="array" ref="TY67">ROUND(IFERROR(INDEX(ArchiveResults!$F$5:$IX$116,ComparisonData!A67,ComparisonData!$TY$1),0),5)</f>
        <v>0</v>
      </c>
      <c r="TZ67" s="45" cm="1">
        <f t="array" ref="TZ67">IFERROR(INDEX(ArchiveResults!$F$5:$IX$116,ComparisonData!A67,ComparisonData!$TZ$1),0)</f>
        <v>0</v>
      </c>
      <c r="UA67" s="56">
        <v>62</v>
      </c>
      <c r="UB67" s="53" t="str">
        <f t="shared" si="602"/>
        <v>Northumberland Archives: QEII Country Park</v>
      </c>
      <c r="UC67" s="60">
        <f t="shared" si="398"/>
        <v>0</v>
      </c>
      <c r="UD67" s="60">
        <f t="shared" si="399"/>
        <v>0</v>
      </c>
      <c r="UE67" s="60">
        <f t="shared" si="400"/>
        <v>0</v>
      </c>
      <c r="UF67" s="60">
        <f t="shared" si="401"/>
        <v>0</v>
      </c>
      <c r="UG67" s="60">
        <f t="shared" si="402"/>
        <v>0</v>
      </c>
      <c r="UH67" s="58">
        <f t="shared" si="403"/>
        <v>0</v>
      </c>
      <c r="UI67" s="46">
        <f t="shared" si="404"/>
        <v>58</v>
      </c>
      <c r="UJ67" s="46">
        <f t="shared" si="603"/>
        <v>2.7239999999999998</v>
      </c>
      <c r="UK67" s="46">
        <f t="shared" si="405"/>
        <v>1</v>
      </c>
      <c r="UL67" s="46">
        <f t="shared" si="406"/>
        <v>2</v>
      </c>
      <c r="UM67" s="46" cm="1">
        <f t="array" ref="UM67">ROUND(IFERROR(INDEX(ArchiveResults!$F$5:$IX$116,ComparisonData!A67,ComparisonData!$UM$1),0),5)</f>
        <v>0</v>
      </c>
      <c r="UN67" s="56">
        <v>62</v>
      </c>
      <c r="UO67" s="53" t="str">
        <f t="shared" si="604"/>
        <v>Northumberland Archives: QEII Country Park</v>
      </c>
      <c r="UP67" s="46">
        <f t="shared" si="407"/>
        <v>0</v>
      </c>
      <c r="UQ67" s="76">
        <f t="shared" si="408"/>
        <v>0</v>
      </c>
      <c r="UR67" s="46">
        <f t="shared" si="409"/>
        <v>58</v>
      </c>
      <c r="US67" s="46">
        <f t="shared" si="605"/>
        <v>2.7239999999999998</v>
      </c>
      <c r="UT67" s="46">
        <f t="shared" si="410"/>
        <v>1</v>
      </c>
      <c r="UU67" s="46">
        <f t="shared" si="411"/>
        <v>2</v>
      </c>
      <c r="UV67" s="46">
        <f t="shared" si="412"/>
        <v>0</v>
      </c>
      <c r="UW67" s="46" cm="1">
        <f t="array" ref="UW67">ROUND(IFERROR(INDEX(ArchiveResults!$F$5:$IX$116,ComparisonData!A67,ComparisonData!$UW$1),0),5)</f>
        <v>0</v>
      </c>
      <c r="UX67" s="46" cm="1">
        <f t="array" ref="UX67">ROUND(IFERROR(INDEX(ArchiveResults!$F$5:$IX$116,ComparisonData!A67,ComparisonData!$UX$1),0),5)</f>
        <v>0</v>
      </c>
      <c r="UY67" s="46" cm="1">
        <f t="array" ref="UY67">ROUND(IFERROR(INDEX(ArchiveResults!$F$5:$IX$116,ComparisonData!A67,ComparisonData!$UY$1),0),5)</f>
        <v>0</v>
      </c>
      <c r="UZ67" s="46" cm="1">
        <f t="array" ref="UZ67">ROUND(IFERROR(INDEX(ArchiveResults!$F$5:$IX$116,ComparisonData!A67,ComparisonData!$UZ$1),0),5)</f>
        <v>0</v>
      </c>
      <c r="VA67" s="46" cm="1">
        <f t="array" ref="VA67">ROUND(IFERROR(INDEX(ArchiveResults!$F$5:$IX$116,ComparisonData!A67,ComparisonData!$VA$1),0),5)</f>
        <v>0</v>
      </c>
      <c r="VB67" s="56">
        <v>62</v>
      </c>
      <c r="VC67" s="53" t="str">
        <f t="shared" si="606"/>
        <v>Northumberland Archives: QEII Country Park</v>
      </c>
      <c r="VD67" s="60">
        <f t="shared" si="413"/>
        <v>0</v>
      </c>
      <c r="VE67" s="60">
        <f t="shared" si="414"/>
        <v>0</v>
      </c>
      <c r="VF67" s="60">
        <f t="shared" si="415"/>
        <v>0</v>
      </c>
      <c r="VG67" s="60">
        <f t="shared" si="416"/>
        <v>0</v>
      </c>
      <c r="VH67" s="60">
        <f t="shared" si="417"/>
        <v>0</v>
      </c>
      <c r="VI67" s="76">
        <f t="shared" si="418"/>
        <v>0</v>
      </c>
      <c r="VJ67" s="46">
        <f t="shared" si="419"/>
        <v>58</v>
      </c>
      <c r="VK67" s="46">
        <f t="shared" si="607"/>
        <v>2.7239999999999998</v>
      </c>
      <c r="VL67" s="46">
        <f t="shared" si="420"/>
        <v>1</v>
      </c>
      <c r="VM67" s="46">
        <f t="shared" si="421"/>
        <v>2</v>
      </c>
      <c r="VN67" s="46" cm="1">
        <f t="array" ref="VN67">ROUND(IFERROR(INDEX(ArchiveResults!$F$5:$IX$116,ComparisonData!A67,ComparisonData!$VN$1),0),5)</f>
        <v>0</v>
      </c>
      <c r="VO67" s="46" cm="1">
        <f t="array" ref="VO67">ROUND(IFERROR(INDEX(ArchiveResults!$F$5:$IX$116,ComparisonData!A67,ComparisonData!$VO$1),0),5)</f>
        <v>0</v>
      </c>
      <c r="VP67" s="46" cm="1">
        <f t="array" ref="VP67">ROUND(IFERROR(INDEX(ArchiveResults!$F$5:$IX$116,ComparisonData!A67,ComparisonData!$VP$1),0),5)</f>
        <v>0</v>
      </c>
      <c r="VQ67" s="46" cm="1">
        <f t="array" ref="VQ67">ROUND(IFERROR(INDEX(ArchiveResults!$F$5:$IX$116,ComparisonData!A67,ComparisonData!$VQ$1),0),5)</f>
        <v>0</v>
      </c>
      <c r="VR67" s="56">
        <v>62</v>
      </c>
      <c r="VS67" s="53" t="str">
        <f t="shared" si="608"/>
        <v>Northumberland Archives: QEII Country Park</v>
      </c>
      <c r="VT67" s="60">
        <f t="shared" si="422"/>
        <v>0</v>
      </c>
      <c r="VU67" s="60">
        <f t="shared" si="423"/>
        <v>0</v>
      </c>
      <c r="VV67" s="60">
        <f t="shared" si="424"/>
        <v>0</v>
      </c>
      <c r="VW67" s="60">
        <f t="shared" si="425"/>
        <v>0</v>
      </c>
      <c r="VX67" s="76">
        <f t="shared" si="426"/>
        <v>0</v>
      </c>
      <c r="VY67" s="46">
        <f t="shared" si="427"/>
        <v>58</v>
      </c>
      <c r="VZ67" s="46">
        <f t="shared" si="609"/>
        <v>2.7239999999999998</v>
      </c>
      <c r="WA67" s="46">
        <f t="shared" si="428"/>
        <v>1</v>
      </c>
      <c r="WB67" s="46">
        <f t="shared" si="429"/>
        <v>2</v>
      </c>
      <c r="WC67" s="46" cm="1">
        <f t="array" ref="WC67">ROUND(IFERROR(INDEX(ArchiveResults!$F$5:$IX$116,ComparisonData!A67,ComparisonData!$WC$1),0),5)</f>
        <v>0</v>
      </c>
      <c r="WD67" s="56">
        <v>62</v>
      </c>
      <c r="WE67" s="53" t="str">
        <f t="shared" si="610"/>
        <v>Northumberland Archives: QEII Country Park</v>
      </c>
      <c r="WF67" s="46">
        <f t="shared" si="430"/>
        <v>0</v>
      </c>
      <c r="WG67" s="76">
        <f t="shared" si="431"/>
        <v>0</v>
      </c>
      <c r="WH67" s="46">
        <f t="shared" si="432"/>
        <v>58</v>
      </c>
      <c r="WI67" s="46">
        <f t="shared" si="611"/>
        <v>2.7239999999999998</v>
      </c>
      <c r="WJ67" s="46">
        <f t="shared" si="433"/>
        <v>1</v>
      </c>
      <c r="WK67" s="46">
        <f t="shared" si="434"/>
        <v>2</v>
      </c>
      <c r="WL67" s="46" cm="1">
        <f t="array" ref="WL67">ROUND(IFERROR(INDEX(ArchiveResults!$F$5:$IX$116,ComparisonData!A67,ComparisonData!$WL$1),0),5)</f>
        <v>0</v>
      </c>
      <c r="WM67" s="46" cm="1">
        <f t="array" ref="WM67">IFERROR(INDEX(ArchiveResults!$F$5:$IX$116,ComparisonData!A67,ComparisonData!$WM$1),0)</f>
        <v>0</v>
      </c>
      <c r="WN67" s="56">
        <v>62</v>
      </c>
      <c r="WO67" s="53" t="str">
        <f t="shared" si="612"/>
        <v>Northumberland Archives: QEII Country Park</v>
      </c>
      <c r="WP67" s="60">
        <f t="shared" si="435"/>
        <v>0</v>
      </c>
      <c r="WQ67" s="60">
        <f t="shared" si="436"/>
        <v>0</v>
      </c>
      <c r="WR67" s="76">
        <f t="shared" si="437"/>
        <v>0</v>
      </c>
      <c r="WS67" s="46">
        <f t="shared" si="438"/>
        <v>58</v>
      </c>
      <c r="WT67" s="46">
        <f t="shared" si="613"/>
        <v>2.7239999999999998</v>
      </c>
      <c r="WU67" s="46">
        <f t="shared" si="439"/>
        <v>1</v>
      </c>
      <c r="WV67" s="46">
        <f t="shared" si="440"/>
        <v>2</v>
      </c>
      <c r="WW67" s="46" cm="1">
        <f t="array" ref="WW67">ROUND(VALUE(IFERROR(INDEX(ArchiveResults!$F$5:$IX$116,ComparisonData!A67,ComparisonData!$WW$1),0)),5)</f>
        <v>0</v>
      </c>
      <c r="WX67" s="46" cm="1">
        <f t="array" ref="WX67">ROUND(IFERROR(INDEX(ArchiveResults!$F$5:$IX$116,ComparisonData!A67,ComparisonData!$WX$1),0),5)</f>
        <v>0</v>
      </c>
      <c r="WY67" s="56">
        <v>62</v>
      </c>
      <c r="WZ67" s="53" t="str">
        <f t="shared" si="614"/>
        <v>Northumberland Archives: QEII Country Park</v>
      </c>
      <c r="XA67" s="60">
        <f t="shared" si="615"/>
        <v>0</v>
      </c>
      <c r="XB67" s="60">
        <f t="shared" si="616"/>
        <v>0</v>
      </c>
      <c r="XC67" s="76">
        <f t="shared" si="441"/>
        <v>0</v>
      </c>
      <c r="XD67" s="46">
        <f t="shared" si="442"/>
        <v>58</v>
      </c>
      <c r="XE67" s="46">
        <f t="shared" si="617"/>
        <v>2.7239999999999998</v>
      </c>
      <c r="XF67" s="46">
        <f t="shared" si="443"/>
        <v>1</v>
      </c>
      <c r="XG67" s="46">
        <f t="shared" si="444"/>
        <v>2</v>
      </c>
      <c r="XH67" s="46" cm="1">
        <f t="array" ref="XH67">ROUND(VALUE(IFERROR(INDEX(ArchiveResults!$F$5:$IX$116,ComparisonData!A67,ComparisonData!$XH$1),0)),5)</f>
        <v>0</v>
      </c>
      <c r="XI67" s="46" cm="1">
        <f t="array" ref="XI67">ROUND(VALUE(IFERROR(INDEX(ArchiveResults!$F$5:$IX$116,ComparisonData!A67,ComparisonData!$XI$1),0)),5)</f>
        <v>0</v>
      </c>
      <c r="XJ67" s="56">
        <v>62</v>
      </c>
      <c r="XK67" s="53" t="str">
        <f t="shared" si="618"/>
        <v>Northumberland Archives: QEII Country Park</v>
      </c>
      <c r="XL67" s="60">
        <f t="shared" si="445"/>
        <v>0</v>
      </c>
      <c r="XM67" s="60">
        <f t="shared" si="446"/>
        <v>0</v>
      </c>
      <c r="XN67" s="76">
        <f t="shared" si="447"/>
        <v>0</v>
      </c>
      <c r="XO67" s="46">
        <f t="shared" si="448"/>
        <v>58</v>
      </c>
      <c r="XP67" s="46">
        <f t="shared" si="619"/>
        <v>2.7239999999999998</v>
      </c>
      <c r="XQ67" s="46">
        <f t="shared" si="449"/>
        <v>1</v>
      </c>
      <c r="XR67" s="46">
        <f t="shared" si="450"/>
        <v>2</v>
      </c>
      <c r="XS67" s="46" cm="1">
        <f t="array" ref="XS67">ROUND(VALUE(IFERROR(INDEX(ArchiveResults!$F$5:$IX$116,ComparisonData!A67,ComparisonData!$XS$1),0)),5)</f>
        <v>0</v>
      </c>
      <c r="XT67" s="46" cm="1">
        <f t="array" ref="XT67">ROUND(VALUE(IFERROR(INDEX(ArchiveResults!$F$5:$IX$116,ComparisonData!A67,ComparisonData!$XT$1),0)),5)</f>
        <v>0</v>
      </c>
      <c r="XU67" s="56">
        <v>62</v>
      </c>
      <c r="XV67" s="53" t="str">
        <f t="shared" si="620"/>
        <v>Northumberland Archives: QEII Country Park</v>
      </c>
      <c r="XW67" s="60">
        <f t="shared" si="451"/>
        <v>0</v>
      </c>
      <c r="XX67" s="60">
        <f t="shared" si="452"/>
        <v>0</v>
      </c>
      <c r="XY67" s="76">
        <f t="shared" si="453"/>
        <v>0</v>
      </c>
      <c r="XZ67" s="46">
        <f t="shared" si="454"/>
        <v>58</v>
      </c>
      <c r="YA67" s="46">
        <f t="shared" si="621"/>
        <v>2.7239999999999998</v>
      </c>
      <c r="YB67" s="46">
        <f t="shared" si="455"/>
        <v>1</v>
      </c>
      <c r="YC67" s="46">
        <f t="shared" si="456"/>
        <v>2</v>
      </c>
      <c r="YD67" s="46" cm="1">
        <f t="array" ref="YD67">ROUND(VALUE(IFERROR(INDEX(ArchiveResults!$F$5:$IX$116,ComparisonData!A67,ComparisonData!$YD$1),0)),5)</f>
        <v>0</v>
      </c>
      <c r="YE67" s="46" cm="1">
        <f t="array" ref="YE67">ROUND(VALUE(IFERROR(INDEX(ArchiveResults!$F$5:$IX$116,ComparisonData!A67,ComparisonData!$YE$1),0)),5)</f>
        <v>0</v>
      </c>
      <c r="YF67" s="56">
        <v>62</v>
      </c>
      <c r="YG67" s="53" t="str">
        <f t="shared" si="622"/>
        <v>Northumberland Archives: QEII Country Park</v>
      </c>
      <c r="YH67" s="60">
        <f t="shared" si="457"/>
        <v>0</v>
      </c>
      <c r="YI67" s="60">
        <f t="shared" si="458"/>
        <v>0</v>
      </c>
      <c r="YJ67" s="76">
        <f t="shared" si="459"/>
        <v>0</v>
      </c>
      <c r="YK67" s="46">
        <f t="shared" si="460"/>
        <v>58</v>
      </c>
      <c r="YL67" s="46">
        <f t="shared" si="623"/>
        <v>2.7239999999999998</v>
      </c>
      <c r="YM67" s="46">
        <f t="shared" si="461"/>
        <v>1</v>
      </c>
      <c r="YN67" s="46">
        <f t="shared" si="462"/>
        <v>2</v>
      </c>
      <c r="YO67" s="46" cm="1">
        <f t="array" ref="YO67">ROUND(VALUE(IFERROR(INDEX(ArchiveResults!$F$5:$IX$116,ComparisonData!A67,ComparisonData!$YO$1),0)),5)</f>
        <v>0</v>
      </c>
      <c r="YP67" s="46" cm="1">
        <f t="array" ref="YP67">ROUND(VALUE(IFERROR(INDEX(ArchiveResults!$F$5:$IX$116,ComparisonData!A67,ComparisonData!$YP$1),0)),5)</f>
        <v>0</v>
      </c>
      <c r="YQ67" s="56">
        <v>62</v>
      </c>
      <c r="YR67" s="53" t="str">
        <f t="shared" si="624"/>
        <v>Northumberland Archives: QEII Country Park</v>
      </c>
      <c r="YS67" s="60">
        <f t="shared" si="463"/>
        <v>0</v>
      </c>
      <c r="YT67" s="60">
        <f t="shared" si="464"/>
        <v>0</v>
      </c>
      <c r="YU67" s="76">
        <f t="shared" si="465"/>
        <v>0</v>
      </c>
      <c r="YV67" s="46">
        <f t="shared" si="466"/>
        <v>58</v>
      </c>
      <c r="YW67" s="46">
        <f t="shared" si="625"/>
        <v>2.7239999999999998</v>
      </c>
      <c r="YX67" s="46">
        <f t="shared" si="467"/>
        <v>1</v>
      </c>
      <c r="YY67" s="46">
        <f t="shared" si="468"/>
        <v>2</v>
      </c>
      <c r="YZ67" s="46">
        <f t="shared" si="469"/>
        <v>0</v>
      </c>
      <c r="ZA67" s="46" cm="1">
        <f t="array" ref="ZA67">ROUNDDOWN(VALUE(IFERROR(INDEX(ArchiveResults!$F$5:$IX$116,ComparisonData!A67,ComparisonData!$ZA$1),0)),5)</f>
        <v>0</v>
      </c>
      <c r="ZB67" s="46" cm="1">
        <f t="array" ref="ZB67">ROUNDDOWN(VALUE(IFERROR(INDEX(ArchiveResults!$F$5:$IX$116,ComparisonData!A67,ComparisonData!$ZB$1),0)),5)</f>
        <v>0</v>
      </c>
      <c r="ZC67" s="46" cm="1">
        <f t="array" ref="ZC67">ROUNDDOWN(VALUE(IFERROR(INDEX(ArchiveResults!$F$5:$IX$116,ComparisonData!A67,ComparisonData!$ZC$1),0)),5)</f>
        <v>0</v>
      </c>
      <c r="ZD67" s="46" cm="1">
        <f t="array" ref="ZD67">ROUNDDOWN(VALUE(IFERROR(INDEX(ArchiveResults!$F$5:$IX$116,ComparisonData!A67,ComparisonData!$ZD$1),0)),5)</f>
        <v>0</v>
      </c>
      <c r="ZE67" s="46" cm="1">
        <f t="array" ref="ZE67">ROUNDDOWN(VALUE(IFERROR(INDEX(ArchiveResults!$F$5:$IX$116,ComparisonData!A67,ComparisonData!$ZE$1),0)),5)</f>
        <v>0</v>
      </c>
      <c r="ZF67" s="56">
        <v>62</v>
      </c>
      <c r="ZG67" s="53" t="str">
        <f t="shared" si="626"/>
        <v>Northumberland Archives: QEII Country Park</v>
      </c>
      <c r="ZH67" s="60">
        <f t="shared" si="470"/>
        <v>0</v>
      </c>
      <c r="ZI67" s="60">
        <f t="shared" si="471"/>
        <v>0</v>
      </c>
      <c r="ZJ67" s="60">
        <f t="shared" si="472"/>
        <v>0</v>
      </c>
      <c r="ZK67" s="60">
        <f t="shared" si="473"/>
        <v>0</v>
      </c>
      <c r="ZL67" s="60">
        <f t="shared" si="474"/>
        <v>0</v>
      </c>
      <c r="ZM67" s="76">
        <f t="shared" si="475"/>
        <v>0</v>
      </c>
      <c r="ZN67" s="46">
        <f t="shared" si="476"/>
        <v>58</v>
      </c>
      <c r="ZO67" s="46">
        <f t="shared" si="627"/>
        <v>2.7239999999999998</v>
      </c>
      <c r="ZP67" s="46">
        <f t="shared" si="477"/>
        <v>1</v>
      </c>
      <c r="ZQ67" s="46">
        <f t="shared" si="478"/>
        <v>2</v>
      </c>
      <c r="ZR67" s="46" cm="1">
        <f t="array" ref="ZR67">ROUND(VALUE(IFERROR(INDEX(ArchiveResults!$F$5:$IX$116,ComparisonData!A67,ComparisonData!$ZR$1),0)),5)</f>
        <v>0</v>
      </c>
      <c r="ZS67" s="56">
        <v>62</v>
      </c>
      <c r="ZT67" s="53" t="str">
        <f t="shared" si="628"/>
        <v>Northumberland Archives: QEII Country Park</v>
      </c>
      <c r="ZU67" s="46">
        <f t="shared" si="479"/>
        <v>0</v>
      </c>
      <c r="ZV67" s="76">
        <f t="shared" si="480"/>
        <v>0</v>
      </c>
      <c r="ZW67" s="81" cm="1">
        <f t="array" ref="ZW67">ROUND((IFERROR(INDEX(ArchiveResults!$F$5:$IX$116,ComparisonData!A67,ComparisonData!$ZW$1),0)),5)</f>
        <v>0</v>
      </c>
      <c r="ZX67" s="81" cm="1">
        <f t="array" ref="ZX67">ROUND((IFERROR(INDEX(ArchiveResults!$F$5:$IX$116,ComparisonData!A67,ComparisonData!$ZX$1),0)),5)</f>
        <v>0</v>
      </c>
      <c r="ZY67" s="81" cm="1">
        <f t="array" ref="ZY67">ROUND((IFERROR(INDEX(ArchiveResults!$F$5:$IX$116,ComparisonData!A67,ComparisonData!$ZY$1),0)),5)</f>
        <v>0</v>
      </c>
      <c r="ZZ67" s="81" cm="1">
        <f t="array" ref="ZZ67">ROUND((IFERROR(INDEX(ArchiveResults!$F$5:$IX$116,ComparisonData!A67,ComparisonData!$ZZ$1),0)),5)</f>
        <v>0</v>
      </c>
      <c r="AAA67" s="81" cm="1">
        <f t="array" ref="AAA67">ROUND((IFERROR(INDEX(ArchiveResults!$F$5:$IX$116,ComparisonData!A67,ComparisonData!$AAA$1),0)),5)</f>
        <v>0</v>
      </c>
      <c r="AAB67" s="81" cm="1">
        <f t="array" ref="AAB67">ROUND((IFERROR(INDEX(ArchiveResults!$F$5:$IX$116,ComparisonData!A67,ComparisonData!$AAB$1),0)),5)</f>
        <v>0</v>
      </c>
      <c r="AAC67" s="81" cm="1">
        <f t="array" ref="AAC67">ROUND((IFERROR(INDEX(ArchiveResults!$F$5:$IX$116,ComparisonData!A67,ComparisonData!$AAC$1),0)),5)</f>
        <v>0</v>
      </c>
      <c r="AAD67" s="81" cm="1">
        <f t="array" ref="AAD67">ROUND((IFERROR(INDEX(ArchiveResults!$F$5:$IX$116,ComparisonData!A67,ComparisonData!$AAD$1),0)),5)</f>
        <v>0</v>
      </c>
      <c r="AAE67" s="81" cm="1">
        <f t="array" ref="AAE67">ROUND((IFERROR(INDEX(ArchiveResults!$F$5:$IX$116,ComparisonData!A67,ComparisonData!$AAE$1),0)),5)</f>
        <v>0</v>
      </c>
      <c r="AAF67" s="81" cm="1">
        <f t="array" ref="AAF67">ROUND((IFERROR(INDEX(ArchiveResults!$F$5:$IX$116,ComparisonData!A67,ComparisonData!$AAF$1),0)),5)</f>
        <v>0</v>
      </c>
      <c r="AAG67" s="46">
        <f t="shared" si="481"/>
        <v>58</v>
      </c>
      <c r="AAH67" s="46">
        <f t="shared" si="629"/>
        <v>2.7239999999999998</v>
      </c>
      <c r="AAI67" s="46">
        <f t="shared" si="482"/>
        <v>1</v>
      </c>
      <c r="AAJ67" s="46">
        <f t="shared" si="483"/>
        <v>2</v>
      </c>
      <c r="AAK67" s="46">
        <f t="shared" si="484"/>
        <v>0</v>
      </c>
      <c r="AAL67" s="46">
        <f t="shared" si="485"/>
        <v>0</v>
      </c>
      <c r="AAM67" s="46">
        <f t="shared" si="486"/>
        <v>0</v>
      </c>
      <c r="AAN67" s="46">
        <f t="shared" si="487"/>
        <v>0</v>
      </c>
      <c r="AAO67" s="46">
        <f t="shared" si="488"/>
        <v>0</v>
      </c>
      <c r="AAP67" s="46">
        <f t="shared" si="489"/>
        <v>0</v>
      </c>
      <c r="AAQ67" s="56">
        <v>62</v>
      </c>
      <c r="AAR67" s="53" t="str">
        <f t="shared" si="630"/>
        <v>Northumberland Archives: QEII Country Park</v>
      </c>
      <c r="AAS67" s="60">
        <f t="shared" si="490"/>
        <v>0</v>
      </c>
      <c r="AAT67" s="60">
        <f t="shared" si="491"/>
        <v>0</v>
      </c>
      <c r="AAU67" s="60">
        <f t="shared" si="492"/>
        <v>0</v>
      </c>
      <c r="AAV67" s="60">
        <f t="shared" si="493"/>
        <v>0</v>
      </c>
      <c r="AAW67" s="60">
        <f t="shared" si="494"/>
        <v>0</v>
      </c>
      <c r="AAX67" s="76">
        <f t="shared" si="495"/>
        <v>0</v>
      </c>
      <c r="AAY67" s="46">
        <f t="shared" si="496"/>
        <v>58</v>
      </c>
      <c r="AAZ67" s="46">
        <f t="shared" si="631"/>
        <v>2.7239999999999998</v>
      </c>
      <c r="ABA67" s="46">
        <f t="shared" si="497"/>
        <v>1</v>
      </c>
      <c r="ABB67" s="46">
        <f t="shared" si="498"/>
        <v>2</v>
      </c>
      <c r="ABC67" s="46">
        <f t="shared" si="102"/>
        <v>0</v>
      </c>
      <c r="ABD67" s="46" cm="1">
        <f t="array" ref="ABD67">ROUND(VALUE(IFERROR(INDEX(ArchiveResults!$F$5:$IX$116,ComparisonData!A67,ComparisonData!$ABD$1),0)),5)</f>
        <v>0</v>
      </c>
      <c r="ABE67" s="46" cm="1">
        <f t="array" ref="ABE67">ROUND(VALUE(IFERROR(INDEX(ArchiveResults!$F$5:$IX$116,ComparisonData!A67,ComparisonData!$ABE$1),0)),5)</f>
        <v>0</v>
      </c>
      <c r="ABF67" s="46" cm="1">
        <f t="array" ref="ABF67">ROUND(VALUE(IFERROR(INDEX(ArchiveResults!$F$5:$IX$116,ComparisonData!A67,ComparisonData!$ABF$1),0)),5)</f>
        <v>0</v>
      </c>
      <c r="ABG67" s="46" cm="1">
        <f t="array" ref="ABG67">ROUND(VALUE(IFERROR(INDEX(ArchiveResults!$F$5:$IX$116,ComparisonData!A67,ComparisonData!$ABG$1),0)),5)</f>
        <v>0</v>
      </c>
      <c r="ABH67" s="46" cm="1">
        <f t="array" ref="ABH67">ROUND(VALUE(IFERROR(INDEX(ArchiveResults!$F$5:$IX$116,ComparisonData!A67,ComparisonData!$ABH$1),0)),5)</f>
        <v>0</v>
      </c>
      <c r="ABI67" s="56">
        <v>62</v>
      </c>
      <c r="ABJ67" s="53" t="str">
        <f t="shared" si="632"/>
        <v>Northumberland Archives: QEII Country Park</v>
      </c>
      <c r="ABK67" s="60">
        <f t="shared" si="499"/>
        <v>0</v>
      </c>
      <c r="ABL67" s="60">
        <f t="shared" si="500"/>
        <v>0</v>
      </c>
      <c r="ABM67" s="60">
        <f t="shared" si="501"/>
        <v>0</v>
      </c>
      <c r="ABN67" s="60">
        <f t="shared" si="502"/>
        <v>0</v>
      </c>
      <c r="ABO67" s="60">
        <f t="shared" si="503"/>
        <v>0</v>
      </c>
      <c r="ABP67" s="76">
        <f t="shared" si="504"/>
        <v>0</v>
      </c>
      <c r="ABQ67" s="46">
        <f t="shared" si="505"/>
        <v>58</v>
      </c>
      <c r="ABR67" s="46">
        <f t="shared" si="633"/>
        <v>2.7239999999999998</v>
      </c>
      <c r="ABS67" s="46">
        <f t="shared" si="506"/>
        <v>1</v>
      </c>
      <c r="ABT67" s="46">
        <f t="shared" si="507"/>
        <v>2</v>
      </c>
      <c r="ABU67" s="46" cm="1">
        <f t="array" ref="ABU67">ROUND(VALUE(IFERROR(INDEX(ArchiveResults!$F$5:$IX$116,ComparisonData!A67,ComparisonData!$ABU$1),0)),5)</f>
        <v>0</v>
      </c>
      <c r="ABV67" s="46" cm="1">
        <f t="array" ref="ABV67">ROUND(VALUE(IFERROR(INDEX(ArchiveResults!$F$5:$IX$116,ComparisonData!A67,ComparisonData!$ABV$1),0)),5)</f>
        <v>0</v>
      </c>
      <c r="ABW67" s="46" cm="1">
        <f t="array" ref="ABW67">ROUND(VALUE(IFERROR(INDEX(ArchiveResults!$F$5:$IX$116,ComparisonData!A67,ComparisonData!$ABW$1),0)),5)</f>
        <v>0</v>
      </c>
      <c r="ABX67" s="46" cm="1">
        <f t="array" ref="ABX67">ROUND(VALUE(IFERROR(INDEX(ArchiveResults!$F$5:$IX$116,ComparisonData!A67,ComparisonData!$ABX$1),0)),5)</f>
        <v>0</v>
      </c>
      <c r="ABY67" s="46" cm="1">
        <f t="array" ref="ABY67">ROUND(VALUE(IFERROR(INDEX(ArchiveResults!$F$5:$IX$116,ComparisonData!A67,ComparisonData!$ABY$1),0)),5)</f>
        <v>0</v>
      </c>
      <c r="ABZ67" s="56">
        <v>62</v>
      </c>
      <c r="ACA67" s="53" t="str">
        <f t="shared" si="634"/>
        <v>Northumberland Archives: QEII Country Park</v>
      </c>
      <c r="ACB67" s="60">
        <f t="shared" si="508"/>
        <v>0</v>
      </c>
      <c r="ACC67" s="60">
        <f t="shared" si="509"/>
        <v>0</v>
      </c>
      <c r="ACD67" s="60">
        <f t="shared" si="510"/>
        <v>0</v>
      </c>
      <c r="ACE67" s="60">
        <f t="shared" si="511"/>
        <v>0</v>
      </c>
      <c r="ACF67" s="60">
        <f t="shared" si="512"/>
        <v>0</v>
      </c>
      <c r="ACG67" s="76">
        <f t="shared" si="513"/>
        <v>0</v>
      </c>
      <c r="ACH67" s="46">
        <f t="shared" si="514"/>
        <v>58</v>
      </c>
      <c r="ACI67" s="46">
        <f t="shared" si="635"/>
        <v>2.7239999999999998</v>
      </c>
      <c r="ACJ67" s="46">
        <f t="shared" si="515"/>
        <v>1</v>
      </c>
      <c r="ACK67" s="46">
        <f t="shared" si="516"/>
        <v>2</v>
      </c>
      <c r="ACL67" s="46">
        <f t="shared" si="517"/>
        <v>0</v>
      </c>
      <c r="ACM67" s="46" cm="1">
        <f t="array" ref="ACM67">ROUND(IFERROR(INDEX(ArchiveResults!$F$5:$IX$116,ComparisonData!A67,ComparisonData!$ACM$1),0),5)</f>
        <v>0</v>
      </c>
      <c r="ACN67" s="46" cm="1">
        <f t="array" ref="ACN67">ROUND(IFERROR(INDEX(ArchiveResults!$F$5:$IX$116,ComparisonData!A67,ComparisonData!$ACN$1),0),5)</f>
        <v>0</v>
      </c>
      <c r="ACO67" s="56">
        <v>62</v>
      </c>
      <c r="ACP67" s="53" t="str">
        <f t="shared" si="636"/>
        <v>Northumberland Archives: QEII Country Park</v>
      </c>
      <c r="ACQ67" s="60">
        <f t="shared" si="518"/>
        <v>0</v>
      </c>
      <c r="ACR67" s="60">
        <f t="shared" si="519"/>
        <v>0</v>
      </c>
      <c r="ACS67" s="76">
        <f t="shared" si="520"/>
        <v>0</v>
      </c>
      <c r="ACT67" s="46">
        <f t="shared" si="521"/>
        <v>58</v>
      </c>
      <c r="ACU67" s="46">
        <f t="shared" si="637"/>
        <v>2.7239999999999998</v>
      </c>
      <c r="ACV67" s="46">
        <f t="shared" si="522"/>
        <v>1</v>
      </c>
      <c r="ACW67" s="46">
        <f t="shared" si="523"/>
        <v>2</v>
      </c>
      <c r="ACX67" s="46">
        <f t="shared" si="524"/>
        <v>0</v>
      </c>
      <c r="ACY67" s="46" cm="1">
        <f t="array" ref="ACY67">ROUNDDOWN(IFERROR(INDEX(ArchiveResults!$F$5:$IX$116,ComparisonData!A67,ComparisonData!$ACY$1),0),5)</f>
        <v>0</v>
      </c>
      <c r="ACZ67" s="46" cm="1">
        <f t="array" ref="ACZ67">ROUNDDOWN(IFERROR(INDEX(ArchiveResults!$F$5:$IX$116,ComparisonData!A67,ComparisonData!$ACZ$1),0),5)</f>
        <v>0</v>
      </c>
      <c r="ADA67" s="46" cm="1">
        <f t="array" ref="ADA67">ROUNDDOWN(IFERROR(INDEX(ArchiveResults!$F$5:$IX$116,ComparisonData!A67,ComparisonData!$ADA$1),0),5)</f>
        <v>0</v>
      </c>
      <c r="ADB67" s="56">
        <v>62</v>
      </c>
      <c r="ADC67" s="53" t="str">
        <f t="shared" si="638"/>
        <v>Northumberland Archives: QEII Country Park</v>
      </c>
      <c r="ADD67" s="60">
        <f t="shared" si="525"/>
        <v>0</v>
      </c>
      <c r="ADE67" s="60">
        <f t="shared" si="526"/>
        <v>0</v>
      </c>
      <c r="ADF67" s="60">
        <f t="shared" si="527"/>
        <v>0</v>
      </c>
      <c r="ADG67" s="76">
        <f t="shared" si="528"/>
        <v>0</v>
      </c>
    </row>
    <row r="68" spans="1:787" x14ac:dyDescent="0.25">
      <c r="A68" s="46" t="str">
        <f>IF(ISBLANK(ComparisonSelection!F64),"",ROW()-5)</f>
        <v/>
      </c>
      <c r="B68" s="53" t="s">
        <v>611</v>
      </c>
      <c r="C68" s="72">
        <v>0.72899999999999976</v>
      </c>
      <c r="D68" s="55">
        <f t="shared" si="110"/>
        <v>59</v>
      </c>
      <c r="E68" s="54">
        <f t="shared" si="111"/>
        <v>2.7289999999999996</v>
      </c>
      <c r="F68" s="54">
        <f t="shared" si="529"/>
        <v>1</v>
      </c>
      <c r="G68" s="72">
        <f t="shared" si="112"/>
        <v>2</v>
      </c>
      <c r="H68" s="72">
        <f t="shared" si="113"/>
        <v>0</v>
      </c>
      <c r="I68" s="46" cm="1">
        <f t="array" ref="I68">ROUND(IFERROR(INDEX(ArchiveResults!$F$5:$IX$116,ComparisonData!A68,ComparisonData!$I$1),0),5)</f>
        <v>0</v>
      </c>
      <c r="J68" s="46" cm="1">
        <f t="array" ref="J68">ROUND(IFERROR(INDEX(ArchiveResults!$F$5:$IX$116,ComparisonData!A68,ComparisonData!$J$1),0),5)</f>
        <v>0</v>
      </c>
      <c r="K68" s="56">
        <v>63</v>
      </c>
      <c r="L68" s="53" t="str">
        <f t="shared" si="114"/>
        <v>Oxfordshire History Centre</v>
      </c>
      <c r="M68" s="57">
        <f t="shared" si="530"/>
        <v>0</v>
      </c>
      <c r="N68" s="57">
        <f t="shared" si="531"/>
        <v>0</v>
      </c>
      <c r="O68" s="58">
        <f t="shared" si="115"/>
        <v>0</v>
      </c>
      <c r="P68" s="48">
        <f t="shared" si="116"/>
        <v>59</v>
      </c>
      <c r="Q68" s="54">
        <f t="shared" si="532"/>
        <v>2.7289999999999996</v>
      </c>
      <c r="R68" s="45">
        <f t="shared" si="117"/>
        <v>1</v>
      </c>
      <c r="S68" s="46">
        <f t="shared" si="118"/>
        <v>2</v>
      </c>
      <c r="T68" s="72">
        <f t="shared" si="119"/>
        <v>0</v>
      </c>
      <c r="U68" s="46" cm="1">
        <f t="array" ref="U68">ROUND(IFERROR(INDEX(ArchiveResults!$F$5:$IX$116,ComparisonData!A68,ComparisonData!$U$1),0),5)</f>
        <v>0</v>
      </c>
      <c r="V68" s="46" cm="1">
        <f t="array" ref="V68">ROUND(IFERROR(INDEX(ArchiveResults!$F$5:$IX$116,ComparisonData!A68,ComparisonData!$V$1),0),5)</f>
        <v>0</v>
      </c>
      <c r="W68" s="56">
        <v>63</v>
      </c>
      <c r="X68" s="53" t="str">
        <f t="shared" si="533"/>
        <v>Oxfordshire History Centre</v>
      </c>
      <c r="Y68" s="57">
        <f t="shared" si="120"/>
        <v>0</v>
      </c>
      <c r="Z68" s="57">
        <f t="shared" si="121"/>
        <v>0</v>
      </c>
      <c r="AA68" s="58">
        <f t="shared" si="122"/>
        <v>0</v>
      </c>
      <c r="AB68" s="45">
        <f t="shared" si="123"/>
        <v>59</v>
      </c>
      <c r="AC68" s="54">
        <f t="shared" si="534"/>
        <v>2.7289999999999996</v>
      </c>
      <c r="AD68" s="45">
        <f t="shared" si="124"/>
        <v>1</v>
      </c>
      <c r="AE68" s="45">
        <f t="shared" si="125"/>
        <v>2</v>
      </c>
      <c r="AF68" s="45">
        <f t="shared" si="639"/>
        <v>0</v>
      </c>
      <c r="AG68" s="46" cm="1">
        <f t="array" ref="AG68">ROUND(IFERROR(INDEX(ArchiveResults!$F$5:$IX$116,ComparisonData!A68,ComparisonData!$AG$1),0),5)</f>
        <v>0</v>
      </c>
      <c r="AH68" s="46" cm="1">
        <f t="array" ref="AH68">ROUND(IFERROR(INDEX(ArchiveResults!$F$5:$IX$116,ComparisonData!A68,ComparisonData!$AH$1),0),5)</f>
        <v>0</v>
      </c>
      <c r="AI68" s="56">
        <v>63</v>
      </c>
      <c r="AJ68" s="53" t="str">
        <f t="shared" si="535"/>
        <v>Oxfordshire History Centre</v>
      </c>
      <c r="AK68" s="59">
        <f t="shared" si="536"/>
        <v>0</v>
      </c>
      <c r="AL68" s="59">
        <f t="shared" si="537"/>
        <v>0</v>
      </c>
      <c r="AM68" s="58">
        <f t="shared" si="127"/>
        <v>0</v>
      </c>
      <c r="AN68" s="45">
        <f t="shared" si="128"/>
        <v>59</v>
      </c>
      <c r="AO68" s="54">
        <f t="shared" si="538"/>
        <v>2.7289999999999996</v>
      </c>
      <c r="AP68" s="45">
        <f t="shared" si="129"/>
        <v>1</v>
      </c>
      <c r="AQ68" s="45">
        <f t="shared" si="130"/>
        <v>2</v>
      </c>
      <c r="AR68" s="46" cm="1">
        <f t="array" ref="AR68">ROUND(IFERROR(INDEX(ArchiveResults!$F$5:$IX$116,ComparisonData!A68,ComparisonData!$AR$1),0),5)</f>
        <v>0</v>
      </c>
      <c r="AS68" s="46" cm="1">
        <f t="array" ref="AS68">ROUND(IFERROR(INDEX(ArchiveResults!$F$5:$IX$116,ComparisonData!A68,ComparisonData!$AS$1),0),5)</f>
        <v>0</v>
      </c>
      <c r="AT68" s="46" cm="1">
        <f t="array" ref="AT68">ROUND(IFERROR(INDEX(ArchiveResults!$F$5:$IX$116,ComparisonData!A68,ComparisonData!$AT$1),0),5)</f>
        <v>0</v>
      </c>
      <c r="AU68" s="46" cm="1">
        <f t="array" ref="AU68">ROUND(IFERROR(INDEX(ArchiveResults!$F$5:$IX$116,ComparisonData!A68,ComparisonData!$AU$1),0),5)</f>
        <v>0</v>
      </c>
      <c r="AV68" s="46" cm="1">
        <f t="array" ref="AV68">ROUND(IFERROR(INDEX(ArchiveResults!$F$5:$IX$116,ComparisonData!A68,ComparisonData!$AV$1),0),5)</f>
        <v>0</v>
      </c>
      <c r="AW68" s="46" cm="1">
        <f t="array" ref="AW68">ROUND(IFERROR(INDEX(ArchiveResults!$F$5:$IX$116,ComparisonData!A68,ComparisonData!$AW$1),0),5)</f>
        <v>0</v>
      </c>
      <c r="AX68" s="46" cm="1">
        <f t="array" ref="AX68">ROUND(IFERROR(INDEX(ArchiveResults!$F$5:$IX$116,ComparisonData!A68,ComparisonData!$AX$1),0),5)</f>
        <v>0</v>
      </c>
      <c r="AY68" s="46" cm="1">
        <f t="array" ref="AY68">ROUND(IFERROR(INDEX(ArchiveResults!$F$5:$IX$116,ComparisonData!A68,ComparisonData!$AY$1),0),5)</f>
        <v>0</v>
      </c>
      <c r="AZ68" s="46" cm="1">
        <f t="array" ref="AZ68">ROUND(IFERROR(INDEX(ArchiveResults!$F$5:$IX$116,ComparisonData!A68,ComparisonData!$AZ$1),0),5)</f>
        <v>0</v>
      </c>
      <c r="BA68" s="46" cm="1">
        <f t="array" ref="BA68">ROUND(IFERROR(INDEX(ArchiveResults!$F$5:$IX$116,ComparisonData!A68,ComparisonData!$BA$1),0),5)</f>
        <v>0</v>
      </c>
      <c r="BB68" s="56">
        <v>63</v>
      </c>
      <c r="BC68" s="53" t="str">
        <f t="shared" si="539"/>
        <v>Oxfordshire History Centre</v>
      </c>
      <c r="BD68" s="60">
        <f t="shared" si="131"/>
        <v>0</v>
      </c>
      <c r="BE68" s="60">
        <f t="shared" si="132"/>
        <v>0</v>
      </c>
      <c r="BF68" s="60">
        <f t="shared" si="133"/>
        <v>0</v>
      </c>
      <c r="BG68" s="60">
        <f t="shared" si="134"/>
        <v>0</v>
      </c>
      <c r="BH68" s="60">
        <f t="shared" si="135"/>
        <v>0</v>
      </c>
      <c r="BI68" s="60">
        <f t="shared" si="136"/>
        <v>0</v>
      </c>
      <c r="BJ68" s="60">
        <f t="shared" si="137"/>
        <v>0</v>
      </c>
      <c r="BK68" s="60">
        <f t="shared" si="138"/>
        <v>0</v>
      </c>
      <c r="BL68" s="60">
        <f t="shared" si="139"/>
        <v>0</v>
      </c>
      <c r="BM68" s="59">
        <f t="shared" si="140"/>
        <v>0</v>
      </c>
      <c r="BN68" s="58">
        <f t="shared" si="141"/>
        <v>0</v>
      </c>
      <c r="BO68" s="45">
        <f t="shared" si="142"/>
        <v>59</v>
      </c>
      <c r="BP68" s="54">
        <f t="shared" si="540"/>
        <v>2.7289999999999996</v>
      </c>
      <c r="BQ68" s="45">
        <f t="shared" si="143"/>
        <v>1</v>
      </c>
      <c r="BR68" s="45">
        <f t="shared" si="144"/>
        <v>2</v>
      </c>
      <c r="BS68" s="46" cm="1">
        <f t="array" ref="BS68">ROUND(IFERROR(INDEX(ArchiveResults!$F$5:$IX$116,ComparisonData!A68,ComparisonData!$BS$1),0),5)</f>
        <v>0</v>
      </c>
      <c r="BT68" s="46" cm="1">
        <f t="array" ref="BT68">ROUND(IFERROR(INDEX(ArchiveResults!$F$5:$IX$116,ComparisonData!A68,ComparisonData!$BT$1),0),5)</f>
        <v>0</v>
      </c>
      <c r="BU68" s="46" cm="1">
        <f t="array" ref="BU68">ROUND(IFERROR(INDEX(ArchiveResults!$F$5:$IX$116,ComparisonData!A68,ComparisonData!$BU$1),0),5)</f>
        <v>0</v>
      </c>
      <c r="BV68" s="46" cm="1">
        <f t="array" ref="BV68">ROUND(IFERROR(INDEX(ArchiveResults!$F$5:$IX$116,ComparisonData!A68,ComparisonData!$BV$1),0),5)</f>
        <v>0</v>
      </c>
      <c r="BW68" s="46" cm="1">
        <f t="array" ref="BW68">ROUND(IFERROR(INDEX(ArchiveResults!$F$5:$IX$116,ComparisonData!A68,ComparisonData!$BW$1),0),5)</f>
        <v>0</v>
      </c>
      <c r="BX68" s="46" cm="1">
        <f t="array" ref="BX68">ROUND(IFERROR(INDEX(ArchiveResults!$F$5:$IX$116,ComparisonData!A68,ComparisonData!$BX$1),0),5)</f>
        <v>0</v>
      </c>
      <c r="BY68" s="56">
        <v>63</v>
      </c>
      <c r="BZ68" s="53" t="str">
        <f t="shared" si="541"/>
        <v>Oxfordshire History Centre</v>
      </c>
      <c r="CA68" s="59">
        <f t="shared" si="145"/>
        <v>0</v>
      </c>
      <c r="CB68" s="59">
        <f t="shared" si="146"/>
        <v>0</v>
      </c>
      <c r="CC68" s="59">
        <f t="shared" si="147"/>
        <v>0</v>
      </c>
      <c r="CD68" s="59">
        <f t="shared" si="148"/>
        <v>0</v>
      </c>
      <c r="CE68" s="59">
        <f t="shared" si="149"/>
        <v>0</v>
      </c>
      <c r="CF68" s="59">
        <f t="shared" si="150"/>
        <v>0</v>
      </c>
      <c r="CG68" s="58">
        <f t="shared" si="151"/>
        <v>0</v>
      </c>
      <c r="CH68" s="45">
        <f t="shared" si="152"/>
        <v>59</v>
      </c>
      <c r="CI68" s="54">
        <f t="shared" si="542"/>
        <v>2.7289999999999996</v>
      </c>
      <c r="CJ68" s="45">
        <f t="shared" si="153"/>
        <v>1</v>
      </c>
      <c r="CK68" s="45">
        <f t="shared" si="154"/>
        <v>2</v>
      </c>
      <c r="CL68" s="46" cm="1">
        <f t="array" ref="CL68">ROUND(IFERROR(INDEX(ArchiveResults!$F$5:$IX$116,ComparisonData!A68,ComparisonData!$CL$1),0),5)</f>
        <v>0</v>
      </c>
      <c r="CM68" s="56">
        <v>63</v>
      </c>
      <c r="CN68" s="53" t="str">
        <f t="shared" si="543"/>
        <v>Oxfordshire History Centre</v>
      </c>
      <c r="CO68" s="45">
        <f t="shared" si="155"/>
        <v>0</v>
      </c>
      <c r="CP68" s="58">
        <f t="shared" si="156"/>
        <v>0</v>
      </c>
      <c r="CQ68" s="45">
        <f t="shared" si="157"/>
        <v>59</v>
      </c>
      <c r="CR68" s="54">
        <f t="shared" si="544"/>
        <v>2.7289999999999996</v>
      </c>
      <c r="CS68" s="45">
        <f t="shared" si="158"/>
        <v>1</v>
      </c>
      <c r="CT68" s="45">
        <f t="shared" si="159"/>
        <v>2</v>
      </c>
      <c r="CU68" s="46" cm="1">
        <f t="array" ref="CU68">ROUND(IFERROR(INDEX(ArchiveResults!$F$5:$IX$116,ComparisonData!A68,ComparisonData!$CU$1),0),5)</f>
        <v>0</v>
      </c>
      <c r="CV68" s="56">
        <v>63</v>
      </c>
      <c r="CW68" s="53" t="str">
        <f t="shared" si="545"/>
        <v>Oxfordshire History Centre</v>
      </c>
      <c r="CX68" s="45">
        <f t="shared" si="160"/>
        <v>0</v>
      </c>
      <c r="CY68" s="58">
        <f t="shared" si="161"/>
        <v>0</v>
      </c>
      <c r="CZ68" s="45">
        <f t="shared" si="162"/>
        <v>59</v>
      </c>
      <c r="DA68" s="54">
        <f t="shared" si="546"/>
        <v>2.7289999999999996</v>
      </c>
      <c r="DB68" s="45">
        <f t="shared" si="163"/>
        <v>1</v>
      </c>
      <c r="DC68" s="45">
        <f t="shared" si="164"/>
        <v>2</v>
      </c>
      <c r="DD68" s="46" cm="1">
        <f t="array" ref="DD68">ROUND(IFERROR(INDEX(ArchiveResults!$F$5:$IX$116,ComparisonData!A68,ComparisonData!$DD$1),0),5)</f>
        <v>0</v>
      </c>
      <c r="DE68" s="56">
        <v>63</v>
      </c>
      <c r="DF68" s="53" t="str">
        <f t="shared" si="547"/>
        <v>Oxfordshire History Centre</v>
      </c>
      <c r="DG68" s="45">
        <f t="shared" si="165"/>
        <v>0</v>
      </c>
      <c r="DH68" s="58">
        <f t="shared" si="166"/>
        <v>0</v>
      </c>
      <c r="DI68" s="45">
        <f t="shared" si="167"/>
        <v>59</v>
      </c>
      <c r="DJ68" s="54">
        <f t="shared" si="548"/>
        <v>2.7289999999999996</v>
      </c>
      <c r="DK68" s="45">
        <f t="shared" si="168"/>
        <v>1</v>
      </c>
      <c r="DL68" s="45">
        <f t="shared" si="169"/>
        <v>2</v>
      </c>
      <c r="DM68" s="46" cm="1">
        <f t="array" ref="DM68">ROUND(IFERROR(INDEX(ArchiveResults!$F$5:$IX$116,ComparisonData!A68,ComparisonData!$DM$1),0),5)</f>
        <v>0</v>
      </c>
      <c r="DN68" s="46" cm="1">
        <f t="array" ref="DN68">ROUND(IFERROR(INDEX(ArchiveResults!$F$5:$IX$116,ComparisonData!A68,ComparisonData!$DN$1),0),5)</f>
        <v>0</v>
      </c>
      <c r="DO68" s="46" cm="1">
        <f t="array" ref="DO68">ROUND(IFERROR(INDEX(ArchiveResults!$F$5:$IX$116,ComparisonData!A68,ComparisonData!$DO$1),0),5)</f>
        <v>0</v>
      </c>
      <c r="DP68" s="46" cm="1">
        <f t="array" ref="DP68">ROUND(IFERROR(INDEX(ArchiveResults!$F$5:$IX$116,ComparisonData!A68,ComparisonData!$DP$1),0),5)</f>
        <v>0</v>
      </c>
      <c r="DQ68" s="45" cm="1">
        <f t="array" ref="DQ68">IFERROR(INDEX(ArchiveResults!$F$5:$IX$116,ComparisonData!A68,ComparisonData!$DQ$1),0)</f>
        <v>0</v>
      </c>
      <c r="DR68" s="56">
        <v>63</v>
      </c>
      <c r="DS68" s="53" t="str">
        <f t="shared" si="549"/>
        <v>Oxfordshire History Centre</v>
      </c>
      <c r="DT68" s="59">
        <f t="shared" si="170"/>
        <v>0</v>
      </c>
      <c r="DU68" s="59">
        <f t="shared" si="171"/>
        <v>0</v>
      </c>
      <c r="DV68" s="59">
        <f t="shared" si="172"/>
        <v>0</v>
      </c>
      <c r="DW68" s="59">
        <f t="shared" si="173"/>
        <v>0</v>
      </c>
      <c r="DX68" s="59">
        <f t="shared" si="174"/>
        <v>0</v>
      </c>
      <c r="DY68" s="58">
        <f t="shared" si="175"/>
        <v>0</v>
      </c>
      <c r="DZ68" s="45">
        <f t="shared" si="176"/>
        <v>59</v>
      </c>
      <c r="EA68" s="54">
        <f t="shared" si="550"/>
        <v>2.7289999999999996</v>
      </c>
      <c r="EB68" s="45">
        <f t="shared" si="177"/>
        <v>1</v>
      </c>
      <c r="EC68" s="45">
        <f t="shared" si="178"/>
        <v>2</v>
      </c>
      <c r="ED68" s="46" cm="1">
        <f t="array" ref="ED68">ROUND(IFERROR(INDEX(ArchiveResults!$F$5:$IX$116,ComparisonData!A68,ComparisonData!$ED$1),0),5)</f>
        <v>0</v>
      </c>
      <c r="EE68" s="46" cm="1">
        <f t="array" ref="EE68">ROUND(IFERROR(INDEX(ArchiveResults!$F$5:$IX$116,ComparisonData!A68,ComparisonData!$EE$1),0),5)</f>
        <v>0</v>
      </c>
      <c r="EF68" s="46" cm="1">
        <f t="array" ref="EF68">ROUND(IFERROR(INDEX(ArchiveResults!$F$5:$IX$116,ComparisonData!A68,ComparisonData!$EF$1),0),5)</f>
        <v>0</v>
      </c>
      <c r="EG68" s="46" cm="1">
        <f t="array" ref="EG68">ROUND(IFERROR(INDEX(ArchiveResults!$F$5:$IX$116,ComparisonData!A68,ComparisonData!$EG$1),0),5)</f>
        <v>0</v>
      </c>
      <c r="EH68" s="45" cm="1">
        <f t="array" ref="EH68">IFERROR(INDEX(ArchiveResults!$F$5:$IX$116,ComparisonData!A68,ComparisonData!$EH$1),0)</f>
        <v>0</v>
      </c>
      <c r="EI68" s="56">
        <v>63</v>
      </c>
      <c r="EJ68" s="53" t="str">
        <f t="shared" si="551"/>
        <v>Oxfordshire History Centre</v>
      </c>
      <c r="EK68" s="59">
        <f t="shared" si="179"/>
        <v>0</v>
      </c>
      <c r="EL68" s="59">
        <f t="shared" si="180"/>
        <v>0</v>
      </c>
      <c r="EM68" s="59">
        <f t="shared" si="181"/>
        <v>0</v>
      </c>
      <c r="EN68" s="59">
        <f t="shared" si="182"/>
        <v>0</v>
      </c>
      <c r="EO68" s="59">
        <f t="shared" si="183"/>
        <v>0</v>
      </c>
      <c r="EP68" s="58">
        <f t="shared" si="184"/>
        <v>0</v>
      </c>
      <c r="EQ68" s="45">
        <f t="shared" si="185"/>
        <v>59</v>
      </c>
      <c r="ER68" s="54">
        <f t="shared" si="552"/>
        <v>2.7289999999999996</v>
      </c>
      <c r="ES68" s="45">
        <f t="shared" si="186"/>
        <v>1</v>
      </c>
      <c r="ET68" s="45">
        <f t="shared" si="187"/>
        <v>2</v>
      </c>
      <c r="EU68" s="46" cm="1">
        <f t="array" ref="EU68">ROUND(IFERROR(INDEX(ArchiveResults!$F$5:$IX$116,ComparisonData!A68,ComparisonData!$EU$1),0),5)</f>
        <v>0</v>
      </c>
      <c r="EV68" s="46" cm="1">
        <f t="array" ref="EV68">ROUND(IFERROR(INDEX(ArchiveResults!$F$5:$IX$116,ComparisonData!A68,ComparisonData!$EV$1),0),5)</f>
        <v>0</v>
      </c>
      <c r="EW68" s="46" cm="1">
        <f t="array" ref="EW68">ROUND(IFERROR(INDEX(ArchiveResults!$F$5:$IX$116,ComparisonData!A68,ComparisonData!$EW$1),0),5)</f>
        <v>0</v>
      </c>
      <c r="EX68" s="46" cm="1">
        <f t="array" ref="EX68">ROUND(IFERROR(INDEX(ArchiveResults!$F$5:$IX$116,ComparisonData!A68,ComparisonData!$EX$1),0),5)</f>
        <v>0</v>
      </c>
      <c r="EY68" s="45" cm="1">
        <f t="array" ref="EY68">IFERROR(INDEX(ArchiveResults!$F$5:$IX$116,ComparisonData!A68,ComparisonData!$EY$1),0)</f>
        <v>0</v>
      </c>
      <c r="EZ68" s="56">
        <v>63</v>
      </c>
      <c r="FA68" s="53" t="str">
        <f t="shared" si="553"/>
        <v>Oxfordshire History Centre</v>
      </c>
      <c r="FB68" s="59">
        <f t="shared" si="188"/>
        <v>0</v>
      </c>
      <c r="FC68" s="59">
        <f t="shared" si="189"/>
        <v>0</v>
      </c>
      <c r="FD68" s="59">
        <f t="shared" si="190"/>
        <v>0</v>
      </c>
      <c r="FE68" s="59">
        <f t="shared" si="191"/>
        <v>0</v>
      </c>
      <c r="FF68" s="59">
        <f t="shared" si="192"/>
        <v>0</v>
      </c>
      <c r="FG68" s="58">
        <f t="shared" si="193"/>
        <v>0</v>
      </c>
      <c r="FH68" s="45">
        <f t="shared" si="194"/>
        <v>59</v>
      </c>
      <c r="FI68" s="54">
        <f t="shared" si="554"/>
        <v>2.7289999999999996</v>
      </c>
      <c r="FJ68" s="45">
        <f t="shared" si="195"/>
        <v>1</v>
      </c>
      <c r="FK68" s="45">
        <f t="shared" si="196"/>
        <v>2</v>
      </c>
      <c r="FL68" s="46" cm="1">
        <f t="array" ref="FL68">ROUND(IFERROR(INDEX(ArchiveResults!$F$5:$IX$116,ComparisonData!A68,ComparisonData!$FL$1),0),5)</f>
        <v>0</v>
      </c>
      <c r="FM68" s="46" cm="1">
        <f t="array" ref="FM68">ROUND(IFERROR(INDEX(ArchiveResults!$F$5:$IX$116,ComparisonData!A68,ComparisonData!$FM$1),0),5)</f>
        <v>0</v>
      </c>
      <c r="FN68" s="46" cm="1">
        <f t="array" ref="FN68">ROUND(IFERROR(INDEX(ArchiveResults!$F$5:$IX$116,ComparisonData!A68,ComparisonData!$FN$1),0),5)</f>
        <v>0</v>
      </c>
      <c r="FO68" s="46" cm="1">
        <f t="array" ref="FO68">ROUND(IFERROR(INDEX(ArchiveResults!$F$5:$IX$116,ComparisonData!A68,ComparisonData!$FO$1),0),5)</f>
        <v>0</v>
      </c>
      <c r="FP68" s="45" cm="1">
        <f t="array" ref="FP68">IFERROR(INDEX(ArchiveResults!$F$5:$IX$116,ComparisonData!A68,ComparisonData!$FP$1),0)</f>
        <v>0</v>
      </c>
      <c r="FQ68" s="56">
        <v>63</v>
      </c>
      <c r="FR68" s="53" t="str">
        <f t="shared" si="555"/>
        <v>Oxfordshire History Centre</v>
      </c>
      <c r="FS68" s="59">
        <f t="shared" si="197"/>
        <v>0</v>
      </c>
      <c r="FT68" s="59">
        <f t="shared" si="198"/>
        <v>0</v>
      </c>
      <c r="FU68" s="59">
        <f t="shared" si="199"/>
        <v>0</v>
      </c>
      <c r="FV68" s="59">
        <f t="shared" si="200"/>
        <v>0</v>
      </c>
      <c r="FW68" s="59">
        <f t="shared" si="201"/>
        <v>0</v>
      </c>
      <c r="FX68" s="58">
        <f t="shared" si="202"/>
        <v>0</v>
      </c>
      <c r="FY68" s="45">
        <f t="shared" si="203"/>
        <v>59</v>
      </c>
      <c r="FZ68" s="45">
        <f t="shared" si="556"/>
        <v>2.7289999999999996</v>
      </c>
      <c r="GA68" s="45">
        <f t="shared" si="204"/>
        <v>1</v>
      </c>
      <c r="GB68" s="45">
        <f t="shared" si="205"/>
        <v>2</v>
      </c>
      <c r="GC68" s="46" cm="1">
        <f t="array" ref="GC68">ROUND(IFERROR(INDEX(ArchiveResults!$F$5:$IX$116,ComparisonData!A68,ComparisonData!$GC$1),0),5)</f>
        <v>0</v>
      </c>
      <c r="GD68" s="46" cm="1">
        <f t="array" ref="GD68">ROUND(IFERROR(INDEX(ArchiveResults!$F$5:$IX$116,ComparisonData!A68,ComparisonData!$GD$1),0),5)</f>
        <v>0</v>
      </c>
      <c r="GE68" s="46" cm="1">
        <f t="array" ref="GE68">ROUND(IFERROR(INDEX(ArchiveResults!$F$5:$IX$116,ComparisonData!A68,ComparisonData!$GE$1),0),5)</f>
        <v>0</v>
      </c>
      <c r="GF68" s="46" cm="1">
        <f t="array" ref="GF68">ROUND(IFERROR(INDEX(ArchiveResults!$F$5:$IX$116,ComparisonData!A68,ComparisonData!$GF$1),0),5)</f>
        <v>0</v>
      </c>
      <c r="GG68" s="45" cm="1">
        <f t="array" ref="GG68">IFERROR(INDEX(ArchiveResults!$F$5:$IX$116,ComparisonData!A68,ComparisonData!$GG$1),0)</f>
        <v>0</v>
      </c>
      <c r="GH68" s="56">
        <v>63</v>
      </c>
      <c r="GI68" s="53" t="str">
        <f t="shared" si="557"/>
        <v>Oxfordshire History Centre</v>
      </c>
      <c r="GJ68" s="59">
        <f t="shared" si="206"/>
        <v>0</v>
      </c>
      <c r="GK68" s="59">
        <f t="shared" si="207"/>
        <v>0</v>
      </c>
      <c r="GL68" s="59">
        <f t="shared" si="208"/>
        <v>0</v>
      </c>
      <c r="GM68" s="59">
        <f t="shared" si="209"/>
        <v>0</v>
      </c>
      <c r="GN68" s="59">
        <f t="shared" si="210"/>
        <v>0</v>
      </c>
      <c r="GO68" s="58">
        <f t="shared" si="211"/>
        <v>0</v>
      </c>
      <c r="GP68" s="45">
        <f t="shared" si="212"/>
        <v>59</v>
      </c>
      <c r="GQ68" s="45">
        <f t="shared" si="558"/>
        <v>2.7289999999999996</v>
      </c>
      <c r="GR68" s="45">
        <f t="shared" si="213"/>
        <v>1</v>
      </c>
      <c r="GS68" s="45">
        <f t="shared" si="214"/>
        <v>2</v>
      </c>
      <c r="GT68" s="46" cm="1">
        <f t="array" ref="GT68">ROUND(IFERROR(INDEX(ArchiveResults!$F$5:$IX$116,ComparisonData!A68,ComparisonData!$GT$1),0),5)</f>
        <v>0</v>
      </c>
      <c r="GU68" s="46" cm="1">
        <f t="array" ref="GU68">ROUND(IFERROR(INDEX(ArchiveResults!$F$5:$IX$116,ComparisonData!A68,ComparisonData!$GU$1),0),5)</f>
        <v>0</v>
      </c>
      <c r="GV68" s="46" cm="1">
        <f t="array" ref="GV68">ROUND(IFERROR(INDEX(ArchiveResults!$F$5:$IX$116,ComparisonData!A68,ComparisonData!$GV$1),0),5)</f>
        <v>0</v>
      </c>
      <c r="GW68" s="46" cm="1">
        <f t="array" ref="GW68">ROUND(IFERROR(INDEX(ArchiveResults!$F$5:$IX$116,ComparisonData!A68,ComparisonData!$GW$1),0),5)</f>
        <v>0</v>
      </c>
      <c r="GX68" s="45" cm="1">
        <f t="array" ref="GX68">IFERROR(INDEX(ArchiveResults!$F$5:$IX$116,ComparisonData!A68,ComparisonData!$GX$1),0)</f>
        <v>0</v>
      </c>
      <c r="GY68" s="56">
        <v>63</v>
      </c>
      <c r="GZ68" s="53" t="str">
        <f t="shared" si="559"/>
        <v>Oxfordshire History Centre</v>
      </c>
      <c r="HA68" s="59">
        <f t="shared" si="215"/>
        <v>0</v>
      </c>
      <c r="HB68" s="59">
        <f t="shared" si="216"/>
        <v>0</v>
      </c>
      <c r="HC68" s="59">
        <f t="shared" si="217"/>
        <v>0</v>
      </c>
      <c r="HD68" s="59">
        <f t="shared" si="218"/>
        <v>0</v>
      </c>
      <c r="HE68" s="59">
        <f t="shared" si="219"/>
        <v>0</v>
      </c>
      <c r="HF68" s="58">
        <f t="shared" si="220"/>
        <v>0</v>
      </c>
      <c r="HG68" s="45">
        <f t="shared" si="221"/>
        <v>59</v>
      </c>
      <c r="HH68" s="45">
        <f t="shared" si="560"/>
        <v>2.7289999999999996</v>
      </c>
      <c r="HI68" s="45">
        <f t="shared" si="222"/>
        <v>1</v>
      </c>
      <c r="HJ68" s="45">
        <f t="shared" si="223"/>
        <v>2</v>
      </c>
      <c r="HK68" s="46" cm="1">
        <f t="array" ref="HK68">ROUND(IFERROR(INDEX(ArchiveResults!$F$5:$IX$116,ComparisonData!A68,ComparisonData!$HK$1),0),5)</f>
        <v>0</v>
      </c>
      <c r="HL68" s="46" cm="1">
        <f t="array" ref="HL68">ROUND(IFERROR(INDEX(ArchiveResults!$F$5:$IX$116,ComparisonData!A68,ComparisonData!$HL$1),0),5)</f>
        <v>0</v>
      </c>
      <c r="HM68" s="46" cm="1">
        <f t="array" ref="HM68">ROUND(IFERROR(INDEX(ArchiveResults!$F$5:$IX$116,ComparisonData!A68,ComparisonData!$HM$1),0),5)</f>
        <v>0</v>
      </c>
      <c r="HN68" s="46" cm="1">
        <f t="array" ref="HN68">ROUND(IFERROR(INDEX(ArchiveResults!$F$5:$IX$116,ComparisonData!A68,ComparisonData!$HN$1),0),5)</f>
        <v>0</v>
      </c>
      <c r="HO68" s="45" cm="1">
        <f t="array" ref="HO68">IFERROR(INDEX(ArchiveResults!$F$5:$IX$116,ComparisonData!A68,ComparisonData!$HO$1),0)</f>
        <v>0</v>
      </c>
      <c r="HP68" s="56">
        <v>63</v>
      </c>
      <c r="HQ68" s="53" t="str">
        <f t="shared" si="561"/>
        <v>Oxfordshire History Centre</v>
      </c>
      <c r="HR68" s="59">
        <f t="shared" si="562"/>
        <v>0</v>
      </c>
      <c r="HS68" s="59">
        <f t="shared" si="563"/>
        <v>0</v>
      </c>
      <c r="HT68" s="59">
        <f t="shared" si="564"/>
        <v>0</v>
      </c>
      <c r="HU68" s="59">
        <f t="shared" si="565"/>
        <v>0</v>
      </c>
      <c r="HV68" s="59">
        <f t="shared" si="566"/>
        <v>0</v>
      </c>
      <c r="HW68" s="58">
        <f t="shared" si="224"/>
        <v>0</v>
      </c>
      <c r="HX68" s="45">
        <f t="shared" si="225"/>
        <v>59</v>
      </c>
      <c r="HY68" s="45">
        <f t="shared" si="567"/>
        <v>2.7289999999999996</v>
      </c>
      <c r="HZ68" s="45">
        <f t="shared" si="226"/>
        <v>1</v>
      </c>
      <c r="IA68" s="45">
        <f t="shared" si="227"/>
        <v>2</v>
      </c>
      <c r="IB68" s="45">
        <f t="shared" si="228"/>
        <v>0</v>
      </c>
      <c r="IC68" s="46" cm="1">
        <f t="array" ref="IC68">ROUND(IFERROR(INDEX(ArchiveResults!$F$5:$IX$116,ComparisonData!A68,ComparisonData!$IC$1),0),5)</f>
        <v>0</v>
      </c>
      <c r="ID68" s="46" cm="1">
        <f t="array" ref="ID68">ROUND(IFERROR(INDEX(ArchiveResults!$F$5:$IX$116,ComparisonData!A68,ComparisonData!$ID$1),0),5)</f>
        <v>0</v>
      </c>
      <c r="IE68" s="46" cm="1">
        <f t="array" ref="IE68">ROUND(IFERROR(INDEX(ArchiveResults!$F$5:$IX$116,ComparisonData!A68,ComparisonData!$IE$1),0),5)</f>
        <v>0</v>
      </c>
      <c r="IF68" s="46" cm="1">
        <f t="array" ref="IF68">ROUND(IFERROR(INDEX(ArchiveResults!$F$5:$IX$116,ComparisonData!A68,ComparisonData!$IF$1),0),5)</f>
        <v>0</v>
      </c>
      <c r="IG68" s="45" cm="1">
        <f t="array" ref="IG68">IFERROR(INDEX(ArchiveResults!$F$5:$IX$116,ComparisonData!A68,ComparisonData!$IG$1),0)</f>
        <v>0</v>
      </c>
      <c r="IH68" s="56">
        <v>63</v>
      </c>
      <c r="II68" s="53" t="str">
        <f t="shared" si="568"/>
        <v>Oxfordshire History Centre</v>
      </c>
      <c r="IJ68" s="59">
        <f t="shared" si="229"/>
        <v>0</v>
      </c>
      <c r="IK68" s="59">
        <f t="shared" si="230"/>
        <v>0</v>
      </c>
      <c r="IL68" s="59">
        <f t="shared" si="231"/>
        <v>0</v>
      </c>
      <c r="IM68" s="59">
        <f t="shared" si="232"/>
        <v>0</v>
      </c>
      <c r="IN68" s="59">
        <f t="shared" si="233"/>
        <v>0</v>
      </c>
      <c r="IO68" s="58">
        <f t="shared" si="234"/>
        <v>0</v>
      </c>
      <c r="IP68" s="45">
        <f t="shared" si="235"/>
        <v>59</v>
      </c>
      <c r="IQ68" s="45">
        <f t="shared" si="569"/>
        <v>2.7289999999999996</v>
      </c>
      <c r="IR68" s="45">
        <f t="shared" si="236"/>
        <v>1</v>
      </c>
      <c r="IS68" s="45">
        <f t="shared" si="237"/>
        <v>2</v>
      </c>
      <c r="IT68" s="46">
        <f t="shared" si="238"/>
        <v>0</v>
      </c>
      <c r="IU68" s="46" cm="1">
        <f t="array" ref="IU68">ROUND(IFERROR(INDEX(ArchiveResults!$F$5:$IX$116,ComparisonData!A68,ComparisonData!$IU$1),0),5)</f>
        <v>0</v>
      </c>
      <c r="IV68" s="46" cm="1">
        <f t="array" ref="IV68">ROUND(IFERROR(INDEX(ArchiveResults!$F$5:$IX$116,ComparisonData!A68,ComparisonData!$IV$1),0),5)</f>
        <v>0</v>
      </c>
      <c r="IW68" s="46" cm="1">
        <f t="array" ref="IW68">ROUND(IFERROR(INDEX(ArchiveResults!$F$5:$IX$116,ComparisonData!A68,ComparisonData!$IW$1),0),5)</f>
        <v>0</v>
      </c>
      <c r="IX68" s="46" cm="1">
        <f t="array" ref="IX68">ROUND(IFERROR(INDEX(ArchiveResults!$F$5:$IX$116,ComparisonData!A68,ComparisonData!$IX$1),0),5)</f>
        <v>0</v>
      </c>
      <c r="IY68" s="45" cm="1">
        <f t="array" ref="IY68">IFERROR(INDEX(ArchiveResults!$F$5:$IX$116,ComparisonData!A68,ComparisonData!$IY$1),0)</f>
        <v>0</v>
      </c>
      <c r="IZ68" s="56">
        <v>63</v>
      </c>
      <c r="JA68" s="53" t="str">
        <f t="shared" si="570"/>
        <v>Oxfordshire History Centre</v>
      </c>
      <c r="JB68" s="59">
        <f t="shared" si="239"/>
        <v>0</v>
      </c>
      <c r="JC68" s="59">
        <f t="shared" si="240"/>
        <v>0</v>
      </c>
      <c r="JD68" s="59">
        <f t="shared" si="241"/>
        <v>0</v>
      </c>
      <c r="JE68" s="59">
        <f t="shared" si="242"/>
        <v>0</v>
      </c>
      <c r="JF68" s="59">
        <f t="shared" si="243"/>
        <v>0</v>
      </c>
      <c r="JG68" s="58">
        <f t="shared" si="244"/>
        <v>0</v>
      </c>
      <c r="JH68" s="45">
        <f t="shared" si="245"/>
        <v>59</v>
      </c>
      <c r="JI68" s="45">
        <f t="shared" si="571"/>
        <v>2.7289999999999996</v>
      </c>
      <c r="JJ68" s="45">
        <f t="shared" si="246"/>
        <v>1</v>
      </c>
      <c r="JK68" s="45">
        <f t="shared" si="247"/>
        <v>2</v>
      </c>
      <c r="JL68" s="45">
        <f t="shared" si="248"/>
        <v>0</v>
      </c>
      <c r="JM68" s="46" cm="1">
        <f t="array" ref="JM68">ROUND(IFERROR(INDEX(ArchiveResults!$F$5:$IX$116,ComparisonData!A68,ComparisonData!$JM$1),0),5)</f>
        <v>0</v>
      </c>
      <c r="JN68" s="46" cm="1">
        <f t="array" ref="JN68">ROUND(IFERROR(INDEX(ArchiveResults!$F$5:$IX$116,ComparisonData!A68,ComparisonData!$JN$1),0),5)</f>
        <v>0</v>
      </c>
      <c r="JO68" s="46" cm="1">
        <f t="array" ref="JO68">ROUND(IFERROR(INDEX(ArchiveResults!$F$5:$IX$116,ComparisonData!A68,ComparisonData!$JO$1),0),5)</f>
        <v>0</v>
      </c>
      <c r="JP68" s="46" cm="1">
        <f t="array" ref="JP68">ROUND(IFERROR(INDEX(ArchiveResults!$F$5:$IX$116,ComparisonData!A68,ComparisonData!$JP$1),0),5)</f>
        <v>0</v>
      </c>
      <c r="JQ68" s="45" cm="1">
        <f t="array" ref="JQ68">IFERROR(INDEX(ArchiveResults!$F$5:$IX$116,ComparisonData!A68,ComparisonData!$JQ$1),0)</f>
        <v>0</v>
      </c>
      <c r="JR68" s="56">
        <v>63</v>
      </c>
      <c r="JS68" s="53" t="str">
        <f t="shared" si="572"/>
        <v>Oxfordshire History Centre</v>
      </c>
      <c r="JT68" s="59">
        <f t="shared" si="249"/>
        <v>0</v>
      </c>
      <c r="JU68" s="59">
        <f t="shared" si="250"/>
        <v>0</v>
      </c>
      <c r="JV68" s="59">
        <f t="shared" si="251"/>
        <v>0</v>
      </c>
      <c r="JW68" s="59">
        <f t="shared" si="252"/>
        <v>0</v>
      </c>
      <c r="JX68" s="59">
        <f t="shared" si="253"/>
        <v>0</v>
      </c>
      <c r="JY68" s="58">
        <f t="shared" si="254"/>
        <v>0</v>
      </c>
      <c r="JZ68" s="45">
        <f t="shared" si="255"/>
        <v>59</v>
      </c>
      <c r="KA68" s="45">
        <f t="shared" si="573"/>
        <v>2.7289999999999996</v>
      </c>
      <c r="KB68" s="45">
        <f t="shared" si="256"/>
        <v>1</v>
      </c>
      <c r="KC68" s="45">
        <f t="shared" si="257"/>
        <v>2</v>
      </c>
      <c r="KD68" s="45">
        <f t="shared" si="258"/>
        <v>0</v>
      </c>
      <c r="KE68" s="46" cm="1">
        <f t="array" ref="KE68">ROUND(IFERROR(INDEX(ArchiveResults!$F$5:$IX$116,ComparisonData!A68,ComparisonData!$KE$1),0),5)</f>
        <v>0</v>
      </c>
      <c r="KF68" s="46" cm="1">
        <f t="array" ref="KF68">ROUND(IFERROR(INDEX(ArchiveResults!$F$5:$IX$116,ComparisonData!A68,ComparisonData!$KF$1),0),5)</f>
        <v>0</v>
      </c>
      <c r="KG68" s="46" cm="1">
        <f t="array" ref="KG68">ROUND(IFERROR(INDEX(ArchiveResults!$F$5:$IX$116,ComparisonData!A68,ComparisonData!$KG$1),0),5)</f>
        <v>0</v>
      </c>
      <c r="KH68" s="46" cm="1">
        <f t="array" ref="KH68">ROUND(IFERROR(INDEX(ArchiveResults!$F$5:$IX$116,ComparisonData!A68,ComparisonData!$KH$1),0),5)</f>
        <v>0</v>
      </c>
      <c r="KI68" s="45" cm="1">
        <f t="array" ref="KI68">IFERROR(INDEX(ArchiveResults!$F$5:$IX$116,ComparisonData!A68,ComparisonData!$KI$1),0)</f>
        <v>0</v>
      </c>
      <c r="KJ68" s="56">
        <v>63</v>
      </c>
      <c r="KK68" s="53" t="str">
        <f t="shared" si="574"/>
        <v>Oxfordshire History Centre</v>
      </c>
      <c r="KL68" s="59">
        <f t="shared" si="259"/>
        <v>0</v>
      </c>
      <c r="KM68" s="59">
        <f t="shared" si="260"/>
        <v>0</v>
      </c>
      <c r="KN68" s="59">
        <f t="shared" si="261"/>
        <v>0</v>
      </c>
      <c r="KO68" s="59">
        <f t="shared" si="262"/>
        <v>0</v>
      </c>
      <c r="KP68" s="59">
        <f t="shared" si="263"/>
        <v>0</v>
      </c>
      <c r="KQ68" s="58">
        <f t="shared" si="264"/>
        <v>0</v>
      </c>
      <c r="KR68" s="45">
        <f t="shared" si="265"/>
        <v>59</v>
      </c>
      <c r="KS68" s="45">
        <f t="shared" si="575"/>
        <v>2.7289999999999996</v>
      </c>
      <c r="KT68" s="45">
        <f t="shared" si="266"/>
        <v>1</v>
      </c>
      <c r="KU68" s="45">
        <f t="shared" si="267"/>
        <v>2</v>
      </c>
      <c r="KV68" s="45">
        <f t="shared" si="268"/>
        <v>0</v>
      </c>
      <c r="KW68" s="46" cm="1">
        <f t="array" ref="KW68">ROUND(IFERROR(INDEX(ArchiveResults!$F$5:$IX$116,ComparisonData!A68,ComparisonData!$KW$1),0),5)</f>
        <v>0</v>
      </c>
      <c r="KX68" s="46" cm="1">
        <f t="array" ref="KX68">ROUND(IFERROR(INDEX(ArchiveResults!$F$5:$IX$116,ComparisonData!A68,ComparisonData!$KX$1),0),5)</f>
        <v>0</v>
      </c>
      <c r="KY68" s="46" cm="1">
        <f t="array" ref="KY68">ROUND(IFERROR(INDEX(ArchiveResults!$F$5:$IX$116,ComparisonData!A68,ComparisonData!$KY$1),0),5)</f>
        <v>0</v>
      </c>
      <c r="KZ68" s="46" cm="1">
        <f t="array" ref="KZ68">ROUND(IFERROR(INDEX(ArchiveResults!$F$5:$IX$116,ComparisonData!A68,ComparisonData!$KZ$1),0),5)</f>
        <v>0</v>
      </c>
      <c r="LA68" s="45" cm="1">
        <f t="array" ref="LA68">IFERROR(INDEX(ArchiveResults!$F$5:$IX$116,ComparisonData!A68,ComparisonData!$LA$1),0)</f>
        <v>0</v>
      </c>
      <c r="LB68" s="56">
        <v>63</v>
      </c>
      <c r="LC68" s="53" t="str">
        <f t="shared" si="576"/>
        <v>Oxfordshire History Centre</v>
      </c>
      <c r="LD68" s="59">
        <f t="shared" si="269"/>
        <v>0</v>
      </c>
      <c r="LE68" s="59">
        <f t="shared" si="270"/>
        <v>0</v>
      </c>
      <c r="LF68" s="59">
        <f t="shared" si="271"/>
        <v>0</v>
      </c>
      <c r="LG68" s="59">
        <f t="shared" si="272"/>
        <v>0</v>
      </c>
      <c r="LH68" s="59">
        <f t="shared" si="273"/>
        <v>0</v>
      </c>
      <c r="LI68" s="58">
        <f t="shared" si="274"/>
        <v>0</v>
      </c>
      <c r="LJ68" s="45">
        <f t="shared" si="275"/>
        <v>59</v>
      </c>
      <c r="LK68" s="45">
        <f t="shared" si="577"/>
        <v>2.7289999999999996</v>
      </c>
      <c r="LL68" s="45">
        <f t="shared" si="276"/>
        <v>1</v>
      </c>
      <c r="LM68" s="45">
        <f t="shared" si="277"/>
        <v>2</v>
      </c>
      <c r="LN68" s="45">
        <f t="shared" si="278"/>
        <v>0</v>
      </c>
      <c r="LO68" s="46" cm="1">
        <f t="array" ref="LO68">ROUND(IFERROR(INDEX(ArchiveResults!$F$5:$IX$116,ComparisonData!A68,ComparisonData!$LO$1),0),5)</f>
        <v>0</v>
      </c>
      <c r="LP68" s="46" cm="1">
        <f t="array" ref="LP68">ROUND(IFERROR(INDEX(ArchiveResults!$F$5:$IX$116,ComparisonData!A68,ComparisonData!$LP$1),0),5)</f>
        <v>0</v>
      </c>
      <c r="LQ68" s="46" cm="1">
        <f t="array" ref="LQ68">ROUND(IFERROR(INDEX(ArchiveResults!$F$5:$IX$116,ComparisonData!A68,ComparisonData!$LQ$1),0),5)</f>
        <v>0</v>
      </c>
      <c r="LR68" s="46" cm="1">
        <f t="array" ref="LR68">ROUND(IFERROR(INDEX(ArchiveResults!$F$5:$IX$116,ComparisonData!A68,ComparisonData!$LR$1),0),5)</f>
        <v>0</v>
      </c>
      <c r="LS68" s="45" cm="1">
        <f t="array" ref="LS68">IFERROR(INDEX(ArchiveResults!$F$5:$IX$116,ComparisonData!A68,ComparisonData!$LS$1),0)</f>
        <v>0</v>
      </c>
      <c r="LT68" s="56">
        <v>63</v>
      </c>
      <c r="LU68" s="53" t="str">
        <f t="shared" si="578"/>
        <v>Oxfordshire History Centre</v>
      </c>
      <c r="LV68" s="59">
        <f t="shared" si="279"/>
        <v>0</v>
      </c>
      <c r="LW68" s="59">
        <f t="shared" si="280"/>
        <v>0</v>
      </c>
      <c r="LX68" s="59">
        <f t="shared" si="281"/>
        <v>0</v>
      </c>
      <c r="LY68" s="59">
        <f t="shared" si="282"/>
        <v>0</v>
      </c>
      <c r="LZ68" s="59">
        <f t="shared" si="283"/>
        <v>0</v>
      </c>
      <c r="MA68" s="58">
        <f t="shared" si="284"/>
        <v>0</v>
      </c>
      <c r="MB68" s="45">
        <f t="shared" si="285"/>
        <v>59</v>
      </c>
      <c r="MC68" s="45">
        <f t="shared" si="579"/>
        <v>2.7289999999999996</v>
      </c>
      <c r="MD68" s="45">
        <f t="shared" si="286"/>
        <v>1</v>
      </c>
      <c r="ME68" s="45">
        <f t="shared" si="287"/>
        <v>2</v>
      </c>
      <c r="MF68" s="45">
        <f t="shared" si="288"/>
        <v>0</v>
      </c>
      <c r="MG68" s="46" cm="1">
        <f t="array" ref="MG68">ROUND(IFERROR(INDEX(ArchiveResults!$F$5:$IX$116,ComparisonData!A68,ComparisonData!$MG$1),0),5)</f>
        <v>0</v>
      </c>
      <c r="MH68" s="46" cm="1">
        <f t="array" ref="MH68">ROUND(IFERROR(INDEX(ArchiveResults!$F$5:$IX$116,ComparisonData!A68,ComparisonData!$MH$1),0),5)</f>
        <v>0</v>
      </c>
      <c r="MI68" s="46" cm="1">
        <f t="array" ref="MI68">ROUND(IFERROR(INDEX(ArchiveResults!$F$5:$IX$116,ComparisonData!A68,ComparisonData!$MI$1),0),5)</f>
        <v>0</v>
      </c>
      <c r="MJ68" s="46" cm="1">
        <f t="array" ref="MJ68">ROUND(IFERROR(INDEX(ArchiveResults!$F$5:$IX$116,ComparisonData!A68,ComparisonData!$MJ$1),0),5)</f>
        <v>0</v>
      </c>
      <c r="MK68" s="45" cm="1">
        <f t="array" ref="MK68">IFERROR(INDEX(ArchiveResults!$F$5:$IX$116,ComparisonData!A68,ComparisonData!$MK$1),0)</f>
        <v>0</v>
      </c>
      <c r="ML68" s="56">
        <v>63</v>
      </c>
      <c r="MM68" s="53" t="str">
        <f t="shared" si="580"/>
        <v>Oxfordshire History Centre</v>
      </c>
      <c r="MN68" s="59">
        <f t="shared" si="289"/>
        <v>0</v>
      </c>
      <c r="MO68" s="59">
        <f t="shared" si="290"/>
        <v>0</v>
      </c>
      <c r="MP68" s="59">
        <f t="shared" si="291"/>
        <v>0</v>
      </c>
      <c r="MQ68" s="59">
        <f t="shared" si="292"/>
        <v>0</v>
      </c>
      <c r="MR68" s="59">
        <f t="shared" si="293"/>
        <v>0</v>
      </c>
      <c r="MS68" s="58">
        <f t="shared" si="294"/>
        <v>0</v>
      </c>
      <c r="MT68" s="45">
        <f t="shared" si="295"/>
        <v>59</v>
      </c>
      <c r="MU68" s="45">
        <f t="shared" si="581"/>
        <v>2.7289999999999996</v>
      </c>
      <c r="MV68" s="45">
        <f t="shared" si="296"/>
        <v>1</v>
      </c>
      <c r="MW68" s="45">
        <f t="shared" si="297"/>
        <v>2</v>
      </c>
      <c r="MX68" s="45">
        <f t="shared" si="298"/>
        <v>0</v>
      </c>
      <c r="MY68" s="46" cm="1">
        <f t="array" ref="MY68">ROUND(IFERROR(INDEX(ArchiveResults!$F$5:$IX$116,ComparisonData!A68,ComparisonData!$MY$1),0),5)</f>
        <v>0</v>
      </c>
      <c r="MZ68" s="46" cm="1">
        <f t="array" ref="MZ68">ROUND(IFERROR(INDEX(ArchiveResults!$F$5:$IX$116,ComparisonData!A68,ComparisonData!$MZ$1),0),5)</f>
        <v>0</v>
      </c>
      <c r="NA68" s="46" cm="1">
        <f t="array" ref="NA68">ROUND(IFERROR(INDEX(ArchiveResults!$F$5:$IX$116,ComparisonData!A68,ComparisonData!$NA$1),0),5)</f>
        <v>0</v>
      </c>
      <c r="NB68" s="46" cm="1">
        <f t="array" ref="NB68">ROUND(IFERROR(INDEX(ArchiveResults!$F$5:$IX$116,ComparisonData!A68,ComparisonData!$NB$1),0),5)</f>
        <v>0</v>
      </c>
      <c r="NC68" s="45" cm="1">
        <f t="array" ref="NC68">IFERROR(INDEX(ArchiveResults!$F$5:$IX$116,ComparisonData!A68,ComparisonData!$NC$1),0)</f>
        <v>0</v>
      </c>
      <c r="ND68" s="56">
        <v>63</v>
      </c>
      <c r="NE68" s="53" t="str">
        <f t="shared" si="582"/>
        <v>Oxfordshire History Centre</v>
      </c>
      <c r="NF68" s="59">
        <f t="shared" si="299"/>
        <v>0</v>
      </c>
      <c r="NG68" s="59">
        <f t="shared" si="300"/>
        <v>0</v>
      </c>
      <c r="NH68" s="59">
        <f t="shared" si="301"/>
        <v>0</v>
      </c>
      <c r="NI68" s="59">
        <f t="shared" si="302"/>
        <v>0</v>
      </c>
      <c r="NJ68" s="59">
        <f t="shared" si="303"/>
        <v>0</v>
      </c>
      <c r="NK68" s="58">
        <f t="shared" si="304"/>
        <v>0</v>
      </c>
      <c r="NL68" s="45">
        <f t="shared" si="305"/>
        <v>59</v>
      </c>
      <c r="NM68" s="45">
        <f t="shared" si="583"/>
        <v>2.7289999999999996</v>
      </c>
      <c r="NN68" s="45">
        <f t="shared" si="306"/>
        <v>1</v>
      </c>
      <c r="NO68" s="45">
        <f t="shared" si="307"/>
        <v>2</v>
      </c>
      <c r="NP68" s="46" cm="1">
        <f t="array" ref="NP68">ROUND(IFERROR(INDEX(ArchiveResults!$F$5:$IX$116,ComparisonData!A68,ComparisonData!$NP$1),0),5)</f>
        <v>0</v>
      </c>
      <c r="NQ68" s="46" cm="1">
        <f t="array" ref="NQ68">ROUND(IFERROR(INDEX(ArchiveResults!$F$5:$IX$116,ComparisonData!A68,ComparisonData!$NQ$1),0),5)</f>
        <v>0</v>
      </c>
      <c r="NR68" s="46" cm="1">
        <f t="array" ref="NR68">ROUND(IFERROR(INDEX(ArchiveResults!$F$5:$IX$116,ComparisonData!A68,ComparisonData!$NR$1),0),5)</f>
        <v>0</v>
      </c>
      <c r="NS68" s="46" cm="1">
        <f t="array" ref="NS68">ROUND(IFERROR(INDEX(ArchiveResults!$F$5:$IX$116,ComparisonData!A68,ComparisonData!$NS$1),0),5)</f>
        <v>0</v>
      </c>
      <c r="NT68" s="45" cm="1">
        <f t="array" ref="NT68">IFERROR(INDEX(ArchiveResults!$F$5:$IX$116,ComparisonData!A68,ComparisonData!$NT$1),0)</f>
        <v>0</v>
      </c>
      <c r="NU68" s="56">
        <v>63</v>
      </c>
      <c r="NV68" s="53" t="str">
        <f t="shared" si="584"/>
        <v>Oxfordshire History Centre</v>
      </c>
      <c r="NW68" s="59">
        <f t="shared" si="308"/>
        <v>0</v>
      </c>
      <c r="NX68" s="59">
        <f t="shared" si="309"/>
        <v>0</v>
      </c>
      <c r="NY68" s="59">
        <f t="shared" si="310"/>
        <v>0</v>
      </c>
      <c r="NZ68" s="59">
        <f t="shared" si="311"/>
        <v>0</v>
      </c>
      <c r="OA68" s="59">
        <f t="shared" si="312"/>
        <v>0</v>
      </c>
      <c r="OB68" s="58">
        <f t="shared" si="313"/>
        <v>0</v>
      </c>
      <c r="OC68" s="45">
        <f t="shared" si="314"/>
        <v>59</v>
      </c>
      <c r="OD68" s="45">
        <f t="shared" si="585"/>
        <v>2.7289999999999996</v>
      </c>
      <c r="OE68" s="45">
        <f t="shared" si="315"/>
        <v>1</v>
      </c>
      <c r="OF68" s="45">
        <f t="shared" si="316"/>
        <v>2</v>
      </c>
      <c r="OG68" s="46">
        <f t="shared" si="317"/>
        <v>0</v>
      </c>
      <c r="OH68" s="46" cm="1">
        <f t="array" ref="OH68">ROUND(IFERROR(INDEX(ArchiveResults!$F$5:$IX$116,ComparisonData!A68,ComparisonData!$OH$1),0),5)</f>
        <v>0</v>
      </c>
      <c r="OI68" s="46" cm="1">
        <f t="array" ref="OI68">ROUND(IFERROR(INDEX(ArchiveResults!$F$5:$IX$116,ComparisonData!A68,ComparisonData!$OI$1),0),5)</f>
        <v>0</v>
      </c>
      <c r="OJ68" s="46" cm="1">
        <f t="array" ref="OJ68">ROUND(IFERROR(INDEX(ArchiveResults!$F$5:$IX$116,ComparisonData!A68,ComparisonData!$OJ$1),0),5)</f>
        <v>0</v>
      </c>
      <c r="OK68" s="46" cm="1">
        <f t="array" ref="OK68">ROUND(IFERROR(INDEX(ArchiveResults!$F$5:$IX$116,ComparisonData!A68,ComparisonData!$OK$1),0),5)</f>
        <v>0</v>
      </c>
      <c r="OL68" s="45" cm="1">
        <f t="array" ref="OL68">IFERROR(INDEX(ArchiveResults!$F$5:$IX$116,ComparisonData!A68,ComparisonData!$OL$1),0)</f>
        <v>0</v>
      </c>
      <c r="OM68" s="56">
        <v>63</v>
      </c>
      <c r="ON68" s="53" t="str">
        <f t="shared" si="586"/>
        <v>Oxfordshire History Centre</v>
      </c>
      <c r="OO68" s="59">
        <f t="shared" si="318"/>
        <v>0</v>
      </c>
      <c r="OP68" s="59">
        <f t="shared" si="319"/>
        <v>0</v>
      </c>
      <c r="OQ68" s="59">
        <f t="shared" si="320"/>
        <v>0</v>
      </c>
      <c r="OR68" s="59">
        <f t="shared" si="321"/>
        <v>0</v>
      </c>
      <c r="OS68" s="59">
        <f t="shared" si="322"/>
        <v>0</v>
      </c>
      <c r="OT68" s="58">
        <f t="shared" si="323"/>
        <v>0</v>
      </c>
      <c r="OU68" s="45">
        <f t="shared" si="324"/>
        <v>59</v>
      </c>
      <c r="OV68" s="45">
        <f t="shared" si="587"/>
        <v>2.7289999999999996</v>
      </c>
      <c r="OW68" s="45">
        <f t="shared" si="325"/>
        <v>1</v>
      </c>
      <c r="OX68" s="45">
        <f t="shared" si="326"/>
        <v>2</v>
      </c>
      <c r="OY68" s="45">
        <f t="shared" si="327"/>
        <v>0</v>
      </c>
      <c r="OZ68" s="46" cm="1">
        <f t="array" ref="OZ68">ROUND(IFERROR(INDEX(ArchiveResults!$F$5:$IX$116,ComparisonData!A68,ComparisonData!$OZ$1),0),5)</f>
        <v>0</v>
      </c>
      <c r="PA68" s="46" cm="1">
        <f t="array" ref="PA68">ROUND(IFERROR(INDEX(ArchiveResults!$F$5:$IX$116,ComparisonData!A68,ComparisonData!$PA$1),0),5)</f>
        <v>0</v>
      </c>
      <c r="PB68" s="46" cm="1">
        <f t="array" ref="PB68">ROUND(IFERROR(INDEX(ArchiveResults!$F$5:$IX$116,ComparisonData!A68,ComparisonData!$PB$1),0),5)</f>
        <v>0</v>
      </c>
      <c r="PC68" s="46" cm="1">
        <f t="array" ref="PC68">ROUND(IFERROR(INDEX(ArchiveResults!$F$5:$IX$116,ComparisonData!A68,ComparisonData!$PC$1),0),5)</f>
        <v>0</v>
      </c>
      <c r="PD68" s="45" cm="1">
        <f t="array" ref="PD68">IFERROR(INDEX(ArchiveResults!$F$5:$IX$116,ComparisonData!A68,ComparisonData!$PD$1),0)</f>
        <v>0</v>
      </c>
      <c r="PE68" s="56">
        <v>63</v>
      </c>
      <c r="PF68" s="53" t="str">
        <f t="shared" si="588"/>
        <v>Oxfordshire History Centre</v>
      </c>
      <c r="PG68" s="59">
        <f t="shared" si="328"/>
        <v>0</v>
      </c>
      <c r="PH68" s="59">
        <f t="shared" si="329"/>
        <v>0</v>
      </c>
      <c r="PI68" s="59">
        <f t="shared" si="330"/>
        <v>0</v>
      </c>
      <c r="PJ68" s="59">
        <f t="shared" si="331"/>
        <v>0</v>
      </c>
      <c r="PK68" s="59">
        <f t="shared" si="332"/>
        <v>0</v>
      </c>
      <c r="PL68" s="58">
        <f t="shared" si="333"/>
        <v>0</v>
      </c>
      <c r="PM68" s="45">
        <f t="shared" si="334"/>
        <v>59</v>
      </c>
      <c r="PN68" s="45">
        <f t="shared" si="589"/>
        <v>2.7289999999999996</v>
      </c>
      <c r="PO68" s="45">
        <f t="shared" si="335"/>
        <v>1</v>
      </c>
      <c r="PP68" s="45">
        <f t="shared" si="336"/>
        <v>2</v>
      </c>
      <c r="PQ68" s="45">
        <f t="shared" si="337"/>
        <v>0</v>
      </c>
      <c r="PR68" s="46" cm="1">
        <f t="array" ref="PR68">ROUND(IFERROR(INDEX(ArchiveResults!$F$5:$IX$116,ComparisonData!A68,ComparisonData!$PR$1),0),5)</f>
        <v>0</v>
      </c>
      <c r="PS68" s="46" cm="1">
        <f t="array" ref="PS68">ROUND(IFERROR(INDEX(ArchiveResults!$F$5:$IX$116,ComparisonData!A68,ComparisonData!$PS$1),0),5)</f>
        <v>0</v>
      </c>
      <c r="PT68" s="46" cm="1">
        <f t="array" ref="PT68">ROUND(IFERROR(INDEX(ArchiveResults!$F$5:$IX$116,ComparisonData!A68,ComparisonData!$PT$1),0),5)</f>
        <v>0</v>
      </c>
      <c r="PU68" s="46" cm="1">
        <f t="array" ref="PU68">ROUND(IFERROR(INDEX(ArchiveResults!$F$5:$IX$116,ComparisonData!A68,ComparisonData!$PU$1),0),5)</f>
        <v>0</v>
      </c>
      <c r="PV68" s="45" cm="1">
        <f t="array" ref="PV68">IFERROR(INDEX(ArchiveResults!$F$5:$IX$116,ComparisonData!A68,ComparisonData!$PV$1),0)</f>
        <v>0</v>
      </c>
      <c r="PW68" s="56">
        <v>63</v>
      </c>
      <c r="PX68" s="53" t="str">
        <f t="shared" si="590"/>
        <v>Oxfordshire History Centre</v>
      </c>
      <c r="PY68" s="59">
        <f t="shared" si="338"/>
        <v>0</v>
      </c>
      <c r="PZ68" s="59">
        <f t="shared" si="339"/>
        <v>0</v>
      </c>
      <c r="QA68" s="59">
        <f t="shared" si="340"/>
        <v>0</v>
      </c>
      <c r="QB68" s="59">
        <f t="shared" si="341"/>
        <v>0</v>
      </c>
      <c r="QC68" s="59">
        <f t="shared" si="342"/>
        <v>0</v>
      </c>
      <c r="QD68" s="58">
        <f t="shared" si="343"/>
        <v>0</v>
      </c>
      <c r="QE68" s="45">
        <f t="shared" si="344"/>
        <v>59</v>
      </c>
      <c r="QF68" s="45">
        <f t="shared" si="591"/>
        <v>2.7289999999999996</v>
      </c>
      <c r="QG68" s="45">
        <f t="shared" si="345"/>
        <v>1</v>
      </c>
      <c r="QH68" s="45">
        <f t="shared" si="346"/>
        <v>2</v>
      </c>
      <c r="QI68" s="45">
        <f t="shared" si="347"/>
        <v>0</v>
      </c>
      <c r="QJ68" s="46" cm="1">
        <f t="array" ref="QJ68">ROUND(IFERROR(INDEX(ArchiveResults!$F$5:$IX$116,ComparisonData!A68,ComparisonData!$QJ$1),0),5)</f>
        <v>0</v>
      </c>
      <c r="QK68" s="46" cm="1">
        <f t="array" ref="QK68">ROUND(IFERROR(INDEX(ArchiveResults!$F$5:$IX$116,ComparisonData!A68,ComparisonData!$QK$1),0),5)</f>
        <v>0</v>
      </c>
      <c r="QL68" s="46" cm="1">
        <f t="array" ref="QL68">ROUND(IFERROR(INDEX(ArchiveResults!$F$5:$IX$116,ComparisonData!A68,ComparisonData!$QL$1),0),5)</f>
        <v>0</v>
      </c>
      <c r="QM68" s="46" cm="1">
        <f t="array" ref="QM68">ROUND(IFERROR(INDEX(ArchiveResults!$F$5:$IX$116,ComparisonData!A68,ComparisonData!$QM$1),0),5)</f>
        <v>0</v>
      </c>
      <c r="QN68" s="45" cm="1">
        <f t="array" ref="QN68">IFERROR(INDEX(ArchiveResults!$F$5:$IX$116,ComparisonData!A68,ComparisonData!$QN$1),0)</f>
        <v>0</v>
      </c>
      <c r="QO68" s="56">
        <v>63</v>
      </c>
      <c r="QP68" s="53" t="str">
        <f t="shared" si="592"/>
        <v>Oxfordshire History Centre</v>
      </c>
      <c r="QQ68" s="59">
        <f t="shared" si="348"/>
        <v>0</v>
      </c>
      <c r="QR68" s="59">
        <f t="shared" si="349"/>
        <v>0</v>
      </c>
      <c r="QS68" s="59">
        <f t="shared" si="350"/>
        <v>0</v>
      </c>
      <c r="QT68" s="59">
        <f t="shared" si="351"/>
        <v>0</v>
      </c>
      <c r="QU68" s="59">
        <f t="shared" si="352"/>
        <v>0</v>
      </c>
      <c r="QV68" s="58">
        <f t="shared" si="353"/>
        <v>0</v>
      </c>
      <c r="QW68" s="45">
        <f t="shared" si="354"/>
        <v>59</v>
      </c>
      <c r="QX68" s="45">
        <f t="shared" si="593"/>
        <v>2.7289999999999996</v>
      </c>
      <c r="QY68" s="45">
        <f t="shared" si="355"/>
        <v>1</v>
      </c>
      <c r="QZ68" s="45">
        <f t="shared" si="356"/>
        <v>2</v>
      </c>
      <c r="RA68" s="45">
        <f t="shared" si="357"/>
        <v>0</v>
      </c>
      <c r="RB68" s="46" cm="1">
        <f t="array" ref="RB68">ROUND(IFERROR(INDEX(ArchiveResults!$F$5:$IX$116,ComparisonData!A68,ComparisonData!$RB$1),0),5)</f>
        <v>0</v>
      </c>
      <c r="RC68" s="46" cm="1">
        <f t="array" ref="RC68">ROUND(IFERROR(INDEX(ArchiveResults!$F$5:$IX$116,ComparisonData!A68,ComparisonData!$RC$1),0),5)</f>
        <v>0</v>
      </c>
      <c r="RD68" s="46" cm="1">
        <f t="array" ref="RD68">ROUND(IFERROR(INDEX(ArchiveResults!$F$5:$IX$116,ComparisonData!A68,ComparisonData!$RD$1),0),5)</f>
        <v>0</v>
      </c>
      <c r="RE68" s="46" cm="1">
        <f t="array" ref="RE68">ROUND(IFERROR(INDEX(ArchiveResults!$F$5:$IX$116,ComparisonData!A68,ComparisonData!$RE$1),0),5)</f>
        <v>0</v>
      </c>
      <c r="RF68" s="45" cm="1">
        <f t="array" ref="RF68">IFERROR(INDEX(ArchiveResults!$F$5:$IX$116,ComparisonData!A68,ComparisonData!$RF$1),0)</f>
        <v>0</v>
      </c>
      <c r="RG68" s="56">
        <v>63</v>
      </c>
      <c r="RH68" s="53" t="str">
        <f t="shared" si="594"/>
        <v>Oxfordshire History Centre</v>
      </c>
      <c r="RI68" s="59">
        <f t="shared" si="358"/>
        <v>0</v>
      </c>
      <c r="RJ68" s="59">
        <f t="shared" si="359"/>
        <v>0</v>
      </c>
      <c r="RK68" s="59">
        <f t="shared" si="360"/>
        <v>0</v>
      </c>
      <c r="RL68" s="59">
        <f t="shared" si="361"/>
        <v>0</v>
      </c>
      <c r="RM68" s="59">
        <f t="shared" si="362"/>
        <v>0</v>
      </c>
      <c r="RN68" s="58">
        <f t="shared" si="363"/>
        <v>0</v>
      </c>
      <c r="RO68" s="45">
        <f t="shared" si="364"/>
        <v>59</v>
      </c>
      <c r="RP68" s="45">
        <f t="shared" si="595"/>
        <v>2.7289999999999996</v>
      </c>
      <c r="RQ68" s="45">
        <f t="shared" si="365"/>
        <v>1</v>
      </c>
      <c r="RR68" s="45">
        <f t="shared" si="366"/>
        <v>2</v>
      </c>
      <c r="RS68" s="45">
        <f t="shared" si="367"/>
        <v>0</v>
      </c>
      <c r="RT68" s="46" cm="1">
        <f t="array" ref="RT68">ROUND(IFERROR(INDEX(ArchiveResults!$F$5:$IX$116,ComparisonData!A68,ComparisonData!$RT$1),0),5)</f>
        <v>0</v>
      </c>
      <c r="RU68" s="46" cm="1">
        <f t="array" ref="RU68">ROUND(IFERROR(INDEX(ArchiveResults!$F$5:$IX$116,ComparisonData!A68,ComparisonData!$RU$1),0),5)</f>
        <v>0</v>
      </c>
      <c r="RV68" s="46" cm="1">
        <f t="array" ref="RV68">ROUND(IFERROR(INDEX(ArchiveResults!$F$5:$IX$116,ComparisonData!A68,ComparisonData!$RV$1),0),5)</f>
        <v>0</v>
      </c>
      <c r="RW68" s="46" cm="1">
        <f t="array" ref="RW68">ROUND(IFERROR(INDEX(ArchiveResults!$F$5:$IX$116,ComparisonData!A68,ComparisonData!$RW$1),0),5)</f>
        <v>0</v>
      </c>
      <c r="RX68" s="45" cm="1">
        <f t="array" ref="RX68">IFERROR(INDEX(ArchiveResults!$F$5:$IX$116,ComparisonData!A68,ComparisonData!$RX$1),0)</f>
        <v>0</v>
      </c>
      <c r="RY68" s="56">
        <v>63</v>
      </c>
      <c r="RZ68" s="53" t="str">
        <f t="shared" si="596"/>
        <v>Oxfordshire History Centre</v>
      </c>
      <c r="SA68" s="59">
        <f t="shared" si="368"/>
        <v>0</v>
      </c>
      <c r="SB68" s="59">
        <f t="shared" si="369"/>
        <v>0</v>
      </c>
      <c r="SC68" s="59">
        <f t="shared" si="370"/>
        <v>0</v>
      </c>
      <c r="SD68" s="59">
        <f t="shared" si="371"/>
        <v>0</v>
      </c>
      <c r="SE68" s="59">
        <f t="shared" si="372"/>
        <v>0</v>
      </c>
      <c r="SF68" s="58">
        <f t="shared" si="373"/>
        <v>0</v>
      </c>
      <c r="SG68" s="45">
        <f t="shared" si="374"/>
        <v>59</v>
      </c>
      <c r="SH68" s="45">
        <f t="shared" si="597"/>
        <v>2.7289999999999996</v>
      </c>
      <c r="SI68" s="45">
        <f t="shared" si="375"/>
        <v>1</v>
      </c>
      <c r="SJ68" s="45">
        <f t="shared" si="376"/>
        <v>2</v>
      </c>
      <c r="SK68" s="45">
        <f t="shared" si="377"/>
        <v>0</v>
      </c>
      <c r="SL68" s="46" cm="1">
        <f t="array" ref="SL68">ROUND(IFERROR(INDEX(ArchiveResults!$F$5:$IX$116,ComparisonData!A68,ComparisonData!$SL$1),0),5)</f>
        <v>0</v>
      </c>
      <c r="SM68" s="46" cm="1">
        <f t="array" ref="SM68">ROUND(IFERROR(INDEX(ArchiveResults!$F$5:$IX$116,ComparisonData!A68,ComparisonData!$SM$1),0),5)</f>
        <v>0</v>
      </c>
      <c r="SN68" s="46" cm="1">
        <f t="array" ref="SN68">ROUND(IFERROR(INDEX(ArchiveResults!$F$5:$IX$116,ComparisonData!A68,ComparisonData!$SN$1),0),5)</f>
        <v>0</v>
      </c>
      <c r="SO68" s="46" cm="1">
        <f t="array" ref="SO68">ROUND(IFERROR(INDEX(ArchiveResults!$F$5:$IX$116,ComparisonData!A68,ComparisonData!$SO$1),0),5)</f>
        <v>0</v>
      </c>
      <c r="SP68" s="45" cm="1">
        <f t="array" ref="SP68">IFERROR(INDEX(ArchiveResults!$F$5:$IX$116,ComparisonData!A68,ComparisonData!$SP$1),0)</f>
        <v>0</v>
      </c>
      <c r="SQ68" s="56">
        <v>63</v>
      </c>
      <c r="SR68" s="53" t="str">
        <f t="shared" si="598"/>
        <v>Oxfordshire History Centre</v>
      </c>
      <c r="SS68" s="59">
        <f t="shared" si="378"/>
        <v>0</v>
      </c>
      <c r="ST68" s="59">
        <f t="shared" si="379"/>
        <v>0</v>
      </c>
      <c r="SU68" s="59">
        <f t="shared" si="380"/>
        <v>0</v>
      </c>
      <c r="SV68" s="59">
        <f t="shared" si="381"/>
        <v>0</v>
      </c>
      <c r="SW68" s="59">
        <f t="shared" si="382"/>
        <v>0</v>
      </c>
      <c r="SX68" s="58">
        <f t="shared" si="383"/>
        <v>0</v>
      </c>
      <c r="SY68" s="45">
        <f t="shared" si="384"/>
        <v>59</v>
      </c>
      <c r="SZ68" s="45">
        <f t="shared" si="599"/>
        <v>2.7289999999999996</v>
      </c>
      <c r="TA68" s="45">
        <f t="shared" si="385"/>
        <v>1</v>
      </c>
      <c r="TB68" s="45">
        <f t="shared" si="386"/>
        <v>2</v>
      </c>
      <c r="TC68" s="45">
        <f t="shared" si="387"/>
        <v>0</v>
      </c>
      <c r="TD68" s="46" cm="1">
        <f t="array" ref="TD68">ROUND(IFERROR(INDEX(ArchiveResults!$F$5:$IX$116,ComparisonData!A68,ComparisonData!$TD$1),0),5)</f>
        <v>0</v>
      </c>
      <c r="TE68" s="46" cm="1">
        <f t="array" ref="TE68">ROUND(IFERROR(INDEX(ArchiveResults!$F$5:$IX$116,ComparisonData!A68,ComparisonData!$TE$1),0),5)</f>
        <v>0</v>
      </c>
      <c r="TF68" s="46" cm="1">
        <f t="array" ref="TF68">ROUND(IFERROR(INDEX(ArchiveResults!$F$5:$IX$116,ComparisonData!A68,ComparisonData!$TF$1),0),5)</f>
        <v>0</v>
      </c>
      <c r="TG68" s="46" cm="1">
        <f t="array" ref="TG68">ROUND(IFERROR(INDEX(ArchiveResults!$F$5:$IX$116,ComparisonData!A68,ComparisonData!$TG$1),0),5)</f>
        <v>0</v>
      </c>
      <c r="TH68" s="45" cm="1">
        <f t="array" ref="TH68">IFERROR(INDEX(ArchiveResults!$F$5:$IX$116,ComparisonData!A68,ComparisonData!$TH$1),0)</f>
        <v>0</v>
      </c>
      <c r="TI68" s="56">
        <v>63</v>
      </c>
      <c r="TJ68" s="53" t="str">
        <f t="shared" si="600"/>
        <v>Oxfordshire History Centre</v>
      </c>
      <c r="TK68" s="59">
        <f t="shared" si="388"/>
        <v>0</v>
      </c>
      <c r="TL68" s="59">
        <f t="shared" si="389"/>
        <v>0</v>
      </c>
      <c r="TM68" s="59">
        <f t="shared" si="390"/>
        <v>0</v>
      </c>
      <c r="TN68" s="59">
        <f t="shared" si="391"/>
        <v>0</v>
      </c>
      <c r="TO68" s="59">
        <f t="shared" si="392"/>
        <v>0</v>
      </c>
      <c r="TP68" s="58">
        <f t="shared" si="393"/>
        <v>0</v>
      </c>
      <c r="TQ68" s="45">
        <f t="shared" si="394"/>
        <v>59</v>
      </c>
      <c r="TR68" s="45">
        <f t="shared" si="601"/>
        <v>2.7289999999999996</v>
      </c>
      <c r="TS68" s="45">
        <f t="shared" si="395"/>
        <v>1</v>
      </c>
      <c r="TT68" s="45">
        <f t="shared" si="396"/>
        <v>2</v>
      </c>
      <c r="TU68" s="45">
        <f t="shared" si="397"/>
        <v>0</v>
      </c>
      <c r="TV68" s="46" cm="1">
        <f t="array" ref="TV68">ROUND(IFERROR(INDEX(ArchiveResults!$F$5:$IX$116,ComparisonData!A68,ComparisonData!$TV$1),0),5)</f>
        <v>0</v>
      </c>
      <c r="TW68" s="46" cm="1">
        <f t="array" ref="TW68">ROUND(IFERROR(INDEX(ArchiveResults!$F$5:$IX$116,ComparisonData!A68,ComparisonData!$TW$1),0),5)</f>
        <v>0</v>
      </c>
      <c r="TX68" s="46" cm="1">
        <f t="array" ref="TX68">ROUND(IFERROR(INDEX(ArchiveResults!$F$5:$IX$116,ComparisonData!A68,ComparisonData!$TX$1),0),5)</f>
        <v>0</v>
      </c>
      <c r="TY68" s="46" cm="1">
        <f t="array" ref="TY68">ROUND(IFERROR(INDEX(ArchiveResults!$F$5:$IX$116,ComparisonData!A68,ComparisonData!$TY$1),0),5)</f>
        <v>0</v>
      </c>
      <c r="TZ68" s="45" cm="1">
        <f t="array" ref="TZ68">IFERROR(INDEX(ArchiveResults!$F$5:$IX$116,ComparisonData!A68,ComparisonData!$TZ$1),0)</f>
        <v>0</v>
      </c>
      <c r="UA68" s="56">
        <v>63</v>
      </c>
      <c r="UB68" s="53" t="str">
        <f t="shared" si="602"/>
        <v>Oxfordshire History Centre</v>
      </c>
      <c r="UC68" s="60">
        <f t="shared" si="398"/>
        <v>0</v>
      </c>
      <c r="UD68" s="60">
        <f t="shared" si="399"/>
        <v>0</v>
      </c>
      <c r="UE68" s="60">
        <f t="shared" si="400"/>
        <v>0</v>
      </c>
      <c r="UF68" s="60">
        <f t="shared" si="401"/>
        <v>0</v>
      </c>
      <c r="UG68" s="60">
        <f t="shared" si="402"/>
        <v>0</v>
      </c>
      <c r="UH68" s="58">
        <f t="shared" si="403"/>
        <v>0</v>
      </c>
      <c r="UI68" s="46">
        <f t="shared" si="404"/>
        <v>59</v>
      </c>
      <c r="UJ68" s="46">
        <f t="shared" si="603"/>
        <v>2.7289999999999996</v>
      </c>
      <c r="UK68" s="46">
        <f t="shared" si="405"/>
        <v>1</v>
      </c>
      <c r="UL68" s="46">
        <f t="shared" si="406"/>
        <v>2</v>
      </c>
      <c r="UM68" s="46" cm="1">
        <f t="array" ref="UM68">ROUND(IFERROR(INDEX(ArchiveResults!$F$5:$IX$116,ComparisonData!A68,ComparisonData!$UM$1),0),5)</f>
        <v>0</v>
      </c>
      <c r="UN68" s="56">
        <v>63</v>
      </c>
      <c r="UO68" s="53" t="str">
        <f t="shared" si="604"/>
        <v>Oxfordshire History Centre</v>
      </c>
      <c r="UP68" s="46">
        <f t="shared" si="407"/>
        <v>0</v>
      </c>
      <c r="UQ68" s="76">
        <f t="shared" si="408"/>
        <v>0</v>
      </c>
      <c r="UR68" s="46">
        <f t="shared" si="409"/>
        <v>59</v>
      </c>
      <c r="US68" s="46">
        <f t="shared" si="605"/>
        <v>2.7289999999999996</v>
      </c>
      <c r="UT68" s="46">
        <f t="shared" si="410"/>
        <v>1</v>
      </c>
      <c r="UU68" s="46">
        <f t="shared" si="411"/>
        <v>2</v>
      </c>
      <c r="UV68" s="46">
        <f t="shared" si="412"/>
        <v>0</v>
      </c>
      <c r="UW68" s="46" cm="1">
        <f t="array" ref="UW68">ROUND(IFERROR(INDEX(ArchiveResults!$F$5:$IX$116,ComparisonData!A68,ComparisonData!$UW$1),0),5)</f>
        <v>0</v>
      </c>
      <c r="UX68" s="46" cm="1">
        <f t="array" ref="UX68">ROUND(IFERROR(INDEX(ArchiveResults!$F$5:$IX$116,ComparisonData!A68,ComparisonData!$UX$1),0),5)</f>
        <v>0</v>
      </c>
      <c r="UY68" s="46" cm="1">
        <f t="array" ref="UY68">ROUND(IFERROR(INDEX(ArchiveResults!$F$5:$IX$116,ComparisonData!A68,ComparisonData!$UY$1),0),5)</f>
        <v>0</v>
      </c>
      <c r="UZ68" s="46" cm="1">
        <f t="array" ref="UZ68">ROUND(IFERROR(INDEX(ArchiveResults!$F$5:$IX$116,ComparisonData!A68,ComparisonData!$UZ$1),0),5)</f>
        <v>0</v>
      </c>
      <c r="VA68" s="46" cm="1">
        <f t="array" ref="VA68">ROUND(IFERROR(INDEX(ArchiveResults!$F$5:$IX$116,ComparisonData!A68,ComparisonData!$VA$1),0),5)</f>
        <v>0</v>
      </c>
      <c r="VB68" s="56">
        <v>63</v>
      </c>
      <c r="VC68" s="53" t="str">
        <f t="shared" si="606"/>
        <v>Oxfordshire History Centre</v>
      </c>
      <c r="VD68" s="60">
        <f t="shared" si="413"/>
        <v>0</v>
      </c>
      <c r="VE68" s="60">
        <f t="shared" si="414"/>
        <v>0</v>
      </c>
      <c r="VF68" s="60">
        <f t="shared" si="415"/>
        <v>0</v>
      </c>
      <c r="VG68" s="60">
        <f t="shared" si="416"/>
        <v>0</v>
      </c>
      <c r="VH68" s="60">
        <f t="shared" si="417"/>
        <v>0</v>
      </c>
      <c r="VI68" s="76">
        <f t="shared" si="418"/>
        <v>0</v>
      </c>
      <c r="VJ68" s="46">
        <f t="shared" si="419"/>
        <v>59</v>
      </c>
      <c r="VK68" s="46">
        <f t="shared" si="607"/>
        <v>2.7289999999999996</v>
      </c>
      <c r="VL68" s="46">
        <f t="shared" si="420"/>
        <v>1</v>
      </c>
      <c r="VM68" s="46">
        <f t="shared" si="421"/>
        <v>2</v>
      </c>
      <c r="VN68" s="46" cm="1">
        <f t="array" ref="VN68">ROUND(IFERROR(INDEX(ArchiveResults!$F$5:$IX$116,ComparisonData!A68,ComparisonData!$VN$1),0),5)</f>
        <v>0</v>
      </c>
      <c r="VO68" s="46" cm="1">
        <f t="array" ref="VO68">ROUND(IFERROR(INDEX(ArchiveResults!$F$5:$IX$116,ComparisonData!A68,ComparisonData!$VO$1),0),5)</f>
        <v>0</v>
      </c>
      <c r="VP68" s="46" cm="1">
        <f t="array" ref="VP68">ROUND(IFERROR(INDEX(ArchiveResults!$F$5:$IX$116,ComparisonData!A68,ComparisonData!$VP$1),0),5)</f>
        <v>0</v>
      </c>
      <c r="VQ68" s="46" cm="1">
        <f t="array" ref="VQ68">ROUND(IFERROR(INDEX(ArchiveResults!$F$5:$IX$116,ComparisonData!A68,ComparisonData!$VQ$1),0),5)</f>
        <v>0</v>
      </c>
      <c r="VR68" s="56">
        <v>63</v>
      </c>
      <c r="VS68" s="53" t="str">
        <f t="shared" si="608"/>
        <v>Oxfordshire History Centre</v>
      </c>
      <c r="VT68" s="60">
        <f t="shared" si="422"/>
        <v>0</v>
      </c>
      <c r="VU68" s="60">
        <f t="shared" si="423"/>
        <v>0</v>
      </c>
      <c r="VV68" s="60">
        <f t="shared" si="424"/>
        <v>0</v>
      </c>
      <c r="VW68" s="60">
        <f t="shared" si="425"/>
        <v>0</v>
      </c>
      <c r="VX68" s="76">
        <f t="shared" si="426"/>
        <v>0</v>
      </c>
      <c r="VY68" s="46">
        <f t="shared" si="427"/>
        <v>59</v>
      </c>
      <c r="VZ68" s="46">
        <f t="shared" si="609"/>
        <v>2.7289999999999996</v>
      </c>
      <c r="WA68" s="46">
        <f t="shared" si="428"/>
        <v>1</v>
      </c>
      <c r="WB68" s="46">
        <f t="shared" si="429"/>
        <v>2</v>
      </c>
      <c r="WC68" s="46" cm="1">
        <f t="array" ref="WC68">ROUND(IFERROR(INDEX(ArchiveResults!$F$5:$IX$116,ComparisonData!A68,ComparisonData!$WC$1),0),5)</f>
        <v>0</v>
      </c>
      <c r="WD68" s="56">
        <v>63</v>
      </c>
      <c r="WE68" s="53" t="str">
        <f t="shared" si="610"/>
        <v>Oxfordshire History Centre</v>
      </c>
      <c r="WF68" s="46">
        <f t="shared" si="430"/>
        <v>0</v>
      </c>
      <c r="WG68" s="76">
        <f t="shared" si="431"/>
        <v>0</v>
      </c>
      <c r="WH68" s="46">
        <f t="shared" si="432"/>
        <v>59</v>
      </c>
      <c r="WI68" s="46">
        <f t="shared" si="611"/>
        <v>2.7289999999999996</v>
      </c>
      <c r="WJ68" s="46">
        <f t="shared" si="433"/>
        <v>1</v>
      </c>
      <c r="WK68" s="46">
        <f t="shared" si="434"/>
        <v>2</v>
      </c>
      <c r="WL68" s="46" cm="1">
        <f t="array" ref="WL68">ROUND(IFERROR(INDEX(ArchiveResults!$F$5:$IX$116,ComparisonData!A68,ComparisonData!$WL$1),0),5)</f>
        <v>0</v>
      </c>
      <c r="WM68" s="46" cm="1">
        <f t="array" ref="WM68">IFERROR(INDEX(ArchiveResults!$F$5:$IX$116,ComparisonData!A68,ComparisonData!$WM$1),0)</f>
        <v>0</v>
      </c>
      <c r="WN68" s="56">
        <v>63</v>
      </c>
      <c r="WO68" s="53" t="str">
        <f t="shared" si="612"/>
        <v>Oxfordshire History Centre</v>
      </c>
      <c r="WP68" s="60">
        <f t="shared" si="435"/>
        <v>0</v>
      </c>
      <c r="WQ68" s="60">
        <f t="shared" si="436"/>
        <v>0</v>
      </c>
      <c r="WR68" s="76">
        <f t="shared" si="437"/>
        <v>0</v>
      </c>
      <c r="WS68" s="46">
        <f t="shared" si="438"/>
        <v>59</v>
      </c>
      <c r="WT68" s="46">
        <f t="shared" si="613"/>
        <v>2.7289999999999996</v>
      </c>
      <c r="WU68" s="46">
        <f t="shared" si="439"/>
        <v>1</v>
      </c>
      <c r="WV68" s="46">
        <f t="shared" si="440"/>
        <v>2</v>
      </c>
      <c r="WW68" s="46" cm="1">
        <f t="array" ref="WW68">ROUND(VALUE(IFERROR(INDEX(ArchiveResults!$F$5:$IX$116,ComparisonData!A68,ComparisonData!$WW$1),0)),5)</f>
        <v>0</v>
      </c>
      <c r="WX68" s="46" cm="1">
        <f t="array" ref="WX68">ROUND(IFERROR(INDEX(ArchiveResults!$F$5:$IX$116,ComparisonData!A68,ComparisonData!$WX$1),0),5)</f>
        <v>0</v>
      </c>
      <c r="WY68" s="56">
        <v>63</v>
      </c>
      <c r="WZ68" s="53" t="str">
        <f t="shared" si="614"/>
        <v>Oxfordshire History Centre</v>
      </c>
      <c r="XA68" s="60">
        <f t="shared" si="615"/>
        <v>0</v>
      </c>
      <c r="XB68" s="60">
        <f t="shared" si="616"/>
        <v>0</v>
      </c>
      <c r="XC68" s="76">
        <f t="shared" si="441"/>
        <v>0</v>
      </c>
      <c r="XD68" s="46">
        <f t="shared" si="442"/>
        <v>59</v>
      </c>
      <c r="XE68" s="46">
        <f t="shared" si="617"/>
        <v>2.7289999999999996</v>
      </c>
      <c r="XF68" s="46">
        <f t="shared" si="443"/>
        <v>1</v>
      </c>
      <c r="XG68" s="46">
        <f t="shared" si="444"/>
        <v>2</v>
      </c>
      <c r="XH68" s="46" cm="1">
        <f t="array" ref="XH68">ROUND(VALUE(IFERROR(INDEX(ArchiveResults!$F$5:$IX$116,ComparisonData!A68,ComparisonData!$XH$1),0)),5)</f>
        <v>0</v>
      </c>
      <c r="XI68" s="46" cm="1">
        <f t="array" ref="XI68">ROUND(VALUE(IFERROR(INDEX(ArchiveResults!$F$5:$IX$116,ComparisonData!A68,ComparisonData!$XI$1),0)),5)</f>
        <v>0</v>
      </c>
      <c r="XJ68" s="56">
        <v>63</v>
      </c>
      <c r="XK68" s="53" t="str">
        <f t="shared" si="618"/>
        <v>Oxfordshire History Centre</v>
      </c>
      <c r="XL68" s="60">
        <f t="shared" si="445"/>
        <v>0</v>
      </c>
      <c r="XM68" s="60">
        <f t="shared" si="446"/>
        <v>0</v>
      </c>
      <c r="XN68" s="76">
        <f t="shared" si="447"/>
        <v>0</v>
      </c>
      <c r="XO68" s="46">
        <f t="shared" si="448"/>
        <v>59</v>
      </c>
      <c r="XP68" s="46">
        <f t="shared" si="619"/>
        <v>2.7289999999999996</v>
      </c>
      <c r="XQ68" s="46">
        <f t="shared" si="449"/>
        <v>1</v>
      </c>
      <c r="XR68" s="46">
        <f t="shared" si="450"/>
        <v>2</v>
      </c>
      <c r="XS68" s="46" cm="1">
        <f t="array" ref="XS68">ROUND(VALUE(IFERROR(INDEX(ArchiveResults!$F$5:$IX$116,ComparisonData!A68,ComparisonData!$XS$1),0)),5)</f>
        <v>0</v>
      </c>
      <c r="XT68" s="46" cm="1">
        <f t="array" ref="XT68">ROUND(VALUE(IFERROR(INDEX(ArchiveResults!$F$5:$IX$116,ComparisonData!A68,ComparisonData!$XT$1),0)),5)</f>
        <v>0</v>
      </c>
      <c r="XU68" s="56">
        <v>63</v>
      </c>
      <c r="XV68" s="53" t="str">
        <f t="shared" si="620"/>
        <v>Oxfordshire History Centre</v>
      </c>
      <c r="XW68" s="60">
        <f t="shared" si="451"/>
        <v>0</v>
      </c>
      <c r="XX68" s="60">
        <f t="shared" si="452"/>
        <v>0</v>
      </c>
      <c r="XY68" s="76">
        <f t="shared" si="453"/>
        <v>0</v>
      </c>
      <c r="XZ68" s="46">
        <f t="shared" si="454"/>
        <v>59</v>
      </c>
      <c r="YA68" s="46">
        <f t="shared" si="621"/>
        <v>2.7289999999999996</v>
      </c>
      <c r="YB68" s="46">
        <f t="shared" si="455"/>
        <v>1</v>
      </c>
      <c r="YC68" s="46">
        <f t="shared" si="456"/>
        <v>2</v>
      </c>
      <c r="YD68" s="46" cm="1">
        <f t="array" ref="YD68">ROUND(VALUE(IFERROR(INDEX(ArchiveResults!$F$5:$IX$116,ComparisonData!A68,ComparisonData!$YD$1),0)),5)</f>
        <v>0</v>
      </c>
      <c r="YE68" s="46" cm="1">
        <f t="array" ref="YE68">ROUND(VALUE(IFERROR(INDEX(ArchiveResults!$F$5:$IX$116,ComparisonData!A68,ComparisonData!$YE$1),0)),5)</f>
        <v>0</v>
      </c>
      <c r="YF68" s="56">
        <v>63</v>
      </c>
      <c r="YG68" s="53" t="str">
        <f t="shared" si="622"/>
        <v>Oxfordshire History Centre</v>
      </c>
      <c r="YH68" s="60">
        <f t="shared" si="457"/>
        <v>0</v>
      </c>
      <c r="YI68" s="60">
        <f t="shared" si="458"/>
        <v>0</v>
      </c>
      <c r="YJ68" s="76">
        <f t="shared" si="459"/>
        <v>0</v>
      </c>
      <c r="YK68" s="46">
        <f t="shared" si="460"/>
        <v>59</v>
      </c>
      <c r="YL68" s="46">
        <f t="shared" si="623"/>
        <v>2.7289999999999996</v>
      </c>
      <c r="YM68" s="46">
        <f t="shared" si="461"/>
        <v>1</v>
      </c>
      <c r="YN68" s="46">
        <f t="shared" si="462"/>
        <v>2</v>
      </c>
      <c r="YO68" s="46" cm="1">
        <f t="array" ref="YO68">ROUND(VALUE(IFERROR(INDEX(ArchiveResults!$F$5:$IX$116,ComparisonData!A68,ComparisonData!$YO$1),0)),5)</f>
        <v>0</v>
      </c>
      <c r="YP68" s="46" cm="1">
        <f t="array" ref="YP68">ROUND(VALUE(IFERROR(INDEX(ArchiveResults!$F$5:$IX$116,ComparisonData!A68,ComparisonData!$YP$1),0)),5)</f>
        <v>0</v>
      </c>
      <c r="YQ68" s="56">
        <v>63</v>
      </c>
      <c r="YR68" s="53" t="str">
        <f t="shared" si="624"/>
        <v>Oxfordshire History Centre</v>
      </c>
      <c r="YS68" s="60">
        <f t="shared" si="463"/>
        <v>0</v>
      </c>
      <c r="YT68" s="60">
        <f t="shared" si="464"/>
        <v>0</v>
      </c>
      <c r="YU68" s="76">
        <f t="shared" si="465"/>
        <v>0</v>
      </c>
      <c r="YV68" s="46">
        <f t="shared" si="466"/>
        <v>59</v>
      </c>
      <c r="YW68" s="46">
        <f t="shared" si="625"/>
        <v>2.7289999999999996</v>
      </c>
      <c r="YX68" s="46">
        <f t="shared" si="467"/>
        <v>1</v>
      </c>
      <c r="YY68" s="46">
        <f t="shared" si="468"/>
        <v>2</v>
      </c>
      <c r="YZ68" s="46">
        <f t="shared" si="469"/>
        <v>0</v>
      </c>
      <c r="ZA68" s="46" cm="1">
        <f t="array" ref="ZA68">ROUNDDOWN(VALUE(IFERROR(INDEX(ArchiveResults!$F$5:$IX$116,ComparisonData!A68,ComparisonData!$ZA$1),0)),5)</f>
        <v>0</v>
      </c>
      <c r="ZB68" s="46" cm="1">
        <f t="array" ref="ZB68">ROUNDDOWN(VALUE(IFERROR(INDEX(ArchiveResults!$F$5:$IX$116,ComparisonData!A68,ComparisonData!$ZB$1),0)),5)</f>
        <v>0</v>
      </c>
      <c r="ZC68" s="46" cm="1">
        <f t="array" ref="ZC68">ROUNDDOWN(VALUE(IFERROR(INDEX(ArchiveResults!$F$5:$IX$116,ComparisonData!A68,ComparisonData!$ZC$1),0)),5)</f>
        <v>0</v>
      </c>
      <c r="ZD68" s="46" cm="1">
        <f t="array" ref="ZD68">ROUNDDOWN(VALUE(IFERROR(INDEX(ArchiveResults!$F$5:$IX$116,ComparisonData!A68,ComparisonData!$ZD$1),0)),5)</f>
        <v>0</v>
      </c>
      <c r="ZE68" s="46" cm="1">
        <f t="array" ref="ZE68">ROUNDDOWN(VALUE(IFERROR(INDEX(ArchiveResults!$F$5:$IX$116,ComparisonData!A68,ComparisonData!$ZE$1),0)),5)</f>
        <v>0</v>
      </c>
      <c r="ZF68" s="56">
        <v>63</v>
      </c>
      <c r="ZG68" s="53" t="str">
        <f t="shared" si="626"/>
        <v>Oxfordshire History Centre</v>
      </c>
      <c r="ZH68" s="60">
        <f t="shared" si="470"/>
        <v>0</v>
      </c>
      <c r="ZI68" s="60">
        <f t="shared" si="471"/>
        <v>0</v>
      </c>
      <c r="ZJ68" s="60">
        <f t="shared" si="472"/>
        <v>0</v>
      </c>
      <c r="ZK68" s="60">
        <f t="shared" si="473"/>
        <v>0</v>
      </c>
      <c r="ZL68" s="60">
        <f t="shared" si="474"/>
        <v>0</v>
      </c>
      <c r="ZM68" s="76">
        <f t="shared" si="475"/>
        <v>0</v>
      </c>
      <c r="ZN68" s="46">
        <f t="shared" si="476"/>
        <v>59</v>
      </c>
      <c r="ZO68" s="46">
        <f t="shared" si="627"/>
        <v>2.7289999999999996</v>
      </c>
      <c r="ZP68" s="46">
        <f t="shared" si="477"/>
        <v>1</v>
      </c>
      <c r="ZQ68" s="46">
        <f t="shared" si="478"/>
        <v>2</v>
      </c>
      <c r="ZR68" s="46" cm="1">
        <f t="array" ref="ZR68">ROUND(VALUE(IFERROR(INDEX(ArchiveResults!$F$5:$IX$116,ComparisonData!A68,ComparisonData!$ZR$1),0)),5)</f>
        <v>0</v>
      </c>
      <c r="ZS68" s="56">
        <v>63</v>
      </c>
      <c r="ZT68" s="53" t="str">
        <f t="shared" si="628"/>
        <v>Oxfordshire History Centre</v>
      </c>
      <c r="ZU68" s="46">
        <f t="shared" si="479"/>
        <v>0</v>
      </c>
      <c r="ZV68" s="76">
        <f t="shared" si="480"/>
        <v>0</v>
      </c>
      <c r="ZW68" s="81" cm="1">
        <f t="array" ref="ZW68">ROUND((IFERROR(INDEX(ArchiveResults!$F$5:$IX$116,ComparisonData!A68,ComparisonData!$ZW$1),0)),5)</f>
        <v>0</v>
      </c>
      <c r="ZX68" s="81" cm="1">
        <f t="array" ref="ZX68">ROUND((IFERROR(INDEX(ArchiveResults!$F$5:$IX$116,ComparisonData!A68,ComparisonData!$ZX$1),0)),5)</f>
        <v>0</v>
      </c>
      <c r="ZY68" s="81" cm="1">
        <f t="array" ref="ZY68">ROUND((IFERROR(INDEX(ArchiveResults!$F$5:$IX$116,ComparisonData!A68,ComparisonData!$ZY$1),0)),5)</f>
        <v>0</v>
      </c>
      <c r="ZZ68" s="81" cm="1">
        <f t="array" ref="ZZ68">ROUND((IFERROR(INDEX(ArchiveResults!$F$5:$IX$116,ComparisonData!A68,ComparisonData!$ZZ$1),0)),5)</f>
        <v>0</v>
      </c>
      <c r="AAA68" s="81" cm="1">
        <f t="array" ref="AAA68">ROUND((IFERROR(INDEX(ArchiveResults!$F$5:$IX$116,ComparisonData!A68,ComparisonData!$AAA$1),0)),5)</f>
        <v>0</v>
      </c>
      <c r="AAB68" s="81" cm="1">
        <f t="array" ref="AAB68">ROUND((IFERROR(INDEX(ArchiveResults!$F$5:$IX$116,ComparisonData!A68,ComparisonData!$AAB$1),0)),5)</f>
        <v>0</v>
      </c>
      <c r="AAC68" s="81" cm="1">
        <f t="array" ref="AAC68">ROUND((IFERROR(INDEX(ArchiveResults!$F$5:$IX$116,ComparisonData!A68,ComparisonData!$AAC$1),0)),5)</f>
        <v>0</v>
      </c>
      <c r="AAD68" s="81" cm="1">
        <f t="array" ref="AAD68">ROUND((IFERROR(INDEX(ArchiveResults!$F$5:$IX$116,ComparisonData!A68,ComparisonData!$AAD$1),0)),5)</f>
        <v>0</v>
      </c>
      <c r="AAE68" s="81" cm="1">
        <f t="array" ref="AAE68">ROUND((IFERROR(INDEX(ArchiveResults!$F$5:$IX$116,ComparisonData!A68,ComparisonData!$AAE$1),0)),5)</f>
        <v>0</v>
      </c>
      <c r="AAF68" s="81" cm="1">
        <f t="array" ref="AAF68">ROUND((IFERROR(INDEX(ArchiveResults!$F$5:$IX$116,ComparisonData!A68,ComparisonData!$AAF$1),0)),5)</f>
        <v>0</v>
      </c>
      <c r="AAG68" s="46">
        <f t="shared" si="481"/>
        <v>59</v>
      </c>
      <c r="AAH68" s="46">
        <f t="shared" si="629"/>
        <v>2.7289999999999996</v>
      </c>
      <c r="AAI68" s="46">
        <f t="shared" si="482"/>
        <v>1</v>
      </c>
      <c r="AAJ68" s="46">
        <f t="shared" si="483"/>
        <v>2</v>
      </c>
      <c r="AAK68" s="46">
        <f t="shared" si="484"/>
        <v>0</v>
      </c>
      <c r="AAL68" s="46">
        <f t="shared" si="485"/>
        <v>0</v>
      </c>
      <c r="AAM68" s="46">
        <f t="shared" si="486"/>
        <v>0</v>
      </c>
      <c r="AAN68" s="46">
        <f t="shared" si="487"/>
        <v>0</v>
      </c>
      <c r="AAO68" s="46">
        <f t="shared" si="488"/>
        <v>0</v>
      </c>
      <c r="AAP68" s="46">
        <f t="shared" si="489"/>
        <v>0</v>
      </c>
      <c r="AAQ68" s="56">
        <v>63</v>
      </c>
      <c r="AAR68" s="53" t="str">
        <f t="shared" si="630"/>
        <v>Oxfordshire History Centre</v>
      </c>
      <c r="AAS68" s="60">
        <f t="shared" si="490"/>
        <v>0</v>
      </c>
      <c r="AAT68" s="60">
        <f t="shared" si="491"/>
        <v>0</v>
      </c>
      <c r="AAU68" s="60">
        <f t="shared" si="492"/>
        <v>0</v>
      </c>
      <c r="AAV68" s="60">
        <f t="shared" si="493"/>
        <v>0</v>
      </c>
      <c r="AAW68" s="60">
        <f t="shared" si="494"/>
        <v>0</v>
      </c>
      <c r="AAX68" s="76">
        <f t="shared" si="495"/>
        <v>0</v>
      </c>
      <c r="AAY68" s="46">
        <f t="shared" si="496"/>
        <v>59</v>
      </c>
      <c r="AAZ68" s="46">
        <f t="shared" si="631"/>
        <v>2.7289999999999996</v>
      </c>
      <c r="ABA68" s="46">
        <f t="shared" si="497"/>
        <v>1</v>
      </c>
      <c r="ABB68" s="46">
        <f t="shared" si="498"/>
        <v>2</v>
      </c>
      <c r="ABC68" s="46">
        <f t="shared" si="102"/>
        <v>0</v>
      </c>
      <c r="ABD68" s="46" cm="1">
        <f t="array" ref="ABD68">ROUND(VALUE(IFERROR(INDEX(ArchiveResults!$F$5:$IX$116,ComparisonData!A68,ComparisonData!$ABD$1),0)),5)</f>
        <v>0</v>
      </c>
      <c r="ABE68" s="46" cm="1">
        <f t="array" ref="ABE68">ROUND(VALUE(IFERROR(INDEX(ArchiveResults!$F$5:$IX$116,ComparisonData!A68,ComparisonData!$ABE$1),0)),5)</f>
        <v>0</v>
      </c>
      <c r="ABF68" s="46" cm="1">
        <f t="array" ref="ABF68">ROUND(VALUE(IFERROR(INDEX(ArchiveResults!$F$5:$IX$116,ComparisonData!A68,ComparisonData!$ABF$1),0)),5)</f>
        <v>0</v>
      </c>
      <c r="ABG68" s="46" cm="1">
        <f t="array" ref="ABG68">ROUND(VALUE(IFERROR(INDEX(ArchiveResults!$F$5:$IX$116,ComparisonData!A68,ComparisonData!$ABG$1),0)),5)</f>
        <v>0</v>
      </c>
      <c r="ABH68" s="46" cm="1">
        <f t="array" ref="ABH68">ROUND(VALUE(IFERROR(INDEX(ArchiveResults!$F$5:$IX$116,ComparisonData!A68,ComparisonData!$ABH$1),0)),5)</f>
        <v>0</v>
      </c>
      <c r="ABI68" s="56">
        <v>63</v>
      </c>
      <c r="ABJ68" s="53" t="str">
        <f t="shared" si="632"/>
        <v>Oxfordshire History Centre</v>
      </c>
      <c r="ABK68" s="60">
        <f t="shared" si="499"/>
        <v>0</v>
      </c>
      <c r="ABL68" s="60">
        <f t="shared" si="500"/>
        <v>0</v>
      </c>
      <c r="ABM68" s="60">
        <f t="shared" si="501"/>
        <v>0</v>
      </c>
      <c r="ABN68" s="60">
        <f t="shared" si="502"/>
        <v>0</v>
      </c>
      <c r="ABO68" s="60">
        <f t="shared" si="503"/>
        <v>0</v>
      </c>
      <c r="ABP68" s="76">
        <f t="shared" si="504"/>
        <v>0</v>
      </c>
      <c r="ABQ68" s="46">
        <f t="shared" si="505"/>
        <v>59</v>
      </c>
      <c r="ABR68" s="46">
        <f t="shared" si="633"/>
        <v>2.7289999999999996</v>
      </c>
      <c r="ABS68" s="46">
        <f t="shared" si="506"/>
        <v>1</v>
      </c>
      <c r="ABT68" s="46">
        <f t="shared" si="507"/>
        <v>2</v>
      </c>
      <c r="ABU68" s="46" cm="1">
        <f t="array" ref="ABU68">ROUND(VALUE(IFERROR(INDEX(ArchiveResults!$F$5:$IX$116,ComparisonData!A68,ComparisonData!$ABU$1),0)),5)</f>
        <v>0</v>
      </c>
      <c r="ABV68" s="46" cm="1">
        <f t="array" ref="ABV68">ROUND(VALUE(IFERROR(INDEX(ArchiveResults!$F$5:$IX$116,ComparisonData!A68,ComparisonData!$ABV$1),0)),5)</f>
        <v>0</v>
      </c>
      <c r="ABW68" s="46" cm="1">
        <f t="array" ref="ABW68">ROUND(VALUE(IFERROR(INDEX(ArchiveResults!$F$5:$IX$116,ComparisonData!A68,ComparisonData!$ABW$1),0)),5)</f>
        <v>0</v>
      </c>
      <c r="ABX68" s="46" cm="1">
        <f t="array" ref="ABX68">ROUND(VALUE(IFERROR(INDEX(ArchiveResults!$F$5:$IX$116,ComparisonData!A68,ComparisonData!$ABX$1),0)),5)</f>
        <v>0</v>
      </c>
      <c r="ABY68" s="46" cm="1">
        <f t="array" ref="ABY68">ROUND(VALUE(IFERROR(INDEX(ArchiveResults!$F$5:$IX$116,ComparisonData!A68,ComparisonData!$ABY$1),0)),5)</f>
        <v>0</v>
      </c>
      <c r="ABZ68" s="56">
        <v>63</v>
      </c>
      <c r="ACA68" s="53" t="str">
        <f t="shared" si="634"/>
        <v>Oxfordshire History Centre</v>
      </c>
      <c r="ACB68" s="60">
        <f t="shared" si="508"/>
        <v>0</v>
      </c>
      <c r="ACC68" s="60">
        <f t="shared" si="509"/>
        <v>0</v>
      </c>
      <c r="ACD68" s="60">
        <f t="shared" si="510"/>
        <v>0</v>
      </c>
      <c r="ACE68" s="60">
        <f t="shared" si="511"/>
        <v>0</v>
      </c>
      <c r="ACF68" s="60">
        <f t="shared" si="512"/>
        <v>0</v>
      </c>
      <c r="ACG68" s="76">
        <f t="shared" si="513"/>
        <v>0</v>
      </c>
      <c r="ACH68" s="46">
        <f t="shared" si="514"/>
        <v>59</v>
      </c>
      <c r="ACI68" s="46">
        <f t="shared" si="635"/>
        <v>2.7289999999999996</v>
      </c>
      <c r="ACJ68" s="46">
        <f t="shared" si="515"/>
        <v>1</v>
      </c>
      <c r="ACK68" s="46">
        <f t="shared" si="516"/>
        <v>2</v>
      </c>
      <c r="ACL68" s="46">
        <f t="shared" si="517"/>
        <v>0</v>
      </c>
      <c r="ACM68" s="46" cm="1">
        <f t="array" ref="ACM68">ROUND(IFERROR(INDEX(ArchiveResults!$F$5:$IX$116,ComparisonData!A68,ComparisonData!$ACM$1),0),5)</f>
        <v>0</v>
      </c>
      <c r="ACN68" s="46" cm="1">
        <f t="array" ref="ACN68">ROUND(IFERROR(INDEX(ArchiveResults!$F$5:$IX$116,ComparisonData!A68,ComparisonData!$ACN$1),0),5)</f>
        <v>0</v>
      </c>
      <c r="ACO68" s="56">
        <v>63</v>
      </c>
      <c r="ACP68" s="53" t="str">
        <f t="shared" si="636"/>
        <v>Oxfordshire History Centre</v>
      </c>
      <c r="ACQ68" s="60">
        <f t="shared" si="518"/>
        <v>0</v>
      </c>
      <c r="ACR68" s="60">
        <f t="shared" si="519"/>
        <v>0</v>
      </c>
      <c r="ACS68" s="76">
        <f t="shared" si="520"/>
        <v>0</v>
      </c>
      <c r="ACT68" s="46">
        <f t="shared" si="521"/>
        <v>59</v>
      </c>
      <c r="ACU68" s="46">
        <f t="shared" si="637"/>
        <v>2.7289999999999996</v>
      </c>
      <c r="ACV68" s="46">
        <f t="shared" si="522"/>
        <v>1</v>
      </c>
      <c r="ACW68" s="46">
        <f t="shared" si="523"/>
        <v>2</v>
      </c>
      <c r="ACX68" s="46">
        <f t="shared" si="524"/>
        <v>0</v>
      </c>
      <c r="ACY68" s="46" cm="1">
        <f t="array" ref="ACY68">ROUNDDOWN(IFERROR(INDEX(ArchiveResults!$F$5:$IX$116,ComparisonData!A68,ComparisonData!$ACY$1),0),5)</f>
        <v>0</v>
      </c>
      <c r="ACZ68" s="46" cm="1">
        <f t="array" ref="ACZ68">ROUNDDOWN(IFERROR(INDEX(ArchiveResults!$F$5:$IX$116,ComparisonData!A68,ComparisonData!$ACZ$1),0),5)</f>
        <v>0</v>
      </c>
      <c r="ADA68" s="46" cm="1">
        <f t="array" ref="ADA68">ROUNDDOWN(IFERROR(INDEX(ArchiveResults!$F$5:$IX$116,ComparisonData!A68,ComparisonData!$ADA$1),0),5)</f>
        <v>0</v>
      </c>
      <c r="ADB68" s="56">
        <v>63</v>
      </c>
      <c r="ADC68" s="53" t="str">
        <f t="shared" si="638"/>
        <v>Oxfordshire History Centre</v>
      </c>
      <c r="ADD68" s="60">
        <f t="shared" si="525"/>
        <v>0</v>
      </c>
      <c r="ADE68" s="60">
        <f t="shared" si="526"/>
        <v>0</v>
      </c>
      <c r="ADF68" s="60">
        <f t="shared" si="527"/>
        <v>0</v>
      </c>
      <c r="ADG68" s="76">
        <f t="shared" si="528"/>
        <v>0</v>
      </c>
    </row>
    <row r="69" spans="1:787" x14ac:dyDescent="0.25">
      <c r="A69" s="46" t="str">
        <f>IF(ISBLANK(ComparisonSelection!F65),"",ROW()-5)</f>
        <v/>
      </c>
      <c r="B69" s="53" t="s">
        <v>517</v>
      </c>
      <c r="C69" s="72">
        <v>0.84899999999999987</v>
      </c>
      <c r="D69" s="55">
        <f t="shared" si="110"/>
        <v>83</v>
      </c>
      <c r="E69" s="54">
        <f t="shared" si="111"/>
        <v>2.8489999999999998</v>
      </c>
      <c r="F69" s="54">
        <f t="shared" si="529"/>
        <v>1</v>
      </c>
      <c r="G69" s="72">
        <f t="shared" si="112"/>
        <v>2</v>
      </c>
      <c r="H69" s="72">
        <f t="shared" si="113"/>
        <v>0</v>
      </c>
      <c r="I69" s="46" cm="1">
        <f t="array" ref="I69">ROUND(IFERROR(INDEX(ArchiveResults!$F$5:$IX$116,ComparisonData!A69,ComparisonData!$I$1),0),5)</f>
        <v>0</v>
      </c>
      <c r="J69" s="46" cm="1">
        <f t="array" ref="J69">ROUND(IFERROR(INDEX(ArchiveResults!$F$5:$IX$116,ComparisonData!A69,ComparisonData!$J$1),0),5)</f>
        <v>0</v>
      </c>
      <c r="K69" s="56">
        <v>64</v>
      </c>
      <c r="L69" s="53" t="str">
        <f t="shared" si="114"/>
        <v>Parliamentary Archives</v>
      </c>
      <c r="M69" s="57">
        <f t="shared" si="530"/>
        <v>0</v>
      </c>
      <c r="N69" s="57">
        <f t="shared" si="531"/>
        <v>0</v>
      </c>
      <c r="O69" s="58">
        <f t="shared" si="115"/>
        <v>0</v>
      </c>
      <c r="P69" s="48">
        <f t="shared" si="116"/>
        <v>83</v>
      </c>
      <c r="Q69" s="54">
        <f t="shared" si="532"/>
        <v>2.8489999999999998</v>
      </c>
      <c r="R69" s="45">
        <f t="shared" si="117"/>
        <v>1</v>
      </c>
      <c r="S69" s="46">
        <f t="shared" si="118"/>
        <v>2</v>
      </c>
      <c r="T69" s="72">
        <f t="shared" si="119"/>
        <v>0</v>
      </c>
      <c r="U69" s="46" cm="1">
        <f t="array" ref="U69">ROUND(IFERROR(INDEX(ArchiveResults!$F$5:$IX$116,ComparisonData!A69,ComparisonData!$U$1),0),5)</f>
        <v>0</v>
      </c>
      <c r="V69" s="46" cm="1">
        <f t="array" ref="V69">ROUND(IFERROR(INDEX(ArchiveResults!$F$5:$IX$116,ComparisonData!A69,ComparisonData!$V$1),0),5)</f>
        <v>0</v>
      </c>
      <c r="W69" s="56">
        <v>64</v>
      </c>
      <c r="X69" s="53" t="str">
        <f t="shared" si="533"/>
        <v>Parliamentary Archives</v>
      </c>
      <c r="Y69" s="57">
        <f t="shared" si="120"/>
        <v>0</v>
      </c>
      <c r="Z69" s="57">
        <f t="shared" si="121"/>
        <v>0</v>
      </c>
      <c r="AA69" s="58">
        <f t="shared" si="122"/>
        <v>0</v>
      </c>
      <c r="AB69" s="45">
        <f t="shared" si="123"/>
        <v>83</v>
      </c>
      <c r="AC69" s="54">
        <f t="shared" si="534"/>
        <v>2.8489999999999998</v>
      </c>
      <c r="AD69" s="45">
        <f t="shared" si="124"/>
        <v>1</v>
      </c>
      <c r="AE69" s="45">
        <f t="shared" si="125"/>
        <v>2</v>
      </c>
      <c r="AF69" s="45">
        <f t="shared" si="639"/>
        <v>0</v>
      </c>
      <c r="AG69" s="46" cm="1">
        <f t="array" ref="AG69">ROUND(IFERROR(INDEX(ArchiveResults!$F$5:$IX$116,ComparisonData!A69,ComparisonData!$AG$1),0),5)</f>
        <v>0</v>
      </c>
      <c r="AH69" s="46" cm="1">
        <f t="array" ref="AH69">ROUND(IFERROR(INDEX(ArchiveResults!$F$5:$IX$116,ComparisonData!A69,ComparisonData!$AH$1),0),5)</f>
        <v>0</v>
      </c>
      <c r="AI69" s="56">
        <v>64</v>
      </c>
      <c r="AJ69" s="53" t="str">
        <f t="shared" si="535"/>
        <v>Parliamentary Archives</v>
      </c>
      <c r="AK69" s="59">
        <f t="shared" si="536"/>
        <v>0</v>
      </c>
      <c r="AL69" s="59">
        <f t="shared" si="537"/>
        <v>0</v>
      </c>
      <c r="AM69" s="58">
        <f t="shared" si="127"/>
        <v>0</v>
      </c>
      <c r="AN69" s="45">
        <f t="shared" si="128"/>
        <v>83</v>
      </c>
      <c r="AO69" s="54">
        <f t="shared" si="538"/>
        <v>2.8489999999999998</v>
      </c>
      <c r="AP69" s="45">
        <f t="shared" si="129"/>
        <v>1</v>
      </c>
      <c r="AQ69" s="45">
        <f t="shared" si="130"/>
        <v>2</v>
      </c>
      <c r="AR69" s="46" cm="1">
        <f t="array" ref="AR69">ROUND(IFERROR(INDEX(ArchiveResults!$F$5:$IX$116,ComparisonData!A69,ComparisonData!$AR$1),0),5)</f>
        <v>0</v>
      </c>
      <c r="AS69" s="46" cm="1">
        <f t="array" ref="AS69">ROUND(IFERROR(INDEX(ArchiveResults!$F$5:$IX$116,ComparisonData!A69,ComparisonData!$AS$1),0),5)</f>
        <v>0</v>
      </c>
      <c r="AT69" s="46" cm="1">
        <f t="array" ref="AT69">ROUND(IFERROR(INDEX(ArchiveResults!$F$5:$IX$116,ComparisonData!A69,ComparisonData!$AT$1),0),5)</f>
        <v>0</v>
      </c>
      <c r="AU69" s="46" cm="1">
        <f t="array" ref="AU69">ROUND(IFERROR(INDEX(ArchiveResults!$F$5:$IX$116,ComparisonData!A69,ComparisonData!$AU$1),0),5)</f>
        <v>0</v>
      </c>
      <c r="AV69" s="46" cm="1">
        <f t="array" ref="AV69">ROUND(IFERROR(INDEX(ArchiveResults!$F$5:$IX$116,ComparisonData!A69,ComparisonData!$AV$1),0),5)</f>
        <v>0</v>
      </c>
      <c r="AW69" s="46" cm="1">
        <f t="array" ref="AW69">ROUND(IFERROR(INDEX(ArchiveResults!$F$5:$IX$116,ComparisonData!A69,ComparisonData!$AW$1),0),5)</f>
        <v>0</v>
      </c>
      <c r="AX69" s="46" cm="1">
        <f t="array" ref="AX69">ROUND(IFERROR(INDEX(ArchiveResults!$F$5:$IX$116,ComparisonData!A69,ComparisonData!$AX$1),0),5)</f>
        <v>0</v>
      </c>
      <c r="AY69" s="46" cm="1">
        <f t="array" ref="AY69">ROUND(IFERROR(INDEX(ArchiveResults!$F$5:$IX$116,ComparisonData!A69,ComparisonData!$AY$1),0),5)</f>
        <v>0</v>
      </c>
      <c r="AZ69" s="46" cm="1">
        <f t="array" ref="AZ69">ROUND(IFERROR(INDEX(ArchiveResults!$F$5:$IX$116,ComparisonData!A69,ComparisonData!$AZ$1),0),5)</f>
        <v>0</v>
      </c>
      <c r="BA69" s="46" cm="1">
        <f t="array" ref="BA69">ROUND(IFERROR(INDEX(ArchiveResults!$F$5:$IX$116,ComparisonData!A69,ComparisonData!$BA$1),0),5)</f>
        <v>0</v>
      </c>
      <c r="BB69" s="56">
        <v>64</v>
      </c>
      <c r="BC69" s="53" t="str">
        <f t="shared" si="539"/>
        <v>Parliamentary Archives</v>
      </c>
      <c r="BD69" s="60">
        <f t="shared" si="131"/>
        <v>0</v>
      </c>
      <c r="BE69" s="60">
        <f t="shared" si="132"/>
        <v>0</v>
      </c>
      <c r="BF69" s="60">
        <f t="shared" si="133"/>
        <v>0</v>
      </c>
      <c r="BG69" s="60">
        <f t="shared" si="134"/>
        <v>0</v>
      </c>
      <c r="BH69" s="60">
        <f t="shared" si="135"/>
        <v>0</v>
      </c>
      <c r="BI69" s="60">
        <f t="shared" si="136"/>
        <v>0</v>
      </c>
      <c r="BJ69" s="60">
        <f t="shared" si="137"/>
        <v>0</v>
      </c>
      <c r="BK69" s="60">
        <f t="shared" si="138"/>
        <v>0</v>
      </c>
      <c r="BL69" s="60">
        <f t="shared" si="139"/>
        <v>0</v>
      </c>
      <c r="BM69" s="59">
        <f t="shared" si="140"/>
        <v>0</v>
      </c>
      <c r="BN69" s="58">
        <f t="shared" si="141"/>
        <v>0</v>
      </c>
      <c r="BO69" s="45">
        <f t="shared" si="142"/>
        <v>83</v>
      </c>
      <c r="BP69" s="54">
        <f t="shared" si="540"/>
        <v>2.8489999999999998</v>
      </c>
      <c r="BQ69" s="45">
        <f t="shared" si="143"/>
        <v>1</v>
      </c>
      <c r="BR69" s="45">
        <f t="shared" si="144"/>
        <v>2</v>
      </c>
      <c r="BS69" s="46" cm="1">
        <f t="array" ref="BS69">ROUND(IFERROR(INDEX(ArchiveResults!$F$5:$IX$116,ComparisonData!A69,ComparisonData!$BS$1),0),5)</f>
        <v>0</v>
      </c>
      <c r="BT69" s="46" cm="1">
        <f t="array" ref="BT69">ROUND(IFERROR(INDEX(ArchiveResults!$F$5:$IX$116,ComparisonData!A69,ComparisonData!$BT$1),0),5)</f>
        <v>0</v>
      </c>
      <c r="BU69" s="46" cm="1">
        <f t="array" ref="BU69">ROUND(IFERROR(INDEX(ArchiveResults!$F$5:$IX$116,ComparisonData!A69,ComparisonData!$BU$1),0),5)</f>
        <v>0</v>
      </c>
      <c r="BV69" s="46" cm="1">
        <f t="array" ref="BV69">ROUND(IFERROR(INDEX(ArchiveResults!$F$5:$IX$116,ComparisonData!A69,ComparisonData!$BV$1),0),5)</f>
        <v>0</v>
      </c>
      <c r="BW69" s="46" cm="1">
        <f t="array" ref="BW69">ROUND(IFERROR(INDEX(ArchiveResults!$F$5:$IX$116,ComparisonData!A69,ComparisonData!$BW$1),0),5)</f>
        <v>0</v>
      </c>
      <c r="BX69" s="46" cm="1">
        <f t="array" ref="BX69">ROUND(IFERROR(INDEX(ArchiveResults!$F$5:$IX$116,ComparisonData!A69,ComparisonData!$BX$1),0),5)</f>
        <v>0</v>
      </c>
      <c r="BY69" s="56">
        <v>64</v>
      </c>
      <c r="BZ69" s="53" t="str">
        <f t="shared" si="541"/>
        <v>Parliamentary Archives</v>
      </c>
      <c r="CA69" s="59">
        <f t="shared" si="145"/>
        <v>0</v>
      </c>
      <c r="CB69" s="59">
        <f t="shared" si="146"/>
        <v>0</v>
      </c>
      <c r="CC69" s="59">
        <f t="shared" si="147"/>
        <v>0</v>
      </c>
      <c r="CD69" s="59">
        <f t="shared" si="148"/>
        <v>0</v>
      </c>
      <c r="CE69" s="59">
        <f t="shared" si="149"/>
        <v>0</v>
      </c>
      <c r="CF69" s="59">
        <f t="shared" si="150"/>
        <v>0</v>
      </c>
      <c r="CG69" s="58">
        <f t="shared" si="151"/>
        <v>0</v>
      </c>
      <c r="CH69" s="45">
        <f t="shared" si="152"/>
        <v>83</v>
      </c>
      <c r="CI69" s="54">
        <f t="shared" si="542"/>
        <v>2.8489999999999998</v>
      </c>
      <c r="CJ69" s="45">
        <f t="shared" si="153"/>
        <v>1</v>
      </c>
      <c r="CK69" s="45">
        <f t="shared" si="154"/>
        <v>2</v>
      </c>
      <c r="CL69" s="46" cm="1">
        <f t="array" ref="CL69">ROUND(IFERROR(INDEX(ArchiveResults!$F$5:$IX$116,ComparisonData!A69,ComparisonData!$CL$1),0),5)</f>
        <v>0</v>
      </c>
      <c r="CM69" s="56">
        <v>64</v>
      </c>
      <c r="CN69" s="53" t="str">
        <f t="shared" si="543"/>
        <v>Parliamentary Archives</v>
      </c>
      <c r="CO69" s="45">
        <f t="shared" si="155"/>
        <v>0</v>
      </c>
      <c r="CP69" s="58">
        <f t="shared" si="156"/>
        <v>0</v>
      </c>
      <c r="CQ69" s="45">
        <f t="shared" si="157"/>
        <v>83</v>
      </c>
      <c r="CR69" s="54">
        <f t="shared" si="544"/>
        <v>2.8489999999999998</v>
      </c>
      <c r="CS69" s="45">
        <f t="shared" si="158"/>
        <v>1</v>
      </c>
      <c r="CT69" s="45">
        <f t="shared" si="159"/>
        <v>2</v>
      </c>
      <c r="CU69" s="46" cm="1">
        <f t="array" ref="CU69">ROUND(IFERROR(INDEX(ArchiveResults!$F$5:$IX$116,ComparisonData!A69,ComparisonData!$CU$1),0),5)</f>
        <v>0</v>
      </c>
      <c r="CV69" s="56">
        <v>64</v>
      </c>
      <c r="CW69" s="53" t="str">
        <f t="shared" si="545"/>
        <v>Parliamentary Archives</v>
      </c>
      <c r="CX69" s="45">
        <f t="shared" si="160"/>
        <v>0</v>
      </c>
      <c r="CY69" s="58">
        <f t="shared" si="161"/>
        <v>0</v>
      </c>
      <c r="CZ69" s="45">
        <f t="shared" si="162"/>
        <v>83</v>
      </c>
      <c r="DA69" s="54">
        <f t="shared" si="546"/>
        <v>2.8489999999999998</v>
      </c>
      <c r="DB69" s="45">
        <f t="shared" si="163"/>
        <v>1</v>
      </c>
      <c r="DC69" s="45">
        <f t="shared" si="164"/>
        <v>2</v>
      </c>
      <c r="DD69" s="46" cm="1">
        <f t="array" ref="DD69">ROUND(IFERROR(INDEX(ArchiveResults!$F$5:$IX$116,ComparisonData!A69,ComparisonData!$DD$1),0),5)</f>
        <v>0</v>
      </c>
      <c r="DE69" s="56">
        <v>64</v>
      </c>
      <c r="DF69" s="53" t="str">
        <f t="shared" si="547"/>
        <v>Parliamentary Archives</v>
      </c>
      <c r="DG69" s="45">
        <f t="shared" si="165"/>
        <v>0</v>
      </c>
      <c r="DH69" s="58">
        <f t="shared" si="166"/>
        <v>0</v>
      </c>
      <c r="DI69" s="45">
        <f t="shared" si="167"/>
        <v>83</v>
      </c>
      <c r="DJ69" s="54">
        <f t="shared" si="548"/>
        <v>2.8489999999999998</v>
      </c>
      <c r="DK69" s="45">
        <f t="shared" si="168"/>
        <v>1</v>
      </c>
      <c r="DL69" s="45">
        <f t="shared" si="169"/>
        <v>2</v>
      </c>
      <c r="DM69" s="46" cm="1">
        <f t="array" ref="DM69">ROUND(IFERROR(INDEX(ArchiveResults!$F$5:$IX$116,ComparisonData!A69,ComparisonData!$DM$1),0),5)</f>
        <v>0</v>
      </c>
      <c r="DN69" s="46" cm="1">
        <f t="array" ref="DN69">ROUND(IFERROR(INDEX(ArchiveResults!$F$5:$IX$116,ComparisonData!A69,ComparisonData!$DN$1),0),5)</f>
        <v>0</v>
      </c>
      <c r="DO69" s="46" cm="1">
        <f t="array" ref="DO69">ROUND(IFERROR(INDEX(ArchiveResults!$F$5:$IX$116,ComparisonData!A69,ComparisonData!$DO$1),0),5)</f>
        <v>0</v>
      </c>
      <c r="DP69" s="46" cm="1">
        <f t="array" ref="DP69">ROUND(IFERROR(INDEX(ArchiveResults!$F$5:$IX$116,ComparisonData!A69,ComparisonData!$DP$1),0),5)</f>
        <v>0</v>
      </c>
      <c r="DQ69" s="45" cm="1">
        <f t="array" ref="DQ69">IFERROR(INDEX(ArchiveResults!$F$5:$IX$116,ComparisonData!A69,ComparisonData!$DQ$1),0)</f>
        <v>0</v>
      </c>
      <c r="DR69" s="56">
        <v>64</v>
      </c>
      <c r="DS69" s="53" t="str">
        <f t="shared" si="549"/>
        <v>Parliamentary Archives</v>
      </c>
      <c r="DT69" s="59">
        <f t="shared" si="170"/>
        <v>0</v>
      </c>
      <c r="DU69" s="59">
        <f t="shared" si="171"/>
        <v>0</v>
      </c>
      <c r="DV69" s="59">
        <f t="shared" si="172"/>
        <v>0</v>
      </c>
      <c r="DW69" s="59">
        <f t="shared" si="173"/>
        <v>0</v>
      </c>
      <c r="DX69" s="59">
        <f t="shared" si="174"/>
        <v>0</v>
      </c>
      <c r="DY69" s="58">
        <f t="shared" si="175"/>
        <v>0</v>
      </c>
      <c r="DZ69" s="45">
        <f t="shared" si="176"/>
        <v>83</v>
      </c>
      <c r="EA69" s="54">
        <f t="shared" si="550"/>
        <v>2.8489999999999998</v>
      </c>
      <c r="EB69" s="45">
        <f t="shared" si="177"/>
        <v>1</v>
      </c>
      <c r="EC69" s="45">
        <f t="shared" si="178"/>
        <v>2</v>
      </c>
      <c r="ED69" s="46" cm="1">
        <f t="array" ref="ED69">ROUND(IFERROR(INDEX(ArchiveResults!$F$5:$IX$116,ComparisonData!A69,ComparisonData!$ED$1),0),5)</f>
        <v>0</v>
      </c>
      <c r="EE69" s="46" cm="1">
        <f t="array" ref="EE69">ROUND(IFERROR(INDEX(ArchiveResults!$F$5:$IX$116,ComparisonData!A69,ComparisonData!$EE$1),0),5)</f>
        <v>0</v>
      </c>
      <c r="EF69" s="46" cm="1">
        <f t="array" ref="EF69">ROUND(IFERROR(INDEX(ArchiveResults!$F$5:$IX$116,ComparisonData!A69,ComparisonData!$EF$1),0),5)</f>
        <v>0</v>
      </c>
      <c r="EG69" s="46" cm="1">
        <f t="array" ref="EG69">ROUND(IFERROR(INDEX(ArchiveResults!$F$5:$IX$116,ComparisonData!A69,ComparisonData!$EG$1),0),5)</f>
        <v>0</v>
      </c>
      <c r="EH69" s="45" cm="1">
        <f t="array" ref="EH69">IFERROR(INDEX(ArchiveResults!$F$5:$IX$116,ComparisonData!A69,ComparisonData!$EH$1),0)</f>
        <v>0</v>
      </c>
      <c r="EI69" s="56">
        <v>64</v>
      </c>
      <c r="EJ69" s="53" t="str">
        <f t="shared" si="551"/>
        <v>Parliamentary Archives</v>
      </c>
      <c r="EK69" s="59">
        <f t="shared" si="179"/>
        <v>0</v>
      </c>
      <c r="EL69" s="59">
        <f t="shared" si="180"/>
        <v>0</v>
      </c>
      <c r="EM69" s="59">
        <f t="shared" si="181"/>
        <v>0</v>
      </c>
      <c r="EN69" s="59">
        <f t="shared" si="182"/>
        <v>0</v>
      </c>
      <c r="EO69" s="59">
        <f t="shared" si="183"/>
        <v>0</v>
      </c>
      <c r="EP69" s="58">
        <f t="shared" si="184"/>
        <v>0</v>
      </c>
      <c r="EQ69" s="45">
        <f t="shared" si="185"/>
        <v>83</v>
      </c>
      <c r="ER69" s="54">
        <f t="shared" si="552"/>
        <v>2.8489999999999998</v>
      </c>
      <c r="ES69" s="45">
        <f t="shared" si="186"/>
        <v>1</v>
      </c>
      <c r="ET69" s="45">
        <f t="shared" si="187"/>
        <v>2</v>
      </c>
      <c r="EU69" s="46" cm="1">
        <f t="array" ref="EU69">ROUND(IFERROR(INDEX(ArchiveResults!$F$5:$IX$116,ComparisonData!A69,ComparisonData!$EU$1),0),5)</f>
        <v>0</v>
      </c>
      <c r="EV69" s="46" cm="1">
        <f t="array" ref="EV69">ROUND(IFERROR(INDEX(ArchiveResults!$F$5:$IX$116,ComparisonData!A69,ComparisonData!$EV$1),0),5)</f>
        <v>0</v>
      </c>
      <c r="EW69" s="46" cm="1">
        <f t="array" ref="EW69">ROUND(IFERROR(INDEX(ArchiveResults!$F$5:$IX$116,ComparisonData!A69,ComparisonData!$EW$1),0),5)</f>
        <v>0</v>
      </c>
      <c r="EX69" s="46" cm="1">
        <f t="array" ref="EX69">ROUND(IFERROR(INDEX(ArchiveResults!$F$5:$IX$116,ComparisonData!A69,ComparisonData!$EX$1),0),5)</f>
        <v>0</v>
      </c>
      <c r="EY69" s="45" cm="1">
        <f t="array" ref="EY69">IFERROR(INDEX(ArchiveResults!$F$5:$IX$116,ComparisonData!A69,ComparisonData!$EY$1),0)</f>
        <v>0</v>
      </c>
      <c r="EZ69" s="56">
        <v>64</v>
      </c>
      <c r="FA69" s="53" t="str">
        <f t="shared" si="553"/>
        <v>Parliamentary Archives</v>
      </c>
      <c r="FB69" s="59">
        <f t="shared" si="188"/>
        <v>0</v>
      </c>
      <c r="FC69" s="59">
        <f t="shared" si="189"/>
        <v>0</v>
      </c>
      <c r="FD69" s="59">
        <f t="shared" si="190"/>
        <v>0</v>
      </c>
      <c r="FE69" s="59">
        <f t="shared" si="191"/>
        <v>0</v>
      </c>
      <c r="FF69" s="59">
        <f t="shared" si="192"/>
        <v>0</v>
      </c>
      <c r="FG69" s="58">
        <f t="shared" si="193"/>
        <v>0</v>
      </c>
      <c r="FH69" s="45">
        <f t="shared" si="194"/>
        <v>83</v>
      </c>
      <c r="FI69" s="54">
        <f t="shared" si="554"/>
        <v>2.8489999999999998</v>
      </c>
      <c r="FJ69" s="45">
        <f t="shared" si="195"/>
        <v>1</v>
      </c>
      <c r="FK69" s="45">
        <f t="shared" si="196"/>
        <v>2</v>
      </c>
      <c r="FL69" s="46" cm="1">
        <f t="array" ref="FL69">ROUND(IFERROR(INDEX(ArchiveResults!$F$5:$IX$116,ComparisonData!A69,ComparisonData!$FL$1),0),5)</f>
        <v>0</v>
      </c>
      <c r="FM69" s="46" cm="1">
        <f t="array" ref="FM69">ROUND(IFERROR(INDEX(ArchiveResults!$F$5:$IX$116,ComparisonData!A69,ComparisonData!$FM$1),0),5)</f>
        <v>0</v>
      </c>
      <c r="FN69" s="46" cm="1">
        <f t="array" ref="FN69">ROUND(IFERROR(INDEX(ArchiveResults!$F$5:$IX$116,ComparisonData!A69,ComparisonData!$FN$1),0),5)</f>
        <v>0</v>
      </c>
      <c r="FO69" s="46" cm="1">
        <f t="array" ref="FO69">ROUND(IFERROR(INDEX(ArchiveResults!$F$5:$IX$116,ComparisonData!A69,ComparisonData!$FO$1),0),5)</f>
        <v>0</v>
      </c>
      <c r="FP69" s="45" cm="1">
        <f t="array" ref="FP69">IFERROR(INDEX(ArchiveResults!$F$5:$IX$116,ComparisonData!A69,ComparisonData!$FP$1),0)</f>
        <v>0</v>
      </c>
      <c r="FQ69" s="56">
        <v>64</v>
      </c>
      <c r="FR69" s="53" t="str">
        <f t="shared" si="555"/>
        <v>Parliamentary Archives</v>
      </c>
      <c r="FS69" s="59">
        <f t="shared" si="197"/>
        <v>0</v>
      </c>
      <c r="FT69" s="59">
        <f t="shared" si="198"/>
        <v>0</v>
      </c>
      <c r="FU69" s="59">
        <f t="shared" si="199"/>
        <v>0</v>
      </c>
      <c r="FV69" s="59">
        <f t="shared" si="200"/>
        <v>0</v>
      </c>
      <c r="FW69" s="59">
        <f t="shared" si="201"/>
        <v>0</v>
      </c>
      <c r="FX69" s="58">
        <f t="shared" si="202"/>
        <v>0</v>
      </c>
      <c r="FY69" s="45">
        <f t="shared" si="203"/>
        <v>83</v>
      </c>
      <c r="FZ69" s="45">
        <f t="shared" si="556"/>
        <v>2.8489999999999998</v>
      </c>
      <c r="GA69" s="45">
        <f t="shared" si="204"/>
        <v>1</v>
      </c>
      <c r="GB69" s="45">
        <f t="shared" si="205"/>
        <v>2</v>
      </c>
      <c r="GC69" s="46" cm="1">
        <f t="array" ref="GC69">ROUND(IFERROR(INDEX(ArchiveResults!$F$5:$IX$116,ComparisonData!A69,ComparisonData!$GC$1),0),5)</f>
        <v>0</v>
      </c>
      <c r="GD69" s="46" cm="1">
        <f t="array" ref="GD69">ROUND(IFERROR(INDEX(ArchiveResults!$F$5:$IX$116,ComparisonData!A69,ComparisonData!$GD$1),0),5)</f>
        <v>0</v>
      </c>
      <c r="GE69" s="46" cm="1">
        <f t="array" ref="GE69">ROUND(IFERROR(INDEX(ArchiveResults!$F$5:$IX$116,ComparisonData!A69,ComparisonData!$GE$1),0),5)</f>
        <v>0</v>
      </c>
      <c r="GF69" s="46" cm="1">
        <f t="array" ref="GF69">ROUND(IFERROR(INDEX(ArchiveResults!$F$5:$IX$116,ComparisonData!A69,ComparisonData!$GF$1),0),5)</f>
        <v>0</v>
      </c>
      <c r="GG69" s="45" cm="1">
        <f t="array" ref="GG69">IFERROR(INDEX(ArchiveResults!$F$5:$IX$116,ComparisonData!A69,ComparisonData!$GG$1),0)</f>
        <v>0</v>
      </c>
      <c r="GH69" s="56">
        <v>64</v>
      </c>
      <c r="GI69" s="53" t="str">
        <f t="shared" si="557"/>
        <v>Parliamentary Archives</v>
      </c>
      <c r="GJ69" s="59">
        <f t="shared" si="206"/>
        <v>0</v>
      </c>
      <c r="GK69" s="59">
        <f t="shared" si="207"/>
        <v>0</v>
      </c>
      <c r="GL69" s="59">
        <f t="shared" si="208"/>
        <v>0</v>
      </c>
      <c r="GM69" s="59">
        <f t="shared" si="209"/>
        <v>0</v>
      </c>
      <c r="GN69" s="59">
        <f t="shared" si="210"/>
        <v>0</v>
      </c>
      <c r="GO69" s="58">
        <f t="shared" si="211"/>
        <v>0</v>
      </c>
      <c r="GP69" s="45">
        <f t="shared" si="212"/>
        <v>83</v>
      </c>
      <c r="GQ69" s="45">
        <f t="shared" si="558"/>
        <v>2.8489999999999998</v>
      </c>
      <c r="GR69" s="45">
        <f t="shared" si="213"/>
        <v>1</v>
      </c>
      <c r="GS69" s="45">
        <f t="shared" si="214"/>
        <v>2</v>
      </c>
      <c r="GT69" s="46" cm="1">
        <f t="array" ref="GT69">ROUND(IFERROR(INDEX(ArchiveResults!$F$5:$IX$116,ComparisonData!A69,ComparisonData!$GT$1),0),5)</f>
        <v>0</v>
      </c>
      <c r="GU69" s="46" cm="1">
        <f t="array" ref="GU69">ROUND(IFERROR(INDEX(ArchiveResults!$F$5:$IX$116,ComparisonData!A69,ComparisonData!$GU$1),0),5)</f>
        <v>0</v>
      </c>
      <c r="GV69" s="46" cm="1">
        <f t="array" ref="GV69">ROUND(IFERROR(INDEX(ArchiveResults!$F$5:$IX$116,ComparisonData!A69,ComparisonData!$GV$1),0),5)</f>
        <v>0</v>
      </c>
      <c r="GW69" s="46" cm="1">
        <f t="array" ref="GW69">ROUND(IFERROR(INDEX(ArchiveResults!$F$5:$IX$116,ComparisonData!A69,ComparisonData!$GW$1),0),5)</f>
        <v>0</v>
      </c>
      <c r="GX69" s="45" cm="1">
        <f t="array" ref="GX69">IFERROR(INDEX(ArchiveResults!$F$5:$IX$116,ComparisonData!A69,ComparisonData!$GX$1),0)</f>
        <v>0</v>
      </c>
      <c r="GY69" s="56">
        <v>64</v>
      </c>
      <c r="GZ69" s="53" t="str">
        <f t="shared" si="559"/>
        <v>Parliamentary Archives</v>
      </c>
      <c r="HA69" s="59">
        <f t="shared" si="215"/>
        <v>0</v>
      </c>
      <c r="HB69" s="59">
        <f t="shared" si="216"/>
        <v>0</v>
      </c>
      <c r="HC69" s="59">
        <f t="shared" si="217"/>
        <v>0</v>
      </c>
      <c r="HD69" s="59">
        <f t="shared" si="218"/>
        <v>0</v>
      </c>
      <c r="HE69" s="59">
        <f t="shared" si="219"/>
        <v>0</v>
      </c>
      <c r="HF69" s="58">
        <f t="shared" si="220"/>
        <v>0</v>
      </c>
      <c r="HG69" s="45">
        <f t="shared" si="221"/>
        <v>83</v>
      </c>
      <c r="HH69" s="45">
        <f t="shared" si="560"/>
        <v>2.8489999999999998</v>
      </c>
      <c r="HI69" s="45">
        <f t="shared" si="222"/>
        <v>1</v>
      </c>
      <c r="HJ69" s="45">
        <f t="shared" si="223"/>
        <v>2</v>
      </c>
      <c r="HK69" s="46" cm="1">
        <f t="array" ref="HK69">ROUND(IFERROR(INDEX(ArchiveResults!$F$5:$IX$116,ComparisonData!A69,ComparisonData!$HK$1),0),5)</f>
        <v>0</v>
      </c>
      <c r="HL69" s="46" cm="1">
        <f t="array" ref="HL69">ROUND(IFERROR(INDEX(ArchiveResults!$F$5:$IX$116,ComparisonData!A69,ComparisonData!$HL$1),0),5)</f>
        <v>0</v>
      </c>
      <c r="HM69" s="46" cm="1">
        <f t="array" ref="HM69">ROUND(IFERROR(INDEX(ArchiveResults!$F$5:$IX$116,ComparisonData!A69,ComparisonData!$HM$1),0),5)</f>
        <v>0</v>
      </c>
      <c r="HN69" s="46" cm="1">
        <f t="array" ref="HN69">ROUND(IFERROR(INDEX(ArchiveResults!$F$5:$IX$116,ComparisonData!A69,ComparisonData!$HN$1),0),5)</f>
        <v>0</v>
      </c>
      <c r="HO69" s="45" cm="1">
        <f t="array" ref="HO69">IFERROR(INDEX(ArchiveResults!$F$5:$IX$116,ComparisonData!A69,ComparisonData!$HO$1),0)</f>
        <v>0</v>
      </c>
      <c r="HP69" s="56">
        <v>64</v>
      </c>
      <c r="HQ69" s="53" t="str">
        <f t="shared" si="561"/>
        <v>Parliamentary Archives</v>
      </c>
      <c r="HR69" s="59">
        <f t="shared" si="562"/>
        <v>0</v>
      </c>
      <c r="HS69" s="59">
        <f t="shared" si="563"/>
        <v>0</v>
      </c>
      <c r="HT69" s="59">
        <f t="shared" si="564"/>
        <v>0</v>
      </c>
      <c r="HU69" s="59">
        <f t="shared" si="565"/>
        <v>0</v>
      </c>
      <c r="HV69" s="59">
        <f t="shared" si="566"/>
        <v>0</v>
      </c>
      <c r="HW69" s="58">
        <f t="shared" si="224"/>
        <v>0</v>
      </c>
      <c r="HX69" s="45">
        <f t="shared" si="225"/>
        <v>83</v>
      </c>
      <c r="HY69" s="45">
        <f t="shared" si="567"/>
        <v>2.8489999999999998</v>
      </c>
      <c r="HZ69" s="45">
        <f t="shared" si="226"/>
        <v>1</v>
      </c>
      <c r="IA69" s="45">
        <f t="shared" si="227"/>
        <v>2</v>
      </c>
      <c r="IB69" s="45">
        <f t="shared" si="228"/>
        <v>0</v>
      </c>
      <c r="IC69" s="46" cm="1">
        <f t="array" ref="IC69">ROUND(IFERROR(INDEX(ArchiveResults!$F$5:$IX$116,ComparisonData!A69,ComparisonData!$IC$1),0),5)</f>
        <v>0</v>
      </c>
      <c r="ID69" s="46" cm="1">
        <f t="array" ref="ID69">ROUND(IFERROR(INDEX(ArchiveResults!$F$5:$IX$116,ComparisonData!A69,ComparisonData!$ID$1),0),5)</f>
        <v>0</v>
      </c>
      <c r="IE69" s="46" cm="1">
        <f t="array" ref="IE69">ROUND(IFERROR(INDEX(ArchiveResults!$F$5:$IX$116,ComparisonData!A69,ComparisonData!$IE$1),0),5)</f>
        <v>0</v>
      </c>
      <c r="IF69" s="46" cm="1">
        <f t="array" ref="IF69">ROUND(IFERROR(INDEX(ArchiveResults!$F$5:$IX$116,ComparisonData!A69,ComparisonData!$IF$1),0),5)</f>
        <v>0</v>
      </c>
      <c r="IG69" s="45" cm="1">
        <f t="array" ref="IG69">IFERROR(INDEX(ArchiveResults!$F$5:$IX$116,ComparisonData!A69,ComparisonData!$IG$1),0)</f>
        <v>0</v>
      </c>
      <c r="IH69" s="56">
        <v>64</v>
      </c>
      <c r="II69" s="53" t="str">
        <f t="shared" si="568"/>
        <v>Parliamentary Archives</v>
      </c>
      <c r="IJ69" s="59">
        <f t="shared" si="229"/>
        <v>0</v>
      </c>
      <c r="IK69" s="59">
        <f t="shared" si="230"/>
        <v>0</v>
      </c>
      <c r="IL69" s="59">
        <f t="shared" si="231"/>
        <v>0</v>
      </c>
      <c r="IM69" s="59">
        <f t="shared" si="232"/>
        <v>0</v>
      </c>
      <c r="IN69" s="59">
        <f t="shared" si="233"/>
        <v>0</v>
      </c>
      <c r="IO69" s="58">
        <f t="shared" si="234"/>
        <v>0</v>
      </c>
      <c r="IP69" s="45">
        <f t="shared" si="235"/>
        <v>83</v>
      </c>
      <c r="IQ69" s="45">
        <f t="shared" si="569"/>
        <v>2.8489999999999998</v>
      </c>
      <c r="IR69" s="45">
        <f t="shared" si="236"/>
        <v>1</v>
      </c>
      <c r="IS69" s="45">
        <f t="shared" si="237"/>
        <v>2</v>
      </c>
      <c r="IT69" s="46">
        <f t="shared" si="238"/>
        <v>0</v>
      </c>
      <c r="IU69" s="46" cm="1">
        <f t="array" ref="IU69">ROUND(IFERROR(INDEX(ArchiveResults!$F$5:$IX$116,ComparisonData!A69,ComparisonData!$IU$1),0),5)</f>
        <v>0</v>
      </c>
      <c r="IV69" s="46" cm="1">
        <f t="array" ref="IV69">ROUND(IFERROR(INDEX(ArchiveResults!$F$5:$IX$116,ComparisonData!A69,ComparisonData!$IV$1),0),5)</f>
        <v>0</v>
      </c>
      <c r="IW69" s="46" cm="1">
        <f t="array" ref="IW69">ROUND(IFERROR(INDEX(ArchiveResults!$F$5:$IX$116,ComparisonData!A69,ComparisonData!$IW$1),0),5)</f>
        <v>0</v>
      </c>
      <c r="IX69" s="46" cm="1">
        <f t="array" ref="IX69">ROUND(IFERROR(INDEX(ArchiveResults!$F$5:$IX$116,ComparisonData!A69,ComparisonData!$IX$1),0),5)</f>
        <v>0</v>
      </c>
      <c r="IY69" s="45" cm="1">
        <f t="array" ref="IY69">IFERROR(INDEX(ArchiveResults!$F$5:$IX$116,ComparisonData!A69,ComparisonData!$IY$1),0)</f>
        <v>0</v>
      </c>
      <c r="IZ69" s="56">
        <v>64</v>
      </c>
      <c r="JA69" s="53" t="str">
        <f t="shared" si="570"/>
        <v>Parliamentary Archives</v>
      </c>
      <c r="JB69" s="59">
        <f t="shared" si="239"/>
        <v>0</v>
      </c>
      <c r="JC69" s="59">
        <f t="shared" si="240"/>
        <v>0</v>
      </c>
      <c r="JD69" s="59">
        <f t="shared" si="241"/>
        <v>0</v>
      </c>
      <c r="JE69" s="59">
        <f t="shared" si="242"/>
        <v>0</v>
      </c>
      <c r="JF69" s="59">
        <f t="shared" si="243"/>
        <v>0</v>
      </c>
      <c r="JG69" s="58">
        <f t="shared" si="244"/>
        <v>0</v>
      </c>
      <c r="JH69" s="45">
        <f t="shared" si="245"/>
        <v>83</v>
      </c>
      <c r="JI69" s="45">
        <f t="shared" si="571"/>
        <v>2.8489999999999998</v>
      </c>
      <c r="JJ69" s="45">
        <f t="shared" si="246"/>
        <v>1</v>
      </c>
      <c r="JK69" s="45">
        <f t="shared" si="247"/>
        <v>2</v>
      </c>
      <c r="JL69" s="45">
        <f t="shared" si="248"/>
        <v>0</v>
      </c>
      <c r="JM69" s="46" cm="1">
        <f t="array" ref="JM69">ROUND(IFERROR(INDEX(ArchiveResults!$F$5:$IX$116,ComparisonData!A69,ComparisonData!$JM$1),0),5)</f>
        <v>0</v>
      </c>
      <c r="JN69" s="46" cm="1">
        <f t="array" ref="JN69">ROUND(IFERROR(INDEX(ArchiveResults!$F$5:$IX$116,ComparisonData!A69,ComparisonData!$JN$1),0),5)</f>
        <v>0</v>
      </c>
      <c r="JO69" s="46" cm="1">
        <f t="array" ref="JO69">ROUND(IFERROR(INDEX(ArchiveResults!$F$5:$IX$116,ComparisonData!A69,ComparisonData!$JO$1),0),5)</f>
        <v>0</v>
      </c>
      <c r="JP69" s="46" cm="1">
        <f t="array" ref="JP69">ROUND(IFERROR(INDEX(ArchiveResults!$F$5:$IX$116,ComparisonData!A69,ComparisonData!$JP$1),0),5)</f>
        <v>0</v>
      </c>
      <c r="JQ69" s="45" cm="1">
        <f t="array" ref="JQ69">IFERROR(INDEX(ArchiveResults!$F$5:$IX$116,ComparisonData!A69,ComparisonData!$JQ$1),0)</f>
        <v>0</v>
      </c>
      <c r="JR69" s="56">
        <v>64</v>
      </c>
      <c r="JS69" s="53" t="str">
        <f t="shared" si="572"/>
        <v>Parliamentary Archives</v>
      </c>
      <c r="JT69" s="59">
        <f t="shared" si="249"/>
        <v>0</v>
      </c>
      <c r="JU69" s="59">
        <f t="shared" si="250"/>
        <v>0</v>
      </c>
      <c r="JV69" s="59">
        <f t="shared" si="251"/>
        <v>0</v>
      </c>
      <c r="JW69" s="59">
        <f t="shared" si="252"/>
        <v>0</v>
      </c>
      <c r="JX69" s="59">
        <f t="shared" si="253"/>
        <v>0</v>
      </c>
      <c r="JY69" s="58">
        <f t="shared" si="254"/>
        <v>0</v>
      </c>
      <c r="JZ69" s="45">
        <f t="shared" si="255"/>
        <v>83</v>
      </c>
      <c r="KA69" s="45">
        <f t="shared" si="573"/>
        <v>2.8489999999999998</v>
      </c>
      <c r="KB69" s="45">
        <f t="shared" si="256"/>
        <v>1</v>
      </c>
      <c r="KC69" s="45">
        <f t="shared" si="257"/>
        <v>2</v>
      </c>
      <c r="KD69" s="45">
        <f t="shared" si="258"/>
        <v>0</v>
      </c>
      <c r="KE69" s="46" cm="1">
        <f t="array" ref="KE69">ROUND(IFERROR(INDEX(ArchiveResults!$F$5:$IX$116,ComparisonData!A69,ComparisonData!$KE$1),0),5)</f>
        <v>0</v>
      </c>
      <c r="KF69" s="46" cm="1">
        <f t="array" ref="KF69">ROUND(IFERROR(INDEX(ArchiveResults!$F$5:$IX$116,ComparisonData!A69,ComparisonData!$KF$1),0),5)</f>
        <v>0</v>
      </c>
      <c r="KG69" s="46" cm="1">
        <f t="array" ref="KG69">ROUND(IFERROR(INDEX(ArchiveResults!$F$5:$IX$116,ComparisonData!A69,ComparisonData!$KG$1),0),5)</f>
        <v>0</v>
      </c>
      <c r="KH69" s="46" cm="1">
        <f t="array" ref="KH69">ROUND(IFERROR(INDEX(ArchiveResults!$F$5:$IX$116,ComparisonData!A69,ComparisonData!$KH$1),0),5)</f>
        <v>0</v>
      </c>
      <c r="KI69" s="45" cm="1">
        <f t="array" ref="KI69">IFERROR(INDEX(ArchiveResults!$F$5:$IX$116,ComparisonData!A69,ComparisonData!$KI$1),0)</f>
        <v>0</v>
      </c>
      <c r="KJ69" s="56">
        <v>64</v>
      </c>
      <c r="KK69" s="53" t="str">
        <f t="shared" si="574"/>
        <v>Parliamentary Archives</v>
      </c>
      <c r="KL69" s="59">
        <f t="shared" si="259"/>
        <v>0</v>
      </c>
      <c r="KM69" s="59">
        <f t="shared" si="260"/>
        <v>0</v>
      </c>
      <c r="KN69" s="59">
        <f t="shared" si="261"/>
        <v>0</v>
      </c>
      <c r="KO69" s="59">
        <f t="shared" si="262"/>
        <v>0</v>
      </c>
      <c r="KP69" s="59">
        <f t="shared" si="263"/>
        <v>0</v>
      </c>
      <c r="KQ69" s="58">
        <f t="shared" si="264"/>
        <v>0</v>
      </c>
      <c r="KR69" s="45">
        <f t="shared" si="265"/>
        <v>83</v>
      </c>
      <c r="KS69" s="45">
        <f t="shared" si="575"/>
        <v>2.8489999999999998</v>
      </c>
      <c r="KT69" s="45">
        <f t="shared" si="266"/>
        <v>1</v>
      </c>
      <c r="KU69" s="45">
        <f t="shared" si="267"/>
        <v>2</v>
      </c>
      <c r="KV69" s="45">
        <f t="shared" si="268"/>
        <v>0</v>
      </c>
      <c r="KW69" s="46" cm="1">
        <f t="array" ref="KW69">ROUND(IFERROR(INDEX(ArchiveResults!$F$5:$IX$116,ComparisonData!A69,ComparisonData!$KW$1),0),5)</f>
        <v>0</v>
      </c>
      <c r="KX69" s="46" cm="1">
        <f t="array" ref="KX69">ROUND(IFERROR(INDEX(ArchiveResults!$F$5:$IX$116,ComparisonData!A69,ComparisonData!$KX$1),0),5)</f>
        <v>0</v>
      </c>
      <c r="KY69" s="46" cm="1">
        <f t="array" ref="KY69">ROUND(IFERROR(INDEX(ArchiveResults!$F$5:$IX$116,ComparisonData!A69,ComparisonData!$KY$1),0),5)</f>
        <v>0</v>
      </c>
      <c r="KZ69" s="46" cm="1">
        <f t="array" ref="KZ69">ROUND(IFERROR(INDEX(ArchiveResults!$F$5:$IX$116,ComparisonData!A69,ComparisonData!$KZ$1),0),5)</f>
        <v>0</v>
      </c>
      <c r="LA69" s="45" cm="1">
        <f t="array" ref="LA69">IFERROR(INDEX(ArchiveResults!$F$5:$IX$116,ComparisonData!A69,ComparisonData!$LA$1),0)</f>
        <v>0</v>
      </c>
      <c r="LB69" s="56">
        <v>64</v>
      </c>
      <c r="LC69" s="53" t="str">
        <f t="shared" si="576"/>
        <v>Parliamentary Archives</v>
      </c>
      <c r="LD69" s="59">
        <f t="shared" si="269"/>
        <v>0</v>
      </c>
      <c r="LE69" s="59">
        <f t="shared" si="270"/>
        <v>0</v>
      </c>
      <c r="LF69" s="59">
        <f t="shared" si="271"/>
        <v>0</v>
      </c>
      <c r="LG69" s="59">
        <f t="shared" si="272"/>
        <v>0</v>
      </c>
      <c r="LH69" s="59">
        <f t="shared" si="273"/>
        <v>0</v>
      </c>
      <c r="LI69" s="58">
        <f t="shared" si="274"/>
        <v>0</v>
      </c>
      <c r="LJ69" s="45">
        <f t="shared" si="275"/>
        <v>83</v>
      </c>
      <c r="LK69" s="45">
        <f t="shared" si="577"/>
        <v>2.8489999999999998</v>
      </c>
      <c r="LL69" s="45">
        <f t="shared" si="276"/>
        <v>1</v>
      </c>
      <c r="LM69" s="45">
        <f t="shared" si="277"/>
        <v>2</v>
      </c>
      <c r="LN69" s="45">
        <f t="shared" si="278"/>
        <v>0</v>
      </c>
      <c r="LO69" s="46" cm="1">
        <f t="array" ref="LO69">ROUND(IFERROR(INDEX(ArchiveResults!$F$5:$IX$116,ComparisonData!A69,ComparisonData!$LO$1),0),5)</f>
        <v>0</v>
      </c>
      <c r="LP69" s="46" cm="1">
        <f t="array" ref="LP69">ROUND(IFERROR(INDEX(ArchiveResults!$F$5:$IX$116,ComparisonData!A69,ComparisonData!$LP$1),0),5)</f>
        <v>0</v>
      </c>
      <c r="LQ69" s="46" cm="1">
        <f t="array" ref="LQ69">ROUND(IFERROR(INDEX(ArchiveResults!$F$5:$IX$116,ComparisonData!A69,ComparisonData!$LQ$1),0),5)</f>
        <v>0</v>
      </c>
      <c r="LR69" s="46" cm="1">
        <f t="array" ref="LR69">ROUND(IFERROR(INDEX(ArchiveResults!$F$5:$IX$116,ComparisonData!A69,ComparisonData!$LR$1),0),5)</f>
        <v>0</v>
      </c>
      <c r="LS69" s="45" cm="1">
        <f t="array" ref="LS69">IFERROR(INDEX(ArchiveResults!$F$5:$IX$116,ComparisonData!A69,ComparisonData!$LS$1),0)</f>
        <v>0</v>
      </c>
      <c r="LT69" s="56">
        <v>64</v>
      </c>
      <c r="LU69" s="53" t="str">
        <f t="shared" si="578"/>
        <v>Parliamentary Archives</v>
      </c>
      <c r="LV69" s="59">
        <f t="shared" si="279"/>
        <v>0</v>
      </c>
      <c r="LW69" s="59">
        <f t="shared" si="280"/>
        <v>0</v>
      </c>
      <c r="LX69" s="59">
        <f t="shared" si="281"/>
        <v>0</v>
      </c>
      <c r="LY69" s="59">
        <f t="shared" si="282"/>
        <v>0</v>
      </c>
      <c r="LZ69" s="59">
        <f t="shared" si="283"/>
        <v>0</v>
      </c>
      <c r="MA69" s="58">
        <f t="shared" si="284"/>
        <v>0</v>
      </c>
      <c r="MB69" s="45">
        <f t="shared" si="285"/>
        <v>83</v>
      </c>
      <c r="MC69" s="45">
        <f t="shared" si="579"/>
        <v>2.8489999999999998</v>
      </c>
      <c r="MD69" s="45">
        <f t="shared" si="286"/>
        <v>1</v>
      </c>
      <c r="ME69" s="45">
        <f t="shared" si="287"/>
        <v>2</v>
      </c>
      <c r="MF69" s="45">
        <f t="shared" si="288"/>
        <v>0</v>
      </c>
      <c r="MG69" s="46" cm="1">
        <f t="array" ref="MG69">ROUND(IFERROR(INDEX(ArchiveResults!$F$5:$IX$116,ComparisonData!A69,ComparisonData!$MG$1),0),5)</f>
        <v>0</v>
      </c>
      <c r="MH69" s="46" cm="1">
        <f t="array" ref="MH69">ROUND(IFERROR(INDEX(ArchiveResults!$F$5:$IX$116,ComparisonData!A69,ComparisonData!$MH$1),0),5)</f>
        <v>0</v>
      </c>
      <c r="MI69" s="46" cm="1">
        <f t="array" ref="MI69">ROUND(IFERROR(INDEX(ArchiveResults!$F$5:$IX$116,ComparisonData!A69,ComparisonData!$MI$1),0),5)</f>
        <v>0</v>
      </c>
      <c r="MJ69" s="46" cm="1">
        <f t="array" ref="MJ69">ROUND(IFERROR(INDEX(ArchiveResults!$F$5:$IX$116,ComparisonData!A69,ComparisonData!$MJ$1),0),5)</f>
        <v>0</v>
      </c>
      <c r="MK69" s="45" cm="1">
        <f t="array" ref="MK69">IFERROR(INDEX(ArchiveResults!$F$5:$IX$116,ComparisonData!A69,ComparisonData!$MK$1),0)</f>
        <v>0</v>
      </c>
      <c r="ML69" s="56">
        <v>64</v>
      </c>
      <c r="MM69" s="53" t="str">
        <f t="shared" si="580"/>
        <v>Parliamentary Archives</v>
      </c>
      <c r="MN69" s="59">
        <f t="shared" si="289"/>
        <v>0</v>
      </c>
      <c r="MO69" s="59">
        <f t="shared" si="290"/>
        <v>0</v>
      </c>
      <c r="MP69" s="59">
        <f t="shared" si="291"/>
        <v>0</v>
      </c>
      <c r="MQ69" s="59">
        <f t="shared" si="292"/>
        <v>0</v>
      </c>
      <c r="MR69" s="59">
        <f t="shared" si="293"/>
        <v>0</v>
      </c>
      <c r="MS69" s="58">
        <f t="shared" si="294"/>
        <v>0</v>
      </c>
      <c r="MT69" s="45">
        <f t="shared" si="295"/>
        <v>83</v>
      </c>
      <c r="MU69" s="45">
        <f t="shared" si="581"/>
        <v>2.8489999999999998</v>
      </c>
      <c r="MV69" s="45">
        <f t="shared" si="296"/>
        <v>1</v>
      </c>
      <c r="MW69" s="45">
        <f t="shared" si="297"/>
        <v>2</v>
      </c>
      <c r="MX69" s="45">
        <f t="shared" si="298"/>
        <v>0</v>
      </c>
      <c r="MY69" s="46" cm="1">
        <f t="array" ref="MY69">ROUND(IFERROR(INDEX(ArchiveResults!$F$5:$IX$116,ComparisonData!A69,ComparisonData!$MY$1),0),5)</f>
        <v>0</v>
      </c>
      <c r="MZ69" s="46" cm="1">
        <f t="array" ref="MZ69">ROUND(IFERROR(INDEX(ArchiveResults!$F$5:$IX$116,ComparisonData!A69,ComparisonData!$MZ$1),0),5)</f>
        <v>0</v>
      </c>
      <c r="NA69" s="46" cm="1">
        <f t="array" ref="NA69">ROUND(IFERROR(INDEX(ArchiveResults!$F$5:$IX$116,ComparisonData!A69,ComparisonData!$NA$1),0),5)</f>
        <v>0</v>
      </c>
      <c r="NB69" s="46" cm="1">
        <f t="array" ref="NB69">ROUND(IFERROR(INDEX(ArchiveResults!$F$5:$IX$116,ComparisonData!A69,ComparisonData!$NB$1),0),5)</f>
        <v>0</v>
      </c>
      <c r="NC69" s="45" cm="1">
        <f t="array" ref="NC69">IFERROR(INDEX(ArchiveResults!$F$5:$IX$116,ComparisonData!A69,ComparisonData!$NC$1),0)</f>
        <v>0</v>
      </c>
      <c r="ND69" s="56">
        <v>64</v>
      </c>
      <c r="NE69" s="53" t="str">
        <f t="shared" si="582"/>
        <v>Parliamentary Archives</v>
      </c>
      <c r="NF69" s="59">
        <f t="shared" si="299"/>
        <v>0</v>
      </c>
      <c r="NG69" s="59">
        <f t="shared" si="300"/>
        <v>0</v>
      </c>
      <c r="NH69" s="59">
        <f t="shared" si="301"/>
        <v>0</v>
      </c>
      <c r="NI69" s="59">
        <f t="shared" si="302"/>
        <v>0</v>
      </c>
      <c r="NJ69" s="59">
        <f t="shared" si="303"/>
        <v>0</v>
      </c>
      <c r="NK69" s="58">
        <f t="shared" si="304"/>
        <v>0</v>
      </c>
      <c r="NL69" s="45">
        <f t="shared" si="305"/>
        <v>83</v>
      </c>
      <c r="NM69" s="45">
        <f t="shared" si="583"/>
        <v>2.8489999999999998</v>
      </c>
      <c r="NN69" s="45">
        <f t="shared" si="306"/>
        <v>1</v>
      </c>
      <c r="NO69" s="45">
        <f t="shared" si="307"/>
        <v>2</v>
      </c>
      <c r="NP69" s="46" cm="1">
        <f t="array" ref="NP69">ROUND(IFERROR(INDEX(ArchiveResults!$F$5:$IX$116,ComparisonData!A69,ComparisonData!$NP$1),0),5)</f>
        <v>0</v>
      </c>
      <c r="NQ69" s="46" cm="1">
        <f t="array" ref="NQ69">ROUND(IFERROR(INDEX(ArchiveResults!$F$5:$IX$116,ComparisonData!A69,ComparisonData!$NQ$1),0),5)</f>
        <v>0</v>
      </c>
      <c r="NR69" s="46" cm="1">
        <f t="array" ref="NR69">ROUND(IFERROR(INDEX(ArchiveResults!$F$5:$IX$116,ComparisonData!A69,ComparisonData!$NR$1),0),5)</f>
        <v>0</v>
      </c>
      <c r="NS69" s="46" cm="1">
        <f t="array" ref="NS69">ROUND(IFERROR(INDEX(ArchiveResults!$F$5:$IX$116,ComparisonData!A69,ComparisonData!$NS$1),0),5)</f>
        <v>0</v>
      </c>
      <c r="NT69" s="45" cm="1">
        <f t="array" ref="NT69">IFERROR(INDEX(ArchiveResults!$F$5:$IX$116,ComparisonData!A69,ComparisonData!$NT$1),0)</f>
        <v>0</v>
      </c>
      <c r="NU69" s="56">
        <v>64</v>
      </c>
      <c r="NV69" s="53" t="str">
        <f t="shared" si="584"/>
        <v>Parliamentary Archives</v>
      </c>
      <c r="NW69" s="59">
        <f t="shared" si="308"/>
        <v>0</v>
      </c>
      <c r="NX69" s="59">
        <f t="shared" si="309"/>
        <v>0</v>
      </c>
      <c r="NY69" s="59">
        <f t="shared" si="310"/>
        <v>0</v>
      </c>
      <c r="NZ69" s="59">
        <f t="shared" si="311"/>
        <v>0</v>
      </c>
      <c r="OA69" s="59">
        <f t="shared" si="312"/>
        <v>0</v>
      </c>
      <c r="OB69" s="58">
        <f t="shared" si="313"/>
        <v>0</v>
      </c>
      <c r="OC69" s="45">
        <f t="shared" si="314"/>
        <v>83</v>
      </c>
      <c r="OD69" s="45">
        <f t="shared" si="585"/>
        <v>2.8489999999999998</v>
      </c>
      <c r="OE69" s="45">
        <f t="shared" si="315"/>
        <v>1</v>
      </c>
      <c r="OF69" s="45">
        <f t="shared" si="316"/>
        <v>2</v>
      </c>
      <c r="OG69" s="46">
        <f t="shared" si="317"/>
        <v>0</v>
      </c>
      <c r="OH69" s="46" cm="1">
        <f t="array" ref="OH69">ROUND(IFERROR(INDEX(ArchiveResults!$F$5:$IX$116,ComparisonData!A69,ComparisonData!$OH$1),0),5)</f>
        <v>0</v>
      </c>
      <c r="OI69" s="46" cm="1">
        <f t="array" ref="OI69">ROUND(IFERROR(INDEX(ArchiveResults!$F$5:$IX$116,ComparisonData!A69,ComparisonData!$OI$1),0),5)</f>
        <v>0</v>
      </c>
      <c r="OJ69" s="46" cm="1">
        <f t="array" ref="OJ69">ROUND(IFERROR(INDEX(ArchiveResults!$F$5:$IX$116,ComparisonData!A69,ComparisonData!$OJ$1),0),5)</f>
        <v>0</v>
      </c>
      <c r="OK69" s="46" cm="1">
        <f t="array" ref="OK69">ROUND(IFERROR(INDEX(ArchiveResults!$F$5:$IX$116,ComparisonData!A69,ComparisonData!$OK$1),0),5)</f>
        <v>0</v>
      </c>
      <c r="OL69" s="45" cm="1">
        <f t="array" ref="OL69">IFERROR(INDEX(ArchiveResults!$F$5:$IX$116,ComparisonData!A69,ComparisonData!$OL$1),0)</f>
        <v>0</v>
      </c>
      <c r="OM69" s="56">
        <v>64</v>
      </c>
      <c r="ON69" s="53" t="str">
        <f t="shared" si="586"/>
        <v>Parliamentary Archives</v>
      </c>
      <c r="OO69" s="59">
        <f t="shared" si="318"/>
        <v>0</v>
      </c>
      <c r="OP69" s="59">
        <f t="shared" si="319"/>
        <v>0</v>
      </c>
      <c r="OQ69" s="59">
        <f t="shared" si="320"/>
        <v>0</v>
      </c>
      <c r="OR69" s="59">
        <f t="shared" si="321"/>
        <v>0</v>
      </c>
      <c r="OS69" s="59">
        <f t="shared" si="322"/>
        <v>0</v>
      </c>
      <c r="OT69" s="58">
        <f t="shared" si="323"/>
        <v>0</v>
      </c>
      <c r="OU69" s="45">
        <f t="shared" si="324"/>
        <v>83</v>
      </c>
      <c r="OV69" s="45">
        <f t="shared" si="587"/>
        <v>2.8489999999999998</v>
      </c>
      <c r="OW69" s="45">
        <f t="shared" si="325"/>
        <v>1</v>
      </c>
      <c r="OX69" s="45">
        <f t="shared" si="326"/>
        <v>2</v>
      </c>
      <c r="OY69" s="45">
        <f t="shared" si="327"/>
        <v>0</v>
      </c>
      <c r="OZ69" s="46" cm="1">
        <f t="array" ref="OZ69">ROUND(IFERROR(INDEX(ArchiveResults!$F$5:$IX$116,ComparisonData!A69,ComparisonData!$OZ$1),0),5)</f>
        <v>0</v>
      </c>
      <c r="PA69" s="46" cm="1">
        <f t="array" ref="PA69">ROUND(IFERROR(INDEX(ArchiveResults!$F$5:$IX$116,ComparisonData!A69,ComparisonData!$PA$1),0),5)</f>
        <v>0</v>
      </c>
      <c r="PB69" s="46" cm="1">
        <f t="array" ref="PB69">ROUND(IFERROR(INDEX(ArchiveResults!$F$5:$IX$116,ComparisonData!A69,ComparisonData!$PB$1),0),5)</f>
        <v>0</v>
      </c>
      <c r="PC69" s="46" cm="1">
        <f t="array" ref="PC69">ROUND(IFERROR(INDEX(ArchiveResults!$F$5:$IX$116,ComparisonData!A69,ComparisonData!$PC$1),0),5)</f>
        <v>0</v>
      </c>
      <c r="PD69" s="45" cm="1">
        <f t="array" ref="PD69">IFERROR(INDEX(ArchiveResults!$F$5:$IX$116,ComparisonData!A69,ComparisonData!$PD$1),0)</f>
        <v>0</v>
      </c>
      <c r="PE69" s="56">
        <v>64</v>
      </c>
      <c r="PF69" s="53" t="str">
        <f t="shared" si="588"/>
        <v>Parliamentary Archives</v>
      </c>
      <c r="PG69" s="59">
        <f t="shared" si="328"/>
        <v>0</v>
      </c>
      <c r="PH69" s="59">
        <f t="shared" si="329"/>
        <v>0</v>
      </c>
      <c r="PI69" s="59">
        <f t="shared" si="330"/>
        <v>0</v>
      </c>
      <c r="PJ69" s="59">
        <f t="shared" si="331"/>
        <v>0</v>
      </c>
      <c r="PK69" s="59">
        <f t="shared" si="332"/>
        <v>0</v>
      </c>
      <c r="PL69" s="58">
        <f t="shared" si="333"/>
        <v>0</v>
      </c>
      <c r="PM69" s="45">
        <f t="shared" si="334"/>
        <v>83</v>
      </c>
      <c r="PN69" s="45">
        <f t="shared" si="589"/>
        <v>2.8489999999999998</v>
      </c>
      <c r="PO69" s="45">
        <f t="shared" si="335"/>
        <v>1</v>
      </c>
      <c r="PP69" s="45">
        <f t="shared" si="336"/>
        <v>2</v>
      </c>
      <c r="PQ69" s="45">
        <f t="shared" si="337"/>
        <v>0</v>
      </c>
      <c r="PR69" s="46" cm="1">
        <f t="array" ref="PR69">ROUND(IFERROR(INDEX(ArchiveResults!$F$5:$IX$116,ComparisonData!A69,ComparisonData!$PR$1),0),5)</f>
        <v>0</v>
      </c>
      <c r="PS69" s="46" cm="1">
        <f t="array" ref="PS69">ROUND(IFERROR(INDEX(ArchiveResults!$F$5:$IX$116,ComparisonData!A69,ComparisonData!$PS$1),0),5)</f>
        <v>0</v>
      </c>
      <c r="PT69" s="46" cm="1">
        <f t="array" ref="PT69">ROUND(IFERROR(INDEX(ArchiveResults!$F$5:$IX$116,ComparisonData!A69,ComparisonData!$PT$1),0),5)</f>
        <v>0</v>
      </c>
      <c r="PU69" s="46" cm="1">
        <f t="array" ref="PU69">ROUND(IFERROR(INDEX(ArchiveResults!$F$5:$IX$116,ComparisonData!A69,ComparisonData!$PU$1),0),5)</f>
        <v>0</v>
      </c>
      <c r="PV69" s="45" cm="1">
        <f t="array" ref="PV69">IFERROR(INDEX(ArchiveResults!$F$5:$IX$116,ComparisonData!A69,ComparisonData!$PV$1),0)</f>
        <v>0</v>
      </c>
      <c r="PW69" s="56">
        <v>64</v>
      </c>
      <c r="PX69" s="53" t="str">
        <f t="shared" si="590"/>
        <v>Parliamentary Archives</v>
      </c>
      <c r="PY69" s="59">
        <f t="shared" si="338"/>
        <v>0</v>
      </c>
      <c r="PZ69" s="59">
        <f t="shared" si="339"/>
        <v>0</v>
      </c>
      <c r="QA69" s="59">
        <f t="shared" si="340"/>
        <v>0</v>
      </c>
      <c r="QB69" s="59">
        <f t="shared" si="341"/>
        <v>0</v>
      </c>
      <c r="QC69" s="59">
        <f t="shared" si="342"/>
        <v>0</v>
      </c>
      <c r="QD69" s="58">
        <f t="shared" si="343"/>
        <v>0</v>
      </c>
      <c r="QE69" s="45">
        <f t="shared" si="344"/>
        <v>83</v>
      </c>
      <c r="QF69" s="45">
        <f t="shared" si="591"/>
        <v>2.8489999999999998</v>
      </c>
      <c r="QG69" s="45">
        <f t="shared" si="345"/>
        <v>1</v>
      </c>
      <c r="QH69" s="45">
        <f t="shared" si="346"/>
        <v>2</v>
      </c>
      <c r="QI69" s="45">
        <f t="shared" si="347"/>
        <v>0</v>
      </c>
      <c r="QJ69" s="46" cm="1">
        <f t="array" ref="QJ69">ROUND(IFERROR(INDEX(ArchiveResults!$F$5:$IX$116,ComparisonData!A69,ComparisonData!$QJ$1),0),5)</f>
        <v>0</v>
      </c>
      <c r="QK69" s="46" cm="1">
        <f t="array" ref="QK69">ROUND(IFERROR(INDEX(ArchiveResults!$F$5:$IX$116,ComparisonData!A69,ComparisonData!$QK$1),0),5)</f>
        <v>0</v>
      </c>
      <c r="QL69" s="46" cm="1">
        <f t="array" ref="QL69">ROUND(IFERROR(INDEX(ArchiveResults!$F$5:$IX$116,ComparisonData!A69,ComparisonData!$QL$1),0),5)</f>
        <v>0</v>
      </c>
      <c r="QM69" s="46" cm="1">
        <f t="array" ref="QM69">ROUND(IFERROR(INDEX(ArchiveResults!$F$5:$IX$116,ComparisonData!A69,ComparisonData!$QM$1),0),5)</f>
        <v>0</v>
      </c>
      <c r="QN69" s="45" cm="1">
        <f t="array" ref="QN69">IFERROR(INDEX(ArchiveResults!$F$5:$IX$116,ComparisonData!A69,ComparisonData!$QN$1),0)</f>
        <v>0</v>
      </c>
      <c r="QO69" s="56">
        <v>64</v>
      </c>
      <c r="QP69" s="53" t="str">
        <f t="shared" si="592"/>
        <v>Parliamentary Archives</v>
      </c>
      <c r="QQ69" s="59">
        <f t="shared" si="348"/>
        <v>0</v>
      </c>
      <c r="QR69" s="59">
        <f t="shared" si="349"/>
        <v>0</v>
      </c>
      <c r="QS69" s="59">
        <f t="shared" si="350"/>
        <v>0</v>
      </c>
      <c r="QT69" s="59">
        <f t="shared" si="351"/>
        <v>0</v>
      </c>
      <c r="QU69" s="59">
        <f t="shared" si="352"/>
        <v>0</v>
      </c>
      <c r="QV69" s="58">
        <f t="shared" si="353"/>
        <v>0</v>
      </c>
      <c r="QW69" s="45">
        <f t="shared" si="354"/>
        <v>83</v>
      </c>
      <c r="QX69" s="45">
        <f t="shared" si="593"/>
        <v>2.8489999999999998</v>
      </c>
      <c r="QY69" s="45">
        <f t="shared" si="355"/>
        <v>1</v>
      </c>
      <c r="QZ69" s="45">
        <f t="shared" si="356"/>
        <v>2</v>
      </c>
      <c r="RA69" s="45">
        <f t="shared" si="357"/>
        <v>0</v>
      </c>
      <c r="RB69" s="46" cm="1">
        <f t="array" ref="RB69">ROUND(IFERROR(INDEX(ArchiveResults!$F$5:$IX$116,ComparisonData!A69,ComparisonData!$RB$1),0),5)</f>
        <v>0</v>
      </c>
      <c r="RC69" s="46" cm="1">
        <f t="array" ref="RC69">ROUND(IFERROR(INDEX(ArchiveResults!$F$5:$IX$116,ComparisonData!A69,ComparisonData!$RC$1),0),5)</f>
        <v>0</v>
      </c>
      <c r="RD69" s="46" cm="1">
        <f t="array" ref="RD69">ROUND(IFERROR(INDEX(ArchiveResults!$F$5:$IX$116,ComparisonData!A69,ComparisonData!$RD$1),0),5)</f>
        <v>0</v>
      </c>
      <c r="RE69" s="46" cm="1">
        <f t="array" ref="RE69">ROUND(IFERROR(INDEX(ArchiveResults!$F$5:$IX$116,ComparisonData!A69,ComparisonData!$RE$1),0),5)</f>
        <v>0</v>
      </c>
      <c r="RF69" s="45" cm="1">
        <f t="array" ref="RF69">IFERROR(INDEX(ArchiveResults!$F$5:$IX$116,ComparisonData!A69,ComparisonData!$RF$1),0)</f>
        <v>0</v>
      </c>
      <c r="RG69" s="56">
        <v>64</v>
      </c>
      <c r="RH69" s="53" t="str">
        <f t="shared" si="594"/>
        <v>Parliamentary Archives</v>
      </c>
      <c r="RI69" s="59">
        <f t="shared" si="358"/>
        <v>0</v>
      </c>
      <c r="RJ69" s="59">
        <f t="shared" si="359"/>
        <v>0</v>
      </c>
      <c r="RK69" s="59">
        <f t="shared" si="360"/>
        <v>0</v>
      </c>
      <c r="RL69" s="59">
        <f t="shared" si="361"/>
        <v>0</v>
      </c>
      <c r="RM69" s="59">
        <f t="shared" si="362"/>
        <v>0</v>
      </c>
      <c r="RN69" s="58">
        <f t="shared" si="363"/>
        <v>0</v>
      </c>
      <c r="RO69" s="45">
        <f t="shared" si="364"/>
        <v>83</v>
      </c>
      <c r="RP69" s="45">
        <f t="shared" si="595"/>
        <v>2.8489999999999998</v>
      </c>
      <c r="RQ69" s="45">
        <f t="shared" si="365"/>
        <v>1</v>
      </c>
      <c r="RR69" s="45">
        <f t="shared" si="366"/>
        <v>2</v>
      </c>
      <c r="RS69" s="45">
        <f t="shared" si="367"/>
        <v>0</v>
      </c>
      <c r="RT69" s="46" cm="1">
        <f t="array" ref="RT69">ROUND(IFERROR(INDEX(ArchiveResults!$F$5:$IX$116,ComparisonData!A69,ComparisonData!$RT$1),0),5)</f>
        <v>0</v>
      </c>
      <c r="RU69" s="46" cm="1">
        <f t="array" ref="RU69">ROUND(IFERROR(INDEX(ArchiveResults!$F$5:$IX$116,ComparisonData!A69,ComparisonData!$RU$1),0),5)</f>
        <v>0</v>
      </c>
      <c r="RV69" s="46" cm="1">
        <f t="array" ref="RV69">ROUND(IFERROR(INDEX(ArchiveResults!$F$5:$IX$116,ComparisonData!A69,ComparisonData!$RV$1),0),5)</f>
        <v>0</v>
      </c>
      <c r="RW69" s="46" cm="1">
        <f t="array" ref="RW69">ROUND(IFERROR(INDEX(ArchiveResults!$F$5:$IX$116,ComparisonData!A69,ComparisonData!$RW$1),0),5)</f>
        <v>0</v>
      </c>
      <c r="RX69" s="45" cm="1">
        <f t="array" ref="RX69">IFERROR(INDEX(ArchiveResults!$F$5:$IX$116,ComparisonData!A69,ComparisonData!$RX$1),0)</f>
        <v>0</v>
      </c>
      <c r="RY69" s="56">
        <v>64</v>
      </c>
      <c r="RZ69" s="53" t="str">
        <f t="shared" si="596"/>
        <v>Parliamentary Archives</v>
      </c>
      <c r="SA69" s="59">
        <f t="shared" si="368"/>
        <v>0</v>
      </c>
      <c r="SB69" s="59">
        <f t="shared" si="369"/>
        <v>0</v>
      </c>
      <c r="SC69" s="59">
        <f t="shared" si="370"/>
        <v>0</v>
      </c>
      <c r="SD69" s="59">
        <f t="shared" si="371"/>
        <v>0</v>
      </c>
      <c r="SE69" s="59">
        <f t="shared" si="372"/>
        <v>0</v>
      </c>
      <c r="SF69" s="58">
        <f t="shared" si="373"/>
        <v>0</v>
      </c>
      <c r="SG69" s="45">
        <f t="shared" si="374"/>
        <v>83</v>
      </c>
      <c r="SH69" s="45">
        <f t="shared" si="597"/>
        <v>2.8489999999999998</v>
      </c>
      <c r="SI69" s="45">
        <f t="shared" si="375"/>
        <v>1</v>
      </c>
      <c r="SJ69" s="45">
        <f t="shared" si="376"/>
        <v>2</v>
      </c>
      <c r="SK69" s="45">
        <f t="shared" si="377"/>
        <v>0</v>
      </c>
      <c r="SL69" s="46" cm="1">
        <f t="array" ref="SL69">ROUND(IFERROR(INDEX(ArchiveResults!$F$5:$IX$116,ComparisonData!A69,ComparisonData!$SL$1),0),5)</f>
        <v>0</v>
      </c>
      <c r="SM69" s="46" cm="1">
        <f t="array" ref="SM69">ROUND(IFERROR(INDEX(ArchiveResults!$F$5:$IX$116,ComparisonData!A69,ComparisonData!$SM$1),0),5)</f>
        <v>0</v>
      </c>
      <c r="SN69" s="46" cm="1">
        <f t="array" ref="SN69">ROUND(IFERROR(INDEX(ArchiveResults!$F$5:$IX$116,ComparisonData!A69,ComparisonData!$SN$1),0),5)</f>
        <v>0</v>
      </c>
      <c r="SO69" s="46" cm="1">
        <f t="array" ref="SO69">ROUND(IFERROR(INDEX(ArchiveResults!$F$5:$IX$116,ComparisonData!A69,ComparisonData!$SO$1),0),5)</f>
        <v>0</v>
      </c>
      <c r="SP69" s="45" cm="1">
        <f t="array" ref="SP69">IFERROR(INDEX(ArchiveResults!$F$5:$IX$116,ComparisonData!A69,ComparisonData!$SP$1),0)</f>
        <v>0</v>
      </c>
      <c r="SQ69" s="56">
        <v>64</v>
      </c>
      <c r="SR69" s="53" t="str">
        <f t="shared" si="598"/>
        <v>Parliamentary Archives</v>
      </c>
      <c r="SS69" s="59">
        <f t="shared" si="378"/>
        <v>0</v>
      </c>
      <c r="ST69" s="59">
        <f t="shared" si="379"/>
        <v>0</v>
      </c>
      <c r="SU69" s="59">
        <f t="shared" si="380"/>
        <v>0</v>
      </c>
      <c r="SV69" s="59">
        <f t="shared" si="381"/>
        <v>0</v>
      </c>
      <c r="SW69" s="59">
        <f t="shared" si="382"/>
        <v>0</v>
      </c>
      <c r="SX69" s="58">
        <f t="shared" si="383"/>
        <v>0</v>
      </c>
      <c r="SY69" s="45">
        <f t="shared" si="384"/>
        <v>83</v>
      </c>
      <c r="SZ69" s="45">
        <f t="shared" si="599"/>
        <v>2.8489999999999998</v>
      </c>
      <c r="TA69" s="45">
        <f t="shared" si="385"/>
        <v>1</v>
      </c>
      <c r="TB69" s="45">
        <f t="shared" si="386"/>
        <v>2</v>
      </c>
      <c r="TC69" s="45">
        <f t="shared" si="387"/>
        <v>0</v>
      </c>
      <c r="TD69" s="46" cm="1">
        <f t="array" ref="TD69">ROUND(IFERROR(INDEX(ArchiveResults!$F$5:$IX$116,ComparisonData!A69,ComparisonData!$TD$1),0),5)</f>
        <v>0</v>
      </c>
      <c r="TE69" s="46" cm="1">
        <f t="array" ref="TE69">ROUND(IFERROR(INDEX(ArchiveResults!$F$5:$IX$116,ComparisonData!A69,ComparisonData!$TE$1),0),5)</f>
        <v>0</v>
      </c>
      <c r="TF69" s="46" cm="1">
        <f t="array" ref="TF69">ROUND(IFERROR(INDEX(ArchiveResults!$F$5:$IX$116,ComparisonData!A69,ComparisonData!$TF$1),0),5)</f>
        <v>0</v>
      </c>
      <c r="TG69" s="46" cm="1">
        <f t="array" ref="TG69">ROUND(IFERROR(INDEX(ArchiveResults!$F$5:$IX$116,ComparisonData!A69,ComparisonData!$TG$1),0),5)</f>
        <v>0</v>
      </c>
      <c r="TH69" s="45" cm="1">
        <f t="array" ref="TH69">IFERROR(INDEX(ArchiveResults!$F$5:$IX$116,ComparisonData!A69,ComparisonData!$TH$1),0)</f>
        <v>0</v>
      </c>
      <c r="TI69" s="56">
        <v>64</v>
      </c>
      <c r="TJ69" s="53" t="str">
        <f t="shared" si="600"/>
        <v>Parliamentary Archives</v>
      </c>
      <c r="TK69" s="59">
        <f t="shared" si="388"/>
        <v>0</v>
      </c>
      <c r="TL69" s="59">
        <f t="shared" si="389"/>
        <v>0</v>
      </c>
      <c r="TM69" s="59">
        <f t="shared" si="390"/>
        <v>0</v>
      </c>
      <c r="TN69" s="59">
        <f t="shared" si="391"/>
        <v>0</v>
      </c>
      <c r="TO69" s="59">
        <f t="shared" si="392"/>
        <v>0</v>
      </c>
      <c r="TP69" s="58">
        <f t="shared" si="393"/>
        <v>0</v>
      </c>
      <c r="TQ69" s="45">
        <f t="shared" si="394"/>
        <v>83</v>
      </c>
      <c r="TR69" s="45">
        <f t="shared" si="601"/>
        <v>2.8489999999999998</v>
      </c>
      <c r="TS69" s="45">
        <f t="shared" si="395"/>
        <v>1</v>
      </c>
      <c r="TT69" s="45">
        <f t="shared" si="396"/>
        <v>2</v>
      </c>
      <c r="TU69" s="45">
        <f t="shared" si="397"/>
        <v>0</v>
      </c>
      <c r="TV69" s="46" cm="1">
        <f t="array" ref="TV69">ROUND(IFERROR(INDEX(ArchiveResults!$F$5:$IX$116,ComparisonData!A69,ComparisonData!$TV$1),0),5)</f>
        <v>0</v>
      </c>
      <c r="TW69" s="46" cm="1">
        <f t="array" ref="TW69">ROUND(IFERROR(INDEX(ArchiveResults!$F$5:$IX$116,ComparisonData!A69,ComparisonData!$TW$1),0),5)</f>
        <v>0</v>
      </c>
      <c r="TX69" s="46" cm="1">
        <f t="array" ref="TX69">ROUND(IFERROR(INDEX(ArchiveResults!$F$5:$IX$116,ComparisonData!A69,ComparisonData!$TX$1),0),5)</f>
        <v>0</v>
      </c>
      <c r="TY69" s="46" cm="1">
        <f t="array" ref="TY69">ROUND(IFERROR(INDEX(ArchiveResults!$F$5:$IX$116,ComparisonData!A69,ComparisonData!$TY$1),0),5)</f>
        <v>0</v>
      </c>
      <c r="TZ69" s="45" cm="1">
        <f t="array" ref="TZ69">IFERROR(INDEX(ArchiveResults!$F$5:$IX$116,ComparisonData!A69,ComparisonData!$TZ$1),0)</f>
        <v>0</v>
      </c>
      <c r="UA69" s="56">
        <v>64</v>
      </c>
      <c r="UB69" s="53" t="str">
        <f t="shared" si="602"/>
        <v>Parliamentary Archives</v>
      </c>
      <c r="UC69" s="60">
        <f t="shared" si="398"/>
        <v>0</v>
      </c>
      <c r="UD69" s="60">
        <f t="shared" si="399"/>
        <v>0</v>
      </c>
      <c r="UE69" s="60">
        <f t="shared" si="400"/>
        <v>0</v>
      </c>
      <c r="UF69" s="60">
        <f t="shared" si="401"/>
        <v>0</v>
      </c>
      <c r="UG69" s="60">
        <f t="shared" si="402"/>
        <v>0</v>
      </c>
      <c r="UH69" s="58">
        <f t="shared" si="403"/>
        <v>0</v>
      </c>
      <c r="UI69" s="46">
        <f t="shared" si="404"/>
        <v>83</v>
      </c>
      <c r="UJ69" s="46">
        <f t="shared" si="603"/>
        <v>2.8489999999999998</v>
      </c>
      <c r="UK69" s="46">
        <f t="shared" si="405"/>
        <v>1</v>
      </c>
      <c r="UL69" s="46">
        <f t="shared" si="406"/>
        <v>2</v>
      </c>
      <c r="UM69" s="46" cm="1">
        <f t="array" ref="UM69">ROUND(IFERROR(INDEX(ArchiveResults!$F$5:$IX$116,ComparisonData!A69,ComparisonData!$UM$1),0),5)</f>
        <v>0</v>
      </c>
      <c r="UN69" s="56">
        <v>64</v>
      </c>
      <c r="UO69" s="53" t="str">
        <f t="shared" si="604"/>
        <v>Parliamentary Archives</v>
      </c>
      <c r="UP69" s="46">
        <f t="shared" si="407"/>
        <v>0</v>
      </c>
      <c r="UQ69" s="76">
        <f t="shared" si="408"/>
        <v>0</v>
      </c>
      <c r="UR69" s="46">
        <f t="shared" si="409"/>
        <v>83</v>
      </c>
      <c r="US69" s="46">
        <f t="shared" si="605"/>
        <v>2.8489999999999998</v>
      </c>
      <c r="UT69" s="46">
        <f t="shared" si="410"/>
        <v>1</v>
      </c>
      <c r="UU69" s="46">
        <f t="shared" si="411"/>
        <v>2</v>
      </c>
      <c r="UV69" s="46">
        <f t="shared" si="412"/>
        <v>0</v>
      </c>
      <c r="UW69" s="46" cm="1">
        <f t="array" ref="UW69">ROUND(IFERROR(INDEX(ArchiveResults!$F$5:$IX$116,ComparisonData!A69,ComparisonData!$UW$1),0),5)</f>
        <v>0</v>
      </c>
      <c r="UX69" s="46" cm="1">
        <f t="array" ref="UX69">ROUND(IFERROR(INDEX(ArchiveResults!$F$5:$IX$116,ComparisonData!A69,ComparisonData!$UX$1),0),5)</f>
        <v>0</v>
      </c>
      <c r="UY69" s="46" cm="1">
        <f t="array" ref="UY69">ROUND(IFERROR(INDEX(ArchiveResults!$F$5:$IX$116,ComparisonData!A69,ComparisonData!$UY$1),0),5)</f>
        <v>0</v>
      </c>
      <c r="UZ69" s="46" cm="1">
        <f t="array" ref="UZ69">ROUND(IFERROR(INDEX(ArchiveResults!$F$5:$IX$116,ComparisonData!A69,ComparisonData!$UZ$1),0),5)</f>
        <v>0</v>
      </c>
      <c r="VA69" s="46" cm="1">
        <f t="array" ref="VA69">ROUND(IFERROR(INDEX(ArchiveResults!$F$5:$IX$116,ComparisonData!A69,ComparisonData!$VA$1),0),5)</f>
        <v>0</v>
      </c>
      <c r="VB69" s="56">
        <v>64</v>
      </c>
      <c r="VC69" s="53" t="str">
        <f t="shared" si="606"/>
        <v>Parliamentary Archives</v>
      </c>
      <c r="VD69" s="60">
        <f t="shared" si="413"/>
        <v>0</v>
      </c>
      <c r="VE69" s="60">
        <f t="shared" si="414"/>
        <v>0</v>
      </c>
      <c r="VF69" s="60">
        <f t="shared" si="415"/>
        <v>0</v>
      </c>
      <c r="VG69" s="60">
        <f t="shared" si="416"/>
        <v>0</v>
      </c>
      <c r="VH69" s="60">
        <f t="shared" si="417"/>
        <v>0</v>
      </c>
      <c r="VI69" s="76">
        <f t="shared" si="418"/>
        <v>0</v>
      </c>
      <c r="VJ69" s="46">
        <f t="shared" si="419"/>
        <v>83</v>
      </c>
      <c r="VK69" s="46">
        <f t="shared" si="607"/>
        <v>2.8489999999999998</v>
      </c>
      <c r="VL69" s="46">
        <f t="shared" si="420"/>
        <v>1</v>
      </c>
      <c r="VM69" s="46">
        <f t="shared" si="421"/>
        <v>2</v>
      </c>
      <c r="VN69" s="46" cm="1">
        <f t="array" ref="VN69">ROUND(IFERROR(INDEX(ArchiveResults!$F$5:$IX$116,ComparisonData!A69,ComparisonData!$VN$1),0),5)</f>
        <v>0</v>
      </c>
      <c r="VO69" s="46" cm="1">
        <f t="array" ref="VO69">ROUND(IFERROR(INDEX(ArchiveResults!$F$5:$IX$116,ComparisonData!A69,ComparisonData!$VO$1),0),5)</f>
        <v>0</v>
      </c>
      <c r="VP69" s="46" cm="1">
        <f t="array" ref="VP69">ROUND(IFERROR(INDEX(ArchiveResults!$F$5:$IX$116,ComparisonData!A69,ComparisonData!$VP$1),0),5)</f>
        <v>0</v>
      </c>
      <c r="VQ69" s="46" cm="1">
        <f t="array" ref="VQ69">ROUND(IFERROR(INDEX(ArchiveResults!$F$5:$IX$116,ComparisonData!A69,ComparisonData!$VQ$1),0),5)</f>
        <v>0</v>
      </c>
      <c r="VR69" s="56">
        <v>64</v>
      </c>
      <c r="VS69" s="53" t="str">
        <f t="shared" si="608"/>
        <v>Parliamentary Archives</v>
      </c>
      <c r="VT69" s="60">
        <f t="shared" si="422"/>
        <v>0</v>
      </c>
      <c r="VU69" s="60">
        <f t="shared" si="423"/>
        <v>0</v>
      </c>
      <c r="VV69" s="60">
        <f t="shared" si="424"/>
        <v>0</v>
      </c>
      <c r="VW69" s="60">
        <f t="shared" si="425"/>
        <v>0</v>
      </c>
      <c r="VX69" s="76">
        <f t="shared" si="426"/>
        <v>0</v>
      </c>
      <c r="VY69" s="46">
        <f t="shared" si="427"/>
        <v>83</v>
      </c>
      <c r="VZ69" s="46">
        <f t="shared" si="609"/>
        <v>2.8489999999999998</v>
      </c>
      <c r="WA69" s="46">
        <f t="shared" si="428"/>
        <v>1</v>
      </c>
      <c r="WB69" s="46">
        <f t="shared" si="429"/>
        <v>2</v>
      </c>
      <c r="WC69" s="46" cm="1">
        <f t="array" ref="WC69">ROUND(IFERROR(INDEX(ArchiveResults!$F$5:$IX$116,ComparisonData!A69,ComparisonData!$WC$1),0),5)</f>
        <v>0</v>
      </c>
      <c r="WD69" s="56">
        <v>64</v>
      </c>
      <c r="WE69" s="53" t="str">
        <f t="shared" si="610"/>
        <v>Parliamentary Archives</v>
      </c>
      <c r="WF69" s="46">
        <f t="shared" si="430"/>
        <v>0</v>
      </c>
      <c r="WG69" s="76">
        <f t="shared" si="431"/>
        <v>0</v>
      </c>
      <c r="WH69" s="46">
        <f t="shared" si="432"/>
        <v>83</v>
      </c>
      <c r="WI69" s="46">
        <f t="shared" si="611"/>
        <v>2.8489999999999998</v>
      </c>
      <c r="WJ69" s="46">
        <f t="shared" si="433"/>
        <v>1</v>
      </c>
      <c r="WK69" s="46">
        <f t="shared" si="434"/>
        <v>2</v>
      </c>
      <c r="WL69" s="46" cm="1">
        <f t="array" ref="WL69">ROUND(IFERROR(INDEX(ArchiveResults!$F$5:$IX$116,ComparisonData!A69,ComparisonData!$WL$1),0),5)</f>
        <v>0</v>
      </c>
      <c r="WM69" s="46" cm="1">
        <f t="array" ref="WM69">IFERROR(INDEX(ArchiveResults!$F$5:$IX$116,ComparisonData!A69,ComparisonData!$WM$1),0)</f>
        <v>0</v>
      </c>
      <c r="WN69" s="56">
        <v>64</v>
      </c>
      <c r="WO69" s="53" t="str">
        <f t="shared" si="612"/>
        <v>Parliamentary Archives</v>
      </c>
      <c r="WP69" s="60">
        <f t="shared" si="435"/>
        <v>0</v>
      </c>
      <c r="WQ69" s="60">
        <f t="shared" si="436"/>
        <v>0</v>
      </c>
      <c r="WR69" s="76">
        <f t="shared" si="437"/>
        <v>0</v>
      </c>
      <c r="WS69" s="46">
        <f t="shared" si="438"/>
        <v>83</v>
      </c>
      <c r="WT69" s="46">
        <f t="shared" si="613"/>
        <v>2.8489999999999998</v>
      </c>
      <c r="WU69" s="46">
        <f t="shared" si="439"/>
        <v>1</v>
      </c>
      <c r="WV69" s="46">
        <f t="shared" si="440"/>
        <v>2</v>
      </c>
      <c r="WW69" s="46" cm="1">
        <f t="array" ref="WW69">ROUND(VALUE(IFERROR(INDEX(ArchiveResults!$F$5:$IX$116,ComparisonData!A69,ComparisonData!$WW$1),0)),5)</f>
        <v>0</v>
      </c>
      <c r="WX69" s="46" cm="1">
        <f t="array" ref="WX69">ROUND(IFERROR(INDEX(ArchiveResults!$F$5:$IX$116,ComparisonData!A69,ComparisonData!$WX$1),0),5)</f>
        <v>0</v>
      </c>
      <c r="WY69" s="56">
        <v>64</v>
      </c>
      <c r="WZ69" s="53" t="str">
        <f t="shared" si="614"/>
        <v>Parliamentary Archives</v>
      </c>
      <c r="XA69" s="60">
        <f t="shared" si="615"/>
        <v>0</v>
      </c>
      <c r="XB69" s="60">
        <f t="shared" si="616"/>
        <v>0</v>
      </c>
      <c r="XC69" s="76">
        <f t="shared" si="441"/>
        <v>0</v>
      </c>
      <c r="XD69" s="46">
        <f t="shared" si="442"/>
        <v>83</v>
      </c>
      <c r="XE69" s="46">
        <f t="shared" si="617"/>
        <v>2.8489999999999998</v>
      </c>
      <c r="XF69" s="46">
        <f t="shared" si="443"/>
        <v>1</v>
      </c>
      <c r="XG69" s="46">
        <f t="shared" si="444"/>
        <v>2</v>
      </c>
      <c r="XH69" s="46" cm="1">
        <f t="array" ref="XH69">ROUND(VALUE(IFERROR(INDEX(ArchiveResults!$F$5:$IX$116,ComparisonData!A69,ComparisonData!$XH$1),0)),5)</f>
        <v>0</v>
      </c>
      <c r="XI69" s="46" cm="1">
        <f t="array" ref="XI69">ROUND(VALUE(IFERROR(INDEX(ArchiveResults!$F$5:$IX$116,ComparisonData!A69,ComparisonData!$XI$1),0)),5)</f>
        <v>0</v>
      </c>
      <c r="XJ69" s="56">
        <v>64</v>
      </c>
      <c r="XK69" s="53" t="str">
        <f t="shared" si="618"/>
        <v>Parliamentary Archives</v>
      </c>
      <c r="XL69" s="60">
        <f t="shared" si="445"/>
        <v>0</v>
      </c>
      <c r="XM69" s="60">
        <f t="shared" si="446"/>
        <v>0</v>
      </c>
      <c r="XN69" s="76">
        <f t="shared" si="447"/>
        <v>0</v>
      </c>
      <c r="XO69" s="46">
        <f t="shared" si="448"/>
        <v>83</v>
      </c>
      <c r="XP69" s="46">
        <f t="shared" si="619"/>
        <v>2.8489999999999998</v>
      </c>
      <c r="XQ69" s="46">
        <f t="shared" si="449"/>
        <v>1</v>
      </c>
      <c r="XR69" s="46">
        <f t="shared" si="450"/>
        <v>2</v>
      </c>
      <c r="XS69" s="46" cm="1">
        <f t="array" ref="XS69">ROUND(VALUE(IFERROR(INDEX(ArchiveResults!$F$5:$IX$116,ComparisonData!A69,ComparisonData!$XS$1),0)),5)</f>
        <v>0</v>
      </c>
      <c r="XT69" s="46" cm="1">
        <f t="array" ref="XT69">ROUND(VALUE(IFERROR(INDEX(ArchiveResults!$F$5:$IX$116,ComparisonData!A69,ComparisonData!$XT$1),0)),5)</f>
        <v>0</v>
      </c>
      <c r="XU69" s="56">
        <v>64</v>
      </c>
      <c r="XV69" s="53" t="str">
        <f t="shared" si="620"/>
        <v>Parliamentary Archives</v>
      </c>
      <c r="XW69" s="60">
        <f t="shared" si="451"/>
        <v>0</v>
      </c>
      <c r="XX69" s="60">
        <f t="shared" si="452"/>
        <v>0</v>
      </c>
      <c r="XY69" s="76">
        <f t="shared" si="453"/>
        <v>0</v>
      </c>
      <c r="XZ69" s="46">
        <f t="shared" si="454"/>
        <v>83</v>
      </c>
      <c r="YA69" s="46">
        <f t="shared" si="621"/>
        <v>2.8489999999999998</v>
      </c>
      <c r="YB69" s="46">
        <f t="shared" si="455"/>
        <v>1</v>
      </c>
      <c r="YC69" s="46">
        <f t="shared" si="456"/>
        <v>2</v>
      </c>
      <c r="YD69" s="46" cm="1">
        <f t="array" ref="YD69">ROUND(VALUE(IFERROR(INDEX(ArchiveResults!$F$5:$IX$116,ComparisonData!A69,ComparisonData!$YD$1),0)),5)</f>
        <v>0</v>
      </c>
      <c r="YE69" s="46" cm="1">
        <f t="array" ref="YE69">ROUND(VALUE(IFERROR(INDEX(ArchiveResults!$F$5:$IX$116,ComparisonData!A69,ComparisonData!$YE$1),0)),5)</f>
        <v>0</v>
      </c>
      <c r="YF69" s="56">
        <v>64</v>
      </c>
      <c r="YG69" s="53" t="str">
        <f t="shared" si="622"/>
        <v>Parliamentary Archives</v>
      </c>
      <c r="YH69" s="60">
        <f t="shared" si="457"/>
        <v>0</v>
      </c>
      <c r="YI69" s="60">
        <f t="shared" si="458"/>
        <v>0</v>
      </c>
      <c r="YJ69" s="76">
        <f t="shared" si="459"/>
        <v>0</v>
      </c>
      <c r="YK69" s="46">
        <f t="shared" si="460"/>
        <v>83</v>
      </c>
      <c r="YL69" s="46">
        <f t="shared" si="623"/>
        <v>2.8489999999999998</v>
      </c>
      <c r="YM69" s="46">
        <f t="shared" si="461"/>
        <v>1</v>
      </c>
      <c r="YN69" s="46">
        <f t="shared" si="462"/>
        <v>2</v>
      </c>
      <c r="YO69" s="46" cm="1">
        <f t="array" ref="YO69">ROUND(VALUE(IFERROR(INDEX(ArchiveResults!$F$5:$IX$116,ComparisonData!A69,ComparisonData!$YO$1),0)),5)</f>
        <v>0</v>
      </c>
      <c r="YP69" s="46" cm="1">
        <f t="array" ref="YP69">ROUND(VALUE(IFERROR(INDEX(ArchiveResults!$F$5:$IX$116,ComparisonData!A69,ComparisonData!$YP$1),0)),5)</f>
        <v>0</v>
      </c>
      <c r="YQ69" s="56">
        <v>64</v>
      </c>
      <c r="YR69" s="53" t="str">
        <f t="shared" si="624"/>
        <v>Parliamentary Archives</v>
      </c>
      <c r="YS69" s="60">
        <f t="shared" si="463"/>
        <v>0</v>
      </c>
      <c r="YT69" s="60">
        <f t="shared" si="464"/>
        <v>0</v>
      </c>
      <c r="YU69" s="76">
        <f t="shared" si="465"/>
        <v>0</v>
      </c>
      <c r="YV69" s="46">
        <f t="shared" si="466"/>
        <v>83</v>
      </c>
      <c r="YW69" s="46">
        <f t="shared" si="625"/>
        <v>2.8489999999999998</v>
      </c>
      <c r="YX69" s="46">
        <f t="shared" si="467"/>
        <v>1</v>
      </c>
      <c r="YY69" s="46">
        <f t="shared" si="468"/>
        <v>2</v>
      </c>
      <c r="YZ69" s="46">
        <f t="shared" si="469"/>
        <v>0</v>
      </c>
      <c r="ZA69" s="46" cm="1">
        <f t="array" ref="ZA69">ROUNDDOWN(VALUE(IFERROR(INDEX(ArchiveResults!$F$5:$IX$116,ComparisonData!A69,ComparisonData!$ZA$1),0)),5)</f>
        <v>0</v>
      </c>
      <c r="ZB69" s="46" cm="1">
        <f t="array" ref="ZB69">ROUNDDOWN(VALUE(IFERROR(INDEX(ArchiveResults!$F$5:$IX$116,ComparisonData!A69,ComparisonData!$ZB$1),0)),5)</f>
        <v>0</v>
      </c>
      <c r="ZC69" s="46" cm="1">
        <f t="array" ref="ZC69">ROUNDDOWN(VALUE(IFERROR(INDEX(ArchiveResults!$F$5:$IX$116,ComparisonData!A69,ComparisonData!$ZC$1),0)),5)</f>
        <v>0</v>
      </c>
      <c r="ZD69" s="46" cm="1">
        <f t="array" ref="ZD69">ROUNDDOWN(VALUE(IFERROR(INDEX(ArchiveResults!$F$5:$IX$116,ComparisonData!A69,ComparisonData!$ZD$1),0)),5)</f>
        <v>0</v>
      </c>
      <c r="ZE69" s="46" cm="1">
        <f t="array" ref="ZE69">ROUNDDOWN(VALUE(IFERROR(INDEX(ArchiveResults!$F$5:$IX$116,ComparisonData!A69,ComparisonData!$ZE$1),0)),5)</f>
        <v>0</v>
      </c>
      <c r="ZF69" s="56">
        <v>64</v>
      </c>
      <c r="ZG69" s="53" t="str">
        <f t="shared" si="626"/>
        <v>Parliamentary Archives</v>
      </c>
      <c r="ZH69" s="60">
        <f t="shared" si="470"/>
        <v>0</v>
      </c>
      <c r="ZI69" s="60">
        <f t="shared" si="471"/>
        <v>0</v>
      </c>
      <c r="ZJ69" s="60">
        <f t="shared" si="472"/>
        <v>0</v>
      </c>
      <c r="ZK69" s="60">
        <f t="shared" si="473"/>
        <v>0</v>
      </c>
      <c r="ZL69" s="60">
        <f t="shared" si="474"/>
        <v>0</v>
      </c>
      <c r="ZM69" s="76">
        <f t="shared" si="475"/>
        <v>0</v>
      </c>
      <c r="ZN69" s="46">
        <f t="shared" si="476"/>
        <v>83</v>
      </c>
      <c r="ZO69" s="46">
        <f t="shared" si="627"/>
        <v>2.8489999999999998</v>
      </c>
      <c r="ZP69" s="46">
        <f t="shared" si="477"/>
        <v>1</v>
      </c>
      <c r="ZQ69" s="46">
        <f t="shared" si="478"/>
        <v>2</v>
      </c>
      <c r="ZR69" s="46" cm="1">
        <f t="array" ref="ZR69">ROUND(VALUE(IFERROR(INDEX(ArchiveResults!$F$5:$IX$116,ComparisonData!A69,ComparisonData!$ZR$1),0)),5)</f>
        <v>0</v>
      </c>
      <c r="ZS69" s="56">
        <v>64</v>
      </c>
      <c r="ZT69" s="53" t="str">
        <f t="shared" si="628"/>
        <v>Parliamentary Archives</v>
      </c>
      <c r="ZU69" s="46">
        <f t="shared" si="479"/>
        <v>0</v>
      </c>
      <c r="ZV69" s="76">
        <f t="shared" si="480"/>
        <v>0</v>
      </c>
      <c r="ZW69" s="81" cm="1">
        <f t="array" ref="ZW69">ROUND((IFERROR(INDEX(ArchiveResults!$F$5:$IX$116,ComparisonData!A69,ComparisonData!$ZW$1),0)),5)</f>
        <v>0</v>
      </c>
      <c r="ZX69" s="81" cm="1">
        <f t="array" ref="ZX69">ROUND((IFERROR(INDEX(ArchiveResults!$F$5:$IX$116,ComparisonData!A69,ComparisonData!$ZX$1),0)),5)</f>
        <v>0</v>
      </c>
      <c r="ZY69" s="81" cm="1">
        <f t="array" ref="ZY69">ROUND((IFERROR(INDEX(ArchiveResults!$F$5:$IX$116,ComparisonData!A69,ComparisonData!$ZY$1),0)),5)</f>
        <v>0</v>
      </c>
      <c r="ZZ69" s="81" cm="1">
        <f t="array" ref="ZZ69">ROUND((IFERROR(INDEX(ArchiveResults!$F$5:$IX$116,ComparisonData!A69,ComparisonData!$ZZ$1),0)),5)</f>
        <v>0</v>
      </c>
      <c r="AAA69" s="81" cm="1">
        <f t="array" ref="AAA69">ROUND((IFERROR(INDEX(ArchiveResults!$F$5:$IX$116,ComparisonData!A69,ComparisonData!$AAA$1),0)),5)</f>
        <v>0</v>
      </c>
      <c r="AAB69" s="81" cm="1">
        <f t="array" ref="AAB69">ROUND((IFERROR(INDEX(ArchiveResults!$F$5:$IX$116,ComparisonData!A69,ComparisonData!$AAB$1),0)),5)</f>
        <v>0</v>
      </c>
      <c r="AAC69" s="81" cm="1">
        <f t="array" ref="AAC69">ROUND((IFERROR(INDEX(ArchiveResults!$F$5:$IX$116,ComparisonData!A69,ComparisonData!$AAC$1),0)),5)</f>
        <v>0</v>
      </c>
      <c r="AAD69" s="81" cm="1">
        <f t="array" ref="AAD69">ROUND((IFERROR(INDEX(ArchiveResults!$F$5:$IX$116,ComparisonData!A69,ComparisonData!$AAD$1),0)),5)</f>
        <v>0</v>
      </c>
      <c r="AAE69" s="81" cm="1">
        <f t="array" ref="AAE69">ROUND((IFERROR(INDEX(ArchiveResults!$F$5:$IX$116,ComparisonData!A69,ComparisonData!$AAE$1),0)),5)</f>
        <v>0</v>
      </c>
      <c r="AAF69" s="81" cm="1">
        <f t="array" ref="AAF69">ROUND((IFERROR(INDEX(ArchiveResults!$F$5:$IX$116,ComparisonData!A69,ComparisonData!$AAF$1),0)),5)</f>
        <v>0</v>
      </c>
      <c r="AAG69" s="46">
        <f t="shared" si="481"/>
        <v>83</v>
      </c>
      <c r="AAH69" s="46">
        <f t="shared" si="629"/>
        <v>2.8489999999999998</v>
      </c>
      <c r="AAI69" s="46">
        <f t="shared" si="482"/>
        <v>1</v>
      </c>
      <c r="AAJ69" s="46">
        <f t="shared" si="483"/>
        <v>2</v>
      </c>
      <c r="AAK69" s="46">
        <f t="shared" si="484"/>
        <v>0</v>
      </c>
      <c r="AAL69" s="46">
        <f t="shared" si="485"/>
        <v>0</v>
      </c>
      <c r="AAM69" s="46">
        <f t="shared" si="486"/>
        <v>0</v>
      </c>
      <c r="AAN69" s="46">
        <f t="shared" si="487"/>
        <v>0</v>
      </c>
      <c r="AAO69" s="46">
        <f t="shared" si="488"/>
        <v>0</v>
      </c>
      <c r="AAP69" s="46">
        <f t="shared" si="489"/>
        <v>0</v>
      </c>
      <c r="AAQ69" s="56">
        <v>64</v>
      </c>
      <c r="AAR69" s="53" t="str">
        <f t="shared" si="630"/>
        <v>Parliamentary Archives</v>
      </c>
      <c r="AAS69" s="60">
        <f t="shared" si="490"/>
        <v>0</v>
      </c>
      <c r="AAT69" s="60">
        <f t="shared" si="491"/>
        <v>0</v>
      </c>
      <c r="AAU69" s="60">
        <f t="shared" si="492"/>
        <v>0</v>
      </c>
      <c r="AAV69" s="60">
        <f t="shared" si="493"/>
        <v>0</v>
      </c>
      <c r="AAW69" s="60">
        <f t="shared" si="494"/>
        <v>0</v>
      </c>
      <c r="AAX69" s="76">
        <f t="shared" si="495"/>
        <v>0</v>
      </c>
      <c r="AAY69" s="46">
        <f t="shared" si="496"/>
        <v>83</v>
      </c>
      <c r="AAZ69" s="46">
        <f t="shared" si="631"/>
        <v>2.8489999999999998</v>
      </c>
      <c r="ABA69" s="46">
        <f t="shared" si="497"/>
        <v>1</v>
      </c>
      <c r="ABB69" s="46">
        <f t="shared" si="498"/>
        <v>2</v>
      </c>
      <c r="ABC69" s="46">
        <f t="shared" si="102"/>
        <v>0</v>
      </c>
      <c r="ABD69" s="46" cm="1">
        <f t="array" ref="ABD69">ROUND(VALUE(IFERROR(INDEX(ArchiveResults!$F$5:$IX$116,ComparisonData!A69,ComparisonData!$ABD$1),0)),5)</f>
        <v>0</v>
      </c>
      <c r="ABE69" s="46" cm="1">
        <f t="array" ref="ABE69">ROUND(VALUE(IFERROR(INDEX(ArchiveResults!$F$5:$IX$116,ComparisonData!A69,ComparisonData!$ABE$1),0)),5)</f>
        <v>0</v>
      </c>
      <c r="ABF69" s="46" cm="1">
        <f t="array" ref="ABF69">ROUND(VALUE(IFERROR(INDEX(ArchiveResults!$F$5:$IX$116,ComparisonData!A69,ComparisonData!$ABF$1),0)),5)</f>
        <v>0</v>
      </c>
      <c r="ABG69" s="46" cm="1">
        <f t="array" ref="ABG69">ROUND(VALUE(IFERROR(INDEX(ArchiveResults!$F$5:$IX$116,ComparisonData!A69,ComparisonData!$ABG$1),0)),5)</f>
        <v>0</v>
      </c>
      <c r="ABH69" s="46" cm="1">
        <f t="array" ref="ABH69">ROUND(VALUE(IFERROR(INDEX(ArchiveResults!$F$5:$IX$116,ComparisonData!A69,ComparisonData!$ABH$1),0)),5)</f>
        <v>0</v>
      </c>
      <c r="ABI69" s="56">
        <v>64</v>
      </c>
      <c r="ABJ69" s="53" t="str">
        <f t="shared" si="632"/>
        <v>Parliamentary Archives</v>
      </c>
      <c r="ABK69" s="60">
        <f t="shared" si="499"/>
        <v>0</v>
      </c>
      <c r="ABL69" s="60">
        <f t="shared" si="500"/>
        <v>0</v>
      </c>
      <c r="ABM69" s="60">
        <f t="shared" si="501"/>
        <v>0</v>
      </c>
      <c r="ABN69" s="60">
        <f t="shared" si="502"/>
        <v>0</v>
      </c>
      <c r="ABO69" s="60">
        <f t="shared" si="503"/>
        <v>0</v>
      </c>
      <c r="ABP69" s="76">
        <f t="shared" si="504"/>
        <v>0</v>
      </c>
      <c r="ABQ69" s="46">
        <f t="shared" si="505"/>
        <v>83</v>
      </c>
      <c r="ABR69" s="46">
        <f t="shared" si="633"/>
        <v>2.8489999999999998</v>
      </c>
      <c r="ABS69" s="46">
        <f t="shared" si="506"/>
        <v>1</v>
      </c>
      <c r="ABT69" s="46">
        <f t="shared" si="507"/>
        <v>2</v>
      </c>
      <c r="ABU69" s="46" cm="1">
        <f t="array" ref="ABU69">ROUND(VALUE(IFERROR(INDEX(ArchiveResults!$F$5:$IX$116,ComparisonData!A69,ComparisonData!$ABU$1),0)),5)</f>
        <v>0</v>
      </c>
      <c r="ABV69" s="46" cm="1">
        <f t="array" ref="ABV69">ROUND(VALUE(IFERROR(INDEX(ArchiveResults!$F$5:$IX$116,ComparisonData!A69,ComparisonData!$ABV$1),0)),5)</f>
        <v>0</v>
      </c>
      <c r="ABW69" s="46" cm="1">
        <f t="array" ref="ABW69">ROUND(VALUE(IFERROR(INDEX(ArchiveResults!$F$5:$IX$116,ComparisonData!A69,ComparisonData!$ABW$1),0)),5)</f>
        <v>0</v>
      </c>
      <c r="ABX69" s="46" cm="1">
        <f t="array" ref="ABX69">ROUND(VALUE(IFERROR(INDEX(ArchiveResults!$F$5:$IX$116,ComparisonData!A69,ComparisonData!$ABX$1),0)),5)</f>
        <v>0</v>
      </c>
      <c r="ABY69" s="46" cm="1">
        <f t="array" ref="ABY69">ROUND(VALUE(IFERROR(INDEX(ArchiveResults!$F$5:$IX$116,ComparisonData!A69,ComparisonData!$ABY$1),0)),5)</f>
        <v>0</v>
      </c>
      <c r="ABZ69" s="56">
        <v>64</v>
      </c>
      <c r="ACA69" s="53" t="str">
        <f t="shared" si="634"/>
        <v>Parliamentary Archives</v>
      </c>
      <c r="ACB69" s="60">
        <f t="shared" si="508"/>
        <v>0</v>
      </c>
      <c r="ACC69" s="60">
        <f t="shared" si="509"/>
        <v>0</v>
      </c>
      <c r="ACD69" s="60">
        <f t="shared" si="510"/>
        <v>0</v>
      </c>
      <c r="ACE69" s="60">
        <f t="shared" si="511"/>
        <v>0</v>
      </c>
      <c r="ACF69" s="60">
        <f t="shared" si="512"/>
        <v>0</v>
      </c>
      <c r="ACG69" s="76">
        <f t="shared" si="513"/>
        <v>0</v>
      </c>
      <c r="ACH69" s="46">
        <f t="shared" si="514"/>
        <v>83</v>
      </c>
      <c r="ACI69" s="46">
        <f t="shared" si="635"/>
        <v>2.8489999999999998</v>
      </c>
      <c r="ACJ69" s="46">
        <f t="shared" si="515"/>
        <v>1</v>
      </c>
      <c r="ACK69" s="46">
        <f t="shared" si="516"/>
        <v>2</v>
      </c>
      <c r="ACL69" s="46">
        <f t="shared" si="517"/>
        <v>0</v>
      </c>
      <c r="ACM69" s="46" cm="1">
        <f t="array" ref="ACM69">ROUND(IFERROR(INDEX(ArchiveResults!$F$5:$IX$116,ComparisonData!A69,ComparisonData!$ACM$1),0),5)</f>
        <v>0</v>
      </c>
      <c r="ACN69" s="46" cm="1">
        <f t="array" ref="ACN69">ROUND(IFERROR(INDEX(ArchiveResults!$F$5:$IX$116,ComparisonData!A69,ComparisonData!$ACN$1),0),5)</f>
        <v>0</v>
      </c>
      <c r="ACO69" s="56">
        <v>64</v>
      </c>
      <c r="ACP69" s="53" t="str">
        <f t="shared" si="636"/>
        <v>Parliamentary Archives</v>
      </c>
      <c r="ACQ69" s="60">
        <f t="shared" si="518"/>
        <v>0</v>
      </c>
      <c r="ACR69" s="60">
        <f t="shared" si="519"/>
        <v>0</v>
      </c>
      <c r="ACS69" s="76">
        <f t="shared" si="520"/>
        <v>0</v>
      </c>
      <c r="ACT69" s="46">
        <f t="shared" si="521"/>
        <v>83</v>
      </c>
      <c r="ACU69" s="46">
        <f t="shared" si="637"/>
        <v>2.8489999999999998</v>
      </c>
      <c r="ACV69" s="46">
        <f t="shared" si="522"/>
        <v>1</v>
      </c>
      <c r="ACW69" s="46">
        <f t="shared" si="523"/>
        <v>2</v>
      </c>
      <c r="ACX69" s="46">
        <f t="shared" si="524"/>
        <v>0</v>
      </c>
      <c r="ACY69" s="46" cm="1">
        <f t="array" ref="ACY69">ROUNDDOWN(IFERROR(INDEX(ArchiveResults!$F$5:$IX$116,ComparisonData!A69,ComparisonData!$ACY$1),0),5)</f>
        <v>0</v>
      </c>
      <c r="ACZ69" s="46" cm="1">
        <f t="array" ref="ACZ69">ROUNDDOWN(IFERROR(INDEX(ArchiveResults!$F$5:$IX$116,ComparisonData!A69,ComparisonData!$ACZ$1),0),5)</f>
        <v>0</v>
      </c>
      <c r="ADA69" s="46" cm="1">
        <f t="array" ref="ADA69">ROUNDDOWN(IFERROR(INDEX(ArchiveResults!$F$5:$IX$116,ComparisonData!A69,ComparisonData!$ADA$1),0),5)</f>
        <v>0</v>
      </c>
      <c r="ADB69" s="56">
        <v>64</v>
      </c>
      <c r="ADC69" s="53" t="str">
        <f t="shared" si="638"/>
        <v>Parliamentary Archives</v>
      </c>
      <c r="ADD69" s="60">
        <f t="shared" si="525"/>
        <v>0</v>
      </c>
      <c r="ADE69" s="60">
        <f t="shared" si="526"/>
        <v>0</v>
      </c>
      <c r="ADF69" s="60">
        <f t="shared" si="527"/>
        <v>0</v>
      </c>
      <c r="ADG69" s="76">
        <f t="shared" si="528"/>
        <v>0</v>
      </c>
    </row>
    <row r="70" spans="1:787" x14ac:dyDescent="0.25">
      <c r="A70" s="46" t="str">
        <f>IF(ISBLANK(ComparisonSelection!F66),"",ROW()-5)</f>
        <v/>
      </c>
      <c r="B70" s="53" t="s">
        <v>518</v>
      </c>
      <c r="C70" s="72">
        <v>0.50399999999999956</v>
      </c>
      <c r="D70" s="55">
        <f t="shared" si="110"/>
        <v>14</v>
      </c>
      <c r="E70" s="54">
        <f t="shared" si="111"/>
        <v>2.5039999999999996</v>
      </c>
      <c r="F70" s="54">
        <f t="shared" si="529"/>
        <v>1</v>
      </c>
      <c r="G70" s="72">
        <f t="shared" si="112"/>
        <v>2</v>
      </c>
      <c r="H70" s="72">
        <f t="shared" si="113"/>
        <v>0</v>
      </c>
      <c r="I70" s="46" cm="1">
        <f t="array" ref="I70">ROUND(IFERROR(INDEX(ArchiveResults!$F$5:$IX$116,ComparisonData!A70,ComparisonData!$I$1),0),5)</f>
        <v>0</v>
      </c>
      <c r="J70" s="46" cm="1">
        <f t="array" ref="J70">ROUND(IFERROR(INDEX(ArchiveResults!$F$5:$IX$116,ComparisonData!A70,ComparisonData!$J$1),0),5)</f>
        <v>0</v>
      </c>
      <c r="K70" s="56">
        <v>65</v>
      </c>
      <c r="L70" s="53" t="str">
        <f t="shared" si="114"/>
        <v>Pembrokeshire Archives and Local Studies</v>
      </c>
      <c r="M70" s="57">
        <f t="shared" ref="M70:M101" si="640">INDEX($I$6:$I$117,MATCH(K70,$D$6:$D$117,0))</f>
        <v>0</v>
      </c>
      <c r="N70" s="57">
        <f t="shared" ref="N70:N101" si="641">INDEX($J$6:$J$117,MATCH(K70,$D$6:$D$117,0))</f>
        <v>0</v>
      </c>
      <c r="O70" s="58">
        <f t="shared" si="115"/>
        <v>0</v>
      </c>
      <c r="P70" s="48">
        <f t="shared" si="116"/>
        <v>14</v>
      </c>
      <c r="Q70" s="54">
        <f t="shared" ref="Q70:Q101" si="642">(C70*R70)+S70</f>
        <v>2.5039999999999996</v>
      </c>
      <c r="R70" s="45">
        <f t="shared" si="117"/>
        <v>1</v>
      </c>
      <c r="S70" s="46">
        <f t="shared" si="118"/>
        <v>2</v>
      </c>
      <c r="T70" s="72">
        <f t="shared" si="119"/>
        <v>0</v>
      </c>
      <c r="U70" s="46" cm="1">
        <f t="array" ref="U70">ROUND(IFERROR(INDEX(ArchiveResults!$F$5:$IX$116,ComparisonData!A70,ComparisonData!$U$1),0),5)</f>
        <v>0</v>
      </c>
      <c r="V70" s="46" cm="1">
        <f t="array" ref="V70">ROUND(IFERROR(INDEX(ArchiveResults!$F$5:$IX$116,ComparisonData!A70,ComparisonData!$V$1),0),5)</f>
        <v>0</v>
      </c>
      <c r="W70" s="56">
        <v>65</v>
      </c>
      <c r="X70" s="53" t="str">
        <f t="shared" ref="X70:X101" si="643">INDEX($B$6:$B$117,MATCH(W70,$P$6:$P$117,0))</f>
        <v>Pembrokeshire Archives and Local Studies</v>
      </c>
      <c r="Y70" s="57">
        <f t="shared" si="120"/>
        <v>0</v>
      </c>
      <c r="Z70" s="57">
        <f t="shared" si="121"/>
        <v>0</v>
      </c>
      <c r="AA70" s="58">
        <f t="shared" si="122"/>
        <v>0</v>
      </c>
      <c r="AB70" s="45">
        <f t="shared" si="123"/>
        <v>14</v>
      </c>
      <c r="AC70" s="54">
        <f t="shared" ref="AC70:AC101" si="644">(C70*AD70)+AE70</f>
        <v>2.5039999999999996</v>
      </c>
      <c r="AD70" s="45">
        <f t="shared" si="124"/>
        <v>1</v>
      </c>
      <c r="AE70" s="45">
        <f t="shared" si="125"/>
        <v>2</v>
      </c>
      <c r="AF70" s="45">
        <f t="shared" si="639"/>
        <v>0</v>
      </c>
      <c r="AG70" s="46" cm="1">
        <f t="array" ref="AG70">ROUND(IFERROR(INDEX(ArchiveResults!$F$5:$IX$116,ComparisonData!A70,ComparisonData!$AG$1),0),5)</f>
        <v>0</v>
      </c>
      <c r="AH70" s="46" cm="1">
        <f t="array" ref="AH70">ROUND(IFERROR(INDEX(ArchiveResults!$F$5:$IX$116,ComparisonData!A70,ComparisonData!$AH$1),0),5)</f>
        <v>0</v>
      </c>
      <c r="AI70" s="56">
        <v>65</v>
      </c>
      <c r="AJ70" s="53" t="str">
        <f t="shared" ref="AJ70:AJ101" si="645">INDEX($B$6:$B$117,MATCH(AI70,$AB$6:$AB$117,0))</f>
        <v>Pembrokeshire Archives and Local Studies</v>
      </c>
      <c r="AK70" s="59">
        <f t="shared" ref="AK70:AK101" si="646">INDEX($AG$6:$AG$117,MATCH(AI70,$AB$6:$AB$117,0))</f>
        <v>0</v>
      </c>
      <c r="AL70" s="59">
        <f t="shared" ref="AL70:AL101" si="647">INDEX($AH$6:$AH$117,MATCH(AI70,$AB$6:$AB$117,0))</f>
        <v>0</v>
      </c>
      <c r="AM70" s="58">
        <f t="shared" si="127"/>
        <v>0</v>
      </c>
      <c r="AN70" s="45">
        <f t="shared" si="128"/>
        <v>14</v>
      </c>
      <c r="AO70" s="54">
        <f t="shared" ref="AO70:AO101" si="648">(C70*AP70)+AQ70</f>
        <v>2.5039999999999996</v>
      </c>
      <c r="AP70" s="45">
        <f t="shared" si="129"/>
        <v>1</v>
      </c>
      <c r="AQ70" s="45">
        <f t="shared" si="130"/>
        <v>2</v>
      </c>
      <c r="AR70" s="46" cm="1">
        <f t="array" ref="AR70">ROUND(IFERROR(INDEX(ArchiveResults!$F$5:$IX$116,ComparisonData!A70,ComparisonData!$AR$1),0),5)</f>
        <v>0</v>
      </c>
      <c r="AS70" s="46" cm="1">
        <f t="array" ref="AS70">ROUND(IFERROR(INDEX(ArchiveResults!$F$5:$IX$116,ComparisonData!A70,ComparisonData!$AS$1),0),5)</f>
        <v>0</v>
      </c>
      <c r="AT70" s="46" cm="1">
        <f t="array" ref="AT70">ROUND(IFERROR(INDEX(ArchiveResults!$F$5:$IX$116,ComparisonData!A70,ComparisonData!$AT$1),0),5)</f>
        <v>0</v>
      </c>
      <c r="AU70" s="46" cm="1">
        <f t="array" ref="AU70">ROUND(IFERROR(INDEX(ArchiveResults!$F$5:$IX$116,ComparisonData!A70,ComparisonData!$AU$1),0),5)</f>
        <v>0</v>
      </c>
      <c r="AV70" s="46" cm="1">
        <f t="array" ref="AV70">ROUND(IFERROR(INDEX(ArchiveResults!$F$5:$IX$116,ComparisonData!A70,ComparisonData!$AV$1),0),5)</f>
        <v>0</v>
      </c>
      <c r="AW70" s="46" cm="1">
        <f t="array" ref="AW70">ROUND(IFERROR(INDEX(ArchiveResults!$F$5:$IX$116,ComparisonData!A70,ComparisonData!$AW$1),0),5)</f>
        <v>0</v>
      </c>
      <c r="AX70" s="46" cm="1">
        <f t="array" ref="AX70">ROUND(IFERROR(INDEX(ArchiveResults!$F$5:$IX$116,ComparisonData!A70,ComparisonData!$AX$1),0),5)</f>
        <v>0</v>
      </c>
      <c r="AY70" s="46" cm="1">
        <f t="array" ref="AY70">ROUND(IFERROR(INDEX(ArchiveResults!$F$5:$IX$116,ComparisonData!A70,ComparisonData!$AY$1),0),5)</f>
        <v>0</v>
      </c>
      <c r="AZ70" s="46" cm="1">
        <f t="array" ref="AZ70">ROUND(IFERROR(INDEX(ArchiveResults!$F$5:$IX$116,ComparisonData!A70,ComparisonData!$AZ$1),0),5)</f>
        <v>0</v>
      </c>
      <c r="BA70" s="46" cm="1">
        <f t="array" ref="BA70">ROUND(IFERROR(INDEX(ArchiveResults!$F$5:$IX$116,ComparisonData!A70,ComparisonData!$BA$1),0),5)</f>
        <v>0</v>
      </c>
      <c r="BB70" s="56">
        <v>65</v>
      </c>
      <c r="BC70" s="53" t="str">
        <f t="shared" ref="BC70:BC101" si="649">INDEX($B$6:$B$117,MATCH(BB70,$AN$6:$AN$117,0))</f>
        <v>Pembrokeshire Archives and Local Studies</v>
      </c>
      <c r="BD70" s="60">
        <f t="shared" si="131"/>
        <v>0</v>
      </c>
      <c r="BE70" s="60">
        <f t="shared" si="132"/>
        <v>0</v>
      </c>
      <c r="BF70" s="60">
        <f t="shared" si="133"/>
        <v>0</v>
      </c>
      <c r="BG70" s="60">
        <f t="shared" si="134"/>
        <v>0</v>
      </c>
      <c r="BH70" s="60">
        <f t="shared" si="135"/>
        <v>0</v>
      </c>
      <c r="BI70" s="60">
        <f t="shared" si="136"/>
        <v>0</v>
      </c>
      <c r="BJ70" s="60">
        <f t="shared" si="137"/>
        <v>0</v>
      </c>
      <c r="BK70" s="60">
        <f t="shared" si="138"/>
        <v>0</v>
      </c>
      <c r="BL70" s="60">
        <f t="shared" si="139"/>
        <v>0</v>
      </c>
      <c r="BM70" s="59">
        <f t="shared" si="140"/>
        <v>0</v>
      </c>
      <c r="BN70" s="58">
        <f t="shared" si="141"/>
        <v>0</v>
      </c>
      <c r="BO70" s="45">
        <f t="shared" si="142"/>
        <v>14</v>
      </c>
      <c r="BP70" s="54">
        <f t="shared" ref="BP70:BP101" si="650">(C70*BQ70)+BR70</f>
        <v>2.5039999999999996</v>
      </c>
      <c r="BQ70" s="45">
        <f t="shared" si="143"/>
        <v>1</v>
      </c>
      <c r="BR70" s="45">
        <f t="shared" si="144"/>
        <v>2</v>
      </c>
      <c r="BS70" s="46" cm="1">
        <f t="array" ref="BS70">ROUND(IFERROR(INDEX(ArchiveResults!$F$5:$IX$116,ComparisonData!A70,ComparisonData!$BS$1),0),5)</f>
        <v>0</v>
      </c>
      <c r="BT70" s="46" cm="1">
        <f t="array" ref="BT70">ROUND(IFERROR(INDEX(ArchiveResults!$F$5:$IX$116,ComparisonData!A70,ComparisonData!$BT$1),0),5)</f>
        <v>0</v>
      </c>
      <c r="BU70" s="46" cm="1">
        <f t="array" ref="BU70">ROUND(IFERROR(INDEX(ArchiveResults!$F$5:$IX$116,ComparisonData!A70,ComparisonData!$BU$1),0),5)</f>
        <v>0</v>
      </c>
      <c r="BV70" s="46" cm="1">
        <f t="array" ref="BV70">ROUND(IFERROR(INDEX(ArchiveResults!$F$5:$IX$116,ComparisonData!A70,ComparisonData!$BV$1),0),5)</f>
        <v>0</v>
      </c>
      <c r="BW70" s="46" cm="1">
        <f t="array" ref="BW70">ROUND(IFERROR(INDEX(ArchiveResults!$F$5:$IX$116,ComparisonData!A70,ComparisonData!$BW$1),0),5)</f>
        <v>0</v>
      </c>
      <c r="BX70" s="46" cm="1">
        <f t="array" ref="BX70">ROUND(IFERROR(INDEX(ArchiveResults!$F$5:$IX$116,ComparisonData!A70,ComparisonData!$BX$1),0),5)</f>
        <v>0</v>
      </c>
      <c r="BY70" s="56">
        <v>65</v>
      </c>
      <c r="BZ70" s="53" t="str">
        <f t="shared" ref="BZ70:BZ101" si="651">INDEX($B$6:$B$117,MATCH(BY70,$BO$6:$BO$117,0))</f>
        <v>Pembrokeshire Archives and Local Studies</v>
      </c>
      <c r="CA70" s="59">
        <f t="shared" si="145"/>
        <v>0</v>
      </c>
      <c r="CB70" s="59">
        <f t="shared" si="146"/>
        <v>0</v>
      </c>
      <c r="CC70" s="59">
        <f t="shared" si="147"/>
        <v>0</v>
      </c>
      <c r="CD70" s="59">
        <f t="shared" si="148"/>
        <v>0</v>
      </c>
      <c r="CE70" s="59">
        <f t="shared" si="149"/>
        <v>0</v>
      </c>
      <c r="CF70" s="59">
        <f t="shared" si="150"/>
        <v>0</v>
      </c>
      <c r="CG70" s="58">
        <f t="shared" si="151"/>
        <v>0</v>
      </c>
      <c r="CH70" s="45">
        <f t="shared" si="152"/>
        <v>14</v>
      </c>
      <c r="CI70" s="54">
        <f t="shared" ref="CI70:CI101" si="652">(C70*CJ70)+CK70</f>
        <v>2.5039999999999996</v>
      </c>
      <c r="CJ70" s="45">
        <f t="shared" si="153"/>
        <v>1</v>
      </c>
      <c r="CK70" s="45">
        <f t="shared" si="154"/>
        <v>2</v>
      </c>
      <c r="CL70" s="46" cm="1">
        <f t="array" ref="CL70">ROUND(IFERROR(INDEX(ArchiveResults!$F$5:$IX$116,ComparisonData!A70,ComparisonData!$CL$1),0),5)</f>
        <v>0</v>
      </c>
      <c r="CM70" s="56">
        <v>65</v>
      </c>
      <c r="CN70" s="53" t="str">
        <f t="shared" ref="CN70:CN101" si="653">INDEX($B$6:$B$117,MATCH(CM70,$CH$6:$CH$117,0))</f>
        <v>Pembrokeshire Archives and Local Studies</v>
      </c>
      <c r="CO70" s="45">
        <f t="shared" si="155"/>
        <v>0</v>
      </c>
      <c r="CP70" s="58">
        <f t="shared" si="156"/>
        <v>0</v>
      </c>
      <c r="CQ70" s="45">
        <f t="shared" si="157"/>
        <v>14</v>
      </c>
      <c r="CR70" s="54">
        <f t="shared" ref="CR70:CR101" si="654">(C70*CS70)+CT70</f>
        <v>2.5039999999999996</v>
      </c>
      <c r="CS70" s="45">
        <f t="shared" si="158"/>
        <v>1</v>
      </c>
      <c r="CT70" s="45">
        <f t="shared" si="159"/>
        <v>2</v>
      </c>
      <c r="CU70" s="46" cm="1">
        <f t="array" ref="CU70">ROUND(IFERROR(INDEX(ArchiveResults!$F$5:$IX$116,ComparisonData!A70,ComparisonData!$CU$1),0),5)</f>
        <v>0</v>
      </c>
      <c r="CV70" s="56">
        <v>65</v>
      </c>
      <c r="CW70" s="53" t="str">
        <f t="shared" ref="CW70:CW101" si="655">INDEX($B$6:$B$117,MATCH(CV70,$CQ$6:$CQ$117,0))</f>
        <v>Pembrokeshire Archives and Local Studies</v>
      </c>
      <c r="CX70" s="45">
        <f t="shared" si="160"/>
        <v>0</v>
      </c>
      <c r="CY70" s="58">
        <f t="shared" si="161"/>
        <v>0</v>
      </c>
      <c r="CZ70" s="45">
        <f t="shared" si="162"/>
        <v>14</v>
      </c>
      <c r="DA70" s="54">
        <f t="shared" ref="DA70:DA101" si="656">(C70*DB70)+DC70</f>
        <v>2.5039999999999996</v>
      </c>
      <c r="DB70" s="45">
        <f t="shared" si="163"/>
        <v>1</v>
      </c>
      <c r="DC70" s="45">
        <f t="shared" si="164"/>
        <v>2</v>
      </c>
      <c r="DD70" s="46" cm="1">
        <f t="array" ref="DD70">ROUND(IFERROR(INDEX(ArchiveResults!$F$5:$IX$116,ComparisonData!A70,ComparisonData!$DD$1),0),5)</f>
        <v>0</v>
      </c>
      <c r="DE70" s="56">
        <v>65</v>
      </c>
      <c r="DF70" s="53" t="str">
        <f t="shared" ref="DF70:DF101" si="657">INDEX($B$6:$B$117,MATCH(DE70,$CZ$6:$CZ$117,0))</f>
        <v>Pembrokeshire Archives and Local Studies</v>
      </c>
      <c r="DG70" s="45">
        <f t="shared" si="165"/>
        <v>0</v>
      </c>
      <c r="DH70" s="58">
        <f t="shared" si="166"/>
        <v>0</v>
      </c>
      <c r="DI70" s="45">
        <f t="shared" si="167"/>
        <v>14</v>
      </c>
      <c r="DJ70" s="54">
        <f t="shared" ref="DJ70:DJ101" si="658">(C70*DK70)+DL70</f>
        <v>2.5039999999999996</v>
      </c>
      <c r="DK70" s="45">
        <f t="shared" si="168"/>
        <v>1</v>
      </c>
      <c r="DL70" s="45">
        <f t="shared" si="169"/>
        <v>2</v>
      </c>
      <c r="DM70" s="46" cm="1">
        <f t="array" ref="DM70">ROUND(IFERROR(INDEX(ArchiveResults!$F$5:$IX$116,ComparisonData!A70,ComparisonData!$DM$1),0),5)</f>
        <v>0</v>
      </c>
      <c r="DN70" s="46" cm="1">
        <f t="array" ref="DN70">ROUND(IFERROR(INDEX(ArchiveResults!$F$5:$IX$116,ComparisonData!A70,ComparisonData!$DN$1),0),5)</f>
        <v>0</v>
      </c>
      <c r="DO70" s="46" cm="1">
        <f t="array" ref="DO70">ROUND(IFERROR(INDEX(ArchiveResults!$F$5:$IX$116,ComparisonData!A70,ComparisonData!$DO$1),0),5)</f>
        <v>0</v>
      </c>
      <c r="DP70" s="46" cm="1">
        <f t="array" ref="DP70">ROUND(IFERROR(INDEX(ArchiveResults!$F$5:$IX$116,ComparisonData!A70,ComparisonData!$DP$1),0),5)</f>
        <v>0</v>
      </c>
      <c r="DQ70" s="45" cm="1">
        <f t="array" ref="DQ70">IFERROR(INDEX(ArchiveResults!$F$5:$IX$116,ComparisonData!A70,ComparisonData!$DQ$1),0)</f>
        <v>0</v>
      </c>
      <c r="DR70" s="56">
        <v>65</v>
      </c>
      <c r="DS70" s="53" t="str">
        <f t="shared" ref="DS70:DS101" si="659">INDEX($B$6:$B$117,MATCH(DR70,$DI$6:$DI$117,0))</f>
        <v>Pembrokeshire Archives and Local Studies</v>
      </c>
      <c r="DT70" s="59">
        <f t="shared" si="170"/>
        <v>0</v>
      </c>
      <c r="DU70" s="59">
        <f t="shared" si="171"/>
        <v>0</v>
      </c>
      <c r="DV70" s="59">
        <f t="shared" si="172"/>
        <v>0</v>
      </c>
      <c r="DW70" s="59">
        <f t="shared" si="173"/>
        <v>0</v>
      </c>
      <c r="DX70" s="59">
        <f t="shared" si="174"/>
        <v>0</v>
      </c>
      <c r="DY70" s="58">
        <f t="shared" si="175"/>
        <v>0</v>
      </c>
      <c r="DZ70" s="45">
        <f t="shared" si="176"/>
        <v>14</v>
      </c>
      <c r="EA70" s="54">
        <f t="shared" ref="EA70:EA101" si="660">(C70*EB70)+EC70</f>
        <v>2.5039999999999996</v>
      </c>
      <c r="EB70" s="45">
        <f t="shared" si="177"/>
        <v>1</v>
      </c>
      <c r="EC70" s="45">
        <f t="shared" si="178"/>
        <v>2</v>
      </c>
      <c r="ED70" s="46" cm="1">
        <f t="array" ref="ED70">ROUND(IFERROR(INDEX(ArchiveResults!$F$5:$IX$116,ComparisonData!A70,ComparisonData!$ED$1),0),5)</f>
        <v>0</v>
      </c>
      <c r="EE70" s="46" cm="1">
        <f t="array" ref="EE70">ROUND(IFERROR(INDEX(ArchiveResults!$F$5:$IX$116,ComparisonData!A70,ComparisonData!$EE$1),0),5)</f>
        <v>0</v>
      </c>
      <c r="EF70" s="46" cm="1">
        <f t="array" ref="EF70">ROUND(IFERROR(INDEX(ArchiveResults!$F$5:$IX$116,ComparisonData!A70,ComparisonData!$EF$1),0),5)</f>
        <v>0</v>
      </c>
      <c r="EG70" s="46" cm="1">
        <f t="array" ref="EG70">ROUND(IFERROR(INDEX(ArchiveResults!$F$5:$IX$116,ComparisonData!A70,ComparisonData!$EG$1),0),5)</f>
        <v>0</v>
      </c>
      <c r="EH70" s="45" cm="1">
        <f t="array" ref="EH70">IFERROR(INDEX(ArchiveResults!$F$5:$IX$116,ComparisonData!A70,ComparisonData!$EH$1),0)</f>
        <v>0</v>
      </c>
      <c r="EI70" s="56">
        <v>65</v>
      </c>
      <c r="EJ70" s="53" t="str">
        <f t="shared" ref="EJ70:EJ101" si="661">INDEX($B$6:$B$117,MATCH(EI70,$DZ$6:$DZ$117,0))</f>
        <v>Pembrokeshire Archives and Local Studies</v>
      </c>
      <c r="EK70" s="59">
        <f t="shared" si="179"/>
        <v>0</v>
      </c>
      <c r="EL70" s="59">
        <f t="shared" si="180"/>
        <v>0</v>
      </c>
      <c r="EM70" s="59">
        <f t="shared" si="181"/>
        <v>0</v>
      </c>
      <c r="EN70" s="59">
        <f t="shared" si="182"/>
        <v>0</v>
      </c>
      <c r="EO70" s="59">
        <f t="shared" si="183"/>
        <v>0</v>
      </c>
      <c r="EP70" s="58">
        <f t="shared" si="184"/>
        <v>0</v>
      </c>
      <c r="EQ70" s="45">
        <f t="shared" si="185"/>
        <v>14</v>
      </c>
      <c r="ER70" s="54">
        <f t="shared" ref="ER70:ER101" si="662">(C70*ES70)+ET70</f>
        <v>2.5039999999999996</v>
      </c>
      <c r="ES70" s="45">
        <f t="shared" si="186"/>
        <v>1</v>
      </c>
      <c r="ET70" s="45">
        <f t="shared" si="187"/>
        <v>2</v>
      </c>
      <c r="EU70" s="46" cm="1">
        <f t="array" ref="EU70">ROUND(IFERROR(INDEX(ArchiveResults!$F$5:$IX$116,ComparisonData!A70,ComparisonData!$EU$1),0),5)</f>
        <v>0</v>
      </c>
      <c r="EV70" s="46" cm="1">
        <f t="array" ref="EV70">ROUND(IFERROR(INDEX(ArchiveResults!$F$5:$IX$116,ComparisonData!A70,ComparisonData!$EV$1),0),5)</f>
        <v>0</v>
      </c>
      <c r="EW70" s="46" cm="1">
        <f t="array" ref="EW70">ROUND(IFERROR(INDEX(ArchiveResults!$F$5:$IX$116,ComparisonData!A70,ComparisonData!$EW$1),0),5)</f>
        <v>0</v>
      </c>
      <c r="EX70" s="46" cm="1">
        <f t="array" ref="EX70">ROUND(IFERROR(INDEX(ArchiveResults!$F$5:$IX$116,ComparisonData!A70,ComparisonData!$EX$1),0),5)</f>
        <v>0</v>
      </c>
      <c r="EY70" s="45" cm="1">
        <f t="array" ref="EY70">IFERROR(INDEX(ArchiveResults!$F$5:$IX$116,ComparisonData!A70,ComparisonData!$EY$1),0)</f>
        <v>0</v>
      </c>
      <c r="EZ70" s="56">
        <v>65</v>
      </c>
      <c r="FA70" s="53" t="str">
        <f t="shared" ref="FA70:FA101" si="663">INDEX($B$6:$B$117,MATCH(EZ70,$EQ$6:$EQ$117,0))</f>
        <v>Pembrokeshire Archives and Local Studies</v>
      </c>
      <c r="FB70" s="59">
        <f t="shared" si="188"/>
        <v>0</v>
      </c>
      <c r="FC70" s="59">
        <f t="shared" si="189"/>
        <v>0</v>
      </c>
      <c r="FD70" s="59">
        <f t="shared" si="190"/>
        <v>0</v>
      </c>
      <c r="FE70" s="59">
        <f t="shared" si="191"/>
        <v>0</v>
      </c>
      <c r="FF70" s="59">
        <f t="shared" si="192"/>
        <v>0</v>
      </c>
      <c r="FG70" s="58">
        <f t="shared" si="193"/>
        <v>0</v>
      </c>
      <c r="FH70" s="45">
        <f t="shared" si="194"/>
        <v>14</v>
      </c>
      <c r="FI70" s="54">
        <f t="shared" ref="FI70:FI101" si="664">(C70*FJ70)+FK70</f>
        <v>2.5039999999999996</v>
      </c>
      <c r="FJ70" s="45">
        <f t="shared" si="195"/>
        <v>1</v>
      </c>
      <c r="FK70" s="45">
        <f t="shared" si="196"/>
        <v>2</v>
      </c>
      <c r="FL70" s="46" cm="1">
        <f t="array" ref="FL70">ROUND(IFERROR(INDEX(ArchiveResults!$F$5:$IX$116,ComparisonData!A70,ComparisonData!$FL$1),0),5)</f>
        <v>0</v>
      </c>
      <c r="FM70" s="46" cm="1">
        <f t="array" ref="FM70">ROUND(IFERROR(INDEX(ArchiveResults!$F$5:$IX$116,ComparisonData!A70,ComparisonData!$FM$1),0),5)</f>
        <v>0</v>
      </c>
      <c r="FN70" s="46" cm="1">
        <f t="array" ref="FN70">ROUND(IFERROR(INDEX(ArchiveResults!$F$5:$IX$116,ComparisonData!A70,ComparisonData!$FN$1),0),5)</f>
        <v>0</v>
      </c>
      <c r="FO70" s="46" cm="1">
        <f t="array" ref="FO70">ROUND(IFERROR(INDEX(ArchiveResults!$F$5:$IX$116,ComparisonData!A70,ComparisonData!$FO$1),0),5)</f>
        <v>0</v>
      </c>
      <c r="FP70" s="45" cm="1">
        <f t="array" ref="FP70">IFERROR(INDEX(ArchiveResults!$F$5:$IX$116,ComparisonData!A70,ComparisonData!$FP$1),0)</f>
        <v>0</v>
      </c>
      <c r="FQ70" s="56">
        <v>65</v>
      </c>
      <c r="FR70" s="53" t="str">
        <f t="shared" ref="FR70:FR101" si="665">INDEX($B$6:$B$117,MATCH(FQ70,$FH$6:$FH$117,0))</f>
        <v>Pembrokeshire Archives and Local Studies</v>
      </c>
      <c r="FS70" s="59">
        <f t="shared" si="197"/>
        <v>0</v>
      </c>
      <c r="FT70" s="59">
        <f t="shared" si="198"/>
        <v>0</v>
      </c>
      <c r="FU70" s="59">
        <f t="shared" si="199"/>
        <v>0</v>
      </c>
      <c r="FV70" s="59">
        <f t="shared" si="200"/>
        <v>0</v>
      </c>
      <c r="FW70" s="59">
        <f t="shared" si="201"/>
        <v>0</v>
      </c>
      <c r="FX70" s="58">
        <f t="shared" si="202"/>
        <v>0</v>
      </c>
      <c r="FY70" s="45">
        <f t="shared" si="203"/>
        <v>14</v>
      </c>
      <c r="FZ70" s="45">
        <f t="shared" ref="FZ70:FZ101" si="666">(C70*GA70)+GB70</f>
        <v>2.5039999999999996</v>
      </c>
      <c r="GA70" s="45">
        <f t="shared" si="204"/>
        <v>1</v>
      </c>
      <c r="GB70" s="45">
        <f t="shared" si="205"/>
        <v>2</v>
      </c>
      <c r="GC70" s="46" cm="1">
        <f t="array" ref="GC70">ROUND(IFERROR(INDEX(ArchiveResults!$F$5:$IX$116,ComparisonData!A70,ComparisonData!$GC$1),0),5)</f>
        <v>0</v>
      </c>
      <c r="GD70" s="46" cm="1">
        <f t="array" ref="GD70">ROUND(IFERROR(INDEX(ArchiveResults!$F$5:$IX$116,ComparisonData!A70,ComparisonData!$GD$1),0),5)</f>
        <v>0</v>
      </c>
      <c r="GE70" s="46" cm="1">
        <f t="array" ref="GE70">ROUND(IFERROR(INDEX(ArchiveResults!$F$5:$IX$116,ComparisonData!A70,ComparisonData!$GE$1),0),5)</f>
        <v>0</v>
      </c>
      <c r="GF70" s="46" cm="1">
        <f t="array" ref="GF70">ROUND(IFERROR(INDEX(ArchiveResults!$F$5:$IX$116,ComparisonData!A70,ComparisonData!$GF$1),0),5)</f>
        <v>0</v>
      </c>
      <c r="GG70" s="45" cm="1">
        <f t="array" ref="GG70">IFERROR(INDEX(ArchiveResults!$F$5:$IX$116,ComparisonData!A70,ComparisonData!$GG$1),0)</f>
        <v>0</v>
      </c>
      <c r="GH70" s="56">
        <v>65</v>
      </c>
      <c r="GI70" s="53" t="str">
        <f t="shared" ref="GI70:GI101" si="667">INDEX($B$6:$B$117,MATCH(GH70,$FY$6:$FY$117,0))</f>
        <v>Pembrokeshire Archives and Local Studies</v>
      </c>
      <c r="GJ70" s="59">
        <f t="shared" si="206"/>
        <v>0</v>
      </c>
      <c r="GK70" s="59">
        <f t="shared" si="207"/>
        <v>0</v>
      </c>
      <c r="GL70" s="59">
        <f t="shared" si="208"/>
        <v>0</v>
      </c>
      <c r="GM70" s="59">
        <f t="shared" si="209"/>
        <v>0</v>
      </c>
      <c r="GN70" s="59">
        <f t="shared" si="210"/>
        <v>0</v>
      </c>
      <c r="GO70" s="58">
        <f t="shared" si="211"/>
        <v>0</v>
      </c>
      <c r="GP70" s="45">
        <f t="shared" si="212"/>
        <v>14</v>
      </c>
      <c r="GQ70" s="45">
        <f t="shared" ref="GQ70:GQ101" si="668">(C70*GR70)+GS70</f>
        <v>2.5039999999999996</v>
      </c>
      <c r="GR70" s="45">
        <f t="shared" si="213"/>
        <v>1</v>
      </c>
      <c r="GS70" s="45">
        <f t="shared" si="214"/>
        <v>2</v>
      </c>
      <c r="GT70" s="46" cm="1">
        <f t="array" ref="GT70">ROUND(IFERROR(INDEX(ArchiveResults!$F$5:$IX$116,ComparisonData!A70,ComparisonData!$GT$1),0),5)</f>
        <v>0</v>
      </c>
      <c r="GU70" s="46" cm="1">
        <f t="array" ref="GU70">ROUND(IFERROR(INDEX(ArchiveResults!$F$5:$IX$116,ComparisonData!A70,ComparisonData!$GU$1),0),5)</f>
        <v>0</v>
      </c>
      <c r="GV70" s="46" cm="1">
        <f t="array" ref="GV70">ROUND(IFERROR(INDEX(ArchiveResults!$F$5:$IX$116,ComparisonData!A70,ComparisonData!$GV$1),0),5)</f>
        <v>0</v>
      </c>
      <c r="GW70" s="46" cm="1">
        <f t="array" ref="GW70">ROUND(IFERROR(INDEX(ArchiveResults!$F$5:$IX$116,ComparisonData!A70,ComparisonData!$GW$1),0),5)</f>
        <v>0</v>
      </c>
      <c r="GX70" s="45" cm="1">
        <f t="array" ref="GX70">IFERROR(INDEX(ArchiveResults!$F$5:$IX$116,ComparisonData!A70,ComparisonData!$GX$1),0)</f>
        <v>0</v>
      </c>
      <c r="GY70" s="56">
        <v>65</v>
      </c>
      <c r="GZ70" s="53" t="str">
        <f t="shared" ref="GZ70:GZ101" si="669">INDEX($B$6:$B$117,MATCH(GY70,$GP$6:$GP$117,0))</f>
        <v>Pembrokeshire Archives and Local Studies</v>
      </c>
      <c r="HA70" s="59">
        <f t="shared" si="215"/>
        <v>0</v>
      </c>
      <c r="HB70" s="59">
        <f t="shared" si="216"/>
        <v>0</v>
      </c>
      <c r="HC70" s="59">
        <f t="shared" si="217"/>
        <v>0</v>
      </c>
      <c r="HD70" s="59">
        <f t="shared" si="218"/>
        <v>0</v>
      </c>
      <c r="HE70" s="59">
        <f t="shared" si="219"/>
        <v>0</v>
      </c>
      <c r="HF70" s="58">
        <f t="shared" si="220"/>
        <v>0</v>
      </c>
      <c r="HG70" s="45">
        <f t="shared" si="221"/>
        <v>14</v>
      </c>
      <c r="HH70" s="45">
        <f t="shared" ref="HH70:HH101" si="670">(C70*HI70)+HJ70</f>
        <v>2.5039999999999996</v>
      </c>
      <c r="HI70" s="45">
        <f t="shared" si="222"/>
        <v>1</v>
      </c>
      <c r="HJ70" s="45">
        <f t="shared" si="223"/>
        <v>2</v>
      </c>
      <c r="HK70" s="46" cm="1">
        <f t="array" ref="HK70">ROUND(IFERROR(INDEX(ArchiveResults!$F$5:$IX$116,ComparisonData!A70,ComparisonData!$HK$1),0),5)</f>
        <v>0</v>
      </c>
      <c r="HL70" s="46" cm="1">
        <f t="array" ref="HL70">ROUND(IFERROR(INDEX(ArchiveResults!$F$5:$IX$116,ComparisonData!A70,ComparisonData!$HL$1),0),5)</f>
        <v>0</v>
      </c>
      <c r="HM70" s="46" cm="1">
        <f t="array" ref="HM70">ROUND(IFERROR(INDEX(ArchiveResults!$F$5:$IX$116,ComparisonData!A70,ComparisonData!$HM$1),0),5)</f>
        <v>0</v>
      </c>
      <c r="HN70" s="46" cm="1">
        <f t="array" ref="HN70">ROUND(IFERROR(INDEX(ArchiveResults!$F$5:$IX$116,ComparisonData!A70,ComparisonData!$HN$1),0),5)</f>
        <v>0</v>
      </c>
      <c r="HO70" s="45" cm="1">
        <f t="array" ref="HO70">IFERROR(INDEX(ArchiveResults!$F$5:$IX$116,ComparisonData!A70,ComparisonData!$HO$1),0)</f>
        <v>0</v>
      </c>
      <c r="HP70" s="56">
        <v>65</v>
      </c>
      <c r="HQ70" s="53" t="str">
        <f t="shared" ref="HQ70:HQ101" si="671">INDEX($B$6:$B$117,MATCH(HP70,$HG$6:$HG$117,0))</f>
        <v>Pembrokeshire Archives and Local Studies</v>
      </c>
      <c r="HR70" s="59">
        <f t="shared" ref="HR70:HR101" si="672">INDEX($HK$6:$HK$117,MATCH(HP70,$HG$6:$HG$117,0))</f>
        <v>0</v>
      </c>
      <c r="HS70" s="59">
        <f t="shared" ref="HS70:HS101" si="673">INDEX($HL$6:$HL$117,MATCH(HP70,$HG$6:$HG$117,0))</f>
        <v>0</v>
      </c>
      <c r="HT70" s="59">
        <f t="shared" ref="HT70:HT101" si="674">INDEX($HM$6:$HM$117,MATCH(HP70,$HG$6:$HG$117,0))</f>
        <v>0</v>
      </c>
      <c r="HU70" s="59">
        <f t="shared" ref="HU70:HU101" si="675">INDEX($HN$6:$HN$117,MATCH(HP70,$HG$6:$HG$117,0))</f>
        <v>0</v>
      </c>
      <c r="HV70" s="59">
        <f t="shared" ref="HV70:HV101" si="676">INDEX($HO$6:$HO$117,MATCH(HP70,$HG$6:$HG$117,0))</f>
        <v>0</v>
      </c>
      <c r="HW70" s="58">
        <f t="shared" si="224"/>
        <v>0</v>
      </c>
      <c r="HX70" s="45">
        <f t="shared" si="225"/>
        <v>14</v>
      </c>
      <c r="HY70" s="45">
        <f t="shared" ref="HY70:HY101" si="677">(C70*HZ70)+IA70</f>
        <v>2.5039999999999996</v>
      </c>
      <c r="HZ70" s="45">
        <f t="shared" si="226"/>
        <v>1</v>
      </c>
      <c r="IA70" s="45">
        <f t="shared" si="227"/>
        <v>2</v>
      </c>
      <c r="IB70" s="45">
        <f t="shared" si="228"/>
        <v>0</v>
      </c>
      <c r="IC70" s="46" cm="1">
        <f t="array" ref="IC70">ROUND(IFERROR(INDEX(ArchiveResults!$F$5:$IX$116,ComparisonData!A70,ComparisonData!$IC$1),0),5)</f>
        <v>0</v>
      </c>
      <c r="ID70" s="46" cm="1">
        <f t="array" ref="ID70">ROUND(IFERROR(INDEX(ArchiveResults!$F$5:$IX$116,ComparisonData!A70,ComparisonData!$ID$1),0),5)</f>
        <v>0</v>
      </c>
      <c r="IE70" s="46" cm="1">
        <f t="array" ref="IE70">ROUND(IFERROR(INDEX(ArchiveResults!$F$5:$IX$116,ComparisonData!A70,ComparisonData!$IE$1),0),5)</f>
        <v>0</v>
      </c>
      <c r="IF70" s="46" cm="1">
        <f t="array" ref="IF70">ROUND(IFERROR(INDEX(ArchiveResults!$F$5:$IX$116,ComparisonData!A70,ComparisonData!$IF$1),0),5)</f>
        <v>0</v>
      </c>
      <c r="IG70" s="45" cm="1">
        <f t="array" ref="IG70">IFERROR(INDEX(ArchiveResults!$F$5:$IX$116,ComparisonData!A70,ComparisonData!$IG$1),0)</f>
        <v>0</v>
      </c>
      <c r="IH70" s="56">
        <v>65</v>
      </c>
      <c r="II70" s="53" t="str">
        <f t="shared" ref="II70:II101" si="678">INDEX($B$6:$B$117,MATCH(IH70,$HX$6:$HX$117,0))</f>
        <v>Pembrokeshire Archives and Local Studies</v>
      </c>
      <c r="IJ70" s="59">
        <f t="shared" si="229"/>
        <v>0</v>
      </c>
      <c r="IK70" s="59">
        <f t="shared" si="230"/>
        <v>0</v>
      </c>
      <c r="IL70" s="59">
        <f t="shared" si="231"/>
        <v>0</v>
      </c>
      <c r="IM70" s="59">
        <f t="shared" si="232"/>
        <v>0</v>
      </c>
      <c r="IN70" s="59">
        <f t="shared" si="233"/>
        <v>0</v>
      </c>
      <c r="IO70" s="58">
        <f t="shared" si="234"/>
        <v>0</v>
      </c>
      <c r="IP70" s="45">
        <f t="shared" si="235"/>
        <v>14</v>
      </c>
      <c r="IQ70" s="45">
        <f t="shared" ref="IQ70:IQ101" si="679">(C70*IR70)+IS70</f>
        <v>2.5039999999999996</v>
      </c>
      <c r="IR70" s="45">
        <f t="shared" si="236"/>
        <v>1</v>
      </c>
      <c r="IS70" s="45">
        <f t="shared" si="237"/>
        <v>2</v>
      </c>
      <c r="IT70" s="46">
        <f t="shared" si="238"/>
        <v>0</v>
      </c>
      <c r="IU70" s="46" cm="1">
        <f t="array" ref="IU70">ROUND(IFERROR(INDEX(ArchiveResults!$F$5:$IX$116,ComparisonData!A70,ComparisonData!$IU$1),0),5)</f>
        <v>0</v>
      </c>
      <c r="IV70" s="46" cm="1">
        <f t="array" ref="IV70">ROUND(IFERROR(INDEX(ArchiveResults!$F$5:$IX$116,ComparisonData!A70,ComparisonData!$IV$1),0),5)</f>
        <v>0</v>
      </c>
      <c r="IW70" s="46" cm="1">
        <f t="array" ref="IW70">ROUND(IFERROR(INDEX(ArchiveResults!$F$5:$IX$116,ComparisonData!A70,ComparisonData!$IW$1),0),5)</f>
        <v>0</v>
      </c>
      <c r="IX70" s="46" cm="1">
        <f t="array" ref="IX70">ROUND(IFERROR(INDEX(ArchiveResults!$F$5:$IX$116,ComparisonData!A70,ComparisonData!$IX$1),0),5)</f>
        <v>0</v>
      </c>
      <c r="IY70" s="45" cm="1">
        <f t="array" ref="IY70">IFERROR(INDEX(ArchiveResults!$F$5:$IX$116,ComparisonData!A70,ComparisonData!$IY$1),0)</f>
        <v>0</v>
      </c>
      <c r="IZ70" s="56">
        <v>65</v>
      </c>
      <c r="JA70" s="53" t="str">
        <f t="shared" ref="JA70:JA101" si="680">INDEX($B$6:$B$117,MATCH(IZ70,$IP$6:$IP$117,0))</f>
        <v>Pembrokeshire Archives and Local Studies</v>
      </c>
      <c r="JB70" s="59">
        <f t="shared" si="239"/>
        <v>0</v>
      </c>
      <c r="JC70" s="59">
        <f t="shared" si="240"/>
        <v>0</v>
      </c>
      <c r="JD70" s="59">
        <f t="shared" si="241"/>
        <v>0</v>
      </c>
      <c r="JE70" s="59">
        <f t="shared" si="242"/>
        <v>0</v>
      </c>
      <c r="JF70" s="59">
        <f t="shared" si="243"/>
        <v>0</v>
      </c>
      <c r="JG70" s="58">
        <f t="shared" si="244"/>
        <v>0</v>
      </c>
      <c r="JH70" s="45">
        <f t="shared" si="245"/>
        <v>14</v>
      </c>
      <c r="JI70" s="45">
        <f t="shared" ref="JI70:JI101" si="681">(C70*JJ70)+JK70</f>
        <v>2.5039999999999996</v>
      </c>
      <c r="JJ70" s="45">
        <f t="shared" si="246"/>
        <v>1</v>
      </c>
      <c r="JK70" s="45">
        <f t="shared" si="247"/>
        <v>2</v>
      </c>
      <c r="JL70" s="45">
        <f t="shared" si="248"/>
        <v>0</v>
      </c>
      <c r="JM70" s="46" cm="1">
        <f t="array" ref="JM70">ROUND(IFERROR(INDEX(ArchiveResults!$F$5:$IX$116,ComparisonData!A70,ComparisonData!$JM$1),0),5)</f>
        <v>0</v>
      </c>
      <c r="JN70" s="46" cm="1">
        <f t="array" ref="JN70">ROUND(IFERROR(INDEX(ArchiveResults!$F$5:$IX$116,ComparisonData!A70,ComparisonData!$JN$1),0),5)</f>
        <v>0</v>
      </c>
      <c r="JO70" s="46" cm="1">
        <f t="array" ref="JO70">ROUND(IFERROR(INDEX(ArchiveResults!$F$5:$IX$116,ComparisonData!A70,ComparisonData!$JO$1),0),5)</f>
        <v>0</v>
      </c>
      <c r="JP70" s="46" cm="1">
        <f t="array" ref="JP70">ROUND(IFERROR(INDEX(ArchiveResults!$F$5:$IX$116,ComparisonData!A70,ComparisonData!$JP$1),0),5)</f>
        <v>0</v>
      </c>
      <c r="JQ70" s="45" cm="1">
        <f t="array" ref="JQ70">IFERROR(INDEX(ArchiveResults!$F$5:$IX$116,ComparisonData!A70,ComparisonData!$JQ$1),0)</f>
        <v>0</v>
      </c>
      <c r="JR70" s="56">
        <v>65</v>
      </c>
      <c r="JS70" s="53" t="str">
        <f t="shared" ref="JS70:JS101" si="682">INDEX($B$6:$B$117,MATCH(JR70,$JH$6:$JH$117,0))</f>
        <v>Pembrokeshire Archives and Local Studies</v>
      </c>
      <c r="JT70" s="59">
        <f t="shared" si="249"/>
        <v>0</v>
      </c>
      <c r="JU70" s="59">
        <f t="shared" si="250"/>
        <v>0</v>
      </c>
      <c r="JV70" s="59">
        <f t="shared" si="251"/>
        <v>0</v>
      </c>
      <c r="JW70" s="59">
        <f t="shared" si="252"/>
        <v>0</v>
      </c>
      <c r="JX70" s="59">
        <f t="shared" si="253"/>
        <v>0</v>
      </c>
      <c r="JY70" s="58">
        <f t="shared" si="254"/>
        <v>0</v>
      </c>
      <c r="JZ70" s="45">
        <f t="shared" si="255"/>
        <v>14</v>
      </c>
      <c r="KA70" s="45">
        <f t="shared" ref="KA70:KA101" si="683">(C70*KB70)+KC70</f>
        <v>2.5039999999999996</v>
      </c>
      <c r="KB70" s="45">
        <f t="shared" si="256"/>
        <v>1</v>
      </c>
      <c r="KC70" s="45">
        <f t="shared" si="257"/>
        <v>2</v>
      </c>
      <c r="KD70" s="45">
        <f t="shared" si="258"/>
        <v>0</v>
      </c>
      <c r="KE70" s="46" cm="1">
        <f t="array" ref="KE70">ROUND(IFERROR(INDEX(ArchiveResults!$F$5:$IX$116,ComparisonData!A70,ComparisonData!$KE$1),0),5)</f>
        <v>0</v>
      </c>
      <c r="KF70" s="46" cm="1">
        <f t="array" ref="KF70">ROUND(IFERROR(INDEX(ArchiveResults!$F$5:$IX$116,ComparisonData!A70,ComparisonData!$KF$1),0),5)</f>
        <v>0</v>
      </c>
      <c r="KG70" s="46" cm="1">
        <f t="array" ref="KG70">ROUND(IFERROR(INDEX(ArchiveResults!$F$5:$IX$116,ComparisonData!A70,ComparisonData!$KG$1),0),5)</f>
        <v>0</v>
      </c>
      <c r="KH70" s="46" cm="1">
        <f t="array" ref="KH70">ROUND(IFERROR(INDEX(ArchiveResults!$F$5:$IX$116,ComparisonData!A70,ComparisonData!$KH$1),0),5)</f>
        <v>0</v>
      </c>
      <c r="KI70" s="45" cm="1">
        <f t="array" ref="KI70">IFERROR(INDEX(ArchiveResults!$F$5:$IX$116,ComparisonData!A70,ComparisonData!$KI$1),0)</f>
        <v>0</v>
      </c>
      <c r="KJ70" s="56">
        <v>65</v>
      </c>
      <c r="KK70" s="53" t="str">
        <f t="shared" ref="KK70:KK101" si="684">INDEX($B$6:$B$117,MATCH(KJ70,$JZ$6:$JZ$117,0))</f>
        <v>Pembrokeshire Archives and Local Studies</v>
      </c>
      <c r="KL70" s="59">
        <f t="shared" si="259"/>
        <v>0</v>
      </c>
      <c r="KM70" s="59">
        <f t="shared" si="260"/>
        <v>0</v>
      </c>
      <c r="KN70" s="59">
        <f t="shared" si="261"/>
        <v>0</v>
      </c>
      <c r="KO70" s="59">
        <f t="shared" si="262"/>
        <v>0</v>
      </c>
      <c r="KP70" s="59">
        <f t="shared" si="263"/>
        <v>0</v>
      </c>
      <c r="KQ70" s="58">
        <f t="shared" si="264"/>
        <v>0</v>
      </c>
      <c r="KR70" s="45">
        <f t="shared" si="265"/>
        <v>14</v>
      </c>
      <c r="KS70" s="45">
        <f t="shared" ref="KS70:KS101" si="685">(C70*KT70)+KU70</f>
        <v>2.5039999999999996</v>
      </c>
      <c r="KT70" s="45">
        <f t="shared" si="266"/>
        <v>1</v>
      </c>
      <c r="KU70" s="45">
        <f t="shared" si="267"/>
        <v>2</v>
      </c>
      <c r="KV70" s="45">
        <f t="shared" si="268"/>
        <v>0</v>
      </c>
      <c r="KW70" s="46" cm="1">
        <f t="array" ref="KW70">ROUND(IFERROR(INDEX(ArchiveResults!$F$5:$IX$116,ComparisonData!A70,ComparisonData!$KW$1),0),5)</f>
        <v>0</v>
      </c>
      <c r="KX70" s="46" cm="1">
        <f t="array" ref="KX70">ROUND(IFERROR(INDEX(ArchiveResults!$F$5:$IX$116,ComparisonData!A70,ComparisonData!$KX$1),0),5)</f>
        <v>0</v>
      </c>
      <c r="KY70" s="46" cm="1">
        <f t="array" ref="KY70">ROUND(IFERROR(INDEX(ArchiveResults!$F$5:$IX$116,ComparisonData!A70,ComparisonData!$KY$1),0),5)</f>
        <v>0</v>
      </c>
      <c r="KZ70" s="46" cm="1">
        <f t="array" ref="KZ70">ROUND(IFERROR(INDEX(ArchiveResults!$F$5:$IX$116,ComparisonData!A70,ComparisonData!$KZ$1),0),5)</f>
        <v>0</v>
      </c>
      <c r="LA70" s="45" cm="1">
        <f t="array" ref="LA70">IFERROR(INDEX(ArchiveResults!$F$5:$IX$116,ComparisonData!A70,ComparisonData!$LA$1),0)</f>
        <v>0</v>
      </c>
      <c r="LB70" s="56">
        <v>65</v>
      </c>
      <c r="LC70" s="53" t="str">
        <f t="shared" ref="LC70:LC101" si="686">INDEX($B$6:$B$117,MATCH(LB70,$KR$6:$KR$117,0))</f>
        <v>Pembrokeshire Archives and Local Studies</v>
      </c>
      <c r="LD70" s="59">
        <f t="shared" si="269"/>
        <v>0</v>
      </c>
      <c r="LE70" s="59">
        <f t="shared" si="270"/>
        <v>0</v>
      </c>
      <c r="LF70" s="59">
        <f t="shared" si="271"/>
        <v>0</v>
      </c>
      <c r="LG70" s="59">
        <f t="shared" si="272"/>
        <v>0</v>
      </c>
      <c r="LH70" s="59">
        <f t="shared" si="273"/>
        <v>0</v>
      </c>
      <c r="LI70" s="58">
        <f t="shared" si="274"/>
        <v>0</v>
      </c>
      <c r="LJ70" s="45">
        <f t="shared" si="275"/>
        <v>14</v>
      </c>
      <c r="LK70" s="45">
        <f t="shared" ref="LK70:LK101" si="687">(C70*LL70)+LM70</f>
        <v>2.5039999999999996</v>
      </c>
      <c r="LL70" s="45">
        <f t="shared" si="276"/>
        <v>1</v>
      </c>
      <c r="LM70" s="45">
        <f t="shared" si="277"/>
        <v>2</v>
      </c>
      <c r="LN70" s="45">
        <f t="shared" si="278"/>
        <v>0</v>
      </c>
      <c r="LO70" s="46" cm="1">
        <f t="array" ref="LO70">ROUND(IFERROR(INDEX(ArchiveResults!$F$5:$IX$116,ComparisonData!A70,ComparisonData!$LO$1),0),5)</f>
        <v>0</v>
      </c>
      <c r="LP70" s="46" cm="1">
        <f t="array" ref="LP70">ROUND(IFERROR(INDEX(ArchiveResults!$F$5:$IX$116,ComparisonData!A70,ComparisonData!$LP$1),0),5)</f>
        <v>0</v>
      </c>
      <c r="LQ70" s="46" cm="1">
        <f t="array" ref="LQ70">ROUND(IFERROR(INDEX(ArchiveResults!$F$5:$IX$116,ComparisonData!A70,ComparisonData!$LQ$1),0),5)</f>
        <v>0</v>
      </c>
      <c r="LR70" s="46" cm="1">
        <f t="array" ref="LR70">ROUND(IFERROR(INDEX(ArchiveResults!$F$5:$IX$116,ComparisonData!A70,ComparisonData!$LR$1),0),5)</f>
        <v>0</v>
      </c>
      <c r="LS70" s="45" cm="1">
        <f t="array" ref="LS70">IFERROR(INDEX(ArchiveResults!$F$5:$IX$116,ComparisonData!A70,ComparisonData!$LS$1),0)</f>
        <v>0</v>
      </c>
      <c r="LT70" s="56">
        <v>65</v>
      </c>
      <c r="LU70" s="53" t="str">
        <f t="shared" ref="LU70:LU101" si="688">INDEX($B$6:$B$117,MATCH(LT70,$LJ$6:$LJ$117,0))</f>
        <v>Pembrokeshire Archives and Local Studies</v>
      </c>
      <c r="LV70" s="59">
        <f t="shared" si="279"/>
        <v>0</v>
      </c>
      <c r="LW70" s="59">
        <f t="shared" si="280"/>
        <v>0</v>
      </c>
      <c r="LX70" s="59">
        <f t="shared" si="281"/>
        <v>0</v>
      </c>
      <c r="LY70" s="59">
        <f t="shared" si="282"/>
        <v>0</v>
      </c>
      <c r="LZ70" s="59">
        <f t="shared" si="283"/>
        <v>0</v>
      </c>
      <c r="MA70" s="58">
        <f t="shared" si="284"/>
        <v>0</v>
      </c>
      <c r="MB70" s="45">
        <f t="shared" si="285"/>
        <v>14</v>
      </c>
      <c r="MC70" s="45">
        <f t="shared" ref="MC70:MC101" si="689">(C70*MD70)+ME70</f>
        <v>2.5039999999999996</v>
      </c>
      <c r="MD70" s="45">
        <f t="shared" si="286"/>
        <v>1</v>
      </c>
      <c r="ME70" s="45">
        <f t="shared" si="287"/>
        <v>2</v>
      </c>
      <c r="MF70" s="45">
        <f t="shared" si="288"/>
        <v>0</v>
      </c>
      <c r="MG70" s="46" cm="1">
        <f t="array" ref="MG70">ROUND(IFERROR(INDEX(ArchiveResults!$F$5:$IX$116,ComparisonData!A70,ComparisonData!$MG$1),0),5)</f>
        <v>0</v>
      </c>
      <c r="MH70" s="46" cm="1">
        <f t="array" ref="MH70">ROUND(IFERROR(INDEX(ArchiveResults!$F$5:$IX$116,ComparisonData!A70,ComparisonData!$MH$1),0),5)</f>
        <v>0</v>
      </c>
      <c r="MI70" s="46" cm="1">
        <f t="array" ref="MI70">ROUND(IFERROR(INDEX(ArchiveResults!$F$5:$IX$116,ComparisonData!A70,ComparisonData!$MI$1),0),5)</f>
        <v>0</v>
      </c>
      <c r="MJ70" s="46" cm="1">
        <f t="array" ref="MJ70">ROUND(IFERROR(INDEX(ArchiveResults!$F$5:$IX$116,ComparisonData!A70,ComparisonData!$MJ$1),0),5)</f>
        <v>0</v>
      </c>
      <c r="MK70" s="45" cm="1">
        <f t="array" ref="MK70">IFERROR(INDEX(ArchiveResults!$F$5:$IX$116,ComparisonData!A70,ComparisonData!$MK$1),0)</f>
        <v>0</v>
      </c>
      <c r="ML70" s="56">
        <v>65</v>
      </c>
      <c r="MM70" s="53" t="str">
        <f t="shared" ref="MM70:MM101" si="690">INDEX($B$6:$B$117,MATCH(ML70,$MB$6:$MB$117,0))</f>
        <v>Pembrokeshire Archives and Local Studies</v>
      </c>
      <c r="MN70" s="59">
        <f t="shared" si="289"/>
        <v>0</v>
      </c>
      <c r="MO70" s="59">
        <f t="shared" si="290"/>
        <v>0</v>
      </c>
      <c r="MP70" s="59">
        <f t="shared" si="291"/>
        <v>0</v>
      </c>
      <c r="MQ70" s="59">
        <f t="shared" si="292"/>
        <v>0</v>
      </c>
      <c r="MR70" s="59">
        <f t="shared" si="293"/>
        <v>0</v>
      </c>
      <c r="MS70" s="58">
        <f t="shared" si="294"/>
        <v>0</v>
      </c>
      <c r="MT70" s="45">
        <f t="shared" si="295"/>
        <v>14</v>
      </c>
      <c r="MU70" s="45">
        <f t="shared" ref="MU70:MU101" si="691">(C70*MV70)+MW70</f>
        <v>2.5039999999999996</v>
      </c>
      <c r="MV70" s="45">
        <f t="shared" si="296"/>
        <v>1</v>
      </c>
      <c r="MW70" s="45">
        <f t="shared" si="297"/>
        <v>2</v>
      </c>
      <c r="MX70" s="45">
        <f t="shared" si="298"/>
        <v>0</v>
      </c>
      <c r="MY70" s="46" cm="1">
        <f t="array" ref="MY70">ROUND(IFERROR(INDEX(ArchiveResults!$F$5:$IX$116,ComparisonData!A70,ComparisonData!$MY$1),0),5)</f>
        <v>0</v>
      </c>
      <c r="MZ70" s="46" cm="1">
        <f t="array" ref="MZ70">ROUND(IFERROR(INDEX(ArchiveResults!$F$5:$IX$116,ComparisonData!A70,ComparisonData!$MZ$1),0),5)</f>
        <v>0</v>
      </c>
      <c r="NA70" s="46" cm="1">
        <f t="array" ref="NA70">ROUND(IFERROR(INDEX(ArchiveResults!$F$5:$IX$116,ComparisonData!A70,ComparisonData!$NA$1),0),5)</f>
        <v>0</v>
      </c>
      <c r="NB70" s="46" cm="1">
        <f t="array" ref="NB70">ROUND(IFERROR(INDEX(ArchiveResults!$F$5:$IX$116,ComparisonData!A70,ComparisonData!$NB$1),0),5)</f>
        <v>0</v>
      </c>
      <c r="NC70" s="45" cm="1">
        <f t="array" ref="NC70">IFERROR(INDEX(ArchiveResults!$F$5:$IX$116,ComparisonData!A70,ComparisonData!$NC$1),0)</f>
        <v>0</v>
      </c>
      <c r="ND70" s="56">
        <v>65</v>
      </c>
      <c r="NE70" s="53" t="str">
        <f t="shared" ref="NE70:NE101" si="692">INDEX($B$6:$B$117,MATCH(ND70,$MT$6:$MT$117,0))</f>
        <v>Pembrokeshire Archives and Local Studies</v>
      </c>
      <c r="NF70" s="59">
        <f t="shared" si="299"/>
        <v>0</v>
      </c>
      <c r="NG70" s="59">
        <f t="shared" si="300"/>
        <v>0</v>
      </c>
      <c r="NH70" s="59">
        <f t="shared" si="301"/>
        <v>0</v>
      </c>
      <c r="NI70" s="59">
        <f t="shared" si="302"/>
        <v>0</v>
      </c>
      <c r="NJ70" s="59">
        <f t="shared" si="303"/>
        <v>0</v>
      </c>
      <c r="NK70" s="58">
        <f t="shared" si="304"/>
        <v>0</v>
      </c>
      <c r="NL70" s="45">
        <f t="shared" si="305"/>
        <v>14</v>
      </c>
      <c r="NM70" s="45">
        <f t="shared" ref="NM70:NM101" si="693">(C70*NN70)+NO70</f>
        <v>2.5039999999999996</v>
      </c>
      <c r="NN70" s="45">
        <f t="shared" si="306"/>
        <v>1</v>
      </c>
      <c r="NO70" s="45">
        <f t="shared" si="307"/>
        <v>2</v>
      </c>
      <c r="NP70" s="46" cm="1">
        <f t="array" ref="NP70">ROUND(IFERROR(INDEX(ArchiveResults!$F$5:$IX$116,ComparisonData!A70,ComparisonData!$NP$1),0),5)</f>
        <v>0</v>
      </c>
      <c r="NQ70" s="46" cm="1">
        <f t="array" ref="NQ70">ROUND(IFERROR(INDEX(ArchiveResults!$F$5:$IX$116,ComparisonData!A70,ComparisonData!$NQ$1),0),5)</f>
        <v>0</v>
      </c>
      <c r="NR70" s="46" cm="1">
        <f t="array" ref="NR70">ROUND(IFERROR(INDEX(ArchiveResults!$F$5:$IX$116,ComparisonData!A70,ComparisonData!$NR$1),0),5)</f>
        <v>0</v>
      </c>
      <c r="NS70" s="46" cm="1">
        <f t="array" ref="NS70">ROUND(IFERROR(INDEX(ArchiveResults!$F$5:$IX$116,ComparisonData!A70,ComparisonData!$NS$1),0),5)</f>
        <v>0</v>
      </c>
      <c r="NT70" s="45" cm="1">
        <f t="array" ref="NT70">IFERROR(INDEX(ArchiveResults!$F$5:$IX$116,ComparisonData!A70,ComparisonData!$NT$1),0)</f>
        <v>0</v>
      </c>
      <c r="NU70" s="56">
        <v>65</v>
      </c>
      <c r="NV70" s="53" t="str">
        <f t="shared" ref="NV70:NV101" si="694">INDEX($B$6:$B$117,MATCH(NU70,$NL$6:$NL$117,0))</f>
        <v>Pembrokeshire Archives and Local Studies</v>
      </c>
      <c r="NW70" s="59">
        <f t="shared" si="308"/>
        <v>0</v>
      </c>
      <c r="NX70" s="59">
        <f t="shared" si="309"/>
        <v>0</v>
      </c>
      <c r="NY70" s="59">
        <f t="shared" si="310"/>
        <v>0</v>
      </c>
      <c r="NZ70" s="59">
        <f t="shared" si="311"/>
        <v>0</v>
      </c>
      <c r="OA70" s="59">
        <f t="shared" si="312"/>
        <v>0</v>
      </c>
      <c r="OB70" s="58">
        <f t="shared" si="313"/>
        <v>0</v>
      </c>
      <c r="OC70" s="45">
        <f t="shared" si="314"/>
        <v>14</v>
      </c>
      <c r="OD70" s="45">
        <f t="shared" ref="OD70:OD101" si="695">(C70*OE70)+OF70</f>
        <v>2.5039999999999996</v>
      </c>
      <c r="OE70" s="45">
        <f t="shared" si="315"/>
        <v>1</v>
      </c>
      <c r="OF70" s="45">
        <f t="shared" si="316"/>
        <v>2</v>
      </c>
      <c r="OG70" s="46">
        <f t="shared" si="317"/>
        <v>0</v>
      </c>
      <c r="OH70" s="46" cm="1">
        <f t="array" ref="OH70">ROUND(IFERROR(INDEX(ArchiveResults!$F$5:$IX$116,ComparisonData!A70,ComparisonData!$OH$1),0),5)</f>
        <v>0</v>
      </c>
      <c r="OI70" s="46" cm="1">
        <f t="array" ref="OI70">ROUND(IFERROR(INDEX(ArchiveResults!$F$5:$IX$116,ComparisonData!A70,ComparisonData!$OI$1),0),5)</f>
        <v>0</v>
      </c>
      <c r="OJ70" s="46" cm="1">
        <f t="array" ref="OJ70">ROUND(IFERROR(INDEX(ArchiveResults!$F$5:$IX$116,ComparisonData!A70,ComparisonData!$OJ$1),0),5)</f>
        <v>0</v>
      </c>
      <c r="OK70" s="46" cm="1">
        <f t="array" ref="OK70">ROUND(IFERROR(INDEX(ArchiveResults!$F$5:$IX$116,ComparisonData!A70,ComparisonData!$OK$1),0),5)</f>
        <v>0</v>
      </c>
      <c r="OL70" s="45" cm="1">
        <f t="array" ref="OL70">IFERROR(INDEX(ArchiveResults!$F$5:$IX$116,ComparisonData!A70,ComparisonData!$OL$1),0)</f>
        <v>0</v>
      </c>
      <c r="OM70" s="56">
        <v>65</v>
      </c>
      <c r="ON70" s="53" t="str">
        <f t="shared" ref="ON70:ON101" si="696">INDEX($B$6:$B$117,MATCH(OM70,$OC$6:$OC$117,0))</f>
        <v>Pembrokeshire Archives and Local Studies</v>
      </c>
      <c r="OO70" s="59">
        <f t="shared" si="318"/>
        <v>0</v>
      </c>
      <c r="OP70" s="59">
        <f t="shared" si="319"/>
        <v>0</v>
      </c>
      <c r="OQ70" s="59">
        <f t="shared" si="320"/>
        <v>0</v>
      </c>
      <c r="OR70" s="59">
        <f t="shared" si="321"/>
        <v>0</v>
      </c>
      <c r="OS70" s="59">
        <f t="shared" si="322"/>
        <v>0</v>
      </c>
      <c r="OT70" s="58">
        <f t="shared" si="323"/>
        <v>0</v>
      </c>
      <c r="OU70" s="45">
        <f t="shared" si="324"/>
        <v>14</v>
      </c>
      <c r="OV70" s="45">
        <f t="shared" ref="OV70:OV101" si="697">(C70*OW70)+OX70</f>
        <v>2.5039999999999996</v>
      </c>
      <c r="OW70" s="45">
        <f t="shared" si="325"/>
        <v>1</v>
      </c>
      <c r="OX70" s="45">
        <f t="shared" si="326"/>
        <v>2</v>
      </c>
      <c r="OY70" s="45">
        <f t="shared" si="327"/>
        <v>0</v>
      </c>
      <c r="OZ70" s="46" cm="1">
        <f t="array" ref="OZ70">ROUND(IFERROR(INDEX(ArchiveResults!$F$5:$IX$116,ComparisonData!A70,ComparisonData!$OZ$1),0),5)</f>
        <v>0</v>
      </c>
      <c r="PA70" s="46" cm="1">
        <f t="array" ref="PA70">ROUND(IFERROR(INDEX(ArchiveResults!$F$5:$IX$116,ComparisonData!A70,ComparisonData!$PA$1),0),5)</f>
        <v>0</v>
      </c>
      <c r="PB70" s="46" cm="1">
        <f t="array" ref="PB70">ROUND(IFERROR(INDEX(ArchiveResults!$F$5:$IX$116,ComparisonData!A70,ComparisonData!$PB$1),0),5)</f>
        <v>0</v>
      </c>
      <c r="PC70" s="46" cm="1">
        <f t="array" ref="PC70">ROUND(IFERROR(INDEX(ArchiveResults!$F$5:$IX$116,ComparisonData!A70,ComparisonData!$PC$1),0),5)</f>
        <v>0</v>
      </c>
      <c r="PD70" s="45" cm="1">
        <f t="array" ref="PD70">IFERROR(INDEX(ArchiveResults!$F$5:$IX$116,ComparisonData!A70,ComparisonData!$PD$1),0)</f>
        <v>0</v>
      </c>
      <c r="PE70" s="56">
        <v>65</v>
      </c>
      <c r="PF70" s="53" t="str">
        <f t="shared" ref="PF70:PF101" si="698">INDEX($B$6:$B$117,MATCH(PE70,$OU$6:$OU$117,0))</f>
        <v>Pembrokeshire Archives and Local Studies</v>
      </c>
      <c r="PG70" s="59">
        <f t="shared" si="328"/>
        <v>0</v>
      </c>
      <c r="PH70" s="59">
        <f t="shared" si="329"/>
        <v>0</v>
      </c>
      <c r="PI70" s="59">
        <f t="shared" si="330"/>
        <v>0</v>
      </c>
      <c r="PJ70" s="59">
        <f t="shared" si="331"/>
        <v>0</v>
      </c>
      <c r="PK70" s="59">
        <f t="shared" si="332"/>
        <v>0</v>
      </c>
      <c r="PL70" s="58">
        <f t="shared" si="333"/>
        <v>0</v>
      </c>
      <c r="PM70" s="45">
        <f t="shared" si="334"/>
        <v>14</v>
      </c>
      <c r="PN70" s="45">
        <f t="shared" ref="PN70:PN101" si="699">(C70*PO70)+PP70</f>
        <v>2.5039999999999996</v>
      </c>
      <c r="PO70" s="45">
        <f t="shared" si="335"/>
        <v>1</v>
      </c>
      <c r="PP70" s="45">
        <f t="shared" si="336"/>
        <v>2</v>
      </c>
      <c r="PQ70" s="45">
        <f t="shared" si="337"/>
        <v>0</v>
      </c>
      <c r="PR70" s="46" cm="1">
        <f t="array" ref="PR70">ROUND(IFERROR(INDEX(ArchiveResults!$F$5:$IX$116,ComparisonData!A70,ComparisonData!$PR$1),0),5)</f>
        <v>0</v>
      </c>
      <c r="PS70" s="46" cm="1">
        <f t="array" ref="PS70">ROUND(IFERROR(INDEX(ArchiveResults!$F$5:$IX$116,ComparisonData!A70,ComparisonData!$PS$1),0),5)</f>
        <v>0</v>
      </c>
      <c r="PT70" s="46" cm="1">
        <f t="array" ref="PT70">ROUND(IFERROR(INDEX(ArchiveResults!$F$5:$IX$116,ComparisonData!A70,ComparisonData!$PT$1),0),5)</f>
        <v>0</v>
      </c>
      <c r="PU70" s="46" cm="1">
        <f t="array" ref="PU70">ROUND(IFERROR(INDEX(ArchiveResults!$F$5:$IX$116,ComparisonData!A70,ComparisonData!$PU$1),0),5)</f>
        <v>0</v>
      </c>
      <c r="PV70" s="45" cm="1">
        <f t="array" ref="PV70">IFERROR(INDEX(ArchiveResults!$F$5:$IX$116,ComparisonData!A70,ComparisonData!$PV$1),0)</f>
        <v>0</v>
      </c>
      <c r="PW70" s="56">
        <v>65</v>
      </c>
      <c r="PX70" s="53" t="str">
        <f t="shared" ref="PX70:PX101" si="700">INDEX($B$6:$B$117,MATCH(PW70,$PM$6:$PM$117,0))</f>
        <v>Pembrokeshire Archives and Local Studies</v>
      </c>
      <c r="PY70" s="59">
        <f t="shared" si="338"/>
        <v>0</v>
      </c>
      <c r="PZ70" s="59">
        <f t="shared" si="339"/>
        <v>0</v>
      </c>
      <c r="QA70" s="59">
        <f t="shared" si="340"/>
        <v>0</v>
      </c>
      <c r="QB70" s="59">
        <f t="shared" si="341"/>
        <v>0</v>
      </c>
      <c r="QC70" s="59">
        <f t="shared" si="342"/>
        <v>0</v>
      </c>
      <c r="QD70" s="58">
        <f t="shared" si="343"/>
        <v>0</v>
      </c>
      <c r="QE70" s="45">
        <f t="shared" si="344"/>
        <v>14</v>
      </c>
      <c r="QF70" s="45">
        <f t="shared" ref="QF70:QF101" si="701">(C70*QG70)+QH70</f>
        <v>2.5039999999999996</v>
      </c>
      <c r="QG70" s="45">
        <f t="shared" si="345"/>
        <v>1</v>
      </c>
      <c r="QH70" s="45">
        <f t="shared" si="346"/>
        <v>2</v>
      </c>
      <c r="QI70" s="45">
        <f t="shared" si="347"/>
        <v>0</v>
      </c>
      <c r="QJ70" s="46" cm="1">
        <f t="array" ref="QJ70">ROUND(IFERROR(INDEX(ArchiveResults!$F$5:$IX$116,ComparisonData!A70,ComparisonData!$QJ$1),0),5)</f>
        <v>0</v>
      </c>
      <c r="QK70" s="46" cm="1">
        <f t="array" ref="QK70">ROUND(IFERROR(INDEX(ArchiveResults!$F$5:$IX$116,ComparisonData!A70,ComparisonData!$QK$1),0),5)</f>
        <v>0</v>
      </c>
      <c r="QL70" s="46" cm="1">
        <f t="array" ref="QL70">ROUND(IFERROR(INDEX(ArchiveResults!$F$5:$IX$116,ComparisonData!A70,ComparisonData!$QL$1),0),5)</f>
        <v>0</v>
      </c>
      <c r="QM70" s="46" cm="1">
        <f t="array" ref="QM70">ROUND(IFERROR(INDEX(ArchiveResults!$F$5:$IX$116,ComparisonData!A70,ComparisonData!$QM$1),0),5)</f>
        <v>0</v>
      </c>
      <c r="QN70" s="45" cm="1">
        <f t="array" ref="QN70">IFERROR(INDEX(ArchiveResults!$F$5:$IX$116,ComparisonData!A70,ComparisonData!$QN$1),0)</f>
        <v>0</v>
      </c>
      <c r="QO70" s="56">
        <v>65</v>
      </c>
      <c r="QP70" s="53" t="str">
        <f t="shared" ref="QP70:QP101" si="702">INDEX($B$6:$B$117,MATCH(QO70,$QE$6:$QE$117,0))</f>
        <v>Pembrokeshire Archives and Local Studies</v>
      </c>
      <c r="QQ70" s="59">
        <f t="shared" si="348"/>
        <v>0</v>
      </c>
      <c r="QR70" s="59">
        <f t="shared" si="349"/>
        <v>0</v>
      </c>
      <c r="QS70" s="59">
        <f t="shared" si="350"/>
        <v>0</v>
      </c>
      <c r="QT70" s="59">
        <f t="shared" si="351"/>
        <v>0</v>
      </c>
      <c r="QU70" s="59">
        <f t="shared" si="352"/>
        <v>0</v>
      </c>
      <c r="QV70" s="58">
        <f t="shared" si="353"/>
        <v>0</v>
      </c>
      <c r="QW70" s="45">
        <f t="shared" si="354"/>
        <v>14</v>
      </c>
      <c r="QX70" s="45">
        <f t="shared" ref="QX70:QX101" si="703">(C70*QY70)+QZ70</f>
        <v>2.5039999999999996</v>
      </c>
      <c r="QY70" s="45">
        <f t="shared" si="355"/>
        <v>1</v>
      </c>
      <c r="QZ70" s="45">
        <f t="shared" si="356"/>
        <v>2</v>
      </c>
      <c r="RA70" s="45">
        <f t="shared" si="357"/>
        <v>0</v>
      </c>
      <c r="RB70" s="46" cm="1">
        <f t="array" ref="RB70">ROUND(IFERROR(INDEX(ArchiveResults!$F$5:$IX$116,ComparisonData!A70,ComparisonData!$RB$1),0),5)</f>
        <v>0</v>
      </c>
      <c r="RC70" s="46" cm="1">
        <f t="array" ref="RC70">ROUND(IFERROR(INDEX(ArchiveResults!$F$5:$IX$116,ComparisonData!A70,ComparisonData!$RC$1),0),5)</f>
        <v>0</v>
      </c>
      <c r="RD70" s="46" cm="1">
        <f t="array" ref="RD70">ROUND(IFERROR(INDEX(ArchiveResults!$F$5:$IX$116,ComparisonData!A70,ComparisonData!$RD$1),0),5)</f>
        <v>0</v>
      </c>
      <c r="RE70" s="46" cm="1">
        <f t="array" ref="RE70">ROUND(IFERROR(INDEX(ArchiveResults!$F$5:$IX$116,ComparisonData!A70,ComparisonData!$RE$1),0),5)</f>
        <v>0</v>
      </c>
      <c r="RF70" s="45" cm="1">
        <f t="array" ref="RF70">IFERROR(INDEX(ArchiveResults!$F$5:$IX$116,ComparisonData!A70,ComparisonData!$RF$1),0)</f>
        <v>0</v>
      </c>
      <c r="RG70" s="56">
        <v>65</v>
      </c>
      <c r="RH70" s="53" t="str">
        <f t="shared" ref="RH70:RH101" si="704">INDEX($B$6:$B$117,MATCH(RG70,$QW$6:$QW$117,0))</f>
        <v>Pembrokeshire Archives and Local Studies</v>
      </c>
      <c r="RI70" s="59">
        <f t="shared" si="358"/>
        <v>0</v>
      </c>
      <c r="RJ70" s="59">
        <f t="shared" si="359"/>
        <v>0</v>
      </c>
      <c r="RK70" s="59">
        <f t="shared" si="360"/>
        <v>0</v>
      </c>
      <c r="RL70" s="59">
        <f t="shared" si="361"/>
        <v>0</v>
      </c>
      <c r="RM70" s="59">
        <f t="shared" si="362"/>
        <v>0</v>
      </c>
      <c r="RN70" s="58">
        <f t="shared" si="363"/>
        <v>0</v>
      </c>
      <c r="RO70" s="45">
        <f t="shared" si="364"/>
        <v>14</v>
      </c>
      <c r="RP70" s="45">
        <f t="shared" ref="RP70:RP101" si="705">(C70*RQ70)+RR70</f>
        <v>2.5039999999999996</v>
      </c>
      <c r="RQ70" s="45">
        <f t="shared" si="365"/>
        <v>1</v>
      </c>
      <c r="RR70" s="45">
        <f t="shared" si="366"/>
        <v>2</v>
      </c>
      <c r="RS70" s="45">
        <f t="shared" si="367"/>
        <v>0</v>
      </c>
      <c r="RT70" s="46" cm="1">
        <f t="array" ref="RT70">ROUND(IFERROR(INDEX(ArchiveResults!$F$5:$IX$116,ComparisonData!A70,ComparisonData!$RT$1),0),5)</f>
        <v>0</v>
      </c>
      <c r="RU70" s="46" cm="1">
        <f t="array" ref="RU70">ROUND(IFERROR(INDEX(ArchiveResults!$F$5:$IX$116,ComparisonData!A70,ComparisonData!$RU$1),0),5)</f>
        <v>0</v>
      </c>
      <c r="RV70" s="46" cm="1">
        <f t="array" ref="RV70">ROUND(IFERROR(INDEX(ArchiveResults!$F$5:$IX$116,ComparisonData!A70,ComparisonData!$RV$1),0),5)</f>
        <v>0</v>
      </c>
      <c r="RW70" s="46" cm="1">
        <f t="array" ref="RW70">ROUND(IFERROR(INDEX(ArchiveResults!$F$5:$IX$116,ComparisonData!A70,ComparisonData!$RW$1),0),5)</f>
        <v>0</v>
      </c>
      <c r="RX70" s="45" cm="1">
        <f t="array" ref="RX70">IFERROR(INDEX(ArchiveResults!$F$5:$IX$116,ComparisonData!A70,ComparisonData!$RX$1),0)</f>
        <v>0</v>
      </c>
      <c r="RY70" s="56">
        <v>65</v>
      </c>
      <c r="RZ70" s="53" t="str">
        <f t="shared" ref="RZ70:RZ101" si="706">INDEX($B$6:$B$117,MATCH(RY70,$RO$6:$RO$117,0))</f>
        <v>Pembrokeshire Archives and Local Studies</v>
      </c>
      <c r="SA70" s="59">
        <f t="shared" si="368"/>
        <v>0</v>
      </c>
      <c r="SB70" s="59">
        <f t="shared" si="369"/>
        <v>0</v>
      </c>
      <c r="SC70" s="59">
        <f t="shared" si="370"/>
        <v>0</v>
      </c>
      <c r="SD70" s="59">
        <f t="shared" si="371"/>
        <v>0</v>
      </c>
      <c r="SE70" s="59">
        <f t="shared" si="372"/>
        <v>0</v>
      </c>
      <c r="SF70" s="58">
        <f t="shared" si="373"/>
        <v>0</v>
      </c>
      <c r="SG70" s="45">
        <f t="shared" si="374"/>
        <v>14</v>
      </c>
      <c r="SH70" s="45">
        <f t="shared" ref="SH70:SH101" si="707">(C70*SI70)+SJ70</f>
        <v>2.5039999999999996</v>
      </c>
      <c r="SI70" s="45">
        <f t="shared" si="375"/>
        <v>1</v>
      </c>
      <c r="SJ70" s="45">
        <f t="shared" si="376"/>
        <v>2</v>
      </c>
      <c r="SK70" s="45">
        <f t="shared" si="377"/>
        <v>0</v>
      </c>
      <c r="SL70" s="46" cm="1">
        <f t="array" ref="SL70">ROUND(IFERROR(INDEX(ArchiveResults!$F$5:$IX$116,ComparisonData!A70,ComparisonData!$SL$1),0),5)</f>
        <v>0</v>
      </c>
      <c r="SM70" s="46" cm="1">
        <f t="array" ref="SM70">ROUND(IFERROR(INDEX(ArchiveResults!$F$5:$IX$116,ComparisonData!A70,ComparisonData!$SM$1),0),5)</f>
        <v>0</v>
      </c>
      <c r="SN70" s="46" cm="1">
        <f t="array" ref="SN70">ROUND(IFERROR(INDEX(ArchiveResults!$F$5:$IX$116,ComparisonData!A70,ComparisonData!$SN$1),0),5)</f>
        <v>0</v>
      </c>
      <c r="SO70" s="46" cm="1">
        <f t="array" ref="SO70">ROUND(IFERROR(INDEX(ArchiveResults!$F$5:$IX$116,ComparisonData!A70,ComparisonData!$SO$1),0),5)</f>
        <v>0</v>
      </c>
      <c r="SP70" s="45" cm="1">
        <f t="array" ref="SP70">IFERROR(INDEX(ArchiveResults!$F$5:$IX$116,ComparisonData!A70,ComparisonData!$SP$1),0)</f>
        <v>0</v>
      </c>
      <c r="SQ70" s="56">
        <v>65</v>
      </c>
      <c r="SR70" s="53" t="str">
        <f t="shared" ref="SR70:SR101" si="708">INDEX($B$6:$B$117,MATCH(SQ70,$SG$6:$SG$117,0))</f>
        <v>Pembrokeshire Archives and Local Studies</v>
      </c>
      <c r="SS70" s="59">
        <f t="shared" si="378"/>
        <v>0</v>
      </c>
      <c r="ST70" s="59">
        <f t="shared" si="379"/>
        <v>0</v>
      </c>
      <c r="SU70" s="59">
        <f t="shared" si="380"/>
        <v>0</v>
      </c>
      <c r="SV70" s="59">
        <f t="shared" si="381"/>
        <v>0</v>
      </c>
      <c r="SW70" s="59">
        <f t="shared" si="382"/>
        <v>0</v>
      </c>
      <c r="SX70" s="58">
        <f t="shared" si="383"/>
        <v>0</v>
      </c>
      <c r="SY70" s="45">
        <f t="shared" si="384"/>
        <v>14</v>
      </c>
      <c r="SZ70" s="45">
        <f t="shared" ref="SZ70:SZ101" si="709">(C70*TA70)+TB70</f>
        <v>2.5039999999999996</v>
      </c>
      <c r="TA70" s="45">
        <f t="shared" si="385"/>
        <v>1</v>
      </c>
      <c r="TB70" s="45">
        <f t="shared" si="386"/>
        <v>2</v>
      </c>
      <c r="TC70" s="45">
        <f t="shared" si="387"/>
        <v>0</v>
      </c>
      <c r="TD70" s="46" cm="1">
        <f t="array" ref="TD70">ROUND(IFERROR(INDEX(ArchiveResults!$F$5:$IX$116,ComparisonData!A70,ComparisonData!$TD$1),0),5)</f>
        <v>0</v>
      </c>
      <c r="TE70" s="46" cm="1">
        <f t="array" ref="TE70">ROUND(IFERROR(INDEX(ArchiveResults!$F$5:$IX$116,ComparisonData!A70,ComparisonData!$TE$1),0),5)</f>
        <v>0</v>
      </c>
      <c r="TF70" s="46" cm="1">
        <f t="array" ref="TF70">ROUND(IFERROR(INDEX(ArchiveResults!$F$5:$IX$116,ComparisonData!A70,ComparisonData!$TF$1),0),5)</f>
        <v>0</v>
      </c>
      <c r="TG70" s="46" cm="1">
        <f t="array" ref="TG70">ROUND(IFERROR(INDEX(ArchiveResults!$F$5:$IX$116,ComparisonData!A70,ComparisonData!$TG$1),0),5)</f>
        <v>0</v>
      </c>
      <c r="TH70" s="45" cm="1">
        <f t="array" ref="TH70">IFERROR(INDEX(ArchiveResults!$F$5:$IX$116,ComparisonData!A70,ComparisonData!$TH$1),0)</f>
        <v>0</v>
      </c>
      <c r="TI70" s="56">
        <v>65</v>
      </c>
      <c r="TJ70" s="53" t="str">
        <f t="shared" ref="TJ70:TJ101" si="710">INDEX($B$6:$B$117,MATCH(TI70,$SY$6:$SY$117,0))</f>
        <v>Pembrokeshire Archives and Local Studies</v>
      </c>
      <c r="TK70" s="59">
        <f t="shared" si="388"/>
        <v>0</v>
      </c>
      <c r="TL70" s="59">
        <f t="shared" si="389"/>
        <v>0</v>
      </c>
      <c r="TM70" s="59">
        <f t="shared" si="390"/>
        <v>0</v>
      </c>
      <c r="TN70" s="59">
        <f t="shared" si="391"/>
        <v>0</v>
      </c>
      <c r="TO70" s="59">
        <f t="shared" si="392"/>
        <v>0</v>
      </c>
      <c r="TP70" s="58">
        <f t="shared" si="393"/>
        <v>0</v>
      </c>
      <c r="TQ70" s="45">
        <f t="shared" si="394"/>
        <v>14</v>
      </c>
      <c r="TR70" s="45">
        <f t="shared" ref="TR70:TR101" si="711">(C70*TS70)+TT70</f>
        <v>2.5039999999999996</v>
      </c>
      <c r="TS70" s="45">
        <f t="shared" si="395"/>
        <v>1</v>
      </c>
      <c r="TT70" s="45">
        <f t="shared" si="396"/>
        <v>2</v>
      </c>
      <c r="TU70" s="45">
        <f t="shared" si="397"/>
        <v>0</v>
      </c>
      <c r="TV70" s="46" cm="1">
        <f t="array" ref="TV70">ROUND(IFERROR(INDEX(ArchiveResults!$F$5:$IX$116,ComparisonData!A70,ComparisonData!$TV$1),0),5)</f>
        <v>0</v>
      </c>
      <c r="TW70" s="46" cm="1">
        <f t="array" ref="TW70">ROUND(IFERROR(INDEX(ArchiveResults!$F$5:$IX$116,ComparisonData!A70,ComparisonData!$TW$1),0),5)</f>
        <v>0</v>
      </c>
      <c r="TX70" s="46" cm="1">
        <f t="array" ref="TX70">ROUND(IFERROR(INDEX(ArchiveResults!$F$5:$IX$116,ComparisonData!A70,ComparisonData!$TX$1),0),5)</f>
        <v>0</v>
      </c>
      <c r="TY70" s="46" cm="1">
        <f t="array" ref="TY70">ROUND(IFERROR(INDEX(ArchiveResults!$F$5:$IX$116,ComparisonData!A70,ComparisonData!$TY$1),0),5)</f>
        <v>0</v>
      </c>
      <c r="TZ70" s="45" cm="1">
        <f t="array" ref="TZ70">IFERROR(INDEX(ArchiveResults!$F$5:$IX$116,ComparisonData!A70,ComparisonData!$TZ$1),0)</f>
        <v>0</v>
      </c>
      <c r="UA70" s="56">
        <v>65</v>
      </c>
      <c r="UB70" s="53" t="str">
        <f t="shared" ref="UB70:UB101" si="712">INDEX($B$6:$B$117,MATCH(UA70,$TQ$6:$TQ$117,0))</f>
        <v>Pembrokeshire Archives and Local Studies</v>
      </c>
      <c r="UC70" s="60">
        <f t="shared" si="398"/>
        <v>0</v>
      </c>
      <c r="UD70" s="60">
        <f t="shared" si="399"/>
        <v>0</v>
      </c>
      <c r="UE70" s="60">
        <f t="shared" si="400"/>
        <v>0</v>
      </c>
      <c r="UF70" s="60">
        <f t="shared" si="401"/>
        <v>0</v>
      </c>
      <c r="UG70" s="60">
        <f t="shared" si="402"/>
        <v>0</v>
      </c>
      <c r="UH70" s="58">
        <f t="shared" si="403"/>
        <v>0</v>
      </c>
      <c r="UI70" s="46">
        <f t="shared" si="404"/>
        <v>14</v>
      </c>
      <c r="UJ70" s="46">
        <f t="shared" ref="UJ70:UJ101" si="713">(C70*UK70)+UL70</f>
        <v>2.5039999999999996</v>
      </c>
      <c r="UK70" s="46">
        <f t="shared" si="405"/>
        <v>1</v>
      </c>
      <c r="UL70" s="46">
        <f t="shared" si="406"/>
        <v>2</v>
      </c>
      <c r="UM70" s="46" cm="1">
        <f t="array" ref="UM70">ROUND(IFERROR(INDEX(ArchiveResults!$F$5:$IX$116,ComparisonData!A70,ComparisonData!$UM$1),0),5)</f>
        <v>0</v>
      </c>
      <c r="UN70" s="56">
        <v>65</v>
      </c>
      <c r="UO70" s="53" t="str">
        <f t="shared" ref="UO70:UO101" si="714">INDEX($B$6:$B$117,MATCH(UN70,$UI$6:$UI$117,0))</f>
        <v>Pembrokeshire Archives and Local Studies</v>
      </c>
      <c r="UP70" s="46">
        <f t="shared" si="407"/>
        <v>0</v>
      </c>
      <c r="UQ70" s="76">
        <f t="shared" si="408"/>
        <v>0</v>
      </c>
      <c r="UR70" s="46">
        <f t="shared" si="409"/>
        <v>14</v>
      </c>
      <c r="US70" s="46">
        <f t="shared" ref="US70:US101" si="715">(C70*UT70)+UU70</f>
        <v>2.5039999999999996</v>
      </c>
      <c r="UT70" s="46">
        <f t="shared" si="410"/>
        <v>1</v>
      </c>
      <c r="UU70" s="46">
        <f t="shared" si="411"/>
        <v>2</v>
      </c>
      <c r="UV70" s="46">
        <f t="shared" si="412"/>
        <v>0</v>
      </c>
      <c r="UW70" s="46" cm="1">
        <f t="array" ref="UW70">ROUND(IFERROR(INDEX(ArchiveResults!$F$5:$IX$116,ComparisonData!A70,ComparisonData!$UW$1),0),5)</f>
        <v>0</v>
      </c>
      <c r="UX70" s="46" cm="1">
        <f t="array" ref="UX70">ROUND(IFERROR(INDEX(ArchiveResults!$F$5:$IX$116,ComparisonData!A70,ComparisonData!$UX$1),0),5)</f>
        <v>0</v>
      </c>
      <c r="UY70" s="46" cm="1">
        <f t="array" ref="UY70">ROUND(IFERROR(INDEX(ArchiveResults!$F$5:$IX$116,ComparisonData!A70,ComparisonData!$UY$1),0),5)</f>
        <v>0</v>
      </c>
      <c r="UZ70" s="46" cm="1">
        <f t="array" ref="UZ70">ROUND(IFERROR(INDEX(ArchiveResults!$F$5:$IX$116,ComparisonData!A70,ComparisonData!$UZ$1),0),5)</f>
        <v>0</v>
      </c>
      <c r="VA70" s="46" cm="1">
        <f t="array" ref="VA70">ROUND(IFERROR(INDEX(ArchiveResults!$F$5:$IX$116,ComparisonData!A70,ComparisonData!$VA$1),0),5)</f>
        <v>0</v>
      </c>
      <c r="VB70" s="56">
        <v>65</v>
      </c>
      <c r="VC70" s="53" t="str">
        <f t="shared" ref="VC70:VC101" si="716">INDEX($B$6:$B$117,MATCH(VB70,$UR$6:$UR$117,0))</f>
        <v>Pembrokeshire Archives and Local Studies</v>
      </c>
      <c r="VD70" s="60">
        <f t="shared" si="413"/>
        <v>0</v>
      </c>
      <c r="VE70" s="60">
        <f t="shared" si="414"/>
        <v>0</v>
      </c>
      <c r="VF70" s="60">
        <f t="shared" si="415"/>
        <v>0</v>
      </c>
      <c r="VG70" s="60">
        <f t="shared" si="416"/>
        <v>0</v>
      </c>
      <c r="VH70" s="60">
        <f t="shared" si="417"/>
        <v>0</v>
      </c>
      <c r="VI70" s="76">
        <f t="shared" si="418"/>
        <v>0</v>
      </c>
      <c r="VJ70" s="46">
        <f t="shared" si="419"/>
        <v>14</v>
      </c>
      <c r="VK70" s="46">
        <f t="shared" ref="VK70:VK101" si="717">(C70*VL70)+VM70</f>
        <v>2.5039999999999996</v>
      </c>
      <c r="VL70" s="46">
        <f t="shared" si="420"/>
        <v>1</v>
      </c>
      <c r="VM70" s="46">
        <f t="shared" si="421"/>
        <v>2</v>
      </c>
      <c r="VN70" s="46" cm="1">
        <f t="array" ref="VN70">ROUND(IFERROR(INDEX(ArchiveResults!$F$5:$IX$116,ComparisonData!A70,ComparisonData!$VN$1),0),5)</f>
        <v>0</v>
      </c>
      <c r="VO70" s="46" cm="1">
        <f t="array" ref="VO70">ROUND(IFERROR(INDEX(ArchiveResults!$F$5:$IX$116,ComparisonData!A70,ComparisonData!$VO$1),0),5)</f>
        <v>0</v>
      </c>
      <c r="VP70" s="46" cm="1">
        <f t="array" ref="VP70">ROUND(IFERROR(INDEX(ArchiveResults!$F$5:$IX$116,ComparisonData!A70,ComparisonData!$VP$1),0),5)</f>
        <v>0</v>
      </c>
      <c r="VQ70" s="46" cm="1">
        <f t="array" ref="VQ70">ROUND(IFERROR(INDEX(ArchiveResults!$F$5:$IX$116,ComparisonData!A70,ComparisonData!$VQ$1),0),5)</f>
        <v>0</v>
      </c>
      <c r="VR70" s="56">
        <v>65</v>
      </c>
      <c r="VS70" s="53" t="str">
        <f t="shared" ref="VS70:VS101" si="718">INDEX($B$6:$B$117,MATCH(VR70,$VJ$6:$VJ$117,0))</f>
        <v>Pembrokeshire Archives and Local Studies</v>
      </c>
      <c r="VT70" s="60">
        <f t="shared" si="422"/>
        <v>0</v>
      </c>
      <c r="VU70" s="60">
        <f t="shared" si="423"/>
        <v>0</v>
      </c>
      <c r="VV70" s="60">
        <f t="shared" si="424"/>
        <v>0</v>
      </c>
      <c r="VW70" s="60">
        <f t="shared" si="425"/>
        <v>0</v>
      </c>
      <c r="VX70" s="76">
        <f t="shared" si="426"/>
        <v>0</v>
      </c>
      <c r="VY70" s="46">
        <f t="shared" si="427"/>
        <v>14</v>
      </c>
      <c r="VZ70" s="46">
        <f t="shared" ref="VZ70:VZ101" si="719">(C70*WA70)+WB70</f>
        <v>2.5039999999999996</v>
      </c>
      <c r="WA70" s="46">
        <f t="shared" si="428"/>
        <v>1</v>
      </c>
      <c r="WB70" s="46">
        <f t="shared" si="429"/>
        <v>2</v>
      </c>
      <c r="WC70" s="46" cm="1">
        <f t="array" ref="WC70">ROUND(IFERROR(INDEX(ArchiveResults!$F$5:$IX$116,ComparisonData!A70,ComparisonData!$WC$1),0),5)</f>
        <v>0</v>
      </c>
      <c r="WD70" s="56">
        <v>65</v>
      </c>
      <c r="WE70" s="53" t="str">
        <f t="shared" ref="WE70:WE101" si="720">INDEX($B$6:$B$117,MATCH(WD70,$VY$6:$VY$117,0))</f>
        <v>Pembrokeshire Archives and Local Studies</v>
      </c>
      <c r="WF70" s="46">
        <f t="shared" si="430"/>
        <v>0</v>
      </c>
      <c r="WG70" s="76">
        <f t="shared" si="431"/>
        <v>0</v>
      </c>
      <c r="WH70" s="46">
        <f t="shared" si="432"/>
        <v>14</v>
      </c>
      <c r="WI70" s="46">
        <f t="shared" ref="WI70:WI101" si="721">(C70*WJ70)+WK70</f>
        <v>2.5039999999999996</v>
      </c>
      <c r="WJ70" s="46">
        <f t="shared" si="433"/>
        <v>1</v>
      </c>
      <c r="WK70" s="46">
        <f t="shared" si="434"/>
        <v>2</v>
      </c>
      <c r="WL70" s="46" cm="1">
        <f t="array" ref="WL70">ROUND(IFERROR(INDEX(ArchiveResults!$F$5:$IX$116,ComparisonData!A70,ComparisonData!$WL$1),0),5)</f>
        <v>0</v>
      </c>
      <c r="WM70" s="46" cm="1">
        <f t="array" ref="WM70">IFERROR(INDEX(ArchiveResults!$F$5:$IX$116,ComparisonData!A70,ComparisonData!$WM$1),0)</f>
        <v>0</v>
      </c>
      <c r="WN70" s="56">
        <v>65</v>
      </c>
      <c r="WO70" s="53" t="str">
        <f t="shared" ref="WO70:WO101" si="722">INDEX($B$6:$B$117,MATCH(WN70,$WH$6:$WH$117,0))</f>
        <v>Pembrokeshire Archives and Local Studies</v>
      </c>
      <c r="WP70" s="60">
        <f t="shared" si="435"/>
        <v>0</v>
      </c>
      <c r="WQ70" s="60">
        <f t="shared" si="436"/>
        <v>0</v>
      </c>
      <c r="WR70" s="76">
        <f t="shared" si="437"/>
        <v>0</v>
      </c>
      <c r="WS70" s="46">
        <f t="shared" si="438"/>
        <v>14</v>
      </c>
      <c r="WT70" s="46">
        <f t="shared" ref="WT70:WT101" si="723">(C70*WU70)+WV70</f>
        <v>2.5039999999999996</v>
      </c>
      <c r="WU70" s="46">
        <f t="shared" si="439"/>
        <v>1</v>
      </c>
      <c r="WV70" s="46">
        <f t="shared" si="440"/>
        <v>2</v>
      </c>
      <c r="WW70" s="46" cm="1">
        <f t="array" ref="WW70">ROUND(VALUE(IFERROR(INDEX(ArchiveResults!$F$5:$IX$116,ComparisonData!A70,ComparisonData!$WW$1),0)),5)</f>
        <v>0</v>
      </c>
      <c r="WX70" s="46" cm="1">
        <f t="array" ref="WX70">ROUND(IFERROR(INDEX(ArchiveResults!$F$5:$IX$116,ComparisonData!A70,ComparisonData!$WX$1),0),5)</f>
        <v>0</v>
      </c>
      <c r="WY70" s="56">
        <v>65</v>
      </c>
      <c r="WZ70" s="53" t="str">
        <f t="shared" ref="WZ70:WZ101" si="724">INDEX($B$6:$B$117,MATCH(WY70,$WS$6:$WS$117,0))</f>
        <v>Pembrokeshire Archives and Local Studies</v>
      </c>
      <c r="XA70" s="60">
        <f t="shared" ref="XA70:XA101" si="725">INDEX($WW$6:$WW$117,MATCH(WY70,$WS$6:$WS$117,0))</f>
        <v>0</v>
      </c>
      <c r="XB70" s="60">
        <f t="shared" ref="XB70:XB101" si="726">INDEX($WX$6:$WX$117,MATCH(WY70,$WS$6:$WS$117,0))</f>
        <v>0</v>
      </c>
      <c r="XC70" s="76">
        <f t="shared" si="441"/>
        <v>0</v>
      </c>
      <c r="XD70" s="46">
        <f t="shared" si="442"/>
        <v>14</v>
      </c>
      <c r="XE70" s="46">
        <f t="shared" ref="XE70:XE101" si="727">(C70*XF70)+XG70</f>
        <v>2.5039999999999996</v>
      </c>
      <c r="XF70" s="46">
        <f t="shared" si="443"/>
        <v>1</v>
      </c>
      <c r="XG70" s="46">
        <f t="shared" si="444"/>
        <v>2</v>
      </c>
      <c r="XH70" s="46" cm="1">
        <f t="array" ref="XH70">ROUND(VALUE(IFERROR(INDEX(ArchiveResults!$F$5:$IX$116,ComparisonData!A70,ComparisonData!$XH$1),0)),5)</f>
        <v>0</v>
      </c>
      <c r="XI70" s="46" cm="1">
        <f t="array" ref="XI70">ROUND(VALUE(IFERROR(INDEX(ArchiveResults!$F$5:$IX$116,ComparisonData!A70,ComparisonData!$XI$1),0)),5)</f>
        <v>0</v>
      </c>
      <c r="XJ70" s="56">
        <v>65</v>
      </c>
      <c r="XK70" s="53" t="str">
        <f t="shared" ref="XK70:XK101" si="728">INDEX($B$6:$B$117,MATCH(XJ70,$XD$6:$XD$117,0))</f>
        <v>Pembrokeshire Archives and Local Studies</v>
      </c>
      <c r="XL70" s="60">
        <f t="shared" si="445"/>
        <v>0</v>
      </c>
      <c r="XM70" s="60">
        <f t="shared" si="446"/>
        <v>0</v>
      </c>
      <c r="XN70" s="76">
        <f t="shared" si="447"/>
        <v>0</v>
      </c>
      <c r="XO70" s="46">
        <f t="shared" si="448"/>
        <v>14</v>
      </c>
      <c r="XP70" s="46">
        <f t="shared" ref="XP70:XP101" si="729">(C70*XQ70)+XR70</f>
        <v>2.5039999999999996</v>
      </c>
      <c r="XQ70" s="46">
        <f t="shared" si="449"/>
        <v>1</v>
      </c>
      <c r="XR70" s="46">
        <f t="shared" si="450"/>
        <v>2</v>
      </c>
      <c r="XS70" s="46" cm="1">
        <f t="array" ref="XS70">ROUND(VALUE(IFERROR(INDEX(ArchiveResults!$F$5:$IX$116,ComparisonData!A70,ComparisonData!$XS$1),0)),5)</f>
        <v>0</v>
      </c>
      <c r="XT70" s="46" cm="1">
        <f t="array" ref="XT70">ROUND(VALUE(IFERROR(INDEX(ArchiveResults!$F$5:$IX$116,ComparisonData!A70,ComparisonData!$XT$1),0)),5)</f>
        <v>0</v>
      </c>
      <c r="XU70" s="56">
        <v>65</v>
      </c>
      <c r="XV70" s="53" t="str">
        <f t="shared" ref="XV70:XV101" si="730">INDEX($B$6:$B$117,MATCH(XU70,$XO$6:$XO$117,0))</f>
        <v>Pembrokeshire Archives and Local Studies</v>
      </c>
      <c r="XW70" s="60">
        <f t="shared" si="451"/>
        <v>0</v>
      </c>
      <c r="XX70" s="60">
        <f t="shared" si="452"/>
        <v>0</v>
      </c>
      <c r="XY70" s="76">
        <f t="shared" si="453"/>
        <v>0</v>
      </c>
      <c r="XZ70" s="46">
        <f t="shared" si="454"/>
        <v>14</v>
      </c>
      <c r="YA70" s="46">
        <f t="shared" ref="YA70:YA101" si="731">(C70*YB70)+YC70</f>
        <v>2.5039999999999996</v>
      </c>
      <c r="YB70" s="46">
        <f t="shared" si="455"/>
        <v>1</v>
      </c>
      <c r="YC70" s="46">
        <f t="shared" si="456"/>
        <v>2</v>
      </c>
      <c r="YD70" s="46" cm="1">
        <f t="array" ref="YD70">ROUND(VALUE(IFERROR(INDEX(ArchiveResults!$F$5:$IX$116,ComparisonData!A70,ComparisonData!$YD$1),0)),5)</f>
        <v>0</v>
      </c>
      <c r="YE70" s="46" cm="1">
        <f t="array" ref="YE70">ROUND(VALUE(IFERROR(INDEX(ArchiveResults!$F$5:$IX$116,ComparisonData!A70,ComparisonData!$YE$1),0)),5)</f>
        <v>0</v>
      </c>
      <c r="YF70" s="56">
        <v>65</v>
      </c>
      <c r="YG70" s="53" t="str">
        <f t="shared" ref="YG70:YG101" si="732">INDEX($B$6:$B$117,MATCH(YF70,$XZ$6:$XZ$117,0))</f>
        <v>Pembrokeshire Archives and Local Studies</v>
      </c>
      <c r="YH70" s="60">
        <f t="shared" si="457"/>
        <v>0</v>
      </c>
      <c r="YI70" s="60">
        <f t="shared" si="458"/>
        <v>0</v>
      </c>
      <c r="YJ70" s="76">
        <f t="shared" si="459"/>
        <v>0</v>
      </c>
      <c r="YK70" s="46">
        <f t="shared" si="460"/>
        <v>14</v>
      </c>
      <c r="YL70" s="46">
        <f t="shared" ref="YL70:YL101" si="733">(C70*YM70)+YN70</f>
        <v>2.5039999999999996</v>
      </c>
      <c r="YM70" s="46">
        <f t="shared" si="461"/>
        <v>1</v>
      </c>
      <c r="YN70" s="46">
        <f t="shared" si="462"/>
        <v>2</v>
      </c>
      <c r="YO70" s="46" cm="1">
        <f t="array" ref="YO70">ROUND(VALUE(IFERROR(INDEX(ArchiveResults!$F$5:$IX$116,ComparisonData!A70,ComparisonData!$YO$1),0)),5)</f>
        <v>0</v>
      </c>
      <c r="YP70" s="46" cm="1">
        <f t="array" ref="YP70">ROUND(VALUE(IFERROR(INDEX(ArchiveResults!$F$5:$IX$116,ComparisonData!A70,ComparisonData!$YP$1),0)),5)</f>
        <v>0</v>
      </c>
      <c r="YQ70" s="56">
        <v>65</v>
      </c>
      <c r="YR70" s="53" t="str">
        <f t="shared" ref="YR70:YR101" si="734">INDEX($B$6:$B$117,MATCH(YQ70,$YK$6:$YK$117,0))</f>
        <v>Pembrokeshire Archives and Local Studies</v>
      </c>
      <c r="YS70" s="60">
        <f t="shared" si="463"/>
        <v>0</v>
      </c>
      <c r="YT70" s="60">
        <f t="shared" si="464"/>
        <v>0</v>
      </c>
      <c r="YU70" s="76">
        <f t="shared" si="465"/>
        <v>0</v>
      </c>
      <c r="YV70" s="46">
        <f t="shared" si="466"/>
        <v>14</v>
      </c>
      <c r="YW70" s="46">
        <f t="shared" ref="YW70:YW101" si="735">(C70*YX70)+YY70</f>
        <v>2.5039999999999996</v>
      </c>
      <c r="YX70" s="46">
        <f t="shared" si="467"/>
        <v>1</v>
      </c>
      <c r="YY70" s="46">
        <f t="shared" si="468"/>
        <v>2</v>
      </c>
      <c r="YZ70" s="46">
        <f t="shared" si="469"/>
        <v>0</v>
      </c>
      <c r="ZA70" s="46" cm="1">
        <f t="array" ref="ZA70">ROUNDDOWN(VALUE(IFERROR(INDEX(ArchiveResults!$F$5:$IX$116,ComparisonData!A70,ComparisonData!$ZA$1),0)),5)</f>
        <v>0</v>
      </c>
      <c r="ZB70" s="46" cm="1">
        <f t="array" ref="ZB70">ROUNDDOWN(VALUE(IFERROR(INDEX(ArchiveResults!$F$5:$IX$116,ComparisonData!A70,ComparisonData!$ZB$1),0)),5)</f>
        <v>0</v>
      </c>
      <c r="ZC70" s="46" cm="1">
        <f t="array" ref="ZC70">ROUNDDOWN(VALUE(IFERROR(INDEX(ArchiveResults!$F$5:$IX$116,ComparisonData!A70,ComparisonData!$ZC$1),0)),5)</f>
        <v>0</v>
      </c>
      <c r="ZD70" s="46" cm="1">
        <f t="array" ref="ZD70">ROUNDDOWN(VALUE(IFERROR(INDEX(ArchiveResults!$F$5:$IX$116,ComparisonData!A70,ComparisonData!$ZD$1),0)),5)</f>
        <v>0</v>
      </c>
      <c r="ZE70" s="46" cm="1">
        <f t="array" ref="ZE70">ROUNDDOWN(VALUE(IFERROR(INDEX(ArchiveResults!$F$5:$IX$116,ComparisonData!A70,ComparisonData!$ZE$1),0)),5)</f>
        <v>0</v>
      </c>
      <c r="ZF70" s="56">
        <v>65</v>
      </c>
      <c r="ZG70" s="53" t="str">
        <f t="shared" ref="ZG70:ZG101" si="736">INDEX($B$6:$B$117,MATCH(ZF70,$YV$6:$YV$117,0))</f>
        <v>Pembrokeshire Archives and Local Studies</v>
      </c>
      <c r="ZH70" s="60">
        <f t="shared" si="470"/>
        <v>0</v>
      </c>
      <c r="ZI70" s="60">
        <f t="shared" si="471"/>
        <v>0</v>
      </c>
      <c r="ZJ70" s="60">
        <f t="shared" si="472"/>
        <v>0</v>
      </c>
      <c r="ZK70" s="60">
        <f t="shared" si="473"/>
        <v>0</v>
      </c>
      <c r="ZL70" s="60">
        <f t="shared" si="474"/>
        <v>0</v>
      </c>
      <c r="ZM70" s="76">
        <f t="shared" si="475"/>
        <v>0</v>
      </c>
      <c r="ZN70" s="46">
        <f t="shared" si="476"/>
        <v>14</v>
      </c>
      <c r="ZO70" s="46">
        <f t="shared" ref="ZO70:ZO101" si="737">(C70*ZP70)+ZQ70</f>
        <v>2.5039999999999996</v>
      </c>
      <c r="ZP70" s="46">
        <f t="shared" si="477"/>
        <v>1</v>
      </c>
      <c r="ZQ70" s="46">
        <f t="shared" si="478"/>
        <v>2</v>
      </c>
      <c r="ZR70" s="46" cm="1">
        <f t="array" ref="ZR70">ROUND(VALUE(IFERROR(INDEX(ArchiveResults!$F$5:$IX$116,ComparisonData!A70,ComparisonData!$ZR$1),0)),5)</f>
        <v>0</v>
      </c>
      <c r="ZS70" s="56">
        <v>65</v>
      </c>
      <c r="ZT70" s="53" t="str">
        <f t="shared" ref="ZT70:ZT101" si="738">INDEX($B$6:$B$117,MATCH(ZS70,$ZN$6:$ZN$117,0))</f>
        <v>Pembrokeshire Archives and Local Studies</v>
      </c>
      <c r="ZU70" s="46">
        <f t="shared" si="479"/>
        <v>0</v>
      </c>
      <c r="ZV70" s="76">
        <f t="shared" si="480"/>
        <v>0</v>
      </c>
      <c r="ZW70" s="81" cm="1">
        <f t="array" ref="ZW70">ROUND((IFERROR(INDEX(ArchiveResults!$F$5:$IX$116,ComparisonData!A70,ComparisonData!$ZW$1),0)),5)</f>
        <v>0</v>
      </c>
      <c r="ZX70" s="81" cm="1">
        <f t="array" ref="ZX70">ROUND((IFERROR(INDEX(ArchiveResults!$F$5:$IX$116,ComparisonData!A70,ComparisonData!$ZX$1),0)),5)</f>
        <v>0</v>
      </c>
      <c r="ZY70" s="81" cm="1">
        <f t="array" ref="ZY70">ROUND((IFERROR(INDEX(ArchiveResults!$F$5:$IX$116,ComparisonData!A70,ComparisonData!$ZY$1),0)),5)</f>
        <v>0</v>
      </c>
      <c r="ZZ70" s="81" cm="1">
        <f t="array" ref="ZZ70">ROUND((IFERROR(INDEX(ArchiveResults!$F$5:$IX$116,ComparisonData!A70,ComparisonData!$ZZ$1),0)),5)</f>
        <v>0</v>
      </c>
      <c r="AAA70" s="81" cm="1">
        <f t="array" ref="AAA70">ROUND((IFERROR(INDEX(ArchiveResults!$F$5:$IX$116,ComparisonData!A70,ComparisonData!$AAA$1),0)),5)</f>
        <v>0</v>
      </c>
      <c r="AAB70" s="81" cm="1">
        <f t="array" ref="AAB70">ROUND((IFERROR(INDEX(ArchiveResults!$F$5:$IX$116,ComparisonData!A70,ComparisonData!$AAB$1),0)),5)</f>
        <v>0</v>
      </c>
      <c r="AAC70" s="81" cm="1">
        <f t="array" ref="AAC70">ROUND((IFERROR(INDEX(ArchiveResults!$F$5:$IX$116,ComparisonData!A70,ComparisonData!$AAC$1),0)),5)</f>
        <v>0</v>
      </c>
      <c r="AAD70" s="81" cm="1">
        <f t="array" ref="AAD70">ROUND((IFERROR(INDEX(ArchiveResults!$F$5:$IX$116,ComparisonData!A70,ComparisonData!$AAD$1),0)),5)</f>
        <v>0</v>
      </c>
      <c r="AAE70" s="81" cm="1">
        <f t="array" ref="AAE70">ROUND((IFERROR(INDEX(ArchiveResults!$F$5:$IX$116,ComparisonData!A70,ComparisonData!$AAE$1),0)),5)</f>
        <v>0</v>
      </c>
      <c r="AAF70" s="81" cm="1">
        <f t="array" ref="AAF70">ROUND((IFERROR(INDEX(ArchiveResults!$F$5:$IX$116,ComparisonData!A70,ComparisonData!$AAF$1),0)),5)</f>
        <v>0</v>
      </c>
      <c r="AAG70" s="46">
        <f t="shared" si="481"/>
        <v>14</v>
      </c>
      <c r="AAH70" s="46">
        <f t="shared" ref="AAH70:AAH101" si="739">(C70*AAI70)+AAJ70</f>
        <v>2.5039999999999996</v>
      </c>
      <c r="AAI70" s="46">
        <f t="shared" si="482"/>
        <v>1</v>
      </c>
      <c r="AAJ70" s="46">
        <f t="shared" si="483"/>
        <v>2</v>
      </c>
      <c r="AAK70" s="46">
        <f t="shared" si="484"/>
        <v>0</v>
      </c>
      <c r="AAL70" s="46">
        <f t="shared" si="485"/>
        <v>0</v>
      </c>
      <c r="AAM70" s="46">
        <f t="shared" si="486"/>
        <v>0</v>
      </c>
      <c r="AAN70" s="46">
        <f t="shared" si="487"/>
        <v>0</v>
      </c>
      <c r="AAO70" s="46">
        <f t="shared" si="488"/>
        <v>0</v>
      </c>
      <c r="AAP70" s="46">
        <f t="shared" si="489"/>
        <v>0</v>
      </c>
      <c r="AAQ70" s="56">
        <v>65</v>
      </c>
      <c r="AAR70" s="53" t="str">
        <f t="shared" ref="AAR70:AAR101" si="740">INDEX($B$6:$B$117,MATCH(AAQ70,$AAG$6:$AAG$117,0))</f>
        <v>Pembrokeshire Archives and Local Studies</v>
      </c>
      <c r="AAS70" s="60">
        <f t="shared" si="490"/>
        <v>0</v>
      </c>
      <c r="AAT70" s="60">
        <f t="shared" si="491"/>
        <v>0</v>
      </c>
      <c r="AAU70" s="60">
        <f t="shared" si="492"/>
        <v>0</v>
      </c>
      <c r="AAV70" s="60">
        <f t="shared" si="493"/>
        <v>0</v>
      </c>
      <c r="AAW70" s="60">
        <f t="shared" si="494"/>
        <v>0</v>
      </c>
      <c r="AAX70" s="76">
        <f t="shared" si="495"/>
        <v>0</v>
      </c>
      <c r="AAY70" s="46">
        <f t="shared" si="496"/>
        <v>14</v>
      </c>
      <c r="AAZ70" s="46">
        <f t="shared" ref="AAZ70:AAZ101" si="741">(C70*ABA70)+ABB70</f>
        <v>2.5039999999999996</v>
      </c>
      <c r="ABA70" s="46">
        <f t="shared" si="497"/>
        <v>1</v>
      </c>
      <c r="ABB70" s="46">
        <f t="shared" si="498"/>
        <v>2</v>
      </c>
      <c r="ABC70" s="46">
        <f t="shared" ref="ABC70:ABC116" si="742">ABF70+(ABH70/100)+(ABE70/1000)+(ABG70/10000)+(ABD70/100000)</f>
        <v>0</v>
      </c>
      <c r="ABD70" s="46" cm="1">
        <f t="array" ref="ABD70">ROUND(VALUE(IFERROR(INDEX(ArchiveResults!$F$5:$IX$116,ComparisonData!A70,ComparisonData!$ABD$1),0)),5)</f>
        <v>0</v>
      </c>
      <c r="ABE70" s="46" cm="1">
        <f t="array" ref="ABE70">ROUND(VALUE(IFERROR(INDEX(ArchiveResults!$F$5:$IX$116,ComparisonData!A70,ComparisonData!$ABE$1),0)),5)</f>
        <v>0</v>
      </c>
      <c r="ABF70" s="46" cm="1">
        <f t="array" ref="ABF70">ROUND(VALUE(IFERROR(INDEX(ArchiveResults!$F$5:$IX$116,ComparisonData!A70,ComparisonData!$ABF$1),0)),5)</f>
        <v>0</v>
      </c>
      <c r="ABG70" s="46" cm="1">
        <f t="array" ref="ABG70">ROUND(VALUE(IFERROR(INDEX(ArchiveResults!$F$5:$IX$116,ComparisonData!A70,ComparisonData!$ABG$1),0)),5)</f>
        <v>0</v>
      </c>
      <c r="ABH70" s="46" cm="1">
        <f t="array" ref="ABH70">ROUND(VALUE(IFERROR(INDEX(ArchiveResults!$F$5:$IX$116,ComparisonData!A70,ComparisonData!$ABH$1),0)),5)</f>
        <v>0</v>
      </c>
      <c r="ABI70" s="56">
        <v>65</v>
      </c>
      <c r="ABJ70" s="53" t="str">
        <f t="shared" ref="ABJ70:ABJ101" si="743">INDEX($B$6:$B$117,MATCH(ABI70,$AAY$6:$AAY$117,0))</f>
        <v>Pembrokeshire Archives and Local Studies</v>
      </c>
      <c r="ABK70" s="60">
        <f t="shared" si="499"/>
        <v>0</v>
      </c>
      <c r="ABL70" s="60">
        <f t="shared" si="500"/>
        <v>0</v>
      </c>
      <c r="ABM70" s="60">
        <f t="shared" si="501"/>
        <v>0</v>
      </c>
      <c r="ABN70" s="60">
        <f t="shared" si="502"/>
        <v>0</v>
      </c>
      <c r="ABO70" s="60">
        <f t="shared" si="503"/>
        <v>0</v>
      </c>
      <c r="ABP70" s="76">
        <f t="shared" si="504"/>
        <v>0</v>
      </c>
      <c r="ABQ70" s="46">
        <f t="shared" si="505"/>
        <v>14</v>
      </c>
      <c r="ABR70" s="46">
        <f t="shared" ref="ABR70:ABR101" si="744">(C70*ABS70)+ABT70</f>
        <v>2.5039999999999996</v>
      </c>
      <c r="ABS70" s="46">
        <f t="shared" si="506"/>
        <v>1</v>
      </c>
      <c r="ABT70" s="46">
        <f t="shared" si="507"/>
        <v>2</v>
      </c>
      <c r="ABU70" s="46" cm="1">
        <f t="array" ref="ABU70">ROUND(VALUE(IFERROR(INDEX(ArchiveResults!$F$5:$IX$116,ComparisonData!A70,ComparisonData!$ABU$1),0)),5)</f>
        <v>0</v>
      </c>
      <c r="ABV70" s="46" cm="1">
        <f t="array" ref="ABV70">ROUND(VALUE(IFERROR(INDEX(ArchiveResults!$F$5:$IX$116,ComparisonData!A70,ComparisonData!$ABV$1),0)),5)</f>
        <v>0</v>
      </c>
      <c r="ABW70" s="46" cm="1">
        <f t="array" ref="ABW70">ROUND(VALUE(IFERROR(INDEX(ArchiveResults!$F$5:$IX$116,ComparisonData!A70,ComparisonData!$ABW$1),0)),5)</f>
        <v>0</v>
      </c>
      <c r="ABX70" s="46" cm="1">
        <f t="array" ref="ABX70">ROUND(VALUE(IFERROR(INDEX(ArchiveResults!$F$5:$IX$116,ComparisonData!A70,ComparisonData!$ABX$1),0)),5)</f>
        <v>0</v>
      </c>
      <c r="ABY70" s="46" cm="1">
        <f t="array" ref="ABY70">ROUND(VALUE(IFERROR(INDEX(ArchiveResults!$F$5:$IX$116,ComparisonData!A70,ComparisonData!$ABY$1),0)),5)</f>
        <v>0</v>
      </c>
      <c r="ABZ70" s="56">
        <v>65</v>
      </c>
      <c r="ACA70" s="53" t="str">
        <f t="shared" ref="ACA70:ACA101" si="745">INDEX($B$6:$B$117,MATCH(ABZ70,$ABQ$6:$ABQ$117,0))</f>
        <v>Pembrokeshire Archives and Local Studies</v>
      </c>
      <c r="ACB70" s="60">
        <f t="shared" si="508"/>
        <v>0</v>
      </c>
      <c r="ACC70" s="60">
        <f t="shared" si="509"/>
        <v>0</v>
      </c>
      <c r="ACD70" s="60">
        <f t="shared" si="510"/>
        <v>0</v>
      </c>
      <c r="ACE70" s="60">
        <f t="shared" si="511"/>
        <v>0</v>
      </c>
      <c r="ACF70" s="60">
        <f t="shared" si="512"/>
        <v>0</v>
      </c>
      <c r="ACG70" s="76">
        <f t="shared" si="513"/>
        <v>0</v>
      </c>
      <c r="ACH70" s="46">
        <f t="shared" si="514"/>
        <v>14</v>
      </c>
      <c r="ACI70" s="46">
        <f t="shared" ref="ACI70:ACI101" si="746">(C70*ACJ70)+ACK70</f>
        <v>2.5039999999999996</v>
      </c>
      <c r="ACJ70" s="46">
        <f t="shared" si="515"/>
        <v>1</v>
      </c>
      <c r="ACK70" s="46">
        <f t="shared" si="516"/>
        <v>2</v>
      </c>
      <c r="ACL70" s="46">
        <f t="shared" si="517"/>
        <v>0</v>
      </c>
      <c r="ACM70" s="46" cm="1">
        <f t="array" ref="ACM70">ROUND(IFERROR(INDEX(ArchiveResults!$F$5:$IX$116,ComparisonData!A70,ComparisonData!$ACM$1),0),5)</f>
        <v>0</v>
      </c>
      <c r="ACN70" s="46" cm="1">
        <f t="array" ref="ACN70">ROUND(IFERROR(INDEX(ArchiveResults!$F$5:$IX$116,ComparisonData!A70,ComparisonData!$ACN$1),0),5)</f>
        <v>0</v>
      </c>
      <c r="ACO70" s="56">
        <v>65</v>
      </c>
      <c r="ACP70" s="53" t="str">
        <f t="shared" ref="ACP70:ACP101" si="747">INDEX($B$6:$B$117,MATCH(ACO70,$ACH$6:$ACH$117,0))</f>
        <v>Pembrokeshire Archives and Local Studies</v>
      </c>
      <c r="ACQ70" s="60">
        <f t="shared" si="518"/>
        <v>0</v>
      </c>
      <c r="ACR70" s="60">
        <f t="shared" si="519"/>
        <v>0</v>
      </c>
      <c r="ACS70" s="76">
        <f t="shared" si="520"/>
        <v>0</v>
      </c>
      <c r="ACT70" s="46">
        <f t="shared" si="521"/>
        <v>14</v>
      </c>
      <c r="ACU70" s="46">
        <f t="shared" ref="ACU70:ACU101" si="748">(C70*ACV70)+ACW70</f>
        <v>2.5039999999999996</v>
      </c>
      <c r="ACV70" s="46">
        <f t="shared" si="522"/>
        <v>1</v>
      </c>
      <c r="ACW70" s="46">
        <f t="shared" si="523"/>
        <v>2</v>
      </c>
      <c r="ACX70" s="46">
        <f t="shared" si="524"/>
        <v>0</v>
      </c>
      <c r="ACY70" s="46" cm="1">
        <f t="array" ref="ACY70">ROUNDDOWN(IFERROR(INDEX(ArchiveResults!$F$5:$IX$116,ComparisonData!A70,ComparisonData!$ACY$1),0),5)</f>
        <v>0</v>
      </c>
      <c r="ACZ70" s="46" cm="1">
        <f t="array" ref="ACZ70">ROUNDDOWN(IFERROR(INDEX(ArchiveResults!$F$5:$IX$116,ComparisonData!A70,ComparisonData!$ACZ$1),0),5)</f>
        <v>0</v>
      </c>
      <c r="ADA70" s="46" cm="1">
        <f t="array" ref="ADA70">ROUNDDOWN(IFERROR(INDEX(ArchiveResults!$F$5:$IX$116,ComparisonData!A70,ComparisonData!$ADA$1),0),5)</f>
        <v>0</v>
      </c>
      <c r="ADB70" s="56">
        <v>65</v>
      </c>
      <c r="ADC70" s="53" t="str">
        <f t="shared" ref="ADC70:ADC101" si="749">INDEX($B$6:$B$117,MATCH(ADB70,$ACT$6:$ACT$117,0))</f>
        <v>Pembrokeshire Archives and Local Studies</v>
      </c>
      <c r="ADD70" s="60">
        <f t="shared" si="525"/>
        <v>0</v>
      </c>
      <c r="ADE70" s="60">
        <f t="shared" si="526"/>
        <v>0</v>
      </c>
      <c r="ADF70" s="60">
        <f t="shared" si="527"/>
        <v>0</v>
      </c>
      <c r="ADG70" s="76">
        <f t="shared" si="528"/>
        <v>0</v>
      </c>
    </row>
    <row r="71" spans="1:787" x14ac:dyDescent="0.25">
      <c r="A71" s="46" t="str">
        <f>IF(ISBLANK(ComparisonSelection!F67),"",ROW()-5)</f>
        <v/>
      </c>
      <c r="B71" s="53" t="s">
        <v>519</v>
      </c>
      <c r="C71" s="72">
        <v>0.50899999999999956</v>
      </c>
      <c r="D71" s="55">
        <f t="shared" ref="D71:D117" si="750">RANK(E71,$E$6:$E$117,1)</f>
        <v>15</v>
      </c>
      <c r="E71" s="54">
        <f t="shared" ref="E71:E117" si="751">(C71*F71)+G71</f>
        <v>2.5089999999999995</v>
      </c>
      <c r="F71" s="54">
        <f t="shared" ref="F71:F117" si="752">(COUNTIF($G$6:$G$117,G71)&gt;1)*1</f>
        <v>1</v>
      </c>
      <c r="G71" s="72">
        <f t="shared" ref="G71:G117" si="753">RANK(H71,$H$6:$H$117)</f>
        <v>2</v>
      </c>
      <c r="H71" s="72">
        <f t="shared" ref="H71:H117" si="754">I71+(J71/1000)</f>
        <v>0</v>
      </c>
      <c r="I71" s="46" cm="1">
        <f t="array" ref="I71">ROUND(IFERROR(INDEX(ArchiveResults!$F$5:$IX$116,ComparisonData!A71,ComparisonData!$I$1),0),5)</f>
        <v>0</v>
      </c>
      <c r="J71" s="46" cm="1">
        <f t="array" ref="J71">ROUND(IFERROR(INDEX(ArchiveResults!$F$5:$IX$116,ComparisonData!A71,ComparisonData!$J$1),0),5)</f>
        <v>0</v>
      </c>
      <c r="K71" s="56">
        <v>66</v>
      </c>
      <c r="L71" s="53" t="str">
        <f t="shared" ref="L71:L117" si="755">INDEX($B$6:$B$117,MATCH(K71,$D$6:$D$117,0))</f>
        <v>Perth &amp; Kinross Archive</v>
      </c>
      <c r="M71" s="57">
        <f t="shared" si="640"/>
        <v>0</v>
      </c>
      <c r="N71" s="57">
        <f t="shared" si="641"/>
        <v>0</v>
      </c>
      <c r="O71" s="58">
        <f t="shared" ref="O71:O117" si="756">MAX(M71:N71)</f>
        <v>0</v>
      </c>
      <c r="P71" s="48">
        <f t="shared" ref="P71:P117" si="757">RANK(Q71,$Q$6:$Q$117,1)</f>
        <v>15</v>
      </c>
      <c r="Q71" s="54">
        <f t="shared" si="642"/>
        <v>2.5089999999999995</v>
      </c>
      <c r="R71" s="45">
        <f t="shared" ref="R71:R117" si="758">(COUNTIF($S$6:$S$117,S71)&gt;1)*1</f>
        <v>1</v>
      </c>
      <c r="S71" s="46">
        <f t="shared" ref="S71:S117" si="759">RANK(T71,$T$6:$T$117)</f>
        <v>2</v>
      </c>
      <c r="T71" s="72">
        <f t="shared" ref="T71:T117" si="760">U71+(V71/1000)</f>
        <v>0</v>
      </c>
      <c r="U71" s="46" cm="1">
        <f t="array" ref="U71">ROUND(IFERROR(INDEX(ArchiveResults!$F$5:$IX$116,ComparisonData!A71,ComparisonData!$U$1),0),5)</f>
        <v>0</v>
      </c>
      <c r="V71" s="46" cm="1">
        <f t="array" ref="V71">ROUND(IFERROR(INDEX(ArchiveResults!$F$5:$IX$116,ComparisonData!A71,ComparisonData!$V$1),0),5)</f>
        <v>0</v>
      </c>
      <c r="W71" s="56">
        <v>66</v>
      </c>
      <c r="X71" s="53" t="str">
        <f t="shared" si="643"/>
        <v>Perth &amp; Kinross Archive</v>
      </c>
      <c r="Y71" s="57">
        <f t="shared" ref="Y71:Y117" si="761">INDEX($U$6:$U$117,MATCH(W71,$P$6:$P$117,0))</f>
        <v>0</v>
      </c>
      <c r="Z71" s="57">
        <f t="shared" ref="Z71:Z117" si="762">INDEX($V$6:$V$117,MATCH(W71,$P$6:$P$117,0))</f>
        <v>0</v>
      </c>
      <c r="AA71" s="58">
        <f t="shared" ref="AA71:AA117" si="763">MAX(Y71:Z71)</f>
        <v>0</v>
      </c>
      <c r="AB71" s="45">
        <f t="shared" ref="AB71:AB117" si="764">RANK(AC71,$AC$6:$AC$117,1)</f>
        <v>15</v>
      </c>
      <c r="AC71" s="54">
        <f t="shared" si="644"/>
        <v>2.5089999999999995</v>
      </c>
      <c r="AD71" s="45">
        <f t="shared" ref="AD71:AD117" si="765">(COUNTIF($AE$6:$AE$117,AE71)&gt;1)*1</f>
        <v>1</v>
      </c>
      <c r="AE71" s="45">
        <f t="shared" ref="AE71:AE117" si="766">RANK(AF71,$AF$6:$AF$117)</f>
        <v>2</v>
      </c>
      <c r="AF71" s="45">
        <f t="shared" si="639"/>
        <v>0</v>
      </c>
      <c r="AG71" s="46" cm="1">
        <f t="array" ref="AG71">ROUND(IFERROR(INDEX(ArchiveResults!$F$5:$IX$116,ComparisonData!A71,ComparisonData!$AG$1),0),5)</f>
        <v>0</v>
      </c>
      <c r="AH71" s="46" cm="1">
        <f t="array" ref="AH71">ROUND(IFERROR(INDEX(ArchiveResults!$F$5:$IX$116,ComparisonData!A71,ComparisonData!$AH$1),0),5)</f>
        <v>0</v>
      </c>
      <c r="AI71" s="56">
        <v>66</v>
      </c>
      <c r="AJ71" s="53" t="str">
        <f t="shared" si="645"/>
        <v>Perth &amp; Kinross Archive</v>
      </c>
      <c r="AK71" s="59">
        <f t="shared" si="646"/>
        <v>0</v>
      </c>
      <c r="AL71" s="59">
        <f t="shared" si="647"/>
        <v>0</v>
      </c>
      <c r="AM71" s="58">
        <f t="shared" ref="AM71:AM117" si="767">MAX(AK71:AL71)</f>
        <v>0</v>
      </c>
      <c r="AN71" s="45">
        <f t="shared" ref="AN71:AN117" si="768">RANK(AO71,$AO$6:$AO$117,1)</f>
        <v>15</v>
      </c>
      <c r="AO71" s="54">
        <f t="shared" si="648"/>
        <v>2.5089999999999995</v>
      </c>
      <c r="AP71" s="45">
        <f t="shared" ref="AP71:AP117" si="769">(COUNTIF($AQ$6:$AQ$117,AQ71)&gt;1)*1</f>
        <v>1</v>
      </c>
      <c r="AQ71" s="45">
        <f t="shared" ref="AQ71:AQ117" si="770">RANK(AR71,$AR$6:$AR$117)</f>
        <v>2</v>
      </c>
      <c r="AR71" s="46" cm="1">
        <f t="array" ref="AR71">ROUND(IFERROR(INDEX(ArchiveResults!$F$5:$IX$116,ComparisonData!A71,ComparisonData!$AR$1),0),5)</f>
        <v>0</v>
      </c>
      <c r="AS71" s="46" cm="1">
        <f t="array" ref="AS71">ROUND(IFERROR(INDEX(ArchiveResults!$F$5:$IX$116,ComparisonData!A71,ComparisonData!$AS$1),0),5)</f>
        <v>0</v>
      </c>
      <c r="AT71" s="46" cm="1">
        <f t="array" ref="AT71">ROUND(IFERROR(INDEX(ArchiveResults!$F$5:$IX$116,ComparisonData!A71,ComparisonData!$AT$1),0),5)</f>
        <v>0</v>
      </c>
      <c r="AU71" s="46" cm="1">
        <f t="array" ref="AU71">ROUND(IFERROR(INDEX(ArchiveResults!$F$5:$IX$116,ComparisonData!A71,ComparisonData!$AU$1),0),5)</f>
        <v>0</v>
      </c>
      <c r="AV71" s="46" cm="1">
        <f t="array" ref="AV71">ROUND(IFERROR(INDEX(ArchiveResults!$F$5:$IX$116,ComparisonData!A71,ComparisonData!$AV$1),0),5)</f>
        <v>0</v>
      </c>
      <c r="AW71" s="46" cm="1">
        <f t="array" ref="AW71">ROUND(IFERROR(INDEX(ArchiveResults!$F$5:$IX$116,ComparisonData!A71,ComparisonData!$AW$1),0),5)</f>
        <v>0</v>
      </c>
      <c r="AX71" s="46" cm="1">
        <f t="array" ref="AX71">ROUND(IFERROR(INDEX(ArchiveResults!$F$5:$IX$116,ComparisonData!A71,ComparisonData!$AX$1),0),5)</f>
        <v>0</v>
      </c>
      <c r="AY71" s="46" cm="1">
        <f t="array" ref="AY71">ROUND(IFERROR(INDEX(ArchiveResults!$F$5:$IX$116,ComparisonData!A71,ComparisonData!$AY$1),0),5)</f>
        <v>0</v>
      </c>
      <c r="AZ71" s="46" cm="1">
        <f t="array" ref="AZ71">ROUND(IFERROR(INDEX(ArchiveResults!$F$5:$IX$116,ComparisonData!A71,ComparisonData!$AZ$1),0),5)</f>
        <v>0</v>
      </c>
      <c r="BA71" s="46" cm="1">
        <f t="array" ref="BA71">ROUND(IFERROR(INDEX(ArchiveResults!$F$5:$IX$116,ComparisonData!A71,ComparisonData!$BA$1),0),5)</f>
        <v>0</v>
      </c>
      <c r="BB71" s="56">
        <v>66</v>
      </c>
      <c r="BC71" s="53" t="str">
        <f t="shared" si="649"/>
        <v>Perth &amp; Kinross Archive</v>
      </c>
      <c r="BD71" s="60">
        <f t="shared" ref="BD71:BD117" si="771">INDEX($AR$6:$AR$117,MATCH(BB71,$AN$6:$AN$117,0))</f>
        <v>0</v>
      </c>
      <c r="BE71" s="60">
        <f t="shared" ref="BE71:BE117" si="772">INDEX($AT$6:$AT$117,MATCH(BB71,$AN$6:$AN$117,0))</f>
        <v>0</v>
      </c>
      <c r="BF71" s="60">
        <f t="shared" ref="BF71:BF117" si="773">INDEX($AV$6:$AV$117,MATCH(BB71,$AN$6:$AN$117,0))</f>
        <v>0</v>
      </c>
      <c r="BG71" s="60">
        <f t="shared" ref="BG71:BG117" si="774">INDEX($AZ$6:$AZ$117,MATCH(BB71,$AN$6:$AN$117,0))</f>
        <v>0</v>
      </c>
      <c r="BH71" s="60">
        <f t="shared" ref="BH71:BH117" si="775">INDEX($AS$6:$AS$117,MATCH(BB71,$AN$6:$AN$117,0))</f>
        <v>0</v>
      </c>
      <c r="BI71" s="60">
        <f t="shared" ref="BI71:BI117" si="776">INDEX($AY$6:$AY$117,MATCH(BB71,$AN$6:$AN$117,0))</f>
        <v>0</v>
      </c>
      <c r="BJ71" s="60">
        <f t="shared" ref="BJ71:BJ117" si="777">INDEX($AU$6:$AU$117,MATCH(BB71,$AN$6:$AN$117,0))</f>
        <v>0</v>
      </c>
      <c r="BK71" s="60">
        <f t="shared" ref="BK71:BK117" si="778">INDEX($AW$6:$AW$117,MATCH(BB71,$AN$6:$AN$117,0))</f>
        <v>0</v>
      </c>
      <c r="BL71" s="60">
        <f t="shared" ref="BL71:BL117" si="779">INDEX($AX$6:$AX$117,MATCH(BB71,$AN$6:$AN$117,0))</f>
        <v>0</v>
      </c>
      <c r="BM71" s="59">
        <f t="shared" ref="BM71:BM117" si="780">INDEX($BA$6:$BA$117,MATCH(BB71,$AN$6:$AN$117,0))</f>
        <v>0</v>
      </c>
      <c r="BN71" s="58">
        <f t="shared" ref="BN71:BN117" si="781">MAX(BD71:BM71)</f>
        <v>0</v>
      </c>
      <c r="BO71" s="45">
        <f t="shared" ref="BO71:BO117" si="782">RANK(BP71,$BP$6:$BP$117,1)</f>
        <v>15</v>
      </c>
      <c r="BP71" s="54">
        <f t="shared" si="650"/>
        <v>2.5089999999999995</v>
      </c>
      <c r="BQ71" s="45">
        <f t="shared" ref="BQ71:BQ117" si="783">(COUNTIF($BR$6:$BR$117,BR71)&gt;1)*1</f>
        <v>1</v>
      </c>
      <c r="BR71" s="45">
        <f t="shared" ref="BR71:BR117" si="784">RANK(BS71,$BS$6:$BS$117)</f>
        <v>2</v>
      </c>
      <c r="BS71" s="46" cm="1">
        <f t="array" ref="BS71">ROUND(IFERROR(INDEX(ArchiveResults!$F$5:$IX$116,ComparisonData!A71,ComparisonData!$BS$1),0),5)</f>
        <v>0</v>
      </c>
      <c r="BT71" s="46" cm="1">
        <f t="array" ref="BT71">ROUND(IFERROR(INDEX(ArchiveResults!$F$5:$IX$116,ComparisonData!A71,ComparisonData!$BT$1),0),5)</f>
        <v>0</v>
      </c>
      <c r="BU71" s="46" cm="1">
        <f t="array" ref="BU71">ROUND(IFERROR(INDEX(ArchiveResults!$F$5:$IX$116,ComparisonData!A71,ComparisonData!$BU$1),0),5)</f>
        <v>0</v>
      </c>
      <c r="BV71" s="46" cm="1">
        <f t="array" ref="BV71">ROUND(IFERROR(INDEX(ArchiveResults!$F$5:$IX$116,ComparisonData!A71,ComparisonData!$BV$1),0),5)</f>
        <v>0</v>
      </c>
      <c r="BW71" s="46" cm="1">
        <f t="array" ref="BW71">ROUND(IFERROR(INDEX(ArchiveResults!$F$5:$IX$116,ComparisonData!A71,ComparisonData!$BW$1),0),5)</f>
        <v>0</v>
      </c>
      <c r="BX71" s="46" cm="1">
        <f t="array" ref="BX71">ROUND(IFERROR(INDEX(ArchiveResults!$F$5:$IX$116,ComparisonData!A71,ComparisonData!$BX$1),0),5)</f>
        <v>0</v>
      </c>
      <c r="BY71" s="56">
        <v>66</v>
      </c>
      <c r="BZ71" s="53" t="str">
        <f t="shared" si="651"/>
        <v>Perth &amp; Kinross Archive</v>
      </c>
      <c r="CA71" s="59">
        <f t="shared" ref="CA71:CA117" si="785">INDEX($BS$6:$BS$117,MATCH(BY71,$BO$6:$BO$117,0))</f>
        <v>0</v>
      </c>
      <c r="CB71" s="59">
        <f t="shared" ref="CB71:CB117" si="786">INDEX($BV$6:$BV$117,MATCH(BY71,$BO$6:$BO$117,0))</f>
        <v>0</v>
      </c>
      <c r="CC71" s="59">
        <f t="shared" ref="CC71:CC117" si="787">INDEX($BU$6:$BU$117,MATCH(BY71,$BO$6:$BO$117,0))</f>
        <v>0</v>
      </c>
      <c r="CD71" s="59">
        <f t="shared" ref="CD71:CD117" si="788">INDEX($BT$6:$BT$117,MATCH(BY71,$BO$6:$BO$117,0))</f>
        <v>0</v>
      </c>
      <c r="CE71" s="59">
        <f t="shared" ref="CE71:CE117" si="789">INDEX($BW$6:$BW$117,MATCH(BY71,$BO$6:$BO$117,0))</f>
        <v>0</v>
      </c>
      <c r="CF71" s="59">
        <f t="shared" ref="CF71:CF117" si="790">INDEX($BX$6:$BX$117,MATCH(BY71,$BO$6:$BO$117,0))</f>
        <v>0</v>
      </c>
      <c r="CG71" s="58">
        <f t="shared" ref="CG71:CG117" si="791">MAX(CA71:CF71)</f>
        <v>0</v>
      </c>
      <c r="CH71" s="45">
        <f t="shared" ref="CH71:CH116" si="792">RANK(CI71,$CI$6:$CI$117,1)</f>
        <v>15</v>
      </c>
      <c r="CI71" s="54">
        <f t="shared" si="652"/>
        <v>2.5089999999999995</v>
      </c>
      <c r="CJ71" s="45">
        <f t="shared" ref="CJ71:CJ116" si="793">(COUNTIF($CK$6:$CK$117,CK71)&gt;1)*1</f>
        <v>1</v>
      </c>
      <c r="CK71" s="45">
        <f t="shared" ref="CK71:CK117" si="794">RANK(CL71,$CL$6:$CL$117)</f>
        <v>2</v>
      </c>
      <c r="CL71" s="46" cm="1">
        <f t="array" ref="CL71">ROUND(IFERROR(INDEX(ArchiveResults!$F$5:$IX$116,ComparisonData!A71,ComparisonData!$CL$1),0),5)</f>
        <v>0</v>
      </c>
      <c r="CM71" s="56">
        <v>66</v>
      </c>
      <c r="CN71" s="53" t="str">
        <f t="shared" si="653"/>
        <v>Perth &amp; Kinross Archive</v>
      </c>
      <c r="CO71" s="45">
        <f t="shared" ref="CO71:CO117" si="795">INDEX($CL$6:$CL$117,MATCH(CM71,$CH$6:$CH$117,0))</f>
        <v>0</v>
      </c>
      <c r="CP71" s="58">
        <f t="shared" ref="CP71:CP117" si="796">MAX(CO71)</f>
        <v>0</v>
      </c>
      <c r="CQ71" s="45">
        <f t="shared" ref="CQ71:CQ117" si="797">RANK(CR71,$CR$6:$CR$117,1)</f>
        <v>15</v>
      </c>
      <c r="CR71" s="54">
        <f t="shared" si="654"/>
        <v>2.5089999999999995</v>
      </c>
      <c r="CS71" s="45">
        <f t="shared" ref="CS71:CS117" si="798">(COUNTIF($CT$6:$CT$117,CT71)&gt;1)*1</f>
        <v>1</v>
      </c>
      <c r="CT71" s="45">
        <f t="shared" ref="CT71:CT117" si="799">RANK(CU71,$CU$6:$CU$117)</f>
        <v>2</v>
      </c>
      <c r="CU71" s="46" cm="1">
        <f t="array" ref="CU71">ROUND(IFERROR(INDEX(ArchiveResults!$F$5:$IX$116,ComparisonData!A71,ComparisonData!$CU$1),0),5)</f>
        <v>0</v>
      </c>
      <c r="CV71" s="56">
        <v>66</v>
      </c>
      <c r="CW71" s="53" t="str">
        <f t="shared" si="655"/>
        <v>Perth &amp; Kinross Archive</v>
      </c>
      <c r="CX71" s="45">
        <f t="shared" ref="CX71:CX117" si="800">INDEX($CU$6:$CU$117,MATCH(CV71,$CQ$6:$CQ$117,0))</f>
        <v>0</v>
      </c>
      <c r="CY71" s="58">
        <f t="shared" ref="CY71:CY117" si="801">MAX(CX71)</f>
        <v>0</v>
      </c>
      <c r="CZ71" s="45">
        <f t="shared" ref="CZ71:CZ117" si="802">RANK(DA71,$DA$6:$DA$117,1)</f>
        <v>15</v>
      </c>
      <c r="DA71" s="54">
        <f t="shared" si="656"/>
        <v>2.5089999999999995</v>
      </c>
      <c r="DB71" s="45">
        <f t="shared" ref="DB71:DB117" si="803">(COUNTIF($DC$6:$DC$117,DC71)&gt;1)*1</f>
        <v>1</v>
      </c>
      <c r="DC71" s="45">
        <f t="shared" ref="DC71:DC117" si="804">RANK(DD71,$DD$6:$DD$117)</f>
        <v>2</v>
      </c>
      <c r="DD71" s="46" cm="1">
        <f t="array" ref="DD71">ROUND(IFERROR(INDEX(ArchiveResults!$F$5:$IX$116,ComparisonData!A71,ComparisonData!$DD$1),0),5)</f>
        <v>0</v>
      </c>
      <c r="DE71" s="56">
        <v>66</v>
      </c>
      <c r="DF71" s="53" t="str">
        <f t="shared" si="657"/>
        <v>Perth &amp; Kinross Archive</v>
      </c>
      <c r="DG71" s="45">
        <f t="shared" ref="DG71:DG117" si="805">INDEX($DD$6:$DD$117,MATCH(DE71,$CZ$6:$CZ$117,0))</f>
        <v>0</v>
      </c>
      <c r="DH71" s="58">
        <f t="shared" ref="DH71:DH117" si="806">MAX(DG71)</f>
        <v>0</v>
      </c>
      <c r="DI71" s="45">
        <f t="shared" ref="DI71:DI117" si="807">RANK(DJ71,$DJ$6:$DJ$117,1)</f>
        <v>15</v>
      </c>
      <c r="DJ71" s="54">
        <f t="shared" si="658"/>
        <v>2.5089999999999995</v>
      </c>
      <c r="DK71" s="45">
        <f t="shared" ref="DK71:DK117" si="808">(COUNTIF($DL$6:$DL$117,DL71)&gt;1)*1</f>
        <v>1</v>
      </c>
      <c r="DL71" s="45">
        <f t="shared" ref="DL71:DL117" si="809">RANK(DM71,$DM$6:$DM$117)</f>
        <v>2</v>
      </c>
      <c r="DM71" s="46" cm="1">
        <f t="array" ref="DM71">ROUND(IFERROR(INDEX(ArchiveResults!$F$5:$IX$116,ComparisonData!A71,ComparisonData!$DM$1),0),5)</f>
        <v>0</v>
      </c>
      <c r="DN71" s="46" cm="1">
        <f t="array" ref="DN71">ROUND(IFERROR(INDEX(ArchiveResults!$F$5:$IX$116,ComparisonData!A71,ComparisonData!$DN$1),0),5)</f>
        <v>0</v>
      </c>
      <c r="DO71" s="46" cm="1">
        <f t="array" ref="DO71">ROUND(IFERROR(INDEX(ArchiveResults!$F$5:$IX$116,ComparisonData!A71,ComparisonData!$DO$1),0),5)</f>
        <v>0</v>
      </c>
      <c r="DP71" s="46" cm="1">
        <f t="array" ref="DP71">ROUND(IFERROR(INDEX(ArchiveResults!$F$5:$IX$116,ComparisonData!A71,ComparisonData!$DP$1),0),5)</f>
        <v>0</v>
      </c>
      <c r="DQ71" s="45" cm="1">
        <f t="array" ref="DQ71">IFERROR(INDEX(ArchiveResults!$F$5:$IX$116,ComparisonData!A71,ComparisonData!$DQ$1),0)</f>
        <v>0</v>
      </c>
      <c r="DR71" s="56">
        <v>66</v>
      </c>
      <c r="DS71" s="53" t="str">
        <f t="shared" si="659"/>
        <v>Perth &amp; Kinross Archive</v>
      </c>
      <c r="DT71" s="59">
        <f t="shared" ref="DT71:DT117" si="810">INDEX($DM$6:$DM$117,MATCH(DR71,$DI$6:$DI$117,0))</f>
        <v>0</v>
      </c>
      <c r="DU71" s="59">
        <f t="shared" ref="DU71:DU117" si="811">INDEX($DN$6:$DN$117,MATCH(DR71,$DI$6:$DI$117,0))</f>
        <v>0</v>
      </c>
      <c r="DV71" s="59">
        <f t="shared" ref="DV71:DV117" si="812">INDEX($DO$6:$DO$117,MATCH(DR71,$DI$6:$DI$117,0))</f>
        <v>0</v>
      </c>
      <c r="DW71" s="59">
        <f t="shared" ref="DW71:DW117" si="813">INDEX($DP$6:$DP$117,MATCH(DR71,$DI$6:$DI$117,0))</f>
        <v>0</v>
      </c>
      <c r="DX71" s="59">
        <f t="shared" ref="DX71:DX117" si="814">INDEX($DQ$6:$DQ$117,MATCH(DR71,$DI$6:$DI$117,0))</f>
        <v>0</v>
      </c>
      <c r="DY71" s="58">
        <f t="shared" ref="DY71:DY117" si="815">MAX(DT71:DX71)</f>
        <v>0</v>
      </c>
      <c r="DZ71" s="45">
        <f t="shared" ref="DZ71:DZ117" si="816">RANK(EA71,$EA$6:$EA$117,1)</f>
        <v>15</v>
      </c>
      <c r="EA71" s="54">
        <f t="shared" si="660"/>
        <v>2.5089999999999995</v>
      </c>
      <c r="EB71" s="45">
        <f t="shared" ref="EB71:EB117" si="817">(COUNTIF($EC$6:$EC$117,EC71)&gt;1)*1</f>
        <v>1</v>
      </c>
      <c r="EC71" s="45">
        <f t="shared" ref="EC71:EC117" si="818">RANK(ED71,$ED$6:$ED$117)</f>
        <v>2</v>
      </c>
      <c r="ED71" s="46" cm="1">
        <f t="array" ref="ED71">ROUND(IFERROR(INDEX(ArchiveResults!$F$5:$IX$116,ComparisonData!A71,ComparisonData!$ED$1),0),5)</f>
        <v>0</v>
      </c>
      <c r="EE71" s="46" cm="1">
        <f t="array" ref="EE71">ROUND(IFERROR(INDEX(ArchiveResults!$F$5:$IX$116,ComparisonData!A71,ComparisonData!$EE$1),0),5)</f>
        <v>0</v>
      </c>
      <c r="EF71" s="46" cm="1">
        <f t="array" ref="EF71">ROUND(IFERROR(INDEX(ArchiveResults!$F$5:$IX$116,ComparisonData!A71,ComparisonData!$EF$1),0),5)</f>
        <v>0</v>
      </c>
      <c r="EG71" s="46" cm="1">
        <f t="array" ref="EG71">ROUND(IFERROR(INDEX(ArchiveResults!$F$5:$IX$116,ComparisonData!A71,ComparisonData!$EG$1),0),5)</f>
        <v>0</v>
      </c>
      <c r="EH71" s="45" cm="1">
        <f t="array" ref="EH71">IFERROR(INDEX(ArchiveResults!$F$5:$IX$116,ComparisonData!A71,ComparisonData!$EH$1),0)</f>
        <v>0</v>
      </c>
      <c r="EI71" s="56">
        <v>66</v>
      </c>
      <c r="EJ71" s="53" t="str">
        <f t="shared" si="661"/>
        <v>Perth &amp; Kinross Archive</v>
      </c>
      <c r="EK71" s="59">
        <f t="shared" ref="EK71:EK117" si="819">INDEX($ED$6:$ED$117,MATCH(EI71,$DZ$6:$DZ$117,0))</f>
        <v>0</v>
      </c>
      <c r="EL71" s="59">
        <f t="shared" ref="EL71:EL117" si="820">INDEX($EE$6:$EE$117,MATCH(EI71,$DZ$6:$DZ$117,0))</f>
        <v>0</v>
      </c>
      <c r="EM71" s="59">
        <f t="shared" ref="EM71:EM117" si="821">INDEX($EF$6:$EF$117,MATCH(EI71,$DZ$6:$DZ$117,0))</f>
        <v>0</v>
      </c>
      <c r="EN71" s="59">
        <f t="shared" ref="EN71:EN117" si="822">INDEX($EG$6:$EG$117,MATCH(EI71,$DZ$6:$DZ$117,0))</f>
        <v>0</v>
      </c>
      <c r="EO71" s="59">
        <f t="shared" ref="EO71:EO117" si="823">INDEX($EH$6:$EH$117,MATCH(EI71,$DZ$6:$DZ$117,0))</f>
        <v>0</v>
      </c>
      <c r="EP71" s="58">
        <f t="shared" ref="EP71:EP117" si="824">MAX(EK71:EO71)</f>
        <v>0</v>
      </c>
      <c r="EQ71" s="45">
        <f t="shared" ref="EQ71:EQ117" si="825">RANK(ER71,$ER$6:$ER$117,1)</f>
        <v>15</v>
      </c>
      <c r="ER71" s="54">
        <f t="shared" si="662"/>
        <v>2.5089999999999995</v>
      </c>
      <c r="ES71" s="45">
        <f t="shared" ref="ES71:ES117" si="826">(COUNTIF($ET$6:$ET$117,ET71)&gt;1)*1</f>
        <v>1</v>
      </c>
      <c r="ET71" s="45">
        <f t="shared" ref="ET71:ET117" si="827">RANK(EU71,$EU$6:$EU$117)</f>
        <v>2</v>
      </c>
      <c r="EU71" s="46" cm="1">
        <f t="array" ref="EU71">ROUND(IFERROR(INDEX(ArchiveResults!$F$5:$IX$116,ComparisonData!A71,ComparisonData!$EU$1),0),5)</f>
        <v>0</v>
      </c>
      <c r="EV71" s="46" cm="1">
        <f t="array" ref="EV71">ROUND(IFERROR(INDEX(ArchiveResults!$F$5:$IX$116,ComparisonData!A71,ComparisonData!$EV$1),0),5)</f>
        <v>0</v>
      </c>
      <c r="EW71" s="46" cm="1">
        <f t="array" ref="EW71">ROUND(IFERROR(INDEX(ArchiveResults!$F$5:$IX$116,ComparisonData!A71,ComparisonData!$EW$1),0),5)</f>
        <v>0</v>
      </c>
      <c r="EX71" s="46" cm="1">
        <f t="array" ref="EX71">ROUND(IFERROR(INDEX(ArchiveResults!$F$5:$IX$116,ComparisonData!A71,ComparisonData!$EX$1),0),5)</f>
        <v>0</v>
      </c>
      <c r="EY71" s="45" cm="1">
        <f t="array" ref="EY71">IFERROR(INDEX(ArchiveResults!$F$5:$IX$116,ComparisonData!A71,ComparisonData!$EY$1),0)</f>
        <v>0</v>
      </c>
      <c r="EZ71" s="56">
        <v>66</v>
      </c>
      <c r="FA71" s="53" t="str">
        <f t="shared" si="663"/>
        <v>Perth &amp; Kinross Archive</v>
      </c>
      <c r="FB71" s="59">
        <f t="shared" ref="FB71:FB117" si="828">INDEX($EU$6:$EU$117,MATCH(EZ71,$EQ$6:$EQ$117,0))</f>
        <v>0</v>
      </c>
      <c r="FC71" s="59">
        <f t="shared" ref="FC71:FC117" si="829">INDEX($EV$6:$EV$117,MATCH(EZ71,$EQ$6:$EQ$117,0))</f>
        <v>0</v>
      </c>
      <c r="FD71" s="59">
        <f t="shared" ref="FD71:FD117" si="830">INDEX($EW$6:$EW$117,MATCH(EZ71,$EQ$6:$EQ$117,0))</f>
        <v>0</v>
      </c>
      <c r="FE71" s="59">
        <f t="shared" ref="FE71:FE117" si="831">INDEX($EX$6:$EX$117,MATCH(EZ71,$EQ$6:$EQ$117,0))</f>
        <v>0</v>
      </c>
      <c r="FF71" s="59">
        <f t="shared" ref="FF71:FF117" si="832">INDEX($EY$6:$EY$117,MATCH(EZ71,$EQ$6:$EQ$117,0))</f>
        <v>0</v>
      </c>
      <c r="FG71" s="58">
        <f t="shared" ref="FG71:FG117" si="833">MAX(FB71:FF71)</f>
        <v>0</v>
      </c>
      <c r="FH71" s="45">
        <f t="shared" ref="FH71:FH117" si="834">RANK(FI71,$FI$6:$FI$117,1)</f>
        <v>15</v>
      </c>
      <c r="FI71" s="54">
        <f t="shared" si="664"/>
        <v>2.5089999999999995</v>
      </c>
      <c r="FJ71" s="45">
        <f t="shared" ref="FJ71:FJ117" si="835">(COUNTIF($FK$6:$FK$117,FK71)&gt;1)*1</f>
        <v>1</v>
      </c>
      <c r="FK71" s="45">
        <f t="shared" ref="FK71:FK117" si="836">RANK(FL71,$FL$6:$FL$117)</f>
        <v>2</v>
      </c>
      <c r="FL71" s="46" cm="1">
        <f t="array" ref="FL71">ROUND(IFERROR(INDEX(ArchiveResults!$F$5:$IX$116,ComparisonData!A71,ComparisonData!$FL$1),0),5)</f>
        <v>0</v>
      </c>
      <c r="FM71" s="46" cm="1">
        <f t="array" ref="FM71">ROUND(IFERROR(INDEX(ArchiveResults!$F$5:$IX$116,ComparisonData!A71,ComparisonData!$FM$1),0),5)</f>
        <v>0</v>
      </c>
      <c r="FN71" s="46" cm="1">
        <f t="array" ref="FN71">ROUND(IFERROR(INDEX(ArchiveResults!$F$5:$IX$116,ComparisonData!A71,ComparisonData!$FN$1),0),5)</f>
        <v>0</v>
      </c>
      <c r="FO71" s="46" cm="1">
        <f t="array" ref="FO71">ROUND(IFERROR(INDEX(ArchiveResults!$F$5:$IX$116,ComparisonData!A71,ComparisonData!$FO$1),0),5)</f>
        <v>0</v>
      </c>
      <c r="FP71" s="45" cm="1">
        <f t="array" ref="FP71">IFERROR(INDEX(ArchiveResults!$F$5:$IX$116,ComparisonData!A71,ComparisonData!$FP$1),0)</f>
        <v>0</v>
      </c>
      <c r="FQ71" s="56">
        <v>66</v>
      </c>
      <c r="FR71" s="53" t="str">
        <f t="shared" si="665"/>
        <v>Perth &amp; Kinross Archive</v>
      </c>
      <c r="FS71" s="59">
        <f t="shared" ref="FS71:FS117" si="837">INDEX($FL$6:$FL$117,MATCH(FQ71,$FH$6:$FH$117,0))</f>
        <v>0</v>
      </c>
      <c r="FT71" s="59">
        <f t="shared" ref="FT71:FT117" si="838">INDEX($FM$6:$FM$117,MATCH(FQ71,$FH$6:$FH$117,0))</f>
        <v>0</v>
      </c>
      <c r="FU71" s="59">
        <f t="shared" ref="FU71:FU117" si="839">INDEX($FN$6:$FN$117,MATCH(FQ71,$FH$6:$FH$117,0))</f>
        <v>0</v>
      </c>
      <c r="FV71" s="59">
        <f t="shared" ref="FV71:FV117" si="840">INDEX($FO$6:$FO$117,MATCH(FQ71,$FH$6:$FH$117,0))</f>
        <v>0</v>
      </c>
      <c r="FW71" s="59">
        <f t="shared" ref="FW71:FW117" si="841">INDEX($FP$6:$FP$117,MATCH(FQ71,$FH$6:$FH$117,0))</f>
        <v>0</v>
      </c>
      <c r="FX71" s="58">
        <f t="shared" ref="FX71:FX117" si="842">MAX(FS71:FW71)</f>
        <v>0</v>
      </c>
      <c r="FY71" s="45">
        <f t="shared" ref="FY71:FY117" si="843">RANK(FZ71,$FZ$6:$FZ$117,1)</f>
        <v>15</v>
      </c>
      <c r="FZ71" s="45">
        <f t="shared" si="666"/>
        <v>2.5089999999999995</v>
      </c>
      <c r="GA71" s="45">
        <f t="shared" ref="GA71:GA117" si="844">(COUNTIF($GB$6:$GB$117,GB71)&gt;1)*1</f>
        <v>1</v>
      </c>
      <c r="GB71" s="45">
        <f t="shared" ref="GB71:GB117" si="845">RANK(GC71,$GC$6:$GC$117)</f>
        <v>2</v>
      </c>
      <c r="GC71" s="46" cm="1">
        <f t="array" ref="GC71">ROUND(IFERROR(INDEX(ArchiveResults!$F$5:$IX$116,ComparisonData!A71,ComparisonData!$GC$1),0),5)</f>
        <v>0</v>
      </c>
      <c r="GD71" s="46" cm="1">
        <f t="array" ref="GD71">ROUND(IFERROR(INDEX(ArchiveResults!$F$5:$IX$116,ComparisonData!A71,ComparisonData!$GD$1),0),5)</f>
        <v>0</v>
      </c>
      <c r="GE71" s="46" cm="1">
        <f t="array" ref="GE71">ROUND(IFERROR(INDEX(ArchiveResults!$F$5:$IX$116,ComparisonData!A71,ComparisonData!$GE$1),0),5)</f>
        <v>0</v>
      </c>
      <c r="GF71" s="46" cm="1">
        <f t="array" ref="GF71">ROUND(IFERROR(INDEX(ArchiveResults!$F$5:$IX$116,ComparisonData!A71,ComparisonData!$GF$1),0),5)</f>
        <v>0</v>
      </c>
      <c r="GG71" s="45" cm="1">
        <f t="array" ref="GG71">IFERROR(INDEX(ArchiveResults!$F$5:$IX$116,ComparisonData!A71,ComparisonData!$GG$1),0)</f>
        <v>0</v>
      </c>
      <c r="GH71" s="56">
        <v>66</v>
      </c>
      <c r="GI71" s="53" t="str">
        <f t="shared" si="667"/>
        <v>Perth &amp; Kinross Archive</v>
      </c>
      <c r="GJ71" s="59">
        <f t="shared" ref="GJ71:GJ117" si="846">INDEX($GC$6:$GC$117,MATCH(GH71,$FY$6:$FY$117,0))</f>
        <v>0</v>
      </c>
      <c r="GK71" s="59">
        <f t="shared" ref="GK71:GK117" si="847">INDEX($GD$6:$GD$117,MATCH(GH71,$FY$6:$FY$117,0))</f>
        <v>0</v>
      </c>
      <c r="GL71" s="59">
        <f t="shared" ref="GL71:GL117" si="848">INDEX($GE$6:$GE$117,MATCH(GH71,$FY$6:$FY$117,0))</f>
        <v>0</v>
      </c>
      <c r="GM71" s="59">
        <f t="shared" ref="GM71:GM117" si="849">INDEX($GF$6:$GF$117,MATCH(GH71,$FY$6:$FY$117,0))</f>
        <v>0</v>
      </c>
      <c r="GN71" s="59">
        <f t="shared" ref="GN71:GN117" si="850">INDEX($GG$6:$GG$117,MATCH(GH71,$FY$6:$FY$117,0))</f>
        <v>0</v>
      </c>
      <c r="GO71" s="58">
        <f t="shared" ref="GO71:GO116" si="851">MAX(GJ71:GN71)</f>
        <v>0</v>
      </c>
      <c r="GP71" s="45">
        <f t="shared" ref="GP71:GP117" si="852">RANK(GQ71,$GQ$6:$GQ$117,1)</f>
        <v>15</v>
      </c>
      <c r="GQ71" s="45">
        <f t="shared" si="668"/>
        <v>2.5089999999999995</v>
      </c>
      <c r="GR71" s="45">
        <f t="shared" ref="GR71:GR117" si="853">(COUNTIF($GS$6:$GS$117,GS71)&gt;1)*1</f>
        <v>1</v>
      </c>
      <c r="GS71" s="45">
        <f t="shared" ref="GS71:GS117" si="854">RANK(GT71,$GT$6:$GT$117)</f>
        <v>2</v>
      </c>
      <c r="GT71" s="46" cm="1">
        <f t="array" ref="GT71">ROUND(IFERROR(INDEX(ArchiveResults!$F$5:$IX$116,ComparisonData!A71,ComparisonData!$GT$1),0),5)</f>
        <v>0</v>
      </c>
      <c r="GU71" s="46" cm="1">
        <f t="array" ref="GU71">ROUND(IFERROR(INDEX(ArchiveResults!$F$5:$IX$116,ComparisonData!A71,ComparisonData!$GU$1),0),5)</f>
        <v>0</v>
      </c>
      <c r="GV71" s="46" cm="1">
        <f t="array" ref="GV71">ROUND(IFERROR(INDEX(ArchiveResults!$F$5:$IX$116,ComparisonData!A71,ComparisonData!$GV$1),0),5)</f>
        <v>0</v>
      </c>
      <c r="GW71" s="46" cm="1">
        <f t="array" ref="GW71">ROUND(IFERROR(INDEX(ArchiveResults!$F$5:$IX$116,ComparisonData!A71,ComparisonData!$GW$1),0),5)</f>
        <v>0</v>
      </c>
      <c r="GX71" s="45" cm="1">
        <f t="array" ref="GX71">IFERROR(INDEX(ArchiveResults!$F$5:$IX$116,ComparisonData!A71,ComparisonData!$GX$1),0)</f>
        <v>0</v>
      </c>
      <c r="GY71" s="56">
        <v>66</v>
      </c>
      <c r="GZ71" s="53" t="str">
        <f t="shared" si="669"/>
        <v>Perth &amp; Kinross Archive</v>
      </c>
      <c r="HA71" s="59">
        <f t="shared" ref="HA71:HA117" si="855">INDEX($GT$6:$GT$117,MATCH(GY71,$GP$6:$GP$117,0))</f>
        <v>0</v>
      </c>
      <c r="HB71" s="59">
        <f t="shared" ref="HB71:HB117" si="856">INDEX($GU$6:$GU$117,MATCH(GY71,$GP$6:$GP$117,0))</f>
        <v>0</v>
      </c>
      <c r="HC71" s="59">
        <f t="shared" ref="HC71:HC117" si="857">INDEX($GV$6:$GV$117,MATCH(GY71,$GP$6:$GP$117,0))</f>
        <v>0</v>
      </c>
      <c r="HD71" s="59">
        <f t="shared" ref="HD71:HD117" si="858">INDEX($GW$6:$GW$117,MATCH(GY71,$GP$6:$GP$117,0))</f>
        <v>0</v>
      </c>
      <c r="HE71" s="59">
        <f t="shared" ref="HE71:HE117" si="859">INDEX($GX$6:$GX$117,MATCH(GY71,$GP$6:$GP$117,0))</f>
        <v>0</v>
      </c>
      <c r="HF71" s="58">
        <f t="shared" ref="HF71:HF116" si="860">MAX(HA71:HE71)</f>
        <v>0</v>
      </c>
      <c r="HG71" s="45">
        <f t="shared" ref="HG71:HG117" si="861">RANK(HH71,$HH$6:$HH$117,1)</f>
        <v>15</v>
      </c>
      <c r="HH71" s="45">
        <f t="shared" si="670"/>
        <v>2.5089999999999995</v>
      </c>
      <c r="HI71" s="45">
        <f t="shared" ref="HI71:HI117" si="862">(COUNTIF($HJ$6:$HJ$117,HJ71)&gt;1)*1</f>
        <v>1</v>
      </c>
      <c r="HJ71" s="45">
        <f t="shared" ref="HJ71:HJ117" si="863">RANK(HK71,$HK$6:$HK$117)</f>
        <v>2</v>
      </c>
      <c r="HK71" s="46" cm="1">
        <f t="array" ref="HK71">ROUND(IFERROR(INDEX(ArchiveResults!$F$5:$IX$116,ComparisonData!A71,ComparisonData!$HK$1),0),5)</f>
        <v>0</v>
      </c>
      <c r="HL71" s="46" cm="1">
        <f t="array" ref="HL71">ROUND(IFERROR(INDEX(ArchiveResults!$F$5:$IX$116,ComparisonData!A71,ComparisonData!$HL$1),0),5)</f>
        <v>0</v>
      </c>
      <c r="HM71" s="46" cm="1">
        <f t="array" ref="HM71">ROUND(IFERROR(INDEX(ArchiveResults!$F$5:$IX$116,ComparisonData!A71,ComparisonData!$HM$1),0),5)</f>
        <v>0</v>
      </c>
      <c r="HN71" s="46" cm="1">
        <f t="array" ref="HN71">ROUND(IFERROR(INDEX(ArchiveResults!$F$5:$IX$116,ComparisonData!A71,ComparisonData!$HN$1),0),5)</f>
        <v>0</v>
      </c>
      <c r="HO71" s="45" cm="1">
        <f t="array" ref="HO71">IFERROR(INDEX(ArchiveResults!$F$5:$IX$116,ComparisonData!A71,ComparisonData!$HO$1),0)</f>
        <v>0</v>
      </c>
      <c r="HP71" s="56">
        <v>66</v>
      </c>
      <c r="HQ71" s="53" t="str">
        <f t="shared" si="671"/>
        <v>Perth &amp; Kinross Archive</v>
      </c>
      <c r="HR71" s="59">
        <f t="shared" si="672"/>
        <v>0</v>
      </c>
      <c r="HS71" s="59">
        <f t="shared" si="673"/>
        <v>0</v>
      </c>
      <c r="HT71" s="59">
        <f t="shared" si="674"/>
        <v>0</v>
      </c>
      <c r="HU71" s="59">
        <f t="shared" si="675"/>
        <v>0</v>
      </c>
      <c r="HV71" s="59">
        <f t="shared" si="676"/>
        <v>0</v>
      </c>
      <c r="HW71" s="58">
        <f t="shared" ref="HW71:HW116" si="864">MAX(HR71:HV71)</f>
        <v>0</v>
      </c>
      <c r="HX71" s="45">
        <f t="shared" ref="HX71:HX117" si="865">RANK(HY71,$HY$6:$HY$117,1)</f>
        <v>15</v>
      </c>
      <c r="HY71" s="45">
        <f t="shared" si="677"/>
        <v>2.5089999999999995</v>
      </c>
      <c r="HZ71" s="45">
        <f t="shared" ref="HZ71:HZ117" si="866">(COUNTIF($IA$6:$IA$117,IA71)&gt;1)*1</f>
        <v>1</v>
      </c>
      <c r="IA71" s="45">
        <f t="shared" ref="IA71:IA117" si="867">RANK(IB71,$IB$6:$IB$117)</f>
        <v>2</v>
      </c>
      <c r="IB71" s="45">
        <f t="shared" ref="IB71:IB117" si="868">IC71+(ID71/100)+(IE71/1000)+(IF71/10000)</f>
        <v>0</v>
      </c>
      <c r="IC71" s="46" cm="1">
        <f t="array" ref="IC71">ROUND(IFERROR(INDEX(ArchiveResults!$F$5:$IX$116,ComparisonData!A71,ComparisonData!$IC$1),0),5)</f>
        <v>0</v>
      </c>
      <c r="ID71" s="46" cm="1">
        <f t="array" ref="ID71">ROUND(IFERROR(INDEX(ArchiveResults!$F$5:$IX$116,ComparisonData!A71,ComparisonData!$ID$1),0),5)</f>
        <v>0</v>
      </c>
      <c r="IE71" s="46" cm="1">
        <f t="array" ref="IE71">ROUND(IFERROR(INDEX(ArchiveResults!$F$5:$IX$116,ComparisonData!A71,ComparisonData!$IE$1),0),5)</f>
        <v>0</v>
      </c>
      <c r="IF71" s="46" cm="1">
        <f t="array" ref="IF71">ROUND(IFERROR(INDEX(ArchiveResults!$F$5:$IX$116,ComparisonData!A71,ComparisonData!$IF$1),0),5)</f>
        <v>0</v>
      </c>
      <c r="IG71" s="45" cm="1">
        <f t="array" ref="IG71">IFERROR(INDEX(ArchiveResults!$F$5:$IX$116,ComparisonData!A71,ComparisonData!$IG$1),0)</f>
        <v>0</v>
      </c>
      <c r="IH71" s="56">
        <v>66</v>
      </c>
      <c r="II71" s="53" t="str">
        <f t="shared" si="678"/>
        <v>Perth &amp; Kinross Archive</v>
      </c>
      <c r="IJ71" s="59">
        <f t="shared" ref="IJ71:IJ117" si="869">INDEX($IC$6:$IC$117,MATCH(IH71,$HX$6:$HX$117,0))</f>
        <v>0</v>
      </c>
      <c r="IK71" s="59">
        <f t="shared" ref="IK71:IK117" si="870">INDEX($ID$6:$ID$117,MATCH(IH71,$HX$6:$HX$117,0))</f>
        <v>0</v>
      </c>
      <c r="IL71" s="59">
        <f t="shared" ref="IL71:IL117" si="871">INDEX($IE$6:$IE$117,MATCH(IH71,$HX$6:$HX$117,0))</f>
        <v>0</v>
      </c>
      <c r="IM71" s="59">
        <f t="shared" ref="IM71:IM117" si="872">INDEX($IF$6:$IF$117,MATCH(IH71,$HX$6:$HX$117,0))</f>
        <v>0</v>
      </c>
      <c r="IN71" s="59">
        <f t="shared" ref="IN71:IN117" si="873">INDEX($IG$6:$IG$117,MATCH(IH71,$HX$6:$HX$117,0))</f>
        <v>0</v>
      </c>
      <c r="IO71" s="58">
        <f t="shared" ref="IO71:IO116" si="874">MAX(IJ71:IN71)</f>
        <v>0</v>
      </c>
      <c r="IP71" s="45">
        <f t="shared" ref="IP71:IP117" si="875">RANK(IQ71,$IQ$6:$IQ$117,1)</f>
        <v>15</v>
      </c>
      <c r="IQ71" s="45">
        <f t="shared" si="679"/>
        <v>2.5089999999999995</v>
      </c>
      <c r="IR71" s="45">
        <f t="shared" ref="IR71:IR117" si="876">(COUNTIF($IS$6:$IS$117,IS71)&gt;1)*1</f>
        <v>1</v>
      </c>
      <c r="IS71" s="45">
        <f t="shared" ref="IS71:IS117" si="877">RANK(IT71,$IT$6:$IT$117)</f>
        <v>2</v>
      </c>
      <c r="IT71" s="46">
        <f t="shared" ref="IT71:IT117" si="878">IU71+(IV71/100)+(IW71/1000)+(IX71/10000)+(IY71/100000)</f>
        <v>0</v>
      </c>
      <c r="IU71" s="46" cm="1">
        <f t="array" ref="IU71">ROUND(IFERROR(INDEX(ArchiveResults!$F$5:$IX$116,ComparisonData!A71,ComparisonData!$IU$1),0),5)</f>
        <v>0</v>
      </c>
      <c r="IV71" s="46" cm="1">
        <f t="array" ref="IV71">ROUND(IFERROR(INDEX(ArchiveResults!$F$5:$IX$116,ComparisonData!A71,ComparisonData!$IV$1),0),5)</f>
        <v>0</v>
      </c>
      <c r="IW71" s="46" cm="1">
        <f t="array" ref="IW71">ROUND(IFERROR(INDEX(ArchiveResults!$F$5:$IX$116,ComparisonData!A71,ComparisonData!$IW$1),0),5)</f>
        <v>0</v>
      </c>
      <c r="IX71" s="46" cm="1">
        <f t="array" ref="IX71">ROUND(IFERROR(INDEX(ArchiveResults!$F$5:$IX$116,ComparisonData!A71,ComparisonData!$IX$1),0),5)</f>
        <v>0</v>
      </c>
      <c r="IY71" s="45" cm="1">
        <f t="array" ref="IY71">IFERROR(INDEX(ArchiveResults!$F$5:$IX$116,ComparisonData!A71,ComparisonData!$IY$1),0)</f>
        <v>0</v>
      </c>
      <c r="IZ71" s="56">
        <v>66</v>
      </c>
      <c r="JA71" s="53" t="str">
        <f t="shared" si="680"/>
        <v>Perth &amp; Kinross Archive</v>
      </c>
      <c r="JB71" s="59">
        <f t="shared" ref="JB71:JB117" si="879">INDEX($IU$6:$IU$117,MATCH(IZ71,$IP$6:$IP$117,0))</f>
        <v>0</v>
      </c>
      <c r="JC71" s="59">
        <f t="shared" ref="JC71:JC117" si="880">INDEX($IV$6:$IV$117,MATCH(IZ71,$IP$6:$IP$117,0))</f>
        <v>0</v>
      </c>
      <c r="JD71" s="59">
        <f t="shared" ref="JD71:JD117" si="881">INDEX($IW$6:$IW$117,MATCH(IZ71,$IP$6:$IP$117,0))</f>
        <v>0</v>
      </c>
      <c r="JE71" s="59">
        <f t="shared" ref="JE71:JE117" si="882">INDEX($IX$6:$IX$117,MATCH(IZ71,$IP$6:$IP$117,0))</f>
        <v>0</v>
      </c>
      <c r="JF71" s="59">
        <f t="shared" ref="JF71:JF117" si="883">INDEX($IY$6:$IY$117,MATCH(IZ71,$IP$6:$IP$117,0))</f>
        <v>0</v>
      </c>
      <c r="JG71" s="58">
        <f t="shared" ref="JG71:JG116" si="884">MAX(JB71:JF71)</f>
        <v>0</v>
      </c>
      <c r="JH71" s="45">
        <f t="shared" ref="JH71:JH117" si="885">RANK(JI71,$JI$6:$JI$117,1)</f>
        <v>15</v>
      </c>
      <c r="JI71" s="45">
        <f t="shared" si="681"/>
        <v>2.5089999999999995</v>
      </c>
      <c r="JJ71" s="45">
        <f t="shared" ref="JJ71:JJ117" si="886">(COUNTIF($JK$6:$JK$117,JK71)&gt;1)*1</f>
        <v>1</v>
      </c>
      <c r="JK71" s="45">
        <f t="shared" ref="JK71:JK117" si="887">RANK(JL71,$JL$6:$JL$117)</f>
        <v>2</v>
      </c>
      <c r="JL71" s="45">
        <f t="shared" ref="JL71:JL117" si="888">JM71+(JN71/100)+(JO71/1000)+(JP71/10000)</f>
        <v>0</v>
      </c>
      <c r="JM71" s="46" cm="1">
        <f t="array" ref="JM71">ROUND(IFERROR(INDEX(ArchiveResults!$F$5:$IX$116,ComparisonData!A71,ComparisonData!$JM$1),0),5)</f>
        <v>0</v>
      </c>
      <c r="JN71" s="46" cm="1">
        <f t="array" ref="JN71">ROUND(IFERROR(INDEX(ArchiveResults!$F$5:$IX$116,ComparisonData!A71,ComparisonData!$JN$1),0),5)</f>
        <v>0</v>
      </c>
      <c r="JO71" s="46" cm="1">
        <f t="array" ref="JO71">ROUND(IFERROR(INDEX(ArchiveResults!$F$5:$IX$116,ComparisonData!A71,ComparisonData!$JO$1),0),5)</f>
        <v>0</v>
      </c>
      <c r="JP71" s="46" cm="1">
        <f t="array" ref="JP71">ROUND(IFERROR(INDEX(ArchiveResults!$F$5:$IX$116,ComparisonData!A71,ComparisonData!$JP$1),0),5)</f>
        <v>0</v>
      </c>
      <c r="JQ71" s="45" cm="1">
        <f t="array" ref="JQ71">IFERROR(INDEX(ArchiveResults!$F$5:$IX$116,ComparisonData!A71,ComparisonData!$JQ$1),0)</f>
        <v>0</v>
      </c>
      <c r="JR71" s="56">
        <v>66</v>
      </c>
      <c r="JS71" s="53" t="str">
        <f t="shared" si="682"/>
        <v>Perth &amp; Kinross Archive</v>
      </c>
      <c r="JT71" s="59">
        <f t="shared" ref="JT71:JT117" si="889">INDEX($JM$6:$JM$117,MATCH(JR71,$JH$6:$JH$117,0))</f>
        <v>0</v>
      </c>
      <c r="JU71" s="59">
        <f t="shared" ref="JU71:JU117" si="890">INDEX($JN$6:$JN$117,MATCH(JR71,$JH$6:$JH$117,0))</f>
        <v>0</v>
      </c>
      <c r="JV71" s="59">
        <f t="shared" ref="JV71:JV117" si="891">INDEX($JO$6:$JO$117,MATCH(JR71,$JH$6:$JH$117,0))</f>
        <v>0</v>
      </c>
      <c r="JW71" s="59">
        <f t="shared" ref="JW71:JW117" si="892">INDEX($JP$6:$JP$117,MATCH(JR71,$JH$6:$JH$117,0))</f>
        <v>0</v>
      </c>
      <c r="JX71" s="59">
        <f t="shared" ref="JX71:JX117" si="893">INDEX($JQ$6:$JQ$117,MATCH(JR71,$JH$6:$JH$117,0))</f>
        <v>0</v>
      </c>
      <c r="JY71" s="58">
        <f t="shared" ref="JY71:JY116" si="894">MAX(JT71:JX71)</f>
        <v>0</v>
      </c>
      <c r="JZ71" s="45">
        <f t="shared" ref="JZ71:JZ117" si="895">RANK(KA71,$KA$6:$KA$117,1)</f>
        <v>15</v>
      </c>
      <c r="KA71" s="45">
        <f t="shared" si="683"/>
        <v>2.5089999999999995</v>
      </c>
      <c r="KB71" s="45">
        <f t="shared" ref="KB71:KB117" si="896">(COUNTIF($KC$6:$KC$117,KC71)&gt;1)*1</f>
        <v>1</v>
      </c>
      <c r="KC71" s="45">
        <f t="shared" ref="KC71:KC117" si="897">RANK(KD71,$KD$6:$KD$117)</f>
        <v>2</v>
      </c>
      <c r="KD71" s="45">
        <f t="shared" ref="KD71:KD117" si="898">KE71+(KF71/100)+(KG71/1000)+(KH71/10000)</f>
        <v>0</v>
      </c>
      <c r="KE71" s="46" cm="1">
        <f t="array" ref="KE71">ROUND(IFERROR(INDEX(ArchiveResults!$F$5:$IX$116,ComparisonData!A71,ComparisonData!$KE$1),0),5)</f>
        <v>0</v>
      </c>
      <c r="KF71" s="46" cm="1">
        <f t="array" ref="KF71">ROUND(IFERROR(INDEX(ArchiveResults!$F$5:$IX$116,ComparisonData!A71,ComparisonData!$KF$1),0),5)</f>
        <v>0</v>
      </c>
      <c r="KG71" s="46" cm="1">
        <f t="array" ref="KG71">ROUND(IFERROR(INDEX(ArchiveResults!$F$5:$IX$116,ComparisonData!A71,ComparisonData!$KG$1),0),5)</f>
        <v>0</v>
      </c>
      <c r="KH71" s="46" cm="1">
        <f t="array" ref="KH71">ROUND(IFERROR(INDEX(ArchiveResults!$F$5:$IX$116,ComparisonData!A71,ComparisonData!$KH$1),0),5)</f>
        <v>0</v>
      </c>
      <c r="KI71" s="45" cm="1">
        <f t="array" ref="KI71">IFERROR(INDEX(ArchiveResults!$F$5:$IX$116,ComparisonData!A71,ComparisonData!$KI$1),0)</f>
        <v>0</v>
      </c>
      <c r="KJ71" s="56">
        <v>66</v>
      </c>
      <c r="KK71" s="53" t="str">
        <f t="shared" si="684"/>
        <v>Perth &amp; Kinross Archive</v>
      </c>
      <c r="KL71" s="59">
        <f t="shared" ref="KL71:KL117" si="899">INDEX($KE$6:$KE$117,MATCH(KJ71,$JZ$6:$JZ$117,0))</f>
        <v>0</v>
      </c>
      <c r="KM71" s="59">
        <f t="shared" ref="KM71:KM117" si="900">INDEX($KF$6:$KF$117,MATCH(KJ71,$JZ$6:$JZ$117,0))</f>
        <v>0</v>
      </c>
      <c r="KN71" s="59">
        <f t="shared" ref="KN71:KN117" si="901">INDEX($KG$6:$KG$117,MATCH(KJ71,$JZ$6:$JZ$117,0))</f>
        <v>0</v>
      </c>
      <c r="KO71" s="59">
        <f t="shared" ref="KO71:KO117" si="902">INDEX($KH$6:$KH$117,MATCH(KJ71,$JZ$6:$JZ$117,0))</f>
        <v>0</v>
      </c>
      <c r="KP71" s="59">
        <f t="shared" ref="KP71:KP117" si="903">INDEX($KI$6:$KI$117,MATCH(KJ71,$JZ$6:$JZ$117,0))</f>
        <v>0</v>
      </c>
      <c r="KQ71" s="58">
        <f t="shared" ref="KQ71:KQ116" si="904">MAX(KL71:KP71)</f>
        <v>0</v>
      </c>
      <c r="KR71" s="45">
        <f t="shared" ref="KR71:KR117" si="905">RANK(KS71,$KS$6:$KS$117,1)</f>
        <v>15</v>
      </c>
      <c r="KS71" s="45">
        <f t="shared" si="685"/>
        <v>2.5089999999999995</v>
      </c>
      <c r="KT71" s="45">
        <f t="shared" ref="KT71:KT117" si="906">(COUNTIF($KU$6:$KU$117,KU71)&gt;1)*1</f>
        <v>1</v>
      </c>
      <c r="KU71" s="45">
        <f t="shared" ref="KU71:KU117" si="907">RANK(KV71,$KV$6:$KV$1170)</f>
        <v>2</v>
      </c>
      <c r="KV71" s="45">
        <f t="shared" ref="KV71:KV117" si="908">KW71+(KX71/100)+(KY71/1000)+(KZ71/10000)</f>
        <v>0</v>
      </c>
      <c r="KW71" s="46" cm="1">
        <f t="array" ref="KW71">ROUND(IFERROR(INDEX(ArchiveResults!$F$5:$IX$116,ComparisonData!A71,ComparisonData!$KW$1),0),5)</f>
        <v>0</v>
      </c>
      <c r="KX71" s="46" cm="1">
        <f t="array" ref="KX71">ROUND(IFERROR(INDEX(ArchiveResults!$F$5:$IX$116,ComparisonData!A71,ComparisonData!$KX$1),0),5)</f>
        <v>0</v>
      </c>
      <c r="KY71" s="46" cm="1">
        <f t="array" ref="KY71">ROUND(IFERROR(INDEX(ArchiveResults!$F$5:$IX$116,ComparisonData!A71,ComparisonData!$KY$1),0),5)</f>
        <v>0</v>
      </c>
      <c r="KZ71" s="46" cm="1">
        <f t="array" ref="KZ71">ROUND(IFERROR(INDEX(ArchiveResults!$F$5:$IX$116,ComparisonData!A71,ComparisonData!$KZ$1),0),5)</f>
        <v>0</v>
      </c>
      <c r="LA71" s="45" cm="1">
        <f t="array" ref="LA71">IFERROR(INDEX(ArchiveResults!$F$5:$IX$116,ComparisonData!A71,ComparisonData!$LA$1),0)</f>
        <v>0</v>
      </c>
      <c r="LB71" s="56">
        <v>66</v>
      </c>
      <c r="LC71" s="53" t="str">
        <f t="shared" si="686"/>
        <v>Perth &amp; Kinross Archive</v>
      </c>
      <c r="LD71" s="59">
        <f t="shared" ref="LD71:LD117" si="909">INDEX($KW$6:$KW$117,MATCH(LB71,$KR$6:$KR$117,0))</f>
        <v>0</v>
      </c>
      <c r="LE71" s="59">
        <f t="shared" ref="LE71:LE117" si="910">INDEX($KX$6:$KX$117,MATCH(LB71,$KR$6:$KR$117,0))</f>
        <v>0</v>
      </c>
      <c r="LF71" s="59">
        <f t="shared" ref="LF71:LF117" si="911">INDEX($KY$6:$KY$117,MATCH(LB71,$KR$6:$KR$117,0))</f>
        <v>0</v>
      </c>
      <c r="LG71" s="59">
        <f t="shared" ref="LG71:LG117" si="912">INDEX($KZ$6:$KZ$117,MATCH(LB71,$KR$6:$KR$117,0))</f>
        <v>0</v>
      </c>
      <c r="LH71" s="59">
        <f t="shared" ref="LH71:LH117" si="913">INDEX($LA$6:$LA$117,MATCH(LB71,$KR$6:$KR$117,0))</f>
        <v>0</v>
      </c>
      <c r="LI71" s="58">
        <f t="shared" ref="LI71:LI116" si="914">MAX(LD71:LH71)</f>
        <v>0</v>
      </c>
      <c r="LJ71" s="45">
        <f t="shared" ref="LJ71:LJ117" si="915">RANK(LK71,$LK$6:$LK$117,1)</f>
        <v>15</v>
      </c>
      <c r="LK71" s="45">
        <f t="shared" si="687"/>
        <v>2.5089999999999995</v>
      </c>
      <c r="LL71" s="45">
        <f t="shared" ref="LL71:LL117" si="916">(COUNTIF($LM$6:$LM$117,LM71)&gt;1)*1</f>
        <v>1</v>
      </c>
      <c r="LM71" s="45">
        <f t="shared" ref="LM71:LM117" si="917">RANK(LN71,$LN$6:$LN$117)</f>
        <v>2</v>
      </c>
      <c r="LN71" s="45">
        <f t="shared" ref="LN71:LN117" si="918">LO71+(LP71/100)+(LQ71/1000)+(LR71/10000)</f>
        <v>0</v>
      </c>
      <c r="LO71" s="46" cm="1">
        <f t="array" ref="LO71">ROUND(IFERROR(INDEX(ArchiveResults!$F$5:$IX$116,ComparisonData!A71,ComparisonData!$LO$1),0),5)</f>
        <v>0</v>
      </c>
      <c r="LP71" s="46" cm="1">
        <f t="array" ref="LP71">ROUND(IFERROR(INDEX(ArchiveResults!$F$5:$IX$116,ComparisonData!A71,ComparisonData!$LP$1),0),5)</f>
        <v>0</v>
      </c>
      <c r="LQ71" s="46" cm="1">
        <f t="array" ref="LQ71">ROUND(IFERROR(INDEX(ArchiveResults!$F$5:$IX$116,ComparisonData!A71,ComparisonData!$LQ$1),0),5)</f>
        <v>0</v>
      </c>
      <c r="LR71" s="46" cm="1">
        <f t="array" ref="LR71">ROUND(IFERROR(INDEX(ArchiveResults!$F$5:$IX$116,ComparisonData!A71,ComparisonData!$LR$1),0),5)</f>
        <v>0</v>
      </c>
      <c r="LS71" s="45" cm="1">
        <f t="array" ref="LS71">IFERROR(INDEX(ArchiveResults!$F$5:$IX$116,ComparisonData!A71,ComparisonData!$LS$1),0)</f>
        <v>0</v>
      </c>
      <c r="LT71" s="56">
        <v>66</v>
      </c>
      <c r="LU71" s="53" t="str">
        <f t="shared" si="688"/>
        <v>Perth &amp; Kinross Archive</v>
      </c>
      <c r="LV71" s="59">
        <f t="shared" ref="LV71:LV117" si="919">INDEX($LO$6:$LO$117,MATCH(LT71,$LJ$6:$LJ$117,0))</f>
        <v>0</v>
      </c>
      <c r="LW71" s="59">
        <f t="shared" ref="LW71:LW117" si="920">INDEX($LP$6:$LP$117,MATCH(LT71,$LJ$6:$LJ$117,0))</f>
        <v>0</v>
      </c>
      <c r="LX71" s="59">
        <f t="shared" ref="LX71:LX117" si="921">INDEX($LQ$6:$LQ$117,MATCH(LT71,$LJ$6:$LJ$117,0))</f>
        <v>0</v>
      </c>
      <c r="LY71" s="59">
        <f t="shared" ref="LY71:LY117" si="922">INDEX($LR$6:$LR$117,MATCH(LT71,$LJ$6:$LJ$117,0))</f>
        <v>0</v>
      </c>
      <c r="LZ71" s="59">
        <f t="shared" ref="LZ71:LZ117" si="923">INDEX($LS$6:$LS$117,MATCH(LT71,$LJ$6:$LJ$117,0))</f>
        <v>0</v>
      </c>
      <c r="MA71" s="58">
        <f t="shared" ref="MA71:MA116" si="924">MAX(LV71:LZ71)</f>
        <v>0</v>
      </c>
      <c r="MB71" s="45">
        <f t="shared" ref="MB71:MB117" si="925">RANK(MC71,$MC$6:$MC$117,1)</f>
        <v>15</v>
      </c>
      <c r="MC71" s="45">
        <f t="shared" si="689"/>
        <v>2.5089999999999995</v>
      </c>
      <c r="MD71" s="45">
        <f t="shared" ref="MD71:MD117" si="926">(COUNTIF($ME$6:$ME$117,ME71)&gt;1)*1</f>
        <v>1</v>
      </c>
      <c r="ME71" s="45">
        <f t="shared" ref="ME71:ME117" si="927">RANK(MF71,$MF$6:$MF$117)</f>
        <v>2</v>
      </c>
      <c r="MF71" s="45">
        <f t="shared" ref="MF71:MF117" si="928">MG71+(MH71/100)+(MI71/1000)+(MJ71/10000)</f>
        <v>0</v>
      </c>
      <c r="MG71" s="46" cm="1">
        <f t="array" ref="MG71">ROUND(IFERROR(INDEX(ArchiveResults!$F$5:$IX$116,ComparisonData!A71,ComparisonData!$MG$1),0),5)</f>
        <v>0</v>
      </c>
      <c r="MH71" s="46" cm="1">
        <f t="array" ref="MH71">ROUND(IFERROR(INDEX(ArchiveResults!$F$5:$IX$116,ComparisonData!A71,ComparisonData!$MH$1),0),5)</f>
        <v>0</v>
      </c>
      <c r="MI71" s="46" cm="1">
        <f t="array" ref="MI71">ROUND(IFERROR(INDEX(ArchiveResults!$F$5:$IX$116,ComparisonData!A71,ComparisonData!$MI$1),0),5)</f>
        <v>0</v>
      </c>
      <c r="MJ71" s="46" cm="1">
        <f t="array" ref="MJ71">ROUND(IFERROR(INDEX(ArchiveResults!$F$5:$IX$116,ComparisonData!A71,ComparisonData!$MJ$1),0),5)</f>
        <v>0</v>
      </c>
      <c r="MK71" s="45" cm="1">
        <f t="array" ref="MK71">IFERROR(INDEX(ArchiveResults!$F$5:$IX$116,ComparisonData!A71,ComparisonData!$MK$1),0)</f>
        <v>0</v>
      </c>
      <c r="ML71" s="56">
        <v>66</v>
      </c>
      <c r="MM71" s="53" t="str">
        <f t="shared" si="690"/>
        <v>Perth &amp; Kinross Archive</v>
      </c>
      <c r="MN71" s="59">
        <f t="shared" ref="MN71:MN117" si="929">INDEX($MG$6:$MG$117,MATCH(ML71,$MB$6:$MB$117,0))</f>
        <v>0</v>
      </c>
      <c r="MO71" s="59">
        <f t="shared" ref="MO71:MO117" si="930">INDEX($MH$6:$MH$117,MATCH(ML71,$MB$6:$MB$117,0))</f>
        <v>0</v>
      </c>
      <c r="MP71" s="59">
        <f t="shared" ref="MP71:MP117" si="931">INDEX($MI$6:$MI$117,MATCH(ML71,$MB$6:$MB$117,0))</f>
        <v>0</v>
      </c>
      <c r="MQ71" s="59">
        <f t="shared" ref="MQ71:MQ117" si="932">INDEX($MJ$6:$MJ$117,MATCH(ML71,$MB$6:$MB$117,0))</f>
        <v>0</v>
      </c>
      <c r="MR71" s="59">
        <f t="shared" ref="MR71:MR117" si="933">INDEX($MK$6:$MK$117,MATCH(ML71,$MB$6:$MB$117,0))</f>
        <v>0</v>
      </c>
      <c r="MS71" s="58">
        <f t="shared" ref="MS71:MS116" si="934">MAX(MN71:MR71)</f>
        <v>0</v>
      </c>
      <c r="MT71" s="45">
        <f t="shared" ref="MT71:MT117" si="935">RANK(MU71,$MU$6:$MU$117,1)</f>
        <v>15</v>
      </c>
      <c r="MU71" s="45">
        <f t="shared" si="691"/>
        <v>2.5089999999999995</v>
      </c>
      <c r="MV71" s="45">
        <f t="shared" ref="MV71:MV117" si="936">(COUNTIF($MW$6:$MW$117,MW71)&gt;1)*1</f>
        <v>1</v>
      </c>
      <c r="MW71" s="45">
        <f t="shared" ref="MW71:MW117" si="937">RANK(MX71,$MX$6:$MX$117)</f>
        <v>2</v>
      </c>
      <c r="MX71" s="45">
        <f t="shared" ref="MX71:MX117" si="938">MY71+(MZ71/10)+(NA71/100)+(NB71/1000)</f>
        <v>0</v>
      </c>
      <c r="MY71" s="46" cm="1">
        <f t="array" ref="MY71">ROUND(IFERROR(INDEX(ArchiveResults!$F$5:$IX$116,ComparisonData!A71,ComparisonData!$MY$1),0),5)</f>
        <v>0</v>
      </c>
      <c r="MZ71" s="46" cm="1">
        <f t="array" ref="MZ71">ROUND(IFERROR(INDEX(ArchiveResults!$F$5:$IX$116,ComparisonData!A71,ComparisonData!$MZ$1),0),5)</f>
        <v>0</v>
      </c>
      <c r="NA71" s="46" cm="1">
        <f t="array" ref="NA71">ROUND(IFERROR(INDEX(ArchiveResults!$F$5:$IX$116,ComparisonData!A71,ComparisonData!$NA$1),0),5)</f>
        <v>0</v>
      </c>
      <c r="NB71" s="46" cm="1">
        <f t="array" ref="NB71">ROUND(IFERROR(INDEX(ArchiveResults!$F$5:$IX$116,ComparisonData!A71,ComparisonData!$NB$1),0),5)</f>
        <v>0</v>
      </c>
      <c r="NC71" s="45" cm="1">
        <f t="array" ref="NC71">IFERROR(INDEX(ArchiveResults!$F$5:$IX$116,ComparisonData!A71,ComparisonData!$NC$1),0)</f>
        <v>0</v>
      </c>
      <c r="ND71" s="56">
        <v>66</v>
      </c>
      <c r="NE71" s="53" t="str">
        <f t="shared" si="692"/>
        <v>Perth &amp; Kinross Archive</v>
      </c>
      <c r="NF71" s="59">
        <f t="shared" ref="NF71:NF117" si="939">INDEX($MY$6:$MY$117,MATCH(ND71,$MT$6:$MT$117,0))</f>
        <v>0</v>
      </c>
      <c r="NG71" s="59">
        <f t="shared" ref="NG71:NG117" si="940">INDEX($MZ$6:$MZ$117,MATCH(ND71,$MT$6:$MT$117,0))</f>
        <v>0</v>
      </c>
      <c r="NH71" s="59">
        <f t="shared" ref="NH71:NH117" si="941">INDEX($NA$6:$NA$117,MATCH(ND71,$MT$6:$MT$117,0))</f>
        <v>0</v>
      </c>
      <c r="NI71" s="59">
        <f t="shared" ref="NI71:NI117" si="942">INDEX($NB$6:$NB$117,MATCH(ND71,$MT$6:$MT$117,0))</f>
        <v>0</v>
      </c>
      <c r="NJ71" s="59">
        <f t="shared" ref="NJ71:NJ117" si="943">INDEX($NC$6:$NC$117,MATCH(ND71,$MT$6:$MT$117,0))</f>
        <v>0</v>
      </c>
      <c r="NK71" s="58">
        <f t="shared" ref="NK71:NK116" si="944">MAX(NF71:NJ71)</f>
        <v>0</v>
      </c>
      <c r="NL71" s="45">
        <f t="shared" ref="NL71:NL117" si="945">RANK(NM71,$NM$6:$NM$117,1)</f>
        <v>15</v>
      </c>
      <c r="NM71" s="45">
        <f t="shared" si="693"/>
        <v>2.5089999999999995</v>
      </c>
      <c r="NN71" s="45">
        <f t="shared" ref="NN71:NN117" si="946">(COUNTIF($NO$6:$NO$117,NO71)&gt;1)*1</f>
        <v>1</v>
      </c>
      <c r="NO71" s="45">
        <f t="shared" ref="NO71:NO117" si="947">RANK(NP71,$NP$6:$NP$117)</f>
        <v>2</v>
      </c>
      <c r="NP71" s="46" cm="1">
        <f t="array" ref="NP71">ROUND(IFERROR(INDEX(ArchiveResults!$F$5:$IX$116,ComparisonData!A71,ComparisonData!$NP$1),0),5)</f>
        <v>0</v>
      </c>
      <c r="NQ71" s="46" cm="1">
        <f t="array" ref="NQ71">ROUND(IFERROR(INDEX(ArchiveResults!$F$5:$IX$116,ComparisonData!A71,ComparisonData!$NQ$1),0),5)</f>
        <v>0</v>
      </c>
      <c r="NR71" s="46" cm="1">
        <f t="array" ref="NR71">ROUND(IFERROR(INDEX(ArchiveResults!$F$5:$IX$116,ComparisonData!A71,ComparisonData!$NR$1),0),5)</f>
        <v>0</v>
      </c>
      <c r="NS71" s="46" cm="1">
        <f t="array" ref="NS71">ROUND(IFERROR(INDEX(ArchiveResults!$F$5:$IX$116,ComparisonData!A71,ComparisonData!$NS$1),0),5)</f>
        <v>0</v>
      </c>
      <c r="NT71" s="45" cm="1">
        <f t="array" ref="NT71">IFERROR(INDEX(ArchiveResults!$F$5:$IX$116,ComparisonData!A71,ComparisonData!$NT$1),0)</f>
        <v>0</v>
      </c>
      <c r="NU71" s="56">
        <v>66</v>
      </c>
      <c r="NV71" s="53" t="str">
        <f t="shared" si="694"/>
        <v>Perth &amp; Kinross Archive</v>
      </c>
      <c r="NW71" s="59">
        <f t="shared" ref="NW71:NW117" si="948">INDEX($NP$6:$NP$117,MATCH(NU71,$NL$6:$NL$117,0))</f>
        <v>0</v>
      </c>
      <c r="NX71" s="59">
        <f t="shared" ref="NX71:NX117" si="949">INDEX($NQ$6:$NQ$117,MATCH(NU71,$NL$6:$NL$117,0))</f>
        <v>0</v>
      </c>
      <c r="NY71" s="59">
        <f t="shared" ref="NY71:NY117" si="950">INDEX($NR$6:$NR$117,MATCH(NU71,$NL$6:$NL$117,0))</f>
        <v>0</v>
      </c>
      <c r="NZ71" s="59">
        <f t="shared" ref="NZ71:NZ117" si="951">INDEX($NS$6:$NS$117,MATCH(NU71,$NL$6:$NL$117,0))</f>
        <v>0</v>
      </c>
      <c r="OA71" s="59">
        <f t="shared" ref="OA71:OA117" si="952">INDEX($NT$6:$NT$117,MATCH(NU71,$NL$6:$NL$117,0))</f>
        <v>0</v>
      </c>
      <c r="OB71" s="58">
        <f t="shared" ref="OB71:OB116" si="953">MAX(NW71:OA71)</f>
        <v>0</v>
      </c>
      <c r="OC71" s="45">
        <f t="shared" ref="OC71:OC117" si="954">RANK(OD71,$OD$6:$OD$117,1)</f>
        <v>15</v>
      </c>
      <c r="OD71" s="45">
        <f t="shared" si="695"/>
        <v>2.5089999999999995</v>
      </c>
      <c r="OE71" s="45">
        <f t="shared" ref="OE71:OE117" si="955">(COUNTIF($OF$6:$OF$117,OF71)&gt;1)*1</f>
        <v>1</v>
      </c>
      <c r="OF71" s="45">
        <f t="shared" ref="OF71:OF117" si="956">RANK(OG71,$OG$6:$OG$117)</f>
        <v>2</v>
      </c>
      <c r="OG71" s="46">
        <f t="shared" ref="OG71:OG117" si="957">ROUND(OH71+(OI71/10)+(OJ71/100)+(OK71/1000),5)</f>
        <v>0</v>
      </c>
      <c r="OH71" s="46" cm="1">
        <f t="array" ref="OH71">ROUND(IFERROR(INDEX(ArchiveResults!$F$5:$IX$116,ComparisonData!A71,ComparisonData!$OH$1),0),5)</f>
        <v>0</v>
      </c>
      <c r="OI71" s="46" cm="1">
        <f t="array" ref="OI71">ROUND(IFERROR(INDEX(ArchiveResults!$F$5:$IX$116,ComparisonData!A71,ComparisonData!$OI$1),0),5)</f>
        <v>0</v>
      </c>
      <c r="OJ71" s="46" cm="1">
        <f t="array" ref="OJ71">ROUND(IFERROR(INDEX(ArchiveResults!$F$5:$IX$116,ComparisonData!A71,ComparisonData!$OJ$1),0),5)</f>
        <v>0</v>
      </c>
      <c r="OK71" s="46" cm="1">
        <f t="array" ref="OK71">ROUND(IFERROR(INDEX(ArchiveResults!$F$5:$IX$116,ComparisonData!A71,ComparisonData!$OK$1),0),5)</f>
        <v>0</v>
      </c>
      <c r="OL71" s="45" cm="1">
        <f t="array" ref="OL71">IFERROR(INDEX(ArchiveResults!$F$5:$IX$116,ComparisonData!A71,ComparisonData!$OL$1),0)</f>
        <v>0</v>
      </c>
      <c r="OM71" s="56">
        <v>66</v>
      </c>
      <c r="ON71" s="53" t="str">
        <f t="shared" si="696"/>
        <v>Perth &amp; Kinross Archive</v>
      </c>
      <c r="OO71" s="59">
        <f t="shared" ref="OO71:OO117" si="958">INDEX($OH$6:$OH$117,MATCH(OM71,$OC$6:$OC$117,0))</f>
        <v>0</v>
      </c>
      <c r="OP71" s="59">
        <f t="shared" ref="OP71:OP117" si="959">INDEX($OI$6:$OI$117,MATCH(OM71,$OC$6:$OC$117,0))</f>
        <v>0</v>
      </c>
      <c r="OQ71" s="59">
        <f t="shared" ref="OQ71:OQ117" si="960">INDEX($OJ$6:$OJ$117,MATCH(OM71,$OC$6:$OC$117,0))</f>
        <v>0</v>
      </c>
      <c r="OR71" s="59">
        <f t="shared" ref="OR71:OR117" si="961">INDEX($OK$6:$OK$117,MATCH(OM71,$OC$6:$OC$117,0))</f>
        <v>0</v>
      </c>
      <c r="OS71" s="59">
        <f t="shared" ref="OS71:OS117" si="962">INDEX($OL$6:$OL$117,MATCH(OM71,$OC$6:$OC$117,0))</f>
        <v>0</v>
      </c>
      <c r="OT71" s="58">
        <f t="shared" ref="OT71:OT116" si="963">MAX(OO71:OS71)</f>
        <v>0</v>
      </c>
      <c r="OU71" s="45">
        <f t="shared" ref="OU71:OU117" si="964">RANK(OV71,$OV$6:$OV$117,1)</f>
        <v>15</v>
      </c>
      <c r="OV71" s="45">
        <f t="shared" si="697"/>
        <v>2.5089999999999995</v>
      </c>
      <c r="OW71" s="45">
        <f t="shared" ref="OW71:OW117" si="965">(COUNTIF($OX$6:$OX$117,OX71)&gt;1)*1</f>
        <v>1</v>
      </c>
      <c r="OX71" s="45">
        <f t="shared" ref="OX71:OX117" si="966">RANK(OY71,$OY$6:$OY$117)</f>
        <v>2</v>
      </c>
      <c r="OY71" s="45">
        <f t="shared" ref="OY71:OY117" si="967">OZ71+(PA71/10)+(PB71/100)+(PC71/1000)</f>
        <v>0</v>
      </c>
      <c r="OZ71" s="46" cm="1">
        <f t="array" ref="OZ71">ROUND(IFERROR(INDEX(ArchiveResults!$F$5:$IX$116,ComparisonData!A71,ComparisonData!$OZ$1),0),5)</f>
        <v>0</v>
      </c>
      <c r="PA71" s="46" cm="1">
        <f t="array" ref="PA71">ROUND(IFERROR(INDEX(ArchiveResults!$F$5:$IX$116,ComparisonData!A71,ComparisonData!$PA$1),0),5)</f>
        <v>0</v>
      </c>
      <c r="PB71" s="46" cm="1">
        <f t="array" ref="PB71">ROUND(IFERROR(INDEX(ArchiveResults!$F$5:$IX$116,ComparisonData!A71,ComparisonData!$PB$1),0),5)</f>
        <v>0</v>
      </c>
      <c r="PC71" s="46" cm="1">
        <f t="array" ref="PC71">ROUND(IFERROR(INDEX(ArchiveResults!$F$5:$IX$116,ComparisonData!A71,ComparisonData!$PC$1),0),5)</f>
        <v>0</v>
      </c>
      <c r="PD71" s="45" cm="1">
        <f t="array" ref="PD71">IFERROR(INDEX(ArchiveResults!$F$5:$IX$116,ComparisonData!A71,ComparisonData!$PD$1),0)</f>
        <v>0</v>
      </c>
      <c r="PE71" s="56">
        <v>66</v>
      </c>
      <c r="PF71" s="53" t="str">
        <f t="shared" si="698"/>
        <v>Perth &amp; Kinross Archive</v>
      </c>
      <c r="PG71" s="59">
        <f t="shared" ref="PG71:PG117" si="968">INDEX($OZ$6:$OZ$117,MATCH(PE71,$OU$6:$OU$117,0))</f>
        <v>0</v>
      </c>
      <c r="PH71" s="59">
        <f t="shared" ref="PH71:PH117" si="969">INDEX($PA$6:$PA$117,MATCH(PE71,$OU$6:$OU$117,0))</f>
        <v>0</v>
      </c>
      <c r="PI71" s="59">
        <f t="shared" ref="PI71:PI117" si="970">INDEX($PB$6:$PB$117,MATCH(PE71,$OU$6:$OU$117,0))</f>
        <v>0</v>
      </c>
      <c r="PJ71" s="59">
        <f t="shared" ref="PJ71:PJ117" si="971">INDEX($PC$6:$PC$117,MATCH(PE71,$OU$6:$OU$117,0))</f>
        <v>0</v>
      </c>
      <c r="PK71" s="59">
        <f t="shared" ref="PK71:PK117" si="972">INDEX($PD$6:$PD$117,MATCH(PE71,$OU$6:$OU$117,0))</f>
        <v>0</v>
      </c>
      <c r="PL71" s="58">
        <f t="shared" ref="PL71:PL116" si="973">MAX(PG71:PK71)</f>
        <v>0</v>
      </c>
      <c r="PM71" s="45">
        <f t="shared" ref="PM71:PM117" si="974">RANK(PN71,$PN$6:$PN$117,1)</f>
        <v>15</v>
      </c>
      <c r="PN71" s="45">
        <f t="shared" si="699"/>
        <v>2.5089999999999995</v>
      </c>
      <c r="PO71" s="45">
        <f t="shared" ref="PO71:PO117" si="975">(COUNTIF($PP$6:$PP$117,PP71)&gt;1)*1</f>
        <v>1</v>
      </c>
      <c r="PP71" s="45">
        <f t="shared" ref="PP71:PP117" si="976">RANK(PQ71,$PQ$6:$PQ$117)</f>
        <v>2</v>
      </c>
      <c r="PQ71" s="45">
        <f t="shared" ref="PQ71:PQ117" si="977">PR71+(PS71/10)+(PT71/100)+(PU71/1000)</f>
        <v>0</v>
      </c>
      <c r="PR71" s="46" cm="1">
        <f t="array" ref="PR71">ROUND(IFERROR(INDEX(ArchiveResults!$F$5:$IX$116,ComparisonData!A71,ComparisonData!$PR$1),0),5)</f>
        <v>0</v>
      </c>
      <c r="PS71" s="46" cm="1">
        <f t="array" ref="PS71">ROUND(IFERROR(INDEX(ArchiveResults!$F$5:$IX$116,ComparisonData!A71,ComparisonData!$PS$1),0),5)</f>
        <v>0</v>
      </c>
      <c r="PT71" s="46" cm="1">
        <f t="array" ref="PT71">ROUND(IFERROR(INDEX(ArchiveResults!$F$5:$IX$116,ComparisonData!A71,ComparisonData!$PT$1),0),5)</f>
        <v>0</v>
      </c>
      <c r="PU71" s="46" cm="1">
        <f t="array" ref="PU71">ROUND(IFERROR(INDEX(ArchiveResults!$F$5:$IX$116,ComparisonData!A71,ComparisonData!$PU$1),0),5)</f>
        <v>0</v>
      </c>
      <c r="PV71" s="45" cm="1">
        <f t="array" ref="PV71">IFERROR(INDEX(ArchiveResults!$F$5:$IX$116,ComparisonData!A71,ComparisonData!$PV$1),0)</f>
        <v>0</v>
      </c>
      <c r="PW71" s="56">
        <v>66</v>
      </c>
      <c r="PX71" s="53" t="str">
        <f t="shared" si="700"/>
        <v>Perth &amp; Kinross Archive</v>
      </c>
      <c r="PY71" s="59">
        <f t="shared" ref="PY71:PY117" si="978">INDEX($PR$6:$PR$117,MATCH(PW71,$PM$6:$PM$117,0))</f>
        <v>0</v>
      </c>
      <c r="PZ71" s="59">
        <f t="shared" ref="PZ71:PZ117" si="979">INDEX($PS$6:$PS$117,MATCH(PW71,$PM$6:$PM$117,0))</f>
        <v>0</v>
      </c>
      <c r="QA71" s="59">
        <f t="shared" ref="QA71:QA117" si="980">INDEX($PT$6:$PT$117,MATCH(PW71,$PM$6:$PM$117,0))</f>
        <v>0</v>
      </c>
      <c r="QB71" s="59">
        <f t="shared" ref="QB71:QB117" si="981">INDEX($PU$6:$PU$117,MATCH(PW71,$PM$6:$PM$117,0))</f>
        <v>0</v>
      </c>
      <c r="QC71" s="59">
        <f t="shared" ref="QC71:QC117" si="982">INDEX($PV$6:$PV$117,MATCH(PW71,$PM$6:$PM$117,0))</f>
        <v>0</v>
      </c>
      <c r="QD71" s="58">
        <f t="shared" ref="QD71:QD116" si="983">MAX(PY71:QC71)</f>
        <v>0</v>
      </c>
      <c r="QE71" s="45">
        <f t="shared" ref="QE71:QE117" si="984">RANK(QF71,$QF$6:$QF$117,1)</f>
        <v>15</v>
      </c>
      <c r="QF71" s="45">
        <f t="shared" si="701"/>
        <v>2.5089999999999995</v>
      </c>
      <c r="QG71" s="45">
        <f t="shared" ref="QG71:QG117" si="985">(COUNTIF($QH$6:$QH$117,QH71)&gt;1)*1</f>
        <v>1</v>
      </c>
      <c r="QH71" s="45">
        <f t="shared" ref="QH71:QH117" si="986">RANK(QI71,$QI$6:$QI$117)</f>
        <v>2</v>
      </c>
      <c r="QI71" s="45">
        <f t="shared" ref="QI71:QI117" si="987">QJ71+(QK71/10)+(QL71/100)+(QM71/1000)</f>
        <v>0</v>
      </c>
      <c r="QJ71" s="46" cm="1">
        <f t="array" ref="QJ71">ROUND(IFERROR(INDEX(ArchiveResults!$F$5:$IX$116,ComparisonData!A71,ComparisonData!$QJ$1),0),5)</f>
        <v>0</v>
      </c>
      <c r="QK71" s="46" cm="1">
        <f t="array" ref="QK71">ROUND(IFERROR(INDEX(ArchiveResults!$F$5:$IX$116,ComparisonData!A71,ComparisonData!$QK$1),0),5)</f>
        <v>0</v>
      </c>
      <c r="QL71" s="46" cm="1">
        <f t="array" ref="QL71">ROUND(IFERROR(INDEX(ArchiveResults!$F$5:$IX$116,ComparisonData!A71,ComparisonData!$QL$1),0),5)</f>
        <v>0</v>
      </c>
      <c r="QM71" s="46" cm="1">
        <f t="array" ref="QM71">ROUND(IFERROR(INDEX(ArchiveResults!$F$5:$IX$116,ComparisonData!A71,ComparisonData!$QM$1),0),5)</f>
        <v>0</v>
      </c>
      <c r="QN71" s="45" cm="1">
        <f t="array" ref="QN71">IFERROR(INDEX(ArchiveResults!$F$5:$IX$116,ComparisonData!A71,ComparisonData!$QN$1),0)</f>
        <v>0</v>
      </c>
      <c r="QO71" s="56">
        <v>66</v>
      </c>
      <c r="QP71" s="53" t="str">
        <f t="shared" si="702"/>
        <v>Perth &amp; Kinross Archive</v>
      </c>
      <c r="QQ71" s="59">
        <f t="shared" ref="QQ71:QQ117" si="988">INDEX($QJ$6:$QJ$117,MATCH(QO71,$QE$6:$QE$117,0))</f>
        <v>0</v>
      </c>
      <c r="QR71" s="59">
        <f t="shared" ref="QR71:QR117" si="989">INDEX($QK$6:$QK$117,MATCH(QO71,$QE$6:$QE$117,0))</f>
        <v>0</v>
      </c>
      <c r="QS71" s="59">
        <f t="shared" ref="QS71:QS117" si="990">INDEX($QL$6:$QL$117,MATCH(QO71,$QE$6:$QE$117,0))</f>
        <v>0</v>
      </c>
      <c r="QT71" s="59">
        <f t="shared" ref="QT71:QT117" si="991">INDEX($QM$6:$QM$117,MATCH(QO71,$QE$6:$QE$117,0))</f>
        <v>0</v>
      </c>
      <c r="QU71" s="59">
        <f t="shared" ref="QU71:QU117" si="992">INDEX($QN$6:$QN$117,MATCH(QO71,$QE$6:$QE$117,0))</f>
        <v>0</v>
      </c>
      <c r="QV71" s="58">
        <f t="shared" ref="QV71:QV116" si="993">MAX(QQ71:QU71)</f>
        <v>0</v>
      </c>
      <c r="QW71" s="45">
        <f t="shared" ref="QW71:QW117" si="994">RANK(QX71,$QX$6:$QX$117,1)</f>
        <v>15</v>
      </c>
      <c r="QX71" s="45">
        <f t="shared" si="703"/>
        <v>2.5089999999999995</v>
      </c>
      <c r="QY71" s="45">
        <f t="shared" ref="QY71:QY117" si="995">(COUNTIF($QZ$6:$QZ$117,QZ71)&gt;1)*1</f>
        <v>1</v>
      </c>
      <c r="QZ71" s="45">
        <f t="shared" ref="QZ71:QZ117" si="996">RANK(RA71,$RA$6:$RA$117)</f>
        <v>2</v>
      </c>
      <c r="RA71" s="45">
        <f t="shared" ref="RA71:RA117" si="997">RB71+(RC71/10)+(RD71/100)+(RE71/1000)</f>
        <v>0</v>
      </c>
      <c r="RB71" s="46" cm="1">
        <f t="array" ref="RB71">ROUND(IFERROR(INDEX(ArchiveResults!$F$5:$IX$116,ComparisonData!A71,ComparisonData!$RB$1),0),5)</f>
        <v>0</v>
      </c>
      <c r="RC71" s="46" cm="1">
        <f t="array" ref="RC71">ROUND(IFERROR(INDEX(ArchiveResults!$F$5:$IX$116,ComparisonData!A71,ComparisonData!$RC$1),0),5)</f>
        <v>0</v>
      </c>
      <c r="RD71" s="46" cm="1">
        <f t="array" ref="RD71">ROUND(IFERROR(INDEX(ArchiveResults!$F$5:$IX$116,ComparisonData!A71,ComparisonData!$RD$1),0),5)</f>
        <v>0</v>
      </c>
      <c r="RE71" s="46" cm="1">
        <f t="array" ref="RE71">ROUND(IFERROR(INDEX(ArchiveResults!$F$5:$IX$116,ComparisonData!A71,ComparisonData!$RE$1),0),5)</f>
        <v>0</v>
      </c>
      <c r="RF71" s="45" cm="1">
        <f t="array" ref="RF71">IFERROR(INDEX(ArchiveResults!$F$5:$IX$116,ComparisonData!A71,ComparisonData!$RF$1),0)</f>
        <v>0</v>
      </c>
      <c r="RG71" s="56">
        <v>66</v>
      </c>
      <c r="RH71" s="53" t="str">
        <f t="shared" si="704"/>
        <v>Perth &amp; Kinross Archive</v>
      </c>
      <c r="RI71" s="59">
        <f t="shared" ref="RI71:RI117" si="998">INDEX($RB$6:$RB$117,MATCH(RG71,$QW$6:$QW$117,0))</f>
        <v>0</v>
      </c>
      <c r="RJ71" s="59">
        <f t="shared" ref="RJ71:RJ117" si="999">INDEX($RC$6:$RC$117,MATCH(RG71,$QW$6:$QW$117,0))</f>
        <v>0</v>
      </c>
      <c r="RK71" s="59">
        <f t="shared" ref="RK71:RK117" si="1000">INDEX($RD$6:$RD$117,MATCH(RG71,$QW$6:$QW$117,0))</f>
        <v>0</v>
      </c>
      <c r="RL71" s="59">
        <f t="shared" ref="RL71:RL117" si="1001">INDEX($RE$6:$RE$117,MATCH(RG71,$QW$6:$QW$117,0))</f>
        <v>0</v>
      </c>
      <c r="RM71" s="59">
        <f t="shared" ref="RM71:RM117" si="1002">INDEX($RF$6:$RF$117,MATCH(RG71,$QW$6:$QW$117,0))</f>
        <v>0</v>
      </c>
      <c r="RN71" s="58">
        <f t="shared" ref="RN71:RN116" si="1003">MAX(RI71:RM71)</f>
        <v>0</v>
      </c>
      <c r="RO71" s="45">
        <f t="shared" ref="RO71:RO117" si="1004">RANK(RP71,$RP$6:$RP$117,1)</f>
        <v>15</v>
      </c>
      <c r="RP71" s="45">
        <f t="shared" si="705"/>
        <v>2.5089999999999995</v>
      </c>
      <c r="RQ71" s="45">
        <f t="shared" ref="RQ71:RQ117" si="1005">(COUNTIF($RR$6:$RR$117,RR71)&gt;1)*1</f>
        <v>1</v>
      </c>
      <c r="RR71" s="45">
        <f t="shared" ref="RR71:RR117" si="1006">RANK(RS71,$RS$6:$RS$117)</f>
        <v>2</v>
      </c>
      <c r="RS71" s="45">
        <f t="shared" ref="RS71:RS117" si="1007">RT71+(RU71/10)+(RV71/100)+(RW71/1000)</f>
        <v>0</v>
      </c>
      <c r="RT71" s="46" cm="1">
        <f t="array" ref="RT71">ROUND(IFERROR(INDEX(ArchiveResults!$F$5:$IX$116,ComparisonData!A71,ComparisonData!$RT$1),0),5)</f>
        <v>0</v>
      </c>
      <c r="RU71" s="46" cm="1">
        <f t="array" ref="RU71">ROUND(IFERROR(INDEX(ArchiveResults!$F$5:$IX$116,ComparisonData!A71,ComparisonData!$RU$1),0),5)</f>
        <v>0</v>
      </c>
      <c r="RV71" s="46" cm="1">
        <f t="array" ref="RV71">ROUND(IFERROR(INDEX(ArchiveResults!$F$5:$IX$116,ComparisonData!A71,ComparisonData!$RV$1),0),5)</f>
        <v>0</v>
      </c>
      <c r="RW71" s="46" cm="1">
        <f t="array" ref="RW71">ROUND(IFERROR(INDEX(ArchiveResults!$F$5:$IX$116,ComparisonData!A71,ComparisonData!$RW$1),0),5)</f>
        <v>0</v>
      </c>
      <c r="RX71" s="45" cm="1">
        <f t="array" ref="RX71">IFERROR(INDEX(ArchiveResults!$F$5:$IX$116,ComparisonData!A71,ComparisonData!$RX$1),0)</f>
        <v>0</v>
      </c>
      <c r="RY71" s="56">
        <v>66</v>
      </c>
      <c r="RZ71" s="53" t="str">
        <f t="shared" si="706"/>
        <v>Perth &amp; Kinross Archive</v>
      </c>
      <c r="SA71" s="59">
        <f t="shared" ref="SA71:SA117" si="1008">INDEX($RT$6:$RT$117,MATCH(RY71,$RO$6:$RO$117,0))</f>
        <v>0</v>
      </c>
      <c r="SB71" s="59">
        <f t="shared" ref="SB71:SB117" si="1009">INDEX($RU$6:$RU$117,MATCH(RY71,$RO$6:$RO$117,0))</f>
        <v>0</v>
      </c>
      <c r="SC71" s="59">
        <f t="shared" ref="SC71:SC117" si="1010">INDEX($RV$6:$RV$117,MATCH(RY71,$RO$6:$RO$117,0))</f>
        <v>0</v>
      </c>
      <c r="SD71" s="59">
        <f t="shared" ref="SD71:SD117" si="1011">INDEX($RW$6:$RW$117,MATCH(RY71,$RO$6:$RO$117,0))</f>
        <v>0</v>
      </c>
      <c r="SE71" s="59">
        <f t="shared" ref="SE71:SE117" si="1012">INDEX($RX$6:$RX$117,MATCH(RY71,$RO$6:$RO$117,0))</f>
        <v>0</v>
      </c>
      <c r="SF71" s="58">
        <f t="shared" ref="SF71:SF116" si="1013">MAX(SA71:SE71)</f>
        <v>0</v>
      </c>
      <c r="SG71" s="45">
        <f t="shared" ref="SG71:SG117" si="1014">RANK(SH71,$SH$6:$SH$117,1)</f>
        <v>15</v>
      </c>
      <c r="SH71" s="45">
        <f t="shared" si="707"/>
        <v>2.5089999999999995</v>
      </c>
      <c r="SI71" s="45">
        <f t="shared" ref="SI71:SI117" si="1015">(COUNTIF($SJ$6:$SJ$117,SJ71)&gt;1)*1</f>
        <v>1</v>
      </c>
      <c r="SJ71" s="45">
        <f t="shared" ref="SJ71:SJ117" si="1016">RANK(SK71,$SK$6:$SK$117)</f>
        <v>2</v>
      </c>
      <c r="SK71" s="45">
        <f t="shared" ref="SK71:SK117" si="1017">SL71+(SM71/10)+(SN71/100)+(SO71/1000)</f>
        <v>0</v>
      </c>
      <c r="SL71" s="46" cm="1">
        <f t="array" ref="SL71">ROUND(IFERROR(INDEX(ArchiveResults!$F$5:$IX$116,ComparisonData!A71,ComparisonData!$SL$1),0),5)</f>
        <v>0</v>
      </c>
      <c r="SM71" s="46" cm="1">
        <f t="array" ref="SM71">ROUND(IFERROR(INDEX(ArchiveResults!$F$5:$IX$116,ComparisonData!A71,ComparisonData!$SM$1),0),5)</f>
        <v>0</v>
      </c>
      <c r="SN71" s="46" cm="1">
        <f t="array" ref="SN71">ROUND(IFERROR(INDEX(ArchiveResults!$F$5:$IX$116,ComparisonData!A71,ComparisonData!$SN$1),0),5)</f>
        <v>0</v>
      </c>
      <c r="SO71" s="46" cm="1">
        <f t="array" ref="SO71">ROUND(IFERROR(INDEX(ArchiveResults!$F$5:$IX$116,ComparisonData!A71,ComparisonData!$SO$1),0),5)</f>
        <v>0</v>
      </c>
      <c r="SP71" s="45" cm="1">
        <f t="array" ref="SP71">IFERROR(INDEX(ArchiveResults!$F$5:$IX$116,ComparisonData!A71,ComparisonData!$SP$1),0)</f>
        <v>0</v>
      </c>
      <c r="SQ71" s="56">
        <v>66</v>
      </c>
      <c r="SR71" s="53" t="str">
        <f t="shared" si="708"/>
        <v>Perth &amp; Kinross Archive</v>
      </c>
      <c r="SS71" s="59">
        <f t="shared" ref="SS71:SS117" si="1018">INDEX($SL$6:$SL$117,MATCH(SQ71,$SG$6:$SG$117,0))</f>
        <v>0</v>
      </c>
      <c r="ST71" s="59">
        <f t="shared" ref="ST71:ST117" si="1019">INDEX($SM$6:$SM$117,MATCH(SQ71,$SG$6:$SG$117,0))</f>
        <v>0</v>
      </c>
      <c r="SU71" s="59">
        <f t="shared" ref="SU71:SU117" si="1020">INDEX($SN$6:$SN$117,MATCH(SQ71,$SG$6:$SG$117,0))</f>
        <v>0</v>
      </c>
      <c r="SV71" s="59">
        <f t="shared" ref="SV71:SV117" si="1021">INDEX($SO$6:$SO$117,MATCH(SQ71,$SG$6:$SG$117,0))</f>
        <v>0</v>
      </c>
      <c r="SW71" s="59">
        <f t="shared" ref="SW71:SW117" si="1022">INDEX($SP$6:$SP$117,MATCH(SQ71,$SG$6:$SG$117,0))</f>
        <v>0</v>
      </c>
      <c r="SX71" s="58">
        <f t="shared" ref="SX71:SX116" si="1023">MAX(SS71:SW71)</f>
        <v>0</v>
      </c>
      <c r="SY71" s="45">
        <f t="shared" ref="SY71:SY117" si="1024">RANK(SZ71,$SZ$6:$SZ$117,1)</f>
        <v>15</v>
      </c>
      <c r="SZ71" s="45">
        <f t="shared" si="709"/>
        <v>2.5089999999999995</v>
      </c>
      <c r="TA71" s="45">
        <f t="shared" ref="TA71:TA117" si="1025">(COUNTIF($TB$6:$TB$117,TB71)&gt;1)*1</f>
        <v>1</v>
      </c>
      <c r="TB71" s="45">
        <f t="shared" ref="TB71:TB117" si="1026">RANK(TC71,$TC$6:$TC$117)</f>
        <v>2</v>
      </c>
      <c r="TC71" s="45">
        <f t="shared" ref="TC71:TC117" si="1027">TD71+(TE71/10)+(TF71/100)+(TG71/1000)</f>
        <v>0</v>
      </c>
      <c r="TD71" s="46" cm="1">
        <f t="array" ref="TD71">ROUND(IFERROR(INDEX(ArchiveResults!$F$5:$IX$116,ComparisonData!A71,ComparisonData!$TD$1),0),5)</f>
        <v>0</v>
      </c>
      <c r="TE71" s="46" cm="1">
        <f t="array" ref="TE71">ROUND(IFERROR(INDEX(ArchiveResults!$F$5:$IX$116,ComparisonData!A71,ComparisonData!$TE$1),0),5)</f>
        <v>0</v>
      </c>
      <c r="TF71" s="46" cm="1">
        <f t="array" ref="TF71">ROUND(IFERROR(INDEX(ArchiveResults!$F$5:$IX$116,ComparisonData!A71,ComparisonData!$TF$1),0),5)</f>
        <v>0</v>
      </c>
      <c r="TG71" s="46" cm="1">
        <f t="array" ref="TG71">ROUND(IFERROR(INDEX(ArchiveResults!$F$5:$IX$116,ComparisonData!A71,ComparisonData!$TG$1),0),5)</f>
        <v>0</v>
      </c>
      <c r="TH71" s="45" cm="1">
        <f t="array" ref="TH71">IFERROR(INDEX(ArchiveResults!$F$5:$IX$116,ComparisonData!A71,ComparisonData!$TH$1),0)</f>
        <v>0</v>
      </c>
      <c r="TI71" s="56">
        <v>66</v>
      </c>
      <c r="TJ71" s="53" t="str">
        <f t="shared" si="710"/>
        <v>Perth &amp; Kinross Archive</v>
      </c>
      <c r="TK71" s="59">
        <f t="shared" ref="TK71:TK117" si="1028">INDEX($TD$6:$TD$117,MATCH(TI71,$SY$6:$SY$117,0))</f>
        <v>0</v>
      </c>
      <c r="TL71" s="59">
        <f t="shared" ref="TL71:TL117" si="1029">INDEX($TE$6:$TE$117,MATCH(TI71,$SY$6:$SY$117,0))</f>
        <v>0</v>
      </c>
      <c r="TM71" s="59">
        <f t="shared" ref="TM71:TM117" si="1030">INDEX($TF$6:$TF$117,MATCH(TI71,$SY$6:$SY$117,0))</f>
        <v>0</v>
      </c>
      <c r="TN71" s="59">
        <f t="shared" ref="TN71:TN117" si="1031">INDEX($TG$6:$TG$117,MATCH(TI71,$SY$6:$SY$117,0))</f>
        <v>0</v>
      </c>
      <c r="TO71" s="59">
        <f t="shared" ref="TO71:TO117" si="1032">INDEX($TH$6:$TH$117,MATCH(TI71,$SY$6:$SY$117,0))</f>
        <v>0</v>
      </c>
      <c r="TP71" s="58">
        <f t="shared" ref="TP71:TP116" si="1033">MAX(TK71:TO71)</f>
        <v>0</v>
      </c>
      <c r="TQ71" s="45">
        <f t="shared" ref="TQ71:TQ117" si="1034">RANK(TR71,$TR$6:$TR$117,1)</f>
        <v>15</v>
      </c>
      <c r="TR71" s="45">
        <f t="shared" si="711"/>
        <v>2.5089999999999995</v>
      </c>
      <c r="TS71" s="45">
        <f t="shared" ref="TS71:TS117" si="1035">(COUNTIF($TT$6:$TT$117,TT71)&gt;1)*1</f>
        <v>1</v>
      </c>
      <c r="TT71" s="45">
        <f t="shared" ref="TT71:TT117" si="1036">RANK(TU71,$TU$6:$TU$117)</f>
        <v>2</v>
      </c>
      <c r="TU71" s="45">
        <f t="shared" ref="TU71:TU117" si="1037">TV71+(TW71/10)+(TX71/100)+(TY71/1000)</f>
        <v>0</v>
      </c>
      <c r="TV71" s="46" cm="1">
        <f t="array" ref="TV71">ROUND(IFERROR(INDEX(ArchiveResults!$F$5:$IX$116,ComparisonData!A71,ComparisonData!$TV$1),0),5)</f>
        <v>0</v>
      </c>
      <c r="TW71" s="46" cm="1">
        <f t="array" ref="TW71">ROUND(IFERROR(INDEX(ArchiveResults!$F$5:$IX$116,ComparisonData!A71,ComparisonData!$TW$1),0),5)</f>
        <v>0</v>
      </c>
      <c r="TX71" s="46" cm="1">
        <f t="array" ref="TX71">ROUND(IFERROR(INDEX(ArchiveResults!$F$5:$IX$116,ComparisonData!A71,ComparisonData!$TX$1),0),5)</f>
        <v>0</v>
      </c>
      <c r="TY71" s="46" cm="1">
        <f t="array" ref="TY71">ROUND(IFERROR(INDEX(ArchiveResults!$F$5:$IX$116,ComparisonData!A71,ComparisonData!$TY$1),0),5)</f>
        <v>0</v>
      </c>
      <c r="TZ71" s="45" cm="1">
        <f t="array" ref="TZ71">IFERROR(INDEX(ArchiveResults!$F$5:$IX$116,ComparisonData!A71,ComparisonData!$TZ$1),0)</f>
        <v>0</v>
      </c>
      <c r="UA71" s="56">
        <v>66</v>
      </c>
      <c r="UB71" s="53" t="str">
        <f t="shared" si="712"/>
        <v>Perth &amp; Kinross Archive</v>
      </c>
      <c r="UC71" s="60">
        <f t="shared" ref="UC71:UC117" si="1038">INDEX($TV$6:$TV$117,MATCH(UA71,$TQ$6:$TQ$117,0))</f>
        <v>0</v>
      </c>
      <c r="UD71" s="60">
        <f t="shared" ref="UD71:UD117" si="1039">INDEX($TW$6:$TW$117,MATCH(UA71,$TQ$6:$TQ$117,0))</f>
        <v>0</v>
      </c>
      <c r="UE71" s="60">
        <f t="shared" ref="UE71:UE117" si="1040">INDEX($TX$6:$TX$117,MATCH(UA71,$TQ$6:$TQ$117,0))</f>
        <v>0</v>
      </c>
      <c r="UF71" s="60">
        <f t="shared" ref="UF71:UF117" si="1041">INDEX($TY$6:$TY$117,MATCH(UA71,$TQ$6:$TQ$117,0))</f>
        <v>0</v>
      </c>
      <c r="UG71" s="60">
        <f t="shared" ref="UG71:UG117" si="1042">INDEX($TZ$6:$TZ$117,MATCH(UA71,$TQ$6:$TQ$117,0))</f>
        <v>0</v>
      </c>
      <c r="UH71" s="58">
        <f t="shared" ref="UH71:UH116" si="1043">MAX(UC71:UG71)</f>
        <v>0</v>
      </c>
      <c r="UI71" s="46">
        <f t="shared" ref="UI71:UI117" si="1044">RANK(UJ71,$UJ$6:$UJ$117,1)</f>
        <v>15</v>
      </c>
      <c r="UJ71" s="46">
        <f t="shared" si="713"/>
        <v>2.5089999999999995</v>
      </c>
      <c r="UK71" s="46">
        <f t="shared" ref="UK71:UK117" si="1045">(COUNTIF($UL$6:$UL$117,UL71)&gt;1)*1</f>
        <v>1</v>
      </c>
      <c r="UL71" s="46">
        <f t="shared" ref="UL71:UL117" si="1046">RANK(UM71,$UM$6:$UM$117)</f>
        <v>2</v>
      </c>
      <c r="UM71" s="46" cm="1">
        <f t="array" ref="UM71">ROUND(IFERROR(INDEX(ArchiveResults!$F$5:$IX$116,ComparisonData!A71,ComparisonData!$UM$1),0),5)</f>
        <v>0</v>
      </c>
      <c r="UN71" s="56">
        <v>66</v>
      </c>
      <c r="UO71" s="53" t="str">
        <f t="shared" si="714"/>
        <v>Perth &amp; Kinross Archive</v>
      </c>
      <c r="UP71" s="46">
        <f t="shared" ref="UP71:UP117" si="1047">INDEX($UM$6:$UM$117,MATCH(UN71,$UI$6:$UI$117,0))</f>
        <v>0</v>
      </c>
      <c r="UQ71" s="76">
        <f t="shared" ref="UQ71:UQ117" si="1048">MAX(UP71)</f>
        <v>0</v>
      </c>
      <c r="UR71" s="46">
        <f t="shared" ref="UR71:UR117" si="1049">RANK(US71,$US$6:$US$117,1)</f>
        <v>15</v>
      </c>
      <c r="US71" s="46">
        <f t="shared" si="715"/>
        <v>2.5089999999999995</v>
      </c>
      <c r="UT71" s="46">
        <f t="shared" ref="UT71:UT117" si="1050">(COUNTIF($UU$6:$UU$117,UU71)&gt;1)*1</f>
        <v>1</v>
      </c>
      <c r="UU71" s="46">
        <f t="shared" ref="UU71:UU117" si="1051">RANK(UV71,$UV$6:$UV$117)</f>
        <v>2</v>
      </c>
      <c r="UV71" s="46">
        <f t="shared" ref="UV71:UV117" si="1052">UW71+(UX71/100)</f>
        <v>0</v>
      </c>
      <c r="UW71" s="46" cm="1">
        <f t="array" ref="UW71">ROUND(IFERROR(INDEX(ArchiveResults!$F$5:$IX$116,ComparisonData!A71,ComparisonData!$UW$1),0),5)</f>
        <v>0</v>
      </c>
      <c r="UX71" s="46" cm="1">
        <f t="array" ref="UX71">ROUND(IFERROR(INDEX(ArchiveResults!$F$5:$IX$116,ComparisonData!A71,ComparisonData!$UX$1),0),5)</f>
        <v>0</v>
      </c>
      <c r="UY71" s="46" cm="1">
        <f t="array" ref="UY71">ROUND(IFERROR(INDEX(ArchiveResults!$F$5:$IX$116,ComparisonData!A71,ComparisonData!$UY$1),0),5)</f>
        <v>0</v>
      </c>
      <c r="UZ71" s="46" cm="1">
        <f t="array" ref="UZ71">ROUND(IFERROR(INDEX(ArchiveResults!$F$5:$IX$116,ComparisonData!A71,ComparisonData!$UZ$1),0),5)</f>
        <v>0</v>
      </c>
      <c r="VA71" s="46" cm="1">
        <f t="array" ref="VA71">ROUND(IFERROR(INDEX(ArchiveResults!$F$5:$IX$116,ComparisonData!A71,ComparisonData!$VA$1),0),5)</f>
        <v>0</v>
      </c>
      <c r="VB71" s="56">
        <v>66</v>
      </c>
      <c r="VC71" s="53" t="str">
        <f t="shared" si="716"/>
        <v>Perth &amp; Kinross Archive</v>
      </c>
      <c r="VD71" s="60">
        <f t="shared" ref="VD71:VD117" si="1053">INDEX($UW$6:$UW$117,MATCH(VB71,$UR$6:$UR$117,0))</f>
        <v>0</v>
      </c>
      <c r="VE71" s="60">
        <f t="shared" ref="VE71:VE117" si="1054">INDEX($UX$6:$UX$117,MATCH(VB71,$UR$6:$UR$117,0))</f>
        <v>0</v>
      </c>
      <c r="VF71" s="60">
        <f t="shared" ref="VF71:VF117" si="1055">INDEX($UY$6:$UY$117,MATCH(VB71,$UR$6:$UR$117,0))</f>
        <v>0</v>
      </c>
      <c r="VG71" s="60">
        <f t="shared" ref="VG71:VG117" si="1056">INDEX($UZ$6:$UZ$117,MATCH(VB71,$UR$6:$UR$117,0))</f>
        <v>0</v>
      </c>
      <c r="VH71" s="60">
        <f t="shared" ref="VH71:VH117" si="1057">INDEX($VA$6:$VA$117,MATCH(VB71,$UR$6:$UR$117,0))</f>
        <v>0</v>
      </c>
      <c r="VI71" s="76">
        <f t="shared" ref="VI71:VI117" si="1058">MAX(VD71:VH71)</f>
        <v>0</v>
      </c>
      <c r="VJ71" s="46">
        <f t="shared" ref="VJ71:VJ117" si="1059">RANK(VK71,$VK$6:$VK$117,1)</f>
        <v>15</v>
      </c>
      <c r="VK71" s="46">
        <f t="shared" si="717"/>
        <v>2.5089999999999995</v>
      </c>
      <c r="VL71" s="46">
        <f t="shared" ref="VL71:VL117" si="1060">(COUNTIF($VM$6:$VM$117,VM71)&gt;1)*1</f>
        <v>1</v>
      </c>
      <c r="VM71" s="46">
        <f t="shared" ref="VM71:VM117" si="1061">RANK(VN71,$VN$6:$VN$117)</f>
        <v>2</v>
      </c>
      <c r="VN71" s="46" cm="1">
        <f t="array" ref="VN71">ROUND(IFERROR(INDEX(ArchiveResults!$F$5:$IX$116,ComparisonData!A71,ComparisonData!$VN$1),0),5)</f>
        <v>0</v>
      </c>
      <c r="VO71" s="46" cm="1">
        <f t="array" ref="VO71">ROUND(IFERROR(INDEX(ArchiveResults!$F$5:$IX$116,ComparisonData!A71,ComparisonData!$VO$1),0),5)</f>
        <v>0</v>
      </c>
      <c r="VP71" s="46" cm="1">
        <f t="array" ref="VP71">ROUND(IFERROR(INDEX(ArchiveResults!$F$5:$IX$116,ComparisonData!A71,ComparisonData!$VP$1),0),5)</f>
        <v>0</v>
      </c>
      <c r="VQ71" s="46" cm="1">
        <f t="array" ref="VQ71">ROUND(IFERROR(INDEX(ArchiveResults!$F$5:$IX$116,ComparisonData!A71,ComparisonData!$VQ$1),0),5)</f>
        <v>0</v>
      </c>
      <c r="VR71" s="56">
        <v>66</v>
      </c>
      <c r="VS71" s="53" t="str">
        <f t="shared" si="718"/>
        <v>Perth &amp; Kinross Archive</v>
      </c>
      <c r="VT71" s="60">
        <f t="shared" ref="VT71:VT117" si="1062">INDEX($VN$6:$VN$117,MATCH(VR71,$VJ$6:$VJ$117,0))</f>
        <v>0</v>
      </c>
      <c r="VU71" s="60">
        <f t="shared" ref="VU71:VU117" si="1063">INDEX($VO$6:$VO$117,MATCH(VR71,$VJ$6:$VJ$117,0))</f>
        <v>0</v>
      </c>
      <c r="VV71" s="60">
        <f t="shared" ref="VV71:VV117" si="1064">INDEX($VP$6:$VP$117,MATCH(VR71,$VJ$6:$VJ$117,0))</f>
        <v>0</v>
      </c>
      <c r="VW71" s="60">
        <f t="shared" ref="VW71:VW117" si="1065">INDEX($VQ$6:$VQ$117,MATCH(VR71,$VJ$6:$VJ$117,0))</f>
        <v>0</v>
      </c>
      <c r="VX71" s="76">
        <f t="shared" ref="VX71:VX117" si="1066">MAX(VT71:VW71)</f>
        <v>0</v>
      </c>
      <c r="VY71" s="46">
        <f t="shared" ref="VY71:VY117" si="1067">RANK(VZ71,$VZ$6:$VZ$117,1)</f>
        <v>15</v>
      </c>
      <c r="VZ71" s="46">
        <f t="shared" si="719"/>
        <v>2.5089999999999995</v>
      </c>
      <c r="WA71" s="46">
        <f t="shared" ref="WA71:WA117" si="1068">(COUNTIF($WB$6:$WB$117,WB71)&gt;1)*1</f>
        <v>1</v>
      </c>
      <c r="WB71" s="46">
        <f t="shared" ref="WB71:WB117" si="1069">RANK(WC71,$WC$6:$WC$117)</f>
        <v>2</v>
      </c>
      <c r="WC71" s="46" cm="1">
        <f t="array" ref="WC71">ROUND(IFERROR(INDEX(ArchiveResults!$F$5:$IX$116,ComparisonData!A71,ComparisonData!$WC$1),0),5)</f>
        <v>0</v>
      </c>
      <c r="WD71" s="56">
        <v>66</v>
      </c>
      <c r="WE71" s="53" t="str">
        <f t="shared" si="720"/>
        <v>Perth &amp; Kinross Archive</v>
      </c>
      <c r="WF71" s="46">
        <f t="shared" ref="WF71:WF117" si="1070">INDEX($WC$6:$WC$117,MATCH(WD71,$VY$6:$VY$117,0))</f>
        <v>0</v>
      </c>
      <c r="WG71" s="76">
        <f t="shared" ref="WG71:WG117" si="1071">MAX(WF71)</f>
        <v>0</v>
      </c>
      <c r="WH71" s="46">
        <f t="shared" ref="WH71:WH117" si="1072">RANK(WI71,$WI$6:$WI$117,1)</f>
        <v>15</v>
      </c>
      <c r="WI71" s="46">
        <f t="shared" si="721"/>
        <v>2.5089999999999995</v>
      </c>
      <c r="WJ71" s="46">
        <f t="shared" ref="WJ71:WJ117" si="1073">(COUNTIF($WK$6:$WK$117,WK71)&gt;1)*1</f>
        <v>1</v>
      </c>
      <c r="WK71" s="46">
        <f t="shared" ref="WK71:WK117" si="1074">RANK(WL71,$WL$6:$WL$117)</f>
        <v>2</v>
      </c>
      <c r="WL71" s="46" cm="1">
        <f t="array" ref="WL71">ROUND(IFERROR(INDEX(ArchiveResults!$F$5:$IX$116,ComparisonData!A71,ComparisonData!$WL$1),0),5)</f>
        <v>0</v>
      </c>
      <c r="WM71" s="46" cm="1">
        <f t="array" ref="WM71">IFERROR(INDEX(ArchiveResults!$F$5:$IX$116,ComparisonData!A71,ComparisonData!$WM$1),0)</f>
        <v>0</v>
      </c>
      <c r="WN71" s="56">
        <v>66</v>
      </c>
      <c r="WO71" s="53" t="str">
        <f t="shared" si="722"/>
        <v>Perth &amp; Kinross Archive</v>
      </c>
      <c r="WP71" s="60">
        <f t="shared" ref="WP71:WP117" si="1075">INDEX($WL$6:$WL$117,MATCH(WN71,$WH$6:$WH$117,0))</f>
        <v>0</v>
      </c>
      <c r="WQ71" s="60">
        <f t="shared" ref="WQ71:WQ117" si="1076">INDEX($WM$6:$WM$117,MATCH(WN71,$WH$6:$WH$117,0))</f>
        <v>0</v>
      </c>
      <c r="WR71" s="76">
        <f t="shared" ref="WR71:WR117" si="1077">MAX(WP71:WQ71)</f>
        <v>0</v>
      </c>
      <c r="WS71" s="46">
        <f t="shared" ref="WS71:WS117" si="1078">RANK(WT71,$WT$6:$WT$117,1)</f>
        <v>15</v>
      </c>
      <c r="WT71" s="46">
        <f t="shared" si="723"/>
        <v>2.5089999999999995</v>
      </c>
      <c r="WU71" s="46">
        <f t="shared" ref="WU71:WU117" si="1079">(COUNTIF($WV$6:$WV$117,WV71)&gt;1)*1</f>
        <v>1</v>
      </c>
      <c r="WV71" s="46">
        <f t="shared" ref="WV71:WV117" si="1080">RANK(WW71,$WW$6:$WW$117,0)</f>
        <v>2</v>
      </c>
      <c r="WW71" s="46" cm="1">
        <f t="array" ref="WW71">ROUND(VALUE(IFERROR(INDEX(ArchiveResults!$F$5:$IX$116,ComparisonData!A71,ComparisonData!$WW$1),0)),5)</f>
        <v>0</v>
      </c>
      <c r="WX71" s="46" cm="1">
        <f t="array" ref="WX71">ROUND(IFERROR(INDEX(ArchiveResults!$F$5:$IX$116,ComparisonData!A71,ComparisonData!$WX$1),0),5)</f>
        <v>0</v>
      </c>
      <c r="WY71" s="56">
        <v>66</v>
      </c>
      <c r="WZ71" s="53" t="str">
        <f t="shared" si="724"/>
        <v>Perth &amp; Kinross Archive</v>
      </c>
      <c r="XA71" s="60">
        <f t="shared" si="725"/>
        <v>0</v>
      </c>
      <c r="XB71" s="60">
        <f t="shared" si="726"/>
        <v>0</v>
      </c>
      <c r="XC71" s="76">
        <f t="shared" ref="XC71:XC117" si="1081">MAX(XA71:XB71)</f>
        <v>0</v>
      </c>
      <c r="XD71" s="46">
        <f t="shared" ref="XD71:XD117" si="1082">RANK(XE71,$XE$6:$XE$117,1)</f>
        <v>15</v>
      </c>
      <c r="XE71" s="46">
        <f t="shared" si="727"/>
        <v>2.5089999999999995</v>
      </c>
      <c r="XF71" s="46">
        <f t="shared" ref="XF71:XF117" si="1083">(COUNTIF($XG$6:$XG$117,XG71)&gt;1)*1</f>
        <v>1</v>
      </c>
      <c r="XG71" s="46">
        <f t="shared" ref="XG71:XG117" si="1084">RANK(XH71,$XH$6:$XH$117)</f>
        <v>2</v>
      </c>
      <c r="XH71" s="46" cm="1">
        <f t="array" ref="XH71">ROUND(VALUE(IFERROR(INDEX(ArchiveResults!$F$5:$IX$116,ComparisonData!A71,ComparisonData!$XH$1),0)),5)</f>
        <v>0</v>
      </c>
      <c r="XI71" s="46" cm="1">
        <f t="array" ref="XI71">ROUND(VALUE(IFERROR(INDEX(ArchiveResults!$F$5:$IX$116,ComparisonData!A71,ComparisonData!$XI$1),0)),5)</f>
        <v>0</v>
      </c>
      <c r="XJ71" s="56">
        <v>66</v>
      </c>
      <c r="XK71" s="53" t="str">
        <f t="shared" si="728"/>
        <v>Perth &amp; Kinross Archive</v>
      </c>
      <c r="XL71" s="60">
        <f t="shared" ref="XL71:XL117" si="1085">INDEX($XH$6:$XH$117,MATCH(XJ71,$XD$6:$XD$117,0))</f>
        <v>0</v>
      </c>
      <c r="XM71" s="60">
        <f t="shared" ref="XM71:XM117" si="1086">INDEX($XI$6:$XI$117,MATCH(XJ71,$XD$6:$XD$117,0))</f>
        <v>0</v>
      </c>
      <c r="XN71" s="76">
        <f t="shared" ref="XN71:XN117" si="1087">MAX(XL71:XM71)</f>
        <v>0</v>
      </c>
      <c r="XO71" s="46">
        <f t="shared" ref="XO71:XO117" si="1088">RANK(XP71,$XP$6:$XP$117,1)</f>
        <v>15</v>
      </c>
      <c r="XP71" s="46">
        <f t="shared" si="729"/>
        <v>2.5089999999999995</v>
      </c>
      <c r="XQ71" s="46">
        <f t="shared" ref="XQ71:XQ117" si="1089">(COUNTIF($XR$6:$XR$117,XR71)&gt;1)*1</f>
        <v>1</v>
      </c>
      <c r="XR71" s="46">
        <f t="shared" ref="XR71:XR117" si="1090">RANK(XS71,$XS$6:$XS$117)</f>
        <v>2</v>
      </c>
      <c r="XS71" s="46" cm="1">
        <f t="array" ref="XS71">ROUND(VALUE(IFERROR(INDEX(ArchiveResults!$F$5:$IX$116,ComparisonData!A71,ComparisonData!$XS$1),0)),5)</f>
        <v>0</v>
      </c>
      <c r="XT71" s="46" cm="1">
        <f t="array" ref="XT71">ROUND(VALUE(IFERROR(INDEX(ArchiveResults!$F$5:$IX$116,ComparisonData!A71,ComparisonData!$XT$1),0)),5)</f>
        <v>0</v>
      </c>
      <c r="XU71" s="56">
        <v>66</v>
      </c>
      <c r="XV71" s="53" t="str">
        <f t="shared" si="730"/>
        <v>Perth &amp; Kinross Archive</v>
      </c>
      <c r="XW71" s="60">
        <f t="shared" ref="XW71:XW117" si="1091">INDEX($XS$6:$XS$117,MATCH(XU71,$XO$6:$XO$117,0))</f>
        <v>0</v>
      </c>
      <c r="XX71" s="60">
        <f t="shared" ref="XX71:XX117" si="1092">INDEX($XT$6:$XT$117,MATCH(XU71,$XO$6:$XO$117,0))</f>
        <v>0</v>
      </c>
      <c r="XY71" s="76">
        <f t="shared" ref="XY71:XY117" si="1093">MAX(XW71:XX71)</f>
        <v>0</v>
      </c>
      <c r="XZ71" s="46">
        <f t="shared" ref="XZ71:XZ117" si="1094">RANK(YA71,$YA$6:$YA$117,1)</f>
        <v>15</v>
      </c>
      <c r="YA71" s="46">
        <f t="shared" si="731"/>
        <v>2.5089999999999995</v>
      </c>
      <c r="YB71" s="46">
        <f t="shared" ref="YB71:YB117" si="1095">(COUNTIF($YC$6:$YC$117,YC71)&gt;1)*1</f>
        <v>1</v>
      </c>
      <c r="YC71" s="46">
        <f t="shared" ref="YC71:YC117" si="1096">RANK(YD71,$YD$6:$YD$117)</f>
        <v>2</v>
      </c>
      <c r="YD71" s="46" cm="1">
        <f t="array" ref="YD71">ROUND(VALUE(IFERROR(INDEX(ArchiveResults!$F$5:$IX$116,ComparisonData!A71,ComparisonData!$YD$1),0)),5)</f>
        <v>0</v>
      </c>
      <c r="YE71" s="46" cm="1">
        <f t="array" ref="YE71">ROUND(VALUE(IFERROR(INDEX(ArchiveResults!$F$5:$IX$116,ComparisonData!A71,ComparisonData!$YE$1),0)),5)</f>
        <v>0</v>
      </c>
      <c r="YF71" s="56">
        <v>66</v>
      </c>
      <c r="YG71" s="53" t="str">
        <f t="shared" si="732"/>
        <v>Perth &amp; Kinross Archive</v>
      </c>
      <c r="YH71" s="60">
        <f t="shared" ref="YH71:YH117" si="1097">INDEX($YD$6:$YD$117,MATCH(YF71,$XZ$6:$XZ$117,0))</f>
        <v>0</v>
      </c>
      <c r="YI71" s="60">
        <f t="shared" ref="YI71:YI117" si="1098">INDEX($YE$6:$YE$117,MATCH(YF71,$XZ$6:$XZ$117,0))</f>
        <v>0</v>
      </c>
      <c r="YJ71" s="76">
        <f t="shared" ref="YJ71:YJ117" si="1099">MAX(YH71:YI71)</f>
        <v>0</v>
      </c>
      <c r="YK71" s="46">
        <f t="shared" ref="YK71:YK117" si="1100">RANK(YL71,$YL$6:$YL$117,1)</f>
        <v>15</v>
      </c>
      <c r="YL71" s="46">
        <f t="shared" si="733"/>
        <v>2.5089999999999995</v>
      </c>
      <c r="YM71" s="46">
        <f t="shared" ref="YM71:YM117" si="1101">(COUNTIF($YN$6:$YN$117,YN71)&gt;1)*1</f>
        <v>1</v>
      </c>
      <c r="YN71" s="46">
        <f t="shared" ref="YN71:YN117" si="1102">RANK(YO71,$YO$6:$YO$117)</f>
        <v>2</v>
      </c>
      <c r="YO71" s="46" cm="1">
        <f t="array" ref="YO71">ROUND(VALUE(IFERROR(INDEX(ArchiveResults!$F$5:$IX$116,ComparisonData!A71,ComparisonData!$YO$1),0)),5)</f>
        <v>0</v>
      </c>
      <c r="YP71" s="46" cm="1">
        <f t="array" ref="YP71">ROUND(VALUE(IFERROR(INDEX(ArchiveResults!$F$5:$IX$116,ComparisonData!A71,ComparisonData!$YP$1),0)),5)</f>
        <v>0</v>
      </c>
      <c r="YQ71" s="56">
        <v>66</v>
      </c>
      <c r="YR71" s="53" t="str">
        <f t="shared" si="734"/>
        <v>Perth &amp; Kinross Archive</v>
      </c>
      <c r="YS71" s="60">
        <f t="shared" ref="YS71:YS117" si="1103">INDEX($YO$6:$YO$117,MATCH(YQ71,$YK$6:$YK$117,0))</f>
        <v>0</v>
      </c>
      <c r="YT71" s="60">
        <f t="shared" ref="YT71:YT117" si="1104">INDEX($YP$6:$YP$117,MATCH(YQ71,$YK$6:$YK$117,0))</f>
        <v>0</v>
      </c>
      <c r="YU71" s="76">
        <f t="shared" ref="YU71:YU117" si="1105">MAX(YS71:YT71)</f>
        <v>0</v>
      </c>
      <c r="YV71" s="46">
        <f t="shared" ref="YV71:YV117" si="1106">RANK(YW71,$YW$6:$YW$117,1)</f>
        <v>15</v>
      </c>
      <c r="YW71" s="46">
        <f t="shared" si="735"/>
        <v>2.5089999999999995</v>
      </c>
      <c r="YX71" s="46">
        <f t="shared" ref="YX71:YX117" si="1107">(COUNTIF($YY$6:$YY$117,YY71)&gt;1)*1</f>
        <v>1</v>
      </c>
      <c r="YY71" s="46">
        <f t="shared" ref="YY71:YY117" si="1108">RANK(YZ71,$YZ$6:$YZ$117)</f>
        <v>2</v>
      </c>
      <c r="YZ71" s="46">
        <f t="shared" ref="YZ71:YZ117" si="1109">ZA71+(ZB71/100)+(ZC71/10000)+(ZD71/1000000)</f>
        <v>0</v>
      </c>
      <c r="ZA71" s="46" cm="1">
        <f t="array" ref="ZA71">ROUNDDOWN(VALUE(IFERROR(INDEX(ArchiveResults!$F$5:$IX$116,ComparisonData!A71,ComparisonData!$ZA$1),0)),5)</f>
        <v>0</v>
      </c>
      <c r="ZB71" s="46" cm="1">
        <f t="array" ref="ZB71">ROUNDDOWN(VALUE(IFERROR(INDEX(ArchiveResults!$F$5:$IX$116,ComparisonData!A71,ComparisonData!$ZB$1),0)),5)</f>
        <v>0</v>
      </c>
      <c r="ZC71" s="46" cm="1">
        <f t="array" ref="ZC71">ROUNDDOWN(VALUE(IFERROR(INDEX(ArchiveResults!$F$5:$IX$116,ComparisonData!A71,ComparisonData!$ZC$1),0)),5)</f>
        <v>0</v>
      </c>
      <c r="ZD71" s="46" cm="1">
        <f t="array" ref="ZD71">ROUNDDOWN(VALUE(IFERROR(INDEX(ArchiveResults!$F$5:$IX$116,ComparisonData!A71,ComparisonData!$ZD$1),0)),5)</f>
        <v>0</v>
      </c>
      <c r="ZE71" s="46" cm="1">
        <f t="array" ref="ZE71">ROUNDDOWN(VALUE(IFERROR(INDEX(ArchiveResults!$F$5:$IX$116,ComparisonData!A71,ComparisonData!$ZE$1),0)),5)</f>
        <v>0</v>
      </c>
      <c r="ZF71" s="56">
        <v>66</v>
      </c>
      <c r="ZG71" s="53" t="str">
        <f t="shared" si="736"/>
        <v>Perth &amp; Kinross Archive</v>
      </c>
      <c r="ZH71" s="60">
        <f t="shared" ref="ZH71:ZH117" si="1110">INDEX($ZA$6:$ZA$117,MATCH(ZF71,$YV$6:$YV$117,0))</f>
        <v>0</v>
      </c>
      <c r="ZI71" s="60">
        <f t="shared" ref="ZI71:ZI117" si="1111">INDEX($ZB$6:$ZB$117,MATCH(ZF71,$YV$6:$YV$117,0))</f>
        <v>0</v>
      </c>
      <c r="ZJ71" s="60">
        <f t="shared" ref="ZJ71:ZJ117" si="1112">INDEX($ZC$6:$ZC$117,MATCH(ZF71,$YV$6:$YV$117,0))</f>
        <v>0</v>
      </c>
      <c r="ZK71" s="60">
        <f t="shared" ref="ZK71:ZK117" si="1113">INDEX($ZD$6:$ZD$117,MATCH(ZF71,$YV$6:$YV$117,0))</f>
        <v>0</v>
      </c>
      <c r="ZL71" s="60">
        <f t="shared" ref="ZL71:ZL117" si="1114">INDEX($ZE$6:$ZE$117,MATCH(ZF71,$YV$6:$YV$117,0))</f>
        <v>0</v>
      </c>
      <c r="ZM71" s="76">
        <f t="shared" ref="ZM71:ZM117" si="1115">MAX(ZH71:ZL71)</f>
        <v>0</v>
      </c>
      <c r="ZN71" s="46">
        <f t="shared" ref="ZN71:ZN117" si="1116">RANK(ZO71,$ZO$6:$ZO$117,1)</f>
        <v>15</v>
      </c>
      <c r="ZO71" s="46">
        <f t="shared" si="737"/>
        <v>2.5089999999999995</v>
      </c>
      <c r="ZP71" s="46">
        <f t="shared" ref="ZP71:ZP117" si="1117">(COUNTIF($ZQ$6:$ZQ$117,ZQ71)&gt;1)*1</f>
        <v>1</v>
      </c>
      <c r="ZQ71" s="46">
        <f t="shared" ref="ZQ71:ZQ117" si="1118">RANK(ZR71,$ZR$6:$ZR$117)</f>
        <v>2</v>
      </c>
      <c r="ZR71" s="46" cm="1">
        <f t="array" ref="ZR71">ROUND(VALUE(IFERROR(INDEX(ArchiveResults!$F$5:$IX$116,ComparisonData!A71,ComparisonData!$ZR$1),0)),5)</f>
        <v>0</v>
      </c>
      <c r="ZS71" s="56">
        <v>66</v>
      </c>
      <c r="ZT71" s="53" t="str">
        <f t="shared" si="738"/>
        <v>Perth &amp; Kinross Archive</v>
      </c>
      <c r="ZU71" s="46">
        <f t="shared" ref="ZU71:ZU117" si="1119">INDEX($ZR$6:$ZR$117,MATCH(ZS71,$ZN$6:$ZN$117,0))</f>
        <v>0</v>
      </c>
      <c r="ZV71" s="76">
        <f t="shared" ref="ZV71:ZV117" si="1120">MAX(ZU71)</f>
        <v>0</v>
      </c>
      <c r="ZW71" s="81" cm="1">
        <f t="array" ref="ZW71">ROUND((IFERROR(INDEX(ArchiveResults!$F$5:$IX$116,ComparisonData!A71,ComparisonData!$ZW$1),0)),5)</f>
        <v>0</v>
      </c>
      <c r="ZX71" s="81" cm="1">
        <f t="array" ref="ZX71">ROUND((IFERROR(INDEX(ArchiveResults!$F$5:$IX$116,ComparisonData!A71,ComparisonData!$ZX$1),0)),5)</f>
        <v>0</v>
      </c>
      <c r="ZY71" s="81" cm="1">
        <f t="array" ref="ZY71">ROUND((IFERROR(INDEX(ArchiveResults!$F$5:$IX$116,ComparisonData!A71,ComparisonData!$ZY$1),0)),5)</f>
        <v>0</v>
      </c>
      <c r="ZZ71" s="81" cm="1">
        <f t="array" ref="ZZ71">ROUND((IFERROR(INDEX(ArchiveResults!$F$5:$IX$116,ComparisonData!A71,ComparisonData!$ZZ$1),0)),5)</f>
        <v>0</v>
      </c>
      <c r="AAA71" s="81" cm="1">
        <f t="array" ref="AAA71">ROUND((IFERROR(INDEX(ArchiveResults!$F$5:$IX$116,ComparisonData!A71,ComparisonData!$AAA$1),0)),5)</f>
        <v>0</v>
      </c>
      <c r="AAB71" s="81" cm="1">
        <f t="array" ref="AAB71">ROUND((IFERROR(INDEX(ArchiveResults!$F$5:$IX$116,ComparisonData!A71,ComparisonData!$AAB$1),0)),5)</f>
        <v>0</v>
      </c>
      <c r="AAC71" s="81" cm="1">
        <f t="array" ref="AAC71">ROUND((IFERROR(INDEX(ArchiveResults!$F$5:$IX$116,ComparisonData!A71,ComparisonData!$AAC$1),0)),5)</f>
        <v>0</v>
      </c>
      <c r="AAD71" s="81" cm="1">
        <f t="array" ref="AAD71">ROUND((IFERROR(INDEX(ArchiveResults!$F$5:$IX$116,ComparisonData!A71,ComparisonData!$AAD$1),0)),5)</f>
        <v>0</v>
      </c>
      <c r="AAE71" s="81" cm="1">
        <f t="array" ref="AAE71">ROUND((IFERROR(INDEX(ArchiveResults!$F$5:$IX$116,ComparisonData!A71,ComparisonData!$AAE$1),0)),5)</f>
        <v>0</v>
      </c>
      <c r="AAF71" s="81" cm="1">
        <f t="array" ref="AAF71">ROUND((IFERROR(INDEX(ArchiveResults!$F$5:$IX$116,ComparisonData!A71,ComparisonData!$AAF$1),0)),5)</f>
        <v>0</v>
      </c>
      <c r="AAG71" s="46">
        <f t="shared" ref="AAG71:AAG117" si="1121">RANK(AAH71,$AAH$6:$AAH$117,1)</f>
        <v>15</v>
      </c>
      <c r="AAH71" s="46">
        <f t="shared" si="739"/>
        <v>2.5089999999999995</v>
      </c>
      <c r="AAI71" s="46">
        <f t="shared" ref="AAI71:AAI117" si="1122">(COUNTIF($AAJ$6:$AAJ$117,AAJ71)&gt;1)*1</f>
        <v>1</v>
      </c>
      <c r="AAJ71" s="46">
        <f t="shared" ref="AAJ71:AAJ117" si="1123">RANK(AAK71,$AAK$6:$AAK$117)</f>
        <v>2</v>
      </c>
      <c r="AAK71" s="46">
        <f t="shared" ref="AAK71:AAK117" si="1124">AAL71+(AAM71/1000)+(AAN71/100000)+(AAO71/1000000)+(AAP71/10000000)</f>
        <v>0</v>
      </c>
      <c r="AAL71" s="46">
        <f t="shared" ref="AAL71:AAL117" si="1125">ROUNDDOWN(IFERROR(ZW71+ZX71,0),7)</f>
        <v>0</v>
      </c>
      <c r="AAM71" s="46">
        <f t="shared" ref="AAM71:AAM117" si="1126">ROUNDDOWN(IFERROR(ZY71+ZZ71,0),7)</f>
        <v>0</v>
      </c>
      <c r="AAN71" s="46">
        <f t="shared" ref="AAN71:AAN117" si="1127">ROUNDDOWN(IFERROR(AAA71+AAB71,0),7)</f>
        <v>0</v>
      </c>
      <c r="AAO71" s="46">
        <f t="shared" ref="AAO71:AAO117" si="1128">ROUNDDOWN(IFERROR(AAC71+AAD71,0),7)</f>
        <v>0</v>
      </c>
      <c r="AAP71" s="46">
        <f t="shared" ref="AAP71:AAP117" si="1129">ROUNDDOWN(IFERROR(AAE71+AAF71,0),7)</f>
        <v>0</v>
      </c>
      <c r="AAQ71" s="56">
        <v>66</v>
      </c>
      <c r="AAR71" s="53" t="str">
        <f t="shared" si="740"/>
        <v>Perth &amp; Kinross Archive</v>
      </c>
      <c r="AAS71" s="60">
        <f t="shared" ref="AAS71:AAS117" si="1130">INDEX($AAL$6:$AAL$117,MATCH(AAQ71,$AAG$6:$AAG$117,0))</f>
        <v>0</v>
      </c>
      <c r="AAT71" s="60">
        <f t="shared" ref="AAT71:AAT117" si="1131">INDEX($AAM$6:$AAM$117,MATCH(AAQ71,$AAG$6:$AAG$117,0))</f>
        <v>0</v>
      </c>
      <c r="AAU71" s="60">
        <f t="shared" ref="AAU71:AAU117" si="1132">INDEX($AAN$6:$AAN$117,MATCH(AAQ71,$AAG$6:$AAG$117,0))</f>
        <v>0</v>
      </c>
      <c r="AAV71" s="60">
        <f t="shared" ref="AAV71:AAV117" si="1133">INDEX($AAO$6:$AAO$117,MATCH(AAQ71,$AAG$6:$AAG$117,0))</f>
        <v>0</v>
      </c>
      <c r="AAW71" s="60">
        <f t="shared" ref="AAW71:AAW117" si="1134">INDEX($AAP$6:$AAP$117,MATCH(AAQ71,$AAG$6:$AAG$117,0))</f>
        <v>0</v>
      </c>
      <c r="AAX71" s="76">
        <f t="shared" ref="AAX71:AAX117" si="1135">MAX(AAS71:AAW71)</f>
        <v>0</v>
      </c>
      <c r="AAY71" s="46">
        <f t="shared" ref="AAY71:AAY117" si="1136">RANK(AAZ71,$AAZ$6:$AAZ$117,1)</f>
        <v>15</v>
      </c>
      <c r="AAZ71" s="46">
        <f t="shared" si="741"/>
        <v>2.5089999999999995</v>
      </c>
      <c r="ABA71" s="46">
        <f t="shared" ref="ABA71:ABA117" si="1137">(COUNTIF($ABB$6:$ABB$117,ABB71)&gt;1)*1</f>
        <v>1</v>
      </c>
      <c r="ABB71" s="46">
        <f t="shared" ref="ABB71:ABB117" si="1138">RANK(ABC71,$ABC$6:$ABC$117)</f>
        <v>2</v>
      </c>
      <c r="ABC71" s="46">
        <f t="shared" si="742"/>
        <v>0</v>
      </c>
      <c r="ABD71" s="46" cm="1">
        <f t="array" ref="ABD71">ROUND(VALUE(IFERROR(INDEX(ArchiveResults!$F$5:$IX$116,ComparisonData!A71,ComparisonData!$ABD$1),0)),5)</f>
        <v>0</v>
      </c>
      <c r="ABE71" s="46" cm="1">
        <f t="array" ref="ABE71">ROUND(VALUE(IFERROR(INDEX(ArchiveResults!$F$5:$IX$116,ComparisonData!A71,ComparisonData!$ABE$1),0)),5)</f>
        <v>0</v>
      </c>
      <c r="ABF71" s="46" cm="1">
        <f t="array" ref="ABF71">ROUND(VALUE(IFERROR(INDEX(ArchiveResults!$F$5:$IX$116,ComparisonData!A71,ComparisonData!$ABF$1),0)),5)</f>
        <v>0</v>
      </c>
      <c r="ABG71" s="46" cm="1">
        <f t="array" ref="ABG71">ROUND(VALUE(IFERROR(INDEX(ArchiveResults!$F$5:$IX$116,ComparisonData!A71,ComparisonData!$ABG$1),0)),5)</f>
        <v>0</v>
      </c>
      <c r="ABH71" s="46" cm="1">
        <f t="array" ref="ABH71">ROUND(VALUE(IFERROR(INDEX(ArchiveResults!$F$5:$IX$116,ComparisonData!A71,ComparisonData!$ABH$1),0)),5)</f>
        <v>0</v>
      </c>
      <c r="ABI71" s="56">
        <v>66</v>
      </c>
      <c r="ABJ71" s="53" t="str">
        <f t="shared" si="743"/>
        <v>Perth &amp; Kinross Archive</v>
      </c>
      <c r="ABK71" s="60">
        <f t="shared" ref="ABK71:ABK117" si="1139">INDEX($ABF$6:$ABF$117,MATCH(ABI71,$AAY$6:$AAY$117,0))</f>
        <v>0</v>
      </c>
      <c r="ABL71" s="60">
        <f t="shared" ref="ABL71:ABL117" si="1140">INDEX($ABH$6:$ABH$117,MATCH(ABI71,$AAY$6:$AAY$117,0))</f>
        <v>0</v>
      </c>
      <c r="ABM71" s="60">
        <f t="shared" ref="ABM71:ABM117" si="1141">INDEX($ABE$6:$ABE$117,MATCH(ABI71,$AAY$6:$AAY$117,0))</f>
        <v>0</v>
      </c>
      <c r="ABN71" s="60">
        <f t="shared" ref="ABN71:ABN117" si="1142">INDEX($ABG$6:$ABG$117,MATCH(ABI71,$AAY$6:$AAY$117,0))</f>
        <v>0</v>
      </c>
      <c r="ABO71" s="60">
        <f t="shared" ref="ABO71:ABO117" si="1143">INDEX($ABD$6:$ABD$117,MATCH(ABI71,$AAY$6:$AAY$117,0))</f>
        <v>0</v>
      </c>
      <c r="ABP71" s="76">
        <f t="shared" ref="ABP71:ABP117" si="1144">MAX(ABK71:ABO71)</f>
        <v>0</v>
      </c>
      <c r="ABQ71" s="46">
        <f t="shared" ref="ABQ71:ABQ117" si="1145">RANK(ABR71,$ABR$6:$ABR$117,1)</f>
        <v>15</v>
      </c>
      <c r="ABR71" s="46">
        <f t="shared" si="744"/>
        <v>2.5089999999999995</v>
      </c>
      <c r="ABS71" s="46">
        <f t="shared" ref="ABS71:ABS117" si="1146">(COUNTIF($ABT$6:$ABT$117,ABT71)&gt;1)*1</f>
        <v>1</v>
      </c>
      <c r="ABT71" s="46">
        <f t="shared" ref="ABT71:ABT117" si="1147">RANK(ABU71,$ABU$6:$ABU$117)</f>
        <v>2</v>
      </c>
      <c r="ABU71" s="46" cm="1">
        <f t="array" ref="ABU71">ROUND(VALUE(IFERROR(INDEX(ArchiveResults!$F$5:$IX$116,ComparisonData!A71,ComparisonData!$ABU$1),0)),5)</f>
        <v>0</v>
      </c>
      <c r="ABV71" s="46" cm="1">
        <f t="array" ref="ABV71">ROUND(VALUE(IFERROR(INDEX(ArchiveResults!$F$5:$IX$116,ComparisonData!A71,ComparisonData!$ABV$1),0)),5)</f>
        <v>0</v>
      </c>
      <c r="ABW71" s="46" cm="1">
        <f t="array" ref="ABW71">ROUND(VALUE(IFERROR(INDEX(ArchiveResults!$F$5:$IX$116,ComparisonData!A71,ComparisonData!$ABW$1),0)),5)</f>
        <v>0</v>
      </c>
      <c r="ABX71" s="46" cm="1">
        <f t="array" ref="ABX71">ROUND(VALUE(IFERROR(INDEX(ArchiveResults!$F$5:$IX$116,ComparisonData!A71,ComparisonData!$ABX$1),0)),5)</f>
        <v>0</v>
      </c>
      <c r="ABY71" s="46" cm="1">
        <f t="array" ref="ABY71">ROUND(VALUE(IFERROR(INDEX(ArchiveResults!$F$5:$IX$116,ComparisonData!A71,ComparisonData!$ABY$1),0)),5)</f>
        <v>0</v>
      </c>
      <c r="ABZ71" s="56">
        <v>66</v>
      </c>
      <c r="ACA71" s="53" t="str">
        <f t="shared" si="745"/>
        <v>Perth &amp; Kinross Archive</v>
      </c>
      <c r="ACB71" s="60">
        <f t="shared" ref="ACB71:ACB117" si="1148">INDEX($ABU$6:$ABU$117,MATCH(ABZ71,$ABQ$6:$ABQ$117,0))</f>
        <v>0</v>
      </c>
      <c r="ACC71" s="60">
        <f t="shared" ref="ACC71:ACC117" si="1149">INDEX($ABV$6:$ABV$117,MATCH(ABZ71,$ABQ$6:$ABQ$117,0))</f>
        <v>0</v>
      </c>
      <c r="ACD71" s="60">
        <f t="shared" ref="ACD71:ACD117" si="1150">INDEX($ABW$6:$ABW$117,MATCH(ABZ71,$ABQ$6:$ABQ$117,0))</f>
        <v>0</v>
      </c>
      <c r="ACE71" s="60">
        <f t="shared" ref="ACE71:ACE117" si="1151">INDEX($ABX$6:$ABX$117,MATCH(ABZ71,$ABQ$6:$ABQ$117,0))</f>
        <v>0</v>
      </c>
      <c r="ACF71" s="60">
        <f t="shared" ref="ACF71:ACF117" si="1152">INDEX($ABY$6:$ABY$117,MATCH(ABZ71,$ABQ$6:$ABQ$117,0))</f>
        <v>0</v>
      </c>
      <c r="ACG71" s="76">
        <f t="shared" ref="ACG71:ACG117" si="1153">MAX(ACB71:ACF71)</f>
        <v>0</v>
      </c>
      <c r="ACH71" s="46">
        <f t="shared" ref="ACH71:ACH117" si="1154">RANK(ACI71,$ACI$6:$ACI$117,1)</f>
        <v>15</v>
      </c>
      <c r="ACI71" s="46">
        <f t="shared" si="746"/>
        <v>2.5089999999999995</v>
      </c>
      <c r="ACJ71" s="46">
        <f t="shared" ref="ACJ71:ACJ117" si="1155">(COUNTIF($ACK$6:$ACK$117,ACK71)&gt;1)*1</f>
        <v>1</v>
      </c>
      <c r="ACK71" s="46">
        <f t="shared" ref="ACK71:ACK117" si="1156">RANK(ACL71,$ACL$6:$ACL$117)</f>
        <v>2</v>
      </c>
      <c r="ACL71" s="46">
        <f t="shared" ref="ACL71:ACL117" si="1157">ACM71+(ACN71/1000)</f>
        <v>0</v>
      </c>
      <c r="ACM71" s="46" cm="1">
        <f t="array" ref="ACM71">ROUND(IFERROR(INDEX(ArchiveResults!$F$5:$IX$116,ComparisonData!A71,ComparisonData!$ACM$1),0),5)</f>
        <v>0</v>
      </c>
      <c r="ACN71" s="46" cm="1">
        <f t="array" ref="ACN71">ROUND(IFERROR(INDEX(ArchiveResults!$F$5:$IX$116,ComparisonData!A71,ComparisonData!$ACN$1),0),5)</f>
        <v>0</v>
      </c>
      <c r="ACO71" s="56">
        <v>66</v>
      </c>
      <c r="ACP71" s="53" t="str">
        <f t="shared" si="747"/>
        <v>Perth &amp; Kinross Archive</v>
      </c>
      <c r="ACQ71" s="60">
        <f t="shared" ref="ACQ71:ACQ117" si="1158">INDEX($ACM$6:$ACM$117,MATCH(ACO71,$ACH$6:$ACH$117,0))</f>
        <v>0</v>
      </c>
      <c r="ACR71" s="60">
        <f t="shared" ref="ACR71:ACR117" si="1159">INDEX($ACN$6:$ACN$117,MATCH(ACO71,$ACH$6:$ACH$117,0))</f>
        <v>0</v>
      </c>
      <c r="ACS71" s="76">
        <f t="shared" ref="ACS71:ACS117" si="1160">MAX(ACQ71:ACR71)</f>
        <v>0</v>
      </c>
      <c r="ACT71" s="46">
        <f t="shared" ref="ACT71:ACT117" si="1161">RANK(ACU71,$ACU$6:$ACU$117,1)</f>
        <v>15</v>
      </c>
      <c r="ACU71" s="46">
        <f t="shared" si="748"/>
        <v>2.5089999999999995</v>
      </c>
      <c r="ACV71" s="46">
        <f t="shared" ref="ACV71:ACV117" si="1162">(COUNTIF($ACW$6:$ACW$117,ACW71)&gt;1)*1</f>
        <v>1</v>
      </c>
      <c r="ACW71" s="46">
        <f t="shared" ref="ACW71:ACW117" si="1163">RANK(ACX71,$ACX$6:$ACX$117)</f>
        <v>2</v>
      </c>
      <c r="ACX71" s="46">
        <f t="shared" ref="ACX71:ACX117" si="1164">ACY71+(ACZ71/1000)+(ADA71/100000)</f>
        <v>0</v>
      </c>
      <c r="ACY71" s="46" cm="1">
        <f t="array" ref="ACY71">ROUNDDOWN(IFERROR(INDEX(ArchiveResults!$F$5:$IX$116,ComparisonData!A71,ComparisonData!$ACY$1),0),5)</f>
        <v>0</v>
      </c>
      <c r="ACZ71" s="46" cm="1">
        <f t="array" ref="ACZ71">ROUNDDOWN(IFERROR(INDEX(ArchiveResults!$F$5:$IX$116,ComparisonData!A71,ComparisonData!$ACZ$1),0),5)</f>
        <v>0</v>
      </c>
      <c r="ADA71" s="46" cm="1">
        <f t="array" ref="ADA71">ROUNDDOWN(IFERROR(INDEX(ArchiveResults!$F$5:$IX$116,ComparisonData!A71,ComparisonData!$ADA$1),0),5)</f>
        <v>0</v>
      </c>
      <c r="ADB71" s="56">
        <v>66</v>
      </c>
      <c r="ADC71" s="53" t="str">
        <f t="shared" si="749"/>
        <v>Perth &amp; Kinross Archive</v>
      </c>
      <c r="ADD71" s="60">
        <f t="shared" ref="ADD71:ADD117" si="1165">INDEX($ACY$6:$ACY$117,MATCH(ADB71,$ACT$6:$ACT$117,0))</f>
        <v>0</v>
      </c>
      <c r="ADE71" s="60">
        <f t="shared" ref="ADE71:ADE117" si="1166">INDEX($ACZ$6:$ACZ$117,MATCH(ADB71,$ACT$6:$ACT$117,0))</f>
        <v>0</v>
      </c>
      <c r="ADF71" s="60">
        <f t="shared" ref="ADF71:ADF117" si="1167">INDEX($ADA$6:$ADA$117,MATCH(ADB71,$ACT$6:$ACT$117,0))</f>
        <v>0</v>
      </c>
      <c r="ADG71" s="76">
        <f t="shared" ref="ADG71:ADG117" si="1168">MAX(ADD71:ADF71)</f>
        <v>0</v>
      </c>
    </row>
    <row r="72" spans="1:787" x14ac:dyDescent="0.25">
      <c r="A72" s="46" t="str">
        <f>IF(ISBLANK(ComparisonSelection!F68),"",ROW()-5)</f>
        <v/>
      </c>
      <c r="B72" s="53" t="s">
        <v>520</v>
      </c>
      <c r="C72" s="72">
        <v>0.75899999999999979</v>
      </c>
      <c r="D72" s="55">
        <f t="shared" si="750"/>
        <v>65</v>
      </c>
      <c r="E72" s="54">
        <f t="shared" si="751"/>
        <v>2.7589999999999999</v>
      </c>
      <c r="F72" s="54">
        <f t="shared" si="752"/>
        <v>1</v>
      </c>
      <c r="G72" s="72">
        <f t="shared" si="753"/>
        <v>2</v>
      </c>
      <c r="H72" s="72">
        <f t="shared" si="754"/>
        <v>0</v>
      </c>
      <c r="I72" s="46" cm="1">
        <f t="array" ref="I72">ROUND(IFERROR(INDEX(ArchiveResults!$F$5:$IX$116,ComparisonData!A72,ComparisonData!$I$1),0),5)</f>
        <v>0</v>
      </c>
      <c r="J72" s="46" cm="1">
        <f t="array" ref="J72">ROUND(IFERROR(INDEX(ArchiveResults!$F$5:$IX$116,ComparisonData!A72,ComparisonData!$J$1),0),5)</f>
        <v>0</v>
      </c>
      <c r="K72" s="56">
        <v>67</v>
      </c>
      <c r="L72" s="53" t="str">
        <f t="shared" si="755"/>
        <v>Plymouth Archives, The Box</v>
      </c>
      <c r="M72" s="57">
        <f t="shared" si="640"/>
        <v>0</v>
      </c>
      <c r="N72" s="57">
        <f t="shared" si="641"/>
        <v>0</v>
      </c>
      <c r="O72" s="58">
        <f t="shared" si="756"/>
        <v>0</v>
      </c>
      <c r="P72" s="48">
        <f t="shared" si="757"/>
        <v>65</v>
      </c>
      <c r="Q72" s="54">
        <f t="shared" si="642"/>
        <v>2.7589999999999999</v>
      </c>
      <c r="R72" s="45">
        <f t="shared" si="758"/>
        <v>1</v>
      </c>
      <c r="S72" s="46">
        <f t="shared" si="759"/>
        <v>2</v>
      </c>
      <c r="T72" s="72">
        <f t="shared" si="760"/>
        <v>0</v>
      </c>
      <c r="U72" s="46" cm="1">
        <f t="array" ref="U72">ROUND(IFERROR(INDEX(ArchiveResults!$F$5:$IX$116,ComparisonData!A72,ComparisonData!$U$1),0),5)</f>
        <v>0</v>
      </c>
      <c r="V72" s="46" cm="1">
        <f t="array" ref="V72">ROUND(IFERROR(INDEX(ArchiveResults!$F$5:$IX$116,ComparisonData!A72,ComparisonData!$V$1),0),5)</f>
        <v>0</v>
      </c>
      <c r="W72" s="56">
        <v>67</v>
      </c>
      <c r="X72" s="53" t="str">
        <f t="shared" si="643"/>
        <v>Plymouth Archives, The Box</v>
      </c>
      <c r="Y72" s="57">
        <f t="shared" si="761"/>
        <v>0</v>
      </c>
      <c r="Z72" s="57">
        <f t="shared" si="762"/>
        <v>0</v>
      </c>
      <c r="AA72" s="58">
        <f t="shared" si="763"/>
        <v>0</v>
      </c>
      <c r="AB72" s="45">
        <f t="shared" si="764"/>
        <v>65</v>
      </c>
      <c r="AC72" s="54">
        <f t="shared" si="644"/>
        <v>2.7589999999999999</v>
      </c>
      <c r="AD72" s="45">
        <f t="shared" si="765"/>
        <v>1</v>
      </c>
      <c r="AE72" s="45">
        <f t="shared" si="766"/>
        <v>2</v>
      </c>
      <c r="AF72" s="45">
        <f t="shared" si="639"/>
        <v>0</v>
      </c>
      <c r="AG72" s="46" cm="1">
        <f t="array" ref="AG72">ROUND(IFERROR(INDEX(ArchiveResults!$F$5:$IX$116,ComparisonData!A72,ComparisonData!$AG$1),0),5)</f>
        <v>0</v>
      </c>
      <c r="AH72" s="46" cm="1">
        <f t="array" ref="AH72">ROUND(IFERROR(INDEX(ArchiveResults!$F$5:$IX$116,ComparisonData!A72,ComparisonData!$AH$1),0),5)</f>
        <v>0</v>
      </c>
      <c r="AI72" s="56">
        <v>67</v>
      </c>
      <c r="AJ72" s="53" t="str">
        <f t="shared" si="645"/>
        <v>Plymouth Archives, The Box</v>
      </c>
      <c r="AK72" s="59">
        <f t="shared" si="646"/>
        <v>0</v>
      </c>
      <c r="AL72" s="59">
        <f t="shared" si="647"/>
        <v>0</v>
      </c>
      <c r="AM72" s="58">
        <f t="shared" si="767"/>
        <v>0</v>
      </c>
      <c r="AN72" s="45">
        <f t="shared" si="768"/>
        <v>65</v>
      </c>
      <c r="AO72" s="54">
        <f t="shared" si="648"/>
        <v>2.7589999999999999</v>
      </c>
      <c r="AP72" s="45">
        <f t="shared" si="769"/>
        <v>1</v>
      </c>
      <c r="AQ72" s="45">
        <f t="shared" si="770"/>
        <v>2</v>
      </c>
      <c r="AR72" s="46" cm="1">
        <f t="array" ref="AR72">ROUND(IFERROR(INDEX(ArchiveResults!$F$5:$IX$116,ComparisonData!A72,ComparisonData!$AR$1),0),5)</f>
        <v>0</v>
      </c>
      <c r="AS72" s="46" cm="1">
        <f t="array" ref="AS72">ROUND(IFERROR(INDEX(ArchiveResults!$F$5:$IX$116,ComparisonData!A72,ComparisonData!$AS$1),0),5)</f>
        <v>0</v>
      </c>
      <c r="AT72" s="46" cm="1">
        <f t="array" ref="AT72">ROUND(IFERROR(INDEX(ArchiveResults!$F$5:$IX$116,ComparisonData!A72,ComparisonData!$AT$1),0),5)</f>
        <v>0</v>
      </c>
      <c r="AU72" s="46" cm="1">
        <f t="array" ref="AU72">ROUND(IFERROR(INDEX(ArchiveResults!$F$5:$IX$116,ComparisonData!A72,ComparisonData!$AU$1),0),5)</f>
        <v>0</v>
      </c>
      <c r="AV72" s="46" cm="1">
        <f t="array" ref="AV72">ROUND(IFERROR(INDEX(ArchiveResults!$F$5:$IX$116,ComparisonData!A72,ComparisonData!$AV$1),0),5)</f>
        <v>0</v>
      </c>
      <c r="AW72" s="46" cm="1">
        <f t="array" ref="AW72">ROUND(IFERROR(INDEX(ArchiveResults!$F$5:$IX$116,ComparisonData!A72,ComparisonData!$AW$1),0),5)</f>
        <v>0</v>
      </c>
      <c r="AX72" s="46" cm="1">
        <f t="array" ref="AX72">ROUND(IFERROR(INDEX(ArchiveResults!$F$5:$IX$116,ComparisonData!A72,ComparisonData!$AX$1),0),5)</f>
        <v>0</v>
      </c>
      <c r="AY72" s="46" cm="1">
        <f t="array" ref="AY72">ROUND(IFERROR(INDEX(ArchiveResults!$F$5:$IX$116,ComparisonData!A72,ComparisonData!$AY$1),0),5)</f>
        <v>0</v>
      </c>
      <c r="AZ72" s="46" cm="1">
        <f t="array" ref="AZ72">ROUND(IFERROR(INDEX(ArchiveResults!$F$5:$IX$116,ComparisonData!A72,ComparisonData!$AZ$1),0),5)</f>
        <v>0</v>
      </c>
      <c r="BA72" s="46" cm="1">
        <f t="array" ref="BA72">ROUND(IFERROR(INDEX(ArchiveResults!$F$5:$IX$116,ComparisonData!A72,ComparisonData!$BA$1),0),5)</f>
        <v>0</v>
      </c>
      <c r="BB72" s="56">
        <v>67</v>
      </c>
      <c r="BC72" s="53" t="str">
        <f t="shared" si="649"/>
        <v>Plymouth Archives, The Box</v>
      </c>
      <c r="BD72" s="60">
        <f t="shared" si="771"/>
        <v>0</v>
      </c>
      <c r="BE72" s="60">
        <f t="shared" si="772"/>
        <v>0</v>
      </c>
      <c r="BF72" s="60">
        <f t="shared" si="773"/>
        <v>0</v>
      </c>
      <c r="BG72" s="60">
        <f t="shared" si="774"/>
        <v>0</v>
      </c>
      <c r="BH72" s="60">
        <f t="shared" si="775"/>
        <v>0</v>
      </c>
      <c r="BI72" s="60">
        <f t="shared" si="776"/>
        <v>0</v>
      </c>
      <c r="BJ72" s="60">
        <f t="shared" si="777"/>
        <v>0</v>
      </c>
      <c r="BK72" s="60">
        <f t="shared" si="778"/>
        <v>0</v>
      </c>
      <c r="BL72" s="60">
        <f t="shared" si="779"/>
        <v>0</v>
      </c>
      <c r="BM72" s="59">
        <f t="shared" si="780"/>
        <v>0</v>
      </c>
      <c r="BN72" s="58">
        <f t="shared" si="781"/>
        <v>0</v>
      </c>
      <c r="BO72" s="45">
        <f t="shared" si="782"/>
        <v>65</v>
      </c>
      <c r="BP72" s="54">
        <f t="shared" si="650"/>
        <v>2.7589999999999999</v>
      </c>
      <c r="BQ72" s="45">
        <f t="shared" si="783"/>
        <v>1</v>
      </c>
      <c r="BR72" s="45">
        <f t="shared" si="784"/>
        <v>2</v>
      </c>
      <c r="BS72" s="46" cm="1">
        <f t="array" ref="BS72">ROUND(IFERROR(INDEX(ArchiveResults!$F$5:$IX$116,ComparisonData!A72,ComparisonData!$BS$1),0),5)</f>
        <v>0</v>
      </c>
      <c r="BT72" s="46" cm="1">
        <f t="array" ref="BT72">ROUND(IFERROR(INDEX(ArchiveResults!$F$5:$IX$116,ComparisonData!A72,ComparisonData!$BT$1),0),5)</f>
        <v>0</v>
      </c>
      <c r="BU72" s="46" cm="1">
        <f t="array" ref="BU72">ROUND(IFERROR(INDEX(ArchiveResults!$F$5:$IX$116,ComparisonData!A72,ComparisonData!$BU$1),0),5)</f>
        <v>0</v>
      </c>
      <c r="BV72" s="46" cm="1">
        <f t="array" ref="BV72">ROUND(IFERROR(INDEX(ArchiveResults!$F$5:$IX$116,ComparisonData!A72,ComparisonData!$BV$1),0),5)</f>
        <v>0</v>
      </c>
      <c r="BW72" s="46" cm="1">
        <f t="array" ref="BW72">ROUND(IFERROR(INDEX(ArchiveResults!$F$5:$IX$116,ComparisonData!A72,ComparisonData!$BW$1),0),5)</f>
        <v>0</v>
      </c>
      <c r="BX72" s="46" cm="1">
        <f t="array" ref="BX72">ROUND(IFERROR(INDEX(ArchiveResults!$F$5:$IX$116,ComparisonData!A72,ComparisonData!$BX$1),0),5)</f>
        <v>0</v>
      </c>
      <c r="BY72" s="56">
        <v>67</v>
      </c>
      <c r="BZ72" s="53" t="str">
        <f t="shared" si="651"/>
        <v>Plymouth Archives, The Box</v>
      </c>
      <c r="CA72" s="59">
        <f t="shared" si="785"/>
        <v>0</v>
      </c>
      <c r="CB72" s="59">
        <f t="shared" si="786"/>
        <v>0</v>
      </c>
      <c r="CC72" s="59">
        <f t="shared" si="787"/>
        <v>0</v>
      </c>
      <c r="CD72" s="59">
        <f t="shared" si="788"/>
        <v>0</v>
      </c>
      <c r="CE72" s="59">
        <f t="shared" si="789"/>
        <v>0</v>
      </c>
      <c r="CF72" s="59">
        <f t="shared" si="790"/>
        <v>0</v>
      </c>
      <c r="CG72" s="58">
        <f t="shared" si="791"/>
        <v>0</v>
      </c>
      <c r="CH72" s="45">
        <f t="shared" si="792"/>
        <v>65</v>
      </c>
      <c r="CI72" s="54">
        <f t="shared" si="652"/>
        <v>2.7589999999999999</v>
      </c>
      <c r="CJ72" s="45">
        <f t="shared" si="793"/>
        <v>1</v>
      </c>
      <c r="CK72" s="45">
        <f t="shared" si="794"/>
        <v>2</v>
      </c>
      <c r="CL72" s="46" cm="1">
        <f t="array" ref="CL72">ROUND(IFERROR(INDEX(ArchiveResults!$F$5:$IX$116,ComparisonData!A72,ComparisonData!$CL$1),0),5)</f>
        <v>0</v>
      </c>
      <c r="CM72" s="56">
        <v>67</v>
      </c>
      <c r="CN72" s="53" t="str">
        <f t="shared" si="653"/>
        <v>Plymouth Archives, The Box</v>
      </c>
      <c r="CO72" s="45">
        <f t="shared" si="795"/>
        <v>0</v>
      </c>
      <c r="CP72" s="58">
        <f t="shared" si="796"/>
        <v>0</v>
      </c>
      <c r="CQ72" s="45">
        <f t="shared" si="797"/>
        <v>65</v>
      </c>
      <c r="CR72" s="54">
        <f t="shared" si="654"/>
        <v>2.7589999999999999</v>
      </c>
      <c r="CS72" s="45">
        <f t="shared" si="798"/>
        <v>1</v>
      </c>
      <c r="CT72" s="45">
        <f t="shared" si="799"/>
        <v>2</v>
      </c>
      <c r="CU72" s="46" cm="1">
        <f t="array" ref="CU72">ROUND(IFERROR(INDEX(ArchiveResults!$F$5:$IX$116,ComparisonData!A72,ComparisonData!$CU$1),0),5)</f>
        <v>0</v>
      </c>
      <c r="CV72" s="56">
        <v>67</v>
      </c>
      <c r="CW72" s="53" t="str">
        <f t="shared" si="655"/>
        <v>Plymouth Archives, The Box</v>
      </c>
      <c r="CX72" s="45">
        <f t="shared" si="800"/>
        <v>0</v>
      </c>
      <c r="CY72" s="58">
        <f t="shared" si="801"/>
        <v>0</v>
      </c>
      <c r="CZ72" s="45">
        <f t="shared" si="802"/>
        <v>65</v>
      </c>
      <c r="DA72" s="54">
        <f t="shared" si="656"/>
        <v>2.7589999999999999</v>
      </c>
      <c r="DB72" s="45">
        <f t="shared" si="803"/>
        <v>1</v>
      </c>
      <c r="DC72" s="45">
        <f t="shared" si="804"/>
        <v>2</v>
      </c>
      <c r="DD72" s="46" cm="1">
        <f t="array" ref="DD72">ROUND(IFERROR(INDEX(ArchiveResults!$F$5:$IX$116,ComparisonData!A72,ComparisonData!$DD$1),0),5)</f>
        <v>0</v>
      </c>
      <c r="DE72" s="56">
        <v>67</v>
      </c>
      <c r="DF72" s="53" t="str">
        <f t="shared" si="657"/>
        <v>Plymouth Archives, The Box</v>
      </c>
      <c r="DG72" s="45">
        <f t="shared" si="805"/>
        <v>0</v>
      </c>
      <c r="DH72" s="58">
        <f t="shared" si="806"/>
        <v>0</v>
      </c>
      <c r="DI72" s="45">
        <f t="shared" si="807"/>
        <v>65</v>
      </c>
      <c r="DJ72" s="54">
        <f t="shared" si="658"/>
        <v>2.7589999999999999</v>
      </c>
      <c r="DK72" s="45">
        <f t="shared" si="808"/>
        <v>1</v>
      </c>
      <c r="DL72" s="45">
        <f t="shared" si="809"/>
        <v>2</v>
      </c>
      <c r="DM72" s="46" cm="1">
        <f t="array" ref="DM72">ROUND(IFERROR(INDEX(ArchiveResults!$F$5:$IX$116,ComparisonData!A72,ComparisonData!$DM$1),0),5)</f>
        <v>0</v>
      </c>
      <c r="DN72" s="46" cm="1">
        <f t="array" ref="DN72">ROUND(IFERROR(INDEX(ArchiveResults!$F$5:$IX$116,ComparisonData!A72,ComparisonData!$DN$1),0),5)</f>
        <v>0</v>
      </c>
      <c r="DO72" s="46" cm="1">
        <f t="array" ref="DO72">ROUND(IFERROR(INDEX(ArchiveResults!$F$5:$IX$116,ComparisonData!A72,ComparisonData!$DO$1),0),5)</f>
        <v>0</v>
      </c>
      <c r="DP72" s="46" cm="1">
        <f t="array" ref="DP72">ROUND(IFERROR(INDEX(ArchiveResults!$F$5:$IX$116,ComparisonData!A72,ComparisonData!$DP$1),0),5)</f>
        <v>0</v>
      </c>
      <c r="DQ72" s="45" cm="1">
        <f t="array" ref="DQ72">IFERROR(INDEX(ArchiveResults!$F$5:$IX$116,ComparisonData!A72,ComparisonData!$DQ$1),0)</f>
        <v>0</v>
      </c>
      <c r="DR72" s="56">
        <v>67</v>
      </c>
      <c r="DS72" s="53" t="str">
        <f t="shared" si="659"/>
        <v>Plymouth Archives, The Box</v>
      </c>
      <c r="DT72" s="59">
        <f t="shared" si="810"/>
        <v>0</v>
      </c>
      <c r="DU72" s="59">
        <f t="shared" si="811"/>
        <v>0</v>
      </c>
      <c r="DV72" s="59">
        <f t="shared" si="812"/>
        <v>0</v>
      </c>
      <c r="DW72" s="59">
        <f t="shared" si="813"/>
        <v>0</v>
      </c>
      <c r="DX72" s="59">
        <f t="shared" si="814"/>
        <v>0</v>
      </c>
      <c r="DY72" s="58">
        <f t="shared" si="815"/>
        <v>0</v>
      </c>
      <c r="DZ72" s="45">
        <f t="shared" si="816"/>
        <v>65</v>
      </c>
      <c r="EA72" s="54">
        <f t="shared" si="660"/>
        <v>2.7589999999999999</v>
      </c>
      <c r="EB72" s="45">
        <f t="shared" si="817"/>
        <v>1</v>
      </c>
      <c r="EC72" s="45">
        <f t="shared" si="818"/>
        <v>2</v>
      </c>
      <c r="ED72" s="46" cm="1">
        <f t="array" ref="ED72">ROUND(IFERROR(INDEX(ArchiveResults!$F$5:$IX$116,ComparisonData!A72,ComparisonData!$ED$1),0),5)</f>
        <v>0</v>
      </c>
      <c r="EE72" s="46" cm="1">
        <f t="array" ref="EE72">ROUND(IFERROR(INDEX(ArchiveResults!$F$5:$IX$116,ComparisonData!A72,ComparisonData!$EE$1),0),5)</f>
        <v>0</v>
      </c>
      <c r="EF72" s="46" cm="1">
        <f t="array" ref="EF72">ROUND(IFERROR(INDEX(ArchiveResults!$F$5:$IX$116,ComparisonData!A72,ComparisonData!$EF$1),0),5)</f>
        <v>0</v>
      </c>
      <c r="EG72" s="46" cm="1">
        <f t="array" ref="EG72">ROUND(IFERROR(INDEX(ArchiveResults!$F$5:$IX$116,ComparisonData!A72,ComparisonData!$EG$1),0),5)</f>
        <v>0</v>
      </c>
      <c r="EH72" s="45" cm="1">
        <f t="array" ref="EH72">IFERROR(INDEX(ArchiveResults!$F$5:$IX$116,ComparisonData!A72,ComparisonData!$EH$1),0)</f>
        <v>0</v>
      </c>
      <c r="EI72" s="56">
        <v>67</v>
      </c>
      <c r="EJ72" s="53" t="str">
        <f t="shared" si="661"/>
        <v>Plymouth Archives, The Box</v>
      </c>
      <c r="EK72" s="59">
        <f t="shared" si="819"/>
        <v>0</v>
      </c>
      <c r="EL72" s="59">
        <f t="shared" si="820"/>
        <v>0</v>
      </c>
      <c r="EM72" s="59">
        <f t="shared" si="821"/>
        <v>0</v>
      </c>
      <c r="EN72" s="59">
        <f t="shared" si="822"/>
        <v>0</v>
      </c>
      <c r="EO72" s="59">
        <f t="shared" si="823"/>
        <v>0</v>
      </c>
      <c r="EP72" s="58">
        <f t="shared" si="824"/>
        <v>0</v>
      </c>
      <c r="EQ72" s="45">
        <f t="shared" si="825"/>
        <v>65</v>
      </c>
      <c r="ER72" s="54">
        <f t="shared" si="662"/>
        <v>2.7589999999999999</v>
      </c>
      <c r="ES72" s="45">
        <f t="shared" si="826"/>
        <v>1</v>
      </c>
      <c r="ET72" s="45">
        <f t="shared" si="827"/>
        <v>2</v>
      </c>
      <c r="EU72" s="46" cm="1">
        <f t="array" ref="EU72">ROUND(IFERROR(INDEX(ArchiveResults!$F$5:$IX$116,ComparisonData!A72,ComparisonData!$EU$1),0),5)</f>
        <v>0</v>
      </c>
      <c r="EV72" s="46" cm="1">
        <f t="array" ref="EV72">ROUND(IFERROR(INDEX(ArchiveResults!$F$5:$IX$116,ComparisonData!A72,ComparisonData!$EV$1),0),5)</f>
        <v>0</v>
      </c>
      <c r="EW72" s="46" cm="1">
        <f t="array" ref="EW72">ROUND(IFERROR(INDEX(ArchiveResults!$F$5:$IX$116,ComparisonData!A72,ComparisonData!$EW$1),0),5)</f>
        <v>0</v>
      </c>
      <c r="EX72" s="46" cm="1">
        <f t="array" ref="EX72">ROUND(IFERROR(INDEX(ArchiveResults!$F$5:$IX$116,ComparisonData!A72,ComparisonData!$EX$1),0),5)</f>
        <v>0</v>
      </c>
      <c r="EY72" s="45" cm="1">
        <f t="array" ref="EY72">IFERROR(INDEX(ArchiveResults!$F$5:$IX$116,ComparisonData!A72,ComparisonData!$EY$1),0)</f>
        <v>0</v>
      </c>
      <c r="EZ72" s="56">
        <v>67</v>
      </c>
      <c r="FA72" s="53" t="str">
        <f t="shared" si="663"/>
        <v>Plymouth Archives, The Box</v>
      </c>
      <c r="FB72" s="59">
        <f t="shared" si="828"/>
        <v>0</v>
      </c>
      <c r="FC72" s="59">
        <f t="shared" si="829"/>
        <v>0</v>
      </c>
      <c r="FD72" s="59">
        <f t="shared" si="830"/>
        <v>0</v>
      </c>
      <c r="FE72" s="59">
        <f t="shared" si="831"/>
        <v>0</v>
      </c>
      <c r="FF72" s="59">
        <f t="shared" si="832"/>
        <v>0</v>
      </c>
      <c r="FG72" s="58">
        <f t="shared" si="833"/>
        <v>0</v>
      </c>
      <c r="FH72" s="45">
        <f t="shared" si="834"/>
        <v>65</v>
      </c>
      <c r="FI72" s="54">
        <f t="shared" si="664"/>
        <v>2.7589999999999999</v>
      </c>
      <c r="FJ72" s="45">
        <f t="shared" si="835"/>
        <v>1</v>
      </c>
      <c r="FK72" s="45">
        <f t="shared" si="836"/>
        <v>2</v>
      </c>
      <c r="FL72" s="46" cm="1">
        <f t="array" ref="FL72">ROUND(IFERROR(INDEX(ArchiveResults!$F$5:$IX$116,ComparisonData!A72,ComparisonData!$FL$1),0),5)</f>
        <v>0</v>
      </c>
      <c r="FM72" s="46" cm="1">
        <f t="array" ref="FM72">ROUND(IFERROR(INDEX(ArchiveResults!$F$5:$IX$116,ComparisonData!A72,ComparisonData!$FM$1),0),5)</f>
        <v>0</v>
      </c>
      <c r="FN72" s="46" cm="1">
        <f t="array" ref="FN72">ROUND(IFERROR(INDEX(ArchiveResults!$F$5:$IX$116,ComparisonData!A72,ComparisonData!$FN$1),0),5)</f>
        <v>0</v>
      </c>
      <c r="FO72" s="46" cm="1">
        <f t="array" ref="FO72">ROUND(IFERROR(INDEX(ArchiveResults!$F$5:$IX$116,ComparisonData!A72,ComparisonData!$FO$1),0),5)</f>
        <v>0</v>
      </c>
      <c r="FP72" s="45" cm="1">
        <f t="array" ref="FP72">IFERROR(INDEX(ArchiveResults!$F$5:$IX$116,ComparisonData!A72,ComparisonData!$FP$1),0)</f>
        <v>0</v>
      </c>
      <c r="FQ72" s="56">
        <v>67</v>
      </c>
      <c r="FR72" s="53" t="str">
        <f t="shared" si="665"/>
        <v>Plymouth Archives, The Box</v>
      </c>
      <c r="FS72" s="59">
        <f t="shared" si="837"/>
        <v>0</v>
      </c>
      <c r="FT72" s="59">
        <f t="shared" si="838"/>
        <v>0</v>
      </c>
      <c r="FU72" s="59">
        <f t="shared" si="839"/>
        <v>0</v>
      </c>
      <c r="FV72" s="59">
        <f t="shared" si="840"/>
        <v>0</v>
      </c>
      <c r="FW72" s="59">
        <f t="shared" si="841"/>
        <v>0</v>
      </c>
      <c r="FX72" s="58">
        <f t="shared" si="842"/>
        <v>0</v>
      </c>
      <c r="FY72" s="45">
        <f t="shared" si="843"/>
        <v>65</v>
      </c>
      <c r="FZ72" s="45">
        <f t="shared" si="666"/>
        <v>2.7589999999999999</v>
      </c>
      <c r="GA72" s="45">
        <f t="shared" si="844"/>
        <v>1</v>
      </c>
      <c r="GB72" s="45">
        <f t="shared" si="845"/>
        <v>2</v>
      </c>
      <c r="GC72" s="46" cm="1">
        <f t="array" ref="GC72">ROUND(IFERROR(INDEX(ArchiveResults!$F$5:$IX$116,ComparisonData!A72,ComparisonData!$GC$1),0),5)</f>
        <v>0</v>
      </c>
      <c r="GD72" s="46" cm="1">
        <f t="array" ref="GD72">ROUND(IFERROR(INDEX(ArchiveResults!$F$5:$IX$116,ComparisonData!A72,ComparisonData!$GD$1),0),5)</f>
        <v>0</v>
      </c>
      <c r="GE72" s="46" cm="1">
        <f t="array" ref="GE72">ROUND(IFERROR(INDEX(ArchiveResults!$F$5:$IX$116,ComparisonData!A72,ComparisonData!$GE$1),0),5)</f>
        <v>0</v>
      </c>
      <c r="GF72" s="46" cm="1">
        <f t="array" ref="GF72">ROUND(IFERROR(INDEX(ArchiveResults!$F$5:$IX$116,ComparisonData!A72,ComparisonData!$GF$1),0),5)</f>
        <v>0</v>
      </c>
      <c r="GG72" s="45" cm="1">
        <f t="array" ref="GG72">IFERROR(INDEX(ArchiveResults!$F$5:$IX$116,ComparisonData!A72,ComparisonData!$GG$1),0)</f>
        <v>0</v>
      </c>
      <c r="GH72" s="56">
        <v>67</v>
      </c>
      <c r="GI72" s="53" t="str">
        <f t="shared" si="667"/>
        <v>Plymouth Archives, The Box</v>
      </c>
      <c r="GJ72" s="59">
        <f t="shared" si="846"/>
        <v>0</v>
      </c>
      <c r="GK72" s="59">
        <f t="shared" si="847"/>
        <v>0</v>
      </c>
      <c r="GL72" s="59">
        <f t="shared" si="848"/>
        <v>0</v>
      </c>
      <c r="GM72" s="59">
        <f t="shared" si="849"/>
        <v>0</v>
      </c>
      <c r="GN72" s="59">
        <f t="shared" si="850"/>
        <v>0</v>
      </c>
      <c r="GO72" s="58">
        <f t="shared" si="851"/>
        <v>0</v>
      </c>
      <c r="GP72" s="45">
        <f t="shared" si="852"/>
        <v>65</v>
      </c>
      <c r="GQ72" s="45">
        <f t="shared" si="668"/>
        <v>2.7589999999999999</v>
      </c>
      <c r="GR72" s="45">
        <f t="shared" si="853"/>
        <v>1</v>
      </c>
      <c r="GS72" s="45">
        <f t="shared" si="854"/>
        <v>2</v>
      </c>
      <c r="GT72" s="46" cm="1">
        <f t="array" ref="GT72">ROUND(IFERROR(INDEX(ArchiveResults!$F$5:$IX$116,ComparisonData!A72,ComparisonData!$GT$1),0),5)</f>
        <v>0</v>
      </c>
      <c r="GU72" s="46" cm="1">
        <f t="array" ref="GU72">ROUND(IFERROR(INDEX(ArchiveResults!$F$5:$IX$116,ComparisonData!A72,ComparisonData!$GU$1),0),5)</f>
        <v>0</v>
      </c>
      <c r="GV72" s="46" cm="1">
        <f t="array" ref="GV72">ROUND(IFERROR(INDEX(ArchiveResults!$F$5:$IX$116,ComparisonData!A72,ComparisonData!$GV$1),0),5)</f>
        <v>0</v>
      </c>
      <c r="GW72" s="46" cm="1">
        <f t="array" ref="GW72">ROUND(IFERROR(INDEX(ArchiveResults!$F$5:$IX$116,ComparisonData!A72,ComparisonData!$GW$1),0),5)</f>
        <v>0</v>
      </c>
      <c r="GX72" s="45" cm="1">
        <f t="array" ref="GX72">IFERROR(INDEX(ArchiveResults!$F$5:$IX$116,ComparisonData!A72,ComparisonData!$GX$1),0)</f>
        <v>0</v>
      </c>
      <c r="GY72" s="56">
        <v>67</v>
      </c>
      <c r="GZ72" s="53" t="str">
        <f t="shared" si="669"/>
        <v>Plymouth Archives, The Box</v>
      </c>
      <c r="HA72" s="59">
        <f t="shared" si="855"/>
        <v>0</v>
      </c>
      <c r="HB72" s="59">
        <f t="shared" si="856"/>
        <v>0</v>
      </c>
      <c r="HC72" s="59">
        <f t="shared" si="857"/>
        <v>0</v>
      </c>
      <c r="HD72" s="59">
        <f t="shared" si="858"/>
        <v>0</v>
      </c>
      <c r="HE72" s="59">
        <f t="shared" si="859"/>
        <v>0</v>
      </c>
      <c r="HF72" s="58">
        <f t="shared" si="860"/>
        <v>0</v>
      </c>
      <c r="HG72" s="45">
        <f t="shared" si="861"/>
        <v>65</v>
      </c>
      <c r="HH72" s="45">
        <f t="shared" si="670"/>
        <v>2.7589999999999999</v>
      </c>
      <c r="HI72" s="45">
        <f t="shared" si="862"/>
        <v>1</v>
      </c>
      <c r="HJ72" s="45">
        <f t="shared" si="863"/>
        <v>2</v>
      </c>
      <c r="HK72" s="46" cm="1">
        <f t="array" ref="HK72">ROUND(IFERROR(INDEX(ArchiveResults!$F$5:$IX$116,ComparisonData!A72,ComparisonData!$HK$1),0),5)</f>
        <v>0</v>
      </c>
      <c r="HL72" s="46" cm="1">
        <f t="array" ref="HL72">ROUND(IFERROR(INDEX(ArchiveResults!$F$5:$IX$116,ComparisonData!A72,ComparisonData!$HL$1),0),5)</f>
        <v>0</v>
      </c>
      <c r="HM72" s="46" cm="1">
        <f t="array" ref="HM72">ROUND(IFERROR(INDEX(ArchiveResults!$F$5:$IX$116,ComparisonData!A72,ComparisonData!$HM$1),0),5)</f>
        <v>0</v>
      </c>
      <c r="HN72" s="46" cm="1">
        <f t="array" ref="HN72">ROUND(IFERROR(INDEX(ArchiveResults!$F$5:$IX$116,ComparisonData!A72,ComparisonData!$HN$1),0),5)</f>
        <v>0</v>
      </c>
      <c r="HO72" s="45" cm="1">
        <f t="array" ref="HO72">IFERROR(INDEX(ArchiveResults!$F$5:$IX$116,ComparisonData!A72,ComparisonData!$HO$1),0)</f>
        <v>0</v>
      </c>
      <c r="HP72" s="56">
        <v>67</v>
      </c>
      <c r="HQ72" s="53" t="str">
        <f t="shared" si="671"/>
        <v>Plymouth Archives, The Box</v>
      </c>
      <c r="HR72" s="59">
        <f t="shared" si="672"/>
        <v>0</v>
      </c>
      <c r="HS72" s="59">
        <f t="shared" si="673"/>
        <v>0</v>
      </c>
      <c r="HT72" s="59">
        <f t="shared" si="674"/>
        <v>0</v>
      </c>
      <c r="HU72" s="59">
        <f t="shared" si="675"/>
        <v>0</v>
      </c>
      <c r="HV72" s="59">
        <f t="shared" si="676"/>
        <v>0</v>
      </c>
      <c r="HW72" s="58">
        <f t="shared" si="864"/>
        <v>0</v>
      </c>
      <c r="HX72" s="45">
        <f t="shared" si="865"/>
        <v>65</v>
      </c>
      <c r="HY72" s="45">
        <f t="shared" si="677"/>
        <v>2.7589999999999999</v>
      </c>
      <c r="HZ72" s="45">
        <f t="shared" si="866"/>
        <v>1</v>
      </c>
      <c r="IA72" s="45">
        <f t="shared" si="867"/>
        <v>2</v>
      </c>
      <c r="IB72" s="45">
        <f t="shared" si="868"/>
        <v>0</v>
      </c>
      <c r="IC72" s="46" cm="1">
        <f t="array" ref="IC72">ROUND(IFERROR(INDEX(ArchiveResults!$F$5:$IX$116,ComparisonData!A72,ComparisonData!$IC$1),0),5)</f>
        <v>0</v>
      </c>
      <c r="ID72" s="46" cm="1">
        <f t="array" ref="ID72">ROUND(IFERROR(INDEX(ArchiveResults!$F$5:$IX$116,ComparisonData!A72,ComparisonData!$ID$1),0),5)</f>
        <v>0</v>
      </c>
      <c r="IE72" s="46" cm="1">
        <f t="array" ref="IE72">ROUND(IFERROR(INDEX(ArchiveResults!$F$5:$IX$116,ComparisonData!A72,ComparisonData!$IE$1),0),5)</f>
        <v>0</v>
      </c>
      <c r="IF72" s="46" cm="1">
        <f t="array" ref="IF72">ROUND(IFERROR(INDEX(ArchiveResults!$F$5:$IX$116,ComparisonData!A72,ComparisonData!$IF$1),0),5)</f>
        <v>0</v>
      </c>
      <c r="IG72" s="45" cm="1">
        <f t="array" ref="IG72">IFERROR(INDEX(ArchiveResults!$F$5:$IX$116,ComparisonData!A72,ComparisonData!$IG$1),0)</f>
        <v>0</v>
      </c>
      <c r="IH72" s="56">
        <v>67</v>
      </c>
      <c r="II72" s="53" t="str">
        <f t="shared" si="678"/>
        <v>Plymouth Archives, The Box</v>
      </c>
      <c r="IJ72" s="59">
        <f t="shared" si="869"/>
        <v>0</v>
      </c>
      <c r="IK72" s="59">
        <f t="shared" si="870"/>
        <v>0</v>
      </c>
      <c r="IL72" s="59">
        <f t="shared" si="871"/>
        <v>0</v>
      </c>
      <c r="IM72" s="59">
        <f t="shared" si="872"/>
        <v>0</v>
      </c>
      <c r="IN72" s="59">
        <f t="shared" si="873"/>
        <v>0</v>
      </c>
      <c r="IO72" s="58">
        <f t="shared" si="874"/>
        <v>0</v>
      </c>
      <c r="IP72" s="45">
        <f t="shared" si="875"/>
        <v>65</v>
      </c>
      <c r="IQ72" s="45">
        <f t="shared" si="679"/>
        <v>2.7589999999999999</v>
      </c>
      <c r="IR72" s="45">
        <f t="shared" si="876"/>
        <v>1</v>
      </c>
      <c r="IS72" s="45">
        <f t="shared" si="877"/>
        <v>2</v>
      </c>
      <c r="IT72" s="46">
        <f t="shared" si="878"/>
        <v>0</v>
      </c>
      <c r="IU72" s="46" cm="1">
        <f t="array" ref="IU72">ROUND(IFERROR(INDEX(ArchiveResults!$F$5:$IX$116,ComparisonData!A72,ComparisonData!$IU$1),0),5)</f>
        <v>0</v>
      </c>
      <c r="IV72" s="46" cm="1">
        <f t="array" ref="IV72">ROUND(IFERROR(INDEX(ArchiveResults!$F$5:$IX$116,ComparisonData!A72,ComparisonData!$IV$1),0),5)</f>
        <v>0</v>
      </c>
      <c r="IW72" s="46" cm="1">
        <f t="array" ref="IW72">ROUND(IFERROR(INDEX(ArchiveResults!$F$5:$IX$116,ComparisonData!A72,ComparisonData!$IW$1),0),5)</f>
        <v>0</v>
      </c>
      <c r="IX72" s="46" cm="1">
        <f t="array" ref="IX72">ROUND(IFERROR(INDEX(ArchiveResults!$F$5:$IX$116,ComparisonData!A72,ComparisonData!$IX$1),0),5)</f>
        <v>0</v>
      </c>
      <c r="IY72" s="45" cm="1">
        <f t="array" ref="IY72">IFERROR(INDEX(ArchiveResults!$F$5:$IX$116,ComparisonData!A72,ComparisonData!$IY$1),0)</f>
        <v>0</v>
      </c>
      <c r="IZ72" s="56">
        <v>67</v>
      </c>
      <c r="JA72" s="53" t="str">
        <f t="shared" si="680"/>
        <v>Plymouth Archives, The Box</v>
      </c>
      <c r="JB72" s="59">
        <f t="shared" si="879"/>
        <v>0</v>
      </c>
      <c r="JC72" s="59">
        <f t="shared" si="880"/>
        <v>0</v>
      </c>
      <c r="JD72" s="59">
        <f t="shared" si="881"/>
        <v>0</v>
      </c>
      <c r="JE72" s="59">
        <f t="shared" si="882"/>
        <v>0</v>
      </c>
      <c r="JF72" s="59">
        <f t="shared" si="883"/>
        <v>0</v>
      </c>
      <c r="JG72" s="58">
        <f t="shared" si="884"/>
        <v>0</v>
      </c>
      <c r="JH72" s="45">
        <f t="shared" si="885"/>
        <v>65</v>
      </c>
      <c r="JI72" s="45">
        <f t="shared" si="681"/>
        <v>2.7589999999999999</v>
      </c>
      <c r="JJ72" s="45">
        <f t="shared" si="886"/>
        <v>1</v>
      </c>
      <c r="JK72" s="45">
        <f t="shared" si="887"/>
        <v>2</v>
      </c>
      <c r="JL72" s="45">
        <f t="shared" si="888"/>
        <v>0</v>
      </c>
      <c r="JM72" s="46" cm="1">
        <f t="array" ref="JM72">ROUND(IFERROR(INDEX(ArchiveResults!$F$5:$IX$116,ComparisonData!A72,ComparisonData!$JM$1),0),5)</f>
        <v>0</v>
      </c>
      <c r="JN72" s="46" cm="1">
        <f t="array" ref="JN72">ROUND(IFERROR(INDEX(ArchiveResults!$F$5:$IX$116,ComparisonData!A72,ComparisonData!$JN$1),0),5)</f>
        <v>0</v>
      </c>
      <c r="JO72" s="46" cm="1">
        <f t="array" ref="JO72">ROUND(IFERROR(INDEX(ArchiveResults!$F$5:$IX$116,ComparisonData!A72,ComparisonData!$JO$1),0),5)</f>
        <v>0</v>
      </c>
      <c r="JP72" s="46" cm="1">
        <f t="array" ref="JP72">ROUND(IFERROR(INDEX(ArchiveResults!$F$5:$IX$116,ComparisonData!A72,ComparisonData!$JP$1),0),5)</f>
        <v>0</v>
      </c>
      <c r="JQ72" s="45" cm="1">
        <f t="array" ref="JQ72">IFERROR(INDEX(ArchiveResults!$F$5:$IX$116,ComparisonData!A72,ComparisonData!$JQ$1),0)</f>
        <v>0</v>
      </c>
      <c r="JR72" s="56">
        <v>67</v>
      </c>
      <c r="JS72" s="53" t="str">
        <f t="shared" si="682"/>
        <v>Plymouth Archives, The Box</v>
      </c>
      <c r="JT72" s="59">
        <f t="shared" si="889"/>
        <v>0</v>
      </c>
      <c r="JU72" s="59">
        <f t="shared" si="890"/>
        <v>0</v>
      </c>
      <c r="JV72" s="59">
        <f t="shared" si="891"/>
        <v>0</v>
      </c>
      <c r="JW72" s="59">
        <f t="shared" si="892"/>
        <v>0</v>
      </c>
      <c r="JX72" s="59">
        <f t="shared" si="893"/>
        <v>0</v>
      </c>
      <c r="JY72" s="58">
        <f t="shared" si="894"/>
        <v>0</v>
      </c>
      <c r="JZ72" s="45">
        <f t="shared" si="895"/>
        <v>65</v>
      </c>
      <c r="KA72" s="45">
        <f t="shared" si="683"/>
        <v>2.7589999999999999</v>
      </c>
      <c r="KB72" s="45">
        <f t="shared" si="896"/>
        <v>1</v>
      </c>
      <c r="KC72" s="45">
        <f t="shared" si="897"/>
        <v>2</v>
      </c>
      <c r="KD72" s="45">
        <f t="shared" si="898"/>
        <v>0</v>
      </c>
      <c r="KE72" s="46" cm="1">
        <f t="array" ref="KE72">ROUND(IFERROR(INDEX(ArchiveResults!$F$5:$IX$116,ComparisonData!A72,ComparisonData!$KE$1),0),5)</f>
        <v>0</v>
      </c>
      <c r="KF72" s="46" cm="1">
        <f t="array" ref="KF72">ROUND(IFERROR(INDEX(ArchiveResults!$F$5:$IX$116,ComparisonData!A72,ComparisonData!$KF$1),0),5)</f>
        <v>0</v>
      </c>
      <c r="KG72" s="46" cm="1">
        <f t="array" ref="KG72">ROUND(IFERROR(INDEX(ArchiveResults!$F$5:$IX$116,ComparisonData!A72,ComparisonData!$KG$1),0),5)</f>
        <v>0</v>
      </c>
      <c r="KH72" s="46" cm="1">
        <f t="array" ref="KH72">ROUND(IFERROR(INDEX(ArchiveResults!$F$5:$IX$116,ComparisonData!A72,ComparisonData!$KH$1),0),5)</f>
        <v>0</v>
      </c>
      <c r="KI72" s="45" cm="1">
        <f t="array" ref="KI72">IFERROR(INDEX(ArchiveResults!$F$5:$IX$116,ComparisonData!A72,ComparisonData!$KI$1),0)</f>
        <v>0</v>
      </c>
      <c r="KJ72" s="56">
        <v>67</v>
      </c>
      <c r="KK72" s="53" t="str">
        <f t="shared" si="684"/>
        <v>Plymouth Archives, The Box</v>
      </c>
      <c r="KL72" s="59">
        <f t="shared" si="899"/>
        <v>0</v>
      </c>
      <c r="KM72" s="59">
        <f t="shared" si="900"/>
        <v>0</v>
      </c>
      <c r="KN72" s="59">
        <f t="shared" si="901"/>
        <v>0</v>
      </c>
      <c r="KO72" s="59">
        <f t="shared" si="902"/>
        <v>0</v>
      </c>
      <c r="KP72" s="59">
        <f t="shared" si="903"/>
        <v>0</v>
      </c>
      <c r="KQ72" s="58">
        <f t="shared" si="904"/>
        <v>0</v>
      </c>
      <c r="KR72" s="45">
        <f t="shared" si="905"/>
        <v>65</v>
      </c>
      <c r="KS72" s="45">
        <f t="shared" si="685"/>
        <v>2.7589999999999999</v>
      </c>
      <c r="KT72" s="45">
        <f t="shared" si="906"/>
        <v>1</v>
      </c>
      <c r="KU72" s="45">
        <f t="shared" si="907"/>
        <v>2</v>
      </c>
      <c r="KV72" s="45">
        <f t="shared" si="908"/>
        <v>0</v>
      </c>
      <c r="KW72" s="46" cm="1">
        <f t="array" ref="KW72">ROUND(IFERROR(INDEX(ArchiveResults!$F$5:$IX$116,ComparisonData!A72,ComparisonData!$KW$1),0),5)</f>
        <v>0</v>
      </c>
      <c r="KX72" s="46" cm="1">
        <f t="array" ref="KX72">ROUND(IFERROR(INDEX(ArchiveResults!$F$5:$IX$116,ComparisonData!A72,ComparisonData!$KX$1),0),5)</f>
        <v>0</v>
      </c>
      <c r="KY72" s="46" cm="1">
        <f t="array" ref="KY72">ROUND(IFERROR(INDEX(ArchiveResults!$F$5:$IX$116,ComparisonData!A72,ComparisonData!$KY$1),0),5)</f>
        <v>0</v>
      </c>
      <c r="KZ72" s="46" cm="1">
        <f t="array" ref="KZ72">ROUND(IFERROR(INDEX(ArchiveResults!$F$5:$IX$116,ComparisonData!A72,ComparisonData!$KZ$1),0),5)</f>
        <v>0</v>
      </c>
      <c r="LA72" s="45" cm="1">
        <f t="array" ref="LA72">IFERROR(INDEX(ArchiveResults!$F$5:$IX$116,ComparisonData!A72,ComparisonData!$LA$1),0)</f>
        <v>0</v>
      </c>
      <c r="LB72" s="56">
        <v>67</v>
      </c>
      <c r="LC72" s="53" t="str">
        <f t="shared" si="686"/>
        <v>Plymouth Archives, The Box</v>
      </c>
      <c r="LD72" s="59">
        <f t="shared" si="909"/>
        <v>0</v>
      </c>
      <c r="LE72" s="59">
        <f t="shared" si="910"/>
        <v>0</v>
      </c>
      <c r="LF72" s="59">
        <f t="shared" si="911"/>
        <v>0</v>
      </c>
      <c r="LG72" s="59">
        <f t="shared" si="912"/>
        <v>0</v>
      </c>
      <c r="LH72" s="59">
        <f t="shared" si="913"/>
        <v>0</v>
      </c>
      <c r="LI72" s="58">
        <f t="shared" si="914"/>
        <v>0</v>
      </c>
      <c r="LJ72" s="45">
        <f t="shared" si="915"/>
        <v>65</v>
      </c>
      <c r="LK72" s="45">
        <f t="shared" si="687"/>
        <v>2.7589999999999999</v>
      </c>
      <c r="LL72" s="45">
        <f t="shared" si="916"/>
        <v>1</v>
      </c>
      <c r="LM72" s="45">
        <f t="shared" si="917"/>
        <v>2</v>
      </c>
      <c r="LN72" s="45">
        <f t="shared" si="918"/>
        <v>0</v>
      </c>
      <c r="LO72" s="46" cm="1">
        <f t="array" ref="LO72">ROUND(IFERROR(INDEX(ArchiveResults!$F$5:$IX$116,ComparisonData!A72,ComparisonData!$LO$1),0),5)</f>
        <v>0</v>
      </c>
      <c r="LP72" s="46" cm="1">
        <f t="array" ref="LP72">ROUND(IFERROR(INDEX(ArchiveResults!$F$5:$IX$116,ComparisonData!A72,ComparisonData!$LP$1),0),5)</f>
        <v>0</v>
      </c>
      <c r="LQ72" s="46" cm="1">
        <f t="array" ref="LQ72">ROUND(IFERROR(INDEX(ArchiveResults!$F$5:$IX$116,ComparisonData!A72,ComparisonData!$LQ$1),0),5)</f>
        <v>0</v>
      </c>
      <c r="LR72" s="46" cm="1">
        <f t="array" ref="LR72">ROUND(IFERROR(INDEX(ArchiveResults!$F$5:$IX$116,ComparisonData!A72,ComparisonData!$LR$1),0),5)</f>
        <v>0</v>
      </c>
      <c r="LS72" s="45" cm="1">
        <f t="array" ref="LS72">IFERROR(INDEX(ArchiveResults!$F$5:$IX$116,ComparisonData!A72,ComparisonData!$LS$1),0)</f>
        <v>0</v>
      </c>
      <c r="LT72" s="56">
        <v>67</v>
      </c>
      <c r="LU72" s="53" t="str">
        <f t="shared" si="688"/>
        <v>Plymouth Archives, The Box</v>
      </c>
      <c r="LV72" s="59">
        <f t="shared" si="919"/>
        <v>0</v>
      </c>
      <c r="LW72" s="59">
        <f t="shared" si="920"/>
        <v>0</v>
      </c>
      <c r="LX72" s="59">
        <f t="shared" si="921"/>
        <v>0</v>
      </c>
      <c r="LY72" s="59">
        <f t="shared" si="922"/>
        <v>0</v>
      </c>
      <c r="LZ72" s="59">
        <f t="shared" si="923"/>
        <v>0</v>
      </c>
      <c r="MA72" s="58">
        <f t="shared" si="924"/>
        <v>0</v>
      </c>
      <c r="MB72" s="45">
        <f t="shared" si="925"/>
        <v>65</v>
      </c>
      <c r="MC72" s="45">
        <f t="shared" si="689"/>
        <v>2.7589999999999999</v>
      </c>
      <c r="MD72" s="45">
        <f t="shared" si="926"/>
        <v>1</v>
      </c>
      <c r="ME72" s="45">
        <f t="shared" si="927"/>
        <v>2</v>
      </c>
      <c r="MF72" s="45">
        <f t="shared" si="928"/>
        <v>0</v>
      </c>
      <c r="MG72" s="46" cm="1">
        <f t="array" ref="MG72">ROUND(IFERROR(INDEX(ArchiveResults!$F$5:$IX$116,ComparisonData!A72,ComparisonData!$MG$1),0),5)</f>
        <v>0</v>
      </c>
      <c r="MH72" s="46" cm="1">
        <f t="array" ref="MH72">ROUND(IFERROR(INDEX(ArchiveResults!$F$5:$IX$116,ComparisonData!A72,ComparisonData!$MH$1),0),5)</f>
        <v>0</v>
      </c>
      <c r="MI72" s="46" cm="1">
        <f t="array" ref="MI72">ROUND(IFERROR(INDEX(ArchiveResults!$F$5:$IX$116,ComparisonData!A72,ComparisonData!$MI$1),0),5)</f>
        <v>0</v>
      </c>
      <c r="MJ72" s="46" cm="1">
        <f t="array" ref="MJ72">ROUND(IFERROR(INDEX(ArchiveResults!$F$5:$IX$116,ComparisonData!A72,ComparisonData!$MJ$1),0),5)</f>
        <v>0</v>
      </c>
      <c r="MK72" s="45" cm="1">
        <f t="array" ref="MK72">IFERROR(INDEX(ArchiveResults!$F$5:$IX$116,ComparisonData!A72,ComparisonData!$MK$1),0)</f>
        <v>0</v>
      </c>
      <c r="ML72" s="56">
        <v>67</v>
      </c>
      <c r="MM72" s="53" t="str">
        <f t="shared" si="690"/>
        <v>Plymouth Archives, The Box</v>
      </c>
      <c r="MN72" s="59">
        <f t="shared" si="929"/>
        <v>0</v>
      </c>
      <c r="MO72" s="59">
        <f t="shared" si="930"/>
        <v>0</v>
      </c>
      <c r="MP72" s="59">
        <f t="shared" si="931"/>
        <v>0</v>
      </c>
      <c r="MQ72" s="59">
        <f t="shared" si="932"/>
        <v>0</v>
      </c>
      <c r="MR72" s="59">
        <f t="shared" si="933"/>
        <v>0</v>
      </c>
      <c r="MS72" s="58">
        <f t="shared" si="934"/>
        <v>0</v>
      </c>
      <c r="MT72" s="45">
        <f t="shared" si="935"/>
        <v>65</v>
      </c>
      <c r="MU72" s="45">
        <f t="shared" si="691"/>
        <v>2.7589999999999999</v>
      </c>
      <c r="MV72" s="45">
        <f t="shared" si="936"/>
        <v>1</v>
      </c>
      <c r="MW72" s="45">
        <f t="shared" si="937"/>
        <v>2</v>
      </c>
      <c r="MX72" s="45">
        <f t="shared" si="938"/>
        <v>0</v>
      </c>
      <c r="MY72" s="46" cm="1">
        <f t="array" ref="MY72">ROUND(IFERROR(INDEX(ArchiveResults!$F$5:$IX$116,ComparisonData!A72,ComparisonData!$MY$1),0),5)</f>
        <v>0</v>
      </c>
      <c r="MZ72" s="46" cm="1">
        <f t="array" ref="MZ72">ROUND(IFERROR(INDEX(ArchiveResults!$F$5:$IX$116,ComparisonData!A72,ComparisonData!$MZ$1),0),5)</f>
        <v>0</v>
      </c>
      <c r="NA72" s="46" cm="1">
        <f t="array" ref="NA72">ROUND(IFERROR(INDEX(ArchiveResults!$F$5:$IX$116,ComparisonData!A72,ComparisonData!$NA$1),0),5)</f>
        <v>0</v>
      </c>
      <c r="NB72" s="46" cm="1">
        <f t="array" ref="NB72">ROUND(IFERROR(INDEX(ArchiveResults!$F$5:$IX$116,ComparisonData!A72,ComparisonData!$NB$1),0),5)</f>
        <v>0</v>
      </c>
      <c r="NC72" s="45" cm="1">
        <f t="array" ref="NC72">IFERROR(INDEX(ArchiveResults!$F$5:$IX$116,ComparisonData!A72,ComparisonData!$NC$1),0)</f>
        <v>0</v>
      </c>
      <c r="ND72" s="56">
        <v>67</v>
      </c>
      <c r="NE72" s="53" t="str">
        <f t="shared" si="692"/>
        <v>Plymouth Archives, The Box</v>
      </c>
      <c r="NF72" s="59">
        <f t="shared" si="939"/>
        <v>0</v>
      </c>
      <c r="NG72" s="59">
        <f t="shared" si="940"/>
        <v>0</v>
      </c>
      <c r="NH72" s="59">
        <f t="shared" si="941"/>
        <v>0</v>
      </c>
      <c r="NI72" s="59">
        <f t="shared" si="942"/>
        <v>0</v>
      </c>
      <c r="NJ72" s="59">
        <f t="shared" si="943"/>
        <v>0</v>
      </c>
      <c r="NK72" s="58">
        <f t="shared" si="944"/>
        <v>0</v>
      </c>
      <c r="NL72" s="45">
        <f t="shared" si="945"/>
        <v>65</v>
      </c>
      <c r="NM72" s="45">
        <f t="shared" si="693"/>
        <v>2.7589999999999999</v>
      </c>
      <c r="NN72" s="45">
        <f t="shared" si="946"/>
        <v>1</v>
      </c>
      <c r="NO72" s="45">
        <f t="shared" si="947"/>
        <v>2</v>
      </c>
      <c r="NP72" s="46" cm="1">
        <f t="array" ref="NP72">ROUND(IFERROR(INDEX(ArchiveResults!$F$5:$IX$116,ComparisonData!A72,ComparisonData!$NP$1),0),5)</f>
        <v>0</v>
      </c>
      <c r="NQ72" s="46" cm="1">
        <f t="array" ref="NQ72">ROUND(IFERROR(INDEX(ArchiveResults!$F$5:$IX$116,ComparisonData!A72,ComparisonData!$NQ$1),0),5)</f>
        <v>0</v>
      </c>
      <c r="NR72" s="46" cm="1">
        <f t="array" ref="NR72">ROUND(IFERROR(INDEX(ArchiveResults!$F$5:$IX$116,ComparisonData!A72,ComparisonData!$NR$1),0),5)</f>
        <v>0</v>
      </c>
      <c r="NS72" s="46" cm="1">
        <f t="array" ref="NS72">ROUND(IFERROR(INDEX(ArchiveResults!$F$5:$IX$116,ComparisonData!A72,ComparisonData!$NS$1),0),5)</f>
        <v>0</v>
      </c>
      <c r="NT72" s="45" cm="1">
        <f t="array" ref="NT72">IFERROR(INDEX(ArchiveResults!$F$5:$IX$116,ComparisonData!A72,ComparisonData!$NT$1),0)</f>
        <v>0</v>
      </c>
      <c r="NU72" s="56">
        <v>67</v>
      </c>
      <c r="NV72" s="53" t="str">
        <f t="shared" si="694"/>
        <v>Plymouth Archives, The Box</v>
      </c>
      <c r="NW72" s="59">
        <f t="shared" si="948"/>
        <v>0</v>
      </c>
      <c r="NX72" s="59">
        <f t="shared" si="949"/>
        <v>0</v>
      </c>
      <c r="NY72" s="59">
        <f t="shared" si="950"/>
        <v>0</v>
      </c>
      <c r="NZ72" s="59">
        <f t="shared" si="951"/>
        <v>0</v>
      </c>
      <c r="OA72" s="59">
        <f t="shared" si="952"/>
        <v>0</v>
      </c>
      <c r="OB72" s="58">
        <f t="shared" si="953"/>
        <v>0</v>
      </c>
      <c r="OC72" s="45">
        <f t="shared" si="954"/>
        <v>65</v>
      </c>
      <c r="OD72" s="45">
        <f t="shared" si="695"/>
        <v>2.7589999999999999</v>
      </c>
      <c r="OE72" s="45">
        <f t="shared" si="955"/>
        <v>1</v>
      </c>
      <c r="OF72" s="45">
        <f t="shared" si="956"/>
        <v>2</v>
      </c>
      <c r="OG72" s="46">
        <f t="shared" si="957"/>
        <v>0</v>
      </c>
      <c r="OH72" s="46" cm="1">
        <f t="array" ref="OH72">ROUND(IFERROR(INDEX(ArchiveResults!$F$5:$IX$116,ComparisonData!A72,ComparisonData!$OH$1),0),5)</f>
        <v>0</v>
      </c>
      <c r="OI72" s="46" cm="1">
        <f t="array" ref="OI72">ROUND(IFERROR(INDEX(ArchiveResults!$F$5:$IX$116,ComparisonData!A72,ComparisonData!$OI$1),0),5)</f>
        <v>0</v>
      </c>
      <c r="OJ72" s="46" cm="1">
        <f t="array" ref="OJ72">ROUND(IFERROR(INDEX(ArchiveResults!$F$5:$IX$116,ComparisonData!A72,ComparisonData!$OJ$1),0),5)</f>
        <v>0</v>
      </c>
      <c r="OK72" s="46" cm="1">
        <f t="array" ref="OK72">ROUND(IFERROR(INDEX(ArchiveResults!$F$5:$IX$116,ComparisonData!A72,ComparisonData!$OK$1),0),5)</f>
        <v>0</v>
      </c>
      <c r="OL72" s="45" cm="1">
        <f t="array" ref="OL72">IFERROR(INDEX(ArchiveResults!$F$5:$IX$116,ComparisonData!A72,ComparisonData!$OL$1),0)</f>
        <v>0</v>
      </c>
      <c r="OM72" s="56">
        <v>67</v>
      </c>
      <c r="ON72" s="53" t="str">
        <f t="shared" si="696"/>
        <v>Plymouth Archives, The Box</v>
      </c>
      <c r="OO72" s="59">
        <f t="shared" si="958"/>
        <v>0</v>
      </c>
      <c r="OP72" s="59">
        <f t="shared" si="959"/>
        <v>0</v>
      </c>
      <c r="OQ72" s="59">
        <f t="shared" si="960"/>
        <v>0</v>
      </c>
      <c r="OR72" s="59">
        <f t="shared" si="961"/>
        <v>0</v>
      </c>
      <c r="OS72" s="59">
        <f t="shared" si="962"/>
        <v>0</v>
      </c>
      <c r="OT72" s="58">
        <f t="shared" si="963"/>
        <v>0</v>
      </c>
      <c r="OU72" s="45">
        <f t="shared" si="964"/>
        <v>65</v>
      </c>
      <c r="OV72" s="45">
        <f t="shared" si="697"/>
        <v>2.7589999999999999</v>
      </c>
      <c r="OW72" s="45">
        <f t="shared" si="965"/>
        <v>1</v>
      </c>
      <c r="OX72" s="45">
        <f t="shared" si="966"/>
        <v>2</v>
      </c>
      <c r="OY72" s="45">
        <f t="shared" si="967"/>
        <v>0</v>
      </c>
      <c r="OZ72" s="46" cm="1">
        <f t="array" ref="OZ72">ROUND(IFERROR(INDEX(ArchiveResults!$F$5:$IX$116,ComparisonData!A72,ComparisonData!$OZ$1),0),5)</f>
        <v>0</v>
      </c>
      <c r="PA72" s="46" cm="1">
        <f t="array" ref="PA72">ROUND(IFERROR(INDEX(ArchiveResults!$F$5:$IX$116,ComparisonData!A72,ComparisonData!$PA$1),0),5)</f>
        <v>0</v>
      </c>
      <c r="PB72" s="46" cm="1">
        <f t="array" ref="PB72">ROUND(IFERROR(INDEX(ArchiveResults!$F$5:$IX$116,ComparisonData!A72,ComparisonData!$PB$1),0),5)</f>
        <v>0</v>
      </c>
      <c r="PC72" s="46" cm="1">
        <f t="array" ref="PC72">ROUND(IFERROR(INDEX(ArchiveResults!$F$5:$IX$116,ComparisonData!A72,ComparisonData!$PC$1),0),5)</f>
        <v>0</v>
      </c>
      <c r="PD72" s="45" cm="1">
        <f t="array" ref="PD72">IFERROR(INDEX(ArchiveResults!$F$5:$IX$116,ComparisonData!A72,ComparisonData!$PD$1),0)</f>
        <v>0</v>
      </c>
      <c r="PE72" s="56">
        <v>67</v>
      </c>
      <c r="PF72" s="53" t="str">
        <f t="shared" si="698"/>
        <v>Plymouth Archives, The Box</v>
      </c>
      <c r="PG72" s="59">
        <f t="shared" si="968"/>
        <v>0</v>
      </c>
      <c r="PH72" s="59">
        <f t="shared" si="969"/>
        <v>0</v>
      </c>
      <c r="PI72" s="59">
        <f t="shared" si="970"/>
        <v>0</v>
      </c>
      <c r="PJ72" s="59">
        <f t="shared" si="971"/>
        <v>0</v>
      </c>
      <c r="PK72" s="59">
        <f t="shared" si="972"/>
        <v>0</v>
      </c>
      <c r="PL72" s="58">
        <f t="shared" si="973"/>
        <v>0</v>
      </c>
      <c r="PM72" s="45">
        <f t="shared" si="974"/>
        <v>65</v>
      </c>
      <c r="PN72" s="45">
        <f t="shared" si="699"/>
        <v>2.7589999999999999</v>
      </c>
      <c r="PO72" s="45">
        <f t="shared" si="975"/>
        <v>1</v>
      </c>
      <c r="PP72" s="45">
        <f t="shared" si="976"/>
        <v>2</v>
      </c>
      <c r="PQ72" s="45">
        <f t="shared" si="977"/>
        <v>0</v>
      </c>
      <c r="PR72" s="46" cm="1">
        <f t="array" ref="PR72">ROUND(IFERROR(INDEX(ArchiveResults!$F$5:$IX$116,ComparisonData!A72,ComparisonData!$PR$1),0),5)</f>
        <v>0</v>
      </c>
      <c r="PS72" s="46" cm="1">
        <f t="array" ref="PS72">ROUND(IFERROR(INDEX(ArchiveResults!$F$5:$IX$116,ComparisonData!A72,ComparisonData!$PS$1),0),5)</f>
        <v>0</v>
      </c>
      <c r="PT72" s="46" cm="1">
        <f t="array" ref="PT72">ROUND(IFERROR(INDEX(ArchiveResults!$F$5:$IX$116,ComparisonData!A72,ComparisonData!$PT$1),0),5)</f>
        <v>0</v>
      </c>
      <c r="PU72" s="46" cm="1">
        <f t="array" ref="PU72">ROUND(IFERROR(INDEX(ArchiveResults!$F$5:$IX$116,ComparisonData!A72,ComparisonData!$PU$1),0),5)</f>
        <v>0</v>
      </c>
      <c r="PV72" s="45" cm="1">
        <f t="array" ref="PV72">IFERROR(INDEX(ArchiveResults!$F$5:$IX$116,ComparisonData!A72,ComparisonData!$PV$1),0)</f>
        <v>0</v>
      </c>
      <c r="PW72" s="56">
        <v>67</v>
      </c>
      <c r="PX72" s="53" t="str">
        <f t="shared" si="700"/>
        <v>Plymouth Archives, The Box</v>
      </c>
      <c r="PY72" s="59">
        <f t="shared" si="978"/>
        <v>0</v>
      </c>
      <c r="PZ72" s="59">
        <f t="shared" si="979"/>
        <v>0</v>
      </c>
      <c r="QA72" s="59">
        <f t="shared" si="980"/>
        <v>0</v>
      </c>
      <c r="QB72" s="59">
        <f t="shared" si="981"/>
        <v>0</v>
      </c>
      <c r="QC72" s="59">
        <f t="shared" si="982"/>
        <v>0</v>
      </c>
      <c r="QD72" s="58">
        <f t="shared" si="983"/>
        <v>0</v>
      </c>
      <c r="QE72" s="45">
        <f t="shared" si="984"/>
        <v>65</v>
      </c>
      <c r="QF72" s="45">
        <f t="shared" si="701"/>
        <v>2.7589999999999999</v>
      </c>
      <c r="QG72" s="45">
        <f t="shared" si="985"/>
        <v>1</v>
      </c>
      <c r="QH72" s="45">
        <f t="shared" si="986"/>
        <v>2</v>
      </c>
      <c r="QI72" s="45">
        <f t="shared" si="987"/>
        <v>0</v>
      </c>
      <c r="QJ72" s="46" cm="1">
        <f t="array" ref="QJ72">ROUND(IFERROR(INDEX(ArchiveResults!$F$5:$IX$116,ComparisonData!A72,ComparisonData!$QJ$1),0),5)</f>
        <v>0</v>
      </c>
      <c r="QK72" s="46" cm="1">
        <f t="array" ref="QK72">ROUND(IFERROR(INDEX(ArchiveResults!$F$5:$IX$116,ComparisonData!A72,ComparisonData!$QK$1),0),5)</f>
        <v>0</v>
      </c>
      <c r="QL72" s="46" cm="1">
        <f t="array" ref="QL72">ROUND(IFERROR(INDEX(ArchiveResults!$F$5:$IX$116,ComparisonData!A72,ComparisonData!$QL$1),0),5)</f>
        <v>0</v>
      </c>
      <c r="QM72" s="46" cm="1">
        <f t="array" ref="QM72">ROUND(IFERROR(INDEX(ArchiveResults!$F$5:$IX$116,ComparisonData!A72,ComparisonData!$QM$1),0),5)</f>
        <v>0</v>
      </c>
      <c r="QN72" s="45" cm="1">
        <f t="array" ref="QN72">IFERROR(INDEX(ArchiveResults!$F$5:$IX$116,ComparisonData!A72,ComparisonData!$QN$1),0)</f>
        <v>0</v>
      </c>
      <c r="QO72" s="56">
        <v>67</v>
      </c>
      <c r="QP72" s="53" t="str">
        <f t="shared" si="702"/>
        <v>Plymouth Archives, The Box</v>
      </c>
      <c r="QQ72" s="59">
        <f t="shared" si="988"/>
        <v>0</v>
      </c>
      <c r="QR72" s="59">
        <f t="shared" si="989"/>
        <v>0</v>
      </c>
      <c r="QS72" s="59">
        <f t="shared" si="990"/>
        <v>0</v>
      </c>
      <c r="QT72" s="59">
        <f t="shared" si="991"/>
        <v>0</v>
      </c>
      <c r="QU72" s="59">
        <f t="shared" si="992"/>
        <v>0</v>
      </c>
      <c r="QV72" s="58">
        <f t="shared" si="993"/>
        <v>0</v>
      </c>
      <c r="QW72" s="45">
        <f t="shared" si="994"/>
        <v>65</v>
      </c>
      <c r="QX72" s="45">
        <f t="shared" si="703"/>
        <v>2.7589999999999999</v>
      </c>
      <c r="QY72" s="45">
        <f t="shared" si="995"/>
        <v>1</v>
      </c>
      <c r="QZ72" s="45">
        <f t="shared" si="996"/>
        <v>2</v>
      </c>
      <c r="RA72" s="45">
        <f t="shared" si="997"/>
        <v>0</v>
      </c>
      <c r="RB72" s="46" cm="1">
        <f t="array" ref="RB72">ROUND(IFERROR(INDEX(ArchiveResults!$F$5:$IX$116,ComparisonData!A72,ComparisonData!$RB$1),0),5)</f>
        <v>0</v>
      </c>
      <c r="RC72" s="46" cm="1">
        <f t="array" ref="RC72">ROUND(IFERROR(INDEX(ArchiveResults!$F$5:$IX$116,ComparisonData!A72,ComparisonData!$RC$1),0),5)</f>
        <v>0</v>
      </c>
      <c r="RD72" s="46" cm="1">
        <f t="array" ref="RD72">ROUND(IFERROR(INDEX(ArchiveResults!$F$5:$IX$116,ComparisonData!A72,ComparisonData!$RD$1),0),5)</f>
        <v>0</v>
      </c>
      <c r="RE72" s="46" cm="1">
        <f t="array" ref="RE72">ROUND(IFERROR(INDEX(ArchiveResults!$F$5:$IX$116,ComparisonData!A72,ComparisonData!$RE$1),0),5)</f>
        <v>0</v>
      </c>
      <c r="RF72" s="45" cm="1">
        <f t="array" ref="RF72">IFERROR(INDEX(ArchiveResults!$F$5:$IX$116,ComparisonData!A72,ComparisonData!$RF$1),0)</f>
        <v>0</v>
      </c>
      <c r="RG72" s="56">
        <v>67</v>
      </c>
      <c r="RH72" s="53" t="str">
        <f t="shared" si="704"/>
        <v>Plymouth Archives, The Box</v>
      </c>
      <c r="RI72" s="59">
        <f t="shared" si="998"/>
        <v>0</v>
      </c>
      <c r="RJ72" s="59">
        <f t="shared" si="999"/>
        <v>0</v>
      </c>
      <c r="RK72" s="59">
        <f t="shared" si="1000"/>
        <v>0</v>
      </c>
      <c r="RL72" s="59">
        <f t="shared" si="1001"/>
        <v>0</v>
      </c>
      <c r="RM72" s="59">
        <f t="shared" si="1002"/>
        <v>0</v>
      </c>
      <c r="RN72" s="58">
        <f t="shared" si="1003"/>
        <v>0</v>
      </c>
      <c r="RO72" s="45">
        <f t="shared" si="1004"/>
        <v>65</v>
      </c>
      <c r="RP72" s="45">
        <f t="shared" si="705"/>
        <v>2.7589999999999999</v>
      </c>
      <c r="RQ72" s="45">
        <f t="shared" si="1005"/>
        <v>1</v>
      </c>
      <c r="RR72" s="45">
        <f t="shared" si="1006"/>
        <v>2</v>
      </c>
      <c r="RS72" s="45">
        <f t="shared" si="1007"/>
        <v>0</v>
      </c>
      <c r="RT72" s="46" cm="1">
        <f t="array" ref="RT72">ROUND(IFERROR(INDEX(ArchiveResults!$F$5:$IX$116,ComparisonData!A72,ComparisonData!$RT$1),0),5)</f>
        <v>0</v>
      </c>
      <c r="RU72" s="46" cm="1">
        <f t="array" ref="RU72">ROUND(IFERROR(INDEX(ArchiveResults!$F$5:$IX$116,ComparisonData!A72,ComparisonData!$RU$1),0),5)</f>
        <v>0</v>
      </c>
      <c r="RV72" s="46" cm="1">
        <f t="array" ref="RV72">ROUND(IFERROR(INDEX(ArchiveResults!$F$5:$IX$116,ComparisonData!A72,ComparisonData!$RV$1),0),5)</f>
        <v>0</v>
      </c>
      <c r="RW72" s="46" cm="1">
        <f t="array" ref="RW72">ROUND(IFERROR(INDEX(ArchiveResults!$F$5:$IX$116,ComparisonData!A72,ComparisonData!$RW$1),0),5)</f>
        <v>0</v>
      </c>
      <c r="RX72" s="45" cm="1">
        <f t="array" ref="RX72">IFERROR(INDEX(ArchiveResults!$F$5:$IX$116,ComparisonData!A72,ComparisonData!$RX$1),0)</f>
        <v>0</v>
      </c>
      <c r="RY72" s="56">
        <v>67</v>
      </c>
      <c r="RZ72" s="53" t="str">
        <f t="shared" si="706"/>
        <v>Plymouth Archives, The Box</v>
      </c>
      <c r="SA72" s="59">
        <f t="shared" si="1008"/>
        <v>0</v>
      </c>
      <c r="SB72" s="59">
        <f t="shared" si="1009"/>
        <v>0</v>
      </c>
      <c r="SC72" s="59">
        <f t="shared" si="1010"/>
        <v>0</v>
      </c>
      <c r="SD72" s="59">
        <f t="shared" si="1011"/>
        <v>0</v>
      </c>
      <c r="SE72" s="59">
        <f t="shared" si="1012"/>
        <v>0</v>
      </c>
      <c r="SF72" s="58">
        <f t="shared" si="1013"/>
        <v>0</v>
      </c>
      <c r="SG72" s="45">
        <f t="shared" si="1014"/>
        <v>65</v>
      </c>
      <c r="SH72" s="45">
        <f t="shared" si="707"/>
        <v>2.7589999999999999</v>
      </c>
      <c r="SI72" s="45">
        <f t="shared" si="1015"/>
        <v>1</v>
      </c>
      <c r="SJ72" s="45">
        <f t="shared" si="1016"/>
        <v>2</v>
      </c>
      <c r="SK72" s="45">
        <f t="shared" si="1017"/>
        <v>0</v>
      </c>
      <c r="SL72" s="46" cm="1">
        <f t="array" ref="SL72">ROUND(IFERROR(INDEX(ArchiveResults!$F$5:$IX$116,ComparisonData!A72,ComparisonData!$SL$1),0),5)</f>
        <v>0</v>
      </c>
      <c r="SM72" s="46" cm="1">
        <f t="array" ref="SM72">ROUND(IFERROR(INDEX(ArchiveResults!$F$5:$IX$116,ComparisonData!A72,ComparisonData!$SM$1),0),5)</f>
        <v>0</v>
      </c>
      <c r="SN72" s="46" cm="1">
        <f t="array" ref="SN72">ROUND(IFERROR(INDEX(ArchiveResults!$F$5:$IX$116,ComparisonData!A72,ComparisonData!$SN$1),0),5)</f>
        <v>0</v>
      </c>
      <c r="SO72" s="46" cm="1">
        <f t="array" ref="SO72">ROUND(IFERROR(INDEX(ArchiveResults!$F$5:$IX$116,ComparisonData!A72,ComparisonData!$SO$1),0),5)</f>
        <v>0</v>
      </c>
      <c r="SP72" s="45" cm="1">
        <f t="array" ref="SP72">IFERROR(INDEX(ArchiveResults!$F$5:$IX$116,ComparisonData!A72,ComparisonData!$SP$1),0)</f>
        <v>0</v>
      </c>
      <c r="SQ72" s="56">
        <v>67</v>
      </c>
      <c r="SR72" s="53" t="str">
        <f t="shared" si="708"/>
        <v>Plymouth Archives, The Box</v>
      </c>
      <c r="SS72" s="59">
        <f t="shared" si="1018"/>
        <v>0</v>
      </c>
      <c r="ST72" s="59">
        <f t="shared" si="1019"/>
        <v>0</v>
      </c>
      <c r="SU72" s="59">
        <f t="shared" si="1020"/>
        <v>0</v>
      </c>
      <c r="SV72" s="59">
        <f t="shared" si="1021"/>
        <v>0</v>
      </c>
      <c r="SW72" s="59">
        <f t="shared" si="1022"/>
        <v>0</v>
      </c>
      <c r="SX72" s="58">
        <f t="shared" si="1023"/>
        <v>0</v>
      </c>
      <c r="SY72" s="45">
        <f t="shared" si="1024"/>
        <v>65</v>
      </c>
      <c r="SZ72" s="45">
        <f t="shared" si="709"/>
        <v>2.7589999999999999</v>
      </c>
      <c r="TA72" s="45">
        <f t="shared" si="1025"/>
        <v>1</v>
      </c>
      <c r="TB72" s="45">
        <f t="shared" si="1026"/>
        <v>2</v>
      </c>
      <c r="TC72" s="45">
        <f t="shared" si="1027"/>
        <v>0</v>
      </c>
      <c r="TD72" s="46" cm="1">
        <f t="array" ref="TD72">ROUND(IFERROR(INDEX(ArchiveResults!$F$5:$IX$116,ComparisonData!A72,ComparisonData!$TD$1),0),5)</f>
        <v>0</v>
      </c>
      <c r="TE72" s="46" cm="1">
        <f t="array" ref="TE72">ROUND(IFERROR(INDEX(ArchiveResults!$F$5:$IX$116,ComparisonData!A72,ComparisonData!$TE$1),0),5)</f>
        <v>0</v>
      </c>
      <c r="TF72" s="46" cm="1">
        <f t="array" ref="TF72">ROUND(IFERROR(INDEX(ArchiveResults!$F$5:$IX$116,ComparisonData!A72,ComparisonData!$TF$1),0),5)</f>
        <v>0</v>
      </c>
      <c r="TG72" s="46" cm="1">
        <f t="array" ref="TG72">ROUND(IFERROR(INDEX(ArchiveResults!$F$5:$IX$116,ComparisonData!A72,ComparisonData!$TG$1),0),5)</f>
        <v>0</v>
      </c>
      <c r="TH72" s="45" cm="1">
        <f t="array" ref="TH72">IFERROR(INDEX(ArchiveResults!$F$5:$IX$116,ComparisonData!A72,ComparisonData!$TH$1),0)</f>
        <v>0</v>
      </c>
      <c r="TI72" s="56">
        <v>67</v>
      </c>
      <c r="TJ72" s="53" t="str">
        <f t="shared" si="710"/>
        <v>Plymouth Archives, The Box</v>
      </c>
      <c r="TK72" s="59">
        <f t="shared" si="1028"/>
        <v>0</v>
      </c>
      <c r="TL72" s="59">
        <f t="shared" si="1029"/>
        <v>0</v>
      </c>
      <c r="TM72" s="59">
        <f t="shared" si="1030"/>
        <v>0</v>
      </c>
      <c r="TN72" s="59">
        <f t="shared" si="1031"/>
        <v>0</v>
      </c>
      <c r="TO72" s="59">
        <f t="shared" si="1032"/>
        <v>0</v>
      </c>
      <c r="TP72" s="58">
        <f t="shared" si="1033"/>
        <v>0</v>
      </c>
      <c r="TQ72" s="45">
        <f t="shared" si="1034"/>
        <v>65</v>
      </c>
      <c r="TR72" s="45">
        <f t="shared" si="711"/>
        <v>2.7589999999999999</v>
      </c>
      <c r="TS72" s="45">
        <f t="shared" si="1035"/>
        <v>1</v>
      </c>
      <c r="TT72" s="45">
        <f t="shared" si="1036"/>
        <v>2</v>
      </c>
      <c r="TU72" s="45">
        <f t="shared" si="1037"/>
        <v>0</v>
      </c>
      <c r="TV72" s="46" cm="1">
        <f t="array" ref="TV72">ROUND(IFERROR(INDEX(ArchiveResults!$F$5:$IX$116,ComparisonData!A72,ComparisonData!$TV$1),0),5)</f>
        <v>0</v>
      </c>
      <c r="TW72" s="46" cm="1">
        <f t="array" ref="TW72">ROUND(IFERROR(INDEX(ArchiveResults!$F$5:$IX$116,ComparisonData!A72,ComparisonData!$TW$1),0),5)</f>
        <v>0</v>
      </c>
      <c r="TX72" s="46" cm="1">
        <f t="array" ref="TX72">ROUND(IFERROR(INDEX(ArchiveResults!$F$5:$IX$116,ComparisonData!A72,ComparisonData!$TX$1),0),5)</f>
        <v>0</v>
      </c>
      <c r="TY72" s="46" cm="1">
        <f t="array" ref="TY72">ROUND(IFERROR(INDEX(ArchiveResults!$F$5:$IX$116,ComparisonData!A72,ComparisonData!$TY$1),0),5)</f>
        <v>0</v>
      </c>
      <c r="TZ72" s="45" cm="1">
        <f t="array" ref="TZ72">IFERROR(INDEX(ArchiveResults!$F$5:$IX$116,ComparisonData!A72,ComparisonData!$TZ$1),0)</f>
        <v>0</v>
      </c>
      <c r="UA72" s="56">
        <v>67</v>
      </c>
      <c r="UB72" s="53" t="str">
        <f t="shared" si="712"/>
        <v>Plymouth Archives, The Box</v>
      </c>
      <c r="UC72" s="60">
        <f t="shared" si="1038"/>
        <v>0</v>
      </c>
      <c r="UD72" s="60">
        <f t="shared" si="1039"/>
        <v>0</v>
      </c>
      <c r="UE72" s="60">
        <f t="shared" si="1040"/>
        <v>0</v>
      </c>
      <c r="UF72" s="60">
        <f t="shared" si="1041"/>
        <v>0</v>
      </c>
      <c r="UG72" s="60">
        <f t="shared" si="1042"/>
        <v>0</v>
      </c>
      <c r="UH72" s="58">
        <f t="shared" si="1043"/>
        <v>0</v>
      </c>
      <c r="UI72" s="46">
        <f t="shared" si="1044"/>
        <v>65</v>
      </c>
      <c r="UJ72" s="46">
        <f t="shared" si="713"/>
        <v>2.7589999999999999</v>
      </c>
      <c r="UK72" s="46">
        <f t="shared" si="1045"/>
        <v>1</v>
      </c>
      <c r="UL72" s="46">
        <f t="shared" si="1046"/>
        <v>2</v>
      </c>
      <c r="UM72" s="46" cm="1">
        <f t="array" ref="UM72">ROUND(IFERROR(INDEX(ArchiveResults!$F$5:$IX$116,ComparisonData!A72,ComparisonData!$UM$1),0),5)</f>
        <v>0</v>
      </c>
      <c r="UN72" s="56">
        <v>67</v>
      </c>
      <c r="UO72" s="53" t="str">
        <f t="shared" si="714"/>
        <v>Plymouth Archives, The Box</v>
      </c>
      <c r="UP72" s="46">
        <f t="shared" si="1047"/>
        <v>0</v>
      </c>
      <c r="UQ72" s="76">
        <f t="shared" si="1048"/>
        <v>0</v>
      </c>
      <c r="UR72" s="46">
        <f t="shared" si="1049"/>
        <v>65</v>
      </c>
      <c r="US72" s="46">
        <f t="shared" si="715"/>
        <v>2.7589999999999999</v>
      </c>
      <c r="UT72" s="46">
        <f t="shared" si="1050"/>
        <v>1</v>
      </c>
      <c r="UU72" s="46">
        <f t="shared" si="1051"/>
        <v>2</v>
      </c>
      <c r="UV72" s="46">
        <f t="shared" si="1052"/>
        <v>0</v>
      </c>
      <c r="UW72" s="46" cm="1">
        <f t="array" ref="UW72">ROUND(IFERROR(INDEX(ArchiveResults!$F$5:$IX$116,ComparisonData!A72,ComparisonData!$UW$1),0),5)</f>
        <v>0</v>
      </c>
      <c r="UX72" s="46" cm="1">
        <f t="array" ref="UX72">ROUND(IFERROR(INDEX(ArchiveResults!$F$5:$IX$116,ComparisonData!A72,ComparisonData!$UX$1),0),5)</f>
        <v>0</v>
      </c>
      <c r="UY72" s="46" cm="1">
        <f t="array" ref="UY72">ROUND(IFERROR(INDEX(ArchiveResults!$F$5:$IX$116,ComparisonData!A72,ComparisonData!$UY$1),0),5)</f>
        <v>0</v>
      </c>
      <c r="UZ72" s="46" cm="1">
        <f t="array" ref="UZ72">ROUND(IFERROR(INDEX(ArchiveResults!$F$5:$IX$116,ComparisonData!A72,ComparisonData!$UZ$1),0),5)</f>
        <v>0</v>
      </c>
      <c r="VA72" s="46" cm="1">
        <f t="array" ref="VA72">ROUND(IFERROR(INDEX(ArchiveResults!$F$5:$IX$116,ComparisonData!A72,ComparisonData!$VA$1),0),5)</f>
        <v>0</v>
      </c>
      <c r="VB72" s="56">
        <v>67</v>
      </c>
      <c r="VC72" s="53" t="str">
        <f t="shared" si="716"/>
        <v>Plymouth Archives, The Box</v>
      </c>
      <c r="VD72" s="60">
        <f t="shared" si="1053"/>
        <v>0</v>
      </c>
      <c r="VE72" s="60">
        <f t="shared" si="1054"/>
        <v>0</v>
      </c>
      <c r="VF72" s="60">
        <f t="shared" si="1055"/>
        <v>0</v>
      </c>
      <c r="VG72" s="60">
        <f t="shared" si="1056"/>
        <v>0</v>
      </c>
      <c r="VH72" s="60">
        <f t="shared" si="1057"/>
        <v>0</v>
      </c>
      <c r="VI72" s="76">
        <f t="shared" si="1058"/>
        <v>0</v>
      </c>
      <c r="VJ72" s="46">
        <f t="shared" si="1059"/>
        <v>65</v>
      </c>
      <c r="VK72" s="46">
        <f t="shared" si="717"/>
        <v>2.7589999999999999</v>
      </c>
      <c r="VL72" s="46">
        <f t="shared" si="1060"/>
        <v>1</v>
      </c>
      <c r="VM72" s="46">
        <f t="shared" si="1061"/>
        <v>2</v>
      </c>
      <c r="VN72" s="46" cm="1">
        <f t="array" ref="VN72">ROUND(IFERROR(INDEX(ArchiveResults!$F$5:$IX$116,ComparisonData!A72,ComparisonData!$VN$1),0),5)</f>
        <v>0</v>
      </c>
      <c r="VO72" s="46" cm="1">
        <f t="array" ref="VO72">ROUND(IFERROR(INDEX(ArchiveResults!$F$5:$IX$116,ComparisonData!A72,ComparisonData!$VO$1),0),5)</f>
        <v>0</v>
      </c>
      <c r="VP72" s="46" cm="1">
        <f t="array" ref="VP72">ROUND(IFERROR(INDEX(ArchiveResults!$F$5:$IX$116,ComparisonData!A72,ComparisonData!$VP$1),0),5)</f>
        <v>0</v>
      </c>
      <c r="VQ72" s="46" cm="1">
        <f t="array" ref="VQ72">ROUND(IFERROR(INDEX(ArchiveResults!$F$5:$IX$116,ComparisonData!A72,ComparisonData!$VQ$1),0),5)</f>
        <v>0</v>
      </c>
      <c r="VR72" s="56">
        <v>67</v>
      </c>
      <c r="VS72" s="53" t="str">
        <f t="shared" si="718"/>
        <v>Plymouth Archives, The Box</v>
      </c>
      <c r="VT72" s="60">
        <f t="shared" si="1062"/>
        <v>0</v>
      </c>
      <c r="VU72" s="60">
        <f t="shared" si="1063"/>
        <v>0</v>
      </c>
      <c r="VV72" s="60">
        <f t="shared" si="1064"/>
        <v>0</v>
      </c>
      <c r="VW72" s="60">
        <f t="shared" si="1065"/>
        <v>0</v>
      </c>
      <c r="VX72" s="76">
        <f t="shared" si="1066"/>
        <v>0</v>
      </c>
      <c r="VY72" s="46">
        <f t="shared" si="1067"/>
        <v>65</v>
      </c>
      <c r="VZ72" s="46">
        <f t="shared" si="719"/>
        <v>2.7589999999999999</v>
      </c>
      <c r="WA72" s="46">
        <f t="shared" si="1068"/>
        <v>1</v>
      </c>
      <c r="WB72" s="46">
        <f t="shared" si="1069"/>
        <v>2</v>
      </c>
      <c r="WC72" s="46" cm="1">
        <f t="array" ref="WC72">ROUND(IFERROR(INDEX(ArchiveResults!$F$5:$IX$116,ComparisonData!A72,ComparisonData!$WC$1),0),5)</f>
        <v>0</v>
      </c>
      <c r="WD72" s="56">
        <v>67</v>
      </c>
      <c r="WE72" s="53" t="str">
        <f t="shared" si="720"/>
        <v>Plymouth Archives, The Box</v>
      </c>
      <c r="WF72" s="46">
        <f t="shared" si="1070"/>
        <v>0</v>
      </c>
      <c r="WG72" s="76">
        <f t="shared" si="1071"/>
        <v>0</v>
      </c>
      <c r="WH72" s="46">
        <f t="shared" si="1072"/>
        <v>65</v>
      </c>
      <c r="WI72" s="46">
        <f t="shared" si="721"/>
        <v>2.7589999999999999</v>
      </c>
      <c r="WJ72" s="46">
        <f t="shared" si="1073"/>
        <v>1</v>
      </c>
      <c r="WK72" s="46">
        <f t="shared" si="1074"/>
        <v>2</v>
      </c>
      <c r="WL72" s="46" cm="1">
        <f t="array" ref="WL72">ROUND(IFERROR(INDEX(ArchiveResults!$F$5:$IX$116,ComparisonData!A72,ComparisonData!$WL$1),0),5)</f>
        <v>0</v>
      </c>
      <c r="WM72" s="46" cm="1">
        <f t="array" ref="WM72">IFERROR(INDEX(ArchiveResults!$F$5:$IX$116,ComparisonData!A72,ComparisonData!$WM$1),0)</f>
        <v>0</v>
      </c>
      <c r="WN72" s="56">
        <v>67</v>
      </c>
      <c r="WO72" s="53" t="str">
        <f t="shared" si="722"/>
        <v>Plymouth Archives, The Box</v>
      </c>
      <c r="WP72" s="60">
        <f t="shared" si="1075"/>
        <v>0</v>
      </c>
      <c r="WQ72" s="60">
        <f t="shared" si="1076"/>
        <v>0</v>
      </c>
      <c r="WR72" s="76">
        <f t="shared" si="1077"/>
        <v>0</v>
      </c>
      <c r="WS72" s="46">
        <f t="shared" si="1078"/>
        <v>65</v>
      </c>
      <c r="WT72" s="46">
        <f t="shared" si="723"/>
        <v>2.7589999999999999</v>
      </c>
      <c r="WU72" s="46">
        <f t="shared" si="1079"/>
        <v>1</v>
      </c>
      <c r="WV72" s="46">
        <f t="shared" si="1080"/>
        <v>2</v>
      </c>
      <c r="WW72" s="46" cm="1">
        <f t="array" ref="WW72">ROUND(VALUE(IFERROR(INDEX(ArchiveResults!$F$5:$IX$116,ComparisonData!A72,ComparisonData!$WW$1),0)),5)</f>
        <v>0</v>
      </c>
      <c r="WX72" s="46" cm="1">
        <f t="array" ref="WX72">ROUND(IFERROR(INDEX(ArchiveResults!$F$5:$IX$116,ComparisonData!A72,ComparisonData!$WX$1),0),5)</f>
        <v>0</v>
      </c>
      <c r="WY72" s="56">
        <v>67</v>
      </c>
      <c r="WZ72" s="53" t="str">
        <f t="shared" si="724"/>
        <v>Plymouth Archives, The Box</v>
      </c>
      <c r="XA72" s="60">
        <f t="shared" si="725"/>
        <v>0</v>
      </c>
      <c r="XB72" s="60">
        <f t="shared" si="726"/>
        <v>0</v>
      </c>
      <c r="XC72" s="76">
        <f t="shared" si="1081"/>
        <v>0</v>
      </c>
      <c r="XD72" s="46">
        <f t="shared" si="1082"/>
        <v>65</v>
      </c>
      <c r="XE72" s="46">
        <f t="shared" si="727"/>
        <v>2.7589999999999999</v>
      </c>
      <c r="XF72" s="46">
        <f t="shared" si="1083"/>
        <v>1</v>
      </c>
      <c r="XG72" s="46">
        <f t="shared" si="1084"/>
        <v>2</v>
      </c>
      <c r="XH72" s="46" cm="1">
        <f t="array" ref="XH72">ROUND(VALUE(IFERROR(INDEX(ArchiveResults!$F$5:$IX$116,ComparisonData!A72,ComparisonData!$XH$1),0)),5)</f>
        <v>0</v>
      </c>
      <c r="XI72" s="46" cm="1">
        <f t="array" ref="XI72">ROUND(VALUE(IFERROR(INDEX(ArchiveResults!$F$5:$IX$116,ComparisonData!A72,ComparisonData!$XI$1),0)),5)</f>
        <v>0</v>
      </c>
      <c r="XJ72" s="56">
        <v>67</v>
      </c>
      <c r="XK72" s="53" t="str">
        <f t="shared" si="728"/>
        <v>Plymouth Archives, The Box</v>
      </c>
      <c r="XL72" s="60">
        <f t="shared" si="1085"/>
        <v>0</v>
      </c>
      <c r="XM72" s="60">
        <f t="shared" si="1086"/>
        <v>0</v>
      </c>
      <c r="XN72" s="76">
        <f t="shared" si="1087"/>
        <v>0</v>
      </c>
      <c r="XO72" s="46">
        <f t="shared" si="1088"/>
        <v>65</v>
      </c>
      <c r="XP72" s="46">
        <f t="shared" si="729"/>
        <v>2.7589999999999999</v>
      </c>
      <c r="XQ72" s="46">
        <f t="shared" si="1089"/>
        <v>1</v>
      </c>
      <c r="XR72" s="46">
        <f t="shared" si="1090"/>
        <v>2</v>
      </c>
      <c r="XS72" s="46" cm="1">
        <f t="array" ref="XS72">ROUND(VALUE(IFERROR(INDEX(ArchiveResults!$F$5:$IX$116,ComparisonData!A72,ComparisonData!$XS$1),0)),5)</f>
        <v>0</v>
      </c>
      <c r="XT72" s="46" cm="1">
        <f t="array" ref="XT72">ROUND(VALUE(IFERROR(INDEX(ArchiveResults!$F$5:$IX$116,ComparisonData!A72,ComparisonData!$XT$1),0)),5)</f>
        <v>0</v>
      </c>
      <c r="XU72" s="56">
        <v>67</v>
      </c>
      <c r="XV72" s="53" t="str">
        <f t="shared" si="730"/>
        <v>Plymouth Archives, The Box</v>
      </c>
      <c r="XW72" s="60">
        <f t="shared" si="1091"/>
        <v>0</v>
      </c>
      <c r="XX72" s="60">
        <f t="shared" si="1092"/>
        <v>0</v>
      </c>
      <c r="XY72" s="76">
        <f t="shared" si="1093"/>
        <v>0</v>
      </c>
      <c r="XZ72" s="46">
        <f t="shared" si="1094"/>
        <v>65</v>
      </c>
      <c r="YA72" s="46">
        <f t="shared" si="731"/>
        <v>2.7589999999999999</v>
      </c>
      <c r="YB72" s="46">
        <f t="shared" si="1095"/>
        <v>1</v>
      </c>
      <c r="YC72" s="46">
        <f t="shared" si="1096"/>
        <v>2</v>
      </c>
      <c r="YD72" s="46" cm="1">
        <f t="array" ref="YD72">ROUND(VALUE(IFERROR(INDEX(ArchiveResults!$F$5:$IX$116,ComparisonData!A72,ComparisonData!$YD$1),0)),5)</f>
        <v>0</v>
      </c>
      <c r="YE72" s="46" cm="1">
        <f t="array" ref="YE72">ROUND(VALUE(IFERROR(INDEX(ArchiveResults!$F$5:$IX$116,ComparisonData!A72,ComparisonData!$YE$1),0)),5)</f>
        <v>0</v>
      </c>
      <c r="YF72" s="56">
        <v>67</v>
      </c>
      <c r="YG72" s="53" t="str">
        <f t="shared" si="732"/>
        <v>Plymouth Archives, The Box</v>
      </c>
      <c r="YH72" s="60">
        <f t="shared" si="1097"/>
        <v>0</v>
      </c>
      <c r="YI72" s="60">
        <f t="shared" si="1098"/>
        <v>0</v>
      </c>
      <c r="YJ72" s="76">
        <f t="shared" si="1099"/>
        <v>0</v>
      </c>
      <c r="YK72" s="46">
        <f t="shared" si="1100"/>
        <v>65</v>
      </c>
      <c r="YL72" s="46">
        <f t="shared" si="733"/>
        <v>2.7589999999999999</v>
      </c>
      <c r="YM72" s="46">
        <f t="shared" si="1101"/>
        <v>1</v>
      </c>
      <c r="YN72" s="46">
        <f t="shared" si="1102"/>
        <v>2</v>
      </c>
      <c r="YO72" s="46" cm="1">
        <f t="array" ref="YO72">ROUND(VALUE(IFERROR(INDEX(ArchiveResults!$F$5:$IX$116,ComparisonData!A72,ComparisonData!$YO$1),0)),5)</f>
        <v>0</v>
      </c>
      <c r="YP72" s="46" cm="1">
        <f t="array" ref="YP72">ROUND(VALUE(IFERROR(INDEX(ArchiveResults!$F$5:$IX$116,ComparisonData!A72,ComparisonData!$YP$1),0)),5)</f>
        <v>0</v>
      </c>
      <c r="YQ72" s="56">
        <v>67</v>
      </c>
      <c r="YR72" s="53" t="str">
        <f t="shared" si="734"/>
        <v>Plymouth Archives, The Box</v>
      </c>
      <c r="YS72" s="60">
        <f t="shared" si="1103"/>
        <v>0</v>
      </c>
      <c r="YT72" s="60">
        <f t="shared" si="1104"/>
        <v>0</v>
      </c>
      <c r="YU72" s="76">
        <f t="shared" si="1105"/>
        <v>0</v>
      </c>
      <c r="YV72" s="46">
        <f t="shared" si="1106"/>
        <v>65</v>
      </c>
      <c r="YW72" s="46">
        <f t="shared" si="735"/>
        <v>2.7589999999999999</v>
      </c>
      <c r="YX72" s="46">
        <f t="shared" si="1107"/>
        <v>1</v>
      </c>
      <c r="YY72" s="46">
        <f t="shared" si="1108"/>
        <v>2</v>
      </c>
      <c r="YZ72" s="46">
        <f t="shared" si="1109"/>
        <v>0</v>
      </c>
      <c r="ZA72" s="46" cm="1">
        <f t="array" ref="ZA72">ROUNDDOWN(VALUE(IFERROR(INDEX(ArchiveResults!$F$5:$IX$116,ComparisonData!A72,ComparisonData!$ZA$1),0)),5)</f>
        <v>0</v>
      </c>
      <c r="ZB72" s="46" cm="1">
        <f t="array" ref="ZB72">ROUNDDOWN(VALUE(IFERROR(INDEX(ArchiveResults!$F$5:$IX$116,ComparisonData!A72,ComparisonData!$ZB$1),0)),5)</f>
        <v>0</v>
      </c>
      <c r="ZC72" s="46" cm="1">
        <f t="array" ref="ZC72">ROUNDDOWN(VALUE(IFERROR(INDEX(ArchiveResults!$F$5:$IX$116,ComparisonData!A72,ComparisonData!$ZC$1),0)),5)</f>
        <v>0</v>
      </c>
      <c r="ZD72" s="46" cm="1">
        <f t="array" ref="ZD72">ROUNDDOWN(VALUE(IFERROR(INDEX(ArchiveResults!$F$5:$IX$116,ComparisonData!A72,ComparisonData!$ZD$1),0)),5)</f>
        <v>0</v>
      </c>
      <c r="ZE72" s="46" cm="1">
        <f t="array" ref="ZE72">ROUNDDOWN(VALUE(IFERROR(INDEX(ArchiveResults!$F$5:$IX$116,ComparisonData!A72,ComparisonData!$ZE$1),0)),5)</f>
        <v>0</v>
      </c>
      <c r="ZF72" s="56">
        <v>67</v>
      </c>
      <c r="ZG72" s="53" t="str">
        <f t="shared" si="736"/>
        <v>Plymouth Archives, The Box</v>
      </c>
      <c r="ZH72" s="60">
        <f t="shared" si="1110"/>
        <v>0</v>
      </c>
      <c r="ZI72" s="60">
        <f t="shared" si="1111"/>
        <v>0</v>
      </c>
      <c r="ZJ72" s="60">
        <f t="shared" si="1112"/>
        <v>0</v>
      </c>
      <c r="ZK72" s="60">
        <f t="shared" si="1113"/>
        <v>0</v>
      </c>
      <c r="ZL72" s="60">
        <f t="shared" si="1114"/>
        <v>0</v>
      </c>
      <c r="ZM72" s="76">
        <f t="shared" si="1115"/>
        <v>0</v>
      </c>
      <c r="ZN72" s="46">
        <f t="shared" si="1116"/>
        <v>65</v>
      </c>
      <c r="ZO72" s="46">
        <f t="shared" si="737"/>
        <v>2.7589999999999999</v>
      </c>
      <c r="ZP72" s="46">
        <f t="shared" si="1117"/>
        <v>1</v>
      </c>
      <c r="ZQ72" s="46">
        <f t="shared" si="1118"/>
        <v>2</v>
      </c>
      <c r="ZR72" s="46" cm="1">
        <f t="array" ref="ZR72">ROUND(VALUE(IFERROR(INDEX(ArchiveResults!$F$5:$IX$116,ComparisonData!A72,ComparisonData!$ZR$1),0)),5)</f>
        <v>0</v>
      </c>
      <c r="ZS72" s="56">
        <v>67</v>
      </c>
      <c r="ZT72" s="53" t="str">
        <f t="shared" si="738"/>
        <v>Plymouth Archives, The Box</v>
      </c>
      <c r="ZU72" s="46">
        <f t="shared" si="1119"/>
        <v>0</v>
      </c>
      <c r="ZV72" s="76">
        <f t="shared" si="1120"/>
        <v>0</v>
      </c>
      <c r="ZW72" s="81" cm="1">
        <f t="array" ref="ZW72">ROUND((IFERROR(INDEX(ArchiveResults!$F$5:$IX$116,ComparisonData!A72,ComparisonData!$ZW$1),0)),5)</f>
        <v>0</v>
      </c>
      <c r="ZX72" s="81" cm="1">
        <f t="array" ref="ZX72">ROUND((IFERROR(INDEX(ArchiveResults!$F$5:$IX$116,ComparisonData!A72,ComparisonData!$ZX$1),0)),5)</f>
        <v>0</v>
      </c>
      <c r="ZY72" s="81" cm="1">
        <f t="array" ref="ZY72">ROUND((IFERROR(INDEX(ArchiveResults!$F$5:$IX$116,ComparisonData!A72,ComparisonData!$ZY$1),0)),5)</f>
        <v>0</v>
      </c>
      <c r="ZZ72" s="81" cm="1">
        <f t="array" ref="ZZ72">ROUND((IFERROR(INDEX(ArchiveResults!$F$5:$IX$116,ComparisonData!A72,ComparisonData!$ZZ$1),0)),5)</f>
        <v>0</v>
      </c>
      <c r="AAA72" s="81" cm="1">
        <f t="array" ref="AAA72">ROUND((IFERROR(INDEX(ArchiveResults!$F$5:$IX$116,ComparisonData!A72,ComparisonData!$AAA$1),0)),5)</f>
        <v>0</v>
      </c>
      <c r="AAB72" s="81" cm="1">
        <f t="array" ref="AAB72">ROUND((IFERROR(INDEX(ArchiveResults!$F$5:$IX$116,ComparisonData!A72,ComparisonData!$AAB$1),0)),5)</f>
        <v>0</v>
      </c>
      <c r="AAC72" s="81" cm="1">
        <f t="array" ref="AAC72">ROUND((IFERROR(INDEX(ArchiveResults!$F$5:$IX$116,ComparisonData!A72,ComparisonData!$AAC$1),0)),5)</f>
        <v>0</v>
      </c>
      <c r="AAD72" s="81" cm="1">
        <f t="array" ref="AAD72">ROUND((IFERROR(INDEX(ArchiveResults!$F$5:$IX$116,ComparisonData!A72,ComparisonData!$AAD$1),0)),5)</f>
        <v>0</v>
      </c>
      <c r="AAE72" s="81" cm="1">
        <f t="array" ref="AAE72">ROUND((IFERROR(INDEX(ArchiveResults!$F$5:$IX$116,ComparisonData!A72,ComparisonData!$AAE$1),0)),5)</f>
        <v>0</v>
      </c>
      <c r="AAF72" s="81" cm="1">
        <f t="array" ref="AAF72">ROUND((IFERROR(INDEX(ArchiveResults!$F$5:$IX$116,ComparisonData!A72,ComparisonData!$AAF$1),0)),5)</f>
        <v>0</v>
      </c>
      <c r="AAG72" s="46">
        <f t="shared" si="1121"/>
        <v>65</v>
      </c>
      <c r="AAH72" s="46">
        <f t="shared" si="739"/>
        <v>2.7589999999999999</v>
      </c>
      <c r="AAI72" s="46">
        <f t="shared" si="1122"/>
        <v>1</v>
      </c>
      <c r="AAJ72" s="46">
        <f t="shared" si="1123"/>
        <v>2</v>
      </c>
      <c r="AAK72" s="46">
        <f t="shared" si="1124"/>
        <v>0</v>
      </c>
      <c r="AAL72" s="46">
        <f t="shared" si="1125"/>
        <v>0</v>
      </c>
      <c r="AAM72" s="46">
        <f t="shared" si="1126"/>
        <v>0</v>
      </c>
      <c r="AAN72" s="46">
        <f t="shared" si="1127"/>
        <v>0</v>
      </c>
      <c r="AAO72" s="46">
        <f t="shared" si="1128"/>
        <v>0</v>
      </c>
      <c r="AAP72" s="46">
        <f t="shared" si="1129"/>
        <v>0</v>
      </c>
      <c r="AAQ72" s="56">
        <v>67</v>
      </c>
      <c r="AAR72" s="53" t="str">
        <f t="shared" si="740"/>
        <v>Plymouth Archives, The Box</v>
      </c>
      <c r="AAS72" s="60">
        <f t="shared" si="1130"/>
        <v>0</v>
      </c>
      <c r="AAT72" s="60">
        <f t="shared" si="1131"/>
        <v>0</v>
      </c>
      <c r="AAU72" s="60">
        <f t="shared" si="1132"/>
        <v>0</v>
      </c>
      <c r="AAV72" s="60">
        <f t="shared" si="1133"/>
        <v>0</v>
      </c>
      <c r="AAW72" s="60">
        <f t="shared" si="1134"/>
        <v>0</v>
      </c>
      <c r="AAX72" s="76">
        <f t="shared" si="1135"/>
        <v>0</v>
      </c>
      <c r="AAY72" s="46">
        <f t="shared" si="1136"/>
        <v>65</v>
      </c>
      <c r="AAZ72" s="46">
        <f t="shared" si="741"/>
        <v>2.7589999999999999</v>
      </c>
      <c r="ABA72" s="46">
        <f t="shared" si="1137"/>
        <v>1</v>
      </c>
      <c r="ABB72" s="46">
        <f t="shared" si="1138"/>
        <v>2</v>
      </c>
      <c r="ABC72" s="46">
        <f t="shared" si="742"/>
        <v>0</v>
      </c>
      <c r="ABD72" s="46" cm="1">
        <f t="array" ref="ABD72">ROUND(VALUE(IFERROR(INDEX(ArchiveResults!$F$5:$IX$116,ComparisonData!A72,ComparisonData!$ABD$1),0)),5)</f>
        <v>0</v>
      </c>
      <c r="ABE72" s="46" cm="1">
        <f t="array" ref="ABE72">ROUND(VALUE(IFERROR(INDEX(ArchiveResults!$F$5:$IX$116,ComparisonData!A72,ComparisonData!$ABE$1),0)),5)</f>
        <v>0</v>
      </c>
      <c r="ABF72" s="46" cm="1">
        <f t="array" ref="ABF72">ROUND(VALUE(IFERROR(INDEX(ArchiveResults!$F$5:$IX$116,ComparisonData!A72,ComparisonData!$ABF$1),0)),5)</f>
        <v>0</v>
      </c>
      <c r="ABG72" s="46" cm="1">
        <f t="array" ref="ABG72">ROUND(VALUE(IFERROR(INDEX(ArchiveResults!$F$5:$IX$116,ComparisonData!A72,ComparisonData!$ABG$1),0)),5)</f>
        <v>0</v>
      </c>
      <c r="ABH72" s="46" cm="1">
        <f t="array" ref="ABH72">ROUND(VALUE(IFERROR(INDEX(ArchiveResults!$F$5:$IX$116,ComparisonData!A72,ComparisonData!$ABH$1),0)),5)</f>
        <v>0</v>
      </c>
      <c r="ABI72" s="56">
        <v>67</v>
      </c>
      <c r="ABJ72" s="53" t="str">
        <f t="shared" si="743"/>
        <v>Plymouth Archives, The Box</v>
      </c>
      <c r="ABK72" s="60">
        <f t="shared" si="1139"/>
        <v>0</v>
      </c>
      <c r="ABL72" s="60">
        <f t="shared" si="1140"/>
        <v>0</v>
      </c>
      <c r="ABM72" s="60">
        <f t="shared" si="1141"/>
        <v>0</v>
      </c>
      <c r="ABN72" s="60">
        <f t="shared" si="1142"/>
        <v>0</v>
      </c>
      <c r="ABO72" s="60">
        <f t="shared" si="1143"/>
        <v>0</v>
      </c>
      <c r="ABP72" s="76">
        <f t="shared" si="1144"/>
        <v>0</v>
      </c>
      <c r="ABQ72" s="46">
        <f t="shared" si="1145"/>
        <v>65</v>
      </c>
      <c r="ABR72" s="46">
        <f t="shared" si="744"/>
        <v>2.7589999999999999</v>
      </c>
      <c r="ABS72" s="46">
        <f t="shared" si="1146"/>
        <v>1</v>
      </c>
      <c r="ABT72" s="46">
        <f t="shared" si="1147"/>
        <v>2</v>
      </c>
      <c r="ABU72" s="46" cm="1">
        <f t="array" ref="ABU72">ROUND(VALUE(IFERROR(INDEX(ArchiveResults!$F$5:$IX$116,ComparisonData!A72,ComparisonData!$ABU$1),0)),5)</f>
        <v>0</v>
      </c>
      <c r="ABV72" s="46" cm="1">
        <f t="array" ref="ABV72">ROUND(VALUE(IFERROR(INDEX(ArchiveResults!$F$5:$IX$116,ComparisonData!A72,ComparisonData!$ABV$1),0)),5)</f>
        <v>0</v>
      </c>
      <c r="ABW72" s="46" cm="1">
        <f t="array" ref="ABW72">ROUND(VALUE(IFERROR(INDEX(ArchiveResults!$F$5:$IX$116,ComparisonData!A72,ComparisonData!$ABW$1),0)),5)</f>
        <v>0</v>
      </c>
      <c r="ABX72" s="46" cm="1">
        <f t="array" ref="ABX72">ROUND(VALUE(IFERROR(INDEX(ArchiveResults!$F$5:$IX$116,ComparisonData!A72,ComparisonData!$ABX$1),0)),5)</f>
        <v>0</v>
      </c>
      <c r="ABY72" s="46" cm="1">
        <f t="array" ref="ABY72">ROUND(VALUE(IFERROR(INDEX(ArchiveResults!$F$5:$IX$116,ComparisonData!A72,ComparisonData!$ABY$1),0)),5)</f>
        <v>0</v>
      </c>
      <c r="ABZ72" s="56">
        <v>67</v>
      </c>
      <c r="ACA72" s="53" t="str">
        <f t="shared" si="745"/>
        <v>Plymouth Archives, The Box</v>
      </c>
      <c r="ACB72" s="60">
        <f t="shared" si="1148"/>
        <v>0</v>
      </c>
      <c r="ACC72" s="60">
        <f t="shared" si="1149"/>
        <v>0</v>
      </c>
      <c r="ACD72" s="60">
        <f t="shared" si="1150"/>
        <v>0</v>
      </c>
      <c r="ACE72" s="60">
        <f t="shared" si="1151"/>
        <v>0</v>
      </c>
      <c r="ACF72" s="60">
        <f t="shared" si="1152"/>
        <v>0</v>
      </c>
      <c r="ACG72" s="76">
        <f t="shared" si="1153"/>
        <v>0</v>
      </c>
      <c r="ACH72" s="46">
        <f t="shared" si="1154"/>
        <v>65</v>
      </c>
      <c r="ACI72" s="46">
        <f t="shared" si="746"/>
        <v>2.7589999999999999</v>
      </c>
      <c r="ACJ72" s="46">
        <f t="shared" si="1155"/>
        <v>1</v>
      </c>
      <c r="ACK72" s="46">
        <f t="shared" si="1156"/>
        <v>2</v>
      </c>
      <c r="ACL72" s="46">
        <f t="shared" si="1157"/>
        <v>0</v>
      </c>
      <c r="ACM72" s="46" cm="1">
        <f t="array" ref="ACM72">ROUND(IFERROR(INDEX(ArchiveResults!$F$5:$IX$116,ComparisonData!A72,ComparisonData!$ACM$1),0),5)</f>
        <v>0</v>
      </c>
      <c r="ACN72" s="46" cm="1">
        <f t="array" ref="ACN72">ROUND(IFERROR(INDEX(ArchiveResults!$F$5:$IX$116,ComparisonData!A72,ComparisonData!$ACN$1),0),5)</f>
        <v>0</v>
      </c>
      <c r="ACO72" s="56">
        <v>67</v>
      </c>
      <c r="ACP72" s="53" t="str">
        <f t="shared" si="747"/>
        <v>Plymouth Archives, The Box</v>
      </c>
      <c r="ACQ72" s="60">
        <f t="shared" si="1158"/>
        <v>0</v>
      </c>
      <c r="ACR72" s="60">
        <f t="shared" si="1159"/>
        <v>0</v>
      </c>
      <c r="ACS72" s="76">
        <f t="shared" si="1160"/>
        <v>0</v>
      </c>
      <c r="ACT72" s="46">
        <f t="shared" si="1161"/>
        <v>65</v>
      </c>
      <c r="ACU72" s="46">
        <f t="shared" si="748"/>
        <v>2.7589999999999999</v>
      </c>
      <c r="ACV72" s="46">
        <f t="shared" si="1162"/>
        <v>1</v>
      </c>
      <c r="ACW72" s="46">
        <f t="shared" si="1163"/>
        <v>2</v>
      </c>
      <c r="ACX72" s="46">
        <f t="shared" si="1164"/>
        <v>0</v>
      </c>
      <c r="ACY72" s="46" cm="1">
        <f t="array" ref="ACY72">ROUNDDOWN(IFERROR(INDEX(ArchiveResults!$F$5:$IX$116,ComparisonData!A72,ComparisonData!$ACY$1),0),5)</f>
        <v>0</v>
      </c>
      <c r="ACZ72" s="46" cm="1">
        <f t="array" ref="ACZ72">ROUNDDOWN(IFERROR(INDEX(ArchiveResults!$F$5:$IX$116,ComparisonData!A72,ComparisonData!$ACZ$1),0),5)</f>
        <v>0</v>
      </c>
      <c r="ADA72" s="46" cm="1">
        <f t="array" ref="ADA72">ROUNDDOWN(IFERROR(INDEX(ArchiveResults!$F$5:$IX$116,ComparisonData!A72,ComparisonData!$ADA$1),0),5)</f>
        <v>0</v>
      </c>
      <c r="ADB72" s="56">
        <v>67</v>
      </c>
      <c r="ADC72" s="53" t="str">
        <f t="shared" si="749"/>
        <v>Plymouth Archives, The Box</v>
      </c>
      <c r="ADD72" s="60">
        <f t="shared" si="1165"/>
        <v>0</v>
      </c>
      <c r="ADE72" s="60">
        <f t="shared" si="1166"/>
        <v>0</v>
      </c>
      <c r="ADF72" s="60">
        <f t="shared" si="1167"/>
        <v>0</v>
      </c>
      <c r="ADG72" s="76">
        <f t="shared" si="1168"/>
        <v>0</v>
      </c>
    </row>
    <row r="73" spans="1:787" x14ac:dyDescent="0.25">
      <c r="A73" s="46" t="str">
        <f>IF(ISBLANK(ComparisonSelection!F69),"",ROW()-5)</f>
        <v/>
      </c>
      <c r="B73" s="53" t="s">
        <v>521</v>
      </c>
      <c r="C73" s="72">
        <v>0.56899999999999962</v>
      </c>
      <c r="D73" s="55">
        <f t="shared" si="750"/>
        <v>27</v>
      </c>
      <c r="E73" s="54">
        <f t="shared" si="751"/>
        <v>2.5689999999999995</v>
      </c>
      <c r="F73" s="54">
        <f t="shared" si="752"/>
        <v>1</v>
      </c>
      <c r="G73" s="72">
        <f t="shared" si="753"/>
        <v>2</v>
      </c>
      <c r="H73" s="72">
        <f t="shared" si="754"/>
        <v>0</v>
      </c>
      <c r="I73" s="46" cm="1">
        <f t="array" ref="I73">ROUND(IFERROR(INDEX(ArchiveResults!$F$5:$IX$116,ComparisonData!A73,ComparisonData!$I$1),0),5)</f>
        <v>0</v>
      </c>
      <c r="J73" s="46" cm="1">
        <f t="array" ref="J73">ROUND(IFERROR(INDEX(ArchiveResults!$F$5:$IX$116,ComparisonData!A73,ComparisonData!$J$1),0),5)</f>
        <v>0</v>
      </c>
      <c r="K73" s="56">
        <v>68</v>
      </c>
      <c r="L73" s="53" t="str">
        <f t="shared" si="755"/>
        <v>Richmond upon Thames Local Studies Library and Archive</v>
      </c>
      <c r="M73" s="57">
        <f t="shared" si="640"/>
        <v>0</v>
      </c>
      <c r="N73" s="57">
        <f t="shared" si="641"/>
        <v>0</v>
      </c>
      <c r="O73" s="58">
        <f t="shared" si="756"/>
        <v>0</v>
      </c>
      <c r="P73" s="48">
        <f t="shared" si="757"/>
        <v>27</v>
      </c>
      <c r="Q73" s="54">
        <f t="shared" si="642"/>
        <v>2.5689999999999995</v>
      </c>
      <c r="R73" s="45">
        <f t="shared" si="758"/>
        <v>1</v>
      </c>
      <c r="S73" s="46">
        <f t="shared" si="759"/>
        <v>2</v>
      </c>
      <c r="T73" s="72">
        <f t="shared" si="760"/>
        <v>0</v>
      </c>
      <c r="U73" s="46" cm="1">
        <f t="array" ref="U73">ROUND(IFERROR(INDEX(ArchiveResults!$F$5:$IX$116,ComparisonData!A73,ComparisonData!$U$1),0),5)</f>
        <v>0</v>
      </c>
      <c r="V73" s="46" cm="1">
        <f t="array" ref="V73">ROUND(IFERROR(INDEX(ArchiveResults!$F$5:$IX$116,ComparisonData!A73,ComparisonData!$V$1),0),5)</f>
        <v>0</v>
      </c>
      <c r="W73" s="56">
        <v>68</v>
      </c>
      <c r="X73" s="53" t="str">
        <f t="shared" si="643"/>
        <v>Richmond upon Thames Local Studies Library and Archive</v>
      </c>
      <c r="Y73" s="57">
        <f t="shared" si="761"/>
        <v>0</v>
      </c>
      <c r="Z73" s="57">
        <f t="shared" si="762"/>
        <v>0</v>
      </c>
      <c r="AA73" s="58">
        <f t="shared" si="763"/>
        <v>0</v>
      </c>
      <c r="AB73" s="45">
        <f t="shared" si="764"/>
        <v>27</v>
      </c>
      <c r="AC73" s="54">
        <f t="shared" si="644"/>
        <v>2.5689999999999995</v>
      </c>
      <c r="AD73" s="45">
        <f t="shared" si="765"/>
        <v>1</v>
      </c>
      <c r="AE73" s="45">
        <f t="shared" si="766"/>
        <v>2</v>
      </c>
      <c r="AF73" s="45">
        <f t="shared" si="639"/>
        <v>0</v>
      </c>
      <c r="AG73" s="46" cm="1">
        <f t="array" ref="AG73">ROUND(IFERROR(INDEX(ArchiveResults!$F$5:$IX$116,ComparisonData!A73,ComparisonData!$AG$1),0),5)</f>
        <v>0</v>
      </c>
      <c r="AH73" s="46" cm="1">
        <f t="array" ref="AH73">ROUND(IFERROR(INDEX(ArchiveResults!$F$5:$IX$116,ComparisonData!A73,ComparisonData!$AH$1),0),5)</f>
        <v>0</v>
      </c>
      <c r="AI73" s="56">
        <v>68</v>
      </c>
      <c r="AJ73" s="53" t="str">
        <f t="shared" si="645"/>
        <v>Richmond upon Thames Local Studies Library and Archive</v>
      </c>
      <c r="AK73" s="59">
        <f t="shared" si="646"/>
        <v>0</v>
      </c>
      <c r="AL73" s="59">
        <f t="shared" si="647"/>
        <v>0</v>
      </c>
      <c r="AM73" s="58">
        <f t="shared" si="767"/>
        <v>0</v>
      </c>
      <c r="AN73" s="45">
        <f t="shared" si="768"/>
        <v>27</v>
      </c>
      <c r="AO73" s="54">
        <f t="shared" si="648"/>
        <v>2.5689999999999995</v>
      </c>
      <c r="AP73" s="45">
        <f t="shared" si="769"/>
        <v>1</v>
      </c>
      <c r="AQ73" s="45">
        <f t="shared" si="770"/>
        <v>2</v>
      </c>
      <c r="AR73" s="46" cm="1">
        <f t="array" ref="AR73">ROUND(IFERROR(INDEX(ArchiveResults!$F$5:$IX$116,ComparisonData!A73,ComparisonData!$AR$1),0),5)</f>
        <v>0</v>
      </c>
      <c r="AS73" s="46" cm="1">
        <f t="array" ref="AS73">ROUND(IFERROR(INDEX(ArchiveResults!$F$5:$IX$116,ComparisonData!A73,ComparisonData!$AS$1),0),5)</f>
        <v>0</v>
      </c>
      <c r="AT73" s="46" cm="1">
        <f t="array" ref="AT73">ROUND(IFERROR(INDEX(ArchiveResults!$F$5:$IX$116,ComparisonData!A73,ComparisonData!$AT$1),0),5)</f>
        <v>0</v>
      </c>
      <c r="AU73" s="46" cm="1">
        <f t="array" ref="AU73">ROUND(IFERROR(INDEX(ArchiveResults!$F$5:$IX$116,ComparisonData!A73,ComparisonData!$AU$1),0),5)</f>
        <v>0</v>
      </c>
      <c r="AV73" s="46" cm="1">
        <f t="array" ref="AV73">ROUND(IFERROR(INDEX(ArchiveResults!$F$5:$IX$116,ComparisonData!A73,ComparisonData!$AV$1),0),5)</f>
        <v>0</v>
      </c>
      <c r="AW73" s="46" cm="1">
        <f t="array" ref="AW73">ROUND(IFERROR(INDEX(ArchiveResults!$F$5:$IX$116,ComparisonData!A73,ComparisonData!$AW$1),0),5)</f>
        <v>0</v>
      </c>
      <c r="AX73" s="46" cm="1">
        <f t="array" ref="AX73">ROUND(IFERROR(INDEX(ArchiveResults!$F$5:$IX$116,ComparisonData!A73,ComparisonData!$AX$1),0),5)</f>
        <v>0</v>
      </c>
      <c r="AY73" s="46" cm="1">
        <f t="array" ref="AY73">ROUND(IFERROR(INDEX(ArchiveResults!$F$5:$IX$116,ComparisonData!A73,ComparisonData!$AY$1),0),5)</f>
        <v>0</v>
      </c>
      <c r="AZ73" s="46" cm="1">
        <f t="array" ref="AZ73">ROUND(IFERROR(INDEX(ArchiveResults!$F$5:$IX$116,ComparisonData!A73,ComparisonData!$AZ$1),0),5)</f>
        <v>0</v>
      </c>
      <c r="BA73" s="46" cm="1">
        <f t="array" ref="BA73">ROUND(IFERROR(INDEX(ArchiveResults!$F$5:$IX$116,ComparisonData!A73,ComparisonData!$BA$1),0),5)</f>
        <v>0</v>
      </c>
      <c r="BB73" s="56">
        <v>68</v>
      </c>
      <c r="BC73" s="53" t="str">
        <f t="shared" si="649"/>
        <v>Richmond upon Thames Local Studies Library and Archive</v>
      </c>
      <c r="BD73" s="60">
        <f t="shared" si="771"/>
        <v>0</v>
      </c>
      <c r="BE73" s="60">
        <f t="shared" si="772"/>
        <v>0</v>
      </c>
      <c r="BF73" s="60">
        <f t="shared" si="773"/>
        <v>0</v>
      </c>
      <c r="BG73" s="60">
        <f t="shared" si="774"/>
        <v>0</v>
      </c>
      <c r="BH73" s="60">
        <f t="shared" si="775"/>
        <v>0</v>
      </c>
      <c r="BI73" s="60">
        <f t="shared" si="776"/>
        <v>0</v>
      </c>
      <c r="BJ73" s="60">
        <f t="shared" si="777"/>
        <v>0</v>
      </c>
      <c r="BK73" s="60">
        <f t="shared" si="778"/>
        <v>0</v>
      </c>
      <c r="BL73" s="60">
        <f t="shared" si="779"/>
        <v>0</v>
      </c>
      <c r="BM73" s="59">
        <f t="shared" si="780"/>
        <v>0</v>
      </c>
      <c r="BN73" s="58">
        <f t="shared" si="781"/>
        <v>0</v>
      </c>
      <c r="BO73" s="45">
        <f t="shared" si="782"/>
        <v>27</v>
      </c>
      <c r="BP73" s="54">
        <f t="shared" si="650"/>
        <v>2.5689999999999995</v>
      </c>
      <c r="BQ73" s="45">
        <f t="shared" si="783"/>
        <v>1</v>
      </c>
      <c r="BR73" s="45">
        <f t="shared" si="784"/>
        <v>2</v>
      </c>
      <c r="BS73" s="46" cm="1">
        <f t="array" ref="BS73">ROUND(IFERROR(INDEX(ArchiveResults!$F$5:$IX$116,ComparisonData!A73,ComparisonData!$BS$1),0),5)</f>
        <v>0</v>
      </c>
      <c r="BT73" s="46" cm="1">
        <f t="array" ref="BT73">ROUND(IFERROR(INDEX(ArchiveResults!$F$5:$IX$116,ComparisonData!A73,ComparisonData!$BT$1),0),5)</f>
        <v>0</v>
      </c>
      <c r="BU73" s="46" cm="1">
        <f t="array" ref="BU73">ROUND(IFERROR(INDEX(ArchiveResults!$F$5:$IX$116,ComparisonData!A73,ComparisonData!$BU$1),0),5)</f>
        <v>0</v>
      </c>
      <c r="BV73" s="46" cm="1">
        <f t="array" ref="BV73">ROUND(IFERROR(INDEX(ArchiveResults!$F$5:$IX$116,ComparisonData!A73,ComparisonData!$BV$1),0),5)</f>
        <v>0</v>
      </c>
      <c r="BW73" s="46" cm="1">
        <f t="array" ref="BW73">ROUND(IFERROR(INDEX(ArchiveResults!$F$5:$IX$116,ComparisonData!A73,ComparisonData!$BW$1),0),5)</f>
        <v>0</v>
      </c>
      <c r="BX73" s="46" cm="1">
        <f t="array" ref="BX73">ROUND(IFERROR(INDEX(ArchiveResults!$F$5:$IX$116,ComparisonData!A73,ComparisonData!$BX$1),0),5)</f>
        <v>0</v>
      </c>
      <c r="BY73" s="56">
        <v>68</v>
      </c>
      <c r="BZ73" s="53" t="str">
        <f t="shared" si="651"/>
        <v>Richmond upon Thames Local Studies Library and Archive</v>
      </c>
      <c r="CA73" s="59">
        <f t="shared" si="785"/>
        <v>0</v>
      </c>
      <c r="CB73" s="59">
        <f t="shared" si="786"/>
        <v>0</v>
      </c>
      <c r="CC73" s="59">
        <f t="shared" si="787"/>
        <v>0</v>
      </c>
      <c r="CD73" s="59">
        <f t="shared" si="788"/>
        <v>0</v>
      </c>
      <c r="CE73" s="59">
        <f t="shared" si="789"/>
        <v>0</v>
      </c>
      <c r="CF73" s="59">
        <f t="shared" si="790"/>
        <v>0</v>
      </c>
      <c r="CG73" s="58">
        <f t="shared" si="791"/>
        <v>0</v>
      </c>
      <c r="CH73" s="45">
        <f t="shared" si="792"/>
        <v>27</v>
      </c>
      <c r="CI73" s="54">
        <f t="shared" si="652"/>
        <v>2.5689999999999995</v>
      </c>
      <c r="CJ73" s="45">
        <f t="shared" si="793"/>
        <v>1</v>
      </c>
      <c r="CK73" s="45">
        <f t="shared" si="794"/>
        <v>2</v>
      </c>
      <c r="CL73" s="46" cm="1">
        <f t="array" ref="CL73">ROUND(IFERROR(INDEX(ArchiveResults!$F$5:$IX$116,ComparisonData!A73,ComparisonData!$CL$1),0),5)</f>
        <v>0</v>
      </c>
      <c r="CM73" s="56">
        <v>68</v>
      </c>
      <c r="CN73" s="53" t="str">
        <f t="shared" si="653"/>
        <v>Richmond upon Thames Local Studies Library and Archive</v>
      </c>
      <c r="CO73" s="45">
        <f t="shared" si="795"/>
        <v>0</v>
      </c>
      <c r="CP73" s="58">
        <f t="shared" si="796"/>
        <v>0</v>
      </c>
      <c r="CQ73" s="45">
        <f t="shared" si="797"/>
        <v>27</v>
      </c>
      <c r="CR73" s="54">
        <f t="shared" si="654"/>
        <v>2.5689999999999995</v>
      </c>
      <c r="CS73" s="45">
        <f t="shared" si="798"/>
        <v>1</v>
      </c>
      <c r="CT73" s="45">
        <f t="shared" si="799"/>
        <v>2</v>
      </c>
      <c r="CU73" s="46" cm="1">
        <f t="array" ref="CU73">ROUND(IFERROR(INDEX(ArchiveResults!$F$5:$IX$116,ComparisonData!A73,ComparisonData!$CU$1),0),5)</f>
        <v>0</v>
      </c>
      <c r="CV73" s="56">
        <v>68</v>
      </c>
      <c r="CW73" s="53" t="str">
        <f t="shared" si="655"/>
        <v>Richmond upon Thames Local Studies Library and Archive</v>
      </c>
      <c r="CX73" s="45">
        <f t="shared" si="800"/>
        <v>0</v>
      </c>
      <c r="CY73" s="58">
        <f t="shared" si="801"/>
        <v>0</v>
      </c>
      <c r="CZ73" s="45">
        <f t="shared" si="802"/>
        <v>27</v>
      </c>
      <c r="DA73" s="54">
        <f t="shared" si="656"/>
        <v>2.5689999999999995</v>
      </c>
      <c r="DB73" s="45">
        <f t="shared" si="803"/>
        <v>1</v>
      </c>
      <c r="DC73" s="45">
        <f t="shared" si="804"/>
        <v>2</v>
      </c>
      <c r="DD73" s="46" cm="1">
        <f t="array" ref="DD73">ROUND(IFERROR(INDEX(ArchiveResults!$F$5:$IX$116,ComparisonData!A73,ComparisonData!$DD$1),0),5)</f>
        <v>0</v>
      </c>
      <c r="DE73" s="56">
        <v>68</v>
      </c>
      <c r="DF73" s="53" t="str">
        <f t="shared" si="657"/>
        <v>Richmond upon Thames Local Studies Library and Archive</v>
      </c>
      <c r="DG73" s="45">
        <f t="shared" si="805"/>
        <v>0</v>
      </c>
      <c r="DH73" s="58">
        <f t="shared" si="806"/>
        <v>0</v>
      </c>
      <c r="DI73" s="45">
        <f t="shared" si="807"/>
        <v>27</v>
      </c>
      <c r="DJ73" s="54">
        <f t="shared" si="658"/>
        <v>2.5689999999999995</v>
      </c>
      <c r="DK73" s="45">
        <f t="shared" si="808"/>
        <v>1</v>
      </c>
      <c r="DL73" s="45">
        <f t="shared" si="809"/>
        <v>2</v>
      </c>
      <c r="DM73" s="46" cm="1">
        <f t="array" ref="DM73">ROUND(IFERROR(INDEX(ArchiveResults!$F$5:$IX$116,ComparisonData!A73,ComparisonData!$DM$1),0),5)</f>
        <v>0</v>
      </c>
      <c r="DN73" s="46" cm="1">
        <f t="array" ref="DN73">ROUND(IFERROR(INDEX(ArchiveResults!$F$5:$IX$116,ComparisonData!A73,ComparisonData!$DN$1),0),5)</f>
        <v>0</v>
      </c>
      <c r="DO73" s="46" cm="1">
        <f t="array" ref="DO73">ROUND(IFERROR(INDEX(ArchiveResults!$F$5:$IX$116,ComparisonData!A73,ComparisonData!$DO$1),0),5)</f>
        <v>0</v>
      </c>
      <c r="DP73" s="46" cm="1">
        <f t="array" ref="DP73">ROUND(IFERROR(INDEX(ArchiveResults!$F$5:$IX$116,ComparisonData!A73,ComparisonData!$DP$1),0),5)</f>
        <v>0</v>
      </c>
      <c r="DQ73" s="45" cm="1">
        <f t="array" ref="DQ73">IFERROR(INDEX(ArchiveResults!$F$5:$IX$116,ComparisonData!A73,ComparisonData!$DQ$1),0)</f>
        <v>0</v>
      </c>
      <c r="DR73" s="56">
        <v>68</v>
      </c>
      <c r="DS73" s="53" t="str">
        <f t="shared" si="659"/>
        <v>Richmond upon Thames Local Studies Library and Archive</v>
      </c>
      <c r="DT73" s="59">
        <f t="shared" si="810"/>
        <v>0</v>
      </c>
      <c r="DU73" s="59">
        <f t="shared" si="811"/>
        <v>0</v>
      </c>
      <c r="DV73" s="59">
        <f t="shared" si="812"/>
        <v>0</v>
      </c>
      <c r="DW73" s="59">
        <f t="shared" si="813"/>
        <v>0</v>
      </c>
      <c r="DX73" s="59">
        <f t="shared" si="814"/>
        <v>0</v>
      </c>
      <c r="DY73" s="58">
        <f t="shared" si="815"/>
        <v>0</v>
      </c>
      <c r="DZ73" s="45">
        <f t="shared" si="816"/>
        <v>27</v>
      </c>
      <c r="EA73" s="54">
        <f t="shared" si="660"/>
        <v>2.5689999999999995</v>
      </c>
      <c r="EB73" s="45">
        <f t="shared" si="817"/>
        <v>1</v>
      </c>
      <c r="EC73" s="45">
        <f t="shared" si="818"/>
        <v>2</v>
      </c>
      <c r="ED73" s="46" cm="1">
        <f t="array" ref="ED73">ROUND(IFERROR(INDEX(ArchiveResults!$F$5:$IX$116,ComparisonData!A73,ComparisonData!$ED$1),0),5)</f>
        <v>0</v>
      </c>
      <c r="EE73" s="46" cm="1">
        <f t="array" ref="EE73">ROUND(IFERROR(INDEX(ArchiveResults!$F$5:$IX$116,ComparisonData!A73,ComparisonData!$EE$1),0),5)</f>
        <v>0</v>
      </c>
      <c r="EF73" s="46" cm="1">
        <f t="array" ref="EF73">ROUND(IFERROR(INDEX(ArchiveResults!$F$5:$IX$116,ComparisonData!A73,ComparisonData!$EF$1),0),5)</f>
        <v>0</v>
      </c>
      <c r="EG73" s="46" cm="1">
        <f t="array" ref="EG73">ROUND(IFERROR(INDEX(ArchiveResults!$F$5:$IX$116,ComparisonData!A73,ComparisonData!$EG$1),0),5)</f>
        <v>0</v>
      </c>
      <c r="EH73" s="45" cm="1">
        <f t="array" ref="EH73">IFERROR(INDEX(ArchiveResults!$F$5:$IX$116,ComparisonData!A73,ComparisonData!$EH$1),0)</f>
        <v>0</v>
      </c>
      <c r="EI73" s="56">
        <v>68</v>
      </c>
      <c r="EJ73" s="53" t="str">
        <f t="shared" si="661"/>
        <v>Richmond upon Thames Local Studies Library and Archive</v>
      </c>
      <c r="EK73" s="59">
        <f t="shared" si="819"/>
        <v>0</v>
      </c>
      <c r="EL73" s="59">
        <f t="shared" si="820"/>
        <v>0</v>
      </c>
      <c r="EM73" s="59">
        <f t="shared" si="821"/>
        <v>0</v>
      </c>
      <c r="EN73" s="59">
        <f t="shared" si="822"/>
        <v>0</v>
      </c>
      <c r="EO73" s="59">
        <f t="shared" si="823"/>
        <v>0</v>
      </c>
      <c r="EP73" s="58">
        <f t="shared" si="824"/>
        <v>0</v>
      </c>
      <c r="EQ73" s="45">
        <f t="shared" si="825"/>
        <v>27</v>
      </c>
      <c r="ER73" s="54">
        <f t="shared" si="662"/>
        <v>2.5689999999999995</v>
      </c>
      <c r="ES73" s="45">
        <f t="shared" si="826"/>
        <v>1</v>
      </c>
      <c r="ET73" s="45">
        <f t="shared" si="827"/>
        <v>2</v>
      </c>
      <c r="EU73" s="46" cm="1">
        <f t="array" ref="EU73">ROUND(IFERROR(INDEX(ArchiveResults!$F$5:$IX$116,ComparisonData!A73,ComparisonData!$EU$1),0),5)</f>
        <v>0</v>
      </c>
      <c r="EV73" s="46" cm="1">
        <f t="array" ref="EV73">ROUND(IFERROR(INDEX(ArchiveResults!$F$5:$IX$116,ComparisonData!A73,ComparisonData!$EV$1),0),5)</f>
        <v>0</v>
      </c>
      <c r="EW73" s="46" cm="1">
        <f t="array" ref="EW73">ROUND(IFERROR(INDEX(ArchiveResults!$F$5:$IX$116,ComparisonData!A73,ComparisonData!$EW$1),0),5)</f>
        <v>0</v>
      </c>
      <c r="EX73" s="46" cm="1">
        <f t="array" ref="EX73">ROUND(IFERROR(INDEX(ArchiveResults!$F$5:$IX$116,ComparisonData!A73,ComparisonData!$EX$1),0),5)</f>
        <v>0</v>
      </c>
      <c r="EY73" s="45" cm="1">
        <f t="array" ref="EY73">IFERROR(INDEX(ArchiveResults!$F$5:$IX$116,ComparisonData!A73,ComparisonData!$EY$1),0)</f>
        <v>0</v>
      </c>
      <c r="EZ73" s="56">
        <v>68</v>
      </c>
      <c r="FA73" s="53" t="str">
        <f t="shared" si="663"/>
        <v>Richmond upon Thames Local Studies Library and Archive</v>
      </c>
      <c r="FB73" s="59">
        <f t="shared" si="828"/>
        <v>0</v>
      </c>
      <c r="FC73" s="59">
        <f t="shared" si="829"/>
        <v>0</v>
      </c>
      <c r="FD73" s="59">
        <f t="shared" si="830"/>
        <v>0</v>
      </c>
      <c r="FE73" s="59">
        <f t="shared" si="831"/>
        <v>0</v>
      </c>
      <c r="FF73" s="59">
        <f t="shared" si="832"/>
        <v>0</v>
      </c>
      <c r="FG73" s="58">
        <f t="shared" si="833"/>
        <v>0</v>
      </c>
      <c r="FH73" s="45">
        <f t="shared" si="834"/>
        <v>27</v>
      </c>
      <c r="FI73" s="54">
        <f t="shared" si="664"/>
        <v>2.5689999999999995</v>
      </c>
      <c r="FJ73" s="45">
        <f t="shared" si="835"/>
        <v>1</v>
      </c>
      <c r="FK73" s="45">
        <f t="shared" si="836"/>
        <v>2</v>
      </c>
      <c r="FL73" s="46" cm="1">
        <f t="array" ref="FL73">ROUND(IFERROR(INDEX(ArchiveResults!$F$5:$IX$116,ComparisonData!A73,ComparisonData!$FL$1),0),5)</f>
        <v>0</v>
      </c>
      <c r="FM73" s="46" cm="1">
        <f t="array" ref="FM73">ROUND(IFERROR(INDEX(ArchiveResults!$F$5:$IX$116,ComparisonData!A73,ComparisonData!$FM$1),0),5)</f>
        <v>0</v>
      </c>
      <c r="FN73" s="46" cm="1">
        <f t="array" ref="FN73">ROUND(IFERROR(INDEX(ArchiveResults!$F$5:$IX$116,ComparisonData!A73,ComparisonData!$FN$1),0),5)</f>
        <v>0</v>
      </c>
      <c r="FO73" s="46" cm="1">
        <f t="array" ref="FO73">ROUND(IFERROR(INDEX(ArchiveResults!$F$5:$IX$116,ComparisonData!A73,ComparisonData!$FO$1),0),5)</f>
        <v>0</v>
      </c>
      <c r="FP73" s="45" cm="1">
        <f t="array" ref="FP73">IFERROR(INDEX(ArchiveResults!$F$5:$IX$116,ComparisonData!A73,ComparisonData!$FP$1),0)</f>
        <v>0</v>
      </c>
      <c r="FQ73" s="56">
        <v>68</v>
      </c>
      <c r="FR73" s="53" t="str">
        <f t="shared" si="665"/>
        <v>Richmond upon Thames Local Studies Library and Archive</v>
      </c>
      <c r="FS73" s="59">
        <f t="shared" si="837"/>
        <v>0</v>
      </c>
      <c r="FT73" s="59">
        <f t="shared" si="838"/>
        <v>0</v>
      </c>
      <c r="FU73" s="59">
        <f t="shared" si="839"/>
        <v>0</v>
      </c>
      <c r="FV73" s="59">
        <f t="shared" si="840"/>
        <v>0</v>
      </c>
      <c r="FW73" s="59">
        <f t="shared" si="841"/>
        <v>0</v>
      </c>
      <c r="FX73" s="58">
        <f t="shared" si="842"/>
        <v>0</v>
      </c>
      <c r="FY73" s="45">
        <f t="shared" si="843"/>
        <v>27</v>
      </c>
      <c r="FZ73" s="45">
        <f t="shared" si="666"/>
        <v>2.5689999999999995</v>
      </c>
      <c r="GA73" s="45">
        <f t="shared" si="844"/>
        <v>1</v>
      </c>
      <c r="GB73" s="45">
        <f t="shared" si="845"/>
        <v>2</v>
      </c>
      <c r="GC73" s="46" cm="1">
        <f t="array" ref="GC73">ROUND(IFERROR(INDEX(ArchiveResults!$F$5:$IX$116,ComparisonData!A73,ComparisonData!$GC$1),0),5)</f>
        <v>0</v>
      </c>
      <c r="GD73" s="46" cm="1">
        <f t="array" ref="GD73">ROUND(IFERROR(INDEX(ArchiveResults!$F$5:$IX$116,ComparisonData!A73,ComparisonData!$GD$1),0),5)</f>
        <v>0</v>
      </c>
      <c r="GE73" s="46" cm="1">
        <f t="array" ref="GE73">ROUND(IFERROR(INDEX(ArchiveResults!$F$5:$IX$116,ComparisonData!A73,ComparisonData!$GE$1),0),5)</f>
        <v>0</v>
      </c>
      <c r="GF73" s="46" cm="1">
        <f t="array" ref="GF73">ROUND(IFERROR(INDEX(ArchiveResults!$F$5:$IX$116,ComparisonData!A73,ComparisonData!$GF$1),0),5)</f>
        <v>0</v>
      </c>
      <c r="GG73" s="45" cm="1">
        <f t="array" ref="GG73">IFERROR(INDEX(ArchiveResults!$F$5:$IX$116,ComparisonData!A73,ComparisonData!$GG$1),0)</f>
        <v>0</v>
      </c>
      <c r="GH73" s="56">
        <v>68</v>
      </c>
      <c r="GI73" s="53" t="str">
        <f t="shared" si="667"/>
        <v>Richmond upon Thames Local Studies Library and Archive</v>
      </c>
      <c r="GJ73" s="59">
        <f t="shared" si="846"/>
        <v>0</v>
      </c>
      <c r="GK73" s="59">
        <f t="shared" si="847"/>
        <v>0</v>
      </c>
      <c r="GL73" s="59">
        <f t="shared" si="848"/>
        <v>0</v>
      </c>
      <c r="GM73" s="59">
        <f t="shared" si="849"/>
        <v>0</v>
      </c>
      <c r="GN73" s="59">
        <f t="shared" si="850"/>
        <v>0</v>
      </c>
      <c r="GO73" s="58">
        <f t="shared" si="851"/>
        <v>0</v>
      </c>
      <c r="GP73" s="45">
        <f t="shared" si="852"/>
        <v>27</v>
      </c>
      <c r="GQ73" s="45">
        <f t="shared" si="668"/>
        <v>2.5689999999999995</v>
      </c>
      <c r="GR73" s="45">
        <f t="shared" si="853"/>
        <v>1</v>
      </c>
      <c r="GS73" s="45">
        <f t="shared" si="854"/>
        <v>2</v>
      </c>
      <c r="GT73" s="46" cm="1">
        <f t="array" ref="GT73">ROUND(IFERROR(INDEX(ArchiveResults!$F$5:$IX$116,ComparisonData!A73,ComparisonData!$GT$1),0),5)</f>
        <v>0</v>
      </c>
      <c r="GU73" s="46" cm="1">
        <f t="array" ref="GU73">ROUND(IFERROR(INDEX(ArchiveResults!$F$5:$IX$116,ComparisonData!A73,ComparisonData!$GU$1),0),5)</f>
        <v>0</v>
      </c>
      <c r="GV73" s="46" cm="1">
        <f t="array" ref="GV73">ROUND(IFERROR(INDEX(ArchiveResults!$F$5:$IX$116,ComparisonData!A73,ComparisonData!$GV$1),0),5)</f>
        <v>0</v>
      </c>
      <c r="GW73" s="46" cm="1">
        <f t="array" ref="GW73">ROUND(IFERROR(INDEX(ArchiveResults!$F$5:$IX$116,ComparisonData!A73,ComparisonData!$GW$1),0),5)</f>
        <v>0</v>
      </c>
      <c r="GX73" s="45" cm="1">
        <f t="array" ref="GX73">IFERROR(INDEX(ArchiveResults!$F$5:$IX$116,ComparisonData!A73,ComparisonData!$GX$1),0)</f>
        <v>0</v>
      </c>
      <c r="GY73" s="56">
        <v>68</v>
      </c>
      <c r="GZ73" s="53" t="str">
        <f t="shared" si="669"/>
        <v>Richmond upon Thames Local Studies Library and Archive</v>
      </c>
      <c r="HA73" s="59">
        <f t="shared" si="855"/>
        <v>0</v>
      </c>
      <c r="HB73" s="59">
        <f t="shared" si="856"/>
        <v>0</v>
      </c>
      <c r="HC73" s="59">
        <f t="shared" si="857"/>
        <v>0</v>
      </c>
      <c r="HD73" s="59">
        <f t="shared" si="858"/>
        <v>0</v>
      </c>
      <c r="HE73" s="59">
        <f t="shared" si="859"/>
        <v>0</v>
      </c>
      <c r="HF73" s="58">
        <f t="shared" si="860"/>
        <v>0</v>
      </c>
      <c r="HG73" s="45">
        <f t="shared" si="861"/>
        <v>27</v>
      </c>
      <c r="HH73" s="45">
        <f t="shared" si="670"/>
        <v>2.5689999999999995</v>
      </c>
      <c r="HI73" s="45">
        <f t="shared" si="862"/>
        <v>1</v>
      </c>
      <c r="HJ73" s="45">
        <f t="shared" si="863"/>
        <v>2</v>
      </c>
      <c r="HK73" s="46" cm="1">
        <f t="array" ref="HK73">ROUND(IFERROR(INDEX(ArchiveResults!$F$5:$IX$116,ComparisonData!A73,ComparisonData!$HK$1),0),5)</f>
        <v>0</v>
      </c>
      <c r="HL73" s="46" cm="1">
        <f t="array" ref="HL73">ROUND(IFERROR(INDEX(ArchiveResults!$F$5:$IX$116,ComparisonData!A73,ComparisonData!$HL$1),0),5)</f>
        <v>0</v>
      </c>
      <c r="HM73" s="46" cm="1">
        <f t="array" ref="HM73">ROUND(IFERROR(INDEX(ArchiveResults!$F$5:$IX$116,ComparisonData!A73,ComparisonData!$HM$1),0),5)</f>
        <v>0</v>
      </c>
      <c r="HN73" s="46" cm="1">
        <f t="array" ref="HN73">ROUND(IFERROR(INDEX(ArchiveResults!$F$5:$IX$116,ComparisonData!A73,ComparisonData!$HN$1),0),5)</f>
        <v>0</v>
      </c>
      <c r="HO73" s="45" cm="1">
        <f t="array" ref="HO73">IFERROR(INDEX(ArchiveResults!$F$5:$IX$116,ComparisonData!A73,ComparisonData!$HO$1),0)</f>
        <v>0</v>
      </c>
      <c r="HP73" s="56">
        <v>68</v>
      </c>
      <c r="HQ73" s="53" t="str">
        <f t="shared" si="671"/>
        <v>Richmond upon Thames Local Studies Library and Archive</v>
      </c>
      <c r="HR73" s="59">
        <f t="shared" si="672"/>
        <v>0</v>
      </c>
      <c r="HS73" s="59">
        <f t="shared" si="673"/>
        <v>0</v>
      </c>
      <c r="HT73" s="59">
        <f t="shared" si="674"/>
        <v>0</v>
      </c>
      <c r="HU73" s="59">
        <f t="shared" si="675"/>
        <v>0</v>
      </c>
      <c r="HV73" s="59">
        <f t="shared" si="676"/>
        <v>0</v>
      </c>
      <c r="HW73" s="58">
        <f t="shared" si="864"/>
        <v>0</v>
      </c>
      <c r="HX73" s="45">
        <f t="shared" si="865"/>
        <v>27</v>
      </c>
      <c r="HY73" s="45">
        <f t="shared" si="677"/>
        <v>2.5689999999999995</v>
      </c>
      <c r="HZ73" s="45">
        <f t="shared" si="866"/>
        <v>1</v>
      </c>
      <c r="IA73" s="45">
        <f t="shared" si="867"/>
        <v>2</v>
      </c>
      <c r="IB73" s="45">
        <f t="shared" si="868"/>
        <v>0</v>
      </c>
      <c r="IC73" s="46" cm="1">
        <f t="array" ref="IC73">ROUND(IFERROR(INDEX(ArchiveResults!$F$5:$IX$116,ComparisonData!A73,ComparisonData!$IC$1),0),5)</f>
        <v>0</v>
      </c>
      <c r="ID73" s="46" cm="1">
        <f t="array" ref="ID73">ROUND(IFERROR(INDEX(ArchiveResults!$F$5:$IX$116,ComparisonData!A73,ComparisonData!$ID$1),0),5)</f>
        <v>0</v>
      </c>
      <c r="IE73" s="46" cm="1">
        <f t="array" ref="IE73">ROUND(IFERROR(INDEX(ArchiveResults!$F$5:$IX$116,ComparisonData!A73,ComparisonData!$IE$1),0),5)</f>
        <v>0</v>
      </c>
      <c r="IF73" s="46" cm="1">
        <f t="array" ref="IF73">ROUND(IFERROR(INDEX(ArchiveResults!$F$5:$IX$116,ComparisonData!A73,ComparisonData!$IF$1),0),5)</f>
        <v>0</v>
      </c>
      <c r="IG73" s="45" cm="1">
        <f t="array" ref="IG73">IFERROR(INDEX(ArchiveResults!$F$5:$IX$116,ComparisonData!A73,ComparisonData!$IG$1),0)</f>
        <v>0</v>
      </c>
      <c r="IH73" s="56">
        <v>68</v>
      </c>
      <c r="II73" s="53" t="str">
        <f t="shared" si="678"/>
        <v>Richmond upon Thames Local Studies Library and Archive</v>
      </c>
      <c r="IJ73" s="59">
        <f t="shared" si="869"/>
        <v>0</v>
      </c>
      <c r="IK73" s="59">
        <f t="shared" si="870"/>
        <v>0</v>
      </c>
      <c r="IL73" s="59">
        <f t="shared" si="871"/>
        <v>0</v>
      </c>
      <c r="IM73" s="59">
        <f t="shared" si="872"/>
        <v>0</v>
      </c>
      <c r="IN73" s="59">
        <f t="shared" si="873"/>
        <v>0</v>
      </c>
      <c r="IO73" s="58">
        <f t="shared" si="874"/>
        <v>0</v>
      </c>
      <c r="IP73" s="45">
        <f t="shared" si="875"/>
        <v>27</v>
      </c>
      <c r="IQ73" s="45">
        <f t="shared" si="679"/>
        <v>2.5689999999999995</v>
      </c>
      <c r="IR73" s="45">
        <f t="shared" si="876"/>
        <v>1</v>
      </c>
      <c r="IS73" s="45">
        <f t="shared" si="877"/>
        <v>2</v>
      </c>
      <c r="IT73" s="46">
        <f t="shared" si="878"/>
        <v>0</v>
      </c>
      <c r="IU73" s="46" cm="1">
        <f t="array" ref="IU73">ROUND(IFERROR(INDEX(ArchiveResults!$F$5:$IX$116,ComparisonData!A73,ComparisonData!$IU$1),0),5)</f>
        <v>0</v>
      </c>
      <c r="IV73" s="46" cm="1">
        <f t="array" ref="IV73">ROUND(IFERROR(INDEX(ArchiveResults!$F$5:$IX$116,ComparisonData!A73,ComparisonData!$IV$1),0),5)</f>
        <v>0</v>
      </c>
      <c r="IW73" s="46" cm="1">
        <f t="array" ref="IW73">ROUND(IFERROR(INDEX(ArchiveResults!$F$5:$IX$116,ComparisonData!A73,ComparisonData!$IW$1),0),5)</f>
        <v>0</v>
      </c>
      <c r="IX73" s="46" cm="1">
        <f t="array" ref="IX73">ROUND(IFERROR(INDEX(ArchiveResults!$F$5:$IX$116,ComparisonData!A73,ComparisonData!$IX$1),0),5)</f>
        <v>0</v>
      </c>
      <c r="IY73" s="45" cm="1">
        <f t="array" ref="IY73">IFERROR(INDEX(ArchiveResults!$F$5:$IX$116,ComparisonData!A73,ComparisonData!$IY$1),0)</f>
        <v>0</v>
      </c>
      <c r="IZ73" s="56">
        <v>68</v>
      </c>
      <c r="JA73" s="53" t="str">
        <f t="shared" si="680"/>
        <v>Richmond upon Thames Local Studies Library and Archive</v>
      </c>
      <c r="JB73" s="59">
        <f t="shared" si="879"/>
        <v>0</v>
      </c>
      <c r="JC73" s="59">
        <f t="shared" si="880"/>
        <v>0</v>
      </c>
      <c r="JD73" s="59">
        <f t="shared" si="881"/>
        <v>0</v>
      </c>
      <c r="JE73" s="59">
        <f t="shared" si="882"/>
        <v>0</v>
      </c>
      <c r="JF73" s="59">
        <f t="shared" si="883"/>
        <v>0</v>
      </c>
      <c r="JG73" s="58">
        <f t="shared" si="884"/>
        <v>0</v>
      </c>
      <c r="JH73" s="45">
        <f t="shared" si="885"/>
        <v>27</v>
      </c>
      <c r="JI73" s="45">
        <f t="shared" si="681"/>
        <v>2.5689999999999995</v>
      </c>
      <c r="JJ73" s="45">
        <f t="shared" si="886"/>
        <v>1</v>
      </c>
      <c r="JK73" s="45">
        <f t="shared" si="887"/>
        <v>2</v>
      </c>
      <c r="JL73" s="45">
        <f t="shared" si="888"/>
        <v>0</v>
      </c>
      <c r="JM73" s="46" cm="1">
        <f t="array" ref="JM73">ROUND(IFERROR(INDEX(ArchiveResults!$F$5:$IX$116,ComparisonData!A73,ComparisonData!$JM$1),0),5)</f>
        <v>0</v>
      </c>
      <c r="JN73" s="46" cm="1">
        <f t="array" ref="JN73">ROUND(IFERROR(INDEX(ArchiveResults!$F$5:$IX$116,ComparisonData!A73,ComparisonData!$JN$1),0),5)</f>
        <v>0</v>
      </c>
      <c r="JO73" s="46" cm="1">
        <f t="array" ref="JO73">ROUND(IFERROR(INDEX(ArchiveResults!$F$5:$IX$116,ComparisonData!A73,ComparisonData!$JO$1),0),5)</f>
        <v>0</v>
      </c>
      <c r="JP73" s="46" cm="1">
        <f t="array" ref="JP73">ROUND(IFERROR(INDEX(ArchiveResults!$F$5:$IX$116,ComparisonData!A73,ComparisonData!$JP$1),0),5)</f>
        <v>0</v>
      </c>
      <c r="JQ73" s="45" cm="1">
        <f t="array" ref="JQ73">IFERROR(INDEX(ArchiveResults!$F$5:$IX$116,ComparisonData!A73,ComparisonData!$JQ$1),0)</f>
        <v>0</v>
      </c>
      <c r="JR73" s="56">
        <v>68</v>
      </c>
      <c r="JS73" s="53" t="str">
        <f t="shared" si="682"/>
        <v>Richmond upon Thames Local Studies Library and Archive</v>
      </c>
      <c r="JT73" s="59">
        <f t="shared" si="889"/>
        <v>0</v>
      </c>
      <c r="JU73" s="59">
        <f t="shared" si="890"/>
        <v>0</v>
      </c>
      <c r="JV73" s="59">
        <f t="shared" si="891"/>
        <v>0</v>
      </c>
      <c r="JW73" s="59">
        <f t="shared" si="892"/>
        <v>0</v>
      </c>
      <c r="JX73" s="59">
        <f t="shared" si="893"/>
        <v>0</v>
      </c>
      <c r="JY73" s="58">
        <f t="shared" si="894"/>
        <v>0</v>
      </c>
      <c r="JZ73" s="45">
        <f t="shared" si="895"/>
        <v>27</v>
      </c>
      <c r="KA73" s="45">
        <f t="shared" si="683"/>
        <v>2.5689999999999995</v>
      </c>
      <c r="KB73" s="45">
        <f t="shared" si="896"/>
        <v>1</v>
      </c>
      <c r="KC73" s="45">
        <f t="shared" si="897"/>
        <v>2</v>
      </c>
      <c r="KD73" s="45">
        <f t="shared" si="898"/>
        <v>0</v>
      </c>
      <c r="KE73" s="46" cm="1">
        <f t="array" ref="KE73">ROUND(IFERROR(INDEX(ArchiveResults!$F$5:$IX$116,ComparisonData!A73,ComparisonData!$KE$1),0),5)</f>
        <v>0</v>
      </c>
      <c r="KF73" s="46" cm="1">
        <f t="array" ref="KF73">ROUND(IFERROR(INDEX(ArchiveResults!$F$5:$IX$116,ComparisonData!A73,ComparisonData!$KF$1),0),5)</f>
        <v>0</v>
      </c>
      <c r="KG73" s="46" cm="1">
        <f t="array" ref="KG73">ROUND(IFERROR(INDEX(ArchiveResults!$F$5:$IX$116,ComparisonData!A73,ComparisonData!$KG$1),0),5)</f>
        <v>0</v>
      </c>
      <c r="KH73" s="46" cm="1">
        <f t="array" ref="KH73">ROUND(IFERROR(INDEX(ArchiveResults!$F$5:$IX$116,ComparisonData!A73,ComparisonData!$KH$1),0),5)</f>
        <v>0</v>
      </c>
      <c r="KI73" s="45" cm="1">
        <f t="array" ref="KI73">IFERROR(INDEX(ArchiveResults!$F$5:$IX$116,ComparisonData!A73,ComparisonData!$KI$1),0)</f>
        <v>0</v>
      </c>
      <c r="KJ73" s="56">
        <v>68</v>
      </c>
      <c r="KK73" s="53" t="str">
        <f t="shared" si="684"/>
        <v>Richmond upon Thames Local Studies Library and Archive</v>
      </c>
      <c r="KL73" s="59">
        <f t="shared" si="899"/>
        <v>0</v>
      </c>
      <c r="KM73" s="59">
        <f t="shared" si="900"/>
        <v>0</v>
      </c>
      <c r="KN73" s="59">
        <f t="shared" si="901"/>
        <v>0</v>
      </c>
      <c r="KO73" s="59">
        <f t="shared" si="902"/>
        <v>0</v>
      </c>
      <c r="KP73" s="59">
        <f t="shared" si="903"/>
        <v>0</v>
      </c>
      <c r="KQ73" s="58">
        <f t="shared" si="904"/>
        <v>0</v>
      </c>
      <c r="KR73" s="45">
        <f t="shared" si="905"/>
        <v>27</v>
      </c>
      <c r="KS73" s="45">
        <f t="shared" si="685"/>
        <v>2.5689999999999995</v>
      </c>
      <c r="KT73" s="45">
        <f t="shared" si="906"/>
        <v>1</v>
      </c>
      <c r="KU73" s="45">
        <f t="shared" si="907"/>
        <v>2</v>
      </c>
      <c r="KV73" s="45">
        <f t="shared" si="908"/>
        <v>0</v>
      </c>
      <c r="KW73" s="46" cm="1">
        <f t="array" ref="KW73">ROUND(IFERROR(INDEX(ArchiveResults!$F$5:$IX$116,ComparisonData!A73,ComparisonData!$KW$1),0),5)</f>
        <v>0</v>
      </c>
      <c r="KX73" s="46" cm="1">
        <f t="array" ref="KX73">ROUND(IFERROR(INDEX(ArchiveResults!$F$5:$IX$116,ComparisonData!A73,ComparisonData!$KX$1),0),5)</f>
        <v>0</v>
      </c>
      <c r="KY73" s="46" cm="1">
        <f t="array" ref="KY73">ROUND(IFERROR(INDEX(ArchiveResults!$F$5:$IX$116,ComparisonData!A73,ComparisonData!$KY$1),0),5)</f>
        <v>0</v>
      </c>
      <c r="KZ73" s="46" cm="1">
        <f t="array" ref="KZ73">ROUND(IFERROR(INDEX(ArchiveResults!$F$5:$IX$116,ComparisonData!A73,ComparisonData!$KZ$1),0),5)</f>
        <v>0</v>
      </c>
      <c r="LA73" s="45" cm="1">
        <f t="array" ref="LA73">IFERROR(INDEX(ArchiveResults!$F$5:$IX$116,ComparisonData!A73,ComparisonData!$LA$1),0)</f>
        <v>0</v>
      </c>
      <c r="LB73" s="56">
        <v>68</v>
      </c>
      <c r="LC73" s="53" t="str">
        <f t="shared" si="686"/>
        <v>Richmond upon Thames Local Studies Library and Archive</v>
      </c>
      <c r="LD73" s="59">
        <f t="shared" si="909"/>
        <v>0</v>
      </c>
      <c r="LE73" s="59">
        <f t="shared" si="910"/>
        <v>0</v>
      </c>
      <c r="LF73" s="59">
        <f t="shared" si="911"/>
        <v>0</v>
      </c>
      <c r="LG73" s="59">
        <f t="shared" si="912"/>
        <v>0</v>
      </c>
      <c r="LH73" s="59">
        <f t="shared" si="913"/>
        <v>0</v>
      </c>
      <c r="LI73" s="58">
        <f t="shared" si="914"/>
        <v>0</v>
      </c>
      <c r="LJ73" s="45">
        <f t="shared" si="915"/>
        <v>27</v>
      </c>
      <c r="LK73" s="45">
        <f t="shared" si="687"/>
        <v>2.5689999999999995</v>
      </c>
      <c r="LL73" s="45">
        <f t="shared" si="916"/>
        <v>1</v>
      </c>
      <c r="LM73" s="45">
        <f t="shared" si="917"/>
        <v>2</v>
      </c>
      <c r="LN73" s="45">
        <f t="shared" si="918"/>
        <v>0</v>
      </c>
      <c r="LO73" s="46" cm="1">
        <f t="array" ref="LO73">ROUND(IFERROR(INDEX(ArchiveResults!$F$5:$IX$116,ComparisonData!A73,ComparisonData!$LO$1),0),5)</f>
        <v>0</v>
      </c>
      <c r="LP73" s="46" cm="1">
        <f t="array" ref="LP73">ROUND(IFERROR(INDEX(ArchiveResults!$F$5:$IX$116,ComparisonData!A73,ComparisonData!$LP$1),0),5)</f>
        <v>0</v>
      </c>
      <c r="LQ73" s="46" cm="1">
        <f t="array" ref="LQ73">ROUND(IFERROR(INDEX(ArchiveResults!$F$5:$IX$116,ComparisonData!A73,ComparisonData!$LQ$1),0),5)</f>
        <v>0</v>
      </c>
      <c r="LR73" s="46" cm="1">
        <f t="array" ref="LR73">ROUND(IFERROR(INDEX(ArchiveResults!$F$5:$IX$116,ComparisonData!A73,ComparisonData!$LR$1),0),5)</f>
        <v>0</v>
      </c>
      <c r="LS73" s="45" cm="1">
        <f t="array" ref="LS73">IFERROR(INDEX(ArchiveResults!$F$5:$IX$116,ComparisonData!A73,ComparisonData!$LS$1),0)</f>
        <v>0</v>
      </c>
      <c r="LT73" s="56">
        <v>68</v>
      </c>
      <c r="LU73" s="53" t="str">
        <f t="shared" si="688"/>
        <v>Richmond upon Thames Local Studies Library and Archive</v>
      </c>
      <c r="LV73" s="59">
        <f t="shared" si="919"/>
        <v>0</v>
      </c>
      <c r="LW73" s="59">
        <f t="shared" si="920"/>
        <v>0</v>
      </c>
      <c r="LX73" s="59">
        <f t="shared" si="921"/>
        <v>0</v>
      </c>
      <c r="LY73" s="59">
        <f t="shared" si="922"/>
        <v>0</v>
      </c>
      <c r="LZ73" s="59">
        <f t="shared" si="923"/>
        <v>0</v>
      </c>
      <c r="MA73" s="58">
        <f t="shared" si="924"/>
        <v>0</v>
      </c>
      <c r="MB73" s="45">
        <f t="shared" si="925"/>
        <v>27</v>
      </c>
      <c r="MC73" s="45">
        <f t="shared" si="689"/>
        <v>2.5689999999999995</v>
      </c>
      <c r="MD73" s="45">
        <f t="shared" si="926"/>
        <v>1</v>
      </c>
      <c r="ME73" s="45">
        <f t="shared" si="927"/>
        <v>2</v>
      </c>
      <c r="MF73" s="45">
        <f t="shared" si="928"/>
        <v>0</v>
      </c>
      <c r="MG73" s="46" cm="1">
        <f t="array" ref="MG73">ROUND(IFERROR(INDEX(ArchiveResults!$F$5:$IX$116,ComparisonData!A73,ComparisonData!$MG$1),0),5)</f>
        <v>0</v>
      </c>
      <c r="MH73" s="46" cm="1">
        <f t="array" ref="MH73">ROUND(IFERROR(INDEX(ArchiveResults!$F$5:$IX$116,ComparisonData!A73,ComparisonData!$MH$1),0),5)</f>
        <v>0</v>
      </c>
      <c r="MI73" s="46" cm="1">
        <f t="array" ref="MI73">ROUND(IFERROR(INDEX(ArchiveResults!$F$5:$IX$116,ComparisonData!A73,ComparisonData!$MI$1),0),5)</f>
        <v>0</v>
      </c>
      <c r="MJ73" s="46" cm="1">
        <f t="array" ref="MJ73">ROUND(IFERROR(INDEX(ArchiveResults!$F$5:$IX$116,ComparisonData!A73,ComparisonData!$MJ$1),0),5)</f>
        <v>0</v>
      </c>
      <c r="MK73" s="45" cm="1">
        <f t="array" ref="MK73">IFERROR(INDEX(ArchiveResults!$F$5:$IX$116,ComparisonData!A73,ComparisonData!$MK$1),0)</f>
        <v>0</v>
      </c>
      <c r="ML73" s="56">
        <v>68</v>
      </c>
      <c r="MM73" s="53" t="str">
        <f t="shared" si="690"/>
        <v>Richmond upon Thames Local Studies Library and Archive</v>
      </c>
      <c r="MN73" s="59">
        <f t="shared" si="929"/>
        <v>0</v>
      </c>
      <c r="MO73" s="59">
        <f t="shared" si="930"/>
        <v>0</v>
      </c>
      <c r="MP73" s="59">
        <f t="shared" si="931"/>
        <v>0</v>
      </c>
      <c r="MQ73" s="59">
        <f t="shared" si="932"/>
        <v>0</v>
      </c>
      <c r="MR73" s="59">
        <f t="shared" si="933"/>
        <v>0</v>
      </c>
      <c r="MS73" s="58">
        <f t="shared" si="934"/>
        <v>0</v>
      </c>
      <c r="MT73" s="45">
        <f t="shared" si="935"/>
        <v>27</v>
      </c>
      <c r="MU73" s="45">
        <f t="shared" si="691"/>
        <v>2.5689999999999995</v>
      </c>
      <c r="MV73" s="45">
        <f t="shared" si="936"/>
        <v>1</v>
      </c>
      <c r="MW73" s="45">
        <f t="shared" si="937"/>
        <v>2</v>
      </c>
      <c r="MX73" s="45">
        <f t="shared" si="938"/>
        <v>0</v>
      </c>
      <c r="MY73" s="46" cm="1">
        <f t="array" ref="MY73">ROUND(IFERROR(INDEX(ArchiveResults!$F$5:$IX$116,ComparisonData!A73,ComparisonData!$MY$1),0),5)</f>
        <v>0</v>
      </c>
      <c r="MZ73" s="46" cm="1">
        <f t="array" ref="MZ73">ROUND(IFERROR(INDEX(ArchiveResults!$F$5:$IX$116,ComparisonData!A73,ComparisonData!$MZ$1),0),5)</f>
        <v>0</v>
      </c>
      <c r="NA73" s="46" cm="1">
        <f t="array" ref="NA73">ROUND(IFERROR(INDEX(ArchiveResults!$F$5:$IX$116,ComparisonData!A73,ComparisonData!$NA$1),0),5)</f>
        <v>0</v>
      </c>
      <c r="NB73" s="46" cm="1">
        <f t="array" ref="NB73">ROUND(IFERROR(INDEX(ArchiveResults!$F$5:$IX$116,ComparisonData!A73,ComparisonData!$NB$1),0),5)</f>
        <v>0</v>
      </c>
      <c r="NC73" s="45" cm="1">
        <f t="array" ref="NC73">IFERROR(INDEX(ArchiveResults!$F$5:$IX$116,ComparisonData!A73,ComparisonData!$NC$1),0)</f>
        <v>0</v>
      </c>
      <c r="ND73" s="56">
        <v>68</v>
      </c>
      <c r="NE73" s="53" t="str">
        <f t="shared" si="692"/>
        <v>Richmond upon Thames Local Studies Library and Archive</v>
      </c>
      <c r="NF73" s="59">
        <f t="shared" si="939"/>
        <v>0</v>
      </c>
      <c r="NG73" s="59">
        <f t="shared" si="940"/>
        <v>0</v>
      </c>
      <c r="NH73" s="59">
        <f t="shared" si="941"/>
        <v>0</v>
      </c>
      <c r="NI73" s="59">
        <f t="shared" si="942"/>
        <v>0</v>
      </c>
      <c r="NJ73" s="59">
        <f t="shared" si="943"/>
        <v>0</v>
      </c>
      <c r="NK73" s="58">
        <f t="shared" si="944"/>
        <v>0</v>
      </c>
      <c r="NL73" s="45">
        <f t="shared" si="945"/>
        <v>27</v>
      </c>
      <c r="NM73" s="45">
        <f t="shared" si="693"/>
        <v>2.5689999999999995</v>
      </c>
      <c r="NN73" s="45">
        <f t="shared" si="946"/>
        <v>1</v>
      </c>
      <c r="NO73" s="45">
        <f t="shared" si="947"/>
        <v>2</v>
      </c>
      <c r="NP73" s="46" cm="1">
        <f t="array" ref="NP73">ROUND(IFERROR(INDEX(ArchiveResults!$F$5:$IX$116,ComparisonData!A73,ComparisonData!$NP$1),0),5)</f>
        <v>0</v>
      </c>
      <c r="NQ73" s="46" cm="1">
        <f t="array" ref="NQ73">ROUND(IFERROR(INDEX(ArchiveResults!$F$5:$IX$116,ComparisonData!A73,ComparisonData!$NQ$1),0),5)</f>
        <v>0</v>
      </c>
      <c r="NR73" s="46" cm="1">
        <f t="array" ref="NR73">ROUND(IFERROR(INDEX(ArchiveResults!$F$5:$IX$116,ComparisonData!A73,ComparisonData!$NR$1),0),5)</f>
        <v>0</v>
      </c>
      <c r="NS73" s="46" cm="1">
        <f t="array" ref="NS73">ROUND(IFERROR(INDEX(ArchiveResults!$F$5:$IX$116,ComparisonData!A73,ComparisonData!$NS$1),0),5)</f>
        <v>0</v>
      </c>
      <c r="NT73" s="45" cm="1">
        <f t="array" ref="NT73">IFERROR(INDEX(ArchiveResults!$F$5:$IX$116,ComparisonData!A73,ComparisonData!$NT$1),0)</f>
        <v>0</v>
      </c>
      <c r="NU73" s="56">
        <v>68</v>
      </c>
      <c r="NV73" s="53" t="str">
        <f t="shared" si="694"/>
        <v>Richmond upon Thames Local Studies Library and Archive</v>
      </c>
      <c r="NW73" s="59">
        <f t="shared" si="948"/>
        <v>0</v>
      </c>
      <c r="NX73" s="59">
        <f t="shared" si="949"/>
        <v>0</v>
      </c>
      <c r="NY73" s="59">
        <f t="shared" si="950"/>
        <v>0</v>
      </c>
      <c r="NZ73" s="59">
        <f t="shared" si="951"/>
        <v>0</v>
      </c>
      <c r="OA73" s="59">
        <f t="shared" si="952"/>
        <v>0</v>
      </c>
      <c r="OB73" s="58">
        <f t="shared" si="953"/>
        <v>0</v>
      </c>
      <c r="OC73" s="45">
        <f t="shared" si="954"/>
        <v>27</v>
      </c>
      <c r="OD73" s="45">
        <f t="shared" si="695"/>
        <v>2.5689999999999995</v>
      </c>
      <c r="OE73" s="45">
        <f t="shared" si="955"/>
        <v>1</v>
      </c>
      <c r="OF73" s="45">
        <f t="shared" si="956"/>
        <v>2</v>
      </c>
      <c r="OG73" s="46">
        <f t="shared" si="957"/>
        <v>0</v>
      </c>
      <c r="OH73" s="46" cm="1">
        <f t="array" ref="OH73">ROUND(IFERROR(INDEX(ArchiveResults!$F$5:$IX$116,ComparisonData!A73,ComparisonData!$OH$1),0),5)</f>
        <v>0</v>
      </c>
      <c r="OI73" s="46" cm="1">
        <f t="array" ref="OI73">ROUND(IFERROR(INDEX(ArchiveResults!$F$5:$IX$116,ComparisonData!A73,ComparisonData!$OI$1),0),5)</f>
        <v>0</v>
      </c>
      <c r="OJ73" s="46" cm="1">
        <f t="array" ref="OJ73">ROUND(IFERROR(INDEX(ArchiveResults!$F$5:$IX$116,ComparisonData!A73,ComparisonData!$OJ$1),0),5)</f>
        <v>0</v>
      </c>
      <c r="OK73" s="46" cm="1">
        <f t="array" ref="OK73">ROUND(IFERROR(INDEX(ArchiveResults!$F$5:$IX$116,ComparisonData!A73,ComparisonData!$OK$1),0),5)</f>
        <v>0</v>
      </c>
      <c r="OL73" s="45" cm="1">
        <f t="array" ref="OL73">IFERROR(INDEX(ArchiveResults!$F$5:$IX$116,ComparisonData!A73,ComparisonData!$OL$1),0)</f>
        <v>0</v>
      </c>
      <c r="OM73" s="56">
        <v>68</v>
      </c>
      <c r="ON73" s="53" t="str">
        <f t="shared" si="696"/>
        <v>Richmond upon Thames Local Studies Library and Archive</v>
      </c>
      <c r="OO73" s="59">
        <f t="shared" si="958"/>
        <v>0</v>
      </c>
      <c r="OP73" s="59">
        <f t="shared" si="959"/>
        <v>0</v>
      </c>
      <c r="OQ73" s="59">
        <f t="shared" si="960"/>
        <v>0</v>
      </c>
      <c r="OR73" s="59">
        <f t="shared" si="961"/>
        <v>0</v>
      </c>
      <c r="OS73" s="59">
        <f t="shared" si="962"/>
        <v>0</v>
      </c>
      <c r="OT73" s="58">
        <f t="shared" si="963"/>
        <v>0</v>
      </c>
      <c r="OU73" s="45">
        <f t="shared" si="964"/>
        <v>27</v>
      </c>
      <c r="OV73" s="45">
        <f t="shared" si="697"/>
        <v>2.5689999999999995</v>
      </c>
      <c r="OW73" s="45">
        <f t="shared" si="965"/>
        <v>1</v>
      </c>
      <c r="OX73" s="45">
        <f t="shared" si="966"/>
        <v>2</v>
      </c>
      <c r="OY73" s="45">
        <f t="shared" si="967"/>
        <v>0</v>
      </c>
      <c r="OZ73" s="46" cm="1">
        <f t="array" ref="OZ73">ROUND(IFERROR(INDEX(ArchiveResults!$F$5:$IX$116,ComparisonData!A73,ComparisonData!$OZ$1),0),5)</f>
        <v>0</v>
      </c>
      <c r="PA73" s="46" cm="1">
        <f t="array" ref="PA73">ROUND(IFERROR(INDEX(ArchiveResults!$F$5:$IX$116,ComparisonData!A73,ComparisonData!$PA$1),0),5)</f>
        <v>0</v>
      </c>
      <c r="PB73" s="46" cm="1">
        <f t="array" ref="PB73">ROUND(IFERROR(INDEX(ArchiveResults!$F$5:$IX$116,ComparisonData!A73,ComparisonData!$PB$1),0),5)</f>
        <v>0</v>
      </c>
      <c r="PC73" s="46" cm="1">
        <f t="array" ref="PC73">ROUND(IFERROR(INDEX(ArchiveResults!$F$5:$IX$116,ComparisonData!A73,ComparisonData!$PC$1),0),5)</f>
        <v>0</v>
      </c>
      <c r="PD73" s="45" cm="1">
        <f t="array" ref="PD73">IFERROR(INDEX(ArchiveResults!$F$5:$IX$116,ComparisonData!A73,ComparisonData!$PD$1),0)</f>
        <v>0</v>
      </c>
      <c r="PE73" s="56">
        <v>68</v>
      </c>
      <c r="PF73" s="53" t="str">
        <f t="shared" si="698"/>
        <v>Richmond upon Thames Local Studies Library and Archive</v>
      </c>
      <c r="PG73" s="59">
        <f t="shared" si="968"/>
        <v>0</v>
      </c>
      <c r="PH73" s="59">
        <f t="shared" si="969"/>
        <v>0</v>
      </c>
      <c r="PI73" s="59">
        <f t="shared" si="970"/>
        <v>0</v>
      </c>
      <c r="PJ73" s="59">
        <f t="shared" si="971"/>
        <v>0</v>
      </c>
      <c r="PK73" s="59">
        <f t="shared" si="972"/>
        <v>0</v>
      </c>
      <c r="PL73" s="58">
        <f t="shared" si="973"/>
        <v>0</v>
      </c>
      <c r="PM73" s="45">
        <f t="shared" si="974"/>
        <v>27</v>
      </c>
      <c r="PN73" s="45">
        <f t="shared" si="699"/>
        <v>2.5689999999999995</v>
      </c>
      <c r="PO73" s="45">
        <f t="shared" si="975"/>
        <v>1</v>
      </c>
      <c r="PP73" s="45">
        <f t="shared" si="976"/>
        <v>2</v>
      </c>
      <c r="PQ73" s="45">
        <f t="shared" si="977"/>
        <v>0</v>
      </c>
      <c r="PR73" s="46" cm="1">
        <f t="array" ref="PR73">ROUND(IFERROR(INDEX(ArchiveResults!$F$5:$IX$116,ComparisonData!A73,ComparisonData!$PR$1),0),5)</f>
        <v>0</v>
      </c>
      <c r="PS73" s="46" cm="1">
        <f t="array" ref="PS73">ROUND(IFERROR(INDEX(ArchiveResults!$F$5:$IX$116,ComparisonData!A73,ComparisonData!$PS$1),0),5)</f>
        <v>0</v>
      </c>
      <c r="PT73" s="46" cm="1">
        <f t="array" ref="PT73">ROUND(IFERROR(INDEX(ArchiveResults!$F$5:$IX$116,ComparisonData!A73,ComparisonData!$PT$1),0),5)</f>
        <v>0</v>
      </c>
      <c r="PU73" s="46" cm="1">
        <f t="array" ref="PU73">ROUND(IFERROR(INDEX(ArchiveResults!$F$5:$IX$116,ComparisonData!A73,ComparisonData!$PU$1),0),5)</f>
        <v>0</v>
      </c>
      <c r="PV73" s="45" cm="1">
        <f t="array" ref="PV73">IFERROR(INDEX(ArchiveResults!$F$5:$IX$116,ComparisonData!A73,ComparisonData!$PV$1),0)</f>
        <v>0</v>
      </c>
      <c r="PW73" s="56">
        <v>68</v>
      </c>
      <c r="PX73" s="53" t="str">
        <f t="shared" si="700"/>
        <v>Richmond upon Thames Local Studies Library and Archive</v>
      </c>
      <c r="PY73" s="59">
        <f t="shared" si="978"/>
        <v>0</v>
      </c>
      <c r="PZ73" s="59">
        <f t="shared" si="979"/>
        <v>0</v>
      </c>
      <c r="QA73" s="59">
        <f t="shared" si="980"/>
        <v>0</v>
      </c>
      <c r="QB73" s="59">
        <f t="shared" si="981"/>
        <v>0</v>
      </c>
      <c r="QC73" s="59">
        <f t="shared" si="982"/>
        <v>0</v>
      </c>
      <c r="QD73" s="58">
        <f t="shared" si="983"/>
        <v>0</v>
      </c>
      <c r="QE73" s="45">
        <f t="shared" si="984"/>
        <v>27</v>
      </c>
      <c r="QF73" s="45">
        <f t="shared" si="701"/>
        <v>2.5689999999999995</v>
      </c>
      <c r="QG73" s="45">
        <f t="shared" si="985"/>
        <v>1</v>
      </c>
      <c r="QH73" s="45">
        <f t="shared" si="986"/>
        <v>2</v>
      </c>
      <c r="QI73" s="45">
        <f t="shared" si="987"/>
        <v>0</v>
      </c>
      <c r="QJ73" s="46" cm="1">
        <f t="array" ref="QJ73">ROUND(IFERROR(INDEX(ArchiveResults!$F$5:$IX$116,ComparisonData!A73,ComparisonData!$QJ$1),0),5)</f>
        <v>0</v>
      </c>
      <c r="QK73" s="46" cm="1">
        <f t="array" ref="QK73">ROUND(IFERROR(INDEX(ArchiveResults!$F$5:$IX$116,ComparisonData!A73,ComparisonData!$QK$1),0),5)</f>
        <v>0</v>
      </c>
      <c r="QL73" s="46" cm="1">
        <f t="array" ref="QL73">ROUND(IFERROR(INDEX(ArchiveResults!$F$5:$IX$116,ComparisonData!A73,ComparisonData!$QL$1),0),5)</f>
        <v>0</v>
      </c>
      <c r="QM73" s="46" cm="1">
        <f t="array" ref="QM73">ROUND(IFERROR(INDEX(ArchiveResults!$F$5:$IX$116,ComparisonData!A73,ComparisonData!$QM$1),0),5)</f>
        <v>0</v>
      </c>
      <c r="QN73" s="45" cm="1">
        <f t="array" ref="QN73">IFERROR(INDEX(ArchiveResults!$F$5:$IX$116,ComparisonData!A73,ComparisonData!$QN$1),0)</f>
        <v>0</v>
      </c>
      <c r="QO73" s="56">
        <v>68</v>
      </c>
      <c r="QP73" s="53" t="str">
        <f t="shared" si="702"/>
        <v>Richmond upon Thames Local Studies Library and Archive</v>
      </c>
      <c r="QQ73" s="59">
        <f t="shared" si="988"/>
        <v>0</v>
      </c>
      <c r="QR73" s="59">
        <f t="shared" si="989"/>
        <v>0</v>
      </c>
      <c r="QS73" s="59">
        <f t="shared" si="990"/>
        <v>0</v>
      </c>
      <c r="QT73" s="59">
        <f t="shared" si="991"/>
        <v>0</v>
      </c>
      <c r="QU73" s="59">
        <f t="shared" si="992"/>
        <v>0</v>
      </c>
      <c r="QV73" s="58">
        <f t="shared" si="993"/>
        <v>0</v>
      </c>
      <c r="QW73" s="45">
        <f t="shared" si="994"/>
        <v>27</v>
      </c>
      <c r="QX73" s="45">
        <f t="shared" si="703"/>
        <v>2.5689999999999995</v>
      </c>
      <c r="QY73" s="45">
        <f t="shared" si="995"/>
        <v>1</v>
      </c>
      <c r="QZ73" s="45">
        <f t="shared" si="996"/>
        <v>2</v>
      </c>
      <c r="RA73" s="45">
        <f t="shared" si="997"/>
        <v>0</v>
      </c>
      <c r="RB73" s="46" cm="1">
        <f t="array" ref="RB73">ROUND(IFERROR(INDEX(ArchiveResults!$F$5:$IX$116,ComparisonData!A73,ComparisonData!$RB$1),0),5)</f>
        <v>0</v>
      </c>
      <c r="RC73" s="46" cm="1">
        <f t="array" ref="RC73">ROUND(IFERROR(INDEX(ArchiveResults!$F$5:$IX$116,ComparisonData!A73,ComparisonData!$RC$1),0),5)</f>
        <v>0</v>
      </c>
      <c r="RD73" s="46" cm="1">
        <f t="array" ref="RD73">ROUND(IFERROR(INDEX(ArchiveResults!$F$5:$IX$116,ComparisonData!A73,ComparisonData!$RD$1),0),5)</f>
        <v>0</v>
      </c>
      <c r="RE73" s="46" cm="1">
        <f t="array" ref="RE73">ROUND(IFERROR(INDEX(ArchiveResults!$F$5:$IX$116,ComparisonData!A73,ComparisonData!$RE$1),0),5)</f>
        <v>0</v>
      </c>
      <c r="RF73" s="45" cm="1">
        <f t="array" ref="RF73">IFERROR(INDEX(ArchiveResults!$F$5:$IX$116,ComparisonData!A73,ComparisonData!$RF$1),0)</f>
        <v>0</v>
      </c>
      <c r="RG73" s="56">
        <v>68</v>
      </c>
      <c r="RH73" s="53" t="str">
        <f t="shared" si="704"/>
        <v>Richmond upon Thames Local Studies Library and Archive</v>
      </c>
      <c r="RI73" s="59">
        <f t="shared" si="998"/>
        <v>0</v>
      </c>
      <c r="RJ73" s="59">
        <f t="shared" si="999"/>
        <v>0</v>
      </c>
      <c r="RK73" s="59">
        <f t="shared" si="1000"/>
        <v>0</v>
      </c>
      <c r="RL73" s="59">
        <f t="shared" si="1001"/>
        <v>0</v>
      </c>
      <c r="RM73" s="59">
        <f t="shared" si="1002"/>
        <v>0</v>
      </c>
      <c r="RN73" s="58">
        <f t="shared" si="1003"/>
        <v>0</v>
      </c>
      <c r="RO73" s="45">
        <f t="shared" si="1004"/>
        <v>27</v>
      </c>
      <c r="RP73" s="45">
        <f t="shared" si="705"/>
        <v>2.5689999999999995</v>
      </c>
      <c r="RQ73" s="45">
        <f t="shared" si="1005"/>
        <v>1</v>
      </c>
      <c r="RR73" s="45">
        <f t="shared" si="1006"/>
        <v>2</v>
      </c>
      <c r="RS73" s="45">
        <f t="shared" si="1007"/>
        <v>0</v>
      </c>
      <c r="RT73" s="46" cm="1">
        <f t="array" ref="RT73">ROUND(IFERROR(INDEX(ArchiveResults!$F$5:$IX$116,ComparisonData!A73,ComparisonData!$RT$1),0),5)</f>
        <v>0</v>
      </c>
      <c r="RU73" s="46" cm="1">
        <f t="array" ref="RU73">ROUND(IFERROR(INDEX(ArchiveResults!$F$5:$IX$116,ComparisonData!A73,ComparisonData!$RU$1),0),5)</f>
        <v>0</v>
      </c>
      <c r="RV73" s="46" cm="1">
        <f t="array" ref="RV73">ROUND(IFERROR(INDEX(ArchiveResults!$F$5:$IX$116,ComparisonData!A73,ComparisonData!$RV$1),0),5)</f>
        <v>0</v>
      </c>
      <c r="RW73" s="46" cm="1">
        <f t="array" ref="RW73">ROUND(IFERROR(INDEX(ArchiveResults!$F$5:$IX$116,ComparisonData!A73,ComparisonData!$RW$1),0),5)</f>
        <v>0</v>
      </c>
      <c r="RX73" s="45" cm="1">
        <f t="array" ref="RX73">IFERROR(INDEX(ArchiveResults!$F$5:$IX$116,ComparisonData!A73,ComparisonData!$RX$1),0)</f>
        <v>0</v>
      </c>
      <c r="RY73" s="56">
        <v>68</v>
      </c>
      <c r="RZ73" s="53" t="str">
        <f t="shared" si="706"/>
        <v>Richmond upon Thames Local Studies Library and Archive</v>
      </c>
      <c r="SA73" s="59">
        <f t="shared" si="1008"/>
        <v>0</v>
      </c>
      <c r="SB73" s="59">
        <f t="shared" si="1009"/>
        <v>0</v>
      </c>
      <c r="SC73" s="59">
        <f t="shared" si="1010"/>
        <v>0</v>
      </c>
      <c r="SD73" s="59">
        <f t="shared" si="1011"/>
        <v>0</v>
      </c>
      <c r="SE73" s="59">
        <f t="shared" si="1012"/>
        <v>0</v>
      </c>
      <c r="SF73" s="58">
        <f t="shared" si="1013"/>
        <v>0</v>
      </c>
      <c r="SG73" s="45">
        <f t="shared" si="1014"/>
        <v>27</v>
      </c>
      <c r="SH73" s="45">
        <f t="shared" si="707"/>
        <v>2.5689999999999995</v>
      </c>
      <c r="SI73" s="45">
        <f t="shared" si="1015"/>
        <v>1</v>
      </c>
      <c r="SJ73" s="45">
        <f t="shared" si="1016"/>
        <v>2</v>
      </c>
      <c r="SK73" s="45">
        <f t="shared" si="1017"/>
        <v>0</v>
      </c>
      <c r="SL73" s="46" cm="1">
        <f t="array" ref="SL73">ROUND(IFERROR(INDEX(ArchiveResults!$F$5:$IX$116,ComparisonData!A73,ComparisonData!$SL$1),0),5)</f>
        <v>0</v>
      </c>
      <c r="SM73" s="46" cm="1">
        <f t="array" ref="SM73">ROUND(IFERROR(INDEX(ArchiveResults!$F$5:$IX$116,ComparisonData!A73,ComparisonData!$SM$1),0),5)</f>
        <v>0</v>
      </c>
      <c r="SN73" s="46" cm="1">
        <f t="array" ref="SN73">ROUND(IFERROR(INDEX(ArchiveResults!$F$5:$IX$116,ComparisonData!A73,ComparisonData!$SN$1),0),5)</f>
        <v>0</v>
      </c>
      <c r="SO73" s="46" cm="1">
        <f t="array" ref="SO73">ROUND(IFERROR(INDEX(ArchiveResults!$F$5:$IX$116,ComparisonData!A73,ComparisonData!$SO$1),0),5)</f>
        <v>0</v>
      </c>
      <c r="SP73" s="45" cm="1">
        <f t="array" ref="SP73">IFERROR(INDEX(ArchiveResults!$F$5:$IX$116,ComparisonData!A73,ComparisonData!$SP$1),0)</f>
        <v>0</v>
      </c>
      <c r="SQ73" s="56">
        <v>68</v>
      </c>
      <c r="SR73" s="53" t="str">
        <f t="shared" si="708"/>
        <v>Richmond upon Thames Local Studies Library and Archive</v>
      </c>
      <c r="SS73" s="59">
        <f t="shared" si="1018"/>
        <v>0</v>
      </c>
      <c r="ST73" s="59">
        <f t="shared" si="1019"/>
        <v>0</v>
      </c>
      <c r="SU73" s="59">
        <f t="shared" si="1020"/>
        <v>0</v>
      </c>
      <c r="SV73" s="59">
        <f t="shared" si="1021"/>
        <v>0</v>
      </c>
      <c r="SW73" s="59">
        <f t="shared" si="1022"/>
        <v>0</v>
      </c>
      <c r="SX73" s="58">
        <f t="shared" si="1023"/>
        <v>0</v>
      </c>
      <c r="SY73" s="45">
        <f t="shared" si="1024"/>
        <v>27</v>
      </c>
      <c r="SZ73" s="45">
        <f t="shared" si="709"/>
        <v>2.5689999999999995</v>
      </c>
      <c r="TA73" s="45">
        <f t="shared" si="1025"/>
        <v>1</v>
      </c>
      <c r="TB73" s="45">
        <f t="shared" si="1026"/>
        <v>2</v>
      </c>
      <c r="TC73" s="45">
        <f t="shared" si="1027"/>
        <v>0</v>
      </c>
      <c r="TD73" s="46" cm="1">
        <f t="array" ref="TD73">ROUND(IFERROR(INDEX(ArchiveResults!$F$5:$IX$116,ComparisonData!A73,ComparisonData!$TD$1),0),5)</f>
        <v>0</v>
      </c>
      <c r="TE73" s="46" cm="1">
        <f t="array" ref="TE73">ROUND(IFERROR(INDEX(ArchiveResults!$F$5:$IX$116,ComparisonData!A73,ComparisonData!$TE$1),0),5)</f>
        <v>0</v>
      </c>
      <c r="TF73" s="46" cm="1">
        <f t="array" ref="TF73">ROUND(IFERROR(INDEX(ArchiveResults!$F$5:$IX$116,ComparisonData!A73,ComparisonData!$TF$1),0),5)</f>
        <v>0</v>
      </c>
      <c r="TG73" s="46" cm="1">
        <f t="array" ref="TG73">ROUND(IFERROR(INDEX(ArchiveResults!$F$5:$IX$116,ComparisonData!A73,ComparisonData!$TG$1),0),5)</f>
        <v>0</v>
      </c>
      <c r="TH73" s="45" cm="1">
        <f t="array" ref="TH73">IFERROR(INDEX(ArchiveResults!$F$5:$IX$116,ComparisonData!A73,ComparisonData!$TH$1),0)</f>
        <v>0</v>
      </c>
      <c r="TI73" s="56">
        <v>68</v>
      </c>
      <c r="TJ73" s="53" t="str">
        <f t="shared" si="710"/>
        <v>Richmond upon Thames Local Studies Library and Archive</v>
      </c>
      <c r="TK73" s="59">
        <f t="shared" si="1028"/>
        <v>0</v>
      </c>
      <c r="TL73" s="59">
        <f t="shared" si="1029"/>
        <v>0</v>
      </c>
      <c r="TM73" s="59">
        <f t="shared" si="1030"/>
        <v>0</v>
      </c>
      <c r="TN73" s="59">
        <f t="shared" si="1031"/>
        <v>0</v>
      </c>
      <c r="TO73" s="59">
        <f t="shared" si="1032"/>
        <v>0</v>
      </c>
      <c r="TP73" s="58">
        <f t="shared" si="1033"/>
        <v>0</v>
      </c>
      <c r="TQ73" s="45">
        <f t="shared" si="1034"/>
        <v>27</v>
      </c>
      <c r="TR73" s="45">
        <f t="shared" si="711"/>
        <v>2.5689999999999995</v>
      </c>
      <c r="TS73" s="45">
        <f t="shared" si="1035"/>
        <v>1</v>
      </c>
      <c r="TT73" s="45">
        <f t="shared" si="1036"/>
        <v>2</v>
      </c>
      <c r="TU73" s="45">
        <f t="shared" si="1037"/>
        <v>0</v>
      </c>
      <c r="TV73" s="46" cm="1">
        <f t="array" ref="TV73">ROUND(IFERROR(INDEX(ArchiveResults!$F$5:$IX$116,ComparisonData!A73,ComparisonData!$TV$1),0),5)</f>
        <v>0</v>
      </c>
      <c r="TW73" s="46" cm="1">
        <f t="array" ref="TW73">ROUND(IFERROR(INDEX(ArchiveResults!$F$5:$IX$116,ComparisonData!A73,ComparisonData!$TW$1),0),5)</f>
        <v>0</v>
      </c>
      <c r="TX73" s="46" cm="1">
        <f t="array" ref="TX73">ROUND(IFERROR(INDEX(ArchiveResults!$F$5:$IX$116,ComparisonData!A73,ComparisonData!$TX$1),0),5)</f>
        <v>0</v>
      </c>
      <c r="TY73" s="46" cm="1">
        <f t="array" ref="TY73">ROUND(IFERROR(INDEX(ArchiveResults!$F$5:$IX$116,ComparisonData!A73,ComparisonData!$TY$1),0),5)</f>
        <v>0</v>
      </c>
      <c r="TZ73" s="45" cm="1">
        <f t="array" ref="TZ73">IFERROR(INDEX(ArchiveResults!$F$5:$IX$116,ComparisonData!A73,ComparisonData!$TZ$1),0)</f>
        <v>0</v>
      </c>
      <c r="UA73" s="56">
        <v>68</v>
      </c>
      <c r="UB73" s="53" t="str">
        <f t="shared" si="712"/>
        <v>Richmond upon Thames Local Studies Library and Archive</v>
      </c>
      <c r="UC73" s="60">
        <f t="shared" si="1038"/>
        <v>0</v>
      </c>
      <c r="UD73" s="60">
        <f t="shared" si="1039"/>
        <v>0</v>
      </c>
      <c r="UE73" s="60">
        <f t="shared" si="1040"/>
        <v>0</v>
      </c>
      <c r="UF73" s="60">
        <f t="shared" si="1041"/>
        <v>0</v>
      </c>
      <c r="UG73" s="60">
        <f t="shared" si="1042"/>
        <v>0</v>
      </c>
      <c r="UH73" s="58">
        <f t="shared" si="1043"/>
        <v>0</v>
      </c>
      <c r="UI73" s="46">
        <f t="shared" si="1044"/>
        <v>27</v>
      </c>
      <c r="UJ73" s="46">
        <f t="shared" si="713"/>
        <v>2.5689999999999995</v>
      </c>
      <c r="UK73" s="46">
        <f t="shared" si="1045"/>
        <v>1</v>
      </c>
      <c r="UL73" s="46">
        <f t="shared" si="1046"/>
        <v>2</v>
      </c>
      <c r="UM73" s="46" cm="1">
        <f t="array" ref="UM73">ROUND(IFERROR(INDEX(ArchiveResults!$F$5:$IX$116,ComparisonData!A73,ComparisonData!$UM$1),0),5)</f>
        <v>0</v>
      </c>
      <c r="UN73" s="56">
        <v>68</v>
      </c>
      <c r="UO73" s="53" t="str">
        <f t="shared" si="714"/>
        <v>Richmond upon Thames Local Studies Library and Archive</v>
      </c>
      <c r="UP73" s="46">
        <f t="shared" si="1047"/>
        <v>0</v>
      </c>
      <c r="UQ73" s="76">
        <f t="shared" si="1048"/>
        <v>0</v>
      </c>
      <c r="UR73" s="46">
        <f t="shared" si="1049"/>
        <v>27</v>
      </c>
      <c r="US73" s="46">
        <f t="shared" si="715"/>
        <v>2.5689999999999995</v>
      </c>
      <c r="UT73" s="46">
        <f t="shared" si="1050"/>
        <v>1</v>
      </c>
      <c r="UU73" s="46">
        <f t="shared" si="1051"/>
        <v>2</v>
      </c>
      <c r="UV73" s="46">
        <f t="shared" si="1052"/>
        <v>0</v>
      </c>
      <c r="UW73" s="46" cm="1">
        <f t="array" ref="UW73">ROUND(IFERROR(INDEX(ArchiveResults!$F$5:$IX$116,ComparisonData!A73,ComparisonData!$UW$1),0),5)</f>
        <v>0</v>
      </c>
      <c r="UX73" s="46" cm="1">
        <f t="array" ref="UX73">ROUND(IFERROR(INDEX(ArchiveResults!$F$5:$IX$116,ComparisonData!A73,ComparisonData!$UX$1),0),5)</f>
        <v>0</v>
      </c>
      <c r="UY73" s="46" cm="1">
        <f t="array" ref="UY73">ROUND(IFERROR(INDEX(ArchiveResults!$F$5:$IX$116,ComparisonData!A73,ComparisonData!$UY$1),0),5)</f>
        <v>0</v>
      </c>
      <c r="UZ73" s="46" cm="1">
        <f t="array" ref="UZ73">ROUND(IFERROR(INDEX(ArchiveResults!$F$5:$IX$116,ComparisonData!A73,ComparisonData!$UZ$1),0),5)</f>
        <v>0</v>
      </c>
      <c r="VA73" s="46" cm="1">
        <f t="array" ref="VA73">ROUND(IFERROR(INDEX(ArchiveResults!$F$5:$IX$116,ComparisonData!A73,ComparisonData!$VA$1),0),5)</f>
        <v>0</v>
      </c>
      <c r="VB73" s="56">
        <v>68</v>
      </c>
      <c r="VC73" s="53" t="str">
        <f t="shared" si="716"/>
        <v>Richmond upon Thames Local Studies Library and Archive</v>
      </c>
      <c r="VD73" s="60">
        <f t="shared" si="1053"/>
        <v>0</v>
      </c>
      <c r="VE73" s="60">
        <f t="shared" si="1054"/>
        <v>0</v>
      </c>
      <c r="VF73" s="60">
        <f t="shared" si="1055"/>
        <v>0</v>
      </c>
      <c r="VG73" s="60">
        <f t="shared" si="1056"/>
        <v>0</v>
      </c>
      <c r="VH73" s="60">
        <f t="shared" si="1057"/>
        <v>0</v>
      </c>
      <c r="VI73" s="76">
        <f t="shared" si="1058"/>
        <v>0</v>
      </c>
      <c r="VJ73" s="46">
        <f t="shared" si="1059"/>
        <v>27</v>
      </c>
      <c r="VK73" s="46">
        <f t="shared" si="717"/>
        <v>2.5689999999999995</v>
      </c>
      <c r="VL73" s="46">
        <f t="shared" si="1060"/>
        <v>1</v>
      </c>
      <c r="VM73" s="46">
        <f t="shared" si="1061"/>
        <v>2</v>
      </c>
      <c r="VN73" s="46" cm="1">
        <f t="array" ref="VN73">ROUND(IFERROR(INDEX(ArchiveResults!$F$5:$IX$116,ComparisonData!A73,ComparisonData!$VN$1),0),5)</f>
        <v>0</v>
      </c>
      <c r="VO73" s="46" cm="1">
        <f t="array" ref="VO73">ROUND(IFERROR(INDEX(ArchiveResults!$F$5:$IX$116,ComparisonData!A73,ComparisonData!$VO$1),0),5)</f>
        <v>0</v>
      </c>
      <c r="VP73" s="46" cm="1">
        <f t="array" ref="VP73">ROUND(IFERROR(INDEX(ArchiveResults!$F$5:$IX$116,ComparisonData!A73,ComparisonData!$VP$1),0),5)</f>
        <v>0</v>
      </c>
      <c r="VQ73" s="46" cm="1">
        <f t="array" ref="VQ73">ROUND(IFERROR(INDEX(ArchiveResults!$F$5:$IX$116,ComparisonData!A73,ComparisonData!$VQ$1),0),5)</f>
        <v>0</v>
      </c>
      <c r="VR73" s="56">
        <v>68</v>
      </c>
      <c r="VS73" s="53" t="str">
        <f t="shared" si="718"/>
        <v>Richmond upon Thames Local Studies Library and Archive</v>
      </c>
      <c r="VT73" s="60">
        <f t="shared" si="1062"/>
        <v>0</v>
      </c>
      <c r="VU73" s="60">
        <f t="shared" si="1063"/>
        <v>0</v>
      </c>
      <c r="VV73" s="60">
        <f t="shared" si="1064"/>
        <v>0</v>
      </c>
      <c r="VW73" s="60">
        <f t="shared" si="1065"/>
        <v>0</v>
      </c>
      <c r="VX73" s="76">
        <f t="shared" si="1066"/>
        <v>0</v>
      </c>
      <c r="VY73" s="46">
        <f t="shared" si="1067"/>
        <v>27</v>
      </c>
      <c r="VZ73" s="46">
        <f t="shared" si="719"/>
        <v>2.5689999999999995</v>
      </c>
      <c r="WA73" s="46">
        <f t="shared" si="1068"/>
        <v>1</v>
      </c>
      <c r="WB73" s="46">
        <f t="shared" si="1069"/>
        <v>2</v>
      </c>
      <c r="WC73" s="46" cm="1">
        <f t="array" ref="WC73">ROUND(IFERROR(INDEX(ArchiveResults!$F$5:$IX$116,ComparisonData!A73,ComparisonData!$WC$1),0),5)</f>
        <v>0</v>
      </c>
      <c r="WD73" s="56">
        <v>68</v>
      </c>
      <c r="WE73" s="53" t="str">
        <f t="shared" si="720"/>
        <v>Richmond upon Thames Local Studies Library and Archive</v>
      </c>
      <c r="WF73" s="46">
        <f t="shared" si="1070"/>
        <v>0</v>
      </c>
      <c r="WG73" s="76">
        <f t="shared" si="1071"/>
        <v>0</v>
      </c>
      <c r="WH73" s="46">
        <f t="shared" si="1072"/>
        <v>27</v>
      </c>
      <c r="WI73" s="46">
        <f t="shared" si="721"/>
        <v>2.5689999999999995</v>
      </c>
      <c r="WJ73" s="46">
        <f t="shared" si="1073"/>
        <v>1</v>
      </c>
      <c r="WK73" s="46">
        <f t="shared" si="1074"/>
        <v>2</v>
      </c>
      <c r="WL73" s="46" cm="1">
        <f t="array" ref="WL73">ROUND(IFERROR(INDEX(ArchiveResults!$F$5:$IX$116,ComparisonData!A73,ComparisonData!$WL$1),0),5)</f>
        <v>0</v>
      </c>
      <c r="WM73" s="46" cm="1">
        <f t="array" ref="WM73">IFERROR(INDEX(ArchiveResults!$F$5:$IX$116,ComparisonData!A73,ComparisonData!$WM$1),0)</f>
        <v>0</v>
      </c>
      <c r="WN73" s="56">
        <v>68</v>
      </c>
      <c r="WO73" s="53" t="str">
        <f t="shared" si="722"/>
        <v>Richmond upon Thames Local Studies Library and Archive</v>
      </c>
      <c r="WP73" s="60">
        <f t="shared" si="1075"/>
        <v>0</v>
      </c>
      <c r="WQ73" s="60">
        <f t="shared" si="1076"/>
        <v>0</v>
      </c>
      <c r="WR73" s="76">
        <f t="shared" si="1077"/>
        <v>0</v>
      </c>
      <c r="WS73" s="46">
        <f t="shared" si="1078"/>
        <v>27</v>
      </c>
      <c r="WT73" s="46">
        <f t="shared" si="723"/>
        <v>2.5689999999999995</v>
      </c>
      <c r="WU73" s="46">
        <f t="shared" si="1079"/>
        <v>1</v>
      </c>
      <c r="WV73" s="46">
        <f t="shared" si="1080"/>
        <v>2</v>
      </c>
      <c r="WW73" s="46" cm="1">
        <f t="array" ref="WW73">ROUND(VALUE(IFERROR(INDEX(ArchiveResults!$F$5:$IX$116,ComparisonData!A73,ComparisonData!$WW$1),0)),5)</f>
        <v>0</v>
      </c>
      <c r="WX73" s="46" cm="1">
        <f t="array" ref="WX73">ROUND(IFERROR(INDEX(ArchiveResults!$F$5:$IX$116,ComparisonData!A73,ComparisonData!$WX$1),0),5)</f>
        <v>0</v>
      </c>
      <c r="WY73" s="56">
        <v>68</v>
      </c>
      <c r="WZ73" s="53" t="str">
        <f t="shared" si="724"/>
        <v>Richmond upon Thames Local Studies Library and Archive</v>
      </c>
      <c r="XA73" s="60">
        <f t="shared" si="725"/>
        <v>0</v>
      </c>
      <c r="XB73" s="60">
        <f t="shared" si="726"/>
        <v>0</v>
      </c>
      <c r="XC73" s="76">
        <f t="shared" si="1081"/>
        <v>0</v>
      </c>
      <c r="XD73" s="46">
        <f t="shared" si="1082"/>
        <v>27</v>
      </c>
      <c r="XE73" s="46">
        <f t="shared" si="727"/>
        <v>2.5689999999999995</v>
      </c>
      <c r="XF73" s="46">
        <f t="shared" si="1083"/>
        <v>1</v>
      </c>
      <c r="XG73" s="46">
        <f t="shared" si="1084"/>
        <v>2</v>
      </c>
      <c r="XH73" s="46" cm="1">
        <f t="array" ref="XH73">ROUND(VALUE(IFERROR(INDEX(ArchiveResults!$F$5:$IX$116,ComparisonData!A73,ComparisonData!$XH$1),0)),5)</f>
        <v>0</v>
      </c>
      <c r="XI73" s="46" cm="1">
        <f t="array" ref="XI73">ROUND(VALUE(IFERROR(INDEX(ArchiveResults!$F$5:$IX$116,ComparisonData!A73,ComparisonData!$XI$1),0)),5)</f>
        <v>0</v>
      </c>
      <c r="XJ73" s="56">
        <v>68</v>
      </c>
      <c r="XK73" s="53" t="str">
        <f t="shared" si="728"/>
        <v>Richmond upon Thames Local Studies Library and Archive</v>
      </c>
      <c r="XL73" s="60">
        <f t="shared" si="1085"/>
        <v>0</v>
      </c>
      <c r="XM73" s="60">
        <f t="shared" si="1086"/>
        <v>0</v>
      </c>
      <c r="XN73" s="76">
        <f t="shared" si="1087"/>
        <v>0</v>
      </c>
      <c r="XO73" s="46">
        <f t="shared" si="1088"/>
        <v>27</v>
      </c>
      <c r="XP73" s="46">
        <f t="shared" si="729"/>
        <v>2.5689999999999995</v>
      </c>
      <c r="XQ73" s="46">
        <f t="shared" si="1089"/>
        <v>1</v>
      </c>
      <c r="XR73" s="46">
        <f t="shared" si="1090"/>
        <v>2</v>
      </c>
      <c r="XS73" s="46" cm="1">
        <f t="array" ref="XS73">ROUND(VALUE(IFERROR(INDEX(ArchiveResults!$F$5:$IX$116,ComparisonData!A73,ComparisonData!$XS$1),0)),5)</f>
        <v>0</v>
      </c>
      <c r="XT73" s="46" cm="1">
        <f t="array" ref="XT73">ROUND(VALUE(IFERROR(INDEX(ArchiveResults!$F$5:$IX$116,ComparisonData!A73,ComparisonData!$XT$1),0)),5)</f>
        <v>0</v>
      </c>
      <c r="XU73" s="56">
        <v>68</v>
      </c>
      <c r="XV73" s="53" t="str">
        <f t="shared" si="730"/>
        <v>Richmond upon Thames Local Studies Library and Archive</v>
      </c>
      <c r="XW73" s="60">
        <f t="shared" si="1091"/>
        <v>0</v>
      </c>
      <c r="XX73" s="60">
        <f t="shared" si="1092"/>
        <v>0</v>
      </c>
      <c r="XY73" s="76">
        <f t="shared" si="1093"/>
        <v>0</v>
      </c>
      <c r="XZ73" s="46">
        <f t="shared" si="1094"/>
        <v>27</v>
      </c>
      <c r="YA73" s="46">
        <f t="shared" si="731"/>
        <v>2.5689999999999995</v>
      </c>
      <c r="YB73" s="46">
        <f t="shared" si="1095"/>
        <v>1</v>
      </c>
      <c r="YC73" s="46">
        <f t="shared" si="1096"/>
        <v>2</v>
      </c>
      <c r="YD73" s="46" cm="1">
        <f t="array" ref="YD73">ROUND(VALUE(IFERROR(INDEX(ArchiveResults!$F$5:$IX$116,ComparisonData!A73,ComparisonData!$YD$1),0)),5)</f>
        <v>0</v>
      </c>
      <c r="YE73" s="46" cm="1">
        <f t="array" ref="YE73">ROUND(VALUE(IFERROR(INDEX(ArchiveResults!$F$5:$IX$116,ComparisonData!A73,ComparisonData!$YE$1),0)),5)</f>
        <v>0</v>
      </c>
      <c r="YF73" s="56">
        <v>68</v>
      </c>
      <c r="YG73" s="53" t="str">
        <f t="shared" si="732"/>
        <v>Richmond upon Thames Local Studies Library and Archive</v>
      </c>
      <c r="YH73" s="60">
        <f t="shared" si="1097"/>
        <v>0</v>
      </c>
      <c r="YI73" s="60">
        <f t="shared" si="1098"/>
        <v>0</v>
      </c>
      <c r="YJ73" s="76">
        <f t="shared" si="1099"/>
        <v>0</v>
      </c>
      <c r="YK73" s="46">
        <f t="shared" si="1100"/>
        <v>27</v>
      </c>
      <c r="YL73" s="46">
        <f t="shared" si="733"/>
        <v>2.5689999999999995</v>
      </c>
      <c r="YM73" s="46">
        <f t="shared" si="1101"/>
        <v>1</v>
      </c>
      <c r="YN73" s="46">
        <f t="shared" si="1102"/>
        <v>2</v>
      </c>
      <c r="YO73" s="46" cm="1">
        <f t="array" ref="YO73">ROUND(VALUE(IFERROR(INDEX(ArchiveResults!$F$5:$IX$116,ComparisonData!A73,ComparisonData!$YO$1),0)),5)</f>
        <v>0</v>
      </c>
      <c r="YP73" s="46" cm="1">
        <f t="array" ref="YP73">ROUND(VALUE(IFERROR(INDEX(ArchiveResults!$F$5:$IX$116,ComparisonData!A73,ComparisonData!$YP$1),0)),5)</f>
        <v>0</v>
      </c>
      <c r="YQ73" s="56">
        <v>68</v>
      </c>
      <c r="YR73" s="53" t="str">
        <f t="shared" si="734"/>
        <v>Richmond upon Thames Local Studies Library and Archive</v>
      </c>
      <c r="YS73" s="60">
        <f t="shared" si="1103"/>
        <v>0</v>
      </c>
      <c r="YT73" s="60">
        <f t="shared" si="1104"/>
        <v>0</v>
      </c>
      <c r="YU73" s="76">
        <f t="shared" si="1105"/>
        <v>0</v>
      </c>
      <c r="YV73" s="46">
        <f t="shared" si="1106"/>
        <v>27</v>
      </c>
      <c r="YW73" s="46">
        <f t="shared" si="735"/>
        <v>2.5689999999999995</v>
      </c>
      <c r="YX73" s="46">
        <f t="shared" si="1107"/>
        <v>1</v>
      </c>
      <c r="YY73" s="46">
        <f t="shared" si="1108"/>
        <v>2</v>
      </c>
      <c r="YZ73" s="46">
        <f t="shared" si="1109"/>
        <v>0</v>
      </c>
      <c r="ZA73" s="46" cm="1">
        <f t="array" ref="ZA73">ROUNDDOWN(VALUE(IFERROR(INDEX(ArchiveResults!$F$5:$IX$116,ComparisonData!A73,ComparisonData!$ZA$1),0)),5)</f>
        <v>0</v>
      </c>
      <c r="ZB73" s="46" cm="1">
        <f t="array" ref="ZB73">ROUNDDOWN(VALUE(IFERROR(INDEX(ArchiveResults!$F$5:$IX$116,ComparisonData!A73,ComparisonData!$ZB$1),0)),5)</f>
        <v>0</v>
      </c>
      <c r="ZC73" s="46" cm="1">
        <f t="array" ref="ZC73">ROUNDDOWN(VALUE(IFERROR(INDEX(ArchiveResults!$F$5:$IX$116,ComparisonData!A73,ComparisonData!$ZC$1),0)),5)</f>
        <v>0</v>
      </c>
      <c r="ZD73" s="46" cm="1">
        <f t="array" ref="ZD73">ROUNDDOWN(VALUE(IFERROR(INDEX(ArchiveResults!$F$5:$IX$116,ComparisonData!A73,ComparisonData!$ZD$1),0)),5)</f>
        <v>0</v>
      </c>
      <c r="ZE73" s="46" cm="1">
        <f t="array" ref="ZE73">ROUNDDOWN(VALUE(IFERROR(INDEX(ArchiveResults!$F$5:$IX$116,ComparisonData!A73,ComparisonData!$ZE$1),0)),5)</f>
        <v>0</v>
      </c>
      <c r="ZF73" s="56">
        <v>68</v>
      </c>
      <c r="ZG73" s="53" t="str">
        <f t="shared" si="736"/>
        <v>Richmond upon Thames Local Studies Library and Archive</v>
      </c>
      <c r="ZH73" s="60">
        <f t="shared" si="1110"/>
        <v>0</v>
      </c>
      <c r="ZI73" s="60">
        <f t="shared" si="1111"/>
        <v>0</v>
      </c>
      <c r="ZJ73" s="60">
        <f t="shared" si="1112"/>
        <v>0</v>
      </c>
      <c r="ZK73" s="60">
        <f t="shared" si="1113"/>
        <v>0</v>
      </c>
      <c r="ZL73" s="60">
        <f t="shared" si="1114"/>
        <v>0</v>
      </c>
      <c r="ZM73" s="76">
        <f t="shared" si="1115"/>
        <v>0</v>
      </c>
      <c r="ZN73" s="46">
        <f t="shared" si="1116"/>
        <v>27</v>
      </c>
      <c r="ZO73" s="46">
        <f t="shared" si="737"/>
        <v>2.5689999999999995</v>
      </c>
      <c r="ZP73" s="46">
        <f t="shared" si="1117"/>
        <v>1</v>
      </c>
      <c r="ZQ73" s="46">
        <f t="shared" si="1118"/>
        <v>2</v>
      </c>
      <c r="ZR73" s="46" cm="1">
        <f t="array" ref="ZR73">ROUND(VALUE(IFERROR(INDEX(ArchiveResults!$F$5:$IX$116,ComparisonData!A73,ComparisonData!$ZR$1),0)),5)</f>
        <v>0</v>
      </c>
      <c r="ZS73" s="56">
        <v>68</v>
      </c>
      <c r="ZT73" s="53" t="str">
        <f t="shared" si="738"/>
        <v>Richmond upon Thames Local Studies Library and Archive</v>
      </c>
      <c r="ZU73" s="46">
        <f t="shared" si="1119"/>
        <v>0</v>
      </c>
      <c r="ZV73" s="76">
        <f t="shared" si="1120"/>
        <v>0</v>
      </c>
      <c r="ZW73" s="81" cm="1">
        <f t="array" ref="ZW73">ROUND((IFERROR(INDEX(ArchiveResults!$F$5:$IX$116,ComparisonData!A73,ComparisonData!$ZW$1),0)),5)</f>
        <v>0</v>
      </c>
      <c r="ZX73" s="81" cm="1">
        <f t="array" ref="ZX73">ROUND((IFERROR(INDEX(ArchiveResults!$F$5:$IX$116,ComparisonData!A73,ComparisonData!$ZX$1),0)),5)</f>
        <v>0</v>
      </c>
      <c r="ZY73" s="81" cm="1">
        <f t="array" ref="ZY73">ROUND((IFERROR(INDEX(ArchiveResults!$F$5:$IX$116,ComparisonData!A73,ComparisonData!$ZY$1),0)),5)</f>
        <v>0</v>
      </c>
      <c r="ZZ73" s="81" cm="1">
        <f t="array" ref="ZZ73">ROUND((IFERROR(INDEX(ArchiveResults!$F$5:$IX$116,ComparisonData!A73,ComparisonData!$ZZ$1),0)),5)</f>
        <v>0</v>
      </c>
      <c r="AAA73" s="81" cm="1">
        <f t="array" ref="AAA73">ROUND((IFERROR(INDEX(ArchiveResults!$F$5:$IX$116,ComparisonData!A73,ComparisonData!$AAA$1),0)),5)</f>
        <v>0</v>
      </c>
      <c r="AAB73" s="81" cm="1">
        <f t="array" ref="AAB73">ROUND((IFERROR(INDEX(ArchiveResults!$F$5:$IX$116,ComparisonData!A73,ComparisonData!$AAB$1),0)),5)</f>
        <v>0</v>
      </c>
      <c r="AAC73" s="81" cm="1">
        <f t="array" ref="AAC73">ROUND((IFERROR(INDEX(ArchiveResults!$F$5:$IX$116,ComparisonData!A73,ComparisonData!$AAC$1),0)),5)</f>
        <v>0</v>
      </c>
      <c r="AAD73" s="81" cm="1">
        <f t="array" ref="AAD73">ROUND((IFERROR(INDEX(ArchiveResults!$F$5:$IX$116,ComparisonData!A73,ComparisonData!$AAD$1),0)),5)</f>
        <v>0</v>
      </c>
      <c r="AAE73" s="81" cm="1">
        <f t="array" ref="AAE73">ROUND((IFERROR(INDEX(ArchiveResults!$F$5:$IX$116,ComparisonData!A73,ComparisonData!$AAE$1),0)),5)</f>
        <v>0</v>
      </c>
      <c r="AAF73" s="81" cm="1">
        <f t="array" ref="AAF73">ROUND((IFERROR(INDEX(ArchiveResults!$F$5:$IX$116,ComparisonData!A73,ComparisonData!$AAF$1),0)),5)</f>
        <v>0</v>
      </c>
      <c r="AAG73" s="46">
        <f t="shared" si="1121"/>
        <v>27</v>
      </c>
      <c r="AAH73" s="46">
        <f t="shared" si="739"/>
        <v>2.5689999999999995</v>
      </c>
      <c r="AAI73" s="46">
        <f t="shared" si="1122"/>
        <v>1</v>
      </c>
      <c r="AAJ73" s="46">
        <f t="shared" si="1123"/>
        <v>2</v>
      </c>
      <c r="AAK73" s="46">
        <f t="shared" si="1124"/>
        <v>0</v>
      </c>
      <c r="AAL73" s="46">
        <f t="shared" si="1125"/>
        <v>0</v>
      </c>
      <c r="AAM73" s="46">
        <f t="shared" si="1126"/>
        <v>0</v>
      </c>
      <c r="AAN73" s="46">
        <f t="shared" si="1127"/>
        <v>0</v>
      </c>
      <c r="AAO73" s="46">
        <f t="shared" si="1128"/>
        <v>0</v>
      </c>
      <c r="AAP73" s="46">
        <f t="shared" si="1129"/>
        <v>0</v>
      </c>
      <c r="AAQ73" s="56">
        <v>68</v>
      </c>
      <c r="AAR73" s="53" t="str">
        <f t="shared" si="740"/>
        <v>Richmond upon Thames Local Studies Library and Archive</v>
      </c>
      <c r="AAS73" s="60">
        <f t="shared" si="1130"/>
        <v>0</v>
      </c>
      <c r="AAT73" s="60">
        <f t="shared" si="1131"/>
        <v>0</v>
      </c>
      <c r="AAU73" s="60">
        <f t="shared" si="1132"/>
        <v>0</v>
      </c>
      <c r="AAV73" s="60">
        <f t="shared" si="1133"/>
        <v>0</v>
      </c>
      <c r="AAW73" s="60">
        <f t="shared" si="1134"/>
        <v>0</v>
      </c>
      <c r="AAX73" s="76">
        <f t="shared" si="1135"/>
        <v>0</v>
      </c>
      <c r="AAY73" s="46">
        <f t="shared" si="1136"/>
        <v>27</v>
      </c>
      <c r="AAZ73" s="46">
        <f t="shared" si="741"/>
        <v>2.5689999999999995</v>
      </c>
      <c r="ABA73" s="46">
        <f t="shared" si="1137"/>
        <v>1</v>
      </c>
      <c r="ABB73" s="46">
        <f t="shared" si="1138"/>
        <v>2</v>
      </c>
      <c r="ABC73" s="46">
        <f t="shared" si="742"/>
        <v>0</v>
      </c>
      <c r="ABD73" s="46" cm="1">
        <f t="array" ref="ABD73">ROUND(VALUE(IFERROR(INDEX(ArchiveResults!$F$5:$IX$116,ComparisonData!A73,ComparisonData!$ABD$1),0)),5)</f>
        <v>0</v>
      </c>
      <c r="ABE73" s="46" cm="1">
        <f t="array" ref="ABE73">ROUND(VALUE(IFERROR(INDEX(ArchiveResults!$F$5:$IX$116,ComparisonData!A73,ComparisonData!$ABE$1),0)),5)</f>
        <v>0</v>
      </c>
      <c r="ABF73" s="46" cm="1">
        <f t="array" ref="ABF73">ROUND(VALUE(IFERROR(INDEX(ArchiveResults!$F$5:$IX$116,ComparisonData!A73,ComparisonData!$ABF$1),0)),5)</f>
        <v>0</v>
      </c>
      <c r="ABG73" s="46" cm="1">
        <f t="array" ref="ABG73">ROUND(VALUE(IFERROR(INDEX(ArchiveResults!$F$5:$IX$116,ComparisonData!A73,ComparisonData!$ABG$1),0)),5)</f>
        <v>0</v>
      </c>
      <c r="ABH73" s="46" cm="1">
        <f t="array" ref="ABH73">ROUND(VALUE(IFERROR(INDEX(ArchiveResults!$F$5:$IX$116,ComparisonData!A73,ComparisonData!$ABH$1),0)),5)</f>
        <v>0</v>
      </c>
      <c r="ABI73" s="56">
        <v>68</v>
      </c>
      <c r="ABJ73" s="53" t="str">
        <f t="shared" si="743"/>
        <v>Richmond upon Thames Local Studies Library and Archive</v>
      </c>
      <c r="ABK73" s="60">
        <f t="shared" si="1139"/>
        <v>0</v>
      </c>
      <c r="ABL73" s="60">
        <f t="shared" si="1140"/>
        <v>0</v>
      </c>
      <c r="ABM73" s="60">
        <f t="shared" si="1141"/>
        <v>0</v>
      </c>
      <c r="ABN73" s="60">
        <f t="shared" si="1142"/>
        <v>0</v>
      </c>
      <c r="ABO73" s="60">
        <f t="shared" si="1143"/>
        <v>0</v>
      </c>
      <c r="ABP73" s="76">
        <f t="shared" si="1144"/>
        <v>0</v>
      </c>
      <c r="ABQ73" s="46">
        <f t="shared" si="1145"/>
        <v>27</v>
      </c>
      <c r="ABR73" s="46">
        <f t="shared" si="744"/>
        <v>2.5689999999999995</v>
      </c>
      <c r="ABS73" s="46">
        <f t="shared" si="1146"/>
        <v>1</v>
      </c>
      <c r="ABT73" s="46">
        <f t="shared" si="1147"/>
        <v>2</v>
      </c>
      <c r="ABU73" s="46" cm="1">
        <f t="array" ref="ABU73">ROUND(VALUE(IFERROR(INDEX(ArchiveResults!$F$5:$IX$116,ComparisonData!A73,ComparisonData!$ABU$1),0)),5)</f>
        <v>0</v>
      </c>
      <c r="ABV73" s="46" cm="1">
        <f t="array" ref="ABV73">ROUND(VALUE(IFERROR(INDEX(ArchiveResults!$F$5:$IX$116,ComparisonData!A73,ComparisonData!$ABV$1),0)),5)</f>
        <v>0</v>
      </c>
      <c r="ABW73" s="46" cm="1">
        <f t="array" ref="ABW73">ROUND(VALUE(IFERROR(INDEX(ArchiveResults!$F$5:$IX$116,ComparisonData!A73,ComparisonData!$ABW$1),0)),5)</f>
        <v>0</v>
      </c>
      <c r="ABX73" s="46" cm="1">
        <f t="array" ref="ABX73">ROUND(VALUE(IFERROR(INDEX(ArchiveResults!$F$5:$IX$116,ComparisonData!A73,ComparisonData!$ABX$1),0)),5)</f>
        <v>0</v>
      </c>
      <c r="ABY73" s="46" cm="1">
        <f t="array" ref="ABY73">ROUND(VALUE(IFERROR(INDEX(ArchiveResults!$F$5:$IX$116,ComparisonData!A73,ComparisonData!$ABY$1),0)),5)</f>
        <v>0</v>
      </c>
      <c r="ABZ73" s="56">
        <v>68</v>
      </c>
      <c r="ACA73" s="53" t="str">
        <f t="shared" si="745"/>
        <v>Richmond upon Thames Local Studies Library and Archive</v>
      </c>
      <c r="ACB73" s="60">
        <f t="shared" si="1148"/>
        <v>0</v>
      </c>
      <c r="ACC73" s="60">
        <f t="shared" si="1149"/>
        <v>0</v>
      </c>
      <c r="ACD73" s="60">
        <f t="shared" si="1150"/>
        <v>0</v>
      </c>
      <c r="ACE73" s="60">
        <f t="shared" si="1151"/>
        <v>0</v>
      </c>
      <c r="ACF73" s="60">
        <f t="shared" si="1152"/>
        <v>0</v>
      </c>
      <c r="ACG73" s="76">
        <f t="shared" si="1153"/>
        <v>0</v>
      </c>
      <c r="ACH73" s="46">
        <f t="shared" si="1154"/>
        <v>27</v>
      </c>
      <c r="ACI73" s="46">
        <f t="shared" si="746"/>
        <v>2.5689999999999995</v>
      </c>
      <c r="ACJ73" s="46">
        <f t="shared" si="1155"/>
        <v>1</v>
      </c>
      <c r="ACK73" s="46">
        <f t="shared" si="1156"/>
        <v>2</v>
      </c>
      <c r="ACL73" s="46">
        <f t="shared" si="1157"/>
        <v>0</v>
      </c>
      <c r="ACM73" s="46" cm="1">
        <f t="array" ref="ACM73">ROUND(IFERROR(INDEX(ArchiveResults!$F$5:$IX$116,ComparisonData!A73,ComparisonData!$ACM$1),0),5)</f>
        <v>0</v>
      </c>
      <c r="ACN73" s="46" cm="1">
        <f t="array" ref="ACN73">ROUND(IFERROR(INDEX(ArchiveResults!$F$5:$IX$116,ComparisonData!A73,ComparisonData!$ACN$1),0),5)</f>
        <v>0</v>
      </c>
      <c r="ACO73" s="56">
        <v>68</v>
      </c>
      <c r="ACP73" s="53" t="str">
        <f t="shared" si="747"/>
        <v>Richmond upon Thames Local Studies Library and Archive</v>
      </c>
      <c r="ACQ73" s="60">
        <f t="shared" si="1158"/>
        <v>0</v>
      </c>
      <c r="ACR73" s="60">
        <f t="shared" si="1159"/>
        <v>0</v>
      </c>
      <c r="ACS73" s="76">
        <f t="shared" si="1160"/>
        <v>0</v>
      </c>
      <c r="ACT73" s="46">
        <f t="shared" si="1161"/>
        <v>27</v>
      </c>
      <c r="ACU73" s="46">
        <f t="shared" si="748"/>
        <v>2.5689999999999995</v>
      </c>
      <c r="ACV73" s="46">
        <f t="shared" si="1162"/>
        <v>1</v>
      </c>
      <c r="ACW73" s="46">
        <f t="shared" si="1163"/>
        <v>2</v>
      </c>
      <c r="ACX73" s="46">
        <f t="shared" si="1164"/>
        <v>0</v>
      </c>
      <c r="ACY73" s="46" cm="1">
        <f t="array" ref="ACY73">ROUNDDOWN(IFERROR(INDEX(ArchiveResults!$F$5:$IX$116,ComparisonData!A73,ComparisonData!$ACY$1),0),5)</f>
        <v>0</v>
      </c>
      <c r="ACZ73" s="46" cm="1">
        <f t="array" ref="ACZ73">ROUNDDOWN(IFERROR(INDEX(ArchiveResults!$F$5:$IX$116,ComparisonData!A73,ComparisonData!$ACZ$1),0),5)</f>
        <v>0</v>
      </c>
      <c r="ADA73" s="46" cm="1">
        <f t="array" ref="ADA73">ROUNDDOWN(IFERROR(INDEX(ArchiveResults!$F$5:$IX$116,ComparisonData!A73,ComparisonData!$ADA$1),0),5)</f>
        <v>0</v>
      </c>
      <c r="ADB73" s="56">
        <v>68</v>
      </c>
      <c r="ADC73" s="53" t="str">
        <f t="shared" si="749"/>
        <v>Richmond upon Thames Local Studies Library and Archive</v>
      </c>
      <c r="ADD73" s="60">
        <f t="shared" si="1165"/>
        <v>0</v>
      </c>
      <c r="ADE73" s="60">
        <f t="shared" si="1166"/>
        <v>0</v>
      </c>
      <c r="ADF73" s="60">
        <f t="shared" si="1167"/>
        <v>0</v>
      </c>
      <c r="ADG73" s="76">
        <f t="shared" si="1168"/>
        <v>0</v>
      </c>
    </row>
    <row r="74" spans="1:787" x14ac:dyDescent="0.25">
      <c r="A74" s="46" t="str">
        <f>IF(ISBLANK(ComparisonSelection!F70),"",ROW()-5)</f>
        <v/>
      </c>
      <c r="B74" s="53" t="s">
        <v>522</v>
      </c>
      <c r="C74" s="72">
        <v>0.96899999999999997</v>
      </c>
      <c r="D74" s="55">
        <f t="shared" si="750"/>
        <v>106</v>
      </c>
      <c r="E74" s="54">
        <f t="shared" si="751"/>
        <v>2.9689999999999999</v>
      </c>
      <c r="F74" s="54">
        <f t="shared" si="752"/>
        <v>1</v>
      </c>
      <c r="G74" s="72">
        <f t="shared" si="753"/>
        <v>2</v>
      </c>
      <c r="H74" s="72">
        <f t="shared" si="754"/>
        <v>0</v>
      </c>
      <c r="I74" s="46" cm="1">
        <f t="array" ref="I74">ROUND(IFERROR(INDEX(ArchiveResults!$F$5:$IX$116,ComparisonData!A74,ComparisonData!$I$1),0),5)</f>
        <v>0</v>
      </c>
      <c r="J74" s="46" cm="1">
        <f t="array" ref="J74">ROUND(IFERROR(INDEX(ArchiveResults!$F$5:$IX$116,ComparisonData!A74,ComparisonData!$J$1),0),5)</f>
        <v>0</v>
      </c>
      <c r="K74" s="56">
        <v>69</v>
      </c>
      <c r="L74" s="53" t="str">
        <f t="shared" si="755"/>
        <v>Rotherham Archives &amp; Local Studies</v>
      </c>
      <c r="M74" s="57">
        <f t="shared" si="640"/>
        <v>0</v>
      </c>
      <c r="N74" s="57">
        <f t="shared" si="641"/>
        <v>0</v>
      </c>
      <c r="O74" s="58">
        <f t="shared" si="756"/>
        <v>0</v>
      </c>
      <c r="P74" s="48">
        <f t="shared" si="757"/>
        <v>106</v>
      </c>
      <c r="Q74" s="54">
        <f t="shared" si="642"/>
        <v>2.9689999999999999</v>
      </c>
      <c r="R74" s="45">
        <f t="shared" si="758"/>
        <v>1</v>
      </c>
      <c r="S74" s="46">
        <f t="shared" si="759"/>
        <v>2</v>
      </c>
      <c r="T74" s="72">
        <f t="shared" si="760"/>
        <v>0</v>
      </c>
      <c r="U74" s="46" cm="1">
        <f t="array" ref="U74">ROUND(IFERROR(INDEX(ArchiveResults!$F$5:$IX$116,ComparisonData!A74,ComparisonData!$U$1),0),5)</f>
        <v>0</v>
      </c>
      <c r="V74" s="46" cm="1">
        <f t="array" ref="V74">ROUND(IFERROR(INDEX(ArchiveResults!$F$5:$IX$116,ComparisonData!A74,ComparisonData!$V$1),0),5)</f>
        <v>0</v>
      </c>
      <c r="W74" s="56">
        <v>69</v>
      </c>
      <c r="X74" s="53" t="str">
        <f t="shared" si="643"/>
        <v>Rotherham Archives &amp; Local Studies</v>
      </c>
      <c r="Y74" s="57">
        <f t="shared" si="761"/>
        <v>0</v>
      </c>
      <c r="Z74" s="57">
        <f t="shared" si="762"/>
        <v>0</v>
      </c>
      <c r="AA74" s="58">
        <f t="shared" si="763"/>
        <v>0</v>
      </c>
      <c r="AB74" s="45">
        <f t="shared" si="764"/>
        <v>106</v>
      </c>
      <c r="AC74" s="54">
        <f t="shared" si="644"/>
        <v>2.9689999999999999</v>
      </c>
      <c r="AD74" s="45">
        <f t="shared" si="765"/>
        <v>1</v>
      </c>
      <c r="AE74" s="45">
        <f t="shared" si="766"/>
        <v>2</v>
      </c>
      <c r="AF74" s="45">
        <f t="shared" si="639"/>
        <v>0</v>
      </c>
      <c r="AG74" s="46" cm="1">
        <f t="array" ref="AG74">ROUND(IFERROR(INDEX(ArchiveResults!$F$5:$IX$116,ComparisonData!A74,ComparisonData!$AG$1),0),5)</f>
        <v>0</v>
      </c>
      <c r="AH74" s="46" cm="1">
        <f t="array" ref="AH74">ROUND(IFERROR(INDEX(ArchiveResults!$F$5:$IX$116,ComparisonData!A74,ComparisonData!$AH$1),0),5)</f>
        <v>0</v>
      </c>
      <c r="AI74" s="56">
        <v>69</v>
      </c>
      <c r="AJ74" s="53" t="str">
        <f t="shared" si="645"/>
        <v>Rotherham Archives &amp; Local Studies</v>
      </c>
      <c r="AK74" s="59">
        <f t="shared" si="646"/>
        <v>0</v>
      </c>
      <c r="AL74" s="59">
        <f t="shared" si="647"/>
        <v>0</v>
      </c>
      <c r="AM74" s="58">
        <f t="shared" si="767"/>
        <v>0</v>
      </c>
      <c r="AN74" s="45">
        <f t="shared" si="768"/>
        <v>106</v>
      </c>
      <c r="AO74" s="54">
        <f t="shared" si="648"/>
        <v>2.9689999999999999</v>
      </c>
      <c r="AP74" s="45">
        <f t="shared" si="769"/>
        <v>1</v>
      </c>
      <c r="AQ74" s="45">
        <f t="shared" si="770"/>
        <v>2</v>
      </c>
      <c r="AR74" s="46" cm="1">
        <f t="array" ref="AR74">ROUND(IFERROR(INDEX(ArchiveResults!$F$5:$IX$116,ComparisonData!A74,ComparisonData!$AR$1),0),5)</f>
        <v>0</v>
      </c>
      <c r="AS74" s="46" cm="1">
        <f t="array" ref="AS74">ROUND(IFERROR(INDEX(ArchiveResults!$F$5:$IX$116,ComparisonData!A74,ComparisonData!$AS$1),0),5)</f>
        <v>0</v>
      </c>
      <c r="AT74" s="46" cm="1">
        <f t="array" ref="AT74">ROUND(IFERROR(INDEX(ArchiveResults!$F$5:$IX$116,ComparisonData!A74,ComparisonData!$AT$1),0),5)</f>
        <v>0</v>
      </c>
      <c r="AU74" s="46" cm="1">
        <f t="array" ref="AU74">ROUND(IFERROR(INDEX(ArchiveResults!$F$5:$IX$116,ComparisonData!A74,ComparisonData!$AU$1),0),5)</f>
        <v>0</v>
      </c>
      <c r="AV74" s="46" cm="1">
        <f t="array" ref="AV74">ROUND(IFERROR(INDEX(ArchiveResults!$F$5:$IX$116,ComparisonData!A74,ComparisonData!$AV$1),0),5)</f>
        <v>0</v>
      </c>
      <c r="AW74" s="46" cm="1">
        <f t="array" ref="AW74">ROUND(IFERROR(INDEX(ArchiveResults!$F$5:$IX$116,ComparisonData!A74,ComparisonData!$AW$1),0),5)</f>
        <v>0</v>
      </c>
      <c r="AX74" s="46" cm="1">
        <f t="array" ref="AX74">ROUND(IFERROR(INDEX(ArchiveResults!$F$5:$IX$116,ComparisonData!A74,ComparisonData!$AX$1),0),5)</f>
        <v>0</v>
      </c>
      <c r="AY74" s="46" cm="1">
        <f t="array" ref="AY74">ROUND(IFERROR(INDEX(ArchiveResults!$F$5:$IX$116,ComparisonData!A74,ComparisonData!$AY$1),0),5)</f>
        <v>0</v>
      </c>
      <c r="AZ74" s="46" cm="1">
        <f t="array" ref="AZ74">ROUND(IFERROR(INDEX(ArchiveResults!$F$5:$IX$116,ComparisonData!A74,ComparisonData!$AZ$1),0),5)</f>
        <v>0</v>
      </c>
      <c r="BA74" s="46" cm="1">
        <f t="array" ref="BA74">ROUND(IFERROR(INDEX(ArchiveResults!$F$5:$IX$116,ComparisonData!A74,ComparisonData!$BA$1),0),5)</f>
        <v>0</v>
      </c>
      <c r="BB74" s="56">
        <v>69</v>
      </c>
      <c r="BC74" s="53" t="str">
        <f t="shared" si="649"/>
        <v>Rotherham Archives &amp; Local Studies</v>
      </c>
      <c r="BD74" s="60">
        <f t="shared" si="771"/>
        <v>0</v>
      </c>
      <c r="BE74" s="60">
        <f t="shared" si="772"/>
        <v>0</v>
      </c>
      <c r="BF74" s="60">
        <f t="shared" si="773"/>
        <v>0</v>
      </c>
      <c r="BG74" s="60">
        <f t="shared" si="774"/>
        <v>0</v>
      </c>
      <c r="BH74" s="60">
        <f t="shared" si="775"/>
        <v>0</v>
      </c>
      <c r="BI74" s="60">
        <f t="shared" si="776"/>
        <v>0</v>
      </c>
      <c r="BJ74" s="60">
        <f t="shared" si="777"/>
        <v>0</v>
      </c>
      <c r="BK74" s="60">
        <f t="shared" si="778"/>
        <v>0</v>
      </c>
      <c r="BL74" s="60">
        <f t="shared" si="779"/>
        <v>0</v>
      </c>
      <c r="BM74" s="59">
        <f t="shared" si="780"/>
        <v>0</v>
      </c>
      <c r="BN74" s="58">
        <f t="shared" si="781"/>
        <v>0</v>
      </c>
      <c r="BO74" s="45">
        <f t="shared" si="782"/>
        <v>106</v>
      </c>
      <c r="BP74" s="54">
        <f t="shared" si="650"/>
        <v>2.9689999999999999</v>
      </c>
      <c r="BQ74" s="45">
        <f t="shared" si="783"/>
        <v>1</v>
      </c>
      <c r="BR74" s="45">
        <f t="shared" si="784"/>
        <v>2</v>
      </c>
      <c r="BS74" s="46" cm="1">
        <f t="array" ref="BS74">ROUND(IFERROR(INDEX(ArchiveResults!$F$5:$IX$116,ComparisonData!A74,ComparisonData!$BS$1),0),5)</f>
        <v>0</v>
      </c>
      <c r="BT74" s="46" cm="1">
        <f t="array" ref="BT74">ROUND(IFERROR(INDEX(ArchiveResults!$F$5:$IX$116,ComparisonData!A74,ComparisonData!$BT$1),0),5)</f>
        <v>0</v>
      </c>
      <c r="BU74" s="46" cm="1">
        <f t="array" ref="BU74">ROUND(IFERROR(INDEX(ArchiveResults!$F$5:$IX$116,ComparisonData!A74,ComparisonData!$BU$1),0),5)</f>
        <v>0</v>
      </c>
      <c r="BV74" s="46" cm="1">
        <f t="array" ref="BV74">ROUND(IFERROR(INDEX(ArchiveResults!$F$5:$IX$116,ComparisonData!A74,ComparisonData!$BV$1),0),5)</f>
        <v>0</v>
      </c>
      <c r="BW74" s="46" cm="1">
        <f t="array" ref="BW74">ROUND(IFERROR(INDEX(ArchiveResults!$F$5:$IX$116,ComparisonData!A74,ComparisonData!$BW$1),0),5)</f>
        <v>0</v>
      </c>
      <c r="BX74" s="46" cm="1">
        <f t="array" ref="BX74">ROUND(IFERROR(INDEX(ArchiveResults!$F$5:$IX$116,ComparisonData!A74,ComparisonData!$BX$1),0),5)</f>
        <v>0</v>
      </c>
      <c r="BY74" s="56">
        <v>69</v>
      </c>
      <c r="BZ74" s="53" t="str">
        <f t="shared" si="651"/>
        <v>Rotherham Archives &amp; Local Studies</v>
      </c>
      <c r="CA74" s="59">
        <f t="shared" si="785"/>
        <v>0</v>
      </c>
      <c r="CB74" s="59">
        <f t="shared" si="786"/>
        <v>0</v>
      </c>
      <c r="CC74" s="59">
        <f t="shared" si="787"/>
        <v>0</v>
      </c>
      <c r="CD74" s="59">
        <f t="shared" si="788"/>
        <v>0</v>
      </c>
      <c r="CE74" s="59">
        <f t="shared" si="789"/>
        <v>0</v>
      </c>
      <c r="CF74" s="59">
        <f t="shared" si="790"/>
        <v>0</v>
      </c>
      <c r="CG74" s="58">
        <f t="shared" si="791"/>
        <v>0</v>
      </c>
      <c r="CH74" s="45">
        <f t="shared" si="792"/>
        <v>106</v>
      </c>
      <c r="CI74" s="54">
        <f t="shared" si="652"/>
        <v>2.9689999999999999</v>
      </c>
      <c r="CJ74" s="45">
        <f t="shared" si="793"/>
        <v>1</v>
      </c>
      <c r="CK74" s="45">
        <f t="shared" si="794"/>
        <v>2</v>
      </c>
      <c r="CL74" s="46" cm="1">
        <f t="array" ref="CL74">ROUND(IFERROR(INDEX(ArchiveResults!$F$5:$IX$116,ComparisonData!A74,ComparisonData!$CL$1),0),5)</f>
        <v>0</v>
      </c>
      <c r="CM74" s="56">
        <v>69</v>
      </c>
      <c r="CN74" s="53" t="str">
        <f t="shared" si="653"/>
        <v>Rotherham Archives &amp; Local Studies</v>
      </c>
      <c r="CO74" s="45">
        <f t="shared" si="795"/>
        <v>0</v>
      </c>
      <c r="CP74" s="58">
        <f t="shared" si="796"/>
        <v>0</v>
      </c>
      <c r="CQ74" s="45">
        <f t="shared" si="797"/>
        <v>106</v>
      </c>
      <c r="CR74" s="54">
        <f t="shared" si="654"/>
        <v>2.9689999999999999</v>
      </c>
      <c r="CS74" s="45">
        <f t="shared" si="798"/>
        <v>1</v>
      </c>
      <c r="CT74" s="45">
        <f t="shared" si="799"/>
        <v>2</v>
      </c>
      <c r="CU74" s="46" cm="1">
        <f t="array" ref="CU74">ROUND(IFERROR(INDEX(ArchiveResults!$F$5:$IX$116,ComparisonData!A74,ComparisonData!$CU$1),0),5)</f>
        <v>0</v>
      </c>
      <c r="CV74" s="56">
        <v>69</v>
      </c>
      <c r="CW74" s="53" t="str">
        <f t="shared" si="655"/>
        <v>Rotherham Archives &amp; Local Studies</v>
      </c>
      <c r="CX74" s="45">
        <f t="shared" si="800"/>
        <v>0</v>
      </c>
      <c r="CY74" s="58">
        <f t="shared" si="801"/>
        <v>0</v>
      </c>
      <c r="CZ74" s="45">
        <f t="shared" si="802"/>
        <v>106</v>
      </c>
      <c r="DA74" s="54">
        <f t="shared" si="656"/>
        <v>2.9689999999999999</v>
      </c>
      <c r="DB74" s="45">
        <f t="shared" si="803"/>
        <v>1</v>
      </c>
      <c r="DC74" s="45">
        <f t="shared" si="804"/>
        <v>2</v>
      </c>
      <c r="DD74" s="46" cm="1">
        <f t="array" ref="DD74">ROUND(IFERROR(INDEX(ArchiveResults!$F$5:$IX$116,ComparisonData!A74,ComparisonData!$DD$1),0),5)</f>
        <v>0</v>
      </c>
      <c r="DE74" s="56">
        <v>69</v>
      </c>
      <c r="DF74" s="53" t="str">
        <f t="shared" si="657"/>
        <v>Rotherham Archives &amp; Local Studies</v>
      </c>
      <c r="DG74" s="45">
        <f t="shared" si="805"/>
        <v>0</v>
      </c>
      <c r="DH74" s="58">
        <f t="shared" si="806"/>
        <v>0</v>
      </c>
      <c r="DI74" s="45">
        <f t="shared" si="807"/>
        <v>106</v>
      </c>
      <c r="DJ74" s="54">
        <f t="shared" si="658"/>
        <v>2.9689999999999999</v>
      </c>
      <c r="DK74" s="45">
        <f t="shared" si="808"/>
        <v>1</v>
      </c>
      <c r="DL74" s="45">
        <f t="shared" si="809"/>
        <v>2</v>
      </c>
      <c r="DM74" s="46" cm="1">
        <f t="array" ref="DM74">ROUND(IFERROR(INDEX(ArchiveResults!$F$5:$IX$116,ComparisonData!A74,ComparisonData!$DM$1),0),5)</f>
        <v>0</v>
      </c>
      <c r="DN74" s="46" cm="1">
        <f t="array" ref="DN74">ROUND(IFERROR(INDEX(ArchiveResults!$F$5:$IX$116,ComparisonData!A74,ComparisonData!$DN$1),0),5)</f>
        <v>0</v>
      </c>
      <c r="DO74" s="46" cm="1">
        <f t="array" ref="DO74">ROUND(IFERROR(INDEX(ArchiveResults!$F$5:$IX$116,ComparisonData!A74,ComparisonData!$DO$1),0),5)</f>
        <v>0</v>
      </c>
      <c r="DP74" s="46" cm="1">
        <f t="array" ref="DP74">ROUND(IFERROR(INDEX(ArchiveResults!$F$5:$IX$116,ComparisonData!A74,ComparisonData!$DP$1),0),5)</f>
        <v>0</v>
      </c>
      <c r="DQ74" s="45" cm="1">
        <f t="array" ref="DQ74">IFERROR(INDEX(ArchiveResults!$F$5:$IX$116,ComparisonData!A74,ComparisonData!$DQ$1),0)</f>
        <v>0</v>
      </c>
      <c r="DR74" s="56">
        <v>69</v>
      </c>
      <c r="DS74" s="53" t="str">
        <f t="shared" si="659"/>
        <v>Rotherham Archives &amp; Local Studies</v>
      </c>
      <c r="DT74" s="59">
        <f t="shared" si="810"/>
        <v>0</v>
      </c>
      <c r="DU74" s="59">
        <f t="shared" si="811"/>
        <v>0</v>
      </c>
      <c r="DV74" s="59">
        <f t="shared" si="812"/>
        <v>0</v>
      </c>
      <c r="DW74" s="59">
        <f t="shared" si="813"/>
        <v>0</v>
      </c>
      <c r="DX74" s="59">
        <f t="shared" si="814"/>
        <v>0</v>
      </c>
      <c r="DY74" s="58">
        <f t="shared" si="815"/>
        <v>0</v>
      </c>
      <c r="DZ74" s="45">
        <f t="shared" si="816"/>
        <v>106</v>
      </c>
      <c r="EA74" s="54">
        <f t="shared" si="660"/>
        <v>2.9689999999999999</v>
      </c>
      <c r="EB74" s="45">
        <f t="shared" si="817"/>
        <v>1</v>
      </c>
      <c r="EC74" s="45">
        <f t="shared" si="818"/>
        <v>2</v>
      </c>
      <c r="ED74" s="46" cm="1">
        <f t="array" ref="ED74">ROUND(IFERROR(INDEX(ArchiveResults!$F$5:$IX$116,ComparisonData!A74,ComparisonData!$ED$1),0),5)</f>
        <v>0</v>
      </c>
      <c r="EE74" s="46" cm="1">
        <f t="array" ref="EE74">ROUND(IFERROR(INDEX(ArchiveResults!$F$5:$IX$116,ComparisonData!A74,ComparisonData!$EE$1),0),5)</f>
        <v>0</v>
      </c>
      <c r="EF74" s="46" cm="1">
        <f t="array" ref="EF74">ROUND(IFERROR(INDEX(ArchiveResults!$F$5:$IX$116,ComparisonData!A74,ComparisonData!$EF$1),0),5)</f>
        <v>0</v>
      </c>
      <c r="EG74" s="46" cm="1">
        <f t="array" ref="EG74">ROUND(IFERROR(INDEX(ArchiveResults!$F$5:$IX$116,ComparisonData!A74,ComparisonData!$EG$1),0),5)</f>
        <v>0</v>
      </c>
      <c r="EH74" s="45" cm="1">
        <f t="array" ref="EH74">IFERROR(INDEX(ArchiveResults!$F$5:$IX$116,ComparisonData!A74,ComparisonData!$EH$1),0)</f>
        <v>0</v>
      </c>
      <c r="EI74" s="56">
        <v>69</v>
      </c>
      <c r="EJ74" s="53" t="str">
        <f t="shared" si="661"/>
        <v>Rotherham Archives &amp; Local Studies</v>
      </c>
      <c r="EK74" s="59">
        <f t="shared" si="819"/>
        <v>0</v>
      </c>
      <c r="EL74" s="59">
        <f t="shared" si="820"/>
        <v>0</v>
      </c>
      <c r="EM74" s="59">
        <f t="shared" si="821"/>
        <v>0</v>
      </c>
      <c r="EN74" s="59">
        <f t="shared" si="822"/>
        <v>0</v>
      </c>
      <c r="EO74" s="59">
        <f t="shared" si="823"/>
        <v>0</v>
      </c>
      <c r="EP74" s="58">
        <f t="shared" si="824"/>
        <v>0</v>
      </c>
      <c r="EQ74" s="45">
        <f t="shared" si="825"/>
        <v>106</v>
      </c>
      <c r="ER74" s="54">
        <f t="shared" si="662"/>
        <v>2.9689999999999999</v>
      </c>
      <c r="ES74" s="45">
        <f t="shared" si="826"/>
        <v>1</v>
      </c>
      <c r="ET74" s="45">
        <f t="shared" si="827"/>
        <v>2</v>
      </c>
      <c r="EU74" s="46" cm="1">
        <f t="array" ref="EU74">ROUND(IFERROR(INDEX(ArchiveResults!$F$5:$IX$116,ComparisonData!A74,ComparisonData!$EU$1),0),5)</f>
        <v>0</v>
      </c>
      <c r="EV74" s="46" cm="1">
        <f t="array" ref="EV74">ROUND(IFERROR(INDEX(ArchiveResults!$F$5:$IX$116,ComparisonData!A74,ComparisonData!$EV$1),0),5)</f>
        <v>0</v>
      </c>
      <c r="EW74" s="46" cm="1">
        <f t="array" ref="EW74">ROUND(IFERROR(INDEX(ArchiveResults!$F$5:$IX$116,ComparisonData!A74,ComparisonData!$EW$1),0),5)</f>
        <v>0</v>
      </c>
      <c r="EX74" s="46" cm="1">
        <f t="array" ref="EX74">ROUND(IFERROR(INDEX(ArchiveResults!$F$5:$IX$116,ComparisonData!A74,ComparisonData!$EX$1),0),5)</f>
        <v>0</v>
      </c>
      <c r="EY74" s="45" cm="1">
        <f t="array" ref="EY74">IFERROR(INDEX(ArchiveResults!$F$5:$IX$116,ComparisonData!A74,ComparisonData!$EY$1),0)</f>
        <v>0</v>
      </c>
      <c r="EZ74" s="56">
        <v>69</v>
      </c>
      <c r="FA74" s="53" t="str">
        <f t="shared" si="663"/>
        <v>Rotherham Archives &amp; Local Studies</v>
      </c>
      <c r="FB74" s="59">
        <f t="shared" si="828"/>
        <v>0</v>
      </c>
      <c r="FC74" s="59">
        <f t="shared" si="829"/>
        <v>0</v>
      </c>
      <c r="FD74" s="59">
        <f t="shared" si="830"/>
        <v>0</v>
      </c>
      <c r="FE74" s="59">
        <f t="shared" si="831"/>
        <v>0</v>
      </c>
      <c r="FF74" s="59">
        <f t="shared" si="832"/>
        <v>0</v>
      </c>
      <c r="FG74" s="58">
        <f t="shared" si="833"/>
        <v>0</v>
      </c>
      <c r="FH74" s="45">
        <f t="shared" si="834"/>
        <v>106</v>
      </c>
      <c r="FI74" s="54">
        <f t="shared" si="664"/>
        <v>2.9689999999999999</v>
      </c>
      <c r="FJ74" s="45">
        <f t="shared" si="835"/>
        <v>1</v>
      </c>
      <c r="FK74" s="45">
        <f t="shared" si="836"/>
        <v>2</v>
      </c>
      <c r="FL74" s="46" cm="1">
        <f t="array" ref="FL74">ROUND(IFERROR(INDEX(ArchiveResults!$F$5:$IX$116,ComparisonData!A74,ComparisonData!$FL$1),0),5)</f>
        <v>0</v>
      </c>
      <c r="FM74" s="46" cm="1">
        <f t="array" ref="FM74">ROUND(IFERROR(INDEX(ArchiveResults!$F$5:$IX$116,ComparisonData!A74,ComparisonData!$FM$1),0),5)</f>
        <v>0</v>
      </c>
      <c r="FN74" s="46" cm="1">
        <f t="array" ref="FN74">ROUND(IFERROR(INDEX(ArchiveResults!$F$5:$IX$116,ComparisonData!A74,ComparisonData!$FN$1),0),5)</f>
        <v>0</v>
      </c>
      <c r="FO74" s="46" cm="1">
        <f t="array" ref="FO74">ROUND(IFERROR(INDEX(ArchiveResults!$F$5:$IX$116,ComparisonData!A74,ComparisonData!$FO$1),0),5)</f>
        <v>0</v>
      </c>
      <c r="FP74" s="45" cm="1">
        <f t="array" ref="FP74">IFERROR(INDEX(ArchiveResults!$F$5:$IX$116,ComparisonData!A74,ComparisonData!$FP$1),0)</f>
        <v>0</v>
      </c>
      <c r="FQ74" s="56">
        <v>69</v>
      </c>
      <c r="FR74" s="53" t="str">
        <f t="shared" si="665"/>
        <v>Rotherham Archives &amp; Local Studies</v>
      </c>
      <c r="FS74" s="59">
        <f t="shared" si="837"/>
        <v>0</v>
      </c>
      <c r="FT74" s="59">
        <f t="shared" si="838"/>
        <v>0</v>
      </c>
      <c r="FU74" s="59">
        <f t="shared" si="839"/>
        <v>0</v>
      </c>
      <c r="FV74" s="59">
        <f t="shared" si="840"/>
        <v>0</v>
      </c>
      <c r="FW74" s="59">
        <f t="shared" si="841"/>
        <v>0</v>
      </c>
      <c r="FX74" s="58">
        <f t="shared" si="842"/>
        <v>0</v>
      </c>
      <c r="FY74" s="45">
        <f t="shared" si="843"/>
        <v>106</v>
      </c>
      <c r="FZ74" s="45">
        <f t="shared" si="666"/>
        <v>2.9689999999999999</v>
      </c>
      <c r="GA74" s="45">
        <f t="shared" si="844"/>
        <v>1</v>
      </c>
      <c r="GB74" s="45">
        <f t="shared" si="845"/>
        <v>2</v>
      </c>
      <c r="GC74" s="46" cm="1">
        <f t="array" ref="GC74">ROUND(IFERROR(INDEX(ArchiveResults!$F$5:$IX$116,ComparisonData!A74,ComparisonData!$GC$1),0),5)</f>
        <v>0</v>
      </c>
      <c r="GD74" s="46" cm="1">
        <f t="array" ref="GD74">ROUND(IFERROR(INDEX(ArchiveResults!$F$5:$IX$116,ComparisonData!A74,ComparisonData!$GD$1),0),5)</f>
        <v>0</v>
      </c>
      <c r="GE74" s="46" cm="1">
        <f t="array" ref="GE74">ROUND(IFERROR(INDEX(ArchiveResults!$F$5:$IX$116,ComparisonData!A74,ComparisonData!$GE$1),0),5)</f>
        <v>0</v>
      </c>
      <c r="GF74" s="46" cm="1">
        <f t="array" ref="GF74">ROUND(IFERROR(INDEX(ArchiveResults!$F$5:$IX$116,ComparisonData!A74,ComparisonData!$GF$1),0),5)</f>
        <v>0</v>
      </c>
      <c r="GG74" s="45" cm="1">
        <f t="array" ref="GG74">IFERROR(INDEX(ArchiveResults!$F$5:$IX$116,ComparisonData!A74,ComparisonData!$GG$1),0)</f>
        <v>0</v>
      </c>
      <c r="GH74" s="56">
        <v>69</v>
      </c>
      <c r="GI74" s="53" t="str">
        <f t="shared" si="667"/>
        <v>Rotherham Archives &amp; Local Studies</v>
      </c>
      <c r="GJ74" s="59">
        <f t="shared" si="846"/>
        <v>0</v>
      </c>
      <c r="GK74" s="59">
        <f t="shared" si="847"/>
        <v>0</v>
      </c>
      <c r="GL74" s="59">
        <f t="shared" si="848"/>
        <v>0</v>
      </c>
      <c r="GM74" s="59">
        <f t="shared" si="849"/>
        <v>0</v>
      </c>
      <c r="GN74" s="59">
        <f t="shared" si="850"/>
        <v>0</v>
      </c>
      <c r="GO74" s="58">
        <f t="shared" si="851"/>
        <v>0</v>
      </c>
      <c r="GP74" s="45">
        <f t="shared" si="852"/>
        <v>106</v>
      </c>
      <c r="GQ74" s="45">
        <f t="shared" si="668"/>
        <v>2.9689999999999999</v>
      </c>
      <c r="GR74" s="45">
        <f t="shared" si="853"/>
        <v>1</v>
      </c>
      <c r="GS74" s="45">
        <f t="shared" si="854"/>
        <v>2</v>
      </c>
      <c r="GT74" s="46" cm="1">
        <f t="array" ref="GT74">ROUND(IFERROR(INDEX(ArchiveResults!$F$5:$IX$116,ComparisonData!A74,ComparisonData!$GT$1),0),5)</f>
        <v>0</v>
      </c>
      <c r="GU74" s="46" cm="1">
        <f t="array" ref="GU74">ROUND(IFERROR(INDEX(ArchiveResults!$F$5:$IX$116,ComparisonData!A74,ComparisonData!$GU$1),0),5)</f>
        <v>0</v>
      </c>
      <c r="GV74" s="46" cm="1">
        <f t="array" ref="GV74">ROUND(IFERROR(INDEX(ArchiveResults!$F$5:$IX$116,ComparisonData!A74,ComparisonData!$GV$1),0),5)</f>
        <v>0</v>
      </c>
      <c r="GW74" s="46" cm="1">
        <f t="array" ref="GW74">ROUND(IFERROR(INDEX(ArchiveResults!$F$5:$IX$116,ComparisonData!A74,ComparisonData!$GW$1),0),5)</f>
        <v>0</v>
      </c>
      <c r="GX74" s="45" cm="1">
        <f t="array" ref="GX74">IFERROR(INDEX(ArchiveResults!$F$5:$IX$116,ComparisonData!A74,ComparisonData!$GX$1),0)</f>
        <v>0</v>
      </c>
      <c r="GY74" s="56">
        <v>69</v>
      </c>
      <c r="GZ74" s="53" t="str">
        <f t="shared" si="669"/>
        <v>Rotherham Archives &amp; Local Studies</v>
      </c>
      <c r="HA74" s="59">
        <f t="shared" si="855"/>
        <v>0</v>
      </c>
      <c r="HB74" s="59">
        <f t="shared" si="856"/>
        <v>0</v>
      </c>
      <c r="HC74" s="59">
        <f t="shared" si="857"/>
        <v>0</v>
      </c>
      <c r="HD74" s="59">
        <f t="shared" si="858"/>
        <v>0</v>
      </c>
      <c r="HE74" s="59">
        <f t="shared" si="859"/>
        <v>0</v>
      </c>
      <c r="HF74" s="58">
        <f t="shared" si="860"/>
        <v>0</v>
      </c>
      <c r="HG74" s="45">
        <f t="shared" si="861"/>
        <v>106</v>
      </c>
      <c r="HH74" s="45">
        <f t="shared" si="670"/>
        <v>2.9689999999999999</v>
      </c>
      <c r="HI74" s="45">
        <f t="shared" si="862"/>
        <v>1</v>
      </c>
      <c r="HJ74" s="45">
        <f t="shared" si="863"/>
        <v>2</v>
      </c>
      <c r="HK74" s="46" cm="1">
        <f t="array" ref="HK74">ROUND(IFERROR(INDEX(ArchiveResults!$F$5:$IX$116,ComparisonData!A74,ComparisonData!$HK$1),0),5)</f>
        <v>0</v>
      </c>
      <c r="HL74" s="46" cm="1">
        <f t="array" ref="HL74">ROUND(IFERROR(INDEX(ArchiveResults!$F$5:$IX$116,ComparisonData!A74,ComparisonData!$HL$1),0),5)</f>
        <v>0</v>
      </c>
      <c r="HM74" s="46" cm="1">
        <f t="array" ref="HM74">ROUND(IFERROR(INDEX(ArchiveResults!$F$5:$IX$116,ComparisonData!A74,ComparisonData!$HM$1),0),5)</f>
        <v>0</v>
      </c>
      <c r="HN74" s="46" cm="1">
        <f t="array" ref="HN74">ROUND(IFERROR(INDEX(ArchiveResults!$F$5:$IX$116,ComparisonData!A74,ComparisonData!$HN$1),0),5)</f>
        <v>0</v>
      </c>
      <c r="HO74" s="45" cm="1">
        <f t="array" ref="HO74">IFERROR(INDEX(ArchiveResults!$F$5:$IX$116,ComparisonData!A74,ComparisonData!$HO$1),0)</f>
        <v>0</v>
      </c>
      <c r="HP74" s="56">
        <v>69</v>
      </c>
      <c r="HQ74" s="53" t="str">
        <f t="shared" si="671"/>
        <v>Rotherham Archives &amp; Local Studies</v>
      </c>
      <c r="HR74" s="59">
        <f t="shared" si="672"/>
        <v>0</v>
      </c>
      <c r="HS74" s="59">
        <f t="shared" si="673"/>
        <v>0</v>
      </c>
      <c r="HT74" s="59">
        <f t="shared" si="674"/>
        <v>0</v>
      </c>
      <c r="HU74" s="59">
        <f t="shared" si="675"/>
        <v>0</v>
      </c>
      <c r="HV74" s="59">
        <f t="shared" si="676"/>
        <v>0</v>
      </c>
      <c r="HW74" s="58">
        <f t="shared" si="864"/>
        <v>0</v>
      </c>
      <c r="HX74" s="45">
        <f t="shared" si="865"/>
        <v>106</v>
      </c>
      <c r="HY74" s="45">
        <f t="shared" si="677"/>
        <v>2.9689999999999999</v>
      </c>
      <c r="HZ74" s="45">
        <f t="shared" si="866"/>
        <v>1</v>
      </c>
      <c r="IA74" s="45">
        <f t="shared" si="867"/>
        <v>2</v>
      </c>
      <c r="IB74" s="45">
        <f t="shared" si="868"/>
        <v>0</v>
      </c>
      <c r="IC74" s="46" cm="1">
        <f t="array" ref="IC74">ROUND(IFERROR(INDEX(ArchiveResults!$F$5:$IX$116,ComparisonData!A74,ComparisonData!$IC$1),0),5)</f>
        <v>0</v>
      </c>
      <c r="ID74" s="46" cm="1">
        <f t="array" ref="ID74">ROUND(IFERROR(INDEX(ArchiveResults!$F$5:$IX$116,ComparisonData!A74,ComparisonData!$ID$1),0),5)</f>
        <v>0</v>
      </c>
      <c r="IE74" s="46" cm="1">
        <f t="array" ref="IE74">ROUND(IFERROR(INDEX(ArchiveResults!$F$5:$IX$116,ComparisonData!A74,ComparisonData!$IE$1),0),5)</f>
        <v>0</v>
      </c>
      <c r="IF74" s="46" cm="1">
        <f t="array" ref="IF74">ROUND(IFERROR(INDEX(ArchiveResults!$F$5:$IX$116,ComparisonData!A74,ComparisonData!$IF$1),0),5)</f>
        <v>0</v>
      </c>
      <c r="IG74" s="45" cm="1">
        <f t="array" ref="IG74">IFERROR(INDEX(ArchiveResults!$F$5:$IX$116,ComparisonData!A74,ComparisonData!$IG$1),0)</f>
        <v>0</v>
      </c>
      <c r="IH74" s="56">
        <v>69</v>
      </c>
      <c r="II74" s="53" t="str">
        <f t="shared" si="678"/>
        <v>Rotherham Archives &amp; Local Studies</v>
      </c>
      <c r="IJ74" s="59">
        <f t="shared" si="869"/>
        <v>0</v>
      </c>
      <c r="IK74" s="59">
        <f t="shared" si="870"/>
        <v>0</v>
      </c>
      <c r="IL74" s="59">
        <f t="shared" si="871"/>
        <v>0</v>
      </c>
      <c r="IM74" s="59">
        <f t="shared" si="872"/>
        <v>0</v>
      </c>
      <c r="IN74" s="59">
        <f t="shared" si="873"/>
        <v>0</v>
      </c>
      <c r="IO74" s="58">
        <f t="shared" si="874"/>
        <v>0</v>
      </c>
      <c r="IP74" s="45">
        <f t="shared" si="875"/>
        <v>106</v>
      </c>
      <c r="IQ74" s="45">
        <f t="shared" si="679"/>
        <v>2.9689999999999999</v>
      </c>
      <c r="IR74" s="45">
        <f t="shared" si="876"/>
        <v>1</v>
      </c>
      <c r="IS74" s="45">
        <f t="shared" si="877"/>
        <v>2</v>
      </c>
      <c r="IT74" s="46">
        <f t="shared" si="878"/>
        <v>0</v>
      </c>
      <c r="IU74" s="46" cm="1">
        <f t="array" ref="IU74">ROUND(IFERROR(INDEX(ArchiveResults!$F$5:$IX$116,ComparisonData!A74,ComparisonData!$IU$1),0),5)</f>
        <v>0</v>
      </c>
      <c r="IV74" s="46" cm="1">
        <f t="array" ref="IV74">ROUND(IFERROR(INDEX(ArchiveResults!$F$5:$IX$116,ComparisonData!A74,ComparisonData!$IV$1),0),5)</f>
        <v>0</v>
      </c>
      <c r="IW74" s="46" cm="1">
        <f t="array" ref="IW74">ROUND(IFERROR(INDEX(ArchiveResults!$F$5:$IX$116,ComparisonData!A74,ComparisonData!$IW$1),0),5)</f>
        <v>0</v>
      </c>
      <c r="IX74" s="46" cm="1">
        <f t="array" ref="IX74">ROUND(IFERROR(INDEX(ArchiveResults!$F$5:$IX$116,ComparisonData!A74,ComparisonData!$IX$1),0),5)</f>
        <v>0</v>
      </c>
      <c r="IY74" s="45" cm="1">
        <f t="array" ref="IY74">IFERROR(INDEX(ArchiveResults!$F$5:$IX$116,ComparisonData!A74,ComparisonData!$IY$1),0)</f>
        <v>0</v>
      </c>
      <c r="IZ74" s="56">
        <v>69</v>
      </c>
      <c r="JA74" s="53" t="str">
        <f t="shared" si="680"/>
        <v>Rotherham Archives &amp; Local Studies</v>
      </c>
      <c r="JB74" s="59">
        <f t="shared" si="879"/>
        <v>0</v>
      </c>
      <c r="JC74" s="59">
        <f t="shared" si="880"/>
        <v>0</v>
      </c>
      <c r="JD74" s="59">
        <f t="shared" si="881"/>
        <v>0</v>
      </c>
      <c r="JE74" s="59">
        <f t="shared" si="882"/>
        <v>0</v>
      </c>
      <c r="JF74" s="59">
        <f t="shared" si="883"/>
        <v>0</v>
      </c>
      <c r="JG74" s="58">
        <f t="shared" si="884"/>
        <v>0</v>
      </c>
      <c r="JH74" s="45">
        <f t="shared" si="885"/>
        <v>106</v>
      </c>
      <c r="JI74" s="45">
        <f t="shared" si="681"/>
        <v>2.9689999999999999</v>
      </c>
      <c r="JJ74" s="45">
        <f t="shared" si="886"/>
        <v>1</v>
      </c>
      <c r="JK74" s="45">
        <f t="shared" si="887"/>
        <v>2</v>
      </c>
      <c r="JL74" s="45">
        <f t="shared" si="888"/>
        <v>0</v>
      </c>
      <c r="JM74" s="46" cm="1">
        <f t="array" ref="JM74">ROUND(IFERROR(INDEX(ArchiveResults!$F$5:$IX$116,ComparisonData!A74,ComparisonData!$JM$1),0),5)</f>
        <v>0</v>
      </c>
      <c r="JN74" s="46" cm="1">
        <f t="array" ref="JN74">ROUND(IFERROR(INDEX(ArchiveResults!$F$5:$IX$116,ComparisonData!A74,ComparisonData!$JN$1),0),5)</f>
        <v>0</v>
      </c>
      <c r="JO74" s="46" cm="1">
        <f t="array" ref="JO74">ROUND(IFERROR(INDEX(ArchiveResults!$F$5:$IX$116,ComparisonData!A74,ComparisonData!$JO$1),0),5)</f>
        <v>0</v>
      </c>
      <c r="JP74" s="46" cm="1">
        <f t="array" ref="JP74">ROUND(IFERROR(INDEX(ArchiveResults!$F$5:$IX$116,ComparisonData!A74,ComparisonData!$JP$1),0),5)</f>
        <v>0</v>
      </c>
      <c r="JQ74" s="45" cm="1">
        <f t="array" ref="JQ74">IFERROR(INDEX(ArchiveResults!$F$5:$IX$116,ComparisonData!A74,ComparisonData!$JQ$1),0)</f>
        <v>0</v>
      </c>
      <c r="JR74" s="56">
        <v>69</v>
      </c>
      <c r="JS74" s="53" t="str">
        <f t="shared" si="682"/>
        <v>Rotherham Archives &amp; Local Studies</v>
      </c>
      <c r="JT74" s="59">
        <f t="shared" si="889"/>
        <v>0</v>
      </c>
      <c r="JU74" s="59">
        <f t="shared" si="890"/>
        <v>0</v>
      </c>
      <c r="JV74" s="59">
        <f t="shared" si="891"/>
        <v>0</v>
      </c>
      <c r="JW74" s="59">
        <f t="shared" si="892"/>
        <v>0</v>
      </c>
      <c r="JX74" s="59">
        <f t="shared" si="893"/>
        <v>0</v>
      </c>
      <c r="JY74" s="58">
        <f t="shared" si="894"/>
        <v>0</v>
      </c>
      <c r="JZ74" s="45">
        <f t="shared" si="895"/>
        <v>106</v>
      </c>
      <c r="KA74" s="45">
        <f t="shared" si="683"/>
        <v>2.9689999999999999</v>
      </c>
      <c r="KB74" s="45">
        <f t="shared" si="896"/>
        <v>1</v>
      </c>
      <c r="KC74" s="45">
        <f t="shared" si="897"/>
        <v>2</v>
      </c>
      <c r="KD74" s="45">
        <f t="shared" si="898"/>
        <v>0</v>
      </c>
      <c r="KE74" s="46" cm="1">
        <f t="array" ref="KE74">ROUND(IFERROR(INDEX(ArchiveResults!$F$5:$IX$116,ComparisonData!A74,ComparisonData!$KE$1),0),5)</f>
        <v>0</v>
      </c>
      <c r="KF74" s="46" cm="1">
        <f t="array" ref="KF74">ROUND(IFERROR(INDEX(ArchiveResults!$F$5:$IX$116,ComparisonData!A74,ComparisonData!$KF$1),0),5)</f>
        <v>0</v>
      </c>
      <c r="KG74" s="46" cm="1">
        <f t="array" ref="KG74">ROUND(IFERROR(INDEX(ArchiveResults!$F$5:$IX$116,ComparisonData!A74,ComparisonData!$KG$1),0),5)</f>
        <v>0</v>
      </c>
      <c r="KH74" s="46" cm="1">
        <f t="array" ref="KH74">ROUND(IFERROR(INDEX(ArchiveResults!$F$5:$IX$116,ComparisonData!A74,ComparisonData!$KH$1),0),5)</f>
        <v>0</v>
      </c>
      <c r="KI74" s="45" cm="1">
        <f t="array" ref="KI74">IFERROR(INDEX(ArchiveResults!$F$5:$IX$116,ComparisonData!A74,ComparisonData!$KI$1),0)</f>
        <v>0</v>
      </c>
      <c r="KJ74" s="56">
        <v>69</v>
      </c>
      <c r="KK74" s="53" t="str">
        <f t="shared" si="684"/>
        <v>Rotherham Archives &amp; Local Studies</v>
      </c>
      <c r="KL74" s="59">
        <f t="shared" si="899"/>
        <v>0</v>
      </c>
      <c r="KM74" s="59">
        <f t="shared" si="900"/>
        <v>0</v>
      </c>
      <c r="KN74" s="59">
        <f t="shared" si="901"/>
        <v>0</v>
      </c>
      <c r="KO74" s="59">
        <f t="shared" si="902"/>
        <v>0</v>
      </c>
      <c r="KP74" s="59">
        <f t="shared" si="903"/>
        <v>0</v>
      </c>
      <c r="KQ74" s="58">
        <f t="shared" si="904"/>
        <v>0</v>
      </c>
      <c r="KR74" s="45">
        <f t="shared" si="905"/>
        <v>106</v>
      </c>
      <c r="KS74" s="45">
        <f t="shared" si="685"/>
        <v>2.9689999999999999</v>
      </c>
      <c r="KT74" s="45">
        <f t="shared" si="906"/>
        <v>1</v>
      </c>
      <c r="KU74" s="45">
        <f t="shared" si="907"/>
        <v>2</v>
      </c>
      <c r="KV74" s="45">
        <f t="shared" si="908"/>
        <v>0</v>
      </c>
      <c r="KW74" s="46" cm="1">
        <f t="array" ref="KW74">ROUND(IFERROR(INDEX(ArchiveResults!$F$5:$IX$116,ComparisonData!A74,ComparisonData!$KW$1),0),5)</f>
        <v>0</v>
      </c>
      <c r="KX74" s="46" cm="1">
        <f t="array" ref="KX74">ROUND(IFERROR(INDEX(ArchiveResults!$F$5:$IX$116,ComparisonData!A74,ComparisonData!$KX$1),0),5)</f>
        <v>0</v>
      </c>
      <c r="KY74" s="46" cm="1">
        <f t="array" ref="KY74">ROUND(IFERROR(INDEX(ArchiveResults!$F$5:$IX$116,ComparisonData!A74,ComparisonData!$KY$1),0),5)</f>
        <v>0</v>
      </c>
      <c r="KZ74" s="46" cm="1">
        <f t="array" ref="KZ74">ROUND(IFERROR(INDEX(ArchiveResults!$F$5:$IX$116,ComparisonData!A74,ComparisonData!$KZ$1),0),5)</f>
        <v>0</v>
      </c>
      <c r="LA74" s="45" cm="1">
        <f t="array" ref="LA74">IFERROR(INDEX(ArchiveResults!$F$5:$IX$116,ComparisonData!A74,ComparisonData!$LA$1),0)</f>
        <v>0</v>
      </c>
      <c r="LB74" s="56">
        <v>69</v>
      </c>
      <c r="LC74" s="53" t="str">
        <f t="shared" si="686"/>
        <v>Rotherham Archives &amp; Local Studies</v>
      </c>
      <c r="LD74" s="59">
        <f t="shared" si="909"/>
        <v>0</v>
      </c>
      <c r="LE74" s="59">
        <f t="shared" si="910"/>
        <v>0</v>
      </c>
      <c r="LF74" s="59">
        <f t="shared" si="911"/>
        <v>0</v>
      </c>
      <c r="LG74" s="59">
        <f t="shared" si="912"/>
        <v>0</v>
      </c>
      <c r="LH74" s="59">
        <f t="shared" si="913"/>
        <v>0</v>
      </c>
      <c r="LI74" s="58">
        <f t="shared" si="914"/>
        <v>0</v>
      </c>
      <c r="LJ74" s="45">
        <f t="shared" si="915"/>
        <v>106</v>
      </c>
      <c r="LK74" s="45">
        <f t="shared" si="687"/>
        <v>2.9689999999999999</v>
      </c>
      <c r="LL74" s="45">
        <f t="shared" si="916"/>
        <v>1</v>
      </c>
      <c r="LM74" s="45">
        <f t="shared" si="917"/>
        <v>2</v>
      </c>
      <c r="LN74" s="45">
        <f t="shared" si="918"/>
        <v>0</v>
      </c>
      <c r="LO74" s="46" cm="1">
        <f t="array" ref="LO74">ROUND(IFERROR(INDEX(ArchiveResults!$F$5:$IX$116,ComparisonData!A74,ComparisonData!$LO$1),0),5)</f>
        <v>0</v>
      </c>
      <c r="LP74" s="46" cm="1">
        <f t="array" ref="LP74">ROUND(IFERROR(INDEX(ArchiveResults!$F$5:$IX$116,ComparisonData!A74,ComparisonData!$LP$1),0),5)</f>
        <v>0</v>
      </c>
      <c r="LQ74" s="46" cm="1">
        <f t="array" ref="LQ74">ROUND(IFERROR(INDEX(ArchiveResults!$F$5:$IX$116,ComparisonData!A74,ComparisonData!$LQ$1),0),5)</f>
        <v>0</v>
      </c>
      <c r="LR74" s="46" cm="1">
        <f t="array" ref="LR74">ROUND(IFERROR(INDEX(ArchiveResults!$F$5:$IX$116,ComparisonData!A74,ComparisonData!$LR$1),0),5)</f>
        <v>0</v>
      </c>
      <c r="LS74" s="45" cm="1">
        <f t="array" ref="LS74">IFERROR(INDEX(ArchiveResults!$F$5:$IX$116,ComparisonData!A74,ComparisonData!$LS$1),0)</f>
        <v>0</v>
      </c>
      <c r="LT74" s="56">
        <v>69</v>
      </c>
      <c r="LU74" s="53" t="str">
        <f t="shared" si="688"/>
        <v>Rotherham Archives &amp; Local Studies</v>
      </c>
      <c r="LV74" s="59">
        <f t="shared" si="919"/>
        <v>0</v>
      </c>
      <c r="LW74" s="59">
        <f t="shared" si="920"/>
        <v>0</v>
      </c>
      <c r="LX74" s="59">
        <f t="shared" si="921"/>
        <v>0</v>
      </c>
      <c r="LY74" s="59">
        <f t="shared" si="922"/>
        <v>0</v>
      </c>
      <c r="LZ74" s="59">
        <f t="shared" si="923"/>
        <v>0</v>
      </c>
      <c r="MA74" s="58">
        <f t="shared" si="924"/>
        <v>0</v>
      </c>
      <c r="MB74" s="45">
        <f t="shared" si="925"/>
        <v>106</v>
      </c>
      <c r="MC74" s="45">
        <f t="shared" si="689"/>
        <v>2.9689999999999999</v>
      </c>
      <c r="MD74" s="45">
        <f t="shared" si="926"/>
        <v>1</v>
      </c>
      <c r="ME74" s="45">
        <f t="shared" si="927"/>
        <v>2</v>
      </c>
      <c r="MF74" s="45">
        <f t="shared" si="928"/>
        <v>0</v>
      </c>
      <c r="MG74" s="46" cm="1">
        <f t="array" ref="MG74">ROUND(IFERROR(INDEX(ArchiveResults!$F$5:$IX$116,ComparisonData!A74,ComparisonData!$MG$1),0),5)</f>
        <v>0</v>
      </c>
      <c r="MH74" s="46" cm="1">
        <f t="array" ref="MH74">ROUND(IFERROR(INDEX(ArchiveResults!$F$5:$IX$116,ComparisonData!A74,ComparisonData!$MH$1),0),5)</f>
        <v>0</v>
      </c>
      <c r="MI74" s="46" cm="1">
        <f t="array" ref="MI74">ROUND(IFERROR(INDEX(ArchiveResults!$F$5:$IX$116,ComparisonData!A74,ComparisonData!$MI$1),0),5)</f>
        <v>0</v>
      </c>
      <c r="MJ74" s="46" cm="1">
        <f t="array" ref="MJ74">ROUND(IFERROR(INDEX(ArchiveResults!$F$5:$IX$116,ComparisonData!A74,ComparisonData!$MJ$1),0),5)</f>
        <v>0</v>
      </c>
      <c r="MK74" s="45" cm="1">
        <f t="array" ref="MK74">IFERROR(INDEX(ArchiveResults!$F$5:$IX$116,ComparisonData!A74,ComparisonData!$MK$1),0)</f>
        <v>0</v>
      </c>
      <c r="ML74" s="56">
        <v>69</v>
      </c>
      <c r="MM74" s="53" t="str">
        <f t="shared" si="690"/>
        <v>Rotherham Archives &amp; Local Studies</v>
      </c>
      <c r="MN74" s="59">
        <f t="shared" si="929"/>
        <v>0</v>
      </c>
      <c r="MO74" s="59">
        <f t="shared" si="930"/>
        <v>0</v>
      </c>
      <c r="MP74" s="59">
        <f t="shared" si="931"/>
        <v>0</v>
      </c>
      <c r="MQ74" s="59">
        <f t="shared" si="932"/>
        <v>0</v>
      </c>
      <c r="MR74" s="59">
        <f t="shared" si="933"/>
        <v>0</v>
      </c>
      <c r="MS74" s="58">
        <f t="shared" si="934"/>
        <v>0</v>
      </c>
      <c r="MT74" s="45">
        <f t="shared" si="935"/>
        <v>106</v>
      </c>
      <c r="MU74" s="45">
        <f t="shared" si="691"/>
        <v>2.9689999999999999</v>
      </c>
      <c r="MV74" s="45">
        <f t="shared" si="936"/>
        <v>1</v>
      </c>
      <c r="MW74" s="45">
        <f t="shared" si="937"/>
        <v>2</v>
      </c>
      <c r="MX74" s="45">
        <f t="shared" si="938"/>
        <v>0</v>
      </c>
      <c r="MY74" s="46" cm="1">
        <f t="array" ref="MY74">ROUND(IFERROR(INDEX(ArchiveResults!$F$5:$IX$116,ComparisonData!A74,ComparisonData!$MY$1),0),5)</f>
        <v>0</v>
      </c>
      <c r="MZ74" s="46" cm="1">
        <f t="array" ref="MZ74">ROUND(IFERROR(INDEX(ArchiveResults!$F$5:$IX$116,ComparisonData!A74,ComparisonData!$MZ$1),0),5)</f>
        <v>0</v>
      </c>
      <c r="NA74" s="46" cm="1">
        <f t="array" ref="NA74">ROUND(IFERROR(INDEX(ArchiveResults!$F$5:$IX$116,ComparisonData!A74,ComparisonData!$NA$1),0),5)</f>
        <v>0</v>
      </c>
      <c r="NB74" s="46" cm="1">
        <f t="array" ref="NB74">ROUND(IFERROR(INDEX(ArchiveResults!$F$5:$IX$116,ComparisonData!A74,ComparisonData!$NB$1),0),5)</f>
        <v>0</v>
      </c>
      <c r="NC74" s="45" cm="1">
        <f t="array" ref="NC74">IFERROR(INDEX(ArchiveResults!$F$5:$IX$116,ComparisonData!A74,ComparisonData!$NC$1),0)</f>
        <v>0</v>
      </c>
      <c r="ND74" s="56">
        <v>69</v>
      </c>
      <c r="NE74" s="53" t="str">
        <f t="shared" si="692"/>
        <v>Rotherham Archives &amp; Local Studies</v>
      </c>
      <c r="NF74" s="59">
        <f t="shared" si="939"/>
        <v>0</v>
      </c>
      <c r="NG74" s="59">
        <f t="shared" si="940"/>
        <v>0</v>
      </c>
      <c r="NH74" s="59">
        <f t="shared" si="941"/>
        <v>0</v>
      </c>
      <c r="NI74" s="59">
        <f t="shared" si="942"/>
        <v>0</v>
      </c>
      <c r="NJ74" s="59">
        <f t="shared" si="943"/>
        <v>0</v>
      </c>
      <c r="NK74" s="58">
        <f t="shared" si="944"/>
        <v>0</v>
      </c>
      <c r="NL74" s="45">
        <f t="shared" si="945"/>
        <v>106</v>
      </c>
      <c r="NM74" s="45">
        <f t="shared" si="693"/>
        <v>2.9689999999999999</v>
      </c>
      <c r="NN74" s="45">
        <f t="shared" si="946"/>
        <v>1</v>
      </c>
      <c r="NO74" s="45">
        <f t="shared" si="947"/>
        <v>2</v>
      </c>
      <c r="NP74" s="46" cm="1">
        <f t="array" ref="NP74">ROUND(IFERROR(INDEX(ArchiveResults!$F$5:$IX$116,ComparisonData!A74,ComparisonData!$NP$1),0),5)</f>
        <v>0</v>
      </c>
      <c r="NQ74" s="46" cm="1">
        <f t="array" ref="NQ74">ROUND(IFERROR(INDEX(ArchiveResults!$F$5:$IX$116,ComparisonData!A74,ComparisonData!$NQ$1),0),5)</f>
        <v>0</v>
      </c>
      <c r="NR74" s="46" cm="1">
        <f t="array" ref="NR74">ROUND(IFERROR(INDEX(ArchiveResults!$F$5:$IX$116,ComparisonData!A74,ComparisonData!$NR$1),0),5)</f>
        <v>0</v>
      </c>
      <c r="NS74" s="46" cm="1">
        <f t="array" ref="NS74">ROUND(IFERROR(INDEX(ArchiveResults!$F$5:$IX$116,ComparisonData!A74,ComparisonData!$NS$1),0),5)</f>
        <v>0</v>
      </c>
      <c r="NT74" s="45" cm="1">
        <f t="array" ref="NT74">IFERROR(INDEX(ArchiveResults!$F$5:$IX$116,ComparisonData!A74,ComparisonData!$NT$1),0)</f>
        <v>0</v>
      </c>
      <c r="NU74" s="56">
        <v>69</v>
      </c>
      <c r="NV74" s="53" t="str">
        <f t="shared" si="694"/>
        <v>Rotherham Archives &amp; Local Studies</v>
      </c>
      <c r="NW74" s="59">
        <f t="shared" si="948"/>
        <v>0</v>
      </c>
      <c r="NX74" s="59">
        <f t="shared" si="949"/>
        <v>0</v>
      </c>
      <c r="NY74" s="59">
        <f t="shared" si="950"/>
        <v>0</v>
      </c>
      <c r="NZ74" s="59">
        <f t="shared" si="951"/>
        <v>0</v>
      </c>
      <c r="OA74" s="59">
        <f t="shared" si="952"/>
        <v>0</v>
      </c>
      <c r="OB74" s="58">
        <f t="shared" si="953"/>
        <v>0</v>
      </c>
      <c r="OC74" s="45">
        <f t="shared" si="954"/>
        <v>106</v>
      </c>
      <c r="OD74" s="45">
        <f t="shared" si="695"/>
        <v>2.9689999999999999</v>
      </c>
      <c r="OE74" s="45">
        <f t="shared" si="955"/>
        <v>1</v>
      </c>
      <c r="OF74" s="45">
        <f t="shared" si="956"/>
        <v>2</v>
      </c>
      <c r="OG74" s="46">
        <f t="shared" si="957"/>
        <v>0</v>
      </c>
      <c r="OH74" s="46" cm="1">
        <f t="array" ref="OH74">ROUND(IFERROR(INDEX(ArchiveResults!$F$5:$IX$116,ComparisonData!A74,ComparisonData!$OH$1),0),5)</f>
        <v>0</v>
      </c>
      <c r="OI74" s="46" cm="1">
        <f t="array" ref="OI74">ROUND(IFERROR(INDEX(ArchiveResults!$F$5:$IX$116,ComparisonData!A74,ComparisonData!$OI$1),0),5)</f>
        <v>0</v>
      </c>
      <c r="OJ74" s="46" cm="1">
        <f t="array" ref="OJ74">ROUND(IFERROR(INDEX(ArchiveResults!$F$5:$IX$116,ComparisonData!A74,ComparisonData!$OJ$1),0),5)</f>
        <v>0</v>
      </c>
      <c r="OK74" s="46" cm="1">
        <f t="array" ref="OK74">ROUND(IFERROR(INDEX(ArchiveResults!$F$5:$IX$116,ComparisonData!A74,ComparisonData!$OK$1),0),5)</f>
        <v>0</v>
      </c>
      <c r="OL74" s="45" cm="1">
        <f t="array" ref="OL74">IFERROR(INDEX(ArchiveResults!$F$5:$IX$116,ComparisonData!A74,ComparisonData!$OL$1),0)</f>
        <v>0</v>
      </c>
      <c r="OM74" s="56">
        <v>69</v>
      </c>
      <c r="ON74" s="53" t="str">
        <f t="shared" si="696"/>
        <v>Rotherham Archives &amp; Local Studies</v>
      </c>
      <c r="OO74" s="59">
        <f t="shared" si="958"/>
        <v>0</v>
      </c>
      <c r="OP74" s="59">
        <f t="shared" si="959"/>
        <v>0</v>
      </c>
      <c r="OQ74" s="59">
        <f t="shared" si="960"/>
        <v>0</v>
      </c>
      <c r="OR74" s="59">
        <f t="shared" si="961"/>
        <v>0</v>
      </c>
      <c r="OS74" s="59">
        <f t="shared" si="962"/>
        <v>0</v>
      </c>
      <c r="OT74" s="58">
        <f t="shared" si="963"/>
        <v>0</v>
      </c>
      <c r="OU74" s="45">
        <f t="shared" si="964"/>
        <v>106</v>
      </c>
      <c r="OV74" s="45">
        <f t="shared" si="697"/>
        <v>2.9689999999999999</v>
      </c>
      <c r="OW74" s="45">
        <f t="shared" si="965"/>
        <v>1</v>
      </c>
      <c r="OX74" s="45">
        <f t="shared" si="966"/>
        <v>2</v>
      </c>
      <c r="OY74" s="45">
        <f t="shared" si="967"/>
        <v>0</v>
      </c>
      <c r="OZ74" s="46" cm="1">
        <f t="array" ref="OZ74">ROUND(IFERROR(INDEX(ArchiveResults!$F$5:$IX$116,ComparisonData!A74,ComparisonData!$OZ$1),0),5)</f>
        <v>0</v>
      </c>
      <c r="PA74" s="46" cm="1">
        <f t="array" ref="PA74">ROUND(IFERROR(INDEX(ArchiveResults!$F$5:$IX$116,ComparisonData!A74,ComparisonData!$PA$1),0),5)</f>
        <v>0</v>
      </c>
      <c r="PB74" s="46" cm="1">
        <f t="array" ref="PB74">ROUND(IFERROR(INDEX(ArchiveResults!$F$5:$IX$116,ComparisonData!A74,ComparisonData!$PB$1),0),5)</f>
        <v>0</v>
      </c>
      <c r="PC74" s="46" cm="1">
        <f t="array" ref="PC74">ROUND(IFERROR(INDEX(ArchiveResults!$F$5:$IX$116,ComparisonData!A74,ComparisonData!$PC$1),0),5)</f>
        <v>0</v>
      </c>
      <c r="PD74" s="45" cm="1">
        <f t="array" ref="PD74">IFERROR(INDEX(ArchiveResults!$F$5:$IX$116,ComparisonData!A74,ComparisonData!$PD$1),0)</f>
        <v>0</v>
      </c>
      <c r="PE74" s="56">
        <v>69</v>
      </c>
      <c r="PF74" s="53" t="str">
        <f t="shared" si="698"/>
        <v>Rotherham Archives &amp; Local Studies</v>
      </c>
      <c r="PG74" s="59">
        <f t="shared" si="968"/>
        <v>0</v>
      </c>
      <c r="PH74" s="59">
        <f t="shared" si="969"/>
        <v>0</v>
      </c>
      <c r="PI74" s="59">
        <f t="shared" si="970"/>
        <v>0</v>
      </c>
      <c r="PJ74" s="59">
        <f t="shared" si="971"/>
        <v>0</v>
      </c>
      <c r="PK74" s="59">
        <f t="shared" si="972"/>
        <v>0</v>
      </c>
      <c r="PL74" s="58">
        <f t="shared" si="973"/>
        <v>0</v>
      </c>
      <c r="PM74" s="45">
        <f t="shared" si="974"/>
        <v>106</v>
      </c>
      <c r="PN74" s="45">
        <f t="shared" si="699"/>
        <v>2.9689999999999999</v>
      </c>
      <c r="PO74" s="45">
        <f t="shared" si="975"/>
        <v>1</v>
      </c>
      <c r="PP74" s="45">
        <f t="shared" si="976"/>
        <v>2</v>
      </c>
      <c r="PQ74" s="45">
        <f t="shared" si="977"/>
        <v>0</v>
      </c>
      <c r="PR74" s="46" cm="1">
        <f t="array" ref="PR74">ROUND(IFERROR(INDEX(ArchiveResults!$F$5:$IX$116,ComparisonData!A74,ComparisonData!$PR$1),0),5)</f>
        <v>0</v>
      </c>
      <c r="PS74" s="46" cm="1">
        <f t="array" ref="PS74">ROUND(IFERROR(INDEX(ArchiveResults!$F$5:$IX$116,ComparisonData!A74,ComparisonData!$PS$1),0),5)</f>
        <v>0</v>
      </c>
      <c r="PT74" s="46" cm="1">
        <f t="array" ref="PT74">ROUND(IFERROR(INDEX(ArchiveResults!$F$5:$IX$116,ComparisonData!A74,ComparisonData!$PT$1),0),5)</f>
        <v>0</v>
      </c>
      <c r="PU74" s="46" cm="1">
        <f t="array" ref="PU74">ROUND(IFERROR(INDEX(ArchiveResults!$F$5:$IX$116,ComparisonData!A74,ComparisonData!$PU$1),0),5)</f>
        <v>0</v>
      </c>
      <c r="PV74" s="45" cm="1">
        <f t="array" ref="PV74">IFERROR(INDEX(ArchiveResults!$F$5:$IX$116,ComparisonData!A74,ComparisonData!$PV$1),0)</f>
        <v>0</v>
      </c>
      <c r="PW74" s="56">
        <v>69</v>
      </c>
      <c r="PX74" s="53" t="str">
        <f t="shared" si="700"/>
        <v>Rotherham Archives &amp; Local Studies</v>
      </c>
      <c r="PY74" s="59">
        <f t="shared" si="978"/>
        <v>0</v>
      </c>
      <c r="PZ74" s="59">
        <f t="shared" si="979"/>
        <v>0</v>
      </c>
      <c r="QA74" s="59">
        <f t="shared" si="980"/>
        <v>0</v>
      </c>
      <c r="QB74" s="59">
        <f t="shared" si="981"/>
        <v>0</v>
      </c>
      <c r="QC74" s="59">
        <f t="shared" si="982"/>
        <v>0</v>
      </c>
      <c r="QD74" s="58">
        <f t="shared" si="983"/>
        <v>0</v>
      </c>
      <c r="QE74" s="45">
        <f t="shared" si="984"/>
        <v>106</v>
      </c>
      <c r="QF74" s="45">
        <f t="shared" si="701"/>
        <v>2.9689999999999999</v>
      </c>
      <c r="QG74" s="45">
        <f t="shared" si="985"/>
        <v>1</v>
      </c>
      <c r="QH74" s="45">
        <f t="shared" si="986"/>
        <v>2</v>
      </c>
      <c r="QI74" s="45">
        <f t="shared" si="987"/>
        <v>0</v>
      </c>
      <c r="QJ74" s="46" cm="1">
        <f t="array" ref="QJ74">ROUND(IFERROR(INDEX(ArchiveResults!$F$5:$IX$116,ComparisonData!A74,ComparisonData!$QJ$1),0),5)</f>
        <v>0</v>
      </c>
      <c r="QK74" s="46" cm="1">
        <f t="array" ref="QK74">ROUND(IFERROR(INDEX(ArchiveResults!$F$5:$IX$116,ComparisonData!A74,ComparisonData!$QK$1),0),5)</f>
        <v>0</v>
      </c>
      <c r="QL74" s="46" cm="1">
        <f t="array" ref="QL74">ROUND(IFERROR(INDEX(ArchiveResults!$F$5:$IX$116,ComparisonData!A74,ComparisonData!$QL$1),0),5)</f>
        <v>0</v>
      </c>
      <c r="QM74" s="46" cm="1">
        <f t="array" ref="QM74">ROUND(IFERROR(INDEX(ArchiveResults!$F$5:$IX$116,ComparisonData!A74,ComparisonData!$QM$1),0),5)</f>
        <v>0</v>
      </c>
      <c r="QN74" s="45" cm="1">
        <f t="array" ref="QN74">IFERROR(INDEX(ArchiveResults!$F$5:$IX$116,ComparisonData!A74,ComparisonData!$QN$1),0)</f>
        <v>0</v>
      </c>
      <c r="QO74" s="56">
        <v>69</v>
      </c>
      <c r="QP74" s="53" t="str">
        <f t="shared" si="702"/>
        <v>Rotherham Archives &amp; Local Studies</v>
      </c>
      <c r="QQ74" s="59">
        <f t="shared" si="988"/>
        <v>0</v>
      </c>
      <c r="QR74" s="59">
        <f t="shared" si="989"/>
        <v>0</v>
      </c>
      <c r="QS74" s="59">
        <f t="shared" si="990"/>
        <v>0</v>
      </c>
      <c r="QT74" s="59">
        <f t="shared" si="991"/>
        <v>0</v>
      </c>
      <c r="QU74" s="59">
        <f t="shared" si="992"/>
        <v>0</v>
      </c>
      <c r="QV74" s="58">
        <f t="shared" si="993"/>
        <v>0</v>
      </c>
      <c r="QW74" s="45">
        <f t="shared" si="994"/>
        <v>106</v>
      </c>
      <c r="QX74" s="45">
        <f t="shared" si="703"/>
        <v>2.9689999999999999</v>
      </c>
      <c r="QY74" s="45">
        <f t="shared" si="995"/>
        <v>1</v>
      </c>
      <c r="QZ74" s="45">
        <f t="shared" si="996"/>
        <v>2</v>
      </c>
      <c r="RA74" s="45">
        <f t="shared" si="997"/>
        <v>0</v>
      </c>
      <c r="RB74" s="46" cm="1">
        <f t="array" ref="RB74">ROUND(IFERROR(INDEX(ArchiveResults!$F$5:$IX$116,ComparisonData!A74,ComparisonData!$RB$1),0),5)</f>
        <v>0</v>
      </c>
      <c r="RC74" s="46" cm="1">
        <f t="array" ref="RC74">ROUND(IFERROR(INDEX(ArchiveResults!$F$5:$IX$116,ComparisonData!A74,ComparisonData!$RC$1),0),5)</f>
        <v>0</v>
      </c>
      <c r="RD74" s="46" cm="1">
        <f t="array" ref="RD74">ROUND(IFERROR(INDEX(ArchiveResults!$F$5:$IX$116,ComparisonData!A74,ComparisonData!$RD$1),0),5)</f>
        <v>0</v>
      </c>
      <c r="RE74" s="46" cm="1">
        <f t="array" ref="RE74">ROUND(IFERROR(INDEX(ArchiveResults!$F$5:$IX$116,ComparisonData!A74,ComparisonData!$RE$1),0),5)</f>
        <v>0</v>
      </c>
      <c r="RF74" s="45" cm="1">
        <f t="array" ref="RF74">IFERROR(INDEX(ArchiveResults!$F$5:$IX$116,ComparisonData!A74,ComparisonData!$RF$1),0)</f>
        <v>0</v>
      </c>
      <c r="RG74" s="56">
        <v>69</v>
      </c>
      <c r="RH74" s="53" t="str">
        <f t="shared" si="704"/>
        <v>Rotherham Archives &amp; Local Studies</v>
      </c>
      <c r="RI74" s="59">
        <f t="shared" si="998"/>
        <v>0</v>
      </c>
      <c r="RJ74" s="59">
        <f t="shared" si="999"/>
        <v>0</v>
      </c>
      <c r="RK74" s="59">
        <f t="shared" si="1000"/>
        <v>0</v>
      </c>
      <c r="RL74" s="59">
        <f t="shared" si="1001"/>
        <v>0</v>
      </c>
      <c r="RM74" s="59">
        <f t="shared" si="1002"/>
        <v>0</v>
      </c>
      <c r="RN74" s="58">
        <f t="shared" si="1003"/>
        <v>0</v>
      </c>
      <c r="RO74" s="45">
        <f t="shared" si="1004"/>
        <v>106</v>
      </c>
      <c r="RP74" s="45">
        <f t="shared" si="705"/>
        <v>2.9689999999999999</v>
      </c>
      <c r="RQ74" s="45">
        <f t="shared" si="1005"/>
        <v>1</v>
      </c>
      <c r="RR74" s="45">
        <f t="shared" si="1006"/>
        <v>2</v>
      </c>
      <c r="RS74" s="45">
        <f t="shared" si="1007"/>
        <v>0</v>
      </c>
      <c r="RT74" s="46" cm="1">
        <f t="array" ref="RT74">ROUND(IFERROR(INDEX(ArchiveResults!$F$5:$IX$116,ComparisonData!A74,ComparisonData!$RT$1),0),5)</f>
        <v>0</v>
      </c>
      <c r="RU74" s="46" cm="1">
        <f t="array" ref="RU74">ROUND(IFERROR(INDEX(ArchiveResults!$F$5:$IX$116,ComparisonData!A74,ComparisonData!$RU$1),0),5)</f>
        <v>0</v>
      </c>
      <c r="RV74" s="46" cm="1">
        <f t="array" ref="RV74">ROUND(IFERROR(INDEX(ArchiveResults!$F$5:$IX$116,ComparisonData!A74,ComparisonData!$RV$1),0),5)</f>
        <v>0</v>
      </c>
      <c r="RW74" s="46" cm="1">
        <f t="array" ref="RW74">ROUND(IFERROR(INDEX(ArchiveResults!$F$5:$IX$116,ComparisonData!A74,ComparisonData!$RW$1),0),5)</f>
        <v>0</v>
      </c>
      <c r="RX74" s="45" cm="1">
        <f t="array" ref="RX74">IFERROR(INDEX(ArchiveResults!$F$5:$IX$116,ComparisonData!A74,ComparisonData!$RX$1),0)</f>
        <v>0</v>
      </c>
      <c r="RY74" s="56">
        <v>69</v>
      </c>
      <c r="RZ74" s="53" t="str">
        <f t="shared" si="706"/>
        <v>Rotherham Archives &amp; Local Studies</v>
      </c>
      <c r="SA74" s="59">
        <f t="shared" si="1008"/>
        <v>0</v>
      </c>
      <c r="SB74" s="59">
        <f t="shared" si="1009"/>
        <v>0</v>
      </c>
      <c r="SC74" s="59">
        <f t="shared" si="1010"/>
        <v>0</v>
      </c>
      <c r="SD74" s="59">
        <f t="shared" si="1011"/>
        <v>0</v>
      </c>
      <c r="SE74" s="59">
        <f t="shared" si="1012"/>
        <v>0</v>
      </c>
      <c r="SF74" s="58">
        <f t="shared" si="1013"/>
        <v>0</v>
      </c>
      <c r="SG74" s="45">
        <f t="shared" si="1014"/>
        <v>106</v>
      </c>
      <c r="SH74" s="45">
        <f t="shared" si="707"/>
        <v>2.9689999999999999</v>
      </c>
      <c r="SI74" s="45">
        <f t="shared" si="1015"/>
        <v>1</v>
      </c>
      <c r="SJ74" s="45">
        <f t="shared" si="1016"/>
        <v>2</v>
      </c>
      <c r="SK74" s="45">
        <f t="shared" si="1017"/>
        <v>0</v>
      </c>
      <c r="SL74" s="46" cm="1">
        <f t="array" ref="SL74">ROUND(IFERROR(INDEX(ArchiveResults!$F$5:$IX$116,ComparisonData!A74,ComparisonData!$SL$1),0),5)</f>
        <v>0</v>
      </c>
      <c r="SM74" s="46" cm="1">
        <f t="array" ref="SM74">ROUND(IFERROR(INDEX(ArchiveResults!$F$5:$IX$116,ComparisonData!A74,ComparisonData!$SM$1),0),5)</f>
        <v>0</v>
      </c>
      <c r="SN74" s="46" cm="1">
        <f t="array" ref="SN74">ROUND(IFERROR(INDEX(ArchiveResults!$F$5:$IX$116,ComparisonData!A74,ComparisonData!$SN$1),0),5)</f>
        <v>0</v>
      </c>
      <c r="SO74" s="46" cm="1">
        <f t="array" ref="SO74">ROUND(IFERROR(INDEX(ArchiveResults!$F$5:$IX$116,ComparisonData!A74,ComparisonData!$SO$1),0),5)</f>
        <v>0</v>
      </c>
      <c r="SP74" s="45" cm="1">
        <f t="array" ref="SP74">IFERROR(INDEX(ArchiveResults!$F$5:$IX$116,ComparisonData!A74,ComparisonData!$SP$1),0)</f>
        <v>0</v>
      </c>
      <c r="SQ74" s="56">
        <v>69</v>
      </c>
      <c r="SR74" s="53" t="str">
        <f t="shared" si="708"/>
        <v>Rotherham Archives &amp; Local Studies</v>
      </c>
      <c r="SS74" s="59">
        <f t="shared" si="1018"/>
        <v>0</v>
      </c>
      <c r="ST74" s="59">
        <f t="shared" si="1019"/>
        <v>0</v>
      </c>
      <c r="SU74" s="59">
        <f t="shared" si="1020"/>
        <v>0</v>
      </c>
      <c r="SV74" s="59">
        <f t="shared" si="1021"/>
        <v>0</v>
      </c>
      <c r="SW74" s="59">
        <f t="shared" si="1022"/>
        <v>0</v>
      </c>
      <c r="SX74" s="58">
        <f t="shared" si="1023"/>
        <v>0</v>
      </c>
      <c r="SY74" s="45">
        <f t="shared" si="1024"/>
        <v>106</v>
      </c>
      <c r="SZ74" s="45">
        <f t="shared" si="709"/>
        <v>2.9689999999999999</v>
      </c>
      <c r="TA74" s="45">
        <f t="shared" si="1025"/>
        <v>1</v>
      </c>
      <c r="TB74" s="45">
        <f t="shared" si="1026"/>
        <v>2</v>
      </c>
      <c r="TC74" s="45">
        <f t="shared" si="1027"/>
        <v>0</v>
      </c>
      <c r="TD74" s="46" cm="1">
        <f t="array" ref="TD74">ROUND(IFERROR(INDEX(ArchiveResults!$F$5:$IX$116,ComparisonData!A74,ComparisonData!$TD$1),0),5)</f>
        <v>0</v>
      </c>
      <c r="TE74" s="46" cm="1">
        <f t="array" ref="TE74">ROUND(IFERROR(INDEX(ArchiveResults!$F$5:$IX$116,ComparisonData!A74,ComparisonData!$TE$1),0),5)</f>
        <v>0</v>
      </c>
      <c r="TF74" s="46" cm="1">
        <f t="array" ref="TF74">ROUND(IFERROR(INDEX(ArchiveResults!$F$5:$IX$116,ComparisonData!A74,ComparisonData!$TF$1),0),5)</f>
        <v>0</v>
      </c>
      <c r="TG74" s="46" cm="1">
        <f t="array" ref="TG74">ROUND(IFERROR(INDEX(ArchiveResults!$F$5:$IX$116,ComparisonData!A74,ComparisonData!$TG$1),0),5)</f>
        <v>0</v>
      </c>
      <c r="TH74" s="45" cm="1">
        <f t="array" ref="TH74">IFERROR(INDEX(ArchiveResults!$F$5:$IX$116,ComparisonData!A74,ComparisonData!$TH$1),0)</f>
        <v>0</v>
      </c>
      <c r="TI74" s="56">
        <v>69</v>
      </c>
      <c r="TJ74" s="53" t="str">
        <f t="shared" si="710"/>
        <v>Rotherham Archives &amp; Local Studies</v>
      </c>
      <c r="TK74" s="59">
        <f t="shared" si="1028"/>
        <v>0</v>
      </c>
      <c r="TL74" s="59">
        <f t="shared" si="1029"/>
        <v>0</v>
      </c>
      <c r="TM74" s="59">
        <f t="shared" si="1030"/>
        <v>0</v>
      </c>
      <c r="TN74" s="59">
        <f t="shared" si="1031"/>
        <v>0</v>
      </c>
      <c r="TO74" s="59">
        <f t="shared" si="1032"/>
        <v>0</v>
      </c>
      <c r="TP74" s="58">
        <f t="shared" si="1033"/>
        <v>0</v>
      </c>
      <c r="TQ74" s="45">
        <f t="shared" si="1034"/>
        <v>106</v>
      </c>
      <c r="TR74" s="45">
        <f t="shared" si="711"/>
        <v>2.9689999999999999</v>
      </c>
      <c r="TS74" s="45">
        <f t="shared" si="1035"/>
        <v>1</v>
      </c>
      <c r="TT74" s="45">
        <f t="shared" si="1036"/>
        <v>2</v>
      </c>
      <c r="TU74" s="45">
        <f t="shared" si="1037"/>
        <v>0</v>
      </c>
      <c r="TV74" s="46" cm="1">
        <f t="array" ref="TV74">ROUND(IFERROR(INDEX(ArchiveResults!$F$5:$IX$116,ComparisonData!A74,ComparisonData!$TV$1),0),5)</f>
        <v>0</v>
      </c>
      <c r="TW74" s="46" cm="1">
        <f t="array" ref="TW74">ROUND(IFERROR(INDEX(ArchiveResults!$F$5:$IX$116,ComparisonData!A74,ComparisonData!$TW$1),0),5)</f>
        <v>0</v>
      </c>
      <c r="TX74" s="46" cm="1">
        <f t="array" ref="TX74">ROUND(IFERROR(INDEX(ArchiveResults!$F$5:$IX$116,ComparisonData!A74,ComparisonData!$TX$1),0),5)</f>
        <v>0</v>
      </c>
      <c r="TY74" s="46" cm="1">
        <f t="array" ref="TY74">ROUND(IFERROR(INDEX(ArchiveResults!$F$5:$IX$116,ComparisonData!A74,ComparisonData!$TY$1),0),5)</f>
        <v>0</v>
      </c>
      <c r="TZ74" s="45" cm="1">
        <f t="array" ref="TZ74">IFERROR(INDEX(ArchiveResults!$F$5:$IX$116,ComparisonData!A74,ComparisonData!$TZ$1),0)</f>
        <v>0</v>
      </c>
      <c r="UA74" s="56">
        <v>69</v>
      </c>
      <c r="UB74" s="53" t="str">
        <f t="shared" si="712"/>
        <v>Rotherham Archives &amp; Local Studies</v>
      </c>
      <c r="UC74" s="60">
        <f t="shared" si="1038"/>
        <v>0</v>
      </c>
      <c r="UD74" s="60">
        <f t="shared" si="1039"/>
        <v>0</v>
      </c>
      <c r="UE74" s="60">
        <f t="shared" si="1040"/>
        <v>0</v>
      </c>
      <c r="UF74" s="60">
        <f t="shared" si="1041"/>
        <v>0</v>
      </c>
      <c r="UG74" s="60">
        <f t="shared" si="1042"/>
        <v>0</v>
      </c>
      <c r="UH74" s="58">
        <f t="shared" si="1043"/>
        <v>0</v>
      </c>
      <c r="UI74" s="46">
        <f t="shared" si="1044"/>
        <v>106</v>
      </c>
      <c r="UJ74" s="46">
        <f t="shared" si="713"/>
        <v>2.9689999999999999</v>
      </c>
      <c r="UK74" s="46">
        <f t="shared" si="1045"/>
        <v>1</v>
      </c>
      <c r="UL74" s="46">
        <f t="shared" si="1046"/>
        <v>2</v>
      </c>
      <c r="UM74" s="46" cm="1">
        <f t="array" ref="UM74">ROUND(IFERROR(INDEX(ArchiveResults!$F$5:$IX$116,ComparisonData!A74,ComparisonData!$UM$1),0),5)</f>
        <v>0</v>
      </c>
      <c r="UN74" s="56">
        <v>69</v>
      </c>
      <c r="UO74" s="53" t="str">
        <f t="shared" si="714"/>
        <v>Rotherham Archives &amp; Local Studies</v>
      </c>
      <c r="UP74" s="46">
        <f t="shared" si="1047"/>
        <v>0</v>
      </c>
      <c r="UQ74" s="76">
        <f t="shared" si="1048"/>
        <v>0</v>
      </c>
      <c r="UR74" s="46">
        <f t="shared" si="1049"/>
        <v>106</v>
      </c>
      <c r="US74" s="46">
        <f t="shared" si="715"/>
        <v>2.9689999999999999</v>
      </c>
      <c r="UT74" s="46">
        <f t="shared" si="1050"/>
        <v>1</v>
      </c>
      <c r="UU74" s="46">
        <f t="shared" si="1051"/>
        <v>2</v>
      </c>
      <c r="UV74" s="46">
        <f t="shared" si="1052"/>
        <v>0</v>
      </c>
      <c r="UW74" s="46" cm="1">
        <f t="array" ref="UW74">ROUND(IFERROR(INDEX(ArchiveResults!$F$5:$IX$116,ComparisonData!A74,ComparisonData!$UW$1),0),5)</f>
        <v>0</v>
      </c>
      <c r="UX74" s="46" cm="1">
        <f t="array" ref="UX74">ROUND(IFERROR(INDEX(ArchiveResults!$F$5:$IX$116,ComparisonData!A74,ComparisonData!$UX$1),0),5)</f>
        <v>0</v>
      </c>
      <c r="UY74" s="46" cm="1">
        <f t="array" ref="UY74">ROUND(IFERROR(INDEX(ArchiveResults!$F$5:$IX$116,ComparisonData!A74,ComparisonData!$UY$1),0),5)</f>
        <v>0</v>
      </c>
      <c r="UZ74" s="46" cm="1">
        <f t="array" ref="UZ74">ROUND(IFERROR(INDEX(ArchiveResults!$F$5:$IX$116,ComparisonData!A74,ComparisonData!$UZ$1),0),5)</f>
        <v>0</v>
      </c>
      <c r="VA74" s="46" cm="1">
        <f t="array" ref="VA74">ROUND(IFERROR(INDEX(ArchiveResults!$F$5:$IX$116,ComparisonData!A74,ComparisonData!$VA$1),0),5)</f>
        <v>0</v>
      </c>
      <c r="VB74" s="56">
        <v>69</v>
      </c>
      <c r="VC74" s="53" t="str">
        <f t="shared" si="716"/>
        <v>Rotherham Archives &amp; Local Studies</v>
      </c>
      <c r="VD74" s="60">
        <f t="shared" si="1053"/>
        <v>0</v>
      </c>
      <c r="VE74" s="60">
        <f t="shared" si="1054"/>
        <v>0</v>
      </c>
      <c r="VF74" s="60">
        <f t="shared" si="1055"/>
        <v>0</v>
      </c>
      <c r="VG74" s="60">
        <f t="shared" si="1056"/>
        <v>0</v>
      </c>
      <c r="VH74" s="60">
        <f t="shared" si="1057"/>
        <v>0</v>
      </c>
      <c r="VI74" s="76">
        <f t="shared" si="1058"/>
        <v>0</v>
      </c>
      <c r="VJ74" s="46">
        <f t="shared" si="1059"/>
        <v>106</v>
      </c>
      <c r="VK74" s="46">
        <f t="shared" si="717"/>
        <v>2.9689999999999999</v>
      </c>
      <c r="VL74" s="46">
        <f t="shared" si="1060"/>
        <v>1</v>
      </c>
      <c r="VM74" s="46">
        <f t="shared" si="1061"/>
        <v>2</v>
      </c>
      <c r="VN74" s="46" cm="1">
        <f t="array" ref="VN74">ROUND(IFERROR(INDEX(ArchiveResults!$F$5:$IX$116,ComparisonData!A74,ComparisonData!$VN$1),0),5)</f>
        <v>0</v>
      </c>
      <c r="VO74" s="46" cm="1">
        <f t="array" ref="VO74">ROUND(IFERROR(INDEX(ArchiveResults!$F$5:$IX$116,ComparisonData!A74,ComparisonData!$VO$1),0),5)</f>
        <v>0</v>
      </c>
      <c r="VP74" s="46" cm="1">
        <f t="array" ref="VP74">ROUND(IFERROR(INDEX(ArchiveResults!$F$5:$IX$116,ComparisonData!A74,ComparisonData!$VP$1),0),5)</f>
        <v>0</v>
      </c>
      <c r="VQ74" s="46" cm="1">
        <f t="array" ref="VQ74">ROUND(IFERROR(INDEX(ArchiveResults!$F$5:$IX$116,ComparisonData!A74,ComparisonData!$VQ$1),0),5)</f>
        <v>0</v>
      </c>
      <c r="VR74" s="56">
        <v>69</v>
      </c>
      <c r="VS74" s="53" t="str">
        <f t="shared" si="718"/>
        <v>Rotherham Archives &amp; Local Studies</v>
      </c>
      <c r="VT74" s="60">
        <f t="shared" si="1062"/>
        <v>0</v>
      </c>
      <c r="VU74" s="60">
        <f t="shared" si="1063"/>
        <v>0</v>
      </c>
      <c r="VV74" s="60">
        <f t="shared" si="1064"/>
        <v>0</v>
      </c>
      <c r="VW74" s="60">
        <f t="shared" si="1065"/>
        <v>0</v>
      </c>
      <c r="VX74" s="76">
        <f t="shared" si="1066"/>
        <v>0</v>
      </c>
      <c r="VY74" s="46">
        <f t="shared" si="1067"/>
        <v>106</v>
      </c>
      <c r="VZ74" s="46">
        <f t="shared" si="719"/>
        <v>2.9689999999999999</v>
      </c>
      <c r="WA74" s="46">
        <f t="shared" si="1068"/>
        <v>1</v>
      </c>
      <c r="WB74" s="46">
        <f t="shared" si="1069"/>
        <v>2</v>
      </c>
      <c r="WC74" s="46" cm="1">
        <f t="array" ref="WC74">ROUND(IFERROR(INDEX(ArchiveResults!$F$5:$IX$116,ComparisonData!A74,ComparisonData!$WC$1),0),5)</f>
        <v>0</v>
      </c>
      <c r="WD74" s="56">
        <v>69</v>
      </c>
      <c r="WE74" s="53" t="str">
        <f t="shared" si="720"/>
        <v>Rotherham Archives &amp; Local Studies</v>
      </c>
      <c r="WF74" s="46">
        <f t="shared" si="1070"/>
        <v>0</v>
      </c>
      <c r="WG74" s="76">
        <f t="shared" si="1071"/>
        <v>0</v>
      </c>
      <c r="WH74" s="46">
        <f t="shared" si="1072"/>
        <v>106</v>
      </c>
      <c r="WI74" s="46">
        <f t="shared" si="721"/>
        <v>2.9689999999999999</v>
      </c>
      <c r="WJ74" s="46">
        <f t="shared" si="1073"/>
        <v>1</v>
      </c>
      <c r="WK74" s="46">
        <f t="shared" si="1074"/>
        <v>2</v>
      </c>
      <c r="WL74" s="46" cm="1">
        <f t="array" ref="WL74">ROUND(IFERROR(INDEX(ArchiveResults!$F$5:$IX$116,ComparisonData!A74,ComparisonData!$WL$1),0),5)</f>
        <v>0</v>
      </c>
      <c r="WM74" s="46" cm="1">
        <f t="array" ref="WM74">IFERROR(INDEX(ArchiveResults!$F$5:$IX$116,ComparisonData!A74,ComparisonData!$WM$1),0)</f>
        <v>0</v>
      </c>
      <c r="WN74" s="56">
        <v>69</v>
      </c>
      <c r="WO74" s="53" t="str">
        <f t="shared" si="722"/>
        <v>Rotherham Archives &amp; Local Studies</v>
      </c>
      <c r="WP74" s="60">
        <f t="shared" si="1075"/>
        <v>0</v>
      </c>
      <c r="WQ74" s="60">
        <f t="shared" si="1076"/>
        <v>0</v>
      </c>
      <c r="WR74" s="76">
        <f t="shared" si="1077"/>
        <v>0</v>
      </c>
      <c r="WS74" s="46">
        <f t="shared" si="1078"/>
        <v>106</v>
      </c>
      <c r="WT74" s="46">
        <f t="shared" si="723"/>
        <v>2.9689999999999999</v>
      </c>
      <c r="WU74" s="46">
        <f t="shared" si="1079"/>
        <v>1</v>
      </c>
      <c r="WV74" s="46">
        <f t="shared" si="1080"/>
        <v>2</v>
      </c>
      <c r="WW74" s="46" cm="1">
        <f t="array" ref="WW74">ROUND(VALUE(IFERROR(INDEX(ArchiveResults!$F$5:$IX$116,ComparisonData!A74,ComparisonData!$WW$1),0)),5)</f>
        <v>0</v>
      </c>
      <c r="WX74" s="46" cm="1">
        <f t="array" ref="WX74">ROUND(IFERROR(INDEX(ArchiveResults!$F$5:$IX$116,ComparisonData!A74,ComparisonData!$WX$1),0),5)</f>
        <v>0</v>
      </c>
      <c r="WY74" s="56">
        <v>69</v>
      </c>
      <c r="WZ74" s="53" t="str">
        <f t="shared" si="724"/>
        <v>Rotherham Archives &amp; Local Studies</v>
      </c>
      <c r="XA74" s="60">
        <f t="shared" si="725"/>
        <v>0</v>
      </c>
      <c r="XB74" s="60">
        <f t="shared" si="726"/>
        <v>0</v>
      </c>
      <c r="XC74" s="76">
        <f t="shared" si="1081"/>
        <v>0</v>
      </c>
      <c r="XD74" s="46">
        <f t="shared" si="1082"/>
        <v>106</v>
      </c>
      <c r="XE74" s="46">
        <f t="shared" si="727"/>
        <v>2.9689999999999999</v>
      </c>
      <c r="XF74" s="46">
        <f t="shared" si="1083"/>
        <v>1</v>
      </c>
      <c r="XG74" s="46">
        <f t="shared" si="1084"/>
        <v>2</v>
      </c>
      <c r="XH74" s="46" cm="1">
        <f t="array" ref="XH74">ROUND(VALUE(IFERROR(INDEX(ArchiveResults!$F$5:$IX$116,ComparisonData!A74,ComparisonData!$XH$1),0)),5)</f>
        <v>0</v>
      </c>
      <c r="XI74" s="46" cm="1">
        <f t="array" ref="XI74">ROUND(VALUE(IFERROR(INDEX(ArchiveResults!$F$5:$IX$116,ComparisonData!A74,ComparisonData!$XI$1),0)),5)</f>
        <v>0</v>
      </c>
      <c r="XJ74" s="56">
        <v>69</v>
      </c>
      <c r="XK74" s="53" t="str">
        <f t="shared" si="728"/>
        <v>Rotherham Archives &amp; Local Studies</v>
      </c>
      <c r="XL74" s="60">
        <f t="shared" si="1085"/>
        <v>0</v>
      </c>
      <c r="XM74" s="60">
        <f t="shared" si="1086"/>
        <v>0</v>
      </c>
      <c r="XN74" s="76">
        <f t="shared" si="1087"/>
        <v>0</v>
      </c>
      <c r="XO74" s="46">
        <f t="shared" si="1088"/>
        <v>106</v>
      </c>
      <c r="XP74" s="46">
        <f t="shared" si="729"/>
        <v>2.9689999999999999</v>
      </c>
      <c r="XQ74" s="46">
        <f t="shared" si="1089"/>
        <v>1</v>
      </c>
      <c r="XR74" s="46">
        <f t="shared" si="1090"/>
        <v>2</v>
      </c>
      <c r="XS74" s="46" cm="1">
        <f t="array" ref="XS74">ROUND(VALUE(IFERROR(INDEX(ArchiveResults!$F$5:$IX$116,ComparisonData!A74,ComparisonData!$XS$1),0)),5)</f>
        <v>0</v>
      </c>
      <c r="XT74" s="46" cm="1">
        <f t="array" ref="XT74">ROUND(VALUE(IFERROR(INDEX(ArchiveResults!$F$5:$IX$116,ComparisonData!A74,ComparisonData!$XT$1),0)),5)</f>
        <v>0</v>
      </c>
      <c r="XU74" s="56">
        <v>69</v>
      </c>
      <c r="XV74" s="53" t="str">
        <f t="shared" si="730"/>
        <v>Rotherham Archives &amp; Local Studies</v>
      </c>
      <c r="XW74" s="60">
        <f t="shared" si="1091"/>
        <v>0</v>
      </c>
      <c r="XX74" s="60">
        <f t="shared" si="1092"/>
        <v>0</v>
      </c>
      <c r="XY74" s="76">
        <f t="shared" si="1093"/>
        <v>0</v>
      </c>
      <c r="XZ74" s="46">
        <f t="shared" si="1094"/>
        <v>106</v>
      </c>
      <c r="YA74" s="46">
        <f t="shared" si="731"/>
        <v>2.9689999999999999</v>
      </c>
      <c r="YB74" s="46">
        <f t="shared" si="1095"/>
        <v>1</v>
      </c>
      <c r="YC74" s="46">
        <f t="shared" si="1096"/>
        <v>2</v>
      </c>
      <c r="YD74" s="46" cm="1">
        <f t="array" ref="YD74">ROUND(VALUE(IFERROR(INDEX(ArchiveResults!$F$5:$IX$116,ComparisonData!A74,ComparisonData!$YD$1),0)),5)</f>
        <v>0</v>
      </c>
      <c r="YE74" s="46" cm="1">
        <f t="array" ref="YE74">ROUND(VALUE(IFERROR(INDEX(ArchiveResults!$F$5:$IX$116,ComparisonData!A74,ComparisonData!$YE$1),0)),5)</f>
        <v>0</v>
      </c>
      <c r="YF74" s="56">
        <v>69</v>
      </c>
      <c r="YG74" s="53" t="str">
        <f t="shared" si="732"/>
        <v>Rotherham Archives &amp; Local Studies</v>
      </c>
      <c r="YH74" s="60">
        <f t="shared" si="1097"/>
        <v>0</v>
      </c>
      <c r="YI74" s="60">
        <f t="shared" si="1098"/>
        <v>0</v>
      </c>
      <c r="YJ74" s="76">
        <f t="shared" si="1099"/>
        <v>0</v>
      </c>
      <c r="YK74" s="46">
        <f t="shared" si="1100"/>
        <v>106</v>
      </c>
      <c r="YL74" s="46">
        <f t="shared" si="733"/>
        <v>2.9689999999999999</v>
      </c>
      <c r="YM74" s="46">
        <f t="shared" si="1101"/>
        <v>1</v>
      </c>
      <c r="YN74" s="46">
        <f t="shared" si="1102"/>
        <v>2</v>
      </c>
      <c r="YO74" s="46" cm="1">
        <f t="array" ref="YO74">ROUND(VALUE(IFERROR(INDEX(ArchiveResults!$F$5:$IX$116,ComparisonData!A74,ComparisonData!$YO$1),0)),5)</f>
        <v>0</v>
      </c>
      <c r="YP74" s="46" cm="1">
        <f t="array" ref="YP74">ROUND(VALUE(IFERROR(INDEX(ArchiveResults!$F$5:$IX$116,ComparisonData!A74,ComparisonData!$YP$1),0)),5)</f>
        <v>0</v>
      </c>
      <c r="YQ74" s="56">
        <v>69</v>
      </c>
      <c r="YR74" s="53" t="str">
        <f t="shared" si="734"/>
        <v>Rotherham Archives &amp; Local Studies</v>
      </c>
      <c r="YS74" s="60">
        <f t="shared" si="1103"/>
        <v>0</v>
      </c>
      <c r="YT74" s="60">
        <f t="shared" si="1104"/>
        <v>0</v>
      </c>
      <c r="YU74" s="76">
        <f t="shared" si="1105"/>
        <v>0</v>
      </c>
      <c r="YV74" s="46">
        <f t="shared" si="1106"/>
        <v>106</v>
      </c>
      <c r="YW74" s="46">
        <f t="shared" si="735"/>
        <v>2.9689999999999999</v>
      </c>
      <c r="YX74" s="46">
        <f t="shared" si="1107"/>
        <v>1</v>
      </c>
      <c r="YY74" s="46">
        <f t="shared" si="1108"/>
        <v>2</v>
      </c>
      <c r="YZ74" s="46">
        <f t="shared" si="1109"/>
        <v>0</v>
      </c>
      <c r="ZA74" s="46" cm="1">
        <f t="array" ref="ZA74">ROUNDDOWN(VALUE(IFERROR(INDEX(ArchiveResults!$F$5:$IX$116,ComparisonData!A74,ComparisonData!$ZA$1),0)),5)</f>
        <v>0</v>
      </c>
      <c r="ZB74" s="46" cm="1">
        <f t="array" ref="ZB74">ROUNDDOWN(VALUE(IFERROR(INDEX(ArchiveResults!$F$5:$IX$116,ComparisonData!A74,ComparisonData!$ZB$1),0)),5)</f>
        <v>0</v>
      </c>
      <c r="ZC74" s="46" cm="1">
        <f t="array" ref="ZC74">ROUNDDOWN(VALUE(IFERROR(INDEX(ArchiveResults!$F$5:$IX$116,ComparisonData!A74,ComparisonData!$ZC$1),0)),5)</f>
        <v>0</v>
      </c>
      <c r="ZD74" s="46" cm="1">
        <f t="array" ref="ZD74">ROUNDDOWN(VALUE(IFERROR(INDEX(ArchiveResults!$F$5:$IX$116,ComparisonData!A74,ComparisonData!$ZD$1),0)),5)</f>
        <v>0</v>
      </c>
      <c r="ZE74" s="46" cm="1">
        <f t="array" ref="ZE74">ROUNDDOWN(VALUE(IFERROR(INDEX(ArchiveResults!$F$5:$IX$116,ComparisonData!A74,ComparisonData!$ZE$1),0)),5)</f>
        <v>0</v>
      </c>
      <c r="ZF74" s="56">
        <v>69</v>
      </c>
      <c r="ZG74" s="53" t="str">
        <f t="shared" si="736"/>
        <v>Rotherham Archives &amp; Local Studies</v>
      </c>
      <c r="ZH74" s="60">
        <f t="shared" si="1110"/>
        <v>0</v>
      </c>
      <c r="ZI74" s="60">
        <f t="shared" si="1111"/>
        <v>0</v>
      </c>
      <c r="ZJ74" s="60">
        <f t="shared" si="1112"/>
        <v>0</v>
      </c>
      <c r="ZK74" s="60">
        <f t="shared" si="1113"/>
        <v>0</v>
      </c>
      <c r="ZL74" s="60">
        <f t="shared" si="1114"/>
        <v>0</v>
      </c>
      <c r="ZM74" s="76">
        <f t="shared" si="1115"/>
        <v>0</v>
      </c>
      <c r="ZN74" s="46">
        <f t="shared" si="1116"/>
        <v>106</v>
      </c>
      <c r="ZO74" s="46">
        <f t="shared" si="737"/>
        <v>2.9689999999999999</v>
      </c>
      <c r="ZP74" s="46">
        <f t="shared" si="1117"/>
        <v>1</v>
      </c>
      <c r="ZQ74" s="46">
        <f t="shared" si="1118"/>
        <v>2</v>
      </c>
      <c r="ZR74" s="46" cm="1">
        <f t="array" ref="ZR74">ROUND(VALUE(IFERROR(INDEX(ArchiveResults!$F$5:$IX$116,ComparisonData!A74,ComparisonData!$ZR$1),0)),5)</f>
        <v>0</v>
      </c>
      <c r="ZS74" s="56">
        <v>69</v>
      </c>
      <c r="ZT74" s="53" t="str">
        <f t="shared" si="738"/>
        <v>Rotherham Archives &amp; Local Studies</v>
      </c>
      <c r="ZU74" s="46">
        <f t="shared" si="1119"/>
        <v>0</v>
      </c>
      <c r="ZV74" s="76">
        <f t="shared" si="1120"/>
        <v>0</v>
      </c>
      <c r="ZW74" s="81" cm="1">
        <f t="array" ref="ZW74">ROUND((IFERROR(INDEX(ArchiveResults!$F$5:$IX$116,ComparisonData!A74,ComparisonData!$ZW$1),0)),5)</f>
        <v>0</v>
      </c>
      <c r="ZX74" s="81" cm="1">
        <f t="array" ref="ZX74">ROUND((IFERROR(INDEX(ArchiveResults!$F$5:$IX$116,ComparisonData!A74,ComparisonData!$ZX$1),0)),5)</f>
        <v>0</v>
      </c>
      <c r="ZY74" s="81" cm="1">
        <f t="array" ref="ZY74">ROUND((IFERROR(INDEX(ArchiveResults!$F$5:$IX$116,ComparisonData!A74,ComparisonData!$ZY$1),0)),5)</f>
        <v>0</v>
      </c>
      <c r="ZZ74" s="81" cm="1">
        <f t="array" ref="ZZ74">ROUND((IFERROR(INDEX(ArchiveResults!$F$5:$IX$116,ComparisonData!A74,ComparisonData!$ZZ$1),0)),5)</f>
        <v>0</v>
      </c>
      <c r="AAA74" s="81" cm="1">
        <f t="array" ref="AAA74">ROUND((IFERROR(INDEX(ArchiveResults!$F$5:$IX$116,ComparisonData!A74,ComparisonData!$AAA$1),0)),5)</f>
        <v>0</v>
      </c>
      <c r="AAB74" s="81" cm="1">
        <f t="array" ref="AAB74">ROUND((IFERROR(INDEX(ArchiveResults!$F$5:$IX$116,ComparisonData!A74,ComparisonData!$AAB$1),0)),5)</f>
        <v>0</v>
      </c>
      <c r="AAC74" s="81" cm="1">
        <f t="array" ref="AAC74">ROUND((IFERROR(INDEX(ArchiveResults!$F$5:$IX$116,ComparisonData!A74,ComparisonData!$AAC$1),0)),5)</f>
        <v>0</v>
      </c>
      <c r="AAD74" s="81" cm="1">
        <f t="array" ref="AAD74">ROUND((IFERROR(INDEX(ArchiveResults!$F$5:$IX$116,ComparisonData!A74,ComparisonData!$AAD$1),0)),5)</f>
        <v>0</v>
      </c>
      <c r="AAE74" s="81" cm="1">
        <f t="array" ref="AAE74">ROUND((IFERROR(INDEX(ArchiveResults!$F$5:$IX$116,ComparisonData!A74,ComparisonData!$AAE$1),0)),5)</f>
        <v>0</v>
      </c>
      <c r="AAF74" s="81" cm="1">
        <f t="array" ref="AAF74">ROUND((IFERROR(INDEX(ArchiveResults!$F$5:$IX$116,ComparisonData!A74,ComparisonData!$AAF$1),0)),5)</f>
        <v>0</v>
      </c>
      <c r="AAG74" s="46">
        <f t="shared" si="1121"/>
        <v>106</v>
      </c>
      <c r="AAH74" s="46">
        <f t="shared" si="739"/>
        <v>2.9689999999999999</v>
      </c>
      <c r="AAI74" s="46">
        <f t="shared" si="1122"/>
        <v>1</v>
      </c>
      <c r="AAJ74" s="46">
        <f t="shared" si="1123"/>
        <v>2</v>
      </c>
      <c r="AAK74" s="46">
        <f t="shared" si="1124"/>
        <v>0</v>
      </c>
      <c r="AAL74" s="46">
        <f t="shared" si="1125"/>
        <v>0</v>
      </c>
      <c r="AAM74" s="46">
        <f t="shared" si="1126"/>
        <v>0</v>
      </c>
      <c r="AAN74" s="46">
        <f t="shared" si="1127"/>
        <v>0</v>
      </c>
      <c r="AAO74" s="46">
        <f t="shared" si="1128"/>
        <v>0</v>
      </c>
      <c r="AAP74" s="46">
        <f t="shared" si="1129"/>
        <v>0</v>
      </c>
      <c r="AAQ74" s="56">
        <v>69</v>
      </c>
      <c r="AAR74" s="53" t="str">
        <f t="shared" si="740"/>
        <v>Rotherham Archives &amp; Local Studies</v>
      </c>
      <c r="AAS74" s="60">
        <f t="shared" si="1130"/>
        <v>0</v>
      </c>
      <c r="AAT74" s="60">
        <f t="shared" si="1131"/>
        <v>0</v>
      </c>
      <c r="AAU74" s="60">
        <f t="shared" si="1132"/>
        <v>0</v>
      </c>
      <c r="AAV74" s="60">
        <f t="shared" si="1133"/>
        <v>0</v>
      </c>
      <c r="AAW74" s="60">
        <f t="shared" si="1134"/>
        <v>0</v>
      </c>
      <c r="AAX74" s="76">
        <f t="shared" si="1135"/>
        <v>0</v>
      </c>
      <c r="AAY74" s="46">
        <f t="shared" si="1136"/>
        <v>106</v>
      </c>
      <c r="AAZ74" s="46">
        <f t="shared" si="741"/>
        <v>2.9689999999999999</v>
      </c>
      <c r="ABA74" s="46">
        <f t="shared" si="1137"/>
        <v>1</v>
      </c>
      <c r="ABB74" s="46">
        <f t="shared" si="1138"/>
        <v>2</v>
      </c>
      <c r="ABC74" s="46">
        <f t="shared" si="742"/>
        <v>0</v>
      </c>
      <c r="ABD74" s="46" cm="1">
        <f t="array" ref="ABD74">ROUND(VALUE(IFERROR(INDEX(ArchiveResults!$F$5:$IX$116,ComparisonData!A74,ComparisonData!$ABD$1),0)),5)</f>
        <v>0</v>
      </c>
      <c r="ABE74" s="46" cm="1">
        <f t="array" ref="ABE74">ROUND(VALUE(IFERROR(INDEX(ArchiveResults!$F$5:$IX$116,ComparisonData!A74,ComparisonData!$ABE$1),0)),5)</f>
        <v>0</v>
      </c>
      <c r="ABF74" s="46" cm="1">
        <f t="array" ref="ABF74">ROUND(VALUE(IFERROR(INDEX(ArchiveResults!$F$5:$IX$116,ComparisonData!A74,ComparisonData!$ABF$1),0)),5)</f>
        <v>0</v>
      </c>
      <c r="ABG74" s="46" cm="1">
        <f t="array" ref="ABG74">ROUND(VALUE(IFERROR(INDEX(ArchiveResults!$F$5:$IX$116,ComparisonData!A74,ComparisonData!$ABG$1),0)),5)</f>
        <v>0</v>
      </c>
      <c r="ABH74" s="46" cm="1">
        <f t="array" ref="ABH74">ROUND(VALUE(IFERROR(INDEX(ArchiveResults!$F$5:$IX$116,ComparisonData!A74,ComparisonData!$ABH$1),0)),5)</f>
        <v>0</v>
      </c>
      <c r="ABI74" s="56">
        <v>69</v>
      </c>
      <c r="ABJ74" s="53" t="str">
        <f t="shared" si="743"/>
        <v>Rotherham Archives &amp; Local Studies</v>
      </c>
      <c r="ABK74" s="60">
        <f t="shared" si="1139"/>
        <v>0</v>
      </c>
      <c r="ABL74" s="60">
        <f t="shared" si="1140"/>
        <v>0</v>
      </c>
      <c r="ABM74" s="60">
        <f t="shared" si="1141"/>
        <v>0</v>
      </c>
      <c r="ABN74" s="60">
        <f t="shared" si="1142"/>
        <v>0</v>
      </c>
      <c r="ABO74" s="60">
        <f t="shared" si="1143"/>
        <v>0</v>
      </c>
      <c r="ABP74" s="76">
        <f t="shared" si="1144"/>
        <v>0</v>
      </c>
      <c r="ABQ74" s="46">
        <f t="shared" si="1145"/>
        <v>106</v>
      </c>
      <c r="ABR74" s="46">
        <f t="shared" si="744"/>
        <v>2.9689999999999999</v>
      </c>
      <c r="ABS74" s="46">
        <f t="shared" si="1146"/>
        <v>1</v>
      </c>
      <c r="ABT74" s="46">
        <f t="shared" si="1147"/>
        <v>2</v>
      </c>
      <c r="ABU74" s="46" cm="1">
        <f t="array" ref="ABU74">ROUND(VALUE(IFERROR(INDEX(ArchiveResults!$F$5:$IX$116,ComparisonData!A74,ComparisonData!$ABU$1),0)),5)</f>
        <v>0</v>
      </c>
      <c r="ABV74" s="46" cm="1">
        <f t="array" ref="ABV74">ROUND(VALUE(IFERROR(INDEX(ArchiveResults!$F$5:$IX$116,ComparisonData!A74,ComparisonData!$ABV$1),0)),5)</f>
        <v>0</v>
      </c>
      <c r="ABW74" s="46" cm="1">
        <f t="array" ref="ABW74">ROUND(VALUE(IFERROR(INDEX(ArchiveResults!$F$5:$IX$116,ComparisonData!A74,ComparisonData!$ABW$1),0)),5)</f>
        <v>0</v>
      </c>
      <c r="ABX74" s="46" cm="1">
        <f t="array" ref="ABX74">ROUND(VALUE(IFERROR(INDEX(ArchiveResults!$F$5:$IX$116,ComparisonData!A74,ComparisonData!$ABX$1),0)),5)</f>
        <v>0</v>
      </c>
      <c r="ABY74" s="46" cm="1">
        <f t="array" ref="ABY74">ROUND(VALUE(IFERROR(INDEX(ArchiveResults!$F$5:$IX$116,ComparisonData!A74,ComparisonData!$ABY$1),0)),5)</f>
        <v>0</v>
      </c>
      <c r="ABZ74" s="56">
        <v>69</v>
      </c>
      <c r="ACA74" s="53" t="str">
        <f t="shared" si="745"/>
        <v>Rotherham Archives &amp; Local Studies</v>
      </c>
      <c r="ACB74" s="60">
        <f t="shared" si="1148"/>
        <v>0</v>
      </c>
      <c r="ACC74" s="60">
        <f t="shared" si="1149"/>
        <v>0</v>
      </c>
      <c r="ACD74" s="60">
        <f t="shared" si="1150"/>
        <v>0</v>
      </c>
      <c r="ACE74" s="60">
        <f t="shared" si="1151"/>
        <v>0</v>
      </c>
      <c r="ACF74" s="60">
        <f t="shared" si="1152"/>
        <v>0</v>
      </c>
      <c r="ACG74" s="76">
        <f t="shared" si="1153"/>
        <v>0</v>
      </c>
      <c r="ACH74" s="46">
        <f t="shared" si="1154"/>
        <v>106</v>
      </c>
      <c r="ACI74" s="46">
        <f t="shared" si="746"/>
        <v>2.9689999999999999</v>
      </c>
      <c r="ACJ74" s="46">
        <f t="shared" si="1155"/>
        <v>1</v>
      </c>
      <c r="ACK74" s="46">
        <f t="shared" si="1156"/>
        <v>2</v>
      </c>
      <c r="ACL74" s="46">
        <f t="shared" si="1157"/>
        <v>0</v>
      </c>
      <c r="ACM74" s="46" cm="1">
        <f t="array" ref="ACM74">ROUND(IFERROR(INDEX(ArchiveResults!$F$5:$IX$116,ComparisonData!A74,ComparisonData!$ACM$1),0),5)</f>
        <v>0</v>
      </c>
      <c r="ACN74" s="46" cm="1">
        <f t="array" ref="ACN74">ROUND(IFERROR(INDEX(ArchiveResults!$F$5:$IX$116,ComparisonData!A74,ComparisonData!$ACN$1),0),5)</f>
        <v>0</v>
      </c>
      <c r="ACO74" s="56">
        <v>69</v>
      </c>
      <c r="ACP74" s="53" t="str">
        <f t="shared" si="747"/>
        <v>Rotherham Archives &amp; Local Studies</v>
      </c>
      <c r="ACQ74" s="60">
        <f t="shared" si="1158"/>
        <v>0</v>
      </c>
      <c r="ACR74" s="60">
        <f t="shared" si="1159"/>
        <v>0</v>
      </c>
      <c r="ACS74" s="76">
        <f t="shared" si="1160"/>
        <v>0</v>
      </c>
      <c r="ACT74" s="46">
        <f t="shared" si="1161"/>
        <v>106</v>
      </c>
      <c r="ACU74" s="46">
        <f t="shared" si="748"/>
        <v>2.9689999999999999</v>
      </c>
      <c r="ACV74" s="46">
        <f t="shared" si="1162"/>
        <v>1</v>
      </c>
      <c r="ACW74" s="46">
        <f t="shared" si="1163"/>
        <v>2</v>
      </c>
      <c r="ACX74" s="46">
        <f t="shared" si="1164"/>
        <v>0</v>
      </c>
      <c r="ACY74" s="46" cm="1">
        <f t="array" ref="ACY74">ROUNDDOWN(IFERROR(INDEX(ArchiveResults!$F$5:$IX$116,ComparisonData!A74,ComparisonData!$ACY$1),0),5)</f>
        <v>0</v>
      </c>
      <c r="ACZ74" s="46" cm="1">
        <f t="array" ref="ACZ74">ROUNDDOWN(IFERROR(INDEX(ArchiveResults!$F$5:$IX$116,ComparisonData!A74,ComparisonData!$ACZ$1),0),5)</f>
        <v>0</v>
      </c>
      <c r="ADA74" s="46" cm="1">
        <f t="array" ref="ADA74">ROUNDDOWN(IFERROR(INDEX(ArchiveResults!$F$5:$IX$116,ComparisonData!A74,ComparisonData!$ADA$1),0),5)</f>
        <v>0</v>
      </c>
      <c r="ADB74" s="56">
        <v>69</v>
      </c>
      <c r="ADC74" s="53" t="str">
        <f t="shared" si="749"/>
        <v>Rotherham Archives &amp; Local Studies</v>
      </c>
      <c r="ADD74" s="60">
        <f t="shared" si="1165"/>
        <v>0</v>
      </c>
      <c r="ADE74" s="60">
        <f t="shared" si="1166"/>
        <v>0</v>
      </c>
      <c r="ADF74" s="60">
        <f t="shared" si="1167"/>
        <v>0</v>
      </c>
      <c r="ADG74" s="76">
        <f t="shared" si="1168"/>
        <v>0</v>
      </c>
    </row>
    <row r="75" spans="1:787" x14ac:dyDescent="0.25">
      <c r="A75" s="46" t="str">
        <f>IF(ISBLANK(ComparisonSelection!F71),"",ROW()-5)</f>
        <v/>
      </c>
      <c r="B75" s="53" t="s">
        <v>523</v>
      </c>
      <c r="C75" s="72">
        <v>0.94399999999999995</v>
      </c>
      <c r="D75" s="55">
        <f t="shared" si="750"/>
        <v>101</v>
      </c>
      <c r="E75" s="54">
        <f t="shared" si="751"/>
        <v>2.944</v>
      </c>
      <c r="F75" s="54">
        <f t="shared" si="752"/>
        <v>1</v>
      </c>
      <c r="G75" s="72">
        <f t="shared" si="753"/>
        <v>2</v>
      </c>
      <c r="H75" s="72">
        <f t="shared" si="754"/>
        <v>0</v>
      </c>
      <c r="I75" s="46" cm="1">
        <f t="array" ref="I75">ROUND(IFERROR(INDEX(ArchiveResults!$F$5:$IX$116,ComparisonData!A75,ComparisonData!$I$1),0),5)</f>
        <v>0</v>
      </c>
      <c r="J75" s="46" cm="1">
        <f t="array" ref="J75">ROUND(IFERROR(INDEX(ArchiveResults!$F$5:$IX$116,ComparisonData!A75,ComparisonData!$J$1),0),5)</f>
        <v>0</v>
      </c>
      <c r="K75" s="56">
        <v>70</v>
      </c>
      <c r="L75" s="53" t="str">
        <f t="shared" si="755"/>
        <v>Royal Archives</v>
      </c>
      <c r="M75" s="57">
        <f t="shared" si="640"/>
        <v>0</v>
      </c>
      <c r="N75" s="57">
        <f t="shared" si="641"/>
        <v>0</v>
      </c>
      <c r="O75" s="58">
        <f t="shared" si="756"/>
        <v>0</v>
      </c>
      <c r="P75" s="48">
        <f t="shared" si="757"/>
        <v>101</v>
      </c>
      <c r="Q75" s="54">
        <f t="shared" si="642"/>
        <v>2.944</v>
      </c>
      <c r="R75" s="45">
        <f t="shared" si="758"/>
        <v>1</v>
      </c>
      <c r="S75" s="46">
        <f t="shared" si="759"/>
        <v>2</v>
      </c>
      <c r="T75" s="72">
        <f t="shared" si="760"/>
        <v>0</v>
      </c>
      <c r="U75" s="46" cm="1">
        <f t="array" ref="U75">ROUND(IFERROR(INDEX(ArchiveResults!$F$5:$IX$116,ComparisonData!A75,ComparisonData!$U$1),0),5)</f>
        <v>0</v>
      </c>
      <c r="V75" s="46" cm="1">
        <f t="array" ref="V75">ROUND(IFERROR(INDEX(ArchiveResults!$F$5:$IX$116,ComparisonData!A75,ComparisonData!$V$1),0),5)</f>
        <v>0</v>
      </c>
      <c r="W75" s="56">
        <v>70</v>
      </c>
      <c r="X75" s="53" t="str">
        <f t="shared" si="643"/>
        <v>Royal Archives</v>
      </c>
      <c r="Y75" s="57">
        <f t="shared" si="761"/>
        <v>0</v>
      </c>
      <c r="Z75" s="57">
        <f t="shared" si="762"/>
        <v>0</v>
      </c>
      <c r="AA75" s="58">
        <f t="shared" si="763"/>
        <v>0</v>
      </c>
      <c r="AB75" s="45">
        <f t="shared" si="764"/>
        <v>101</v>
      </c>
      <c r="AC75" s="54">
        <f t="shared" si="644"/>
        <v>2.944</v>
      </c>
      <c r="AD75" s="45">
        <f t="shared" si="765"/>
        <v>1</v>
      </c>
      <c r="AE75" s="45">
        <f t="shared" si="766"/>
        <v>2</v>
      </c>
      <c r="AF75" s="45">
        <f t="shared" si="639"/>
        <v>0</v>
      </c>
      <c r="AG75" s="46" cm="1">
        <f t="array" ref="AG75">ROUND(IFERROR(INDEX(ArchiveResults!$F$5:$IX$116,ComparisonData!A75,ComparisonData!$AG$1),0),5)</f>
        <v>0</v>
      </c>
      <c r="AH75" s="46" cm="1">
        <f t="array" ref="AH75">ROUND(IFERROR(INDEX(ArchiveResults!$F$5:$IX$116,ComparisonData!A75,ComparisonData!$AH$1),0),5)</f>
        <v>0</v>
      </c>
      <c r="AI75" s="56">
        <v>70</v>
      </c>
      <c r="AJ75" s="53" t="str">
        <f t="shared" si="645"/>
        <v>Royal Archives</v>
      </c>
      <c r="AK75" s="59">
        <f t="shared" si="646"/>
        <v>0</v>
      </c>
      <c r="AL75" s="59">
        <f t="shared" si="647"/>
        <v>0</v>
      </c>
      <c r="AM75" s="58">
        <f t="shared" si="767"/>
        <v>0</v>
      </c>
      <c r="AN75" s="45">
        <f t="shared" si="768"/>
        <v>101</v>
      </c>
      <c r="AO75" s="54">
        <f t="shared" si="648"/>
        <v>2.944</v>
      </c>
      <c r="AP75" s="45">
        <f t="shared" si="769"/>
        <v>1</v>
      </c>
      <c r="AQ75" s="45">
        <f t="shared" si="770"/>
        <v>2</v>
      </c>
      <c r="AR75" s="46" cm="1">
        <f t="array" ref="AR75">ROUND(IFERROR(INDEX(ArchiveResults!$F$5:$IX$116,ComparisonData!A75,ComparisonData!$AR$1),0),5)</f>
        <v>0</v>
      </c>
      <c r="AS75" s="46" cm="1">
        <f t="array" ref="AS75">ROUND(IFERROR(INDEX(ArchiveResults!$F$5:$IX$116,ComparisonData!A75,ComparisonData!$AS$1),0),5)</f>
        <v>0</v>
      </c>
      <c r="AT75" s="46" cm="1">
        <f t="array" ref="AT75">ROUND(IFERROR(INDEX(ArchiveResults!$F$5:$IX$116,ComparisonData!A75,ComparisonData!$AT$1),0),5)</f>
        <v>0</v>
      </c>
      <c r="AU75" s="46" cm="1">
        <f t="array" ref="AU75">ROUND(IFERROR(INDEX(ArchiveResults!$F$5:$IX$116,ComparisonData!A75,ComparisonData!$AU$1),0),5)</f>
        <v>0</v>
      </c>
      <c r="AV75" s="46" cm="1">
        <f t="array" ref="AV75">ROUND(IFERROR(INDEX(ArchiveResults!$F$5:$IX$116,ComparisonData!A75,ComparisonData!$AV$1),0),5)</f>
        <v>0</v>
      </c>
      <c r="AW75" s="46" cm="1">
        <f t="array" ref="AW75">ROUND(IFERROR(INDEX(ArchiveResults!$F$5:$IX$116,ComparisonData!A75,ComparisonData!$AW$1),0),5)</f>
        <v>0</v>
      </c>
      <c r="AX75" s="46" cm="1">
        <f t="array" ref="AX75">ROUND(IFERROR(INDEX(ArchiveResults!$F$5:$IX$116,ComparisonData!A75,ComparisonData!$AX$1),0),5)</f>
        <v>0</v>
      </c>
      <c r="AY75" s="46" cm="1">
        <f t="array" ref="AY75">ROUND(IFERROR(INDEX(ArchiveResults!$F$5:$IX$116,ComparisonData!A75,ComparisonData!$AY$1),0),5)</f>
        <v>0</v>
      </c>
      <c r="AZ75" s="46" cm="1">
        <f t="array" ref="AZ75">ROUND(IFERROR(INDEX(ArchiveResults!$F$5:$IX$116,ComparisonData!A75,ComparisonData!$AZ$1),0),5)</f>
        <v>0</v>
      </c>
      <c r="BA75" s="46" cm="1">
        <f t="array" ref="BA75">ROUND(IFERROR(INDEX(ArchiveResults!$F$5:$IX$116,ComparisonData!A75,ComparisonData!$BA$1),0),5)</f>
        <v>0</v>
      </c>
      <c r="BB75" s="56">
        <v>70</v>
      </c>
      <c r="BC75" s="53" t="str">
        <f t="shared" si="649"/>
        <v>Royal Archives</v>
      </c>
      <c r="BD75" s="60">
        <f t="shared" si="771"/>
        <v>0</v>
      </c>
      <c r="BE75" s="60">
        <f t="shared" si="772"/>
        <v>0</v>
      </c>
      <c r="BF75" s="60">
        <f t="shared" si="773"/>
        <v>0</v>
      </c>
      <c r="BG75" s="60">
        <f t="shared" si="774"/>
        <v>0</v>
      </c>
      <c r="BH75" s="60">
        <f t="shared" si="775"/>
        <v>0</v>
      </c>
      <c r="BI75" s="60">
        <f t="shared" si="776"/>
        <v>0</v>
      </c>
      <c r="BJ75" s="60">
        <f t="shared" si="777"/>
        <v>0</v>
      </c>
      <c r="BK75" s="60">
        <f t="shared" si="778"/>
        <v>0</v>
      </c>
      <c r="BL75" s="60">
        <f t="shared" si="779"/>
        <v>0</v>
      </c>
      <c r="BM75" s="59">
        <f t="shared" si="780"/>
        <v>0</v>
      </c>
      <c r="BN75" s="58">
        <f t="shared" si="781"/>
        <v>0</v>
      </c>
      <c r="BO75" s="45">
        <f t="shared" si="782"/>
        <v>101</v>
      </c>
      <c r="BP75" s="54">
        <f t="shared" si="650"/>
        <v>2.944</v>
      </c>
      <c r="BQ75" s="45">
        <f t="shared" si="783"/>
        <v>1</v>
      </c>
      <c r="BR75" s="45">
        <f t="shared" si="784"/>
        <v>2</v>
      </c>
      <c r="BS75" s="46" cm="1">
        <f t="array" ref="BS75">ROUND(IFERROR(INDEX(ArchiveResults!$F$5:$IX$116,ComparisonData!A75,ComparisonData!$BS$1),0),5)</f>
        <v>0</v>
      </c>
      <c r="BT75" s="46" cm="1">
        <f t="array" ref="BT75">ROUND(IFERROR(INDEX(ArchiveResults!$F$5:$IX$116,ComparisonData!A75,ComparisonData!$BT$1),0),5)</f>
        <v>0</v>
      </c>
      <c r="BU75" s="46" cm="1">
        <f t="array" ref="BU75">ROUND(IFERROR(INDEX(ArchiveResults!$F$5:$IX$116,ComparisonData!A75,ComparisonData!$BU$1),0),5)</f>
        <v>0</v>
      </c>
      <c r="BV75" s="46" cm="1">
        <f t="array" ref="BV75">ROUND(IFERROR(INDEX(ArchiveResults!$F$5:$IX$116,ComparisonData!A75,ComparisonData!$BV$1),0),5)</f>
        <v>0</v>
      </c>
      <c r="BW75" s="46" cm="1">
        <f t="array" ref="BW75">ROUND(IFERROR(INDEX(ArchiveResults!$F$5:$IX$116,ComparisonData!A75,ComparisonData!$BW$1),0),5)</f>
        <v>0</v>
      </c>
      <c r="BX75" s="46" cm="1">
        <f t="array" ref="BX75">ROUND(IFERROR(INDEX(ArchiveResults!$F$5:$IX$116,ComparisonData!A75,ComparisonData!$BX$1),0),5)</f>
        <v>0</v>
      </c>
      <c r="BY75" s="56">
        <v>70</v>
      </c>
      <c r="BZ75" s="53" t="str">
        <f t="shared" si="651"/>
        <v>Royal Archives</v>
      </c>
      <c r="CA75" s="59">
        <f t="shared" si="785"/>
        <v>0</v>
      </c>
      <c r="CB75" s="59">
        <f t="shared" si="786"/>
        <v>0</v>
      </c>
      <c r="CC75" s="59">
        <f t="shared" si="787"/>
        <v>0</v>
      </c>
      <c r="CD75" s="59">
        <f t="shared" si="788"/>
        <v>0</v>
      </c>
      <c r="CE75" s="59">
        <f t="shared" si="789"/>
        <v>0</v>
      </c>
      <c r="CF75" s="59">
        <f t="shared" si="790"/>
        <v>0</v>
      </c>
      <c r="CG75" s="58">
        <f t="shared" si="791"/>
        <v>0</v>
      </c>
      <c r="CH75" s="45">
        <f t="shared" si="792"/>
        <v>101</v>
      </c>
      <c r="CI75" s="54">
        <f t="shared" si="652"/>
        <v>2.944</v>
      </c>
      <c r="CJ75" s="45">
        <f t="shared" si="793"/>
        <v>1</v>
      </c>
      <c r="CK75" s="45">
        <f t="shared" si="794"/>
        <v>2</v>
      </c>
      <c r="CL75" s="46" cm="1">
        <f t="array" ref="CL75">ROUND(IFERROR(INDEX(ArchiveResults!$F$5:$IX$116,ComparisonData!A75,ComparisonData!$CL$1),0),5)</f>
        <v>0</v>
      </c>
      <c r="CM75" s="56">
        <v>70</v>
      </c>
      <c r="CN75" s="53" t="str">
        <f t="shared" si="653"/>
        <v>Royal Archives</v>
      </c>
      <c r="CO75" s="45">
        <f t="shared" si="795"/>
        <v>0</v>
      </c>
      <c r="CP75" s="58">
        <f t="shared" si="796"/>
        <v>0</v>
      </c>
      <c r="CQ75" s="45">
        <f t="shared" si="797"/>
        <v>101</v>
      </c>
      <c r="CR75" s="54">
        <f t="shared" si="654"/>
        <v>2.944</v>
      </c>
      <c r="CS75" s="45">
        <f t="shared" si="798"/>
        <v>1</v>
      </c>
      <c r="CT75" s="45">
        <f t="shared" si="799"/>
        <v>2</v>
      </c>
      <c r="CU75" s="46" cm="1">
        <f t="array" ref="CU75">ROUND(IFERROR(INDEX(ArchiveResults!$F$5:$IX$116,ComparisonData!A75,ComparisonData!$CU$1),0),5)</f>
        <v>0</v>
      </c>
      <c r="CV75" s="56">
        <v>70</v>
      </c>
      <c r="CW75" s="53" t="str">
        <f t="shared" si="655"/>
        <v>Royal Archives</v>
      </c>
      <c r="CX75" s="45">
        <f t="shared" si="800"/>
        <v>0</v>
      </c>
      <c r="CY75" s="58">
        <f t="shared" si="801"/>
        <v>0</v>
      </c>
      <c r="CZ75" s="45">
        <f t="shared" si="802"/>
        <v>101</v>
      </c>
      <c r="DA75" s="54">
        <f t="shared" si="656"/>
        <v>2.944</v>
      </c>
      <c r="DB75" s="45">
        <f t="shared" si="803"/>
        <v>1</v>
      </c>
      <c r="DC75" s="45">
        <f t="shared" si="804"/>
        <v>2</v>
      </c>
      <c r="DD75" s="46" cm="1">
        <f t="array" ref="DD75">ROUND(IFERROR(INDEX(ArchiveResults!$F$5:$IX$116,ComparisonData!A75,ComparisonData!$DD$1),0),5)</f>
        <v>0</v>
      </c>
      <c r="DE75" s="56">
        <v>70</v>
      </c>
      <c r="DF75" s="53" t="str">
        <f t="shared" si="657"/>
        <v>Royal Archives</v>
      </c>
      <c r="DG75" s="45">
        <f t="shared" si="805"/>
        <v>0</v>
      </c>
      <c r="DH75" s="58">
        <f t="shared" si="806"/>
        <v>0</v>
      </c>
      <c r="DI75" s="45">
        <f t="shared" si="807"/>
        <v>101</v>
      </c>
      <c r="DJ75" s="54">
        <f t="shared" si="658"/>
        <v>2.944</v>
      </c>
      <c r="DK75" s="45">
        <f t="shared" si="808"/>
        <v>1</v>
      </c>
      <c r="DL75" s="45">
        <f t="shared" si="809"/>
        <v>2</v>
      </c>
      <c r="DM75" s="46" cm="1">
        <f t="array" ref="DM75">ROUND(IFERROR(INDEX(ArchiveResults!$F$5:$IX$116,ComparisonData!A75,ComparisonData!$DM$1),0),5)</f>
        <v>0</v>
      </c>
      <c r="DN75" s="46" cm="1">
        <f t="array" ref="DN75">ROUND(IFERROR(INDEX(ArchiveResults!$F$5:$IX$116,ComparisonData!A75,ComparisonData!$DN$1),0),5)</f>
        <v>0</v>
      </c>
      <c r="DO75" s="46" cm="1">
        <f t="array" ref="DO75">ROUND(IFERROR(INDEX(ArchiveResults!$F$5:$IX$116,ComparisonData!A75,ComparisonData!$DO$1),0),5)</f>
        <v>0</v>
      </c>
      <c r="DP75" s="46" cm="1">
        <f t="array" ref="DP75">ROUND(IFERROR(INDEX(ArchiveResults!$F$5:$IX$116,ComparisonData!A75,ComparisonData!$DP$1),0),5)</f>
        <v>0</v>
      </c>
      <c r="DQ75" s="45" cm="1">
        <f t="array" ref="DQ75">IFERROR(INDEX(ArchiveResults!$F$5:$IX$116,ComparisonData!A75,ComparisonData!$DQ$1),0)</f>
        <v>0</v>
      </c>
      <c r="DR75" s="56">
        <v>70</v>
      </c>
      <c r="DS75" s="53" t="str">
        <f t="shared" si="659"/>
        <v>Royal Archives</v>
      </c>
      <c r="DT75" s="59">
        <f t="shared" si="810"/>
        <v>0</v>
      </c>
      <c r="DU75" s="59">
        <f t="shared" si="811"/>
        <v>0</v>
      </c>
      <c r="DV75" s="59">
        <f t="shared" si="812"/>
        <v>0</v>
      </c>
      <c r="DW75" s="59">
        <f t="shared" si="813"/>
        <v>0</v>
      </c>
      <c r="DX75" s="59">
        <f t="shared" si="814"/>
        <v>0</v>
      </c>
      <c r="DY75" s="58">
        <f t="shared" si="815"/>
        <v>0</v>
      </c>
      <c r="DZ75" s="45">
        <f t="shared" si="816"/>
        <v>101</v>
      </c>
      <c r="EA75" s="54">
        <f t="shared" si="660"/>
        <v>2.944</v>
      </c>
      <c r="EB75" s="45">
        <f t="shared" si="817"/>
        <v>1</v>
      </c>
      <c r="EC75" s="45">
        <f t="shared" si="818"/>
        <v>2</v>
      </c>
      <c r="ED75" s="46" cm="1">
        <f t="array" ref="ED75">ROUND(IFERROR(INDEX(ArchiveResults!$F$5:$IX$116,ComparisonData!A75,ComparisonData!$ED$1),0),5)</f>
        <v>0</v>
      </c>
      <c r="EE75" s="46" cm="1">
        <f t="array" ref="EE75">ROUND(IFERROR(INDEX(ArchiveResults!$F$5:$IX$116,ComparisonData!A75,ComparisonData!$EE$1),0),5)</f>
        <v>0</v>
      </c>
      <c r="EF75" s="46" cm="1">
        <f t="array" ref="EF75">ROUND(IFERROR(INDEX(ArchiveResults!$F$5:$IX$116,ComparisonData!A75,ComparisonData!$EF$1),0),5)</f>
        <v>0</v>
      </c>
      <c r="EG75" s="46" cm="1">
        <f t="array" ref="EG75">ROUND(IFERROR(INDEX(ArchiveResults!$F$5:$IX$116,ComparisonData!A75,ComparisonData!$EG$1),0),5)</f>
        <v>0</v>
      </c>
      <c r="EH75" s="45" cm="1">
        <f t="array" ref="EH75">IFERROR(INDEX(ArchiveResults!$F$5:$IX$116,ComparisonData!A75,ComparisonData!$EH$1),0)</f>
        <v>0</v>
      </c>
      <c r="EI75" s="56">
        <v>70</v>
      </c>
      <c r="EJ75" s="53" t="str">
        <f t="shared" si="661"/>
        <v>Royal Archives</v>
      </c>
      <c r="EK75" s="59">
        <f t="shared" si="819"/>
        <v>0</v>
      </c>
      <c r="EL75" s="59">
        <f t="shared" si="820"/>
        <v>0</v>
      </c>
      <c r="EM75" s="59">
        <f t="shared" si="821"/>
        <v>0</v>
      </c>
      <c r="EN75" s="59">
        <f t="shared" si="822"/>
        <v>0</v>
      </c>
      <c r="EO75" s="59">
        <f t="shared" si="823"/>
        <v>0</v>
      </c>
      <c r="EP75" s="58">
        <f t="shared" si="824"/>
        <v>0</v>
      </c>
      <c r="EQ75" s="45">
        <f t="shared" si="825"/>
        <v>101</v>
      </c>
      <c r="ER75" s="54">
        <f t="shared" si="662"/>
        <v>2.944</v>
      </c>
      <c r="ES75" s="45">
        <f t="shared" si="826"/>
        <v>1</v>
      </c>
      <c r="ET75" s="45">
        <f t="shared" si="827"/>
        <v>2</v>
      </c>
      <c r="EU75" s="46" cm="1">
        <f t="array" ref="EU75">ROUND(IFERROR(INDEX(ArchiveResults!$F$5:$IX$116,ComparisonData!A75,ComparisonData!$EU$1),0),5)</f>
        <v>0</v>
      </c>
      <c r="EV75" s="46" cm="1">
        <f t="array" ref="EV75">ROUND(IFERROR(INDEX(ArchiveResults!$F$5:$IX$116,ComparisonData!A75,ComparisonData!$EV$1),0),5)</f>
        <v>0</v>
      </c>
      <c r="EW75" s="46" cm="1">
        <f t="array" ref="EW75">ROUND(IFERROR(INDEX(ArchiveResults!$F$5:$IX$116,ComparisonData!A75,ComparisonData!$EW$1),0),5)</f>
        <v>0</v>
      </c>
      <c r="EX75" s="46" cm="1">
        <f t="array" ref="EX75">ROUND(IFERROR(INDEX(ArchiveResults!$F$5:$IX$116,ComparisonData!A75,ComparisonData!$EX$1),0),5)</f>
        <v>0</v>
      </c>
      <c r="EY75" s="45" cm="1">
        <f t="array" ref="EY75">IFERROR(INDEX(ArchiveResults!$F$5:$IX$116,ComparisonData!A75,ComparisonData!$EY$1),0)</f>
        <v>0</v>
      </c>
      <c r="EZ75" s="56">
        <v>70</v>
      </c>
      <c r="FA75" s="53" t="str">
        <f t="shared" si="663"/>
        <v>Royal Archives</v>
      </c>
      <c r="FB75" s="59">
        <f t="shared" si="828"/>
        <v>0</v>
      </c>
      <c r="FC75" s="59">
        <f t="shared" si="829"/>
        <v>0</v>
      </c>
      <c r="FD75" s="59">
        <f t="shared" si="830"/>
        <v>0</v>
      </c>
      <c r="FE75" s="59">
        <f t="shared" si="831"/>
        <v>0</v>
      </c>
      <c r="FF75" s="59">
        <f t="shared" si="832"/>
        <v>0</v>
      </c>
      <c r="FG75" s="58">
        <f t="shared" si="833"/>
        <v>0</v>
      </c>
      <c r="FH75" s="45">
        <f t="shared" si="834"/>
        <v>101</v>
      </c>
      <c r="FI75" s="54">
        <f t="shared" si="664"/>
        <v>2.944</v>
      </c>
      <c r="FJ75" s="45">
        <f t="shared" si="835"/>
        <v>1</v>
      </c>
      <c r="FK75" s="45">
        <f t="shared" si="836"/>
        <v>2</v>
      </c>
      <c r="FL75" s="46" cm="1">
        <f t="array" ref="FL75">ROUND(IFERROR(INDEX(ArchiveResults!$F$5:$IX$116,ComparisonData!A75,ComparisonData!$FL$1),0),5)</f>
        <v>0</v>
      </c>
      <c r="FM75" s="46" cm="1">
        <f t="array" ref="FM75">ROUND(IFERROR(INDEX(ArchiveResults!$F$5:$IX$116,ComparisonData!A75,ComparisonData!$FM$1),0),5)</f>
        <v>0</v>
      </c>
      <c r="FN75" s="46" cm="1">
        <f t="array" ref="FN75">ROUND(IFERROR(INDEX(ArchiveResults!$F$5:$IX$116,ComparisonData!A75,ComparisonData!$FN$1),0),5)</f>
        <v>0</v>
      </c>
      <c r="FO75" s="46" cm="1">
        <f t="array" ref="FO75">ROUND(IFERROR(INDEX(ArchiveResults!$F$5:$IX$116,ComparisonData!A75,ComparisonData!$FO$1),0),5)</f>
        <v>0</v>
      </c>
      <c r="FP75" s="45" cm="1">
        <f t="array" ref="FP75">IFERROR(INDEX(ArchiveResults!$F$5:$IX$116,ComparisonData!A75,ComparisonData!$FP$1),0)</f>
        <v>0</v>
      </c>
      <c r="FQ75" s="56">
        <v>70</v>
      </c>
      <c r="FR75" s="53" t="str">
        <f t="shared" si="665"/>
        <v>Royal Archives</v>
      </c>
      <c r="FS75" s="59">
        <f t="shared" si="837"/>
        <v>0</v>
      </c>
      <c r="FT75" s="59">
        <f t="shared" si="838"/>
        <v>0</v>
      </c>
      <c r="FU75" s="59">
        <f t="shared" si="839"/>
        <v>0</v>
      </c>
      <c r="FV75" s="59">
        <f t="shared" si="840"/>
        <v>0</v>
      </c>
      <c r="FW75" s="59">
        <f t="shared" si="841"/>
        <v>0</v>
      </c>
      <c r="FX75" s="58">
        <f t="shared" si="842"/>
        <v>0</v>
      </c>
      <c r="FY75" s="45">
        <f t="shared" si="843"/>
        <v>101</v>
      </c>
      <c r="FZ75" s="45">
        <f t="shared" si="666"/>
        <v>2.944</v>
      </c>
      <c r="GA75" s="45">
        <f t="shared" si="844"/>
        <v>1</v>
      </c>
      <c r="GB75" s="45">
        <f t="shared" si="845"/>
        <v>2</v>
      </c>
      <c r="GC75" s="46" cm="1">
        <f t="array" ref="GC75">ROUND(IFERROR(INDEX(ArchiveResults!$F$5:$IX$116,ComparisonData!A75,ComparisonData!$GC$1),0),5)</f>
        <v>0</v>
      </c>
      <c r="GD75" s="46" cm="1">
        <f t="array" ref="GD75">ROUND(IFERROR(INDEX(ArchiveResults!$F$5:$IX$116,ComparisonData!A75,ComparisonData!$GD$1),0),5)</f>
        <v>0</v>
      </c>
      <c r="GE75" s="46" cm="1">
        <f t="array" ref="GE75">ROUND(IFERROR(INDEX(ArchiveResults!$F$5:$IX$116,ComparisonData!A75,ComparisonData!$GE$1),0),5)</f>
        <v>0</v>
      </c>
      <c r="GF75" s="46" cm="1">
        <f t="array" ref="GF75">ROUND(IFERROR(INDEX(ArchiveResults!$F$5:$IX$116,ComparisonData!A75,ComparisonData!$GF$1),0),5)</f>
        <v>0</v>
      </c>
      <c r="GG75" s="45" cm="1">
        <f t="array" ref="GG75">IFERROR(INDEX(ArchiveResults!$F$5:$IX$116,ComparisonData!A75,ComparisonData!$GG$1),0)</f>
        <v>0</v>
      </c>
      <c r="GH75" s="56">
        <v>70</v>
      </c>
      <c r="GI75" s="53" t="str">
        <f t="shared" si="667"/>
        <v>Royal Archives</v>
      </c>
      <c r="GJ75" s="59">
        <f t="shared" si="846"/>
        <v>0</v>
      </c>
      <c r="GK75" s="59">
        <f t="shared" si="847"/>
        <v>0</v>
      </c>
      <c r="GL75" s="59">
        <f t="shared" si="848"/>
        <v>0</v>
      </c>
      <c r="GM75" s="59">
        <f t="shared" si="849"/>
        <v>0</v>
      </c>
      <c r="GN75" s="59">
        <f t="shared" si="850"/>
        <v>0</v>
      </c>
      <c r="GO75" s="58">
        <f t="shared" si="851"/>
        <v>0</v>
      </c>
      <c r="GP75" s="45">
        <f t="shared" si="852"/>
        <v>101</v>
      </c>
      <c r="GQ75" s="45">
        <f t="shared" si="668"/>
        <v>2.944</v>
      </c>
      <c r="GR75" s="45">
        <f t="shared" si="853"/>
        <v>1</v>
      </c>
      <c r="GS75" s="45">
        <f t="shared" si="854"/>
        <v>2</v>
      </c>
      <c r="GT75" s="46" cm="1">
        <f t="array" ref="GT75">ROUND(IFERROR(INDEX(ArchiveResults!$F$5:$IX$116,ComparisonData!A75,ComparisonData!$GT$1),0),5)</f>
        <v>0</v>
      </c>
      <c r="GU75" s="46" cm="1">
        <f t="array" ref="GU75">ROUND(IFERROR(INDEX(ArchiveResults!$F$5:$IX$116,ComparisonData!A75,ComparisonData!$GU$1),0),5)</f>
        <v>0</v>
      </c>
      <c r="GV75" s="46" cm="1">
        <f t="array" ref="GV75">ROUND(IFERROR(INDEX(ArchiveResults!$F$5:$IX$116,ComparisonData!A75,ComparisonData!$GV$1),0),5)</f>
        <v>0</v>
      </c>
      <c r="GW75" s="46" cm="1">
        <f t="array" ref="GW75">ROUND(IFERROR(INDEX(ArchiveResults!$F$5:$IX$116,ComparisonData!A75,ComparisonData!$GW$1),0),5)</f>
        <v>0</v>
      </c>
      <c r="GX75" s="45" cm="1">
        <f t="array" ref="GX75">IFERROR(INDEX(ArchiveResults!$F$5:$IX$116,ComparisonData!A75,ComparisonData!$GX$1),0)</f>
        <v>0</v>
      </c>
      <c r="GY75" s="56">
        <v>70</v>
      </c>
      <c r="GZ75" s="53" t="str">
        <f t="shared" si="669"/>
        <v>Royal Archives</v>
      </c>
      <c r="HA75" s="59">
        <f t="shared" si="855"/>
        <v>0</v>
      </c>
      <c r="HB75" s="59">
        <f t="shared" si="856"/>
        <v>0</v>
      </c>
      <c r="HC75" s="59">
        <f t="shared" si="857"/>
        <v>0</v>
      </c>
      <c r="HD75" s="59">
        <f t="shared" si="858"/>
        <v>0</v>
      </c>
      <c r="HE75" s="59">
        <f t="shared" si="859"/>
        <v>0</v>
      </c>
      <c r="HF75" s="58">
        <f t="shared" si="860"/>
        <v>0</v>
      </c>
      <c r="HG75" s="45">
        <f t="shared" si="861"/>
        <v>101</v>
      </c>
      <c r="HH75" s="45">
        <f t="shared" si="670"/>
        <v>2.944</v>
      </c>
      <c r="HI75" s="45">
        <f t="shared" si="862"/>
        <v>1</v>
      </c>
      <c r="HJ75" s="45">
        <f t="shared" si="863"/>
        <v>2</v>
      </c>
      <c r="HK75" s="46" cm="1">
        <f t="array" ref="HK75">ROUND(IFERROR(INDEX(ArchiveResults!$F$5:$IX$116,ComparisonData!A75,ComparisonData!$HK$1),0),5)</f>
        <v>0</v>
      </c>
      <c r="HL75" s="46" cm="1">
        <f t="array" ref="HL75">ROUND(IFERROR(INDEX(ArchiveResults!$F$5:$IX$116,ComparisonData!A75,ComparisonData!$HL$1),0),5)</f>
        <v>0</v>
      </c>
      <c r="HM75" s="46" cm="1">
        <f t="array" ref="HM75">ROUND(IFERROR(INDEX(ArchiveResults!$F$5:$IX$116,ComparisonData!A75,ComparisonData!$HM$1),0),5)</f>
        <v>0</v>
      </c>
      <c r="HN75" s="46" cm="1">
        <f t="array" ref="HN75">ROUND(IFERROR(INDEX(ArchiveResults!$F$5:$IX$116,ComparisonData!A75,ComparisonData!$HN$1),0),5)</f>
        <v>0</v>
      </c>
      <c r="HO75" s="45" cm="1">
        <f t="array" ref="HO75">IFERROR(INDEX(ArchiveResults!$F$5:$IX$116,ComparisonData!A75,ComparisonData!$HO$1),0)</f>
        <v>0</v>
      </c>
      <c r="HP75" s="56">
        <v>70</v>
      </c>
      <c r="HQ75" s="53" t="str">
        <f t="shared" si="671"/>
        <v>Royal Archives</v>
      </c>
      <c r="HR75" s="59">
        <f t="shared" si="672"/>
        <v>0</v>
      </c>
      <c r="HS75" s="59">
        <f t="shared" si="673"/>
        <v>0</v>
      </c>
      <c r="HT75" s="59">
        <f t="shared" si="674"/>
        <v>0</v>
      </c>
      <c r="HU75" s="59">
        <f t="shared" si="675"/>
        <v>0</v>
      </c>
      <c r="HV75" s="59">
        <f t="shared" si="676"/>
        <v>0</v>
      </c>
      <c r="HW75" s="58">
        <f t="shared" si="864"/>
        <v>0</v>
      </c>
      <c r="HX75" s="45">
        <f t="shared" si="865"/>
        <v>101</v>
      </c>
      <c r="HY75" s="45">
        <f t="shared" si="677"/>
        <v>2.944</v>
      </c>
      <c r="HZ75" s="45">
        <f t="shared" si="866"/>
        <v>1</v>
      </c>
      <c r="IA75" s="45">
        <f t="shared" si="867"/>
        <v>2</v>
      </c>
      <c r="IB75" s="45">
        <f t="shared" si="868"/>
        <v>0</v>
      </c>
      <c r="IC75" s="46" cm="1">
        <f t="array" ref="IC75">ROUND(IFERROR(INDEX(ArchiveResults!$F$5:$IX$116,ComparisonData!A75,ComparisonData!$IC$1),0),5)</f>
        <v>0</v>
      </c>
      <c r="ID75" s="46" cm="1">
        <f t="array" ref="ID75">ROUND(IFERROR(INDEX(ArchiveResults!$F$5:$IX$116,ComparisonData!A75,ComparisonData!$ID$1),0),5)</f>
        <v>0</v>
      </c>
      <c r="IE75" s="46" cm="1">
        <f t="array" ref="IE75">ROUND(IFERROR(INDEX(ArchiveResults!$F$5:$IX$116,ComparisonData!A75,ComparisonData!$IE$1),0),5)</f>
        <v>0</v>
      </c>
      <c r="IF75" s="46" cm="1">
        <f t="array" ref="IF75">ROUND(IFERROR(INDEX(ArchiveResults!$F$5:$IX$116,ComparisonData!A75,ComparisonData!$IF$1),0),5)</f>
        <v>0</v>
      </c>
      <c r="IG75" s="45" cm="1">
        <f t="array" ref="IG75">IFERROR(INDEX(ArchiveResults!$F$5:$IX$116,ComparisonData!A75,ComparisonData!$IG$1),0)</f>
        <v>0</v>
      </c>
      <c r="IH75" s="56">
        <v>70</v>
      </c>
      <c r="II75" s="53" t="str">
        <f t="shared" si="678"/>
        <v>Royal Archives</v>
      </c>
      <c r="IJ75" s="59">
        <f t="shared" si="869"/>
        <v>0</v>
      </c>
      <c r="IK75" s="59">
        <f t="shared" si="870"/>
        <v>0</v>
      </c>
      <c r="IL75" s="59">
        <f t="shared" si="871"/>
        <v>0</v>
      </c>
      <c r="IM75" s="59">
        <f t="shared" si="872"/>
        <v>0</v>
      </c>
      <c r="IN75" s="59">
        <f t="shared" si="873"/>
        <v>0</v>
      </c>
      <c r="IO75" s="58">
        <f t="shared" si="874"/>
        <v>0</v>
      </c>
      <c r="IP75" s="45">
        <f t="shared" si="875"/>
        <v>101</v>
      </c>
      <c r="IQ75" s="45">
        <f t="shared" si="679"/>
        <v>2.944</v>
      </c>
      <c r="IR75" s="45">
        <f t="shared" si="876"/>
        <v>1</v>
      </c>
      <c r="IS75" s="45">
        <f t="shared" si="877"/>
        <v>2</v>
      </c>
      <c r="IT75" s="46">
        <f t="shared" si="878"/>
        <v>0</v>
      </c>
      <c r="IU75" s="46" cm="1">
        <f t="array" ref="IU75">ROUND(IFERROR(INDEX(ArchiveResults!$F$5:$IX$116,ComparisonData!A75,ComparisonData!$IU$1),0),5)</f>
        <v>0</v>
      </c>
      <c r="IV75" s="46" cm="1">
        <f t="array" ref="IV75">ROUND(IFERROR(INDEX(ArchiveResults!$F$5:$IX$116,ComparisonData!A75,ComparisonData!$IV$1),0),5)</f>
        <v>0</v>
      </c>
      <c r="IW75" s="46" cm="1">
        <f t="array" ref="IW75">ROUND(IFERROR(INDEX(ArchiveResults!$F$5:$IX$116,ComparisonData!A75,ComparisonData!$IW$1),0),5)</f>
        <v>0</v>
      </c>
      <c r="IX75" s="46" cm="1">
        <f t="array" ref="IX75">ROUND(IFERROR(INDEX(ArchiveResults!$F$5:$IX$116,ComparisonData!A75,ComparisonData!$IX$1),0),5)</f>
        <v>0</v>
      </c>
      <c r="IY75" s="45" cm="1">
        <f t="array" ref="IY75">IFERROR(INDEX(ArchiveResults!$F$5:$IX$116,ComparisonData!A75,ComparisonData!$IY$1),0)</f>
        <v>0</v>
      </c>
      <c r="IZ75" s="56">
        <v>70</v>
      </c>
      <c r="JA75" s="53" t="str">
        <f t="shared" si="680"/>
        <v>Royal Archives</v>
      </c>
      <c r="JB75" s="59">
        <f t="shared" si="879"/>
        <v>0</v>
      </c>
      <c r="JC75" s="59">
        <f t="shared" si="880"/>
        <v>0</v>
      </c>
      <c r="JD75" s="59">
        <f t="shared" si="881"/>
        <v>0</v>
      </c>
      <c r="JE75" s="59">
        <f t="shared" si="882"/>
        <v>0</v>
      </c>
      <c r="JF75" s="59">
        <f t="shared" si="883"/>
        <v>0</v>
      </c>
      <c r="JG75" s="58">
        <f t="shared" si="884"/>
        <v>0</v>
      </c>
      <c r="JH75" s="45">
        <f t="shared" si="885"/>
        <v>101</v>
      </c>
      <c r="JI75" s="45">
        <f t="shared" si="681"/>
        <v>2.944</v>
      </c>
      <c r="JJ75" s="45">
        <f t="shared" si="886"/>
        <v>1</v>
      </c>
      <c r="JK75" s="45">
        <f t="shared" si="887"/>
        <v>2</v>
      </c>
      <c r="JL75" s="45">
        <f t="shared" si="888"/>
        <v>0</v>
      </c>
      <c r="JM75" s="46" cm="1">
        <f t="array" ref="JM75">ROUND(IFERROR(INDEX(ArchiveResults!$F$5:$IX$116,ComparisonData!A75,ComparisonData!$JM$1),0),5)</f>
        <v>0</v>
      </c>
      <c r="JN75" s="46" cm="1">
        <f t="array" ref="JN75">ROUND(IFERROR(INDEX(ArchiveResults!$F$5:$IX$116,ComparisonData!A75,ComparisonData!$JN$1),0),5)</f>
        <v>0</v>
      </c>
      <c r="JO75" s="46" cm="1">
        <f t="array" ref="JO75">ROUND(IFERROR(INDEX(ArchiveResults!$F$5:$IX$116,ComparisonData!A75,ComparisonData!$JO$1),0),5)</f>
        <v>0</v>
      </c>
      <c r="JP75" s="46" cm="1">
        <f t="array" ref="JP75">ROUND(IFERROR(INDEX(ArchiveResults!$F$5:$IX$116,ComparisonData!A75,ComparisonData!$JP$1),0),5)</f>
        <v>0</v>
      </c>
      <c r="JQ75" s="45" cm="1">
        <f t="array" ref="JQ75">IFERROR(INDEX(ArchiveResults!$F$5:$IX$116,ComparisonData!A75,ComparisonData!$JQ$1),0)</f>
        <v>0</v>
      </c>
      <c r="JR75" s="56">
        <v>70</v>
      </c>
      <c r="JS75" s="53" t="str">
        <f t="shared" si="682"/>
        <v>Royal Archives</v>
      </c>
      <c r="JT75" s="59">
        <f t="shared" si="889"/>
        <v>0</v>
      </c>
      <c r="JU75" s="59">
        <f t="shared" si="890"/>
        <v>0</v>
      </c>
      <c r="JV75" s="59">
        <f t="shared" si="891"/>
        <v>0</v>
      </c>
      <c r="JW75" s="59">
        <f t="shared" si="892"/>
        <v>0</v>
      </c>
      <c r="JX75" s="59">
        <f t="shared" si="893"/>
        <v>0</v>
      </c>
      <c r="JY75" s="58">
        <f t="shared" si="894"/>
        <v>0</v>
      </c>
      <c r="JZ75" s="45">
        <f t="shared" si="895"/>
        <v>101</v>
      </c>
      <c r="KA75" s="45">
        <f t="shared" si="683"/>
        <v>2.944</v>
      </c>
      <c r="KB75" s="45">
        <f t="shared" si="896"/>
        <v>1</v>
      </c>
      <c r="KC75" s="45">
        <f t="shared" si="897"/>
        <v>2</v>
      </c>
      <c r="KD75" s="45">
        <f t="shared" si="898"/>
        <v>0</v>
      </c>
      <c r="KE75" s="46" cm="1">
        <f t="array" ref="KE75">ROUND(IFERROR(INDEX(ArchiveResults!$F$5:$IX$116,ComparisonData!A75,ComparisonData!$KE$1),0),5)</f>
        <v>0</v>
      </c>
      <c r="KF75" s="46" cm="1">
        <f t="array" ref="KF75">ROUND(IFERROR(INDEX(ArchiveResults!$F$5:$IX$116,ComparisonData!A75,ComparisonData!$KF$1),0),5)</f>
        <v>0</v>
      </c>
      <c r="KG75" s="46" cm="1">
        <f t="array" ref="KG75">ROUND(IFERROR(INDEX(ArchiveResults!$F$5:$IX$116,ComparisonData!A75,ComparisonData!$KG$1),0),5)</f>
        <v>0</v>
      </c>
      <c r="KH75" s="46" cm="1">
        <f t="array" ref="KH75">ROUND(IFERROR(INDEX(ArchiveResults!$F$5:$IX$116,ComparisonData!A75,ComparisonData!$KH$1),0),5)</f>
        <v>0</v>
      </c>
      <c r="KI75" s="45" cm="1">
        <f t="array" ref="KI75">IFERROR(INDEX(ArchiveResults!$F$5:$IX$116,ComparisonData!A75,ComparisonData!$KI$1),0)</f>
        <v>0</v>
      </c>
      <c r="KJ75" s="56">
        <v>70</v>
      </c>
      <c r="KK75" s="53" t="str">
        <f t="shared" si="684"/>
        <v>Royal Archives</v>
      </c>
      <c r="KL75" s="59">
        <f t="shared" si="899"/>
        <v>0</v>
      </c>
      <c r="KM75" s="59">
        <f t="shared" si="900"/>
        <v>0</v>
      </c>
      <c r="KN75" s="59">
        <f t="shared" si="901"/>
        <v>0</v>
      </c>
      <c r="KO75" s="59">
        <f t="shared" si="902"/>
        <v>0</v>
      </c>
      <c r="KP75" s="59">
        <f t="shared" si="903"/>
        <v>0</v>
      </c>
      <c r="KQ75" s="58">
        <f t="shared" si="904"/>
        <v>0</v>
      </c>
      <c r="KR75" s="45">
        <f t="shared" si="905"/>
        <v>101</v>
      </c>
      <c r="KS75" s="45">
        <f t="shared" si="685"/>
        <v>2.944</v>
      </c>
      <c r="KT75" s="45">
        <f t="shared" si="906"/>
        <v>1</v>
      </c>
      <c r="KU75" s="45">
        <f t="shared" si="907"/>
        <v>2</v>
      </c>
      <c r="KV75" s="45">
        <f t="shared" si="908"/>
        <v>0</v>
      </c>
      <c r="KW75" s="46" cm="1">
        <f t="array" ref="KW75">ROUND(IFERROR(INDEX(ArchiveResults!$F$5:$IX$116,ComparisonData!A75,ComparisonData!$KW$1),0),5)</f>
        <v>0</v>
      </c>
      <c r="KX75" s="46" cm="1">
        <f t="array" ref="KX75">ROUND(IFERROR(INDEX(ArchiveResults!$F$5:$IX$116,ComparisonData!A75,ComparisonData!$KX$1),0),5)</f>
        <v>0</v>
      </c>
      <c r="KY75" s="46" cm="1">
        <f t="array" ref="KY75">ROUND(IFERROR(INDEX(ArchiveResults!$F$5:$IX$116,ComparisonData!A75,ComparisonData!$KY$1),0),5)</f>
        <v>0</v>
      </c>
      <c r="KZ75" s="46" cm="1">
        <f t="array" ref="KZ75">ROUND(IFERROR(INDEX(ArchiveResults!$F$5:$IX$116,ComparisonData!A75,ComparisonData!$KZ$1),0),5)</f>
        <v>0</v>
      </c>
      <c r="LA75" s="45" cm="1">
        <f t="array" ref="LA75">IFERROR(INDEX(ArchiveResults!$F$5:$IX$116,ComparisonData!A75,ComparisonData!$LA$1),0)</f>
        <v>0</v>
      </c>
      <c r="LB75" s="56">
        <v>70</v>
      </c>
      <c r="LC75" s="53" t="str">
        <f t="shared" si="686"/>
        <v>Royal Archives</v>
      </c>
      <c r="LD75" s="59">
        <f t="shared" si="909"/>
        <v>0</v>
      </c>
      <c r="LE75" s="59">
        <f t="shared" si="910"/>
        <v>0</v>
      </c>
      <c r="LF75" s="59">
        <f t="shared" si="911"/>
        <v>0</v>
      </c>
      <c r="LG75" s="59">
        <f t="shared" si="912"/>
        <v>0</v>
      </c>
      <c r="LH75" s="59">
        <f t="shared" si="913"/>
        <v>0</v>
      </c>
      <c r="LI75" s="58">
        <f t="shared" si="914"/>
        <v>0</v>
      </c>
      <c r="LJ75" s="45">
        <f t="shared" si="915"/>
        <v>101</v>
      </c>
      <c r="LK75" s="45">
        <f t="shared" si="687"/>
        <v>2.944</v>
      </c>
      <c r="LL75" s="45">
        <f t="shared" si="916"/>
        <v>1</v>
      </c>
      <c r="LM75" s="45">
        <f t="shared" si="917"/>
        <v>2</v>
      </c>
      <c r="LN75" s="45">
        <f t="shared" si="918"/>
        <v>0</v>
      </c>
      <c r="LO75" s="46" cm="1">
        <f t="array" ref="LO75">ROUND(IFERROR(INDEX(ArchiveResults!$F$5:$IX$116,ComparisonData!A75,ComparisonData!$LO$1),0),5)</f>
        <v>0</v>
      </c>
      <c r="LP75" s="46" cm="1">
        <f t="array" ref="LP75">ROUND(IFERROR(INDEX(ArchiveResults!$F$5:$IX$116,ComparisonData!A75,ComparisonData!$LP$1),0),5)</f>
        <v>0</v>
      </c>
      <c r="LQ75" s="46" cm="1">
        <f t="array" ref="LQ75">ROUND(IFERROR(INDEX(ArchiveResults!$F$5:$IX$116,ComparisonData!A75,ComparisonData!$LQ$1),0),5)</f>
        <v>0</v>
      </c>
      <c r="LR75" s="46" cm="1">
        <f t="array" ref="LR75">ROUND(IFERROR(INDEX(ArchiveResults!$F$5:$IX$116,ComparisonData!A75,ComparisonData!$LR$1),0),5)</f>
        <v>0</v>
      </c>
      <c r="LS75" s="45" cm="1">
        <f t="array" ref="LS75">IFERROR(INDEX(ArchiveResults!$F$5:$IX$116,ComparisonData!A75,ComparisonData!$LS$1),0)</f>
        <v>0</v>
      </c>
      <c r="LT75" s="56">
        <v>70</v>
      </c>
      <c r="LU75" s="53" t="str">
        <f t="shared" si="688"/>
        <v>Royal Archives</v>
      </c>
      <c r="LV75" s="59">
        <f t="shared" si="919"/>
        <v>0</v>
      </c>
      <c r="LW75" s="59">
        <f t="shared" si="920"/>
        <v>0</v>
      </c>
      <c r="LX75" s="59">
        <f t="shared" si="921"/>
        <v>0</v>
      </c>
      <c r="LY75" s="59">
        <f t="shared" si="922"/>
        <v>0</v>
      </c>
      <c r="LZ75" s="59">
        <f t="shared" si="923"/>
        <v>0</v>
      </c>
      <c r="MA75" s="58">
        <f t="shared" si="924"/>
        <v>0</v>
      </c>
      <c r="MB75" s="45">
        <f t="shared" si="925"/>
        <v>101</v>
      </c>
      <c r="MC75" s="45">
        <f t="shared" si="689"/>
        <v>2.944</v>
      </c>
      <c r="MD75" s="45">
        <f t="shared" si="926"/>
        <v>1</v>
      </c>
      <c r="ME75" s="45">
        <f t="shared" si="927"/>
        <v>2</v>
      </c>
      <c r="MF75" s="45">
        <f t="shared" si="928"/>
        <v>0</v>
      </c>
      <c r="MG75" s="46" cm="1">
        <f t="array" ref="MG75">ROUND(IFERROR(INDEX(ArchiveResults!$F$5:$IX$116,ComparisonData!A75,ComparisonData!$MG$1),0),5)</f>
        <v>0</v>
      </c>
      <c r="MH75" s="46" cm="1">
        <f t="array" ref="MH75">ROUND(IFERROR(INDEX(ArchiveResults!$F$5:$IX$116,ComparisonData!A75,ComparisonData!$MH$1),0),5)</f>
        <v>0</v>
      </c>
      <c r="MI75" s="46" cm="1">
        <f t="array" ref="MI75">ROUND(IFERROR(INDEX(ArchiveResults!$F$5:$IX$116,ComparisonData!A75,ComparisonData!$MI$1),0),5)</f>
        <v>0</v>
      </c>
      <c r="MJ75" s="46" cm="1">
        <f t="array" ref="MJ75">ROUND(IFERROR(INDEX(ArchiveResults!$F$5:$IX$116,ComparisonData!A75,ComparisonData!$MJ$1),0),5)</f>
        <v>0</v>
      </c>
      <c r="MK75" s="45" cm="1">
        <f t="array" ref="MK75">IFERROR(INDEX(ArchiveResults!$F$5:$IX$116,ComparisonData!A75,ComparisonData!$MK$1),0)</f>
        <v>0</v>
      </c>
      <c r="ML75" s="56">
        <v>70</v>
      </c>
      <c r="MM75" s="53" t="str">
        <f t="shared" si="690"/>
        <v>Royal Archives</v>
      </c>
      <c r="MN75" s="59">
        <f t="shared" si="929"/>
        <v>0</v>
      </c>
      <c r="MO75" s="59">
        <f t="shared" si="930"/>
        <v>0</v>
      </c>
      <c r="MP75" s="59">
        <f t="shared" si="931"/>
        <v>0</v>
      </c>
      <c r="MQ75" s="59">
        <f t="shared" si="932"/>
        <v>0</v>
      </c>
      <c r="MR75" s="59">
        <f t="shared" si="933"/>
        <v>0</v>
      </c>
      <c r="MS75" s="58">
        <f t="shared" si="934"/>
        <v>0</v>
      </c>
      <c r="MT75" s="45">
        <f t="shared" si="935"/>
        <v>101</v>
      </c>
      <c r="MU75" s="45">
        <f t="shared" si="691"/>
        <v>2.944</v>
      </c>
      <c r="MV75" s="45">
        <f t="shared" si="936"/>
        <v>1</v>
      </c>
      <c r="MW75" s="45">
        <f t="shared" si="937"/>
        <v>2</v>
      </c>
      <c r="MX75" s="45">
        <f t="shared" si="938"/>
        <v>0</v>
      </c>
      <c r="MY75" s="46" cm="1">
        <f t="array" ref="MY75">ROUND(IFERROR(INDEX(ArchiveResults!$F$5:$IX$116,ComparisonData!A75,ComparisonData!$MY$1),0),5)</f>
        <v>0</v>
      </c>
      <c r="MZ75" s="46" cm="1">
        <f t="array" ref="MZ75">ROUND(IFERROR(INDEX(ArchiveResults!$F$5:$IX$116,ComparisonData!A75,ComparisonData!$MZ$1),0),5)</f>
        <v>0</v>
      </c>
      <c r="NA75" s="46" cm="1">
        <f t="array" ref="NA75">ROUND(IFERROR(INDEX(ArchiveResults!$F$5:$IX$116,ComparisonData!A75,ComparisonData!$NA$1),0),5)</f>
        <v>0</v>
      </c>
      <c r="NB75" s="46" cm="1">
        <f t="array" ref="NB75">ROUND(IFERROR(INDEX(ArchiveResults!$F$5:$IX$116,ComparisonData!A75,ComparisonData!$NB$1),0),5)</f>
        <v>0</v>
      </c>
      <c r="NC75" s="45" cm="1">
        <f t="array" ref="NC75">IFERROR(INDEX(ArchiveResults!$F$5:$IX$116,ComparisonData!A75,ComparisonData!$NC$1),0)</f>
        <v>0</v>
      </c>
      <c r="ND75" s="56">
        <v>70</v>
      </c>
      <c r="NE75" s="53" t="str">
        <f t="shared" si="692"/>
        <v>Royal Archives</v>
      </c>
      <c r="NF75" s="59">
        <f t="shared" si="939"/>
        <v>0</v>
      </c>
      <c r="NG75" s="59">
        <f t="shared" si="940"/>
        <v>0</v>
      </c>
      <c r="NH75" s="59">
        <f t="shared" si="941"/>
        <v>0</v>
      </c>
      <c r="NI75" s="59">
        <f t="shared" si="942"/>
        <v>0</v>
      </c>
      <c r="NJ75" s="59">
        <f t="shared" si="943"/>
        <v>0</v>
      </c>
      <c r="NK75" s="58">
        <f t="shared" si="944"/>
        <v>0</v>
      </c>
      <c r="NL75" s="45">
        <f t="shared" si="945"/>
        <v>101</v>
      </c>
      <c r="NM75" s="45">
        <f t="shared" si="693"/>
        <v>2.944</v>
      </c>
      <c r="NN75" s="45">
        <f t="shared" si="946"/>
        <v>1</v>
      </c>
      <c r="NO75" s="45">
        <f t="shared" si="947"/>
        <v>2</v>
      </c>
      <c r="NP75" s="46" cm="1">
        <f t="array" ref="NP75">ROUND(IFERROR(INDEX(ArchiveResults!$F$5:$IX$116,ComparisonData!A75,ComparisonData!$NP$1),0),5)</f>
        <v>0</v>
      </c>
      <c r="NQ75" s="46" cm="1">
        <f t="array" ref="NQ75">ROUND(IFERROR(INDEX(ArchiveResults!$F$5:$IX$116,ComparisonData!A75,ComparisonData!$NQ$1),0),5)</f>
        <v>0</v>
      </c>
      <c r="NR75" s="46" cm="1">
        <f t="array" ref="NR75">ROUND(IFERROR(INDEX(ArchiveResults!$F$5:$IX$116,ComparisonData!A75,ComparisonData!$NR$1),0),5)</f>
        <v>0</v>
      </c>
      <c r="NS75" s="46" cm="1">
        <f t="array" ref="NS75">ROUND(IFERROR(INDEX(ArchiveResults!$F$5:$IX$116,ComparisonData!A75,ComparisonData!$NS$1),0),5)</f>
        <v>0</v>
      </c>
      <c r="NT75" s="45" cm="1">
        <f t="array" ref="NT75">IFERROR(INDEX(ArchiveResults!$F$5:$IX$116,ComparisonData!A75,ComparisonData!$NT$1),0)</f>
        <v>0</v>
      </c>
      <c r="NU75" s="56">
        <v>70</v>
      </c>
      <c r="NV75" s="53" t="str">
        <f t="shared" si="694"/>
        <v>Royal Archives</v>
      </c>
      <c r="NW75" s="59">
        <f t="shared" si="948"/>
        <v>0</v>
      </c>
      <c r="NX75" s="59">
        <f t="shared" si="949"/>
        <v>0</v>
      </c>
      <c r="NY75" s="59">
        <f t="shared" si="950"/>
        <v>0</v>
      </c>
      <c r="NZ75" s="59">
        <f t="shared" si="951"/>
        <v>0</v>
      </c>
      <c r="OA75" s="59">
        <f t="shared" si="952"/>
        <v>0</v>
      </c>
      <c r="OB75" s="58">
        <f t="shared" si="953"/>
        <v>0</v>
      </c>
      <c r="OC75" s="45">
        <f t="shared" si="954"/>
        <v>101</v>
      </c>
      <c r="OD75" s="45">
        <f t="shared" si="695"/>
        <v>2.944</v>
      </c>
      <c r="OE75" s="45">
        <f t="shared" si="955"/>
        <v>1</v>
      </c>
      <c r="OF75" s="45">
        <f t="shared" si="956"/>
        <v>2</v>
      </c>
      <c r="OG75" s="46">
        <f t="shared" si="957"/>
        <v>0</v>
      </c>
      <c r="OH75" s="46" cm="1">
        <f t="array" ref="OH75">ROUND(IFERROR(INDEX(ArchiveResults!$F$5:$IX$116,ComparisonData!A75,ComparisonData!$OH$1),0),5)</f>
        <v>0</v>
      </c>
      <c r="OI75" s="46" cm="1">
        <f t="array" ref="OI75">ROUND(IFERROR(INDEX(ArchiveResults!$F$5:$IX$116,ComparisonData!A75,ComparisonData!$OI$1),0),5)</f>
        <v>0</v>
      </c>
      <c r="OJ75" s="46" cm="1">
        <f t="array" ref="OJ75">ROUND(IFERROR(INDEX(ArchiveResults!$F$5:$IX$116,ComparisonData!A75,ComparisonData!$OJ$1),0),5)</f>
        <v>0</v>
      </c>
      <c r="OK75" s="46" cm="1">
        <f t="array" ref="OK75">ROUND(IFERROR(INDEX(ArchiveResults!$F$5:$IX$116,ComparisonData!A75,ComparisonData!$OK$1),0),5)</f>
        <v>0</v>
      </c>
      <c r="OL75" s="45" cm="1">
        <f t="array" ref="OL75">IFERROR(INDEX(ArchiveResults!$F$5:$IX$116,ComparisonData!A75,ComparisonData!$OL$1),0)</f>
        <v>0</v>
      </c>
      <c r="OM75" s="56">
        <v>70</v>
      </c>
      <c r="ON75" s="53" t="str">
        <f t="shared" si="696"/>
        <v>Royal Archives</v>
      </c>
      <c r="OO75" s="59">
        <f t="shared" si="958"/>
        <v>0</v>
      </c>
      <c r="OP75" s="59">
        <f t="shared" si="959"/>
        <v>0</v>
      </c>
      <c r="OQ75" s="59">
        <f t="shared" si="960"/>
        <v>0</v>
      </c>
      <c r="OR75" s="59">
        <f t="shared" si="961"/>
        <v>0</v>
      </c>
      <c r="OS75" s="59">
        <f t="shared" si="962"/>
        <v>0</v>
      </c>
      <c r="OT75" s="58">
        <f t="shared" si="963"/>
        <v>0</v>
      </c>
      <c r="OU75" s="45">
        <f t="shared" si="964"/>
        <v>101</v>
      </c>
      <c r="OV75" s="45">
        <f t="shared" si="697"/>
        <v>2.944</v>
      </c>
      <c r="OW75" s="45">
        <f t="shared" si="965"/>
        <v>1</v>
      </c>
      <c r="OX75" s="45">
        <f t="shared" si="966"/>
        <v>2</v>
      </c>
      <c r="OY75" s="45">
        <f t="shared" si="967"/>
        <v>0</v>
      </c>
      <c r="OZ75" s="46" cm="1">
        <f t="array" ref="OZ75">ROUND(IFERROR(INDEX(ArchiveResults!$F$5:$IX$116,ComparisonData!A75,ComparisonData!$OZ$1),0),5)</f>
        <v>0</v>
      </c>
      <c r="PA75" s="46" cm="1">
        <f t="array" ref="PA75">ROUND(IFERROR(INDEX(ArchiveResults!$F$5:$IX$116,ComparisonData!A75,ComparisonData!$PA$1),0),5)</f>
        <v>0</v>
      </c>
      <c r="PB75" s="46" cm="1">
        <f t="array" ref="PB75">ROUND(IFERROR(INDEX(ArchiveResults!$F$5:$IX$116,ComparisonData!A75,ComparisonData!$PB$1),0),5)</f>
        <v>0</v>
      </c>
      <c r="PC75" s="46" cm="1">
        <f t="array" ref="PC75">ROUND(IFERROR(INDEX(ArchiveResults!$F$5:$IX$116,ComparisonData!A75,ComparisonData!$PC$1),0),5)</f>
        <v>0</v>
      </c>
      <c r="PD75" s="45" cm="1">
        <f t="array" ref="PD75">IFERROR(INDEX(ArchiveResults!$F$5:$IX$116,ComparisonData!A75,ComparisonData!$PD$1),0)</f>
        <v>0</v>
      </c>
      <c r="PE75" s="56">
        <v>70</v>
      </c>
      <c r="PF75" s="53" t="str">
        <f t="shared" si="698"/>
        <v>Royal Archives</v>
      </c>
      <c r="PG75" s="59">
        <f t="shared" si="968"/>
        <v>0</v>
      </c>
      <c r="PH75" s="59">
        <f t="shared" si="969"/>
        <v>0</v>
      </c>
      <c r="PI75" s="59">
        <f t="shared" si="970"/>
        <v>0</v>
      </c>
      <c r="PJ75" s="59">
        <f t="shared" si="971"/>
        <v>0</v>
      </c>
      <c r="PK75" s="59">
        <f t="shared" si="972"/>
        <v>0</v>
      </c>
      <c r="PL75" s="58">
        <f t="shared" si="973"/>
        <v>0</v>
      </c>
      <c r="PM75" s="45">
        <f t="shared" si="974"/>
        <v>101</v>
      </c>
      <c r="PN75" s="45">
        <f t="shared" si="699"/>
        <v>2.944</v>
      </c>
      <c r="PO75" s="45">
        <f t="shared" si="975"/>
        <v>1</v>
      </c>
      <c r="PP75" s="45">
        <f t="shared" si="976"/>
        <v>2</v>
      </c>
      <c r="PQ75" s="45">
        <f t="shared" si="977"/>
        <v>0</v>
      </c>
      <c r="PR75" s="46" cm="1">
        <f t="array" ref="PR75">ROUND(IFERROR(INDEX(ArchiveResults!$F$5:$IX$116,ComparisonData!A75,ComparisonData!$PR$1),0),5)</f>
        <v>0</v>
      </c>
      <c r="PS75" s="46" cm="1">
        <f t="array" ref="PS75">ROUND(IFERROR(INDEX(ArchiveResults!$F$5:$IX$116,ComparisonData!A75,ComparisonData!$PS$1),0),5)</f>
        <v>0</v>
      </c>
      <c r="PT75" s="46" cm="1">
        <f t="array" ref="PT75">ROUND(IFERROR(INDEX(ArchiveResults!$F$5:$IX$116,ComparisonData!A75,ComparisonData!$PT$1),0),5)</f>
        <v>0</v>
      </c>
      <c r="PU75" s="46" cm="1">
        <f t="array" ref="PU75">ROUND(IFERROR(INDEX(ArchiveResults!$F$5:$IX$116,ComparisonData!A75,ComparisonData!$PU$1),0),5)</f>
        <v>0</v>
      </c>
      <c r="PV75" s="45" cm="1">
        <f t="array" ref="PV75">IFERROR(INDEX(ArchiveResults!$F$5:$IX$116,ComparisonData!A75,ComparisonData!$PV$1),0)</f>
        <v>0</v>
      </c>
      <c r="PW75" s="56">
        <v>70</v>
      </c>
      <c r="PX75" s="53" t="str">
        <f t="shared" si="700"/>
        <v>Royal Archives</v>
      </c>
      <c r="PY75" s="59">
        <f t="shared" si="978"/>
        <v>0</v>
      </c>
      <c r="PZ75" s="59">
        <f t="shared" si="979"/>
        <v>0</v>
      </c>
      <c r="QA75" s="59">
        <f t="shared" si="980"/>
        <v>0</v>
      </c>
      <c r="QB75" s="59">
        <f t="shared" si="981"/>
        <v>0</v>
      </c>
      <c r="QC75" s="59">
        <f t="shared" si="982"/>
        <v>0</v>
      </c>
      <c r="QD75" s="58">
        <f t="shared" si="983"/>
        <v>0</v>
      </c>
      <c r="QE75" s="45">
        <f t="shared" si="984"/>
        <v>101</v>
      </c>
      <c r="QF75" s="45">
        <f t="shared" si="701"/>
        <v>2.944</v>
      </c>
      <c r="QG75" s="45">
        <f t="shared" si="985"/>
        <v>1</v>
      </c>
      <c r="QH75" s="45">
        <f t="shared" si="986"/>
        <v>2</v>
      </c>
      <c r="QI75" s="45">
        <f t="shared" si="987"/>
        <v>0</v>
      </c>
      <c r="QJ75" s="46" cm="1">
        <f t="array" ref="QJ75">ROUND(IFERROR(INDEX(ArchiveResults!$F$5:$IX$116,ComparisonData!A75,ComparisonData!$QJ$1),0),5)</f>
        <v>0</v>
      </c>
      <c r="QK75" s="46" cm="1">
        <f t="array" ref="QK75">ROUND(IFERROR(INDEX(ArchiveResults!$F$5:$IX$116,ComparisonData!A75,ComparisonData!$QK$1),0),5)</f>
        <v>0</v>
      </c>
      <c r="QL75" s="46" cm="1">
        <f t="array" ref="QL75">ROUND(IFERROR(INDEX(ArchiveResults!$F$5:$IX$116,ComparisonData!A75,ComparisonData!$QL$1),0),5)</f>
        <v>0</v>
      </c>
      <c r="QM75" s="46" cm="1">
        <f t="array" ref="QM75">ROUND(IFERROR(INDEX(ArchiveResults!$F$5:$IX$116,ComparisonData!A75,ComparisonData!$QM$1),0),5)</f>
        <v>0</v>
      </c>
      <c r="QN75" s="45" cm="1">
        <f t="array" ref="QN75">IFERROR(INDEX(ArchiveResults!$F$5:$IX$116,ComparisonData!A75,ComparisonData!$QN$1),0)</f>
        <v>0</v>
      </c>
      <c r="QO75" s="56">
        <v>70</v>
      </c>
      <c r="QP75" s="53" t="str">
        <f t="shared" si="702"/>
        <v>Royal Archives</v>
      </c>
      <c r="QQ75" s="59">
        <f t="shared" si="988"/>
        <v>0</v>
      </c>
      <c r="QR75" s="59">
        <f t="shared" si="989"/>
        <v>0</v>
      </c>
      <c r="QS75" s="59">
        <f t="shared" si="990"/>
        <v>0</v>
      </c>
      <c r="QT75" s="59">
        <f t="shared" si="991"/>
        <v>0</v>
      </c>
      <c r="QU75" s="59">
        <f t="shared" si="992"/>
        <v>0</v>
      </c>
      <c r="QV75" s="58">
        <f t="shared" si="993"/>
        <v>0</v>
      </c>
      <c r="QW75" s="45">
        <f t="shared" si="994"/>
        <v>101</v>
      </c>
      <c r="QX75" s="45">
        <f t="shared" si="703"/>
        <v>2.944</v>
      </c>
      <c r="QY75" s="45">
        <f t="shared" si="995"/>
        <v>1</v>
      </c>
      <c r="QZ75" s="45">
        <f t="shared" si="996"/>
        <v>2</v>
      </c>
      <c r="RA75" s="45">
        <f t="shared" si="997"/>
        <v>0</v>
      </c>
      <c r="RB75" s="46" cm="1">
        <f t="array" ref="RB75">ROUND(IFERROR(INDEX(ArchiveResults!$F$5:$IX$116,ComparisonData!A75,ComparisonData!$RB$1),0),5)</f>
        <v>0</v>
      </c>
      <c r="RC75" s="46" cm="1">
        <f t="array" ref="RC75">ROUND(IFERROR(INDEX(ArchiveResults!$F$5:$IX$116,ComparisonData!A75,ComparisonData!$RC$1),0),5)</f>
        <v>0</v>
      </c>
      <c r="RD75" s="46" cm="1">
        <f t="array" ref="RD75">ROUND(IFERROR(INDEX(ArchiveResults!$F$5:$IX$116,ComparisonData!A75,ComparisonData!$RD$1),0),5)</f>
        <v>0</v>
      </c>
      <c r="RE75" s="46" cm="1">
        <f t="array" ref="RE75">ROUND(IFERROR(INDEX(ArchiveResults!$F$5:$IX$116,ComparisonData!A75,ComparisonData!$RE$1),0),5)</f>
        <v>0</v>
      </c>
      <c r="RF75" s="45" cm="1">
        <f t="array" ref="RF75">IFERROR(INDEX(ArchiveResults!$F$5:$IX$116,ComparisonData!A75,ComparisonData!$RF$1),0)</f>
        <v>0</v>
      </c>
      <c r="RG75" s="56">
        <v>70</v>
      </c>
      <c r="RH75" s="53" t="str">
        <f t="shared" si="704"/>
        <v>Royal Archives</v>
      </c>
      <c r="RI75" s="59">
        <f t="shared" si="998"/>
        <v>0</v>
      </c>
      <c r="RJ75" s="59">
        <f t="shared" si="999"/>
        <v>0</v>
      </c>
      <c r="RK75" s="59">
        <f t="shared" si="1000"/>
        <v>0</v>
      </c>
      <c r="RL75" s="59">
        <f t="shared" si="1001"/>
        <v>0</v>
      </c>
      <c r="RM75" s="59">
        <f t="shared" si="1002"/>
        <v>0</v>
      </c>
      <c r="RN75" s="58">
        <f t="shared" si="1003"/>
        <v>0</v>
      </c>
      <c r="RO75" s="45">
        <f t="shared" si="1004"/>
        <v>101</v>
      </c>
      <c r="RP75" s="45">
        <f t="shared" si="705"/>
        <v>2.944</v>
      </c>
      <c r="RQ75" s="45">
        <f t="shared" si="1005"/>
        <v>1</v>
      </c>
      <c r="RR75" s="45">
        <f t="shared" si="1006"/>
        <v>2</v>
      </c>
      <c r="RS75" s="45">
        <f t="shared" si="1007"/>
        <v>0</v>
      </c>
      <c r="RT75" s="46" cm="1">
        <f t="array" ref="RT75">ROUND(IFERROR(INDEX(ArchiveResults!$F$5:$IX$116,ComparisonData!A75,ComparisonData!$RT$1),0),5)</f>
        <v>0</v>
      </c>
      <c r="RU75" s="46" cm="1">
        <f t="array" ref="RU75">ROUND(IFERROR(INDEX(ArchiveResults!$F$5:$IX$116,ComparisonData!A75,ComparisonData!$RU$1),0),5)</f>
        <v>0</v>
      </c>
      <c r="RV75" s="46" cm="1">
        <f t="array" ref="RV75">ROUND(IFERROR(INDEX(ArchiveResults!$F$5:$IX$116,ComparisonData!A75,ComparisonData!$RV$1),0),5)</f>
        <v>0</v>
      </c>
      <c r="RW75" s="46" cm="1">
        <f t="array" ref="RW75">ROUND(IFERROR(INDEX(ArchiveResults!$F$5:$IX$116,ComparisonData!A75,ComparisonData!$RW$1),0),5)</f>
        <v>0</v>
      </c>
      <c r="RX75" s="45" cm="1">
        <f t="array" ref="RX75">IFERROR(INDEX(ArchiveResults!$F$5:$IX$116,ComparisonData!A75,ComparisonData!$RX$1),0)</f>
        <v>0</v>
      </c>
      <c r="RY75" s="56">
        <v>70</v>
      </c>
      <c r="RZ75" s="53" t="str">
        <f t="shared" si="706"/>
        <v>Royal Archives</v>
      </c>
      <c r="SA75" s="59">
        <f t="shared" si="1008"/>
        <v>0</v>
      </c>
      <c r="SB75" s="59">
        <f t="shared" si="1009"/>
        <v>0</v>
      </c>
      <c r="SC75" s="59">
        <f t="shared" si="1010"/>
        <v>0</v>
      </c>
      <c r="SD75" s="59">
        <f t="shared" si="1011"/>
        <v>0</v>
      </c>
      <c r="SE75" s="59">
        <f t="shared" si="1012"/>
        <v>0</v>
      </c>
      <c r="SF75" s="58">
        <f t="shared" si="1013"/>
        <v>0</v>
      </c>
      <c r="SG75" s="45">
        <f t="shared" si="1014"/>
        <v>101</v>
      </c>
      <c r="SH75" s="45">
        <f t="shared" si="707"/>
        <v>2.944</v>
      </c>
      <c r="SI75" s="45">
        <f t="shared" si="1015"/>
        <v>1</v>
      </c>
      <c r="SJ75" s="45">
        <f t="shared" si="1016"/>
        <v>2</v>
      </c>
      <c r="SK75" s="45">
        <f t="shared" si="1017"/>
        <v>0</v>
      </c>
      <c r="SL75" s="46" cm="1">
        <f t="array" ref="SL75">ROUND(IFERROR(INDEX(ArchiveResults!$F$5:$IX$116,ComparisonData!A75,ComparisonData!$SL$1),0),5)</f>
        <v>0</v>
      </c>
      <c r="SM75" s="46" cm="1">
        <f t="array" ref="SM75">ROUND(IFERROR(INDEX(ArchiveResults!$F$5:$IX$116,ComparisonData!A75,ComparisonData!$SM$1),0),5)</f>
        <v>0</v>
      </c>
      <c r="SN75" s="46" cm="1">
        <f t="array" ref="SN75">ROUND(IFERROR(INDEX(ArchiveResults!$F$5:$IX$116,ComparisonData!A75,ComparisonData!$SN$1),0),5)</f>
        <v>0</v>
      </c>
      <c r="SO75" s="46" cm="1">
        <f t="array" ref="SO75">ROUND(IFERROR(INDEX(ArchiveResults!$F$5:$IX$116,ComparisonData!A75,ComparisonData!$SO$1),0),5)</f>
        <v>0</v>
      </c>
      <c r="SP75" s="45" cm="1">
        <f t="array" ref="SP75">IFERROR(INDEX(ArchiveResults!$F$5:$IX$116,ComparisonData!A75,ComparisonData!$SP$1),0)</f>
        <v>0</v>
      </c>
      <c r="SQ75" s="56">
        <v>70</v>
      </c>
      <c r="SR75" s="53" t="str">
        <f t="shared" si="708"/>
        <v>Royal Archives</v>
      </c>
      <c r="SS75" s="59">
        <f t="shared" si="1018"/>
        <v>0</v>
      </c>
      <c r="ST75" s="59">
        <f t="shared" si="1019"/>
        <v>0</v>
      </c>
      <c r="SU75" s="59">
        <f t="shared" si="1020"/>
        <v>0</v>
      </c>
      <c r="SV75" s="59">
        <f t="shared" si="1021"/>
        <v>0</v>
      </c>
      <c r="SW75" s="59">
        <f t="shared" si="1022"/>
        <v>0</v>
      </c>
      <c r="SX75" s="58">
        <f t="shared" si="1023"/>
        <v>0</v>
      </c>
      <c r="SY75" s="45">
        <f t="shared" si="1024"/>
        <v>101</v>
      </c>
      <c r="SZ75" s="45">
        <f t="shared" si="709"/>
        <v>2.944</v>
      </c>
      <c r="TA75" s="45">
        <f t="shared" si="1025"/>
        <v>1</v>
      </c>
      <c r="TB75" s="45">
        <f t="shared" si="1026"/>
        <v>2</v>
      </c>
      <c r="TC75" s="45">
        <f t="shared" si="1027"/>
        <v>0</v>
      </c>
      <c r="TD75" s="46" cm="1">
        <f t="array" ref="TD75">ROUND(IFERROR(INDEX(ArchiveResults!$F$5:$IX$116,ComparisonData!A75,ComparisonData!$TD$1),0),5)</f>
        <v>0</v>
      </c>
      <c r="TE75" s="46" cm="1">
        <f t="array" ref="TE75">ROUND(IFERROR(INDEX(ArchiveResults!$F$5:$IX$116,ComparisonData!A75,ComparisonData!$TE$1),0),5)</f>
        <v>0</v>
      </c>
      <c r="TF75" s="46" cm="1">
        <f t="array" ref="TF75">ROUND(IFERROR(INDEX(ArchiveResults!$F$5:$IX$116,ComparisonData!A75,ComparisonData!$TF$1),0),5)</f>
        <v>0</v>
      </c>
      <c r="TG75" s="46" cm="1">
        <f t="array" ref="TG75">ROUND(IFERROR(INDEX(ArchiveResults!$F$5:$IX$116,ComparisonData!A75,ComparisonData!$TG$1),0),5)</f>
        <v>0</v>
      </c>
      <c r="TH75" s="45" cm="1">
        <f t="array" ref="TH75">IFERROR(INDEX(ArchiveResults!$F$5:$IX$116,ComparisonData!A75,ComparisonData!$TH$1),0)</f>
        <v>0</v>
      </c>
      <c r="TI75" s="56">
        <v>70</v>
      </c>
      <c r="TJ75" s="53" t="str">
        <f t="shared" si="710"/>
        <v>Royal Archives</v>
      </c>
      <c r="TK75" s="59">
        <f t="shared" si="1028"/>
        <v>0</v>
      </c>
      <c r="TL75" s="59">
        <f t="shared" si="1029"/>
        <v>0</v>
      </c>
      <c r="TM75" s="59">
        <f t="shared" si="1030"/>
        <v>0</v>
      </c>
      <c r="TN75" s="59">
        <f t="shared" si="1031"/>
        <v>0</v>
      </c>
      <c r="TO75" s="59">
        <f t="shared" si="1032"/>
        <v>0</v>
      </c>
      <c r="TP75" s="58">
        <f t="shared" si="1033"/>
        <v>0</v>
      </c>
      <c r="TQ75" s="45">
        <f t="shared" si="1034"/>
        <v>101</v>
      </c>
      <c r="TR75" s="45">
        <f t="shared" si="711"/>
        <v>2.944</v>
      </c>
      <c r="TS75" s="45">
        <f t="shared" si="1035"/>
        <v>1</v>
      </c>
      <c r="TT75" s="45">
        <f t="shared" si="1036"/>
        <v>2</v>
      </c>
      <c r="TU75" s="45">
        <f t="shared" si="1037"/>
        <v>0</v>
      </c>
      <c r="TV75" s="46" cm="1">
        <f t="array" ref="TV75">ROUND(IFERROR(INDEX(ArchiveResults!$F$5:$IX$116,ComparisonData!A75,ComparisonData!$TV$1),0),5)</f>
        <v>0</v>
      </c>
      <c r="TW75" s="46" cm="1">
        <f t="array" ref="TW75">ROUND(IFERROR(INDEX(ArchiveResults!$F$5:$IX$116,ComparisonData!A75,ComparisonData!$TW$1),0),5)</f>
        <v>0</v>
      </c>
      <c r="TX75" s="46" cm="1">
        <f t="array" ref="TX75">ROUND(IFERROR(INDEX(ArchiveResults!$F$5:$IX$116,ComparisonData!A75,ComparisonData!$TX$1),0),5)</f>
        <v>0</v>
      </c>
      <c r="TY75" s="46" cm="1">
        <f t="array" ref="TY75">ROUND(IFERROR(INDEX(ArchiveResults!$F$5:$IX$116,ComparisonData!A75,ComparisonData!$TY$1),0),5)</f>
        <v>0</v>
      </c>
      <c r="TZ75" s="45" cm="1">
        <f t="array" ref="TZ75">IFERROR(INDEX(ArchiveResults!$F$5:$IX$116,ComparisonData!A75,ComparisonData!$TZ$1),0)</f>
        <v>0</v>
      </c>
      <c r="UA75" s="56">
        <v>70</v>
      </c>
      <c r="UB75" s="53" t="str">
        <f t="shared" si="712"/>
        <v>Royal Archives</v>
      </c>
      <c r="UC75" s="60">
        <f t="shared" si="1038"/>
        <v>0</v>
      </c>
      <c r="UD75" s="60">
        <f t="shared" si="1039"/>
        <v>0</v>
      </c>
      <c r="UE75" s="60">
        <f t="shared" si="1040"/>
        <v>0</v>
      </c>
      <c r="UF75" s="60">
        <f t="shared" si="1041"/>
        <v>0</v>
      </c>
      <c r="UG75" s="60">
        <f t="shared" si="1042"/>
        <v>0</v>
      </c>
      <c r="UH75" s="58">
        <f t="shared" si="1043"/>
        <v>0</v>
      </c>
      <c r="UI75" s="46">
        <f t="shared" si="1044"/>
        <v>101</v>
      </c>
      <c r="UJ75" s="46">
        <f t="shared" si="713"/>
        <v>2.944</v>
      </c>
      <c r="UK75" s="46">
        <f t="shared" si="1045"/>
        <v>1</v>
      </c>
      <c r="UL75" s="46">
        <f t="shared" si="1046"/>
        <v>2</v>
      </c>
      <c r="UM75" s="46" cm="1">
        <f t="array" ref="UM75">ROUND(IFERROR(INDEX(ArchiveResults!$F$5:$IX$116,ComparisonData!A75,ComparisonData!$UM$1),0),5)</f>
        <v>0</v>
      </c>
      <c r="UN75" s="56">
        <v>70</v>
      </c>
      <c r="UO75" s="53" t="str">
        <f t="shared" si="714"/>
        <v>Royal Archives</v>
      </c>
      <c r="UP75" s="46">
        <f t="shared" si="1047"/>
        <v>0</v>
      </c>
      <c r="UQ75" s="76">
        <f t="shared" si="1048"/>
        <v>0</v>
      </c>
      <c r="UR75" s="46">
        <f t="shared" si="1049"/>
        <v>101</v>
      </c>
      <c r="US75" s="46">
        <f t="shared" si="715"/>
        <v>2.944</v>
      </c>
      <c r="UT75" s="46">
        <f t="shared" si="1050"/>
        <v>1</v>
      </c>
      <c r="UU75" s="46">
        <f t="shared" si="1051"/>
        <v>2</v>
      </c>
      <c r="UV75" s="46">
        <f t="shared" si="1052"/>
        <v>0</v>
      </c>
      <c r="UW75" s="46" cm="1">
        <f t="array" ref="UW75">ROUND(IFERROR(INDEX(ArchiveResults!$F$5:$IX$116,ComparisonData!A75,ComparisonData!$UW$1),0),5)</f>
        <v>0</v>
      </c>
      <c r="UX75" s="46" cm="1">
        <f t="array" ref="UX75">ROUND(IFERROR(INDEX(ArchiveResults!$F$5:$IX$116,ComparisonData!A75,ComparisonData!$UX$1),0),5)</f>
        <v>0</v>
      </c>
      <c r="UY75" s="46" cm="1">
        <f t="array" ref="UY75">ROUND(IFERROR(INDEX(ArchiveResults!$F$5:$IX$116,ComparisonData!A75,ComparisonData!$UY$1),0),5)</f>
        <v>0</v>
      </c>
      <c r="UZ75" s="46" cm="1">
        <f t="array" ref="UZ75">ROUND(IFERROR(INDEX(ArchiveResults!$F$5:$IX$116,ComparisonData!A75,ComparisonData!$UZ$1),0),5)</f>
        <v>0</v>
      </c>
      <c r="VA75" s="46" cm="1">
        <f t="array" ref="VA75">ROUND(IFERROR(INDEX(ArchiveResults!$F$5:$IX$116,ComparisonData!A75,ComparisonData!$VA$1),0),5)</f>
        <v>0</v>
      </c>
      <c r="VB75" s="56">
        <v>70</v>
      </c>
      <c r="VC75" s="53" t="str">
        <f t="shared" si="716"/>
        <v>Royal Archives</v>
      </c>
      <c r="VD75" s="60">
        <f t="shared" si="1053"/>
        <v>0</v>
      </c>
      <c r="VE75" s="60">
        <f t="shared" si="1054"/>
        <v>0</v>
      </c>
      <c r="VF75" s="60">
        <f t="shared" si="1055"/>
        <v>0</v>
      </c>
      <c r="VG75" s="60">
        <f t="shared" si="1056"/>
        <v>0</v>
      </c>
      <c r="VH75" s="60">
        <f t="shared" si="1057"/>
        <v>0</v>
      </c>
      <c r="VI75" s="76">
        <f t="shared" si="1058"/>
        <v>0</v>
      </c>
      <c r="VJ75" s="46">
        <f t="shared" si="1059"/>
        <v>101</v>
      </c>
      <c r="VK75" s="46">
        <f t="shared" si="717"/>
        <v>2.944</v>
      </c>
      <c r="VL75" s="46">
        <f t="shared" si="1060"/>
        <v>1</v>
      </c>
      <c r="VM75" s="46">
        <f t="shared" si="1061"/>
        <v>2</v>
      </c>
      <c r="VN75" s="46" cm="1">
        <f t="array" ref="VN75">ROUND(IFERROR(INDEX(ArchiveResults!$F$5:$IX$116,ComparisonData!A75,ComparisonData!$VN$1),0),5)</f>
        <v>0</v>
      </c>
      <c r="VO75" s="46" cm="1">
        <f t="array" ref="VO75">ROUND(IFERROR(INDEX(ArchiveResults!$F$5:$IX$116,ComparisonData!A75,ComparisonData!$VO$1),0),5)</f>
        <v>0</v>
      </c>
      <c r="VP75" s="46" cm="1">
        <f t="array" ref="VP75">ROUND(IFERROR(INDEX(ArchiveResults!$F$5:$IX$116,ComparisonData!A75,ComparisonData!$VP$1),0),5)</f>
        <v>0</v>
      </c>
      <c r="VQ75" s="46" cm="1">
        <f t="array" ref="VQ75">ROUND(IFERROR(INDEX(ArchiveResults!$F$5:$IX$116,ComparisonData!A75,ComparisonData!$VQ$1),0),5)</f>
        <v>0</v>
      </c>
      <c r="VR75" s="56">
        <v>70</v>
      </c>
      <c r="VS75" s="53" t="str">
        <f t="shared" si="718"/>
        <v>Royal Archives</v>
      </c>
      <c r="VT75" s="60">
        <f t="shared" si="1062"/>
        <v>0</v>
      </c>
      <c r="VU75" s="60">
        <f t="shared" si="1063"/>
        <v>0</v>
      </c>
      <c r="VV75" s="60">
        <f t="shared" si="1064"/>
        <v>0</v>
      </c>
      <c r="VW75" s="60">
        <f t="shared" si="1065"/>
        <v>0</v>
      </c>
      <c r="VX75" s="76">
        <f t="shared" si="1066"/>
        <v>0</v>
      </c>
      <c r="VY75" s="46">
        <f t="shared" si="1067"/>
        <v>101</v>
      </c>
      <c r="VZ75" s="46">
        <f t="shared" si="719"/>
        <v>2.944</v>
      </c>
      <c r="WA75" s="46">
        <f t="shared" si="1068"/>
        <v>1</v>
      </c>
      <c r="WB75" s="46">
        <f t="shared" si="1069"/>
        <v>2</v>
      </c>
      <c r="WC75" s="46" cm="1">
        <f t="array" ref="WC75">ROUND(IFERROR(INDEX(ArchiveResults!$F$5:$IX$116,ComparisonData!A75,ComparisonData!$WC$1),0),5)</f>
        <v>0</v>
      </c>
      <c r="WD75" s="56">
        <v>70</v>
      </c>
      <c r="WE75" s="53" t="str">
        <f t="shared" si="720"/>
        <v>Royal Archives</v>
      </c>
      <c r="WF75" s="46">
        <f t="shared" si="1070"/>
        <v>0</v>
      </c>
      <c r="WG75" s="76">
        <f t="shared" si="1071"/>
        <v>0</v>
      </c>
      <c r="WH75" s="46">
        <f t="shared" si="1072"/>
        <v>101</v>
      </c>
      <c r="WI75" s="46">
        <f t="shared" si="721"/>
        <v>2.944</v>
      </c>
      <c r="WJ75" s="46">
        <f t="shared" si="1073"/>
        <v>1</v>
      </c>
      <c r="WK75" s="46">
        <f t="shared" si="1074"/>
        <v>2</v>
      </c>
      <c r="WL75" s="46" cm="1">
        <f t="array" ref="WL75">ROUND(IFERROR(INDEX(ArchiveResults!$F$5:$IX$116,ComparisonData!A75,ComparisonData!$WL$1),0),5)</f>
        <v>0</v>
      </c>
      <c r="WM75" s="46" cm="1">
        <f t="array" ref="WM75">IFERROR(INDEX(ArchiveResults!$F$5:$IX$116,ComparisonData!A75,ComparisonData!$WM$1),0)</f>
        <v>0</v>
      </c>
      <c r="WN75" s="56">
        <v>70</v>
      </c>
      <c r="WO75" s="53" t="str">
        <f t="shared" si="722"/>
        <v>Royal Archives</v>
      </c>
      <c r="WP75" s="60">
        <f t="shared" si="1075"/>
        <v>0</v>
      </c>
      <c r="WQ75" s="60">
        <f t="shared" si="1076"/>
        <v>0</v>
      </c>
      <c r="WR75" s="76">
        <f t="shared" si="1077"/>
        <v>0</v>
      </c>
      <c r="WS75" s="46">
        <f t="shared" si="1078"/>
        <v>101</v>
      </c>
      <c r="WT75" s="46">
        <f t="shared" si="723"/>
        <v>2.944</v>
      </c>
      <c r="WU75" s="46">
        <f t="shared" si="1079"/>
        <v>1</v>
      </c>
      <c r="WV75" s="46">
        <f t="shared" si="1080"/>
        <v>2</v>
      </c>
      <c r="WW75" s="46" cm="1">
        <f t="array" ref="WW75">ROUND(VALUE(IFERROR(INDEX(ArchiveResults!$F$5:$IX$116,ComparisonData!A75,ComparisonData!$WW$1),0)),5)</f>
        <v>0</v>
      </c>
      <c r="WX75" s="46" cm="1">
        <f t="array" ref="WX75">ROUND(IFERROR(INDEX(ArchiveResults!$F$5:$IX$116,ComparisonData!A75,ComparisonData!$WX$1),0),5)</f>
        <v>0</v>
      </c>
      <c r="WY75" s="56">
        <v>70</v>
      </c>
      <c r="WZ75" s="53" t="str">
        <f t="shared" si="724"/>
        <v>Royal Archives</v>
      </c>
      <c r="XA75" s="60">
        <f t="shared" si="725"/>
        <v>0</v>
      </c>
      <c r="XB75" s="60">
        <f t="shared" si="726"/>
        <v>0</v>
      </c>
      <c r="XC75" s="76">
        <f t="shared" si="1081"/>
        <v>0</v>
      </c>
      <c r="XD75" s="46">
        <f t="shared" si="1082"/>
        <v>101</v>
      </c>
      <c r="XE75" s="46">
        <f t="shared" si="727"/>
        <v>2.944</v>
      </c>
      <c r="XF75" s="46">
        <f t="shared" si="1083"/>
        <v>1</v>
      </c>
      <c r="XG75" s="46">
        <f t="shared" si="1084"/>
        <v>2</v>
      </c>
      <c r="XH75" s="46" cm="1">
        <f t="array" ref="XH75">ROUND(VALUE(IFERROR(INDEX(ArchiveResults!$F$5:$IX$116,ComparisonData!A75,ComparisonData!$XH$1),0)),5)</f>
        <v>0</v>
      </c>
      <c r="XI75" s="46" cm="1">
        <f t="array" ref="XI75">ROUND(VALUE(IFERROR(INDEX(ArchiveResults!$F$5:$IX$116,ComparisonData!A75,ComparisonData!$XI$1),0)),5)</f>
        <v>0</v>
      </c>
      <c r="XJ75" s="56">
        <v>70</v>
      </c>
      <c r="XK75" s="53" t="str">
        <f t="shared" si="728"/>
        <v>Royal Archives</v>
      </c>
      <c r="XL75" s="60">
        <f t="shared" si="1085"/>
        <v>0</v>
      </c>
      <c r="XM75" s="60">
        <f t="shared" si="1086"/>
        <v>0</v>
      </c>
      <c r="XN75" s="76">
        <f t="shared" si="1087"/>
        <v>0</v>
      </c>
      <c r="XO75" s="46">
        <f t="shared" si="1088"/>
        <v>101</v>
      </c>
      <c r="XP75" s="46">
        <f t="shared" si="729"/>
        <v>2.944</v>
      </c>
      <c r="XQ75" s="46">
        <f t="shared" si="1089"/>
        <v>1</v>
      </c>
      <c r="XR75" s="46">
        <f t="shared" si="1090"/>
        <v>2</v>
      </c>
      <c r="XS75" s="46" cm="1">
        <f t="array" ref="XS75">ROUND(VALUE(IFERROR(INDEX(ArchiveResults!$F$5:$IX$116,ComparisonData!A75,ComparisonData!$XS$1),0)),5)</f>
        <v>0</v>
      </c>
      <c r="XT75" s="46" cm="1">
        <f t="array" ref="XT75">ROUND(VALUE(IFERROR(INDEX(ArchiveResults!$F$5:$IX$116,ComparisonData!A75,ComparisonData!$XT$1),0)),5)</f>
        <v>0</v>
      </c>
      <c r="XU75" s="56">
        <v>70</v>
      </c>
      <c r="XV75" s="53" t="str">
        <f t="shared" si="730"/>
        <v>Royal Archives</v>
      </c>
      <c r="XW75" s="60">
        <f t="shared" si="1091"/>
        <v>0</v>
      </c>
      <c r="XX75" s="60">
        <f t="shared" si="1092"/>
        <v>0</v>
      </c>
      <c r="XY75" s="76">
        <f t="shared" si="1093"/>
        <v>0</v>
      </c>
      <c r="XZ75" s="46">
        <f t="shared" si="1094"/>
        <v>101</v>
      </c>
      <c r="YA75" s="46">
        <f t="shared" si="731"/>
        <v>2.944</v>
      </c>
      <c r="YB75" s="46">
        <f t="shared" si="1095"/>
        <v>1</v>
      </c>
      <c r="YC75" s="46">
        <f t="shared" si="1096"/>
        <v>2</v>
      </c>
      <c r="YD75" s="46" cm="1">
        <f t="array" ref="YD75">ROUND(VALUE(IFERROR(INDEX(ArchiveResults!$F$5:$IX$116,ComparisonData!A75,ComparisonData!$YD$1),0)),5)</f>
        <v>0</v>
      </c>
      <c r="YE75" s="46" cm="1">
        <f t="array" ref="YE75">ROUND(VALUE(IFERROR(INDEX(ArchiveResults!$F$5:$IX$116,ComparisonData!A75,ComparisonData!$YE$1),0)),5)</f>
        <v>0</v>
      </c>
      <c r="YF75" s="56">
        <v>70</v>
      </c>
      <c r="YG75" s="53" t="str">
        <f t="shared" si="732"/>
        <v>Royal Archives</v>
      </c>
      <c r="YH75" s="60">
        <f t="shared" si="1097"/>
        <v>0</v>
      </c>
      <c r="YI75" s="60">
        <f t="shared" si="1098"/>
        <v>0</v>
      </c>
      <c r="YJ75" s="76">
        <f t="shared" si="1099"/>
        <v>0</v>
      </c>
      <c r="YK75" s="46">
        <f t="shared" si="1100"/>
        <v>101</v>
      </c>
      <c r="YL75" s="46">
        <f t="shared" si="733"/>
        <v>2.944</v>
      </c>
      <c r="YM75" s="46">
        <f t="shared" si="1101"/>
        <v>1</v>
      </c>
      <c r="YN75" s="46">
        <f t="shared" si="1102"/>
        <v>2</v>
      </c>
      <c r="YO75" s="46" cm="1">
        <f t="array" ref="YO75">ROUND(VALUE(IFERROR(INDEX(ArchiveResults!$F$5:$IX$116,ComparisonData!A75,ComparisonData!$YO$1),0)),5)</f>
        <v>0</v>
      </c>
      <c r="YP75" s="46" cm="1">
        <f t="array" ref="YP75">ROUND(VALUE(IFERROR(INDEX(ArchiveResults!$F$5:$IX$116,ComparisonData!A75,ComparisonData!$YP$1),0)),5)</f>
        <v>0</v>
      </c>
      <c r="YQ75" s="56">
        <v>70</v>
      </c>
      <c r="YR75" s="53" t="str">
        <f t="shared" si="734"/>
        <v>Royal Archives</v>
      </c>
      <c r="YS75" s="60">
        <f t="shared" si="1103"/>
        <v>0</v>
      </c>
      <c r="YT75" s="60">
        <f t="shared" si="1104"/>
        <v>0</v>
      </c>
      <c r="YU75" s="76">
        <f t="shared" si="1105"/>
        <v>0</v>
      </c>
      <c r="YV75" s="46">
        <f t="shared" si="1106"/>
        <v>101</v>
      </c>
      <c r="YW75" s="46">
        <f t="shared" si="735"/>
        <v>2.944</v>
      </c>
      <c r="YX75" s="46">
        <f t="shared" si="1107"/>
        <v>1</v>
      </c>
      <c r="YY75" s="46">
        <f t="shared" si="1108"/>
        <v>2</v>
      </c>
      <c r="YZ75" s="46">
        <f t="shared" si="1109"/>
        <v>0</v>
      </c>
      <c r="ZA75" s="46" cm="1">
        <f t="array" ref="ZA75">ROUNDDOWN(VALUE(IFERROR(INDEX(ArchiveResults!$F$5:$IX$116,ComparisonData!A75,ComparisonData!$ZA$1),0)),5)</f>
        <v>0</v>
      </c>
      <c r="ZB75" s="46" cm="1">
        <f t="array" ref="ZB75">ROUNDDOWN(VALUE(IFERROR(INDEX(ArchiveResults!$F$5:$IX$116,ComparisonData!A75,ComparisonData!$ZB$1),0)),5)</f>
        <v>0</v>
      </c>
      <c r="ZC75" s="46" cm="1">
        <f t="array" ref="ZC75">ROUNDDOWN(VALUE(IFERROR(INDEX(ArchiveResults!$F$5:$IX$116,ComparisonData!A75,ComparisonData!$ZC$1),0)),5)</f>
        <v>0</v>
      </c>
      <c r="ZD75" s="46" cm="1">
        <f t="array" ref="ZD75">ROUNDDOWN(VALUE(IFERROR(INDEX(ArchiveResults!$F$5:$IX$116,ComparisonData!A75,ComparisonData!$ZD$1),0)),5)</f>
        <v>0</v>
      </c>
      <c r="ZE75" s="46" cm="1">
        <f t="array" ref="ZE75">ROUNDDOWN(VALUE(IFERROR(INDEX(ArchiveResults!$F$5:$IX$116,ComparisonData!A75,ComparisonData!$ZE$1),0)),5)</f>
        <v>0</v>
      </c>
      <c r="ZF75" s="56">
        <v>70</v>
      </c>
      <c r="ZG75" s="53" t="str">
        <f t="shared" si="736"/>
        <v>Royal Archives</v>
      </c>
      <c r="ZH75" s="60">
        <f t="shared" si="1110"/>
        <v>0</v>
      </c>
      <c r="ZI75" s="60">
        <f t="shared" si="1111"/>
        <v>0</v>
      </c>
      <c r="ZJ75" s="60">
        <f t="shared" si="1112"/>
        <v>0</v>
      </c>
      <c r="ZK75" s="60">
        <f t="shared" si="1113"/>
        <v>0</v>
      </c>
      <c r="ZL75" s="60">
        <f t="shared" si="1114"/>
        <v>0</v>
      </c>
      <c r="ZM75" s="76">
        <f t="shared" si="1115"/>
        <v>0</v>
      </c>
      <c r="ZN75" s="46">
        <f t="shared" si="1116"/>
        <v>101</v>
      </c>
      <c r="ZO75" s="46">
        <f t="shared" si="737"/>
        <v>2.944</v>
      </c>
      <c r="ZP75" s="46">
        <f t="shared" si="1117"/>
        <v>1</v>
      </c>
      <c r="ZQ75" s="46">
        <f t="shared" si="1118"/>
        <v>2</v>
      </c>
      <c r="ZR75" s="46" cm="1">
        <f t="array" ref="ZR75">ROUND(VALUE(IFERROR(INDEX(ArchiveResults!$F$5:$IX$116,ComparisonData!A75,ComparisonData!$ZR$1),0)),5)</f>
        <v>0</v>
      </c>
      <c r="ZS75" s="56">
        <v>70</v>
      </c>
      <c r="ZT75" s="53" t="str">
        <f t="shared" si="738"/>
        <v>Royal Archives</v>
      </c>
      <c r="ZU75" s="46">
        <f t="shared" si="1119"/>
        <v>0</v>
      </c>
      <c r="ZV75" s="76">
        <f t="shared" si="1120"/>
        <v>0</v>
      </c>
      <c r="ZW75" s="81" cm="1">
        <f t="array" ref="ZW75">ROUND((IFERROR(INDEX(ArchiveResults!$F$5:$IX$116,ComparisonData!A75,ComparisonData!$ZW$1),0)),5)</f>
        <v>0</v>
      </c>
      <c r="ZX75" s="81" cm="1">
        <f t="array" ref="ZX75">ROUND((IFERROR(INDEX(ArchiveResults!$F$5:$IX$116,ComparisonData!A75,ComparisonData!$ZX$1),0)),5)</f>
        <v>0</v>
      </c>
      <c r="ZY75" s="81" cm="1">
        <f t="array" ref="ZY75">ROUND((IFERROR(INDEX(ArchiveResults!$F$5:$IX$116,ComparisonData!A75,ComparisonData!$ZY$1),0)),5)</f>
        <v>0</v>
      </c>
      <c r="ZZ75" s="81" cm="1">
        <f t="array" ref="ZZ75">ROUND((IFERROR(INDEX(ArchiveResults!$F$5:$IX$116,ComparisonData!A75,ComparisonData!$ZZ$1),0)),5)</f>
        <v>0</v>
      </c>
      <c r="AAA75" s="81" cm="1">
        <f t="array" ref="AAA75">ROUND((IFERROR(INDEX(ArchiveResults!$F$5:$IX$116,ComparisonData!A75,ComparisonData!$AAA$1),0)),5)</f>
        <v>0</v>
      </c>
      <c r="AAB75" s="81" cm="1">
        <f t="array" ref="AAB75">ROUND((IFERROR(INDEX(ArchiveResults!$F$5:$IX$116,ComparisonData!A75,ComparisonData!$AAB$1),0)),5)</f>
        <v>0</v>
      </c>
      <c r="AAC75" s="81" cm="1">
        <f t="array" ref="AAC75">ROUND((IFERROR(INDEX(ArchiveResults!$F$5:$IX$116,ComparisonData!A75,ComparisonData!$AAC$1),0)),5)</f>
        <v>0</v>
      </c>
      <c r="AAD75" s="81" cm="1">
        <f t="array" ref="AAD75">ROUND((IFERROR(INDEX(ArchiveResults!$F$5:$IX$116,ComparisonData!A75,ComparisonData!$AAD$1),0)),5)</f>
        <v>0</v>
      </c>
      <c r="AAE75" s="81" cm="1">
        <f t="array" ref="AAE75">ROUND((IFERROR(INDEX(ArchiveResults!$F$5:$IX$116,ComparisonData!A75,ComparisonData!$AAE$1),0)),5)</f>
        <v>0</v>
      </c>
      <c r="AAF75" s="81" cm="1">
        <f t="array" ref="AAF75">ROUND((IFERROR(INDEX(ArchiveResults!$F$5:$IX$116,ComparisonData!A75,ComparisonData!$AAF$1),0)),5)</f>
        <v>0</v>
      </c>
      <c r="AAG75" s="46">
        <f t="shared" si="1121"/>
        <v>101</v>
      </c>
      <c r="AAH75" s="46">
        <f t="shared" si="739"/>
        <v>2.944</v>
      </c>
      <c r="AAI75" s="46">
        <f t="shared" si="1122"/>
        <v>1</v>
      </c>
      <c r="AAJ75" s="46">
        <f t="shared" si="1123"/>
        <v>2</v>
      </c>
      <c r="AAK75" s="46">
        <f t="shared" si="1124"/>
        <v>0</v>
      </c>
      <c r="AAL75" s="46">
        <f t="shared" si="1125"/>
        <v>0</v>
      </c>
      <c r="AAM75" s="46">
        <f t="shared" si="1126"/>
        <v>0</v>
      </c>
      <c r="AAN75" s="46">
        <f t="shared" si="1127"/>
        <v>0</v>
      </c>
      <c r="AAO75" s="46">
        <f t="shared" si="1128"/>
        <v>0</v>
      </c>
      <c r="AAP75" s="46">
        <f t="shared" si="1129"/>
        <v>0</v>
      </c>
      <c r="AAQ75" s="56">
        <v>70</v>
      </c>
      <c r="AAR75" s="53" t="str">
        <f t="shared" si="740"/>
        <v>Royal Archives</v>
      </c>
      <c r="AAS75" s="60">
        <f t="shared" si="1130"/>
        <v>0</v>
      </c>
      <c r="AAT75" s="60">
        <f t="shared" si="1131"/>
        <v>0</v>
      </c>
      <c r="AAU75" s="60">
        <f t="shared" si="1132"/>
        <v>0</v>
      </c>
      <c r="AAV75" s="60">
        <f t="shared" si="1133"/>
        <v>0</v>
      </c>
      <c r="AAW75" s="60">
        <f t="shared" si="1134"/>
        <v>0</v>
      </c>
      <c r="AAX75" s="76">
        <f t="shared" si="1135"/>
        <v>0</v>
      </c>
      <c r="AAY75" s="46">
        <f t="shared" si="1136"/>
        <v>101</v>
      </c>
      <c r="AAZ75" s="46">
        <f t="shared" si="741"/>
        <v>2.944</v>
      </c>
      <c r="ABA75" s="46">
        <f t="shared" si="1137"/>
        <v>1</v>
      </c>
      <c r="ABB75" s="46">
        <f t="shared" si="1138"/>
        <v>2</v>
      </c>
      <c r="ABC75" s="46">
        <f t="shared" si="742"/>
        <v>0</v>
      </c>
      <c r="ABD75" s="46" cm="1">
        <f t="array" ref="ABD75">ROUND(VALUE(IFERROR(INDEX(ArchiveResults!$F$5:$IX$116,ComparisonData!A75,ComparisonData!$ABD$1),0)),5)</f>
        <v>0</v>
      </c>
      <c r="ABE75" s="46" cm="1">
        <f t="array" ref="ABE75">ROUND(VALUE(IFERROR(INDEX(ArchiveResults!$F$5:$IX$116,ComparisonData!A75,ComparisonData!$ABE$1),0)),5)</f>
        <v>0</v>
      </c>
      <c r="ABF75" s="46" cm="1">
        <f t="array" ref="ABF75">ROUND(VALUE(IFERROR(INDEX(ArchiveResults!$F$5:$IX$116,ComparisonData!A75,ComparisonData!$ABF$1),0)),5)</f>
        <v>0</v>
      </c>
      <c r="ABG75" s="46" cm="1">
        <f t="array" ref="ABG75">ROUND(VALUE(IFERROR(INDEX(ArchiveResults!$F$5:$IX$116,ComparisonData!A75,ComparisonData!$ABG$1),0)),5)</f>
        <v>0</v>
      </c>
      <c r="ABH75" s="46" cm="1">
        <f t="array" ref="ABH75">ROUND(VALUE(IFERROR(INDEX(ArchiveResults!$F$5:$IX$116,ComparisonData!A75,ComparisonData!$ABH$1),0)),5)</f>
        <v>0</v>
      </c>
      <c r="ABI75" s="56">
        <v>70</v>
      </c>
      <c r="ABJ75" s="53" t="str">
        <f t="shared" si="743"/>
        <v>Royal Archives</v>
      </c>
      <c r="ABK75" s="60">
        <f t="shared" si="1139"/>
        <v>0</v>
      </c>
      <c r="ABL75" s="60">
        <f t="shared" si="1140"/>
        <v>0</v>
      </c>
      <c r="ABM75" s="60">
        <f t="shared" si="1141"/>
        <v>0</v>
      </c>
      <c r="ABN75" s="60">
        <f t="shared" si="1142"/>
        <v>0</v>
      </c>
      <c r="ABO75" s="60">
        <f t="shared" si="1143"/>
        <v>0</v>
      </c>
      <c r="ABP75" s="76">
        <f t="shared" si="1144"/>
        <v>0</v>
      </c>
      <c r="ABQ75" s="46">
        <f t="shared" si="1145"/>
        <v>101</v>
      </c>
      <c r="ABR75" s="46">
        <f t="shared" si="744"/>
        <v>2.944</v>
      </c>
      <c r="ABS75" s="46">
        <f t="shared" si="1146"/>
        <v>1</v>
      </c>
      <c r="ABT75" s="46">
        <f t="shared" si="1147"/>
        <v>2</v>
      </c>
      <c r="ABU75" s="46" cm="1">
        <f t="array" ref="ABU75">ROUND(VALUE(IFERROR(INDEX(ArchiveResults!$F$5:$IX$116,ComparisonData!A75,ComparisonData!$ABU$1),0)),5)</f>
        <v>0</v>
      </c>
      <c r="ABV75" s="46" cm="1">
        <f t="array" ref="ABV75">ROUND(VALUE(IFERROR(INDEX(ArchiveResults!$F$5:$IX$116,ComparisonData!A75,ComparisonData!$ABV$1),0)),5)</f>
        <v>0</v>
      </c>
      <c r="ABW75" s="46" cm="1">
        <f t="array" ref="ABW75">ROUND(VALUE(IFERROR(INDEX(ArchiveResults!$F$5:$IX$116,ComparisonData!A75,ComparisonData!$ABW$1),0)),5)</f>
        <v>0</v>
      </c>
      <c r="ABX75" s="46" cm="1">
        <f t="array" ref="ABX75">ROUND(VALUE(IFERROR(INDEX(ArchiveResults!$F$5:$IX$116,ComparisonData!A75,ComparisonData!$ABX$1),0)),5)</f>
        <v>0</v>
      </c>
      <c r="ABY75" s="46" cm="1">
        <f t="array" ref="ABY75">ROUND(VALUE(IFERROR(INDEX(ArchiveResults!$F$5:$IX$116,ComparisonData!A75,ComparisonData!$ABY$1),0)),5)</f>
        <v>0</v>
      </c>
      <c r="ABZ75" s="56">
        <v>70</v>
      </c>
      <c r="ACA75" s="53" t="str">
        <f t="shared" si="745"/>
        <v>Royal Archives</v>
      </c>
      <c r="ACB75" s="60">
        <f t="shared" si="1148"/>
        <v>0</v>
      </c>
      <c r="ACC75" s="60">
        <f t="shared" si="1149"/>
        <v>0</v>
      </c>
      <c r="ACD75" s="60">
        <f t="shared" si="1150"/>
        <v>0</v>
      </c>
      <c r="ACE75" s="60">
        <f t="shared" si="1151"/>
        <v>0</v>
      </c>
      <c r="ACF75" s="60">
        <f t="shared" si="1152"/>
        <v>0</v>
      </c>
      <c r="ACG75" s="76">
        <f t="shared" si="1153"/>
        <v>0</v>
      </c>
      <c r="ACH75" s="46">
        <f t="shared" si="1154"/>
        <v>101</v>
      </c>
      <c r="ACI75" s="46">
        <f t="shared" si="746"/>
        <v>2.944</v>
      </c>
      <c r="ACJ75" s="46">
        <f t="shared" si="1155"/>
        <v>1</v>
      </c>
      <c r="ACK75" s="46">
        <f t="shared" si="1156"/>
        <v>2</v>
      </c>
      <c r="ACL75" s="46">
        <f t="shared" si="1157"/>
        <v>0</v>
      </c>
      <c r="ACM75" s="46" cm="1">
        <f t="array" ref="ACM75">ROUND(IFERROR(INDEX(ArchiveResults!$F$5:$IX$116,ComparisonData!A75,ComparisonData!$ACM$1),0),5)</f>
        <v>0</v>
      </c>
      <c r="ACN75" s="46" cm="1">
        <f t="array" ref="ACN75">ROUND(IFERROR(INDEX(ArchiveResults!$F$5:$IX$116,ComparisonData!A75,ComparisonData!$ACN$1),0),5)</f>
        <v>0</v>
      </c>
      <c r="ACO75" s="56">
        <v>70</v>
      </c>
      <c r="ACP75" s="53" t="str">
        <f t="shared" si="747"/>
        <v>Royal Archives</v>
      </c>
      <c r="ACQ75" s="60">
        <f t="shared" si="1158"/>
        <v>0</v>
      </c>
      <c r="ACR75" s="60">
        <f t="shared" si="1159"/>
        <v>0</v>
      </c>
      <c r="ACS75" s="76">
        <f t="shared" si="1160"/>
        <v>0</v>
      </c>
      <c r="ACT75" s="46">
        <f t="shared" si="1161"/>
        <v>101</v>
      </c>
      <c r="ACU75" s="46">
        <f t="shared" si="748"/>
        <v>2.944</v>
      </c>
      <c r="ACV75" s="46">
        <f t="shared" si="1162"/>
        <v>1</v>
      </c>
      <c r="ACW75" s="46">
        <f t="shared" si="1163"/>
        <v>2</v>
      </c>
      <c r="ACX75" s="46">
        <f t="shared" si="1164"/>
        <v>0</v>
      </c>
      <c r="ACY75" s="46" cm="1">
        <f t="array" ref="ACY75">ROUNDDOWN(IFERROR(INDEX(ArchiveResults!$F$5:$IX$116,ComparisonData!A75,ComparisonData!$ACY$1),0),5)</f>
        <v>0</v>
      </c>
      <c r="ACZ75" s="46" cm="1">
        <f t="array" ref="ACZ75">ROUNDDOWN(IFERROR(INDEX(ArchiveResults!$F$5:$IX$116,ComparisonData!A75,ComparisonData!$ACZ$1),0),5)</f>
        <v>0</v>
      </c>
      <c r="ADA75" s="46" cm="1">
        <f t="array" ref="ADA75">ROUNDDOWN(IFERROR(INDEX(ArchiveResults!$F$5:$IX$116,ComparisonData!A75,ComparisonData!$ADA$1),0),5)</f>
        <v>0</v>
      </c>
      <c r="ADB75" s="56">
        <v>70</v>
      </c>
      <c r="ADC75" s="53" t="str">
        <f t="shared" si="749"/>
        <v>Royal Archives</v>
      </c>
      <c r="ADD75" s="60">
        <f t="shared" si="1165"/>
        <v>0</v>
      </c>
      <c r="ADE75" s="60">
        <f t="shared" si="1166"/>
        <v>0</v>
      </c>
      <c r="ADF75" s="60">
        <f t="shared" si="1167"/>
        <v>0</v>
      </c>
      <c r="ADG75" s="76">
        <f t="shared" si="1168"/>
        <v>0</v>
      </c>
    </row>
    <row r="76" spans="1:787" x14ac:dyDescent="0.25">
      <c r="A76" s="46" t="str">
        <f>IF(ISBLANK(ComparisonSelection!F72),"",ROW()-5)</f>
        <v/>
      </c>
      <c r="B76" s="53" t="s">
        <v>524</v>
      </c>
      <c r="C76" s="72">
        <v>0.58399999999999963</v>
      </c>
      <c r="D76" s="55">
        <f t="shared" si="750"/>
        <v>30</v>
      </c>
      <c r="E76" s="54">
        <f t="shared" si="751"/>
        <v>2.5839999999999996</v>
      </c>
      <c r="F76" s="54">
        <f t="shared" si="752"/>
        <v>1</v>
      </c>
      <c r="G76" s="72">
        <f t="shared" si="753"/>
        <v>2</v>
      </c>
      <c r="H76" s="72">
        <f t="shared" si="754"/>
        <v>0</v>
      </c>
      <c r="I76" s="46" cm="1">
        <f t="array" ref="I76">ROUND(IFERROR(INDEX(ArchiveResults!$F$5:$IX$116,ComparisonData!A76,ComparisonData!$I$1),0),5)</f>
        <v>0</v>
      </c>
      <c r="J76" s="46" cm="1">
        <f t="array" ref="J76">ROUND(IFERROR(INDEX(ArchiveResults!$F$5:$IX$116,ComparisonData!A76,ComparisonData!$J$1),0),5)</f>
        <v>0</v>
      </c>
      <c r="K76" s="56">
        <v>71</v>
      </c>
      <c r="L76" s="53" t="str">
        <f t="shared" si="755"/>
        <v>Royal Commission On The Ancient And Historical Monuments Of Wales</v>
      </c>
      <c r="M76" s="57">
        <f t="shared" si="640"/>
        <v>0</v>
      </c>
      <c r="N76" s="57">
        <f t="shared" si="641"/>
        <v>0</v>
      </c>
      <c r="O76" s="58">
        <f t="shared" si="756"/>
        <v>0</v>
      </c>
      <c r="P76" s="48">
        <f t="shared" si="757"/>
        <v>30</v>
      </c>
      <c r="Q76" s="54">
        <f t="shared" si="642"/>
        <v>2.5839999999999996</v>
      </c>
      <c r="R76" s="45">
        <f t="shared" si="758"/>
        <v>1</v>
      </c>
      <c r="S76" s="46">
        <f t="shared" si="759"/>
        <v>2</v>
      </c>
      <c r="T76" s="72">
        <f t="shared" si="760"/>
        <v>0</v>
      </c>
      <c r="U76" s="46" cm="1">
        <f t="array" ref="U76">ROUND(IFERROR(INDEX(ArchiveResults!$F$5:$IX$116,ComparisonData!A76,ComparisonData!$U$1),0),5)</f>
        <v>0</v>
      </c>
      <c r="V76" s="46" cm="1">
        <f t="array" ref="V76">ROUND(IFERROR(INDEX(ArchiveResults!$F$5:$IX$116,ComparisonData!A76,ComparisonData!$V$1),0),5)</f>
        <v>0</v>
      </c>
      <c r="W76" s="56">
        <v>71</v>
      </c>
      <c r="X76" s="53" t="str">
        <f t="shared" si="643"/>
        <v>Royal Commission On The Ancient And Historical Monuments Of Wales</v>
      </c>
      <c r="Y76" s="57">
        <f t="shared" si="761"/>
        <v>0</v>
      </c>
      <c r="Z76" s="57">
        <f t="shared" si="762"/>
        <v>0</v>
      </c>
      <c r="AA76" s="58">
        <f t="shared" si="763"/>
        <v>0</v>
      </c>
      <c r="AB76" s="45">
        <f t="shared" si="764"/>
        <v>30</v>
      </c>
      <c r="AC76" s="54">
        <f t="shared" si="644"/>
        <v>2.5839999999999996</v>
      </c>
      <c r="AD76" s="45">
        <f t="shared" si="765"/>
        <v>1</v>
      </c>
      <c r="AE76" s="45">
        <f t="shared" si="766"/>
        <v>2</v>
      </c>
      <c r="AF76" s="45">
        <f t="shared" si="639"/>
        <v>0</v>
      </c>
      <c r="AG76" s="46" cm="1">
        <f t="array" ref="AG76">ROUND(IFERROR(INDEX(ArchiveResults!$F$5:$IX$116,ComparisonData!A76,ComparisonData!$AG$1),0),5)</f>
        <v>0</v>
      </c>
      <c r="AH76" s="46" cm="1">
        <f t="array" ref="AH76">ROUND(IFERROR(INDEX(ArchiveResults!$F$5:$IX$116,ComparisonData!A76,ComparisonData!$AH$1),0),5)</f>
        <v>0</v>
      </c>
      <c r="AI76" s="56">
        <v>71</v>
      </c>
      <c r="AJ76" s="53" t="str">
        <f t="shared" si="645"/>
        <v>Royal Commission On The Ancient And Historical Monuments Of Wales</v>
      </c>
      <c r="AK76" s="59">
        <f t="shared" si="646"/>
        <v>0</v>
      </c>
      <c r="AL76" s="59">
        <f t="shared" si="647"/>
        <v>0</v>
      </c>
      <c r="AM76" s="58">
        <f t="shared" si="767"/>
        <v>0</v>
      </c>
      <c r="AN76" s="45">
        <f t="shared" si="768"/>
        <v>30</v>
      </c>
      <c r="AO76" s="54">
        <f t="shared" si="648"/>
        <v>2.5839999999999996</v>
      </c>
      <c r="AP76" s="45">
        <f t="shared" si="769"/>
        <v>1</v>
      </c>
      <c r="AQ76" s="45">
        <f t="shared" si="770"/>
        <v>2</v>
      </c>
      <c r="AR76" s="46" cm="1">
        <f t="array" ref="AR76">ROUND(IFERROR(INDEX(ArchiveResults!$F$5:$IX$116,ComparisonData!A76,ComparisonData!$AR$1),0),5)</f>
        <v>0</v>
      </c>
      <c r="AS76" s="46" cm="1">
        <f t="array" ref="AS76">ROUND(IFERROR(INDEX(ArchiveResults!$F$5:$IX$116,ComparisonData!A76,ComparisonData!$AS$1),0),5)</f>
        <v>0</v>
      </c>
      <c r="AT76" s="46" cm="1">
        <f t="array" ref="AT76">ROUND(IFERROR(INDEX(ArchiveResults!$F$5:$IX$116,ComparisonData!A76,ComparisonData!$AT$1),0),5)</f>
        <v>0</v>
      </c>
      <c r="AU76" s="46" cm="1">
        <f t="array" ref="AU76">ROUND(IFERROR(INDEX(ArchiveResults!$F$5:$IX$116,ComparisonData!A76,ComparisonData!$AU$1),0),5)</f>
        <v>0</v>
      </c>
      <c r="AV76" s="46" cm="1">
        <f t="array" ref="AV76">ROUND(IFERROR(INDEX(ArchiveResults!$F$5:$IX$116,ComparisonData!A76,ComparisonData!$AV$1),0),5)</f>
        <v>0</v>
      </c>
      <c r="AW76" s="46" cm="1">
        <f t="array" ref="AW76">ROUND(IFERROR(INDEX(ArchiveResults!$F$5:$IX$116,ComparisonData!A76,ComparisonData!$AW$1),0),5)</f>
        <v>0</v>
      </c>
      <c r="AX76" s="46" cm="1">
        <f t="array" ref="AX76">ROUND(IFERROR(INDEX(ArchiveResults!$F$5:$IX$116,ComparisonData!A76,ComparisonData!$AX$1),0),5)</f>
        <v>0</v>
      </c>
      <c r="AY76" s="46" cm="1">
        <f t="array" ref="AY76">ROUND(IFERROR(INDEX(ArchiveResults!$F$5:$IX$116,ComparisonData!A76,ComparisonData!$AY$1),0),5)</f>
        <v>0</v>
      </c>
      <c r="AZ76" s="46" cm="1">
        <f t="array" ref="AZ76">ROUND(IFERROR(INDEX(ArchiveResults!$F$5:$IX$116,ComparisonData!A76,ComparisonData!$AZ$1),0),5)</f>
        <v>0</v>
      </c>
      <c r="BA76" s="46" cm="1">
        <f t="array" ref="BA76">ROUND(IFERROR(INDEX(ArchiveResults!$F$5:$IX$116,ComparisonData!A76,ComparisonData!$BA$1),0),5)</f>
        <v>0</v>
      </c>
      <c r="BB76" s="56">
        <v>71</v>
      </c>
      <c r="BC76" s="53" t="str">
        <f t="shared" si="649"/>
        <v>Royal Commission On The Ancient And Historical Monuments Of Wales</v>
      </c>
      <c r="BD76" s="60">
        <f t="shared" si="771"/>
        <v>0</v>
      </c>
      <c r="BE76" s="60">
        <f t="shared" si="772"/>
        <v>0</v>
      </c>
      <c r="BF76" s="60">
        <f t="shared" si="773"/>
        <v>0</v>
      </c>
      <c r="BG76" s="60">
        <f t="shared" si="774"/>
        <v>0</v>
      </c>
      <c r="BH76" s="60">
        <f t="shared" si="775"/>
        <v>0</v>
      </c>
      <c r="BI76" s="60">
        <f t="shared" si="776"/>
        <v>0</v>
      </c>
      <c r="BJ76" s="60">
        <f t="shared" si="777"/>
        <v>0</v>
      </c>
      <c r="BK76" s="60">
        <f t="shared" si="778"/>
        <v>0</v>
      </c>
      <c r="BL76" s="60">
        <f t="shared" si="779"/>
        <v>0</v>
      </c>
      <c r="BM76" s="59">
        <f t="shared" si="780"/>
        <v>0</v>
      </c>
      <c r="BN76" s="58">
        <f t="shared" si="781"/>
        <v>0</v>
      </c>
      <c r="BO76" s="45">
        <f t="shared" si="782"/>
        <v>30</v>
      </c>
      <c r="BP76" s="54">
        <f t="shared" si="650"/>
        <v>2.5839999999999996</v>
      </c>
      <c r="BQ76" s="45">
        <f t="shared" si="783"/>
        <v>1</v>
      </c>
      <c r="BR76" s="45">
        <f t="shared" si="784"/>
        <v>2</v>
      </c>
      <c r="BS76" s="46" cm="1">
        <f t="array" ref="BS76">ROUND(IFERROR(INDEX(ArchiveResults!$F$5:$IX$116,ComparisonData!A76,ComparisonData!$BS$1),0),5)</f>
        <v>0</v>
      </c>
      <c r="BT76" s="46" cm="1">
        <f t="array" ref="BT76">ROUND(IFERROR(INDEX(ArchiveResults!$F$5:$IX$116,ComparisonData!A76,ComparisonData!$BT$1),0),5)</f>
        <v>0</v>
      </c>
      <c r="BU76" s="46" cm="1">
        <f t="array" ref="BU76">ROUND(IFERROR(INDEX(ArchiveResults!$F$5:$IX$116,ComparisonData!A76,ComparisonData!$BU$1),0),5)</f>
        <v>0</v>
      </c>
      <c r="BV76" s="46" cm="1">
        <f t="array" ref="BV76">ROUND(IFERROR(INDEX(ArchiveResults!$F$5:$IX$116,ComparisonData!A76,ComparisonData!$BV$1),0),5)</f>
        <v>0</v>
      </c>
      <c r="BW76" s="46" cm="1">
        <f t="array" ref="BW76">ROUND(IFERROR(INDEX(ArchiveResults!$F$5:$IX$116,ComparisonData!A76,ComparisonData!$BW$1),0),5)</f>
        <v>0</v>
      </c>
      <c r="BX76" s="46" cm="1">
        <f t="array" ref="BX76">ROUND(IFERROR(INDEX(ArchiveResults!$F$5:$IX$116,ComparisonData!A76,ComparisonData!$BX$1),0),5)</f>
        <v>0</v>
      </c>
      <c r="BY76" s="56">
        <v>71</v>
      </c>
      <c r="BZ76" s="53" t="str">
        <f t="shared" si="651"/>
        <v>Royal Commission On The Ancient And Historical Monuments Of Wales</v>
      </c>
      <c r="CA76" s="59">
        <f t="shared" si="785"/>
        <v>0</v>
      </c>
      <c r="CB76" s="59">
        <f t="shared" si="786"/>
        <v>0</v>
      </c>
      <c r="CC76" s="59">
        <f t="shared" si="787"/>
        <v>0</v>
      </c>
      <c r="CD76" s="59">
        <f t="shared" si="788"/>
        <v>0</v>
      </c>
      <c r="CE76" s="59">
        <f t="shared" si="789"/>
        <v>0</v>
      </c>
      <c r="CF76" s="59">
        <f t="shared" si="790"/>
        <v>0</v>
      </c>
      <c r="CG76" s="58">
        <f t="shared" si="791"/>
        <v>0</v>
      </c>
      <c r="CH76" s="45">
        <f t="shared" si="792"/>
        <v>30</v>
      </c>
      <c r="CI76" s="54">
        <f t="shared" si="652"/>
        <v>2.5839999999999996</v>
      </c>
      <c r="CJ76" s="45">
        <f t="shared" si="793"/>
        <v>1</v>
      </c>
      <c r="CK76" s="45">
        <f t="shared" si="794"/>
        <v>2</v>
      </c>
      <c r="CL76" s="46" cm="1">
        <f t="array" ref="CL76">ROUND(IFERROR(INDEX(ArchiveResults!$F$5:$IX$116,ComparisonData!A76,ComparisonData!$CL$1),0),5)</f>
        <v>0</v>
      </c>
      <c r="CM76" s="56">
        <v>71</v>
      </c>
      <c r="CN76" s="53" t="str">
        <f t="shared" si="653"/>
        <v>Royal Commission On The Ancient And Historical Monuments Of Wales</v>
      </c>
      <c r="CO76" s="45">
        <f t="shared" si="795"/>
        <v>0</v>
      </c>
      <c r="CP76" s="58">
        <f t="shared" si="796"/>
        <v>0</v>
      </c>
      <c r="CQ76" s="45">
        <f t="shared" si="797"/>
        <v>30</v>
      </c>
      <c r="CR76" s="54">
        <f t="shared" si="654"/>
        <v>2.5839999999999996</v>
      </c>
      <c r="CS76" s="45">
        <f t="shared" si="798"/>
        <v>1</v>
      </c>
      <c r="CT76" s="45">
        <f t="shared" si="799"/>
        <v>2</v>
      </c>
      <c r="CU76" s="46" cm="1">
        <f t="array" ref="CU76">ROUND(IFERROR(INDEX(ArchiveResults!$F$5:$IX$116,ComparisonData!A76,ComparisonData!$CU$1),0),5)</f>
        <v>0</v>
      </c>
      <c r="CV76" s="56">
        <v>71</v>
      </c>
      <c r="CW76" s="53" t="str">
        <f t="shared" si="655"/>
        <v>Royal Commission On The Ancient And Historical Monuments Of Wales</v>
      </c>
      <c r="CX76" s="45">
        <f t="shared" si="800"/>
        <v>0</v>
      </c>
      <c r="CY76" s="58">
        <f t="shared" si="801"/>
        <v>0</v>
      </c>
      <c r="CZ76" s="45">
        <f t="shared" si="802"/>
        <v>30</v>
      </c>
      <c r="DA76" s="54">
        <f t="shared" si="656"/>
        <v>2.5839999999999996</v>
      </c>
      <c r="DB76" s="45">
        <f t="shared" si="803"/>
        <v>1</v>
      </c>
      <c r="DC76" s="45">
        <f t="shared" si="804"/>
        <v>2</v>
      </c>
      <c r="DD76" s="46" cm="1">
        <f t="array" ref="DD76">ROUND(IFERROR(INDEX(ArchiveResults!$F$5:$IX$116,ComparisonData!A76,ComparisonData!$DD$1),0),5)</f>
        <v>0</v>
      </c>
      <c r="DE76" s="56">
        <v>71</v>
      </c>
      <c r="DF76" s="53" t="str">
        <f t="shared" si="657"/>
        <v>Royal Commission On The Ancient And Historical Monuments Of Wales</v>
      </c>
      <c r="DG76" s="45">
        <f t="shared" si="805"/>
        <v>0</v>
      </c>
      <c r="DH76" s="58">
        <f t="shared" si="806"/>
        <v>0</v>
      </c>
      <c r="DI76" s="45">
        <f t="shared" si="807"/>
        <v>30</v>
      </c>
      <c r="DJ76" s="54">
        <f t="shared" si="658"/>
        <v>2.5839999999999996</v>
      </c>
      <c r="DK76" s="45">
        <f t="shared" si="808"/>
        <v>1</v>
      </c>
      <c r="DL76" s="45">
        <f t="shared" si="809"/>
        <v>2</v>
      </c>
      <c r="DM76" s="46" cm="1">
        <f t="array" ref="DM76">ROUND(IFERROR(INDEX(ArchiveResults!$F$5:$IX$116,ComparisonData!A76,ComparisonData!$DM$1),0),5)</f>
        <v>0</v>
      </c>
      <c r="DN76" s="46" cm="1">
        <f t="array" ref="DN76">ROUND(IFERROR(INDEX(ArchiveResults!$F$5:$IX$116,ComparisonData!A76,ComparisonData!$DN$1),0),5)</f>
        <v>0</v>
      </c>
      <c r="DO76" s="46" cm="1">
        <f t="array" ref="DO76">ROUND(IFERROR(INDEX(ArchiveResults!$F$5:$IX$116,ComparisonData!A76,ComparisonData!$DO$1),0),5)</f>
        <v>0</v>
      </c>
      <c r="DP76" s="46" cm="1">
        <f t="array" ref="DP76">ROUND(IFERROR(INDEX(ArchiveResults!$F$5:$IX$116,ComparisonData!A76,ComparisonData!$DP$1),0),5)</f>
        <v>0</v>
      </c>
      <c r="DQ76" s="45" cm="1">
        <f t="array" ref="DQ76">IFERROR(INDEX(ArchiveResults!$F$5:$IX$116,ComparisonData!A76,ComparisonData!$DQ$1),0)</f>
        <v>0</v>
      </c>
      <c r="DR76" s="56">
        <v>71</v>
      </c>
      <c r="DS76" s="53" t="str">
        <f t="shared" si="659"/>
        <v>Royal Commission On The Ancient And Historical Monuments Of Wales</v>
      </c>
      <c r="DT76" s="59">
        <f t="shared" si="810"/>
        <v>0</v>
      </c>
      <c r="DU76" s="59">
        <f t="shared" si="811"/>
        <v>0</v>
      </c>
      <c r="DV76" s="59">
        <f t="shared" si="812"/>
        <v>0</v>
      </c>
      <c r="DW76" s="59">
        <f t="shared" si="813"/>
        <v>0</v>
      </c>
      <c r="DX76" s="59">
        <f t="shared" si="814"/>
        <v>0</v>
      </c>
      <c r="DY76" s="58">
        <f t="shared" si="815"/>
        <v>0</v>
      </c>
      <c r="DZ76" s="45">
        <f t="shared" si="816"/>
        <v>30</v>
      </c>
      <c r="EA76" s="54">
        <f t="shared" si="660"/>
        <v>2.5839999999999996</v>
      </c>
      <c r="EB76" s="45">
        <f t="shared" si="817"/>
        <v>1</v>
      </c>
      <c r="EC76" s="45">
        <f t="shared" si="818"/>
        <v>2</v>
      </c>
      <c r="ED76" s="46" cm="1">
        <f t="array" ref="ED76">ROUND(IFERROR(INDEX(ArchiveResults!$F$5:$IX$116,ComparisonData!A76,ComparisonData!$ED$1),0),5)</f>
        <v>0</v>
      </c>
      <c r="EE76" s="46" cm="1">
        <f t="array" ref="EE76">ROUND(IFERROR(INDEX(ArchiveResults!$F$5:$IX$116,ComparisonData!A76,ComparisonData!$EE$1),0),5)</f>
        <v>0</v>
      </c>
      <c r="EF76" s="46" cm="1">
        <f t="array" ref="EF76">ROUND(IFERROR(INDEX(ArchiveResults!$F$5:$IX$116,ComparisonData!A76,ComparisonData!$EF$1),0),5)</f>
        <v>0</v>
      </c>
      <c r="EG76" s="46" cm="1">
        <f t="array" ref="EG76">ROUND(IFERROR(INDEX(ArchiveResults!$F$5:$IX$116,ComparisonData!A76,ComparisonData!$EG$1),0),5)</f>
        <v>0</v>
      </c>
      <c r="EH76" s="45" cm="1">
        <f t="array" ref="EH76">IFERROR(INDEX(ArchiveResults!$F$5:$IX$116,ComparisonData!A76,ComparisonData!$EH$1),0)</f>
        <v>0</v>
      </c>
      <c r="EI76" s="56">
        <v>71</v>
      </c>
      <c r="EJ76" s="53" t="str">
        <f t="shared" si="661"/>
        <v>Royal Commission On The Ancient And Historical Monuments Of Wales</v>
      </c>
      <c r="EK76" s="59">
        <f t="shared" si="819"/>
        <v>0</v>
      </c>
      <c r="EL76" s="59">
        <f t="shared" si="820"/>
        <v>0</v>
      </c>
      <c r="EM76" s="59">
        <f t="shared" si="821"/>
        <v>0</v>
      </c>
      <c r="EN76" s="59">
        <f t="shared" si="822"/>
        <v>0</v>
      </c>
      <c r="EO76" s="59">
        <f t="shared" si="823"/>
        <v>0</v>
      </c>
      <c r="EP76" s="58">
        <f t="shared" si="824"/>
        <v>0</v>
      </c>
      <c r="EQ76" s="45">
        <f t="shared" si="825"/>
        <v>30</v>
      </c>
      <c r="ER76" s="54">
        <f t="shared" si="662"/>
        <v>2.5839999999999996</v>
      </c>
      <c r="ES76" s="45">
        <f t="shared" si="826"/>
        <v>1</v>
      </c>
      <c r="ET76" s="45">
        <f t="shared" si="827"/>
        <v>2</v>
      </c>
      <c r="EU76" s="46" cm="1">
        <f t="array" ref="EU76">ROUND(IFERROR(INDEX(ArchiveResults!$F$5:$IX$116,ComparisonData!A76,ComparisonData!$EU$1),0),5)</f>
        <v>0</v>
      </c>
      <c r="EV76" s="46" cm="1">
        <f t="array" ref="EV76">ROUND(IFERROR(INDEX(ArchiveResults!$F$5:$IX$116,ComparisonData!A76,ComparisonData!$EV$1),0),5)</f>
        <v>0</v>
      </c>
      <c r="EW76" s="46" cm="1">
        <f t="array" ref="EW76">ROUND(IFERROR(INDEX(ArchiveResults!$F$5:$IX$116,ComparisonData!A76,ComparisonData!$EW$1),0),5)</f>
        <v>0</v>
      </c>
      <c r="EX76" s="46" cm="1">
        <f t="array" ref="EX76">ROUND(IFERROR(INDEX(ArchiveResults!$F$5:$IX$116,ComparisonData!A76,ComparisonData!$EX$1),0),5)</f>
        <v>0</v>
      </c>
      <c r="EY76" s="45" cm="1">
        <f t="array" ref="EY76">IFERROR(INDEX(ArchiveResults!$F$5:$IX$116,ComparisonData!A76,ComparisonData!$EY$1),0)</f>
        <v>0</v>
      </c>
      <c r="EZ76" s="56">
        <v>71</v>
      </c>
      <c r="FA76" s="53" t="str">
        <f t="shared" si="663"/>
        <v>Royal Commission On The Ancient And Historical Monuments Of Wales</v>
      </c>
      <c r="FB76" s="59">
        <f t="shared" si="828"/>
        <v>0</v>
      </c>
      <c r="FC76" s="59">
        <f t="shared" si="829"/>
        <v>0</v>
      </c>
      <c r="FD76" s="59">
        <f t="shared" si="830"/>
        <v>0</v>
      </c>
      <c r="FE76" s="59">
        <f t="shared" si="831"/>
        <v>0</v>
      </c>
      <c r="FF76" s="59">
        <f t="shared" si="832"/>
        <v>0</v>
      </c>
      <c r="FG76" s="58">
        <f t="shared" si="833"/>
        <v>0</v>
      </c>
      <c r="FH76" s="45">
        <f t="shared" si="834"/>
        <v>30</v>
      </c>
      <c r="FI76" s="54">
        <f t="shared" si="664"/>
        <v>2.5839999999999996</v>
      </c>
      <c r="FJ76" s="45">
        <f t="shared" si="835"/>
        <v>1</v>
      </c>
      <c r="FK76" s="45">
        <f t="shared" si="836"/>
        <v>2</v>
      </c>
      <c r="FL76" s="46" cm="1">
        <f t="array" ref="FL76">ROUND(IFERROR(INDEX(ArchiveResults!$F$5:$IX$116,ComparisonData!A76,ComparisonData!$FL$1),0),5)</f>
        <v>0</v>
      </c>
      <c r="FM76" s="46" cm="1">
        <f t="array" ref="FM76">ROUND(IFERROR(INDEX(ArchiveResults!$F$5:$IX$116,ComparisonData!A76,ComparisonData!$FM$1),0),5)</f>
        <v>0</v>
      </c>
      <c r="FN76" s="46" cm="1">
        <f t="array" ref="FN76">ROUND(IFERROR(INDEX(ArchiveResults!$F$5:$IX$116,ComparisonData!A76,ComparisonData!$FN$1),0),5)</f>
        <v>0</v>
      </c>
      <c r="FO76" s="46" cm="1">
        <f t="array" ref="FO76">ROUND(IFERROR(INDEX(ArchiveResults!$F$5:$IX$116,ComparisonData!A76,ComparisonData!$FO$1),0),5)</f>
        <v>0</v>
      </c>
      <c r="FP76" s="45" cm="1">
        <f t="array" ref="FP76">IFERROR(INDEX(ArchiveResults!$F$5:$IX$116,ComparisonData!A76,ComparisonData!$FP$1),0)</f>
        <v>0</v>
      </c>
      <c r="FQ76" s="56">
        <v>71</v>
      </c>
      <c r="FR76" s="53" t="str">
        <f t="shared" si="665"/>
        <v>Royal Commission On The Ancient And Historical Monuments Of Wales</v>
      </c>
      <c r="FS76" s="59">
        <f t="shared" si="837"/>
        <v>0</v>
      </c>
      <c r="FT76" s="59">
        <f t="shared" si="838"/>
        <v>0</v>
      </c>
      <c r="FU76" s="59">
        <f t="shared" si="839"/>
        <v>0</v>
      </c>
      <c r="FV76" s="59">
        <f t="shared" si="840"/>
        <v>0</v>
      </c>
      <c r="FW76" s="59">
        <f t="shared" si="841"/>
        <v>0</v>
      </c>
      <c r="FX76" s="58">
        <f t="shared" si="842"/>
        <v>0</v>
      </c>
      <c r="FY76" s="45">
        <f t="shared" si="843"/>
        <v>30</v>
      </c>
      <c r="FZ76" s="45">
        <f t="shared" si="666"/>
        <v>2.5839999999999996</v>
      </c>
      <c r="GA76" s="45">
        <f t="shared" si="844"/>
        <v>1</v>
      </c>
      <c r="GB76" s="45">
        <f t="shared" si="845"/>
        <v>2</v>
      </c>
      <c r="GC76" s="46" cm="1">
        <f t="array" ref="GC76">ROUND(IFERROR(INDEX(ArchiveResults!$F$5:$IX$116,ComparisonData!A76,ComparisonData!$GC$1),0),5)</f>
        <v>0</v>
      </c>
      <c r="GD76" s="46" cm="1">
        <f t="array" ref="GD76">ROUND(IFERROR(INDEX(ArchiveResults!$F$5:$IX$116,ComparisonData!A76,ComparisonData!$GD$1),0),5)</f>
        <v>0</v>
      </c>
      <c r="GE76" s="46" cm="1">
        <f t="array" ref="GE76">ROUND(IFERROR(INDEX(ArchiveResults!$F$5:$IX$116,ComparisonData!A76,ComparisonData!$GE$1),0),5)</f>
        <v>0</v>
      </c>
      <c r="GF76" s="46" cm="1">
        <f t="array" ref="GF76">ROUND(IFERROR(INDEX(ArchiveResults!$F$5:$IX$116,ComparisonData!A76,ComparisonData!$GF$1),0),5)</f>
        <v>0</v>
      </c>
      <c r="GG76" s="45" cm="1">
        <f t="array" ref="GG76">IFERROR(INDEX(ArchiveResults!$F$5:$IX$116,ComparisonData!A76,ComparisonData!$GG$1),0)</f>
        <v>0</v>
      </c>
      <c r="GH76" s="56">
        <v>71</v>
      </c>
      <c r="GI76" s="53" t="str">
        <f t="shared" si="667"/>
        <v>Royal Commission On The Ancient And Historical Monuments Of Wales</v>
      </c>
      <c r="GJ76" s="59">
        <f t="shared" si="846"/>
        <v>0</v>
      </c>
      <c r="GK76" s="59">
        <f t="shared" si="847"/>
        <v>0</v>
      </c>
      <c r="GL76" s="59">
        <f t="shared" si="848"/>
        <v>0</v>
      </c>
      <c r="GM76" s="59">
        <f t="shared" si="849"/>
        <v>0</v>
      </c>
      <c r="GN76" s="59">
        <f t="shared" si="850"/>
        <v>0</v>
      </c>
      <c r="GO76" s="58">
        <f t="shared" si="851"/>
        <v>0</v>
      </c>
      <c r="GP76" s="45">
        <f t="shared" si="852"/>
        <v>30</v>
      </c>
      <c r="GQ76" s="45">
        <f t="shared" si="668"/>
        <v>2.5839999999999996</v>
      </c>
      <c r="GR76" s="45">
        <f t="shared" si="853"/>
        <v>1</v>
      </c>
      <c r="GS76" s="45">
        <f t="shared" si="854"/>
        <v>2</v>
      </c>
      <c r="GT76" s="46" cm="1">
        <f t="array" ref="GT76">ROUND(IFERROR(INDEX(ArchiveResults!$F$5:$IX$116,ComparisonData!A76,ComparisonData!$GT$1),0),5)</f>
        <v>0</v>
      </c>
      <c r="GU76" s="46" cm="1">
        <f t="array" ref="GU76">ROUND(IFERROR(INDEX(ArchiveResults!$F$5:$IX$116,ComparisonData!A76,ComparisonData!$GU$1),0),5)</f>
        <v>0</v>
      </c>
      <c r="GV76" s="46" cm="1">
        <f t="array" ref="GV76">ROUND(IFERROR(INDEX(ArchiveResults!$F$5:$IX$116,ComparisonData!A76,ComparisonData!$GV$1),0),5)</f>
        <v>0</v>
      </c>
      <c r="GW76" s="46" cm="1">
        <f t="array" ref="GW76">ROUND(IFERROR(INDEX(ArchiveResults!$F$5:$IX$116,ComparisonData!A76,ComparisonData!$GW$1),0),5)</f>
        <v>0</v>
      </c>
      <c r="GX76" s="45" cm="1">
        <f t="array" ref="GX76">IFERROR(INDEX(ArchiveResults!$F$5:$IX$116,ComparisonData!A76,ComparisonData!$GX$1),0)</f>
        <v>0</v>
      </c>
      <c r="GY76" s="56">
        <v>71</v>
      </c>
      <c r="GZ76" s="53" t="str">
        <f t="shared" si="669"/>
        <v>Royal Commission On The Ancient And Historical Monuments Of Wales</v>
      </c>
      <c r="HA76" s="59">
        <f t="shared" si="855"/>
        <v>0</v>
      </c>
      <c r="HB76" s="59">
        <f t="shared" si="856"/>
        <v>0</v>
      </c>
      <c r="HC76" s="59">
        <f t="shared" si="857"/>
        <v>0</v>
      </c>
      <c r="HD76" s="59">
        <f t="shared" si="858"/>
        <v>0</v>
      </c>
      <c r="HE76" s="59">
        <f t="shared" si="859"/>
        <v>0</v>
      </c>
      <c r="HF76" s="58">
        <f t="shared" si="860"/>
        <v>0</v>
      </c>
      <c r="HG76" s="45">
        <f t="shared" si="861"/>
        <v>30</v>
      </c>
      <c r="HH76" s="45">
        <f t="shared" si="670"/>
        <v>2.5839999999999996</v>
      </c>
      <c r="HI76" s="45">
        <f t="shared" si="862"/>
        <v>1</v>
      </c>
      <c r="HJ76" s="45">
        <f t="shared" si="863"/>
        <v>2</v>
      </c>
      <c r="HK76" s="46" cm="1">
        <f t="array" ref="HK76">ROUND(IFERROR(INDEX(ArchiveResults!$F$5:$IX$116,ComparisonData!A76,ComparisonData!$HK$1),0),5)</f>
        <v>0</v>
      </c>
      <c r="HL76" s="46" cm="1">
        <f t="array" ref="HL76">ROUND(IFERROR(INDEX(ArchiveResults!$F$5:$IX$116,ComparisonData!A76,ComparisonData!$HL$1),0),5)</f>
        <v>0</v>
      </c>
      <c r="HM76" s="46" cm="1">
        <f t="array" ref="HM76">ROUND(IFERROR(INDEX(ArchiveResults!$F$5:$IX$116,ComparisonData!A76,ComparisonData!$HM$1),0),5)</f>
        <v>0</v>
      </c>
      <c r="HN76" s="46" cm="1">
        <f t="array" ref="HN76">ROUND(IFERROR(INDEX(ArchiveResults!$F$5:$IX$116,ComparisonData!A76,ComparisonData!$HN$1),0),5)</f>
        <v>0</v>
      </c>
      <c r="HO76" s="45" cm="1">
        <f t="array" ref="HO76">IFERROR(INDEX(ArchiveResults!$F$5:$IX$116,ComparisonData!A76,ComparisonData!$HO$1),0)</f>
        <v>0</v>
      </c>
      <c r="HP76" s="56">
        <v>71</v>
      </c>
      <c r="HQ76" s="53" t="str">
        <f t="shared" si="671"/>
        <v>Royal Commission On The Ancient And Historical Monuments Of Wales</v>
      </c>
      <c r="HR76" s="59">
        <f t="shared" si="672"/>
        <v>0</v>
      </c>
      <c r="HS76" s="59">
        <f t="shared" si="673"/>
        <v>0</v>
      </c>
      <c r="HT76" s="59">
        <f t="shared" si="674"/>
        <v>0</v>
      </c>
      <c r="HU76" s="59">
        <f t="shared" si="675"/>
        <v>0</v>
      </c>
      <c r="HV76" s="59">
        <f t="shared" si="676"/>
        <v>0</v>
      </c>
      <c r="HW76" s="58">
        <f t="shared" si="864"/>
        <v>0</v>
      </c>
      <c r="HX76" s="45">
        <f t="shared" si="865"/>
        <v>30</v>
      </c>
      <c r="HY76" s="45">
        <f t="shared" si="677"/>
        <v>2.5839999999999996</v>
      </c>
      <c r="HZ76" s="45">
        <f t="shared" si="866"/>
        <v>1</v>
      </c>
      <c r="IA76" s="45">
        <f t="shared" si="867"/>
        <v>2</v>
      </c>
      <c r="IB76" s="45">
        <f t="shared" si="868"/>
        <v>0</v>
      </c>
      <c r="IC76" s="46" cm="1">
        <f t="array" ref="IC76">ROUND(IFERROR(INDEX(ArchiveResults!$F$5:$IX$116,ComparisonData!A76,ComparisonData!$IC$1),0),5)</f>
        <v>0</v>
      </c>
      <c r="ID76" s="46" cm="1">
        <f t="array" ref="ID76">ROUND(IFERROR(INDEX(ArchiveResults!$F$5:$IX$116,ComparisonData!A76,ComparisonData!$ID$1),0),5)</f>
        <v>0</v>
      </c>
      <c r="IE76" s="46" cm="1">
        <f t="array" ref="IE76">ROUND(IFERROR(INDEX(ArchiveResults!$F$5:$IX$116,ComparisonData!A76,ComparisonData!$IE$1),0),5)</f>
        <v>0</v>
      </c>
      <c r="IF76" s="46" cm="1">
        <f t="array" ref="IF76">ROUND(IFERROR(INDEX(ArchiveResults!$F$5:$IX$116,ComparisonData!A76,ComparisonData!$IF$1),0),5)</f>
        <v>0</v>
      </c>
      <c r="IG76" s="45" cm="1">
        <f t="array" ref="IG76">IFERROR(INDEX(ArchiveResults!$F$5:$IX$116,ComparisonData!A76,ComparisonData!$IG$1),0)</f>
        <v>0</v>
      </c>
      <c r="IH76" s="56">
        <v>71</v>
      </c>
      <c r="II76" s="53" t="str">
        <f t="shared" si="678"/>
        <v>Royal Commission On The Ancient And Historical Monuments Of Wales</v>
      </c>
      <c r="IJ76" s="59">
        <f t="shared" si="869"/>
        <v>0</v>
      </c>
      <c r="IK76" s="59">
        <f t="shared" si="870"/>
        <v>0</v>
      </c>
      <c r="IL76" s="59">
        <f t="shared" si="871"/>
        <v>0</v>
      </c>
      <c r="IM76" s="59">
        <f t="shared" si="872"/>
        <v>0</v>
      </c>
      <c r="IN76" s="59">
        <f t="shared" si="873"/>
        <v>0</v>
      </c>
      <c r="IO76" s="58">
        <f t="shared" si="874"/>
        <v>0</v>
      </c>
      <c r="IP76" s="45">
        <f t="shared" si="875"/>
        <v>30</v>
      </c>
      <c r="IQ76" s="45">
        <f t="shared" si="679"/>
        <v>2.5839999999999996</v>
      </c>
      <c r="IR76" s="45">
        <f t="shared" si="876"/>
        <v>1</v>
      </c>
      <c r="IS76" s="45">
        <f t="shared" si="877"/>
        <v>2</v>
      </c>
      <c r="IT76" s="46">
        <f t="shared" si="878"/>
        <v>0</v>
      </c>
      <c r="IU76" s="46" cm="1">
        <f t="array" ref="IU76">ROUND(IFERROR(INDEX(ArchiveResults!$F$5:$IX$116,ComparisonData!A76,ComparisonData!$IU$1),0),5)</f>
        <v>0</v>
      </c>
      <c r="IV76" s="46" cm="1">
        <f t="array" ref="IV76">ROUND(IFERROR(INDEX(ArchiveResults!$F$5:$IX$116,ComparisonData!A76,ComparisonData!$IV$1),0),5)</f>
        <v>0</v>
      </c>
      <c r="IW76" s="46" cm="1">
        <f t="array" ref="IW76">ROUND(IFERROR(INDEX(ArchiveResults!$F$5:$IX$116,ComparisonData!A76,ComparisonData!$IW$1),0),5)</f>
        <v>0</v>
      </c>
      <c r="IX76" s="46" cm="1">
        <f t="array" ref="IX76">ROUND(IFERROR(INDEX(ArchiveResults!$F$5:$IX$116,ComparisonData!A76,ComparisonData!$IX$1),0),5)</f>
        <v>0</v>
      </c>
      <c r="IY76" s="45" cm="1">
        <f t="array" ref="IY76">IFERROR(INDEX(ArchiveResults!$F$5:$IX$116,ComparisonData!A76,ComparisonData!$IY$1),0)</f>
        <v>0</v>
      </c>
      <c r="IZ76" s="56">
        <v>71</v>
      </c>
      <c r="JA76" s="53" t="str">
        <f t="shared" si="680"/>
        <v>Royal Commission On The Ancient And Historical Monuments Of Wales</v>
      </c>
      <c r="JB76" s="59">
        <f t="shared" si="879"/>
        <v>0</v>
      </c>
      <c r="JC76" s="59">
        <f t="shared" si="880"/>
        <v>0</v>
      </c>
      <c r="JD76" s="59">
        <f t="shared" si="881"/>
        <v>0</v>
      </c>
      <c r="JE76" s="59">
        <f t="shared" si="882"/>
        <v>0</v>
      </c>
      <c r="JF76" s="59">
        <f t="shared" si="883"/>
        <v>0</v>
      </c>
      <c r="JG76" s="58">
        <f t="shared" si="884"/>
        <v>0</v>
      </c>
      <c r="JH76" s="45">
        <f t="shared" si="885"/>
        <v>30</v>
      </c>
      <c r="JI76" s="45">
        <f t="shared" si="681"/>
        <v>2.5839999999999996</v>
      </c>
      <c r="JJ76" s="45">
        <f t="shared" si="886"/>
        <v>1</v>
      </c>
      <c r="JK76" s="45">
        <f t="shared" si="887"/>
        <v>2</v>
      </c>
      <c r="JL76" s="45">
        <f t="shared" si="888"/>
        <v>0</v>
      </c>
      <c r="JM76" s="46" cm="1">
        <f t="array" ref="JM76">ROUND(IFERROR(INDEX(ArchiveResults!$F$5:$IX$116,ComparisonData!A76,ComparisonData!$JM$1),0),5)</f>
        <v>0</v>
      </c>
      <c r="JN76" s="46" cm="1">
        <f t="array" ref="JN76">ROUND(IFERROR(INDEX(ArchiveResults!$F$5:$IX$116,ComparisonData!A76,ComparisonData!$JN$1),0),5)</f>
        <v>0</v>
      </c>
      <c r="JO76" s="46" cm="1">
        <f t="array" ref="JO76">ROUND(IFERROR(INDEX(ArchiveResults!$F$5:$IX$116,ComparisonData!A76,ComparisonData!$JO$1),0),5)</f>
        <v>0</v>
      </c>
      <c r="JP76" s="46" cm="1">
        <f t="array" ref="JP76">ROUND(IFERROR(INDEX(ArchiveResults!$F$5:$IX$116,ComparisonData!A76,ComparisonData!$JP$1),0),5)</f>
        <v>0</v>
      </c>
      <c r="JQ76" s="45" cm="1">
        <f t="array" ref="JQ76">IFERROR(INDEX(ArchiveResults!$F$5:$IX$116,ComparisonData!A76,ComparisonData!$JQ$1),0)</f>
        <v>0</v>
      </c>
      <c r="JR76" s="56">
        <v>71</v>
      </c>
      <c r="JS76" s="53" t="str">
        <f t="shared" si="682"/>
        <v>Royal Commission On The Ancient And Historical Monuments Of Wales</v>
      </c>
      <c r="JT76" s="59">
        <f t="shared" si="889"/>
        <v>0</v>
      </c>
      <c r="JU76" s="59">
        <f t="shared" si="890"/>
        <v>0</v>
      </c>
      <c r="JV76" s="59">
        <f t="shared" si="891"/>
        <v>0</v>
      </c>
      <c r="JW76" s="59">
        <f t="shared" si="892"/>
        <v>0</v>
      </c>
      <c r="JX76" s="59">
        <f t="shared" si="893"/>
        <v>0</v>
      </c>
      <c r="JY76" s="58">
        <f t="shared" si="894"/>
        <v>0</v>
      </c>
      <c r="JZ76" s="45">
        <f t="shared" si="895"/>
        <v>30</v>
      </c>
      <c r="KA76" s="45">
        <f t="shared" si="683"/>
        <v>2.5839999999999996</v>
      </c>
      <c r="KB76" s="45">
        <f t="shared" si="896"/>
        <v>1</v>
      </c>
      <c r="KC76" s="45">
        <f t="shared" si="897"/>
        <v>2</v>
      </c>
      <c r="KD76" s="45">
        <f t="shared" si="898"/>
        <v>0</v>
      </c>
      <c r="KE76" s="46" cm="1">
        <f t="array" ref="KE76">ROUND(IFERROR(INDEX(ArchiveResults!$F$5:$IX$116,ComparisonData!A76,ComparisonData!$KE$1),0),5)</f>
        <v>0</v>
      </c>
      <c r="KF76" s="46" cm="1">
        <f t="array" ref="KF76">ROUND(IFERROR(INDEX(ArchiveResults!$F$5:$IX$116,ComparisonData!A76,ComparisonData!$KF$1),0),5)</f>
        <v>0</v>
      </c>
      <c r="KG76" s="46" cm="1">
        <f t="array" ref="KG76">ROUND(IFERROR(INDEX(ArchiveResults!$F$5:$IX$116,ComparisonData!A76,ComparisonData!$KG$1),0),5)</f>
        <v>0</v>
      </c>
      <c r="KH76" s="46" cm="1">
        <f t="array" ref="KH76">ROUND(IFERROR(INDEX(ArchiveResults!$F$5:$IX$116,ComparisonData!A76,ComparisonData!$KH$1),0),5)</f>
        <v>0</v>
      </c>
      <c r="KI76" s="45" cm="1">
        <f t="array" ref="KI76">IFERROR(INDEX(ArchiveResults!$F$5:$IX$116,ComparisonData!A76,ComparisonData!$KI$1),0)</f>
        <v>0</v>
      </c>
      <c r="KJ76" s="56">
        <v>71</v>
      </c>
      <c r="KK76" s="53" t="str">
        <f t="shared" si="684"/>
        <v>Royal Commission On The Ancient And Historical Monuments Of Wales</v>
      </c>
      <c r="KL76" s="59">
        <f t="shared" si="899"/>
        <v>0</v>
      </c>
      <c r="KM76" s="59">
        <f t="shared" si="900"/>
        <v>0</v>
      </c>
      <c r="KN76" s="59">
        <f t="shared" si="901"/>
        <v>0</v>
      </c>
      <c r="KO76" s="59">
        <f t="shared" si="902"/>
        <v>0</v>
      </c>
      <c r="KP76" s="59">
        <f t="shared" si="903"/>
        <v>0</v>
      </c>
      <c r="KQ76" s="58">
        <f t="shared" si="904"/>
        <v>0</v>
      </c>
      <c r="KR76" s="45">
        <f t="shared" si="905"/>
        <v>30</v>
      </c>
      <c r="KS76" s="45">
        <f t="shared" si="685"/>
        <v>2.5839999999999996</v>
      </c>
      <c r="KT76" s="45">
        <f t="shared" si="906"/>
        <v>1</v>
      </c>
      <c r="KU76" s="45">
        <f t="shared" si="907"/>
        <v>2</v>
      </c>
      <c r="KV76" s="45">
        <f t="shared" si="908"/>
        <v>0</v>
      </c>
      <c r="KW76" s="46" cm="1">
        <f t="array" ref="KW76">ROUND(IFERROR(INDEX(ArchiveResults!$F$5:$IX$116,ComparisonData!A76,ComparisonData!$KW$1),0),5)</f>
        <v>0</v>
      </c>
      <c r="KX76" s="46" cm="1">
        <f t="array" ref="KX76">ROUND(IFERROR(INDEX(ArchiveResults!$F$5:$IX$116,ComparisonData!A76,ComparisonData!$KX$1),0),5)</f>
        <v>0</v>
      </c>
      <c r="KY76" s="46" cm="1">
        <f t="array" ref="KY76">ROUND(IFERROR(INDEX(ArchiveResults!$F$5:$IX$116,ComparisonData!A76,ComparisonData!$KY$1),0),5)</f>
        <v>0</v>
      </c>
      <c r="KZ76" s="46" cm="1">
        <f t="array" ref="KZ76">ROUND(IFERROR(INDEX(ArchiveResults!$F$5:$IX$116,ComparisonData!A76,ComparisonData!$KZ$1),0),5)</f>
        <v>0</v>
      </c>
      <c r="LA76" s="45" cm="1">
        <f t="array" ref="LA76">IFERROR(INDEX(ArchiveResults!$F$5:$IX$116,ComparisonData!A76,ComparisonData!$LA$1),0)</f>
        <v>0</v>
      </c>
      <c r="LB76" s="56">
        <v>71</v>
      </c>
      <c r="LC76" s="53" t="str">
        <f t="shared" si="686"/>
        <v>Royal Commission On The Ancient And Historical Monuments Of Wales</v>
      </c>
      <c r="LD76" s="59">
        <f t="shared" si="909"/>
        <v>0</v>
      </c>
      <c r="LE76" s="59">
        <f t="shared" si="910"/>
        <v>0</v>
      </c>
      <c r="LF76" s="59">
        <f t="shared" si="911"/>
        <v>0</v>
      </c>
      <c r="LG76" s="59">
        <f t="shared" si="912"/>
        <v>0</v>
      </c>
      <c r="LH76" s="59">
        <f t="shared" si="913"/>
        <v>0</v>
      </c>
      <c r="LI76" s="58">
        <f t="shared" si="914"/>
        <v>0</v>
      </c>
      <c r="LJ76" s="45">
        <f t="shared" si="915"/>
        <v>30</v>
      </c>
      <c r="LK76" s="45">
        <f t="shared" si="687"/>
        <v>2.5839999999999996</v>
      </c>
      <c r="LL76" s="45">
        <f t="shared" si="916"/>
        <v>1</v>
      </c>
      <c r="LM76" s="45">
        <f t="shared" si="917"/>
        <v>2</v>
      </c>
      <c r="LN76" s="45">
        <f t="shared" si="918"/>
        <v>0</v>
      </c>
      <c r="LO76" s="46" cm="1">
        <f t="array" ref="LO76">ROUND(IFERROR(INDEX(ArchiveResults!$F$5:$IX$116,ComparisonData!A76,ComparisonData!$LO$1),0),5)</f>
        <v>0</v>
      </c>
      <c r="LP76" s="46" cm="1">
        <f t="array" ref="LP76">ROUND(IFERROR(INDEX(ArchiveResults!$F$5:$IX$116,ComparisonData!A76,ComparisonData!$LP$1),0),5)</f>
        <v>0</v>
      </c>
      <c r="LQ76" s="46" cm="1">
        <f t="array" ref="LQ76">ROUND(IFERROR(INDEX(ArchiveResults!$F$5:$IX$116,ComparisonData!A76,ComparisonData!$LQ$1),0),5)</f>
        <v>0</v>
      </c>
      <c r="LR76" s="46" cm="1">
        <f t="array" ref="LR76">ROUND(IFERROR(INDEX(ArchiveResults!$F$5:$IX$116,ComparisonData!A76,ComparisonData!$LR$1),0),5)</f>
        <v>0</v>
      </c>
      <c r="LS76" s="45" cm="1">
        <f t="array" ref="LS76">IFERROR(INDEX(ArchiveResults!$F$5:$IX$116,ComparisonData!A76,ComparisonData!$LS$1),0)</f>
        <v>0</v>
      </c>
      <c r="LT76" s="56">
        <v>71</v>
      </c>
      <c r="LU76" s="53" t="str">
        <f t="shared" si="688"/>
        <v>Royal Commission On The Ancient And Historical Monuments Of Wales</v>
      </c>
      <c r="LV76" s="59">
        <f t="shared" si="919"/>
        <v>0</v>
      </c>
      <c r="LW76" s="59">
        <f t="shared" si="920"/>
        <v>0</v>
      </c>
      <c r="LX76" s="59">
        <f t="shared" si="921"/>
        <v>0</v>
      </c>
      <c r="LY76" s="59">
        <f t="shared" si="922"/>
        <v>0</v>
      </c>
      <c r="LZ76" s="59">
        <f t="shared" si="923"/>
        <v>0</v>
      </c>
      <c r="MA76" s="58">
        <f t="shared" si="924"/>
        <v>0</v>
      </c>
      <c r="MB76" s="45">
        <f t="shared" si="925"/>
        <v>30</v>
      </c>
      <c r="MC76" s="45">
        <f t="shared" si="689"/>
        <v>2.5839999999999996</v>
      </c>
      <c r="MD76" s="45">
        <f t="shared" si="926"/>
        <v>1</v>
      </c>
      <c r="ME76" s="45">
        <f t="shared" si="927"/>
        <v>2</v>
      </c>
      <c r="MF76" s="45">
        <f t="shared" si="928"/>
        <v>0</v>
      </c>
      <c r="MG76" s="46" cm="1">
        <f t="array" ref="MG76">ROUND(IFERROR(INDEX(ArchiveResults!$F$5:$IX$116,ComparisonData!A76,ComparisonData!$MG$1),0),5)</f>
        <v>0</v>
      </c>
      <c r="MH76" s="46" cm="1">
        <f t="array" ref="MH76">ROUND(IFERROR(INDEX(ArchiveResults!$F$5:$IX$116,ComparisonData!A76,ComparisonData!$MH$1),0),5)</f>
        <v>0</v>
      </c>
      <c r="MI76" s="46" cm="1">
        <f t="array" ref="MI76">ROUND(IFERROR(INDEX(ArchiveResults!$F$5:$IX$116,ComparisonData!A76,ComparisonData!$MI$1),0),5)</f>
        <v>0</v>
      </c>
      <c r="MJ76" s="46" cm="1">
        <f t="array" ref="MJ76">ROUND(IFERROR(INDEX(ArchiveResults!$F$5:$IX$116,ComparisonData!A76,ComparisonData!$MJ$1),0),5)</f>
        <v>0</v>
      </c>
      <c r="MK76" s="45" cm="1">
        <f t="array" ref="MK76">IFERROR(INDEX(ArchiveResults!$F$5:$IX$116,ComparisonData!A76,ComparisonData!$MK$1),0)</f>
        <v>0</v>
      </c>
      <c r="ML76" s="56">
        <v>71</v>
      </c>
      <c r="MM76" s="53" t="str">
        <f t="shared" si="690"/>
        <v>Royal Commission On The Ancient And Historical Monuments Of Wales</v>
      </c>
      <c r="MN76" s="59">
        <f t="shared" si="929"/>
        <v>0</v>
      </c>
      <c r="MO76" s="59">
        <f t="shared" si="930"/>
        <v>0</v>
      </c>
      <c r="MP76" s="59">
        <f t="shared" si="931"/>
        <v>0</v>
      </c>
      <c r="MQ76" s="59">
        <f t="shared" si="932"/>
        <v>0</v>
      </c>
      <c r="MR76" s="59">
        <f t="shared" si="933"/>
        <v>0</v>
      </c>
      <c r="MS76" s="58">
        <f t="shared" si="934"/>
        <v>0</v>
      </c>
      <c r="MT76" s="45">
        <f t="shared" si="935"/>
        <v>30</v>
      </c>
      <c r="MU76" s="45">
        <f t="shared" si="691"/>
        <v>2.5839999999999996</v>
      </c>
      <c r="MV76" s="45">
        <f t="shared" si="936"/>
        <v>1</v>
      </c>
      <c r="MW76" s="45">
        <f t="shared" si="937"/>
        <v>2</v>
      </c>
      <c r="MX76" s="45">
        <f t="shared" si="938"/>
        <v>0</v>
      </c>
      <c r="MY76" s="46" cm="1">
        <f t="array" ref="MY76">ROUND(IFERROR(INDEX(ArchiveResults!$F$5:$IX$116,ComparisonData!A76,ComparisonData!$MY$1),0),5)</f>
        <v>0</v>
      </c>
      <c r="MZ76" s="46" cm="1">
        <f t="array" ref="MZ76">ROUND(IFERROR(INDEX(ArchiveResults!$F$5:$IX$116,ComparisonData!A76,ComparisonData!$MZ$1),0),5)</f>
        <v>0</v>
      </c>
      <c r="NA76" s="46" cm="1">
        <f t="array" ref="NA76">ROUND(IFERROR(INDEX(ArchiveResults!$F$5:$IX$116,ComparisonData!A76,ComparisonData!$NA$1),0),5)</f>
        <v>0</v>
      </c>
      <c r="NB76" s="46" cm="1">
        <f t="array" ref="NB76">ROUND(IFERROR(INDEX(ArchiveResults!$F$5:$IX$116,ComparisonData!A76,ComparisonData!$NB$1),0),5)</f>
        <v>0</v>
      </c>
      <c r="NC76" s="45" cm="1">
        <f t="array" ref="NC76">IFERROR(INDEX(ArchiveResults!$F$5:$IX$116,ComparisonData!A76,ComparisonData!$NC$1),0)</f>
        <v>0</v>
      </c>
      <c r="ND76" s="56">
        <v>71</v>
      </c>
      <c r="NE76" s="53" t="str">
        <f t="shared" si="692"/>
        <v>Royal Commission On The Ancient And Historical Monuments Of Wales</v>
      </c>
      <c r="NF76" s="59">
        <f t="shared" si="939"/>
        <v>0</v>
      </c>
      <c r="NG76" s="59">
        <f t="shared" si="940"/>
        <v>0</v>
      </c>
      <c r="NH76" s="59">
        <f t="shared" si="941"/>
        <v>0</v>
      </c>
      <c r="NI76" s="59">
        <f t="shared" si="942"/>
        <v>0</v>
      </c>
      <c r="NJ76" s="59">
        <f t="shared" si="943"/>
        <v>0</v>
      </c>
      <c r="NK76" s="58">
        <f t="shared" si="944"/>
        <v>0</v>
      </c>
      <c r="NL76" s="45">
        <f t="shared" si="945"/>
        <v>30</v>
      </c>
      <c r="NM76" s="45">
        <f t="shared" si="693"/>
        <v>2.5839999999999996</v>
      </c>
      <c r="NN76" s="45">
        <f t="shared" si="946"/>
        <v>1</v>
      </c>
      <c r="NO76" s="45">
        <f t="shared" si="947"/>
        <v>2</v>
      </c>
      <c r="NP76" s="46" cm="1">
        <f t="array" ref="NP76">ROUND(IFERROR(INDEX(ArchiveResults!$F$5:$IX$116,ComparisonData!A76,ComparisonData!$NP$1),0),5)</f>
        <v>0</v>
      </c>
      <c r="NQ76" s="46" cm="1">
        <f t="array" ref="NQ76">ROUND(IFERROR(INDEX(ArchiveResults!$F$5:$IX$116,ComparisonData!A76,ComparisonData!$NQ$1),0),5)</f>
        <v>0</v>
      </c>
      <c r="NR76" s="46" cm="1">
        <f t="array" ref="NR76">ROUND(IFERROR(INDEX(ArchiveResults!$F$5:$IX$116,ComparisonData!A76,ComparisonData!$NR$1),0),5)</f>
        <v>0</v>
      </c>
      <c r="NS76" s="46" cm="1">
        <f t="array" ref="NS76">ROUND(IFERROR(INDEX(ArchiveResults!$F$5:$IX$116,ComparisonData!A76,ComparisonData!$NS$1),0),5)</f>
        <v>0</v>
      </c>
      <c r="NT76" s="45" cm="1">
        <f t="array" ref="NT76">IFERROR(INDEX(ArchiveResults!$F$5:$IX$116,ComparisonData!A76,ComparisonData!$NT$1),0)</f>
        <v>0</v>
      </c>
      <c r="NU76" s="56">
        <v>71</v>
      </c>
      <c r="NV76" s="53" t="str">
        <f t="shared" si="694"/>
        <v>Royal Commission On The Ancient And Historical Monuments Of Wales</v>
      </c>
      <c r="NW76" s="59">
        <f t="shared" si="948"/>
        <v>0</v>
      </c>
      <c r="NX76" s="59">
        <f t="shared" si="949"/>
        <v>0</v>
      </c>
      <c r="NY76" s="59">
        <f t="shared" si="950"/>
        <v>0</v>
      </c>
      <c r="NZ76" s="59">
        <f t="shared" si="951"/>
        <v>0</v>
      </c>
      <c r="OA76" s="59">
        <f t="shared" si="952"/>
        <v>0</v>
      </c>
      <c r="OB76" s="58">
        <f t="shared" si="953"/>
        <v>0</v>
      </c>
      <c r="OC76" s="45">
        <f t="shared" si="954"/>
        <v>30</v>
      </c>
      <c r="OD76" s="45">
        <f t="shared" si="695"/>
        <v>2.5839999999999996</v>
      </c>
      <c r="OE76" s="45">
        <f t="shared" si="955"/>
        <v>1</v>
      </c>
      <c r="OF76" s="45">
        <f t="shared" si="956"/>
        <v>2</v>
      </c>
      <c r="OG76" s="46">
        <f t="shared" si="957"/>
        <v>0</v>
      </c>
      <c r="OH76" s="46" cm="1">
        <f t="array" ref="OH76">ROUND(IFERROR(INDEX(ArchiveResults!$F$5:$IX$116,ComparisonData!A76,ComparisonData!$OH$1),0),5)</f>
        <v>0</v>
      </c>
      <c r="OI76" s="46" cm="1">
        <f t="array" ref="OI76">ROUND(IFERROR(INDEX(ArchiveResults!$F$5:$IX$116,ComparisonData!A76,ComparisonData!$OI$1),0),5)</f>
        <v>0</v>
      </c>
      <c r="OJ76" s="46" cm="1">
        <f t="array" ref="OJ76">ROUND(IFERROR(INDEX(ArchiveResults!$F$5:$IX$116,ComparisonData!A76,ComparisonData!$OJ$1),0),5)</f>
        <v>0</v>
      </c>
      <c r="OK76" s="46" cm="1">
        <f t="array" ref="OK76">ROUND(IFERROR(INDEX(ArchiveResults!$F$5:$IX$116,ComparisonData!A76,ComparisonData!$OK$1),0),5)</f>
        <v>0</v>
      </c>
      <c r="OL76" s="45" cm="1">
        <f t="array" ref="OL76">IFERROR(INDEX(ArchiveResults!$F$5:$IX$116,ComparisonData!A76,ComparisonData!$OL$1),0)</f>
        <v>0</v>
      </c>
      <c r="OM76" s="56">
        <v>71</v>
      </c>
      <c r="ON76" s="53" t="str">
        <f t="shared" si="696"/>
        <v>Royal Commission On The Ancient And Historical Monuments Of Wales</v>
      </c>
      <c r="OO76" s="59">
        <f t="shared" si="958"/>
        <v>0</v>
      </c>
      <c r="OP76" s="59">
        <f t="shared" si="959"/>
        <v>0</v>
      </c>
      <c r="OQ76" s="59">
        <f t="shared" si="960"/>
        <v>0</v>
      </c>
      <c r="OR76" s="59">
        <f t="shared" si="961"/>
        <v>0</v>
      </c>
      <c r="OS76" s="59">
        <f t="shared" si="962"/>
        <v>0</v>
      </c>
      <c r="OT76" s="58">
        <f t="shared" si="963"/>
        <v>0</v>
      </c>
      <c r="OU76" s="45">
        <f t="shared" si="964"/>
        <v>30</v>
      </c>
      <c r="OV76" s="45">
        <f t="shared" si="697"/>
        <v>2.5839999999999996</v>
      </c>
      <c r="OW76" s="45">
        <f t="shared" si="965"/>
        <v>1</v>
      </c>
      <c r="OX76" s="45">
        <f t="shared" si="966"/>
        <v>2</v>
      </c>
      <c r="OY76" s="45">
        <f t="shared" si="967"/>
        <v>0</v>
      </c>
      <c r="OZ76" s="46" cm="1">
        <f t="array" ref="OZ76">ROUND(IFERROR(INDEX(ArchiveResults!$F$5:$IX$116,ComparisonData!A76,ComparisonData!$OZ$1),0),5)</f>
        <v>0</v>
      </c>
      <c r="PA76" s="46" cm="1">
        <f t="array" ref="PA76">ROUND(IFERROR(INDEX(ArchiveResults!$F$5:$IX$116,ComparisonData!A76,ComparisonData!$PA$1),0),5)</f>
        <v>0</v>
      </c>
      <c r="PB76" s="46" cm="1">
        <f t="array" ref="PB76">ROUND(IFERROR(INDEX(ArchiveResults!$F$5:$IX$116,ComparisonData!A76,ComparisonData!$PB$1),0),5)</f>
        <v>0</v>
      </c>
      <c r="PC76" s="46" cm="1">
        <f t="array" ref="PC76">ROUND(IFERROR(INDEX(ArchiveResults!$F$5:$IX$116,ComparisonData!A76,ComparisonData!$PC$1),0),5)</f>
        <v>0</v>
      </c>
      <c r="PD76" s="45" cm="1">
        <f t="array" ref="PD76">IFERROR(INDEX(ArchiveResults!$F$5:$IX$116,ComparisonData!A76,ComparisonData!$PD$1),0)</f>
        <v>0</v>
      </c>
      <c r="PE76" s="56">
        <v>71</v>
      </c>
      <c r="PF76" s="53" t="str">
        <f t="shared" si="698"/>
        <v>Royal Commission On The Ancient And Historical Monuments Of Wales</v>
      </c>
      <c r="PG76" s="59">
        <f t="shared" si="968"/>
        <v>0</v>
      </c>
      <c r="PH76" s="59">
        <f t="shared" si="969"/>
        <v>0</v>
      </c>
      <c r="PI76" s="59">
        <f t="shared" si="970"/>
        <v>0</v>
      </c>
      <c r="PJ76" s="59">
        <f t="shared" si="971"/>
        <v>0</v>
      </c>
      <c r="PK76" s="59">
        <f t="shared" si="972"/>
        <v>0</v>
      </c>
      <c r="PL76" s="58">
        <f t="shared" si="973"/>
        <v>0</v>
      </c>
      <c r="PM76" s="45">
        <f t="shared" si="974"/>
        <v>30</v>
      </c>
      <c r="PN76" s="45">
        <f t="shared" si="699"/>
        <v>2.5839999999999996</v>
      </c>
      <c r="PO76" s="45">
        <f t="shared" si="975"/>
        <v>1</v>
      </c>
      <c r="PP76" s="45">
        <f t="shared" si="976"/>
        <v>2</v>
      </c>
      <c r="PQ76" s="45">
        <f t="shared" si="977"/>
        <v>0</v>
      </c>
      <c r="PR76" s="46" cm="1">
        <f t="array" ref="PR76">ROUND(IFERROR(INDEX(ArchiveResults!$F$5:$IX$116,ComparisonData!A76,ComparisonData!$PR$1),0),5)</f>
        <v>0</v>
      </c>
      <c r="PS76" s="46" cm="1">
        <f t="array" ref="PS76">ROUND(IFERROR(INDEX(ArchiveResults!$F$5:$IX$116,ComparisonData!A76,ComparisonData!$PS$1),0),5)</f>
        <v>0</v>
      </c>
      <c r="PT76" s="46" cm="1">
        <f t="array" ref="PT76">ROUND(IFERROR(INDEX(ArchiveResults!$F$5:$IX$116,ComparisonData!A76,ComparisonData!$PT$1),0),5)</f>
        <v>0</v>
      </c>
      <c r="PU76" s="46" cm="1">
        <f t="array" ref="PU76">ROUND(IFERROR(INDEX(ArchiveResults!$F$5:$IX$116,ComparisonData!A76,ComparisonData!$PU$1),0),5)</f>
        <v>0</v>
      </c>
      <c r="PV76" s="45" cm="1">
        <f t="array" ref="PV76">IFERROR(INDEX(ArchiveResults!$F$5:$IX$116,ComparisonData!A76,ComparisonData!$PV$1),0)</f>
        <v>0</v>
      </c>
      <c r="PW76" s="56">
        <v>71</v>
      </c>
      <c r="PX76" s="53" t="str">
        <f t="shared" si="700"/>
        <v>Royal Commission On The Ancient And Historical Monuments Of Wales</v>
      </c>
      <c r="PY76" s="59">
        <f t="shared" si="978"/>
        <v>0</v>
      </c>
      <c r="PZ76" s="59">
        <f t="shared" si="979"/>
        <v>0</v>
      </c>
      <c r="QA76" s="59">
        <f t="shared" si="980"/>
        <v>0</v>
      </c>
      <c r="QB76" s="59">
        <f t="shared" si="981"/>
        <v>0</v>
      </c>
      <c r="QC76" s="59">
        <f t="shared" si="982"/>
        <v>0</v>
      </c>
      <c r="QD76" s="58">
        <f t="shared" si="983"/>
        <v>0</v>
      </c>
      <c r="QE76" s="45">
        <f t="shared" si="984"/>
        <v>30</v>
      </c>
      <c r="QF76" s="45">
        <f t="shared" si="701"/>
        <v>2.5839999999999996</v>
      </c>
      <c r="QG76" s="45">
        <f t="shared" si="985"/>
        <v>1</v>
      </c>
      <c r="QH76" s="45">
        <f t="shared" si="986"/>
        <v>2</v>
      </c>
      <c r="QI76" s="45">
        <f t="shared" si="987"/>
        <v>0</v>
      </c>
      <c r="QJ76" s="46" cm="1">
        <f t="array" ref="QJ76">ROUND(IFERROR(INDEX(ArchiveResults!$F$5:$IX$116,ComparisonData!A76,ComparisonData!$QJ$1),0),5)</f>
        <v>0</v>
      </c>
      <c r="QK76" s="46" cm="1">
        <f t="array" ref="QK76">ROUND(IFERROR(INDEX(ArchiveResults!$F$5:$IX$116,ComparisonData!A76,ComparisonData!$QK$1),0),5)</f>
        <v>0</v>
      </c>
      <c r="QL76" s="46" cm="1">
        <f t="array" ref="QL76">ROUND(IFERROR(INDEX(ArchiveResults!$F$5:$IX$116,ComparisonData!A76,ComparisonData!$QL$1),0),5)</f>
        <v>0</v>
      </c>
      <c r="QM76" s="46" cm="1">
        <f t="array" ref="QM76">ROUND(IFERROR(INDEX(ArchiveResults!$F$5:$IX$116,ComparisonData!A76,ComparisonData!$QM$1),0),5)</f>
        <v>0</v>
      </c>
      <c r="QN76" s="45" cm="1">
        <f t="array" ref="QN76">IFERROR(INDEX(ArchiveResults!$F$5:$IX$116,ComparisonData!A76,ComparisonData!$QN$1),0)</f>
        <v>0</v>
      </c>
      <c r="QO76" s="56">
        <v>71</v>
      </c>
      <c r="QP76" s="53" t="str">
        <f t="shared" si="702"/>
        <v>Royal Commission On The Ancient And Historical Monuments Of Wales</v>
      </c>
      <c r="QQ76" s="59">
        <f t="shared" si="988"/>
        <v>0</v>
      </c>
      <c r="QR76" s="59">
        <f t="shared" si="989"/>
        <v>0</v>
      </c>
      <c r="QS76" s="59">
        <f t="shared" si="990"/>
        <v>0</v>
      </c>
      <c r="QT76" s="59">
        <f t="shared" si="991"/>
        <v>0</v>
      </c>
      <c r="QU76" s="59">
        <f t="shared" si="992"/>
        <v>0</v>
      </c>
      <c r="QV76" s="58">
        <f t="shared" si="993"/>
        <v>0</v>
      </c>
      <c r="QW76" s="45">
        <f t="shared" si="994"/>
        <v>30</v>
      </c>
      <c r="QX76" s="45">
        <f t="shared" si="703"/>
        <v>2.5839999999999996</v>
      </c>
      <c r="QY76" s="45">
        <f t="shared" si="995"/>
        <v>1</v>
      </c>
      <c r="QZ76" s="45">
        <f t="shared" si="996"/>
        <v>2</v>
      </c>
      <c r="RA76" s="45">
        <f t="shared" si="997"/>
        <v>0</v>
      </c>
      <c r="RB76" s="46" cm="1">
        <f t="array" ref="RB76">ROUND(IFERROR(INDEX(ArchiveResults!$F$5:$IX$116,ComparisonData!A76,ComparisonData!$RB$1),0),5)</f>
        <v>0</v>
      </c>
      <c r="RC76" s="46" cm="1">
        <f t="array" ref="RC76">ROUND(IFERROR(INDEX(ArchiveResults!$F$5:$IX$116,ComparisonData!A76,ComparisonData!$RC$1),0),5)</f>
        <v>0</v>
      </c>
      <c r="RD76" s="46" cm="1">
        <f t="array" ref="RD76">ROUND(IFERROR(INDEX(ArchiveResults!$F$5:$IX$116,ComparisonData!A76,ComparisonData!$RD$1),0),5)</f>
        <v>0</v>
      </c>
      <c r="RE76" s="46" cm="1">
        <f t="array" ref="RE76">ROUND(IFERROR(INDEX(ArchiveResults!$F$5:$IX$116,ComparisonData!A76,ComparisonData!$RE$1),0),5)</f>
        <v>0</v>
      </c>
      <c r="RF76" s="45" cm="1">
        <f t="array" ref="RF76">IFERROR(INDEX(ArchiveResults!$F$5:$IX$116,ComparisonData!A76,ComparisonData!$RF$1),0)</f>
        <v>0</v>
      </c>
      <c r="RG76" s="56">
        <v>71</v>
      </c>
      <c r="RH76" s="53" t="str">
        <f t="shared" si="704"/>
        <v>Royal Commission On The Ancient And Historical Monuments Of Wales</v>
      </c>
      <c r="RI76" s="59">
        <f t="shared" si="998"/>
        <v>0</v>
      </c>
      <c r="RJ76" s="59">
        <f t="shared" si="999"/>
        <v>0</v>
      </c>
      <c r="RK76" s="59">
        <f t="shared" si="1000"/>
        <v>0</v>
      </c>
      <c r="RL76" s="59">
        <f t="shared" si="1001"/>
        <v>0</v>
      </c>
      <c r="RM76" s="59">
        <f t="shared" si="1002"/>
        <v>0</v>
      </c>
      <c r="RN76" s="58">
        <f t="shared" si="1003"/>
        <v>0</v>
      </c>
      <c r="RO76" s="45">
        <f t="shared" si="1004"/>
        <v>30</v>
      </c>
      <c r="RP76" s="45">
        <f t="shared" si="705"/>
        <v>2.5839999999999996</v>
      </c>
      <c r="RQ76" s="45">
        <f t="shared" si="1005"/>
        <v>1</v>
      </c>
      <c r="RR76" s="45">
        <f t="shared" si="1006"/>
        <v>2</v>
      </c>
      <c r="RS76" s="45">
        <f t="shared" si="1007"/>
        <v>0</v>
      </c>
      <c r="RT76" s="46" cm="1">
        <f t="array" ref="RT76">ROUND(IFERROR(INDEX(ArchiveResults!$F$5:$IX$116,ComparisonData!A76,ComparisonData!$RT$1),0),5)</f>
        <v>0</v>
      </c>
      <c r="RU76" s="46" cm="1">
        <f t="array" ref="RU76">ROUND(IFERROR(INDEX(ArchiveResults!$F$5:$IX$116,ComparisonData!A76,ComparisonData!$RU$1),0),5)</f>
        <v>0</v>
      </c>
      <c r="RV76" s="46" cm="1">
        <f t="array" ref="RV76">ROUND(IFERROR(INDEX(ArchiveResults!$F$5:$IX$116,ComparisonData!A76,ComparisonData!$RV$1),0),5)</f>
        <v>0</v>
      </c>
      <c r="RW76" s="46" cm="1">
        <f t="array" ref="RW76">ROUND(IFERROR(INDEX(ArchiveResults!$F$5:$IX$116,ComparisonData!A76,ComparisonData!$RW$1),0),5)</f>
        <v>0</v>
      </c>
      <c r="RX76" s="45" cm="1">
        <f t="array" ref="RX76">IFERROR(INDEX(ArchiveResults!$F$5:$IX$116,ComparisonData!A76,ComparisonData!$RX$1),0)</f>
        <v>0</v>
      </c>
      <c r="RY76" s="56">
        <v>71</v>
      </c>
      <c r="RZ76" s="53" t="str">
        <f t="shared" si="706"/>
        <v>Royal Commission On The Ancient And Historical Monuments Of Wales</v>
      </c>
      <c r="SA76" s="59">
        <f t="shared" si="1008"/>
        <v>0</v>
      </c>
      <c r="SB76" s="59">
        <f t="shared" si="1009"/>
        <v>0</v>
      </c>
      <c r="SC76" s="59">
        <f t="shared" si="1010"/>
        <v>0</v>
      </c>
      <c r="SD76" s="59">
        <f t="shared" si="1011"/>
        <v>0</v>
      </c>
      <c r="SE76" s="59">
        <f t="shared" si="1012"/>
        <v>0</v>
      </c>
      <c r="SF76" s="58">
        <f t="shared" si="1013"/>
        <v>0</v>
      </c>
      <c r="SG76" s="45">
        <f t="shared" si="1014"/>
        <v>30</v>
      </c>
      <c r="SH76" s="45">
        <f t="shared" si="707"/>
        <v>2.5839999999999996</v>
      </c>
      <c r="SI76" s="45">
        <f t="shared" si="1015"/>
        <v>1</v>
      </c>
      <c r="SJ76" s="45">
        <f t="shared" si="1016"/>
        <v>2</v>
      </c>
      <c r="SK76" s="45">
        <f t="shared" si="1017"/>
        <v>0</v>
      </c>
      <c r="SL76" s="46" cm="1">
        <f t="array" ref="SL76">ROUND(IFERROR(INDEX(ArchiveResults!$F$5:$IX$116,ComparisonData!A76,ComparisonData!$SL$1),0),5)</f>
        <v>0</v>
      </c>
      <c r="SM76" s="46" cm="1">
        <f t="array" ref="SM76">ROUND(IFERROR(INDEX(ArchiveResults!$F$5:$IX$116,ComparisonData!A76,ComparisonData!$SM$1),0),5)</f>
        <v>0</v>
      </c>
      <c r="SN76" s="46" cm="1">
        <f t="array" ref="SN76">ROUND(IFERROR(INDEX(ArchiveResults!$F$5:$IX$116,ComparisonData!A76,ComparisonData!$SN$1),0),5)</f>
        <v>0</v>
      </c>
      <c r="SO76" s="46" cm="1">
        <f t="array" ref="SO76">ROUND(IFERROR(INDEX(ArchiveResults!$F$5:$IX$116,ComparisonData!A76,ComparisonData!$SO$1),0),5)</f>
        <v>0</v>
      </c>
      <c r="SP76" s="45" cm="1">
        <f t="array" ref="SP76">IFERROR(INDEX(ArchiveResults!$F$5:$IX$116,ComparisonData!A76,ComparisonData!$SP$1),0)</f>
        <v>0</v>
      </c>
      <c r="SQ76" s="56">
        <v>71</v>
      </c>
      <c r="SR76" s="53" t="str">
        <f t="shared" si="708"/>
        <v>Royal Commission On The Ancient And Historical Monuments Of Wales</v>
      </c>
      <c r="SS76" s="59">
        <f t="shared" si="1018"/>
        <v>0</v>
      </c>
      <c r="ST76" s="59">
        <f t="shared" si="1019"/>
        <v>0</v>
      </c>
      <c r="SU76" s="59">
        <f t="shared" si="1020"/>
        <v>0</v>
      </c>
      <c r="SV76" s="59">
        <f t="shared" si="1021"/>
        <v>0</v>
      </c>
      <c r="SW76" s="59">
        <f t="shared" si="1022"/>
        <v>0</v>
      </c>
      <c r="SX76" s="58">
        <f t="shared" si="1023"/>
        <v>0</v>
      </c>
      <c r="SY76" s="45">
        <f t="shared" si="1024"/>
        <v>30</v>
      </c>
      <c r="SZ76" s="45">
        <f t="shared" si="709"/>
        <v>2.5839999999999996</v>
      </c>
      <c r="TA76" s="45">
        <f t="shared" si="1025"/>
        <v>1</v>
      </c>
      <c r="TB76" s="45">
        <f t="shared" si="1026"/>
        <v>2</v>
      </c>
      <c r="TC76" s="45">
        <f t="shared" si="1027"/>
        <v>0</v>
      </c>
      <c r="TD76" s="46" cm="1">
        <f t="array" ref="TD76">ROUND(IFERROR(INDEX(ArchiveResults!$F$5:$IX$116,ComparisonData!A76,ComparisonData!$TD$1),0),5)</f>
        <v>0</v>
      </c>
      <c r="TE76" s="46" cm="1">
        <f t="array" ref="TE76">ROUND(IFERROR(INDEX(ArchiveResults!$F$5:$IX$116,ComparisonData!A76,ComparisonData!$TE$1),0),5)</f>
        <v>0</v>
      </c>
      <c r="TF76" s="46" cm="1">
        <f t="array" ref="TF76">ROUND(IFERROR(INDEX(ArchiveResults!$F$5:$IX$116,ComparisonData!A76,ComparisonData!$TF$1),0),5)</f>
        <v>0</v>
      </c>
      <c r="TG76" s="46" cm="1">
        <f t="array" ref="TG76">ROUND(IFERROR(INDEX(ArchiveResults!$F$5:$IX$116,ComparisonData!A76,ComparisonData!$TG$1),0),5)</f>
        <v>0</v>
      </c>
      <c r="TH76" s="45" cm="1">
        <f t="array" ref="TH76">IFERROR(INDEX(ArchiveResults!$F$5:$IX$116,ComparisonData!A76,ComparisonData!$TH$1),0)</f>
        <v>0</v>
      </c>
      <c r="TI76" s="56">
        <v>71</v>
      </c>
      <c r="TJ76" s="53" t="str">
        <f t="shared" si="710"/>
        <v>Royal Commission On The Ancient And Historical Monuments Of Wales</v>
      </c>
      <c r="TK76" s="59">
        <f t="shared" si="1028"/>
        <v>0</v>
      </c>
      <c r="TL76" s="59">
        <f t="shared" si="1029"/>
        <v>0</v>
      </c>
      <c r="TM76" s="59">
        <f t="shared" si="1030"/>
        <v>0</v>
      </c>
      <c r="TN76" s="59">
        <f t="shared" si="1031"/>
        <v>0</v>
      </c>
      <c r="TO76" s="59">
        <f t="shared" si="1032"/>
        <v>0</v>
      </c>
      <c r="TP76" s="58">
        <f t="shared" si="1033"/>
        <v>0</v>
      </c>
      <c r="TQ76" s="45">
        <f t="shared" si="1034"/>
        <v>30</v>
      </c>
      <c r="TR76" s="45">
        <f t="shared" si="711"/>
        <v>2.5839999999999996</v>
      </c>
      <c r="TS76" s="45">
        <f t="shared" si="1035"/>
        <v>1</v>
      </c>
      <c r="TT76" s="45">
        <f t="shared" si="1036"/>
        <v>2</v>
      </c>
      <c r="TU76" s="45">
        <f t="shared" si="1037"/>
        <v>0</v>
      </c>
      <c r="TV76" s="46" cm="1">
        <f t="array" ref="TV76">ROUND(IFERROR(INDEX(ArchiveResults!$F$5:$IX$116,ComparisonData!A76,ComparisonData!$TV$1),0),5)</f>
        <v>0</v>
      </c>
      <c r="TW76" s="46" cm="1">
        <f t="array" ref="TW76">ROUND(IFERROR(INDEX(ArchiveResults!$F$5:$IX$116,ComparisonData!A76,ComparisonData!$TW$1),0),5)</f>
        <v>0</v>
      </c>
      <c r="TX76" s="46" cm="1">
        <f t="array" ref="TX76">ROUND(IFERROR(INDEX(ArchiveResults!$F$5:$IX$116,ComparisonData!A76,ComparisonData!$TX$1),0),5)</f>
        <v>0</v>
      </c>
      <c r="TY76" s="46" cm="1">
        <f t="array" ref="TY76">ROUND(IFERROR(INDEX(ArchiveResults!$F$5:$IX$116,ComparisonData!A76,ComparisonData!$TY$1),0),5)</f>
        <v>0</v>
      </c>
      <c r="TZ76" s="45" cm="1">
        <f t="array" ref="TZ76">IFERROR(INDEX(ArchiveResults!$F$5:$IX$116,ComparisonData!A76,ComparisonData!$TZ$1),0)</f>
        <v>0</v>
      </c>
      <c r="UA76" s="56">
        <v>71</v>
      </c>
      <c r="UB76" s="53" t="str">
        <f t="shared" si="712"/>
        <v>Royal Commission On The Ancient And Historical Monuments Of Wales</v>
      </c>
      <c r="UC76" s="60">
        <f t="shared" si="1038"/>
        <v>0</v>
      </c>
      <c r="UD76" s="60">
        <f t="shared" si="1039"/>
        <v>0</v>
      </c>
      <c r="UE76" s="60">
        <f t="shared" si="1040"/>
        <v>0</v>
      </c>
      <c r="UF76" s="60">
        <f t="shared" si="1041"/>
        <v>0</v>
      </c>
      <c r="UG76" s="60">
        <f t="shared" si="1042"/>
        <v>0</v>
      </c>
      <c r="UH76" s="58">
        <f t="shared" si="1043"/>
        <v>0</v>
      </c>
      <c r="UI76" s="46">
        <f t="shared" si="1044"/>
        <v>30</v>
      </c>
      <c r="UJ76" s="46">
        <f t="shared" si="713"/>
        <v>2.5839999999999996</v>
      </c>
      <c r="UK76" s="46">
        <f t="shared" si="1045"/>
        <v>1</v>
      </c>
      <c r="UL76" s="46">
        <f t="shared" si="1046"/>
        <v>2</v>
      </c>
      <c r="UM76" s="46" cm="1">
        <f t="array" ref="UM76">ROUND(IFERROR(INDEX(ArchiveResults!$F$5:$IX$116,ComparisonData!A76,ComparisonData!$UM$1),0),5)</f>
        <v>0</v>
      </c>
      <c r="UN76" s="56">
        <v>71</v>
      </c>
      <c r="UO76" s="53" t="str">
        <f t="shared" si="714"/>
        <v>Royal Commission On The Ancient And Historical Monuments Of Wales</v>
      </c>
      <c r="UP76" s="46">
        <f t="shared" si="1047"/>
        <v>0</v>
      </c>
      <c r="UQ76" s="76">
        <f t="shared" si="1048"/>
        <v>0</v>
      </c>
      <c r="UR76" s="46">
        <f t="shared" si="1049"/>
        <v>30</v>
      </c>
      <c r="US76" s="46">
        <f t="shared" si="715"/>
        <v>2.5839999999999996</v>
      </c>
      <c r="UT76" s="46">
        <f t="shared" si="1050"/>
        <v>1</v>
      </c>
      <c r="UU76" s="46">
        <f t="shared" si="1051"/>
        <v>2</v>
      </c>
      <c r="UV76" s="46">
        <f t="shared" si="1052"/>
        <v>0</v>
      </c>
      <c r="UW76" s="46" cm="1">
        <f t="array" ref="UW76">ROUND(IFERROR(INDEX(ArchiveResults!$F$5:$IX$116,ComparisonData!A76,ComparisonData!$UW$1),0),5)</f>
        <v>0</v>
      </c>
      <c r="UX76" s="46" cm="1">
        <f t="array" ref="UX76">ROUND(IFERROR(INDEX(ArchiveResults!$F$5:$IX$116,ComparisonData!A76,ComparisonData!$UX$1),0),5)</f>
        <v>0</v>
      </c>
      <c r="UY76" s="46" cm="1">
        <f t="array" ref="UY76">ROUND(IFERROR(INDEX(ArchiveResults!$F$5:$IX$116,ComparisonData!A76,ComparisonData!$UY$1),0),5)</f>
        <v>0</v>
      </c>
      <c r="UZ76" s="46" cm="1">
        <f t="array" ref="UZ76">ROUND(IFERROR(INDEX(ArchiveResults!$F$5:$IX$116,ComparisonData!A76,ComparisonData!$UZ$1),0),5)</f>
        <v>0</v>
      </c>
      <c r="VA76" s="46" cm="1">
        <f t="array" ref="VA76">ROUND(IFERROR(INDEX(ArchiveResults!$F$5:$IX$116,ComparisonData!A76,ComparisonData!$VA$1),0),5)</f>
        <v>0</v>
      </c>
      <c r="VB76" s="56">
        <v>71</v>
      </c>
      <c r="VC76" s="53" t="str">
        <f t="shared" si="716"/>
        <v>Royal Commission On The Ancient And Historical Monuments Of Wales</v>
      </c>
      <c r="VD76" s="60">
        <f t="shared" si="1053"/>
        <v>0</v>
      </c>
      <c r="VE76" s="60">
        <f t="shared" si="1054"/>
        <v>0</v>
      </c>
      <c r="VF76" s="60">
        <f t="shared" si="1055"/>
        <v>0</v>
      </c>
      <c r="VG76" s="60">
        <f t="shared" si="1056"/>
        <v>0</v>
      </c>
      <c r="VH76" s="60">
        <f t="shared" si="1057"/>
        <v>0</v>
      </c>
      <c r="VI76" s="76">
        <f t="shared" si="1058"/>
        <v>0</v>
      </c>
      <c r="VJ76" s="46">
        <f t="shared" si="1059"/>
        <v>30</v>
      </c>
      <c r="VK76" s="46">
        <f t="shared" si="717"/>
        <v>2.5839999999999996</v>
      </c>
      <c r="VL76" s="46">
        <f t="shared" si="1060"/>
        <v>1</v>
      </c>
      <c r="VM76" s="46">
        <f t="shared" si="1061"/>
        <v>2</v>
      </c>
      <c r="VN76" s="46" cm="1">
        <f t="array" ref="VN76">ROUND(IFERROR(INDEX(ArchiveResults!$F$5:$IX$116,ComparisonData!A76,ComparisonData!$VN$1),0),5)</f>
        <v>0</v>
      </c>
      <c r="VO76" s="46" cm="1">
        <f t="array" ref="VO76">ROUND(IFERROR(INDEX(ArchiveResults!$F$5:$IX$116,ComparisonData!A76,ComparisonData!$VO$1),0),5)</f>
        <v>0</v>
      </c>
      <c r="VP76" s="46" cm="1">
        <f t="array" ref="VP76">ROUND(IFERROR(INDEX(ArchiveResults!$F$5:$IX$116,ComparisonData!A76,ComparisonData!$VP$1),0),5)</f>
        <v>0</v>
      </c>
      <c r="VQ76" s="46" cm="1">
        <f t="array" ref="VQ76">ROUND(IFERROR(INDEX(ArchiveResults!$F$5:$IX$116,ComparisonData!A76,ComparisonData!$VQ$1),0),5)</f>
        <v>0</v>
      </c>
      <c r="VR76" s="56">
        <v>71</v>
      </c>
      <c r="VS76" s="53" t="str">
        <f t="shared" si="718"/>
        <v>Royal Commission On The Ancient And Historical Monuments Of Wales</v>
      </c>
      <c r="VT76" s="60">
        <f t="shared" si="1062"/>
        <v>0</v>
      </c>
      <c r="VU76" s="60">
        <f t="shared" si="1063"/>
        <v>0</v>
      </c>
      <c r="VV76" s="60">
        <f t="shared" si="1064"/>
        <v>0</v>
      </c>
      <c r="VW76" s="60">
        <f t="shared" si="1065"/>
        <v>0</v>
      </c>
      <c r="VX76" s="76">
        <f t="shared" si="1066"/>
        <v>0</v>
      </c>
      <c r="VY76" s="46">
        <f t="shared" si="1067"/>
        <v>30</v>
      </c>
      <c r="VZ76" s="46">
        <f t="shared" si="719"/>
        <v>2.5839999999999996</v>
      </c>
      <c r="WA76" s="46">
        <f t="shared" si="1068"/>
        <v>1</v>
      </c>
      <c r="WB76" s="46">
        <f t="shared" si="1069"/>
        <v>2</v>
      </c>
      <c r="WC76" s="46" cm="1">
        <f t="array" ref="WC76">ROUND(IFERROR(INDEX(ArchiveResults!$F$5:$IX$116,ComparisonData!A76,ComparisonData!$WC$1),0),5)</f>
        <v>0</v>
      </c>
      <c r="WD76" s="56">
        <v>71</v>
      </c>
      <c r="WE76" s="53" t="str">
        <f t="shared" si="720"/>
        <v>Royal Commission On The Ancient And Historical Monuments Of Wales</v>
      </c>
      <c r="WF76" s="46">
        <f t="shared" si="1070"/>
        <v>0</v>
      </c>
      <c r="WG76" s="76">
        <f t="shared" si="1071"/>
        <v>0</v>
      </c>
      <c r="WH76" s="46">
        <f t="shared" si="1072"/>
        <v>30</v>
      </c>
      <c r="WI76" s="46">
        <f t="shared" si="721"/>
        <v>2.5839999999999996</v>
      </c>
      <c r="WJ76" s="46">
        <f t="shared" si="1073"/>
        <v>1</v>
      </c>
      <c r="WK76" s="46">
        <f t="shared" si="1074"/>
        <v>2</v>
      </c>
      <c r="WL76" s="46" cm="1">
        <f t="array" ref="WL76">ROUND(IFERROR(INDEX(ArchiveResults!$F$5:$IX$116,ComparisonData!A76,ComparisonData!$WL$1),0),5)</f>
        <v>0</v>
      </c>
      <c r="WM76" s="46" cm="1">
        <f t="array" ref="WM76">IFERROR(INDEX(ArchiveResults!$F$5:$IX$116,ComparisonData!A76,ComparisonData!$WM$1),0)</f>
        <v>0</v>
      </c>
      <c r="WN76" s="56">
        <v>71</v>
      </c>
      <c r="WO76" s="53" t="str">
        <f t="shared" si="722"/>
        <v>Royal Commission On The Ancient And Historical Monuments Of Wales</v>
      </c>
      <c r="WP76" s="60">
        <f t="shared" si="1075"/>
        <v>0</v>
      </c>
      <c r="WQ76" s="60">
        <f t="shared" si="1076"/>
        <v>0</v>
      </c>
      <c r="WR76" s="76">
        <f t="shared" si="1077"/>
        <v>0</v>
      </c>
      <c r="WS76" s="46">
        <f t="shared" si="1078"/>
        <v>30</v>
      </c>
      <c r="WT76" s="46">
        <f t="shared" si="723"/>
        <v>2.5839999999999996</v>
      </c>
      <c r="WU76" s="46">
        <f t="shared" si="1079"/>
        <v>1</v>
      </c>
      <c r="WV76" s="46">
        <f t="shared" si="1080"/>
        <v>2</v>
      </c>
      <c r="WW76" s="46" cm="1">
        <f t="array" ref="WW76">ROUND(VALUE(IFERROR(INDEX(ArchiveResults!$F$5:$IX$116,ComparisonData!A76,ComparisonData!$WW$1),0)),5)</f>
        <v>0</v>
      </c>
      <c r="WX76" s="46" cm="1">
        <f t="array" ref="WX76">ROUND(IFERROR(INDEX(ArchiveResults!$F$5:$IX$116,ComparisonData!A76,ComparisonData!$WX$1),0),5)</f>
        <v>0</v>
      </c>
      <c r="WY76" s="56">
        <v>71</v>
      </c>
      <c r="WZ76" s="53" t="str">
        <f t="shared" si="724"/>
        <v>Royal Commission On The Ancient And Historical Monuments Of Wales</v>
      </c>
      <c r="XA76" s="60">
        <f t="shared" si="725"/>
        <v>0</v>
      </c>
      <c r="XB76" s="60">
        <f t="shared" si="726"/>
        <v>0</v>
      </c>
      <c r="XC76" s="76">
        <f t="shared" si="1081"/>
        <v>0</v>
      </c>
      <c r="XD76" s="46">
        <f t="shared" si="1082"/>
        <v>30</v>
      </c>
      <c r="XE76" s="46">
        <f t="shared" si="727"/>
        <v>2.5839999999999996</v>
      </c>
      <c r="XF76" s="46">
        <f t="shared" si="1083"/>
        <v>1</v>
      </c>
      <c r="XG76" s="46">
        <f t="shared" si="1084"/>
        <v>2</v>
      </c>
      <c r="XH76" s="46" cm="1">
        <f t="array" ref="XH76">ROUND(VALUE(IFERROR(INDEX(ArchiveResults!$F$5:$IX$116,ComparisonData!A76,ComparisonData!$XH$1),0)),5)</f>
        <v>0</v>
      </c>
      <c r="XI76" s="46" cm="1">
        <f t="array" ref="XI76">ROUND(VALUE(IFERROR(INDEX(ArchiveResults!$F$5:$IX$116,ComparisonData!A76,ComparisonData!$XI$1),0)),5)</f>
        <v>0</v>
      </c>
      <c r="XJ76" s="56">
        <v>71</v>
      </c>
      <c r="XK76" s="53" t="str">
        <f t="shared" si="728"/>
        <v>Royal Commission On The Ancient And Historical Monuments Of Wales</v>
      </c>
      <c r="XL76" s="60">
        <f t="shared" si="1085"/>
        <v>0</v>
      </c>
      <c r="XM76" s="60">
        <f t="shared" si="1086"/>
        <v>0</v>
      </c>
      <c r="XN76" s="76">
        <f t="shared" si="1087"/>
        <v>0</v>
      </c>
      <c r="XO76" s="46">
        <f t="shared" si="1088"/>
        <v>30</v>
      </c>
      <c r="XP76" s="46">
        <f t="shared" si="729"/>
        <v>2.5839999999999996</v>
      </c>
      <c r="XQ76" s="46">
        <f t="shared" si="1089"/>
        <v>1</v>
      </c>
      <c r="XR76" s="46">
        <f t="shared" si="1090"/>
        <v>2</v>
      </c>
      <c r="XS76" s="46" cm="1">
        <f t="array" ref="XS76">ROUND(VALUE(IFERROR(INDEX(ArchiveResults!$F$5:$IX$116,ComparisonData!A76,ComparisonData!$XS$1),0)),5)</f>
        <v>0</v>
      </c>
      <c r="XT76" s="46" cm="1">
        <f t="array" ref="XT76">ROUND(VALUE(IFERROR(INDEX(ArchiveResults!$F$5:$IX$116,ComparisonData!A76,ComparisonData!$XT$1),0)),5)</f>
        <v>0</v>
      </c>
      <c r="XU76" s="56">
        <v>71</v>
      </c>
      <c r="XV76" s="53" t="str">
        <f t="shared" si="730"/>
        <v>Royal Commission On The Ancient And Historical Monuments Of Wales</v>
      </c>
      <c r="XW76" s="60">
        <f t="shared" si="1091"/>
        <v>0</v>
      </c>
      <c r="XX76" s="60">
        <f t="shared" si="1092"/>
        <v>0</v>
      </c>
      <c r="XY76" s="76">
        <f t="shared" si="1093"/>
        <v>0</v>
      </c>
      <c r="XZ76" s="46">
        <f t="shared" si="1094"/>
        <v>30</v>
      </c>
      <c r="YA76" s="46">
        <f t="shared" si="731"/>
        <v>2.5839999999999996</v>
      </c>
      <c r="YB76" s="46">
        <f t="shared" si="1095"/>
        <v>1</v>
      </c>
      <c r="YC76" s="46">
        <f t="shared" si="1096"/>
        <v>2</v>
      </c>
      <c r="YD76" s="46" cm="1">
        <f t="array" ref="YD76">ROUND(VALUE(IFERROR(INDEX(ArchiveResults!$F$5:$IX$116,ComparisonData!A76,ComparisonData!$YD$1),0)),5)</f>
        <v>0</v>
      </c>
      <c r="YE76" s="46" cm="1">
        <f t="array" ref="YE76">ROUND(VALUE(IFERROR(INDEX(ArchiveResults!$F$5:$IX$116,ComparisonData!A76,ComparisonData!$YE$1),0)),5)</f>
        <v>0</v>
      </c>
      <c r="YF76" s="56">
        <v>71</v>
      </c>
      <c r="YG76" s="53" t="str">
        <f t="shared" si="732"/>
        <v>Royal Commission On The Ancient And Historical Monuments Of Wales</v>
      </c>
      <c r="YH76" s="60">
        <f t="shared" si="1097"/>
        <v>0</v>
      </c>
      <c r="YI76" s="60">
        <f t="shared" si="1098"/>
        <v>0</v>
      </c>
      <c r="YJ76" s="76">
        <f t="shared" si="1099"/>
        <v>0</v>
      </c>
      <c r="YK76" s="46">
        <f t="shared" si="1100"/>
        <v>30</v>
      </c>
      <c r="YL76" s="46">
        <f t="shared" si="733"/>
        <v>2.5839999999999996</v>
      </c>
      <c r="YM76" s="46">
        <f t="shared" si="1101"/>
        <v>1</v>
      </c>
      <c r="YN76" s="46">
        <f t="shared" si="1102"/>
        <v>2</v>
      </c>
      <c r="YO76" s="46" cm="1">
        <f t="array" ref="YO76">ROUND(VALUE(IFERROR(INDEX(ArchiveResults!$F$5:$IX$116,ComparisonData!A76,ComparisonData!$YO$1),0)),5)</f>
        <v>0</v>
      </c>
      <c r="YP76" s="46" cm="1">
        <f t="array" ref="YP76">ROUND(VALUE(IFERROR(INDEX(ArchiveResults!$F$5:$IX$116,ComparisonData!A76,ComparisonData!$YP$1),0)),5)</f>
        <v>0</v>
      </c>
      <c r="YQ76" s="56">
        <v>71</v>
      </c>
      <c r="YR76" s="53" t="str">
        <f t="shared" si="734"/>
        <v>Royal Commission On The Ancient And Historical Monuments Of Wales</v>
      </c>
      <c r="YS76" s="60">
        <f t="shared" si="1103"/>
        <v>0</v>
      </c>
      <c r="YT76" s="60">
        <f t="shared" si="1104"/>
        <v>0</v>
      </c>
      <c r="YU76" s="76">
        <f t="shared" si="1105"/>
        <v>0</v>
      </c>
      <c r="YV76" s="46">
        <f t="shared" si="1106"/>
        <v>30</v>
      </c>
      <c r="YW76" s="46">
        <f t="shared" si="735"/>
        <v>2.5839999999999996</v>
      </c>
      <c r="YX76" s="46">
        <f t="shared" si="1107"/>
        <v>1</v>
      </c>
      <c r="YY76" s="46">
        <f t="shared" si="1108"/>
        <v>2</v>
      </c>
      <c r="YZ76" s="46">
        <f t="shared" si="1109"/>
        <v>0</v>
      </c>
      <c r="ZA76" s="46" cm="1">
        <f t="array" ref="ZA76">ROUNDDOWN(VALUE(IFERROR(INDEX(ArchiveResults!$F$5:$IX$116,ComparisonData!A76,ComparisonData!$ZA$1),0)),5)</f>
        <v>0</v>
      </c>
      <c r="ZB76" s="46" cm="1">
        <f t="array" ref="ZB76">ROUNDDOWN(VALUE(IFERROR(INDEX(ArchiveResults!$F$5:$IX$116,ComparisonData!A76,ComparisonData!$ZB$1),0)),5)</f>
        <v>0</v>
      </c>
      <c r="ZC76" s="46" cm="1">
        <f t="array" ref="ZC76">ROUNDDOWN(VALUE(IFERROR(INDEX(ArchiveResults!$F$5:$IX$116,ComparisonData!A76,ComparisonData!$ZC$1),0)),5)</f>
        <v>0</v>
      </c>
      <c r="ZD76" s="46" cm="1">
        <f t="array" ref="ZD76">ROUNDDOWN(VALUE(IFERROR(INDEX(ArchiveResults!$F$5:$IX$116,ComparisonData!A76,ComparisonData!$ZD$1),0)),5)</f>
        <v>0</v>
      </c>
      <c r="ZE76" s="46" cm="1">
        <f t="array" ref="ZE76">ROUNDDOWN(VALUE(IFERROR(INDEX(ArchiveResults!$F$5:$IX$116,ComparisonData!A76,ComparisonData!$ZE$1),0)),5)</f>
        <v>0</v>
      </c>
      <c r="ZF76" s="56">
        <v>71</v>
      </c>
      <c r="ZG76" s="53" t="str">
        <f t="shared" si="736"/>
        <v>Royal Commission On The Ancient And Historical Monuments Of Wales</v>
      </c>
      <c r="ZH76" s="60">
        <f t="shared" si="1110"/>
        <v>0</v>
      </c>
      <c r="ZI76" s="60">
        <f t="shared" si="1111"/>
        <v>0</v>
      </c>
      <c r="ZJ76" s="60">
        <f t="shared" si="1112"/>
        <v>0</v>
      </c>
      <c r="ZK76" s="60">
        <f t="shared" si="1113"/>
        <v>0</v>
      </c>
      <c r="ZL76" s="60">
        <f t="shared" si="1114"/>
        <v>0</v>
      </c>
      <c r="ZM76" s="76">
        <f t="shared" si="1115"/>
        <v>0</v>
      </c>
      <c r="ZN76" s="46">
        <f t="shared" si="1116"/>
        <v>30</v>
      </c>
      <c r="ZO76" s="46">
        <f t="shared" si="737"/>
        <v>2.5839999999999996</v>
      </c>
      <c r="ZP76" s="46">
        <f t="shared" si="1117"/>
        <v>1</v>
      </c>
      <c r="ZQ76" s="46">
        <f t="shared" si="1118"/>
        <v>2</v>
      </c>
      <c r="ZR76" s="46" cm="1">
        <f t="array" ref="ZR76">ROUND(VALUE(IFERROR(INDEX(ArchiveResults!$F$5:$IX$116,ComparisonData!A76,ComparisonData!$ZR$1),0)),5)</f>
        <v>0</v>
      </c>
      <c r="ZS76" s="56">
        <v>71</v>
      </c>
      <c r="ZT76" s="53" t="str">
        <f t="shared" si="738"/>
        <v>Royal Commission On The Ancient And Historical Monuments Of Wales</v>
      </c>
      <c r="ZU76" s="46">
        <f t="shared" si="1119"/>
        <v>0</v>
      </c>
      <c r="ZV76" s="76">
        <f t="shared" si="1120"/>
        <v>0</v>
      </c>
      <c r="ZW76" s="81" cm="1">
        <f t="array" ref="ZW76">ROUND((IFERROR(INDEX(ArchiveResults!$F$5:$IX$116,ComparisonData!A76,ComparisonData!$ZW$1),0)),5)</f>
        <v>0</v>
      </c>
      <c r="ZX76" s="81" cm="1">
        <f t="array" ref="ZX76">ROUND((IFERROR(INDEX(ArchiveResults!$F$5:$IX$116,ComparisonData!A76,ComparisonData!$ZX$1),0)),5)</f>
        <v>0</v>
      </c>
      <c r="ZY76" s="81" cm="1">
        <f t="array" ref="ZY76">ROUND((IFERROR(INDEX(ArchiveResults!$F$5:$IX$116,ComparisonData!A76,ComparisonData!$ZY$1),0)),5)</f>
        <v>0</v>
      </c>
      <c r="ZZ76" s="81" cm="1">
        <f t="array" ref="ZZ76">ROUND((IFERROR(INDEX(ArchiveResults!$F$5:$IX$116,ComparisonData!A76,ComparisonData!$ZZ$1),0)),5)</f>
        <v>0</v>
      </c>
      <c r="AAA76" s="81" cm="1">
        <f t="array" ref="AAA76">ROUND((IFERROR(INDEX(ArchiveResults!$F$5:$IX$116,ComparisonData!A76,ComparisonData!$AAA$1),0)),5)</f>
        <v>0</v>
      </c>
      <c r="AAB76" s="81" cm="1">
        <f t="array" ref="AAB76">ROUND((IFERROR(INDEX(ArchiveResults!$F$5:$IX$116,ComparisonData!A76,ComparisonData!$AAB$1),0)),5)</f>
        <v>0</v>
      </c>
      <c r="AAC76" s="81" cm="1">
        <f t="array" ref="AAC76">ROUND((IFERROR(INDEX(ArchiveResults!$F$5:$IX$116,ComparisonData!A76,ComparisonData!$AAC$1),0)),5)</f>
        <v>0</v>
      </c>
      <c r="AAD76" s="81" cm="1">
        <f t="array" ref="AAD76">ROUND((IFERROR(INDEX(ArchiveResults!$F$5:$IX$116,ComparisonData!A76,ComparisonData!$AAD$1),0)),5)</f>
        <v>0</v>
      </c>
      <c r="AAE76" s="81" cm="1">
        <f t="array" ref="AAE76">ROUND((IFERROR(INDEX(ArchiveResults!$F$5:$IX$116,ComparisonData!A76,ComparisonData!$AAE$1),0)),5)</f>
        <v>0</v>
      </c>
      <c r="AAF76" s="81" cm="1">
        <f t="array" ref="AAF76">ROUND((IFERROR(INDEX(ArchiveResults!$F$5:$IX$116,ComparisonData!A76,ComparisonData!$AAF$1),0)),5)</f>
        <v>0</v>
      </c>
      <c r="AAG76" s="46">
        <f t="shared" si="1121"/>
        <v>30</v>
      </c>
      <c r="AAH76" s="46">
        <f t="shared" si="739"/>
        <v>2.5839999999999996</v>
      </c>
      <c r="AAI76" s="46">
        <f t="shared" si="1122"/>
        <v>1</v>
      </c>
      <c r="AAJ76" s="46">
        <f t="shared" si="1123"/>
        <v>2</v>
      </c>
      <c r="AAK76" s="46">
        <f t="shared" si="1124"/>
        <v>0</v>
      </c>
      <c r="AAL76" s="46">
        <f t="shared" si="1125"/>
        <v>0</v>
      </c>
      <c r="AAM76" s="46">
        <f t="shared" si="1126"/>
        <v>0</v>
      </c>
      <c r="AAN76" s="46">
        <f t="shared" si="1127"/>
        <v>0</v>
      </c>
      <c r="AAO76" s="46">
        <f t="shared" si="1128"/>
        <v>0</v>
      </c>
      <c r="AAP76" s="46">
        <f t="shared" si="1129"/>
        <v>0</v>
      </c>
      <c r="AAQ76" s="56">
        <v>71</v>
      </c>
      <c r="AAR76" s="53" t="str">
        <f t="shared" si="740"/>
        <v>Royal Commission On The Ancient And Historical Monuments Of Wales</v>
      </c>
      <c r="AAS76" s="60">
        <f t="shared" si="1130"/>
        <v>0</v>
      </c>
      <c r="AAT76" s="60">
        <f t="shared" si="1131"/>
        <v>0</v>
      </c>
      <c r="AAU76" s="60">
        <f t="shared" si="1132"/>
        <v>0</v>
      </c>
      <c r="AAV76" s="60">
        <f t="shared" si="1133"/>
        <v>0</v>
      </c>
      <c r="AAW76" s="60">
        <f t="shared" si="1134"/>
        <v>0</v>
      </c>
      <c r="AAX76" s="76">
        <f t="shared" si="1135"/>
        <v>0</v>
      </c>
      <c r="AAY76" s="46">
        <f t="shared" si="1136"/>
        <v>30</v>
      </c>
      <c r="AAZ76" s="46">
        <f t="shared" si="741"/>
        <v>2.5839999999999996</v>
      </c>
      <c r="ABA76" s="46">
        <f t="shared" si="1137"/>
        <v>1</v>
      </c>
      <c r="ABB76" s="46">
        <f t="shared" si="1138"/>
        <v>2</v>
      </c>
      <c r="ABC76" s="46">
        <f t="shared" si="742"/>
        <v>0</v>
      </c>
      <c r="ABD76" s="46" cm="1">
        <f t="array" ref="ABD76">ROUND(VALUE(IFERROR(INDEX(ArchiveResults!$F$5:$IX$116,ComparisonData!A76,ComparisonData!$ABD$1),0)),5)</f>
        <v>0</v>
      </c>
      <c r="ABE76" s="46" cm="1">
        <f t="array" ref="ABE76">ROUND(VALUE(IFERROR(INDEX(ArchiveResults!$F$5:$IX$116,ComparisonData!A76,ComparisonData!$ABE$1),0)),5)</f>
        <v>0</v>
      </c>
      <c r="ABF76" s="46" cm="1">
        <f t="array" ref="ABF76">ROUND(VALUE(IFERROR(INDEX(ArchiveResults!$F$5:$IX$116,ComparisonData!A76,ComparisonData!$ABF$1),0)),5)</f>
        <v>0</v>
      </c>
      <c r="ABG76" s="46" cm="1">
        <f t="array" ref="ABG76">ROUND(VALUE(IFERROR(INDEX(ArchiveResults!$F$5:$IX$116,ComparisonData!A76,ComparisonData!$ABG$1),0)),5)</f>
        <v>0</v>
      </c>
      <c r="ABH76" s="46" cm="1">
        <f t="array" ref="ABH76">ROUND(VALUE(IFERROR(INDEX(ArchiveResults!$F$5:$IX$116,ComparisonData!A76,ComparisonData!$ABH$1),0)),5)</f>
        <v>0</v>
      </c>
      <c r="ABI76" s="56">
        <v>71</v>
      </c>
      <c r="ABJ76" s="53" t="str">
        <f t="shared" si="743"/>
        <v>Royal Commission On The Ancient And Historical Monuments Of Wales</v>
      </c>
      <c r="ABK76" s="60">
        <f t="shared" si="1139"/>
        <v>0</v>
      </c>
      <c r="ABL76" s="60">
        <f t="shared" si="1140"/>
        <v>0</v>
      </c>
      <c r="ABM76" s="60">
        <f t="shared" si="1141"/>
        <v>0</v>
      </c>
      <c r="ABN76" s="60">
        <f t="shared" si="1142"/>
        <v>0</v>
      </c>
      <c r="ABO76" s="60">
        <f t="shared" si="1143"/>
        <v>0</v>
      </c>
      <c r="ABP76" s="76">
        <f t="shared" si="1144"/>
        <v>0</v>
      </c>
      <c r="ABQ76" s="46">
        <f t="shared" si="1145"/>
        <v>30</v>
      </c>
      <c r="ABR76" s="46">
        <f t="shared" si="744"/>
        <v>2.5839999999999996</v>
      </c>
      <c r="ABS76" s="46">
        <f t="shared" si="1146"/>
        <v>1</v>
      </c>
      <c r="ABT76" s="46">
        <f t="shared" si="1147"/>
        <v>2</v>
      </c>
      <c r="ABU76" s="46" cm="1">
        <f t="array" ref="ABU76">ROUND(VALUE(IFERROR(INDEX(ArchiveResults!$F$5:$IX$116,ComparisonData!A76,ComparisonData!$ABU$1),0)),5)</f>
        <v>0</v>
      </c>
      <c r="ABV76" s="46" cm="1">
        <f t="array" ref="ABV76">ROUND(VALUE(IFERROR(INDEX(ArchiveResults!$F$5:$IX$116,ComparisonData!A76,ComparisonData!$ABV$1),0)),5)</f>
        <v>0</v>
      </c>
      <c r="ABW76" s="46" cm="1">
        <f t="array" ref="ABW76">ROUND(VALUE(IFERROR(INDEX(ArchiveResults!$F$5:$IX$116,ComparisonData!A76,ComparisonData!$ABW$1),0)),5)</f>
        <v>0</v>
      </c>
      <c r="ABX76" s="46" cm="1">
        <f t="array" ref="ABX76">ROUND(VALUE(IFERROR(INDEX(ArchiveResults!$F$5:$IX$116,ComparisonData!A76,ComparisonData!$ABX$1),0)),5)</f>
        <v>0</v>
      </c>
      <c r="ABY76" s="46" cm="1">
        <f t="array" ref="ABY76">ROUND(VALUE(IFERROR(INDEX(ArchiveResults!$F$5:$IX$116,ComparisonData!A76,ComparisonData!$ABY$1),0)),5)</f>
        <v>0</v>
      </c>
      <c r="ABZ76" s="56">
        <v>71</v>
      </c>
      <c r="ACA76" s="53" t="str">
        <f t="shared" si="745"/>
        <v>Royal Commission On The Ancient And Historical Monuments Of Wales</v>
      </c>
      <c r="ACB76" s="60">
        <f t="shared" si="1148"/>
        <v>0</v>
      </c>
      <c r="ACC76" s="60">
        <f t="shared" si="1149"/>
        <v>0</v>
      </c>
      <c r="ACD76" s="60">
        <f t="shared" si="1150"/>
        <v>0</v>
      </c>
      <c r="ACE76" s="60">
        <f t="shared" si="1151"/>
        <v>0</v>
      </c>
      <c r="ACF76" s="60">
        <f t="shared" si="1152"/>
        <v>0</v>
      </c>
      <c r="ACG76" s="76">
        <f t="shared" si="1153"/>
        <v>0</v>
      </c>
      <c r="ACH76" s="46">
        <f t="shared" si="1154"/>
        <v>30</v>
      </c>
      <c r="ACI76" s="46">
        <f t="shared" si="746"/>
        <v>2.5839999999999996</v>
      </c>
      <c r="ACJ76" s="46">
        <f t="shared" si="1155"/>
        <v>1</v>
      </c>
      <c r="ACK76" s="46">
        <f t="shared" si="1156"/>
        <v>2</v>
      </c>
      <c r="ACL76" s="46">
        <f t="shared" si="1157"/>
        <v>0</v>
      </c>
      <c r="ACM76" s="46" cm="1">
        <f t="array" ref="ACM76">ROUND(IFERROR(INDEX(ArchiveResults!$F$5:$IX$116,ComparisonData!A76,ComparisonData!$ACM$1),0),5)</f>
        <v>0</v>
      </c>
      <c r="ACN76" s="46" cm="1">
        <f t="array" ref="ACN76">ROUND(IFERROR(INDEX(ArchiveResults!$F$5:$IX$116,ComparisonData!A76,ComparisonData!$ACN$1),0),5)</f>
        <v>0</v>
      </c>
      <c r="ACO76" s="56">
        <v>71</v>
      </c>
      <c r="ACP76" s="53" t="str">
        <f t="shared" si="747"/>
        <v>Royal Commission On The Ancient And Historical Monuments Of Wales</v>
      </c>
      <c r="ACQ76" s="60">
        <f t="shared" si="1158"/>
        <v>0</v>
      </c>
      <c r="ACR76" s="60">
        <f t="shared" si="1159"/>
        <v>0</v>
      </c>
      <c r="ACS76" s="76">
        <f t="shared" si="1160"/>
        <v>0</v>
      </c>
      <c r="ACT76" s="46">
        <f t="shared" si="1161"/>
        <v>30</v>
      </c>
      <c r="ACU76" s="46">
        <f t="shared" si="748"/>
        <v>2.5839999999999996</v>
      </c>
      <c r="ACV76" s="46">
        <f t="shared" si="1162"/>
        <v>1</v>
      </c>
      <c r="ACW76" s="46">
        <f t="shared" si="1163"/>
        <v>2</v>
      </c>
      <c r="ACX76" s="46">
        <f t="shared" si="1164"/>
        <v>0</v>
      </c>
      <c r="ACY76" s="46" cm="1">
        <f t="array" ref="ACY76">ROUNDDOWN(IFERROR(INDEX(ArchiveResults!$F$5:$IX$116,ComparisonData!A76,ComparisonData!$ACY$1),0),5)</f>
        <v>0</v>
      </c>
      <c r="ACZ76" s="46" cm="1">
        <f t="array" ref="ACZ76">ROUNDDOWN(IFERROR(INDEX(ArchiveResults!$F$5:$IX$116,ComparisonData!A76,ComparisonData!$ACZ$1),0),5)</f>
        <v>0</v>
      </c>
      <c r="ADA76" s="46" cm="1">
        <f t="array" ref="ADA76">ROUNDDOWN(IFERROR(INDEX(ArchiveResults!$F$5:$IX$116,ComparisonData!A76,ComparisonData!$ADA$1),0),5)</f>
        <v>0</v>
      </c>
      <c r="ADB76" s="56">
        <v>71</v>
      </c>
      <c r="ADC76" s="53" t="str">
        <f t="shared" si="749"/>
        <v>Royal Commission On The Ancient And Historical Monuments Of Wales</v>
      </c>
      <c r="ADD76" s="60">
        <f t="shared" si="1165"/>
        <v>0</v>
      </c>
      <c r="ADE76" s="60">
        <f t="shared" si="1166"/>
        <v>0</v>
      </c>
      <c r="ADF76" s="60">
        <f t="shared" si="1167"/>
        <v>0</v>
      </c>
      <c r="ADG76" s="76">
        <f t="shared" si="1168"/>
        <v>0</v>
      </c>
    </row>
    <row r="77" spans="1:787" x14ac:dyDescent="0.25">
      <c r="A77" s="46" t="str">
        <f>IF(ISBLANK(ComparisonSelection!F73),"",ROW()-5)</f>
        <v/>
      </c>
      <c r="B77" s="53" t="s">
        <v>525</v>
      </c>
      <c r="C77" s="72">
        <v>0.44399999999999951</v>
      </c>
      <c r="D77" s="55">
        <f t="shared" si="750"/>
        <v>2</v>
      </c>
      <c r="E77" s="54">
        <f t="shared" si="751"/>
        <v>2.4439999999999995</v>
      </c>
      <c r="F77" s="54">
        <f t="shared" si="752"/>
        <v>1</v>
      </c>
      <c r="G77" s="72">
        <f t="shared" si="753"/>
        <v>2</v>
      </c>
      <c r="H77" s="72">
        <f t="shared" si="754"/>
        <v>0</v>
      </c>
      <c r="I77" s="46" cm="1">
        <f t="array" ref="I77">ROUND(IFERROR(INDEX(ArchiveResults!$F$5:$IX$116,ComparisonData!A77,ComparisonData!$I$1),0),5)</f>
        <v>0</v>
      </c>
      <c r="J77" s="46" cm="1">
        <f t="array" ref="J77">ROUND(IFERROR(INDEX(ArchiveResults!$F$5:$IX$116,ComparisonData!A77,ComparisonData!$J$1),0),5)</f>
        <v>0</v>
      </c>
      <c r="K77" s="56">
        <v>72</v>
      </c>
      <c r="L77" s="53" t="str">
        <f t="shared" si="755"/>
        <v>Science Museum Group: National Railway Museum Research Centre - Search Engine</v>
      </c>
      <c r="M77" s="57">
        <f t="shared" si="640"/>
        <v>0</v>
      </c>
      <c r="N77" s="57">
        <f t="shared" si="641"/>
        <v>0</v>
      </c>
      <c r="O77" s="58">
        <f t="shared" si="756"/>
        <v>0</v>
      </c>
      <c r="P77" s="48">
        <f t="shared" si="757"/>
        <v>2</v>
      </c>
      <c r="Q77" s="54">
        <f t="shared" si="642"/>
        <v>2.4439999999999995</v>
      </c>
      <c r="R77" s="45">
        <f t="shared" si="758"/>
        <v>1</v>
      </c>
      <c r="S77" s="46">
        <f t="shared" si="759"/>
        <v>2</v>
      </c>
      <c r="T77" s="72">
        <f t="shared" si="760"/>
        <v>0</v>
      </c>
      <c r="U77" s="46" cm="1">
        <f t="array" ref="U77">ROUND(IFERROR(INDEX(ArchiveResults!$F$5:$IX$116,ComparisonData!A77,ComparisonData!$U$1),0),5)</f>
        <v>0</v>
      </c>
      <c r="V77" s="46" cm="1">
        <f t="array" ref="V77">ROUND(IFERROR(INDEX(ArchiveResults!$F$5:$IX$116,ComparisonData!A77,ComparisonData!$V$1),0),5)</f>
        <v>0</v>
      </c>
      <c r="W77" s="56">
        <v>72</v>
      </c>
      <c r="X77" s="53" t="str">
        <f t="shared" si="643"/>
        <v>Science Museum Group: National Railway Museum Research Centre - Search Engine</v>
      </c>
      <c r="Y77" s="57">
        <f t="shared" si="761"/>
        <v>0</v>
      </c>
      <c r="Z77" s="57">
        <f t="shared" si="762"/>
        <v>0</v>
      </c>
      <c r="AA77" s="58">
        <f t="shared" si="763"/>
        <v>0</v>
      </c>
      <c r="AB77" s="45">
        <f t="shared" si="764"/>
        <v>2</v>
      </c>
      <c r="AC77" s="54">
        <f t="shared" si="644"/>
        <v>2.4439999999999995</v>
      </c>
      <c r="AD77" s="45">
        <f t="shared" si="765"/>
        <v>1</v>
      </c>
      <c r="AE77" s="45">
        <f t="shared" si="766"/>
        <v>2</v>
      </c>
      <c r="AF77" s="45">
        <f t="shared" si="639"/>
        <v>0</v>
      </c>
      <c r="AG77" s="46" cm="1">
        <f t="array" ref="AG77">ROUND(IFERROR(INDEX(ArchiveResults!$F$5:$IX$116,ComparisonData!A77,ComparisonData!$AG$1),0),5)</f>
        <v>0</v>
      </c>
      <c r="AH77" s="46" cm="1">
        <f t="array" ref="AH77">ROUND(IFERROR(INDEX(ArchiveResults!$F$5:$IX$116,ComparisonData!A77,ComparisonData!$AH$1),0),5)</f>
        <v>0</v>
      </c>
      <c r="AI77" s="56">
        <v>72</v>
      </c>
      <c r="AJ77" s="53" t="str">
        <f t="shared" si="645"/>
        <v>Science Museum Group: National Railway Museum Research Centre - Search Engine</v>
      </c>
      <c r="AK77" s="59">
        <f t="shared" si="646"/>
        <v>0</v>
      </c>
      <c r="AL77" s="59">
        <f t="shared" si="647"/>
        <v>0</v>
      </c>
      <c r="AM77" s="58">
        <f t="shared" si="767"/>
        <v>0</v>
      </c>
      <c r="AN77" s="45">
        <f t="shared" si="768"/>
        <v>2</v>
      </c>
      <c r="AO77" s="54">
        <f t="shared" si="648"/>
        <v>2.4439999999999995</v>
      </c>
      <c r="AP77" s="45">
        <f t="shared" si="769"/>
        <v>1</v>
      </c>
      <c r="AQ77" s="45">
        <f t="shared" si="770"/>
        <v>2</v>
      </c>
      <c r="AR77" s="46" cm="1">
        <f t="array" ref="AR77">ROUND(IFERROR(INDEX(ArchiveResults!$F$5:$IX$116,ComparisonData!A77,ComparisonData!$AR$1),0),5)</f>
        <v>0</v>
      </c>
      <c r="AS77" s="46" cm="1">
        <f t="array" ref="AS77">ROUND(IFERROR(INDEX(ArchiveResults!$F$5:$IX$116,ComparisonData!A77,ComparisonData!$AS$1),0),5)</f>
        <v>0</v>
      </c>
      <c r="AT77" s="46" cm="1">
        <f t="array" ref="AT77">ROUND(IFERROR(INDEX(ArchiveResults!$F$5:$IX$116,ComparisonData!A77,ComparisonData!$AT$1),0),5)</f>
        <v>0</v>
      </c>
      <c r="AU77" s="46" cm="1">
        <f t="array" ref="AU77">ROUND(IFERROR(INDEX(ArchiveResults!$F$5:$IX$116,ComparisonData!A77,ComparisonData!$AU$1),0),5)</f>
        <v>0</v>
      </c>
      <c r="AV77" s="46" cm="1">
        <f t="array" ref="AV77">ROUND(IFERROR(INDEX(ArchiveResults!$F$5:$IX$116,ComparisonData!A77,ComparisonData!$AV$1),0),5)</f>
        <v>0</v>
      </c>
      <c r="AW77" s="46" cm="1">
        <f t="array" ref="AW77">ROUND(IFERROR(INDEX(ArchiveResults!$F$5:$IX$116,ComparisonData!A77,ComparisonData!$AW$1),0),5)</f>
        <v>0</v>
      </c>
      <c r="AX77" s="46" cm="1">
        <f t="array" ref="AX77">ROUND(IFERROR(INDEX(ArchiveResults!$F$5:$IX$116,ComparisonData!A77,ComparisonData!$AX$1),0),5)</f>
        <v>0</v>
      </c>
      <c r="AY77" s="46" cm="1">
        <f t="array" ref="AY77">ROUND(IFERROR(INDEX(ArchiveResults!$F$5:$IX$116,ComparisonData!A77,ComparisonData!$AY$1),0),5)</f>
        <v>0</v>
      </c>
      <c r="AZ77" s="46" cm="1">
        <f t="array" ref="AZ77">ROUND(IFERROR(INDEX(ArchiveResults!$F$5:$IX$116,ComparisonData!A77,ComparisonData!$AZ$1),0),5)</f>
        <v>0</v>
      </c>
      <c r="BA77" s="46" cm="1">
        <f t="array" ref="BA77">ROUND(IFERROR(INDEX(ArchiveResults!$F$5:$IX$116,ComparisonData!A77,ComparisonData!$BA$1),0),5)</f>
        <v>0</v>
      </c>
      <c r="BB77" s="56">
        <v>72</v>
      </c>
      <c r="BC77" s="53" t="str">
        <f t="shared" si="649"/>
        <v>Science Museum Group: National Railway Museum Research Centre - Search Engine</v>
      </c>
      <c r="BD77" s="60">
        <f t="shared" si="771"/>
        <v>0</v>
      </c>
      <c r="BE77" s="60">
        <f t="shared" si="772"/>
        <v>0</v>
      </c>
      <c r="BF77" s="60">
        <f t="shared" si="773"/>
        <v>0</v>
      </c>
      <c r="BG77" s="60">
        <f t="shared" si="774"/>
        <v>0</v>
      </c>
      <c r="BH77" s="60">
        <f t="shared" si="775"/>
        <v>0</v>
      </c>
      <c r="BI77" s="60">
        <f t="shared" si="776"/>
        <v>0</v>
      </c>
      <c r="BJ77" s="60">
        <f t="shared" si="777"/>
        <v>0</v>
      </c>
      <c r="BK77" s="60">
        <f t="shared" si="778"/>
        <v>0</v>
      </c>
      <c r="BL77" s="60">
        <f t="shared" si="779"/>
        <v>0</v>
      </c>
      <c r="BM77" s="59">
        <f t="shared" si="780"/>
        <v>0</v>
      </c>
      <c r="BN77" s="58">
        <f t="shared" si="781"/>
        <v>0</v>
      </c>
      <c r="BO77" s="45">
        <f t="shared" si="782"/>
        <v>2</v>
      </c>
      <c r="BP77" s="54">
        <f t="shared" si="650"/>
        <v>2.4439999999999995</v>
      </c>
      <c r="BQ77" s="45">
        <f t="shared" si="783"/>
        <v>1</v>
      </c>
      <c r="BR77" s="45">
        <f t="shared" si="784"/>
        <v>2</v>
      </c>
      <c r="BS77" s="46" cm="1">
        <f t="array" ref="BS77">ROUND(IFERROR(INDEX(ArchiveResults!$F$5:$IX$116,ComparisonData!A77,ComparisonData!$BS$1),0),5)</f>
        <v>0</v>
      </c>
      <c r="BT77" s="46" cm="1">
        <f t="array" ref="BT77">ROUND(IFERROR(INDEX(ArchiveResults!$F$5:$IX$116,ComparisonData!A77,ComparisonData!$BT$1),0),5)</f>
        <v>0</v>
      </c>
      <c r="BU77" s="46" cm="1">
        <f t="array" ref="BU77">ROUND(IFERROR(INDEX(ArchiveResults!$F$5:$IX$116,ComparisonData!A77,ComparisonData!$BU$1),0),5)</f>
        <v>0</v>
      </c>
      <c r="BV77" s="46" cm="1">
        <f t="array" ref="BV77">ROUND(IFERROR(INDEX(ArchiveResults!$F$5:$IX$116,ComparisonData!A77,ComparisonData!$BV$1),0),5)</f>
        <v>0</v>
      </c>
      <c r="BW77" s="46" cm="1">
        <f t="array" ref="BW77">ROUND(IFERROR(INDEX(ArchiveResults!$F$5:$IX$116,ComparisonData!A77,ComparisonData!$BW$1),0),5)</f>
        <v>0</v>
      </c>
      <c r="BX77" s="46" cm="1">
        <f t="array" ref="BX77">ROUND(IFERROR(INDEX(ArchiveResults!$F$5:$IX$116,ComparisonData!A77,ComparisonData!$BX$1),0),5)</f>
        <v>0</v>
      </c>
      <c r="BY77" s="56">
        <v>72</v>
      </c>
      <c r="BZ77" s="53" t="str">
        <f t="shared" si="651"/>
        <v>Science Museum Group: National Railway Museum Research Centre - Search Engine</v>
      </c>
      <c r="CA77" s="59">
        <f t="shared" si="785"/>
        <v>0</v>
      </c>
      <c r="CB77" s="59">
        <f t="shared" si="786"/>
        <v>0</v>
      </c>
      <c r="CC77" s="59">
        <f t="shared" si="787"/>
        <v>0</v>
      </c>
      <c r="CD77" s="59">
        <f t="shared" si="788"/>
        <v>0</v>
      </c>
      <c r="CE77" s="59">
        <f t="shared" si="789"/>
        <v>0</v>
      </c>
      <c r="CF77" s="59">
        <f t="shared" si="790"/>
        <v>0</v>
      </c>
      <c r="CG77" s="58">
        <f t="shared" si="791"/>
        <v>0</v>
      </c>
      <c r="CH77" s="45">
        <f t="shared" si="792"/>
        <v>2</v>
      </c>
      <c r="CI77" s="54">
        <f t="shared" si="652"/>
        <v>2.4439999999999995</v>
      </c>
      <c r="CJ77" s="45">
        <f t="shared" si="793"/>
        <v>1</v>
      </c>
      <c r="CK77" s="45">
        <f t="shared" si="794"/>
        <v>2</v>
      </c>
      <c r="CL77" s="46" cm="1">
        <f t="array" ref="CL77">ROUND(IFERROR(INDEX(ArchiveResults!$F$5:$IX$116,ComparisonData!A77,ComparisonData!$CL$1),0),5)</f>
        <v>0</v>
      </c>
      <c r="CM77" s="56">
        <v>72</v>
      </c>
      <c r="CN77" s="53" t="str">
        <f t="shared" si="653"/>
        <v>Science Museum Group: National Railway Museum Research Centre - Search Engine</v>
      </c>
      <c r="CO77" s="45">
        <f t="shared" si="795"/>
        <v>0</v>
      </c>
      <c r="CP77" s="58">
        <f t="shared" si="796"/>
        <v>0</v>
      </c>
      <c r="CQ77" s="45">
        <f t="shared" si="797"/>
        <v>2</v>
      </c>
      <c r="CR77" s="54">
        <f t="shared" si="654"/>
        <v>2.4439999999999995</v>
      </c>
      <c r="CS77" s="45">
        <f t="shared" si="798"/>
        <v>1</v>
      </c>
      <c r="CT77" s="45">
        <f t="shared" si="799"/>
        <v>2</v>
      </c>
      <c r="CU77" s="46" cm="1">
        <f t="array" ref="CU77">ROUND(IFERROR(INDEX(ArchiveResults!$F$5:$IX$116,ComparisonData!A77,ComparisonData!$CU$1),0),5)</f>
        <v>0</v>
      </c>
      <c r="CV77" s="56">
        <v>72</v>
      </c>
      <c r="CW77" s="53" t="str">
        <f t="shared" si="655"/>
        <v>Science Museum Group: National Railway Museum Research Centre - Search Engine</v>
      </c>
      <c r="CX77" s="45">
        <f t="shared" si="800"/>
        <v>0</v>
      </c>
      <c r="CY77" s="58">
        <f t="shared" si="801"/>
        <v>0</v>
      </c>
      <c r="CZ77" s="45">
        <f t="shared" si="802"/>
        <v>2</v>
      </c>
      <c r="DA77" s="54">
        <f t="shared" si="656"/>
        <v>2.4439999999999995</v>
      </c>
      <c r="DB77" s="45">
        <f t="shared" si="803"/>
        <v>1</v>
      </c>
      <c r="DC77" s="45">
        <f t="shared" si="804"/>
        <v>2</v>
      </c>
      <c r="DD77" s="46" cm="1">
        <f t="array" ref="DD77">ROUND(IFERROR(INDEX(ArchiveResults!$F$5:$IX$116,ComparisonData!A77,ComparisonData!$DD$1),0),5)</f>
        <v>0</v>
      </c>
      <c r="DE77" s="56">
        <v>72</v>
      </c>
      <c r="DF77" s="53" t="str">
        <f t="shared" si="657"/>
        <v>Science Museum Group: National Railway Museum Research Centre - Search Engine</v>
      </c>
      <c r="DG77" s="45">
        <f t="shared" si="805"/>
        <v>0</v>
      </c>
      <c r="DH77" s="58">
        <f t="shared" si="806"/>
        <v>0</v>
      </c>
      <c r="DI77" s="45">
        <f t="shared" si="807"/>
        <v>2</v>
      </c>
      <c r="DJ77" s="54">
        <f t="shared" si="658"/>
        <v>2.4439999999999995</v>
      </c>
      <c r="DK77" s="45">
        <f t="shared" si="808"/>
        <v>1</v>
      </c>
      <c r="DL77" s="45">
        <f t="shared" si="809"/>
        <v>2</v>
      </c>
      <c r="DM77" s="46" cm="1">
        <f t="array" ref="DM77">ROUND(IFERROR(INDEX(ArchiveResults!$F$5:$IX$116,ComparisonData!A77,ComparisonData!$DM$1),0),5)</f>
        <v>0</v>
      </c>
      <c r="DN77" s="46" cm="1">
        <f t="array" ref="DN77">ROUND(IFERROR(INDEX(ArchiveResults!$F$5:$IX$116,ComparisonData!A77,ComparisonData!$DN$1),0),5)</f>
        <v>0</v>
      </c>
      <c r="DO77" s="46" cm="1">
        <f t="array" ref="DO77">ROUND(IFERROR(INDEX(ArchiveResults!$F$5:$IX$116,ComparisonData!A77,ComparisonData!$DO$1),0),5)</f>
        <v>0</v>
      </c>
      <c r="DP77" s="46" cm="1">
        <f t="array" ref="DP77">ROUND(IFERROR(INDEX(ArchiveResults!$F$5:$IX$116,ComparisonData!A77,ComparisonData!$DP$1),0),5)</f>
        <v>0</v>
      </c>
      <c r="DQ77" s="45" cm="1">
        <f t="array" ref="DQ77">IFERROR(INDEX(ArchiveResults!$F$5:$IX$116,ComparisonData!A77,ComparisonData!$DQ$1),0)</f>
        <v>0</v>
      </c>
      <c r="DR77" s="56">
        <v>72</v>
      </c>
      <c r="DS77" s="53" t="str">
        <f t="shared" si="659"/>
        <v>Science Museum Group: National Railway Museum Research Centre - Search Engine</v>
      </c>
      <c r="DT77" s="59">
        <f t="shared" si="810"/>
        <v>0</v>
      </c>
      <c r="DU77" s="59">
        <f t="shared" si="811"/>
        <v>0</v>
      </c>
      <c r="DV77" s="59">
        <f t="shared" si="812"/>
        <v>0</v>
      </c>
      <c r="DW77" s="59">
        <f t="shared" si="813"/>
        <v>0</v>
      </c>
      <c r="DX77" s="59">
        <f t="shared" si="814"/>
        <v>0</v>
      </c>
      <c r="DY77" s="58">
        <f t="shared" si="815"/>
        <v>0</v>
      </c>
      <c r="DZ77" s="45">
        <f t="shared" si="816"/>
        <v>2</v>
      </c>
      <c r="EA77" s="54">
        <f t="shared" si="660"/>
        <v>2.4439999999999995</v>
      </c>
      <c r="EB77" s="45">
        <f t="shared" si="817"/>
        <v>1</v>
      </c>
      <c r="EC77" s="45">
        <f t="shared" si="818"/>
        <v>2</v>
      </c>
      <c r="ED77" s="46" cm="1">
        <f t="array" ref="ED77">ROUND(IFERROR(INDEX(ArchiveResults!$F$5:$IX$116,ComparisonData!A77,ComparisonData!$ED$1),0),5)</f>
        <v>0</v>
      </c>
      <c r="EE77" s="46" cm="1">
        <f t="array" ref="EE77">ROUND(IFERROR(INDEX(ArchiveResults!$F$5:$IX$116,ComparisonData!A77,ComparisonData!$EE$1),0),5)</f>
        <v>0</v>
      </c>
      <c r="EF77" s="46" cm="1">
        <f t="array" ref="EF77">ROUND(IFERROR(INDEX(ArchiveResults!$F$5:$IX$116,ComparisonData!A77,ComparisonData!$EF$1),0),5)</f>
        <v>0</v>
      </c>
      <c r="EG77" s="46" cm="1">
        <f t="array" ref="EG77">ROUND(IFERROR(INDEX(ArchiveResults!$F$5:$IX$116,ComparisonData!A77,ComparisonData!$EG$1),0),5)</f>
        <v>0</v>
      </c>
      <c r="EH77" s="45" cm="1">
        <f t="array" ref="EH77">IFERROR(INDEX(ArchiveResults!$F$5:$IX$116,ComparisonData!A77,ComparisonData!$EH$1),0)</f>
        <v>0</v>
      </c>
      <c r="EI77" s="56">
        <v>72</v>
      </c>
      <c r="EJ77" s="53" t="str">
        <f t="shared" si="661"/>
        <v>Science Museum Group: National Railway Museum Research Centre - Search Engine</v>
      </c>
      <c r="EK77" s="59">
        <f t="shared" si="819"/>
        <v>0</v>
      </c>
      <c r="EL77" s="59">
        <f t="shared" si="820"/>
        <v>0</v>
      </c>
      <c r="EM77" s="59">
        <f t="shared" si="821"/>
        <v>0</v>
      </c>
      <c r="EN77" s="59">
        <f t="shared" si="822"/>
        <v>0</v>
      </c>
      <c r="EO77" s="59">
        <f t="shared" si="823"/>
        <v>0</v>
      </c>
      <c r="EP77" s="58">
        <f t="shared" si="824"/>
        <v>0</v>
      </c>
      <c r="EQ77" s="45">
        <f t="shared" si="825"/>
        <v>2</v>
      </c>
      <c r="ER77" s="54">
        <f t="shared" si="662"/>
        <v>2.4439999999999995</v>
      </c>
      <c r="ES77" s="45">
        <f t="shared" si="826"/>
        <v>1</v>
      </c>
      <c r="ET77" s="45">
        <f t="shared" si="827"/>
        <v>2</v>
      </c>
      <c r="EU77" s="46" cm="1">
        <f t="array" ref="EU77">ROUND(IFERROR(INDEX(ArchiveResults!$F$5:$IX$116,ComparisonData!A77,ComparisonData!$EU$1),0),5)</f>
        <v>0</v>
      </c>
      <c r="EV77" s="46" cm="1">
        <f t="array" ref="EV77">ROUND(IFERROR(INDEX(ArchiveResults!$F$5:$IX$116,ComparisonData!A77,ComparisonData!$EV$1),0),5)</f>
        <v>0</v>
      </c>
      <c r="EW77" s="46" cm="1">
        <f t="array" ref="EW77">ROUND(IFERROR(INDEX(ArchiveResults!$F$5:$IX$116,ComparisonData!A77,ComparisonData!$EW$1),0),5)</f>
        <v>0</v>
      </c>
      <c r="EX77" s="46" cm="1">
        <f t="array" ref="EX77">ROUND(IFERROR(INDEX(ArchiveResults!$F$5:$IX$116,ComparisonData!A77,ComparisonData!$EX$1),0),5)</f>
        <v>0</v>
      </c>
      <c r="EY77" s="45" cm="1">
        <f t="array" ref="EY77">IFERROR(INDEX(ArchiveResults!$F$5:$IX$116,ComparisonData!A77,ComparisonData!$EY$1),0)</f>
        <v>0</v>
      </c>
      <c r="EZ77" s="56">
        <v>72</v>
      </c>
      <c r="FA77" s="53" t="str">
        <f t="shared" si="663"/>
        <v>Science Museum Group: National Railway Museum Research Centre - Search Engine</v>
      </c>
      <c r="FB77" s="59">
        <f t="shared" si="828"/>
        <v>0</v>
      </c>
      <c r="FC77" s="59">
        <f t="shared" si="829"/>
        <v>0</v>
      </c>
      <c r="FD77" s="59">
        <f t="shared" si="830"/>
        <v>0</v>
      </c>
      <c r="FE77" s="59">
        <f t="shared" si="831"/>
        <v>0</v>
      </c>
      <c r="FF77" s="59">
        <f t="shared" si="832"/>
        <v>0</v>
      </c>
      <c r="FG77" s="58">
        <f t="shared" si="833"/>
        <v>0</v>
      </c>
      <c r="FH77" s="45">
        <f t="shared" si="834"/>
        <v>2</v>
      </c>
      <c r="FI77" s="54">
        <f t="shared" si="664"/>
        <v>2.4439999999999995</v>
      </c>
      <c r="FJ77" s="45">
        <f t="shared" si="835"/>
        <v>1</v>
      </c>
      <c r="FK77" s="45">
        <f t="shared" si="836"/>
        <v>2</v>
      </c>
      <c r="FL77" s="46" cm="1">
        <f t="array" ref="FL77">ROUND(IFERROR(INDEX(ArchiveResults!$F$5:$IX$116,ComparisonData!A77,ComparisonData!$FL$1),0),5)</f>
        <v>0</v>
      </c>
      <c r="FM77" s="46" cm="1">
        <f t="array" ref="FM77">ROUND(IFERROR(INDEX(ArchiveResults!$F$5:$IX$116,ComparisonData!A77,ComparisonData!$FM$1),0),5)</f>
        <v>0</v>
      </c>
      <c r="FN77" s="46" cm="1">
        <f t="array" ref="FN77">ROUND(IFERROR(INDEX(ArchiveResults!$F$5:$IX$116,ComparisonData!A77,ComparisonData!$FN$1),0),5)</f>
        <v>0</v>
      </c>
      <c r="FO77" s="46" cm="1">
        <f t="array" ref="FO77">ROUND(IFERROR(INDEX(ArchiveResults!$F$5:$IX$116,ComparisonData!A77,ComparisonData!$FO$1),0),5)</f>
        <v>0</v>
      </c>
      <c r="FP77" s="45" cm="1">
        <f t="array" ref="FP77">IFERROR(INDEX(ArchiveResults!$F$5:$IX$116,ComparisonData!A77,ComparisonData!$FP$1),0)</f>
        <v>0</v>
      </c>
      <c r="FQ77" s="56">
        <v>72</v>
      </c>
      <c r="FR77" s="53" t="str">
        <f t="shared" si="665"/>
        <v>Science Museum Group: National Railway Museum Research Centre - Search Engine</v>
      </c>
      <c r="FS77" s="59">
        <f t="shared" si="837"/>
        <v>0</v>
      </c>
      <c r="FT77" s="59">
        <f t="shared" si="838"/>
        <v>0</v>
      </c>
      <c r="FU77" s="59">
        <f t="shared" si="839"/>
        <v>0</v>
      </c>
      <c r="FV77" s="59">
        <f t="shared" si="840"/>
        <v>0</v>
      </c>
      <c r="FW77" s="59">
        <f t="shared" si="841"/>
        <v>0</v>
      </c>
      <c r="FX77" s="58">
        <f t="shared" si="842"/>
        <v>0</v>
      </c>
      <c r="FY77" s="45">
        <f t="shared" si="843"/>
        <v>2</v>
      </c>
      <c r="FZ77" s="45">
        <f t="shared" si="666"/>
        <v>2.4439999999999995</v>
      </c>
      <c r="GA77" s="45">
        <f t="shared" si="844"/>
        <v>1</v>
      </c>
      <c r="GB77" s="45">
        <f t="shared" si="845"/>
        <v>2</v>
      </c>
      <c r="GC77" s="46" cm="1">
        <f t="array" ref="GC77">ROUND(IFERROR(INDEX(ArchiveResults!$F$5:$IX$116,ComparisonData!A77,ComparisonData!$GC$1),0),5)</f>
        <v>0</v>
      </c>
      <c r="GD77" s="46" cm="1">
        <f t="array" ref="GD77">ROUND(IFERROR(INDEX(ArchiveResults!$F$5:$IX$116,ComparisonData!A77,ComparisonData!$GD$1),0),5)</f>
        <v>0</v>
      </c>
      <c r="GE77" s="46" cm="1">
        <f t="array" ref="GE77">ROUND(IFERROR(INDEX(ArchiveResults!$F$5:$IX$116,ComparisonData!A77,ComparisonData!$GE$1),0),5)</f>
        <v>0</v>
      </c>
      <c r="GF77" s="46" cm="1">
        <f t="array" ref="GF77">ROUND(IFERROR(INDEX(ArchiveResults!$F$5:$IX$116,ComparisonData!A77,ComparisonData!$GF$1),0),5)</f>
        <v>0</v>
      </c>
      <c r="GG77" s="45" cm="1">
        <f t="array" ref="GG77">IFERROR(INDEX(ArchiveResults!$F$5:$IX$116,ComparisonData!A77,ComparisonData!$GG$1),0)</f>
        <v>0</v>
      </c>
      <c r="GH77" s="56">
        <v>72</v>
      </c>
      <c r="GI77" s="53" t="str">
        <f t="shared" si="667"/>
        <v>Science Museum Group: National Railway Museum Research Centre - Search Engine</v>
      </c>
      <c r="GJ77" s="59">
        <f t="shared" si="846"/>
        <v>0</v>
      </c>
      <c r="GK77" s="59">
        <f t="shared" si="847"/>
        <v>0</v>
      </c>
      <c r="GL77" s="59">
        <f t="shared" si="848"/>
        <v>0</v>
      </c>
      <c r="GM77" s="59">
        <f t="shared" si="849"/>
        <v>0</v>
      </c>
      <c r="GN77" s="59">
        <f t="shared" si="850"/>
        <v>0</v>
      </c>
      <c r="GO77" s="58">
        <f t="shared" si="851"/>
        <v>0</v>
      </c>
      <c r="GP77" s="45">
        <f t="shared" si="852"/>
        <v>2</v>
      </c>
      <c r="GQ77" s="45">
        <f t="shared" si="668"/>
        <v>2.4439999999999995</v>
      </c>
      <c r="GR77" s="45">
        <f t="shared" si="853"/>
        <v>1</v>
      </c>
      <c r="GS77" s="45">
        <f t="shared" si="854"/>
        <v>2</v>
      </c>
      <c r="GT77" s="46" cm="1">
        <f t="array" ref="GT77">ROUND(IFERROR(INDEX(ArchiveResults!$F$5:$IX$116,ComparisonData!A77,ComparisonData!$GT$1),0),5)</f>
        <v>0</v>
      </c>
      <c r="GU77" s="46" cm="1">
        <f t="array" ref="GU77">ROUND(IFERROR(INDEX(ArchiveResults!$F$5:$IX$116,ComparisonData!A77,ComparisonData!$GU$1),0),5)</f>
        <v>0</v>
      </c>
      <c r="GV77" s="46" cm="1">
        <f t="array" ref="GV77">ROUND(IFERROR(INDEX(ArchiveResults!$F$5:$IX$116,ComparisonData!A77,ComparisonData!$GV$1),0),5)</f>
        <v>0</v>
      </c>
      <c r="GW77" s="46" cm="1">
        <f t="array" ref="GW77">ROUND(IFERROR(INDEX(ArchiveResults!$F$5:$IX$116,ComparisonData!A77,ComparisonData!$GW$1),0),5)</f>
        <v>0</v>
      </c>
      <c r="GX77" s="45" cm="1">
        <f t="array" ref="GX77">IFERROR(INDEX(ArchiveResults!$F$5:$IX$116,ComparisonData!A77,ComparisonData!$GX$1),0)</f>
        <v>0</v>
      </c>
      <c r="GY77" s="56">
        <v>72</v>
      </c>
      <c r="GZ77" s="53" t="str">
        <f t="shared" si="669"/>
        <v>Science Museum Group: National Railway Museum Research Centre - Search Engine</v>
      </c>
      <c r="HA77" s="59">
        <f t="shared" si="855"/>
        <v>0</v>
      </c>
      <c r="HB77" s="59">
        <f t="shared" si="856"/>
        <v>0</v>
      </c>
      <c r="HC77" s="59">
        <f t="shared" si="857"/>
        <v>0</v>
      </c>
      <c r="HD77" s="59">
        <f t="shared" si="858"/>
        <v>0</v>
      </c>
      <c r="HE77" s="59">
        <f t="shared" si="859"/>
        <v>0</v>
      </c>
      <c r="HF77" s="58">
        <f t="shared" si="860"/>
        <v>0</v>
      </c>
      <c r="HG77" s="45">
        <f t="shared" si="861"/>
        <v>2</v>
      </c>
      <c r="HH77" s="45">
        <f t="shared" si="670"/>
        <v>2.4439999999999995</v>
      </c>
      <c r="HI77" s="45">
        <f t="shared" si="862"/>
        <v>1</v>
      </c>
      <c r="HJ77" s="45">
        <f t="shared" si="863"/>
        <v>2</v>
      </c>
      <c r="HK77" s="46" cm="1">
        <f t="array" ref="HK77">ROUND(IFERROR(INDEX(ArchiveResults!$F$5:$IX$116,ComparisonData!A77,ComparisonData!$HK$1),0),5)</f>
        <v>0</v>
      </c>
      <c r="HL77" s="46" cm="1">
        <f t="array" ref="HL77">ROUND(IFERROR(INDEX(ArchiveResults!$F$5:$IX$116,ComparisonData!A77,ComparisonData!$HL$1),0),5)</f>
        <v>0</v>
      </c>
      <c r="HM77" s="46" cm="1">
        <f t="array" ref="HM77">ROUND(IFERROR(INDEX(ArchiveResults!$F$5:$IX$116,ComparisonData!A77,ComparisonData!$HM$1),0),5)</f>
        <v>0</v>
      </c>
      <c r="HN77" s="46" cm="1">
        <f t="array" ref="HN77">ROUND(IFERROR(INDEX(ArchiveResults!$F$5:$IX$116,ComparisonData!A77,ComparisonData!$HN$1),0),5)</f>
        <v>0</v>
      </c>
      <c r="HO77" s="45" cm="1">
        <f t="array" ref="HO77">IFERROR(INDEX(ArchiveResults!$F$5:$IX$116,ComparisonData!A77,ComparisonData!$HO$1),0)</f>
        <v>0</v>
      </c>
      <c r="HP77" s="56">
        <v>72</v>
      </c>
      <c r="HQ77" s="53" t="str">
        <f t="shared" si="671"/>
        <v>Science Museum Group: National Railway Museum Research Centre - Search Engine</v>
      </c>
      <c r="HR77" s="59">
        <f t="shared" si="672"/>
        <v>0</v>
      </c>
      <c r="HS77" s="59">
        <f t="shared" si="673"/>
        <v>0</v>
      </c>
      <c r="HT77" s="59">
        <f t="shared" si="674"/>
        <v>0</v>
      </c>
      <c r="HU77" s="59">
        <f t="shared" si="675"/>
        <v>0</v>
      </c>
      <c r="HV77" s="59">
        <f t="shared" si="676"/>
        <v>0</v>
      </c>
      <c r="HW77" s="58">
        <f t="shared" si="864"/>
        <v>0</v>
      </c>
      <c r="HX77" s="45">
        <f t="shared" si="865"/>
        <v>2</v>
      </c>
      <c r="HY77" s="45">
        <f t="shared" si="677"/>
        <v>2.4439999999999995</v>
      </c>
      <c r="HZ77" s="45">
        <f t="shared" si="866"/>
        <v>1</v>
      </c>
      <c r="IA77" s="45">
        <f t="shared" si="867"/>
        <v>2</v>
      </c>
      <c r="IB77" s="45">
        <f t="shared" si="868"/>
        <v>0</v>
      </c>
      <c r="IC77" s="46" cm="1">
        <f t="array" ref="IC77">ROUND(IFERROR(INDEX(ArchiveResults!$F$5:$IX$116,ComparisonData!A77,ComparisonData!$IC$1),0),5)</f>
        <v>0</v>
      </c>
      <c r="ID77" s="46" cm="1">
        <f t="array" ref="ID77">ROUND(IFERROR(INDEX(ArchiveResults!$F$5:$IX$116,ComparisonData!A77,ComparisonData!$ID$1),0),5)</f>
        <v>0</v>
      </c>
      <c r="IE77" s="46" cm="1">
        <f t="array" ref="IE77">ROUND(IFERROR(INDEX(ArchiveResults!$F$5:$IX$116,ComparisonData!A77,ComparisonData!$IE$1),0),5)</f>
        <v>0</v>
      </c>
      <c r="IF77" s="46" cm="1">
        <f t="array" ref="IF77">ROUND(IFERROR(INDEX(ArchiveResults!$F$5:$IX$116,ComparisonData!A77,ComparisonData!$IF$1),0),5)</f>
        <v>0</v>
      </c>
      <c r="IG77" s="45" cm="1">
        <f t="array" ref="IG77">IFERROR(INDEX(ArchiveResults!$F$5:$IX$116,ComparisonData!A77,ComparisonData!$IG$1),0)</f>
        <v>0</v>
      </c>
      <c r="IH77" s="56">
        <v>72</v>
      </c>
      <c r="II77" s="53" t="str">
        <f t="shared" si="678"/>
        <v>Science Museum Group: National Railway Museum Research Centre - Search Engine</v>
      </c>
      <c r="IJ77" s="59">
        <f t="shared" si="869"/>
        <v>0</v>
      </c>
      <c r="IK77" s="59">
        <f t="shared" si="870"/>
        <v>0</v>
      </c>
      <c r="IL77" s="59">
        <f t="shared" si="871"/>
        <v>0</v>
      </c>
      <c r="IM77" s="59">
        <f t="shared" si="872"/>
        <v>0</v>
      </c>
      <c r="IN77" s="59">
        <f t="shared" si="873"/>
        <v>0</v>
      </c>
      <c r="IO77" s="58">
        <f t="shared" si="874"/>
        <v>0</v>
      </c>
      <c r="IP77" s="45">
        <f t="shared" si="875"/>
        <v>2</v>
      </c>
      <c r="IQ77" s="45">
        <f t="shared" si="679"/>
        <v>2.4439999999999995</v>
      </c>
      <c r="IR77" s="45">
        <f t="shared" si="876"/>
        <v>1</v>
      </c>
      <c r="IS77" s="45">
        <f t="shared" si="877"/>
        <v>2</v>
      </c>
      <c r="IT77" s="46">
        <f t="shared" si="878"/>
        <v>0</v>
      </c>
      <c r="IU77" s="46" cm="1">
        <f t="array" ref="IU77">ROUND(IFERROR(INDEX(ArchiveResults!$F$5:$IX$116,ComparisonData!A77,ComparisonData!$IU$1),0),5)</f>
        <v>0</v>
      </c>
      <c r="IV77" s="46" cm="1">
        <f t="array" ref="IV77">ROUND(IFERROR(INDEX(ArchiveResults!$F$5:$IX$116,ComparisonData!A77,ComparisonData!$IV$1),0),5)</f>
        <v>0</v>
      </c>
      <c r="IW77" s="46" cm="1">
        <f t="array" ref="IW77">ROUND(IFERROR(INDEX(ArchiveResults!$F$5:$IX$116,ComparisonData!A77,ComparisonData!$IW$1),0),5)</f>
        <v>0</v>
      </c>
      <c r="IX77" s="46" cm="1">
        <f t="array" ref="IX77">ROUND(IFERROR(INDEX(ArchiveResults!$F$5:$IX$116,ComparisonData!A77,ComparisonData!$IX$1),0),5)</f>
        <v>0</v>
      </c>
      <c r="IY77" s="45" cm="1">
        <f t="array" ref="IY77">IFERROR(INDEX(ArchiveResults!$F$5:$IX$116,ComparisonData!A77,ComparisonData!$IY$1),0)</f>
        <v>0</v>
      </c>
      <c r="IZ77" s="56">
        <v>72</v>
      </c>
      <c r="JA77" s="53" t="str">
        <f t="shared" si="680"/>
        <v>Science Museum Group: National Railway Museum Research Centre - Search Engine</v>
      </c>
      <c r="JB77" s="59">
        <f t="shared" si="879"/>
        <v>0</v>
      </c>
      <c r="JC77" s="59">
        <f t="shared" si="880"/>
        <v>0</v>
      </c>
      <c r="JD77" s="59">
        <f t="shared" si="881"/>
        <v>0</v>
      </c>
      <c r="JE77" s="59">
        <f t="shared" si="882"/>
        <v>0</v>
      </c>
      <c r="JF77" s="59">
        <f t="shared" si="883"/>
        <v>0</v>
      </c>
      <c r="JG77" s="58">
        <f t="shared" si="884"/>
        <v>0</v>
      </c>
      <c r="JH77" s="45">
        <f t="shared" si="885"/>
        <v>2</v>
      </c>
      <c r="JI77" s="45">
        <f t="shared" si="681"/>
        <v>2.4439999999999995</v>
      </c>
      <c r="JJ77" s="45">
        <f t="shared" si="886"/>
        <v>1</v>
      </c>
      <c r="JK77" s="45">
        <f t="shared" si="887"/>
        <v>2</v>
      </c>
      <c r="JL77" s="45">
        <f t="shared" si="888"/>
        <v>0</v>
      </c>
      <c r="JM77" s="46" cm="1">
        <f t="array" ref="JM77">ROUND(IFERROR(INDEX(ArchiveResults!$F$5:$IX$116,ComparisonData!A77,ComparisonData!$JM$1),0),5)</f>
        <v>0</v>
      </c>
      <c r="JN77" s="46" cm="1">
        <f t="array" ref="JN77">ROUND(IFERROR(INDEX(ArchiveResults!$F$5:$IX$116,ComparisonData!A77,ComparisonData!$JN$1),0),5)</f>
        <v>0</v>
      </c>
      <c r="JO77" s="46" cm="1">
        <f t="array" ref="JO77">ROUND(IFERROR(INDEX(ArchiveResults!$F$5:$IX$116,ComparisonData!A77,ComparisonData!$JO$1),0),5)</f>
        <v>0</v>
      </c>
      <c r="JP77" s="46" cm="1">
        <f t="array" ref="JP77">ROUND(IFERROR(INDEX(ArchiveResults!$F$5:$IX$116,ComparisonData!A77,ComparisonData!$JP$1),0),5)</f>
        <v>0</v>
      </c>
      <c r="JQ77" s="45" cm="1">
        <f t="array" ref="JQ77">IFERROR(INDEX(ArchiveResults!$F$5:$IX$116,ComparisonData!A77,ComparisonData!$JQ$1),0)</f>
        <v>0</v>
      </c>
      <c r="JR77" s="56">
        <v>72</v>
      </c>
      <c r="JS77" s="53" t="str">
        <f t="shared" si="682"/>
        <v>Science Museum Group: National Railway Museum Research Centre - Search Engine</v>
      </c>
      <c r="JT77" s="59">
        <f t="shared" si="889"/>
        <v>0</v>
      </c>
      <c r="JU77" s="59">
        <f t="shared" si="890"/>
        <v>0</v>
      </c>
      <c r="JV77" s="59">
        <f t="shared" si="891"/>
        <v>0</v>
      </c>
      <c r="JW77" s="59">
        <f t="shared" si="892"/>
        <v>0</v>
      </c>
      <c r="JX77" s="59">
        <f t="shared" si="893"/>
        <v>0</v>
      </c>
      <c r="JY77" s="58">
        <f t="shared" si="894"/>
        <v>0</v>
      </c>
      <c r="JZ77" s="45">
        <f t="shared" si="895"/>
        <v>2</v>
      </c>
      <c r="KA77" s="45">
        <f t="shared" si="683"/>
        <v>2.4439999999999995</v>
      </c>
      <c r="KB77" s="45">
        <f t="shared" si="896"/>
        <v>1</v>
      </c>
      <c r="KC77" s="45">
        <f t="shared" si="897"/>
        <v>2</v>
      </c>
      <c r="KD77" s="45">
        <f t="shared" si="898"/>
        <v>0</v>
      </c>
      <c r="KE77" s="46" cm="1">
        <f t="array" ref="KE77">ROUND(IFERROR(INDEX(ArchiveResults!$F$5:$IX$116,ComparisonData!A77,ComparisonData!$KE$1),0),5)</f>
        <v>0</v>
      </c>
      <c r="KF77" s="46" cm="1">
        <f t="array" ref="KF77">ROUND(IFERROR(INDEX(ArchiveResults!$F$5:$IX$116,ComparisonData!A77,ComparisonData!$KF$1),0),5)</f>
        <v>0</v>
      </c>
      <c r="KG77" s="46" cm="1">
        <f t="array" ref="KG77">ROUND(IFERROR(INDEX(ArchiveResults!$F$5:$IX$116,ComparisonData!A77,ComparisonData!$KG$1),0),5)</f>
        <v>0</v>
      </c>
      <c r="KH77" s="46" cm="1">
        <f t="array" ref="KH77">ROUND(IFERROR(INDEX(ArchiveResults!$F$5:$IX$116,ComparisonData!A77,ComparisonData!$KH$1),0),5)</f>
        <v>0</v>
      </c>
      <c r="KI77" s="45" cm="1">
        <f t="array" ref="KI77">IFERROR(INDEX(ArchiveResults!$F$5:$IX$116,ComparisonData!A77,ComparisonData!$KI$1),0)</f>
        <v>0</v>
      </c>
      <c r="KJ77" s="56">
        <v>72</v>
      </c>
      <c r="KK77" s="53" t="str">
        <f t="shared" si="684"/>
        <v>Science Museum Group: National Railway Museum Research Centre - Search Engine</v>
      </c>
      <c r="KL77" s="59">
        <f t="shared" si="899"/>
        <v>0</v>
      </c>
      <c r="KM77" s="59">
        <f t="shared" si="900"/>
        <v>0</v>
      </c>
      <c r="KN77" s="59">
        <f t="shared" si="901"/>
        <v>0</v>
      </c>
      <c r="KO77" s="59">
        <f t="shared" si="902"/>
        <v>0</v>
      </c>
      <c r="KP77" s="59">
        <f t="shared" si="903"/>
        <v>0</v>
      </c>
      <c r="KQ77" s="58">
        <f t="shared" si="904"/>
        <v>0</v>
      </c>
      <c r="KR77" s="45">
        <f t="shared" si="905"/>
        <v>2</v>
      </c>
      <c r="KS77" s="45">
        <f t="shared" si="685"/>
        <v>2.4439999999999995</v>
      </c>
      <c r="KT77" s="45">
        <f t="shared" si="906"/>
        <v>1</v>
      </c>
      <c r="KU77" s="45">
        <f t="shared" si="907"/>
        <v>2</v>
      </c>
      <c r="KV77" s="45">
        <f t="shared" si="908"/>
        <v>0</v>
      </c>
      <c r="KW77" s="46" cm="1">
        <f t="array" ref="KW77">ROUND(IFERROR(INDEX(ArchiveResults!$F$5:$IX$116,ComparisonData!A77,ComparisonData!$KW$1),0),5)</f>
        <v>0</v>
      </c>
      <c r="KX77" s="46" cm="1">
        <f t="array" ref="KX77">ROUND(IFERROR(INDEX(ArchiveResults!$F$5:$IX$116,ComparisonData!A77,ComparisonData!$KX$1),0),5)</f>
        <v>0</v>
      </c>
      <c r="KY77" s="46" cm="1">
        <f t="array" ref="KY77">ROUND(IFERROR(INDEX(ArchiveResults!$F$5:$IX$116,ComparisonData!A77,ComparisonData!$KY$1),0),5)</f>
        <v>0</v>
      </c>
      <c r="KZ77" s="46" cm="1">
        <f t="array" ref="KZ77">ROUND(IFERROR(INDEX(ArchiveResults!$F$5:$IX$116,ComparisonData!A77,ComparisonData!$KZ$1),0),5)</f>
        <v>0</v>
      </c>
      <c r="LA77" s="45" cm="1">
        <f t="array" ref="LA77">IFERROR(INDEX(ArchiveResults!$F$5:$IX$116,ComparisonData!A77,ComparisonData!$LA$1),0)</f>
        <v>0</v>
      </c>
      <c r="LB77" s="56">
        <v>72</v>
      </c>
      <c r="LC77" s="53" t="str">
        <f t="shared" si="686"/>
        <v>Science Museum Group: National Railway Museum Research Centre - Search Engine</v>
      </c>
      <c r="LD77" s="59">
        <f t="shared" si="909"/>
        <v>0</v>
      </c>
      <c r="LE77" s="59">
        <f t="shared" si="910"/>
        <v>0</v>
      </c>
      <c r="LF77" s="59">
        <f t="shared" si="911"/>
        <v>0</v>
      </c>
      <c r="LG77" s="59">
        <f t="shared" si="912"/>
        <v>0</v>
      </c>
      <c r="LH77" s="59">
        <f t="shared" si="913"/>
        <v>0</v>
      </c>
      <c r="LI77" s="58">
        <f t="shared" si="914"/>
        <v>0</v>
      </c>
      <c r="LJ77" s="45">
        <f t="shared" si="915"/>
        <v>2</v>
      </c>
      <c r="LK77" s="45">
        <f t="shared" si="687"/>
        <v>2.4439999999999995</v>
      </c>
      <c r="LL77" s="45">
        <f t="shared" si="916"/>
        <v>1</v>
      </c>
      <c r="LM77" s="45">
        <f t="shared" si="917"/>
        <v>2</v>
      </c>
      <c r="LN77" s="45">
        <f t="shared" si="918"/>
        <v>0</v>
      </c>
      <c r="LO77" s="46" cm="1">
        <f t="array" ref="LO77">ROUND(IFERROR(INDEX(ArchiveResults!$F$5:$IX$116,ComparisonData!A77,ComparisonData!$LO$1),0),5)</f>
        <v>0</v>
      </c>
      <c r="LP77" s="46" cm="1">
        <f t="array" ref="LP77">ROUND(IFERROR(INDEX(ArchiveResults!$F$5:$IX$116,ComparisonData!A77,ComparisonData!$LP$1),0),5)</f>
        <v>0</v>
      </c>
      <c r="LQ77" s="46" cm="1">
        <f t="array" ref="LQ77">ROUND(IFERROR(INDEX(ArchiveResults!$F$5:$IX$116,ComparisonData!A77,ComparisonData!$LQ$1),0),5)</f>
        <v>0</v>
      </c>
      <c r="LR77" s="46" cm="1">
        <f t="array" ref="LR77">ROUND(IFERROR(INDEX(ArchiveResults!$F$5:$IX$116,ComparisonData!A77,ComparisonData!$LR$1),0),5)</f>
        <v>0</v>
      </c>
      <c r="LS77" s="45" cm="1">
        <f t="array" ref="LS77">IFERROR(INDEX(ArchiveResults!$F$5:$IX$116,ComparisonData!A77,ComparisonData!$LS$1),0)</f>
        <v>0</v>
      </c>
      <c r="LT77" s="56">
        <v>72</v>
      </c>
      <c r="LU77" s="53" t="str">
        <f t="shared" si="688"/>
        <v>Science Museum Group: National Railway Museum Research Centre - Search Engine</v>
      </c>
      <c r="LV77" s="59">
        <f t="shared" si="919"/>
        <v>0</v>
      </c>
      <c r="LW77" s="59">
        <f t="shared" si="920"/>
        <v>0</v>
      </c>
      <c r="LX77" s="59">
        <f t="shared" si="921"/>
        <v>0</v>
      </c>
      <c r="LY77" s="59">
        <f t="shared" si="922"/>
        <v>0</v>
      </c>
      <c r="LZ77" s="59">
        <f t="shared" si="923"/>
        <v>0</v>
      </c>
      <c r="MA77" s="58">
        <f t="shared" si="924"/>
        <v>0</v>
      </c>
      <c r="MB77" s="45">
        <f t="shared" si="925"/>
        <v>2</v>
      </c>
      <c r="MC77" s="45">
        <f t="shared" si="689"/>
        <v>2.4439999999999995</v>
      </c>
      <c r="MD77" s="45">
        <f t="shared" si="926"/>
        <v>1</v>
      </c>
      <c r="ME77" s="45">
        <f t="shared" si="927"/>
        <v>2</v>
      </c>
      <c r="MF77" s="45">
        <f t="shared" si="928"/>
        <v>0</v>
      </c>
      <c r="MG77" s="46" cm="1">
        <f t="array" ref="MG77">ROUND(IFERROR(INDEX(ArchiveResults!$F$5:$IX$116,ComparisonData!A77,ComparisonData!$MG$1),0),5)</f>
        <v>0</v>
      </c>
      <c r="MH77" s="46" cm="1">
        <f t="array" ref="MH77">ROUND(IFERROR(INDEX(ArchiveResults!$F$5:$IX$116,ComparisonData!A77,ComparisonData!$MH$1),0),5)</f>
        <v>0</v>
      </c>
      <c r="MI77" s="46" cm="1">
        <f t="array" ref="MI77">ROUND(IFERROR(INDEX(ArchiveResults!$F$5:$IX$116,ComparisonData!A77,ComparisonData!$MI$1),0),5)</f>
        <v>0</v>
      </c>
      <c r="MJ77" s="46" cm="1">
        <f t="array" ref="MJ77">ROUND(IFERROR(INDEX(ArchiveResults!$F$5:$IX$116,ComparisonData!A77,ComparisonData!$MJ$1),0),5)</f>
        <v>0</v>
      </c>
      <c r="MK77" s="45" cm="1">
        <f t="array" ref="MK77">IFERROR(INDEX(ArchiveResults!$F$5:$IX$116,ComparisonData!A77,ComparisonData!$MK$1),0)</f>
        <v>0</v>
      </c>
      <c r="ML77" s="56">
        <v>72</v>
      </c>
      <c r="MM77" s="53" t="str">
        <f t="shared" si="690"/>
        <v>Science Museum Group: National Railway Museum Research Centre - Search Engine</v>
      </c>
      <c r="MN77" s="59">
        <f t="shared" si="929"/>
        <v>0</v>
      </c>
      <c r="MO77" s="59">
        <f t="shared" si="930"/>
        <v>0</v>
      </c>
      <c r="MP77" s="59">
        <f t="shared" si="931"/>
        <v>0</v>
      </c>
      <c r="MQ77" s="59">
        <f t="shared" si="932"/>
        <v>0</v>
      </c>
      <c r="MR77" s="59">
        <f t="shared" si="933"/>
        <v>0</v>
      </c>
      <c r="MS77" s="58">
        <f t="shared" si="934"/>
        <v>0</v>
      </c>
      <c r="MT77" s="45">
        <f t="shared" si="935"/>
        <v>2</v>
      </c>
      <c r="MU77" s="45">
        <f t="shared" si="691"/>
        <v>2.4439999999999995</v>
      </c>
      <c r="MV77" s="45">
        <f t="shared" si="936"/>
        <v>1</v>
      </c>
      <c r="MW77" s="45">
        <f t="shared" si="937"/>
        <v>2</v>
      </c>
      <c r="MX77" s="45">
        <f t="shared" si="938"/>
        <v>0</v>
      </c>
      <c r="MY77" s="46" cm="1">
        <f t="array" ref="MY77">ROUND(IFERROR(INDEX(ArchiveResults!$F$5:$IX$116,ComparisonData!A77,ComparisonData!$MY$1),0),5)</f>
        <v>0</v>
      </c>
      <c r="MZ77" s="46" cm="1">
        <f t="array" ref="MZ77">ROUND(IFERROR(INDEX(ArchiveResults!$F$5:$IX$116,ComparisonData!A77,ComparisonData!$MZ$1),0),5)</f>
        <v>0</v>
      </c>
      <c r="NA77" s="46" cm="1">
        <f t="array" ref="NA77">ROUND(IFERROR(INDEX(ArchiveResults!$F$5:$IX$116,ComparisonData!A77,ComparisonData!$NA$1),0),5)</f>
        <v>0</v>
      </c>
      <c r="NB77" s="46" cm="1">
        <f t="array" ref="NB77">ROUND(IFERROR(INDEX(ArchiveResults!$F$5:$IX$116,ComparisonData!A77,ComparisonData!$NB$1),0),5)</f>
        <v>0</v>
      </c>
      <c r="NC77" s="45" cm="1">
        <f t="array" ref="NC77">IFERROR(INDEX(ArchiveResults!$F$5:$IX$116,ComparisonData!A77,ComparisonData!$NC$1),0)</f>
        <v>0</v>
      </c>
      <c r="ND77" s="56">
        <v>72</v>
      </c>
      <c r="NE77" s="53" t="str">
        <f t="shared" si="692"/>
        <v>Science Museum Group: National Railway Museum Research Centre - Search Engine</v>
      </c>
      <c r="NF77" s="59">
        <f t="shared" si="939"/>
        <v>0</v>
      </c>
      <c r="NG77" s="59">
        <f t="shared" si="940"/>
        <v>0</v>
      </c>
      <c r="NH77" s="59">
        <f t="shared" si="941"/>
        <v>0</v>
      </c>
      <c r="NI77" s="59">
        <f t="shared" si="942"/>
        <v>0</v>
      </c>
      <c r="NJ77" s="59">
        <f t="shared" si="943"/>
        <v>0</v>
      </c>
      <c r="NK77" s="58">
        <f t="shared" si="944"/>
        <v>0</v>
      </c>
      <c r="NL77" s="45">
        <f t="shared" si="945"/>
        <v>2</v>
      </c>
      <c r="NM77" s="45">
        <f t="shared" si="693"/>
        <v>2.4439999999999995</v>
      </c>
      <c r="NN77" s="45">
        <f t="shared" si="946"/>
        <v>1</v>
      </c>
      <c r="NO77" s="45">
        <f t="shared" si="947"/>
        <v>2</v>
      </c>
      <c r="NP77" s="46" cm="1">
        <f t="array" ref="NP77">ROUND(IFERROR(INDEX(ArchiveResults!$F$5:$IX$116,ComparisonData!A77,ComparisonData!$NP$1),0),5)</f>
        <v>0</v>
      </c>
      <c r="NQ77" s="46" cm="1">
        <f t="array" ref="NQ77">ROUND(IFERROR(INDEX(ArchiveResults!$F$5:$IX$116,ComparisonData!A77,ComparisonData!$NQ$1),0),5)</f>
        <v>0</v>
      </c>
      <c r="NR77" s="46" cm="1">
        <f t="array" ref="NR77">ROUND(IFERROR(INDEX(ArchiveResults!$F$5:$IX$116,ComparisonData!A77,ComparisonData!$NR$1),0),5)</f>
        <v>0</v>
      </c>
      <c r="NS77" s="46" cm="1">
        <f t="array" ref="NS77">ROUND(IFERROR(INDEX(ArchiveResults!$F$5:$IX$116,ComparisonData!A77,ComparisonData!$NS$1),0),5)</f>
        <v>0</v>
      </c>
      <c r="NT77" s="45" cm="1">
        <f t="array" ref="NT77">IFERROR(INDEX(ArchiveResults!$F$5:$IX$116,ComparisonData!A77,ComparisonData!$NT$1),0)</f>
        <v>0</v>
      </c>
      <c r="NU77" s="56">
        <v>72</v>
      </c>
      <c r="NV77" s="53" t="str">
        <f t="shared" si="694"/>
        <v>Science Museum Group: National Railway Museum Research Centre - Search Engine</v>
      </c>
      <c r="NW77" s="59">
        <f t="shared" si="948"/>
        <v>0</v>
      </c>
      <c r="NX77" s="59">
        <f t="shared" si="949"/>
        <v>0</v>
      </c>
      <c r="NY77" s="59">
        <f t="shared" si="950"/>
        <v>0</v>
      </c>
      <c r="NZ77" s="59">
        <f t="shared" si="951"/>
        <v>0</v>
      </c>
      <c r="OA77" s="59">
        <f t="shared" si="952"/>
        <v>0</v>
      </c>
      <c r="OB77" s="58">
        <f t="shared" si="953"/>
        <v>0</v>
      </c>
      <c r="OC77" s="45">
        <f t="shared" si="954"/>
        <v>2</v>
      </c>
      <c r="OD77" s="45">
        <f t="shared" si="695"/>
        <v>2.4439999999999995</v>
      </c>
      <c r="OE77" s="45">
        <f t="shared" si="955"/>
        <v>1</v>
      </c>
      <c r="OF77" s="45">
        <f t="shared" si="956"/>
        <v>2</v>
      </c>
      <c r="OG77" s="46">
        <f t="shared" si="957"/>
        <v>0</v>
      </c>
      <c r="OH77" s="46" cm="1">
        <f t="array" ref="OH77">ROUND(IFERROR(INDEX(ArchiveResults!$F$5:$IX$116,ComparisonData!A77,ComparisonData!$OH$1),0),5)</f>
        <v>0</v>
      </c>
      <c r="OI77" s="46" cm="1">
        <f t="array" ref="OI77">ROUND(IFERROR(INDEX(ArchiveResults!$F$5:$IX$116,ComparisonData!A77,ComparisonData!$OI$1),0),5)</f>
        <v>0</v>
      </c>
      <c r="OJ77" s="46" cm="1">
        <f t="array" ref="OJ77">ROUND(IFERROR(INDEX(ArchiveResults!$F$5:$IX$116,ComparisonData!A77,ComparisonData!$OJ$1),0),5)</f>
        <v>0</v>
      </c>
      <c r="OK77" s="46" cm="1">
        <f t="array" ref="OK77">ROUND(IFERROR(INDEX(ArchiveResults!$F$5:$IX$116,ComparisonData!A77,ComparisonData!$OK$1),0),5)</f>
        <v>0</v>
      </c>
      <c r="OL77" s="45" cm="1">
        <f t="array" ref="OL77">IFERROR(INDEX(ArchiveResults!$F$5:$IX$116,ComparisonData!A77,ComparisonData!$OL$1),0)</f>
        <v>0</v>
      </c>
      <c r="OM77" s="56">
        <v>72</v>
      </c>
      <c r="ON77" s="53" t="str">
        <f t="shared" si="696"/>
        <v>Science Museum Group: National Railway Museum Research Centre - Search Engine</v>
      </c>
      <c r="OO77" s="59">
        <f t="shared" si="958"/>
        <v>0</v>
      </c>
      <c r="OP77" s="59">
        <f t="shared" si="959"/>
        <v>0</v>
      </c>
      <c r="OQ77" s="59">
        <f t="shared" si="960"/>
        <v>0</v>
      </c>
      <c r="OR77" s="59">
        <f t="shared" si="961"/>
        <v>0</v>
      </c>
      <c r="OS77" s="59">
        <f t="shared" si="962"/>
        <v>0</v>
      </c>
      <c r="OT77" s="58">
        <f t="shared" si="963"/>
        <v>0</v>
      </c>
      <c r="OU77" s="45">
        <f t="shared" si="964"/>
        <v>2</v>
      </c>
      <c r="OV77" s="45">
        <f t="shared" si="697"/>
        <v>2.4439999999999995</v>
      </c>
      <c r="OW77" s="45">
        <f t="shared" si="965"/>
        <v>1</v>
      </c>
      <c r="OX77" s="45">
        <f t="shared" si="966"/>
        <v>2</v>
      </c>
      <c r="OY77" s="45">
        <f t="shared" si="967"/>
        <v>0</v>
      </c>
      <c r="OZ77" s="46" cm="1">
        <f t="array" ref="OZ77">ROUND(IFERROR(INDEX(ArchiveResults!$F$5:$IX$116,ComparisonData!A77,ComparisonData!$OZ$1),0),5)</f>
        <v>0</v>
      </c>
      <c r="PA77" s="46" cm="1">
        <f t="array" ref="PA77">ROUND(IFERROR(INDEX(ArchiveResults!$F$5:$IX$116,ComparisonData!A77,ComparisonData!$PA$1),0),5)</f>
        <v>0</v>
      </c>
      <c r="PB77" s="46" cm="1">
        <f t="array" ref="PB77">ROUND(IFERROR(INDEX(ArchiveResults!$F$5:$IX$116,ComparisonData!A77,ComparisonData!$PB$1),0),5)</f>
        <v>0</v>
      </c>
      <c r="PC77" s="46" cm="1">
        <f t="array" ref="PC77">ROUND(IFERROR(INDEX(ArchiveResults!$F$5:$IX$116,ComparisonData!A77,ComparisonData!$PC$1),0),5)</f>
        <v>0</v>
      </c>
      <c r="PD77" s="45" cm="1">
        <f t="array" ref="PD77">IFERROR(INDEX(ArchiveResults!$F$5:$IX$116,ComparisonData!A77,ComparisonData!$PD$1),0)</f>
        <v>0</v>
      </c>
      <c r="PE77" s="56">
        <v>72</v>
      </c>
      <c r="PF77" s="53" t="str">
        <f t="shared" si="698"/>
        <v>Science Museum Group: National Railway Museum Research Centre - Search Engine</v>
      </c>
      <c r="PG77" s="59">
        <f t="shared" si="968"/>
        <v>0</v>
      </c>
      <c r="PH77" s="59">
        <f t="shared" si="969"/>
        <v>0</v>
      </c>
      <c r="PI77" s="59">
        <f t="shared" si="970"/>
        <v>0</v>
      </c>
      <c r="PJ77" s="59">
        <f t="shared" si="971"/>
        <v>0</v>
      </c>
      <c r="PK77" s="59">
        <f t="shared" si="972"/>
        <v>0</v>
      </c>
      <c r="PL77" s="58">
        <f t="shared" si="973"/>
        <v>0</v>
      </c>
      <c r="PM77" s="45">
        <f t="shared" si="974"/>
        <v>2</v>
      </c>
      <c r="PN77" s="45">
        <f t="shared" si="699"/>
        <v>2.4439999999999995</v>
      </c>
      <c r="PO77" s="45">
        <f t="shared" si="975"/>
        <v>1</v>
      </c>
      <c r="PP77" s="45">
        <f t="shared" si="976"/>
        <v>2</v>
      </c>
      <c r="PQ77" s="45">
        <f t="shared" si="977"/>
        <v>0</v>
      </c>
      <c r="PR77" s="46" cm="1">
        <f t="array" ref="PR77">ROUND(IFERROR(INDEX(ArchiveResults!$F$5:$IX$116,ComparisonData!A77,ComparisonData!$PR$1),0),5)</f>
        <v>0</v>
      </c>
      <c r="PS77" s="46" cm="1">
        <f t="array" ref="PS77">ROUND(IFERROR(INDEX(ArchiveResults!$F$5:$IX$116,ComparisonData!A77,ComparisonData!$PS$1),0),5)</f>
        <v>0</v>
      </c>
      <c r="PT77" s="46" cm="1">
        <f t="array" ref="PT77">ROUND(IFERROR(INDEX(ArchiveResults!$F$5:$IX$116,ComparisonData!A77,ComparisonData!$PT$1),0),5)</f>
        <v>0</v>
      </c>
      <c r="PU77" s="46" cm="1">
        <f t="array" ref="PU77">ROUND(IFERROR(INDEX(ArchiveResults!$F$5:$IX$116,ComparisonData!A77,ComparisonData!$PU$1),0),5)</f>
        <v>0</v>
      </c>
      <c r="PV77" s="45" cm="1">
        <f t="array" ref="PV77">IFERROR(INDEX(ArchiveResults!$F$5:$IX$116,ComparisonData!A77,ComparisonData!$PV$1),0)</f>
        <v>0</v>
      </c>
      <c r="PW77" s="56">
        <v>72</v>
      </c>
      <c r="PX77" s="53" t="str">
        <f t="shared" si="700"/>
        <v>Science Museum Group: National Railway Museum Research Centre - Search Engine</v>
      </c>
      <c r="PY77" s="59">
        <f t="shared" si="978"/>
        <v>0</v>
      </c>
      <c r="PZ77" s="59">
        <f t="shared" si="979"/>
        <v>0</v>
      </c>
      <c r="QA77" s="59">
        <f t="shared" si="980"/>
        <v>0</v>
      </c>
      <c r="QB77" s="59">
        <f t="shared" si="981"/>
        <v>0</v>
      </c>
      <c r="QC77" s="59">
        <f t="shared" si="982"/>
        <v>0</v>
      </c>
      <c r="QD77" s="58">
        <f t="shared" si="983"/>
        <v>0</v>
      </c>
      <c r="QE77" s="45">
        <f t="shared" si="984"/>
        <v>2</v>
      </c>
      <c r="QF77" s="45">
        <f t="shared" si="701"/>
        <v>2.4439999999999995</v>
      </c>
      <c r="QG77" s="45">
        <f t="shared" si="985"/>
        <v>1</v>
      </c>
      <c r="QH77" s="45">
        <f t="shared" si="986"/>
        <v>2</v>
      </c>
      <c r="QI77" s="45">
        <f t="shared" si="987"/>
        <v>0</v>
      </c>
      <c r="QJ77" s="46" cm="1">
        <f t="array" ref="QJ77">ROUND(IFERROR(INDEX(ArchiveResults!$F$5:$IX$116,ComparisonData!A77,ComparisonData!$QJ$1),0),5)</f>
        <v>0</v>
      </c>
      <c r="QK77" s="46" cm="1">
        <f t="array" ref="QK77">ROUND(IFERROR(INDEX(ArchiveResults!$F$5:$IX$116,ComparisonData!A77,ComparisonData!$QK$1),0),5)</f>
        <v>0</v>
      </c>
      <c r="QL77" s="46" cm="1">
        <f t="array" ref="QL77">ROUND(IFERROR(INDEX(ArchiveResults!$F$5:$IX$116,ComparisonData!A77,ComparisonData!$QL$1),0),5)</f>
        <v>0</v>
      </c>
      <c r="QM77" s="46" cm="1">
        <f t="array" ref="QM77">ROUND(IFERROR(INDEX(ArchiveResults!$F$5:$IX$116,ComparisonData!A77,ComparisonData!$QM$1),0),5)</f>
        <v>0</v>
      </c>
      <c r="QN77" s="45" cm="1">
        <f t="array" ref="QN77">IFERROR(INDEX(ArchiveResults!$F$5:$IX$116,ComparisonData!A77,ComparisonData!$QN$1),0)</f>
        <v>0</v>
      </c>
      <c r="QO77" s="56">
        <v>72</v>
      </c>
      <c r="QP77" s="53" t="str">
        <f t="shared" si="702"/>
        <v>Science Museum Group: National Railway Museum Research Centre - Search Engine</v>
      </c>
      <c r="QQ77" s="59">
        <f t="shared" si="988"/>
        <v>0</v>
      </c>
      <c r="QR77" s="59">
        <f t="shared" si="989"/>
        <v>0</v>
      </c>
      <c r="QS77" s="59">
        <f t="shared" si="990"/>
        <v>0</v>
      </c>
      <c r="QT77" s="59">
        <f t="shared" si="991"/>
        <v>0</v>
      </c>
      <c r="QU77" s="59">
        <f t="shared" si="992"/>
        <v>0</v>
      </c>
      <c r="QV77" s="58">
        <f t="shared" si="993"/>
        <v>0</v>
      </c>
      <c r="QW77" s="45">
        <f t="shared" si="994"/>
        <v>2</v>
      </c>
      <c r="QX77" s="45">
        <f t="shared" si="703"/>
        <v>2.4439999999999995</v>
      </c>
      <c r="QY77" s="45">
        <f t="shared" si="995"/>
        <v>1</v>
      </c>
      <c r="QZ77" s="45">
        <f t="shared" si="996"/>
        <v>2</v>
      </c>
      <c r="RA77" s="45">
        <f t="shared" si="997"/>
        <v>0</v>
      </c>
      <c r="RB77" s="46" cm="1">
        <f t="array" ref="RB77">ROUND(IFERROR(INDEX(ArchiveResults!$F$5:$IX$116,ComparisonData!A77,ComparisonData!$RB$1),0),5)</f>
        <v>0</v>
      </c>
      <c r="RC77" s="46" cm="1">
        <f t="array" ref="RC77">ROUND(IFERROR(INDEX(ArchiveResults!$F$5:$IX$116,ComparisonData!A77,ComparisonData!$RC$1),0),5)</f>
        <v>0</v>
      </c>
      <c r="RD77" s="46" cm="1">
        <f t="array" ref="RD77">ROUND(IFERROR(INDEX(ArchiveResults!$F$5:$IX$116,ComparisonData!A77,ComparisonData!$RD$1),0),5)</f>
        <v>0</v>
      </c>
      <c r="RE77" s="46" cm="1">
        <f t="array" ref="RE77">ROUND(IFERROR(INDEX(ArchiveResults!$F$5:$IX$116,ComparisonData!A77,ComparisonData!$RE$1),0),5)</f>
        <v>0</v>
      </c>
      <c r="RF77" s="45" cm="1">
        <f t="array" ref="RF77">IFERROR(INDEX(ArchiveResults!$F$5:$IX$116,ComparisonData!A77,ComparisonData!$RF$1),0)</f>
        <v>0</v>
      </c>
      <c r="RG77" s="56">
        <v>72</v>
      </c>
      <c r="RH77" s="53" t="str">
        <f t="shared" si="704"/>
        <v>Science Museum Group: National Railway Museum Research Centre - Search Engine</v>
      </c>
      <c r="RI77" s="59">
        <f t="shared" si="998"/>
        <v>0</v>
      </c>
      <c r="RJ77" s="59">
        <f t="shared" si="999"/>
        <v>0</v>
      </c>
      <c r="RK77" s="59">
        <f t="shared" si="1000"/>
        <v>0</v>
      </c>
      <c r="RL77" s="59">
        <f t="shared" si="1001"/>
        <v>0</v>
      </c>
      <c r="RM77" s="59">
        <f t="shared" si="1002"/>
        <v>0</v>
      </c>
      <c r="RN77" s="58">
        <f t="shared" si="1003"/>
        <v>0</v>
      </c>
      <c r="RO77" s="45">
        <f t="shared" si="1004"/>
        <v>2</v>
      </c>
      <c r="RP77" s="45">
        <f t="shared" si="705"/>
        <v>2.4439999999999995</v>
      </c>
      <c r="RQ77" s="45">
        <f t="shared" si="1005"/>
        <v>1</v>
      </c>
      <c r="RR77" s="45">
        <f t="shared" si="1006"/>
        <v>2</v>
      </c>
      <c r="RS77" s="45">
        <f t="shared" si="1007"/>
        <v>0</v>
      </c>
      <c r="RT77" s="46" cm="1">
        <f t="array" ref="RT77">ROUND(IFERROR(INDEX(ArchiveResults!$F$5:$IX$116,ComparisonData!A77,ComparisonData!$RT$1),0),5)</f>
        <v>0</v>
      </c>
      <c r="RU77" s="46" cm="1">
        <f t="array" ref="RU77">ROUND(IFERROR(INDEX(ArchiveResults!$F$5:$IX$116,ComparisonData!A77,ComparisonData!$RU$1),0),5)</f>
        <v>0</v>
      </c>
      <c r="RV77" s="46" cm="1">
        <f t="array" ref="RV77">ROUND(IFERROR(INDEX(ArchiveResults!$F$5:$IX$116,ComparisonData!A77,ComparisonData!$RV$1),0),5)</f>
        <v>0</v>
      </c>
      <c r="RW77" s="46" cm="1">
        <f t="array" ref="RW77">ROUND(IFERROR(INDEX(ArchiveResults!$F$5:$IX$116,ComparisonData!A77,ComparisonData!$RW$1),0),5)</f>
        <v>0</v>
      </c>
      <c r="RX77" s="45" cm="1">
        <f t="array" ref="RX77">IFERROR(INDEX(ArchiveResults!$F$5:$IX$116,ComparisonData!A77,ComparisonData!$RX$1),0)</f>
        <v>0</v>
      </c>
      <c r="RY77" s="56">
        <v>72</v>
      </c>
      <c r="RZ77" s="53" t="str">
        <f t="shared" si="706"/>
        <v>Science Museum Group: National Railway Museum Research Centre - Search Engine</v>
      </c>
      <c r="SA77" s="59">
        <f t="shared" si="1008"/>
        <v>0</v>
      </c>
      <c r="SB77" s="59">
        <f t="shared" si="1009"/>
        <v>0</v>
      </c>
      <c r="SC77" s="59">
        <f t="shared" si="1010"/>
        <v>0</v>
      </c>
      <c r="SD77" s="59">
        <f t="shared" si="1011"/>
        <v>0</v>
      </c>
      <c r="SE77" s="59">
        <f t="shared" si="1012"/>
        <v>0</v>
      </c>
      <c r="SF77" s="58">
        <f t="shared" si="1013"/>
        <v>0</v>
      </c>
      <c r="SG77" s="45">
        <f t="shared" si="1014"/>
        <v>2</v>
      </c>
      <c r="SH77" s="45">
        <f t="shared" si="707"/>
        <v>2.4439999999999995</v>
      </c>
      <c r="SI77" s="45">
        <f t="shared" si="1015"/>
        <v>1</v>
      </c>
      <c r="SJ77" s="45">
        <f t="shared" si="1016"/>
        <v>2</v>
      </c>
      <c r="SK77" s="45">
        <f t="shared" si="1017"/>
        <v>0</v>
      </c>
      <c r="SL77" s="46" cm="1">
        <f t="array" ref="SL77">ROUND(IFERROR(INDEX(ArchiveResults!$F$5:$IX$116,ComparisonData!A77,ComparisonData!$SL$1),0),5)</f>
        <v>0</v>
      </c>
      <c r="SM77" s="46" cm="1">
        <f t="array" ref="SM77">ROUND(IFERROR(INDEX(ArchiveResults!$F$5:$IX$116,ComparisonData!A77,ComparisonData!$SM$1),0),5)</f>
        <v>0</v>
      </c>
      <c r="SN77" s="46" cm="1">
        <f t="array" ref="SN77">ROUND(IFERROR(INDEX(ArchiveResults!$F$5:$IX$116,ComparisonData!A77,ComparisonData!$SN$1),0),5)</f>
        <v>0</v>
      </c>
      <c r="SO77" s="46" cm="1">
        <f t="array" ref="SO77">ROUND(IFERROR(INDEX(ArchiveResults!$F$5:$IX$116,ComparisonData!A77,ComparisonData!$SO$1),0),5)</f>
        <v>0</v>
      </c>
      <c r="SP77" s="45" cm="1">
        <f t="array" ref="SP77">IFERROR(INDEX(ArchiveResults!$F$5:$IX$116,ComparisonData!A77,ComparisonData!$SP$1),0)</f>
        <v>0</v>
      </c>
      <c r="SQ77" s="56">
        <v>72</v>
      </c>
      <c r="SR77" s="53" t="str">
        <f t="shared" si="708"/>
        <v>Science Museum Group: National Railway Museum Research Centre - Search Engine</v>
      </c>
      <c r="SS77" s="59">
        <f t="shared" si="1018"/>
        <v>0</v>
      </c>
      <c r="ST77" s="59">
        <f t="shared" si="1019"/>
        <v>0</v>
      </c>
      <c r="SU77" s="59">
        <f t="shared" si="1020"/>
        <v>0</v>
      </c>
      <c r="SV77" s="59">
        <f t="shared" si="1021"/>
        <v>0</v>
      </c>
      <c r="SW77" s="59">
        <f t="shared" si="1022"/>
        <v>0</v>
      </c>
      <c r="SX77" s="58">
        <f t="shared" si="1023"/>
        <v>0</v>
      </c>
      <c r="SY77" s="45">
        <f t="shared" si="1024"/>
        <v>2</v>
      </c>
      <c r="SZ77" s="45">
        <f t="shared" si="709"/>
        <v>2.4439999999999995</v>
      </c>
      <c r="TA77" s="45">
        <f t="shared" si="1025"/>
        <v>1</v>
      </c>
      <c r="TB77" s="45">
        <f t="shared" si="1026"/>
        <v>2</v>
      </c>
      <c r="TC77" s="45">
        <f t="shared" si="1027"/>
        <v>0</v>
      </c>
      <c r="TD77" s="46" cm="1">
        <f t="array" ref="TD77">ROUND(IFERROR(INDEX(ArchiveResults!$F$5:$IX$116,ComparisonData!A77,ComparisonData!$TD$1),0),5)</f>
        <v>0</v>
      </c>
      <c r="TE77" s="46" cm="1">
        <f t="array" ref="TE77">ROUND(IFERROR(INDEX(ArchiveResults!$F$5:$IX$116,ComparisonData!A77,ComparisonData!$TE$1),0),5)</f>
        <v>0</v>
      </c>
      <c r="TF77" s="46" cm="1">
        <f t="array" ref="TF77">ROUND(IFERROR(INDEX(ArchiveResults!$F$5:$IX$116,ComparisonData!A77,ComparisonData!$TF$1),0),5)</f>
        <v>0</v>
      </c>
      <c r="TG77" s="46" cm="1">
        <f t="array" ref="TG77">ROUND(IFERROR(INDEX(ArchiveResults!$F$5:$IX$116,ComparisonData!A77,ComparisonData!$TG$1),0),5)</f>
        <v>0</v>
      </c>
      <c r="TH77" s="45" cm="1">
        <f t="array" ref="TH77">IFERROR(INDEX(ArchiveResults!$F$5:$IX$116,ComparisonData!A77,ComparisonData!$TH$1),0)</f>
        <v>0</v>
      </c>
      <c r="TI77" s="56">
        <v>72</v>
      </c>
      <c r="TJ77" s="53" t="str">
        <f t="shared" si="710"/>
        <v>Science Museum Group: National Railway Museum Research Centre - Search Engine</v>
      </c>
      <c r="TK77" s="59">
        <f t="shared" si="1028"/>
        <v>0</v>
      </c>
      <c r="TL77" s="59">
        <f t="shared" si="1029"/>
        <v>0</v>
      </c>
      <c r="TM77" s="59">
        <f t="shared" si="1030"/>
        <v>0</v>
      </c>
      <c r="TN77" s="59">
        <f t="shared" si="1031"/>
        <v>0</v>
      </c>
      <c r="TO77" s="59">
        <f t="shared" si="1032"/>
        <v>0</v>
      </c>
      <c r="TP77" s="58">
        <f t="shared" si="1033"/>
        <v>0</v>
      </c>
      <c r="TQ77" s="45">
        <f t="shared" si="1034"/>
        <v>2</v>
      </c>
      <c r="TR77" s="45">
        <f t="shared" si="711"/>
        <v>2.4439999999999995</v>
      </c>
      <c r="TS77" s="45">
        <f t="shared" si="1035"/>
        <v>1</v>
      </c>
      <c r="TT77" s="45">
        <f t="shared" si="1036"/>
        <v>2</v>
      </c>
      <c r="TU77" s="45">
        <f t="shared" si="1037"/>
        <v>0</v>
      </c>
      <c r="TV77" s="46" cm="1">
        <f t="array" ref="TV77">ROUND(IFERROR(INDEX(ArchiveResults!$F$5:$IX$116,ComparisonData!A77,ComparisonData!$TV$1),0),5)</f>
        <v>0</v>
      </c>
      <c r="TW77" s="46" cm="1">
        <f t="array" ref="TW77">ROUND(IFERROR(INDEX(ArchiveResults!$F$5:$IX$116,ComparisonData!A77,ComparisonData!$TW$1),0),5)</f>
        <v>0</v>
      </c>
      <c r="TX77" s="46" cm="1">
        <f t="array" ref="TX77">ROUND(IFERROR(INDEX(ArchiveResults!$F$5:$IX$116,ComparisonData!A77,ComparisonData!$TX$1),0),5)</f>
        <v>0</v>
      </c>
      <c r="TY77" s="46" cm="1">
        <f t="array" ref="TY77">ROUND(IFERROR(INDEX(ArchiveResults!$F$5:$IX$116,ComparisonData!A77,ComparisonData!$TY$1),0),5)</f>
        <v>0</v>
      </c>
      <c r="TZ77" s="45" cm="1">
        <f t="array" ref="TZ77">IFERROR(INDEX(ArchiveResults!$F$5:$IX$116,ComparisonData!A77,ComparisonData!$TZ$1),0)</f>
        <v>0</v>
      </c>
      <c r="UA77" s="56">
        <v>72</v>
      </c>
      <c r="UB77" s="53" t="str">
        <f t="shared" si="712"/>
        <v>Science Museum Group: National Railway Museum Research Centre - Search Engine</v>
      </c>
      <c r="UC77" s="60">
        <f t="shared" si="1038"/>
        <v>0</v>
      </c>
      <c r="UD77" s="60">
        <f t="shared" si="1039"/>
        <v>0</v>
      </c>
      <c r="UE77" s="60">
        <f t="shared" si="1040"/>
        <v>0</v>
      </c>
      <c r="UF77" s="60">
        <f t="shared" si="1041"/>
        <v>0</v>
      </c>
      <c r="UG77" s="60">
        <f t="shared" si="1042"/>
        <v>0</v>
      </c>
      <c r="UH77" s="58">
        <f t="shared" si="1043"/>
        <v>0</v>
      </c>
      <c r="UI77" s="46">
        <f t="shared" si="1044"/>
        <v>2</v>
      </c>
      <c r="UJ77" s="46">
        <f t="shared" si="713"/>
        <v>2.4439999999999995</v>
      </c>
      <c r="UK77" s="46">
        <f t="shared" si="1045"/>
        <v>1</v>
      </c>
      <c r="UL77" s="46">
        <f t="shared" si="1046"/>
        <v>2</v>
      </c>
      <c r="UM77" s="46" cm="1">
        <f t="array" ref="UM77">ROUND(IFERROR(INDEX(ArchiveResults!$F$5:$IX$116,ComparisonData!A77,ComparisonData!$UM$1),0),5)</f>
        <v>0</v>
      </c>
      <c r="UN77" s="56">
        <v>72</v>
      </c>
      <c r="UO77" s="53" t="str">
        <f t="shared" si="714"/>
        <v>Science Museum Group: National Railway Museum Research Centre - Search Engine</v>
      </c>
      <c r="UP77" s="46">
        <f t="shared" si="1047"/>
        <v>0</v>
      </c>
      <c r="UQ77" s="76">
        <f t="shared" si="1048"/>
        <v>0</v>
      </c>
      <c r="UR77" s="46">
        <f t="shared" si="1049"/>
        <v>2</v>
      </c>
      <c r="US77" s="46">
        <f t="shared" si="715"/>
        <v>2.4439999999999995</v>
      </c>
      <c r="UT77" s="46">
        <f t="shared" si="1050"/>
        <v>1</v>
      </c>
      <c r="UU77" s="46">
        <f t="shared" si="1051"/>
        <v>2</v>
      </c>
      <c r="UV77" s="46">
        <f t="shared" si="1052"/>
        <v>0</v>
      </c>
      <c r="UW77" s="46" cm="1">
        <f t="array" ref="UW77">ROUND(IFERROR(INDEX(ArchiveResults!$F$5:$IX$116,ComparisonData!A77,ComparisonData!$UW$1),0),5)</f>
        <v>0</v>
      </c>
      <c r="UX77" s="46" cm="1">
        <f t="array" ref="UX77">ROUND(IFERROR(INDEX(ArchiveResults!$F$5:$IX$116,ComparisonData!A77,ComparisonData!$UX$1),0),5)</f>
        <v>0</v>
      </c>
      <c r="UY77" s="46" cm="1">
        <f t="array" ref="UY77">ROUND(IFERROR(INDEX(ArchiveResults!$F$5:$IX$116,ComparisonData!A77,ComparisonData!$UY$1),0),5)</f>
        <v>0</v>
      </c>
      <c r="UZ77" s="46" cm="1">
        <f t="array" ref="UZ77">ROUND(IFERROR(INDEX(ArchiveResults!$F$5:$IX$116,ComparisonData!A77,ComparisonData!$UZ$1),0),5)</f>
        <v>0</v>
      </c>
      <c r="VA77" s="46" cm="1">
        <f t="array" ref="VA77">ROUND(IFERROR(INDEX(ArchiveResults!$F$5:$IX$116,ComparisonData!A77,ComparisonData!$VA$1),0),5)</f>
        <v>0</v>
      </c>
      <c r="VB77" s="56">
        <v>72</v>
      </c>
      <c r="VC77" s="53" t="str">
        <f t="shared" si="716"/>
        <v>Science Museum Group: National Railway Museum Research Centre - Search Engine</v>
      </c>
      <c r="VD77" s="60">
        <f t="shared" si="1053"/>
        <v>0</v>
      </c>
      <c r="VE77" s="60">
        <f t="shared" si="1054"/>
        <v>0</v>
      </c>
      <c r="VF77" s="60">
        <f t="shared" si="1055"/>
        <v>0</v>
      </c>
      <c r="VG77" s="60">
        <f t="shared" si="1056"/>
        <v>0</v>
      </c>
      <c r="VH77" s="60">
        <f t="shared" si="1057"/>
        <v>0</v>
      </c>
      <c r="VI77" s="76">
        <f t="shared" si="1058"/>
        <v>0</v>
      </c>
      <c r="VJ77" s="46">
        <f t="shared" si="1059"/>
        <v>2</v>
      </c>
      <c r="VK77" s="46">
        <f t="shared" si="717"/>
        <v>2.4439999999999995</v>
      </c>
      <c r="VL77" s="46">
        <f t="shared" si="1060"/>
        <v>1</v>
      </c>
      <c r="VM77" s="46">
        <f t="shared" si="1061"/>
        <v>2</v>
      </c>
      <c r="VN77" s="46" cm="1">
        <f t="array" ref="VN77">ROUND(IFERROR(INDEX(ArchiveResults!$F$5:$IX$116,ComparisonData!A77,ComparisonData!$VN$1),0),5)</f>
        <v>0</v>
      </c>
      <c r="VO77" s="46" cm="1">
        <f t="array" ref="VO77">ROUND(IFERROR(INDEX(ArchiveResults!$F$5:$IX$116,ComparisonData!A77,ComparisonData!$VO$1),0),5)</f>
        <v>0</v>
      </c>
      <c r="VP77" s="46" cm="1">
        <f t="array" ref="VP77">ROUND(IFERROR(INDEX(ArchiveResults!$F$5:$IX$116,ComparisonData!A77,ComparisonData!$VP$1),0),5)</f>
        <v>0</v>
      </c>
      <c r="VQ77" s="46" cm="1">
        <f t="array" ref="VQ77">ROUND(IFERROR(INDEX(ArchiveResults!$F$5:$IX$116,ComparisonData!A77,ComparisonData!$VQ$1),0),5)</f>
        <v>0</v>
      </c>
      <c r="VR77" s="56">
        <v>72</v>
      </c>
      <c r="VS77" s="53" t="str">
        <f t="shared" si="718"/>
        <v>Science Museum Group: National Railway Museum Research Centre - Search Engine</v>
      </c>
      <c r="VT77" s="60">
        <f t="shared" si="1062"/>
        <v>0</v>
      </c>
      <c r="VU77" s="60">
        <f t="shared" si="1063"/>
        <v>0</v>
      </c>
      <c r="VV77" s="60">
        <f t="shared" si="1064"/>
        <v>0</v>
      </c>
      <c r="VW77" s="60">
        <f t="shared" si="1065"/>
        <v>0</v>
      </c>
      <c r="VX77" s="76">
        <f t="shared" si="1066"/>
        <v>0</v>
      </c>
      <c r="VY77" s="46">
        <f t="shared" si="1067"/>
        <v>2</v>
      </c>
      <c r="VZ77" s="46">
        <f t="shared" si="719"/>
        <v>2.4439999999999995</v>
      </c>
      <c r="WA77" s="46">
        <f t="shared" si="1068"/>
        <v>1</v>
      </c>
      <c r="WB77" s="46">
        <f t="shared" si="1069"/>
        <v>2</v>
      </c>
      <c r="WC77" s="46" cm="1">
        <f t="array" ref="WC77">ROUND(IFERROR(INDEX(ArchiveResults!$F$5:$IX$116,ComparisonData!A77,ComparisonData!$WC$1),0),5)</f>
        <v>0</v>
      </c>
      <c r="WD77" s="56">
        <v>72</v>
      </c>
      <c r="WE77" s="53" t="str">
        <f t="shared" si="720"/>
        <v>Science Museum Group: National Railway Museum Research Centre - Search Engine</v>
      </c>
      <c r="WF77" s="46">
        <f t="shared" si="1070"/>
        <v>0</v>
      </c>
      <c r="WG77" s="76">
        <f t="shared" si="1071"/>
        <v>0</v>
      </c>
      <c r="WH77" s="46">
        <f t="shared" si="1072"/>
        <v>2</v>
      </c>
      <c r="WI77" s="46">
        <f t="shared" si="721"/>
        <v>2.4439999999999995</v>
      </c>
      <c r="WJ77" s="46">
        <f t="shared" si="1073"/>
        <v>1</v>
      </c>
      <c r="WK77" s="46">
        <f t="shared" si="1074"/>
        <v>2</v>
      </c>
      <c r="WL77" s="46" cm="1">
        <f t="array" ref="WL77">ROUND(IFERROR(INDEX(ArchiveResults!$F$5:$IX$116,ComparisonData!A77,ComparisonData!$WL$1),0),5)</f>
        <v>0</v>
      </c>
      <c r="WM77" s="46" cm="1">
        <f t="array" ref="WM77">IFERROR(INDEX(ArchiveResults!$F$5:$IX$116,ComparisonData!A77,ComparisonData!$WM$1),0)</f>
        <v>0</v>
      </c>
      <c r="WN77" s="56">
        <v>72</v>
      </c>
      <c r="WO77" s="53" t="str">
        <f t="shared" si="722"/>
        <v>Science Museum Group: National Railway Museum Research Centre - Search Engine</v>
      </c>
      <c r="WP77" s="60">
        <f t="shared" si="1075"/>
        <v>0</v>
      </c>
      <c r="WQ77" s="60">
        <f t="shared" si="1076"/>
        <v>0</v>
      </c>
      <c r="WR77" s="76">
        <f t="shared" si="1077"/>
        <v>0</v>
      </c>
      <c r="WS77" s="46">
        <f t="shared" si="1078"/>
        <v>2</v>
      </c>
      <c r="WT77" s="46">
        <f t="shared" si="723"/>
        <v>2.4439999999999995</v>
      </c>
      <c r="WU77" s="46">
        <f t="shared" si="1079"/>
        <v>1</v>
      </c>
      <c r="WV77" s="46">
        <f t="shared" si="1080"/>
        <v>2</v>
      </c>
      <c r="WW77" s="46" cm="1">
        <f t="array" ref="WW77">ROUND(VALUE(IFERROR(INDEX(ArchiveResults!$F$5:$IX$116,ComparisonData!A77,ComparisonData!$WW$1),0)),5)</f>
        <v>0</v>
      </c>
      <c r="WX77" s="46" cm="1">
        <f t="array" ref="WX77">ROUND(IFERROR(INDEX(ArchiveResults!$F$5:$IX$116,ComparisonData!A77,ComparisonData!$WX$1),0),5)</f>
        <v>0</v>
      </c>
      <c r="WY77" s="56">
        <v>72</v>
      </c>
      <c r="WZ77" s="53" t="str">
        <f t="shared" si="724"/>
        <v>Science Museum Group: National Railway Museum Research Centre - Search Engine</v>
      </c>
      <c r="XA77" s="60">
        <f t="shared" si="725"/>
        <v>0</v>
      </c>
      <c r="XB77" s="60">
        <f t="shared" si="726"/>
        <v>0</v>
      </c>
      <c r="XC77" s="76">
        <f t="shared" si="1081"/>
        <v>0</v>
      </c>
      <c r="XD77" s="46">
        <f t="shared" si="1082"/>
        <v>2</v>
      </c>
      <c r="XE77" s="46">
        <f t="shared" si="727"/>
        <v>2.4439999999999995</v>
      </c>
      <c r="XF77" s="46">
        <f t="shared" si="1083"/>
        <v>1</v>
      </c>
      <c r="XG77" s="46">
        <f t="shared" si="1084"/>
        <v>2</v>
      </c>
      <c r="XH77" s="46" cm="1">
        <f t="array" ref="XH77">ROUND(VALUE(IFERROR(INDEX(ArchiveResults!$F$5:$IX$116,ComparisonData!A77,ComparisonData!$XH$1),0)),5)</f>
        <v>0</v>
      </c>
      <c r="XI77" s="46" cm="1">
        <f t="array" ref="XI77">ROUND(VALUE(IFERROR(INDEX(ArchiveResults!$F$5:$IX$116,ComparisonData!A77,ComparisonData!$XI$1),0)),5)</f>
        <v>0</v>
      </c>
      <c r="XJ77" s="56">
        <v>72</v>
      </c>
      <c r="XK77" s="53" t="str">
        <f t="shared" si="728"/>
        <v>Science Museum Group: National Railway Museum Research Centre - Search Engine</v>
      </c>
      <c r="XL77" s="60">
        <f t="shared" si="1085"/>
        <v>0</v>
      </c>
      <c r="XM77" s="60">
        <f t="shared" si="1086"/>
        <v>0</v>
      </c>
      <c r="XN77" s="76">
        <f t="shared" si="1087"/>
        <v>0</v>
      </c>
      <c r="XO77" s="46">
        <f t="shared" si="1088"/>
        <v>2</v>
      </c>
      <c r="XP77" s="46">
        <f t="shared" si="729"/>
        <v>2.4439999999999995</v>
      </c>
      <c r="XQ77" s="46">
        <f t="shared" si="1089"/>
        <v>1</v>
      </c>
      <c r="XR77" s="46">
        <f t="shared" si="1090"/>
        <v>2</v>
      </c>
      <c r="XS77" s="46" cm="1">
        <f t="array" ref="XS77">ROUND(VALUE(IFERROR(INDEX(ArchiveResults!$F$5:$IX$116,ComparisonData!A77,ComparisonData!$XS$1),0)),5)</f>
        <v>0</v>
      </c>
      <c r="XT77" s="46" cm="1">
        <f t="array" ref="XT77">ROUND(VALUE(IFERROR(INDEX(ArchiveResults!$F$5:$IX$116,ComparisonData!A77,ComparisonData!$XT$1),0)),5)</f>
        <v>0</v>
      </c>
      <c r="XU77" s="56">
        <v>72</v>
      </c>
      <c r="XV77" s="53" t="str">
        <f t="shared" si="730"/>
        <v>Science Museum Group: National Railway Museum Research Centre - Search Engine</v>
      </c>
      <c r="XW77" s="60">
        <f t="shared" si="1091"/>
        <v>0</v>
      </c>
      <c r="XX77" s="60">
        <f t="shared" si="1092"/>
        <v>0</v>
      </c>
      <c r="XY77" s="76">
        <f t="shared" si="1093"/>
        <v>0</v>
      </c>
      <c r="XZ77" s="46">
        <f t="shared" si="1094"/>
        <v>2</v>
      </c>
      <c r="YA77" s="46">
        <f t="shared" si="731"/>
        <v>2.4439999999999995</v>
      </c>
      <c r="YB77" s="46">
        <f t="shared" si="1095"/>
        <v>1</v>
      </c>
      <c r="YC77" s="46">
        <f t="shared" si="1096"/>
        <v>2</v>
      </c>
      <c r="YD77" s="46" cm="1">
        <f t="array" ref="YD77">ROUND(VALUE(IFERROR(INDEX(ArchiveResults!$F$5:$IX$116,ComparisonData!A77,ComparisonData!$YD$1),0)),5)</f>
        <v>0</v>
      </c>
      <c r="YE77" s="46" cm="1">
        <f t="array" ref="YE77">ROUND(VALUE(IFERROR(INDEX(ArchiveResults!$F$5:$IX$116,ComparisonData!A77,ComparisonData!$YE$1),0)),5)</f>
        <v>0</v>
      </c>
      <c r="YF77" s="56">
        <v>72</v>
      </c>
      <c r="YG77" s="53" t="str">
        <f t="shared" si="732"/>
        <v>Science Museum Group: National Railway Museum Research Centre - Search Engine</v>
      </c>
      <c r="YH77" s="60">
        <f t="shared" si="1097"/>
        <v>0</v>
      </c>
      <c r="YI77" s="60">
        <f t="shared" si="1098"/>
        <v>0</v>
      </c>
      <c r="YJ77" s="76">
        <f t="shared" si="1099"/>
        <v>0</v>
      </c>
      <c r="YK77" s="46">
        <f t="shared" si="1100"/>
        <v>2</v>
      </c>
      <c r="YL77" s="46">
        <f t="shared" si="733"/>
        <v>2.4439999999999995</v>
      </c>
      <c r="YM77" s="46">
        <f t="shared" si="1101"/>
        <v>1</v>
      </c>
      <c r="YN77" s="46">
        <f t="shared" si="1102"/>
        <v>2</v>
      </c>
      <c r="YO77" s="46" cm="1">
        <f t="array" ref="YO77">ROUND(VALUE(IFERROR(INDEX(ArchiveResults!$F$5:$IX$116,ComparisonData!A77,ComparisonData!$YO$1),0)),5)</f>
        <v>0</v>
      </c>
      <c r="YP77" s="46" cm="1">
        <f t="array" ref="YP77">ROUND(VALUE(IFERROR(INDEX(ArchiveResults!$F$5:$IX$116,ComparisonData!A77,ComparisonData!$YP$1),0)),5)</f>
        <v>0</v>
      </c>
      <c r="YQ77" s="56">
        <v>72</v>
      </c>
      <c r="YR77" s="53" t="str">
        <f t="shared" si="734"/>
        <v>Science Museum Group: National Railway Museum Research Centre - Search Engine</v>
      </c>
      <c r="YS77" s="60">
        <f t="shared" si="1103"/>
        <v>0</v>
      </c>
      <c r="YT77" s="60">
        <f t="shared" si="1104"/>
        <v>0</v>
      </c>
      <c r="YU77" s="76">
        <f t="shared" si="1105"/>
        <v>0</v>
      </c>
      <c r="YV77" s="46">
        <f t="shared" si="1106"/>
        <v>2</v>
      </c>
      <c r="YW77" s="46">
        <f t="shared" si="735"/>
        <v>2.4439999999999995</v>
      </c>
      <c r="YX77" s="46">
        <f t="shared" si="1107"/>
        <v>1</v>
      </c>
      <c r="YY77" s="46">
        <f t="shared" si="1108"/>
        <v>2</v>
      </c>
      <c r="YZ77" s="46">
        <f t="shared" si="1109"/>
        <v>0</v>
      </c>
      <c r="ZA77" s="46" cm="1">
        <f t="array" ref="ZA77">ROUNDDOWN(VALUE(IFERROR(INDEX(ArchiveResults!$F$5:$IX$116,ComparisonData!A77,ComparisonData!$ZA$1),0)),5)</f>
        <v>0</v>
      </c>
      <c r="ZB77" s="46" cm="1">
        <f t="array" ref="ZB77">ROUNDDOWN(VALUE(IFERROR(INDEX(ArchiveResults!$F$5:$IX$116,ComparisonData!A77,ComparisonData!$ZB$1),0)),5)</f>
        <v>0</v>
      </c>
      <c r="ZC77" s="46" cm="1">
        <f t="array" ref="ZC77">ROUNDDOWN(VALUE(IFERROR(INDEX(ArchiveResults!$F$5:$IX$116,ComparisonData!A77,ComparisonData!$ZC$1),0)),5)</f>
        <v>0</v>
      </c>
      <c r="ZD77" s="46" cm="1">
        <f t="array" ref="ZD77">ROUNDDOWN(VALUE(IFERROR(INDEX(ArchiveResults!$F$5:$IX$116,ComparisonData!A77,ComparisonData!$ZD$1),0)),5)</f>
        <v>0</v>
      </c>
      <c r="ZE77" s="46" cm="1">
        <f t="array" ref="ZE77">ROUNDDOWN(VALUE(IFERROR(INDEX(ArchiveResults!$F$5:$IX$116,ComparisonData!A77,ComparisonData!$ZE$1),0)),5)</f>
        <v>0</v>
      </c>
      <c r="ZF77" s="56">
        <v>72</v>
      </c>
      <c r="ZG77" s="53" t="str">
        <f t="shared" si="736"/>
        <v>Science Museum Group: National Railway Museum Research Centre - Search Engine</v>
      </c>
      <c r="ZH77" s="60">
        <f t="shared" si="1110"/>
        <v>0</v>
      </c>
      <c r="ZI77" s="60">
        <f t="shared" si="1111"/>
        <v>0</v>
      </c>
      <c r="ZJ77" s="60">
        <f t="shared" si="1112"/>
        <v>0</v>
      </c>
      <c r="ZK77" s="60">
        <f t="shared" si="1113"/>
        <v>0</v>
      </c>
      <c r="ZL77" s="60">
        <f t="shared" si="1114"/>
        <v>0</v>
      </c>
      <c r="ZM77" s="76">
        <f t="shared" si="1115"/>
        <v>0</v>
      </c>
      <c r="ZN77" s="46">
        <f t="shared" si="1116"/>
        <v>2</v>
      </c>
      <c r="ZO77" s="46">
        <f t="shared" si="737"/>
        <v>2.4439999999999995</v>
      </c>
      <c r="ZP77" s="46">
        <f t="shared" si="1117"/>
        <v>1</v>
      </c>
      <c r="ZQ77" s="46">
        <f t="shared" si="1118"/>
        <v>2</v>
      </c>
      <c r="ZR77" s="46" cm="1">
        <f t="array" ref="ZR77">ROUND(VALUE(IFERROR(INDEX(ArchiveResults!$F$5:$IX$116,ComparisonData!A77,ComparisonData!$ZR$1),0)),5)</f>
        <v>0</v>
      </c>
      <c r="ZS77" s="56">
        <v>72</v>
      </c>
      <c r="ZT77" s="53" t="str">
        <f t="shared" si="738"/>
        <v>Science Museum Group: National Railway Museum Research Centre - Search Engine</v>
      </c>
      <c r="ZU77" s="46">
        <f t="shared" si="1119"/>
        <v>0</v>
      </c>
      <c r="ZV77" s="76">
        <f t="shared" si="1120"/>
        <v>0</v>
      </c>
      <c r="ZW77" s="81" cm="1">
        <f t="array" ref="ZW77">ROUND((IFERROR(INDEX(ArchiveResults!$F$5:$IX$116,ComparisonData!A77,ComparisonData!$ZW$1),0)),5)</f>
        <v>0</v>
      </c>
      <c r="ZX77" s="81" cm="1">
        <f t="array" ref="ZX77">ROUND((IFERROR(INDEX(ArchiveResults!$F$5:$IX$116,ComparisonData!A77,ComparisonData!$ZX$1),0)),5)</f>
        <v>0</v>
      </c>
      <c r="ZY77" s="81" cm="1">
        <f t="array" ref="ZY77">ROUND((IFERROR(INDEX(ArchiveResults!$F$5:$IX$116,ComparisonData!A77,ComparisonData!$ZY$1),0)),5)</f>
        <v>0</v>
      </c>
      <c r="ZZ77" s="81" cm="1">
        <f t="array" ref="ZZ77">ROUND((IFERROR(INDEX(ArchiveResults!$F$5:$IX$116,ComparisonData!A77,ComparisonData!$ZZ$1),0)),5)</f>
        <v>0</v>
      </c>
      <c r="AAA77" s="81" cm="1">
        <f t="array" ref="AAA77">ROUND((IFERROR(INDEX(ArchiveResults!$F$5:$IX$116,ComparisonData!A77,ComparisonData!$AAA$1),0)),5)</f>
        <v>0</v>
      </c>
      <c r="AAB77" s="81" cm="1">
        <f t="array" ref="AAB77">ROUND((IFERROR(INDEX(ArchiveResults!$F$5:$IX$116,ComparisonData!A77,ComparisonData!$AAB$1),0)),5)</f>
        <v>0</v>
      </c>
      <c r="AAC77" s="81" cm="1">
        <f t="array" ref="AAC77">ROUND((IFERROR(INDEX(ArchiveResults!$F$5:$IX$116,ComparisonData!A77,ComparisonData!$AAC$1),0)),5)</f>
        <v>0</v>
      </c>
      <c r="AAD77" s="81" cm="1">
        <f t="array" ref="AAD77">ROUND((IFERROR(INDEX(ArchiveResults!$F$5:$IX$116,ComparisonData!A77,ComparisonData!$AAD$1),0)),5)</f>
        <v>0</v>
      </c>
      <c r="AAE77" s="81" cm="1">
        <f t="array" ref="AAE77">ROUND((IFERROR(INDEX(ArchiveResults!$F$5:$IX$116,ComparisonData!A77,ComparisonData!$AAE$1),0)),5)</f>
        <v>0</v>
      </c>
      <c r="AAF77" s="81" cm="1">
        <f t="array" ref="AAF77">ROUND((IFERROR(INDEX(ArchiveResults!$F$5:$IX$116,ComparisonData!A77,ComparisonData!$AAF$1),0)),5)</f>
        <v>0</v>
      </c>
      <c r="AAG77" s="46">
        <f t="shared" si="1121"/>
        <v>2</v>
      </c>
      <c r="AAH77" s="46">
        <f t="shared" si="739"/>
        <v>2.4439999999999995</v>
      </c>
      <c r="AAI77" s="46">
        <f t="shared" si="1122"/>
        <v>1</v>
      </c>
      <c r="AAJ77" s="46">
        <f t="shared" si="1123"/>
        <v>2</v>
      </c>
      <c r="AAK77" s="46">
        <f t="shared" si="1124"/>
        <v>0</v>
      </c>
      <c r="AAL77" s="46">
        <f t="shared" si="1125"/>
        <v>0</v>
      </c>
      <c r="AAM77" s="46">
        <f t="shared" si="1126"/>
        <v>0</v>
      </c>
      <c r="AAN77" s="46">
        <f t="shared" si="1127"/>
        <v>0</v>
      </c>
      <c r="AAO77" s="46">
        <f t="shared" si="1128"/>
        <v>0</v>
      </c>
      <c r="AAP77" s="46">
        <f t="shared" si="1129"/>
        <v>0</v>
      </c>
      <c r="AAQ77" s="56">
        <v>72</v>
      </c>
      <c r="AAR77" s="53" t="str">
        <f t="shared" si="740"/>
        <v>Science Museum Group: National Railway Museum Research Centre - Search Engine</v>
      </c>
      <c r="AAS77" s="60">
        <f t="shared" si="1130"/>
        <v>0</v>
      </c>
      <c r="AAT77" s="60">
        <f t="shared" si="1131"/>
        <v>0</v>
      </c>
      <c r="AAU77" s="60">
        <f t="shared" si="1132"/>
        <v>0</v>
      </c>
      <c r="AAV77" s="60">
        <f t="shared" si="1133"/>
        <v>0</v>
      </c>
      <c r="AAW77" s="60">
        <f t="shared" si="1134"/>
        <v>0</v>
      </c>
      <c r="AAX77" s="76">
        <f t="shared" si="1135"/>
        <v>0</v>
      </c>
      <c r="AAY77" s="46">
        <f t="shared" si="1136"/>
        <v>2</v>
      </c>
      <c r="AAZ77" s="46">
        <f t="shared" si="741"/>
        <v>2.4439999999999995</v>
      </c>
      <c r="ABA77" s="46">
        <f t="shared" si="1137"/>
        <v>1</v>
      </c>
      <c r="ABB77" s="46">
        <f t="shared" si="1138"/>
        <v>2</v>
      </c>
      <c r="ABC77" s="46">
        <f t="shared" si="742"/>
        <v>0</v>
      </c>
      <c r="ABD77" s="46" cm="1">
        <f t="array" ref="ABD77">ROUND(VALUE(IFERROR(INDEX(ArchiveResults!$F$5:$IX$116,ComparisonData!A77,ComparisonData!$ABD$1),0)),5)</f>
        <v>0</v>
      </c>
      <c r="ABE77" s="46" cm="1">
        <f t="array" ref="ABE77">ROUND(VALUE(IFERROR(INDEX(ArchiveResults!$F$5:$IX$116,ComparisonData!A77,ComparisonData!$ABE$1),0)),5)</f>
        <v>0</v>
      </c>
      <c r="ABF77" s="46" cm="1">
        <f t="array" ref="ABF77">ROUND(VALUE(IFERROR(INDEX(ArchiveResults!$F$5:$IX$116,ComparisonData!A77,ComparisonData!$ABF$1),0)),5)</f>
        <v>0</v>
      </c>
      <c r="ABG77" s="46" cm="1">
        <f t="array" ref="ABG77">ROUND(VALUE(IFERROR(INDEX(ArchiveResults!$F$5:$IX$116,ComparisonData!A77,ComparisonData!$ABG$1),0)),5)</f>
        <v>0</v>
      </c>
      <c r="ABH77" s="46" cm="1">
        <f t="array" ref="ABH77">ROUND(VALUE(IFERROR(INDEX(ArchiveResults!$F$5:$IX$116,ComparisonData!A77,ComparisonData!$ABH$1),0)),5)</f>
        <v>0</v>
      </c>
      <c r="ABI77" s="56">
        <v>72</v>
      </c>
      <c r="ABJ77" s="53" t="str">
        <f t="shared" si="743"/>
        <v>Science Museum Group: National Railway Museum Research Centre - Search Engine</v>
      </c>
      <c r="ABK77" s="60">
        <f t="shared" si="1139"/>
        <v>0</v>
      </c>
      <c r="ABL77" s="60">
        <f t="shared" si="1140"/>
        <v>0</v>
      </c>
      <c r="ABM77" s="60">
        <f t="shared" si="1141"/>
        <v>0</v>
      </c>
      <c r="ABN77" s="60">
        <f t="shared" si="1142"/>
        <v>0</v>
      </c>
      <c r="ABO77" s="60">
        <f t="shared" si="1143"/>
        <v>0</v>
      </c>
      <c r="ABP77" s="76">
        <f t="shared" si="1144"/>
        <v>0</v>
      </c>
      <c r="ABQ77" s="46">
        <f t="shared" si="1145"/>
        <v>2</v>
      </c>
      <c r="ABR77" s="46">
        <f t="shared" si="744"/>
        <v>2.4439999999999995</v>
      </c>
      <c r="ABS77" s="46">
        <f t="shared" si="1146"/>
        <v>1</v>
      </c>
      <c r="ABT77" s="46">
        <f t="shared" si="1147"/>
        <v>2</v>
      </c>
      <c r="ABU77" s="46" cm="1">
        <f t="array" ref="ABU77">ROUND(VALUE(IFERROR(INDEX(ArchiveResults!$F$5:$IX$116,ComparisonData!A77,ComparisonData!$ABU$1),0)),5)</f>
        <v>0</v>
      </c>
      <c r="ABV77" s="46" cm="1">
        <f t="array" ref="ABV77">ROUND(VALUE(IFERROR(INDEX(ArchiveResults!$F$5:$IX$116,ComparisonData!A77,ComparisonData!$ABV$1),0)),5)</f>
        <v>0</v>
      </c>
      <c r="ABW77" s="46" cm="1">
        <f t="array" ref="ABW77">ROUND(VALUE(IFERROR(INDEX(ArchiveResults!$F$5:$IX$116,ComparisonData!A77,ComparisonData!$ABW$1),0)),5)</f>
        <v>0</v>
      </c>
      <c r="ABX77" s="46" cm="1">
        <f t="array" ref="ABX77">ROUND(VALUE(IFERROR(INDEX(ArchiveResults!$F$5:$IX$116,ComparisonData!A77,ComparisonData!$ABX$1),0)),5)</f>
        <v>0</v>
      </c>
      <c r="ABY77" s="46" cm="1">
        <f t="array" ref="ABY77">ROUND(VALUE(IFERROR(INDEX(ArchiveResults!$F$5:$IX$116,ComparisonData!A77,ComparisonData!$ABY$1),0)),5)</f>
        <v>0</v>
      </c>
      <c r="ABZ77" s="56">
        <v>72</v>
      </c>
      <c r="ACA77" s="53" t="str">
        <f t="shared" si="745"/>
        <v>Science Museum Group: National Railway Museum Research Centre - Search Engine</v>
      </c>
      <c r="ACB77" s="60">
        <f t="shared" si="1148"/>
        <v>0</v>
      </c>
      <c r="ACC77" s="60">
        <f t="shared" si="1149"/>
        <v>0</v>
      </c>
      <c r="ACD77" s="60">
        <f t="shared" si="1150"/>
        <v>0</v>
      </c>
      <c r="ACE77" s="60">
        <f t="shared" si="1151"/>
        <v>0</v>
      </c>
      <c r="ACF77" s="60">
        <f t="shared" si="1152"/>
        <v>0</v>
      </c>
      <c r="ACG77" s="76">
        <f t="shared" si="1153"/>
        <v>0</v>
      </c>
      <c r="ACH77" s="46">
        <f t="shared" si="1154"/>
        <v>2</v>
      </c>
      <c r="ACI77" s="46">
        <f t="shared" si="746"/>
        <v>2.4439999999999995</v>
      </c>
      <c r="ACJ77" s="46">
        <f t="shared" si="1155"/>
        <v>1</v>
      </c>
      <c r="ACK77" s="46">
        <f t="shared" si="1156"/>
        <v>2</v>
      </c>
      <c r="ACL77" s="46">
        <f t="shared" si="1157"/>
        <v>0</v>
      </c>
      <c r="ACM77" s="46" cm="1">
        <f t="array" ref="ACM77">ROUND(IFERROR(INDEX(ArchiveResults!$F$5:$IX$116,ComparisonData!A77,ComparisonData!$ACM$1),0),5)</f>
        <v>0</v>
      </c>
      <c r="ACN77" s="46" cm="1">
        <f t="array" ref="ACN77">ROUND(IFERROR(INDEX(ArchiveResults!$F$5:$IX$116,ComparisonData!A77,ComparisonData!$ACN$1),0),5)</f>
        <v>0</v>
      </c>
      <c r="ACO77" s="56">
        <v>72</v>
      </c>
      <c r="ACP77" s="53" t="str">
        <f t="shared" si="747"/>
        <v>Science Museum Group: National Railway Museum Research Centre - Search Engine</v>
      </c>
      <c r="ACQ77" s="60">
        <f t="shared" si="1158"/>
        <v>0</v>
      </c>
      <c r="ACR77" s="60">
        <f t="shared" si="1159"/>
        <v>0</v>
      </c>
      <c r="ACS77" s="76">
        <f t="shared" si="1160"/>
        <v>0</v>
      </c>
      <c r="ACT77" s="46">
        <f t="shared" si="1161"/>
        <v>2</v>
      </c>
      <c r="ACU77" s="46">
        <f t="shared" si="748"/>
        <v>2.4439999999999995</v>
      </c>
      <c r="ACV77" s="46">
        <f t="shared" si="1162"/>
        <v>1</v>
      </c>
      <c r="ACW77" s="46">
        <f t="shared" si="1163"/>
        <v>2</v>
      </c>
      <c r="ACX77" s="46">
        <f t="shared" si="1164"/>
        <v>0</v>
      </c>
      <c r="ACY77" s="46" cm="1">
        <f t="array" ref="ACY77">ROUNDDOWN(IFERROR(INDEX(ArchiveResults!$F$5:$IX$116,ComparisonData!A77,ComparisonData!$ACY$1),0),5)</f>
        <v>0</v>
      </c>
      <c r="ACZ77" s="46" cm="1">
        <f t="array" ref="ACZ77">ROUNDDOWN(IFERROR(INDEX(ArchiveResults!$F$5:$IX$116,ComparisonData!A77,ComparisonData!$ACZ$1),0),5)</f>
        <v>0</v>
      </c>
      <c r="ADA77" s="46" cm="1">
        <f t="array" ref="ADA77">ROUNDDOWN(IFERROR(INDEX(ArchiveResults!$F$5:$IX$116,ComparisonData!A77,ComparisonData!$ADA$1),0),5)</f>
        <v>0</v>
      </c>
      <c r="ADB77" s="56">
        <v>72</v>
      </c>
      <c r="ADC77" s="53" t="str">
        <f t="shared" si="749"/>
        <v>Science Museum Group: National Railway Museum Research Centre - Search Engine</v>
      </c>
      <c r="ADD77" s="60">
        <f t="shared" si="1165"/>
        <v>0</v>
      </c>
      <c r="ADE77" s="60">
        <f t="shared" si="1166"/>
        <v>0</v>
      </c>
      <c r="ADF77" s="60">
        <f t="shared" si="1167"/>
        <v>0</v>
      </c>
      <c r="ADG77" s="76">
        <f t="shared" si="1168"/>
        <v>0</v>
      </c>
    </row>
    <row r="78" spans="1:787" x14ac:dyDescent="0.25">
      <c r="A78" s="46" t="str">
        <f>IF(ISBLANK(ComparisonSelection!F74),"",ROW()-5)</f>
        <v/>
      </c>
      <c r="B78" s="53" t="s">
        <v>526</v>
      </c>
      <c r="C78" s="72">
        <v>0.90399999999999991</v>
      </c>
      <c r="D78" s="55">
        <f t="shared" si="750"/>
        <v>93</v>
      </c>
      <c r="E78" s="54">
        <f t="shared" si="751"/>
        <v>2.9039999999999999</v>
      </c>
      <c r="F78" s="54">
        <f t="shared" si="752"/>
        <v>1</v>
      </c>
      <c r="G78" s="72">
        <f t="shared" si="753"/>
        <v>2</v>
      </c>
      <c r="H78" s="72">
        <f t="shared" si="754"/>
        <v>0</v>
      </c>
      <c r="I78" s="46" cm="1">
        <f t="array" ref="I78">ROUND(IFERROR(INDEX(ArchiveResults!$F$5:$IX$116,ComparisonData!A78,ComparisonData!$I$1),0),5)</f>
        <v>0</v>
      </c>
      <c r="J78" s="46" cm="1">
        <f t="array" ref="J78">ROUND(IFERROR(INDEX(ArchiveResults!$F$5:$IX$116,ComparisonData!A78,ComparisonData!$J$1),0),5)</f>
        <v>0</v>
      </c>
      <c r="K78" s="56">
        <v>73</v>
      </c>
      <c r="L78" s="53" t="str">
        <f t="shared" si="755"/>
        <v>Science Museum Group: Science and Industry Museum</v>
      </c>
      <c r="M78" s="57">
        <f t="shared" si="640"/>
        <v>0</v>
      </c>
      <c r="N78" s="57">
        <f t="shared" si="641"/>
        <v>0</v>
      </c>
      <c r="O78" s="58">
        <f t="shared" si="756"/>
        <v>0</v>
      </c>
      <c r="P78" s="48">
        <f t="shared" si="757"/>
        <v>93</v>
      </c>
      <c r="Q78" s="54">
        <f t="shared" si="642"/>
        <v>2.9039999999999999</v>
      </c>
      <c r="R78" s="45">
        <f t="shared" si="758"/>
        <v>1</v>
      </c>
      <c r="S78" s="46">
        <f t="shared" si="759"/>
        <v>2</v>
      </c>
      <c r="T78" s="72">
        <f t="shared" si="760"/>
        <v>0</v>
      </c>
      <c r="U78" s="46" cm="1">
        <f t="array" ref="U78">ROUND(IFERROR(INDEX(ArchiveResults!$F$5:$IX$116,ComparisonData!A78,ComparisonData!$U$1),0),5)</f>
        <v>0</v>
      </c>
      <c r="V78" s="46" cm="1">
        <f t="array" ref="V78">ROUND(IFERROR(INDEX(ArchiveResults!$F$5:$IX$116,ComparisonData!A78,ComparisonData!$V$1),0),5)</f>
        <v>0</v>
      </c>
      <c r="W78" s="56">
        <v>73</v>
      </c>
      <c r="X78" s="53" t="str">
        <f t="shared" si="643"/>
        <v>Science Museum Group: Science and Industry Museum</v>
      </c>
      <c r="Y78" s="57">
        <f t="shared" si="761"/>
        <v>0</v>
      </c>
      <c r="Z78" s="57">
        <f t="shared" si="762"/>
        <v>0</v>
      </c>
      <c r="AA78" s="58">
        <f t="shared" si="763"/>
        <v>0</v>
      </c>
      <c r="AB78" s="45">
        <f t="shared" si="764"/>
        <v>93</v>
      </c>
      <c r="AC78" s="54">
        <f t="shared" si="644"/>
        <v>2.9039999999999999</v>
      </c>
      <c r="AD78" s="45">
        <f t="shared" si="765"/>
        <v>1</v>
      </c>
      <c r="AE78" s="45">
        <f t="shared" si="766"/>
        <v>2</v>
      </c>
      <c r="AF78" s="45">
        <f t="shared" si="639"/>
        <v>0</v>
      </c>
      <c r="AG78" s="46" cm="1">
        <f t="array" ref="AG78">ROUND(IFERROR(INDEX(ArchiveResults!$F$5:$IX$116,ComparisonData!A78,ComparisonData!$AG$1),0),5)</f>
        <v>0</v>
      </c>
      <c r="AH78" s="46" cm="1">
        <f t="array" ref="AH78">ROUND(IFERROR(INDEX(ArchiveResults!$F$5:$IX$116,ComparisonData!A78,ComparisonData!$AH$1),0),5)</f>
        <v>0</v>
      </c>
      <c r="AI78" s="56">
        <v>73</v>
      </c>
      <c r="AJ78" s="53" t="str">
        <f t="shared" si="645"/>
        <v>Science Museum Group: Science and Industry Museum</v>
      </c>
      <c r="AK78" s="59">
        <f t="shared" si="646"/>
        <v>0</v>
      </c>
      <c r="AL78" s="59">
        <f t="shared" si="647"/>
        <v>0</v>
      </c>
      <c r="AM78" s="58">
        <f t="shared" si="767"/>
        <v>0</v>
      </c>
      <c r="AN78" s="45">
        <f t="shared" si="768"/>
        <v>93</v>
      </c>
      <c r="AO78" s="54">
        <f t="shared" si="648"/>
        <v>2.9039999999999999</v>
      </c>
      <c r="AP78" s="45">
        <f t="shared" si="769"/>
        <v>1</v>
      </c>
      <c r="AQ78" s="45">
        <f t="shared" si="770"/>
        <v>2</v>
      </c>
      <c r="AR78" s="46" cm="1">
        <f t="array" ref="AR78">ROUND(IFERROR(INDEX(ArchiveResults!$F$5:$IX$116,ComparisonData!A78,ComparisonData!$AR$1),0),5)</f>
        <v>0</v>
      </c>
      <c r="AS78" s="46" cm="1">
        <f t="array" ref="AS78">ROUND(IFERROR(INDEX(ArchiveResults!$F$5:$IX$116,ComparisonData!A78,ComparisonData!$AS$1),0),5)</f>
        <v>0</v>
      </c>
      <c r="AT78" s="46" cm="1">
        <f t="array" ref="AT78">ROUND(IFERROR(INDEX(ArchiveResults!$F$5:$IX$116,ComparisonData!A78,ComparisonData!$AT$1),0),5)</f>
        <v>0</v>
      </c>
      <c r="AU78" s="46" cm="1">
        <f t="array" ref="AU78">ROUND(IFERROR(INDEX(ArchiveResults!$F$5:$IX$116,ComparisonData!A78,ComparisonData!$AU$1),0),5)</f>
        <v>0</v>
      </c>
      <c r="AV78" s="46" cm="1">
        <f t="array" ref="AV78">ROUND(IFERROR(INDEX(ArchiveResults!$F$5:$IX$116,ComparisonData!A78,ComparisonData!$AV$1),0),5)</f>
        <v>0</v>
      </c>
      <c r="AW78" s="46" cm="1">
        <f t="array" ref="AW78">ROUND(IFERROR(INDEX(ArchiveResults!$F$5:$IX$116,ComparisonData!A78,ComparisonData!$AW$1),0),5)</f>
        <v>0</v>
      </c>
      <c r="AX78" s="46" cm="1">
        <f t="array" ref="AX78">ROUND(IFERROR(INDEX(ArchiveResults!$F$5:$IX$116,ComparisonData!A78,ComparisonData!$AX$1),0),5)</f>
        <v>0</v>
      </c>
      <c r="AY78" s="46" cm="1">
        <f t="array" ref="AY78">ROUND(IFERROR(INDEX(ArchiveResults!$F$5:$IX$116,ComparisonData!A78,ComparisonData!$AY$1),0),5)</f>
        <v>0</v>
      </c>
      <c r="AZ78" s="46" cm="1">
        <f t="array" ref="AZ78">ROUND(IFERROR(INDEX(ArchiveResults!$F$5:$IX$116,ComparisonData!A78,ComparisonData!$AZ$1),0),5)</f>
        <v>0</v>
      </c>
      <c r="BA78" s="46" cm="1">
        <f t="array" ref="BA78">ROUND(IFERROR(INDEX(ArchiveResults!$F$5:$IX$116,ComparisonData!A78,ComparisonData!$BA$1),0),5)</f>
        <v>0</v>
      </c>
      <c r="BB78" s="56">
        <v>73</v>
      </c>
      <c r="BC78" s="53" t="str">
        <f t="shared" si="649"/>
        <v>Science Museum Group: Science and Industry Museum</v>
      </c>
      <c r="BD78" s="60">
        <f t="shared" si="771"/>
        <v>0</v>
      </c>
      <c r="BE78" s="60">
        <f t="shared" si="772"/>
        <v>0</v>
      </c>
      <c r="BF78" s="60">
        <f t="shared" si="773"/>
        <v>0</v>
      </c>
      <c r="BG78" s="60">
        <f t="shared" si="774"/>
        <v>0</v>
      </c>
      <c r="BH78" s="60">
        <f t="shared" si="775"/>
        <v>0</v>
      </c>
      <c r="BI78" s="60">
        <f t="shared" si="776"/>
        <v>0</v>
      </c>
      <c r="BJ78" s="60">
        <f t="shared" si="777"/>
        <v>0</v>
      </c>
      <c r="BK78" s="60">
        <f t="shared" si="778"/>
        <v>0</v>
      </c>
      <c r="BL78" s="60">
        <f t="shared" si="779"/>
        <v>0</v>
      </c>
      <c r="BM78" s="59">
        <f t="shared" si="780"/>
        <v>0</v>
      </c>
      <c r="BN78" s="58">
        <f t="shared" si="781"/>
        <v>0</v>
      </c>
      <c r="BO78" s="45">
        <f t="shared" si="782"/>
        <v>93</v>
      </c>
      <c r="BP78" s="54">
        <f t="shared" si="650"/>
        <v>2.9039999999999999</v>
      </c>
      <c r="BQ78" s="45">
        <f t="shared" si="783"/>
        <v>1</v>
      </c>
      <c r="BR78" s="45">
        <f t="shared" si="784"/>
        <v>2</v>
      </c>
      <c r="BS78" s="46" cm="1">
        <f t="array" ref="BS78">ROUND(IFERROR(INDEX(ArchiveResults!$F$5:$IX$116,ComparisonData!A78,ComparisonData!$BS$1),0),5)</f>
        <v>0</v>
      </c>
      <c r="BT78" s="46" cm="1">
        <f t="array" ref="BT78">ROUND(IFERROR(INDEX(ArchiveResults!$F$5:$IX$116,ComparisonData!A78,ComparisonData!$BT$1),0),5)</f>
        <v>0</v>
      </c>
      <c r="BU78" s="46" cm="1">
        <f t="array" ref="BU78">ROUND(IFERROR(INDEX(ArchiveResults!$F$5:$IX$116,ComparisonData!A78,ComparisonData!$BU$1),0),5)</f>
        <v>0</v>
      </c>
      <c r="BV78" s="46" cm="1">
        <f t="array" ref="BV78">ROUND(IFERROR(INDEX(ArchiveResults!$F$5:$IX$116,ComparisonData!A78,ComparisonData!$BV$1),0),5)</f>
        <v>0</v>
      </c>
      <c r="BW78" s="46" cm="1">
        <f t="array" ref="BW78">ROUND(IFERROR(INDEX(ArchiveResults!$F$5:$IX$116,ComparisonData!A78,ComparisonData!$BW$1),0),5)</f>
        <v>0</v>
      </c>
      <c r="BX78" s="46" cm="1">
        <f t="array" ref="BX78">ROUND(IFERROR(INDEX(ArchiveResults!$F$5:$IX$116,ComparisonData!A78,ComparisonData!$BX$1),0),5)</f>
        <v>0</v>
      </c>
      <c r="BY78" s="56">
        <v>73</v>
      </c>
      <c r="BZ78" s="53" t="str">
        <f t="shared" si="651"/>
        <v>Science Museum Group: Science and Industry Museum</v>
      </c>
      <c r="CA78" s="59">
        <f t="shared" si="785"/>
        <v>0</v>
      </c>
      <c r="CB78" s="59">
        <f t="shared" si="786"/>
        <v>0</v>
      </c>
      <c r="CC78" s="59">
        <f t="shared" si="787"/>
        <v>0</v>
      </c>
      <c r="CD78" s="59">
        <f t="shared" si="788"/>
        <v>0</v>
      </c>
      <c r="CE78" s="59">
        <f t="shared" si="789"/>
        <v>0</v>
      </c>
      <c r="CF78" s="59">
        <f t="shared" si="790"/>
        <v>0</v>
      </c>
      <c r="CG78" s="58">
        <f t="shared" si="791"/>
        <v>0</v>
      </c>
      <c r="CH78" s="45">
        <f t="shared" si="792"/>
        <v>93</v>
      </c>
      <c r="CI78" s="54">
        <f t="shared" si="652"/>
        <v>2.9039999999999999</v>
      </c>
      <c r="CJ78" s="45">
        <f t="shared" si="793"/>
        <v>1</v>
      </c>
      <c r="CK78" s="45">
        <f t="shared" si="794"/>
        <v>2</v>
      </c>
      <c r="CL78" s="46" cm="1">
        <f t="array" ref="CL78">ROUND(IFERROR(INDEX(ArchiveResults!$F$5:$IX$116,ComparisonData!A78,ComparisonData!$CL$1),0),5)</f>
        <v>0</v>
      </c>
      <c r="CM78" s="56">
        <v>73</v>
      </c>
      <c r="CN78" s="53" t="str">
        <f t="shared" si="653"/>
        <v>Science Museum Group: Science and Industry Museum</v>
      </c>
      <c r="CO78" s="45">
        <f t="shared" si="795"/>
        <v>0</v>
      </c>
      <c r="CP78" s="58">
        <f t="shared" si="796"/>
        <v>0</v>
      </c>
      <c r="CQ78" s="45">
        <f t="shared" si="797"/>
        <v>93</v>
      </c>
      <c r="CR78" s="54">
        <f t="shared" si="654"/>
        <v>2.9039999999999999</v>
      </c>
      <c r="CS78" s="45">
        <f t="shared" si="798"/>
        <v>1</v>
      </c>
      <c r="CT78" s="45">
        <f t="shared" si="799"/>
        <v>2</v>
      </c>
      <c r="CU78" s="46" cm="1">
        <f t="array" ref="CU78">ROUND(IFERROR(INDEX(ArchiveResults!$F$5:$IX$116,ComparisonData!A78,ComparisonData!$CU$1),0),5)</f>
        <v>0</v>
      </c>
      <c r="CV78" s="56">
        <v>73</v>
      </c>
      <c r="CW78" s="53" t="str">
        <f t="shared" si="655"/>
        <v>Science Museum Group: Science and Industry Museum</v>
      </c>
      <c r="CX78" s="45">
        <f t="shared" si="800"/>
        <v>0</v>
      </c>
      <c r="CY78" s="58">
        <f t="shared" si="801"/>
        <v>0</v>
      </c>
      <c r="CZ78" s="45">
        <f t="shared" si="802"/>
        <v>93</v>
      </c>
      <c r="DA78" s="54">
        <f t="shared" si="656"/>
        <v>2.9039999999999999</v>
      </c>
      <c r="DB78" s="45">
        <f t="shared" si="803"/>
        <v>1</v>
      </c>
      <c r="DC78" s="45">
        <f t="shared" si="804"/>
        <v>2</v>
      </c>
      <c r="DD78" s="46" cm="1">
        <f t="array" ref="DD78">ROUND(IFERROR(INDEX(ArchiveResults!$F$5:$IX$116,ComparisonData!A78,ComparisonData!$DD$1),0),5)</f>
        <v>0</v>
      </c>
      <c r="DE78" s="56">
        <v>73</v>
      </c>
      <c r="DF78" s="53" t="str">
        <f t="shared" si="657"/>
        <v>Science Museum Group: Science and Industry Museum</v>
      </c>
      <c r="DG78" s="45">
        <f t="shared" si="805"/>
        <v>0</v>
      </c>
      <c r="DH78" s="58">
        <f t="shared" si="806"/>
        <v>0</v>
      </c>
      <c r="DI78" s="45">
        <f t="shared" si="807"/>
        <v>93</v>
      </c>
      <c r="DJ78" s="54">
        <f t="shared" si="658"/>
        <v>2.9039999999999999</v>
      </c>
      <c r="DK78" s="45">
        <f t="shared" si="808"/>
        <v>1</v>
      </c>
      <c r="DL78" s="45">
        <f t="shared" si="809"/>
        <v>2</v>
      </c>
      <c r="DM78" s="46" cm="1">
        <f t="array" ref="DM78">ROUND(IFERROR(INDEX(ArchiveResults!$F$5:$IX$116,ComparisonData!A78,ComparisonData!$DM$1),0),5)</f>
        <v>0</v>
      </c>
      <c r="DN78" s="46" cm="1">
        <f t="array" ref="DN78">ROUND(IFERROR(INDEX(ArchiveResults!$F$5:$IX$116,ComparisonData!A78,ComparisonData!$DN$1),0),5)</f>
        <v>0</v>
      </c>
      <c r="DO78" s="46" cm="1">
        <f t="array" ref="DO78">ROUND(IFERROR(INDEX(ArchiveResults!$F$5:$IX$116,ComparisonData!A78,ComparisonData!$DO$1),0),5)</f>
        <v>0</v>
      </c>
      <c r="DP78" s="46" cm="1">
        <f t="array" ref="DP78">ROUND(IFERROR(INDEX(ArchiveResults!$F$5:$IX$116,ComparisonData!A78,ComparisonData!$DP$1),0),5)</f>
        <v>0</v>
      </c>
      <c r="DQ78" s="45" cm="1">
        <f t="array" ref="DQ78">IFERROR(INDEX(ArchiveResults!$F$5:$IX$116,ComparisonData!A78,ComparisonData!$DQ$1),0)</f>
        <v>0</v>
      </c>
      <c r="DR78" s="56">
        <v>73</v>
      </c>
      <c r="DS78" s="53" t="str">
        <f t="shared" si="659"/>
        <v>Science Museum Group: Science and Industry Museum</v>
      </c>
      <c r="DT78" s="59">
        <f t="shared" si="810"/>
        <v>0</v>
      </c>
      <c r="DU78" s="59">
        <f t="shared" si="811"/>
        <v>0</v>
      </c>
      <c r="DV78" s="59">
        <f t="shared" si="812"/>
        <v>0</v>
      </c>
      <c r="DW78" s="59">
        <f t="shared" si="813"/>
        <v>0</v>
      </c>
      <c r="DX78" s="59">
        <f t="shared" si="814"/>
        <v>0</v>
      </c>
      <c r="DY78" s="58">
        <f t="shared" si="815"/>
        <v>0</v>
      </c>
      <c r="DZ78" s="45">
        <f t="shared" si="816"/>
        <v>93</v>
      </c>
      <c r="EA78" s="54">
        <f t="shared" si="660"/>
        <v>2.9039999999999999</v>
      </c>
      <c r="EB78" s="45">
        <f t="shared" si="817"/>
        <v>1</v>
      </c>
      <c r="EC78" s="45">
        <f t="shared" si="818"/>
        <v>2</v>
      </c>
      <c r="ED78" s="46" cm="1">
        <f t="array" ref="ED78">ROUND(IFERROR(INDEX(ArchiveResults!$F$5:$IX$116,ComparisonData!A78,ComparisonData!$ED$1),0),5)</f>
        <v>0</v>
      </c>
      <c r="EE78" s="46" cm="1">
        <f t="array" ref="EE78">ROUND(IFERROR(INDEX(ArchiveResults!$F$5:$IX$116,ComparisonData!A78,ComparisonData!$EE$1),0),5)</f>
        <v>0</v>
      </c>
      <c r="EF78" s="46" cm="1">
        <f t="array" ref="EF78">ROUND(IFERROR(INDEX(ArchiveResults!$F$5:$IX$116,ComparisonData!A78,ComparisonData!$EF$1),0),5)</f>
        <v>0</v>
      </c>
      <c r="EG78" s="46" cm="1">
        <f t="array" ref="EG78">ROUND(IFERROR(INDEX(ArchiveResults!$F$5:$IX$116,ComparisonData!A78,ComparisonData!$EG$1),0),5)</f>
        <v>0</v>
      </c>
      <c r="EH78" s="45" cm="1">
        <f t="array" ref="EH78">IFERROR(INDEX(ArchiveResults!$F$5:$IX$116,ComparisonData!A78,ComparisonData!$EH$1),0)</f>
        <v>0</v>
      </c>
      <c r="EI78" s="56">
        <v>73</v>
      </c>
      <c r="EJ78" s="53" t="str">
        <f t="shared" si="661"/>
        <v>Science Museum Group: Science and Industry Museum</v>
      </c>
      <c r="EK78" s="59">
        <f t="shared" si="819"/>
        <v>0</v>
      </c>
      <c r="EL78" s="59">
        <f t="shared" si="820"/>
        <v>0</v>
      </c>
      <c r="EM78" s="59">
        <f t="shared" si="821"/>
        <v>0</v>
      </c>
      <c r="EN78" s="59">
        <f t="shared" si="822"/>
        <v>0</v>
      </c>
      <c r="EO78" s="59">
        <f t="shared" si="823"/>
        <v>0</v>
      </c>
      <c r="EP78" s="58">
        <f t="shared" si="824"/>
        <v>0</v>
      </c>
      <c r="EQ78" s="45">
        <f t="shared" si="825"/>
        <v>93</v>
      </c>
      <c r="ER78" s="54">
        <f t="shared" si="662"/>
        <v>2.9039999999999999</v>
      </c>
      <c r="ES78" s="45">
        <f t="shared" si="826"/>
        <v>1</v>
      </c>
      <c r="ET78" s="45">
        <f t="shared" si="827"/>
        <v>2</v>
      </c>
      <c r="EU78" s="46" cm="1">
        <f t="array" ref="EU78">ROUND(IFERROR(INDEX(ArchiveResults!$F$5:$IX$116,ComparisonData!A78,ComparisonData!$EU$1),0),5)</f>
        <v>0</v>
      </c>
      <c r="EV78" s="46" cm="1">
        <f t="array" ref="EV78">ROUND(IFERROR(INDEX(ArchiveResults!$F$5:$IX$116,ComparisonData!A78,ComparisonData!$EV$1),0),5)</f>
        <v>0</v>
      </c>
      <c r="EW78" s="46" cm="1">
        <f t="array" ref="EW78">ROUND(IFERROR(INDEX(ArchiveResults!$F$5:$IX$116,ComparisonData!A78,ComparisonData!$EW$1),0),5)</f>
        <v>0</v>
      </c>
      <c r="EX78" s="46" cm="1">
        <f t="array" ref="EX78">ROUND(IFERROR(INDEX(ArchiveResults!$F$5:$IX$116,ComparisonData!A78,ComparisonData!$EX$1),0),5)</f>
        <v>0</v>
      </c>
      <c r="EY78" s="45" cm="1">
        <f t="array" ref="EY78">IFERROR(INDEX(ArchiveResults!$F$5:$IX$116,ComparisonData!A78,ComparisonData!$EY$1),0)</f>
        <v>0</v>
      </c>
      <c r="EZ78" s="56">
        <v>73</v>
      </c>
      <c r="FA78" s="53" t="str">
        <f t="shared" si="663"/>
        <v>Science Museum Group: Science and Industry Museum</v>
      </c>
      <c r="FB78" s="59">
        <f t="shared" si="828"/>
        <v>0</v>
      </c>
      <c r="FC78" s="59">
        <f t="shared" si="829"/>
        <v>0</v>
      </c>
      <c r="FD78" s="59">
        <f t="shared" si="830"/>
        <v>0</v>
      </c>
      <c r="FE78" s="59">
        <f t="shared" si="831"/>
        <v>0</v>
      </c>
      <c r="FF78" s="59">
        <f t="shared" si="832"/>
        <v>0</v>
      </c>
      <c r="FG78" s="58">
        <f t="shared" si="833"/>
        <v>0</v>
      </c>
      <c r="FH78" s="45">
        <f t="shared" si="834"/>
        <v>93</v>
      </c>
      <c r="FI78" s="54">
        <f t="shared" si="664"/>
        <v>2.9039999999999999</v>
      </c>
      <c r="FJ78" s="45">
        <f t="shared" si="835"/>
        <v>1</v>
      </c>
      <c r="FK78" s="45">
        <f t="shared" si="836"/>
        <v>2</v>
      </c>
      <c r="FL78" s="46" cm="1">
        <f t="array" ref="FL78">ROUND(IFERROR(INDEX(ArchiveResults!$F$5:$IX$116,ComparisonData!A78,ComparisonData!$FL$1),0),5)</f>
        <v>0</v>
      </c>
      <c r="FM78" s="46" cm="1">
        <f t="array" ref="FM78">ROUND(IFERROR(INDEX(ArchiveResults!$F$5:$IX$116,ComparisonData!A78,ComparisonData!$FM$1),0),5)</f>
        <v>0</v>
      </c>
      <c r="FN78" s="46" cm="1">
        <f t="array" ref="FN78">ROUND(IFERROR(INDEX(ArchiveResults!$F$5:$IX$116,ComparisonData!A78,ComparisonData!$FN$1),0),5)</f>
        <v>0</v>
      </c>
      <c r="FO78" s="46" cm="1">
        <f t="array" ref="FO78">ROUND(IFERROR(INDEX(ArchiveResults!$F$5:$IX$116,ComparisonData!A78,ComparisonData!$FO$1),0),5)</f>
        <v>0</v>
      </c>
      <c r="FP78" s="45" cm="1">
        <f t="array" ref="FP78">IFERROR(INDEX(ArchiveResults!$F$5:$IX$116,ComparisonData!A78,ComparisonData!$FP$1),0)</f>
        <v>0</v>
      </c>
      <c r="FQ78" s="56">
        <v>73</v>
      </c>
      <c r="FR78" s="53" t="str">
        <f t="shared" si="665"/>
        <v>Science Museum Group: Science and Industry Museum</v>
      </c>
      <c r="FS78" s="59">
        <f t="shared" si="837"/>
        <v>0</v>
      </c>
      <c r="FT78" s="59">
        <f t="shared" si="838"/>
        <v>0</v>
      </c>
      <c r="FU78" s="59">
        <f t="shared" si="839"/>
        <v>0</v>
      </c>
      <c r="FV78" s="59">
        <f t="shared" si="840"/>
        <v>0</v>
      </c>
      <c r="FW78" s="59">
        <f t="shared" si="841"/>
        <v>0</v>
      </c>
      <c r="FX78" s="58">
        <f t="shared" si="842"/>
        <v>0</v>
      </c>
      <c r="FY78" s="45">
        <f t="shared" si="843"/>
        <v>93</v>
      </c>
      <c r="FZ78" s="45">
        <f t="shared" si="666"/>
        <v>2.9039999999999999</v>
      </c>
      <c r="GA78" s="45">
        <f t="shared" si="844"/>
        <v>1</v>
      </c>
      <c r="GB78" s="45">
        <f t="shared" si="845"/>
        <v>2</v>
      </c>
      <c r="GC78" s="46" cm="1">
        <f t="array" ref="GC78">ROUND(IFERROR(INDEX(ArchiveResults!$F$5:$IX$116,ComparisonData!A78,ComparisonData!$GC$1),0),5)</f>
        <v>0</v>
      </c>
      <c r="GD78" s="46" cm="1">
        <f t="array" ref="GD78">ROUND(IFERROR(INDEX(ArchiveResults!$F$5:$IX$116,ComparisonData!A78,ComparisonData!$GD$1),0),5)</f>
        <v>0</v>
      </c>
      <c r="GE78" s="46" cm="1">
        <f t="array" ref="GE78">ROUND(IFERROR(INDEX(ArchiveResults!$F$5:$IX$116,ComparisonData!A78,ComparisonData!$GE$1),0),5)</f>
        <v>0</v>
      </c>
      <c r="GF78" s="46" cm="1">
        <f t="array" ref="GF78">ROUND(IFERROR(INDEX(ArchiveResults!$F$5:$IX$116,ComparisonData!A78,ComparisonData!$GF$1),0),5)</f>
        <v>0</v>
      </c>
      <c r="GG78" s="45" cm="1">
        <f t="array" ref="GG78">IFERROR(INDEX(ArchiveResults!$F$5:$IX$116,ComparisonData!A78,ComparisonData!$GG$1),0)</f>
        <v>0</v>
      </c>
      <c r="GH78" s="56">
        <v>73</v>
      </c>
      <c r="GI78" s="53" t="str">
        <f t="shared" si="667"/>
        <v>Science Museum Group: Science and Industry Museum</v>
      </c>
      <c r="GJ78" s="59">
        <f t="shared" si="846"/>
        <v>0</v>
      </c>
      <c r="GK78" s="59">
        <f t="shared" si="847"/>
        <v>0</v>
      </c>
      <c r="GL78" s="59">
        <f t="shared" si="848"/>
        <v>0</v>
      </c>
      <c r="GM78" s="59">
        <f t="shared" si="849"/>
        <v>0</v>
      </c>
      <c r="GN78" s="59">
        <f t="shared" si="850"/>
        <v>0</v>
      </c>
      <c r="GO78" s="58">
        <f t="shared" si="851"/>
        <v>0</v>
      </c>
      <c r="GP78" s="45">
        <f t="shared" si="852"/>
        <v>93</v>
      </c>
      <c r="GQ78" s="45">
        <f t="shared" si="668"/>
        <v>2.9039999999999999</v>
      </c>
      <c r="GR78" s="45">
        <f t="shared" si="853"/>
        <v>1</v>
      </c>
      <c r="GS78" s="45">
        <f t="shared" si="854"/>
        <v>2</v>
      </c>
      <c r="GT78" s="46" cm="1">
        <f t="array" ref="GT78">ROUND(IFERROR(INDEX(ArchiveResults!$F$5:$IX$116,ComparisonData!A78,ComparisonData!$GT$1),0),5)</f>
        <v>0</v>
      </c>
      <c r="GU78" s="46" cm="1">
        <f t="array" ref="GU78">ROUND(IFERROR(INDEX(ArchiveResults!$F$5:$IX$116,ComparisonData!A78,ComparisonData!$GU$1),0),5)</f>
        <v>0</v>
      </c>
      <c r="GV78" s="46" cm="1">
        <f t="array" ref="GV78">ROUND(IFERROR(INDEX(ArchiveResults!$F$5:$IX$116,ComparisonData!A78,ComparisonData!$GV$1),0),5)</f>
        <v>0</v>
      </c>
      <c r="GW78" s="46" cm="1">
        <f t="array" ref="GW78">ROUND(IFERROR(INDEX(ArchiveResults!$F$5:$IX$116,ComparisonData!A78,ComparisonData!$GW$1),0),5)</f>
        <v>0</v>
      </c>
      <c r="GX78" s="45" cm="1">
        <f t="array" ref="GX78">IFERROR(INDEX(ArchiveResults!$F$5:$IX$116,ComparisonData!A78,ComparisonData!$GX$1),0)</f>
        <v>0</v>
      </c>
      <c r="GY78" s="56">
        <v>73</v>
      </c>
      <c r="GZ78" s="53" t="str">
        <f t="shared" si="669"/>
        <v>Science Museum Group: Science and Industry Museum</v>
      </c>
      <c r="HA78" s="59">
        <f t="shared" si="855"/>
        <v>0</v>
      </c>
      <c r="HB78" s="59">
        <f t="shared" si="856"/>
        <v>0</v>
      </c>
      <c r="HC78" s="59">
        <f t="shared" si="857"/>
        <v>0</v>
      </c>
      <c r="HD78" s="59">
        <f t="shared" si="858"/>
        <v>0</v>
      </c>
      <c r="HE78" s="59">
        <f t="shared" si="859"/>
        <v>0</v>
      </c>
      <c r="HF78" s="58">
        <f t="shared" si="860"/>
        <v>0</v>
      </c>
      <c r="HG78" s="45">
        <f t="shared" si="861"/>
        <v>93</v>
      </c>
      <c r="HH78" s="45">
        <f t="shared" si="670"/>
        <v>2.9039999999999999</v>
      </c>
      <c r="HI78" s="45">
        <f t="shared" si="862"/>
        <v>1</v>
      </c>
      <c r="HJ78" s="45">
        <f t="shared" si="863"/>
        <v>2</v>
      </c>
      <c r="HK78" s="46" cm="1">
        <f t="array" ref="HK78">ROUND(IFERROR(INDEX(ArchiveResults!$F$5:$IX$116,ComparisonData!A78,ComparisonData!$HK$1),0),5)</f>
        <v>0</v>
      </c>
      <c r="HL78" s="46" cm="1">
        <f t="array" ref="HL78">ROUND(IFERROR(INDEX(ArchiveResults!$F$5:$IX$116,ComparisonData!A78,ComparisonData!$HL$1),0),5)</f>
        <v>0</v>
      </c>
      <c r="HM78" s="46" cm="1">
        <f t="array" ref="HM78">ROUND(IFERROR(INDEX(ArchiveResults!$F$5:$IX$116,ComparisonData!A78,ComparisonData!$HM$1),0),5)</f>
        <v>0</v>
      </c>
      <c r="HN78" s="46" cm="1">
        <f t="array" ref="HN78">ROUND(IFERROR(INDEX(ArchiveResults!$F$5:$IX$116,ComparisonData!A78,ComparisonData!$HN$1),0),5)</f>
        <v>0</v>
      </c>
      <c r="HO78" s="45" cm="1">
        <f t="array" ref="HO78">IFERROR(INDEX(ArchiveResults!$F$5:$IX$116,ComparisonData!A78,ComparisonData!$HO$1),0)</f>
        <v>0</v>
      </c>
      <c r="HP78" s="56">
        <v>73</v>
      </c>
      <c r="HQ78" s="53" t="str">
        <f t="shared" si="671"/>
        <v>Science Museum Group: Science and Industry Museum</v>
      </c>
      <c r="HR78" s="59">
        <f t="shared" si="672"/>
        <v>0</v>
      </c>
      <c r="HS78" s="59">
        <f t="shared" si="673"/>
        <v>0</v>
      </c>
      <c r="HT78" s="59">
        <f t="shared" si="674"/>
        <v>0</v>
      </c>
      <c r="HU78" s="59">
        <f t="shared" si="675"/>
        <v>0</v>
      </c>
      <c r="HV78" s="59">
        <f t="shared" si="676"/>
        <v>0</v>
      </c>
      <c r="HW78" s="58">
        <f t="shared" si="864"/>
        <v>0</v>
      </c>
      <c r="HX78" s="45">
        <f t="shared" si="865"/>
        <v>93</v>
      </c>
      <c r="HY78" s="45">
        <f t="shared" si="677"/>
        <v>2.9039999999999999</v>
      </c>
      <c r="HZ78" s="45">
        <f t="shared" si="866"/>
        <v>1</v>
      </c>
      <c r="IA78" s="45">
        <f t="shared" si="867"/>
        <v>2</v>
      </c>
      <c r="IB78" s="45">
        <f t="shared" si="868"/>
        <v>0</v>
      </c>
      <c r="IC78" s="46" cm="1">
        <f t="array" ref="IC78">ROUND(IFERROR(INDEX(ArchiveResults!$F$5:$IX$116,ComparisonData!A78,ComparisonData!$IC$1),0),5)</f>
        <v>0</v>
      </c>
      <c r="ID78" s="46" cm="1">
        <f t="array" ref="ID78">ROUND(IFERROR(INDEX(ArchiveResults!$F$5:$IX$116,ComparisonData!A78,ComparisonData!$ID$1),0),5)</f>
        <v>0</v>
      </c>
      <c r="IE78" s="46" cm="1">
        <f t="array" ref="IE78">ROUND(IFERROR(INDEX(ArchiveResults!$F$5:$IX$116,ComparisonData!A78,ComparisonData!$IE$1),0),5)</f>
        <v>0</v>
      </c>
      <c r="IF78" s="46" cm="1">
        <f t="array" ref="IF78">ROUND(IFERROR(INDEX(ArchiveResults!$F$5:$IX$116,ComparisonData!A78,ComparisonData!$IF$1),0),5)</f>
        <v>0</v>
      </c>
      <c r="IG78" s="45" cm="1">
        <f t="array" ref="IG78">IFERROR(INDEX(ArchiveResults!$F$5:$IX$116,ComparisonData!A78,ComparisonData!$IG$1),0)</f>
        <v>0</v>
      </c>
      <c r="IH78" s="56">
        <v>73</v>
      </c>
      <c r="II78" s="53" t="str">
        <f t="shared" si="678"/>
        <v>Science Museum Group: Science and Industry Museum</v>
      </c>
      <c r="IJ78" s="59">
        <f t="shared" si="869"/>
        <v>0</v>
      </c>
      <c r="IK78" s="59">
        <f t="shared" si="870"/>
        <v>0</v>
      </c>
      <c r="IL78" s="59">
        <f t="shared" si="871"/>
        <v>0</v>
      </c>
      <c r="IM78" s="59">
        <f t="shared" si="872"/>
        <v>0</v>
      </c>
      <c r="IN78" s="59">
        <f t="shared" si="873"/>
        <v>0</v>
      </c>
      <c r="IO78" s="58">
        <f t="shared" si="874"/>
        <v>0</v>
      </c>
      <c r="IP78" s="45">
        <f t="shared" si="875"/>
        <v>93</v>
      </c>
      <c r="IQ78" s="45">
        <f t="shared" si="679"/>
        <v>2.9039999999999999</v>
      </c>
      <c r="IR78" s="45">
        <f t="shared" si="876"/>
        <v>1</v>
      </c>
      <c r="IS78" s="45">
        <f t="shared" si="877"/>
        <v>2</v>
      </c>
      <c r="IT78" s="46">
        <f t="shared" si="878"/>
        <v>0</v>
      </c>
      <c r="IU78" s="46" cm="1">
        <f t="array" ref="IU78">ROUND(IFERROR(INDEX(ArchiveResults!$F$5:$IX$116,ComparisonData!A78,ComparisonData!$IU$1),0),5)</f>
        <v>0</v>
      </c>
      <c r="IV78" s="46" cm="1">
        <f t="array" ref="IV78">ROUND(IFERROR(INDEX(ArchiveResults!$F$5:$IX$116,ComparisonData!A78,ComparisonData!$IV$1),0),5)</f>
        <v>0</v>
      </c>
      <c r="IW78" s="46" cm="1">
        <f t="array" ref="IW78">ROUND(IFERROR(INDEX(ArchiveResults!$F$5:$IX$116,ComparisonData!A78,ComparisonData!$IW$1),0),5)</f>
        <v>0</v>
      </c>
      <c r="IX78" s="46" cm="1">
        <f t="array" ref="IX78">ROUND(IFERROR(INDEX(ArchiveResults!$F$5:$IX$116,ComparisonData!A78,ComparisonData!$IX$1),0),5)</f>
        <v>0</v>
      </c>
      <c r="IY78" s="45" cm="1">
        <f t="array" ref="IY78">IFERROR(INDEX(ArchiveResults!$F$5:$IX$116,ComparisonData!A78,ComparisonData!$IY$1),0)</f>
        <v>0</v>
      </c>
      <c r="IZ78" s="56">
        <v>73</v>
      </c>
      <c r="JA78" s="53" t="str">
        <f t="shared" si="680"/>
        <v>Science Museum Group: Science and Industry Museum</v>
      </c>
      <c r="JB78" s="59">
        <f t="shared" si="879"/>
        <v>0</v>
      </c>
      <c r="JC78" s="59">
        <f t="shared" si="880"/>
        <v>0</v>
      </c>
      <c r="JD78" s="59">
        <f t="shared" si="881"/>
        <v>0</v>
      </c>
      <c r="JE78" s="59">
        <f t="shared" si="882"/>
        <v>0</v>
      </c>
      <c r="JF78" s="59">
        <f t="shared" si="883"/>
        <v>0</v>
      </c>
      <c r="JG78" s="58">
        <f t="shared" si="884"/>
        <v>0</v>
      </c>
      <c r="JH78" s="45">
        <f t="shared" si="885"/>
        <v>93</v>
      </c>
      <c r="JI78" s="45">
        <f t="shared" si="681"/>
        <v>2.9039999999999999</v>
      </c>
      <c r="JJ78" s="45">
        <f t="shared" si="886"/>
        <v>1</v>
      </c>
      <c r="JK78" s="45">
        <f t="shared" si="887"/>
        <v>2</v>
      </c>
      <c r="JL78" s="45">
        <f t="shared" si="888"/>
        <v>0</v>
      </c>
      <c r="JM78" s="46" cm="1">
        <f t="array" ref="JM78">ROUND(IFERROR(INDEX(ArchiveResults!$F$5:$IX$116,ComparisonData!A78,ComparisonData!$JM$1),0),5)</f>
        <v>0</v>
      </c>
      <c r="JN78" s="46" cm="1">
        <f t="array" ref="JN78">ROUND(IFERROR(INDEX(ArchiveResults!$F$5:$IX$116,ComparisonData!A78,ComparisonData!$JN$1),0),5)</f>
        <v>0</v>
      </c>
      <c r="JO78" s="46" cm="1">
        <f t="array" ref="JO78">ROUND(IFERROR(INDEX(ArchiveResults!$F$5:$IX$116,ComparisonData!A78,ComparisonData!$JO$1),0),5)</f>
        <v>0</v>
      </c>
      <c r="JP78" s="46" cm="1">
        <f t="array" ref="JP78">ROUND(IFERROR(INDEX(ArchiveResults!$F$5:$IX$116,ComparisonData!A78,ComparisonData!$JP$1),0),5)</f>
        <v>0</v>
      </c>
      <c r="JQ78" s="45" cm="1">
        <f t="array" ref="JQ78">IFERROR(INDEX(ArchiveResults!$F$5:$IX$116,ComparisonData!A78,ComparisonData!$JQ$1),0)</f>
        <v>0</v>
      </c>
      <c r="JR78" s="56">
        <v>73</v>
      </c>
      <c r="JS78" s="53" t="str">
        <f t="shared" si="682"/>
        <v>Science Museum Group: Science and Industry Museum</v>
      </c>
      <c r="JT78" s="59">
        <f t="shared" si="889"/>
        <v>0</v>
      </c>
      <c r="JU78" s="59">
        <f t="shared" si="890"/>
        <v>0</v>
      </c>
      <c r="JV78" s="59">
        <f t="shared" si="891"/>
        <v>0</v>
      </c>
      <c r="JW78" s="59">
        <f t="shared" si="892"/>
        <v>0</v>
      </c>
      <c r="JX78" s="59">
        <f t="shared" si="893"/>
        <v>0</v>
      </c>
      <c r="JY78" s="58">
        <f t="shared" si="894"/>
        <v>0</v>
      </c>
      <c r="JZ78" s="45">
        <f t="shared" si="895"/>
        <v>93</v>
      </c>
      <c r="KA78" s="45">
        <f t="shared" si="683"/>
        <v>2.9039999999999999</v>
      </c>
      <c r="KB78" s="45">
        <f t="shared" si="896"/>
        <v>1</v>
      </c>
      <c r="KC78" s="45">
        <f t="shared" si="897"/>
        <v>2</v>
      </c>
      <c r="KD78" s="45">
        <f t="shared" si="898"/>
        <v>0</v>
      </c>
      <c r="KE78" s="46" cm="1">
        <f t="array" ref="KE78">ROUND(IFERROR(INDEX(ArchiveResults!$F$5:$IX$116,ComparisonData!A78,ComparisonData!$KE$1),0),5)</f>
        <v>0</v>
      </c>
      <c r="KF78" s="46" cm="1">
        <f t="array" ref="KF78">ROUND(IFERROR(INDEX(ArchiveResults!$F$5:$IX$116,ComparisonData!A78,ComparisonData!$KF$1),0),5)</f>
        <v>0</v>
      </c>
      <c r="KG78" s="46" cm="1">
        <f t="array" ref="KG78">ROUND(IFERROR(INDEX(ArchiveResults!$F$5:$IX$116,ComparisonData!A78,ComparisonData!$KG$1),0),5)</f>
        <v>0</v>
      </c>
      <c r="KH78" s="46" cm="1">
        <f t="array" ref="KH78">ROUND(IFERROR(INDEX(ArchiveResults!$F$5:$IX$116,ComparisonData!A78,ComparisonData!$KH$1),0),5)</f>
        <v>0</v>
      </c>
      <c r="KI78" s="45" cm="1">
        <f t="array" ref="KI78">IFERROR(INDEX(ArchiveResults!$F$5:$IX$116,ComparisonData!A78,ComparisonData!$KI$1),0)</f>
        <v>0</v>
      </c>
      <c r="KJ78" s="56">
        <v>73</v>
      </c>
      <c r="KK78" s="53" t="str">
        <f t="shared" si="684"/>
        <v>Science Museum Group: Science and Industry Museum</v>
      </c>
      <c r="KL78" s="59">
        <f t="shared" si="899"/>
        <v>0</v>
      </c>
      <c r="KM78" s="59">
        <f t="shared" si="900"/>
        <v>0</v>
      </c>
      <c r="KN78" s="59">
        <f t="shared" si="901"/>
        <v>0</v>
      </c>
      <c r="KO78" s="59">
        <f t="shared" si="902"/>
        <v>0</v>
      </c>
      <c r="KP78" s="59">
        <f t="shared" si="903"/>
        <v>0</v>
      </c>
      <c r="KQ78" s="58">
        <f t="shared" si="904"/>
        <v>0</v>
      </c>
      <c r="KR78" s="45">
        <f t="shared" si="905"/>
        <v>93</v>
      </c>
      <c r="KS78" s="45">
        <f t="shared" si="685"/>
        <v>2.9039999999999999</v>
      </c>
      <c r="KT78" s="45">
        <f t="shared" si="906"/>
        <v>1</v>
      </c>
      <c r="KU78" s="45">
        <f t="shared" si="907"/>
        <v>2</v>
      </c>
      <c r="KV78" s="45">
        <f t="shared" si="908"/>
        <v>0</v>
      </c>
      <c r="KW78" s="46" cm="1">
        <f t="array" ref="KW78">ROUND(IFERROR(INDEX(ArchiveResults!$F$5:$IX$116,ComparisonData!A78,ComparisonData!$KW$1),0),5)</f>
        <v>0</v>
      </c>
      <c r="KX78" s="46" cm="1">
        <f t="array" ref="KX78">ROUND(IFERROR(INDEX(ArchiveResults!$F$5:$IX$116,ComparisonData!A78,ComparisonData!$KX$1),0),5)</f>
        <v>0</v>
      </c>
      <c r="KY78" s="46" cm="1">
        <f t="array" ref="KY78">ROUND(IFERROR(INDEX(ArchiveResults!$F$5:$IX$116,ComparisonData!A78,ComparisonData!$KY$1),0),5)</f>
        <v>0</v>
      </c>
      <c r="KZ78" s="46" cm="1">
        <f t="array" ref="KZ78">ROUND(IFERROR(INDEX(ArchiveResults!$F$5:$IX$116,ComparisonData!A78,ComparisonData!$KZ$1),0),5)</f>
        <v>0</v>
      </c>
      <c r="LA78" s="45" cm="1">
        <f t="array" ref="LA78">IFERROR(INDEX(ArchiveResults!$F$5:$IX$116,ComparisonData!A78,ComparisonData!$LA$1),0)</f>
        <v>0</v>
      </c>
      <c r="LB78" s="56">
        <v>73</v>
      </c>
      <c r="LC78" s="53" t="str">
        <f t="shared" si="686"/>
        <v>Science Museum Group: Science and Industry Museum</v>
      </c>
      <c r="LD78" s="59">
        <f t="shared" si="909"/>
        <v>0</v>
      </c>
      <c r="LE78" s="59">
        <f t="shared" si="910"/>
        <v>0</v>
      </c>
      <c r="LF78" s="59">
        <f t="shared" si="911"/>
        <v>0</v>
      </c>
      <c r="LG78" s="59">
        <f t="shared" si="912"/>
        <v>0</v>
      </c>
      <c r="LH78" s="59">
        <f t="shared" si="913"/>
        <v>0</v>
      </c>
      <c r="LI78" s="58">
        <f t="shared" si="914"/>
        <v>0</v>
      </c>
      <c r="LJ78" s="45">
        <f t="shared" si="915"/>
        <v>93</v>
      </c>
      <c r="LK78" s="45">
        <f t="shared" si="687"/>
        <v>2.9039999999999999</v>
      </c>
      <c r="LL78" s="45">
        <f t="shared" si="916"/>
        <v>1</v>
      </c>
      <c r="LM78" s="45">
        <f t="shared" si="917"/>
        <v>2</v>
      </c>
      <c r="LN78" s="45">
        <f t="shared" si="918"/>
        <v>0</v>
      </c>
      <c r="LO78" s="46" cm="1">
        <f t="array" ref="LO78">ROUND(IFERROR(INDEX(ArchiveResults!$F$5:$IX$116,ComparisonData!A78,ComparisonData!$LO$1),0),5)</f>
        <v>0</v>
      </c>
      <c r="LP78" s="46" cm="1">
        <f t="array" ref="LP78">ROUND(IFERROR(INDEX(ArchiveResults!$F$5:$IX$116,ComparisonData!A78,ComparisonData!$LP$1),0),5)</f>
        <v>0</v>
      </c>
      <c r="LQ78" s="46" cm="1">
        <f t="array" ref="LQ78">ROUND(IFERROR(INDEX(ArchiveResults!$F$5:$IX$116,ComparisonData!A78,ComparisonData!$LQ$1),0),5)</f>
        <v>0</v>
      </c>
      <c r="LR78" s="46" cm="1">
        <f t="array" ref="LR78">ROUND(IFERROR(INDEX(ArchiveResults!$F$5:$IX$116,ComparisonData!A78,ComparisonData!$LR$1),0),5)</f>
        <v>0</v>
      </c>
      <c r="LS78" s="45" cm="1">
        <f t="array" ref="LS78">IFERROR(INDEX(ArchiveResults!$F$5:$IX$116,ComparisonData!A78,ComparisonData!$LS$1),0)</f>
        <v>0</v>
      </c>
      <c r="LT78" s="56">
        <v>73</v>
      </c>
      <c r="LU78" s="53" t="str">
        <f t="shared" si="688"/>
        <v>Science Museum Group: Science and Industry Museum</v>
      </c>
      <c r="LV78" s="59">
        <f t="shared" si="919"/>
        <v>0</v>
      </c>
      <c r="LW78" s="59">
        <f t="shared" si="920"/>
        <v>0</v>
      </c>
      <c r="LX78" s="59">
        <f t="shared" si="921"/>
        <v>0</v>
      </c>
      <c r="LY78" s="59">
        <f t="shared" si="922"/>
        <v>0</v>
      </c>
      <c r="LZ78" s="59">
        <f t="shared" si="923"/>
        <v>0</v>
      </c>
      <c r="MA78" s="58">
        <f t="shared" si="924"/>
        <v>0</v>
      </c>
      <c r="MB78" s="45">
        <f t="shared" si="925"/>
        <v>93</v>
      </c>
      <c r="MC78" s="45">
        <f t="shared" si="689"/>
        <v>2.9039999999999999</v>
      </c>
      <c r="MD78" s="45">
        <f t="shared" si="926"/>
        <v>1</v>
      </c>
      <c r="ME78" s="45">
        <f t="shared" si="927"/>
        <v>2</v>
      </c>
      <c r="MF78" s="45">
        <f t="shared" si="928"/>
        <v>0</v>
      </c>
      <c r="MG78" s="46" cm="1">
        <f t="array" ref="MG78">ROUND(IFERROR(INDEX(ArchiveResults!$F$5:$IX$116,ComparisonData!A78,ComparisonData!$MG$1),0),5)</f>
        <v>0</v>
      </c>
      <c r="MH78" s="46" cm="1">
        <f t="array" ref="MH78">ROUND(IFERROR(INDEX(ArchiveResults!$F$5:$IX$116,ComparisonData!A78,ComparisonData!$MH$1),0),5)</f>
        <v>0</v>
      </c>
      <c r="MI78" s="46" cm="1">
        <f t="array" ref="MI78">ROUND(IFERROR(INDEX(ArchiveResults!$F$5:$IX$116,ComparisonData!A78,ComparisonData!$MI$1),0),5)</f>
        <v>0</v>
      </c>
      <c r="MJ78" s="46" cm="1">
        <f t="array" ref="MJ78">ROUND(IFERROR(INDEX(ArchiveResults!$F$5:$IX$116,ComparisonData!A78,ComparisonData!$MJ$1),0),5)</f>
        <v>0</v>
      </c>
      <c r="MK78" s="45" cm="1">
        <f t="array" ref="MK78">IFERROR(INDEX(ArchiveResults!$F$5:$IX$116,ComparisonData!A78,ComparisonData!$MK$1),0)</f>
        <v>0</v>
      </c>
      <c r="ML78" s="56">
        <v>73</v>
      </c>
      <c r="MM78" s="53" t="str">
        <f t="shared" si="690"/>
        <v>Science Museum Group: Science and Industry Museum</v>
      </c>
      <c r="MN78" s="59">
        <f t="shared" si="929"/>
        <v>0</v>
      </c>
      <c r="MO78" s="59">
        <f t="shared" si="930"/>
        <v>0</v>
      </c>
      <c r="MP78" s="59">
        <f t="shared" si="931"/>
        <v>0</v>
      </c>
      <c r="MQ78" s="59">
        <f t="shared" si="932"/>
        <v>0</v>
      </c>
      <c r="MR78" s="59">
        <f t="shared" si="933"/>
        <v>0</v>
      </c>
      <c r="MS78" s="58">
        <f t="shared" si="934"/>
        <v>0</v>
      </c>
      <c r="MT78" s="45">
        <f t="shared" si="935"/>
        <v>93</v>
      </c>
      <c r="MU78" s="45">
        <f t="shared" si="691"/>
        <v>2.9039999999999999</v>
      </c>
      <c r="MV78" s="45">
        <f t="shared" si="936"/>
        <v>1</v>
      </c>
      <c r="MW78" s="45">
        <f t="shared" si="937"/>
        <v>2</v>
      </c>
      <c r="MX78" s="45">
        <f t="shared" si="938"/>
        <v>0</v>
      </c>
      <c r="MY78" s="46" cm="1">
        <f t="array" ref="MY78">ROUND(IFERROR(INDEX(ArchiveResults!$F$5:$IX$116,ComparisonData!A78,ComparisonData!$MY$1),0),5)</f>
        <v>0</v>
      </c>
      <c r="MZ78" s="46" cm="1">
        <f t="array" ref="MZ78">ROUND(IFERROR(INDEX(ArchiveResults!$F$5:$IX$116,ComparisonData!A78,ComparisonData!$MZ$1),0),5)</f>
        <v>0</v>
      </c>
      <c r="NA78" s="46" cm="1">
        <f t="array" ref="NA78">ROUND(IFERROR(INDEX(ArchiveResults!$F$5:$IX$116,ComparisonData!A78,ComparisonData!$NA$1),0),5)</f>
        <v>0</v>
      </c>
      <c r="NB78" s="46" cm="1">
        <f t="array" ref="NB78">ROUND(IFERROR(INDEX(ArchiveResults!$F$5:$IX$116,ComparisonData!A78,ComparisonData!$NB$1),0),5)</f>
        <v>0</v>
      </c>
      <c r="NC78" s="45" cm="1">
        <f t="array" ref="NC78">IFERROR(INDEX(ArchiveResults!$F$5:$IX$116,ComparisonData!A78,ComparisonData!$NC$1),0)</f>
        <v>0</v>
      </c>
      <c r="ND78" s="56">
        <v>73</v>
      </c>
      <c r="NE78" s="53" t="str">
        <f t="shared" si="692"/>
        <v>Science Museum Group: Science and Industry Museum</v>
      </c>
      <c r="NF78" s="59">
        <f t="shared" si="939"/>
        <v>0</v>
      </c>
      <c r="NG78" s="59">
        <f t="shared" si="940"/>
        <v>0</v>
      </c>
      <c r="NH78" s="59">
        <f t="shared" si="941"/>
        <v>0</v>
      </c>
      <c r="NI78" s="59">
        <f t="shared" si="942"/>
        <v>0</v>
      </c>
      <c r="NJ78" s="59">
        <f t="shared" si="943"/>
        <v>0</v>
      </c>
      <c r="NK78" s="58">
        <f t="shared" si="944"/>
        <v>0</v>
      </c>
      <c r="NL78" s="45">
        <f t="shared" si="945"/>
        <v>93</v>
      </c>
      <c r="NM78" s="45">
        <f t="shared" si="693"/>
        <v>2.9039999999999999</v>
      </c>
      <c r="NN78" s="45">
        <f t="shared" si="946"/>
        <v>1</v>
      </c>
      <c r="NO78" s="45">
        <f t="shared" si="947"/>
        <v>2</v>
      </c>
      <c r="NP78" s="46" cm="1">
        <f t="array" ref="NP78">ROUND(IFERROR(INDEX(ArchiveResults!$F$5:$IX$116,ComparisonData!A78,ComparisonData!$NP$1),0),5)</f>
        <v>0</v>
      </c>
      <c r="NQ78" s="46" cm="1">
        <f t="array" ref="NQ78">ROUND(IFERROR(INDEX(ArchiveResults!$F$5:$IX$116,ComparisonData!A78,ComparisonData!$NQ$1),0),5)</f>
        <v>0</v>
      </c>
      <c r="NR78" s="46" cm="1">
        <f t="array" ref="NR78">ROUND(IFERROR(INDEX(ArchiveResults!$F$5:$IX$116,ComparisonData!A78,ComparisonData!$NR$1),0),5)</f>
        <v>0</v>
      </c>
      <c r="NS78" s="46" cm="1">
        <f t="array" ref="NS78">ROUND(IFERROR(INDEX(ArchiveResults!$F$5:$IX$116,ComparisonData!A78,ComparisonData!$NS$1),0),5)</f>
        <v>0</v>
      </c>
      <c r="NT78" s="45" cm="1">
        <f t="array" ref="NT78">IFERROR(INDEX(ArchiveResults!$F$5:$IX$116,ComparisonData!A78,ComparisonData!$NT$1),0)</f>
        <v>0</v>
      </c>
      <c r="NU78" s="56">
        <v>73</v>
      </c>
      <c r="NV78" s="53" t="str">
        <f t="shared" si="694"/>
        <v>Science Museum Group: Science and Industry Museum</v>
      </c>
      <c r="NW78" s="59">
        <f t="shared" si="948"/>
        <v>0</v>
      </c>
      <c r="NX78" s="59">
        <f t="shared" si="949"/>
        <v>0</v>
      </c>
      <c r="NY78" s="59">
        <f t="shared" si="950"/>
        <v>0</v>
      </c>
      <c r="NZ78" s="59">
        <f t="shared" si="951"/>
        <v>0</v>
      </c>
      <c r="OA78" s="59">
        <f t="shared" si="952"/>
        <v>0</v>
      </c>
      <c r="OB78" s="58">
        <f t="shared" si="953"/>
        <v>0</v>
      </c>
      <c r="OC78" s="45">
        <f t="shared" si="954"/>
        <v>93</v>
      </c>
      <c r="OD78" s="45">
        <f t="shared" si="695"/>
        <v>2.9039999999999999</v>
      </c>
      <c r="OE78" s="45">
        <f t="shared" si="955"/>
        <v>1</v>
      </c>
      <c r="OF78" s="45">
        <f t="shared" si="956"/>
        <v>2</v>
      </c>
      <c r="OG78" s="46">
        <f t="shared" si="957"/>
        <v>0</v>
      </c>
      <c r="OH78" s="46" cm="1">
        <f t="array" ref="OH78">ROUND(IFERROR(INDEX(ArchiveResults!$F$5:$IX$116,ComparisonData!A78,ComparisonData!$OH$1),0),5)</f>
        <v>0</v>
      </c>
      <c r="OI78" s="46" cm="1">
        <f t="array" ref="OI78">ROUND(IFERROR(INDEX(ArchiveResults!$F$5:$IX$116,ComparisonData!A78,ComparisonData!$OI$1),0),5)</f>
        <v>0</v>
      </c>
      <c r="OJ78" s="46" cm="1">
        <f t="array" ref="OJ78">ROUND(IFERROR(INDEX(ArchiveResults!$F$5:$IX$116,ComparisonData!A78,ComparisonData!$OJ$1),0),5)</f>
        <v>0</v>
      </c>
      <c r="OK78" s="46" cm="1">
        <f t="array" ref="OK78">ROUND(IFERROR(INDEX(ArchiveResults!$F$5:$IX$116,ComparisonData!A78,ComparisonData!$OK$1),0),5)</f>
        <v>0</v>
      </c>
      <c r="OL78" s="45" cm="1">
        <f t="array" ref="OL78">IFERROR(INDEX(ArchiveResults!$F$5:$IX$116,ComparisonData!A78,ComparisonData!$OL$1),0)</f>
        <v>0</v>
      </c>
      <c r="OM78" s="56">
        <v>73</v>
      </c>
      <c r="ON78" s="53" t="str">
        <f t="shared" si="696"/>
        <v>Science Museum Group: Science and Industry Museum</v>
      </c>
      <c r="OO78" s="59">
        <f t="shared" si="958"/>
        <v>0</v>
      </c>
      <c r="OP78" s="59">
        <f t="shared" si="959"/>
        <v>0</v>
      </c>
      <c r="OQ78" s="59">
        <f t="shared" si="960"/>
        <v>0</v>
      </c>
      <c r="OR78" s="59">
        <f t="shared" si="961"/>
        <v>0</v>
      </c>
      <c r="OS78" s="59">
        <f t="shared" si="962"/>
        <v>0</v>
      </c>
      <c r="OT78" s="58">
        <f t="shared" si="963"/>
        <v>0</v>
      </c>
      <c r="OU78" s="45">
        <f t="shared" si="964"/>
        <v>93</v>
      </c>
      <c r="OV78" s="45">
        <f t="shared" si="697"/>
        <v>2.9039999999999999</v>
      </c>
      <c r="OW78" s="45">
        <f t="shared" si="965"/>
        <v>1</v>
      </c>
      <c r="OX78" s="45">
        <f t="shared" si="966"/>
        <v>2</v>
      </c>
      <c r="OY78" s="45">
        <f t="shared" si="967"/>
        <v>0</v>
      </c>
      <c r="OZ78" s="46" cm="1">
        <f t="array" ref="OZ78">ROUND(IFERROR(INDEX(ArchiveResults!$F$5:$IX$116,ComparisonData!A78,ComparisonData!$OZ$1),0),5)</f>
        <v>0</v>
      </c>
      <c r="PA78" s="46" cm="1">
        <f t="array" ref="PA78">ROUND(IFERROR(INDEX(ArchiveResults!$F$5:$IX$116,ComparisonData!A78,ComparisonData!$PA$1),0),5)</f>
        <v>0</v>
      </c>
      <c r="PB78" s="46" cm="1">
        <f t="array" ref="PB78">ROUND(IFERROR(INDEX(ArchiveResults!$F$5:$IX$116,ComparisonData!A78,ComparisonData!$PB$1),0),5)</f>
        <v>0</v>
      </c>
      <c r="PC78" s="46" cm="1">
        <f t="array" ref="PC78">ROUND(IFERROR(INDEX(ArchiveResults!$F$5:$IX$116,ComparisonData!A78,ComparisonData!$PC$1),0),5)</f>
        <v>0</v>
      </c>
      <c r="PD78" s="45" cm="1">
        <f t="array" ref="PD78">IFERROR(INDEX(ArchiveResults!$F$5:$IX$116,ComparisonData!A78,ComparisonData!$PD$1),0)</f>
        <v>0</v>
      </c>
      <c r="PE78" s="56">
        <v>73</v>
      </c>
      <c r="PF78" s="53" t="str">
        <f t="shared" si="698"/>
        <v>Science Museum Group: Science and Industry Museum</v>
      </c>
      <c r="PG78" s="59">
        <f t="shared" si="968"/>
        <v>0</v>
      </c>
      <c r="PH78" s="59">
        <f t="shared" si="969"/>
        <v>0</v>
      </c>
      <c r="PI78" s="59">
        <f t="shared" si="970"/>
        <v>0</v>
      </c>
      <c r="PJ78" s="59">
        <f t="shared" si="971"/>
        <v>0</v>
      </c>
      <c r="PK78" s="59">
        <f t="shared" si="972"/>
        <v>0</v>
      </c>
      <c r="PL78" s="58">
        <f t="shared" si="973"/>
        <v>0</v>
      </c>
      <c r="PM78" s="45">
        <f t="shared" si="974"/>
        <v>93</v>
      </c>
      <c r="PN78" s="45">
        <f t="shared" si="699"/>
        <v>2.9039999999999999</v>
      </c>
      <c r="PO78" s="45">
        <f t="shared" si="975"/>
        <v>1</v>
      </c>
      <c r="PP78" s="45">
        <f t="shared" si="976"/>
        <v>2</v>
      </c>
      <c r="PQ78" s="45">
        <f t="shared" si="977"/>
        <v>0</v>
      </c>
      <c r="PR78" s="46" cm="1">
        <f t="array" ref="PR78">ROUND(IFERROR(INDEX(ArchiveResults!$F$5:$IX$116,ComparisonData!A78,ComparisonData!$PR$1),0),5)</f>
        <v>0</v>
      </c>
      <c r="PS78" s="46" cm="1">
        <f t="array" ref="PS78">ROUND(IFERROR(INDEX(ArchiveResults!$F$5:$IX$116,ComparisonData!A78,ComparisonData!$PS$1),0),5)</f>
        <v>0</v>
      </c>
      <c r="PT78" s="46" cm="1">
        <f t="array" ref="PT78">ROUND(IFERROR(INDEX(ArchiveResults!$F$5:$IX$116,ComparisonData!A78,ComparisonData!$PT$1),0),5)</f>
        <v>0</v>
      </c>
      <c r="PU78" s="46" cm="1">
        <f t="array" ref="PU78">ROUND(IFERROR(INDEX(ArchiveResults!$F$5:$IX$116,ComparisonData!A78,ComparisonData!$PU$1),0),5)</f>
        <v>0</v>
      </c>
      <c r="PV78" s="45" cm="1">
        <f t="array" ref="PV78">IFERROR(INDEX(ArchiveResults!$F$5:$IX$116,ComparisonData!A78,ComparisonData!$PV$1),0)</f>
        <v>0</v>
      </c>
      <c r="PW78" s="56">
        <v>73</v>
      </c>
      <c r="PX78" s="53" t="str">
        <f t="shared" si="700"/>
        <v>Science Museum Group: Science and Industry Museum</v>
      </c>
      <c r="PY78" s="59">
        <f t="shared" si="978"/>
        <v>0</v>
      </c>
      <c r="PZ78" s="59">
        <f t="shared" si="979"/>
        <v>0</v>
      </c>
      <c r="QA78" s="59">
        <f t="shared" si="980"/>
        <v>0</v>
      </c>
      <c r="QB78" s="59">
        <f t="shared" si="981"/>
        <v>0</v>
      </c>
      <c r="QC78" s="59">
        <f t="shared" si="982"/>
        <v>0</v>
      </c>
      <c r="QD78" s="58">
        <f t="shared" si="983"/>
        <v>0</v>
      </c>
      <c r="QE78" s="45">
        <f t="shared" si="984"/>
        <v>93</v>
      </c>
      <c r="QF78" s="45">
        <f t="shared" si="701"/>
        <v>2.9039999999999999</v>
      </c>
      <c r="QG78" s="45">
        <f t="shared" si="985"/>
        <v>1</v>
      </c>
      <c r="QH78" s="45">
        <f t="shared" si="986"/>
        <v>2</v>
      </c>
      <c r="QI78" s="45">
        <f t="shared" si="987"/>
        <v>0</v>
      </c>
      <c r="QJ78" s="46" cm="1">
        <f t="array" ref="QJ78">ROUND(IFERROR(INDEX(ArchiveResults!$F$5:$IX$116,ComparisonData!A78,ComparisonData!$QJ$1),0),5)</f>
        <v>0</v>
      </c>
      <c r="QK78" s="46" cm="1">
        <f t="array" ref="QK78">ROUND(IFERROR(INDEX(ArchiveResults!$F$5:$IX$116,ComparisonData!A78,ComparisonData!$QK$1),0),5)</f>
        <v>0</v>
      </c>
      <c r="QL78" s="46" cm="1">
        <f t="array" ref="QL78">ROUND(IFERROR(INDEX(ArchiveResults!$F$5:$IX$116,ComparisonData!A78,ComparisonData!$QL$1),0),5)</f>
        <v>0</v>
      </c>
      <c r="QM78" s="46" cm="1">
        <f t="array" ref="QM78">ROUND(IFERROR(INDEX(ArchiveResults!$F$5:$IX$116,ComparisonData!A78,ComparisonData!$QM$1),0),5)</f>
        <v>0</v>
      </c>
      <c r="QN78" s="45" cm="1">
        <f t="array" ref="QN78">IFERROR(INDEX(ArchiveResults!$F$5:$IX$116,ComparisonData!A78,ComparisonData!$QN$1),0)</f>
        <v>0</v>
      </c>
      <c r="QO78" s="56">
        <v>73</v>
      </c>
      <c r="QP78" s="53" t="str">
        <f t="shared" si="702"/>
        <v>Science Museum Group: Science and Industry Museum</v>
      </c>
      <c r="QQ78" s="59">
        <f t="shared" si="988"/>
        <v>0</v>
      </c>
      <c r="QR78" s="59">
        <f t="shared" si="989"/>
        <v>0</v>
      </c>
      <c r="QS78" s="59">
        <f t="shared" si="990"/>
        <v>0</v>
      </c>
      <c r="QT78" s="59">
        <f t="shared" si="991"/>
        <v>0</v>
      </c>
      <c r="QU78" s="59">
        <f t="shared" si="992"/>
        <v>0</v>
      </c>
      <c r="QV78" s="58">
        <f t="shared" si="993"/>
        <v>0</v>
      </c>
      <c r="QW78" s="45">
        <f t="shared" si="994"/>
        <v>93</v>
      </c>
      <c r="QX78" s="45">
        <f t="shared" si="703"/>
        <v>2.9039999999999999</v>
      </c>
      <c r="QY78" s="45">
        <f t="shared" si="995"/>
        <v>1</v>
      </c>
      <c r="QZ78" s="45">
        <f t="shared" si="996"/>
        <v>2</v>
      </c>
      <c r="RA78" s="45">
        <f t="shared" si="997"/>
        <v>0</v>
      </c>
      <c r="RB78" s="46" cm="1">
        <f t="array" ref="RB78">ROUND(IFERROR(INDEX(ArchiveResults!$F$5:$IX$116,ComparisonData!A78,ComparisonData!$RB$1),0),5)</f>
        <v>0</v>
      </c>
      <c r="RC78" s="46" cm="1">
        <f t="array" ref="RC78">ROUND(IFERROR(INDEX(ArchiveResults!$F$5:$IX$116,ComparisonData!A78,ComparisonData!$RC$1),0),5)</f>
        <v>0</v>
      </c>
      <c r="RD78" s="46" cm="1">
        <f t="array" ref="RD78">ROUND(IFERROR(INDEX(ArchiveResults!$F$5:$IX$116,ComparisonData!A78,ComparisonData!$RD$1),0),5)</f>
        <v>0</v>
      </c>
      <c r="RE78" s="46" cm="1">
        <f t="array" ref="RE78">ROUND(IFERROR(INDEX(ArchiveResults!$F$5:$IX$116,ComparisonData!A78,ComparisonData!$RE$1),0),5)</f>
        <v>0</v>
      </c>
      <c r="RF78" s="45" cm="1">
        <f t="array" ref="RF78">IFERROR(INDEX(ArchiveResults!$F$5:$IX$116,ComparisonData!A78,ComparisonData!$RF$1),0)</f>
        <v>0</v>
      </c>
      <c r="RG78" s="56">
        <v>73</v>
      </c>
      <c r="RH78" s="53" t="str">
        <f t="shared" si="704"/>
        <v>Science Museum Group: Science and Industry Museum</v>
      </c>
      <c r="RI78" s="59">
        <f t="shared" si="998"/>
        <v>0</v>
      </c>
      <c r="RJ78" s="59">
        <f t="shared" si="999"/>
        <v>0</v>
      </c>
      <c r="RK78" s="59">
        <f t="shared" si="1000"/>
        <v>0</v>
      </c>
      <c r="RL78" s="59">
        <f t="shared" si="1001"/>
        <v>0</v>
      </c>
      <c r="RM78" s="59">
        <f t="shared" si="1002"/>
        <v>0</v>
      </c>
      <c r="RN78" s="58">
        <f t="shared" si="1003"/>
        <v>0</v>
      </c>
      <c r="RO78" s="45">
        <f t="shared" si="1004"/>
        <v>93</v>
      </c>
      <c r="RP78" s="45">
        <f t="shared" si="705"/>
        <v>2.9039999999999999</v>
      </c>
      <c r="RQ78" s="45">
        <f t="shared" si="1005"/>
        <v>1</v>
      </c>
      <c r="RR78" s="45">
        <f t="shared" si="1006"/>
        <v>2</v>
      </c>
      <c r="RS78" s="45">
        <f t="shared" si="1007"/>
        <v>0</v>
      </c>
      <c r="RT78" s="46" cm="1">
        <f t="array" ref="RT78">ROUND(IFERROR(INDEX(ArchiveResults!$F$5:$IX$116,ComparisonData!A78,ComparisonData!$RT$1),0),5)</f>
        <v>0</v>
      </c>
      <c r="RU78" s="46" cm="1">
        <f t="array" ref="RU78">ROUND(IFERROR(INDEX(ArchiveResults!$F$5:$IX$116,ComparisonData!A78,ComparisonData!$RU$1),0),5)</f>
        <v>0</v>
      </c>
      <c r="RV78" s="46" cm="1">
        <f t="array" ref="RV78">ROUND(IFERROR(INDEX(ArchiveResults!$F$5:$IX$116,ComparisonData!A78,ComparisonData!$RV$1),0),5)</f>
        <v>0</v>
      </c>
      <c r="RW78" s="46" cm="1">
        <f t="array" ref="RW78">ROUND(IFERROR(INDEX(ArchiveResults!$F$5:$IX$116,ComparisonData!A78,ComparisonData!$RW$1),0),5)</f>
        <v>0</v>
      </c>
      <c r="RX78" s="45" cm="1">
        <f t="array" ref="RX78">IFERROR(INDEX(ArchiveResults!$F$5:$IX$116,ComparisonData!A78,ComparisonData!$RX$1),0)</f>
        <v>0</v>
      </c>
      <c r="RY78" s="56">
        <v>73</v>
      </c>
      <c r="RZ78" s="53" t="str">
        <f t="shared" si="706"/>
        <v>Science Museum Group: Science and Industry Museum</v>
      </c>
      <c r="SA78" s="59">
        <f t="shared" si="1008"/>
        <v>0</v>
      </c>
      <c r="SB78" s="59">
        <f t="shared" si="1009"/>
        <v>0</v>
      </c>
      <c r="SC78" s="59">
        <f t="shared" si="1010"/>
        <v>0</v>
      </c>
      <c r="SD78" s="59">
        <f t="shared" si="1011"/>
        <v>0</v>
      </c>
      <c r="SE78" s="59">
        <f t="shared" si="1012"/>
        <v>0</v>
      </c>
      <c r="SF78" s="58">
        <f t="shared" si="1013"/>
        <v>0</v>
      </c>
      <c r="SG78" s="45">
        <f t="shared" si="1014"/>
        <v>93</v>
      </c>
      <c r="SH78" s="45">
        <f t="shared" si="707"/>
        <v>2.9039999999999999</v>
      </c>
      <c r="SI78" s="45">
        <f t="shared" si="1015"/>
        <v>1</v>
      </c>
      <c r="SJ78" s="45">
        <f t="shared" si="1016"/>
        <v>2</v>
      </c>
      <c r="SK78" s="45">
        <f t="shared" si="1017"/>
        <v>0</v>
      </c>
      <c r="SL78" s="46" cm="1">
        <f t="array" ref="SL78">ROUND(IFERROR(INDEX(ArchiveResults!$F$5:$IX$116,ComparisonData!A78,ComparisonData!$SL$1),0),5)</f>
        <v>0</v>
      </c>
      <c r="SM78" s="46" cm="1">
        <f t="array" ref="SM78">ROUND(IFERROR(INDEX(ArchiveResults!$F$5:$IX$116,ComparisonData!A78,ComparisonData!$SM$1),0),5)</f>
        <v>0</v>
      </c>
      <c r="SN78" s="46" cm="1">
        <f t="array" ref="SN78">ROUND(IFERROR(INDEX(ArchiveResults!$F$5:$IX$116,ComparisonData!A78,ComparisonData!$SN$1),0),5)</f>
        <v>0</v>
      </c>
      <c r="SO78" s="46" cm="1">
        <f t="array" ref="SO78">ROUND(IFERROR(INDEX(ArchiveResults!$F$5:$IX$116,ComparisonData!A78,ComparisonData!$SO$1),0),5)</f>
        <v>0</v>
      </c>
      <c r="SP78" s="45" cm="1">
        <f t="array" ref="SP78">IFERROR(INDEX(ArchiveResults!$F$5:$IX$116,ComparisonData!A78,ComparisonData!$SP$1),0)</f>
        <v>0</v>
      </c>
      <c r="SQ78" s="56">
        <v>73</v>
      </c>
      <c r="SR78" s="53" t="str">
        <f t="shared" si="708"/>
        <v>Science Museum Group: Science and Industry Museum</v>
      </c>
      <c r="SS78" s="59">
        <f t="shared" si="1018"/>
        <v>0</v>
      </c>
      <c r="ST78" s="59">
        <f t="shared" si="1019"/>
        <v>0</v>
      </c>
      <c r="SU78" s="59">
        <f t="shared" si="1020"/>
        <v>0</v>
      </c>
      <c r="SV78" s="59">
        <f t="shared" si="1021"/>
        <v>0</v>
      </c>
      <c r="SW78" s="59">
        <f t="shared" si="1022"/>
        <v>0</v>
      </c>
      <c r="SX78" s="58">
        <f t="shared" si="1023"/>
        <v>0</v>
      </c>
      <c r="SY78" s="45">
        <f t="shared" si="1024"/>
        <v>93</v>
      </c>
      <c r="SZ78" s="45">
        <f t="shared" si="709"/>
        <v>2.9039999999999999</v>
      </c>
      <c r="TA78" s="45">
        <f t="shared" si="1025"/>
        <v>1</v>
      </c>
      <c r="TB78" s="45">
        <f t="shared" si="1026"/>
        <v>2</v>
      </c>
      <c r="TC78" s="45">
        <f t="shared" si="1027"/>
        <v>0</v>
      </c>
      <c r="TD78" s="46" cm="1">
        <f t="array" ref="TD78">ROUND(IFERROR(INDEX(ArchiveResults!$F$5:$IX$116,ComparisonData!A78,ComparisonData!$TD$1),0),5)</f>
        <v>0</v>
      </c>
      <c r="TE78" s="46" cm="1">
        <f t="array" ref="TE78">ROUND(IFERROR(INDEX(ArchiveResults!$F$5:$IX$116,ComparisonData!A78,ComparisonData!$TE$1),0),5)</f>
        <v>0</v>
      </c>
      <c r="TF78" s="46" cm="1">
        <f t="array" ref="TF78">ROUND(IFERROR(INDEX(ArchiveResults!$F$5:$IX$116,ComparisonData!A78,ComparisonData!$TF$1),0),5)</f>
        <v>0</v>
      </c>
      <c r="TG78" s="46" cm="1">
        <f t="array" ref="TG78">ROUND(IFERROR(INDEX(ArchiveResults!$F$5:$IX$116,ComparisonData!A78,ComparisonData!$TG$1),0),5)</f>
        <v>0</v>
      </c>
      <c r="TH78" s="45" cm="1">
        <f t="array" ref="TH78">IFERROR(INDEX(ArchiveResults!$F$5:$IX$116,ComparisonData!A78,ComparisonData!$TH$1),0)</f>
        <v>0</v>
      </c>
      <c r="TI78" s="56">
        <v>73</v>
      </c>
      <c r="TJ78" s="53" t="str">
        <f t="shared" si="710"/>
        <v>Science Museum Group: Science and Industry Museum</v>
      </c>
      <c r="TK78" s="59">
        <f t="shared" si="1028"/>
        <v>0</v>
      </c>
      <c r="TL78" s="59">
        <f t="shared" si="1029"/>
        <v>0</v>
      </c>
      <c r="TM78" s="59">
        <f t="shared" si="1030"/>
        <v>0</v>
      </c>
      <c r="TN78" s="59">
        <f t="shared" si="1031"/>
        <v>0</v>
      </c>
      <c r="TO78" s="59">
        <f t="shared" si="1032"/>
        <v>0</v>
      </c>
      <c r="TP78" s="58">
        <f t="shared" si="1033"/>
        <v>0</v>
      </c>
      <c r="TQ78" s="45">
        <f t="shared" si="1034"/>
        <v>93</v>
      </c>
      <c r="TR78" s="45">
        <f t="shared" si="711"/>
        <v>2.9039999999999999</v>
      </c>
      <c r="TS78" s="45">
        <f t="shared" si="1035"/>
        <v>1</v>
      </c>
      <c r="TT78" s="45">
        <f t="shared" si="1036"/>
        <v>2</v>
      </c>
      <c r="TU78" s="45">
        <f t="shared" si="1037"/>
        <v>0</v>
      </c>
      <c r="TV78" s="46" cm="1">
        <f t="array" ref="TV78">ROUND(IFERROR(INDEX(ArchiveResults!$F$5:$IX$116,ComparisonData!A78,ComparisonData!$TV$1),0),5)</f>
        <v>0</v>
      </c>
      <c r="TW78" s="46" cm="1">
        <f t="array" ref="TW78">ROUND(IFERROR(INDEX(ArchiveResults!$F$5:$IX$116,ComparisonData!A78,ComparisonData!$TW$1),0),5)</f>
        <v>0</v>
      </c>
      <c r="TX78" s="46" cm="1">
        <f t="array" ref="TX78">ROUND(IFERROR(INDEX(ArchiveResults!$F$5:$IX$116,ComparisonData!A78,ComparisonData!$TX$1),0),5)</f>
        <v>0</v>
      </c>
      <c r="TY78" s="46" cm="1">
        <f t="array" ref="TY78">ROUND(IFERROR(INDEX(ArchiveResults!$F$5:$IX$116,ComparisonData!A78,ComparisonData!$TY$1),0),5)</f>
        <v>0</v>
      </c>
      <c r="TZ78" s="45" cm="1">
        <f t="array" ref="TZ78">IFERROR(INDEX(ArchiveResults!$F$5:$IX$116,ComparisonData!A78,ComparisonData!$TZ$1),0)</f>
        <v>0</v>
      </c>
      <c r="UA78" s="56">
        <v>73</v>
      </c>
      <c r="UB78" s="53" t="str">
        <f t="shared" si="712"/>
        <v>Science Museum Group: Science and Industry Museum</v>
      </c>
      <c r="UC78" s="60">
        <f t="shared" si="1038"/>
        <v>0</v>
      </c>
      <c r="UD78" s="60">
        <f t="shared" si="1039"/>
        <v>0</v>
      </c>
      <c r="UE78" s="60">
        <f t="shared" si="1040"/>
        <v>0</v>
      </c>
      <c r="UF78" s="60">
        <f t="shared" si="1041"/>
        <v>0</v>
      </c>
      <c r="UG78" s="60">
        <f t="shared" si="1042"/>
        <v>0</v>
      </c>
      <c r="UH78" s="58">
        <f t="shared" si="1043"/>
        <v>0</v>
      </c>
      <c r="UI78" s="46">
        <f t="shared" si="1044"/>
        <v>93</v>
      </c>
      <c r="UJ78" s="46">
        <f t="shared" si="713"/>
        <v>2.9039999999999999</v>
      </c>
      <c r="UK78" s="46">
        <f t="shared" si="1045"/>
        <v>1</v>
      </c>
      <c r="UL78" s="46">
        <f t="shared" si="1046"/>
        <v>2</v>
      </c>
      <c r="UM78" s="46" cm="1">
        <f t="array" ref="UM78">ROUND(IFERROR(INDEX(ArchiveResults!$F$5:$IX$116,ComparisonData!A78,ComparisonData!$UM$1),0),5)</f>
        <v>0</v>
      </c>
      <c r="UN78" s="56">
        <v>73</v>
      </c>
      <c r="UO78" s="53" t="str">
        <f t="shared" si="714"/>
        <v>Science Museum Group: Science and Industry Museum</v>
      </c>
      <c r="UP78" s="46">
        <f t="shared" si="1047"/>
        <v>0</v>
      </c>
      <c r="UQ78" s="76">
        <f t="shared" si="1048"/>
        <v>0</v>
      </c>
      <c r="UR78" s="46">
        <f t="shared" si="1049"/>
        <v>93</v>
      </c>
      <c r="US78" s="46">
        <f t="shared" si="715"/>
        <v>2.9039999999999999</v>
      </c>
      <c r="UT78" s="46">
        <f t="shared" si="1050"/>
        <v>1</v>
      </c>
      <c r="UU78" s="46">
        <f t="shared" si="1051"/>
        <v>2</v>
      </c>
      <c r="UV78" s="46">
        <f t="shared" si="1052"/>
        <v>0</v>
      </c>
      <c r="UW78" s="46" cm="1">
        <f t="array" ref="UW78">ROUND(IFERROR(INDEX(ArchiveResults!$F$5:$IX$116,ComparisonData!A78,ComparisonData!$UW$1),0),5)</f>
        <v>0</v>
      </c>
      <c r="UX78" s="46" cm="1">
        <f t="array" ref="UX78">ROUND(IFERROR(INDEX(ArchiveResults!$F$5:$IX$116,ComparisonData!A78,ComparisonData!$UX$1),0),5)</f>
        <v>0</v>
      </c>
      <c r="UY78" s="46" cm="1">
        <f t="array" ref="UY78">ROUND(IFERROR(INDEX(ArchiveResults!$F$5:$IX$116,ComparisonData!A78,ComparisonData!$UY$1),0),5)</f>
        <v>0</v>
      </c>
      <c r="UZ78" s="46" cm="1">
        <f t="array" ref="UZ78">ROUND(IFERROR(INDEX(ArchiveResults!$F$5:$IX$116,ComparisonData!A78,ComparisonData!$UZ$1),0),5)</f>
        <v>0</v>
      </c>
      <c r="VA78" s="46" cm="1">
        <f t="array" ref="VA78">ROUND(IFERROR(INDEX(ArchiveResults!$F$5:$IX$116,ComparisonData!A78,ComparisonData!$VA$1),0),5)</f>
        <v>0</v>
      </c>
      <c r="VB78" s="56">
        <v>73</v>
      </c>
      <c r="VC78" s="53" t="str">
        <f t="shared" si="716"/>
        <v>Science Museum Group: Science and Industry Museum</v>
      </c>
      <c r="VD78" s="60">
        <f t="shared" si="1053"/>
        <v>0</v>
      </c>
      <c r="VE78" s="60">
        <f t="shared" si="1054"/>
        <v>0</v>
      </c>
      <c r="VF78" s="60">
        <f t="shared" si="1055"/>
        <v>0</v>
      </c>
      <c r="VG78" s="60">
        <f t="shared" si="1056"/>
        <v>0</v>
      </c>
      <c r="VH78" s="60">
        <f t="shared" si="1057"/>
        <v>0</v>
      </c>
      <c r="VI78" s="76">
        <f t="shared" si="1058"/>
        <v>0</v>
      </c>
      <c r="VJ78" s="46">
        <f t="shared" si="1059"/>
        <v>93</v>
      </c>
      <c r="VK78" s="46">
        <f t="shared" si="717"/>
        <v>2.9039999999999999</v>
      </c>
      <c r="VL78" s="46">
        <f t="shared" si="1060"/>
        <v>1</v>
      </c>
      <c r="VM78" s="46">
        <f t="shared" si="1061"/>
        <v>2</v>
      </c>
      <c r="VN78" s="46" cm="1">
        <f t="array" ref="VN78">ROUND(IFERROR(INDEX(ArchiveResults!$F$5:$IX$116,ComparisonData!A78,ComparisonData!$VN$1),0),5)</f>
        <v>0</v>
      </c>
      <c r="VO78" s="46" cm="1">
        <f t="array" ref="VO78">ROUND(IFERROR(INDEX(ArchiveResults!$F$5:$IX$116,ComparisonData!A78,ComparisonData!$VO$1),0),5)</f>
        <v>0</v>
      </c>
      <c r="VP78" s="46" cm="1">
        <f t="array" ref="VP78">ROUND(IFERROR(INDEX(ArchiveResults!$F$5:$IX$116,ComparisonData!A78,ComparisonData!$VP$1),0),5)</f>
        <v>0</v>
      </c>
      <c r="VQ78" s="46" cm="1">
        <f t="array" ref="VQ78">ROUND(IFERROR(INDEX(ArchiveResults!$F$5:$IX$116,ComparisonData!A78,ComparisonData!$VQ$1),0),5)</f>
        <v>0</v>
      </c>
      <c r="VR78" s="56">
        <v>73</v>
      </c>
      <c r="VS78" s="53" t="str">
        <f t="shared" si="718"/>
        <v>Science Museum Group: Science and Industry Museum</v>
      </c>
      <c r="VT78" s="60">
        <f t="shared" si="1062"/>
        <v>0</v>
      </c>
      <c r="VU78" s="60">
        <f t="shared" si="1063"/>
        <v>0</v>
      </c>
      <c r="VV78" s="60">
        <f t="shared" si="1064"/>
        <v>0</v>
      </c>
      <c r="VW78" s="60">
        <f t="shared" si="1065"/>
        <v>0</v>
      </c>
      <c r="VX78" s="76">
        <f t="shared" si="1066"/>
        <v>0</v>
      </c>
      <c r="VY78" s="46">
        <f t="shared" si="1067"/>
        <v>93</v>
      </c>
      <c r="VZ78" s="46">
        <f t="shared" si="719"/>
        <v>2.9039999999999999</v>
      </c>
      <c r="WA78" s="46">
        <f t="shared" si="1068"/>
        <v>1</v>
      </c>
      <c r="WB78" s="46">
        <f t="shared" si="1069"/>
        <v>2</v>
      </c>
      <c r="WC78" s="46" cm="1">
        <f t="array" ref="WC78">ROUND(IFERROR(INDEX(ArchiveResults!$F$5:$IX$116,ComparisonData!A78,ComparisonData!$WC$1),0),5)</f>
        <v>0</v>
      </c>
      <c r="WD78" s="56">
        <v>73</v>
      </c>
      <c r="WE78" s="53" t="str">
        <f t="shared" si="720"/>
        <v>Science Museum Group: Science and Industry Museum</v>
      </c>
      <c r="WF78" s="46">
        <f t="shared" si="1070"/>
        <v>0</v>
      </c>
      <c r="WG78" s="76">
        <f t="shared" si="1071"/>
        <v>0</v>
      </c>
      <c r="WH78" s="46">
        <f t="shared" si="1072"/>
        <v>93</v>
      </c>
      <c r="WI78" s="46">
        <f t="shared" si="721"/>
        <v>2.9039999999999999</v>
      </c>
      <c r="WJ78" s="46">
        <f t="shared" si="1073"/>
        <v>1</v>
      </c>
      <c r="WK78" s="46">
        <f t="shared" si="1074"/>
        <v>2</v>
      </c>
      <c r="WL78" s="46" cm="1">
        <f t="array" ref="WL78">ROUND(IFERROR(INDEX(ArchiveResults!$F$5:$IX$116,ComparisonData!A78,ComparisonData!$WL$1),0),5)</f>
        <v>0</v>
      </c>
      <c r="WM78" s="46" cm="1">
        <f t="array" ref="WM78">IFERROR(INDEX(ArchiveResults!$F$5:$IX$116,ComparisonData!A78,ComparisonData!$WM$1),0)</f>
        <v>0</v>
      </c>
      <c r="WN78" s="56">
        <v>73</v>
      </c>
      <c r="WO78" s="53" t="str">
        <f t="shared" si="722"/>
        <v>Science Museum Group: Science and Industry Museum</v>
      </c>
      <c r="WP78" s="60">
        <f t="shared" si="1075"/>
        <v>0</v>
      </c>
      <c r="WQ78" s="60">
        <f t="shared" si="1076"/>
        <v>0</v>
      </c>
      <c r="WR78" s="76">
        <f t="shared" si="1077"/>
        <v>0</v>
      </c>
      <c r="WS78" s="46">
        <f t="shared" si="1078"/>
        <v>93</v>
      </c>
      <c r="WT78" s="46">
        <f t="shared" si="723"/>
        <v>2.9039999999999999</v>
      </c>
      <c r="WU78" s="46">
        <f t="shared" si="1079"/>
        <v>1</v>
      </c>
      <c r="WV78" s="46">
        <f t="shared" si="1080"/>
        <v>2</v>
      </c>
      <c r="WW78" s="46" cm="1">
        <f t="array" ref="WW78">ROUND(VALUE(IFERROR(INDEX(ArchiveResults!$F$5:$IX$116,ComparisonData!A78,ComparisonData!$WW$1),0)),5)</f>
        <v>0</v>
      </c>
      <c r="WX78" s="46" cm="1">
        <f t="array" ref="WX78">ROUND(IFERROR(INDEX(ArchiveResults!$F$5:$IX$116,ComparisonData!A78,ComparisonData!$WX$1),0),5)</f>
        <v>0</v>
      </c>
      <c r="WY78" s="56">
        <v>73</v>
      </c>
      <c r="WZ78" s="53" t="str">
        <f t="shared" si="724"/>
        <v>Science Museum Group: Science and Industry Museum</v>
      </c>
      <c r="XA78" s="60">
        <f t="shared" si="725"/>
        <v>0</v>
      </c>
      <c r="XB78" s="60">
        <f t="shared" si="726"/>
        <v>0</v>
      </c>
      <c r="XC78" s="76">
        <f t="shared" si="1081"/>
        <v>0</v>
      </c>
      <c r="XD78" s="46">
        <f t="shared" si="1082"/>
        <v>93</v>
      </c>
      <c r="XE78" s="46">
        <f t="shared" si="727"/>
        <v>2.9039999999999999</v>
      </c>
      <c r="XF78" s="46">
        <f t="shared" si="1083"/>
        <v>1</v>
      </c>
      <c r="XG78" s="46">
        <f t="shared" si="1084"/>
        <v>2</v>
      </c>
      <c r="XH78" s="46" cm="1">
        <f t="array" ref="XH78">ROUND(VALUE(IFERROR(INDEX(ArchiveResults!$F$5:$IX$116,ComparisonData!A78,ComparisonData!$XH$1),0)),5)</f>
        <v>0</v>
      </c>
      <c r="XI78" s="46" cm="1">
        <f t="array" ref="XI78">ROUND(VALUE(IFERROR(INDEX(ArchiveResults!$F$5:$IX$116,ComparisonData!A78,ComparisonData!$XI$1),0)),5)</f>
        <v>0</v>
      </c>
      <c r="XJ78" s="56">
        <v>73</v>
      </c>
      <c r="XK78" s="53" t="str">
        <f t="shared" si="728"/>
        <v>Science Museum Group: Science and Industry Museum</v>
      </c>
      <c r="XL78" s="60">
        <f t="shared" si="1085"/>
        <v>0</v>
      </c>
      <c r="XM78" s="60">
        <f t="shared" si="1086"/>
        <v>0</v>
      </c>
      <c r="XN78" s="76">
        <f t="shared" si="1087"/>
        <v>0</v>
      </c>
      <c r="XO78" s="46">
        <f t="shared" si="1088"/>
        <v>93</v>
      </c>
      <c r="XP78" s="46">
        <f t="shared" si="729"/>
        <v>2.9039999999999999</v>
      </c>
      <c r="XQ78" s="46">
        <f t="shared" si="1089"/>
        <v>1</v>
      </c>
      <c r="XR78" s="46">
        <f t="shared" si="1090"/>
        <v>2</v>
      </c>
      <c r="XS78" s="46" cm="1">
        <f t="array" ref="XS78">ROUND(VALUE(IFERROR(INDEX(ArchiveResults!$F$5:$IX$116,ComparisonData!A78,ComparisonData!$XS$1),0)),5)</f>
        <v>0</v>
      </c>
      <c r="XT78" s="46" cm="1">
        <f t="array" ref="XT78">ROUND(VALUE(IFERROR(INDEX(ArchiveResults!$F$5:$IX$116,ComparisonData!A78,ComparisonData!$XT$1),0)),5)</f>
        <v>0</v>
      </c>
      <c r="XU78" s="56">
        <v>73</v>
      </c>
      <c r="XV78" s="53" t="str">
        <f t="shared" si="730"/>
        <v>Science Museum Group: Science and Industry Museum</v>
      </c>
      <c r="XW78" s="60">
        <f t="shared" si="1091"/>
        <v>0</v>
      </c>
      <c r="XX78" s="60">
        <f t="shared" si="1092"/>
        <v>0</v>
      </c>
      <c r="XY78" s="76">
        <f t="shared" si="1093"/>
        <v>0</v>
      </c>
      <c r="XZ78" s="46">
        <f t="shared" si="1094"/>
        <v>93</v>
      </c>
      <c r="YA78" s="46">
        <f t="shared" si="731"/>
        <v>2.9039999999999999</v>
      </c>
      <c r="YB78" s="46">
        <f t="shared" si="1095"/>
        <v>1</v>
      </c>
      <c r="YC78" s="46">
        <f t="shared" si="1096"/>
        <v>2</v>
      </c>
      <c r="YD78" s="46" cm="1">
        <f t="array" ref="YD78">ROUND(VALUE(IFERROR(INDEX(ArchiveResults!$F$5:$IX$116,ComparisonData!A78,ComparisonData!$YD$1),0)),5)</f>
        <v>0</v>
      </c>
      <c r="YE78" s="46" cm="1">
        <f t="array" ref="YE78">ROUND(VALUE(IFERROR(INDEX(ArchiveResults!$F$5:$IX$116,ComparisonData!A78,ComparisonData!$YE$1),0)),5)</f>
        <v>0</v>
      </c>
      <c r="YF78" s="56">
        <v>73</v>
      </c>
      <c r="YG78" s="53" t="str">
        <f t="shared" si="732"/>
        <v>Science Museum Group: Science and Industry Museum</v>
      </c>
      <c r="YH78" s="60">
        <f t="shared" si="1097"/>
        <v>0</v>
      </c>
      <c r="YI78" s="60">
        <f t="shared" si="1098"/>
        <v>0</v>
      </c>
      <c r="YJ78" s="76">
        <f t="shared" si="1099"/>
        <v>0</v>
      </c>
      <c r="YK78" s="46">
        <f t="shared" si="1100"/>
        <v>93</v>
      </c>
      <c r="YL78" s="46">
        <f t="shared" si="733"/>
        <v>2.9039999999999999</v>
      </c>
      <c r="YM78" s="46">
        <f t="shared" si="1101"/>
        <v>1</v>
      </c>
      <c r="YN78" s="46">
        <f t="shared" si="1102"/>
        <v>2</v>
      </c>
      <c r="YO78" s="46" cm="1">
        <f t="array" ref="YO78">ROUND(VALUE(IFERROR(INDEX(ArchiveResults!$F$5:$IX$116,ComparisonData!A78,ComparisonData!$YO$1),0)),5)</f>
        <v>0</v>
      </c>
      <c r="YP78" s="46" cm="1">
        <f t="array" ref="YP78">ROUND(VALUE(IFERROR(INDEX(ArchiveResults!$F$5:$IX$116,ComparisonData!A78,ComparisonData!$YP$1),0)),5)</f>
        <v>0</v>
      </c>
      <c r="YQ78" s="56">
        <v>73</v>
      </c>
      <c r="YR78" s="53" t="str">
        <f t="shared" si="734"/>
        <v>Science Museum Group: Science and Industry Museum</v>
      </c>
      <c r="YS78" s="60">
        <f t="shared" si="1103"/>
        <v>0</v>
      </c>
      <c r="YT78" s="60">
        <f t="shared" si="1104"/>
        <v>0</v>
      </c>
      <c r="YU78" s="76">
        <f t="shared" si="1105"/>
        <v>0</v>
      </c>
      <c r="YV78" s="46">
        <f t="shared" si="1106"/>
        <v>93</v>
      </c>
      <c r="YW78" s="46">
        <f t="shared" si="735"/>
        <v>2.9039999999999999</v>
      </c>
      <c r="YX78" s="46">
        <f t="shared" si="1107"/>
        <v>1</v>
      </c>
      <c r="YY78" s="46">
        <f t="shared" si="1108"/>
        <v>2</v>
      </c>
      <c r="YZ78" s="46">
        <f t="shared" si="1109"/>
        <v>0</v>
      </c>
      <c r="ZA78" s="46" cm="1">
        <f t="array" ref="ZA78">ROUNDDOWN(VALUE(IFERROR(INDEX(ArchiveResults!$F$5:$IX$116,ComparisonData!A78,ComparisonData!$ZA$1),0)),5)</f>
        <v>0</v>
      </c>
      <c r="ZB78" s="46" cm="1">
        <f t="array" ref="ZB78">ROUNDDOWN(VALUE(IFERROR(INDEX(ArchiveResults!$F$5:$IX$116,ComparisonData!A78,ComparisonData!$ZB$1),0)),5)</f>
        <v>0</v>
      </c>
      <c r="ZC78" s="46" cm="1">
        <f t="array" ref="ZC78">ROUNDDOWN(VALUE(IFERROR(INDEX(ArchiveResults!$F$5:$IX$116,ComparisonData!A78,ComparisonData!$ZC$1),0)),5)</f>
        <v>0</v>
      </c>
      <c r="ZD78" s="46" cm="1">
        <f t="array" ref="ZD78">ROUNDDOWN(VALUE(IFERROR(INDEX(ArchiveResults!$F$5:$IX$116,ComparisonData!A78,ComparisonData!$ZD$1),0)),5)</f>
        <v>0</v>
      </c>
      <c r="ZE78" s="46" cm="1">
        <f t="array" ref="ZE78">ROUNDDOWN(VALUE(IFERROR(INDEX(ArchiveResults!$F$5:$IX$116,ComparisonData!A78,ComparisonData!$ZE$1),0)),5)</f>
        <v>0</v>
      </c>
      <c r="ZF78" s="56">
        <v>73</v>
      </c>
      <c r="ZG78" s="53" t="str">
        <f t="shared" si="736"/>
        <v>Science Museum Group: Science and Industry Museum</v>
      </c>
      <c r="ZH78" s="60">
        <f t="shared" si="1110"/>
        <v>0</v>
      </c>
      <c r="ZI78" s="60">
        <f t="shared" si="1111"/>
        <v>0</v>
      </c>
      <c r="ZJ78" s="60">
        <f t="shared" si="1112"/>
        <v>0</v>
      </c>
      <c r="ZK78" s="60">
        <f t="shared" si="1113"/>
        <v>0</v>
      </c>
      <c r="ZL78" s="60">
        <f t="shared" si="1114"/>
        <v>0</v>
      </c>
      <c r="ZM78" s="76">
        <f t="shared" si="1115"/>
        <v>0</v>
      </c>
      <c r="ZN78" s="46">
        <f t="shared" si="1116"/>
        <v>93</v>
      </c>
      <c r="ZO78" s="46">
        <f t="shared" si="737"/>
        <v>2.9039999999999999</v>
      </c>
      <c r="ZP78" s="46">
        <f t="shared" si="1117"/>
        <v>1</v>
      </c>
      <c r="ZQ78" s="46">
        <f t="shared" si="1118"/>
        <v>2</v>
      </c>
      <c r="ZR78" s="46" cm="1">
        <f t="array" ref="ZR78">ROUND(VALUE(IFERROR(INDEX(ArchiveResults!$F$5:$IX$116,ComparisonData!A78,ComparisonData!$ZR$1),0)),5)</f>
        <v>0</v>
      </c>
      <c r="ZS78" s="56">
        <v>73</v>
      </c>
      <c r="ZT78" s="53" t="str">
        <f t="shared" si="738"/>
        <v>Science Museum Group: Science and Industry Museum</v>
      </c>
      <c r="ZU78" s="46">
        <f t="shared" si="1119"/>
        <v>0</v>
      </c>
      <c r="ZV78" s="76">
        <f t="shared" si="1120"/>
        <v>0</v>
      </c>
      <c r="ZW78" s="88" t="s">
        <v>608</v>
      </c>
      <c r="ZX78" s="88" t="s">
        <v>608</v>
      </c>
      <c r="ZY78" s="88" t="s">
        <v>608</v>
      </c>
      <c r="ZZ78" s="88" t="s">
        <v>608</v>
      </c>
      <c r="AAA78" s="88" t="s">
        <v>608</v>
      </c>
      <c r="AAB78" s="88" t="s">
        <v>608</v>
      </c>
      <c r="AAC78" s="88" t="s">
        <v>608</v>
      </c>
      <c r="AAD78" s="88" t="s">
        <v>608</v>
      </c>
      <c r="AAE78" s="88" t="s">
        <v>608</v>
      </c>
      <c r="AAF78" s="88" t="s">
        <v>608</v>
      </c>
      <c r="AAG78" s="46">
        <f t="shared" si="1121"/>
        <v>93</v>
      </c>
      <c r="AAH78" s="46">
        <f t="shared" si="739"/>
        <v>2.9039999999999999</v>
      </c>
      <c r="AAI78" s="46">
        <f t="shared" si="1122"/>
        <v>1</v>
      </c>
      <c r="AAJ78" s="46">
        <f t="shared" si="1123"/>
        <v>2</v>
      </c>
      <c r="AAK78" s="46">
        <f t="shared" si="1124"/>
        <v>0</v>
      </c>
      <c r="AAL78" s="46">
        <f t="shared" si="1125"/>
        <v>0</v>
      </c>
      <c r="AAM78" s="46">
        <f t="shared" si="1126"/>
        <v>0</v>
      </c>
      <c r="AAN78" s="46">
        <f t="shared" si="1127"/>
        <v>0</v>
      </c>
      <c r="AAO78" s="46">
        <f t="shared" si="1128"/>
        <v>0</v>
      </c>
      <c r="AAP78" s="46">
        <f t="shared" si="1129"/>
        <v>0</v>
      </c>
      <c r="AAQ78" s="56">
        <v>73</v>
      </c>
      <c r="AAR78" s="53" t="str">
        <f t="shared" si="740"/>
        <v>Science Museum Group: Science and Industry Museum</v>
      </c>
      <c r="AAS78" s="60">
        <f t="shared" si="1130"/>
        <v>0</v>
      </c>
      <c r="AAT78" s="60">
        <f t="shared" si="1131"/>
        <v>0</v>
      </c>
      <c r="AAU78" s="60">
        <f t="shared" si="1132"/>
        <v>0</v>
      </c>
      <c r="AAV78" s="60">
        <f t="shared" si="1133"/>
        <v>0</v>
      </c>
      <c r="AAW78" s="60">
        <f t="shared" si="1134"/>
        <v>0</v>
      </c>
      <c r="AAX78" s="76">
        <f t="shared" si="1135"/>
        <v>0</v>
      </c>
      <c r="AAY78" s="46">
        <f t="shared" si="1136"/>
        <v>93</v>
      </c>
      <c r="AAZ78" s="46">
        <f t="shared" si="741"/>
        <v>2.9039999999999999</v>
      </c>
      <c r="ABA78" s="46">
        <f t="shared" si="1137"/>
        <v>1</v>
      </c>
      <c r="ABB78" s="46">
        <f t="shared" si="1138"/>
        <v>2</v>
      </c>
      <c r="ABC78" s="46">
        <f t="shared" si="742"/>
        <v>0</v>
      </c>
      <c r="ABD78" s="46" cm="1">
        <f t="array" ref="ABD78">ROUND(VALUE(IFERROR(INDEX(ArchiveResults!$F$5:$IX$116,ComparisonData!A78,ComparisonData!$ABD$1),0)),5)</f>
        <v>0</v>
      </c>
      <c r="ABE78" s="46" cm="1">
        <f t="array" ref="ABE78">ROUND(VALUE(IFERROR(INDEX(ArchiveResults!$F$5:$IX$116,ComparisonData!A78,ComparisonData!$ABE$1),0)),5)</f>
        <v>0</v>
      </c>
      <c r="ABF78" s="46" cm="1">
        <f t="array" ref="ABF78">ROUND(VALUE(IFERROR(INDEX(ArchiveResults!$F$5:$IX$116,ComparisonData!A78,ComparisonData!$ABF$1),0)),5)</f>
        <v>0</v>
      </c>
      <c r="ABG78" s="46" cm="1">
        <f t="array" ref="ABG78">ROUND(VALUE(IFERROR(INDEX(ArchiveResults!$F$5:$IX$116,ComparisonData!A78,ComparisonData!$ABG$1),0)),5)</f>
        <v>0</v>
      </c>
      <c r="ABH78" s="46" cm="1">
        <f t="array" ref="ABH78">ROUND(VALUE(IFERROR(INDEX(ArchiveResults!$F$5:$IX$116,ComparisonData!A78,ComparisonData!$ABH$1),0)),5)</f>
        <v>0</v>
      </c>
      <c r="ABI78" s="56">
        <v>73</v>
      </c>
      <c r="ABJ78" s="53" t="str">
        <f t="shared" si="743"/>
        <v>Science Museum Group: Science and Industry Museum</v>
      </c>
      <c r="ABK78" s="60">
        <f t="shared" si="1139"/>
        <v>0</v>
      </c>
      <c r="ABL78" s="60">
        <f t="shared" si="1140"/>
        <v>0</v>
      </c>
      <c r="ABM78" s="60">
        <f t="shared" si="1141"/>
        <v>0</v>
      </c>
      <c r="ABN78" s="60">
        <f t="shared" si="1142"/>
        <v>0</v>
      </c>
      <c r="ABO78" s="60">
        <f t="shared" si="1143"/>
        <v>0</v>
      </c>
      <c r="ABP78" s="76">
        <f t="shared" si="1144"/>
        <v>0</v>
      </c>
      <c r="ABQ78" s="46">
        <f t="shared" si="1145"/>
        <v>93</v>
      </c>
      <c r="ABR78" s="46">
        <f t="shared" si="744"/>
        <v>2.9039999999999999</v>
      </c>
      <c r="ABS78" s="46">
        <f t="shared" si="1146"/>
        <v>1</v>
      </c>
      <c r="ABT78" s="46">
        <f t="shared" si="1147"/>
        <v>2</v>
      </c>
      <c r="ABU78" s="46" cm="1">
        <f t="array" ref="ABU78">ROUND(VALUE(IFERROR(INDEX(ArchiveResults!$F$5:$IX$116,ComparisonData!A78,ComparisonData!$ABU$1),0)),5)</f>
        <v>0</v>
      </c>
      <c r="ABV78" s="46" cm="1">
        <f t="array" ref="ABV78">ROUND(VALUE(IFERROR(INDEX(ArchiveResults!$F$5:$IX$116,ComparisonData!A78,ComparisonData!$ABV$1),0)),5)</f>
        <v>0</v>
      </c>
      <c r="ABW78" s="46" cm="1">
        <f t="array" ref="ABW78">ROUND(VALUE(IFERROR(INDEX(ArchiveResults!$F$5:$IX$116,ComparisonData!A78,ComparisonData!$ABW$1),0)),5)</f>
        <v>0</v>
      </c>
      <c r="ABX78" s="46" cm="1">
        <f t="array" ref="ABX78">ROUND(VALUE(IFERROR(INDEX(ArchiveResults!$F$5:$IX$116,ComparisonData!A78,ComparisonData!$ABX$1),0)),5)</f>
        <v>0</v>
      </c>
      <c r="ABY78" s="46" cm="1">
        <f t="array" ref="ABY78">ROUND(VALUE(IFERROR(INDEX(ArchiveResults!$F$5:$IX$116,ComparisonData!A78,ComparisonData!$ABY$1),0)),5)</f>
        <v>0</v>
      </c>
      <c r="ABZ78" s="56">
        <v>73</v>
      </c>
      <c r="ACA78" s="53" t="str">
        <f t="shared" si="745"/>
        <v>Science Museum Group: Science and Industry Museum</v>
      </c>
      <c r="ACB78" s="60">
        <f t="shared" si="1148"/>
        <v>0</v>
      </c>
      <c r="ACC78" s="60">
        <f t="shared" si="1149"/>
        <v>0</v>
      </c>
      <c r="ACD78" s="60">
        <f t="shared" si="1150"/>
        <v>0</v>
      </c>
      <c r="ACE78" s="60">
        <f t="shared" si="1151"/>
        <v>0</v>
      </c>
      <c r="ACF78" s="60">
        <f t="shared" si="1152"/>
        <v>0</v>
      </c>
      <c r="ACG78" s="76">
        <f t="shared" si="1153"/>
        <v>0</v>
      </c>
      <c r="ACH78" s="46">
        <f t="shared" si="1154"/>
        <v>93</v>
      </c>
      <c r="ACI78" s="46">
        <f t="shared" si="746"/>
        <v>2.9039999999999999</v>
      </c>
      <c r="ACJ78" s="46">
        <f t="shared" si="1155"/>
        <v>1</v>
      </c>
      <c r="ACK78" s="46">
        <f t="shared" si="1156"/>
        <v>2</v>
      </c>
      <c r="ACL78" s="46">
        <f t="shared" si="1157"/>
        <v>0</v>
      </c>
      <c r="ACM78" s="46" cm="1">
        <f t="array" ref="ACM78">ROUND(IFERROR(INDEX(ArchiveResults!$F$5:$IX$116,ComparisonData!A78,ComparisonData!$ACM$1),0),5)</f>
        <v>0</v>
      </c>
      <c r="ACN78" s="46" cm="1">
        <f t="array" ref="ACN78">ROUND(IFERROR(INDEX(ArchiveResults!$F$5:$IX$116,ComparisonData!A78,ComparisonData!$ACN$1),0),5)</f>
        <v>0</v>
      </c>
      <c r="ACO78" s="56">
        <v>73</v>
      </c>
      <c r="ACP78" s="53" t="str">
        <f t="shared" si="747"/>
        <v>Science Museum Group: Science and Industry Museum</v>
      </c>
      <c r="ACQ78" s="60">
        <f t="shared" si="1158"/>
        <v>0</v>
      </c>
      <c r="ACR78" s="60">
        <f t="shared" si="1159"/>
        <v>0</v>
      </c>
      <c r="ACS78" s="76">
        <f t="shared" si="1160"/>
        <v>0</v>
      </c>
      <c r="ACT78" s="46">
        <f t="shared" si="1161"/>
        <v>93</v>
      </c>
      <c r="ACU78" s="46">
        <f t="shared" si="748"/>
        <v>2.9039999999999999</v>
      </c>
      <c r="ACV78" s="46">
        <f t="shared" si="1162"/>
        <v>1</v>
      </c>
      <c r="ACW78" s="46">
        <f t="shared" si="1163"/>
        <v>2</v>
      </c>
      <c r="ACX78" s="46">
        <f t="shared" si="1164"/>
        <v>0</v>
      </c>
      <c r="ACY78" s="46" cm="1">
        <f t="array" ref="ACY78">ROUNDDOWN(IFERROR(INDEX(ArchiveResults!$F$5:$IX$116,ComparisonData!A78,ComparisonData!$ACY$1),0),5)</f>
        <v>0</v>
      </c>
      <c r="ACZ78" s="46" cm="1">
        <f t="array" ref="ACZ78">ROUNDDOWN(IFERROR(INDEX(ArchiveResults!$F$5:$IX$116,ComparisonData!A78,ComparisonData!$ACZ$1),0),5)</f>
        <v>0</v>
      </c>
      <c r="ADA78" s="46" cm="1">
        <f t="array" ref="ADA78">ROUNDDOWN(IFERROR(INDEX(ArchiveResults!$F$5:$IX$116,ComparisonData!A78,ComparisonData!$ADA$1),0),5)</f>
        <v>0</v>
      </c>
      <c r="ADB78" s="56">
        <v>73</v>
      </c>
      <c r="ADC78" s="53" t="str">
        <f t="shared" si="749"/>
        <v>Science Museum Group: Science and Industry Museum</v>
      </c>
      <c r="ADD78" s="60">
        <f t="shared" si="1165"/>
        <v>0</v>
      </c>
      <c r="ADE78" s="60">
        <f t="shared" si="1166"/>
        <v>0</v>
      </c>
      <c r="ADF78" s="60">
        <f t="shared" si="1167"/>
        <v>0</v>
      </c>
      <c r="ADG78" s="76">
        <f t="shared" si="1168"/>
        <v>0</v>
      </c>
    </row>
    <row r="79" spans="1:787" x14ac:dyDescent="0.25">
      <c r="A79" s="46" t="str">
        <f>IF(ISBLANK(ComparisonSelection!F75),"",ROW()-5)</f>
        <v/>
      </c>
      <c r="B79" s="53" t="s">
        <v>528</v>
      </c>
      <c r="C79" s="72">
        <v>0.93899999999999995</v>
      </c>
      <c r="D79" s="55">
        <f t="shared" si="750"/>
        <v>100</v>
      </c>
      <c r="E79" s="54">
        <f t="shared" si="751"/>
        <v>2.9390000000000001</v>
      </c>
      <c r="F79" s="54">
        <f t="shared" si="752"/>
        <v>1</v>
      </c>
      <c r="G79" s="72">
        <f t="shared" si="753"/>
        <v>2</v>
      </c>
      <c r="H79" s="72">
        <f t="shared" si="754"/>
        <v>0</v>
      </c>
      <c r="I79" s="46" cm="1">
        <f t="array" ref="I79">ROUND(IFERROR(INDEX(ArchiveResults!$F$5:$IX$116,ComparisonData!A79,ComparisonData!$I$1),0),5)</f>
        <v>0</v>
      </c>
      <c r="J79" s="46" cm="1">
        <f t="array" ref="J79">ROUND(IFERROR(INDEX(ArchiveResults!$F$5:$IX$116,ComparisonData!A79,ComparisonData!$J$1),0),5)</f>
        <v>0</v>
      </c>
      <c r="K79" s="56">
        <v>74</v>
      </c>
      <c r="L79" s="53" t="str">
        <f t="shared" si="755"/>
        <v>Science Museum Group: Science Museum Libray &amp; Archive, London</v>
      </c>
      <c r="M79" s="57">
        <f t="shared" si="640"/>
        <v>0</v>
      </c>
      <c r="N79" s="57">
        <f t="shared" si="641"/>
        <v>0</v>
      </c>
      <c r="O79" s="58">
        <f t="shared" si="756"/>
        <v>0</v>
      </c>
      <c r="P79" s="48">
        <f t="shared" si="757"/>
        <v>100</v>
      </c>
      <c r="Q79" s="54">
        <f t="shared" si="642"/>
        <v>2.9390000000000001</v>
      </c>
      <c r="R79" s="45">
        <f t="shared" si="758"/>
        <v>1</v>
      </c>
      <c r="S79" s="46">
        <f t="shared" si="759"/>
        <v>2</v>
      </c>
      <c r="T79" s="72">
        <f t="shared" si="760"/>
        <v>0</v>
      </c>
      <c r="U79" s="46" cm="1">
        <f t="array" ref="U79">ROUND(IFERROR(INDEX(ArchiveResults!$F$5:$IX$116,ComparisonData!A79,ComparisonData!$U$1),0),5)</f>
        <v>0</v>
      </c>
      <c r="V79" s="46" cm="1">
        <f t="array" ref="V79">ROUND(IFERROR(INDEX(ArchiveResults!$F$5:$IX$116,ComparisonData!A79,ComparisonData!$V$1),0),5)</f>
        <v>0</v>
      </c>
      <c r="W79" s="56">
        <v>74</v>
      </c>
      <c r="X79" s="53" t="str">
        <f t="shared" si="643"/>
        <v>Science Museum Group: Science Museum Libray &amp; Archive, London</v>
      </c>
      <c r="Y79" s="57">
        <f t="shared" si="761"/>
        <v>0</v>
      </c>
      <c r="Z79" s="57">
        <f t="shared" si="762"/>
        <v>0</v>
      </c>
      <c r="AA79" s="58">
        <f t="shared" si="763"/>
        <v>0</v>
      </c>
      <c r="AB79" s="45">
        <f t="shared" si="764"/>
        <v>100</v>
      </c>
      <c r="AC79" s="54">
        <f t="shared" si="644"/>
        <v>2.9390000000000001</v>
      </c>
      <c r="AD79" s="45">
        <f t="shared" si="765"/>
        <v>1</v>
      </c>
      <c r="AE79" s="45">
        <f t="shared" si="766"/>
        <v>2</v>
      </c>
      <c r="AF79" s="45">
        <f t="shared" si="639"/>
        <v>0</v>
      </c>
      <c r="AG79" s="46" cm="1">
        <f t="array" ref="AG79">ROUND(IFERROR(INDEX(ArchiveResults!$F$5:$IX$116,ComparisonData!A79,ComparisonData!$AG$1),0),5)</f>
        <v>0</v>
      </c>
      <c r="AH79" s="46" cm="1">
        <f t="array" ref="AH79">ROUND(IFERROR(INDEX(ArchiveResults!$F$5:$IX$116,ComparisonData!A79,ComparisonData!$AH$1),0),5)</f>
        <v>0</v>
      </c>
      <c r="AI79" s="56">
        <v>74</v>
      </c>
      <c r="AJ79" s="53" t="str">
        <f t="shared" si="645"/>
        <v>Science Museum Group: Science Museum Libray &amp; Archive, London</v>
      </c>
      <c r="AK79" s="59">
        <f t="shared" si="646"/>
        <v>0</v>
      </c>
      <c r="AL79" s="59">
        <f t="shared" si="647"/>
        <v>0</v>
      </c>
      <c r="AM79" s="58">
        <f t="shared" si="767"/>
        <v>0</v>
      </c>
      <c r="AN79" s="45">
        <f t="shared" si="768"/>
        <v>100</v>
      </c>
      <c r="AO79" s="54">
        <f t="shared" si="648"/>
        <v>2.9390000000000001</v>
      </c>
      <c r="AP79" s="45">
        <f t="shared" si="769"/>
        <v>1</v>
      </c>
      <c r="AQ79" s="45">
        <f t="shared" si="770"/>
        <v>2</v>
      </c>
      <c r="AR79" s="46" cm="1">
        <f t="array" ref="AR79">ROUND(IFERROR(INDEX(ArchiveResults!$F$5:$IX$116,ComparisonData!A79,ComparisonData!$AR$1),0),5)</f>
        <v>0</v>
      </c>
      <c r="AS79" s="46" cm="1">
        <f t="array" ref="AS79">ROUND(IFERROR(INDEX(ArchiveResults!$F$5:$IX$116,ComparisonData!A79,ComparisonData!$AS$1),0),5)</f>
        <v>0</v>
      </c>
      <c r="AT79" s="46" cm="1">
        <f t="array" ref="AT79">ROUND(IFERROR(INDEX(ArchiveResults!$F$5:$IX$116,ComparisonData!A79,ComparisonData!$AT$1),0),5)</f>
        <v>0</v>
      </c>
      <c r="AU79" s="46" cm="1">
        <f t="array" ref="AU79">ROUND(IFERROR(INDEX(ArchiveResults!$F$5:$IX$116,ComparisonData!A79,ComparisonData!$AU$1),0),5)</f>
        <v>0</v>
      </c>
      <c r="AV79" s="46" cm="1">
        <f t="array" ref="AV79">ROUND(IFERROR(INDEX(ArchiveResults!$F$5:$IX$116,ComparisonData!A79,ComparisonData!$AV$1),0),5)</f>
        <v>0</v>
      </c>
      <c r="AW79" s="46" cm="1">
        <f t="array" ref="AW79">ROUND(IFERROR(INDEX(ArchiveResults!$F$5:$IX$116,ComparisonData!A79,ComparisonData!$AW$1),0),5)</f>
        <v>0</v>
      </c>
      <c r="AX79" s="46" cm="1">
        <f t="array" ref="AX79">ROUND(IFERROR(INDEX(ArchiveResults!$F$5:$IX$116,ComparisonData!A79,ComparisonData!$AX$1),0),5)</f>
        <v>0</v>
      </c>
      <c r="AY79" s="46" cm="1">
        <f t="array" ref="AY79">ROUND(IFERROR(INDEX(ArchiveResults!$F$5:$IX$116,ComparisonData!A79,ComparisonData!$AY$1),0),5)</f>
        <v>0</v>
      </c>
      <c r="AZ79" s="46" cm="1">
        <f t="array" ref="AZ79">ROUND(IFERROR(INDEX(ArchiveResults!$F$5:$IX$116,ComparisonData!A79,ComparisonData!$AZ$1),0),5)</f>
        <v>0</v>
      </c>
      <c r="BA79" s="46" cm="1">
        <f t="array" ref="BA79">ROUND(IFERROR(INDEX(ArchiveResults!$F$5:$IX$116,ComparisonData!A79,ComparisonData!$BA$1),0),5)</f>
        <v>0</v>
      </c>
      <c r="BB79" s="56">
        <v>74</v>
      </c>
      <c r="BC79" s="53" t="str">
        <f t="shared" si="649"/>
        <v>Science Museum Group: Science Museum Libray &amp; Archive, London</v>
      </c>
      <c r="BD79" s="60">
        <f t="shared" si="771"/>
        <v>0</v>
      </c>
      <c r="BE79" s="60">
        <f t="shared" si="772"/>
        <v>0</v>
      </c>
      <c r="BF79" s="60">
        <f t="shared" si="773"/>
        <v>0</v>
      </c>
      <c r="BG79" s="60">
        <f t="shared" si="774"/>
        <v>0</v>
      </c>
      <c r="BH79" s="60">
        <f t="shared" si="775"/>
        <v>0</v>
      </c>
      <c r="BI79" s="60">
        <f t="shared" si="776"/>
        <v>0</v>
      </c>
      <c r="BJ79" s="60">
        <f t="shared" si="777"/>
        <v>0</v>
      </c>
      <c r="BK79" s="60">
        <f t="shared" si="778"/>
        <v>0</v>
      </c>
      <c r="BL79" s="60">
        <f t="shared" si="779"/>
        <v>0</v>
      </c>
      <c r="BM79" s="59">
        <f t="shared" si="780"/>
        <v>0</v>
      </c>
      <c r="BN79" s="58">
        <f t="shared" si="781"/>
        <v>0</v>
      </c>
      <c r="BO79" s="45">
        <f t="shared" si="782"/>
        <v>100</v>
      </c>
      <c r="BP79" s="54">
        <f t="shared" si="650"/>
        <v>2.9390000000000001</v>
      </c>
      <c r="BQ79" s="45">
        <f t="shared" si="783"/>
        <v>1</v>
      </c>
      <c r="BR79" s="45">
        <f t="shared" si="784"/>
        <v>2</v>
      </c>
      <c r="BS79" s="46" cm="1">
        <f t="array" ref="BS79">ROUND(IFERROR(INDEX(ArchiveResults!$F$5:$IX$116,ComparisonData!A79,ComparisonData!$BS$1),0),5)</f>
        <v>0</v>
      </c>
      <c r="BT79" s="46" cm="1">
        <f t="array" ref="BT79">ROUND(IFERROR(INDEX(ArchiveResults!$F$5:$IX$116,ComparisonData!A79,ComparisonData!$BT$1),0),5)</f>
        <v>0</v>
      </c>
      <c r="BU79" s="46" cm="1">
        <f t="array" ref="BU79">ROUND(IFERROR(INDEX(ArchiveResults!$F$5:$IX$116,ComparisonData!A79,ComparisonData!$BU$1),0),5)</f>
        <v>0</v>
      </c>
      <c r="BV79" s="46" cm="1">
        <f t="array" ref="BV79">ROUND(IFERROR(INDEX(ArchiveResults!$F$5:$IX$116,ComparisonData!A79,ComparisonData!$BV$1),0),5)</f>
        <v>0</v>
      </c>
      <c r="BW79" s="46" cm="1">
        <f t="array" ref="BW79">ROUND(IFERROR(INDEX(ArchiveResults!$F$5:$IX$116,ComparisonData!A79,ComparisonData!$BW$1),0),5)</f>
        <v>0</v>
      </c>
      <c r="BX79" s="46" cm="1">
        <f t="array" ref="BX79">ROUND(IFERROR(INDEX(ArchiveResults!$F$5:$IX$116,ComparisonData!A79,ComparisonData!$BX$1),0),5)</f>
        <v>0</v>
      </c>
      <c r="BY79" s="56">
        <v>74</v>
      </c>
      <c r="BZ79" s="53" t="str">
        <f t="shared" si="651"/>
        <v>Science Museum Group: Science Museum Libray &amp; Archive, London</v>
      </c>
      <c r="CA79" s="59">
        <f t="shared" si="785"/>
        <v>0</v>
      </c>
      <c r="CB79" s="59">
        <f t="shared" si="786"/>
        <v>0</v>
      </c>
      <c r="CC79" s="59">
        <f t="shared" si="787"/>
        <v>0</v>
      </c>
      <c r="CD79" s="59">
        <f t="shared" si="788"/>
        <v>0</v>
      </c>
      <c r="CE79" s="59">
        <f t="shared" si="789"/>
        <v>0</v>
      </c>
      <c r="CF79" s="59">
        <f t="shared" si="790"/>
        <v>0</v>
      </c>
      <c r="CG79" s="58">
        <f t="shared" si="791"/>
        <v>0</v>
      </c>
      <c r="CH79" s="45">
        <f t="shared" si="792"/>
        <v>100</v>
      </c>
      <c r="CI79" s="54">
        <f t="shared" si="652"/>
        <v>2.9390000000000001</v>
      </c>
      <c r="CJ79" s="45">
        <f t="shared" si="793"/>
        <v>1</v>
      </c>
      <c r="CK79" s="45">
        <f t="shared" si="794"/>
        <v>2</v>
      </c>
      <c r="CL79" s="46" cm="1">
        <f t="array" ref="CL79">ROUND(IFERROR(INDEX(ArchiveResults!$F$5:$IX$116,ComparisonData!A79,ComparisonData!$CL$1),0),5)</f>
        <v>0</v>
      </c>
      <c r="CM79" s="56">
        <v>74</v>
      </c>
      <c r="CN79" s="53" t="str">
        <f t="shared" si="653"/>
        <v>Science Museum Group: Science Museum Libray &amp; Archive, London</v>
      </c>
      <c r="CO79" s="45">
        <f t="shared" si="795"/>
        <v>0</v>
      </c>
      <c r="CP79" s="58">
        <f t="shared" si="796"/>
        <v>0</v>
      </c>
      <c r="CQ79" s="45">
        <f t="shared" si="797"/>
        <v>100</v>
      </c>
      <c r="CR79" s="54">
        <f t="shared" si="654"/>
        <v>2.9390000000000001</v>
      </c>
      <c r="CS79" s="45">
        <f t="shared" si="798"/>
        <v>1</v>
      </c>
      <c r="CT79" s="45">
        <f t="shared" si="799"/>
        <v>2</v>
      </c>
      <c r="CU79" s="46" cm="1">
        <f t="array" ref="CU79">ROUND(IFERROR(INDEX(ArchiveResults!$F$5:$IX$116,ComparisonData!A79,ComparisonData!$CU$1),0),5)</f>
        <v>0</v>
      </c>
      <c r="CV79" s="56">
        <v>74</v>
      </c>
      <c r="CW79" s="53" t="str">
        <f t="shared" si="655"/>
        <v>Science Museum Group: Science Museum Libray &amp; Archive, London</v>
      </c>
      <c r="CX79" s="45">
        <f t="shared" si="800"/>
        <v>0</v>
      </c>
      <c r="CY79" s="58">
        <f t="shared" si="801"/>
        <v>0</v>
      </c>
      <c r="CZ79" s="45">
        <f t="shared" si="802"/>
        <v>100</v>
      </c>
      <c r="DA79" s="54">
        <f t="shared" si="656"/>
        <v>2.9390000000000001</v>
      </c>
      <c r="DB79" s="45">
        <f t="shared" si="803"/>
        <v>1</v>
      </c>
      <c r="DC79" s="45">
        <f t="shared" si="804"/>
        <v>2</v>
      </c>
      <c r="DD79" s="46" cm="1">
        <f t="array" ref="DD79">ROUND(IFERROR(INDEX(ArchiveResults!$F$5:$IX$116,ComparisonData!A79,ComparisonData!$DD$1),0),5)</f>
        <v>0</v>
      </c>
      <c r="DE79" s="56">
        <v>74</v>
      </c>
      <c r="DF79" s="53" t="str">
        <f t="shared" si="657"/>
        <v>Science Museum Group: Science Museum Libray &amp; Archive, London</v>
      </c>
      <c r="DG79" s="45">
        <f t="shared" si="805"/>
        <v>0</v>
      </c>
      <c r="DH79" s="58">
        <f t="shared" si="806"/>
        <v>0</v>
      </c>
      <c r="DI79" s="45">
        <f t="shared" si="807"/>
        <v>100</v>
      </c>
      <c r="DJ79" s="54">
        <f t="shared" si="658"/>
        <v>2.9390000000000001</v>
      </c>
      <c r="DK79" s="45">
        <f t="shared" si="808"/>
        <v>1</v>
      </c>
      <c r="DL79" s="45">
        <f t="shared" si="809"/>
        <v>2</v>
      </c>
      <c r="DM79" s="46" cm="1">
        <f t="array" ref="DM79">ROUND(IFERROR(INDEX(ArchiveResults!$F$5:$IX$116,ComparisonData!A79,ComparisonData!$DM$1),0),5)</f>
        <v>0</v>
      </c>
      <c r="DN79" s="46" cm="1">
        <f t="array" ref="DN79">ROUND(IFERROR(INDEX(ArchiveResults!$F$5:$IX$116,ComparisonData!A79,ComparisonData!$DN$1),0),5)</f>
        <v>0</v>
      </c>
      <c r="DO79" s="46" cm="1">
        <f t="array" ref="DO79">ROUND(IFERROR(INDEX(ArchiveResults!$F$5:$IX$116,ComparisonData!A79,ComparisonData!$DO$1),0),5)</f>
        <v>0</v>
      </c>
      <c r="DP79" s="46" cm="1">
        <f t="array" ref="DP79">ROUND(IFERROR(INDEX(ArchiveResults!$F$5:$IX$116,ComparisonData!A79,ComparisonData!$DP$1),0),5)</f>
        <v>0</v>
      </c>
      <c r="DQ79" s="45" cm="1">
        <f t="array" ref="DQ79">IFERROR(INDEX(ArchiveResults!$F$5:$IX$116,ComparisonData!A79,ComparisonData!$DQ$1),0)</f>
        <v>0</v>
      </c>
      <c r="DR79" s="56">
        <v>74</v>
      </c>
      <c r="DS79" s="53" t="str">
        <f t="shared" si="659"/>
        <v>Science Museum Group: Science Museum Libray &amp; Archive, London</v>
      </c>
      <c r="DT79" s="59">
        <f t="shared" si="810"/>
        <v>0</v>
      </c>
      <c r="DU79" s="59">
        <f t="shared" si="811"/>
        <v>0</v>
      </c>
      <c r="DV79" s="59">
        <f t="shared" si="812"/>
        <v>0</v>
      </c>
      <c r="DW79" s="59">
        <f t="shared" si="813"/>
        <v>0</v>
      </c>
      <c r="DX79" s="59">
        <f t="shared" si="814"/>
        <v>0</v>
      </c>
      <c r="DY79" s="58">
        <f t="shared" si="815"/>
        <v>0</v>
      </c>
      <c r="DZ79" s="45">
        <f t="shared" si="816"/>
        <v>100</v>
      </c>
      <c r="EA79" s="54">
        <f t="shared" si="660"/>
        <v>2.9390000000000001</v>
      </c>
      <c r="EB79" s="45">
        <f t="shared" si="817"/>
        <v>1</v>
      </c>
      <c r="EC79" s="45">
        <f t="shared" si="818"/>
        <v>2</v>
      </c>
      <c r="ED79" s="46" cm="1">
        <f t="array" ref="ED79">ROUND(IFERROR(INDEX(ArchiveResults!$F$5:$IX$116,ComparisonData!A79,ComparisonData!$ED$1),0),5)</f>
        <v>0</v>
      </c>
      <c r="EE79" s="46" cm="1">
        <f t="array" ref="EE79">ROUND(IFERROR(INDEX(ArchiveResults!$F$5:$IX$116,ComparisonData!A79,ComparisonData!$EE$1),0),5)</f>
        <v>0</v>
      </c>
      <c r="EF79" s="46" cm="1">
        <f t="array" ref="EF79">ROUND(IFERROR(INDEX(ArchiveResults!$F$5:$IX$116,ComparisonData!A79,ComparisonData!$EF$1),0),5)</f>
        <v>0</v>
      </c>
      <c r="EG79" s="46" cm="1">
        <f t="array" ref="EG79">ROUND(IFERROR(INDEX(ArchiveResults!$F$5:$IX$116,ComparisonData!A79,ComparisonData!$EG$1),0),5)</f>
        <v>0</v>
      </c>
      <c r="EH79" s="45" cm="1">
        <f t="array" ref="EH79">IFERROR(INDEX(ArchiveResults!$F$5:$IX$116,ComparisonData!A79,ComparisonData!$EH$1),0)</f>
        <v>0</v>
      </c>
      <c r="EI79" s="56">
        <v>74</v>
      </c>
      <c r="EJ79" s="53" t="str">
        <f t="shared" si="661"/>
        <v>Science Museum Group: Science Museum Libray &amp; Archive, London</v>
      </c>
      <c r="EK79" s="59">
        <f t="shared" si="819"/>
        <v>0</v>
      </c>
      <c r="EL79" s="59">
        <f t="shared" si="820"/>
        <v>0</v>
      </c>
      <c r="EM79" s="59">
        <f t="shared" si="821"/>
        <v>0</v>
      </c>
      <c r="EN79" s="59">
        <f t="shared" si="822"/>
        <v>0</v>
      </c>
      <c r="EO79" s="59">
        <f t="shared" si="823"/>
        <v>0</v>
      </c>
      <c r="EP79" s="58">
        <f t="shared" si="824"/>
        <v>0</v>
      </c>
      <c r="EQ79" s="45">
        <f t="shared" si="825"/>
        <v>100</v>
      </c>
      <c r="ER79" s="54">
        <f t="shared" si="662"/>
        <v>2.9390000000000001</v>
      </c>
      <c r="ES79" s="45">
        <f t="shared" si="826"/>
        <v>1</v>
      </c>
      <c r="ET79" s="45">
        <f t="shared" si="827"/>
        <v>2</v>
      </c>
      <c r="EU79" s="46" cm="1">
        <f t="array" ref="EU79">ROUND(IFERROR(INDEX(ArchiveResults!$F$5:$IX$116,ComparisonData!A79,ComparisonData!$EU$1),0),5)</f>
        <v>0</v>
      </c>
      <c r="EV79" s="46" cm="1">
        <f t="array" ref="EV79">ROUND(IFERROR(INDEX(ArchiveResults!$F$5:$IX$116,ComparisonData!A79,ComparisonData!$EV$1),0),5)</f>
        <v>0</v>
      </c>
      <c r="EW79" s="46" cm="1">
        <f t="array" ref="EW79">ROUND(IFERROR(INDEX(ArchiveResults!$F$5:$IX$116,ComparisonData!A79,ComparisonData!$EW$1),0),5)</f>
        <v>0</v>
      </c>
      <c r="EX79" s="46" cm="1">
        <f t="array" ref="EX79">ROUND(IFERROR(INDEX(ArchiveResults!$F$5:$IX$116,ComparisonData!A79,ComparisonData!$EX$1),0),5)</f>
        <v>0</v>
      </c>
      <c r="EY79" s="45" cm="1">
        <f t="array" ref="EY79">IFERROR(INDEX(ArchiveResults!$F$5:$IX$116,ComparisonData!A79,ComparisonData!$EY$1),0)</f>
        <v>0</v>
      </c>
      <c r="EZ79" s="56">
        <v>74</v>
      </c>
      <c r="FA79" s="53" t="str">
        <f t="shared" si="663"/>
        <v>Science Museum Group: Science Museum Libray &amp; Archive, London</v>
      </c>
      <c r="FB79" s="59">
        <f t="shared" si="828"/>
        <v>0</v>
      </c>
      <c r="FC79" s="59">
        <f t="shared" si="829"/>
        <v>0</v>
      </c>
      <c r="FD79" s="59">
        <f t="shared" si="830"/>
        <v>0</v>
      </c>
      <c r="FE79" s="59">
        <f t="shared" si="831"/>
        <v>0</v>
      </c>
      <c r="FF79" s="59">
        <f t="shared" si="832"/>
        <v>0</v>
      </c>
      <c r="FG79" s="58">
        <f t="shared" si="833"/>
        <v>0</v>
      </c>
      <c r="FH79" s="45">
        <f t="shared" si="834"/>
        <v>100</v>
      </c>
      <c r="FI79" s="54">
        <f t="shared" si="664"/>
        <v>2.9390000000000001</v>
      </c>
      <c r="FJ79" s="45">
        <f t="shared" si="835"/>
        <v>1</v>
      </c>
      <c r="FK79" s="45">
        <f t="shared" si="836"/>
        <v>2</v>
      </c>
      <c r="FL79" s="46" cm="1">
        <f t="array" ref="FL79">ROUND(IFERROR(INDEX(ArchiveResults!$F$5:$IX$116,ComparisonData!A79,ComparisonData!$FL$1),0),5)</f>
        <v>0</v>
      </c>
      <c r="FM79" s="46" cm="1">
        <f t="array" ref="FM79">ROUND(IFERROR(INDEX(ArchiveResults!$F$5:$IX$116,ComparisonData!A79,ComparisonData!$FM$1),0),5)</f>
        <v>0</v>
      </c>
      <c r="FN79" s="46" cm="1">
        <f t="array" ref="FN79">ROUND(IFERROR(INDEX(ArchiveResults!$F$5:$IX$116,ComparisonData!A79,ComparisonData!$FN$1),0),5)</f>
        <v>0</v>
      </c>
      <c r="FO79" s="46" cm="1">
        <f t="array" ref="FO79">ROUND(IFERROR(INDEX(ArchiveResults!$F$5:$IX$116,ComparisonData!A79,ComparisonData!$FO$1),0),5)</f>
        <v>0</v>
      </c>
      <c r="FP79" s="45" cm="1">
        <f t="array" ref="FP79">IFERROR(INDEX(ArchiveResults!$F$5:$IX$116,ComparisonData!A79,ComparisonData!$FP$1),0)</f>
        <v>0</v>
      </c>
      <c r="FQ79" s="56">
        <v>74</v>
      </c>
      <c r="FR79" s="53" t="str">
        <f t="shared" si="665"/>
        <v>Science Museum Group: Science Museum Libray &amp; Archive, London</v>
      </c>
      <c r="FS79" s="59">
        <f t="shared" si="837"/>
        <v>0</v>
      </c>
      <c r="FT79" s="59">
        <f t="shared" si="838"/>
        <v>0</v>
      </c>
      <c r="FU79" s="59">
        <f t="shared" si="839"/>
        <v>0</v>
      </c>
      <c r="FV79" s="59">
        <f t="shared" si="840"/>
        <v>0</v>
      </c>
      <c r="FW79" s="59">
        <f t="shared" si="841"/>
        <v>0</v>
      </c>
      <c r="FX79" s="58">
        <f t="shared" si="842"/>
        <v>0</v>
      </c>
      <c r="FY79" s="45">
        <f t="shared" si="843"/>
        <v>100</v>
      </c>
      <c r="FZ79" s="45">
        <f t="shared" si="666"/>
        <v>2.9390000000000001</v>
      </c>
      <c r="GA79" s="45">
        <f t="shared" si="844"/>
        <v>1</v>
      </c>
      <c r="GB79" s="45">
        <f t="shared" si="845"/>
        <v>2</v>
      </c>
      <c r="GC79" s="46" cm="1">
        <f t="array" ref="GC79">ROUND(IFERROR(INDEX(ArchiveResults!$F$5:$IX$116,ComparisonData!A79,ComparisonData!$GC$1),0),5)</f>
        <v>0</v>
      </c>
      <c r="GD79" s="46" cm="1">
        <f t="array" ref="GD79">ROUND(IFERROR(INDEX(ArchiveResults!$F$5:$IX$116,ComparisonData!A79,ComparisonData!$GD$1),0),5)</f>
        <v>0</v>
      </c>
      <c r="GE79" s="46" cm="1">
        <f t="array" ref="GE79">ROUND(IFERROR(INDEX(ArchiveResults!$F$5:$IX$116,ComparisonData!A79,ComparisonData!$GE$1),0),5)</f>
        <v>0</v>
      </c>
      <c r="GF79" s="46" cm="1">
        <f t="array" ref="GF79">ROUND(IFERROR(INDEX(ArchiveResults!$F$5:$IX$116,ComparisonData!A79,ComparisonData!$GF$1),0),5)</f>
        <v>0</v>
      </c>
      <c r="GG79" s="45" cm="1">
        <f t="array" ref="GG79">IFERROR(INDEX(ArchiveResults!$F$5:$IX$116,ComparisonData!A79,ComparisonData!$GG$1),0)</f>
        <v>0</v>
      </c>
      <c r="GH79" s="56">
        <v>74</v>
      </c>
      <c r="GI79" s="53" t="str">
        <f t="shared" si="667"/>
        <v>Science Museum Group: Science Museum Libray &amp; Archive, London</v>
      </c>
      <c r="GJ79" s="59">
        <f t="shared" si="846"/>
        <v>0</v>
      </c>
      <c r="GK79" s="59">
        <f t="shared" si="847"/>
        <v>0</v>
      </c>
      <c r="GL79" s="59">
        <f t="shared" si="848"/>
        <v>0</v>
      </c>
      <c r="GM79" s="59">
        <f t="shared" si="849"/>
        <v>0</v>
      </c>
      <c r="GN79" s="59">
        <f t="shared" si="850"/>
        <v>0</v>
      </c>
      <c r="GO79" s="58">
        <f t="shared" si="851"/>
        <v>0</v>
      </c>
      <c r="GP79" s="45">
        <f t="shared" si="852"/>
        <v>100</v>
      </c>
      <c r="GQ79" s="45">
        <f t="shared" si="668"/>
        <v>2.9390000000000001</v>
      </c>
      <c r="GR79" s="45">
        <f t="shared" si="853"/>
        <v>1</v>
      </c>
      <c r="GS79" s="45">
        <f t="shared" si="854"/>
        <v>2</v>
      </c>
      <c r="GT79" s="46" cm="1">
        <f t="array" ref="GT79">ROUND(IFERROR(INDEX(ArchiveResults!$F$5:$IX$116,ComparisonData!A79,ComparisonData!$GT$1),0),5)</f>
        <v>0</v>
      </c>
      <c r="GU79" s="46" cm="1">
        <f t="array" ref="GU79">ROUND(IFERROR(INDEX(ArchiveResults!$F$5:$IX$116,ComparisonData!A79,ComparisonData!$GU$1),0),5)</f>
        <v>0</v>
      </c>
      <c r="GV79" s="46" cm="1">
        <f t="array" ref="GV79">ROUND(IFERROR(INDEX(ArchiveResults!$F$5:$IX$116,ComparisonData!A79,ComparisonData!$GV$1),0),5)</f>
        <v>0</v>
      </c>
      <c r="GW79" s="46" cm="1">
        <f t="array" ref="GW79">ROUND(IFERROR(INDEX(ArchiveResults!$F$5:$IX$116,ComparisonData!A79,ComparisonData!$GW$1),0),5)</f>
        <v>0</v>
      </c>
      <c r="GX79" s="45" cm="1">
        <f t="array" ref="GX79">IFERROR(INDEX(ArchiveResults!$F$5:$IX$116,ComparisonData!A79,ComparisonData!$GX$1),0)</f>
        <v>0</v>
      </c>
      <c r="GY79" s="56">
        <v>74</v>
      </c>
      <c r="GZ79" s="53" t="str">
        <f t="shared" si="669"/>
        <v>Science Museum Group: Science Museum Libray &amp; Archive, London</v>
      </c>
      <c r="HA79" s="59">
        <f t="shared" si="855"/>
        <v>0</v>
      </c>
      <c r="HB79" s="59">
        <f t="shared" si="856"/>
        <v>0</v>
      </c>
      <c r="HC79" s="59">
        <f t="shared" si="857"/>
        <v>0</v>
      </c>
      <c r="HD79" s="59">
        <f t="shared" si="858"/>
        <v>0</v>
      </c>
      <c r="HE79" s="59">
        <f t="shared" si="859"/>
        <v>0</v>
      </c>
      <c r="HF79" s="58">
        <f t="shared" si="860"/>
        <v>0</v>
      </c>
      <c r="HG79" s="45">
        <f t="shared" si="861"/>
        <v>100</v>
      </c>
      <c r="HH79" s="45">
        <f t="shared" si="670"/>
        <v>2.9390000000000001</v>
      </c>
      <c r="HI79" s="45">
        <f t="shared" si="862"/>
        <v>1</v>
      </c>
      <c r="HJ79" s="45">
        <f t="shared" si="863"/>
        <v>2</v>
      </c>
      <c r="HK79" s="46" cm="1">
        <f t="array" ref="HK79">ROUND(IFERROR(INDEX(ArchiveResults!$F$5:$IX$116,ComparisonData!A79,ComparisonData!$HK$1),0),5)</f>
        <v>0</v>
      </c>
      <c r="HL79" s="46" cm="1">
        <f t="array" ref="HL79">ROUND(IFERROR(INDEX(ArchiveResults!$F$5:$IX$116,ComparisonData!A79,ComparisonData!$HL$1),0),5)</f>
        <v>0</v>
      </c>
      <c r="HM79" s="46" cm="1">
        <f t="array" ref="HM79">ROUND(IFERROR(INDEX(ArchiveResults!$F$5:$IX$116,ComparisonData!A79,ComparisonData!$HM$1),0),5)</f>
        <v>0</v>
      </c>
      <c r="HN79" s="46" cm="1">
        <f t="array" ref="HN79">ROUND(IFERROR(INDEX(ArchiveResults!$F$5:$IX$116,ComparisonData!A79,ComparisonData!$HN$1),0),5)</f>
        <v>0</v>
      </c>
      <c r="HO79" s="45" cm="1">
        <f t="array" ref="HO79">IFERROR(INDEX(ArchiveResults!$F$5:$IX$116,ComparisonData!A79,ComparisonData!$HO$1),0)</f>
        <v>0</v>
      </c>
      <c r="HP79" s="56">
        <v>74</v>
      </c>
      <c r="HQ79" s="53" t="str">
        <f t="shared" si="671"/>
        <v>Science Museum Group: Science Museum Libray &amp; Archive, London</v>
      </c>
      <c r="HR79" s="59">
        <f t="shared" si="672"/>
        <v>0</v>
      </c>
      <c r="HS79" s="59">
        <f t="shared" si="673"/>
        <v>0</v>
      </c>
      <c r="HT79" s="59">
        <f t="shared" si="674"/>
        <v>0</v>
      </c>
      <c r="HU79" s="59">
        <f t="shared" si="675"/>
        <v>0</v>
      </c>
      <c r="HV79" s="59">
        <f t="shared" si="676"/>
        <v>0</v>
      </c>
      <c r="HW79" s="58">
        <f t="shared" si="864"/>
        <v>0</v>
      </c>
      <c r="HX79" s="45">
        <f t="shared" si="865"/>
        <v>100</v>
      </c>
      <c r="HY79" s="45">
        <f t="shared" si="677"/>
        <v>2.9390000000000001</v>
      </c>
      <c r="HZ79" s="45">
        <f t="shared" si="866"/>
        <v>1</v>
      </c>
      <c r="IA79" s="45">
        <f t="shared" si="867"/>
        <v>2</v>
      </c>
      <c r="IB79" s="45">
        <f t="shared" si="868"/>
        <v>0</v>
      </c>
      <c r="IC79" s="46" cm="1">
        <f t="array" ref="IC79">ROUND(IFERROR(INDEX(ArchiveResults!$F$5:$IX$116,ComparisonData!A79,ComparisonData!$IC$1),0),5)</f>
        <v>0</v>
      </c>
      <c r="ID79" s="46" cm="1">
        <f t="array" ref="ID79">ROUND(IFERROR(INDEX(ArchiveResults!$F$5:$IX$116,ComparisonData!A79,ComparisonData!$ID$1),0),5)</f>
        <v>0</v>
      </c>
      <c r="IE79" s="46" cm="1">
        <f t="array" ref="IE79">ROUND(IFERROR(INDEX(ArchiveResults!$F$5:$IX$116,ComparisonData!A79,ComparisonData!$IE$1),0),5)</f>
        <v>0</v>
      </c>
      <c r="IF79" s="46" cm="1">
        <f t="array" ref="IF79">ROUND(IFERROR(INDEX(ArchiveResults!$F$5:$IX$116,ComparisonData!A79,ComparisonData!$IF$1),0),5)</f>
        <v>0</v>
      </c>
      <c r="IG79" s="45" cm="1">
        <f t="array" ref="IG79">IFERROR(INDEX(ArchiveResults!$F$5:$IX$116,ComparisonData!A79,ComparisonData!$IG$1),0)</f>
        <v>0</v>
      </c>
      <c r="IH79" s="56">
        <v>74</v>
      </c>
      <c r="II79" s="53" t="str">
        <f t="shared" si="678"/>
        <v>Science Museum Group: Science Museum Libray &amp; Archive, London</v>
      </c>
      <c r="IJ79" s="59">
        <f t="shared" si="869"/>
        <v>0</v>
      </c>
      <c r="IK79" s="59">
        <f t="shared" si="870"/>
        <v>0</v>
      </c>
      <c r="IL79" s="59">
        <f t="shared" si="871"/>
        <v>0</v>
      </c>
      <c r="IM79" s="59">
        <f t="shared" si="872"/>
        <v>0</v>
      </c>
      <c r="IN79" s="59">
        <f t="shared" si="873"/>
        <v>0</v>
      </c>
      <c r="IO79" s="58">
        <f t="shared" si="874"/>
        <v>0</v>
      </c>
      <c r="IP79" s="45">
        <f t="shared" si="875"/>
        <v>100</v>
      </c>
      <c r="IQ79" s="45">
        <f t="shared" si="679"/>
        <v>2.9390000000000001</v>
      </c>
      <c r="IR79" s="45">
        <f t="shared" si="876"/>
        <v>1</v>
      </c>
      <c r="IS79" s="45">
        <f t="shared" si="877"/>
        <v>2</v>
      </c>
      <c r="IT79" s="46">
        <f t="shared" si="878"/>
        <v>0</v>
      </c>
      <c r="IU79" s="46" cm="1">
        <f t="array" ref="IU79">ROUND(IFERROR(INDEX(ArchiveResults!$F$5:$IX$116,ComparisonData!A79,ComparisonData!$IU$1),0),5)</f>
        <v>0</v>
      </c>
      <c r="IV79" s="46" cm="1">
        <f t="array" ref="IV79">ROUND(IFERROR(INDEX(ArchiveResults!$F$5:$IX$116,ComparisonData!A79,ComparisonData!$IV$1),0),5)</f>
        <v>0</v>
      </c>
      <c r="IW79" s="46" cm="1">
        <f t="array" ref="IW79">ROUND(IFERROR(INDEX(ArchiveResults!$F$5:$IX$116,ComparisonData!A79,ComparisonData!$IW$1),0),5)</f>
        <v>0</v>
      </c>
      <c r="IX79" s="46" cm="1">
        <f t="array" ref="IX79">ROUND(IFERROR(INDEX(ArchiveResults!$F$5:$IX$116,ComparisonData!A79,ComparisonData!$IX$1),0),5)</f>
        <v>0</v>
      </c>
      <c r="IY79" s="45" cm="1">
        <f t="array" ref="IY79">IFERROR(INDEX(ArchiveResults!$F$5:$IX$116,ComparisonData!A79,ComparisonData!$IY$1),0)</f>
        <v>0</v>
      </c>
      <c r="IZ79" s="56">
        <v>74</v>
      </c>
      <c r="JA79" s="53" t="str">
        <f t="shared" si="680"/>
        <v>Science Museum Group: Science Museum Libray &amp; Archive, London</v>
      </c>
      <c r="JB79" s="59">
        <f t="shared" si="879"/>
        <v>0</v>
      </c>
      <c r="JC79" s="59">
        <f t="shared" si="880"/>
        <v>0</v>
      </c>
      <c r="JD79" s="59">
        <f t="shared" si="881"/>
        <v>0</v>
      </c>
      <c r="JE79" s="59">
        <f t="shared" si="882"/>
        <v>0</v>
      </c>
      <c r="JF79" s="59">
        <f t="shared" si="883"/>
        <v>0</v>
      </c>
      <c r="JG79" s="58">
        <f t="shared" si="884"/>
        <v>0</v>
      </c>
      <c r="JH79" s="45">
        <f t="shared" si="885"/>
        <v>100</v>
      </c>
      <c r="JI79" s="45">
        <f t="shared" si="681"/>
        <v>2.9390000000000001</v>
      </c>
      <c r="JJ79" s="45">
        <f t="shared" si="886"/>
        <v>1</v>
      </c>
      <c r="JK79" s="45">
        <f t="shared" si="887"/>
        <v>2</v>
      </c>
      <c r="JL79" s="45">
        <f t="shared" si="888"/>
        <v>0</v>
      </c>
      <c r="JM79" s="46" cm="1">
        <f t="array" ref="JM79">ROUND(IFERROR(INDEX(ArchiveResults!$F$5:$IX$116,ComparisonData!A79,ComparisonData!$JM$1),0),5)</f>
        <v>0</v>
      </c>
      <c r="JN79" s="46" cm="1">
        <f t="array" ref="JN79">ROUND(IFERROR(INDEX(ArchiveResults!$F$5:$IX$116,ComparisonData!A79,ComparisonData!$JN$1),0),5)</f>
        <v>0</v>
      </c>
      <c r="JO79" s="46" cm="1">
        <f t="array" ref="JO79">ROUND(IFERROR(INDEX(ArchiveResults!$F$5:$IX$116,ComparisonData!A79,ComparisonData!$JO$1),0),5)</f>
        <v>0</v>
      </c>
      <c r="JP79" s="46" cm="1">
        <f t="array" ref="JP79">ROUND(IFERROR(INDEX(ArchiveResults!$F$5:$IX$116,ComparisonData!A79,ComparisonData!$JP$1),0),5)</f>
        <v>0</v>
      </c>
      <c r="JQ79" s="45" cm="1">
        <f t="array" ref="JQ79">IFERROR(INDEX(ArchiveResults!$F$5:$IX$116,ComparisonData!A79,ComparisonData!$JQ$1),0)</f>
        <v>0</v>
      </c>
      <c r="JR79" s="56">
        <v>74</v>
      </c>
      <c r="JS79" s="53" t="str">
        <f t="shared" si="682"/>
        <v>Science Museum Group: Science Museum Libray &amp; Archive, London</v>
      </c>
      <c r="JT79" s="59">
        <f t="shared" si="889"/>
        <v>0</v>
      </c>
      <c r="JU79" s="59">
        <f t="shared" si="890"/>
        <v>0</v>
      </c>
      <c r="JV79" s="59">
        <f t="shared" si="891"/>
        <v>0</v>
      </c>
      <c r="JW79" s="59">
        <f t="shared" si="892"/>
        <v>0</v>
      </c>
      <c r="JX79" s="59">
        <f t="shared" si="893"/>
        <v>0</v>
      </c>
      <c r="JY79" s="58">
        <f t="shared" si="894"/>
        <v>0</v>
      </c>
      <c r="JZ79" s="45">
        <f t="shared" si="895"/>
        <v>100</v>
      </c>
      <c r="KA79" s="45">
        <f t="shared" si="683"/>
        <v>2.9390000000000001</v>
      </c>
      <c r="KB79" s="45">
        <f t="shared" si="896"/>
        <v>1</v>
      </c>
      <c r="KC79" s="45">
        <f t="shared" si="897"/>
        <v>2</v>
      </c>
      <c r="KD79" s="45">
        <f t="shared" si="898"/>
        <v>0</v>
      </c>
      <c r="KE79" s="46" cm="1">
        <f t="array" ref="KE79">ROUND(IFERROR(INDEX(ArchiveResults!$F$5:$IX$116,ComparisonData!A79,ComparisonData!$KE$1),0),5)</f>
        <v>0</v>
      </c>
      <c r="KF79" s="46" cm="1">
        <f t="array" ref="KF79">ROUND(IFERROR(INDEX(ArchiveResults!$F$5:$IX$116,ComparisonData!A79,ComparisonData!$KF$1),0),5)</f>
        <v>0</v>
      </c>
      <c r="KG79" s="46" cm="1">
        <f t="array" ref="KG79">ROUND(IFERROR(INDEX(ArchiveResults!$F$5:$IX$116,ComparisonData!A79,ComparisonData!$KG$1),0),5)</f>
        <v>0</v>
      </c>
      <c r="KH79" s="46" cm="1">
        <f t="array" ref="KH79">ROUND(IFERROR(INDEX(ArchiveResults!$F$5:$IX$116,ComparisonData!A79,ComparisonData!$KH$1),0),5)</f>
        <v>0</v>
      </c>
      <c r="KI79" s="45" cm="1">
        <f t="array" ref="KI79">IFERROR(INDEX(ArchiveResults!$F$5:$IX$116,ComparisonData!A79,ComparisonData!$KI$1),0)</f>
        <v>0</v>
      </c>
      <c r="KJ79" s="56">
        <v>74</v>
      </c>
      <c r="KK79" s="53" t="str">
        <f t="shared" si="684"/>
        <v>Science Museum Group: Science Museum Libray &amp; Archive, London</v>
      </c>
      <c r="KL79" s="59">
        <f t="shared" si="899"/>
        <v>0</v>
      </c>
      <c r="KM79" s="59">
        <f t="shared" si="900"/>
        <v>0</v>
      </c>
      <c r="KN79" s="59">
        <f t="shared" si="901"/>
        <v>0</v>
      </c>
      <c r="KO79" s="59">
        <f t="shared" si="902"/>
        <v>0</v>
      </c>
      <c r="KP79" s="59">
        <f t="shared" si="903"/>
        <v>0</v>
      </c>
      <c r="KQ79" s="58">
        <f t="shared" si="904"/>
        <v>0</v>
      </c>
      <c r="KR79" s="45">
        <f t="shared" si="905"/>
        <v>100</v>
      </c>
      <c r="KS79" s="45">
        <f t="shared" si="685"/>
        <v>2.9390000000000001</v>
      </c>
      <c r="KT79" s="45">
        <f t="shared" si="906"/>
        <v>1</v>
      </c>
      <c r="KU79" s="45">
        <f t="shared" si="907"/>
        <v>2</v>
      </c>
      <c r="KV79" s="45">
        <f t="shared" si="908"/>
        <v>0</v>
      </c>
      <c r="KW79" s="46" cm="1">
        <f t="array" ref="KW79">ROUND(IFERROR(INDEX(ArchiveResults!$F$5:$IX$116,ComparisonData!A79,ComparisonData!$KW$1),0),5)</f>
        <v>0</v>
      </c>
      <c r="KX79" s="46" cm="1">
        <f t="array" ref="KX79">ROUND(IFERROR(INDEX(ArchiveResults!$F$5:$IX$116,ComparisonData!A79,ComparisonData!$KX$1),0),5)</f>
        <v>0</v>
      </c>
      <c r="KY79" s="46" cm="1">
        <f t="array" ref="KY79">ROUND(IFERROR(INDEX(ArchiveResults!$F$5:$IX$116,ComparisonData!A79,ComparisonData!$KY$1),0),5)</f>
        <v>0</v>
      </c>
      <c r="KZ79" s="46" cm="1">
        <f t="array" ref="KZ79">ROUND(IFERROR(INDEX(ArchiveResults!$F$5:$IX$116,ComparisonData!A79,ComparisonData!$KZ$1),0),5)</f>
        <v>0</v>
      </c>
      <c r="LA79" s="45" cm="1">
        <f t="array" ref="LA79">IFERROR(INDEX(ArchiveResults!$F$5:$IX$116,ComparisonData!A79,ComparisonData!$LA$1),0)</f>
        <v>0</v>
      </c>
      <c r="LB79" s="56">
        <v>74</v>
      </c>
      <c r="LC79" s="53" t="str">
        <f t="shared" si="686"/>
        <v>Science Museum Group: Science Museum Libray &amp; Archive, London</v>
      </c>
      <c r="LD79" s="59">
        <f t="shared" si="909"/>
        <v>0</v>
      </c>
      <c r="LE79" s="59">
        <f t="shared" si="910"/>
        <v>0</v>
      </c>
      <c r="LF79" s="59">
        <f t="shared" si="911"/>
        <v>0</v>
      </c>
      <c r="LG79" s="59">
        <f t="shared" si="912"/>
        <v>0</v>
      </c>
      <c r="LH79" s="59">
        <f t="shared" si="913"/>
        <v>0</v>
      </c>
      <c r="LI79" s="58">
        <f t="shared" si="914"/>
        <v>0</v>
      </c>
      <c r="LJ79" s="45">
        <f t="shared" si="915"/>
        <v>100</v>
      </c>
      <c r="LK79" s="45">
        <f t="shared" si="687"/>
        <v>2.9390000000000001</v>
      </c>
      <c r="LL79" s="45">
        <f t="shared" si="916"/>
        <v>1</v>
      </c>
      <c r="LM79" s="45">
        <f t="shared" si="917"/>
        <v>2</v>
      </c>
      <c r="LN79" s="45">
        <f t="shared" si="918"/>
        <v>0</v>
      </c>
      <c r="LO79" s="46" cm="1">
        <f t="array" ref="LO79">ROUND(IFERROR(INDEX(ArchiveResults!$F$5:$IX$116,ComparisonData!A79,ComparisonData!$LO$1),0),5)</f>
        <v>0</v>
      </c>
      <c r="LP79" s="46" cm="1">
        <f t="array" ref="LP79">ROUND(IFERROR(INDEX(ArchiveResults!$F$5:$IX$116,ComparisonData!A79,ComparisonData!$LP$1),0),5)</f>
        <v>0</v>
      </c>
      <c r="LQ79" s="46" cm="1">
        <f t="array" ref="LQ79">ROUND(IFERROR(INDEX(ArchiveResults!$F$5:$IX$116,ComparisonData!A79,ComparisonData!$LQ$1),0),5)</f>
        <v>0</v>
      </c>
      <c r="LR79" s="46" cm="1">
        <f t="array" ref="LR79">ROUND(IFERROR(INDEX(ArchiveResults!$F$5:$IX$116,ComparisonData!A79,ComparisonData!$LR$1),0),5)</f>
        <v>0</v>
      </c>
      <c r="LS79" s="45" cm="1">
        <f t="array" ref="LS79">IFERROR(INDEX(ArchiveResults!$F$5:$IX$116,ComparisonData!A79,ComparisonData!$LS$1),0)</f>
        <v>0</v>
      </c>
      <c r="LT79" s="56">
        <v>74</v>
      </c>
      <c r="LU79" s="53" t="str">
        <f t="shared" si="688"/>
        <v>Science Museum Group: Science Museum Libray &amp; Archive, London</v>
      </c>
      <c r="LV79" s="59">
        <f t="shared" si="919"/>
        <v>0</v>
      </c>
      <c r="LW79" s="59">
        <f t="shared" si="920"/>
        <v>0</v>
      </c>
      <c r="LX79" s="59">
        <f t="shared" si="921"/>
        <v>0</v>
      </c>
      <c r="LY79" s="59">
        <f t="shared" si="922"/>
        <v>0</v>
      </c>
      <c r="LZ79" s="59">
        <f t="shared" si="923"/>
        <v>0</v>
      </c>
      <c r="MA79" s="58">
        <f t="shared" si="924"/>
        <v>0</v>
      </c>
      <c r="MB79" s="45">
        <f t="shared" si="925"/>
        <v>100</v>
      </c>
      <c r="MC79" s="45">
        <f t="shared" si="689"/>
        <v>2.9390000000000001</v>
      </c>
      <c r="MD79" s="45">
        <f t="shared" si="926"/>
        <v>1</v>
      </c>
      <c r="ME79" s="45">
        <f t="shared" si="927"/>
        <v>2</v>
      </c>
      <c r="MF79" s="45">
        <f t="shared" si="928"/>
        <v>0</v>
      </c>
      <c r="MG79" s="46" cm="1">
        <f t="array" ref="MG79">ROUND(IFERROR(INDEX(ArchiveResults!$F$5:$IX$116,ComparisonData!A79,ComparisonData!$MG$1),0),5)</f>
        <v>0</v>
      </c>
      <c r="MH79" s="46" cm="1">
        <f t="array" ref="MH79">ROUND(IFERROR(INDEX(ArchiveResults!$F$5:$IX$116,ComparisonData!A79,ComparisonData!$MH$1),0),5)</f>
        <v>0</v>
      </c>
      <c r="MI79" s="46" cm="1">
        <f t="array" ref="MI79">ROUND(IFERROR(INDEX(ArchiveResults!$F$5:$IX$116,ComparisonData!A79,ComparisonData!$MI$1),0),5)</f>
        <v>0</v>
      </c>
      <c r="MJ79" s="46" cm="1">
        <f t="array" ref="MJ79">ROUND(IFERROR(INDEX(ArchiveResults!$F$5:$IX$116,ComparisonData!A79,ComparisonData!$MJ$1),0),5)</f>
        <v>0</v>
      </c>
      <c r="MK79" s="45" cm="1">
        <f t="array" ref="MK79">IFERROR(INDEX(ArchiveResults!$F$5:$IX$116,ComparisonData!A79,ComparisonData!$MK$1),0)</f>
        <v>0</v>
      </c>
      <c r="ML79" s="56">
        <v>74</v>
      </c>
      <c r="MM79" s="53" t="str">
        <f t="shared" si="690"/>
        <v>Science Museum Group: Science Museum Libray &amp; Archive, London</v>
      </c>
      <c r="MN79" s="59">
        <f t="shared" si="929"/>
        <v>0</v>
      </c>
      <c r="MO79" s="59">
        <f t="shared" si="930"/>
        <v>0</v>
      </c>
      <c r="MP79" s="59">
        <f t="shared" si="931"/>
        <v>0</v>
      </c>
      <c r="MQ79" s="59">
        <f t="shared" si="932"/>
        <v>0</v>
      </c>
      <c r="MR79" s="59">
        <f t="shared" si="933"/>
        <v>0</v>
      </c>
      <c r="MS79" s="58">
        <f t="shared" si="934"/>
        <v>0</v>
      </c>
      <c r="MT79" s="45">
        <f t="shared" si="935"/>
        <v>100</v>
      </c>
      <c r="MU79" s="45">
        <f t="shared" si="691"/>
        <v>2.9390000000000001</v>
      </c>
      <c r="MV79" s="45">
        <f t="shared" si="936"/>
        <v>1</v>
      </c>
      <c r="MW79" s="45">
        <f t="shared" si="937"/>
        <v>2</v>
      </c>
      <c r="MX79" s="45">
        <f t="shared" si="938"/>
        <v>0</v>
      </c>
      <c r="MY79" s="46" cm="1">
        <f t="array" ref="MY79">ROUND(IFERROR(INDEX(ArchiveResults!$F$5:$IX$116,ComparisonData!A79,ComparisonData!$MY$1),0),5)</f>
        <v>0</v>
      </c>
      <c r="MZ79" s="46" cm="1">
        <f t="array" ref="MZ79">ROUND(IFERROR(INDEX(ArchiveResults!$F$5:$IX$116,ComparisonData!A79,ComparisonData!$MZ$1),0),5)</f>
        <v>0</v>
      </c>
      <c r="NA79" s="46" cm="1">
        <f t="array" ref="NA79">ROUND(IFERROR(INDEX(ArchiveResults!$F$5:$IX$116,ComparisonData!A79,ComparisonData!$NA$1),0),5)</f>
        <v>0</v>
      </c>
      <c r="NB79" s="46" cm="1">
        <f t="array" ref="NB79">ROUND(IFERROR(INDEX(ArchiveResults!$F$5:$IX$116,ComparisonData!A79,ComparisonData!$NB$1),0),5)</f>
        <v>0</v>
      </c>
      <c r="NC79" s="45" cm="1">
        <f t="array" ref="NC79">IFERROR(INDEX(ArchiveResults!$F$5:$IX$116,ComparisonData!A79,ComparisonData!$NC$1),0)</f>
        <v>0</v>
      </c>
      <c r="ND79" s="56">
        <v>74</v>
      </c>
      <c r="NE79" s="53" t="str">
        <f t="shared" si="692"/>
        <v>Science Museum Group: Science Museum Libray &amp; Archive, London</v>
      </c>
      <c r="NF79" s="59">
        <f t="shared" si="939"/>
        <v>0</v>
      </c>
      <c r="NG79" s="59">
        <f t="shared" si="940"/>
        <v>0</v>
      </c>
      <c r="NH79" s="59">
        <f t="shared" si="941"/>
        <v>0</v>
      </c>
      <c r="NI79" s="59">
        <f t="shared" si="942"/>
        <v>0</v>
      </c>
      <c r="NJ79" s="59">
        <f t="shared" si="943"/>
        <v>0</v>
      </c>
      <c r="NK79" s="58">
        <f t="shared" si="944"/>
        <v>0</v>
      </c>
      <c r="NL79" s="45">
        <f t="shared" si="945"/>
        <v>100</v>
      </c>
      <c r="NM79" s="45">
        <f t="shared" si="693"/>
        <v>2.9390000000000001</v>
      </c>
      <c r="NN79" s="45">
        <f t="shared" si="946"/>
        <v>1</v>
      </c>
      <c r="NO79" s="45">
        <f t="shared" si="947"/>
        <v>2</v>
      </c>
      <c r="NP79" s="46" cm="1">
        <f t="array" ref="NP79">ROUND(IFERROR(INDEX(ArchiveResults!$F$5:$IX$116,ComparisonData!A79,ComparisonData!$NP$1),0),5)</f>
        <v>0</v>
      </c>
      <c r="NQ79" s="46" cm="1">
        <f t="array" ref="NQ79">ROUND(IFERROR(INDEX(ArchiveResults!$F$5:$IX$116,ComparisonData!A79,ComparisonData!$NQ$1),0),5)</f>
        <v>0</v>
      </c>
      <c r="NR79" s="46" cm="1">
        <f t="array" ref="NR79">ROUND(IFERROR(INDEX(ArchiveResults!$F$5:$IX$116,ComparisonData!A79,ComparisonData!$NR$1),0),5)</f>
        <v>0</v>
      </c>
      <c r="NS79" s="46" cm="1">
        <f t="array" ref="NS79">ROUND(IFERROR(INDEX(ArchiveResults!$F$5:$IX$116,ComparisonData!A79,ComparisonData!$NS$1),0),5)</f>
        <v>0</v>
      </c>
      <c r="NT79" s="45" cm="1">
        <f t="array" ref="NT79">IFERROR(INDEX(ArchiveResults!$F$5:$IX$116,ComparisonData!A79,ComparisonData!$NT$1),0)</f>
        <v>0</v>
      </c>
      <c r="NU79" s="56">
        <v>74</v>
      </c>
      <c r="NV79" s="53" t="str">
        <f t="shared" si="694"/>
        <v>Science Museum Group: Science Museum Libray &amp; Archive, London</v>
      </c>
      <c r="NW79" s="59">
        <f t="shared" si="948"/>
        <v>0</v>
      </c>
      <c r="NX79" s="59">
        <f t="shared" si="949"/>
        <v>0</v>
      </c>
      <c r="NY79" s="59">
        <f t="shared" si="950"/>
        <v>0</v>
      </c>
      <c r="NZ79" s="59">
        <f t="shared" si="951"/>
        <v>0</v>
      </c>
      <c r="OA79" s="59">
        <f t="shared" si="952"/>
        <v>0</v>
      </c>
      <c r="OB79" s="58">
        <f t="shared" si="953"/>
        <v>0</v>
      </c>
      <c r="OC79" s="45">
        <f t="shared" si="954"/>
        <v>100</v>
      </c>
      <c r="OD79" s="45">
        <f t="shared" si="695"/>
        <v>2.9390000000000001</v>
      </c>
      <c r="OE79" s="45">
        <f t="shared" si="955"/>
        <v>1</v>
      </c>
      <c r="OF79" s="45">
        <f t="shared" si="956"/>
        <v>2</v>
      </c>
      <c r="OG79" s="46">
        <f t="shared" si="957"/>
        <v>0</v>
      </c>
      <c r="OH79" s="46" cm="1">
        <f t="array" ref="OH79">ROUND(IFERROR(INDEX(ArchiveResults!$F$5:$IX$116,ComparisonData!A79,ComparisonData!$OH$1),0),5)</f>
        <v>0</v>
      </c>
      <c r="OI79" s="46" cm="1">
        <f t="array" ref="OI79">ROUND(IFERROR(INDEX(ArchiveResults!$F$5:$IX$116,ComparisonData!A79,ComparisonData!$OI$1),0),5)</f>
        <v>0</v>
      </c>
      <c r="OJ79" s="46" cm="1">
        <f t="array" ref="OJ79">ROUND(IFERROR(INDEX(ArchiveResults!$F$5:$IX$116,ComparisonData!A79,ComparisonData!$OJ$1),0),5)</f>
        <v>0</v>
      </c>
      <c r="OK79" s="46" cm="1">
        <f t="array" ref="OK79">ROUND(IFERROR(INDEX(ArchiveResults!$F$5:$IX$116,ComparisonData!A79,ComparisonData!$OK$1),0),5)</f>
        <v>0</v>
      </c>
      <c r="OL79" s="45" cm="1">
        <f t="array" ref="OL79">IFERROR(INDEX(ArchiveResults!$F$5:$IX$116,ComparisonData!A79,ComparisonData!$OL$1),0)</f>
        <v>0</v>
      </c>
      <c r="OM79" s="56">
        <v>74</v>
      </c>
      <c r="ON79" s="53" t="str">
        <f t="shared" si="696"/>
        <v>Science Museum Group: Science Museum Libray &amp; Archive, London</v>
      </c>
      <c r="OO79" s="59">
        <f t="shared" si="958"/>
        <v>0</v>
      </c>
      <c r="OP79" s="59">
        <f t="shared" si="959"/>
        <v>0</v>
      </c>
      <c r="OQ79" s="59">
        <f t="shared" si="960"/>
        <v>0</v>
      </c>
      <c r="OR79" s="59">
        <f t="shared" si="961"/>
        <v>0</v>
      </c>
      <c r="OS79" s="59">
        <f t="shared" si="962"/>
        <v>0</v>
      </c>
      <c r="OT79" s="58">
        <f t="shared" si="963"/>
        <v>0</v>
      </c>
      <c r="OU79" s="45">
        <f t="shared" si="964"/>
        <v>100</v>
      </c>
      <c r="OV79" s="45">
        <f t="shared" si="697"/>
        <v>2.9390000000000001</v>
      </c>
      <c r="OW79" s="45">
        <f t="shared" si="965"/>
        <v>1</v>
      </c>
      <c r="OX79" s="45">
        <f t="shared" si="966"/>
        <v>2</v>
      </c>
      <c r="OY79" s="45">
        <f t="shared" si="967"/>
        <v>0</v>
      </c>
      <c r="OZ79" s="46" cm="1">
        <f t="array" ref="OZ79">ROUND(IFERROR(INDEX(ArchiveResults!$F$5:$IX$116,ComparisonData!A79,ComparisonData!$OZ$1),0),5)</f>
        <v>0</v>
      </c>
      <c r="PA79" s="46" cm="1">
        <f t="array" ref="PA79">ROUND(IFERROR(INDEX(ArchiveResults!$F$5:$IX$116,ComparisonData!A79,ComparisonData!$PA$1),0),5)</f>
        <v>0</v>
      </c>
      <c r="PB79" s="46" cm="1">
        <f t="array" ref="PB79">ROUND(IFERROR(INDEX(ArchiveResults!$F$5:$IX$116,ComparisonData!A79,ComparisonData!$PB$1),0),5)</f>
        <v>0</v>
      </c>
      <c r="PC79" s="46" cm="1">
        <f t="array" ref="PC79">ROUND(IFERROR(INDEX(ArchiveResults!$F$5:$IX$116,ComparisonData!A79,ComparisonData!$PC$1),0),5)</f>
        <v>0</v>
      </c>
      <c r="PD79" s="45" cm="1">
        <f t="array" ref="PD79">IFERROR(INDEX(ArchiveResults!$F$5:$IX$116,ComparisonData!A79,ComparisonData!$PD$1),0)</f>
        <v>0</v>
      </c>
      <c r="PE79" s="56">
        <v>74</v>
      </c>
      <c r="PF79" s="53" t="str">
        <f t="shared" si="698"/>
        <v>Science Museum Group: Science Museum Libray &amp; Archive, London</v>
      </c>
      <c r="PG79" s="59">
        <f t="shared" si="968"/>
        <v>0</v>
      </c>
      <c r="PH79" s="59">
        <f t="shared" si="969"/>
        <v>0</v>
      </c>
      <c r="PI79" s="59">
        <f t="shared" si="970"/>
        <v>0</v>
      </c>
      <c r="PJ79" s="59">
        <f t="shared" si="971"/>
        <v>0</v>
      </c>
      <c r="PK79" s="59">
        <f t="shared" si="972"/>
        <v>0</v>
      </c>
      <c r="PL79" s="58">
        <f t="shared" si="973"/>
        <v>0</v>
      </c>
      <c r="PM79" s="45">
        <f t="shared" si="974"/>
        <v>100</v>
      </c>
      <c r="PN79" s="45">
        <f t="shared" si="699"/>
        <v>2.9390000000000001</v>
      </c>
      <c r="PO79" s="45">
        <f t="shared" si="975"/>
        <v>1</v>
      </c>
      <c r="PP79" s="45">
        <f t="shared" si="976"/>
        <v>2</v>
      </c>
      <c r="PQ79" s="45">
        <f t="shared" si="977"/>
        <v>0</v>
      </c>
      <c r="PR79" s="46" cm="1">
        <f t="array" ref="PR79">ROUND(IFERROR(INDEX(ArchiveResults!$F$5:$IX$116,ComparisonData!A79,ComparisonData!$PR$1),0),5)</f>
        <v>0</v>
      </c>
      <c r="PS79" s="46" cm="1">
        <f t="array" ref="PS79">ROUND(IFERROR(INDEX(ArchiveResults!$F$5:$IX$116,ComparisonData!A79,ComparisonData!$PS$1),0),5)</f>
        <v>0</v>
      </c>
      <c r="PT79" s="46" cm="1">
        <f t="array" ref="PT79">ROUND(IFERROR(INDEX(ArchiveResults!$F$5:$IX$116,ComparisonData!A79,ComparisonData!$PT$1),0),5)</f>
        <v>0</v>
      </c>
      <c r="PU79" s="46" cm="1">
        <f t="array" ref="PU79">ROUND(IFERROR(INDEX(ArchiveResults!$F$5:$IX$116,ComparisonData!A79,ComparisonData!$PU$1),0),5)</f>
        <v>0</v>
      </c>
      <c r="PV79" s="45" cm="1">
        <f t="array" ref="PV79">IFERROR(INDEX(ArchiveResults!$F$5:$IX$116,ComparisonData!A79,ComparisonData!$PV$1),0)</f>
        <v>0</v>
      </c>
      <c r="PW79" s="56">
        <v>74</v>
      </c>
      <c r="PX79" s="53" t="str">
        <f t="shared" si="700"/>
        <v>Science Museum Group: Science Museum Libray &amp; Archive, London</v>
      </c>
      <c r="PY79" s="59">
        <f t="shared" si="978"/>
        <v>0</v>
      </c>
      <c r="PZ79" s="59">
        <f t="shared" si="979"/>
        <v>0</v>
      </c>
      <c r="QA79" s="59">
        <f t="shared" si="980"/>
        <v>0</v>
      </c>
      <c r="QB79" s="59">
        <f t="shared" si="981"/>
        <v>0</v>
      </c>
      <c r="QC79" s="59">
        <f t="shared" si="982"/>
        <v>0</v>
      </c>
      <c r="QD79" s="58">
        <f t="shared" si="983"/>
        <v>0</v>
      </c>
      <c r="QE79" s="45">
        <f t="shared" si="984"/>
        <v>100</v>
      </c>
      <c r="QF79" s="45">
        <f t="shared" si="701"/>
        <v>2.9390000000000001</v>
      </c>
      <c r="QG79" s="45">
        <f t="shared" si="985"/>
        <v>1</v>
      </c>
      <c r="QH79" s="45">
        <f t="shared" si="986"/>
        <v>2</v>
      </c>
      <c r="QI79" s="45">
        <f t="shared" si="987"/>
        <v>0</v>
      </c>
      <c r="QJ79" s="46" cm="1">
        <f t="array" ref="QJ79">ROUND(IFERROR(INDEX(ArchiveResults!$F$5:$IX$116,ComparisonData!A79,ComparisonData!$QJ$1),0),5)</f>
        <v>0</v>
      </c>
      <c r="QK79" s="46" cm="1">
        <f t="array" ref="QK79">ROUND(IFERROR(INDEX(ArchiveResults!$F$5:$IX$116,ComparisonData!A79,ComparisonData!$QK$1),0),5)</f>
        <v>0</v>
      </c>
      <c r="QL79" s="46" cm="1">
        <f t="array" ref="QL79">ROUND(IFERROR(INDEX(ArchiveResults!$F$5:$IX$116,ComparisonData!A79,ComparisonData!$QL$1),0),5)</f>
        <v>0</v>
      </c>
      <c r="QM79" s="46" cm="1">
        <f t="array" ref="QM79">ROUND(IFERROR(INDEX(ArchiveResults!$F$5:$IX$116,ComparisonData!A79,ComparisonData!$QM$1),0),5)</f>
        <v>0</v>
      </c>
      <c r="QN79" s="45" cm="1">
        <f t="array" ref="QN79">IFERROR(INDEX(ArchiveResults!$F$5:$IX$116,ComparisonData!A79,ComparisonData!$QN$1),0)</f>
        <v>0</v>
      </c>
      <c r="QO79" s="56">
        <v>74</v>
      </c>
      <c r="QP79" s="53" t="str">
        <f t="shared" si="702"/>
        <v>Science Museum Group: Science Museum Libray &amp; Archive, London</v>
      </c>
      <c r="QQ79" s="59">
        <f t="shared" si="988"/>
        <v>0</v>
      </c>
      <c r="QR79" s="59">
        <f t="shared" si="989"/>
        <v>0</v>
      </c>
      <c r="QS79" s="59">
        <f t="shared" si="990"/>
        <v>0</v>
      </c>
      <c r="QT79" s="59">
        <f t="shared" si="991"/>
        <v>0</v>
      </c>
      <c r="QU79" s="59">
        <f t="shared" si="992"/>
        <v>0</v>
      </c>
      <c r="QV79" s="58">
        <f t="shared" si="993"/>
        <v>0</v>
      </c>
      <c r="QW79" s="45">
        <f t="shared" si="994"/>
        <v>100</v>
      </c>
      <c r="QX79" s="45">
        <f t="shared" si="703"/>
        <v>2.9390000000000001</v>
      </c>
      <c r="QY79" s="45">
        <f t="shared" si="995"/>
        <v>1</v>
      </c>
      <c r="QZ79" s="45">
        <f t="shared" si="996"/>
        <v>2</v>
      </c>
      <c r="RA79" s="45">
        <f t="shared" si="997"/>
        <v>0</v>
      </c>
      <c r="RB79" s="46" cm="1">
        <f t="array" ref="RB79">ROUND(IFERROR(INDEX(ArchiveResults!$F$5:$IX$116,ComparisonData!A79,ComparisonData!$RB$1),0),5)</f>
        <v>0</v>
      </c>
      <c r="RC79" s="46" cm="1">
        <f t="array" ref="RC79">ROUND(IFERROR(INDEX(ArchiveResults!$F$5:$IX$116,ComparisonData!A79,ComparisonData!$RC$1),0),5)</f>
        <v>0</v>
      </c>
      <c r="RD79" s="46" cm="1">
        <f t="array" ref="RD79">ROUND(IFERROR(INDEX(ArchiveResults!$F$5:$IX$116,ComparisonData!A79,ComparisonData!$RD$1),0),5)</f>
        <v>0</v>
      </c>
      <c r="RE79" s="46" cm="1">
        <f t="array" ref="RE79">ROUND(IFERROR(INDEX(ArchiveResults!$F$5:$IX$116,ComparisonData!A79,ComparisonData!$RE$1),0),5)</f>
        <v>0</v>
      </c>
      <c r="RF79" s="45" cm="1">
        <f t="array" ref="RF79">IFERROR(INDEX(ArchiveResults!$F$5:$IX$116,ComparisonData!A79,ComparisonData!$RF$1),0)</f>
        <v>0</v>
      </c>
      <c r="RG79" s="56">
        <v>74</v>
      </c>
      <c r="RH79" s="53" t="str">
        <f t="shared" si="704"/>
        <v>Science Museum Group: Science Museum Libray &amp; Archive, London</v>
      </c>
      <c r="RI79" s="59">
        <f t="shared" si="998"/>
        <v>0</v>
      </c>
      <c r="RJ79" s="59">
        <f t="shared" si="999"/>
        <v>0</v>
      </c>
      <c r="RK79" s="59">
        <f t="shared" si="1000"/>
        <v>0</v>
      </c>
      <c r="RL79" s="59">
        <f t="shared" si="1001"/>
        <v>0</v>
      </c>
      <c r="RM79" s="59">
        <f t="shared" si="1002"/>
        <v>0</v>
      </c>
      <c r="RN79" s="58">
        <f t="shared" si="1003"/>
        <v>0</v>
      </c>
      <c r="RO79" s="45">
        <f t="shared" si="1004"/>
        <v>100</v>
      </c>
      <c r="RP79" s="45">
        <f t="shared" si="705"/>
        <v>2.9390000000000001</v>
      </c>
      <c r="RQ79" s="45">
        <f t="shared" si="1005"/>
        <v>1</v>
      </c>
      <c r="RR79" s="45">
        <f t="shared" si="1006"/>
        <v>2</v>
      </c>
      <c r="RS79" s="45">
        <f t="shared" si="1007"/>
        <v>0</v>
      </c>
      <c r="RT79" s="46" cm="1">
        <f t="array" ref="RT79">ROUND(IFERROR(INDEX(ArchiveResults!$F$5:$IX$116,ComparisonData!A79,ComparisonData!$RT$1),0),5)</f>
        <v>0</v>
      </c>
      <c r="RU79" s="46" cm="1">
        <f t="array" ref="RU79">ROUND(IFERROR(INDEX(ArchiveResults!$F$5:$IX$116,ComparisonData!A79,ComparisonData!$RU$1),0),5)</f>
        <v>0</v>
      </c>
      <c r="RV79" s="46" cm="1">
        <f t="array" ref="RV79">ROUND(IFERROR(INDEX(ArchiveResults!$F$5:$IX$116,ComparisonData!A79,ComparisonData!$RV$1),0),5)</f>
        <v>0</v>
      </c>
      <c r="RW79" s="46" cm="1">
        <f t="array" ref="RW79">ROUND(IFERROR(INDEX(ArchiveResults!$F$5:$IX$116,ComparisonData!A79,ComparisonData!$RW$1),0),5)</f>
        <v>0</v>
      </c>
      <c r="RX79" s="45" cm="1">
        <f t="array" ref="RX79">IFERROR(INDEX(ArchiveResults!$F$5:$IX$116,ComparisonData!A79,ComparisonData!$RX$1),0)</f>
        <v>0</v>
      </c>
      <c r="RY79" s="56">
        <v>74</v>
      </c>
      <c r="RZ79" s="53" t="str">
        <f t="shared" si="706"/>
        <v>Science Museum Group: Science Museum Libray &amp; Archive, London</v>
      </c>
      <c r="SA79" s="59">
        <f t="shared" si="1008"/>
        <v>0</v>
      </c>
      <c r="SB79" s="59">
        <f t="shared" si="1009"/>
        <v>0</v>
      </c>
      <c r="SC79" s="59">
        <f t="shared" si="1010"/>
        <v>0</v>
      </c>
      <c r="SD79" s="59">
        <f t="shared" si="1011"/>
        <v>0</v>
      </c>
      <c r="SE79" s="59">
        <f t="shared" si="1012"/>
        <v>0</v>
      </c>
      <c r="SF79" s="58">
        <f t="shared" si="1013"/>
        <v>0</v>
      </c>
      <c r="SG79" s="45">
        <f t="shared" si="1014"/>
        <v>100</v>
      </c>
      <c r="SH79" s="45">
        <f t="shared" si="707"/>
        <v>2.9390000000000001</v>
      </c>
      <c r="SI79" s="45">
        <f t="shared" si="1015"/>
        <v>1</v>
      </c>
      <c r="SJ79" s="45">
        <f t="shared" si="1016"/>
        <v>2</v>
      </c>
      <c r="SK79" s="45">
        <f t="shared" si="1017"/>
        <v>0</v>
      </c>
      <c r="SL79" s="46" cm="1">
        <f t="array" ref="SL79">ROUND(IFERROR(INDEX(ArchiveResults!$F$5:$IX$116,ComparisonData!A79,ComparisonData!$SL$1),0),5)</f>
        <v>0</v>
      </c>
      <c r="SM79" s="46" cm="1">
        <f t="array" ref="SM79">ROUND(IFERROR(INDEX(ArchiveResults!$F$5:$IX$116,ComparisonData!A79,ComparisonData!$SM$1),0),5)</f>
        <v>0</v>
      </c>
      <c r="SN79" s="46" cm="1">
        <f t="array" ref="SN79">ROUND(IFERROR(INDEX(ArchiveResults!$F$5:$IX$116,ComparisonData!A79,ComparisonData!$SN$1),0),5)</f>
        <v>0</v>
      </c>
      <c r="SO79" s="46" cm="1">
        <f t="array" ref="SO79">ROUND(IFERROR(INDEX(ArchiveResults!$F$5:$IX$116,ComparisonData!A79,ComparisonData!$SO$1),0),5)</f>
        <v>0</v>
      </c>
      <c r="SP79" s="45" cm="1">
        <f t="array" ref="SP79">IFERROR(INDEX(ArchiveResults!$F$5:$IX$116,ComparisonData!A79,ComparisonData!$SP$1),0)</f>
        <v>0</v>
      </c>
      <c r="SQ79" s="56">
        <v>74</v>
      </c>
      <c r="SR79" s="53" t="str">
        <f t="shared" si="708"/>
        <v>Science Museum Group: Science Museum Libray &amp; Archive, London</v>
      </c>
      <c r="SS79" s="59">
        <f t="shared" si="1018"/>
        <v>0</v>
      </c>
      <c r="ST79" s="59">
        <f t="shared" si="1019"/>
        <v>0</v>
      </c>
      <c r="SU79" s="59">
        <f t="shared" si="1020"/>
        <v>0</v>
      </c>
      <c r="SV79" s="59">
        <f t="shared" si="1021"/>
        <v>0</v>
      </c>
      <c r="SW79" s="59">
        <f t="shared" si="1022"/>
        <v>0</v>
      </c>
      <c r="SX79" s="58">
        <f t="shared" si="1023"/>
        <v>0</v>
      </c>
      <c r="SY79" s="45">
        <f t="shared" si="1024"/>
        <v>100</v>
      </c>
      <c r="SZ79" s="45">
        <f t="shared" si="709"/>
        <v>2.9390000000000001</v>
      </c>
      <c r="TA79" s="45">
        <f t="shared" si="1025"/>
        <v>1</v>
      </c>
      <c r="TB79" s="45">
        <f t="shared" si="1026"/>
        <v>2</v>
      </c>
      <c r="TC79" s="45">
        <f t="shared" si="1027"/>
        <v>0</v>
      </c>
      <c r="TD79" s="46" cm="1">
        <f t="array" ref="TD79">ROUND(IFERROR(INDEX(ArchiveResults!$F$5:$IX$116,ComparisonData!A79,ComparisonData!$TD$1),0),5)</f>
        <v>0</v>
      </c>
      <c r="TE79" s="46" cm="1">
        <f t="array" ref="TE79">ROUND(IFERROR(INDEX(ArchiveResults!$F$5:$IX$116,ComparisonData!A79,ComparisonData!$TE$1),0),5)</f>
        <v>0</v>
      </c>
      <c r="TF79" s="46" cm="1">
        <f t="array" ref="TF79">ROUND(IFERROR(INDEX(ArchiveResults!$F$5:$IX$116,ComparisonData!A79,ComparisonData!$TF$1),0),5)</f>
        <v>0</v>
      </c>
      <c r="TG79" s="46" cm="1">
        <f t="array" ref="TG79">ROUND(IFERROR(INDEX(ArchiveResults!$F$5:$IX$116,ComparisonData!A79,ComparisonData!$TG$1),0),5)</f>
        <v>0</v>
      </c>
      <c r="TH79" s="45" cm="1">
        <f t="array" ref="TH79">IFERROR(INDEX(ArchiveResults!$F$5:$IX$116,ComparisonData!A79,ComparisonData!$TH$1),0)</f>
        <v>0</v>
      </c>
      <c r="TI79" s="56">
        <v>74</v>
      </c>
      <c r="TJ79" s="53" t="str">
        <f t="shared" si="710"/>
        <v>Science Museum Group: Science Museum Libray &amp; Archive, London</v>
      </c>
      <c r="TK79" s="59">
        <f t="shared" si="1028"/>
        <v>0</v>
      </c>
      <c r="TL79" s="59">
        <f t="shared" si="1029"/>
        <v>0</v>
      </c>
      <c r="TM79" s="59">
        <f t="shared" si="1030"/>
        <v>0</v>
      </c>
      <c r="TN79" s="59">
        <f t="shared" si="1031"/>
        <v>0</v>
      </c>
      <c r="TO79" s="59">
        <f t="shared" si="1032"/>
        <v>0</v>
      </c>
      <c r="TP79" s="58">
        <f t="shared" si="1033"/>
        <v>0</v>
      </c>
      <c r="TQ79" s="45">
        <f t="shared" si="1034"/>
        <v>100</v>
      </c>
      <c r="TR79" s="45">
        <f t="shared" si="711"/>
        <v>2.9390000000000001</v>
      </c>
      <c r="TS79" s="45">
        <f t="shared" si="1035"/>
        <v>1</v>
      </c>
      <c r="TT79" s="45">
        <f t="shared" si="1036"/>
        <v>2</v>
      </c>
      <c r="TU79" s="45">
        <f t="shared" si="1037"/>
        <v>0</v>
      </c>
      <c r="TV79" s="46" cm="1">
        <f t="array" ref="TV79">ROUND(IFERROR(INDEX(ArchiveResults!$F$5:$IX$116,ComparisonData!A79,ComparisonData!$TV$1),0),5)</f>
        <v>0</v>
      </c>
      <c r="TW79" s="46" cm="1">
        <f t="array" ref="TW79">ROUND(IFERROR(INDEX(ArchiveResults!$F$5:$IX$116,ComparisonData!A79,ComparisonData!$TW$1),0),5)</f>
        <v>0</v>
      </c>
      <c r="TX79" s="46" cm="1">
        <f t="array" ref="TX79">ROUND(IFERROR(INDEX(ArchiveResults!$F$5:$IX$116,ComparisonData!A79,ComparisonData!$TX$1),0),5)</f>
        <v>0</v>
      </c>
      <c r="TY79" s="46" cm="1">
        <f t="array" ref="TY79">ROUND(IFERROR(INDEX(ArchiveResults!$F$5:$IX$116,ComparisonData!A79,ComparisonData!$TY$1),0),5)</f>
        <v>0</v>
      </c>
      <c r="TZ79" s="45" cm="1">
        <f t="array" ref="TZ79">IFERROR(INDEX(ArchiveResults!$F$5:$IX$116,ComparisonData!A79,ComparisonData!$TZ$1),0)</f>
        <v>0</v>
      </c>
      <c r="UA79" s="56">
        <v>74</v>
      </c>
      <c r="UB79" s="53" t="str">
        <f t="shared" si="712"/>
        <v>Science Museum Group: Science Museum Libray &amp; Archive, London</v>
      </c>
      <c r="UC79" s="60">
        <f t="shared" si="1038"/>
        <v>0</v>
      </c>
      <c r="UD79" s="60">
        <f t="shared" si="1039"/>
        <v>0</v>
      </c>
      <c r="UE79" s="60">
        <f t="shared" si="1040"/>
        <v>0</v>
      </c>
      <c r="UF79" s="60">
        <f t="shared" si="1041"/>
        <v>0</v>
      </c>
      <c r="UG79" s="60">
        <f t="shared" si="1042"/>
        <v>0</v>
      </c>
      <c r="UH79" s="58">
        <f t="shared" si="1043"/>
        <v>0</v>
      </c>
      <c r="UI79" s="46">
        <f t="shared" si="1044"/>
        <v>100</v>
      </c>
      <c r="UJ79" s="46">
        <f t="shared" si="713"/>
        <v>2.9390000000000001</v>
      </c>
      <c r="UK79" s="46">
        <f t="shared" si="1045"/>
        <v>1</v>
      </c>
      <c r="UL79" s="46">
        <f t="shared" si="1046"/>
        <v>2</v>
      </c>
      <c r="UM79" s="46" cm="1">
        <f t="array" ref="UM79">ROUND(IFERROR(INDEX(ArchiveResults!$F$5:$IX$116,ComparisonData!A79,ComparisonData!$UM$1),0),5)</f>
        <v>0</v>
      </c>
      <c r="UN79" s="56">
        <v>74</v>
      </c>
      <c r="UO79" s="53" t="str">
        <f t="shared" si="714"/>
        <v>Science Museum Group: Science Museum Libray &amp; Archive, London</v>
      </c>
      <c r="UP79" s="46">
        <f t="shared" si="1047"/>
        <v>0</v>
      </c>
      <c r="UQ79" s="76">
        <f t="shared" si="1048"/>
        <v>0</v>
      </c>
      <c r="UR79" s="46">
        <f t="shared" si="1049"/>
        <v>100</v>
      </c>
      <c r="US79" s="46">
        <f t="shared" si="715"/>
        <v>2.9390000000000001</v>
      </c>
      <c r="UT79" s="46">
        <f t="shared" si="1050"/>
        <v>1</v>
      </c>
      <c r="UU79" s="46">
        <f t="shared" si="1051"/>
        <v>2</v>
      </c>
      <c r="UV79" s="46">
        <f t="shared" si="1052"/>
        <v>0</v>
      </c>
      <c r="UW79" s="46" cm="1">
        <f t="array" ref="UW79">ROUND(IFERROR(INDEX(ArchiveResults!$F$5:$IX$116,ComparisonData!A79,ComparisonData!$UW$1),0),5)</f>
        <v>0</v>
      </c>
      <c r="UX79" s="46" cm="1">
        <f t="array" ref="UX79">ROUND(IFERROR(INDEX(ArchiveResults!$F$5:$IX$116,ComparisonData!A79,ComparisonData!$UX$1),0),5)</f>
        <v>0</v>
      </c>
      <c r="UY79" s="46" cm="1">
        <f t="array" ref="UY79">ROUND(IFERROR(INDEX(ArchiveResults!$F$5:$IX$116,ComparisonData!A79,ComparisonData!$UY$1),0),5)</f>
        <v>0</v>
      </c>
      <c r="UZ79" s="46" cm="1">
        <f t="array" ref="UZ79">ROUND(IFERROR(INDEX(ArchiveResults!$F$5:$IX$116,ComparisonData!A79,ComparisonData!$UZ$1),0),5)</f>
        <v>0</v>
      </c>
      <c r="VA79" s="46" cm="1">
        <f t="array" ref="VA79">ROUND(IFERROR(INDEX(ArchiveResults!$F$5:$IX$116,ComparisonData!A79,ComparisonData!$VA$1),0),5)</f>
        <v>0</v>
      </c>
      <c r="VB79" s="56">
        <v>74</v>
      </c>
      <c r="VC79" s="53" t="str">
        <f t="shared" si="716"/>
        <v>Science Museum Group: Science Museum Libray &amp; Archive, London</v>
      </c>
      <c r="VD79" s="60">
        <f t="shared" si="1053"/>
        <v>0</v>
      </c>
      <c r="VE79" s="60">
        <f t="shared" si="1054"/>
        <v>0</v>
      </c>
      <c r="VF79" s="60">
        <f t="shared" si="1055"/>
        <v>0</v>
      </c>
      <c r="VG79" s="60">
        <f t="shared" si="1056"/>
        <v>0</v>
      </c>
      <c r="VH79" s="60">
        <f t="shared" si="1057"/>
        <v>0</v>
      </c>
      <c r="VI79" s="76">
        <f t="shared" si="1058"/>
        <v>0</v>
      </c>
      <c r="VJ79" s="46">
        <f t="shared" si="1059"/>
        <v>100</v>
      </c>
      <c r="VK79" s="46">
        <f t="shared" si="717"/>
        <v>2.9390000000000001</v>
      </c>
      <c r="VL79" s="46">
        <f t="shared" si="1060"/>
        <v>1</v>
      </c>
      <c r="VM79" s="46">
        <f t="shared" si="1061"/>
        <v>2</v>
      </c>
      <c r="VN79" s="46" cm="1">
        <f t="array" ref="VN79">ROUND(IFERROR(INDEX(ArchiveResults!$F$5:$IX$116,ComparisonData!A79,ComparisonData!$VN$1),0),5)</f>
        <v>0</v>
      </c>
      <c r="VO79" s="46" cm="1">
        <f t="array" ref="VO79">ROUND(IFERROR(INDEX(ArchiveResults!$F$5:$IX$116,ComparisonData!A79,ComparisonData!$VO$1),0),5)</f>
        <v>0</v>
      </c>
      <c r="VP79" s="46" cm="1">
        <f t="array" ref="VP79">ROUND(IFERROR(INDEX(ArchiveResults!$F$5:$IX$116,ComparisonData!A79,ComparisonData!$VP$1),0),5)</f>
        <v>0</v>
      </c>
      <c r="VQ79" s="46" cm="1">
        <f t="array" ref="VQ79">ROUND(IFERROR(INDEX(ArchiveResults!$F$5:$IX$116,ComparisonData!A79,ComparisonData!$VQ$1),0),5)</f>
        <v>0</v>
      </c>
      <c r="VR79" s="56">
        <v>74</v>
      </c>
      <c r="VS79" s="53" t="str">
        <f t="shared" si="718"/>
        <v>Science Museum Group: Science Museum Libray &amp; Archive, London</v>
      </c>
      <c r="VT79" s="60">
        <f t="shared" si="1062"/>
        <v>0</v>
      </c>
      <c r="VU79" s="60">
        <f t="shared" si="1063"/>
        <v>0</v>
      </c>
      <c r="VV79" s="60">
        <f t="shared" si="1064"/>
        <v>0</v>
      </c>
      <c r="VW79" s="60">
        <f t="shared" si="1065"/>
        <v>0</v>
      </c>
      <c r="VX79" s="76">
        <f t="shared" si="1066"/>
        <v>0</v>
      </c>
      <c r="VY79" s="46">
        <f t="shared" si="1067"/>
        <v>100</v>
      </c>
      <c r="VZ79" s="46">
        <f t="shared" si="719"/>
        <v>2.9390000000000001</v>
      </c>
      <c r="WA79" s="46">
        <f t="shared" si="1068"/>
        <v>1</v>
      </c>
      <c r="WB79" s="46">
        <f t="shared" si="1069"/>
        <v>2</v>
      </c>
      <c r="WC79" s="46" cm="1">
        <f t="array" ref="WC79">ROUND(IFERROR(INDEX(ArchiveResults!$F$5:$IX$116,ComparisonData!A79,ComparisonData!$WC$1),0),5)</f>
        <v>0</v>
      </c>
      <c r="WD79" s="56">
        <v>74</v>
      </c>
      <c r="WE79" s="53" t="str">
        <f t="shared" si="720"/>
        <v>Science Museum Group: Science Museum Libray &amp; Archive, London</v>
      </c>
      <c r="WF79" s="46">
        <f t="shared" si="1070"/>
        <v>0</v>
      </c>
      <c r="WG79" s="76">
        <f t="shared" si="1071"/>
        <v>0</v>
      </c>
      <c r="WH79" s="46">
        <f t="shared" si="1072"/>
        <v>100</v>
      </c>
      <c r="WI79" s="46">
        <f t="shared" si="721"/>
        <v>2.9390000000000001</v>
      </c>
      <c r="WJ79" s="46">
        <f t="shared" si="1073"/>
        <v>1</v>
      </c>
      <c r="WK79" s="46">
        <f t="shared" si="1074"/>
        <v>2</v>
      </c>
      <c r="WL79" s="46" cm="1">
        <f t="array" ref="WL79">ROUND(IFERROR(INDEX(ArchiveResults!$F$5:$IX$116,ComparisonData!A79,ComparisonData!$WL$1),0),5)</f>
        <v>0</v>
      </c>
      <c r="WM79" s="46" cm="1">
        <f t="array" ref="WM79">IFERROR(INDEX(ArchiveResults!$F$5:$IX$116,ComparisonData!A79,ComparisonData!$WM$1),0)</f>
        <v>0</v>
      </c>
      <c r="WN79" s="56">
        <v>74</v>
      </c>
      <c r="WO79" s="53" t="str">
        <f t="shared" si="722"/>
        <v>Science Museum Group: Science Museum Libray &amp; Archive, London</v>
      </c>
      <c r="WP79" s="60">
        <f t="shared" si="1075"/>
        <v>0</v>
      </c>
      <c r="WQ79" s="60">
        <f t="shared" si="1076"/>
        <v>0</v>
      </c>
      <c r="WR79" s="76">
        <f t="shared" si="1077"/>
        <v>0</v>
      </c>
      <c r="WS79" s="46">
        <f t="shared" si="1078"/>
        <v>100</v>
      </c>
      <c r="WT79" s="46">
        <f t="shared" si="723"/>
        <v>2.9390000000000001</v>
      </c>
      <c r="WU79" s="46">
        <f t="shared" si="1079"/>
        <v>1</v>
      </c>
      <c r="WV79" s="46">
        <f t="shared" si="1080"/>
        <v>2</v>
      </c>
      <c r="WW79" s="46" cm="1">
        <f t="array" ref="WW79">ROUND(VALUE(IFERROR(INDEX(ArchiveResults!$F$5:$IX$116,ComparisonData!A79,ComparisonData!$WW$1),0)),5)</f>
        <v>0</v>
      </c>
      <c r="WX79" s="46" cm="1">
        <f t="array" ref="WX79">ROUND(IFERROR(INDEX(ArchiveResults!$F$5:$IX$116,ComparisonData!A79,ComparisonData!$WX$1),0),5)</f>
        <v>0</v>
      </c>
      <c r="WY79" s="56">
        <v>74</v>
      </c>
      <c r="WZ79" s="53" t="str">
        <f t="shared" si="724"/>
        <v>Science Museum Group: Science Museum Libray &amp; Archive, London</v>
      </c>
      <c r="XA79" s="60">
        <f t="shared" si="725"/>
        <v>0</v>
      </c>
      <c r="XB79" s="60">
        <f t="shared" si="726"/>
        <v>0</v>
      </c>
      <c r="XC79" s="76">
        <f t="shared" si="1081"/>
        <v>0</v>
      </c>
      <c r="XD79" s="46">
        <f t="shared" si="1082"/>
        <v>100</v>
      </c>
      <c r="XE79" s="46">
        <f t="shared" si="727"/>
        <v>2.9390000000000001</v>
      </c>
      <c r="XF79" s="46">
        <f t="shared" si="1083"/>
        <v>1</v>
      </c>
      <c r="XG79" s="46">
        <f t="shared" si="1084"/>
        <v>2</v>
      </c>
      <c r="XH79" s="46" cm="1">
        <f t="array" ref="XH79">ROUND(VALUE(IFERROR(INDEX(ArchiveResults!$F$5:$IX$116,ComparisonData!A79,ComparisonData!$XH$1),0)),5)</f>
        <v>0</v>
      </c>
      <c r="XI79" s="46" cm="1">
        <f t="array" ref="XI79">ROUND(VALUE(IFERROR(INDEX(ArchiveResults!$F$5:$IX$116,ComparisonData!A79,ComparisonData!$XI$1),0)),5)</f>
        <v>0</v>
      </c>
      <c r="XJ79" s="56">
        <v>74</v>
      </c>
      <c r="XK79" s="53" t="str">
        <f t="shared" si="728"/>
        <v>Science Museum Group: Science Museum Libray &amp; Archive, London</v>
      </c>
      <c r="XL79" s="60">
        <f t="shared" si="1085"/>
        <v>0</v>
      </c>
      <c r="XM79" s="60">
        <f t="shared" si="1086"/>
        <v>0</v>
      </c>
      <c r="XN79" s="76">
        <f t="shared" si="1087"/>
        <v>0</v>
      </c>
      <c r="XO79" s="46">
        <f t="shared" si="1088"/>
        <v>100</v>
      </c>
      <c r="XP79" s="46">
        <f t="shared" si="729"/>
        <v>2.9390000000000001</v>
      </c>
      <c r="XQ79" s="46">
        <f t="shared" si="1089"/>
        <v>1</v>
      </c>
      <c r="XR79" s="46">
        <f t="shared" si="1090"/>
        <v>2</v>
      </c>
      <c r="XS79" s="46" cm="1">
        <f t="array" ref="XS79">ROUND(VALUE(IFERROR(INDEX(ArchiveResults!$F$5:$IX$116,ComparisonData!A79,ComparisonData!$XS$1),0)),5)</f>
        <v>0</v>
      </c>
      <c r="XT79" s="46" cm="1">
        <f t="array" ref="XT79">ROUND(VALUE(IFERROR(INDEX(ArchiveResults!$F$5:$IX$116,ComparisonData!A79,ComparisonData!$XT$1),0)),5)</f>
        <v>0</v>
      </c>
      <c r="XU79" s="56">
        <v>74</v>
      </c>
      <c r="XV79" s="53" t="str">
        <f t="shared" si="730"/>
        <v>Science Museum Group: Science Museum Libray &amp; Archive, London</v>
      </c>
      <c r="XW79" s="60">
        <f t="shared" si="1091"/>
        <v>0</v>
      </c>
      <c r="XX79" s="60">
        <f t="shared" si="1092"/>
        <v>0</v>
      </c>
      <c r="XY79" s="76">
        <f t="shared" si="1093"/>
        <v>0</v>
      </c>
      <c r="XZ79" s="46">
        <f t="shared" si="1094"/>
        <v>100</v>
      </c>
      <c r="YA79" s="46">
        <f t="shared" si="731"/>
        <v>2.9390000000000001</v>
      </c>
      <c r="YB79" s="46">
        <f t="shared" si="1095"/>
        <v>1</v>
      </c>
      <c r="YC79" s="46">
        <f t="shared" si="1096"/>
        <v>2</v>
      </c>
      <c r="YD79" s="46" cm="1">
        <f t="array" ref="YD79">ROUND(VALUE(IFERROR(INDEX(ArchiveResults!$F$5:$IX$116,ComparisonData!A79,ComparisonData!$YD$1),0)),5)</f>
        <v>0</v>
      </c>
      <c r="YE79" s="46" cm="1">
        <f t="array" ref="YE79">ROUND(VALUE(IFERROR(INDEX(ArchiveResults!$F$5:$IX$116,ComparisonData!A79,ComparisonData!$YE$1),0)),5)</f>
        <v>0</v>
      </c>
      <c r="YF79" s="56">
        <v>74</v>
      </c>
      <c r="YG79" s="53" t="str">
        <f t="shared" si="732"/>
        <v>Science Museum Group: Science Museum Libray &amp; Archive, London</v>
      </c>
      <c r="YH79" s="60">
        <f t="shared" si="1097"/>
        <v>0</v>
      </c>
      <c r="YI79" s="60">
        <f t="shared" si="1098"/>
        <v>0</v>
      </c>
      <c r="YJ79" s="76">
        <f t="shared" si="1099"/>
        <v>0</v>
      </c>
      <c r="YK79" s="46">
        <f t="shared" si="1100"/>
        <v>100</v>
      </c>
      <c r="YL79" s="46">
        <f t="shared" si="733"/>
        <v>2.9390000000000001</v>
      </c>
      <c r="YM79" s="46">
        <f t="shared" si="1101"/>
        <v>1</v>
      </c>
      <c r="YN79" s="46">
        <f t="shared" si="1102"/>
        <v>2</v>
      </c>
      <c r="YO79" s="46" cm="1">
        <f t="array" ref="YO79">ROUND(VALUE(IFERROR(INDEX(ArchiveResults!$F$5:$IX$116,ComparisonData!A79,ComparisonData!$YO$1),0)),5)</f>
        <v>0</v>
      </c>
      <c r="YP79" s="46" cm="1">
        <f t="array" ref="YP79">ROUND(VALUE(IFERROR(INDEX(ArchiveResults!$F$5:$IX$116,ComparisonData!A79,ComparisonData!$YP$1),0)),5)</f>
        <v>0</v>
      </c>
      <c r="YQ79" s="56">
        <v>74</v>
      </c>
      <c r="YR79" s="53" t="str">
        <f t="shared" si="734"/>
        <v>Science Museum Group: Science Museum Libray &amp; Archive, London</v>
      </c>
      <c r="YS79" s="60">
        <f t="shared" si="1103"/>
        <v>0</v>
      </c>
      <c r="YT79" s="60">
        <f t="shared" si="1104"/>
        <v>0</v>
      </c>
      <c r="YU79" s="76">
        <f t="shared" si="1105"/>
        <v>0</v>
      </c>
      <c r="YV79" s="46">
        <f t="shared" si="1106"/>
        <v>100</v>
      </c>
      <c r="YW79" s="46">
        <f t="shared" si="735"/>
        <v>2.9390000000000001</v>
      </c>
      <c r="YX79" s="46">
        <f t="shared" si="1107"/>
        <v>1</v>
      </c>
      <c r="YY79" s="46">
        <f>RANK(YZ79,$YZ$6:$YZ$117)</f>
        <v>2</v>
      </c>
      <c r="YZ79" s="46">
        <f t="shared" si="1109"/>
        <v>0</v>
      </c>
      <c r="ZA79" s="89" cm="1">
        <f t="array" ref="ZA79">ROUNDDOWN(VALUE(IFERROR(INDEX(ArchiveResults!$F$5:$IX$116,ComparisonData!A79,ComparisonData!$ZA$1),0)),5)</f>
        <v>0</v>
      </c>
      <c r="ZB79" s="46" cm="1">
        <f t="array" ref="ZB79">ROUNDDOWN(VALUE(IFERROR(INDEX(ArchiveResults!$F$5:$IX$116,ComparisonData!A79,ComparisonData!$ZB$1),0)),5)</f>
        <v>0</v>
      </c>
      <c r="ZC79" s="46" cm="1">
        <f t="array" ref="ZC79">ROUNDDOWN(VALUE(IFERROR(INDEX(ArchiveResults!$F$5:$IX$116,ComparisonData!A79,ComparisonData!$ZC$1),0)),5)</f>
        <v>0</v>
      </c>
      <c r="ZD79" s="46" cm="1">
        <f t="array" ref="ZD79">ROUNDDOWN(VALUE(IFERROR(INDEX(ArchiveResults!$F$5:$IX$116,ComparisonData!A79,ComparisonData!$ZD$1),0)),5)</f>
        <v>0</v>
      </c>
      <c r="ZE79" s="46" cm="1">
        <f t="array" ref="ZE79">ROUNDDOWN(VALUE(IFERROR(INDEX(ArchiveResults!$F$5:$IX$116,ComparisonData!A79,ComparisonData!$ZE$1),0)),5)</f>
        <v>0</v>
      </c>
      <c r="ZF79" s="56">
        <v>74</v>
      </c>
      <c r="ZG79" s="53" t="str">
        <f t="shared" si="736"/>
        <v>Science Museum Group: Science Museum Libray &amp; Archive, London</v>
      </c>
      <c r="ZH79" s="60">
        <f t="shared" si="1110"/>
        <v>0</v>
      </c>
      <c r="ZI79" s="60">
        <f t="shared" si="1111"/>
        <v>0</v>
      </c>
      <c r="ZJ79" s="60">
        <f t="shared" si="1112"/>
        <v>0</v>
      </c>
      <c r="ZK79" s="60">
        <f t="shared" si="1113"/>
        <v>0</v>
      </c>
      <c r="ZL79" s="60">
        <f t="shared" si="1114"/>
        <v>0</v>
      </c>
      <c r="ZM79" s="76">
        <f t="shared" si="1115"/>
        <v>0</v>
      </c>
      <c r="ZN79" s="46">
        <f t="shared" si="1116"/>
        <v>100</v>
      </c>
      <c r="ZO79" s="46">
        <f t="shared" si="737"/>
        <v>2.9390000000000001</v>
      </c>
      <c r="ZP79" s="46">
        <f t="shared" si="1117"/>
        <v>1</v>
      </c>
      <c r="ZQ79" s="46">
        <f t="shared" si="1118"/>
        <v>2</v>
      </c>
      <c r="ZR79" s="46" cm="1">
        <f t="array" ref="ZR79">ROUND(VALUE(IFERROR(INDEX(ArchiveResults!$F$5:$IX$116,ComparisonData!A79,ComparisonData!$ZR$1),0)),5)</f>
        <v>0</v>
      </c>
      <c r="ZS79" s="56">
        <v>74</v>
      </c>
      <c r="ZT79" s="53" t="str">
        <f t="shared" si="738"/>
        <v>Science Museum Group: Science Museum Libray &amp; Archive, London</v>
      </c>
      <c r="ZU79" s="46">
        <f t="shared" si="1119"/>
        <v>0</v>
      </c>
      <c r="ZV79" s="76">
        <f t="shared" si="1120"/>
        <v>0</v>
      </c>
      <c r="ZW79" s="81" cm="1">
        <f t="array" ref="ZW79">ROUND((IFERROR(INDEX(ArchiveResults!$F$5:$IX$116,ComparisonData!A79,ComparisonData!$ZW$1),0)),5)</f>
        <v>0</v>
      </c>
      <c r="ZX79" s="81" cm="1">
        <f t="array" ref="ZX79">ROUND((IFERROR(INDEX(ArchiveResults!$F$5:$IX$116,ComparisonData!A79,ComparisonData!$ZX$1),0)),5)</f>
        <v>0</v>
      </c>
      <c r="ZY79" s="81" cm="1">
        <f t="array" ref="ZY79">ROUND((IFERROR(INDEX(ArchiveResults!$F$5:$IX$116,ComparisonData!A79,ComparisonData!$ZY$1),0)),5)</f>
        <v>0</v>
      </c>
      <c r="ZZ79" s="81" cm="1">
        <f t="array" ref="ZZ79">ROUND((IFERROR(INDEX(ArchiveResults!$F$5:$IX$116,ComparisonData!A79,ComparisonData!$ZZ$1),0)),5)</f>
        <v>0</v>
      </c>
      <c r="AAA79" s="81" cm="1">
        <f t="array" ref="AAA79">ROUND((IFERROR(INDEX(ArchiveResults!$F$5:$IX$116,ComparisonData!A79,ComparisonData!$AAA$1),0)),5)</f>
        <v>0</v>
      </c>
      <c r="AAB79" s="81" cm="1">
        <f t="array" ref="AAB79">ROUND((IFERROR(INDEX(ArchiveResults!$F$5:$IX$116,ComparisonData!A79,ComparisonData!$AAB$1),0)),5)</f>
        <v>0</v>
      </c>
      <c r="AAC79" s="81" cm="1">
        <f t="array" ref="AAC79">ROUND((IFERROR(INDEX(ArchiveResults!$F$5:$IX$116,ComparisonData!A79,ComparisonData!$AAC$1),0)),5)</f>
        <v>0</v>
      </c>
      <c r="AAD79" s="81" cm="1">
        <f t="array" ref="AAD79">ROUND((IFERROR(INDEX(ArchiveResults!$F$5:$IX$116,ComparisonData!A79,ComparisonData!$AAD$1),0)),5)</f>
        <v>0</v>
      </c>
      <c r="AAE79" s="81" cm="1">
        <f t="array" ref="AAE79">ROUND((IFERROR(INDEX(ArchiveResults!$F$5:$IX$116,ComparisonData!A79,ComparisonData!$AAE$1),0)),5)</f>
        <v>0</v>
      </c>
      <c r="AAF79" s="81" cm="1">
        <f t="array" ref="AAF79">ROUND((IFERROR(INDEX(ArchiveResults!$F$5:$IX$116,ComparisonData!A79,ComparisonData!$AAF$1),0)),5)</f>
        <v>0</v>
      </c>
      <c r="AAG79" s="46">
        <f t="shared" si="1121"/>
        <v>100</v>
      </c>
      <c r="AAH79" s="46">
        <f t="shared" si="739"/>
        <v>2.9390000000000001</v>
      </c>
      <c r="AAI79" s="46">
        <f t="shared" si="1122"/>
        <v>1</v>
      </c>
      <c r="AAJ79" s="46">
        <f t="shared" si="1123"/>
        <v>2</v>
      </c>
      <c r="AAK79" s="46">
        <f t="shared" si="1124"/>
        <v>0</v>
      </c>
      <c r="AAL79" s="46">
        <f t="shared" si="1125"/>
        <v>0</v>
      </c>
      <c r="AAM79" s="46">
        <f t="shared" si="1126"/>
        <v>0</v>
      </c>
      <c r="AAN79" s="46">
        <f t="shared" si="1127"/>
        <v>0</v>
      </c>
      <c r="AAO79" s="46">
        <f t="shared" si="1128"/>
        <v>0</v>
      </c>
      <c r="AAP79" s="46">
        <f t="shared" si="1129"/>
        <v>0</v>
      </c>
      <c r="AAQ79" s="56">
        <v>74</v>
      </c>
      <c r="AAR79" s="53" t="str">
        <f t="shared" si="740"/>
        <v>Science Museum Group: Science Museum Libray &amp; Archive, London</v>
      </c>
      <c r="AAS79" s="60">
        <f t="shared" si="1130"/>
        <v>0</v>
      </c>
      <c r="AAT79" s="60">
        <f t="shared" si="1131"/>
        <v>0</v>
      </c>
      <c r="AAU79" s="60">
        <f t="shared" si="1132"/>
        <v>0</v>
      </c>
      <c r="AAV79" s="60">
        <f t="shared" si="1133"/>
        <v>0</v>
      </c>
      <c r="AAW79" s="60">
        <f t="shared" si="1134"/>
        <v>0</v>
      </c>
      <c r="AAX79" s="76">
        <f t="shared" si="1135"/>
        <v>0</v>
      </c>
      <c r="AAY79" s="46">
        <f t="shared" si="1136"/>
        <v>100</v>
      </c>
      <c r="AAZ79" s="46">
        <f t="shared" si="741"/>
        <v>2.9390000000000001</v>
      </c>
      <c r="ABA79" s="46">
        <f t="shared" si="1137"/>
        <v>1</v>
      </c>
      <c r="ABB79" s="46">
        <f t="shared" si="1138"/>
        <v>2</v>
      </c>
      <c r="ABC79" s="46">
        <f t="shared" si="742"/>
        <v>0</v>
      </c>
      <c r="ABD79" s="46" cm="1">
        <f t="array" ref="ABD79">ROUND(VALUE(IFERROR(INDEX(ArchiveResults!$F$5:$IX$116,ComparisonData!A79,ComparisonData!$ABD$1),0)),5)</f>
        <v>0</v>
      </c>
      <c r="ABE79" s="46" cm="1">
        <f t="array" ref="ABE79">ROUND(VALUE(IFERROR(INDEX(ArchiveResults!$F$5:$IX$116,ComparisonData!A79,ComparisonData!$ABE$1),0)),5)</f>
        <v>0</v>
      </c>
      <c r="ABF79" s="46" cm="1">
        <f t="array" ref="ABF79">ROUND(VALUE(IFERROR(INDEX(ArchiveResults!$F$5:$IX$116,ComparisonData!A79,ComparisonData!$ABF$1),0)),5)</f>
        <v>0</v>
      </c>
      <c r="ABG79" s="46" cm="1">
        <f t="array" ref="ABG79">ROUND(VALUE(IFERROR(INDEX(ArchiveResults!$F$5:$IX$116,ComparisonData!A79,ComparisonData!$ABG$1),0)),5)</f>
        <v>0</v>
      </c>
      <c r="ABH79" s="46" cm="1">
        <f t="array" ref="ABH79">ROUND(VALUE(IFERROR(INDEX(ArchiveResults!$F$5:$IX$116,ComparisonData!A79,ComparisonData!$ABH$1),0)),5)</f>
        <v>0</v>
      </c>
      <c r="ABI79" s="56">
        <v>74</v>
      </c>
      <c r="ABJ79" s="53" t="str">
        <f t="shared" si="743"/>
        <v>Science Museum Group: Science Museum Libray &amp; Archive, London</v>
      </c>
      <c r="ABK79" s="60">
        <f t="shared" si="1139"/>
        <v>0</v>
      </c>
      <c r="ABL79" s="60">
        <f t="shared" si="1140"/>
        <v>0</v>
      </c>
      <c r="ABM79" s="60">
        <f t="shared" si="1141"/>
        <v>0</v>
      </c>
      <c r="ABN79" s="60">
        <f t="shared" si="1142"/>
        <v>0</v>
      </c>
      <c r="ABO79" s="60">
        <f t="shared" si="1143"/>
        <v>0</v>
      </c>
      <c r="ABP79" s="76">
        <f t="shared" si="1144"/>
        <v>0</v>
      </c>
      <c r="ABQ79" s="46">
        <f t="shared" si="1145"/>
        <v>100</v>
      </c>
      <c r="ABR79" s="46">
        <f t="shared" si="744"/>
        <v>2.9390000000000001</v>
      </c>
      <c r="ABS79" s="46">
        <f t="shared" si="1146"/>
        <v>1</v>
      </c>
      <c r="ABT79" s="46">
        <f t="shared" si="1147"/>
        <v>2</v>
      </c>
      <c r="ABU79" s="46" cm="1">
        <f t="array" ref="ABU79">ROUND(VALUE(IFERROR(INDEX(ArchiveResults!$F$5:$IX$116,ComparisonData!A79,ComparisonData!$ABU$1),0)),5)</f>
        <v>0</v>
      </c>
      <c r="ABV79" s="46" cm="1">
        <f t="array" ref="ABV79">ROUND(VALUE(IFERROR(INDEX(ArchiveResults!$F$5:$IX$116,ComparisonData!A79,ComparisonData!$ABV$1),0)),5)</f>
        <v>0</v>
      </c>
      <c r="ABW79" s="46" cm="1">
        <f t="array" ref="ABW79">ROUND(VALUE(IFERROR(INDEX(ArchiveResults!$F$5:$IX$116,ComparisonData!A79,ComparisonData!$ABW$1),0)),5)</f>
        <v>0</v>
      </c>
      <c r="ABX79" s="46" cm="1">
        <f t="array" ref="ABX79">ROUND(VALUE(IFERROR(INDEX(ArchiveResults!$F$5:$IX$116,ComparisonData!A79,ComparisonData!$ABX$1),0)),5)</f>
        <v>0</v>
      </c>
      <c r="ABY79" s="46" cm="1">
        <f t="array" ref="ABY79">ROUND(VALUE(IFERROR(INDEX(ArchiveResults!$F$5:$IX$116,ComparisonData!A79,ComparisonData!$ABY$1),0)),5)</f>
        <v>0</v>
      </c>
      <c r="ABZ79" s="56">
        <v>74</v>
      </c>
      <c r="ACA79" s="53" t="str">
        <f t="shared" si="745"/>
        <v>Science Museum Group: Science Museum Libray &amp; Archive, London</v>
      </c>
      <c r="ACB79" s="60">
        <f t="shared" si="1148"/>
        <v>0</v>
      </c>
      <c r="ACC79" s="60">
        <f t="shared" si="1149"/>
        <v>0</v>
      </c>
      <c r="ACD79" s="60">
        <f t="shared" si="1150"/>
        <v>0</v>
      </c>
      <c r="ACE79" s="60">
        <f t="shared" si="1151"/>
        <v>0</v>
      </c>
      <c r="ACF79" s="60">
        <f t="shared" si="1152"/>
        <v>0</v>
      </c>
      <c r="ACG79" s="76">
        <f t="shared" si="1153"/>
        <v>0</v>
      </c>
      <c r="ACH79" s="46">
        <f t="shared" si="1154"/>
        <v>100</v>
      </c>
      <c r="ACI79" s="46">
        <f t="shared" si="746"/>
        <v>2.9390000000000001</v>
      </c>
      <c r="ACJ79" s="46">
        <f t="shared" si="1155"/>
        <v>1</v>
      </c>
      <c r="ACK79" s="46">
        <f t="shared" si="1156"/>
        <v>2</v>
      </c>
      <c r="ACL79" s="46">
        <f t="shared" si="1157"/>
        <v>0</v>
      </c>
      <c r="ACM79" s="46" cm="1">
        <f t="array" ref="ACM79">ROUND(IFERROR(INDEX(ArchiveResults!$F$5:$IX$116,ComparisonData!A79,ComparisonData!$ACM$1),0),5)</f>
        <v>0</v>
      </c>
      <c r="ACN79" s="46" cm="1">
        <f t="array" ref="ACN79">ROUND(IFERROR(INDEX(ArchiveResults!$F$5:$IX$116,ComparisonData!A79,ComparisonData!$ACN$1),0),5)</f>
        <v>0</v>
      </c>
      <c r="ACO79" s="56">
        <v>74</v>
      </c>
      <c r="ACP79" s="53" t="str">
        <f t="shared" si="747"/>
        <v>Science Museum Group: Science Museum Libray &amp; Archive, London</v>
      </c>
      <c r="ACQ79" s="60">
        <f t="shared" si="1158"/>
        <v>0</v>
      </c>
      <c r="ACR79" s="60">
        <f t="shared" si="1159"/>
        <v>0</v>
      </c>
      <c r="ACS79" s="76">
        <f t="shared" si="1160"/>
        <v>0</v>
      </c>
      <c r="ACT79" s="46">
        <f t="shared" si="1161"/>
        <v>100</v>
      </c>
      <c r="ACU79" s="46">
        <f t="shared" si="748"/>
        <v>2.9390000000000001</v>
      </c>
      <c r="ACV79" s="46">
        <f t="shared" si="1162"/>
        <v>1</v>
      </c>
      <c r="ACW79" s="46">
        <f t="shared" si="1163"/>
        <v>2</v>
      </c>
      <c r="ACX79" s="46">
        <f t="shared" si="1164"/>
        <v>0</v>
      </c>
      <c r="ACY79" s="46" cm="1">
        <f t="array" ref="ACY79">ROUNDDOWN(IFERROR(INDEX(ArchiveResults!$F$5:$IX$116,ComparisonData!A79,ComparisonData!$ACY$1),0),5)</f>
        <v>0</v>
      </c>
      <c r="ACZ79" s="46" cm="1">
        <f t="array" ref="ACZ79">ROUNDDOWN(IFERROR(INDEX(ArchiveResults!$F$5:$IX$116,ComparisonData!A79,ComparisonData!$ACZ$1),0),5)</f>
        <v>0</v>
      </c>
      <c r="ADA79" s="46" cm="1">
        <f t="array" ref="ADA79">ROUNDDOWN(IFERROR(INDEX(ArchiveResults!$F$5:$IX$116,ComparisonData!A79,ComparisonData!$ADA$1),0),5)</f>
        <v>0</v>
      </c>
      <c r="ADB79" s="56">
        <v>74</v>
      </c>
      <c r="ADC79" s="53" t="str">
        <f t="shared" si="749"/>
        <v>Science Museum Group: Science Museum Libray &amp; Archive, London</v>
      </c>
      <c r="ADD79" s="60">
        <f t="shared" si="1165"/>
        <v>0</v>
      </c>
      <c r="ADE79" s="60">
        <f t="shared" si="1166"/>
        <v>0</v>
      </c>
      <c r="ADF79" s="60">
        <f t="shared" si="1167"/>
        <v>0</v>
      </c>
      <c r="ADG79" s="76">
        <f t="shared" si="1168"/>
        <v>0</v>
      </c>
    </row>
    <row r="80" spans="1:787" x14ac:dyDescent="0.25">
      <c r="A80" s="46" t="str">
        <f>IF(ISBLANK(ComparisonSelection!F76),"",ROW()-5)</f>
        <v/>
      </c>
      <c r="B80" s="53" t="s">
        <v>529</v>
      </c>
      <c r="C80" s="72">
        <v>0.89899999999999991</v>
      </c>
      <c r="D80" s="55">
        <f t="shared" si="750"/>
        <v>92</v>
      </c>
      <c r="E80" s="54">
        <f t="shared" si="751"/>
        <v>2.899</v>
      </c>
      <c r="F80" s="54">
        <f t="shared" si="752"/>
        <v>1</v>
      </c>
      <c r="G80" s="72">
        <f t="shared" si="753"/>
        <v>2</v>
      </c>
      <c r="H80" s="72">
        <f t="shared" si="754"/>
        <v>0</v>
      </c>
      <c r="I80" s="46" cm="1">
        <f t="array" ref="I80">ROUND(IFERROR(INDEX(ArchiveResults!$F$5:$IX$116,ComparisonData!A80,ComparisonData!$I$1),0),5)</f>
        <v>0</v>
      </c>
      <c r="J80" s="46" cm="1">
        <f t="array" ref="J80">ROUND(IFERROR(INDEX(ArchiveResults!$F$5:$IX$116,ComparisonData!A80,ComparisonData!$J$1),0),5)</f>
        <v>0</v>
      </c>
      <c r="K80" s="56">
        <v>75</v>
      </c>
      <c r="L80" s="53" t="str">
        <f t="shared" si="755"/>
        <v>Science Museum Group: Science Museum Libray &amp; Archive, Wroughton</v>
      </c>
      <c r="M80" s="57">
        <f t="shared" si="640"/>
        <v>0</v>
      </c>
      <c r="N80" s="57">
        <f t="shared" si="641"/>
        <v>0</v>
      </c>
      <c r="O80" s="58">
        <f t="shared" si="756"/>
        <v>0</v>
      </c>
      <c r="P80" s="48">
        <f t="shared" si="757"/>
        <v>92</v>
      </c>
      <c r="Q80" s="54">
        <f t="shared" si="642"/>
        <v>2.899</v>
      </c>
      <c r="R80" s="45">
        <f t="shared" si="758"/>
        <v>1</v>
      </c>
      <c r="S80" s="46">
        <f t="shared" si="759"/>
        <v>2</v>
      </c>
      <c r="T80" s="72">
        <f t="shared" si="760"/>
        <v>0</v>
      </c>
      <c r="U80" s="46" cm="1">
        <f t="array" ref="U80">ROUND(IFERROR(INDEX(ArchiveResults!$F$5:$IX$116,ComparisonData!A80,ComparisonData!$U$1),0),5)</f>
        <v>0</v>
      </c>
      <c r="V80" s="46" cm="1">
        <f t="array" ref="V80">ROUND(IFERROR(INDEX(ArchiveResults!$F$5:$IX$116,ComparisonData!A80,ComparisonData!$V$1),0),5)</f>
        <v>0</v>
      </c>
      <c r="W80" s="56">
        <v>75</v>
      </c>
      <c r="X80" s="53" t="str">
        <f t="shared" si="643"/>
        <v>Science Museum Group: Science Museum Libray &amp; Archive, Wroughton</v>
      </c>
      <c r="Y80" s="57">
        <f t="shared" si="761"/>
        <v>0</v>
      </c>
      <c r="Z80" s="57">
        <f t="shared" si="762"/>
        <v>0</v>
      </c>
      <c r="AA80" s="58">
        <f t="shared" si="763"/>
        <v>0</v>
      </c>
      <c r="AB80" s="45">
        <f t="shared" si="764"/>
        <v>92</v>
      </c>
      <c r="AC80" s="54">
        <f t="shared" si="644"/>
        <v>2.899</v>
      </c>
      <c r="AD80" s="45">
        <f t="shared" si="765"/>
        <v>1</v>
      </c>
      <c r="AE80" s="45">
        <f t="shared" si="766"/>
        <v>2</v>
      </c>
      <c r="AF80" s="45">
        <f t="shared" si="639"/>
        <v>0</v>
      </c>
      <c r="AG80" s="46" cm="1">
        <f t="array" ref="AG80">ROUND(IFERROR(INDEX(ArchiveResults!$F$5:$IX$116,ComparisonData!A80,ComparisonData!$AG$1),0),5)</f>
        <v>0</v>
      </c>
      <c r="AH80" s="46" cm="1">
        <f t="array" ref="AH80">ROUND(IFERROR(INDEX(ArchiveResults!$F$5:$IX$116,ComparisonData!A80,ComparisonData!$AH$1),0),5)</f>
        <v>0</v>
      </c>
      <c r="AI80" s="56">
        <v>75</v>
      </c>
      <c r="AJ80" s="53" t="str">
        <f t="shared" si="645"/>
        <v>Science Museum Group: Science Museum Libray &amp; Archive, Wroughton</v>
      </c>
      <c r="AK80" s="59">
        <f t="shared" si="646"/>
        <v>0</v>
      </c>
      <c r="AL80" s="59">
        <f t="shared" si="647"/>
        <v>0</v>
      </c>
      <c r="AM80" s="58">
        <f t="shared" si="767"/>
        <v>0</v>
      </c>
      <c r="AN80" s="45">
        <f t="shared" si="768"/>
        <v>92</v>
      </c>
      <c r="AO80" s="54">
        <f t="shared" si="648"/>
        <v>2.899</v>
      </c>
      <c r="AP80" s="45">
        <f t="shared" si="769"/>
        <v>1</v>
      </c>
      <c r="AQ80" s="45">
        <f t="shared" si="770"/>
        <v>2</v>
      </c>
      <c r="AR80" s="46" cm="1">
        <f t="array" ref="AR80">ROUND(IFERROR(INDEX(ArchiveResults!$F$5:$IX$116,ComparisonData!A80,ComparisonData!$AR$1),0),5)</f>
        <v>0</v>
      </c>
      <c r="AS80" s="46" cm="1">
        <f t="array" ref="AS80">ROUND(IFERROR(INDEX(ArchiveResults!$F$5:$IX$116,ComparisonData!A80,ComparisonData!$AS$1),0),5)</f>
        <v>0</v>
      </c>
      <c r="AT80" s="46" cm="1">
        <f t="array" ref="AT80">ROUND(IFERROR(INDEX(ArchiveResults!$F$5:$IX$116,ComparisonData!A80,ComparisonData!$AT$1),0),5)</f>
        <v>0</v>
      </c>
      <c r="AU80" s="46" cm="1">
        <f t="array" ref="AU80">ROUND(IFERROR(INDEX(ArchiveResults!$F$5:$IX$116,ComparisonData!A80,ComparisonData!$AU$1),0),5)</f>
        <v>0</v>
      </c>
      <c r="AV80" s="46" cm="1">
        <f t="array" ref="AV80">ROUND(IFERROR(INDEX(ArchiveResults!$F$5:$IX$116,ComparisonData!A80,ComparisonData!$AV$1),0),5)</f>
        <v>0</v>
      </c>
      <c r="AW80" s="46" cm="1">
        <f t="array" ref="AW80">ROUND(IFERROR(INDEX(ArchiveResults!$F$5:$IX$116,ComparisonData!A80,ComparisonData!$AW$1),0),5)</f>
        <v>0</v>
      </c>
      <c r="AX80" s="46" cm="1">
        <f t="array" ref="AX80">ROUND(IFERROR(INDEX(ArchiveResults!$F$5:$IX$116,ComparisonData!A80,ComparisonData!$AX$1),0),5)</f>
        <v>0</v>
      </c>
      <c r="AY80" s="46" cm="1">
        <f t="array" ref="AY80">ROUND(IFERROR(INDEX(ArchiveResults!$F$5:$IX$116,ComparisonData!A80,ComparisonData!$AY$1),0),5)</f>
        <v>0</v>
      </c>
      <c r="AZ80" s="46" cm="1">
        <f t="array" ref="AZ80">ROUND(IFERROR(INDEX(ArchiveResults!$F$5:$IX$116,ComparisonData!A80,ComparisonData!$AZ$1),0),5)</f>
        <v>0</v>
      </c>
      <c r="BA80" s="46" cm="1">
        <f t="array" ref="BA80">ROUND(IFERROR(INDEX(ArchiveResults!$F$5:$IX$116,ComparisonData!A80,ComparisonData!$BA$1),0),5)</f>
        <v>0</v>
      </c>
      <c r="BB80" s="56">
        <v>75</v>
      </c>
      <c r="BC80" s="53" t="str">
        <f t="shared" si="649"/>
        <v>Science Museum Group: Science Museum Libray &amp; Archive, Wroughton</v>
      </c>
      <c r="BD80" s="60">
        <f t="shared" si="771"/>
        <v>0</v>
      </c>
      <c r="BE80" s="60">
        <f t="shared" si="772"/>
        <v>0</v>
      </c>
      <c r="BF80" s="60">
        <f t="shared" si="773"/>
        <v>0</v>
      </c>
      <c r="BG80" s="60">
        <f t="shared" si="774"/>
        <v>0</v>
      </c>
      <c r="BH80" s="60">
        <f t="shared" si="775"/>
        <v>0</v>
      </c>
      <c r="BI80" s="60">
        <f t="shared" si="776"/>
        <v>0</v>
      </c>
      <c r="BJ80" s="60">
        <f t="shared" si="777"/>
        <v>0</v>
      </c>
      <c r="BK80" s="60">
        <f t="shared" si="778"/>
        <v>0</v>
      </c>
      <c r="BL80" s="60">
        <f t="shared" si="779"/>
        <v>0</v>
      </c>
      <c r="BM80" s="59">
        <f t="shared" si="780"/>
        <v>0</v>
      </c>
      <c r="BN80" s="58">
        <f t="shared" si="781"/>
        <v>0</v>
      </c>
      <c r="BO80" s="45">
        <f t="shared" si="782"/>
        <v>92</v>
      </c>
      <c r="BP80" s="54">
        <f t="shared" si="650"/>
        <v>2.899</v>
      </c>
      <c r="BQ80" s="45">
        <f t="shared" si="783"/>
        <v>1</v>
      </c>
      <c r="BR80" s="45">
        <f t="shared" si="784"/>
        <v>2</v>
      </c>
      <c r="BS80" s="46" cm="1">
        <f t="array" ref="BS80">ROUND(IFERROR(INDEX(ArchiveResults!$F$5:$IX$116,ComparisonData!A80,ComparisonData!$BS$1),0),5)</f>
        <v>0</v>
      </c>
      <c r="BT80" s="46" cm="1">
        <f t="array" ref="BT80">ROUND(IFERROR(INDEX(ArchiveResults!$F$5:$IX$116,ComparisonData!A80,ComparisonData!$BT$1),0),5)</f>
        <v>0</v>
      </c>
      <c r="BU80" s="46" cm="1">
        <f t="array" ref="BU80">ROUND(IFERROR(INDEX(ArchiveResults!$F$5:$IX$116,ComparisonData!A80,ComparisonData!$BU$1),0),5)</f>
        <v>0</v>
      </c>
      <c r="BV80" s="46" cm="1">
        <f t="array" ref="BV80">ROUND(IFERROR(INDEX(ArchiveResults!$F$5:$IX$116,ComparisonData!A80,ComparisonData!$BV$1),0),5)</f>
        <v>0</v>
      </c>
      <c r="BW80" s="46" cm="1">
        <f t="array" ref="BW80">ROUND(IFERROR(INDEX(ArchiveResults!$F$5:$IX$116,ComparisonData!A80,ComparisonData!$BW$1),0),5)</f>
        <v>0</v>
      </c>
      <c r="BX80" s="46" cm="1">
        <f t="array" ref="BX80">ROUND(IFERROR(INDEX(ArchiveResults!$F$5:$IX$116,ComparisonData!A80,ComparisonData!$BX$1),0),5)</f>
        <v>0</v>
      </c>
      <c r="BY80" s="56">
        <v>75</v>
      </c>
      <c r="BZ80" s="53" t="str">
        <f t="shared" si="651"/>
        <v>Science Museum Group: Science Museum Libray &amp; Archive, Wroughton</v>
      </c>
      <c r="CA80" s="59">
        <f t="shared" si="785"/>
        <v>0</v>
      </c>
      <c r="CB80" s="59">
        <f t="shared" si="786"/>
        <v>0</v>
      </c>
      <c r="CC80" s="59">
        <f t="shared" si="787"/>
        <v>0</v>
      </c>
      <c r="CD80" s="59">
        <f t="shared" si="788"/>
        <v>0</v>
      </c>
      <c r="CE80" s="59">
        <f t="shared" si="789"/>
        <v>0</v>
      </c>
      <c r="CF80" s="59">
        <f t="shared" si="790"/>
        <v>0</v>
      </c>
      <c r="CG80" s="58">
        <f t="shared" si="791"/>
        <v>0</v>
      </c>
      <c r="CH80" s="45">
        <f t="shared" si="792"/>
        <v>92</v>
      </c>
      <c r="CI80" s="54">
        <f t="shared" si="652"/>
        <v>2.899</v>
      </c>
      <c r="CJ80" s="45">
        <f t="shared" si="793"/>
        <v>1</v>
      </c>
      <c r="CK80" s="45">
        <f t="shared" si="794"/>
        <v>2</v>
      </c>
      <c r="CL80" s="46" cm="1">
        <f t="array" ref="CL80">ROUND(IFERROR(INDEX(ArchiveResults!$F$5:$IX$116,ComparisonData!A80,ComparisonData!$CL$1),0),5)</f>
        <v>0</v>
      </c>
      <c r="CM80" s="56">
        <v>75</v>
      </c>
      <c r="CN80" s="53" t="str">
        <f t="shared" si="653"/>
        <v>Science Museum Group: Science Museum Libray &amp; Archive, Wroughton</v>
      </c>
      <c r="CO80" s="45">
        <f t="shared" si="795"/>
        <v>0</v>
      </c>
      <c r="CP80" s="58">
        <f t="shared" si="796"/>
        <v>0</v>
      </c>
      <c r="CQ80" s="45">
        <f t="shared" si="797"/>
        <v>92</v>
      </c>
      <c r="CR80" s="54">
        <f t="shared" si="654"/>
        <v>2.899</v>
      </c>
      <c r="CS80" s="45">
        <f t="shared" si="798"/>
        <v>1</v>
      </c>
      <c r="CT80" s="45">
        <f t="shared" si="799"/>
        <v>2</v>
      </c>
      <c r="CU80" s="46" cm="1">
        <f t="array" ref="CU80">ROUND(IFERROR(INDEX(ArchiveResults!$F$5:$IX$116,ComparisonData!A80,ComparisonData!$CU$1),0),5)</f>
        <v>0</v>
      </c>
      <c r="CV80" s="56">
        <v>75</v>
      </c>
      <c r="CW80" s="53" t="str">
        <f t="shared" si="655"/>
        <v>Science Museum Group: Science Museum Libray &amp; Archive, Wroughton</v>
      </c>
      <c r="CX80" s="45">
        <f t="shared" si="800"/>
        <v>0</v>
      </c>
      <c r="CY80" s="58">
        <f t="shared" si="801"/>
        <v>0</v>
      </c>
      <c r="CZ80" s="45">
        <f t="shared" si="802"/>
        <v>92</v>
      </c>
      <c r="DA80" s="54">
        <f t="shared" si="656"/>
        <v>2.899</v>
      </c>
      <c r="DB80" s="45">
        <f t="shared" si="803"/>
        <v>1</v>
      </c>
      <c r="DC80" s="45">
        <f t="shared" si="804"/>
        <v>2</v>
      </c>
      <c r="DD80" s="46" cm="1">
        <f t="array" ref="DD80">ROUND(IFERROR(INDEX(ArchiveResults!$F$5:$IX$116,ComparisonData!A80,ComparisonData!$DD$1),0),5)</f>
        <v>0</v>
      </c>
      <c r="DE80" s="56">
        <v>75</v>
      </c>
      <c r="DF80" s="53" t="str">
        <f t="shared" si="657"/>
        <v>Science Museum Group: Science Museum Libray &amp; Archive, Wroughton</v>
      </c>
      <c r="DG80" s="45">
        <f t="shared" si="805"/>
        <v>0</v>
      </c>
      <c r="DH80" s="58">
        <f t="shared" si="806"/>
        <v>0</v>
      </c>
      <c r="DI80" s="45">
        <f t="shared" si="807"/>
        <v>92</v>
      </c>
      <c r="DJ80" s="54">
        <f t="shared" si="658"/>
        <v>2.899</v>
      </c>
      <c r="DK80" s="45">
        <f t="shared" si="808"/>
        <v>1</v>
      </c>
      <c r="DL80" s="45">
        <f t="shared" si="809"/>
        <v>2</v>
      </c>
      <c r="DM80" s="46" cm="1">
        <f t="array" ref="DM80">ROUND(IFERROR(INDEX(ArchiveResults!$F$5:$IX$116,ComparisonData!A80,ComparisonData!$DM$1),0),5)</f>
        <v>0</v>
      </c>
      <c r="DN80" s="46" cm="1">
        <f t="array" ref="DN80">ROUND(IFERROR(INDEX(ArchiveResults!$F$5:$IX$116,ComparisonData!A80,ComparisonData!$DN$1),0),5)</f>
        <v>0</v>
      </c>
      <c r="DO80" s="46" cm="1">
        <f t="array" ref="DO80">ROUND(IFERROR(INDEX(ArchiveResults!$F$5:$IX$116,ComparisonData!A80,ComparisonData!$DO$1),0),5)</f>
        <v>0</v>
      </c>
      <c r="DP80" s="46" cm="1">
        <f t="array" ref="DP80">ROUND(IFERROR(INDEX(ArchiveResults!$F$5:$IX$116,ComparisonData!A80,ComparisonData!$DP$1),0),5)</f>
        <v>0</v>
      </c>
      <c r="DQ80" s="45" cm="1">
        <f t="array" ref="DQ80">IFERROR(INDEX(ArchiveResults!$F$5:$IX$116,ComparisonData!A80,ComparisonData!$DQ$1),0)</f>
        <v>0</v>
      </c>
      <c r="DR80" s="56">
        <v>75</v>
      </c>
      <c r="DS80" s="53" t="str">
        <f t="shared" si="659"/>
        <v>Science Museum Group: Science Museum Libray &amp; Archive, Wroughton</v>
      </c>
      <c r="DT80" s="59">
        <f t="shared" si="810"/>
        <v>0</v>
      </c>
      <c r="DU80" s="59">
        <f t="shared" si="811"/>
        <v>0</v>
      </c>
      <c r="DV80" s="59">
        <f t="shared" si="812"/>
        <v>0</v>
      </c>
      <c r="DW80" s="59">
        <f t="shared" si="813"/>
        <v>0</v>
      </c>
      <c r="DX80" s="59">
        <f t="shared" si="814"/>
        <v>0</v>
      </c>
      <c r="DY80" s="58">
        <f t="shared" si="815"/>
        <v>0</v>
      </c>
      <c r="DZ80" s="45">
        <f t="shared" si="816"/>
        <v>92</v>
      </c>
      <c r="EA80" s="54">
        <f t="shared" si="660"/>
        <v>2.899</v>
      </c>
      <c r="EB80" s="45">
        <f t="shared" si="817"/>
        <v>1</v>
      </c>
      <c r="EC80" s="45">
        <f t="shared" si="818"/>
        <v>2</v>
      </c>
      <c r="ED80" s="46" cm="1">
        <f t="array" ref="ED80">ROUND(IFERROR(INDEX(ArchiveResults!$F$5:$IX$116,ComparisonData!A80,ComparisonData!$ED$1),0),5)</f>
        <v>0</v>
      </c>
      <c r="EE80" s="46" cm="1">
        <f t="array" ref="EE80">ROUND(IFERROR(INDEX(ArchiveResults!$F$5:$IX$116,ComparisonData!A80,ComparisonData!$EE$1),0),5)</f>
        <v>0</v>
      </c>
      <c r="EF80" s="46" cm="1">
        <f t="array" ref="EF80">ROUND(IFERROR(INDEX(ArchiveResults!$F$5:$IX$116,ComparisonData!A80,ComparisonData!$EF$1),0),5)</f>
        <v>0</v>
      </c>
      <c r="EG80" s="46" cm="1">
        <f t="array" ref="EG80">ROUND(IFERROR(INDEX(ArchiveResults!$F$5:$IX$116,ComparisonData!A80,ComparisonData!$EG$1),0),5)</f>
        <v>0</v>
      </c>
      <c r="EH80" s="45" cm="1">
        <f t="array" ref="EH80">IFERROR(INDEX(ArchiveResults!$F$5:$IX$116,ComparisonData!A80,ComparisonData!$EH$1),0)</f>
        <v>0</v>
      </c>
      <c r="EI80" s="56">
        <v>75</v>
      </c>
      <c r="EJ80" s="53" t="str">
        <f t="shared" si="661"/>
        <v>Science Museum Group: Science Museum Libray &amp; Archive, Wroughton</v>
      </c>
      <c r="EK80" s="59">
        <f t="shared" si="819"/>
        <v>0</v>
      </c>
      <c r="EL80" s="59">
        <f t="shared" si="820"/>
        <v>0</v>
      </c>
      <c r="EM80" s="59">
        <f t="shared" si="821"/>
        <v>0</v>
      </c>
      <c r="EN80" s="59">
        <f t="shared" si="822"/>
        <v>0</v>
      </c>
      <c r="EO80" s="59">
        <f t="shared" si="823"/>
        <v>0</v>
      </c>
      <c r="EP80" s="58">
        <f t="shared" si="824"/>
        <v>0</v>
      </c>
      <c r="EQ80" s="45">
        <f t="shared" si="825"/>
        <v>92</v>
      </c>
      <c r="ER80" s="54">
        <f t="shared" si="662"/>
        <v>2.899</v>
      </c>
      <c r="ES80" s="45">
        <f t="shared" si="826"/>
        <v>1</v>
      </c>
      <c r="ET80" s="45">
        <f t="shared" si="827"/>
        <v>2</v>
      </c>
      <c r="EU80" s="46" cm="1">
        <f t="array" ref="EU80">ROUND(IFERROR(INDEX(ArchiveResults!$F$5:$IX$116,ComparisonData!A80,ComparisonData!$EU$1),0),5)</f>
        <v>0</v>
      </c>
      <c r="EV80" s="46" cm="1">
        <f t="array" ref="EV80">ROUND(IFERROR(INDEX(ArchiveResults!$F$5:$IX$116,ComparisonData!A80,ComparisonData!$EV$1),0),5)</f>
        <v>0</v>
      </c>
      <c r="EW80" s="46" cm="1">
        <f t="array" ref="EW80">ROUND(IFERROR(INDEX(ArchiveResults!$F$5:$IX$116,ComparisonData!A80,ComparisonData!$EW$1),0),5)</f>
        <v>0</v>
      </c>
      <c r="EX80" s="46" cm="1">
        <f t="array" ref="EX80">ROUND(IFERROR(INDEX(ArchiveResults!$F$5:$IX$116,ComparisonData!A80,ComparisonData!$EX$1),0),5)</f>
        <v>0</v>
      </c>
      <c r="EY80" s="45" cm="1">
        <f t="array" ref="EY80">IFERROR(INDEX(ArchiveResults!$F$5:$IX$116,ComparisonData!A80,ComparisonData!$EY$1),0)</f>
        <v>0</v>
      </c>
      <c r="EZ80" s="56">
        <v>75</v>
      </c>
      <c r="FA80" s="53" t="str">
        <f t="shared" si="663"/>
        <v>Science Museum Group: Science Museum Libray &amp; Archive, Wroughton</v>
      </c>
      <c r="FB80" s="59">
        <f t="shared" si="828"/>
        <v>0</v>
      </c>
      <c r="FC80" s="59">
        <f t="shared" si="829"/>
        <v>0</v>
      </c>
      <c r="FD80" s="59">
        <f t="shared" si="830"/>
        <v>0</v>
      </c>
      <c r="FE80" s="59">
        <f t="shared" si="831"/>
        <v>0</v>
      </c>
      <c r="FF80" s="59">
        <f t="shared" si="832"/>
        <v>0</v>
      </c>
      <c r="FG80" s="58">
        <f t="shared" si="833"/>
        <v>0</v>
      </c>
      <c r="FH80" s="45">
        <f t="shared" si="834"/>
        <v>92</v>
      </c>
      <c r="FI80" s="54">
        <f t="shared" si="664"/>
        <v>2.899</v>
      </c>
      <c r="FJ80" s="45">
        <f t="shared" si="835"/>
        <v>1</v>
      </c>
      <c r="FK80" s="45">
        <f t="shared" si="836"/>
        <v>2</v>
      </c>
      <c r="FL80" s="46" cm="1">
        <f t="array" ref="FL80">ROUND(IFERROR(INDEX(ArchiveResults!$F$5:$IX$116,ComparisonData!A80,ComparisonData!$FL$1),0),5)</f>
        <v>0</v>
      </c>
      <c r="FM80" s="46" cm="1">
        <f t="array" ref="FM80">ROUND(IFERROR(INDEX(ArchiveResults!$F$5:$IX$116,ComparisonData!A80,ComparisonData!$FM$1),0),5)</f>
        <v>0</v>
      </c>
      <c r="FN80" s="46" cm="1">
        <f t="array" ref="FN80">ROUND(IFERROR(INDEX(ArchiveResults!$F$5:$IX$116,ComparisonData!A80,ComparisonData!$FN$1),0),5)</f>
        <v>0</v>
      </c>
      <c r="FO80" s="46" cm="1">
        <f t="array" ref="FO80">ROUND(IFERROR(INDEX(ArchiveResults!$F$5:$IX$116,ComparisonData!A80,ComparisonData!$FO$1),0),5)</f>
        <v>0</v>
      </c>
      <c r="FP80" s="45" cm="1">
        <f t="array" ref="FP80">IFERROR(INDEX(ArchiveResults!$F$5:$IX$116,ComparisonData!A80,ComparisonData!$FP$1),0)</f>
        <v>0</v>
      </c>
      <c r="FQ80" s="56">
        <v>75</v>
      </c>
      <c r="FR80" s="53" t="str">
        <f t="shared" si="665"/>
        <v>Science Museum Group: Science Museum Libray &amp; Archive, Wroughton</v>
      </c>
      <c r="FS80" s="59">
        <f t="shared" si="837"/>
        <v>0</v>
      </c>
      <c r="FT80" s="59">
        <f t="shared" si="838"/>
        <v>0</v>
      </c>
      <c r="FU80" s="59">
        <f t="shared" si="839"/>
        <v>0</v>
      </c>
      <c r="FV80" s="59">
        <f t="shared" si="840"/>
        <v>0</v>
      </c>
      <c r="FW80" s="59">
        <f t="shared" si="841"/>
        <v>0</v>
      </c>
      <c r="FX80" s="58">
        <f t="shared" si="842"/>
        <v>0</v>
      </c>
      <c r="FY80" s="45">
        <f t="shared" si="843"/>
        <v>92</v>
      </c>
      <c r="FZ80" s="45">
        <f t="shared" si="666"/>
        <v>2.899</v>
      </c>
      <c r="GA80" s="45">
        <f t="shared" si="844"/>
        <v>1</v>
      </c>
      <c r="GB80" s="45">
        <f t="shared" si="845"/>
        <v>2</v>
      </c>
      <c r="GC80" s="46" cm="1">
        <f t="array" ref="GC80">ROUND(IFERROR(INDEX(ArchiveResults!$F$5:$IX$116,ComparisonData!A80,ComparisonData!$GC$1),0),5)</f>
        <v>0</v>
      </c>
      <c r="GD80" s="46" cm="1">
        <f t="array" ref="GD80">ROUND(IFERROR(INDEX(ArchiveResults!$F$5:$IX$116,ComparisonData!A80,ComparisonData!$GD$1),0),5)</f>
        <v>0</v>
      </c>
      <c r="GE80" s="46" cm="1">
        <f t="array" ref="GE80">ROUND(IFERROR(INDEX(ArchiveResults!$F$5:$IX$116,ComparisonData!A80,ComparisonData!$GE$1),0),5)</f>
        <v>0</v>
      </c>
      <c r="GF80" s="46" cm="1">
        <f t="array" ref="GF80">ROUND(IFERROR(INDEX(ArchiveResults!$F$5:$IX$116,ComparisonData!A80,ComparisonData!$GF$1),0),5)</f>
        <v>0</v>
      </c>
      <c r="GG80" s="45" cm="1">
        <f t="array" ref="GG80">IFERROR(INDEX(ArchiveResults!$F$5:$IX$116,ComparisonData!A80,ComparisonData!$GG$1),0)</f>
        <v>0</v>
      </c>
      <c r="GH80" s="56">
        <v>75</v>
      </c>
      <c r="GI80" s="53" t="str">
        <f t="shared" si="667"/>
        <v>Science Museum Group: Science Museum Libray &amp; Archive, Wroughton</v>
      </c>
      <c r="GJ80" s="59">
        <f t="shared" si="846"/>
        <v>0</v>
      </c>
      <c r="GK80" s="59">
        <f t="shared" si="847"/>
        <v>0</v>
      </c>
      <c r="GL80" s="59">
        <f t="shared" si="848"/>
        <v>0</v>
      </c>
      <c r="GM80" s="59">
        <f t="shared" si="849"/>
        <v>0</v>
      </c>
      <c r="GN80" s="59">
        <f t="shared" si="850"/>
        <v>0</v>
      </c>
      <c r="GO80" s="58">
        <f t="shared" si="851"/>
        <v>0</v>
      </c>
      <c r="GP80" s="45">
        <f t="shared" si="852"/>
        <v>92</v>
      </c>
      <c r="GQ80" s="45">
        <f t="shared" si="668"/>
        <v>2.899</v>
      </c>
      <c r="GR80" s="45">
        <f t="shared" si="853"/>
        <v>1</v>
      </c>
      <c r="GS80" s="45">
        <f t="shared" si="854"/>
        <v>2</v>
      </c>
      <c r="GT80" s="46" cm="1">
        <f t="array" ref="GT80">ROUND(IFERROR(INDEX(ArchiveResults!$F$5:$IX$116,ComparisonData!A80,ComparisonData!$GT$1),0),5)</f>
        <v>0</v>
      </c>
      <c r="GU80" s="46" cm="1">
        <f t="array" ref="GU80">ROUND(IFERROR(INDEX(ArchiveResults!$F$5:$IX$116,ComparisonData!A80,ComparisonData!$GU$1),0),5)</f>
        <v>0</v>
      </c>
      <c r="GV80" s="46" cm="1">
        <f t="array" ref="GV80">ROUND(IFERROR(INDEX(ArchiveResults!$F$5:$IX$116,ComparisonData!A80,ComparisonData!$GV$1),0),5)</f>
        <v>0</v>
      </c>
      <c r="GW80" s="46" cm="1">
        <f t="array" ref="GW80">ROUND(IFERROR(INDEX(ArchiveResults!$F$5:$IX$116,ComparisonData!A80,ComparisonData!$GW$1),0),5)</f>
        <v>0</v>
      </c>
      <c r="GX80" s="45" cm="1">
        <f t="array" ref="GX80">IFERROR(INDEX(ArchiveResults!$F$5:$IX$116,ComparisonData!A80,ComparisonData!$GX$1),0)</f>
        <v>0</v>
      </c>
      <c r="GY80" s="56">
        <v>75</v>
      </c>
      <c r="GZ80" s="53" t="str">
        <f t="shared" si="669"/>
        <v>Science Museum Group: Science Museum Libray &amp; Archive, Wroughton</v>
      </c>
      <c r="HA80" s="59">
        <f t="shared" si="855"/>
        <v>0</v>
      </c>
      <c r="HB80" s="59">
        <f t="shared" si="856"/>
        <v>0</v>
      </c>
      <c r="HC80" s="59">
        <f t="shared" si="857"/>
        <v>0</v>
      </c>
      <c r="HD80" s="59">
        <f t="shared" si="858"/>
        <v>0</v>
      </c>
      <c r="HE80" s="59">
        <f t="shared" si="859"/>
        <v>0</v>
      </c>
      <c r="HF80" s="58">
        <f t="shared" si="860"/>
        <v>0</v>
      </c>
      <c r="HG80" s="45">
        <f t="shared" si="861"/>
        <v>92</v>
      </c>
      <c r="HH80" s="45">
        <f t="shared" si="670"/>
        <v>2.899</v>
      </c>
      <c r="HI80" s="45">
        <f t="shared" si="862"/>
        <v>1</v>
      </c>
      <c r="HJ80" s="45">
        <f t="shared" si="863"/>
        <v>2</v>
      </c>
      <c r="HK80" s="46" cm="1">
        <f t="array" ref="HK80">ROUND(IFERROR(INDEX(ArchiveResults!$F$5:$IX$116,ComparisonData!A80,ComparisonData!$HK$1),0),5)</f>
        <v>0</v>
      </c>
      <c r="HL80" s="46" cm="1">
        <f t="array" ref="HL80">ROUND(IFERROR(INDEX(ArchiveResults!$F$5:$IX$116,ComparisonData!A80,ComparisonData!$HL$1),0),5)</f>
        <v>0</v>
      </c>
      <c r="HM80" s="46" cm="1">
        <f t="array" ref="HM80">ROUND(IFERROR(INDEX(ArchiveResults!$F$5:$IX$116,ComparisonData!A80,ComparisonData!$HM$1),0),5)</f>
        <v>0</v>
      </c>
      <c r="HN80" s="46" cm="1">
        <f t="array" ref="HN80">ROUND(IFERROR(INDEX(ArchiveResults!$F$5:$IX$116,ComparisonData!A80,ComparisonData!$HN$1),0),5)</f>
        <v>0</v>
      </c>
      <c r="HO80" s="45" cm="1">
        <f t="array" ref="HO80">IFERROR(INDEX(ArchiveResults!$F$5:$IX$116,ComparisonData!A80,ComparisonData!$HO$1),0)</f>
        <v>0</v>
      </c>
      <c r="HP80" s="56">
        <v>75</v>
      </c>
      <c r="HQ80" s="53" t="str">
        <f t="shared" si="671"/>
        <v>Science Museum Group: Science Museum Libray &amp; Archive, Wroughton</v>
      </c>
      <c r="HR80" s="59">
        <f t="shared" si="672"/>
        <v>0</v>
      </c>
      <c r="HS80" s="59">
        <f t="shared" si="673"/>
        <v>0</v>
      </c>
      <c r="HT80" s="59">
        <f t="shared" si="674"/>
        <v>0</v>
      </c>
      <c r="HU80" s="59">
        <f t="shared" si="675"/>
        <v>0</v>
      </c>
      <c r="HV80" s="59">
        <f t="shared" si="676"/>
        <v>0</v>
      </c>
      <c r="HW80" s="58">
        <f t="shared" si="864"/>
        <v>0</v>
      </c>
      <c r="HX80" s="45">
        <f t="shared" si="865"/>
        <v>92</v>
      </c>
      <c r="HY80" s="45">
        <f t="shared" si="677"/>
        <v>2.899</v>
      </c>
      <c r="HZ80" s="45">
        <f t="shared" si="866"/>
        <v>1</v>
      </c>
      <c r="IA80" s="45">
        <f t="shared" si="867"/>
        <v>2</v>
      </c>
      <c r="IB80" s="45">
        <f t="shared" si="868"/>
        <v>0</v>
      </c>
      <c r="IC80" s="46" cm="1">
        <f t="array" ref="IC80">ROUND(IFERROR(INDEX(ArchiveResults!$F$5:$IX$116,ComparisonData!A80,ComparisonData!$IC$1),0),5)</f>
        <v>0</v>
      </c>
      <c r="ID80" s="46" cm="1">
        <f t="array" ref="ID80">ROUND(IFERROR(INDEX(ArchiveResults!$F$5:$IX$116,ComparisonData!A80,ComparisonData!$ID$1),0),5)</f>
        <v>0</v>
      </c>
      <c r="IE80" s="46" cm="1">
        <f t="array" ref="IE80">ROUND(IFERROR(INDEX(ArchiveResults!$F$5:$IX$116,ComparisonData!A80,ComparisonData!$IE$1),0),5)</f>
        <v>0</v>
      </c>
      <c r="IF80" s="46" cm="1">
        <f t="array" ref="IF80">ROUND(IFERROR(INDEX(ArchiveResults!$F$5:$IX$116,ComparisonData!A80,ComparisonData!$IF$1),0),5)</f>
        <v>0</v>
      </c>
      <c r="IG80" s="45" cm="1">
        <f t="array" ref="IG80">IFERROR(INDEX(ArchiveResults!$F$5:$IX$116,ComparisonData!A80,ComparisonData!$IG$1),0)</f>
        <v>0</v>
      </c>
      <c r="IH80" s="56">
        <v>75</v>
      </c>
      <c r="II80" s="53" t="str">
        <f t="shared" si="678"/>
        <v>Science Museum Group: Science Museum Libray &amp; Archive, Wroughton</v>
      </c>
      <c r="IJ80" s="59">
        <f t="shared" si="869"/>
        <v>0</v>
      </c>
      <c r="IK80" s="59">
        <f t="shared" si="870"/>
        <v>0</v>
      </c>
      <c r="IL80" s="59">
        <f t="shared" si="871"/>
        <v>0</v>
      </c>
      <c r="IM80" s="59">
        <f t="shared" si="872"/>
        <v>0</v>
      </c>
      <c r="IN80" s="59">
        <f t="shared" si="873"/>
        <v>0</v>
      </c>
      <c r="IO80" s="58">
        <f t="shared" si="874"/>
        <v>0</v>
      </c>
      <c r="IP80" s="45">
        <f t="shared" si="875"/>
        <v>92</v>
      </c>
      <c r="IQ80" s="45">
        <f t="shared" si="679"/>
        <v>2.899</v>
      </c>
      <c r="IR80" s="45">
        <f t="shared" si="876"/>
        <v>1</v>
      </c>
      <c r="IS80" s="45">
        <f t="shared" si="877"/>
        <v>2</v>
      </c>
      <c r="IT80" s="46">
        <f t="shared" si="878"/>
        <v>0</v>
      </c>
      <c r="IU80" s="46" cm="1">
        <f t="array" ref="IU80">ROUND(IFERROR(INDEX(ArchiveResults!$F$5:$IX$116,ComparisonData!A80,ComparisonData!$IU$1),0),5)</f>
        <v>0</v>
      </c>
      <c r="IV80" s="46" cm="1">
        <f t="array" ref="IV80">ROUND(IFERROR(INDEX(ArchiveResults!$F$5:$IX$116,ComparisonData!A80,ComparisonData!$IV$1),0),5)</f>
        <v>0</v>
      </c>
      <c r="IW80" s="46" cm="1">
        <f t="array" ref="IW80">ROUND(IFERROR(INDEX(ArchiveResults!$F$5:$IX$116,ComparisonData!A80,ComparisonData!$IW$1),0),5)</f>
        <v>0</v>
      </c>
      <c r="IX80" s="46" cm="1">
        <f t="array" ref="IX80">ROUND(IFERROR(INDEX(ArchiveResults!$F$5:$IX$116,ComparisonData!A80,ComparisonData!$IX$1),0),5)</f>
        <v>0</v>
      </c>
      <c r="IY80" s="45" cm="1">
        <f t="array" ref="IY80">IFERROR(INDEX(ArchiveResults!$F$5:$IX$116,ComparisonData!A80,ComparisonData!$IY$1),0)</f>
        <v>0</v>
      </c>
      <c r="IZ80" s="56">
        <v>75</v>
      </c>
      <c r="JA80" s="53" t="str">
        <f t="shared" si="680"/>
        <v>Science Museum Group: Science Museum Libray &amp; Archive, Wroughton</v>
      </c>
      <c r="JB80" s="59">
        <f t="shared" si="879"/>
        <v>0</v>
      </c>
      <c r="JC80" s="59">
        <f t="shared" si="880"/>
        <v>0</v>
      </c>
      <c r="JD80" s="59">
        <f t="shared" si="881"/>
        <v>0</v>
      </c>
      <c r="JE80" s="59">
        <f t="shared" si="882"/>
        <v>0</v>
      </c>
      <c r="JF80" s="59">
        <f t="shared" si="883"/>
        <v>0</v>
      </c>
      <c r="JG80" s="58">
        <f t="shared" si="884"/>
        <v>0</v>
      </c>
      <c r="JH80" s="45">
        <f t="shared" si="885"/>
        <v>92</v>
      </c>
      <c r="JI80" s="45">
        <f t="shared" si="681"/>
        <v>2.899</v>
      </c>
      <c r="JJ80" s="45">
        <f t="shared" si="886"/>
        <v>1</v>
      </c>
      <c r="JK80" s="45">
        <f t="shared" si="887"/>
        <v>2</v>
      </c>
      <c r="JL80" s="45">
        <f t="shared" si="888"/>
        <v>0</v>
      </c>
      <c r="JM80" s="46" cm="1">
        <f t="array" ref="JM80">ROUND(IFERROR(INDEX(ArchiveResults!$F$5:$IX$116,ComparisonData!A80,ComparisonData!$JM$1),0),5)</f>
        <v>0</v>
      </c>
      <c r="JN80" s="46" cm="1">
        <f t="array" ref="JN80">ROUND(IFERROR(INDEX(ArchiveResults!$F$5:$IX$116,ComparisonData!A80,ComparisonData!$JN$1),0),5)</f>
        <v>0</v>
      </c>
      <c r="JO80" s="46" cm="1">
        <f t="array" ref="JO80">ROUND(IFERROR(INDEX(ArchiveResults!$F$5:$IX$116,ComparisonData!A80,ComparisonData!$JO$1),0),5)</f>
        <v>0</v>
      </c>
      <c r="JP80" s="46" cm="1">
        <f t="array" ref="JP80">ROUND(IFERROR(INDEX(ArchiveResults!$F$5:$IX$116,ComparisonData!A80,ComparisonData!$JP$1),0),5)</f>
        <v>0</v>
      </c>
      <c r="JQ80" s="45" cm="1">
        <f t="array" ref="JQ80">IFERROR(INDEX(ArchiveResults!$F$5:$IX$116,ComparisonData!A80,ComparisonData!$JQ$1),0)</f>
        <v>0</v>
      </c>
      <c r="JR80" s="56">
        <v>75</v>
      </c>
      <c r="JS80" s="53" t="str">
        <f t="shared" si="682"/>
        <v>Science Museum Group: Science Museum Libray &amp; Archive, Wroughton</v>
      </c>
      <c r="JT80" s="59">
        <f t="shared" si="889"/>
        <v>0</v>
      </c>
      <c r="JU80" s="59">
        <f t="shared" si="890"/>
        <v>0</v>
      </c>
      <c r="JV80" s="59">
        <f t="shared" si="891"/>
        <v>0</v>
      </c>
      <c r="JW80" s="59">
        <f t="shared" si="892"/>
        <v>0</v>
      </c>
      <c r="JX80" s="59">
        <f t="shared" si="893"/>
        <v>0</v>
      </c>
      <c r="JY80" s="58">
        <f t="shared" si="894"/>
        <v>0</v>
      </c>
      <c r="JZ80" s="45">
        <f t="shared" si="895"/>
        <v>92</v>
      </c>
      <c r="KA80" s="45">
        <f t="shared" si="683"/>
        <v>2.899</v>
      </c>
      <c r="KB80" s="45">
        <f t="shared" si="896"/>
        <v>1</v>
      </c>
      <c r="KC80" s="45">
        <f t="shared" si="897"/>
        <v>2</v>
      </c>
      <c r="KD80" s="45">
        <f t="shared" si="898"/>
        <v>0</v>
      </c>
      <c r="KE80" s="46" cm="1">
        <f t="array" ref="KE80">ROUND(IFERROR(INDEX(ArchiveResults!$F$5:$IX$116,ComparisonData!A80,ComparisonData!$KE$1),0),5)</f>
        <v>0</v>
      </c>
      <c r="KF80" s="46" cm="1">
        <f t="array" ref="KF80">ROUND(IFERROR(INDEX(ArchiveResults!$F$5:$IX$116,ComparisonData!A80,ComparisonData!$KF$1),0),5)</f>
        <v>0</v>
      </c>
      <c r="KG80" s="46" cm="1">
        <f t="array" ref="KG80">ROUND(IFERROR(INDEX(ArchiveResults!$F$5:$IX$116,ComparisonData!A80,ComparisonData!$KG$1),0),5)</f>
        <v>0</v>
      </c>
      <c r="KH80" s="46" cm="1">
        <f t="array" ref="KH80">ROUND(IFERROR(INDEX(ArchiveResults!$F$5:$IX$116,ComparisonData!A80,ComparisonData!$KH$1),0),5)</f>
        <v>0</v>
      </c>
      <c r="KI80" s="45" cm="1">
        <f t="array" ref="KI80">IFERROR(INDEX(ArchiveResults!$F$5:$IX$116,ComparisonData!A80,ComparisonData!$KI$1),0)</f>
        <v>0</v>
      </c>
      <c r="KJ80" s="56">
        <v>75</v>
      </c>
      <c r="KK80" s="53" t="str">
        <f t="shared" si="684"/>
        <v>Science Museum Group: Science Museum Libray &amp; Archive, Wroughton</v>
      </c>
      <c r="KL80" s="59">
        <f t="shared" si="899"/>
        <v>0</v>
      </c>
      <c r="KM80" s="59">
        <f t="shared" si="900"/>
        <v>0</v>
      </c>
      <c r="KN80" s="59">
        <f t="shared" si="901"/>
        <v>0</v>
      </c>
      <c r="KO80" s="59">
        <f t="shared" si="902"/>
        <v>0</v>
      </c>
      <c r="KP80" s="59">
        <f t="shared" si="903"/>
        <v>0</v>
      </c>
      <c r="KQ80" s="58">
        <f t="shared" si="904"/>
        <v>0</v>
      </c>
      <c r="KR80" s="45">
        <f t="shared" si="905"/>
        <v>92</v>
      </c>
      <c r="KS80" s="45">
        <f t="shared" si="685"/>
        <v>2.899</v>
      </c>
      <c r="KT80" s="45">
        <f t="shared" si="906"/>
        <v>1</v>
      </c>
      <c r="KU80" s="45">
        <f t="shared" si="907"/>
        <v>2</v>
      </c>
      <c r="KV80" s="45">
        <f t="shared" si="908"/>
        <v>0</v>
      </c>
      <c r="KW80" s="46" cm="1">
        <f t="array" ref="KW80">ROUND(IFERROR(INDEX(ArchiveResults!$F$5:$IX$116,ComparisonData!A80,ComparisonData!$KW$1),0),5)</f>
        <v>0</v>
      </c>
      <c r="KX80" s="46" cm="1">
        <f t="array" ref="KX80">ROUND(IFERROR(INDEX(ArchiveResults!$F$5:$IX$116,ComparisonData!A80,ComparisonData!$KX$1),0),5)</f>
        <v>0</v>
      </c>
      <c r="KY80" s="46" cm="1">
        <f t="array" ref="KY80">ROUND(IFERROR(INDEX(ArchiveResults!$F$5:$IX$116,ComparisonData!A80,ComparisonData!$KY$1),0),5)</f>
        <v>0</v>
      </c>
      <c r="KZ80" s="46" cm="1">
        <f t="array" ref="KZ80">ROUND(IFERROR(INDEX(ArchiveResults!$F$5:$IX$116,ComparisonData!A80,ComparisonData!$KZ$1),0),5)</f>
        <v>0</v>
      </c>
      <c r="LA80" s="45" cm="1">
        <f t="array" ref="LA80">IFERROR(INDEX(ArchiveResults!$F$5:$IX$116,ComparisonData!A80,ComparisonData!$LA$1),0)</f>
        <v>0</v>
      </c>
      <c r="LB80" s="56">
        <v>75</v>
      </c>
      <c r="LC80" s="53" t="str">
        <f t="shared" si="686"/>
        <v>Science Museum Group: Science Museum Libray &amp; Archive, Wroughton</v>
      </c>
      <c r="LD80" s="59">
        <f t="shared" si="909"/>
        <v>0</v>
      </c>
      <c r="LE80" s="59">
        <f t="shared" si="910"/>
        <v>0</v>
      </c>
      <c r="LF80" s="59">
        <f t="shared" si="911"/>
        <v>0</v>
      </c>
      <c r="LG80" s="59">
        <f t="shared" si="912"/>
        <v>0</v>
      </c>
      <c r="LH80" s="59">
        <f t="shared" si="913"/>
        <v>0</v>
      </c>
      <c r="LI80" s="58">
        <f t="shared" si="914"/>
        <v>0</v>
      </c>
      <c r="LJ80" s="45">
        <f t="shared" si="915"/>
        <v>92</v>
      </c>
      <c r="LK80" s="45">
        <f t="shared" si="687"/>
        <v>2.899</v>
      </c>
      <c r="LL80" s="45">
        <f t="shared" si="916"/>
        <v>1</v>
      </c>
      <c r="LM80" s="45">
        <f t="shared" si="917"/>
        <v>2</v>
      </c>
      <c r="LN80" s="45">
        <f t="shared" si="918"/>
        <v>0</v>
      </c>
      <c r="LO80" s="46" cm="1">
        <f t="array" ref="LO80">ROUND(IFERROR(INDEX(ArchiveResults!$F$5:$IX$116,ComparisonData!A80,ComparisonData!$LO$1),0),5)</f>
        <v>0</v>
      </c>
      <c r="LP80" s="46" cm="1">
        <f t="array" ref="LP80">ROUND(IFERROR(INDEX(ArchiveResults!$F$5:$IX$116,ComparisonData!A80,ComparisonData!$LP$1),0),5)</f>
        <v>0</v>
      </c>
      <c r="LQ80" s="46" cm="1">
        <f t="array" ref="LQ80">ROUND(IFERROR(INDEX(ArchiveResults!$F$5:$IX$116,ComparisonData!A80,ComparisonData!$LQ$1),0),5)</f>
        <v>0</v>
      </c>
      <c r="LR80" s="46" cm="1">
        <f t="array" ref="LR80">ROUND(IFERROR(INDEX(ArchiveResults!$F$5:$IX$116,ComparisonData!A80,ComparisonData!$LR$1),0),5)</f>
        <v>0</v>
      </c>
      <c r="LS80" s="45" cm="1">
        <f t="array" ref="LS80">IFERROR(INDEX(ArchiveResults!$F$5:$IX$116,ComparisonData!A80,ComparisonData!$LS$1),0)</f>
        <v>0</v>
      </c>
      <c r="LT80" s="56">
        <v>75</v>
      </c>
      <c r="LU80" s="53" t="str">
        <f t="shared" si="688"/>
        <v>Science Museum Group: Science Museum Libray &amp; Archive, Wroughton</v>
      </c>
      <c r="LV80" s="59">
        <f t="shared" si="919"/>
        <v>0</v>
      </c>
      <c r="LW80" s="59">
        <f t="shared" si="920"/>
        <v>0</v>
      </c>
      <c r="LX80" s="59">
        <f t="shared" si="921"/>
        <v>0</v>
      </c>
      <c r="LY80" s="59">
        <f t="shared" si="922"/>
        <v>0</v>
      </c>
      <c r="LZ80" s="59">
        <f t="shared" si="923"/>
        <v>0</v>
      </c>
      <c r="MA80" s="58">
        <f t="shared" si="924"/>
        <v>0</v>
      </c>
      <c r="MB80" s="45">
        <f t="shared" si="925"/>
        <v>92</v>
      </c>
      <c r="MC80" s="45">
        <f t="shared" si="689"/>
        <v>2.899</v>
      </c>
      <c r="MD80" s="45">
        <f t="shared" si="926"/>
        <v>1</v>
      </c>
      <c r="ME80" s="45">
        <f t="shared" si="927"/>
        <v>2</v>
      </c>
      <c r="MF80" s="45">
        <f t="shared" si="928"/>
        <v>0</v>
      </c>
      <c r="MG80" s="46" cm="1">
        <f t="array" ref="MG80">ROUND(IFERROR(INDEX(ArchiveResults!$F$5:$IX$116,ComparisonData!A80,ComparisonData!$MG$1),0),5)</f>
        <v>0</v>
      </c>
      <c r="MH80" s="46" cm="1">
        <f t="array" ref="MH80">ROUND(IFERROR(INDEX(ArchiveResults!$F$5:$IX$116,ComparisonData!A80,ComparisonData!$MH$1),0),5)</f>
        <v>0</v>
      </c>
      <c r="MI80" s="46" cm="1">
        <f t="array" ref="MI80">ROUND(IFERROR(INDEX(ArchiveResults!$F$5:$IX$116,ComparisonData!A80,ComparisonData!$MI$1),0),5)</f>
        <v>0</v>
      </c>
      <c r="MJ80" s="46" cm="1">
        <f t="array" ref="MJ80">ROUND(IFERROR(INDEX(ArchiveResults!$F$5:$IX$116,ComparisonData!A80,ComparisonData!$MJ$1),0),5)</f>
        <v>0</v>
      </c>
      <c r="MK80" s="45" cm="1">
        <f t="array" ref="MK80">IFERROR(INDEX(ArchiveResults!$F$5:$IX$116,ComparisonData!A80,ComparisonData!$MK$1),0)</f>
        <v>0</v>
      </c>
      <c r="ML80" s="56">
        <v>75</v>
      </c>
      <c r="MM80" s="53" t="str">
        <f t="shared" si="690"/>
        <v>Science Museum Group: Science Museum Libray &amp; Archive, Wroughton</v>
      </c>
      <c r="MN80" s="59">
        <f t="shared" si="929"/>
        <v>0</v>
      </c>
      <c r="MO80" s="59">
        <f t="shared" si="930"/>
        <v>0</v>
      </c>
      <c r="MP80" s="59">
        <f t="shared" si="931"/>
        <v>0</v>
      </c>
      <c r="MQ80" s="59">
        <f t="shared" si="932"/>
        <v>0</v>
      </c>
      <c r="MR80" s="59">
        <f t="shared" si="933"/>
        <v>0</v>
      </c>
      <c r="MS80" s="58">
        <f t="shared" si="934"/>
        <v>0</v>
      </c>
      <c r="MT80" s="45">
        <f t="shared" si="935"/>
        <v>92</v>
      </c>
      <c r="MU80" s="45">
        <f t="shared" si="691"/>
        <v>2.899</v>
      </c>
      <c r="MV80" s="45">
        <f t="shared" si="936"/>
        <v>1</v>
      </c>
      <c r="MW80" s="45">
        <f t="shared" si="937"/>
        <v>2</v>
      </c>
      <c r="MX80" s="45">
        <f t="shared" si="938"/>
        <v>0</v>
      </c>
      <c r="MY80" s="46" cm="1">
        <f t="array" ref="MY80">ROUND(IFERROR(INDEX(ArchiveResults!$F$5:$IX$116,ComparisonData!A80,ComparisonData!$MY$1),0),5)</f>
        <v>0</v>
      </c>
      <c r="MZ80" s="46" cm="1">
        <f t="array" ref="MZ80">ROUND(IFERROR(INDEX(ArchiveResults!$F$5:$IX$116,ComparisonData!A80,ComparisonData!$MZ$1),0),5)</f>
        <v>0</v>
      </c>
      <c r="NA80" s="46" cm="1">
        <f t="array" ref="NA80">ROUND(IFERROR(INDEX(ArchiveResults!$F$5:$IX$116,ComparisonData!A80,ComparisonData!$NA$1),0),5)</f>
        <v>0</v>
      </c>
      <c r="NB80" s="46" cm="1">
        <f t="array" ref="NB80">ROUND(IFERROR(INDEX(ArchiveResults!$F$5:$IX$116,ComparisonData!A80,ComparisonData!$NB$1),0),5)</f>
        <v>0</v>
      </c>
      <c r="NC80" s="45" cm="1">
        <f t="array" ref="NC80">IFERROR(INDEX(ArchiveResults!$F$5:$IX$116,ComparisonData!A80,ComparisonData!$NC$1),0)</f>
        <v>0</v>
      </c>
      <c r="ND80" s="56">
        <v>75</v>
      </c>
      <c r="NE80" s="53" t="str">
        <f t="shared" si="692"/>
        <v>Science Museum Group: Science Museum Libray &amp; Archive, Wroughton</v>
      </c>
      <c r="NF80" s="59">
        <f t="shared" si="939"/>
        <v>0</v>
      </c>
      <c r="NG80" s="59">
        <f t="shared" si="940"/>
        <v>0</v>
      </c>
      <c r="NH80" s="59">
        <f t="shared" si="941"/>
        <v>0</v>
      </c>
      <c r="NI80" s="59">
        <f t="shared" si="942"/>
        <v>0</v>
      </c>
      <c r="NJ80" s="59">
        <f t="shared" si="943"/>
        <v>0</v>
      </c>
      <c r="NK80" s="58">
        <f t="shared" si="944"/>
        <v>0</v>
      </c>
      <c r="NL80" s="45">
        <f t="shared" si="945"/>
        <v>92</v>
      </c>
      <c r="NM80" s="45">
        <f t="shared" si="693"/>
        <v>2.899</v>
      </c>
      <c r="NN80" s="45">
        <f t="shared" si="946"/>
        <v>1</v>
      </c>
      <c r="NO80" s="45">
        <f t="shared" si="947"/>
        <v>2</v>
      </c>
      <c r="NP80" s="46" cm="1">
        <f t="array" ref="NP80">ROUND(IFERROR(INDEX(ArchiveResults!$F$5:$IX$116,ComparisonData!A80,ComparisonData!$NP$1),0),5)</f>
        <v>0</v>
      </c>
      <c r="NQ80" s="46" cm="1">
        <f t="array" ref="NQ80">ROUND(IFERROR(INDEX(ArchiveResults!$F$5:$IX$116,ComparisonData!A80,ComparisonData!$NQ$1),0),5)</f>
        <v>0</v>
      </c>
      <c r="NR80" s="46" cm="1">
        <f t="array" ref="NR80">ROUND(IFERROR(INDEX(ArchiveResults!$F$5:$IX$116,ComparisonData!A80,ComparisonData!$NR$1),0),5)</f>
        <v>0</v>
      </c>
      <c r="NS80" s="46" cm="1">
        <f t="array" ref="NS80">ROUND(IFERROR(INDEX(ArchiveResults!$F$5:$IX$116,ComparisonData!A80,ComparisonData!$NS$1),0),5)</f>
        <v>0</v>
      </c>
      <c r="NT80" s="45" cm="1">
        <f t="array" ref="NT80">IFERROR(INDEX(ArchiveResults!$F$5:$IX$116,ComparisonData!A80,ComparisonData!$NT$1),0)</f>
        <v>0</v>
      </c>
      <c r="NU80" s="56">
        <v>75</v>
      </c>
      <c r="NV80" s="53" t="str">
        <f t="shared" si="694"/>
        <v>Science Museum Group: Science Museum Libray &amp; Archive, Wroughton</v>
      </c>
      <c r="NW80" s="59">
        <f t="shared" si="948"/>
        <v>0</v>
      </c>
      <c r="NX80" s="59">
        <f t="shared" si="949"/>
        <v>0</v>
      </c>
      <c r="NY80" s="59">
        <f t="shared" si="950"/>
        <v>0</v>
      </c>
      <c r="NZ80" s="59">
        <f t="shared" si="951"/>
        <v>0</v>
      </c>
      <c r="OA80" s="59">
        <f t="shared" si="952"/>
        <v>0</v>
      </c>
      <c r="OB80" s="58">
        <f t="shared" si="953"/>
        <v>0</v>
      </c>
      <c r="OC80" s="45">
        <f t="shared" si="954"/>
        <v>92</v>
      </c>
      <c r="OD80" s="45">
        <f t="shared" si="695"/>
        <v>2.899</v>
      </c>
      <c r="OE80" s="45">
        <f t="shared" si="955"/>
        <v>1</v>
      </c>
      <c r="OF80" s="45">
        <f t="shared" si="956"/>
        <v>2</v>
      </c>
      <c r="OG80" s="46">
        <f t="shared" si="957"/>
        <v>0</v>
      </c>
      <c r="OH80" s="46" cm="1">
        <f t="array" ref="OH80">ROUND(IFERROR(INDEX(ArchiveResults!$F$5:$IX$116,ComparisonData!A80,ComparisonData!$OH$1),0),5)</f>
        <v>0</v>
      </c>
      <c r="OI80" s="46" cm="1">
        <f t="array" ref="OI80">ROUND(IFERROR(INDEX(ArchiveResults!$F$5:$IX$116,ComparisonData!A80,ComparisonData!$OI$1),0),5)</f>
        <v>0</v>
      </c>
      <c r="OJ80" s="46" cm="1">
        <f t="array" ref="OJ80">ROUND(IFERROR(INDEX(ArchiveResults!$F$5:$IX$116,ComparisonData!A80,ComparisonData!$OJ$1),0),5)</f>
        <v>0</v>
      </c>
      <c r="OK80" s="46" cm="1">
        <f t="array" ref="OK80">ROUND(IFERROR(INDEX(ArchiveResults!$F$5:$IX$116,ComparisonData!A80,ComparisonData!$OK$1),0),5)</f>
        <v>0</v>
      </c>
      <c r="OL80" s="45" cm="1">
        <f t="array" ref="OL80">IFERROR(INDEX(ArchiveResults!$F$5:$IX$116,ComparisonData!A80,ComparisonData!$OL$1),0)</f>
        <v>0</v>
      </c>
      <c r="OM80" s="56">
        <v>75</v>
      </c>
      <c r="ON80" s="53" t="str">
        <f t="shared" si="696"/>
        <v>Science Museum Group: Science Museum Libray &amp; Archive, Wroughton</v>
      </c>
      <c r="OO80" s="59">
        <f t="shared" si="958"/>
        <v>0</v>
      </c>
      <c r="OP80" s="59">
        <f t="shared" si="959"/>
        <v>0</v>
      </c>
      <c r="OQ80" s="59">
        <f t="shared" si="960"/>
        <v>0</v>
      </c>
      <c r="OR80" s="59">
        <f t="shared" si="961"/>
        <v>0</v>
      </c>
      <c r="OS80" s="59">
        <f t="shared" si="962"/>
        <v>0</v>
      </c>
      <c r="OT80" s="58">
        <f t="shared" si="963"/>
        <v>0</v>
      </c>
      <c r="OU80" s="45">
        <f t="shared" si="964"/>
        <v>92</v>
      </c>
      <c r="OV80" s="45">
        <f t="shared" si="697"/>
        <v>2.899</v>
      </c>
      <c r="OW80" s="45">
        <f t="shared" si="965"/>
        <v>1</v>
      </c>
      <c r="OX80" s="45">
        <f t="shared" si="966"/>
        <v>2</v>
      </c>
      <c r="OY80" s="45">
        <f t="shared" si="967"/>
        <v>0</v>
      </c>
      <c r="OZ80" s="46" cm="1">
        <f t="array" ref="OZ80">ROUND(IFERROR(INDEX(ArchiveResults!$F$5:$IX$116,ComparisonData!A80,ComparisonData!$OZ$1),0),5)</f>
        <v>0</v>
      </c>
      <c r="PA80" s="46" cm="1">
        <f t="array" ref="PA80">ROUND(IFERROR(INDEX(ArchiveResults!$F$5:$IX$116,ComparisonData!A80,ComparisonData!$PA$1),0),5)</f>
        <v>0</v>
      </c>
      <c r="PB80" s="46" cm="1">
        <f t="array" ref="PB80">ROUND(IFERROR(INDEX(ArchiveResults!$F$5:$IX$116,ComparisonData!A80,ComparisonData!$PB$1),0),5)</f>
        <v>0</v>
      </c>
      <c r="PC80" s="46" cm="1">
        <f t="array" ref="PC80">ROUND(IFERROR(INDEX(ArchiveResults!$F$5:$IX$116,ComparisonData!A80,ComparisonData!$PC$1),0),5)</f>
        <v>0</v>
      </c>
      <c r="PD80" s="45" cm="1">
        <f t="array" ref="PD80">IFERROR(INDEX(ArchiveResults!$F$5:$IX$116,ComparisonData!A80,ComparisonData!$PD$1),0)</f>
        <v>0</v>
      </c>
      <c r="PE80" s="56">
        <v>75</v>
      </c>
      <c r="PF80" s="53" t="str">
        <f t="shared" si="698"/>
        <v>Science Museum Group: Science Museum Libray &amp; Archive, Wroughton</v>
      </c>
      <c r="PG80" s="59">
        <f t="shared" si="968"/>
        <v>0</v>
      </c>
      <c r="PH80" s="59">
        <f t="shared" si="969"/>
        <v>0</v>
      </c>
      <c r="PI80" s="59">
        <f t="shared" si="970"/>
        <v>0</v>
      </c>
      <c r="PJ80" s="59">
        <f t="shared" si="971"/>
        <v>0</v>
      </c>
      <c r="PK80" s="59">
        <f t="shared" si="972"/>
        <v>0</v>
      </c>
      <c r="PL80" s="58">
        <f t="shared" si="973"/>
        <v>0</v>
      </c>
      <c r="PM80" s="45">
        <f t="shared" si="974"/>
        <v>92</v>
      </c>
      <c r="PN80" s="45">
        <f t="shared" si="699"/>
        <v>2.899</v>
      </c>
      <c r="PO80" s="45">
        <f t="shared" si="975"/>
        <v>1</v>
      </c>
      <c r="PP80" s="45">
        <f t="shared" si="976"/>
        <v>2</v>
      </c>
      <c r="PQ80" s="45">
        <f t="shared" si="977"/>
        <v>0</v>
      </c>
      <c r="PR80" s="46" cm="1">
        <f t="array" ref="PR80">ROUND(IFERROR(INDEX(ArchiveResults!$F$5:$IX$116,ComparisonData!A80,ComparisonData!$PR$1),0),5)</f>
        <v>0</v>
      </c>
      <c r="PS80" s="46" cm="1">
        <f t="array" ref="PS80">ROUND(IFERROR(INDEX(ArchiveResults!$F$5:$IX$116,ComparisonData!A80,ComparisonData!$PS$1),0),5)</f>
        <v>0</v>
      </c>
      <c r="PT80" s="46" cm="1">
        <f t="array" ref="PT80">ROUND(IFERROR(INDEX(ArchiveResults!$F$5:$IX$116,ComparisonData!A80,ComparisonData!$PT$1),0),5)</f>
        <v>0</v>
      </c>
      <c r="PU80" s="46" cm="1">
        <f t="array" ref="PU80">ROUND(IFERROR(INDEX(ArchiveResults!$F$5:$IX$116,ComparisonData!A80,ComparisonData!$PU$1),0),5)</f>
        <v>0</v>
      </c>
      <c r="PV80" s="45" cm="1">
        <f t="array" ref="PV80">IFERROR(INDEX(ArchiveResults!$F$5:$IX$116,ComparisonData!A80,ComparisonData!$PV$1),0)</f>
        <v>0</v>
      </c>
      <c r="PW80" s="56">
        <v>75</v>
      </c>
      <c r="PX80" s="53" t="str">
        <f t="shared" si="700"/>
        <v>Science Museum Group: Science Museum Libray &amp; Archive, Wroughton</v>
      </c>
      <c r="PY80" s="59">
        <f t="shared" si="978"/>
        <v>0</v>
      </c>
      <c r="PZ80" s="59">
        <f t="shared" si="979"/>
        <v>0</v>
      </c>
      <c r="QA80" s="59">
        <f t="shared" si="980"/>
        <v>0</v>
      </c>
      <c r="QB80" s="59">
        <f t="shared" si="981"/>
        <v>0</v>
      </c>
      <c r="QC80" s="59">
        <f t="shared" si="982"/>
        <v>0</v>
      </c>
      <c r="QD80" s="58">
        <f t="shared" si="983"/>
        <v>0</v>
      </c>
      <c r="QE80" s="45">
        <f t="shared" si="984"/>
        <v>92</v>
      </c>
      <c r="QF80" s="45">
        <f t="shared" si="701"/>
        <v>2.899</v>
      </c>
      <c r="QG80" s="45">
        <f t="shared" si="985"/>
        <v>1</v>
      </c>
      <c r="QH80" s="45">
        <f t="shared" si="986"/>
        <v>2</v>
      </c>
      <c r="QI80" s="45">
        <f t="shared" si="987"/>
        <v>0</v>
      </c>
      <c r="QJ80" s="46" cm="1">
        <f t="array" ref="QJ80">ROUND(IFERROR(INDEX(ArchiveResults!$F$5:$IX$116,ComparisonData!A80,ComparisonData!$QJ$1),0),5)</f>
        <v>0</v>
      </c>
      <c r="QK80" s="46" cm="1">
        <f t="array" ref="QK80">ROUND(IFERROR(INDEX(ArchiveResults!$F$5:$IX$116,ComparisonData!A80,ComparisonData!$QK$1),0),5)</f>
        <v>0</v>
      </c>
      <c r="QL80" s="46" cm="1">
        <f t="array" ref="QL80">ROUND(IFERROR(INDEX(ArchiveResults!$F$5:$IX$116,ComparisonData!A80,ComparisonData!$QL$1),0),5)</f>
        <v>0</v>
      </c>
      <c r="QM80" s="46" cm="1">
        <f t="array" ref="QM80">ROUND(IFERROR(INDEX(ArchiveResults!$F$5:$IX$116,ComparisonData!A80,ComparisonData!$QM$1),0),5)</f>
        <v>0</v>
      </c>
      <c r="QN80" s="45" cm="1">
        <f t="array" ref="QN80">IFERROR(INDEX(ArchiveResults!$F$5:$IX$116,ComparisonData!A80,ComparisonData!$QN$1),0)</f>
        <v>0</v>
      </c>
      <c r="QO80" s="56">
        <v>75</v>
      </c>
      <c r="QP80" s="53" t="str">
        <f t="shared" si="702"/>
        <v>Science Museum Group: Science Museum Libray &amp; Archive, Wroughton</v>
      </c>
      <c r="QQ80" s="59">
        <f t="shared" si="988"/>
        <v>0</v>
      </c>
      <c r="QR80" s="59">
        <f t="shared" si="989"/>
        <v>0</v>
      </c>
      <c r="QS80" s="59">
        <f t="shared" si="990"/>
        <v>0</v>
      </c>
      <c r="QT80" s="59">
        <f t="shared" si="991"/>
        <v>0</v>
      </c>
      <c r="QU80" s="59">
        <f t="shared" si="992"/>
        <v>0</v>
      </c>
      <c r="QV80" s="58">
        <f t="shared" si="993"/>
        <v>0</v>
      </c>
      <c r="QW80" s="45">
        <f t="shared" si="994"/>
        <v>92</v>
      </c>
      <c r="QX80" s="45">
        <f t="shared" si="703"/>
        <v>2.899</v>
      </c>
      <c r="QY80" s="45">
        <f t="shared" si="995"/>
        <v>1</v>
      </c>
      <c r="QZ80" s="45">
        <f t="shared" si="996"/>
        <v>2</v>
      </c>
      <c r="RA80" s="45">
        <f t="shared" si="997"/>
        <v>0</v>
      </c>
      <c r="RB80" s="46" cm="1">
        <f t="array" ref="RB80">ROUND(IFERROR(INDEX(ArchiveResults!$F$5:$IX$116,ComparisonData!A80,ComparisonData!$RB$1),0),5)</f>
        <v>0</v>
      </c>
      <c r="RC80" s="46" cm="1">
        <f t="array" ref="RC80">ROUND(IFERROR(INDEX(ArchiveResults!$F$5:$IX$116,ComparisonData!A80,ComparisonData!$RC$1),0),5)</f>
        <v>0</v>
      </c>
      <c r="RD80" s="46" cm="1">
        <f t="array" ref="RD80">ROUND(IFERROR(INDEX(ArchiveResults!$F$5:$IX$116,ComparisonData!A80,ComparisonData!$RD$1),0),5)</f>
        <v>0</v>
      </c>
      <c r="RE80" s="46" cm="1">
        <f t="array" ref="RE80">ROUND(IFERROR(INDEX(ArchiveResults!$F$5:$IX$116,ComparisonData!A80,ComparisonData!$RE$1),0),5)</f>
        <v>0</v>
      </c>
      <c r="RF80" s="45" cm="1">
        <f t="array" ref="RF80">IFERROR(INDEX(ArchiveResults!$F$5:$IX$116,ComparisonData!A80,ComparisonData!$RF$1),0)</f>
        <v>0</v>
      </c>
      <c r="RG80" s="56">
        <v>75</v>
      </c>
      <c r="RH80" s="53" t="str">
        <f t="shared" si="704"/>
        <v>Science Museum Group: Science Museum Libray &amp; Archive, Wroughton</v>
      </c>
      <c r="RI80" s="59">
        <f t="shared" si="998"/>
        <v>0</v>
      </c>
      <c r="RJ80" s="59">
        <f t="shared" si="999"/>
        <v>0</v>
      </c>
      <c r="RK80" s="59">
        <f t="shared" si="1000"/>
        <v>0</v>
      </c>
      <c r="RL80" s="59">
        <f t="shared" si="1001"/>
        <v>0</v>
      </c>
      <c r="RM80" s="59">
        <f t="shared" si="1002"/>
        <v>0</v>
      </c>
      <c r="RN80" s="58">
        <f t="shared" si="1003"/>
        <v>0</v>
      </c>
      <c r="RO80" s="45">
        <f t="shared" si="1004"/>
        <v>92</v>
      </c>
      <c r="RP80" s="45">
        <f t="shared" si="705"/>
        <v>2.899</v>
      </c>
      <c r="RQ80" s="45">
        <f t="shared" si="1005"/>
        <v>1</v>
      </c>
      <c r="RR80" s="45">
        <f t="shared" si="1006"/>
        <v>2</v>
      </c>
      <c r="RS80" s="45">
        <f t="shared" si="1007"/>
        <v>0</v>
      </c>
      <c r="RT80" s="46" cm="1">
        <f t="array" ref="RT80">ROUND(IFERROR(INDEX(ArchiveResults!$F$5:$IX$116,ComparisonData!A80,ComparisonData!$RT$1),0),5)</f>
        <v>0</v>
      </c>
      <c r="RU80" s="46" cm="1">
        <f t="array" ref="RU80">ROUND(IFERROR(INDEX(ArchiveResults!$F$5:$IX$116,ComparisonData!A80,ComparisonData!$RU$1),0),5)</f>
        <v>0</v>
      </c>
      <c r="RV80" s="46" cm="1">
        <f t="array" ref="RV80">ROUND(IFERROR(INDEX(ArchiveResults!$F$5:$IX$116,ComparisonData!A80,ComparisonData!$RV$1),0),5)</f>
        <v>0</v>
      </c>
      <c r="RW80" s="46" cm="1">
        <f t="array" ref="RW80">ROUND(IFERROR(INDEX(ArchiveResults!$F$5:$IX$116,ComparisonData!A80,ComparisonData!$RW$1),0),5)</f>
        <v>0</v>
      </c>
      <c r="RX80" s="45" cm="1">
        <f t="array" ref="RX80">IFERROR(INDEX(ArchiveResults!$F$5:$IX$116,ComparisonData!A80,ComparisonData!$RX$1),0)</f>
        <v>0</v>
      </c>
      <c r="RY80" s="56">
        <v>75</v>
      </c>
      <c r="RZ80" s="53" t="str">
        <f t="shared" si="706"/>
        <v>Science Museum Group: Science Museum Libray &amp; Archive, Wroughton</v>
      </c>
      <c r="SA80" s="59">
        <f t="shared" si="1008"/>
        <v>0</v>
      </c>
      <c r="SB80" s="59">
        <f t="shared" si="1009"/>
        <v>0</v>
      </c>
      <c r="SC80" s="59">
        <f t="shared" si="1010"/>
        <v>0</v>
      </c>
      <c r="SD80" s="59">
        <f t="shared" si="1011"/>
        <v>0</v>
      </c>
      <c r="SE80" s="59">
        <f t="shared" si="1012"/>
        <v>0</v>
      </c>
      <c r="SF80" s="58">
        <f t="shared" si="1013"/>
        <v>0</v>
      </c>
      <c r="SG80" s="45">
        <f t="shared" si="1014"/>
        <v>92</v>
      </c>
      <c r="SH80" s="45">
        <f t="shared" si="707"/>
        <v>2.899</v>
      </c>
      <c r="SI80" s="45">
        <f t="shared" si="1015"/>
        <v>1</v>
      </c>
      <c r="SJ80" s="45">
        <f t="shared" si="1016"/>
        <v>2</v>
      </c>
      <c r="SK80" s="45">
        <f t="shared" si="1017"/>
        <v>0</v>
      </c>
      <c r="SL80" s="46" cm="1">
        <f t="array" ref="SL80">ROUND(IFERROR(INDEX(ArchiveResults!$F$5:$IX$116,ComparisonData!A80,ComparisonData!$SL$1),0),5)</f>
        <v>0</v>
      </c>
      <c r="SM80" s="46" cm="1">
        <f t="array" ref="SM80">ROUND(IFERROR(INDEX(ArchiveResults!$F$5:$IX$116,ComparisonData!A80,ComparisonData!$SM$1),0),5)</f>
        <v>0</v>
      </c>
      <c r="SN80" s="46" cm="1">
        <f t="array" ref="SN80">ROUND(IFERROR(INDEX(ArchiveResults!$F$5:$IX$116,ComparisonData!A80,ComparisonData!$SN$1),0),5)</f>
        <v>0</v>
      </c>
      <c r="SO80" s="46" cm="1">
        <f t="array" ref="SO80">ROUND(IFERROR(INDEX(ArchiveResults!$F$5:$IX$116,ComparisonData!A80,ComparisonData!$SO$1),0),5)</f>
        <v>0</v>
      </c>
      <c r="SP80" s="45" cm="1">
        <f t="array" ref="SP80">IFERROR(INDEX(ArchiveResults!$F$5:$IX$116,ComparisonData!A80,ComparisonData!$SP$1),0)</f>
        <v>0</v>
      </c>
      <c r="SQ80" s="56">
        <v>75</v>
      </c>
      <c r="SR80" s="53" t="str">
        <f t="shared" si="708"/>
        <v>Science Museum Group: Science Museum Libray &amp; Archive, Wroughton</v>
      </c>
      <c r="SS80" s="59">
        <f t="shared" si="1018"/>
        <v>0</v>
      </c>
      <c r="ST80" s="59">
        <f t="shared" si="1019"/>
        <v>0</v>
      </c>
      <c r="SU80" s="59">
        <f t="shared" si="1020"/>
        <v>0</v>
      </c>
      <c r="SV80" s="59">
        <f t="shared" si="1021"/>
        <v>0</v>
      </c>
      <c r="SW80" s="59">
        <f t="shared" si="1022"/>
        <v>0</v>
      </c>
      <c r="SX80" s="58">
        <f t="shared" si="1023"/>
        <v>0</v>
      </c>
      <c r="SY80" s="45">
        <f t="shared" si="1024"/>
        <v>92</v>
      </c>
      <c r="SZ80" s="45">
        <f t="shared" si="709"/>
        <v>2.899</v>
      </c>
      <c r="TA80" s="45">
        <f t="shared" si="1025"/>
        <v>1</v>
      </c>
      <c r="TB80" s="45">
        <f t="shared" si="1026"/>
        <v>2</v>
      </c>
      <c r="TC80" s="45">
        <f t="shared" si="1027"/>
        <v>0</v>
      </c>
      <c r="TD80" s="46" cm="1">
        <f t="array" ref="TD80">ROUND(IFERROR(INDEX(ArchiveResults!$F$5:$IX$116,ComparisonData!A80,ComparisonData!$TD$1),0),5)</f>
        <v>0</v>
      </c>
      <c r="TE80" s="46" cm="1">
        <f t="array" ref="TE80">ROUND(IFERROR(INDEX(ArchiveResults!$F$5:$IX$116,ComparisonData!A80,ComparisonData!$TE$1),0),5)</f>
        <v>0</v>
      </c>
      <c r="TF80" s="46" cm="1">
        <f t="array" ref="TF80">ROUND(IFERROR(INDEX(ArchiveResults!$F$5:$IX$116,ComparisonData!A80,ComparisonData!$TF$1),0),5)</f>
        <v>0</v>
      </c>
      <c r="TG80" s="46" cm="1">
        <f t="array" ref="TG80">ROUND(IFERROR(INDEX(ArchiveResults!$F$5:$IX$116,ComparisonData!A80,ComparisonData!$TG$1),0),5)</f>
        <v>0</v>
      </c>
      <c r="TH80" s="45" cm="1">
        <f t="array" ref="TH80">IFERROR(INDEX(ArchiveResults!$F$5:$IX$116,ComparisonData!A80,ComparisonData!$TH$1),0)</f>
        <v>0</v>
      </c>
      <c r="TI80" s="56">
        <v>75</v>
      </c>
      <c r="TJ80" s="53" t="str">
        <f t="shared" si="710"/>
        <v>Science Museum Group: Science Museum Libray &amp; Archive, Wroughton</v>
      </c>
      <c r="TK80" s="59">
        <f t="shared" si="1028"/>
        <v>0</v>
      </c>
      <c r="TL80" s="59">
        <f t="shared" si="1029"/>
        <v>0</v>
      </c>
      <c r="TM80" s="59">
        <f t="shared" si="1030"/>
        <v>0</v>
      </c>
      <c r="TN80" s="59">
        <f t="shared" si="1031"/>
        <v>0</v>
      </c>
      <c r="TO80" s="59">
        <f t="shared" si="1032"/>
        <v>0</v>
      </c>
      <c r="TP80" s="58">
        <f t="shared" si="1033"/>
        <v>0</v>
      </c>
      <c r="TQ80" s="45">
        <f t="shared" si="1034"/>
        <v>92</v>
      </c>
      <c r="TR80" s="45">
        <f t="shared" si="711"/>
        <v>2.899</v>
      </c>
      <c r="TS80" s="45">
        <f t="shared" si="1035"/>
        <v>1</v>
      </c>
      <c r="TT80" s="45">
        <f t="shared" si="1036"/>
        <v>2</v>
      </c>
      <c r="TU80" s="45">
        <f t="shared" si="1037"/>
        <v>0</v>
      </c>
      <c r="TV80" s="46" cm="1">
        <f t="array" ref="TV80">ROUND(IFERROR(INDEX(ArchiveResults!$F$5:$IX$116,ComparisonData!A80,ComparisonData!$TV$1),0),5)</f>
        <v>0</v>
      </c>
      <c r="TW80" s="46" cm="1">
        <f t="array" ref="TW80">ROUND(IFERROR(INDEX(ArchiveResults!$F$5:$IX$116,ComparisonData!A80,ComparisonData!$TW$1),0),5)</f>
        <v>0</v>
      </c>
      <c r="TX80" s="46" cm="1">
        <f t="array" ref="TX80">ROUND(IFERROR(INDEX(ArchiveResults!$F$5:$IX$116,ComparisonData!A80,ComparisonData!$TX$1),0),5)</f>
        <v>0</v>
      </c>
      <c r="TY80" s="46" cm="1">
        <f t="array" ref="TY80">ROUND(IFERROR(INDEX(ArchiveResults!$F$5:$IX$116,ComparisonData!A80,ComparisonData!$TY$1),0),5)</f>
        <v>0</v>
      </c>
      <c r="TZ80" s="45" cm="1">
        <f t="array" ref="TZ80">IFERROR(INDEX(ArchiveResults!$F$5:$IX$116,ComparisonData!A80,ComparisonData!$TZ$1),0)</f>
        <v>0</v>
      </c>
      <c r="UA80" s="56">
        <v>75</v>
      </c>
      <c r="UB80" s="53" t="str">
        <f t="shared" si="712"/>
        <v>Science Museum Group: Science Museum Libray &amp; Archive, Wroughton</v>
      </c>
      <c r="UC80" s="60">
        <f t="shared" si="1038"/>
        <v>0</v>
      </c>
      <c r="UD80" s="60">
        <f t="shared" si="1039"/>
        <v>0</v>
      </c>
      <c r="UE80" s="60">
        <f t="shared" si="1040"/>
        <v>0</v>
      </c>
      <c r="UF80" s="60">
        <f t="shared" si="1041"/>
        <v>0</v>
      </c>
      <c r="UG80" s="60">
        <f t="shared" si="1042"/>
        <v>0</v>
      </c>
      <c r="UH80" s="58">
        <f t="shared" si="1043"/>
        <v>0</v>
      </c>
      <c r="UI80" s="46">
        <f t="shared" si="1044"/>
        <v>92</v>
      </c>
      <c r="UJ80" s="46">
        <f t="shared" si="713"/>
        <v>2.899</v>
      </c>
      <c r="UK80" s="46">
        <f t="shared" si="1045"/>
        <v>1</v>
      </c>
      <c r="UL80" s="46">
        <f t="shared" si="1046"/>
        <v>2</v>
      </c>
      <c r="UM80" s="46" cm="1">
        <f t="array" ref="UM80">ROUND(IFERROR(INDEX(ArchiveResults!$F$5:$IX$116,ComparisonData!A80,ComparisonData!$UM$1),0),5)</f>
        <v>0</v>
      </c>
      <c r="UN80" s="56">
        <v>75</v>
      </c>
      <c r="UO80" s="53" t="str">
        <f t="shared" si="714"/>
        <v>Science Museum Group: Science Museum Libray &amp; Archive, Wroughton</v>
      </c>
      <c r="UP80" s="46">
        <f t="shared" si="1047"/>
        <v>0</v>
      </c>
      <c r="UQ80" s="76">
        <f t="shared" si="1048"/>
        <v>0</v>
      </c>
      <c r="UR80" s="46">
        <f t="shared" si="1049"/>
        <v>92</v>
      </c>
      <c r="US80" s="46">
        <f t="shared" si="715"/>
        <v>2.899</v>
      </c>
      <c r="UT80" s="46">
        <f t="shared" si="1050"/>
        <v>1</v>
      </c>
      <c r="UU80" s="46">
        <f t="shared" si="1051"/>
        <v>2</v>
      </c>
      <c r="UV80" s="46">
        <f t="shared" si="1052"/>
        <v>0</v>
      </c>
      <c r="UW80" s="46" cm="1">
        <f t="array" ref="UW80">ROUND(IFERROR(INDEX(ArchiveResults!$F$5:$IX$116,ComparisonData!A80,ComparisonData!$UW$1),0),5)</f>
        <v>0</v>
      </c>
      <c r="UX80" s="46" cm="1">
        <f t="array" ref="UX80">ROUND(IFERROR(INDEX(ArchiveResults!$F$5:$IX$116,ComparisonData!A80,ComparisonData!$UX$1),0),5)</f>
        <v>0</v>
      </c>
      <c r="UY80" s="46" cm="1">
        <f t="array" ref="UY80">ROUND(IFERROR(INDEX(ArchiveResults!$F$5:$IX$116,ComparisonData!A80,ComparisonData!$UY$1),0),5)</f>
        <v>0</v>
      </c>
      <c r="UZ80" s="46" cm="1">
        <f t="array" ref="UZ80">ROUND(IFERROR(INDEX(ArchiveResults!$F$5:$IX$116,ComparisonData!A80,ComparisonData!$UZ$1),0),5)</f>
        <v>0</v>
      </c>
      <c r="VA80" s="46" cm="1">
        <f t="array" ref="VA80">ROUND(IFERROR(INDEX(ArchiveResults!$F$5:$IX$116,ComparisonData!A80,ComparisonData!$VA$1),0),5)</f>
        <v>0</v>
      </c>
      <c r="VB80" s="56">
        <v>75</v>
      </c>
      <c r="VC80" s="53" t="str">
        <f t="shared" si="716"/>
        <v>Science Museum Group: Science Museum Libray &amp; Archive, Wroughton</v>
      </c>
      <c r="VD80" s="60">
        <f t="shared" si="1053"/>
        <v>0</v>
      </c>
      <c r="VE80" s="60">
        <f t="shared" si="1054"/>
        <v>0</v>
      </c>
      <c r="VF80" s="60">
        <f t="shared" si="1055"/>
        <v>0</v>
      </c>
      <c r="VG80" s="60">
        <f t="shared" si="1056"/>
        <v>0</v>
      </c>
      <c r="VH80" s="60">
        <f t="shared" si="1057"/>
        <v>0</v>
      </c>
      <c r="VI80" s="76">
        <f t="shared" si="1058"/>
        <v>0</v>
      </c>
      <c r="VJ80" s="46">
        <f t="shared" si="1059"/>
        <v>92</v>
      </c>
      <c r="VK80" s="46">
        <f t="shared" si="717"/>
        <v>2.899</v>
      </c>
      <c r="VL80" s="46">
        <f t="shared" si="1060"/>
        <v>1</v>
      </c>
      <c r="VM80" s="46">
        <f t="shared" si="1061"/>
        <v>2</v>
      </c>
      <c r="VN80" s="46" cm="1">
        <f t="array" ref="VN80">ROUND(IFERROR(INDEX(ArchiveResults!$F$5:$IX$116,ComparisonData!A80,ComparisonData!$VN$1),0),5)</f>
        <v>0</v>
      </c>
      <c r="VO80" s="46" cm="1">
        <f t="array" ref="VO80">ROUND(IFERROR(INDEX(ArchiveResults!$F$5:$IX$116,ComparisonData!A80,ComparisonData!$VO$1),0),5)</f>
        <v>0</v>
      </c>
      <c r="VP80" s="46" cm="1">
        <f t="array" ref="VP80">ROUND(IFERROR(INDEX(ArchiveResults!$F$5:$IX$116,ComparisonData!A80,ComparisonData!$VP$1),0),5)</f>
        <v>0</v>
      </c>
      <c r="VQ80" s="46" cm="1">
        <f t="array" ref="VQ80">ROUND(IFERROR(INDEX(ArchiveResults!$F$5:$IX$116,ComparisonData!A80,ComparisonData!$VQ$1),0),5)</f>
        <v>0</v>
      </c>
      <c r="VR80" s="56">
        <v>75</v>
      </c>
      <c r="VS80" s="53" t="str">
        <f t="shared" si="718"/>
        <v>Science Museum Group: Science Museum Libray &amp; Archive, Wroughton</v>
      </c>
      <c r="VT80" s="60">
        <f t="shared" si="1062"/>
        <v>0</v>
      </c>
      <c r="VU80" s="60">
        <f t="shared" si="1063"/>
        <v>0</v>
      </c>
      <c r="VV80" s="60">
        <f t="shared" si="1064"/>
        <v>0</v>
      </c>
      <c r="VW80" s="60">
        <f t="shared" si="1065"/>
        <v>0</v>
      </c>
      <c r="VX80" s="76">
        <f t="shared" si="1066"/>
        <v>0</v>
      </c>
      <c r="VY80" s="46">
        <f t="shared" si="1067"/>
        <v>92</v>
      </c>
      <c r="VZ80" s="46">
        <f t="shared" si="719"/>
        <v>2.899</v>
      </c>
      <c r="WA80" s="46">
        <f t="shared" si="1068"/>
        <v>1</v>
      </c>
      <c r="WB80" s="46">
        <f t="shared" si="1069"/>
        <v>2</v>
      </c>
      <c r="WC80" s="46" cm="1">
        <f t="array" ref="WC80">ROUND(IFERROR(INDEX(ArchiveResults!$F$5:$IX$116,ComparisonData!A80,ComparisonData!$WC$1),0),5)</f>
        <v>0</v>
      </c>
      <c r="WD80" s="56">
        <v>75</v>
      </c>
      <c r="WE80" s="53" t="str">
        <f t="shared" si="720"/>
        <v>Science Museum Group: Science Museum Libray &amp; Archive, Wroughton</v>
      </c>
      <c r="WF80" s="46">
        <f t="shared" si="1070"/>
        <v>0</v>
      </c>
      <c r="WG80" s="76">
        <f t="shared" si="1071"/>
        <v>0</v>
      </c>
      <c r="WH80" s="46">
        <f t="shared" si="1072"/>
        <v>92</v>
      </c>
      <c r="WI80" s="46">
        <f t="shared" si="721"/>
        <v>2.899</v>
      </c>
      <c r="WJ80" s="46">
        <f t="shared" si="1073"/>
        <v>1</v>
      </c>
      <c r="WK80" s="46">
        <f t="shared" si="1074"/>
        <v>2</v>
      </c>
      <c r="WL80" s="46" cm="1">
        <f t="array" ref="WL80">ROUND(IFERROR(INDEX(ArchiveResults!$F$5:$IX$116,ComparisonData!A80,ComparisonData!$WL$1),0),5)</f>
        <v>0</v>
      </c>
      <c r="WM80" s="46" cm="1">
        <f t="array" ref="WM80">IFERROR(INDEX(ArchiveResults!$F$5:$IX$116,ComparisonData!A80,ComparisonData!$WM$1),0)</f>
        <v>0</v>
      </c>
      <c r="WN80" s="56">
        <v>75</v>
      </c>
      <c r="WO80" s="53" t="str">
        <f t="shared" si="722"/>
        <v>Science Museum Group: Science Museum Libray &amp; Archive, Wroughton</v>
      </c>
      <c r="WP80" s="60">
        <f t="shared" si="1075"/>
        <v>0</v>
      </c>
      <c r="WQ80" s="60">
        <f t="shared" si="1076"/>
        <v>0</v>
      </c>
      <c r="WR80" s="76">
        <f t="shared" si="1077"/>
        <v>0</v>
      </c>
      <c r="WS80" s="46">
        <f t="shared" si="1078"/>
        <v>92</v>
      </c>
      <c r="WT80" s="46">
        <f t="shared" si="723"/>
        <v>2.899</v>
      </c>
      <c r="WU80" s="46">
        <f t="shared" si="1079"/>
        <v>1</v>
      </c>
      <c r="WV80" s="46">
        <f t="shared" si="1080"/>
        <v>2</v>
      </c>
      <c r="WW80" s="46" cm="1">
        <f t="array" ref="WW80">ROUND(VALUE(IFERROR(INDEX(ArchiveResults!$F$5:$IX$116,ComparisonData!A80,ComparisonData!$WW$1),0)),5)</f>
        <v>0</v>
      </c>
      <c r="WX80" s="46" cm="1">
        <f t="array" ref="WX80">ROUND(IFERROR(INDEX(ArchiveResults!$F$5:$IX$116,ComparisonData!A80,ComparisonData!$WX$1),0),5)</f>
        <v>0</v>
      </c>
      <c r="WY80" s="56">
        <v>75</v>
      </c>
      <c r="WZ80" s="53" t="str">
        <f t="shared" si="724"/>
        <v>Science Museum Group: Science Museum Libray &amp; Archive, Wroughton</v>
      </c>
      <c r="XA80" s="60">
        <f t="shared" si="725"/>
        <v>0</v>
      </c>
      <c r="XB80" s="60">
        <f t="shared" si="726"/>
        <v>0</v>
      </c>
      <c r="XC80" s="76">
        <f t="shared" si="1081"/>
        <v>0</v>
      </c>
      <c r="XD80" s="46">
        <f t="shared" si="1082"/>
        <v>92</v>
      </c>
      <c r="XE80" s="46">
        <f t="shared" si="727"/>
        <v>2.899</v>
      </c>
      <c r="XF80" s="46">
        <f t="shared" si="1083"/>
        <v>1</v>
      </c>
      <c r="XG80" s="46">
        <f t="shared" si="1084"/>
        <v>2</v>
      </c>
      <c r="XH80" s="46" cm="1">
        <f t="array" ref="XH80">ROUND(VALUE(IFERROR(INDEX(ArchiveResults!$F$5:$IX$116,ComparisonData!A80,ComparisonData!$XH$1),0)),5)</f>
        <v>0</v>
      </c>
      <c r="XI80" s="46" cm="1">
        <f t="array" ref="XI80">ROUND(VALUE(IFERROR(INDEX(ArchiveResults!$F$5:$IX$116,ComparisonData!A80,ComparisonData!$XI$1),0)),5)</f>
        <v>0</v>
      </c>
      <c r="XJ80" s="56">
        <v>75</v>
      </c>
      <c r="XK80" s="53" t="str">
        <f t="shared" si="728"/>
        <v>Science Museum Group: Science Museum Libray &amp; Archive, Wroughton</v>
      </c>
      <c r="XL80" s="60">
        <f t="shared" si="1085"/>
        <v>0</v>
      </c>
      <c r="XM80" s="60">
        <f t="shared" si="1086"/>
        <v>0</v>
      </c>
      <c r="XN80" s="76">
        <f t="shared" si="1087"/>
        <v>0</v>
      </c>
      <c r="XO80" s="46">
        <f t="shared" si="1088"/>
        <v>92</v>
      </c>
      <c r="XP80" s="46">
        <f t="shared" si="729"/>
        <v>2.899</v>
      </c>
      <c r="XQ80" s="46">
        <f t="shared" si="1089"/>
        <v>1</v>
      </c>
      <c r="XR80" s="46">
        <f t="shared" si="1090"/>
        <v>2</v>
      </c>
      <c r="XS80" s="46" cm="1">
        <f t="array" ref="XS80">ROUND(VALUE(IFERROR(INDEX(ArchiveResults!$F$5:$IX$116,ComparisonData!A80,ComparisonData!$XS$1),0)),5)</f>
        <v>0</v>
      </c>
      <c r="XT80" s="46" cm="1">
        <f t="array" ref="XT80">ROUND(VALUE(IFERROR(INDEX(ArchiveResults!$F$5:$IX$116,ComparisonData!A80,ComparisonData!$XT$1),0)),5)</f>
        <v>0</v>
      </c>
      <c r="XU80" s="56">
        <v>75</v>
      </c>
      <c r="XV80" s="53" t="str">
        <f t="shared" si="730"/>
        <v>Science Museum Group: Science Museum Libray &amp; Archive, Wroughton</v>
      </c>
      <c r="XW80" s="60">
        <f t="shared" si="1091"/>
        <v>0</v>
      </c>
      <c r="XX80" s="60">
        <f t="shared" si="1092"/>
        <v>0</v>
      </c>
      <c r="XY80" s="76">
        <f t="shared" si="1093"/>
        <v>0</v>
      </c>
      <c r="XZ80" s="46">
        <f t="shared" si="1094"/>
        <v>92</v>
      </c>
      <c r="YA80" s="46">
        <f t="shared" si="731"/>
        <v>2.899</v>
      </c>
      <c r="YB80" s="46">
        <f t="shared" si="1095"/>
        <v>1</v>
      </c>
      <c r="YC80" s="46">
        <f t="shared" si="1096"/>
        <v>2</v>
      </c>
      <c r="YD80" s="46" cm="1">
        <f t="array" ref="YD80">ROUND(VALUE(IFERROR(INDEX(ArchiveResults!$F$5:$IX$116,ComparisonData!A80,ComparisonData!$YD$1),0)),5)</f>
        <v>0</v>
      </c>
      <c r="YE80" s="46" cm="1">
        <f t="array" ref="YE80">ROUND(VALUE(IFERROR(INDEX(ArchiveResults!$F$5:$IX$116,ComparisonData!A80,ComparisonData!$YE$1),0)),5)</f>
        <v>0</v>
      </c>
      <c r="YF80" s="56">
        <v>75</v>
      </c>
      <c r="YG80" s="53" t="str">
        <f t="shared" si="732"/>
        <v>Science Museum Group: Science Museum Libray &amp; Archive, Wroughton</v>
      </c>
      <c r="YH80" s="60">
        <f t="shared" si="1097"/>
        <v>0</v>
      </c>
      <c r="YI80" s="60">
        <f t="shared" si="1098"/>
        <v>0</v>
      </c>
      <c r="YJ80" s="76">
        <f t="shared" si="1099"/>
        <v>0</v>
      </c>
      <c r="YK80" s="46">
        <f t="shared" si="1100"/>
        <v>92</v>
      </c>
      <c r="YL80" s="46">
        <f t="shared" si="733"/>
        <v>2.899</v>
      </c>
      <c r="YM80" s="46">
        <f t="shared" si="1101"/>
        <v>1</v>
      </c>
      <c r="YN80" s="46">
        <f t="shared" si="1102"/>
        <v>2</v>
      </c>
      <c r="YO80" s="46" cm="1">
        <f t="array" ref="YO80">ROUND(VALUE(IFERROR(INDEX(ArchiveResults!$F$5:$IX$116,ComparisonData!A80,ComparisonData!$YO$1),0)),5)</f>
        <v>0</v>
      </c>
      <c r="YP80" s="46" cm="1">
        <f t="array" ref="YP80">ROUND(VALUE(IFERROR(INDEX(ArchiveResults!$F$5:$IX$116,ComparisonData!A80,ComparisonData!$YP$1),0)),5)</f>
        <v>0</v>
      </c>
      <c r="YQ80" s="56">
        <v>75</v>
      </c>
      <c r="YR80" s="53" t="str">
        <f t="shared" si="734"/>
        <v>Science Museum Group: Science Museum Libray &amp; Archive, Wroughton</v>
      </c>
      <c r="YS80" s="60">
        <f t="shared" si="1103"/>
        <v>0</v>
      </c>
      <c r="YT80" s="60">
        <f t="shared" si="1104"/>
        <v>0</v>
      </c>
      <c r="YU80" s="76">
        <f t="shared" si="1105"/>
        <v>0</v>
      </c>
      <c r="YV80" s="46">
        <f t="shared" si="1106"/>
        <v>92</v>
      </c>
      <c r="YW80" s="46">
        <f t="shared" si="735"/>
        <v>2.899</v>
      </c>
      <c r="YX80" s="46">
        <f t="shared" si="1107"/>
        <v>1</v>
      </c>
      <c r="YY80" s="46">
        <f t="shared" si="1108"/>
        <v>2</v>
      </c>
      <c r="YZ80" s="46">
        <f t="shared" si="1109"/>
        <v>0</v>
      </c>
      <c r="ZA80" s="46" cm="1">
        <f t="array" ref="ZA80">ROUNDDOWN(VALUE(IFERROR(INDEX(ArchiveResults!$F$5:$IX$116,ComparisonData!A80,ComparisonData!$ZA$1),0)),5)</f>
        <v>0</v>
      </c>
      <c r="ZB80" s="46" cm="1">
        <f t="array" ref="ZB80">ROUNDDOWN(VALUE(IFERROR(INDEX(ArchiveResults!$F$5:$IX$116,ComparisonData!A80,ComparisonData!$ZB$1),0)),5)</f>
        <v>0</v>
      </c>
      <c r="ZC80" s="46" cm="1">
        <f t="array" ref="ZC80">ROUNDDOWN(VALUE(IFERROR(INDEX(ArchiveResults!$F$5:$IX$116,ComparisonData!A80,ComparisonData!$ZC$1),0)),5)</f>
        <v>0</v>
      </c>
      <c r="ZD80" s="46" cm="1">
        <f t="array" ref="ZD80">ROUNDDOWN(VALUE(IFERROR(INDEX(ArchiveResults!$F$5:$IX$116,ComparisonData!A80,ComparisonData!$ZD$1),0)),5)</f>
        <v>0</v>
      </c>
      <c r="ZE80" s="46" cm="1">
        <f t="array" ref="ZE80">ROUNDDOWN(VALUE(IFERROR(INDEX(ArchiveResults!$F$5:$IX$116,ComparisonData!A80,ComparisonData!$ZE$1),0)),5)</f>
        <v>0</v>
      </c>
      <c r="ZF80" s="56">
        <v>75</v>
      </c>
      <c r="ZG80" s="53" t="str">
        <f t="shared" si="736"/>
        <v>Science Museum Group: Science Museum Libray &amp; Archive, Wroughton</v>
      </c>
      <c r="ZH80" s="60">
        <f t="shared" si="1110"/>
        <v>0</v>
      </c>
      <c r="ZI80" s="60">
        <f t="shared" si="1111"/>
        <v>0</v>
      </c>
      <c r="ZJ80" s="60">
        <f t="shared" si="1112"/>
        <v>0</v>
      </c>
      <c r="ZK80" s="60">
        <f t="shared" si="1113"/>
        <v>0</v>
      </c>
      <c r="ZL80" s="60">
        <f t="shared" si="1114"/>
        <v>0</v>
      </c>
      <c r="ZM80" s="76">
        <f t="shared" si="1115"/>
        <v>0</v>
      </c>
      <c r="ZN80" s="46">
        <f t="shared" si="1116"/>
        <v>92</v>
      </c>
      <c r="ZO80" s="46">
        <f t="shared" si="737"/>
        <v>2.899</v>
      </c>
      <c r="ZP80" s="46">
        <f t="shared" si="1117"/>
        <v>1</v>
      </c>
      <c r="ZQ80" s="46">
        <f t="shared" si="1118"/>
        <v>2</v>
      </c>
      <c r="ZR80" s="46" cm="1">
        <f t="array" ref="ZR80">ROUND(VALUE(IFERROR(INDEX(ArchiveResults!$F$5:$IX$116,ComparisonData!A80,ComparisonData!$ZR$1),0)),5)</f>
        <v>0</v>
      </c>
      <c r="ZS80" s="56">
        <v>75</v>
      </c>
      <c r="ZT80" s="53" t="str">
        <f t="shared" si="738"/>
        <v>Science Museum Group: Science Museum Libray &amp; Archive, Wroughton</v>
      </c>
      <c r="ZU80" s="46">
        <f t="shared" si="1119"/>
        <v>0</v>
      </c>
      <c r="ZV80" s="76">
        <f t="shared" si="1120"/>
        <v>0</v>
      </c>
      <c r="ZW80" s="81" cm="1">
        <f t="array" ref="ZW80">ROUND((IFERROR(INDEX(ArchiveResults!$F$5:$IX$116,ComparisonData!A80,ComparisonData!$ZW$1),0)),5)</f>
        <v>0</v>
      </c>
      <c r="ZX80" s="81" cm="1">
        <f t="array" ref="ZX80">ROUND((IFERROR(INDEX(ArchiveResults!$F$5:$IX$116,ComparisonData!A80,ComparisonData!$ZX$1),0)),5)</f>
        <v>0</v>
      </c>
      <c r="ZY80" s="81" cm="1">
        <f t="array" ref="ZY80">ROUND((IFERROR(INDEX(ArchiveResults!$F$5:$IX$116,ComparisonData!A80,ComparisonData!$ZY$1),0)),5)</f>
        <v>0</v>
      </c>
      <c r="ZZ80" s="81" cm="1">
        <f t="array" ref="ZZ80">ROUND((IFERROR(INDEX(ArchiveResults!$F$5:$IX$116,ComparisonData!A80,ComparisonData!$ZZ$1),0)),5)</f>
        <v>0</v>
      </c>
      <c r="AAA80" s="81" cm="1">
        <f t="array" ref="AAA80">ROUND((IFERROR(INDEX(ArchiveResults!$F$5:$IX$116,ComparisonData!A80,ComparisonData!$AAA$1),0)),5)</f>
        <v>0</v>
      </c>
      <c r="AAB80" s="81" cm="1">
        <f t="array" ref="AAB80">ROUND((IFERROR(INDEX(ArchiveResults!$F$5:$IX$116,ComparisonData!A80,ComparisonData!$AAB$1),0)),5)</f>
        <v>0</v>
      </c>
      <c r="AAC80" s="81" cm="1">
        <f t="array" ref="AAC80">ROUND((IFERROR(INDEX(ArchiveResults!$F$5:$IX$116,ComparisonData!A80,ComparisonData!$AAC$1),0)),5)</f>
        <v>0</v>
      </c>
      <c r="AAD80" s="81" cm="1">
        <f t="array" ref="AAD80">ROUND((IFERROR(INDEX(ArchiveResults!$F$5:$IX$116,ComparisonData!A80,ComparisonData!$AAD$1),0)),5)</f>
        <v>0</v>
      </c>
      <c r="AAE80" s="81" cm="1">
        <f t="array" ref="AAE80">ROUND((IFERROR(INDEX(ArchiveResults!$F$5:$IX$116,ComparisonData!A80,ComparisonData!$AAE$1),0)),5)</f>
        <v>0</v>
      </c>
      <c r="AAF80" s="81" cm="1">
        <f t="array" ref="AAF80">ROUND((IFERROR(INDEX(ArchiveResults!$F$5:$IX$116,ComparisonData!A80,ComparisonData!$AAF$1),0)),5)</f>
        <v>0</v>
      </c>
      <c r="AAG80" s="46">
        <f t="shared" si="1121"/>
        <v>92</v>
      </c>
      <c r="AAH80" s="46">
        <f t="shared" si="739"/>
        <v>2.899</v>
      </c>
      <c r="AAI80" s="46">
        <f t="shared" si="1122"/>
        <v>1</v>
      </c>
      <c r="AAJ80" s="46">
        <f t="shared" si="1123"/>
        <v>2</v>
      </c>
      <c r="AAK80" s="46">
        <f t="shared" si="1124"/>
        <v>0</v>
      </c>
      <c r="AAL80" s="46">
        <f t="shared" si="1125"/>
        <v>0</v>
      </c>
      <c r="AAM80" s="46">
        <f t="shared" si="1126"/>
        <v>0</v>
      </c>
      <c r="AAN80" s="46">
        <f t="shared" si="1127"/>
        <v>0</v>
      </c>
      <c r="AAO80" s="46">
        <f t="shared" si="1128"/>
        <v>0</v>
      </c>
      <c r="AAP80" s="46">
        <f t="shared" si="1129"/>
        <v>0</v>
      </c>
      <c r="AAQ80" s="56">
        <v>75</v>
      </c>
      <c r="AAR80" s="53" t="str">
        <f t="shared" si="740"/>
        <v>Science Museum Group: Science Museum Libray &amp; Archive, Wroughton</v>
      </c>
      <c r="AAS80" s="60">
        <f t="shared" si="1130"/>
        <v>0</v>
      </c>
      <c r="AAT80" s="60">
        <f t="shared" si="1131"/>
        <v>0</v>
      </c>
      <c r="AAU80" s="60">
        <f t="shared" si="1132"/>
        <v>0</v>
      </c>
      <c r="AAV80" s="60">
        <f t="shared" si="1133"/>
        <v>0</v>
      </c>
      <c r="AAW80" s="60">
        <f t="shared" si="1134"/>
        <v>0</v>
      </c>
      <c r="AAX80" s="76">
        <f t="shared" si="1135"/>
        <v>0</v>
      </c>
      <c r="AAY80" s="46">
        <f t="shared" si="1136"/>
        <v>92</v>
      </c>
      <c r="AAZ80" s="46">
        <f t="shared" si="741"/>
        <v>2.899</v>
      </c>
      <c r="ABA80" s="46">
        <f t="shared" si="1137"/>
        <v>1</v>
      </c>
      <c r="ABB80" s="46">
        <f t="shared" si="1138"/>
        <v>2</v>
      </c>
      <c r="ABC80" s="46">
        <f t="shared" si="742"/>
        <v>0</v>
      </c>
      <c r="ABD80" s="46" cm="1">
        <f t="array" ref="ABD80">ROUND(VALUE(IFERROR(INDEX(ArchiveResults!$F$5:$IX$116,ComparisonData!A80,ComparisonData!$ABD$1),0)),5)</f>
        <v>0</v>
      </c>
      <c r="ABE80" s="46" cm="1">
        <f t="array" ref="ABE80">ROUND(VALUE(IFERROR(INDEX(ArchiveResults!$F$5:$IX$116,ComparisonData!A80,ComparisonData!$ABE$1),0)),5)</f>
        <v>0</v>
      </c>
      <c r="ABF80" s="46" cm="1">
        <f t="array" ref="ABF80">ROUND(VALUE(IFERROR(INDEX(ArchiveResults!$F$5:$IX$116,ComparisonData!A80,ComparisonData!$ABF$1),0)),5)</f>
        <v>0</v>
      </c>
      <c r="ABG80" s="46" cm="1">
        <f t="array" ref="ABG80">ROUND(VALUE(IFERROR(INDEX(ArchiveResults!$F$5:$IX$116,ComparisonData!A80,ComparisonData!$ABG$1),0)),5)</f>
        <v>0</v>
      </c>
      <c r="ABH80" s="46" cm="1">
        <f t="array" ref="ABH80">ROUND(VALUE(IFERROR(INDEX(ArchiveResults!$F$5:$IX$116,ComparisonData!A80,ComparisonData!$ABH$1),0)),5)</f>
        <v>0</v>
      </c>
      <c r="ABI80" s="56">
        <v>75</v>
      </c>
      <c r="ABJ80" s="53" t="str">
        <f t="shared" si="743"/>
        <v>Science Museum Group: Science Museum Libray &amp; Archive, Wroughton</v>
      </c>
      <c r="ABK80" s="60">
        <f t="shared" si="1139"/>
        <v>0</v>
      </c>
      <c r="ABL80" s="60">
        <f t="shared" si="1140"/>
        <v>0</v>
      </c>
      <c r="ABM80" s="60">
        <f t="shared" si="1141"/>
        <v>0</v>
      </c>
      <c r="ABN80" s="60">
        <f t="shared" si="1142"/>
        <v>0</v>
      </c>
      <c r="ABO80" s="60">
        <f t="shared" si="1143"/>
        <v>0</v>
      </c>
      <c r="ABP80" s="76">
        <f t="shared" si="1144"/>
        <v>0</v>
      </c>
      <c r="ABQ80" s="46">
        <f t="shared" si="1145"/>
        <v>92</v>
      </c>
      <c r="ABR80" s="46">
        <f t="shared" si="744"/>
        <v>2.899</v>
      </c>
      <c r="ABS80" s="46">
        <f t="shared" si="1146"/>
        <v>1</v>
      </c>
      <c r="ABT80" s="46">
        <f t="shared" si="1147"/>
        <v>2</v>
      </c>
      <c r="ABU80" s="46" cm="1">
        <f t="array" ref="ABU80">ROUND(VALUE(IFERROR(INDEX(ArchiveResults!$F$5:$IX$116,ComparisonData!A80,ComparisonData!$ABU$1),0)),5)</f>
        <v>0</v>
      </c>
      <c r="ABV80" s="46" cm="1">
        <f t="array" ref="ABV80">ROUND(VALUE(IFERROR(INDEX(ArchiveResults!$F$5:$IX$116,ComparisonData!A80,ComparisonData!$ABV$1),0)),5)</f>
        <v>0</v>
      </c>
      <c r="ABW80" s="46" cm="1">
        <f t="array" ref="ABW80">ROUND(VALUE(IFERROR(INDEX(ArchiveResults!$F$5:$IX$116,ComparisonData!A80,ComparisonData!$ABW$1),0)),5)</f>
        <v>0</v>
      </c>
      <c r="ABX80" s="46" cm="1">
        <f t="array" ref="ABX80">ROUND(VALUE(IFERROR(INDEX(ArchiveResults!$F$5:$IX$116,ComparisonData!A80,ComparisonData!$ABX$1),0)),5)</f>
        <v>0</v>
      </c>
      <c r="ABY80" s="46" cm="1">
        <f t="array" ref="ABY80">ROUND(VALUE(IFERROR(INDEX(ArchiveResults!$F$5:$IX$116,ComparisonData!A80,ComparisonData!$ABY$1),0)),5)</f>
        <v>0</v>
      </c>
      <c r="ABZ80" s="56">
        <v>75</v>
      </c>
      <c r="ACA80" s="53" t="str">
        <f t="shared" si="745"/>
        <v>Science Museum Group: Science Museum Libray &amp; Archive, Wroughton</v>
      </c>
      <c r="ACB80" s="60">
        <f t="shared" si="1148"/>
        <v>0</v>
      </c>
      <c r="ACC80" s="60">
        <f t="shared" si="1149"/>
        <v>0</v>
      </c>
      <c r="ACD80" s="60">
        <f t="shared" si="1150"/>
        <v>0</v>
      </c>
      <c r="ACE80" s="60">
        <f t="shared" si="1151"/>
        <v>0</v>
      </c>
      <c r="ACF80" s="60">
        <f t="shared" si="1152"/>
        <v>0</v>
      </c>
      <c r="ACG80" s="76">
        <f t="shared" si="1153"/>
        <v>0</v>
      </c>
      <c r="ACH80" s="46">
        <f t="shared" si="1154"/>
        <v>92</v>
      </c>
      <c r="ACI80" s="46">
        <f t="shared" si="746"/>
        <v>2.899</v>
      </c>
      <c r="ACJ80" s="46">
        <f t="shared" si="1155"/>
        <v>1</v>
      </c>
      <c r="ACK80" s="46">
        <f t="shared" si="1156"/>
        <v>2</v>
      </c>
      <c r="ACL80" s="46">
        <f t="shared" si="1157"/>
        <v>0</v>
      </c>
      <c r="ACM80" s="46" cm="1">
        <f t="array" ref="ACM80">ROUND(IFERROR(INDEX(ArchiveResults!$F$5:$IX$116,ComparisonData!A80,ComparisonData!$ACM$1),0),5)</f>
        <v>0</v>
      </c>
      <c r="ACN80" s="46" cm="1">
        <f t="array" ref="ACN80">ROUND(IFERROR(INDEX(ArchiveResults!$F$5:$IX$116,ComparisonData!A80,ComparisonData!$ACN$1),0),5)</f>
        <v>0</v>
      </c>
      <c r="ACO80" s="56">
        <v>75</v>
      </c>
      <c r="ACP80" s="53" t="str">
        <f t="shared" si="747"/>
        <v>Science Museum Group: Science Museum Libray &amp; Archive, Wroughton</v>
      </c>
      <c r="ACQ80" s="60">
        <f t="shared" si="1158"/>
        <v>0</v>
      </c>
      <c r="ACR80" s="60">
        <f t="shared" si="1159"/>
        <v>0</v>
      </c>
      <c r="ACS80" s="76">
        <f t="shared" si="1160"/>
        <v>0</v>
      </c>
      <c r="ACT80" s="46">
        <f t="shared" si="1161"/>
        <v>92</v>
      </c>
      <c r="ACU80" s="46">
        <f t="shared" si="748"/>
        <v>2.899</v>
      </c>
      <c r="ACV80" s="46">
        <f t="shared" si="1162"/>
        <v>1</v>
      </c>
      <c r="ACW80" s="46">
        <f t="shared" si="1163"/>
        <v>2</v>
      </c>
      <c r="ACX80" s="46">
        <f t="shared" si="1164"/>
        <v>0</v>
      </c>
      <c r="ACY80" s="46" cm="1">
        <f t="array" ref="ACY80">ROUNDDOWN(IFERROR(INDEX(ArchiveResults!$F$5:$IX$116,ComparisonData!A80,ComparisonData!$ACY$1),0),5)</f>
        <v>0</v>
      </c>
      <c r="ACZ80" s="46" cm="1">
        <f t="array" ref="ACZ80">ROUNDDOWN(IFERROR(INDEX(ArchiveResults!$F$5:$IX$116,ComparisonData!A80,ComparisonData!$ACZ$1),0),5)</f>
        <v>0</v>
      </c>
      <c r="ADA80" s="46" cm="1">
        <f t="array" ref="ADA80">ROUNDDOWN(IFERROR(INDEX(ArchiveResults!$F$5:$IX$116,ComparisonData!A80,ComparisonData!$ADA$1),0),5)</f>
        <v>0</v>
      </c>
      <c r="ADB80" s="56">
        <v>75</v>
      </c>
      <c r="ADC80" s="53" t="str">
        <f t="shared" si="749"/>
        <v>Science Museum Group: Science Museum Libray &amp; Archive, Wroughton</v>
      </c>
      <c r="ADD80" s="60">
        <f t="shared" si="1165"/>
        <v>0</v>
      </c>
      <c r="ADE80" s="60">
        <f t="shared" si="1166"/>
        <v>0</v>
      </c>
      <c r="ADF80" s="60">
        <f t="shared" si="1167"/>
        <v>0</v>
      </c>
      <c r="ADG80" s="76">
        <f t="shared" si="1168"/>
        <v>0</v>
      </c>
    </row>
    <row r="81" spans="1:787" x14ac:dyDescent="0.25">
      <c r="A81" s="46" t="str">
        <f>IF(ISBLANK(ComparisonSelection!F77),"",ROW()-5)</f>
        <v/>
      </c>
      <c r="B81" s="53" t="s">
        <v>530</v>
      </c>
      <c r="C81" s="72">
        <v>0.61399999999999966</v>
      </c>
      <c r="D81" s="55">
        <f t="shared" si="750"/>
        <v>36</v>
      </c>
      <c r="E81" s="54">
        <f t="shared" si="751"/>
        <v>2.6139999999999999</v>
      </c>
      <c r="F81" s="54">
        <f t="shared" si="752"/>
        <v>1</v>
      </c>
      <c r="G81" s="72">
        <f t="shared" si="753"/>
        <v>2</v>
      </c>
      <c r="H81" s="72">
        <f t="shared" si="754"/>
        <v>0</v>
      </c>
      <c r="I81" s="46" cm="1">
        <f t="array" ref="I81">ROUND(IFERROR(INDEX(ArchiveResults!$F$5:$IX$116,ComparisonData!A81,ComparisonData!$I$1),0),5)</f>
        <v>0</v>
      </c>
      <c r="J81" s="46" cm="1">
        <f t="array" ref="J81">ROUND(IFERROR(INDEX(ArchiveResults!$F$5:$IX$116,ComparisonData!A81,ComparisonData!$J$1),0),5)</f>
        <v>0</v>
      </c>
      <c r="K81" s="56">
        <v>76</v>
      </c>
      <c r="L81" s="53" t="str">
        <f t="shared" si="755"/>
        <v>Shropshire Archives</v>
      </c>
      <c r="M81" s="57">
        <f t="shared" si="640"/>
        <v>0</v>
      </c>
      <c r="N81" s="57">
        <f t="shared" si="641"/>
        <v>0</v>
      </c>
      <c r="O81" s="58">
        <f t="shared" si="756"/>
        <v>0</v>
      </c>
      <c r="P81" s="48">
        <f t="shared" si="757"/>
        <v>36</v>
      </c>
      <c r="Q81" s="54">
        <f t="shared" si="642"/>
        <v>2.6139999999999999</v>
      </c>
      <c r="R81" s="45">
        <f t="shared" si="758"/>
        <v>1</v>
      </c>
      <c r="S81" s="46">
        <f t="shared" si="759"/>
        <v>2</v>
      </c>
      <c r="T81" s="72">
        <f t="shared" si="760"/>
        <v>0</v>
      </c>
      <c r="U81" s="46" cm="1">
        <f t="array" ref="U81">ROUND(IFERROR(INDEX(ArchiveResults!$F$5:$IX$116,ComparisonData!A81,ComparisonData!$U$1),0),5)</f>
        <v>0</v>
      </c>
      <c r="V81" s="46" cm="1">
        <f t="array" ref="V81">ROUND(IFERROR(INDEX(ArchiveResults!$F$5:$IX$116,ComparisonData!A81,ComparisonData!$V$1),0),5)</f>
        <v>0</v>
      </c>
      <c r="W81" s="56">
        <v>76</v>
      </c>
      <c r="X81" s="53" t="str">
        <f t="shared" si="643"/>
        <v>Shropshire Archives</v>
      </c>
      <c r="Y81" s="57">
        <f t="shared" si="761"/>
        <v>0</v>
      </c>
      <c r="Z81" s="57">
        <f t="shared" si="762"/>
        <v>0</v>
      </c>
      <c r="AA81" s="58">
        <f t="shared" si="763"/>
        <v>0</v>
      </c>
      <c r="AB81" s="45">
        <f t="shared" si="764"/>
        <v>36</v>
      </c>
      <c r="AC81" s="54">
        <f t="shared" si="644"/>
        <v>2.6139999999999999</v>
      </c>
      <c r="AD81" s="45">
        <f t="shared" si="765"/>
        <v>1</v>
      </c>
      <c r="AE81" s="45">
        <f t="shared" si="766"/>
        <v>2</v>
      </c>
      <c r="AF81" s="45">
        <f t="shared" si="639"/>
        <v>0</v>
      </c>
      <c r="AG81" s="46" cm="1">
        <f t="array" ref="AG81">ROUND(IFERROR(INDEX(ArchiveResults!$F$5:$IX$116,ComparisonData!A81,ComparisonData!$AG$1),0),5)</f>
        <v>0</v>
      </c>
      <c r="AH81" s="46" cm="1">
        <f t="array" ref="AH81">ROUND(IFERROR(INDEX(ArchiveResults!$F$5:$IX$116,ComparisonData!A81,ComparisonData!$AH$1),0),5)</f>
        <v>0</v>
      </c>
      <c r="AI81" s="56">
        <v>76</v>
      </c>
      <c r="AJ81" s="53" t="str">
        <f t="shared" si="645"/>
        <v>Shropshire Archives</v>
      </c>
      <c r="AK81" s="59">
        <f t="shared" si="646"/>
        <v>0</v>
      </c>
      <c r="AL81" s="59">
        <f t="shared" si="647"/>
        <v>0</v>
      </c>
      <c r="AM81" s="58">
        <f t="shared" si="767"/>
        <v>0</v>
      </c>
      <c r="AN81" s="45">
        <f t="shared" si="768"/>
        <v>36</v>
      </c>
      <c r="AO81" s="54">
        <f t="shared" si="648"/>
        <v>2.6139999999999999</v>
      </c>
      <c r="AP81" s="45">
        <f t="shared" si="769"/>
        <v>1</v>
      </c>
      <c r="AQ81" s="45">
        <f t="shared" si="770"/>
        <v>2</v>
      </c>
      <c r="AR81" s="46" cm="1">
        <f t="array" ref="AR81">ROUND(IFERROR(INDEX(ArchiveResults!$F$5:$IX$116,ComparisonData!A81,ComparisonData!$AR$1),0),5)</f>
        <v>0</v>
      </c>
      <c r="AS81" s="46" cm="1">
        <f t="array" ref="AS81">ROUND(IFERROR(INDEX(ArchiveResults!$F$5:$IX$116,ComparisonData!A81,ComparisonData!$AS$1),0),5)</f>
        <v>0</v>
      </c>
      <c r="AT81" s="46" cm="1">
        <f t="array" ref="AT81">ROUND(IFERROR(INDEX(ArchiveResults!$F$5:$IX$116,ComparisonData!A81,ComparisonData!$AT$1),0),5)</f>
        <v>0</v>
      </c>
      <c r="AU81" s="46" cm="1">
        <f t="array" ref="AU81">ROUND(IFERROR(INDEX(ArchiveResults!$F$5:$IX$116,ComparisonData!A81,ComparisonData!$AU$1),0),5)</f>
        <v>0</v>
      </c>
      <c r="AV81" s="46" cm="1">
        <f t="array" ref="AV81">ROUND(IFERROR(INDEX(ArchiveResults!$F$5:$IX$116,ComparisonData!A81,ComparisonData!$AV$1),0),5)</f>
        <v>0</v>
      </c>
      <c r="AW81" s="46" cm="1">
        <f t="array" ref="AW81">ROUND(IFERROR(INDEX(ArchiveResults!$F$5:$IX$116,ComparisonData!A81,ComparisonData!$AW$1),0),5)</f>
        <v>0</v>
      </c>
      <c r="AX81" s="46" cm="1">
        <f t="array" ref="AX81">ROUND(IFERROR(INDEX(ArchiveResults!$F$5:$IX$116,ComparisonData!A81,ComparisonData!$AX$1),0),5)</f>
        <v>0</v>
      </c>
      <c r="AY81" s="46" cm="1">
        <f t="array" ref="AY81">ROUND(IFERROR(INDEX(ArchiveResults!$F$5:$IX$116,ComparisonData!A81,ComparisonData!$AY$1),0),5)</f>
        <v>0</v>
      </c>
      <c r="AZ81" s="46" cm="1">
        <f t="array" ref="AZ81">ROUND(IFERROR(INDEX(ArchiveResults!$F$5:$IX$116,ComparisonData!A81,ComparisonData!$AZ$1),0),5)</f>
        <v>0</v>
      </c>
      <c r="BA81" s="46" cm="1">
        <f t="array" ref="BA81">ROUND(IFERROR(INDEX(ArchiveResults!$F$5:$IX$116,ComparisonData!A81,ComparisonData!$BA$1),0),5)</f>
        <v>0</v>
      </c>
      <c r="BB81" s="56">
        <v>76</v>
      </c>
      <c r="BC81" s="53" t="str">
        <f t="shared" si="649"/>
        <v>Shropshire Archives</v>
      </c>
      <c r="BD81" s="60">
        <f t="shared" si="771"/>
        <v>0</v>
      </c>
      <c r="BE81" s="60">
        <f t="shared" si="772"/>
        <v>0</v>
      </c>
      <c r="BF81" s="60">
        <f t="shared" si="773"/>
        <v>0</v>
      </c>
      <c r="BG81" s="60">
        <f t="shared" si="774"/>
        <v>0</v>
      </c>
      <c r="BH81" s="60">
        <f t="shared" si="775"/>
        <v>0</v>
      </c>
      <c r="BI81" s="60">
        <f t="shared" si="776"/>
        <v>0</v>
      </c>
      <c r="BJ81" s="60">
        <f t="shared" si="777"/>
        <v>0</v>
      </c>
      <c r="BK81" s="60">
        <f t="shared" si="778"/>
        <v>0</v>
      </c>
      <c r="BL81" s="60">
        <f t="shared" si="779"/>
        <v>0</v>
      </c>
      <c r="BM81" s="59">
        <f t="shared" si="780"/>
        <v>0</v>
      </c>
      <c r="BN81" s="58">
        <f t="shared" si="781"/>
        <v>0</v>
      </c>
      <c r="BO81" s="45">
        <f t="shared" si="782"/>
        <v>36</v>
      </c>
      <c r="BP81" s="54">
        <f t="shared" si="650"/>
        <v>2.6139999999999999</v>
      </c>
      <c r="BQ81" s="45">
        <f t="shared" si="783"/>
        <v>1</v>
      </c>
      <c r="BR81" s="45">
        <f t="shared" si="784"/>
        <v>2</v>
      </c>
      <c r="BS81" s="46" cm="1">
        <f t="array" ref="BS81">ROUND(IFERROR(INDEX(ArchiveResults!$F$5:$IX$116,ComparisonData!A81,ComparisonData!$BS$1),0),5)</f>
        <v>0</v>
      </c>
      <c r="BT81" s="46" cm="1">
        <f t="array" ref="BT81">ROUND(IFERROR(INDEX(ArchiveResults!$F$5:$IX$116,ComparisonData!A81,ComparisonData!$BT$1),0),5)</f>
        <v>0</v>
      </c>
      <c r="BU81" s="46" cm="1">
        <f t="array" ref="BU81">ROUND(IFERROR(INDEX(ArchiveResults!$F$5:$IX$116,ComparisonData!A81,ComparisonData!$BU$1),0),5)</f>
        <v>0</v>
      </c>
      <c r="BV81" s="46" cm="1">
        <f t="array" ref="BV81">ROUND(IFERROR(INDEX(ArchiveResults!$F$5:$IX$116,ComparisonData!A81,ComparisonData!$BV$1),0),5)</f>
        <v>0</v>
      </c>
      <c r="BW81" s="46" cm="1">
        <f t="array" ref="BW81">ROUND(IFERROR(INDEX(ArchiveResults!$F$5:$IX$116,ComparisonData!A81,ComparisonData!$BW$1),0),5)</f>
        <v>0</v>
      </c>
      <c r="BX81" s="46" cm="1">
        <f t="array" ref="BX81">ROUND(IFERROR(INDEX(ArchiveResults!$F$5:$IX$116,ComparisonData!A81,ComparisonData!$BX$1),0),5)</f>
        <v>0</v>
      </c>
      <c r="BY81" s="56">
        <v>76</v>
      </c>
      <c r="BZ81" s="53" t="str">
        <f t="shared" si="651"/>
        <v>Shropshire Archives</v>
      </c>
      <c r="CA81" s="59">
        <f t="shared" si="785"/>
        <v>0</v>
      </c>
      <c r="CB81" s="59">
        <f t="shared" si="786"/>
        <v>0</v>
      </c>
      <c r="CC81" s="59">
        <f t="shared" si="787"/>
        <v>0</v>
      </c>
      <c r="CD81" s="59">
        <f t="shared" si="788"/>
        <v>0</v>
      </c>
      <c r="CE81" s="59">
        <f t="shared" si="789"/>
        <v>0</v>
      </c>
      <c r="CF81" s="59">
        <f t="shared" si="790"/>
        <v>0</v>
      </c>
      <c r="CG81" s="58">
        <f t="shared" si="791"/>
        <v>0</v>
      </c>
      <c r="CH81" s="45">
        <f t="shared" si="792"/>
        <v>36</v>
      </c>
      <c r="CI81" s="54">
        <f t="shared" si="652"/>
        <v>2.6139999999999999</v>
      </c>
      <c r="CJ81" s="45">
        <f t="shared" si="793"/>
        <v>1</v>
      </c>
      <c r="CK81" s="45">
        <f t="shared" si="794"/>
        <v>2</v>
      </c>
      <c r="CL81" s="46" cm="1">
        <f t="array" ref="CL81">ROUND(IFERROR(INDEX(ArchiveResults!$F$5:$IX$116,ComparisonData!A81,ComparisonData!$CL$1),0),5)</f>
        <v>0</v>
      </c>
      <c r="CM81" s="56">
        <v>76</v>
      </c>
      <c r="CN81" s="53" t="str">
        <f t="shared" si="653"/>
        <v>Shropshire Archives</v>
      </c>
      <c r="CO81" s="45">
        <f t="shared" si="795"/>
        <v>0</v>
      </c>
      <c r="CP81" s="58">
        <f t="shared" si="796"/>
        <v>0</v>
      </c>
      <c r="CQ81" s="45">
        <f t="shared" si="797"/>
        <v>36</v>
      </c>
      <c r="CR81" s="54">
        <f t="shared" si="654"/>
        <v>2.6139999999999999</v>
      </c>
      <c r="CS81" s="45">
        <f t="shared" si="798"/>
        <v>1</v>
      </c>
      <c r="CT81" s="45">
        <f t="shared" si="799"/>
        <v>2</v>
      </c>
      <c r="CU81" s="46" cm="1">
        <f t="array" ref="CU81">ROUND(IFERROR(INDEX(ArchiveResults!$F$5:$IX$116,ComparisonData!A81,ComparisonData!$CU$1),0),5)</f>
        <v>0</v>
      </c>
      <c r="CV81" s="56">
        <v>76</v>
      </c>
      <c r="CW81" s="53" t="str">
        <f t="shared" si="655"/>
        <v>Shropshire Archives</v>
      </c>
      <c r="CX81" s="45">
        <f t="shared" si="800"/>
        <v>0</v>
      </c>
      <c r="CY81" s="58">
        <f t="shared" si="801"/>
        <v>0</v>
      </c>
      <c r="CZ81" s="45">
        <f t="shared" si="802"/>
        <v>36</v>
      </c>
      <c r="DA81" s="54">
        <f t="shared" si="656"/>
        <v>2.6139999999999999</v>
      </c>
      <c r="DB81" s="45">
        <f t="shared" si="803"/>
        <v>1</v>
      </c>
      <c r="DC81" s="45">
        <f t="shared" si="804"/>
        <v>2</v>
      </c>
      <c r="DD81" s="46" cm="1">
        <f t="array" ref="DD81">ROUND(IFERROR(INDEX(ArchiveResults!$F$5:$IX$116,ComparisonData!A81,ComparisonData!$DD$1),0),5)</f>
        <v>0</v>
      </c>
      <c r="DE81" s="56">
        <v>76</v>
      </c>
      <c r="DF81" s="53" t="str">
        <f t="shared" si="657"/>
        <v>Shropshire Archives</v>
      </c>
      <c r="DG81" s="45">
        <f t="shared" si="805"/>
        <v>0</v>
      </c>
      <c r="DH81" s="58">
        <f t="shared" si="806"/>
        <v>0</v>
      </c>
      <c r="DI81" s="45">
        <f t="shared" si="807"/>
        <v>36</v>
      </c>
      <c r="DJ81" s="54">
        <f t="shared" si="658"/>
        <v>2.6139999999999999</v>
      </c>
      <c r="DK81" s="45">
        <f t="shared" si="808"/>
        <v>1</v>
      </c>
      <c r="DL81" s="45">
        <f t="shared" si="809"/>
        <v>2</v>
      </c>
      <c r="DM81" s="46" cm="1">
        <f t="array" ref="DM81">ROUND(IFERROR(INDEX(ArchiveResults!$F$5:$IX$116,ComparisonData!A81,ComparisonData!$DM$1),0),5)</f>
        <v>0</v>
      </c>
      <c r="DN81" s="46" cm="1">
        <f t="array" ref="DN81">ROUND(IFERROR(INDEX(ArchiveResults!$F$5:$IX$116,ComparisonData!A81,ComparisonData!$DN$1),0),5)</f>
        <v>0</v>
      </c>
      <c r="DO81" s="46" cm="1">
        <f t="array" ref="DO81">ROUND(IFERROR(INDEX(ArchiveResults!$F$5:$IX$116,ComparisonData!A81,ComparisonData!$DO$1),0),5)</f>
        <v>0</v>
      </c>
      <c r="DP81" s="46" cm="1">
        <f t="array" ref="DP81">ROUND(IFERROR(INDEX(ArchiveResults!$F$5:$IX$116,ComparisonData!A81,ComparisonData!$DP$1),0),5)</f>
        <v>0</v>
      </c>
      <c r="DQ81" s="45" cm="1">
        <f t="array" ref="DQ81">IFERROR(INDEX(ArchiveResults!$F$5:$IX$116,ComparisonData!A81,ComparisonData!$DQ$1),0)</f>
        <v>0</v>
      </c>
      <c r="DR81" s="56">
        <v>76</v>
      </c>
      <c r="DS81" s="53" t="str">
        <f t="shared" si="659"/>
        <v>Shropshire Archives</v>
      </c>
      <c r="DT81" s="59">
        <f t="shared" si="810"/>
        <v>0</v>
      </c>
      <c r="DU81" s="59">
        <f t="shared" si="811"/>
        <v>0</v>
      </c>
      <c r="DV81" s="59">
        <f t="shared" si="812"/>
        <v>0</v>
      </c>
      <c r="DW81" s="59">
        <f t="shared" si="813"/>
        <v>0</v>
      </c>
      <c r="DX81" s="59">
        <f t="shared" si="814"/>
        <v>0</v>
      </c>
      <c r="DY81" s="58">
        <f t="shared" si="815"/>
        <v>0</v>
      </c>
      <c r="DZ81" s="45">
        <f t="shared" si="816"/>
        <v>36</v>
      </c>
      <c r="EA81" s="54">
        <f t="shared" si="660"/>
        <v>2.6139999999999999</v>
      </c>
      <c r="EB81" s="45">
        <f t="shared" si="817"/>
        <v>1</v>
      </c>
      <c r="EC81" s="45">
        <f t="shared" si="818"/>
        <v>2</v>
      </c>
      <c r="ED81" s="46" cm="1">
        <f t="array" ref="ED81">ROUND(IFERROR(INDEX(ArchiveResults!$F$5:$IX$116,ComparisonData!A81,ComparisonData!$ED$1),0),5)</f>
        <v>0</v>
      </c>
      <c r="EE81" s="46" cm="1">
        <f t="array" ref="EE81">ROUND(IFERROR(INDEX(ArchiveResults!$F$5:$IX$116,ComparisonData!A81,ComparisonData!$EE$1),0),5)</f>
        <v>0</v>
      </c>
      <c r="EF81" s="46" cm="1">
        <f t="array" ref="EF81">ROUND(IFERROR(INDEX(ArchiveResults!$F$5:$IX$116,ComparisonData!A81,ComparisonData!$EF$1),0),5)</f>
        <v>0</v>
      </c>
      <c r="EG81" s="46" cm="1">
        <f t="array" ref="EG81">ROUND(IFERROR(INDEX(ArchiveResults!$F$5:$IX$116,ComparisonData!A81,ComparisonData!$EG$1),0),5)</f>
        <v>0</v>
      </c>
      <c r="EH81" s="45" cm="1">
        <f t="array" ref="EH81">IFERROR(INDEX(ArchiveResults!$F$5:$IX$116,ComparisonData!A81,ComparisonData!$EH$1),0)</f>
        <v>0</v>
      </c>
      <c r="EI81" s="56">
        <v>76</v>
      </c>
      <c r="EJ81" s="53" t="str">
        <f t="shared" si="661"/>
        <v>Shropshire Archives</v>
      </c>
      <c r="EK81" s="59">
        <f t="shared" si="819"/>
        <v>0</v>
      </c>
      <c r="EL81" s="59">
        <f t="shared" si="820"/>
        <v>0</v>
      </c>
      <c r="EM81" s="59">
        <f t="shared" si="821"/>
        <v>0</v>
      </c>
      <c r="EN81" s="59">
        <f t="shared" si="822"/>
        <v>0</v>
      </c>
      <c r="EO81" s="59">
        <f t="shared" si="823"/>
        <v>0</v>
      </c>
      <c r="EP81" s="58">
        <f t="shared" si="824"/>
        <v>0</v>
      </c>
      <c r="EQ81" s="45">
        <f t="shared" si="825"/>
        <v>36</v>
      </c>
      <c r="ER81" s="54">
        <f t="shared" si="662"/>
        <v>2.6139999999999999</v>
      </c>
      <c r="ES81" s="45">
        <f t="shared" si="826"/>
        <v>1</v>
      </c>
      <c r="ET81" s="45">
        <f t="shared" si="827"/>
        <v>2</v>
      </c>
      <c r="EU81" s="46" cm="1">
        <f t="array" ref="EU81">ROUND(IFERROR(INDEX(ArchiveResults!$F$5:$IX$116,ComparisonData!A81,ComparisonData!$EU$1),0),5)</f>
        <v>0</v>
      </c>
      <c r="EV81" s="46" cm="1">
        <f t="array" ref="EV81">ROUND(IFERROR(INDEX(ArchiveResults!$F$5:$IX$116,ComparisonData!A81,ComparisonData!$EV$1),0),5)</f>
        <v>0</v>
      </c>
      <c r="EW81" s="46" cm="1">
        <f t="array" ref="EW81">ROUND(IFERROR(INDEX(ArchiveResults!$F$5:$IX$116,ComparisonData!A81,ComparisonData!$EW$1),0),5)</f>
        <v>0</v>
      </c>
      <c r="EX81" s="46" cm="1">
        <f t="array" ref="EX81">ROUND(IFERROR(INDEX(ArchiveResults!$F$5:$IX$116,ComparisonData!A81,ComparisonData!$EX$1),0),5)</f>
        <v>0</v>
      </c>
      <c r="EY81" s="45" cm="1">
        <f t="array" ref="EY81">IFERROR(INDEX(ArchiveResults!$F$5:$IX$116,ComparisonData!A81,ComparisonData!$EY$1),0)</f>
        <v>0</v>
      </c>
      <c r="EZ81" s="56">
        <v>76</v>
      </c>
      <c r="FA81" s="53" t="str">
        <f t="shared" si="663"/>
        <v>Shropshire Archives</v>
      </c>
      <c r="FB81" s="59">
        <f t="shared" si="828"/>
        <v>0</v>
      </c>
      <c r="FC81" s="59">
        <f t="shared" si="829"/>
        <v>0</v>
      </c>
      <c r="FD81" s="59">
        <f t="shared" si="830"/>
        <v>0</v>
      </c>
      <c r="FE81" s="59">
        <f t="shared" si="831"/>
        <v>0</v>
      </c>
      <c r="FF81" s="59">
        <f t="shared" si="832"/>
        <v>0</v>
      </c>
      <c r="FG81" s="58">
        <f t="shared" si="833"/>
        <v>0</v>
      </c>
      <c r="FH81" s="45">
        <f t="shared" si="834"/>
        <v>36</v>
      </c>
      <c r="FI81" s="54">
        <f t="shared" si="664"/>
        <v>2.6139999999999999</v>
      </c>
      <c r="FJ81" s="45">
        <f t="shared" si="835"/>
        <v>1</v>
      </c>
      <c r="FK81" s="45">
        <f t="shared" si="836"/>
        <v>2</v>
      </c>
      <c r="FL81" s="46" cm="1">
        <f t="array" ref="FL81">ROUND(IFERROR(INDEX(ArchiveResults!$F$5:$IX$116,ComparisonData!A81,ComparisonData!$FL$1),0),5)</f>
        <v>0</v>
      </c>
      <c r="FM81" s="46" cm="1">
        <f t="array" ref="FM81">ROUND(IFERROR(INDEX(ArchiveResults!$F$5:$IX$116,ComparisonData!A81,ComparisonData!$FM$1),0),5)</f>
        <v>0</v>
      </c>
      <c r="FN81" s="46" cm="1">
        <f t="array" ref="FN81">ROUND(IFERROR(INDEX(ArchiveResults!$F$5:$IX$116,ComparisonData!A81,ComparisonData!$FN$1),0),5)</f>
        <v>0</v>
      </c>
      <c r="FO81" s="46" cm="1">
        <f t="array" ref="FO81">ROUND(IFERROR(INDEX(ArchiveResults!$F$5:$IX$116,ComparisonData!A81,ComparisonData!$FO$1),0),5)</f>
        <v>0</v>
      </c>
      <c r="FP81" s="45" cm="1">
        <f t="array" ref="FP81">IFERROR(INDEX(ArchiveResults!$F$5:$IX$116,ComparisonData!A81,ComparisonData!$FP$1),0)</f>
        <v>0</v>
      </c>
      <c r="FQ81" s="56">
        <v>76</v>
      </c>
      <c r="FR81" s="53" t="str">
        <f t="shared" si="665"/>
        <v>Shropshire Archives</v>
      </c>
      <c r="FS81" s="59">
        <f t="shared" si="837"/>
        <v>0</v>
      </c>
      <c r="FT81" s="59">
        <f t="shared" si="838"/>
        <v>0</v>
      </c>
      <c r="FU81" s="59">
        <f t="shared" si="839"/>
        <v>0</v>
      </c>
      <c r="FV81" s="59">
        <f t="shared" si="840"/>
        <v>0</v>
      </c>
      <c r="FW81" s="59">
        <f t="shared" si="841"/>
        <v>0</v>
      </c>
      <c r="FX81" s="58">
        <f t="shared" si="842"/>
        <v>0</v>
      </c>
      <c r="FY81" s="45">
        <f t="shared" si="843"/>
        <v>36</v>
      </c>
      <c r="FZ81" s="45">
        <f t="shared" si="666"/>
        <v>2.6139999999999999</v>
      </c>
      <c r="GA81" s="45">
        <f t="shared" si="844"/>
        <v>1</v>
      </c>
      <c r="GB81" s="45">
        <f t="shared" si="845"/>
        <v>2</v>
      </c>
      <c r="GC81" s="46" cm="1">
        <f t="array" ref="GC81">ROUND(IFERROR(INDEX(ArchiveResults!$F$5:$IX$116,ComparisonData!A81,ComparisonData!$GC$1),0),5)</f>
        <v>0</v>
      </c>
      <c r="GD81" s="46" cm="1">
        <f t="array" ref="GD81">ROUND(IFERROR(INDEX(ArchiveResults!$F$5:$IX$116,ComparisonData!A81,ComparisonData!$GD$1),0),5)</f>
        <v>0</v>
      </c>
      <c r="GE81" s="46" cm="1">
        <f t="array" ref="GE81">ROUND(IFERROR(INDEX(ArchiveResults!$F$5:$IX$116,ComparisonData!A81,ComparisonData!$GE$1),0),5)</f>
        <v>0</v>
      </c>
      <c r="GF81" s="46" cm="1">
        <f t="array" ref="GF81">ROUND(IFERROR(INDEX(ArchiveResults!$F$5:$IX$116,ComparisonData!A81,ComparisonData!$GF$1),0),5)</f>
        <v>0</v>
      </c>
      <c r="GG81" s="45" cm="1">
        <f t="array" ref="GG81">IFERROR(INDEX(ArchiveResults!$F$5:$IX$116,ComparisonData!A81,ComparisonData!$GG$1),0)</f>
        <v>0</v>
      </c>
      <c r="GH81" s="56">
        <v>76</v>
      </c>
      <c r="GI81" s="53" t="str">
        <f t="shared" si="667"/>
        <v>Shropshire Archives</v>
      </c>
      <c r="GJ81" s="59">
        <f t="shared" si="846"/>
        <v>0</v>
      </c>
      <c r="GK81" s="59">
        <f t="shared" si="847"/>
        <v>0</v>
      </c>
      <c r="GL81" s="59">
        <f t="shared" si="848"/>
        <v>0</v>
      </c>
      <c r="GM81" s="59">
        <f t="shared" si="849"/>
        <v>0</v>
      </c>
      <c r="GN81" s="59">
        <f t="shared" si="850"/>
        <v>0</v>
      </c>
      <c r="GO81" s="58">
        <f t="shared" si="851"/>
        <v>0</v>
      </c>
      <c r="GP81" s="45">
        <f t="shared" si="852"/>
        <v>36</v>
      </c>
      <c r="GQ81" s="45">
        <f t="shared" si="668"/>
        <v>2.6139999999999999</v>
      </c>
      <c r="GR81" s="45">
        <f t="shared" si="853"/>
        <v>1</v>
      </c>
      <c r="GS81" s="45">
        <f t="shared" si="854"/>
        <v>2</v>
      </c>
      <c r="GT81" s="46" cm="1">
        <f t="array" ref="GT81">ROUND(IFERROR(INDEX(ArchiveResults!$F$5:$IX$116,ComparisonData!A81,ComparisonData!$GT$1),0),5)</f>
        <v>0</v>
      </c>
      <c r="GU81" s="46" cm="1">
        <f t="array" ref="GU81">ROUND(IFERROR(INDEX(ArchiveResults!$F$5:$IX$116,ComparisonData!A81,ComparisonData!$GU$1),0),5)</f>
        <v>0</v>
      </c>
      <c r="GV81" s="46" cm="1">
        <f t="array" ref="GV81">ROUND(IFERROR(INDEX(ArchiveResults!$F$5:$IX$116,ComparisonData!A81,ComparisonData!$GV$1),0),5)</f>
        <v>0</v>
      </c>
      <c r="GW81" s="46" cm="1">
        <f t="array" ref="GW81">ROUND(IFERROR(INDEX(ArchiveResults!$F$5:$IX$116,ComparisonData!A81,ComparisonData!$GW$1),0),5)</f>
        <v>0</v>
      </c>
      <c r="GX81" s="45" cm="1">
        <f t="array" ref="GX81">IFERROR(INDEX(ArchiveResults!$F$5:$IX$116,ComparisonData!A81,ComparisonData!$GX$1),0)</f>
        <v>0</v>
      </c>
      <c r="GY81" s="56">
        <v>76</v>
      </c>
      <c r="GZ81" s="53" t="str">
        <f t="shared" si="669"/>
        <v>Shropshire Archives</v>
      </c>
      <c r="HA81" s="59">
        <f t="shared" si="855"/>
        <v>0</v>
      </c>
      <c r="HB81" s="59">
        <f t="shared" si="856"/>
        <v>0</v>
      </c>
      <c r="HC81" s="59">
        <f t="shared" si="857"/>
        <v>0</v>
      </c>
      <c r="HD81" s="59">
        <f t="shared" si="858"/>
        <v>0</v>
      </c>
      <c r="HE81" s="59">
        <f t="shared" si="859"/>
        <v>0</v>
      </c>
      <c r="HF81" s="58">
        <f t="shared" si="860"/>
        <v>0</v>
      </c>
      <c r="HG81" s="45">
        <f t="shared" si="861"/>
        <v>36</v>
      </c>
      <c r="HH81" s="45">
        <f t="shared" si="670"/>
        <v>2.6139999999999999</v>
      </c>
      <c r="HI81" s="45">
        <f t="shared" si="862"/>
        <v>1</v>
      </c>
      <c r="HJ81" s="45">
        <f t="shared" si="863"/>
        <v>2</v>
      </c>
      <c r="HK81" s="46" cm="1">
        <f t="array" ref="HK81">ROUND(IFERROR(INDEX(ArchiveResults!$F$5:$IX$116,ComparisonData!A81,ComparisonData!$HK$1),0),5)</f>
        <v>0</v>
      </c>
      <c r="HL81" s="46" cm="1">
        <f t="array" ref="HL81">ROUND(IFERROR(INDEX(ArchiveResults!$F$5:$IX$116,ComparisonData!A81,ComparisonData!$HL$1),0),5)</f>
        <v>0</v>
      </c>
      <c r="HM81" s="46" cm="1">
        <f t="array" ref="HM81">ROUND(IFERROR(INDEX(ArchiveResults!$F$5:$IX$116,ComparisonData!A81,ComparisonData!$HM$1),0),5)</f>
        <v>0</v>
      </c>
      <c r="HN81" s="46" cm="1">
        <f t="array" ref="HN81">ROUND(IFERROR(INDEX(ArchiveResults!$F$5:$IX$116,ComparisonData!A81,ComparisonData!$HN$1),0),5)</f>
        <v>0</v>
      </c>
      <c r="HO81" s="45" cm="1">
        <f t="array" ref="HO81">IFERROR(INDEX(ArchiveResults!$F$5:$IX$116,ComparisonData!A81,ComparisonData!$HO$1),0)</f>
        <v>0</v>
      </c>
      <c r="HP81" s="56">
        <v>76</v>
      </c>
      <c r="HQ81" s="53" t="str">
        <f t="shared" si="671"/>
        <v>Shropshire Archives</v>
      </c>
      <c r="HR81" s="59">
        <f t="shared" si="672"/>
        <v>0</v>
      </c>
      <c r="HS81" s="59">
        <f t="shared" si="673"/>
        <v>0</v>
      </c>
      <c r="HT81" s="59">
        <f t="shared" si="674"/>
        <v>0</v>
      </c>
      <c r="HU81" s="59">
        <f t="shared" si="675"/>
        <v>0</v>
      </c>
      <c r="HV81" s="59">
        <f t="shared" si="676"/>
        <v>0</v>
      </c>
      <c r="HW81" s="58">
        <f t="shared" si="864"/>
        <v>0</v>
      </c>
      <c r="HX81" s="45">
        <f t="shared" si="865"/>
        <v>36</v>
      </c>
      <c r="HY81" s="45">
        <f t="shared" si="677"/>
        <v>2.6139999999999999</v>
      </c>
      <c r="HZ81" s="45">
        <f t="shared" si="866"/>
        <v>1</v>
      </c>
      <c r="IA81" s="45">
        <f t="shared" si="867"/>
        <v>2</v>
      </c>
      <c r="IB81" s="45">
        <f t="shared" si="868"/>
        <v>0</v>
      </c>
      <c r="IC81" s="46" cm="1">
        <f t="array" ref="IC81">ROUND(IFERROR(INDEX(ArchiveResults!$F$5:$IX$116,ComparisonData!A81,ComparisonData!$IC$1),0),5)</f>
        <v>0</v>
      </c>
      <c r="ID81" s="46" cm="1">
        <f t="array" ref="ID81">ROUND(IFERROR(INDEX(ArchiveResults!$F$5:$IX$116,ComparisonData!A81,ComparisonData!$ID$1),0),5)</f>
        <v>0</v>
      </c>
      <c r="IE81" s="46" cm="1">
        <f t="array" ref="IE81">ROUND(IFERROR(INDEX(ArchiveResults!$F$5:$IX$116,ComparisonData!A81,ComparisonData!$IE$1),0),5)</f>
        <v>0</v>
      </c>
      <c r="IF81" s="46" cm="1">
        <f t="array" ref="IF81">ROUND(IFERROR(INDEX(ArchiveResults!$F$5:$IX$116,ComparisonData!A81,ComparisonData!$IF$1),0),5)</f>
        <v>0</v>
      </c>
      <c r="IG81" s="45" cm="1">
        <f t="array" ref="IG81">IFERROR(INDEX(ArchiveResults!$F$5:$IX$116,ComparisonData!A81,ComparisonData!$IG$1),0)</f>
        <v>0</v>
      </c>
      <c r="IH81" s="56">
        <v>76</v>
      </c>
      <c r="II81" s="53" t="str">
        <f t="shared" si="678"/>
        <v>Shropshire Archives</v>
      </c>
      <c r="IJ81" s="59">
        <f t="shared" si="869"/>
        <v>0</v>
      </c>
      <c r="IK81" s="59">
        <f t="shared" si="870"/>
        <v>0</v>
      </c>
      <c r="IL81" s="59">
        <f t="shared" si="871"/>
        <v>0</v>
      </c>
      <c r="IM81" s="59">
        <f t="shared" si="872"/>
        <v>0</v>
      </c>
      <c r="IN81" s="59">
        <f t="shared" si="873"/>
        <v>0</v>
      </c>
      <c r="IO81" s="58">
        <f t="shared" si="874"/>
        <v>0</v>
      </c>
      <c r="IP81" s="45">
        <f t="shared" si="875"/>
        <v>36</v>
      </c>
      <c r="IQ81" s="45">
        <f t="shared" si="679"/>
        <v>2.6139999999999999</v>
      </c>
      <c r="IR81" s="45">
        <f t="shared" si="876"/>
        <v>1</v>
      </c>
      <c r="IS81" s="45">
        <f t="shared" si="877"/>
        <v>2</v>
      </c>
      <c r="IT81" s="46">
        <f t="shared" si="878"/>
        <v>0</v>
      </c>
      <c r="IU81" s="46" cm="1">
        <f t="array" ref="IU81">ROUND(IFERROR(INDEX(ArchiveResults!$F$5:$IX$116,ComparisonData!A81,ComparisonData!$IU$1),0),5)</f>
        <v>0</v>
      </c>
      <c r="IV81" s="46" cm="1">
        <f t="array" ref="IV81">ROUND(IFERROR(INDEX(ArchiveResults!$F$5:$IX$116,ComparisonData!A81,ComparisonData!$IV$1),0),5)</f>
        <v>0</v>
      </c>
      <c r="IW81" s="46" cm="1">
        <f t="array" ref="IW81">ROUND(IFERROR(INDEX(ArchiveResults!$F$5:$IX$116,ComparisonData!A81,ComparisonData!$IW$1),0),5)</f>
        <v>0</v>
      </c>
      <c r="IX81" s="46" cm="1">
        <f t="array" ref="IX81">ROUND(IFERROR(INDEX(ArchiveResults!$F$5:$IX$116,ComparisonData!A81,ComparisonData!$IX$1),0),5)</f>
        <v>0</v>
      </c>
      <c r="IY81" s="45" cm="1">
        <f t="array" ref="IY81">IFERROR(INDEX(ArchiveResults!$F$5:$IX$116,ComparisonData!A81,ComparisonData!$IY$1),0)</f>
        <v>0</v>
      </c>
      <c r="IZ81" s="56">
        <v>76</v>
      </c>
      <c r="JA81" s="53" t="str">
        <f t="shared" si="680"/>
        <v>Shropshire Archives</v>
      </c>
      <c r="JB81" s="59">
        <f t="shared" si="879"/>
        <v>0</v>
      </c>
      <c r="JC81" s="59">
        <f t="shared" si="880"/>
        <v>0</v>
      </c>
      <c r="JD81" s="59">
        <f t="shared" si="881"/>
        <v>0</v>
      </c>
      <c r="JE81" s="59">
        <f t="shared" si="882"/>
        <v>0</v>
      </c>
      <c r="JF81" s="59">
        <f t="shared" si="883"/>
        <v>0</v>
      </c>
      <c r="JG81" s="58">
        <f t="shared" si="884"/>
        <v>0</v>
      </c>
      <c r="JH81" s="45">
        <f t="shared" si="885"/>
        <v>36</v>
      </c>
      <c r="JI81" s="45">
        <f t="shared" si="681"/>
        <v>2.6139999999999999</v>
      </c>
      <c r="JJ81" s="45">
        <f t="shared" si="886"/>
        <v>1</v>
      </c>
      <c r="JK81" s="45">
        <f t="shared" si="887"/>
        <v>2</v>
      </c>
      <c r="JL81" s="45">
        <f t="shared" si="888"/>
        <v>0</v>
      </c>
      <c r="JM81" s="46" cm="1">
        <f t="array" ref="JM81">ROUND(IFERROR(INDEX(ArchiveResults!$F$5:$IX$116,ComparisonData!A81,ComparisonData!$JM$1),0),5)</f>
        <v>0</v>
      </c>
      <c r="JN81" s="46" cm="1">
        <f t="array" ref="JN81">ROUND(IFERROR(INDEX(ArchiveResults!$F$5:$IX$116,ComparisonData!A81,ComparisonData!$JN$1),0),5)</f>
        <v>0</v>
      </c>
      <c r="JO81" s="46" cm="1">
        <f t="array" ref="JO81">ROUND(IFERROR(INDEX(ArchiveResults!$F$5:$IX$116,ComparisonData!A81,ComparisonData!$JO$1),0),5)</f>
        <v>0</v>
      </c>
      <c r="JP81" s="46" cm="1">
        <f t="array" ref="JP81">ROUND(IFERROR(INDEX(ArchiveResults!$F$5:$IX$116,ComparisonData!A81,ComparisonData!$JP$1),0),5)</f>
        <v>0</v>
      </c>
      <c r="JQ81" s="45" cm="1">
        <f t="array" ref="JQ81">IFERROR(INDEX(ArchiveResults!$F$5:$IX$116,ComparisonData!A81,ComparisonData!$JQ$1),0)</f>
        <v>0</v>
      </c>
      <c r="JR81" s="56">
        <v>76</v>
      </c>
      <c r="JS81" s="53" t="str">
        <f t="shared" si="682"/>
        <v>Shropshire Archives</v>
      </c>
      <c r="JT81" s="59">
        <f t="shared" si="889"/>
        <v>0</v>
      </c>
      <c r="JU81" s="59">
        <f t="shared" si="890"/>
        <v>0</v>
      </c>
      <c r="JV81" s="59">
        <f t="shared" si="891"/>
        <v>0</v>
      </c>
      <c r="JW81" s="59">
        <f t="shared" si="892"/>
        <v>0</v>
      </c>
      <c r="JX81" s="59">
        <f t="shared" si="893"/>
        <v>0</v>
      </c>
      <c r="JY81" s="58">
        <f t="shared" si="894"/>
        <v>0</v>
      </c>
      <c r="JZ81" s="45">
        <f t="shared" si="895"/>
        <v>36</v>
      </c>
      <c r="KA81" s="45">
        <f t="shared" si="683"/>
        <v>2.6139999999999999</v>
      </c>
      <c r="KB81" s="45">
        <f t="shared" si="896"/>
        <v>1</v>
      </c>
      <c r="KC81" s="45">
        <f t="shared" si="897"/>
        <v>2</v>
      </c>
      <c r="KD81" s="45">
        <f t="shared" si="898"/>
        <v>0</v>
      </c>
      <c r="KE81" s="46" cm="1">
        <f t="array" ref="KE81">ROUND(IFERROR(INDEX(ArchiveResults!$F$5:$IX$116,ComparisonData!A81,ComparisonData!$KE$1),0),5)</f>
        <v>0</v>
      </c>
      <c r="KF81" s="46" cm="1">
        <f t="array" ref="KF81">ROUND(IFERROR(INDEX(ArchiveResults!$F$5:$IX$116,ComparisonData!A81,ComparisonData!$KF$1),0),5)</f>
        <v>0</v>
      </c>
      <c r="KG81" s="46" cm="1">
        <f t="array" ref="KG81">ROUND(IFERROR(INDEX(ArchiveResults!$F$5:$IX$116,ComparisonData!A81,ComparisonData!$KG$1),0),5)</f>
        <v>0</v>
      </c>
      <c r="KH81" s="46" cm="1">
        <f t="array" ref="KH81">ROUND(IFERROR(INDEX(ArchiveResults!$F$5:$IX$116,ComparisonData!A81,ComparisonData!$KH$1),0),5)</f>
        <v>0</v>
      </c>
      <c r="KI81" s="45" cm="1">
        <f t="array" ref="KI81">IFERROR(INDEX(ArchiveResults!$F$5:$IX$116,ComparisonData!A81,ComparisonData!$KI$1),0)</f>
        <v>0</v>
      </c>
      <c r="KJ81" s="56">
        <v>76</v>
      </c>
      <c r="KK81" s="53" t="str">
        <f t="shared" si="684"/>
        <v>Shropshire Archives</v>
      </c>
      <c r="KL81" s="59">
        <f t="shared" si="899"/>
        <v>0</v>
      </c>
      <c r="KM81" s="59">
        <f t="shared" si="900"/>
        <v>0</v>
      </c>
      <c r="KN81" s="59">
        <f t="shared" si="901"/>
        <v>0</v>
      </c>
      <c r="KO81" s="59">
        <f t="shared" si="902"/>
        <v>0</v>
      </c>
      <c r="KP81" s="59">
        <f t="shared" si="903"/>
        <v>0</v>
      </c>
      <c r="KQ81" s="58">
        <f t="shared" si="904"/>
        <v>0</v>
      </c>
      <c r="KR81" s="45">
        <f t="shared" si="905"/>
        <v>36</v>
      </c>
      <c r="KS81" s="45">
        <f t="shared" si="685"/>
        <v>2.6139999999999999</v>
      </c>
      <c r="KT81" s="45">
        <f t="shared" si="906"/>
        <v>1</v>
      </c>
      <c r="KU81" s="45">
        <f t="shared" si="907"/>
        <v>2</v>
      </c>
      <c r="KV81" s="45">
        <f t="shared" si="908"/>
        <v>0</v>
      </c>
      <c r="KW81" s="46" cm="1">
        <f t="array" ref="KW81">ROUND(IFERROR(INDEX(ArchiveResults!$F$5:$IX$116,ComparisonData!A81,ComparisonData!$KW$1),0),5)</f>
        <v>0</v>
      </c>
      <c r="KX81" s="46" cm="1">
        <f t="array" ref="KX81">ROUND(IFERROR(INDEX(ArchiveResults!$F$5:$IX$116,ComparisonData!A81,ComparisonData!$KX$1),0),5)</f>
        <v>0</v>
      </c>
      <c r="KY81" s="46" cm="1">
        <f t="array" ref="KY81">ROUND(IFERROR(INDEX(ArchiveResults!$F$5:$IX$116,ComparisonData!A81,ComparisonData!$KY$1),0),5)</f>
        <v>0</v>
      </c>
      <c r="KZ81" s="46" cm="1">
        <f t="array" ref="KZ81">ROUND(IFERROR(INDEX(ArchiveResults!$F$5:$IX$116,ComparisonData!A81,ComparisonData!$KZ$1),0),5)</f>
        <v>0</v>
      </c>
      <c r="LA81" s="45" cm="1">
        <f t="array" ref="LA81">IFERROR(INDEX(ArchiveResults!$F$5:$IX$116,ComparisonData!A81,ComparisonData!$LA$1),0)</f>
        <v>0</v>
      </c>
      <c r="LB81" s="56">
        <v>76</v>
      </c>
      <c r="LC81" s="53" t="str">
        <f t="shared" si="686"/>
        <v>Shropshire Archives</v>
      </c>
      <c r="LD81" s="59">
        <f t="shared" si="909"/>
        <v>0</v>
      </c>
      <c r="LE81" s="59">
        <f t="shared" si="910"/>
        <v>0</v>
      </c>
      <c r="LF81" s="59">
        <f t="shared" si="911"/>
        <v>0</v>
      </c>
      <c r="LG81" s="59">
        <f t="shared" si="912"/>
        <v>0</v>
      </c>
      <c r="LH81" s="59">
        <f t="shared" si="913"/>
        <v>0</v>
      </c>
      <c r="LI81" s="58">
        <f t="shared" si="914"/>
        <v>0</v>
      </c>
      <c r="LJ81" s="45">
        <f t="shared" si="915"/>
        <v>36</v>
      </c>
      <c r="LK81" s="45">
        <f t="shared" si="687"/>
        <v>2.6139999999999999</v>
      </c>
      <c r="LL81" s="45">
        <f t="shared" si="916"/>
        <v>1</v>
      </c>
      <c r="LM81" s="45">
        <f t="shared" si="917"/>
        <v>2</v>
      </c>
      <c r="LN81" s="45">
        <f t="shared" si="918"/>
        <v>0</v>
      </c>
      <c r="LO81" s="46" cm="1">
        <f t="array" ref="LO81">ROUND(IFERROR(INDEX(ArchiveResults!$F$5:$IX$116,ComparisonData!A81,ComparisonData!$LO$1),0),5)</f>
        <v>0</v>
      </c>
      <c r="LP81" s="46" cm="1">
        <f t="array" ref="LP81">ROUND(IFERROR(INDEX(ArchiveResults!$F$5:$IX$116,ComparisonData!A81,ComparisonData!$LP$1),0),5)</f>
        <v>0</v>
      </c>
      <c r="LQ81" s="46" cm="1">
        <f t="array" ref="LQ81">ROUND(IFERROR(INDEX(ArchiveResults!$F$5:$IX$116,ComparisonData!A81,ComparisonData!$LQ$1),0),5)</f>
        <v>0</v>
      </c>
      <c r="LR81" s="46" cm="1">
        <f t="array" ref="LR81">ROUND(IFERROR(INDEX(ArchiveResults!$F$5:$IX$116,ComparisonData!A81,ComparisonData!$LR$1),0),5)</f>
        <v>0</v>
      </c>
      <c r="LS81" s="45" cm="1">
        <f t="array" ref="LS81">IFERROR(INDEX(ArchiveResults!$F$5:$IX$116,ComparisonData!A81,ComparisonData!$LS$1),0)</f>
        <v>0</v>
      </c>
      <c r="LT81" s="56">
        <v>76</v>
      </c>
      <c r="LU81" s="53" t="str">
        <f t="shared" si="688"/>
        <v>Shropshire Archives</v>
      </c>
      <c r="LV81" s="59">
        <f t="shared" si="919"/>
        <v>0</v>
      </c>
      <c r="LW81" s="59">
        <f t="shared" si="920"/>
        <v>0</v>
      </c>
      <c r="LX81" s="59">
        <f t="shared" si="921"/>
        <v>0</v>
      </c>
      <c r="LY81" s="59">
        <f t="shared" si="922"/>
        <v>0</v>
      </c>
      <c r="LZ81" s="59">
        <f t="shared" si="923"/>
        <v>0</v>
      </c>
      <c r="MA81" s="58">
        <f t="shared" si="924"/>
        <v>0</v>
      </c>
      <c r="MB81" s="45">
        <f t="shared" si="925"/>
        <v>36</v>
      </c>
      <c r="MC81" s="45">
        <f t="shared" si="689"/>
        <v>2.6139999999999999</v>
      </c>
      <c r="MD81" s="45">
        <f t="shared" si="926"/>
        <v>1</v>
      </c>
      <c r="ME81" s="45">
        <f t="shared" si="927"/>
        <v>2</v>
      </c>
      <c r="MF81" s="45">
        <f t="shared" si="928"/>
        <v>0</v>
      </c>
      <c r="MG81" s="46" cm="1">
        <f t="array" ref="MG81">ROUND(IFERROR(INDEX(ArchiveResults!$F$5:$IX$116,ComparisonData!A81,ComparisonData!$MG$1),0),5)</f>
        <v>0</v>
      </c>
      <c r="MH81" s="46" cm="1">
        <f t="array" ref="MH81">ROUND(IFERROR(INDEX(ArchiveResults!$F$5:$IX$116,ComparisonData!A81,ComparisonData!$MH$1),0),5)</f>
        <v>0</v>
      </c>
      <c r="MI81" s="46" cm="1">
        <f t="array" ref="MI81">ROUND(IFERROR(INDEX(ArchiveResults!$F$5:$IX$116,ComparisonData!A81,ComparisonData!$MI$1),0),5)</f>
        <v>0</v>
      </c>
      <c r="MJ81" s="46" cm="1">
        <f t="array" ref="MJ81">ROUND(IFERROR(INDEX(ArchiveResults!$F$5:$IX$116,ComparisonData!A81,ComparisonData!$MJ$1),0),5)</f>
        <v>0</v>
      </c>
      <c r="MK81" s="45" cm="1">
        <f t="array" ref="MK81">IFERROR(INDEX(ArchiveResults!$F$5:$IX$116,ComparisonData!A81,ComparisonData!$MK$1),0)</f>
        <v>0</v>
      </c>
      <c r="ML81" s="56">
        <v>76</v>
      </c>
      <c r="MM81" s="53" t="str">
        <f t="shared" si="690"/>
        <v>Shropshire Archives</v>
      </c>
      <c r="MN81" s="59">
        <f t="shared" si="929"/>
        <v>0</v>
      </c>
      <c r="MO81" s="59">
        <f t="shared" si="930"/>
        <v>0</v>
      </c>
      <c r="MP81" s="59">
        <f t="shared" si="931"/>
        <v>0</v>
      </c>
      <c r="MQ81" s="59">
        <f t="shared" si="932"/>
        <v>0</v>
      </c>
      <c r="MR81" s="59">
        <f t="shared" si="933"/>
        <v>0</v>
      </c>
      <c r="MS81" s="58">
        <f t="shared" si="934"/>
        <v>0</v>
      </c>
      <c r="MT81" s="45">
        <f t="shared" si="935"/>
        <v>36</v>
      </c>
      <c r="MU81" s="45">
        <f t="shared" si="691"/>
        <v>2.6139999999999999</v>
      </c>
      <c r="MV81" s="45">
        <f t="shared" si="936"/>
        <v>1</v>
      </c>
      <c r="MW81" s="45">
        <f t="shared" si="937"/>
        <v>2</v>
      </c>
      <c r="MX81" s="45">
        <f t="shared" si="938"/>
        <v>0</v>
      </c>
      <c r="MY81" s="46" cm="1">
        <f t="array" ref="MY81">ROUND(IFERROR(INDEX(ArchiveResults!$F$5:$IX$116,ComparisonData!A81,ComparisonData!$MY$1),0),5)</f>
        <v>0</v>
      </c>
      <c r="MZ81" s="46" cm="1">
        <f t="array" ref="MZ81">ROUND(IFERROR(INDEX(ArchiveResults!$F$5:$IX$116,ComparisonData!A81,ComparisonData!$MZ$1),0),5)</f>
        <v>0</v>
      </c>
      <c r="NA81" s="46" cm="1">
        <f t="array" ref="NA81">ROUND(IFERROR(INDEX(ArchiveResults!$F$5:$IX$116,ComparisonData!A81,ComparisonData!$NA$1),0),5)</f>
        <v>0</v>
      </c>
      <c r="NB81" s="46" cm="1">
        <f t="array" ref="NB81">ROUND(IFERROR(INDEX(ArchiveResults!$F$5:$IX$116,ComparisonData!A81,ComparisonData!$NB$1),0),5)</f>
        <v>0</v>
      </c>
      <c r="NC81" s="45" cm="1">
        <f t="array" ref="NC81">IFERROR(INDEX(ArchiveResults!$F$5:$IX$116,ComparisonData!A81,ComparisonData!$NC$1),0)</f>
        <v>0</v>
      </c>
      <c r="ND81" s="56">
        <v>76</v>
      </c>
      <c r="NE81" s="53" t="str">
        <f t="shared" si="692"/>
        <v>Shropshire Archives</v>
      </c>
      <c r="NF81" s="59">
        <f t="shared" si="939"/>
        <v>0</v>
      </c>
      <c r="NG81" s="59">
        <f t="shared" si="940"/>
        <v>0</v>
      </c>
      <c r="NH81" s="59">
        <f t="shared" si="941"/>
        <v>0</v>
      </c>
      <c r="NI81" s="59">
        <f t="shared" si="942"/>
        <v>0</v>
      </c>
      <c r="NJ81" s="59">
        <f t="shared" si="943"/>
        <v>0</v>
      </c>
      <c r="NK81" s="58">
        <f t="shared" si="944"/>
        <v>0</v>
      </c>
      <c r="NL81" s="45">
        <f t="shared" si="945"/>
        <v>36</v>
      </c>
      <c r="NM81" s="45">
        <f t="shared" si="693"/>
        <v>2.6139999999999999</v>
      </c>
      <c r="NN81" s="45">
        <f t="shared" si="946"/>
        <v>1</v>
      </c>
      <c r="NO81" s="45">
        <f t="shared" si="947"/>
        <v>2</v>
      </c>
      <c r="NP81" s="46" cm="1">
        <f t="array" ref="NP81">ROUND(IFERROR(INDEX(ArchiveResults!$F$5:$IX$116,ComparisonData!A81,ComparisonData!$NP$1),0),5)</f>
        <v>0</v>
      </c>
      <c r="NQ81" s="46" cm="1">
        <f t="array" ref="NQ81">ROUND(IFERROR(INDEX(ArchiveResults!$F$5:$IX$116,ComparisonData!A81,ComparisonData!$NQ$1),0),5)</f>
        <v>0</v>
      </c>
      <c r="NR81" s="46" cm="1">
        <f t="array" ref="NR81">ROUND(IFERROR(INDEX(ArchiveResults!$F$5:$IX$116,ComparisonData!A81,ComparisonData!$NR$1),0),5)</f>
        <v>0</v>
      </c>
      <c r="NS81" s="46" cm="1">
        <f t="array" ref="NS81">ROUND(IFERROR(INDEX(ArchiveResults!$F$5:$IX$116,ComparisonData!A81,ComparisonData!$NS$1),0),5)</f>
        <v>0</v>
      </c>
      <c r="NT81" s="45" cm="1">
        <f t="array" ref="NT81">IFERROR(INDEX(ArchiveResults!$F$5:$IX$116,ComparisonData!A81,ComparisonData!$NT$1),0)</f>
        <v>0</v>
      </c>
      <c r="NU81" s="56">
        <v>76</v>
      </c>
      <c r="NV81" s="53" t="str">
        <f t="shared" si="694"/>
        <v>Shropshire Archives</v>
      </c>
      <c r="NW81" s="59">
        <f t="shared" si="948"/>
        <v>0</v>
      </c>
      <c r="NX81" s="59">
        <f t="shared" si="949"/>
        <v>0</v>
      </c>
      <c r="NY81" s="59">
        <f t="shared" si="950"/>
        <v>0</v>
      </c>
      <c r="NZ81" s="59">
        <f t="shared" si="951"/>
        <v>0</v>
      </c>
      <c r="OA81" s="59">
        <f t="shared" si="952"/>
        <v>0</v>
      </c>
      <c r="OB81" s="58">
        <f t="shared" si="953"/>
        <v>0</v>
      </c>
      <c r="OC81" s="45">
        <f t="shared" si="954"/>
        <v>36</v>
      </c>
      <c r="OD81" s="45">
        <f t="shared" si="695"/>
        <v>2.6139999999999999</v>
      </c>
      <c r="OE81" s="45">
        <f t="shared" si="955"/>
        <v>1</v>
      </c>
      <c r="OF81" s="45">
        <f t="shared" si="956"/>
        <v>2</v>
      </c>
      <c r="OG81" s="46">
        <f t="shared" si="957"/>
        <v>0</v>
      </c>
      <c r="OH81" s="46" cm="1">
        <f t="array" ref="OH81">ROUND(IFERROR(INDEX(ArchiveResults!$F$5:$IX$116,ComparisonData!A81,ComparisonData!$OH$1),0),5)</f>
        <v>0</v>
      </c>
      <c r="OI81" s="46" cm="1">
        <f t="array" ref="OI81">ROUND(IFERROR(INDEX(ArchiveResults!$F$5:$IX$116,ComparisonData!A81,ComparisonData!$OI$1),0),5)</f>
        <v>0</v>
      </c>
      <c r="OJ81" s="46" cm="1">
        <f t="array" ref="OJ81">ROUND(IFERROR(INDEX(ArchiveResults!$F$5:$IX$116,ComparisonData!A81,ComparisonData!$OJ$1),0),5)</f>
        <v>0</v>
      </c>
      <c r="OK81" s="46" cm="1">
        <f t="array" ref="OK81">ROUND(IFERROR(INDEX(ArchiveResults!$F$5:$IX$116,ComparisonData!A81,ComparisonData!$OK$1),0),5)</f>
        <v>0</v>
      </c>
      <c r="OL81" s="45" cm="1">
        <f t="array" ref="OL81">IFERROR(INDEX(ArchiveResults!$F$5:$IX$116,ComparisonData!A81,ComparisonData!$OL$1),0)</f>
        <v>0</v>
      </c>
      <c r="OM81" s="56">
        <v>76</v>
      </c>
      <c r="ON81" s="53" t="str">
        <f t="shared" si="696"/>
        <v>Shropshire Archives</v>
      </c>
      <c r="OO81" s="59">
        <f t="shared" si="958"/>
        <v>0</v>
      </c>
      <c r="OP81" s="59">
        <f t="shared" si="959"/>
        <v>0</v>
      </c>
      <c r="OQ81" s="59">
        <f t="shared" si="960"/>
        <v>0</v>
      </c>
      <c r="OR81" s="59">
        <f t="shared" si="961"/>
        <v>0</v>
      </c>
      <c r="OS81" s="59">
        <f t="shared" si="962"/>
        <v>0</v>
      </c>
      <c r="OT81" s="58">
        <f t="shared" si="963"/>
        <v>0</v>
      </c>
      <c r="OU81" s="45">
        <f t="shared" si="964"/>
        <v>36</v>
      </c>
      <c r="OV81" s="45">
        <f t="shared" si="697"/>
        <v>2.6139999999999999</v>
      </c>
      <c r="OW81" s="45">
        <f t="shared" si="965"/>
        <v>1</v>
      </c>
      <c r="OX81" s="45">
        <f t="shared" si="966"/>
        <v>2</v>
      </c>
      <c r="OY81" s="45">
        <f t="shared" si="967"/>
        <v>0</v>
      </c>
      <c r="OZ81" s="46" cm="1">
        <f t="array" ref="OZ81">ROUND(IFERROR(INDEX(ArchiveResults!$F$5:$IX$116,ComparisonData!A81,ComparisonData!$OZ$1),0),5)</f>
        <v>0</v>
      </c>
      <c r="PA81" s="46" cm="1">
        <f t="array" ref="PA81">ROUND(IFERROR(INDEX(ArchiveResults!$F$5:$IX$116,ComparisonData!A81,ComparisonData!$PA$1),0),5)</f>
        <v>0</v>
      </c>
      <c r="PB81" s="46" cm="1">
        <f t="array" ref="PB81">ROUND(IFERROR(INDEX(ArchiveResults!$F$5:$IX$116,ComparisonData!A81,ComparisonData!$PB$1),0),5)</f>
        <v>0</v>
      </c>
      <c r="PC81" s="46" cm="1">
        <f t="array" ref="PC81">ROUND(IFERROR(INDEX(ArchiveResults!$F$5:$IX$116,ComparisonData!A81,ComparisonData!$PC$1),0),5)</f>
        <v>0</v>
      </c>
      <c r="PD81" s="45" cm="1">
        <f t="array" ref="PD81">IFERROR(INDEX(ArchiveResults!$F$5:$IX$116,ComparisonData!A81,ComparisonData!$PD$1),0)</f>
        <v>0</v>
      </c>
      <c r="PE81" s="56">
        <v>76</v>
      </c>
      <c r="PF81" s="53" t="str">
        <f t="shared" si="698"/>
        <v>Shropshire Archives</v>
      </c>
      <c r="PG81" s="59">
        <f t="shared" si="968"/>
        <v>0</v>
      </c>
      <c r="PH81" s="59">
        <f t="shared" si="969"/>
        <v>0</v>
      </c>
      <c r="PI81" s="59">
        <f t="shared" si="970"/>
        <v>0</v>
      </c>
      <c r="PJ81" s="59">
        <f t="shared" si="971"/>
        <v>0</v>
      </c>
      <c r="PK81" s="59">
        <f t="shared" si="972"/>
        <v>0</v>
      </c>
      <c r="PL81" s="58">
        <f t="shared" si="973"/>
        <v>0</v>
      </c>
      <c r="PM81" s="45">
        <f t="shared" si="974"/>
        <v>36</v>
      </c>
      <c r="PN81" s="45">
        <f t="shared" si="699"/>
        <v>2.6139999999999999</v>
      </c>
      <c r="PO81" s="45">
        <f t="shared" si="975"/>
        <v>1</v>
      </c>
      <c r="PP81" s="45">
        <f t="shared" si="976"/>
        <v>2</v>
      </c>
      <c r="PQ81" s="45">
        <f t="shared" si="977"/>
        <v>0</v>
      </c>
      <c r="PR81" s="46" cm="1">
        <f t="array" ref="PR81">ROUND(IFERROR(INDEX(ArchiveResults!$F$5:$IX$116,ComparisonData!A81,ComparisonData!$PR$1),0),5)</f>
        <v>0</v>
      </c>
      <c r="PS81" s="46" cm="1">
        <f t="array" ref="PS81">ROUND(IFERROR(INDEX(ArchiveResults!$F$5:$IX$116,ComparisonData!A81,ComparisonData!$PS$1),0),5)</f>
        <v>0</v>
      </c>
      <c r="PT81" s="46" cm="1">
        <f t="array" ref="PT81">ROUND(IFERROR(INDEX(ArchiveResults!$F$5:$IX$116,ComparisonData!A81,ComparisonData!$PT$1),0),5)</f>
        <v>0</v>
      </c>
      <c r="PU81" s="46" cm="1">
        <f t="array" ref="PU81">ROUND(IFERROR(INDEX(ArchiveResults!$F$5:$IX$116,ComparisonData!A81,ComparisonData!$PU$1),0),5)</f>
        <v>0</v>
      </c>
      <c r="PV81" s="45" cm="1">
        <f t="array" ref="PV81">IFERROR(INDEX(ArchiveResults!$F$5:$IX$116,ComparisonData!A81,ComparisonData!$PV$1),0)</f>
        <v>0</v>
      </c>
      <c r="PW81" s="56">
        <v>76</v>
      </c>
      <c r="PX81" s="53" t="str">
        <f t="shared" si="700"/>
        <v>Shropshire Archives</v>
      </c>
      <c r="PY81" s="59">
        <f t="shared" si="978"/>
        <v>0</v>
      </c>
      <c r="PZ81" s="59">
        <f t="shared" si="979"/>
        <v>0</v>
      </c>
      <c r="QA81" s="59">
        <f t="shared" si="980"/>
        <v>0</v>
      </c>
      <c r="QB81" s="59">
        <f t="shared" si="981"/>
        <v>0</v>
      </c>
      <c r="QC81" s="59">
        <f t="shared" si="982"/>
        <v>0</v>
      </c>
      <c r="QD81" s="58">
        <f t="shared" si="983"/>
        <v>0</v>
      </c>
      <c r="QE81" s="45">
        <f t="shared" si="984"/>
        <v>36</v>
      </c>
      <c r="QF81" s="45">
        <f t="shared" si="701"/>
        <v>2.6139999999999999</v>
      </c>
      <c r="QG81" s="45">
        <f t="shared" si="985"/>
        <v>1</v>
      </c>
      <c r="QH81" s="45">
        <f t="shared" si="986"/>
        <v>2</v>
      </c>
      <c r="QI81" s="45">
        <f t="shared" si="987"/>
        <v>0</v>
      </c>
      <c r="QJ81" s="46" cm="1">
        <f t="array" ref="QJ81">ROUND(IFERROR(INDEX(ArchiveResults!$F$5:$IX$116,ComparisonData!A81,ComparisonData!$QJ$1),0),5)</f>
        <v>0</v>
      </c>
      <c r="QK81" s="46" cm="1">
        <f t="array" ref="QK81">ROUND(IFERROR(INDEX(ArchiveResults!$F$5:$IX$116,ComparisonData!A81,ComparisonData!$QK$1),0),5)</f>
        <v>0</v>
      </c>
      <c r="QL81" s="46" cm="1">
        <f t="array" ref="QL81">ROUND(IFERROR(INDEX(ArchiveResults!$F$5:$IX$116,ComparisonData!A81,ComparisonData!$QL$1),0),5)</f>
        <v>0</v>
      </c>
      <c r="QM81" s="46" cm="1">
        <f t="array" ref="QM81">ROUND(IFERROR(INDEX(ArchiveResults!$F$5:$IX$116,ComparisonData!A81,ComparisonData!$QM$1),0),5)</f>
        <v>0</v>
      </c>
      <c r="QN81" s="45" cm="1">
        <f t="array" ref="QN81">IFERROR(INDEX(ArchiveResults!$F$5:$IX$116,ComparisonData!A81,ComparisonData!$QN$1),0)</f>
        <v>0</v>
      </c>
      <c r="QO81" s="56">
        <v>76</v>
      </c>
      <c r="QP81" s="53" t="str">
        <f t="shared" si="702"/>
        <v>Shropshire Archives</v>
      </c>
      <c r="QQ81" s="59">
        <f t="shared" si="988"/>
        <v>0</v>
      </c>
      <c r="QR81" s="59">
        <f t="shared" si="989"/>
        <v>0</v>
      </c>
      <c r="QS81" s="59">
        <f t="shared" si="990"/>
        <v>0</v>
      </c>
      <c r="QT81" s="59">
        <f t="shared" si="991"/>
        <v>0</v>
      </c>
      <c r="QU81" s="59">
        <f t="shared" si="992"/>
        <v>0</v>
      </c>
      <c r="QV81" s="58">
        <f t="shared" si="993"/>
        <v>0</v>
      </c>
      <c r="QW81" s="45">
        <f t="shared" si="994"/>
        <v>36</v>
      </c>
      <c r="QX81" s="45">
        <f t="shared" si="703"/>
        <v>2.6139999999999999</v>
      </c>
      <c r="QY81" s="45">
        <f t="shared" si="995"/>
        <v>1</v>
      </c>
      <c r="QZ81" s="45">
        <f t="shared" si="996"/>
        <v>2</v>
      </c>
      <c r="RA81" s="45">
        <f t="shared" si="997"/>
        <v>0</v>
      </c>
      <c r="RB81" s="46" cm="1">
        <f t="array" ref="RB81">ROUND(IFERROR(INDEX(ArchiveResults!$F$5:$IX$116,ComparisonData!A81,ComparisonData!$RB$1),0),5)</f>
        <v>0</v>
      </c>
      <c r="RC81" s="46" cm="1">
        <f t="array" ref="RC81">ROUND(IFERROR(INDEX(ArchiveResults!$F$5:$IX$116,ComparisonData!A81,ComparisonData!$RC$1),0),5)</f>
        <v>0</v>
      </c>
      <c r="RD81" s="46" cm="1">
        <f t="array" ref="RD81">ROUND(IFERROR(INDEX(ArchiveResults!$F$5:$IX$116,ComparisonData!A81,ComparisonData!$RD$1),0),5)</f>
        <v>0</v>
      </c>
      <c r="RE81" s="46" cm="1">
        <f t="array" ref="RE81">ROUND(IFERROR(INDEX(ArchiveResults!$F$5:$IX$116,ComparisonData!A81,ComparisonData!$RE$1),0),5)</f>
        <v>0</v>
      </c>
      <c r="RF81" s="45" cm="1">
        <f t="array" ref="RF81">IFERROR(INDEX(ArchiveResults!$F$5:$IX$116,ComparisonData!A81,ComparisonData!$RF$1),0)</f>
        <v>0</v>
      </c>
      <c r="RG81" s="56">
        <v>76</v>
      </c>
      <c r="RH81" s="53" t="str">
        <f t="shared" si="704"/>
        <v>Shropshire Archives</v>
      </c>
      <c r="RI81" s="59">
        <f t="shared" si="998"/>
        <v>0</v>
      </c>
      <c r="RJ81" s="59">
        <f t="shared" si="999"/>
        <v>0</v>
      </c>
      <c r="RK81" s="59">
        <f t="shared" si="1000"/>
        <v>0</v>
      </c>
      <c r="RL81" s="59">
        <f t="shared" si="1001"/>
        <v>0</v>
      </c>
      <c r="RM81" s="59">
        <f t="shared" si="1002"/>
        <v>0</v>
      </c>
      <c r="RN81" s="58">
        <f t="shared" si="1003"/>
        <v>0</v>
      </c>
      <c r="RO81" s="45">
        <f t="shared" si="1004"/>
        <v>36</v>
      </c>
      <c r="RP81" s="45">
        <f t="shared" si="705"/>
        <v>2.6139999999999999</v>
      </c>
      <c r="RQ81" s="45">
        <f t="shared" si="1005"/>
        <v>1</v>
      </c>
      <c r="RR81" s="45">
        <f t="shared" si="1006"/>
        <v>2</v>
      </c>
      <c r="RS81" s="45">
        <f t="shared" si="1007"/>
        <v>0</v>
      </c>
      <c r="RT81" s="46" cm="1">
        <f t="array" ref="RT81">ROUND(IFERROR(INDEX(ArchiveResults!$F$5:$IX$116,ComparisonData!A81,ComparisonData!$RT$1),0),5)</f>
        <v>0</v>
      </c>
      <c r="RU81" s="46" cm="1">
        <f t="array" ref="RU81">ROUND(IFERROR(INDEX(ArchiveResults!$F$5:$IX$116,ComparisonData!A81,ComparisonData!$RU$1),0),5)</f>
        <v>0</v>
      </c>
      <c r="RV81" s="46" cm="1">
        <f t="array" ref="RV81">ROUND(IFERROR(INDEX(ArchiveResults!$F$5:$IX$116,ComparisonData!A81,ComparisonData!$RV$1),0),5)</f>
        <v>0</v>
      </c>
      <c r="RW81" s="46" cm="1">
        <f t="array" ref="RW81">ROUND(IFERROR(INDEX(ArchiveResults!$F$5:$IX$116,ComparisonData!A81,ComparisonData!$RW$1),0),5)</f>
        <v>0</v>
      </c>
      <c r="RX81" s="45" cm="1">
        <f t="array" ref="RX81">IFERROR(INDEX(ArchiveResults!$F$5:$IX$116,ComparisonData!A81,ComparisonData!$RX$1),0)</f>
        <v>0</v>
      </c>
      <c r="RY81" s="56">
        <v>76</v>
      </c>
      <c r="RZ81" s="53" t="str">
        <f t="shared" si="706"/>
        <v>Shropshire Archives</v>
      </c>
      <c r="SA81" s="59">
        <f t="shared" si="1008"/>
        <v>0</v>
      </c>
      <c r="SB81" s="59">
        <f t="shared" si="1009"/>
        <v>0</v>
      </c>
      <c r="SC81" s="59">
        <f t="shared" si="1010"/>
        <v>0</v>
      </c>
      <c r="SD81" s="59">
        <f t="shared" si="1011"/>
        <v>0</v>
      </c>
      <c r="SE81" s="59">
        <f t="shared" si="1012"/>
        <v>0</v>
      </c>
      <c r="SF81" s="58">
        <f t="shared" si="1013"/>
        <v>0</v>
      </c>
      <c r="SG81" s="45">
        <f t="shared" si="1014"/>
        <v>36</v>
      </c>
      <c r="SH81" s="45">
        <f t="shared" si="707"/>
        <v>2.6139999999999999</v>
      </c>
      <c r="SI81" s="45">
        <f t="shared" si="1015"/>
        <v>1</v>
      </c>
      <c r="SJ81" s="45">
        <f t="shared" si="1016"/>
        <v>2</v>
      </c>
      <c r="SK81" s="45">
        <f t="shared" si="1017"/>
        <v>0</v>
      </c>
      <c r="SL81" s="46" cm="1">
        <f t="array" ref="SL81">ROUND(IFERROR(INDEX(ArchiveResults!$F$5:$IX$116,ComparisonData!A81,ComparisonData!$SL$1),0),5)</f>
        <v>0</v>
      </c>
      <c r="SM81" s="46" cm="1">
        <f t="array" ref="SM81">ROUND(IFERROR(INDEX(ArchiveResults!$F$5:$IX$116,ComparisonData!A81,ComparisonData!$SM$1),0),5)</f>
        <v>0</v>
      </c>
      <c r="SN81" s="46" cm="1">
        <f t="array" ref="SN81">ROUND(IFERROR(INDEX(ArchiveResults!$F$5:$IX$116,ComparisonData!A81,ComparisonData!$SN$1),0),5)</f>
        <v>0</v>
      </c>
      <c r="SO81" s="46" cm="1">
        <f t="array" ref="SO81">ROUND(IFERROR(INDEX(ArchiveResults!$F$5:$IX$116,ComparisonData!A81,ComparisonData!$SO$1),0),5)</f>
        <v>0</v>
      </c>
      <c r="SP81" s="45" cm="1">
        <f t="array" ref="SP81">IFERROR(INDEX(ArchiveResults!$F$5:$IX$116,ComparisonData!A81,ComparisonData!$SP$1),0)</f>
        <v>0</v>
      </c>
      <c r="SQ81" s="56">
        <v>76</v>
      </c>
      <c r="SR81" s="53" t="str">
        <f t="shared" si="708"/>
        <v>Shropshire Archives</v>
      </c>
      <c r="SS81" s="59">
        <f t="shared" si="1018"/>
        <v>0</v>
      </c>
      <c r="ST81" s="59">
        <f t="shared" si="1019"/>
        <v>0</v>
      </c>
      <c r="SU81" s="59">
        <f t="shared" si="1020"/>
        <v>0</v>
      </c>
      <c r="SV81" s="59">
        <f t="shared" si="1021"/>
        <v>0</v>
      </c>
      <c r="SW81" s="59">
        <f t="shared" si="1022"/>
        <v>0</v>
      </c>
      <c r="SX81" s="58">
        <f t="shared" si="1023"/>
        <v>0</v>
      </c>
      <c r="SY81" s="45">
        <f t="shared" si="1024"/>
        <v>36</v>
      </c>
      <c r="SZ81" s="45">
        <f t="shared" si="709"/>
        <v>2.6139999999999999</v>
      </c>
      <c r="TA81" s="45">
        <f t="shared" si="1025"/>
        <v>1</v>
      </c>
      <c r="TB81" s="45">
        <f t="shared" si="1026"/>
        <v>2</v>
      </c>
      <c r="TC81" s="45">
        <f t="shared" si="1027"/>
        <v>0</v>
      </c>
      <c r="TD81" s="46" cm="1">
        <f t="array" ref="TD81">ROUND(IFERROR(INDEX(ArchiveResults!$F$5:$IX$116,ComparisonData!A81,ComparisonData!$TD$1),0),5)</f>
        <v>0</v>
      </c>
      <c r="TE81" s="46" cm="1">
        <f t="array" ref="TE81">ROUND(IFERROR(INDEX(ArchiveResults!$F$5:$IX$116,ComparisonData!A81,ComparisonData!$TE$1),0),5)</f>
        <v>0</v>
      </c>
      <c r="TF81" s="46" cm="1">
        <f t="array" ref="TF81">ROUND(IFERROR(INDEX(ArchiveResults!$F$5:$IX$116,ComparisonData!A81,ComparisonData!$TF$1),0),5)</f>
        <v>0</v>
      </c>
      <c r="TG81" s="46" cm="1">
        <f t="array" ref="TG81">ROUND(IFERROR(INDEX(ArchiveResults!$F$5:$IX$116,ComparisonData!A81,ComparisonData!$TG$1),0),5)</f>
        <v>0</v>
      </c>
      <c r="TH81" s="45" cm="1">
        <f t="array" ref="TH81">IFERROR(INDEX(ArchiveResults!$F$5:$IX$116,ComparisonData!A81,ComparisonData!$TH$1),0)</f>
        <v>0</v>
      </c>
      <c r="TI81" s="56">
        <v>76</v>
      </c>
      <c r="TJ81" s="53" t="str">
        <f t="shared" si="710"/>
        <v>Shropshire Archives</v>
      </c>
      <c r="TK81" s="59">
        <f t="shared" si="1028"/>
        <v>0</v>
      </c>
      <c r="TL81" s="59">
        <f t="shared" si="1029"/>
        <v>0</v>
      </c>
      <c r="TM81" s="59">
        <f t="shared" si="1030"/>
        <v>0</v>
      </c>
      <c r="TN81" s="59">
        <f t="shared" si="1031"/>
        <v>0</v>
      </c>
      <c r="TO81" s="59">
        <f t="shared" si="1032"/>
        <v>0</v>
      </c>
      <c r="TP81" s="58">
        <f t="shared" si="1033"/>
        <v>0</v>
      </c>
      <c r="TQ81" s="45">
        <f t="shared" si="1034"/>
        <v>36</v>
      </c>
      <c r="TR81" s="45">
        <f t="shared" si="711"/>
        <v>2.6139999999999999</v>
      </c>
      <c r="TS81" s="45">
        <f t="shared" si="1035"/>
        <v>1</v>
      </c>
      <c r="TT81" s="45">
        <f t="shared" si="1036"/>
        <v>2</v>
      </c>
      <c r="TU81" s="45">
        <f t="shared" si="1037"/>
        <v>0</v>
      </c>
      <c r="TV81" s="46" cm="1">
        <f t="array" ref="TV81">ROUND(IFERROR(INDEX(ArchiveResults!$F$5:$IX$116,ComparisonData!A81,ComparisonData!$TV$1),0),5)</f>
        <v>0</v>
      </c>
      <c r="TW81" s="46" cm="1">
        <f t="array" ref="TW81">ROUND(IFERROR(INDEX(ArchiveResults!$F$5:$IX$116,ComparisonData!A81,ComparisonData!$TW$1),0),5)</f>
        <v>0</v>
      </c>
      <c r="TX81" s="46" cm="1">
        <f t="array" ref="TX81">ROUND(IFERROR(INDEX(ArchiveResults!$F$5:$IX$116,ComparisonData!A81,ComparisonData!$TX$1),0),5)</f>
        <v>0</v>
      </c>
      <c r="TY81" s="46" cm="1">
        <f t="array" ref="TY81">ROUND(IFERROR(INDEX(ArchiveResults!$F$5:$IX$116,ComparisonData!A81,ComparisonData!$TY$1),0),5)</f>
        <v>0</v>
      </c>
      <c r="TZ81" s="45" cm="1">
        <f t="array" ref="TZ81">IFERROR(INDEX(ArchiveResults!$F$5:$IX$116,ComparisonData!A81,ComparisonData!$TZ$1),0)</f>
        <v>0</v>
      </c>
      <c r="UA81" s="56">
        <v>76</v>
      </c>
      <c r="UB81" s="53" t="str">
        <f t="shared" si="712"/>
        <v>Shropshire Archives</v>
      </c>
      <c r="UC81" s="60">
        <f t="shared" si="1038"/>
        <v>0</v>
      </c>
      <c r="UD81" s="60">
        <f t="shared" si="1039"/>
        <v>0</v>
      </c>
      <c r="UE81" s="60">
        <f t="shared" si="1040"/>
        <v>0</v>
      </c>
      <c r="UF81" s="60">
        <f t="shared" si="1041"/>
        <v>0</v>
      </c>
      <c r="UG81" s="60">
        <f t="shared" si="1042"/>
        <v>0</v>
      </c>
      <c r="UH81" s="58">
        <f t="shared" si="1043"/>
        <v>0</v>
      </c>
      <c r="UI81" s="46">
        <f t="shared" si="1044"/>
        <v>36</v>
      </c>
      <c r="UJ81" s="46">
        <f t="shared" si="713"/>
        <v>2.6139999999999999</v>
      </c>
      <c r="UK81" s="46">
        <f t="shared" si="1045"/>
        <v>1</v>
      </c>
      <c r="UL81" s="46">
        <f t="shared" si="1046"/>
        <v>2</v>
      </c>
      <c r="UM81" s="46" cm="1">
        <f t="array" ref="UM81">ROUND(IFERROR(INDEX(ArchiveResults!$F$5:$IX$116,ComparisonData!A81,ComparisonData!$UM$1),0),5)</f>
        <v>0</v>
      </c>
      <c r="UN81" s="56">
        <v>76</v>
      </c>
      <c r="UO81" s="53" t="str">
        <f t="shared" si="714"/>
        <v>Shropshire Archives</v>
      </c>
      <c r="UP81" s="46">
        <f t="shared" si="1047"/>
        <v>0</v>
      </c>
      <c r="UQ81" s="76">
        <f t="shared" si="1048"/>
        <v>0</v>
      </c>
      <c r="UR81" s="46">
        <f t="shared" si="1049"/>
        <v>36</v>
      </c>
      <c r="US81" s="46">
        <f t="shared" si="715"/>
        <v>2.6139999999999999</v>
      </c>
      <c r="UT81" s="46">
        <f t="shared" si="1050"/>
        <v>1</v>
      </c>
      <c r="UU81" s="46">
        <f t="shared" si="1051"/>
        <v>2</v>
      </c>
      <c r="UV81" s="46">
        <f t="shared" si="1052"/>
        <v>0</v>
      </c>
      <c r="UW81" s="46" cm="1">
        <f t="array" ref="UW81">ROUND(IFERROR(INDEX(ArchiveResults!$F$5:$IX$116,ComparisonData!A81,ComparisonData!$UW$1),0),5)</f>
        <v>0</v>
      </c>
      <c r="UX81" s="46" cm="1">
        <f t="array" ref="UX81">ROUND(IFERROR(INDEX(ArchiveResults!$F$5:$IX$116,ComparisonData!A81,ComparisonData!$UX$1),0),5)</f>
        <v>0</v>
      </c>
      <c r="UY81" s="46" cm="1">
        <f t="array" ref="UY81">ROUND(IFERROR(INDEX(ArchiveResults!$F$5:$IX$116,ComparisonData!A81,ComparisonData!$UY$1),0),5)</f>
        <v>0</v>
      </c>
      <c r="UZ81" s="46" cm="1">
        <f t="array" ref="UZ81">ROUND(IFERROR(INDEX(ArchiveResults!$F$5:$IX$116,ComparisonData!A81,ComparisonData!$UZ$1),0),5)</f>
        <v>0</v>
      </c>
      <c r="VA81" s="46" cm="1">
        <f t="array" ref="VA81">ROUND(IFERROR(INDEX(ArchiveResults!$F$5:$IX$116,ComparisonData!A81,ComparisonData!$VA$1),0),5)</f>
        <v>0</v>
      </c>
      <c r="VB81" s="56">
        <v>76</v>
      </c>
      <c r="VC81" s="53" t="str">
        <f t="shared" si="716"/>
        <v>Shropshire Archives</v>
      </c>
      <c r="VD81" s="60">
        <f t="shared" si="1053"/>
        <v>0</v>
      </c>
      <c r="VE81" s="60">
        <f t="shared" si="1054"/>
        <v>0</v>
      </c>
      <c r="VF81" s="60">
        <f t="shared" si="1055"/>
        <v>0</v>
      </c>
      <c r="VG81" s="60">
        <f t="shared" si="1056"/>
        <v>0</v>
      </c>
      <c r="VH81" s="60">
        <f t="shared" si="1057"/>
        <v>0</v>
      </c>
      <c r="VI81" s="76">
        <f t="shared" si="1058"/>
        <v>0</v>
      </c>
      <c r="VJ81" s="46">
        <f t="shared" si="1059"/>
        <v>36</v>
      </c>
      <c r="VK81" s="46">
        <f t="shared" si="717"/>
        <v>2.6139999999999999</v>
      </c>
      <c r="VL81" s="46">
        <f t="shared" si="1060"/>
        <v>1</v>
      </c>
      <c r="VM81" s="46">
        <f t="shared" si="1061"/>
        <v>2</v>
      </c>
      <c r="VN81" s="46" cm="1">
        <f t="array" ref="VN81">ROUND(IFERROR(INDEX(ArchiveResults!$F$5:$IX$116,ComparisonData!A81,ComparisonData!$VN$1),0),5)</f>
        <v>0</v>
      </c>
      <c r="VO81" s="46" cm="1">
        <f t="array" ref="VO81">ROUND(IFERROR(INDEX(ArchiveResults!$F$5:$IX$116,ComparisonData!A81,ComparisonData!$VO$1),0),5)</f>
        <v>0</v>
      </c>
      <c r="VP81" s="46" cm="1">
        <f t="array" ref="VP81">ROUND(IFERROR(INDEX(ArchiveResults!$F$5:$IX$116,ComparisonData!A81,ComparisonData!$VP$1),0),5)</f>
        <v>0</v>
      </c>
      <c r="VQ81" s="46" cm="1">
        <f t="array" ref="VQ81">ROUND(IFERROR(INDEX(ArchiveResults!$F$5:$IX$116,ComparisonData!A81,ComparisonData!$VQ$1),0),5)</f>
        <v>0</v>
      </c>
      <c r="VR81" s="56">
        <v>76</v>
      </c>
      <c r="VS81" s="53" t="str">
        <f t="shared" si="718"/>
        <v>Shropshire Archives</v>
      </c>
      <c r="VT81" s="60">
        <f t="shared" si="1062"/>
        <v>0</v>
      </c>
      <c r="VU81" s="60">
        <f t="shared" si="1063"/>
        <v>0</v>
      </c>
      <c r="VV81" s="60">
        <f t="shared" si="1064"/>
        <v>0</v>
      </c>
      <c r="VW81" s="60">
        <f t="shared" si="1065"/>
        <v>0</v>
      </c>
      <c r="VX81" s="76">
        <f t="shared" si="1066"/>
        <v>0</v>
      </c>
      <c r="VY81" s="46">
        <f t="shared" si="1067"/>
        <v>36</v>
      </c>
      <c r="VZ81" s="46">
        <f t="shared" si="719"/>
        <v>2.6139999999999999</v>
      </c>
      <c r="WA81" s="46">
        <f t="shared" si="1068"/>
        <v>1</v>
      </c>
      <c r="WB81" s="46">
        <f t="shared" si="1069"/>
        <v>2</v>
      </c>
      <c r="WC81" s="46" cm="1">
        <f t="array" ref="WC81">ROUND(IFERROR(INDEX(ArchiveResults!$F$5:$IX$116,ComparisonData!A81,ComparisonData!$WC$1),0),5)</f>
        <v>0</v>
      </c>
      <c r="WD81" s="56">
        <v>76</v>
      </c>
      <c r="WE81" s="53" t="str">
        <f t="shared" si="720"/>
        <v>Shropshire Archives</v>
      </c>
      <c r="WF81" s="46">
        <f t="shared" si="1070"/>
        <v>0</v>
      </c>
      <c r="WG81" s="76">
        <f t="shared" si="1071"/>
        <v>0</v>
      </c>
      <c r="WH81" s="46">
        <f t="shared" si="1072"/>
        <v>36</v>
      </c>
      <c r="WI81" s="46">
        <f t="shared" si="721"/>
        <v>2.6139999999999999</v>
      </c>
      <c r="WJ81" s="46">
        <f t="shared" si="1073"/>
        <v>1</v>
      </c>
      <c r="WK81" s="46">
        <f t="shared" si="1074"/>
        <v>2</v>
      </c>
      <c r="WL81" s="46" cm="1">
        <f t="array" ref="WL81">ROUND(IFERROR(INDEX(ArchiveResults!$F$5:$IX$116,ComparisonData!A81,ComparisonData!$WL$1),0),5)</f>
        <v>0</v>
      </c>
      <c r="WM81" s="46" cm="1">
        <f t="array" ref="WM81">IFERROR(INDEX(ArchiveResults!$F$5:$IX$116,ComparisonData!A81,ComparisonData!$WM$1),0)</f>
        <v>0</v>
      </c>
      <c r="WN81" s="56">
        <v>76</v>
      </c>
      <c r="WO81" s="53" t="str">
        <f t="shared" si="722"/>
        <v>Shropshire Archives</v>
      </c>
      <c r="WP81" s="60">
        <f t="shared" si="1075"/>
        <v>0</v>
      </c>
      <c r="WQ81" s="60">
        <f t="shared" si="1076"/>
        <v>0</v>
      </c>
      <c r="WR81" s="76">
        <f t="shared" si="1077"/>
        <v>0</v>
      </c>
      <c r="WS81" s="46">
        <f t="shared" si="1078"/>
        <v>36</v>
      </c>
      <c r="WT81" s="46">
        <f t="shared" si="723"/>
        <v>2.6139999999999999</v>
      </c>
      <c r="WU81" s="46">
        <f t="shared" si="1079"/>
        <v>1</v>
      </c>
      <c r="WV81" s="46">
        <f t="shared" si="1080"/>
        <v>2</v>
      </c>
      <c r="WW81" s="46" cm="1">
        <f t="array" ref="WW81">ROUND(VALUE(IFERROR(INDEX(ArchiveResults!$F$5:$IX$116,ComparisonData!A81,ComparisonData!$WW$1),0)),5)</f>
        <v>0</v>
      </c>
      <c r="WX81" s="46" cm="1">
        <f t="array" ref="WX81">ROUND(IFERROR(INDEX(ArchiveResults!$F$5:$IX$116,ComparisonData!A81,ComparisonData!$WX$1),0),5)</f>
        <v>0</v>
      </c>
      <c r="WY81" s="56">
        <v>76</v>
      </c>
      <c r="WZ81" s="53" t="str">
        <f t="shared" si="724"/>
        <v>Shropshire Archives</v>
      </c>
      <c r="XA81" s="60">
        <f t="shared" si="725"/>
        <v>0</v>
      </c>
      <c r="XB81" s="60">
        <f t="shared" si="726"/>
        <v>0</v>
      </c>
      <c r="XC81" s="76">
        <f t="shared" si="1081"/>
        <v>0</v>
      </c>
      <c r="XD81" s="46">
        <f t="shared" si="1082"/>
        <v>36</v>
      </c>
      <c r="XE81" s="46">
        <f t="shared" si="727"/>
        <v>2.6139999999999999</v>
      </c>
      <c r="XF81" s="46">
        <f t="shared" si="1083"/>
        <v>1</v>
      </c>
      <c r="XG81" s="46">
        <f t="shared" si="1084"/>
        <v>2</v>
      </c>
      <c r="XH81" s="46" cm="1">
        <f t="array" ref="XH81">ROUND(VALUE(IFERROR(INDEX(ArchiveResults!$F$5:$IX$116,ComparisonData!A81,ComparisonData!$XH$1),0)),5)</f>
        <v>0</v>
      </c>
      <c r="XI81" s="46" cm="1">
        <f t="array" ref="XI81">ROUND(VALUE(IFERROR(INDEX(ArchiveResults!$F$5:$IX$116,ComparisonData!A81,ComparisonData!$XI$1),0)),5)</f>
        <v>0</v>
      </c>
      <c r="XJ81" s="56">
        <v>76</v>
      </c>
      <c r="XK81" s="53" t="str">
        <f t="shared" si="728"/>
        <v>Shropshire Archives</v>
      </c>
      <c r="XL81" s="60">
        <f t="shared" si="1085"/>
        <v>0</v>
      </c>
      <c r="XM81" s="60">
        <f t="shared" si="1086"/>
        <v>0</v>
      </c>
      <c r="XN81" s="76">
        <f t="shared" si="1087"/>
        <v>0</v>
      </c>
      <c r="XO81" s="46">
        <f t="shared" si="1088"/>
        <v>36</v>
      </c>
      <c r="XP81" s="46">
        <f t="shared" si="729"/>
        <v>2.6139999999999999</v>
      </c>
      <c r="XQ81" s="46">
        <f t="shared" si="1089"/>
        <v>1</v>
      </c>
      <c r="XR81" s="46">
        <f t="shared" si="1090"/>
        <v>2</v>
      </c>
      <c r="XS81" s="46" cm="1">
        <f t="array" ref="XS81">ROUND(VALUE(IFERROR(INDEX(ArchiveResults!$F$5:$IX$116,ComparisonData!A81,ComparisonData!$XS$1),0)),5)</f>
        <v>0</v>
      </c>
      <c r="XT81" s="46" cm="1">
        <f t="array" ref="XT81">ROUND(VALUE(IFERROR(INDEX(ArchiveResults!$F$5:$IX$116,ComparisonData!A81,ComparisonData!$XT$1),0)),5)</f>
        <v>0</v>
      </c>
      <c r="XU81" s="56">
        <v>76</v>
      </c>
      <c r="XV81" s="53" t="str">
        <f t="shared" si="730"/>
        <v>Shropshire Archives</v>
      </c>
      <c r="XW81" s="60">
        <f t="shared" si="1091"/>
        <v>0</v>
      </c>
      <c r="XX81" s="60">
        <f t="shared" si="1092"/>
        <v>0</v>
      </c>
      <c r="XY81" s="76">
        <f t="shared" si="1093"/>
        <v>0</v>
      </c>
      <c r="XZ81" s="46">
        <f t="shared" si="1094"/>
        <v>36</v>
      </c>
      <c r="YA81" s="46">
        <f t="shared" si="731"/>
        <v>2.6139999999999999</v>
      </c>
      <c r="YB81" s="46">
        <f t="shared" si="1095"/>
        <v>1</v>
      </c>
      <c r="YC81" s="46">
        <f t="shared" si="1096"/>
        <v>2</v>
      </c>
      <c r="YD81" s="46" cm="1">
        <f t="array" ref="YD81">ROUND(VALUE(IFERROR(INDEX(ArchiveResults!$F$5:$IX$116,ComparisonData!A81,ComparisonData!$YD$1),0)),5)</f>
        <v>0</v>
      </c>
      <c r="YE81" s="46" cm="1">
        <f t="array" ref="YE81">ROUND(VALUE(IFERROR(INDEX(ArchiveResults!$F$5:$IX$116,ComparisonData!A81,ComparisonData!$YE$1),0)),5)</f>
        <v>0</v>
      </c>
      <c r="YF81" s="56">
        <v>76</v>
      </c>
      <c r="YG81" s="53" t="str">
        <f t="shared" si="732"/>
        <v>Shropshire Archives</v>
      </c>
      <c r="YH81" s="60">
        <f t="shared" si="1097"/>
        <v>0</v>
      </c>
      <c r="YI81" s="60">
        <f t="shared" si="1098"/>
        <v>0</v>
      </c>
      <c r="YJ81" s="76">
        <f t="shared" si="1099"/>
        <v>0</v>
      </c>
      <c r="YK81" s="46">
        <f t="shared" si="1100"/>
        <v>36</v>
      </c>
      <c r="YL81" s="46">
        <f t="shared" si="733"/>
        <v>2.6139999999999999</v>
      </c>
      <c r="YM81" s="46">
        <f t="shared" si="1101"/>
        <v>1</v>
      </c>
      <c r="YN81" s="46">
        <f t="shared" si="1102"/>
        <v>2</v>
      </c>
      <c r="YO81" s="46" cm="1">
        <f t="array" ref="YO81">ROUND(VALUE(IFERROR(INDEX(ArchiveResults!$F$5:$IX$116,ComparisonData!A81,ComparisonData!$YO$1),0)),5)</f>
        <v>0</v>
      </c>
      <c r="YP81" s="46" cm="1">
        <f t="array" ref="YP81">ROUND(VALUE(IFERROR(INDEX(ArchiveResults!$F$5:$IX$116,ComparisonData!A81,ComparisonData!$YP$1),0)),5)</f>
        <v>0</v>
      </c>
      <c r="YQ81" s="56">
        <v>76</v>
      </c>
      <c r="YR81" s="53" t="str">
        <f t="shared" si="734"/>
        <v>Shropshire Archives</v>
      </c>
      <c r="YS81" s="60">
        <f t="shared" si="1103"/>
        <v>0</v>
      </c>
      <c r="YT81" s="60">
        <f t="shared" si="1104"/>
        <v>0</v>
      </c>
      <c r="YU81" s="76">
        <f t="shared" si="1105"/>
        <v>0</v>
      </c>
      <c r="YV81" s="46">
        <f t="shared" si="1106"/>
        <v>36</v>
      </c>
      <c r="YW81" s="46">
        <f t="shared" si="735"/>
        <v>2.6139999999999999</v>
      </c>
      <c r="YX81" s="46">
        <f t="shared" si="1107"/>
        <v>1</v>
      </c>
      <c r="YY81" s="46">
        <f t="shared" si="1108"/>
        <v>2</v>
      </c>
      <c r="YZ81" s="46">
        <f t="shared" si="1109"/>
        <v>0</v>
      </c>
      <c r="ZA81" s="46" cm="1">
        <f t="array" ref="ZA81">ROUNDDOWN(VALUE(IFERROR(INDEX(ArchiveResults!$F$5:$IX$116,ComparisonData!A81,ComparisonData!$ZA$1),0)),5)</f>
        <v>0</v>
      </c>
      <c r="ZB81" s="46" cm="1">
        <f t="array" ref="ZB81">ROUNDDOWN(VALUE(IFERROR(INDEX(ArchiveResults!$F$5:$IX$116,ComparisonData!A81,ComparisonData!$ZB$1),0)),5)</f>
        <v>0</v>
      </c>
      <c r="ZC81" s="46" cm="1">
        <f t="array" ref="ZC81">ROUNDDOWN(VALUE(IFERROR(INDEX(ArchiveResults!$F$5:$IX$116,ComparisonData!A81,ComparisonData!$ZC$1),0)),5)</f>
        <v>0</v>
      </c>
      <c r="ZD81" s="46" cm="1">
        <f t="array" ref="ZD81">ROUNDDOWN(VALUE(IFERROR(INDEX(ArchiveResults!$F$5:$IX$116,ComparisonData!A81,ComparisonData!$ZD$1),0)),5)</f>
        <v>0</v>
      </c>
      <c r="ZE81" s="46" cm="1">
        <f t="array" ref="ZE81">ROUNDDOWN(VALUE(IFERROR(INDEX(ArchiveResults!$F$5:$IX$116,ComparisonData!A81,ComparisonData!$ZE$1),0)),5)</f>
        <v>0</v>
      </c>
      <c r="ZF81" s="56">
        <v>76</v>
      </c>
      <c r="ZG81" s="53" t="str">
        <f t="shared" si="736"/>
        <v>Shropshire Archives</v>
      </c>
      <c r="ZH81" s="60">
        <f t="shared" si="1110"/>
        <v>0</v>
      </c>
      <c r="ZI81" s="60">
        <f t="shared" si="1111"/>
        <v>0</v>
      </c>
      <c r="ZJ81" s="60">
        <f t="shared" si="1112"/>
        <v>0</v>
      </c>
      <c r="ZK81" s="60">
        <f t="shared" si="1113"/>
        <v>0</v>
      </c>
      <c r="ZL81" s="60">
        <f t="shared" si="1114"/>
        <v>0</v>
      </c>
      <c r="ZM81" s="76">
        <f t="shared" si="1115"/>
        <v>0</v>
      </c>
      <c r="ZN81" s="46">
        <f t="shared" si="1116"/>
        <v>36</v>
      </c>
      <c r="ZO81" s="46">
        <f t="shared" si="737"/>
        <v>2.6139999999999999</v>
      </c>
      <c r="ZP81" s="46">
        <f t="shared" si="1117"/>
        <v>1</v>
      </c>
      <c r="ZQ81" s="46">
        <f t="shared" si="1118"/>
        <v>2</v>
      </c>
      <c r="ZR81" s="46" cm="1">
        <f t="array" ref="ZR81">ROUND(VALUE(IFERROR(INDEX(ArchiveResults!$F$5:$IX$116,ComparisonData!A81,ComparisonData!$ZR$1),0)),5)</f>
        <v>0</v>
      </c>
      <c r="ZS81" s="56">
        <v>76</v>
      </c>
      <c r="ZT81" s="53" t="str">
        <f t="shared" si="738"/>
        <v>Shropshire Archives</v>
      </c>
      <c r="ZU81" s="46">
        <f t="shared" si="1119"/>
        <v>0</v>
      </c>
      <c r="ZV81" s="76">
        <f t="shared" si="1120"/>
        <v>0</v>
      </c>
      <c r="ZW81" s="81" cm="1">
        <f t="array" ref="ZW81">ROUND((IFERROR(INDEX(ArchiveResults!$F$5:$IX$116,ComparisonData!A81,ComparisonData!$ZW$1),0)),5)</f>
        <v>0</v>
      </c>
      <c r="ZX81" s="81" cm="1">
        <f t="array" ref="ZX81">ROUND((IFERROR(INDEX(ArchiveResults!$F$5:$IX$116,ComparisonData!A81,ComparisonData!$ZX$1),0)),5)</f>
        <v>0</v>
      </c>
      <c r="ZY81" s="81" cm="1">
        <f t="array" ref="ZY81">ROUND((IFERROR(INDEX(ArchiveResults!$F$5:$IX$116,ComparisonData!A81,ComparisonData!$ZY$1),0)),5)</f>
        <v>0</v>
      </c>
      <c r="ZZ81" s="81" cm="1">
        <f t="array" ref="ZZ81">ROUND((IFERROR(INDEX(ArchiveResults!$F$5:$IX$116,ComparisonData!A81,ComparisonData!$ZZ$1),0)),5)</f>
        <v>0</v>
      </c>
      <c r="AAA81" s="81" cm="1">
        <f t="array" ref="AAA81">ROUND((IFERROR(INDEX(ArchiveResults!$F$5:$IX$116,ComparisonData!A81,ComparisonData!$AAA$1),0)),5)</f>
        <v>0</v>
      </c>
      <c r="AAB81" s="81" cm="1">
        <f t="array" ref="AAB81">ROUND((IFERROR(INDEX(ArchiveResults!$F$5:$IX$116,ComparisonData!A81,ComparisonData!$AAB$1),0)),5)</f>
        <v>0</v>
      </c>
      <c r="AAC81" s="81" cm="1">
        <f t="array" ref="AAC81">ROUND((IFERROR(INDEX(ArchiveResults!$F$5:$IX$116,ComparisonData!A81,ComparisonData!$AAC$1),0)),5)</f>
        <v>0</v>
      </c>
      <c r="AAD81" s="81" cm="1">
        <f t="array" ref="AAD81">ROUND((IFERROR(INDEX(ArchiveResults!$F$5:$IX$116,ComparisonData!A81,ComparisonData!$AAD$1),0)),5)</f>
        <v>0</v>
      </c>
      <c r="AAE81" s="81" cm="1">
        <f t="array" ref="AAE81">ROUND((IFERROR(INDEX(ArchiveResults!$F$5:$IX$116,ComparisonData!A81,ComparisonData!$AAE$1),0)),5)</f>
        <v>0</v>
      </c>
      <c r="AAF81" s="81" cm="1">
        <f t="array" ref="AAF81">ROUND((IFERROR(INDEX(ArchiveResults!$F$5:$IX$116,ComparisonData!A81,ComparisonData!$AAF$1),0)),5)</f>
        <v>0</v>
      </c>
      <c r="AAG81" s="46">
        <f t="shared" si="1121"/>
        <v>36</v>
      </c>
      <c r="AAH81" s="46">
        <f t="shared" si="739"/>
        <v>2.6139999999999999</v>
      </c>
      <c r="AAI81" s="46">
        <f t="shared" si="1122"/>
        <v>1</v>
      </c>
      <c r="AAJ81" s="46">
        <f t="shared" si="1123"/>
        <v>2</v>
      </c>
      <c r="AAK81" s="46">
        <f t="shared" si="1124"/>
        <v>0</v>
      </c>
      <c r="AAL81" s="46">
        <f t="shared" si="1125"/>
        <v>0</v>
      </c>
      <c r="AAM81" s="46">
        <f t="shared" si="1126"/>
        <v>0</v>
      </c>
      <c r="AAN81" s="46">
        <f t="shared" si="1127"/>
        <v>0</v>
      </c>
      <c r="AAO81" s="46">
        <f t="shared" si="1128"/>
        <v>0</v>
      </c>
      <c r="AAP81" s="46">
        <f t="shared" si="1129"/>
        <v>0</v>
      </c>
      <c r="AAQ81" s="56">
        <v>76</v>
      </c>
      <c r="AAR81" s="53" t="str">
        <f t="shared" si="740"/>
        <v>Shropshire Archives</v>
      </c>
      <c r="AAS81" s="60">
        <f t="shared" si="1130"/>
        <v>0</v>
      </c>
      <c r="AAT81" s="60">
        <f t="shared" si="1131"/>
        <v>0</v>
      </c>
      <c r="AAU81" s="60">
        <f t="shared" si="1132"/>
        <v>0</v>
      </c>
      <c r="AAV81" s="60">
        <f t="shared" si="1133"/>
        <v>0</v>
      </c>
      <c r="AAW81" s="60">
        <f t="shared" si="1134"/>
        <v>0</v>
      </c>
      <c r="AAX81" s="76">
        <f t="shared" si="1135"/>
        <v>0</v>
      </c>
      <c r="AAY81" s="46">
        <f t="shared" si="1136"/>
        <v>36</v>
      </c>
      <c r="AAZ81" s="46">
        <f t="shared" si="741"/>
        <v>2.6139999999999999</v>
      </c>
      <c r="ABA81" s="46">
        <f t="shared" si="1137"/>
        <v>1</v>
      </c>
      <c r="ABB81" s="46">
        <f t="shared" si="1138"/>
        <v>2</v>
      </c>
      <c r="ABC81" s="46">
        <f t="shared" si="742"/>
        <v>0</v>
      </c>
      <c r="ABD81" s="46" cm="1">
        <f t="array" ref="ABD81">ROUND(VALUE(IFERROR(INDEX(ArchiveResults!$F$5:$IX$116,ComparisonData!A81,ComparisonData!$ABD$1),0)),5)</f>
        <v>0</v>
      </c>
      <c r="ABE81" s="46" cm="1">
        <f t="array" ref="ABE81">ROUND(VALUE(IFERROR(INDEX(ArchiveResults!$F$5:$IX$116,ComparisonData!A81,ComparisonData!$ABE$1),0)),5)</f>
        <v>0</v>
      </c>
      <c r="ABF81" s="46" cm="1">
        <f t="array" ref="ABF81">ROUND(VALUE(IFERROR(INDEX(ArchiveResults!$F$5:$IX$116,ComparisonData!A81,ComparisonData!$ABF$1),0)),5)</f>
        <v>0</v>
      </c>
      <c r="ABG81" s="46" cm="1">
        <f t="array" ref="ABG81">ROUND(VALUE(IFERROR(INDEX(ArchiveResults!$F$5:$IX$116,ComparisonData!A81,ComparisonData!$ABG$1),0)),5)</f>
        <v>0</v>
      </c>
      <c r="ABH81" s="46" cm="1">
        <f t="array" ref="ABH81">ROUND(VALUE(IFERROR(INDEX(ArchiveResults!$F$5:$IX$116,ComparisonData!A81,ComparisonData!$ABH$1),0)),5)</f>
        <v>0</v>
      </c>
      <c r="ABI81" s="56">
        <v>76</v>
      </c>
      <c r="ABJ81" s="53" t="str">
        <f t="shared" si="743"/>
        <v>Shropshire Archives</v>
      </c>
      <c r="ABK81" s="60">
        <f t="shared" si="1139"/>
        <v>0</v>
      </c>
      <c r="ABL81" s="60">
        <f t="shared" si="1140"/>
        <v>0</v>
      </c>
      <c r="ABM81" s="60">
        <f t="shared" si="1141"/>
        <v>0</v>
      </c>
      <c r="ABN81" s="60">
        <f t="shared" si="1142"/>
        <v>0</v>
      </c>
      <c r="ABO81" s="60">
        <f t="shared" si="1143"/>
        <v>0</v>
      </c>
      <c r="ABP81" s="76">
        <f t="shared" si="1144"/>
        <v>0</v>
      </c>
      <c r="ABQ81" s="46">
        <f t="shared" si="1145"/>
        <v>36</v>
      </c>
      <c r="ABR81" s="46">
        <f t="shared" si="744"/>
        <v>2.6139999999999999</v>
      </c>
      <c r="ABS81" s="46">
        <f t="shared" si="1146"/>
        <v>1</v>
      </c>
      <c r="ABT81" s="46">
        <f t="shared" si="1147"/>
        <v>2</v>
      </c>
      <c r="ABU81" s="46" cm="1">
        <f t="array" ref="ABU81">ROUND(VALUE(IFERROR(INDEX(ArchiveResults!$F$5:$IX$116,ComparisonData!A81,ComparisonData!$ABU$1),0)),5)</f>
        <v>0</v>
      </c>
      <c r="ABV81" s="46" cm="1">
        <f t="array" ref="ABV81">ROUND(VALUE(IFERROR(INDEX(ArchiveResults!$F$5:$IX$116,ComparisonData!A81,ComparisonData!$ABV$1),0)),5)</f>
        <v>0</v>
      </c>
      <c r="ABW81" s="46" cm="1">
        <f t="array" ref="ABW81">ROUND(VALUE(IFERROR(INDEX(ArchiveResults!$F$5:$IX$116,ComparisonData!A81,ComparisonData!$ABW$1),0)),5)</f>
        <v>0</v>
      </c>
      <c r="ABX81" s="46" cm="1">
        <f t="array" ref="ABX81">ROUND(VALUE(IFERROR(INDEX(ArchiveResults!$F$5:$IX$116,ComparisonData!A81,ComparisonData!$ABX$1),0)),5)</f>
        <v>0</v>
      </c>
      <c r="ABY81" s="46" cm="1">
        <f t="array" ref="ABY81">ROUND(VALUE(IFERROR(INDEX(ArchiveResults!$F$5:$IX$116,ComparisonData!A81,ComparisonData!$ABY$1),0)),5)</f>
        <v>0</v>
      </c>
      <c r="ABZ81" s="56">
        <v>76</v>
      </c>
      <c r="ACA81" s="53" t="str">
        <f t="shared" si="745"/>
        <v>Shropshire Archives</v>
      </c>
      <c r="ACB81" s="60">
        <f t="shared" si="1148"/>
        <v>0</v>
      </c>
      <c r="ACC81" s="60">
        <f t="shared" si="1149"/>
        <v>0</v>
      </c>
      <c r="ACD81" s="60">
        <f t="shared" si="1150"/>
        <v>0</v>
      </c>
      <c r="ACE81" s="60">
        <f t="shared" si="1151"/>
        <v>0</v>
      </c>
      <c r="ACF81" s="60">
        <f t="shared" si="1152"/>
        <v>0</v>
      </c>
      <c r="ACG81" s="76">
        <f t="shared" si="1153"/>
        <v>0</v>
      </c>
      <c r="ACH81" s="46">
        <f t="shared" si="1154"/>
        <v>36</v>
      </c>
      <c r="ACI81" s="46">
        <f t="shared" si="746"/>
        <v>2.6139999999999999</v>
      </c>
      <c r="ACJ81" s="46">
        <f t="shared" si="1155"/>
        <v>1</v>
      </c>
      <c r="ACK81" s="46">
        <f t="shared" si="1156"/>
        <v>2</v>
      </c>
      <c r="ACL81" s="46">
        <f t="shared" si="1157"/>
        <v>0</v>
      </c>
      <c r="ACM81" s="46" cm="1">
        <f t="array" ref="ACM81">ROUND(IFERROR(INDEX(ArchiveResults!$F$5:$IX$116,ComparisonData!A81,ComparisonData!$ACM$1),0),5)</f>
        <v>0</v>
      </c>
      <c r="ACN81" s="46" cm="1">
        <f t="array" ref="ACN81">ROUND(IFERROR(INDEX(ArchiveResults!$F$5:$IX$116,ComparisonData!A81,ComparisonData!$ACN$1),0),5)</f>
        <v>0</v>
      </c>
      <c r="ACO81" s="56">
        <v>76</v>
      </c>
      <c r="ACP81" s="53" t="str">
        <f t="shared" si="747"/>
        <v>Shropshire Archives</v>
      </c>
      <c r="ACQ81" s="60">
        <f t="shared" si="1158"/>
        <v>0</v>
      </c>
      <c r="ACR81" s="60">
        <f t="shared" si="1159"/>
        <v>0</v>
      </c>
      <c r="ACS81" s="76">
        <f t="shared" si="1160"/>
        <v>0</v>
      </c>
      <c r="ACT81" s="46">
        <f t="shared" si="1161"/>
        <v>36</v>
      </c>
      <c r="ACU81" s="46">
        <f t="shared" si="748"/>
        <v>2.6139999999999999</v>
      </c>
      <c r="ACV81" s="46">
        <f t="shared" si="1162"/>
        <v>1</v>
      </c>
      <c r="ACW81" s="46">
        <f t="shared" si="1163"/>
        <v>2</v>
      </c>
      <c r="ACX81" s="46">
        <f t="shared" si="1164"/>
        <v>0</v>
      </c>
      <c r="ACY81" s="46" cm="1">
        <f t="array" ref="ACY81">ROUNDDOWN(IFERROR(INDEX(ArchiveResults!$F$5:$IX$116,ComparisonData!A81,ComparisonData!$ACY$1),0),5)</f>
        <v>0</v>
      </c>
      <c r="ACZ81" s="46" cm="1">
        <f t="array" ref="ACZ81">ROUNDDOWN(IFERROR(INDEX(ArchiveResults!$F$5:$IX$116,ComparisonData!A81,ComparisonData!$ACZ$1),0),5)</f>
        <v>0</v>
      </c>
      <c r="ADA81" s="46" cm="1">
        <f t="array" ref="ADA81">ROUNDDOWN(IFERROR(INDEX(ArchiveResults!$F$5:$IX$116,ComparisonData!A81,ComparisonData!$ADA$1),0),5)</f>
        <v>0</v>
      </c>
      <c r="ADB81" s="56">
        <v>76</v>
      </c>
      <c r="ADC81" s="53" t="str">
        <f t="shared" si="749"/>
        <v>Shropshire Archives</v>
      </c>
      <c r="ADD81" s="60">
        <f t="shared" si="1165"/>
        <v>0</v>
      </c>
      <c r="ADE81" s="60">
        <f t="shared" si="1166"/>
        <v>0</v>
      </c>
      <c r="ADF81" s="60">
        <f t="shared" si="1167"/>
        <v>0</v>
      </c>
      <c r="ADG81" s="76">
        <f t="shared" si="1168"/>
        <v>0</v>
      </c>
    </row>
    <row r="82" spans="1:787" x14ac:dyDescent="0.25">
      <c r="A82" s="46" t="str">
        <f>IF(ISBLANK(ComparisonSelection!F78),"",ROW()-5)</f>
        <v/>
      </c>
      <c r="B82" s="53" t="s">
        <v>531</v>
      </c>
      <c r="C82" s="72">
        <v>0.70399999999999974</v>
      </c>
      <c r="D82" s="55">
        <f t="shared" si="750"/>
        <v>54</v>
      </c>
      <c r="E82" s="54">
        <f t="shared" si="751"/>
        <v>2.7039999999999997</v>
      </c>
      <c r="F82" s="54">
        <f t="shared" si="752"/>
        <v>1</v>
      </c>
      <c r="G82" s="72">
        <f t="shared" si="753"/>
        <v>2</v>
      </c>
      <c r="H82" s="72">
        <f t="shared" si="754"/>
        <v>0</v>
      </c>
      <c r="I82" s="46" cm="1">
        <f t="array" ref="I82">ROUND(IFERROR(INDEX(ArchiveResults!$F$5:$IX$116,ComparisonData!A82,ComparisonData!$I$1),0),5)</f>
        <v>0</v>
      </c>
      <c r="J82" s="46" cm="1">
        <f t="array" ref="J82">ROUND(IFERROR(INDEX(ArchiveResults!$F$5:$IX$116,ComparisonData!A82,ComparisonData!$J$1),0),5)</f>
        <v>0</v>
      </c>
      <c r="K82" s="56">
        <v>77</v>
      </c>
      <c r="L82" s="53" t="str">
        <f t="shared" si="755"/>
        <v>South West Heritage Trust: Devon Archives &amp; Local Studies</v>
      </c>
      <c r="M82" s="57">
        <f t="shared" si="640"/>
        <v>0</v>
      </c>
      <c r="N82" s="57">
        <f t="shared" si="641"/>
        <v>0</v>
      </c>
      <c r="O82" s="58">
        <f t="shared" si="756"/>
        <v>0</v>
      </c>
      <c r="P82" s="48">
        <f t="shared" si="757"/>
        <v>54</v>
      </c>
      <c r="Q82" s="54">
        <f t="shared" si="642"/>
        <v>2.7039999999999997</v>
      </c>
      <c r="R82" s="45">
        <f t="shared" si="758"/>
        <v>1</v>
      </c>
      <c r="S82" s="46">
        <f t="shared" si="759"/>
        <v>2</v>
      </c>
      <c r="T82" s="72">
        <f t="shared" si="760"/>
        <v>0</v>
      </c>
      <c r="U82" s="46" cm="1">
        <f t="array" ref="U82">ROUND(IFERROR(INDEX(ArchiveResults!$F$5:$IX$116,ComparisonData!A82,ComparisonData!$U$1),0),5)</f>
        <v>0</v>
      </c>
      <c r="V82" s="46" cm="1">
        <f t="array" ref="V82">ROUND(IFERROR(INDEX(ArchiveResults!$F$5:$IX$116,ComparisonData!A82,ComparisonData!$V$1),0),5)</f>
        <v>0</v>
      </c>
      <c r="W82" s="56">
        <v>77</v>
      </c>
      <c r="X82" s="53" t="str">
        <f t="shared" si="643"/>
        <v>South West Heritage Trust: Devon Archives &amp; Local Studies</v>
      </c>
      <c r="Y82" s="57">
        <f t="shared" si="761"/>
        <v>0</v>
      </c>
      <c r="Z82" s="57">
        <f t="shared" si="762"/>
        <v>0</v>
      </c>
      <c r="AA82" s="58">
        <f t="shared" si="763"/>
        <v>0</v>
      </c>
      <c r="AB82" s="45">
        <f t="shared" si="764"/>
        <v>54</v>
      </c>
      <c r="AC82" s="54">
        <f t="shared" si="644"/>
        <v>2.7039999999999997</v>
      </c>
      <c r="AD82" s="45">
        <f t="shared" si="765"/>
        <v>1</v>
      </c>
      <c r="AE82" s="45">
        <f t="shared" si="766"/>
        <v>2</v>
      </c>
      <c r="AF82" s="45">
        <f t="shared" si="639"/>
        <v>0</v>
      </c>
      <c r="AG82" s="46" cm="1">
        <f t="array" ref="AG82">ROUND(IFERROR(INDEX(ArchiveResults!$F$5:$IX$116,ComparisonData!A82,ComparisonData!$AG$1),0),5)</f>
        <v>0</v>
      </c>
      <c r="AH82" s="46" cm="1">
        <f t="array" ref="AH82">ROUND(IFERROR(INDEX(ArchiveResults!$F$5:$IX$116,ComparisonData!A82,ComparisonData!$AH$1),0),5)</f>
        <v>0</v>
      </c>
      <c r="AI82" s="56">
        <v>77</v>
      </c>
      <c r="AJ82" s="53" t="str">
        <f t="shared" si="645"/>
        <v>South West Heritage Trust: Devon Archives &amp; Local Studies</v>
      </c>
      <c r="AK82" s="59">
        <f t="shared" si="646"/>
        <v>0</v>
      </c>
      <c r="AL82" s="59">
        <f t="shared" si="647"/>
        <v>0</v>
      </c>
      <c r="AM82" s="58">
        <f t="shared" si="767"/>
        <v>0</v>
      </c>
      <c r="AN82" s="45">
        <f t="shared" si="768"/>
        <v>54</v>
      </c>
      <c r="AO82" s="54">
        <f t="shared" si="648"/>
        <v>2.7039999999999997</v>
      </c>
      <c r="AP82" s="45">
        <f t="shared" si="769"/>
        <v>1</v>
      </c>
      <c r="AQ82" s="45">
        <f t="shared" si="770"/>
        <v>2</v>
      </c>
      <c r="AR82" s="46" cm="1">
        <f t="array" ref="AR82">ROUND(IFERROR(INDEX(ArchiveResults!$F$5:$IX$116,ComparisonData!A82,ComparisonData!$AR$1),0),5)</f>
        <v>0</v>
      </c>
      <c r="AS82" s="46" cm="1">
        <f t="array" ref="AS82">ROUND(IFERROR(INDEX(ArchiveResults!$F$5:$IX$116,ComparisonData!A82,ComparisonData!$AS$1),0),5)</f>
        <v>0</v>
      </c>
      <c r="AT82" s="46" cm="1">
        <f t="array" ref="AT82">ROUND(IFERROR(INDEX(ArchiveResults!$F$5:$IX$116,ComparisonData!A82,ComparisonData!$AT$1),0),5)</f>
        <v>0</v>
      </c>
      <c r="AU82" s="46" cm="1">
        <f t="array" ref="AU82">ROUND(IFERROR(INDEX(ArchiveResults!$F$5:$IX$116,ComparisonData!A82,ComparisonData!$AU$1),0),5)</f>
        <v>0</v>
      </c>
      <c r="AV82" s="46" cm="1">
        <f t="array" ref="AV82">ROUND(IFERROR(INDEX(ArchiveResults!$F$5:$IX$116,ComparisonData!A82,ComparisonData!$AV$1),0),5)</f>
        <v>0</v>
      </c>
      <c r="AW82" s="46" cm="1">
        <f t="array" ref="AW82">ROUND(IFERROR(INDEX(ArchiveResults!$F$5:$IX$116,ComparisonData!A82,ComparisonData!$AW$1),0),5)</f>
        <v>0</v>
      </c>
      <c r="AX82" s="46" cm="1">
        <f t="array" ref="AX82">ROUND(IFERROR(INDEX(ArchiveResults!$F$5:$IX$116,ComparisonData!A82,ComparisonData!$AX$1),0),5)</f>
        <v>0</v>
      </c>
      <c r="AY82" s="46" cm="1">
        <f t="array" ref="AY82">ROUND(IFERROR(INDEX(ArchiveResults!$F$5:$IX$116,ComparisonData!A82,ComparisonData!$AY$1),0),5)</f>
        <v>0</v>
      </c>
      <c r="AZ82" s="46" cm="1">
        <f t="array" ref="AZ82">ROUND(IFERROR(INDEX(ArchiveResults!$F$5:$IX$116,ComparisonData!A82,ComparisonData!$AZ$1),0),5)</f>
        <v>0</v>
      </c>
      <c r="BA82" s="46" cm="1">
        <f t="array" ref="BA82">ROUND(IFERROR(INDEX(ArchiveResults!$F$5:$IX$116,ComparisonData!A82,ComparisonData!$BA$1),0),5)</f>
        <v>0</v>
      </c>
      <c r="BB82" s="56">
        <v>77</v>
      </c>
      <c r="BC82" s="53" t="str">
        <f t="shared" si="649"/>
        <v>South West Heritage Trust: Devon Archives &amp; Local Studies</v>
      </c>
      <c r="BD82" s="60">
        <f t="shared" si="771"/>
        <v>0</v>
      </c>
      <c r="BE82" s="60">
        <f t="shared" si="772"/>
        <v>0</v>
      </c>
      <c r="BF82" s="60">
        <f t="shared" si="773"/>
        <v>0</v>
      </c>
      <c r="BG82" s="60">
        <f t="shared" si="774"/>
        <v>0</v>
      </c>
      <c r="BH82" s="60">
        <f t="shared" si="775"/>
        <v>0</v>
      </c>
      <c r="BI82" s="60">
        <f t="shared" si="776"/>
        <v>0</v>
      </c>
      <c r="BJ82" s="60">
        <f t="shared" si="777"/>
        <v>0</v>
      </c>
      <c r="BK82" s="60">
        <f t="shared" si="778"/>
        <v>0</v>
      </c>
      <c r="BL82" s="60">
        <f t="shared" si="779"/>
        <v>0</v>
      </c>
      <c r="BM82" s="59">
        <f t="shared" si="780"/>
        <v>0</v>
      </c>
      <c r="BN82" s="58">
        <f t="shared" si="781"/>
        <v>0</v>
      </c>
      <c r="BO82" s="45">
        <f t="shared" si="782"/>
        <v>54</v>
      </c>
      <c r="BP82" s="54">
        <f t="shared" si="650"/>
        <v>2.7039999999999997</v>
      </c>
      <c r="BQ82" s="45">
        <f t="shared" si="783"/>
        <v>1</v>
      </c>
      <c r="BR82" s="45">
        <f t="shared" si="784"/>
        <v>2</v>
      </c>
      <c r="BS82" s="46" cm="1">
        <f t="array" ref="BS82">ROUND(IFERROR(INDEX(ArchiveResults!$F$5:$IX$116,ComparisonData!A82,ComparisonData!$BS$1),0),5)</f>
        <v>0</v>
      </c>
      <c r="BT82" s="46" cm="1">
        <f t="array" ref="BT82">ROUND(IFERROR(INDEX(ArchiveResults!$F$5:$IX$116,ComparisonData!A82,ComparisonData!$BT$1),0),5)</f>
        <v>0</v>
      </c>
      <c r="BU82" s="46" cm="1">
        <f t="array" ref="BU82">ROUND(IFERROR(INDEX(ArchiveResults!$F$5:$IX$116,ComparisonData!A82,ComparisonData!$BU$1),0),5)</f>
        <v>0</v>
      </c>
      <c r="BV82" s="46" cm="1">
        <f t="array" ref="BV82">ROUND(IFERROR(INDEX(ArchiveResults!$F$5:$IX$116,ComparisonData!A82,ComparisonData!$BV$1),0),5)</f>
        <v>0</v>
      </c>
      <c r="BW82" s="46" cm="1">
        <f t="array" ref="BW82">ROUND(IFERROR(INDEX(ArchiveResults!$F$5:$IX$116,ComparisonData!A82,ComparisonData!$BW$1),0),5)</f>
        <v>0</v>
      </c>
      <c r="BX82" s="46" cm="1">
        <f t="array" ref="BX82">ROUND(IFERROR(INDEX(ArchiveResults!$F$5:$IX$116,ComparisonData!A82,ComparisonData!$BX$1),0),5)</f>
        <v>0</v>
      </c>
      <c r="BY82" s="56">
        <v>77</v>
      </c>
      <c r="BZ82" s="53" t="str">
        <f t="shared" si="651"/>
        <v>South West Heritage Trust: Devon Archives &amp; Local Studies</v>
      </c>
      <c r="CA82" s="59">
        <f t="shared" si="785"/>
        <v>0</v>
      </c>
      <c r="CB82" s="59">
        <f t="shared" si="786"/>
        <v>0</v>
      </c>
      <c r="CC82" s="59">
        <f t="shared" si="787"/>
        <v>0</v>
      </c>
      <c r="CD82" s="59">
        <f t="shared" si="788"/>
        <v>0</v>
      </c>
      <c r="CE82" s="59">
        <f t="shared" si="789"/>
        <v>0</v>
      </c>
      <c r="CF82" s="59">
        <f t="shared" si="790"/>
        <v>0</v>
      </c>
      <c r="CG82" s="58">
        <f t="shared" si="791"/>
        <v>0</v>
      </c>
      <c r="CH82" s="45">
        <f t="shared" si="792"/>
        <v>54</v>
      </c>
      <c r="CI82" s="54">
        <f t="shared" si="652"/>
        <v>2.7039999999999997</v>
      </c>
      <c r="CJ82" s="45">
        <f t="shared" si="793"/>
        <v>1</v>
      </c>
      <c r="CK82" s="45">
        <f t="shared" si="794"/>
        <v>2</v>
      </c>
      <c r="CL82" s="46" cm="1">
        <f t="array" ref="CL82">ROUND(IFERROR(INDEX(ArchiveResults!$F$5:$IX$116,ComparisonData!A82,ComparisonData!$CL$1),0),5)</f>
        <v>0</v>
      </c>
      <c r="CM82" s="56">
        <v>77</v>
      </c>
      <c r="CN82" s="53" t="str">
        <f t="shared" si="653"/>
        <v>South West Heritage Trust: Devon Archives &amp; Local Studies</v>
      </c>
      <c r="CO82" s="45">
        <f t="shared" si="795"/>
        <v>0</v>
      </c>
      <c r="CP82" s="58">
        <f t="shared" si="796"/>
        <v>0</v>
      </c>
      <c r="CQ82" s="45">
        <f t="shared" si="797"/>
        <v>54</v>
      </c>
      <c r="CR82" s="54">
        <f t="shared" si="654"/>
        <v>2.7039999999999997</v>
      </c>
      <c r="CS82" s="45">
        <f t="shared" si="798"/>
        <v>1</v>
      </c>
      <c r="CT82" s="45">
        <f t="shared" si="799"/>
        <v>2</v>
      </c>
      <c r="CU82" s="46" cm="1">
        <f t="array" ref="CU82">ROUND(IFERROR(INDEX(ArchiveResults!$F$5:$IX$116,ComparisonData!A82,ComparisonData!$CU$1),0),5)</f>
        <v>0</v>
      </c>
      <c r="CV82" s="56">
        <v>77</v>
      </c>
      <c r="CW82" s="53" t="str">
        <f t="shared" si="655"/>
        <v>South West Heritage Trust: Devon Archives &amp; Local Studies</v>
      </c>
      <c r="CX82" s="45">
        <f t="shared" si="800"/>
        <v>0</v>
      </c>
      <c r="CY82" s="58">
        <f t="shared" si="801"/>
        <v>0</v>
      </c>
      <c r="CZ82" s="45">
        <f t="shared" si="802"/>
        <v>54</v>
      </c>
      <c r="DA82" s="54">
        <f t="shared" si="656"/>
        <v>2.7039999999999997</v>
      </c>
      <c r="DB82" s="45">
        <f t="shared" si="803"/>
        <v>1</v>
      </c>
      <c r="DC82" s="45">
        <f t="shared" si="804"/>
        <v>2</v>
      </c>
      <c r="DD82" s="46" cm="1">
        <f t="array" ref="DD82">ROUND(IFERROR(INDEX(ArchiveResults!$F$5:$IX$116,ComparisonData!A82,ComparisonData!$DD$1),0),5)</f>
        <v>0</v>
      </c>
      <c r="DE82" s="56">
        <v>77</v>
      </c>
      <c r="DF82" s="53" t="str">
        <f t="shared" si="657"/>
        <v>South West Heritage Trust: Devon Archives &amp; Local Studies</v>
      </c>
      <c r="DG82" s="45">
        <f t="shared" si="805"/>
        <v>0</v>
      </c>
      <c r="DH82" s="58">
        <f t="shared" si="806"/>
        <v>0</v>
      </c>
      <c r="DI82" s="45">
        <f t="shared" si="807"/>
        <v>54</v>
      </c>
      <c r="DJ82" s="54">
        <f t="shared" si="658"/>
        <v>2.7039999999999997</v>
      </c>
      <c r="DK82" s="45">
        <f t="shared" si="808"/>
        <v>1</v>
      </c>
      <c r="DL82" s="45">
        <f t="shared" si="809"/>
        <v>2</v>
      </c>
      <c r="DM82" s="46" cm="1">
        <f t="array" ref="DM82">ROUND(IFERROR(INDEX(ArchiveResults!$F$5:$IX$116,ComparisonData!A82,ComparisonData!$DM$1),0),5)</f>
        <v>0</v>
      </c>
      <c r="DN82" s="46" cm="1">
        <f t="array" ref="DN82">ROUND(IFERROR(INDEX(ArchiveResults!$F$5:$IX$116,ComparisonData!A82,ComparisonData!$DN$1),0),5)</f>
        <v>0</v>
      </c>
      <c r="DO82" s="46" cm="1">
        <f t="array" ref="DO82">ROUND(IFERROR(INDEX(ArchiveResults!$F$5:$IX$116,ComparisonData!A82,ComparisonData!$DO$1),0),5)</f>
        <v>0</v>
      </c>
      <c r="DP82" s="46" cm="1">
        <f t="array" ref="DP82">ROUND(IFERROR(INDEX(ArchiveResults!$F$5:$IX$116,ComparisonData!A82,ComparisonData!$DP$1),0),5)</f>
        <v>0</v>
      </c>
      <c r="DQ82" s="45" cm="1">
        <f t="array" ref="DQ82">IFERROR(INDEX(ArchiveResults!$F$5:$IX$116,ComparisonData!A82,ComparisonData!$DQ$1),0)</f>
        <v>0</v>
      </c>
      <c r="DR82" s="56">
        <v>77</v>
      </c>
      <c r="DS82" s="53" t="str">
        <f t="shared" si="659"/>
        <v>South West Heritage Trust: Devon Archives &amp; Local Studies</v>
      </c>
      <c r="DT82" s="59">
        <f t="shared" si="810"/>
        <v>0</v>
      </c>
      <c r="DU82" s="59">
        <f t="shared" si="811"/>
        <v>0</v>
      </c>
      <c r="DV82" s="59">
        <f t="shared" si="812"/>
        <v>0</v>
      </c>
      <c r="DW82" s="59">
        <f t="shared" si="813"/>
        <v>0</v>
      </c>
      <c r="DX82" s="59">
        <f t="shared" si="814"/>
        <v>0</v>
      </c>
      <c r="DY82" s="58">
        <f t="shared" si="815"/>
        <v>0</v>
      </c>
      <c r="DZ82" s="45">
        <f t="shared" si="816"/>
        <v>54</v>
      </c>
      <c r="EA82" s="54">
        <f t="shared" si="660"/>
        <v>2.7039999999999997</v>
      </c>
      <c r="EB82" s="45">
        <f t="shared" si="817"/>
        <v>1</v>
      </c>
      <c r="EC82" s="45">
        <f t="shared" si="818"/>
        <v>2</v>
      </c>
      <c r="ED82" s="46" cm="1">
        <f t="array" ref="ED82">ROUND(IFERROR(INDEX(ArchiveResults!$F$5:$IX$116,ComparisonData!A82,ComparisonData!$ED$1),0),5)</f>
        <v>0</v>
      </c>
      <c r="EE82" s="46" cm="1">
        <f t="array" ref="EE82">ROUND(IFERROR(INDEX(ArchiveResults!$F$5:$IX$116,ComparisonData!A82,ComparisonData!$EE$1),0),5)</f>
        <v>0</v>
      </c>
      <c r="EF82" s="46" cm="1">
        <f t="array" ref="EF82">ROUND(IFERROR(INDEX(ArchiveResults!$F$5:$IX$116,ComparisonData!A82,ComparisonData!$EF$1),0),5)</f>
        <v>0</v>
      </c>
      <c r="EG82" s="46" cm="1">
        <f t="array" ref="EG82">ROUND(IFERROR(INDEX(ArchiveResults!$F$5:$IX$116,ComparisonData!A82,ComparisonData!$EG$1),0),5)</f>
        <v>0</v>
      </c>
      <c r="EH82" s="45" cm="1">
        <f t="array" ref="EH82">IFERROR(INDEX(ArchiveResults!$F$5:$IX$116,ComparisonData!A82,ComparisonData!$EH$1),0)</f>
        <v>0</v>
      </c>
      <c r="EI82" s="56">
        <v>77</v>
      </c>
      <c r="EJ82" s="53" t="str">
        <f t="shared" si="661"/>
        <v>South West Heritage Trust: Devon Archives &amp; Local Studies</v>
      </c>
      <c r="EK82" s="59">
        <f t="shared" si="819"/>
        <v>0</v>
      </c>
      <c r="EL82" s="59">
        <f t="shared" si="820"/>
        <v>0</v>
      </c>
      <c r="EM82" s="59">
        <f t="shared" si="821"/>
        <v>0</v>
      </c>
      <c r="EN82" s="59">
        <f t="shared" si="822"/>
        <v>0</v>
      </c>
      <c r="EO82" s="59">
        <f t="shared" si="823"/>
        <v>0</v>
      </c>
      <c r="EP82" s="58">
        <f t="shared" si="824"/>
        <v>0</v>
      </c>
      <c r="EQ82" s="45">
        <f t="shared" si="825"/>
        <v>54</v>
      </c>
      <c r="ER82" s="54">
        <f t="shared" si="662"/>
        <v>2.7039999999999997</v>
      </c>
      <c r="ES82" s="45">
        <f t="shared" si="826"/>
        <v>1</v>
      </c>
      <c r="ET82" s="45">
        <f t="shared" si="827"/>
        <v>2</v>
      </c>
      <c r="EU82" s="46" cm="1">
        <f t="array" ref="EU82">ROUND(IFERROR(INDEX(ArchiveResults!$F$5:$IX$116,ComparisonData!A82,ComparisonData!$EU$1),0),5)</f>
        <v>0</v>
      </c>
      <c r="EV82" s="46" cm="1">
        <f t="array" ref="EV82">ROUND(IFERROR(INDEX(ArchiveResults!$F$5:$IX$116,ComparisonData!A82,ComparisonData!$EV$1),0),5)</f>
        <v>0</v>
      </c>
      <c r="EW82" s="46" cm="1">
        <f t="array" ref="EW82">ROUND(IFERROR(INDEX(ArchiveResults!$F$5:$IX$116,ComparisonData!A82,ComparisonData!$EW$1),0),5)</f>
        <v>0</v>
      </c>
      <c r="EX82" s="46" cm="1">
        <f t="array" ref="EX82">ROUND(IFERROR(INDEX(ArchiveResults!$F$5:$IX$116,ComparisonData!A82,ComparisonData!$EX$1),0),5)</f>
        <v>0</v>
      </c>
      <c r="EY82" s="45" cm="1">
        <f t="array" ref="EY82">IFERROR(INDEX(ArchiveResults!$F$5:$IX$116,ComparisonData!A82,ComparisonData!$EY$1),0)</f>
        <v>0</v>
      </c>
      <c r="EZ82" s="56">
        <v>77</v>
      </c>
      <c r="FA82" s="53" t="str">
        <f t="shared" si="663"/>
        <v>South West Heritage Trust: Devon Archives &amp; Local Studies</v>
      </c>
      <c r="FB82" s="59">
        <f t="shared" si="828"/>
        <v>0</v>
      </c>
      <c r="FC82" s="59">
        <f t="shared" si="829"/>
        <v>0</v>
      </c>
      <c r="FD82" s="59">
        <f t="shared" si="830"/>
        <v>0</v>
      </c>
      <c r="FE82" s="59">
        <f t="shared" si="831"/>
        <v>0</v>
      </c>
      <c r="FF82" s="59">
        <f t="shared" si="832"/>
        <v>0</v>
      </c>
      <c r="FG82" s="58">
        <f t="shared" si="833"/>
        <v>0</v>
      </c>
      <c r="FH82" s="45">
        <f t="shared" si="834"/>
        <v>54</v>
      </c>
      <c r="FI82" s="54">
        <f t="shared" si="664"/>
        <v>2.7039999999999997</v>
      </c>
      <c r="FJ82" s="45">
        <f t="shared" si="835"/>
        <v>1</v>
      </c>
      <c r="FK82" s="45">
        <f t="shared" si="836"/>
        <v>2</v>
      </c>
      <c r="FL82" s="46" cm="1">
        <f t="array" ref="FL82">ROUND(IFERROR(INDEX(ArchiveResults!$F$5:$IX$116,ComparisonData!A82,ComparisonData!$FL$1),0),5)</f>
        <v>0</v>
      </c>
      <c r="FM82" s="46" cm="1">
        <f t="array" ref="FM82">ROUND(IFERROR(INDEX(ArchiveResults!$F$5:$IX$116,ComparisonData!A82,ComparisonData!$FM$1),0),5)</f>
        <v>0</v>
      </c>
      <c r="FN82" s="46" cm="1">
        <f t="array" ref="FN82">ROUND(IFERROR(INDEX(ArchiveResults!$F$5:$IX$116,ComparisonData!A82,ComparisonData!$FN$1),0),5)</f>
        <v>0</v>
      </c>
      <c r="FO82" s="46" cm="1">
        <f t="array" ref="FO82">ROUND(IFERROR(INDEX(ArchiveResults!$F$5:$IX$116,ComparisonData!A82,ComparisonData!$FO$1),0),5)</f>
        <v>0</v>
      </c>
      <c r="FP82" s="45" cm="1">
        <f t="array" ref="FP82">IFERROR(INDEX(ArchiveResults!$F$5:$IX$116,ComparisonData!A82,ComparisonData!$FP$1),0)</f>
        <v>0</v>
      </c>
      <c r="FQ82" s="56">
        <v>77</v>
      </c>
      <c r="FR82" s="53" t="str">
        <f t="shared" si="665"/>
        <v>South West Heritage Trust: Devon Archives &amp; Local Studies</v>
      </c>
      <c r="FS82" s="59">
        <f t="shared" si="837"/>
        <v>0</v>
      </c>
      <c r="FT82" s="59">
        <f t="shared" si="838"/>
        <v>0</v>
      </c>
      <c r="FU82" s="59">
        <f t="shared" si="839"/>
        <v>0</v>
      </c>
      <c r="FV82" s="59">
        <f t="shared" si="840"/>
        <v>0</v>
      </c>
      <c r="FW82" s="59">
        <f t="shared" si="841"/>
        <v>0</v>
      </c>
      <c r="FX82" s="58">
        <f t="shared" si="842"/>
        <v>0</v>
      </c>
      <c r="FY82" s="45">
        <f t="shared" si="843"/>
        <v>54</v>
      </c>
      <c r="FZ82" s="45">
        <f t="shared" si="666"/>
        <v>2.7039999999999997</v>
      </c>
      <c r="GA82" s="45">
        <f t="shared" si="844"/>
        <v>1</v>
      </c>
      <c r="GB82" s="45">
        <f t="shared" si="845"/>
        <v>2</v>
      </c>
      <c r="GC82" s="46" cm="1">
        <f t="array" ref="GC82">ROUND(IFERROR(INDEX(ArchiveResults!$F$5:$IX$116,ComparisonData!A82,ComparisonData!$GC$1),0),5)</f>
        <v>0</v>
      </c>
      <c r="GD82" s="46" cm="1">
        <f t="array" ref="GD82">ROUND(IFERROR(INDEX(ArchiveResults!$F$5:$IX$116,ComparisonData!A82,ComparisonData!$GD$1),0),5)</f>
        <v>0</v>
      </c>
      <c r="GE82" s="46" cm="1">
        <f t="array" ref="GE82">ROUND(IFERROR(INDEX(ArchiveResults!$F$5:$IX$116,ComparisonData!A82,ComparisonData!$GE$1),0),5)</f>
        <v>0</v>
      </c>
      <c r="GF82" s="46" cm="1">
        <f t="array" ref="GF82">ROUND(IFERROR(INDEX(ArchiveResults!$F$5:$IX$116,ComparisonData!A82,ComparisonData!$GF$1),0),5)</f>
        <v>0</v>
      </c>
      <c r="GG82" s="45" cm="1">
        <f t="array" ref="GG82">IFERROR(INDEX(ArchiveResults!$F$5:$IX$116,ComparisonData!A82,ComparisonData!$GG$1),0)</f>
        <v>0</v>
      </c>
      <c r="GH82" s="56">
        <v>77</v>
      </c>
      <c r="GI82" s="53" t="str">
        <f t="shared" si="667"/>
        <v>South West Heritage Trust: Devon Archives &amp; Local Studies</v>
      </c>
      <c r="GJ82" s="59">
        <f t="shared" si="846"/>
        <v>0</v>
      </c>
      <c r="GK82" s="59">
        <f t="shared" si="847"/>
        <v>0</v>
      </c>
      <c r="GL82" s="59">
        <f t="shared" si="848"/>
        <v>0</v>
      </c>
      <c r="GM82" s="59">
        <f t="shared" si="849"/>
        <v>0</v>
      </c>
      <c r="GN82" s="59">
        <f t="shared" si="850"/>
        <v>0</v>
      </c>
      <c r="GO82" s="58">
        <f t="shared" si="851"/>
        <v>0</v>
      </c>
      <c r="GP82" s="45">
        <f t="shared" si="852"/>
        <v>54</v>
      </c>
      <c r="GQ82" s="45">
        <f t="shared" si="668"/>
        <v>2.7039999999999997</v>
      </c>
      <c r="GR82" s="45">
        <f t="shared" si="853"/>
        <v>1</v>
      </c>
      <c r="GS82" s="45">
        <f t="shared" si="854"/>
        <v>2</v>
      </c>
      <c r="GT82" s="46" cm="1">
        <f t="array" ref="GT82">ROUND(IFERROR(INDEX(ArchiveResults!$F$5:$IX$116,ComparisonData!A82,ComparisonData!$GT$1),0),5)</f>
        <v>0</v>
      </c>
      <c r="GU82" s="46" cm="1">
        <f t="array" ref="GU82">ROUND(IFERROR(INDEX(ArchiveResults!$F$5:$IX$116,ComparisonData!A82,ComparisonData!$GU$1),0),5)</f>
        <v>0</v>
      </c>
      <c r="GV82" s="46" cm="1">
        <f t="array" ref="GV82">ROUND(IFERROR(INDEX(ArchiveResults!$F$5:$IX$116,ComparisonData!A82,ComparisonData!$GV$1),0),5)</f>
        <v>0</v>
      </c>
      <c r="GW82" s="46" cm="1">
        <f t="array" ref="GW82">ROUND(IFERROR(INDEX(ArchiveResults!$F$5:$IX$116,ComparisonData!A82,ComparisonData!$GW$1),0),5)</f>
        <v>0</v>
      </c>
      <c r="GX82" s="45" cm="1">
        <f t="array" ref="GX82">IFERROR(INDEX(ArchiveResults!$F$5:$IX$116,ComparisonData!A82,ComparisonData!$GX$1),0)</f>
        <v>0</v>
      </c>
      <c r="GY82" s="56">
        <v>77</v>
      </c>
      <c r="GZ82" s="53" t="str">
        <f t="shared" si="669"/>
        <v>South West Heritage Trust: Devon Archives &amp; Local Studies</v>
      </c>
      <c r="HA82" s="59">
        <f t="shared" si="855"/>
        <v>0</v>
      </c>
      <c r="HB82" s="59">
        <f t="shared" si="856"/>
        <v>0</v>
      </c>
      <c r="HC82" s="59">
        <f t="shared" si="857"/>
        <v>0</v>
      </c>
      <c r="HD82" s="59">
        <f t="shared" si="858"/>
        <v>0</v>
      </c>
      <c r="HE82" s="59">
        <f t="shared" si="859"/>
        <v>0</v>
      </c>
      <c r="HF82" s="58">
        <f t="shared" si="860"/>
        <v>0</v>
      </c>
      <c r="HG82" s="45">
        <f t="shared" si="861"/>
        <v>54</v>
      </c>
      <c r="HH82" s="45">
        <f t="shared" si="670"/>
        <v>2.7039999999999997</v>
      </c>
      <c r="HI82" s="45">
        <f t="shared" si="862"/>
        <v>1</v>
      </c>
      <c r="HJ82" s="45">
        <f t="shared" si="863"/>
        <v>2</v>
      </c>
      <c r="HK82" s="46" cm="1">
        <f t="array" ref="HK82">ROUND(IFERROR(INDEX(ArchiveResults!$F$5:$IX$116,ComparisonData!A82,ComparisonData!$HK$1),0),5)</f>
        <v>0</v>
      </c>
      <c r="HL82" s="46" cm="1">
        <f t="array" ref="HL82">ROUND(IFERROR(INDEX(ArchiveResults!$F$5:$IX$116,ComparisonData!A82,ComparisonData!$HL$1),0),5)</f>
        <v>0</v>
      </c>
      <c r="HM82" s="46" cm="1">
        <f t="array" ref="HM82">ROUND(IFERROR(INDEX(ArchiveResults!$F$5:$IX$116,ComparisonData!A82,ComparisonData!$HM$1),0),5)</f>
        <v>0</v>
      </c>
      <c r="HN82" s="46" cm="1">
        <f t="array" ref="HN82">ROUND(IFERROR(INDEX(ArchiveResults!$F$5:$IX$116,ComparisonData!A82,ComparisonData!$HN$1),0),5)</f>
        <v>0</v>
      </c>
      <c r="HO82" s="45" cm="1">
        <f t="array" ref="HO82">IFERROR(INDEX(ArchiveResults!$F$5:$IX$116,ComparisonData!A82,ComparisonData!$HO$1),0)</f>
        <v>0</v>
      </c>
      <c r="HP82" s="56">
        <v>77</v>
      </c>
      <c r="HQ82" s="53" t="str">
        <f t="shared" si="671"/>
        <v>South West Heritage Trust: Devon Archives &amp; Local Studies</v>
      </c>
      <c r="HR82" s="59">
        <f t="shared" si="672"/>
        <v>0</v>
      </c>
      <c r="HS82" s="59">
        <f t="shared" si="673"/>
        <v>0</v>
      </c>
      <c r="HT82" s="59">
        <f t="shared" si="674"/>
        <v>0</v>
      </c>
      <c r="HU82" s="59">
        <f t="shared" si="675"/>
        <v>0</v>
      </c>
      <c r="HV82" s="59">
        <f t="shared" si="676"/>
        <v>0</v>
      </c>
      <c r="HW82" s="58">
        <f t="shared" si="864"/>
        <v>0</v>
      </c>
      <c r="HX82" s="45">
        <f t="shared" si="865"/>
        <v>54</v>
      </c>
      <c r="HY82" s="45">
        <f t="shared" si="677"/>
        <v>2.7039999999999997</v>
      </c>
      <c r="HZ82" s="45">
        <f t="shared" si="866"/>
        <v>1</v>
      </c>
      <c r="IA82" s="45">
        <f t="shared" si="867"/>
        <v>2</v>
      </c>
      <c r="IB82" s="45">
        <f t="shared" si="868"/>
        <v>0</v>
      </c>
      <c r="IC82" s="46" cm="1">
        <f t="array" ref="IC82">ROUND(IFERROR(INDEX(ArchiveResults!$F$5:$IX$116,ComparisonData!A82,ComparisonData!$IC$1),0),5)</f>
        <v>0</v>
      </c>
      <c r="ID82" s="46" cm="1">
        <f t="array" ref="ID82">ROUND(IFERROR(INDEX(ArchiveResults!$F$5:$IX$116,ComparisonData!A82,ComparisonData!$ID$1),0),5)</f>
        <v>0</v>
      </c>
      <c r="IE82" s="46" cm="1">
        <f t="array" ref="IE82">ROUND(IFERROR(INDEX(ArchiveResults!$F$5:$IX$116,ComparisonData!A82,ComparisonData!$IE$1),0),5)</f>
        <v>0</v>
      </c>
      <c r="IF82" s="46" cm="1">
        <f t="array" ref="IF82">ROUND(IFERROR(INDEX(ArchiveResults!$F$5:$IX$116,ComparisonData!A82,ComparisonData!$IF$1),0),5)</f>
        <v>0</v>
      </c>
      <c r="IG82" s="45" cm="1">
        <f t="array" ref="IG82">IFERROR(INDEX(ArchiveResults!$F$5:$IX$116,ComparisonData!A82,ComparisonData!$IG$1),0)</f>
        <v>0</v>
      </c>
      <c r="IH82" s="56">
        <v>77</v>
      </c>
      <c r="II82" s="53" t="str">
        <f t="shared" si="678"/>
        <v>South West Heritage Trust: Devon Archives &amp; Local Studies</v>
      </c>
      <c r="IJ82" s="59">
        <f t="shared" si="869"/>
        <v>0</v>
      </c>
      <c r="IK82" s="59">
        <f t="shared" si="870"/>
        <v>0</v>
      </c>
      <c r="IL82" s="59">
        <f t="shared" si="871"/>
        <v>0</v>
      </c>
      <c r="IM82" s="59">
        <f t="shared" si="872"/>
        <v>0</v>
      </c>
      <c r="IN82" s="59">
        <f t="shared" si="873"/>
        <v>0</v>
      </c>
      <c r="IO82" s="58">
        <f t="shared" si="874"/>
        <v>0</v>
      </c>
      <c r="IP82" s="45">
        <f t="shared" si="875"/>
        <v>54</v>
      </c>
      <c r="IQ82" s="45">
        <f t="shared" si="679"/>
        <v>2.7039999999999997</v>
      </c>
      <c r="IR82" s="45">
        <f t="shared" si="876"/>
        <v>1</v>
      </c>
      <c r="IS82" s="45">
        <f t="shared" si="877"/>
        <v>2</v>
      </c>
      <c r="IT82" s="46">
        <f t="shared" si="878"/>
        <v>0</v>
      </c>
      <c r="IU82" s="46" cm="1">
        <f t="array" ref="IU82">ROUND(IFERROR(INDEX(ArchiveResults!$F$5:$IX$116,ComparisonData!A82,ComparisonData!$IU$1),0),5)</f>
        <v>0</v>
      </c>
      <c r="IV82" s="46" cm="1">
        <f t="array" ref="IV82">ROUND(IFERROR(INDEX(ArchiveResults!$F$5:$IX$116,ComparisonData!A82,ComparisonData!$IV$1),0),5)</f>
        <v>0</v>
      </c>
      <c r="IW82" s="46" cm="1">
        <f t="array" ref="IW82">ROUND(IFERROR(INDEX(ArchiveResults!$F$5:$IX$116,ComparisonData!A82,ComparisonData!$IW$1),0),5)</f>
        <v>0</v>
      </c>
      <c r="IX82" s="46" cm="1">
        <f t="array" ref="IX82">ROUND(IFERROR(INDEX(ArchiveResults!$F$5:$IX$116,ComparisonData!A82,ComparisonData!$IX$1),0),5)</f>
        <v>0</v>
      </c>
      <c r="IY82" s="45" cm="1">
        <f t="array" ref="IY82">IFERROR(INDEX(ArchiveResults!$F$5:$IX$116,ComparisonData!A82,ComparisonData!$IY$1),0)</f>
        <v>0</v>
      </c>
      <c r="IZ82" s="56">
        <v>77</v>
      </c>
      <c r="JA82" s="53" t="str">
        <f t="shared" si="680"/>
        <v>South West Heritage Trust: Devon Archives &amp; Local Studies</v>
      </c>
      <c r="JB82" s="59">
        <f t="shared" si="879"/>
        <v>0</v>
      </c>
      <c r="JC82" s="59">
        <f t="shared" si="880"/>
        <v>0</v>
      </c>
      <c r="JD82" s="59">
        <f t="shared" si="881"/>
        <v>0</v>
      </c>
      <c r="JE82" s="59">
        <f t="shared" si="882"/>
        <v>0</v>
      </c>
      <c r="JF82" s="59">
        <f t="shared" si="883"/>
        <v>0</v>
      </c>
      <c r="JG82" s="58">
        <f t="shared" si="884"/>
        <v>0</v>
      </c>
      <c r="JH82" s="45">
        <f t="shared" si="885"/>
        <v>54</v>
      </c>
      <c r="JI82" s="45">
        <f t="shared" si="681"/>
        <v>2.7039999999999997</v>
      </c>
      <c r="JJ82" s="45">
        <f t="shared" si="886"/>
        <v>1</v>
      </c>
      <c r="JK82" s="45">
        <f t="shared" si="887"/>
        <v>2</v>
      </c>
      <c r="JL82" s="45">
        <f t="shared" si="888"/>
        <v>0</v>
      </c>
      <c r="JM82" s="46" cm="1">
        <f t="array" ref="JM82">ROUND(IFERROR(INDEX(ArchiveResults!$F$5:$IX$116,ComparisonData!A82,ComparisonData!$JM$1),0),5)</f>
        <v>0</v>
      </c>
      <c r="JN82" s="46" cm="1">
        <f t="array" ref="JN82">ROUND(IFERROR(INDEX(ArchiveResults!$F$5:$IX$116,ComparisonData!A82,ComparisonData!$JN$1),0),5)</f>
        <v>0</v>
      </c>
      <c r="JO82" s="46" cm="1">
        <f t="array" ref="JO82">ROUND(IFERROR(INDEX(ArchiveResults!$F$5:$IX$116,ComparisonData!A82,ComparisonData!$JO$1),0),5)</f>
        <v>0</v>
      </c>
      <c r="JP82" s="46" cm="1">
        <f t="array" ref="JP82">ROUND(IFERROR(INDEX(ArchiveResults!$F$5:$IX$116,ComparisonData!A82,ComparisonData!$JP$1),0),5)</f>
        <v>0</v>
      </c>
      <c r="JQ82" s="45" cm="1">
        <f t="array" ref="JQ82">IFERROR(INDEX(ArchiveResults!$F$5:$IX$116,ComparisonData!A82,ComparisonData!$JQ$1),0)</f>
        <v>0</v>
      </c>
      <c r="JR82" s="56">
        <v>77</v>
      </c>
      <c r="JS82" s="53" t="str">
        <f t="shared" si="682"/>
        <v>South West Heritage Trust: Devon Archives &amp; Local Studies</v>
      </c>
      <c r="JT82" s="59">
        <f t="shared" si="889"/>
        <v>0</v>
      </c>
      <c r="JU82" s="59">
        <f t="shared" si="890"/>
        <v>0</v>
      </c>
      <c r="JV82" s="59">
        <f t="shared" si="891"/>
        <v>0</v>
      </c>
      <c r="JW82" s="59">
        <f t="shared" si="892"/>
        <v>0</v>
      </c>
      <c r="JX82" s="59">
        <f t="shared" si="893"/>
        <v>0</v>
      </c>
      <c r="JY82" s="58">
        <f t="shared" si="894"/>
        <v>0</v>
      </c>
      <c r="JZ82" s="45">
        <f t="shared" si="895"/>
        <v>54</v>
      </c>
      <c r="KA82" s="45">
        <f t="shared" si="683"/>
        <v>2.7039999999999997</v>
      </c>
      <c r="KB82" s="45">
        <f t="shared" si="896"/>
        <v>1</v>
      </c>
      <c r="KC82" s="45">
        <f t="shared" si="897"/>
        <v>2</v>
      </c>
      <c r="KD82" s="45">
        <f t="shared" si="898"/>
        <v>0</v>
      </c>
      <c r="KE82" s="46" cm="1">
        <f t="array" ref="KE82">ROUND(IFERROR(INDEX(ArchiveResults!$F$5:$IX$116,ComparisonData!A82,ComparisonData!$KE$1),0),5)</f>
        <v>0</v>
      </c>
      <c r="KF82" s="46" cm="1">
        <f t="array" ref="KF82">ROUND(IFERROR(INDEX(ArchiveResults!$F$5:$IX$116,ComparisonData!A82,ComparisonData!$KF$1),0),5)</f>
        <v>0</v>
      </c>
      <c r="KG82" s="46" cm="1">
        <f t="array" ref="KG82">ROUND(IFERROR(INDEX(ArchiveResults!$F$5:$IX$116,ComparisonData!A82,ComparisonData!$KG$1),0),5)</f>
        <v>0</v>
      </c>
      <c r="KH82" s="46" cm="1">
        <f t="array" ref="KH82">ROUND(IFERROR(INDEX(ArchiveResults!$F$5:$IX$116,ComparisonData!A82,ComparisonData!$KH$1),0),5)</f>
        <v>0</v>
      </c>
      <c r="KI82" s="45" cm="1">
        <f t="array" ref="KI82">IFERROR(INDEX(ArchiveResults!$F$5:$IX$116,ComparisonData!A82,ComparisonData!$KI$1),0)</f>
        <v>0</v>
      </c>
      <c r="KJ82" s="56">
        <v>77</v>
      </c>
      <c r="KK82" s="53" t="str">
        <f t="shared" si="684"/>
        <v>South West Heritage Trust: Devon Archives &amp; Local Studies</v>
      </c>
      <c r="KL82" s="59">
        <f t="shared" si="899"/>
        <v>0</v>
      </c>
      <c r="KM82" s="59">
        <f t="shared" si="900"/>
        <v>0</v>
      </c>
      <c r="KN82" s="59">
        <f t="shared" si="901"/>
        <v>0</v>
      </c>
      <c r="KO82" s="59">
        <f t="shared" si="902"/>
        <v>0</v>
      </c>
      <c r="KP82" s="59">
        <f t="shared" si="903"/>
        <v>0</v>
      </c>
      <c r="KQ82" s="58">
        <f t="shared" si="904"/>
        <v>0</v>
      </c>
      <c r="KR82" s="45">
        <f t="shared" si="905"/>
        <v>54</v>
      </c>
      <c r="KS82" s="45">
        <f t="shared" si="685"/>
        <v>2.7039999999999997</v>
      </c>
      <c r="KT82" s="45">
        <f t="shared" si="906"/>
        <v>1</v>
      </c>
      <c r="KU82" s="45">
        <f t="shared" si="907"/>
        <v>2</v>
      </c>
      <c r="KV82" s="45">
        <f t="shared" si="908"/>
        <v>0</v>
      </c>
      <c r="KW82" s="46" cm="1">
        <f t="array" ref="KW82">ROUND(IFERROR(INDEX(ArchiveResults!$F$5:$IX$116,ComparisonData!A82,ComparisonData!$KW$1),0),5)</f>
        <v>0</v>
      </c>
      <c r="KX82" s="46" cm="1">
        <f t="array" ref="KX82">ROUND(IFERROR(INDEX(ArchiveResults!$F$5:$IX$116,ComparisonData!A82,ComparisonData!$KX$1),0),5)</f>
        <v>0</v>
      </c>
      <c r="KY82" s="46" cm="1">
        <f t="array" ref="KY82">ROUND(IFERROR(INDEX(ArchiveResults!$F$5:$IX$116,ComparisonData!A82,ComparisonData!$KY$1),0),5)</f>
        <v>0</v>
      </c>
      <c r="KZ82" s="46" cm="1">
        <f t="array" ref="KZ82">ROUND(IFERROR(INDEX(ArchiveResults!$F$5:$IX$116,ComparisonData!A82,ComparisonData!$KZ$1),0),5)</f>
        <v>0</v>
      </c>
      <c r="LA82" s="45" cm="1">
        <f t="array" ref="LA82">IFERROR(INDEX(ArchiveResults!$F$5:$IX$116,ComparisonData!A82,ComparisonData!$LA$1),0)</f>
        <v>0</v>
      </c>
      <c r="LB82" s="56">
        <v>77</v>
      </c>
      <c r="LC82" s="53" t="str">
        <f t="shared" si="686"/>
        <v>South West Heritage Trust: Devon Archives &amp; Local Studies</v>
      </c>
      <c r="LD82" s="59">
        <f t="shared" si="909"/>
        <v>0</v>
      </c>
      <c r="LE82" s="59">
        <f t="shared" si="910"/>
        <v>0</v>
      </c>
      <c r="LF82" s="59">
        <f t="shared" si="911"/>
        <v>0</v>
      </c>
      <c r="LG82" s="59">
        <f t="shared" si="912"/>
        <v>0</v>
      </c>
      <c r="LH82" s="59">
        <f t="shared" si="913"/>
        <v>0</v>
      </c>
      <c r="LI82" s="58">
        <f t="shared" si="914"/>
        <v>0</v>
      </c>
      <c r="LJ82" s="45">
        <f t="shared" si="915"/>
        <v>54</v>
      </c>
      <c r="LK82" s="45">
        <f t="shared" si="687"/>
        <v>2.7039999999999997</v>
      </c>
      <c r="LL82" s="45">
        <f t="shared" si="916"/>
        <v>1</v>
      </c>
      <c r="LM82" s="45">
        <f t="shared" si="917"/>
        <v>2</v>
      </c>
      <c r="LN82" s="45">
        <f t="shared" si="918"/>
        <v>0</v>
      </c>
      <c r="LO82" s="46" cm="1">
        <f t="array" ref="LO82">ROUND(IFERROR(INDEX(ArchiveResults!$F$5:$IX$116,ComparisonData!A82,ComparisonData!$LO$1),0),5)</f>
        <v>0</v>
      </c>
      <c r="LP82" s="46" cm="1">
        <f t="array" ref="LP82">ROUND(IFERROR(INDEX(ArchiveResults!$F$5:$IX$116,ComparisonData!A82,ComparisonData!$LP$1),0),5)</f>
        <v>0</v>
      </c>
      <c r="LQ82" s="46" cm="1">
        <f t="array" ref="LQ82">ROUND(IFERROR(INDEX(ArchiveResults!$F$5:$IX$116,ComparisonData!A82,ComparisonData!$LQ$1),0),5)</f>
        <v>0</v>
      </c>
      <c r="LR82" s="46" cm="1">
        <f t="array" ref="LR82">ROUND(IFERROR(INDEX(ArchiveResults!$F$5:$IX$116,ComparisonData!A82,ComparisonData!$LR$1),0),5)</f>
        <v>0</v>
      </c>
      <c r="LS82" s="45" cm="1">
        <f t="array" ref="LS82">IFERROR(INDEX(ArchiveResults!$F$5:$IX$116,ComparisonData!A82,ComparisonData!$LS$1),0)</f>
        <v>0</v>
      </c>
      <c r="LT82" s="56">
        <v>77</v>
      </c>
      <c r="LU82" s="53" t="str">
        <f t="shared" si="688"/>
        <v>South West Heritage Trust: Devon Archives &amp; Local Studies</v>
      </c>
      <c r="LV82" s="59">
        <f t="shared" si="919"/>
        <v>0</v>
      </c>
      <c r="LW82" s="59">
        <f t="shared" si="920"/>
        <v>0</v>
      </c>
      <c r="LX82" s="59">
        <f t="shared" si="921"/>
        <v>0</v>
      </c>
      <c r="LY82" s="59">
        <f t="shared" si="922"/>
        <v>0</v>
      </c>
      <c r="LZ82" s="59">
        <f t="shared" si="923"/>
        <v>0</v>
      </c>
      <c r="MA82" s="58">
        <f t="shared" si="924"/>
        <v>0</v>
      </c>
      <c r="MB82" s="45">
        <f t="shared" si="925"/>
        <v>54</v>
      </c>
      <c r="MC82" s="45">
        <f t="shared" si="689"/>
        <v>2.7039999999999997</v>
      </c>
      <c r="MD82" s="45">
        <f t="shared" si="926"/>
        <v>1</v>
      </c>
      <c r="ME82" s="45">
        <f t="shared" si="927"/>
        <v>2</v>
      </c>
      <c r="MF82" s="45">
        <f t="shared" si="928"/>
        <v>0</v>
      </c>
      <c r="MG82" s="46" cm="1">
        <f t="array" ref="MG82">ROUND(IFERROR(INDEX(ArchiveResults!$F$5:$IX$116,ComparisonData!A82,ComparisonData!$MG$1),0),5)</f>
        <v>0</v>
      </c>
      <c r="MH82" s="46" cm="1">
        <f t="array" ref="MH82">ROUND(IFERROR(INDEX(ArchiveResults!$F$5:$IX$116,ComparisonData!A82,ComparisonData!$MH$1),0),5)</f>
        <v>0</v>
      </c>
      <c r="MI82" s="46" cm="1">
        <f t="array" ref="MI82">ROUND(IFERROR(INDEX(ArchiveResults!$F$5:$IX$116,ComparisonData!A82,ComparisonData!$MI$1),0),5)</f>
        <v>0</v>
      </c>
      <c r="MJ82" s="46" cm="1">
        <f t="array" ref="MJ82">ROUND(IFERROR(INDEX(ArchiveResults!$F$5:$IX$116,ComparisonData!A82,ComparisonData!$MJ$1),0),5)</f>
        <v>0</v>
      </c>
      <c r="MK82" s="45" cm="1">
        <f t="array" ref="MK82">IFERROR(INDEX(ArchiveResults!$F$5:$IX$116,ComparisonData!A82,ComparisonData!$MK$1),0)</f>
        <v>0</v>
      </c>
      <c r="ML82" s="56">
        <v>77</v>
      </c>
      <c r="MM82" s="53" t="str">
        <f t="shared" si="690"/>
        <v>South West Heritage Trust: Devon Archives &amp; Local Studies</v>
      </c>
      <c r="MN82" s="59">
        <f t="shared" si="929"/>
        <v>0</v>
      </c>
      <c r="MO82" s="59">
        <f t="shared" si="930"/>
        <v>0</v>
      </c>
      <c r="MP82" s="59">
        <f t="shared" si="931"/>
        <v>0</v>
      </c>
      <c r="MQ82" s="59">
        <f t="shared" si="932"/>
        <v>0</v>
      </c>
      <c r="MR82" s="59">
        <f t="shared" si="933"/>
        <v>0</v>
      </c>
      <c r="MS82" s="58">
        <f t="shared" si="934"/>
        <v>0</v>
      </c>
      <c r="MT82" s="45">
        <f t="shared" si="935"/>
        <v>54</v>
      </c>
      <c r="MU82" s="45">
        <f t="shared" si="691"/>
        <v>2.7039999999999997</v>
      </c>
      <c r="MV82" s="45">
        <f t="shared" si="936"/>
        <v>1</v>
      </c>
      <c r="MW82" s="45">
        <f t="shared" si="937"/>
        <v>2</v>
      </c>
      <c r="MX82" s="45">
        <f t="shared" si="938"/>
        <v>0</v>
      </c>
      <c r="MY82" s="46" cm="1">
        <f t="array" ref="MY82">ROUND(IFERROR(INDEX(ArchiveResults!$F$5:$IX$116,ComparisonData!A82,ComparisonData!$MY$1),0),5)</f>
        <v>0</v>
      </c>
      <c r="MZ82" s="46" cm="1">
        <f t="array" ref="MZ82">ROUND(IFERROR(INDEX(ArchiveResults!$F$5:$IX$116,ComparisonData!A82,ComparisonData!$MZ$1),0),5)</f>
        <v>0</v>
      </c>
      <c r="NA82" s="46" cm="1">
        <f t="array" ref="NA82">ROUND(IFERROR(INDEX(ArchiveResults!$F$5:$IX$116,ComparisonData!A82,ComparisonData!$NA$1),0),5)</f>
        <v>0</v>
      </c>
      <c r="NB82" s="46" cm="1">
        <f t="array" ref="NB82">ROUND(IFERROR(INDEX(ArchiveResults!$F$5:$IX$116,ComparisonData!A82,ComparisonData!$NB$1),0),5)</f>
        <v>0</v>
      </c>
      <c r="NC82" s="45" cm="1">
        <f t="array" ref="NC82">IFERROR(INDEX(ArchiveResults!$F$5:$IX$116,ComparisonData!A82,ComparisonData!$NC$1),0)</f>
        <v>0</v>
      </c>
      <c r="ND82" s="56">
        <v>77</v>
      </c>
      <c r="NE82" s="53" t="str">
        <f t="shared" si="692"/>
        <v>South West Heritage Trust: Devon Archives &amp; Local Studies</v>
      </c>
      <c r="NF82" s="59">
        <f t="shared" si="939"/>
        <v>0</v>
      </c>
      <c r="NG82" s="59">
        <f t="shared" si="940"/>
        <v>0</v>
      </c>
      <c r="NH82" s="59">
        <f t="shared" si="941"/>
        <v>0</v>
      </c>
      <c r="NI82" s="59">
        <f t="shared" si="942"/>
        <v>0</v>
      </c>
      <c r="NJ82" s="59">
        <f t="shared" si="943"/>
        <v>0</v>
      </c>
      <c r="NK82" s="58">
        <f t="shared" si="944"/>
        <v>0</v>
      </c>
      <c r="NL82" s="45">
        <f t="shared" si="945"/>
        <v>54</v>
      </c>
      <c r="NM82" s="45">
        <f t="shared" si="693"/>
        <v>2.7039999999999997</v>
      </c>
      <c r="NN82" s="45">
        <f t="shared" si="946"/>
        <v>1</v>
      </c>
      <c r="NO82" s="45">
        <f t="shared" si="947"/>
        <v>2</v>
      </c>
      <c r="NP82" s="46" cm="1">
        <f t="array" ref="NP82">ROUND(IFERROR(INDEX(ArchiveResults!$F$5:$IX$116,ComparisonData!A82,ComparisonData!$NP$1),0),5)</f>
        <v>0</v>
      </c>
      <c r="NQ82" s="46" cm="1">
        <f t="array" ref="NQ82">ROUND(IFERROR(INDEX(ArchiveResults!$F$5:$IX$116,ComparisonData!A82,ComparisonData!$NQ$1),0),5)</f>
        <v>0</v>
      </c>
      <c r="NR82" s="46" cm="1">
        <f t="array" ref="NR82">ROUND(IFERROR(INDEX(ArchiveResults!$F$5:$IX$116,ComparisonData!A82,ComparisonData!$NR$1),0),5)</f>
        <v>0</v>
      </c>
      <c r="NS82" s="46" cm="1">
        <f t="array" ref="NS82">ROUND(IFERROR(INDEX(ArchiveResults!$F$5:$IX$116,ComparisonData!A82,ComparisonData!$NS$1),0),5)</f>
        <v>0</v>
      </c>
      <c r="NT82" s="45" cm="1">
        <f t="array" ref="NT82">IFERROR(INDEX(ArchiveResults!$F$5:$IX$116,ComparisonData!A82,ComparisonData!$NT$1),0)</f>
        <v>0</v>
      </c>
      <c r="NU82" s="56">
        <v>77</v>
      </c>
      <c r="NV82" s="53" t="str">
        <f t="shared" si="694"/>
        <v>South West Heritage Trust: Devon Archives &amp; Local Studies</v>
      </c>
      <c r="NW82" s="59">
        <f t="shared" si="948"/>
        <v>0</v>
      </c>
      <c r="NX82" s="59">
        <f t="shared" si="949"/>
        <v>0</v>
      </c>
      <c r="NY82" s="59">
        <f t="shared" si="950"/>
        <v>0</v>
      </c>
      <c r="NZ82" s="59">
        <f t="shared" si="951"/>
        <v>0</v>
      </c>
      <c r="OA82" s="59">
        <f t="shared" si="952"/>
        <v>0</v>
      </c>
      <c r="OB82" s="58">
        <f t="shared" si="953"/>
        <v>0</v>
      </c>
      <c r="OC82" s="45">
        <f t="shared" si="954"/>
        <v>54</v>
      </c>
      <c r="OD82" s="45">
        <f t="shared" si="695"/>
        <v>2.7039999999999997</v>
      </c>
      <c r="OE82" s="45">
        <f t="shared" si="955"/>
        <v>1</v>
      </c>
      <c r="OF82" s="45">
        <f t="shared" si="956"/>
        <v>2</v>
      </c>
      <c r="OG82" s="46">
        <f t="shared" si="957"/>
        <v>0</v>
      </c>
      <c r="OH82" s="46" cm="1">
        <f t="array" ref="OH82">ROUND(IFERROR(INDEX(ArchiveResults!$F$5:$IX$116,ComparisonData!A82,ComparisonData!$OH$1),0),5)</f>
        <v>0</v>
      </c>
      <c r="OI82" s="46" cm="1">
        <f t="array" ref="OI82">ROUND(IFERROR(INDEX(ArchiveResults!$F$5:$IX$116,ComparisonData!A82,ComparisonData!$OI$1),0),5)</f>
        <v>0</v>
      </c>
      <c r="OJ82" s="46" cm="1">
        <f t="array" ref="OJ82">ROUND(IFERROR(INDEX(ArchiveResults!$F$5:$IX$116,ComparisonData!A82,ComparisonData!$OJ$1),0),5)</f>
        <v>0</v>
      </c>
      <c r="OK82" s="46" cm="1">
        <f t="array" ref="OK82">ROUND(IFERROR(INDEX(ArchiveResults!$F$5:$IX$116,ComparisonData!A82,ComparisonData!$OK$1),0),5)</f>
        <v>0</v>
      </c>
      <c r="OL82" s="45" cm="1">
        <f t="array" ref="OL82">IFERROR(INDEX(ArchiveResults!$F$5:$IX$116,ComparisonData!A82,ComparisonData!$OL$1),0)</f>
        <v>0</v>
      </c>
      <c r="OM82" s="56">
        <v>77</v>
      </c>
      <c r="ON82" s="53" t="str">
        <f t="shared" si="696"/>
        <v>South West Heritage Trust: Devon Archives &amp; Local Studies</v>
      </c>
      <c r="OO82" s="59">
        <f t="shared" si="958"/>
        <v>0</v>
      </c>
      <c r="OP82" s="59">
        <f t="shared" si="959"/>
        <v>0</v>
      </c>
      <c r="OQ82" s="59">
        <f t="shared" si="960"/>
        <v>0</v>
      </c>
      <c r="OR82" s="59">
        <f t="shared" si="961"/>
        <v>0</v>
      </c>
      <c r="OS82" s="59">
        <f t="shared" si="962"/>
        <v>0</v>
      </c>
      <c r="OT82" s="58">
        <f t="shared" si="963"/>
        <v>0</v>
      </c>
      <c r="OU82" s="45">
        <f t="shared" si="964"/>
        <v>54</v>
      </c>
      <c r="OV82" s="45">
        <f t="shared" si="697"/>
        <v>2.7039999999999997</v>
      </c>
      <c r="OW82" s="45">
        <f t="shared" si="965"/>
        <v>1</v>
      </c>
      <c r="OX82" s="45">
        <f t="shared" si="966"/>
        <v>2</v>
      </c>
      <c r="OY82" s="45">
        <f t="shared" si="967"/>
        <v>0</v>
      </c>
      <c r="OZ82" s="46" cm="1">
        <f t="array" ref="OZ82">ROUND(IFERROR(INDEX(ArchiveResults!$F$5:$IX$116,ComparisonData!A82,ComparisonData!$OZ$1),0),5)</f>
        <v>0</v>
      </c>
      <c r="PA82" s="46" cm="1">
        <f t="array" ref="PA82">ROUND(IFERROR(INDEX(ArchiveResults!$F$5:$IX$116,ComparisonData!A82,ComparisonData!$PA$1),0),5)</f>
        <v>0</v>
      </c>
      <c r="PB82" s="46" cm="1">
        <f t="array" ref="PB82">ROUND(IFERROR(INDEX(ArchiveResults!$F$5:$IX$116,ComparisonData!A82,ComparisonData!$PB$1),0),5)</f>
        <v>0</v>
      </c>
      <c r="PC82" s="46" cm="1">
        <f t="array" ref="PC82">ROUND(IFERROR(INDEX(ArchiveResults!$F$5:$IX$116,ComparisonData!A82,ComparisonData!$PC$1),0),5)</f>
        <v>0</v>
      </c>
      <c r="PD82" s="45" cm="1">
        <f t="array" ref="PD82">IFERROR(INDEX(ArchiveResults!$F$5:$IX$116,ComparisonData!A82,ComparisonData!$PD$1),0)</f>
        <v>0</v>
      </c>
      <c r="PE82" s="56">
        <v>77</v>
      </c>
      <c r="PF82" s="53" t="str">
        <f t="shared" si="698"/>
        <v>South West Heritage Trust: Devon Archives &amp; Local Studies</v>
      </c>
      <c r="PG82" s="59">
        <f t="shared" si="968"/>
        <v>0</v>
      </c>
      <c r="PH82" s="59">
        <f t="shared" si="969"/>
        <v>0</v>
      </c>
      <c r="PI82" s="59">
        <f t="shared" si="970"/>
        <v>0</v>
      </c>
      <c r="PJ82" s="59">
        <f t="shared" si="971"/>
        <v>0</v>
      </c>
      <c r="PK82" s="59">
        <f t="shared" si="972"/>
        <v>0</v>
      </c>
      <c r="PL82" s="58">
        <f t="shared" si="973"/>
        <v>0</v>
      </c>
      <c r="PM82" s="45">
        <f t="shared" si="974"/>
        <v>54</v>
      </c>
      <c r="PN82" s="45">
        <f t="shared" si="699"/>
        <v>2.7039999999999997</v>
      </c>
      <c r="PO82" s="45">
        <f t="shared" si="975"/>
        <v>1</v>
      </c>
      <c r="PP82" s="45">
        <f t="shared" si="976"/>
        <v>2</v>
      </c>
      <c r="PQ82" s="45">
        <f t="shared" si="977"/>
        <v>0</v>
      </c>
      <c r="PR82" s="46" cm="1">
        <f t="array" ref="PR82">ROUND(IFERROR(INDEX(ArchiveResults!$F$5:$IX$116,ComparisonData!A82,ComparisonData!$PR$1),0),5)</f>
        <v>0</v>
      </c>
      <c r="PS82" s="46" cm="1">
        <f t="array" ref="PS82">ROUND(IFERROR(INDEX(ArchiveResults!$F$5:$IX$116,ComparisonData!A82,ComparisonData!$PS$1),0),5)</f>
        <v>0</v>
      </c>
      <c r="PT82" s="46" cm="1">
        <f t="array" ref="PT82">ROUND(IFERROR(INDEX(ArchiveResults!$F$5:$IX$116,ComparisonData!A82,ComparisonData!$PT$1),0),5)</f>
        <v>0</v>
      </c>
      <c r="PU82" s="46" cm="1">
        <f t="array" ref="PU82">ROUND(IFERROR(INDEX(ArchiveResults!$F$5:$IX$116,ComparisonData!A82,ComparisonData!$PU$1),0),5)</f>
        <v>0</v>
      </c>
      <c r="PV82" s="45" cm="1">
        <f t="array" ref="PV82">IFERROR(INDEX(ArchiveResults!$F$5:$IX$116,ComparisonData!A82,ComparisonData!$PV$1),0)</f>
        <v>0</v>
      </c>
      <c r="PW82" s="56">
        <v>77</v>
      </c>
      <c r="PX82" s="53" t="str">
        <f t="shared" si="700"/>
        <v>South West Heritage Trust: Devon Archives &amp; Local Studies</v>
      </c>
      <c r="PY82" s="59">
        <f t="shared" si="978"/>
        <v>0</v>
      </c>
      <c r="PZ82" s="59">
        <f t="shared" si="979"/>
        <v>0</v>
      </c>
      <c r="QA82" s="59">
        <f t="shared" si="980"/>
        <v>0</v>
      </c>
      <c r="QB82" s="59">
        <f t="shared" si="981"/>
        <v>0</v>
      </c>
      <c r="QC82" s="59">
        <f t="shared" si="982"/>
        <v>0</v>
      </c>
      <c r="QD82" s="58">
        <f t="shared" si="983"/>
        <v>0</v>
      </c>
      <c r="QE82" s="45">
        <f t="shared" si="984"/>
        <v>54</v>
      </c>
      <c r="QF82" s="45">
        <f t="shared" si="701"/>
        <v>2.7039999999999997</v>
      </c>
      <c r="QG82" s="45">
        <f t="shared" si="985"/>
        <v>1</v>
      </c>
      <c r="QH82" s="45">
        <f t="shared" si="986"/>
        <v>2</v>
      </c>
      <c r="QI82" s="45">
        <f t="shared" si="987"/>
        <v>0</v>
      </c>
      <c r="QJ82" s="46" cm="1">
        <f t="array" ref="QJ82">ROUND(IFERROR(INDEX(ArchiveResults!$F$5:$IX$116,ComparisonData!A82,ComparisonData!$QJ$1),0),5)</f>
        <v>0</v>
      </c>
      <c r="QK82" s="46" cm="1">
        <f t="array" ref="QK82">ROUND(IFERROR(INDEX(ArchiveResults!$F$5:$IX$116,ComparisonData!A82,ComparisonData!$QK$1),0),5)</f>
        <v>0</v>
      </c>
      <c r="QL82" s="46" cm="1">
        <f t="array" ref="QL82">ROUND(IFERROR(INDEX(ArchiveResults!$F$5:$IX$116,ComparisonData!A82,ComparisonData!$QL$1),0),5)</f>
        <v>0</v>
      </c>
      <c r="QM82" s="46" cm="1">
        <f t="array" ref="QM82">ROUND(IFERROR(INDEX(ArchiveResults!$F$5:$IX$116,ComparisonData!A82,ComparisonData!$QM$1),0),5)</f>
        <v>0</v>
      </c>
      <c r="QN82" s="45" cm="1">
        <f t="array" ref="QN82">IFERROR(INDEX(ArchiveResults!$F$5:$IX$116,ComparisonData!A82,ComparisonData!$QN$1),0)</f>
        <v>0</v>
      </c>
      <c r="QO82" s="56">
        <v>77</v>
      </c>
      <c r="QP82" s="53" t="str">
        <f t="shared" si="702"/>
        <v>South West Heritage Trust: Devon Archives &amp; Local Studies</v>
      </c>
      <c r="QQ82" s="59">
        <f t="shared" si="988"/>
        <v>0</v>
      </c>
      <c r="QR82" s="59">
        <f t="shared" si="989"/>
        <v>0</v>
      </c>
      <c r="QS82" s="59">
        <f t="shared" si="990"/>
        <v>0</v>
      </c>
      <c r="QT82" s="59">
        <f t="shared" si="991"/>
        <v>0</v>
      </c>
      <c r="QU82" s="59">
        <f t="shared" si="992"/>
        <v>0</v>
      </c>
      <c r="QV82" s="58">
        <f t="shared" si="993"/>
        <v>0</v>
      </c>
      <c r="QW82" s="45">
        <f t="shared" si="994"/>
        <v>54</v>
      </c>
      <c r="QX82" s="45">
        <f t="shared" si="703"/>
        <v>2.7039999999999997</v>
      </c>
      <c r="QY82" s="45">
        <f t="shared" si="995"/>
        <v>1</v>
      </c>
      <c r="QZ82" s="45">
        <f t="shared" si="996"/>
        <v>2</v>
      </c>
      <c r="RA82" s="45">
        <f t="shared" si="997"/>
        <v>0</v>
      </c>
      <c r="RB82" s="46" cm="1">
        <f t="array" ref="RB82">ROUND(IFERROR(INDEX(ArchiveResults!$F$5:$IX$116,ComparisonData!A82,ComparisonData!$RB$1),0),5)</f>
        <v>0</v>
      </c>
      <c r="RC82" s="46" cm="1">
        <f t="array" ref="RC82">ROUND(IFERROR(INDEX(ArchiveResults!$F$5:$IX$116,ComparisonData!A82,ComparisonData!$RC$1),0),5)</f>
        <v>0</v>
      </c>
      <c r="RD82" s="46" cm="1">
        <f t="array" ref="RD82">ROUND(IFERROR(INDEX(ArchiveResults!$F$5:$IX$116,ComparisonData!A82,ComparisonData!$RD$1),0),5)</f>
        <v>0</v>
      </c>
      <c r="RE82" s="46" cm="1">
        <f t="array" ref="RE82">ROUND(IFERROR(INDEX(ArchiveResults!$F$5:$IX$116,ComparisonData!A82,ComparisonData!$RE$1),0),5)</f>
        <v>0</v>
      </c>
      <c r="RF82" s="45" cm="1">
        <f t="array" ref="RF82">IFERROR(INDEX(ArchiveResults!$F$5:$IX$116,ComparisonData!A82,ComparisonData!$RF$1),0)</f>
        <v>0</v>
      </c>
      <c r="RG82" s="56">
        <v>77</v>
      </c>
      <c r="RH82" s="53" t="str">
        <f t="shared" si="704"/>
        <v>South West Heritage Trust: Devon Archives &amp; Local Studies</v>
      </c>
      <c r="RI82" s="59">
        <f t="shared" si="998"/>
        <v>0</v>
      </c>
      <c r="RJ82" s="59">
        <f t="shared" si="999"/>
        <v>0</v>
      </c>
      <c r="RK82" s="59">
        <f t="shared" si="1000"/>
        <v>0</v>
      </c>
      <c r="RL82" s="59">
        <f t="shared" si="1001"/>
        <v>0</v>
      </c>
      <c r="RM82" s="59">
        <f t="shared" si="1002"/>
        <v>0</v>
      </c>
      <c r="RN82" s="58">
        <f t="shared" si="1003"/>
        <v>0</v>
      </c>
      <c r="RO82" s="45">
        <f t="shared" si="1004"/>
        <v>54</v>
      </c>
      <c r="RP82" s="45">
        <f t="shared" si="705"/>
        <v>2.7039999999999997</v>
      </c>
      <c r="RQ82" s="45">
        <f t="shared" si="1005"/>
        <v>1</v>
      </c>
      <c r="RR82" s="45">
        <f t="shared" si="1006"/>
        <v>2</v>
      </c>
      <c r="RS82" s="45">
        <f t="shared" si="1007"/>
        <v>0</v>
      </c>
      <c r="RT82" s="46" cm="1">
        <f t="array" ref="RT82">ROUND(IFERROR(INDEX(ArchiveResults!$F$5:$IX$116,ComparisonData!A82,ComparisonData!$RT$1),0),5)</f>
        <v>0</v>
      </c>
      <c r="RU82" s="46" cm="1">
        <f t="array" ref="RU82">ROUND(IFERROR(INDEX(ArchiveResults!$F$5:$IX$116,ComparisonData!A82,ComparisonData!$RU$1),0),5)</f>
        <v>0</v>
      </c>
      <c r="RV82" s="46" cm="1">
        <f t="array" ref="RV82">ROUND(IFERROR(INDEX(ArchiveResults!$F$5:$IX$116,ComparisonData!A82,ComparisonData!$RV$1),0),5)</f>
        <v>0</v>
      </c>
      <c r="RW82" s="46" cm="1">
        <f t="array" ref="RW82">ROUND(IFERROR(INDEX(ArchiveResults!$F$5:$IX$116,ComparisonData!A82,ComparisonData!$RW$1),0),5)</f>
        <v>0</v>
      </c>
      <c r="RX82" s="45" cm="1">
        <f t="array" ref="RX82">IFERROR(INDEX(ArchiveResults!$F$5:$IX$116,ComparisonData!A82,ComparisonData!$RX$1),0)</f>
        <v>0</v>
      </c>
      <c r="RY82" s="56">
        <v>77</v>
      </c>
      <c r="RZ82" s="53" t="str">
        <f t="shared" si="706"/>
        <v>South West Heritage Trust: Devon Archives &amp; Local Studies</v>
      </c>
      <c r="SA82" s="59">
        <f t="shared" si="1008"/>
        <v>0</v>
      </c>
      <c r="SB82" s="59">
        <f t="shared" si="1009"/>
        <v>0</v>
      </c>
      <c r="SC82" s="59">
        <f t="shared" si="1010"/>
        <v>0</v>
      </c>
      <c r="SD82" s="59">
        <f t="shared" si="1011"/>
        <v>0</v>
      </c>
      <c r="SE82" s="59">
        <f t="shared" si="1012"/>
        <v>0</v>
      </c>
      <c r="SF82" s="58">
        <f t="shared" si="1013"/>
        <v>0</v>
      </c>
      <c r="SG82" s="45">
        <f t="shared" si="1014"/>
        <v>54</v>
      </c>
      <c r="SH82" s="45">
        <f t="shared" si="707"/>
        <v>2.7039999999999997</v>
      </c>
      <c r="SI82" s="45">
        <f t="shared" si="1015"/>
        <v>1</v>
      </c>
      <c r="SJ82" s="45">
        <f t="shared" si="1016"/>
        <v>2</v>
      </c>
      <c r="SK82" s="45">
        <f t="shared" si="1017"/>
        <v>0</v>
      </c>
      <c r="SL82" s="46" cm="1">
        <f t="array" ref="SL82">ROUND(IFERROR(INDEX(ArchiveResults!$F$5:$IX$116,ComparisonData!A82,ComparisonData!$SL$1),0),5)</f>
        <v>0</v>
      </c>
      <c r="SM82" s="46" cm="1">
        <f t="array" ref="SM82">ROUND(IFERROR(INDEX(ArchiveResults!$F$5:$IX$116,ComparisonData!A82,ComparisonData!$SM$1),0),5)</f>
        <v>0</v>
      </c>
      <c r="SN82" s="46" cm="1">
        <f t="array" ref="SN82">ROUND(IFERROR(INDEX(ArchiveResults!$F$5:$IX$116,ComparisonData!A82,ComparisonData!$SN$1),0),5)</f>
        <v>0</v>
      </c>
      <c r="SO82" s="46" cm="1">
        <f t="array" ref="SO82">ROUND(IFERROR(INDEX(ArchiveResults!$F$5:$IX$116,ComparisonData!A82,ComparisonData!$SO$1),0),5)</f>
        <v>0</v>
      </c>
      <c r="SP82" s="45" cm="1">
        <f t="array" ref="SP82">IFERROR(INDEX(ArchiveResults!$F$5:$IX$116,ComparisonData!A82,ComparisonData!$SP$1),0)</f>
        <v>0</v>
      </c>
      <c r="SQ82" s="56">
        <v>77</v>
      </c>
      <c r="SR82" s="53" t="str">
        <f t="shared" si="708"/>
        <v>South West Heritage Trust: Devon Archives &amp; Local Studies</v>
      </c>
      <c r="SS82" s="59">
        <f t="shared" si="1018"/>
        <v>0</v>
      </c>
      <c r="ST82" s="59">
        <f t="shared" si="1019"/>
        <v>0</v>
      </c>
      <c r="SU82" s="59">
        <f t="shared" si="1020"/>
        <v>0</v>
      </c>
      <c r="SV82" s="59">
        <f t="shared" si="1021"/>
        <v>0</v>
      </c>
      <c r="SW82" s="59">
        <f t="shared" si="1022"/>
        <v>0</v>
      </c>
      <c r="SX82" s="58">
        <f t="shared" si="1023"/>
        <v>0</v>
      </c>
      <c r="SY82" s="45">
        <f t="shared" si="1024"/>
        <v>54</v>
      </c>
      <c r="SZ82" s="45">
        <f t="shared" si="709"/>
        <v>2.7039999999999997</v>
      </c>
      <c r="TA82" s="45">
        <f t="shared" si="1025"/>
        <v>1</v>
      </c>
      <c r="TB82" s="45">
        <f t="shared" si="1026"/>
        <v>2</v>
      </c>
      <c r="TC82" s="45">
        <f t="shared" si="1027"/>
        <v>0</v>
      </c>
      <c r="TD82" s="46" cm="1">
        <f t="array" ref="TD82">ROUND(IFERROR(INDEX(ArchiveResults!$F$5:$IX$116,ComparisonData!A82,ComparisonData!$TD$1),0),5)</f>
        <v>0</v>
      </c>
      <c r="TE82" s="46" cm="1">
        <f t="array" ref="TE82">ROUND(IFERROR(INDEX(ArchiveResults!$F$5:$IX$116,ComparisonData!A82,ComparisonData!$TE$1),0),5)</f>
        <v>0</v>
      </c>
      <c r="TF82" s="46" cm="1">
        <f t="array" ref="TF82">ROUND(IFERROR(INDEX(ArchiveResults!$F$5:$IX$116,ComparisonData!A82,ComparisonData!$TF$1),0),5)</f>
        <v>0</v>
      </c>
      <c r="TG82" s="46" cm="1">
        <f t="array" ref="TG82">ROUND(IFERROR(INDEX(ArchiveResults!$F$5:$IX$116,ComparisonData!A82,ComparisonData!$TG$1),0),5)</f>
        <v>0</v>
      </c>
      <c r="TH82" s="45" cm="1">
        <f t="array" ref="TH82">IFERROR(INDEX(ArchiveResults!$F$5:$IX$116,ComparisonData!A82,ComparisonData!$TH$1),0)</f>
        <v>0</v>
      </c>
      <c r="TI82" s="56">
        <v>77</v>
      </c>
      <c r="TJ82" s="53" t="str">
        <f t="shared" si="710"/>
        <v>South West Heritage Trust: Devon Archives &amp; Local Studies</v>
      </c>
      <c r="TK82" s="59">
        <f t="shared" si="1028"/>
        <v>0</v>
      </c>
      <c r="TL82" s="59">
        <f t="shared" si="1029"/>
        <v>0</v>
      </c>
      <c r="TM82" s="59">
        <f t="shared" si="1030"/>
        <v>0</v>
      </c>
      <c r="TN82" s="59">
        <f t="shared" si="1031"/>
        <v>0</v>
      </c>
      <c r="TO82" s="59">
        <f t="shared" si="1032"/>
        <v>0</v>
      </c>
      <c r="TP82" s="58">
        <f t="shared" si="1033"/>
        <v>0</v>
      </c>
      <c r="TQ82" s="45">
        <f t="shared" si="1034"/>
        <v>54</v>
      </c>
      <c r="TR82" s="45">
        <f t="shared" si="711"/>
        <v>2.7039999999999997</v>
      </c>
      <c r="TS82" s="45">
        <f t="shared" si="1035"/>
        <v>1</v>
      </c>
      <c r="TT82" s="45">
        <f t="shared" si="1036"/>
        <v>2</v>
      </c>
      <c r="TU82" s="45">
        <f t="shared" si="1037"/>
        <v>0</v>
      </c>
      <c r="TV82" s="46" cm="1">
        <f t="array" ref="TV82">ROUND(IFERROR(INDEX(ArchiveResults!$F$5:$IX$116,ComparisonData!A82,ComparisonData!$TV$1),0),5)</f>
        <v>0</v>
      </c>
      <c r="TW82" s="46" cm="1">
        <f t="array" ref="TW82">ROUND(IFERROR(INDEX(ArchiveResults!$F$5:$IX$116,ComparisonData!A82,ComparisonData!$TW$1),0),5)</f>
        <v>0</v>
      </c>
      <c r="TX82" s="46" cm="1">
        <f t="array" ref="TX82">ROUND(IFERROR(INDEX(ArchiveResults!$F$5:$IX$116,ComparisonData!A82,ComparisonData!$TX$1),0),5)</f>
        <v>0</v>
      </c>
      <c r="TY82" s="46" cm="1">
        <f t="array" ref="TY82">ROUND(IFERROR(INDEX(ArchiveResults!$F$5:$IX$116,ComparisonData!A82,ComparisonData!$TY$1),0),5)</f>
        <v>0</v>
      </c>
      <c r="TZ82" s="45" cm="1">
        <f t="array" ref="TZ82">IFERROR(INDEX(ArchiveResults!$F$5:$IX$116,ComparisonData!A82,ComparisonData!$TZ$1),0)</f>
        <v>0</v>
      </c>
      <c r="UA82" s="56">
        <v>77</v>
      </c>
      <c r="UB82" s="53" t="str">
        <f t="shared" si="712"/>
        <v>South West Heritage Trust: Devon Archives &amp; Local Studies</v>
      </c>
      <c r="UC82" s="60">
        <f t="shared" si="1038"/>
        <v>0</v>
      </c>
      <c r="UD82" s="60">
        <f t="shared" si="1039"/>
        <v>0</v>
      </c>
      <c r="UE82" s="60">
        <f t="shared" si="1040"/>
        <v>0</v>
      </c>
      <c r="UF82" s="60">
        <f t="shared" si="1041"/>
        <v>0</v>
      </c>
      <c r="UG82" s="60">
        <f t="shared" si="1042"/>
        <v>0</v>
      </c>
      <c r="UH82" s="58">
        <f t="shared" si="1043"/>
        <v>0</v>
      </c>
      <c r="UI82" s="46">
        <f t="shared" si="1044"/>
        <v>54</v>
      </c>
      <c r="UJ82" s="46">
        <f t="shared" si="713"/>
        <v>2.7039999999999997</v>
      </c>
      <c r="UK82" s="46">
        <f t="shared" si="1045"/>
        <v>1</v>
      </c>
      <c r="UL82" s="46">
        <f t="shared" si="1046"/>
        <v>2</v>
      </c>
      <c r="UM82" s="46" cm="1">
        <f t="array" ref="UM82">ROUND(IFERROR(INDEX(ArchiveResults!$F$5:$IX$116,ComparisonData!A82,ComparisonData!$UM$1),0),5)</f>
        <v>0</v>
      </c>
      <c r="UN82" s="56">
        <v>77</v>
      </c>
      <c r="UO82" s="53" t="str">
        <f t="shared" si="714"/>
        <v>South West Heritage Trust: Devon Archives &amp; Local Studies</v>
      </c>
      <c r="UP82" s="46">
        <f t="shared" si="1047"/>
        <v>0</v>
      </c>
      <c r="UQ82" s="76">
        <f t="shared" si="1048"/>
        <v>0</v>
      </c>
      <c r="UR82" s="46">
        <f t="shared" si="1049"/>
        <v>54</v>
      </c>
      <c r="US82" s="46">
        <f t="shared" si="715"/>
        <v>2.7039999999999997</v>
      </c>
      <c r="UT82" s="46">
        <f t="shared" si="1050"/>
        <v>1</v>
      </c>
      <c r="UU82" s="46">
        <f t="shared" si="1051"/>
        <v>2</v>
      </c>
      <c r="UV82" s="46">
        <f t="shared" si="1052"/>
        <v>0</v>
      </c>
      <c r="UW82" s="46" cm="1">
        <f t="array" ref="UW82">ROUND(IFERROR(INDEX(ArchiveResults!$F$5:$IX$116,ComparisonData!A82,ComparisonData!$UW$1),0),5)</f>
        <v>0</v>
      </c>
      <c r="UX82" s="46" cm="1">
        <f t="array" ref="UX82">ROUND(IFERROR(INDEX(ArchiveResults!$F$5:$IX$116,ComparisonData!A82,ComparisonData!$UX$1),0),5)</f>
        <v>0</v>
      </c>
      <c r="UY82" s="46" cm="1">
        <f t="array" ref="UY82">ROUND(IFERROR(INDEX(ArchiveResults!$F$5:$IX$116,ComparisonData!A82,ComparisonData!$UY$1),0),5)</f>
        <v>0</v>
      </c>
      <c r="UZ82" s="46" cm="1">
        <f t="array" ref="UZ82">ROUND(IFERROR(INDEX(ArchiveResults!$F$5:$IX$116,ComparisonData!A82,ComparisonData!$UZ$1),0),5)</f>
        <v>0</v>
      </c>
      <c r="VA82" s="46" cm="1">
        <f t="array" ref="VA82">ROUND(IFERROR(INDEX(ArchiveResults!$F$5:$IX$116,ComparisonData!A82,ComparisonData!$VA$1),0),5)</f>
        <v>0</v>
      </c>
      <c r="VB82" s="56">
        <v>77</v>
      </c>
      <c r="VC82" s="53" t="str">
        <f t="shared" si="716"/>
        <v>South West Heritage Trust: Devon Archives &amp; Local Studies</v>
      </c>
      <c r="VD82" s="60">
        <f t="shared" si="1053"/>
        <v>0</v>
      </c>
      <c r="VE82" s="60">
        <f t="shared" si="1054"/>
        <v>0</v>
      </c>
      <c r="VF82" s="60">
        <f t="shared" si="1055"/>
        <v>0</v>
      </c>
      <c r="VG82" s="60">
        <f t="shared" si="1056"/>
        <v>0</v>
      </c>
      <c r="VH82" s="60">
        <f t="shared" si="1057"/>
        <v>0</v>
      </c>
      <c r="VI82" s="76">
        <f t="shared" si="1058"/>
        <v>0</v>
      </c>
      <c r="VJ82" s="46">
        <f t="shared" si="1059"/>
        <v>54</v>
      </c>
      <c r="VK82" s="46">
        <f t="shared" si="717"/>
        <v>2.7039999999999997</v>
      </c>
      <c r="VL82" s="46">
        <f t="shared" si="1060"/>
        <v>1</v>
      </c>
      <c r="VM82" s="46">
        <f t="shared" si="1061"/>
        <v>2</v>
      </c>
      <c r="VN82" s="46" cm="1">
        <f t="array" ref="VN82">ROUND(IFERROR(INDEX(ArchiveResults!$F$5:$IX$116,ComparisonData!A82,ComparisonData!$VN$1),0),5)</f>
        <v>0</v>
      </c>
      <c r="VO82" s="46" cm="1">
        <f t="array" ref="VO82">ROUND(IFERROR(INDEX(ArchiveResults!$F$5:$IX$116,ComparisonData!A82,ComparisonData!$VO$1),0),5)</f>
        <v>0</v>
      </c>
      <c r="VP82" s="46" cm="1">
        <f t="array" ref="VP82">ROUND(IFERROR(INDEX(ArchiveResults!$F$5:$IX$116,ComparisonData!A82,ComparisonData!$VP$1),0),5)</f>
        <v>0</v>
      </c>
      <c r="VQ82" s="46" cm="1">
        <f t="array" ref="VQ82">ROUND(IFERROR(INDEX(ArchiveResults!$F$5:$IX$116,ComparisonData!A82,ComparisonData!$VQ$1),0),5)</f>
        <v>0</v>
      </c>
      <c r="VR82" s="56">
        <v>77</v>
      </c>
      <c r="VS82" s="53" t="str">
        <f t="shared" si="718"/>
        <v>South West Heritage Trust: Devon Archives &amp; Local Studies</v>
      </c>
      <c r="VT82" s="60">
        <f t="shared" si="1062"/>
        <v>0</v>
      </c>
      <c r="VU82" s="60">
        <f t="shared" si="1063"/>
        <v>0</v>
      </c>
      <c r="VV82" s="60">
        <f t="shared" si="1064"/>
        <v>0</v>
      </c>
      <c r="VW82" s="60">
        <f t="shared" si="1065"/>
        <v>0</v>
      </c>
      <c r="VX82" s="76">
        <f t="shared" si="1066"/>
        <v>0</v>
      </c>
      <c r="VY82" s="46">
        <f t="shared" si="1067"/>
        <v>54</v>
      </c>
      <c r="VZ82" s="46">
        <f t="shared" si="719"/>
        <v>2.7039999999999997</v>
      </c>
      <c r="WA82" s="46">
        <f t="shared" si="1068"/>
        <v>1</v>
      </c>
      <c r="WB82" s="46">
        <f t="shared" si="1069"/>
        <v>2</v>
      </c>
      <c r="WC82" s="46" cm="1">
        <f t="array" ref="WC82">ROUND(IFERROR(INDEX(ArchiveResults!$F$5:$IX$116,ComparisonData!A82,ComparisonData!$WC$1),0),5)</f>
        <v>0</v>
      </c>
      <c r="WD82" s="56">
        <v>77</v>
      </c>
      <c r="WE82" s="53" t="str">
        <f t="shared" si="720"/>
        <v>South West Heritage Trust: Devon Archives &amp; Local Studies</v>
      </c>
      <c r="WF82" s="46">
        <f t="shared" si="1070"/>
        <v>0</v>
      </c>
      <c r="WG82" s="76">
        <f t="shared" si="1071"/>
        <v>0</v>
      </c>
      <c r="WH82" s="46">
        <f t="shared" si="1072"/>
        <v>54</v>
      </c>
      <c r="WI82" s="46">
        <f t="shared" si="721"/>
        <v>2.7039999999999997</v>
      </c>
      <c r="WJ82" s="46">
        <f t="shared" si="1073"/>
        <v>1</v>
      </c>
      <c r="WK82" s="46">
        <f t="shared" si="1074"/>
        <v>2</v>
      </c>
      <c r="WL82" s="46" cm="1">
        <f t="array" ref="WL82">ROUND(IFERROR(INDEX(ArchiveResults!$F$5:$IX$116,ComparisonData!A82,ComparisonData!$WL$1),0),5)</f>
        <v>0</v>
      </c>
      <c r="WM82" s="46" cm="1">
        <f t="array" ref="WM82">IFERROR(INDEX(ArchiveResults!$F$5:$IX$116,ComparisonData!A82,ComparisonData!$WM$1),0)</f>
        <v>0</v>
      </c>
      <c r="WN82" s="56">
        <v>77</v>
      </c>
      <c r="WO82" s="53" t="str">
        <f t="shared" si="722"/>
        <v>South West Heritage Trust: Devon Archives &amp; Local Studies</v>
      </c>
      <c r="WP82" s="60">
        <f t="shared" si="1075"/>
        <v>0</v>
      </c>
      <c r="WQ82" s="60">
        <f t="shared" si="1076"/>
        <v>0</v>
      </c>
      <c r="WR82" s="76">
        <f t="shared" si="1077"/>
        <v>0</v>
      </c>
      <c r="WS82" s="46">
        <f t="shared" si="1078"/>
        <v>54</v>
      </c>
      <c r="WT82" s="46">
        <f t="shared" si="723"/>
        <v>2.7039999999999997</v>
      </c>
      <c r="WU82" s="46">
        <f t="shared" si="1079"/>
        <v>1</v>
      </c>
      <c r="WV82" s="46">
        <f t="shared" si="1080"/>
        <v>2</v>
      </c>
      <c r="WW82" s="46" cm="1">
        <f t="array" ref="WW82">ROUND(VALUE(IFERROR(INDEX(ArchiveResults!$F$5:$IX$116,ComparisonData!A82,ComparisonData!$WW$1),0)),5)</f>
        <v>0</v>
      </c>
      <c r="WX82" s="46" cm="1">
        <f t="array" ref="WX82">ROUND(IFERROR(INDEX(ArchiveResults!$F$5:$IX$116,ComparisonData!A82,ComparisonData!$WX$1),0),5)</f>
        <v>0</v>
      </c>
      <c r="WY82" s="56">
        <v>77</v>
      </c>
      <c r="WZ82" s="53" t="str">
        <f t="shared" si="724"/>
        <v>South West Heritage Trust: Devon Archives &amp; Local Studies</v>
      </c>
      <c r="XA82" s="60">
        <f t="shared" si="725"/>
        <v>0</v>
      </c>
      <c r="XB82" s="60">
        <f t="shared" si="726"/>
        <v>0</v>
      </c>
      <c r="XC82" s="76">
        <f t="shared" si="1081"/>
        <v>0</v>
      </c>
      <c r="XD82" s="46">
        <f t="shared" si="1082"/>
        <v>54</v>
      </c>
      <c r="XE82" s="46">
        <f t="shared" si="727"/>
        <v>2.7039999999999997</v>
      </c>
      <c r="XF82" s="46">
        <f t="shared" si="1083"/>
        <v>1</v>
      </c>
      <c r="XG82" s="46">
        <f t="shared" si="1084"/>
        <v>2</v>
      </c>
      <c r="XH82" s="46" cm="1">
        <f t="array" ref="XH82">ROUND(VALUE(IFERROR(INDEX(ArchiveResults!$F$5:$IX$116,ComparisonData!A82,ComparisonData!$XH$1),0)),5)</f>
        <v>0</v>
      </c>
      <c r="XI82" s="46" cm="1">
        <f t="array" ref="XI82">ROUND(VALUE(IFERROR(INDEX(ArchiveResults!$F$5:$IX$116,ComparisonData!A82,ComparisonData!$XI$1),0)),5)</f>
        <v>0</v>
      </c>
      <c r="XJ82" s="56">
        <v>77</v>
      </c>
      <c r="XK82" s="53" t="str">
        <f t="shared" si="728"/>
        <v>South West Heritage Trust: Devon Archives &amp; Local Studies</v>
      </c>
      <c r="XL82" s="60">
        <f t="shared" si="1085"/>
        <v>0</v>
      </c>
      <c r="XM82" s="60">
        <f t="shared" si="1086"/>
        <v>0</v>
      </c>
      <c r="XN82" s="76">
        <f t="shared" si="1087"/>
        <v>0</v>
      </c>
      <c r="XO82" s="46">
        <f t="shared" si="1088"/>
        <v>54</v>
      </c>
      <c r="XP82" s="46">
        <f t="shared" si="729"/>
        <v>2.7039999999999997</v>
      </c>
      <c r="XQ82" s="46">
        <f t="shared" si="1089"/>
        <v>1</v>
      </c>
      <c r="XR82" s="46">
        <f t="shared" si="1090"/>
        <v>2</v>
      </c>
      <c r="XS82" s="46" cm="1">
        <f t="array" ref="XS82">ROUND(VALUE(IFERROR(INDEX(ArchiveResults!$F$5:$IX$116,ComparisonData!A82,ComparisonData!$XS$1),0)),5)</f>
        <v>0</v>
      </c>
      <c r="XT82" s="46" cm="1">
        <f t="array" ref="XT82">ROUND(VALUE(IFERROR(INDEX(ArchiveResults!$F$5:$IX$116,ComparisonData!A82,ComparisonData!$XT$1),0)),5)</f>
        <v>0</v>
      </c>
      <c r="XU82" s="56">
        <v>77</v>
      </c>
      <c r="XV82" s="53" t="str">
        <f t="shared" si="730"/>
        <v>South West Heritage Trust: Devon Archives &amp; Local Studies</v>
      </c>
      <c r="XW82" s="60">
        <f t="shared" si="1091"/>
        <v>0</v>
      </c>
      <c r="XX82" s="60">
        <f t="shared" si="1092"/>
        <v>0</v>
      </c>
      <c r="XY82" s="76">
        <f t="shared" si="1093"/>
        <v>0</v>
      </c>
      <c r="XZ82" s="46">
        <f t="shared" si="1094"/>
        <v>54</v>
      </c>
      <c r="YA82" s="46">
        <f t="shared" si="731"/>
        <v>2.7039999999999997</v>
      </c>
      <c r="YB82" s="46">
        <f t="shared" si="1095"/>
        <v>1</v>
      </c>
      <c r="YC82" s="46">
        <f t="shared" si="1096"/>
        <v>2</v>
      </c>
      <c r="YD82" s="46" cm="1">
        <f t="array" ref="YD82">ROUND(VALUE(IFERROR(INDEX(ArchiveResults!$F$5:$IX$116,ComparisonData!A82,ComparisonData!$YD$1),0)),5)</f>
        <v>0</v>
      </c>
      <c r="YE82" s="46" cm="1">
        <f t="array" ref="YE82">ROUND(VALUE(IFERROR(INDEX(ArchiveResults!$F$5:$IX$116,ComparisonData!A82,ComparisonData!$YE$1),0)),5)</f>
        <v>0</v>
      </c>
      <c r="YF82" s="56">
        <v>77</v>
      </c>
      <c r="YG82" s="53" t="str">
        <f t="shared" si="732"/>
        <v>South West Heritage Trust: Devon Archives &amp; Local Studies</v>
      </c>
      <c r="YH82" s="60">
        <f t="shared" si="1097"/>
        <v>0</v>
      </c>
      <c r="YI82" s="60">
        <f t="shared" si="1098"/>
        <v>0</v>
      </c>
      <c r="YJ82" s="76">
        <f t="shared" si="1099"/>
        <v>0</v>
      </c>
      <c r="YK82" s="46">
        <f t="shared" si="1100"/>
        <v>54</v>
      </c>
      <c r="YL82" s="46">
        <f t="shared" si="733"/>
        <v>2.7039999999999997</v>
      </c>
      <c r="YM82" s="46">
        <f t="shared" si="1101"/>
        <v>1</v>
      </c>
      <c r="YN82" s="46">
        <f t="shared" si="1102"/>
        <v>2</v>
      </c>
      <c r="YO82" s="46" cm="1">
        <f t="array" ref="YO82">ROUND(VALUE(IFERROR(INDEX(ArchiveResults!$F$5:$IX$116,ComparisonData!A82,ComparisonData!$YO$1),0)),5)</f>
        <v>0</v>
      </c>
      <c r="YP82" s="46" cm="1">
        <f t="array" ref="YP82">ROUND(VALUE(IFERROR(INDEX(ArchiveResults!$F$5:$IX$116,ComparisonData!A82,ComparisonData!$YP$1),0)),5)</f>
        <v>0</v>
      </c>
      <c r="YQ82" s="56">
        <v>77</v>
      </c>
      <c r="YR82" s="53" t="str">
        <f t="shared" si="734"/>
        <v>South West Heritage Trust: Devon Archives &amp; Local Studies</v>
      </c>
      <c r="YS82" s="60">
        <f t="shared" si="1103"/>
        <v>0</v>
      </c>
      <c r="YT82" s="60">
        <f t="shared" si="1104"/>
        <v>0</v>
      </c>
      <c r="YU82" s="76">
        <f t="shared" si="1105"/>
        <v>0</v>
      </c>
      <c r="YV82" s="46">
        <f t="shared" si="1106"/>
        <v>54</v>
      </c>
      <c r="YW82" s="46">
        <f t="shared" si="735"/>
        <v>2.7039999999999997</v>
      </c>
      <c r="YX82" s="46">
        <f t="shared" si="1107"/>
        <v>1</v>
      </c>
      <c r="YY82" s="46">
        <f t="shared" si="1108"/>
        <v>2</v>
      </c>
      <c r="YZ82" s="46">
        <f t="shared" si="1109"/>
        <v>0</v>
      </c>
      <c r="ZA82" s="46" cm="1">
        <f t="array" ref="ZA82">ROUNDDOWN(VALUE(IFERROR(INDEX(ArchiveResults!$F$5:$IX$116,ComparisonData!A82,ComparisonData!$ZA$1),0)),5)</f>
        <v>0</v>
      </c>
      <c r="ZB82" s="46" cm="1">
        <f t="array" ref="ZB82">ROUNDDOWN(VALUE(IFERROR(INDEX(ArchiveResults!$F$5:$IX$116,ComparisonData!A82,ComparisonData!$ZB$1),0)),5)</f>
        <v>0</v>
      </c>
      <c r="ZC82" s="46" cm="1">
        <f t="array" ref="ZC82">ROUNDDOWN(VALUE(IFERROR(INDEX(ArchiveResults!$F$5:$IX$116,ComparisonData!A82,ComparisonData!$ZC$1),0)),5)</f>
        <v>0</v>
      </c>
      <c r="ZD82" s="46" cm="1">
        <f t="array" ref="ZD82">ROUNDDOWN(VALUE(IFERROR(INDEX(ArchiveResults!$F$5:$IX$116,ComparisonData!A82,ComparisonData!$ZD$1),0)),5)</f>
        <v>0</v>
      </c>
      <c r="ZE82" s="46" cm="1">
        <f t="array" ref="ZE82">ROUNDDOWN(VALUE(IFERROR(INDEX(ArchiveResults!$F$5:$IX$116,ComparisonData!A82,ComparisonData!$ZE$1),0)),5)</f>
        <v>0</v>
      </c>
      <c r="ZF82" s="56">
        <v>77</v>
      </c>
      <c r="ZG82" s="53" t="str">
        <f t="shared" si="736"/>
        <v>South West Heritage Trust: Devon Archives &amp; Local Studies</v>
      </c>
      <c r="ZH82" s="60">
        <f t="shared" si="1110"/>
        <v>0</v>
      </c>
      <c r="ZI82" s="60">
        <f t="shared" si="1111"/>
        <v>0</v>
      </c>
      <c r="ZJ82" s="60">
        <f t="shared" si="1112"/>
        <v>0</v>
      </c>
      <c r="ZK82" s="60">
        <f t="shared" si="1113"/>
        <v>0</v>
      </c>
      <c r="ZL82" s="60">
        <f t="shared" si="1114"/>
        <v>0</v>
      </c>
      <c r="ZM82" s="76">
        <f t="shared" si="1115"/>
        <v>0</v>
      </c>
      <c r="ZN82" s="46">
        <f t="shared" si="1116"/>
        <v>54</v>
      </c>
      <c r="ZO82" s="46">
        <f t="shared" si="737"/>
        <v>2.7039999999999997</v>
      </c>
      <c r="ZP82" s="46">
        <f t="shared" si="1117"/>
        <v>1</v>
      </c>
      <c r="ZQ82" s="46">
        <f t="shared" si="1118"/>
        <v>2</v>
      </c>
      <c r="ZR82" s="46" cm="1">
        <f t="array" ref="ZR82">ROUND(VALUE(IFERROR(INDEX(ArchiveResults!$F$5:$IX$116,ComparisonData!A82,ComparisonData!$ZR$1),0)),5)</f>
        <v>0</v>
      </c>
      <c r="ZS82" s="56">
        <v>77</v>
      </c>
      <c r="ZT82" s="53" t="str">
        <f t="shared" si="738"/>
        <v>South West Heritage Trust: Devon Archives &amp; Local Studies</v>
      </c>
      <c r="ZU82" s="46">
        <f t="shared" si="1119"/>
        <v>0</v>
      </c>
      <c r="ZV82" s="76">
        <f t="shared" si="1120"/>
        <v>0</v>
      </c>
      <c r="ZW82" s="81" cm="1">
        <f t="array" ref="ZW82">ROUND((IFERROR(INDEX(ArchiveResults!$F$5:$IX$116,ComparisonData!A82,ComparisonData!$ZW$1),0)),5)</f>
        <v>0</v>
      </c>
      <c r="ZX82" s="81" cm="1">
        <f t="array" ref="ZX82">ROUND((IFERROR(INDEX(ArchiveResults!$F$5:$IX$116,ComparisonData!A82,ComparisonData!$ZX$1),0)),5)</f>
        <v>0</v>
      </c>
      <c r="ZY82" s="81" cm="1">
        <f t="array" ref="ZY82">ROUND((IFERROR(INDEX(ArchiveResults!$F$5:$IX$116,ComparisonData!A82,ComparisonData!$ZY$1),0)),5)</f>
        <v>0</v>
      </c>
      <c r="ZZ82" s="81" cm="1">
        <f t="array" ref="ZZ82">ROUND((IFERROR(INDEX(ArchiveResults!$F$5:$IX$116,ComparisonData!A82,ComparisonData!$ZZ$1),0)),5)</f>
        <v>0</v>
      </c>
      <c r="AAA82" s="81" cm="1">
        <f t="array" ref="AAA82">ROUND((IFERROR(INDEX(ArchiveResults!$F$5:$IX$116,ComparisonData!A82,ComparisonData!$AAA$1),0)),5)</f>
        <v>0</v>
      </c>
      <c r="AAB82" s="81" cm="1">
        <f t="array" ref="AAB82">ROUND((IFERROR(INDEX(ArchiveResults!$F$5:$IX$116,ComparisonData!A82,ComparisonData!$AAB$1),0)),5)</f>
        <v>0</v>
      </c>
      <c r="AAC82" s="81" cm="1">
        <f t="array" ref="AAC82">ROUND((IFERROR(INDEX(ArchiveResults!$F$5:$IX$116,ComparisonData!A82,ComparisonData!$AAC$1),0)),5)</f>
        <v>0</v>
      </c>
      <c r="AAD82" s="81" cm="1">
        <f t="array" ref="AAD82">ROUND((IFERROR(INDEX(ArchiveResults!$F$5:$IX$116,ComparisonData!A82,ComparisonData!$AAD$1),0)),5)</f>
        <v>0</v>
      </c>
      <c r="AAE82" s="81" cm="1">
        <f t="array" ref="AAE82">ROUND((IFERROR(INDEX(ArchiveResults!$F$5:$IX$116,ComparisonData!A82,ComparisonData!$AAE$1),0)),5)</f>
        <v>0</v>
      </c>
      <c r="AAF82" s="81" cm="1">
        <f t="array" ref="AAF82">ROUND((IFERROR(INDEX(ArchiveResults!$F$5:$IX$116,ComparisonData!A82,ComparisonData!$AAF$1),0)),5)</f>
        <v>0</v>
      </c>
      <c r="AAG82" s="46">
        <f t="shared" si="1121"/>
        <v>54</v>
      </c>
      <c r="AAH82" s="46">
        <f t="shared" si="739"/>
        <v>2.7039999999999997</v>
      </c>
      <c r="AAI82" s="46">
        <f t="shared" si="1122"/>
        <v>1</v>
      </c>
      <c r="AAJ82" s="46">
        <f t="shared" si="1123"/>
        <v>2</v>
      </c>
      <c r="AAK82" s="46">
        <f t="shared" si="1124"/>
        <v>0</v>
      </c>
      <c r="AAL82" s="46">
        <f t="shared" si="1125"/>
        <v>0</v>
      </c>
      <c r="AAM82" s="46">
        <f t="shared" si="1126"/>
        <v>0</v>
      </c>
      <c r="AAN82" s="46">
        <f t="shared" si="1127"/>
        <v>0</v>
      </c>
      <c r="AAO82" s="46">
        <f t="shared" si="1128"/>
        <v>0</v>
      </c>
      <c r="AAP82" s="46">
        <f t="shared" si="1129"/>
        <v>0</v>
      </c>
      <c r="AAQ82" s="56">
        <v>77</v>
      </c>
      <c r="AAR82" s="53" t="str">
        <f t="shared" si="740"/>
        <v>South West Heritage Trust: Devon Archives &amp; Local Studies</v>
      </c>
      <c r="AAS82" s="60">
        <f t="shared" si="1130"/>
        <v>0</v>
      </c>
      <c r="AAT82" s="60">
        <f t="shared" si="1131"/>
        <v>0</v>
      </c>
      <c r="AAU82" s="60">
        <f t="shared" si="1132"/>
        <v>0</v>
      </c>
      <c r="AAV82" s="60">
        <f t="shared" si="1133"/>
        <v>0</v>
      </c>
      <c r="AAW82" s="60">
        <f t="shared" si="1134"/>
        <v>0</v>
      </c>
      <c r="AAX82" s="76">
        <f t="shared" si="1135"/>
        <v>0</v>
      </c>
      <c r="AAY82" s="46">
        <f t="shared" si="1136"/>
        <v>54</v>
      </c>
      <c r="AAZ82" s="46">
        <f t="shared" si="741"/>
        <v>2.7039999999999997</v>
      </c>
      <c r="ABA82" s="46">
        <f t="shared" si="1137"/>
        <v>1</v>
      </c>
      <c r="ABB82" s="46">
        <f t="shared" si="1138"/>
        <v>2</v>
      </c>
      <c r="ABC82" s="46">
        <f t="shared" si="742"/>
        <v>0</v>
      </c>
      <c r="ABD82" s="46" cm="1">
        <f t="array" ref="ABD82">ROUND(VALUE(IFERROR(INDEX(ArchiveResults!$F$5:$IX$116,ComparisonData!A82,ComparisonData!$ABD$1),0)),5)</f>
        <v>0</v>
      </c>
      <c r="ABE82" s="46" cm="1">
        <f t="array" ref="ABE82">ROUND(VALUE(IFERROR(INDEX(ArchiveResults!$F$5:$IX$116,ComparisonData!A82,ComparisonData!$ABE$1),0)),5)</f>
        <v>0</v>
      </c>
      <c r="ABF82" s="46" cm="1">
        <f t="array" ref="ABF82">ROUND(VALUE(IFERROR(INDEX(ArchiveResults!$F$5:$IX$116,ComparisonData!A82,ComparisonData!$ABF$1),0)),5)</f>
        <v>0</v>
      </c>
      <c r="ABG82" s="46" cm="1">
        <f t="array" ref="ABG82">ROUND(VALUE(IFERROR(INDEX(ArchiveResults!$F$5:$IX$116,ComparisonData!A82,ComparisonData!$ABG$1),0)),5)</f>
        <v>0</v>
      </c>
      <c r="ABH82" s="46" cm="1">
        <f t="array" ref="ABH82">ROUND(VALUE(IFERROR(INDEX(ArchiveResults!$F$5:$IX$116,ComparisonData!A82,ComparisonData!$ABH$1),0)),5)</f>
        <v>0</v>
      </c>
      <c r="ABI82" s="56">
        <v>77</v>
      </c>
      <c r="ABJ82" s="53" t="str">
        <f t="shared" si="743"/>
        <v>South West Heritage Trust: Devon Archives &amp; Local Studies</v>
      </c>
      <c r="ABK82" s="60">
        <f t="shared" si="1139"/>
        <v>0</v>
      </c>
      <c r="ABL82" s="60">
        <f t="shared" si="1140"/>
        <v>0</v>
      </c>
      <c r="ABM82" s="60">
        <f t="shared" si="1141"/>
        <v>0</v>
      </c>
      <c r="ABN82" s="60">
        <f t="shared" si="1142"/>
        <v>0</v>
      </c>
      <c r="ABO82" s="60">
        <f t="shared" si="1143"/>
        <v>0</v>
      </c>
      <c r="ABP82" s="76">
        <f t="shared" si="1144"/>
        <v>0</v>
      </c>
      <c r="ABQ82" s="46">
        <f t="shared" si="1145"/>
        <v>54</v>
      </c>
      <c r="ABR82" s="46">
        <f t="shared" si="744"/>
        <v>2.7039999999999997</v>
      </c>
      <c r="ABS82" s="46">
        <f t="shared" si="1146"/>
        <v>1</v>
      </c>
      <c r="ABT82" s="46">
        <f t="shared" si="1147"/>
        <v>2</v>
      </c>
      <c r="ABU82" s="46" cm="1">
        <f t="array" ref="ABU82">ROUND(VALUE(IFERROR(INDEX(ArchiveResults!$F$5:$IX$116,ComparisonData!A82,ComparisonData!$ABU$1),0)),5)</f>
        <v>0</v>
      </c>
      <c r="ABV82" s="46" cm="1">
        <f t="array" ref="ABV82">ROUND(VALUE(IFERROR(INDEX(ArchiveResults!$F$5:$IX$116,ComparisonData!A82,ComparisonData!$ABV$1),0)),5)</f>
        <v>0</v>
      </c>
      <c r="ABW82" s="46" cm="1">
        <f t="array" ref="ABW82">ROUND(VALUE(IFERROR(INDEX(ArchiveResults!$F$5:$IX$116,ComparisonData!A82,ComparisonData!$ABW$1),0)),5)</f>
        <v>0</v>
      </c>
      <c r="ABX82" s="46" cm="1">
        <f t="array" ref="ABX82">ROUND(VALUE(IFERROR(INDEX(ArchiveResults!$F$5:$IX$116,ComparisonData!A82,ComparisonData!$ABX$1),0)),5)</f>
        <v>0</v>
      </c>
      <c r="ABY82" s="46" cm="1">
        <f t="array" ref="ABY82">ROUND(VALUE(IFERROR(INDEX(ArchiveResults!$F$5:$IX$116,ComparisonData!A82,ComparisonData!$ABY$1),0)),5)</f>
        <v>0</v>
      </c>
      <c r="ABZ82" s="56">
        <v>77</v>
      </c>
      <c r="ACA82" s="53" t="str">
        <f t="shared" si="745"/>
        <v>South West Heritage Trust: Devon Archives &amp; Local Studies</v>
      </c>
      <c r="ACB82" s="60">
        <f t="shared" si="1148"/>
        <v>0</v>
      </c>
      <c r="ACC82" s="60">
        <f t="shared" si="1149"/>
        <v>0</v>
      </c>
      <c r="ACD82" s="60">
        <f t="shared" si="1150"/>
        <v>0</v>
      </c>
      <c r="ACE82" s="60">
        <f t="shared" si="1151"/>
        <v>0</v>
      </c>
      <c r="ACF82" s="60">
        <f t="shared" si="1152"/>
        <v>0</v>
      </c>
      <c r="ACG82" s="76">
        <f t="shared" si="1153"/>
        <v>0</v>
      </c>
      <c r="ACH82" s="46">
        <f t="shared" si="1154"/>
        <v>54</v>
      </c>
      <c r="ACI82" s="46">
        <f t="shared" si="746"/>
        <v>2.7039999999999997</v>
      </c>
      <c r="ACJ82" s="46">
        <f t="shared" si="1155"/>
        <v>1</v>
      </c>
      <c r="ACK82" s="46">
        <f t="shared" si="1156"/>
        <v>2</v>
      </c>
      <c r="ACL82" s="46">
        <f t="shared" si="1157"/>
        <v>0</v>
      </c>
      <c r="ACM82" s="46" cm="1">
        <f t="array" ref="ACM82">ROUND(IFERROR(INDEX(ArchiveResults!$F$5:$IX$116,ComparisonData!A82,ComparisonData!$ACM$1),0),5)</f>
        <v>0</v>
      </c>
      <c r="ACN82" s="46" cm="1">
        <f t="array" ref="ACN82">ROUND(IFERROR(INDEX(ArchiveResults!$F$5:$IX$116,ComparisonData!A82,ComparisonData!$ACN$1),0),5)</f>
        <v>0</v>
      </c>
      <c r="ACO82" s="56">
        <v>77</v>
      </c>
      <c r="ACP82" s="53" t="str">
        <f t="shared" si="747"/>
        <v>South West Heritage Trust: Devon Archives &amp; Local Studies</v>
      </c>
      <c r="ACQ82" s="60">
        <f t="shared" si="1158"/>
        <v>0</v>
      </c>
      <c r="ACR82" s="60">
        <f t="shared" si="1159"/>
        <v>0</v>
      </c>
      <c r="ACS82" s="76">
        <f t="shared" si="1160"/>
        <v>0</v>
      </c>
      <c r="ACT82" s="46">
        <f t="shared" si="1161"/>
        <v>54</v>
      </c>
      <c r="ACU82" s="46">
        <f t="shared" si="748"/>
        <v>2.7039999999999997</v>
      </c>
      <c r="ACV82" s="46">
        <f t="shared" si="1162"/>
        <v>1</v>
      </c>
      <c r="ACW82" s="46">
        <f t="shared" si="1163"/>
        <v>2</v>
      </c>
      <c r="ACX82" s="46">
        <f t="shared" si="1164"/>
        <v>0</v>
      </c>
      <c r="ACY82" s="46" cm="1">
        <f t="array" ref="ACY82">ROUNDDOWN(IFERROR(INDEX(ArchiveResults!$F$5:$IX$116,ComparisonData!A82,ComparisonData!$ACY$1),0),5)</f>
        <v>0</v>
      </c>
      <c r="ACZ82" s="46" cm="1">
        <f t="array" ref="ACZ82">ROUNDDOWN(IFERROR(INDEX(ArchiveResults!$F$5:$IX$116,ComparisonData!A82,ComparisonData!$ACZ$1),0),5)</f>
        <v>0</v>
      </c>
      <c r="ADA82" s="46" cm="1">
        <f t="array" ref="ADA82">ROUNDDOWN(IFERROR(INDEX(ArchiveResults!$F$5:$IX$116,ComparisonData!A82,ComparisonData!$ADA$1),0),5)</f>
        <v>0</v>
      </c>
      <c r="ADB82" s="56">
        <v>77</v>
      </c>
      <c r="ADC82" s="53" t="str">
        <f t="shared" si="749"/>
        <v>South West Heritage Trust: Devon Archives &amp; Local Studies</v>
      </c>
      <c r="ADD82" s="60">
        <f t="shared" si="1165"/>
        <v>0</v>
      </c>
      <c r="ADE82" s="60">
        <f t="shared" si="1166"/>
        <v>0</v>
      </c>
      <c r="ADF82" s="60">
        <f t="shared" si="1167"/>
        <v>0</v>
      </c>
      <c r="ADG82" s="76">
        <f t="shared" si="1168"/>
        <v>0</v>
      </c>
    </row>
    <row r="83" spans="1:787" x14ac:dyDescent="0.25">
      <c r="A83" s="46" t="str">
        <f>IF(ISBLANK(ComparisonSelection!F79),"",ROW()-5)</f>
        <v/>
      </c>
      <c r="B83" s="53" t="s">
        <v>532</v>
      </c>
      <c r="C83" s="72">
        <v>0.57399999999999962</v>
      </c>
      <c r="D83" s="55">
        <f t="shared" si="750"/>
        <v>28</v>
      </c>
      <c r="E83" s="54">
        <f t="shared" si="751"/>
        <v>2.5739999999999998</v>
      </c>
      <c r="F83" s="54">
        <f t="shared" si="752"/>
        <v>1</v>
      </c>
      <c r="G83" s="72">
        <f t="shared" si="753"/>
        <v>2</v>
      </c>
      <c r="H83" s="72">
        <f t="shared" si="754"/>
        <v>0</v>
      </c>
      <c r="I83" s="46" cm="1">
        <f t="array" ref="I83">ROUND(IFERROR(INDEX(ArchiveResults!$F$5:$IX$116,ComparisonData!A83,ComparisonData!$I$1),0),5)</f>
        <v>0</v>
      </c>
      <c r="J83" s="46" cm="1">
        <f t="array" ref="J83">ROUND(IFERROR(INDEX(ArchiveResults!$F$5:$IX$116,ComparisonData!A83,ComparisonData!$J$1),0),5)</f>
        <v>0</v>
      </c>
      <c r="K83" s="56">
        <v>78</v>
      </c>
      <c r="L83" s="53" t="str">
        <f t="shared" si="755"/>
        <v>South West Heritage Trust: Somerset Archives &amp; Local Studies</v>
      </c>
      <c r="M83" s="57">
        <f t="shared" si="640"/>
        <v>0</v>
      </c>
      <c r="N83" s="57">
        <f t="shared" si="641"/>
        <v>0</v>
      </c>
      <c r="O83" s="58">
        <f t="shared" si="756"/>
        <v>0</v>
      </c>
      <c r="P83" s="48">
        <f t="shared" si="757"/>
        <v>28</v>
      </c>
      <c r="Q83" s="54">
        <f t="shared" si="642"/>
        <v>2.5739999999999998</v>
      </c>
      <c r="R83" s="45">
        <f t="shared" si="758"/>
        <v>1</v>
      </c>
      <c r="S83" s="46">
        <f t="shared" si="759"/>
        <v>2</v>
      </c>
      <c r="T83" s="72">
        <f t="shared" si="760"/>
        <v>0</v>
      </c>
      <c r="U83" s="46" cm="1">
        <f t="array" ref="U83">ROUND(IFERROR(INDEX(ArchiveResults!$F$5:$IX$116,ComparisonData!A83,ComparisonData!$U$1),0),5)</f>
        <v>0</v>
      </c>
      <c r="V83" s="46" cm="1">
        <f t="array" ref="V83">ROUND(IFERROR(INDEX(ArchiveResults!$F$5:$IX$116,ComparisonData!A83,ComparisonData!$V$1),0),5)</f>
        <v>0</v>
      </c>
      <c r="W83" s="56">
        <v>78</v>
      </c>
      <c r="X83" s="53" t="str">
        <f t="shared" si="643"/>
        <v>South West Heritage Trust: Somerset Archives &amp; Local Studies</v>
      </c>
      <c r="Y83" s="57">
        <f t="shared" si="761"/>
        <v>0</v>
      </c>
      <c r="Z83" s="57">
        <f t="shared" si="762"/>
        <v>0</v>
      </c>
      <c r="AA83" s="58">
        <f t="shared" si="763"/>
        <v>0</v>
      </c>
      <c r="AB83" s="45">
        <f t="shared" si="764"/>
        <v>28</v>
      </c>
      <c r="AC83" s="54">
        <f t="shared" si="644"/>
        <v>2.5739999999999998</v>
      </c>
      <c r="AD83" s="45">
        <f t="shared" si="765"/>
        <v>1</v>
      </c>
      <c r="AE83" s="45">
        <f t="shared" si="766"/>
        <v>2</v>
      </c>
      <c r="AF83" s="45">
        <f t="shared" si="639"/>
        <v>0</v>
      </c>
      <c r="AG83" s="46" cm="1">
        <f t="array" ref="AG83">ROUND(IFERROR(INDEX(ArchiveResults!$F$5:$IX$116,ComparisonData!A83,ComparisonData!$AG$1),0),5)</f>
        <v>0</v>
      </c>
      <c r="AH83" s="46" cm="1">
        <f t="array" ref="AH83">ROUND(IFERROR(INDEX(ArchiveResults!$F$5:$IX$116,ComparisonData!A83,ComparisonData!$AH$1),0),5)</f>
        <v>0</v>
      </c>
      <c r="AI83" s="56">
        <v>78</v>
      </c>
      <c r="AJ83" s="53" t="str">
        <f t="shared" si="645"/>
        <v>South West Heritage Trust: Somerset Archives &amp; Local Studies</v>
      </c>
      <c r="AK83" s="59">
        <f t="shared" si="646"/>
        <v>0</v>
      </c>
      <c r="AL83" s="59">
        <f t="shared" si="647"/>
        <v>0</v>
      </c>
      <c r="AM83" s="58">
        <f t="shared" si="767"/>
        <v>0</v>
      </c>
      <c r="AN83" s="45">
        <f t="shared" si="768"/>
        <v>28</v>
      </c>
      <c r="AO83" s="54">
        <f t="shared" si="648"/>
        <v>2.5739999999999998</v>
      </c>
      <c r="AP83" s="45">
        <f t="shared" si="769"/>
        <v>1</v>
      </c>
      <c r="AQ83" s="45">
        <f t="shared" si="770"/>
        <v>2</v>
      </c>
      <c r="AR83" s="46" cm="1">
        <f t="array" ref="AR83">ROUND(IFERROR(INDEX(ArchiveResults!$F$5:$IX$116,ComparisonData!A83,ComparisonData!$AR$1),0),5)</f>
        <v>0</v>
      </c>
      <c r="AS83" s="46" cm="1">
        <f t="array" ref="AS83">ROUND(IFERROR(INDEX(ArchiveResults!$F$5:$IX$116,ComparisonData!A83,ComparisonData!$AS$1),0),5)</f>
        <v>0</v>
      </c>
      <c r="AT83" s="46" cm="1">
        <f t="array" ref="AT83">ROUND(IFERROR(INDEX(ArchiveResults!$F$5:$IX$116,ComparisonData!A83,ComparisonData!$AT$1),0),5)</f>
        <v>0</v>
      </c>
      <c r="AU83" s="46" cm="1">
        <f t="array" ref="AU83">ROUND(IFERROR(INDEX(ArchiveResults!$F$5:$IX$116,ComparisonData!A83,ComparisonData!$AU$1),0),5)</f>
        <v>0</v>
      </c>
      <c r="AV83" s="46" cm="1">
        <f t="array" ref="AV83">ROUND(IFERROR(INDEX(ArchiveResults!$F$5:$IX$116,ComparisonData!A83,ComparisonData!$AV$1),0),5)</f>
        <v>0</v>
      </c>
      <c r="AW83" s="46" cm="1">
        <f t="array" ref="AW83">ROUND(IFERROR(INDEX(ArchiveResults!$F$5:$IX$116,ComparisonData!A83,ComparisonData!$AW$1),0),5)</f>
        <v>0</v>
      </c>
      <c r="AX83" s="46" cm="1">
        <f t="array" ref="AX83">ROUND(IFERROR(INDEX(ArchiveResults!$F$5:$IX$116,ComparisonData!A83,ComparisonData!$AX$1),0),5)</f>
        <v>0</v>
      </c>
      <c r="AY83" s="46" cm="1">
        <f t="array" ref="AY83">ROUND(IFERROR(INDEX(ArchiveResults!$F$5:$IX$116,ComparisonData!A83,ComparisonData!$AY$1),0),5)</f>
        <v>0</v>
      </c>
      <c r="AZ83" s="46" cm="1">
        <f t="array" ref="AZ83">ROUND(IFERROR(INDEX(ArchiveResults!$F$5:$IX$116,ComparisonData!A83,ComparisonData!$AZ$1),0),5)</f>
        <v>0</v>
      </c>
      <c r="BA83" s="46" cm="1">
        <f t="array" ref="BA83">ROUND(IFERROR(INDEX(ArchiveResults!$F$5:$IX$116,ComparisonData!A83,ComparisonData!$BA$1),0),5)</f>
        <v>0</v>
      </c>
      <c r="BB83" s="56">
        <v>78</v>
      </c>
      <c r="BC83" s="53" t="str">
        <f t="shared" si="649"/>
        <v>South West Heritage Trust: Somerset Archives &amp; Local Studies</v>
      </c>
      <c r="BD83" s="60">
        <f t="shared" si="771"/>
        <v>0</v>
      </c>
      <c r="BE83" s="60">
        <f t="shared" si="772"/>
        <v>0</v>
      </c>
      <c r="BF83" s="60">
        <f t="shared" si="773"/>
        <v>0</v>
      </c>
      <c r="BG83" s="60">
        <f t="shared" si="774"/>
        <v>0</v>
      </c>
      <c r="BH83" s="60">
        <f t="shared" si="775"/>
        <v>0</v>
      </c>
      <c r="BI83" s="60">
        <f t="shared" si="776"/>
        <v>0</v>
      </c>
      <c r="BJ83" s="60">
        <f t="shared" si="777"/>
        <v>0</v>
      </c>
      <c r="BK83" s="60">
        <f t="shared" si="778"/>
        <v>0</v>
      </c>
      <c r="BL83" s="60">
        <f t="shared" si="779"/>
        <v>0</v>
      </c>
      <c r="BM83" s="59">
        <f t="shared" si="780"/>
        <v>0</v>
      </c>
      <c r="BN83" s="58">
        <f t="shared" si="781"/>
        <v>0</v>
      </c>
      <c r="BO83" s="45">
        <f t="shared" si="782"/>
        <v>28</v>
      </c>
      <c r="BP83" s="54">
        <f t="shared" si="650"/>
        <v>2.5739999999999998</v>
      </c>
      <c r="BQ83" s="45">
        <f t="shared" si="783"/>
        <v>1</v>
      </c>
      <c r="BR83" s="45">
        <f t="shared" si="784"/>
        <v>2</v>
      </c>
      <c r="BS83" s="46" cm="1">
        <f t="array" ref="BS83">ROUND(IFERROR(INDEX(ArchiveResults!$F$5:$IX$116,ComparisonData!A83,ComparisonData!$BS$1),0),5)</f>
        <v>0</v>
      </c>
      <c r="BT83" s="46" cm="1">
        <f t="array" ref="BT83">ROUND(IFERROR(INDEX(ArchiveResults!$F$5:$IX$116,ComparisonData!A83,ComparisonData!$BT$1),0),5)</f>
        <v>0</v>
      </c>
      <c r="BU83" s="46" cm="1">
        <f t="array" ref="BU83">ROUND(IFERROR(INDEX(ArchiveResults!$F$5:$IX$116,ComparisonData!A83,ComparisonData!$BU$1),0),5)</f>
        <v>0</v>
      </c>
      <c r="BV83" s="46" cm="1">
        <f t="array" ref="BV83">ROUND(IFERROR(INDEX(ArchiveResults!$F$5:$IX$116,ComparisonData!A83,ComparisonData!$BV$1),0),5)</f>
        <v>0</v>
      </c>
      <c r="BW83" s="46" cm="1">
        <f t="array" ref="BW83">ROUND(IFERROR(INDEX(ArchiveResults!$F$5:$IX$116,ComparisonData!A83,ComparisonData!$BW$1),0),5)</f>
        <v>0</v>
      </c>
      <c r="BX83" s="46" cm="1">
        <f t="array" ref="BX83">ROUND(IFERROR(INDEX(ArchiveResults!$F$5:$IX$116,ComparisonData!A83,ComparisonData!$BX$1),0),5)</f>
        <v>0</v>
      </c>
      <c r="BY83" s="56">
        <v>78</v>
      </c>
      <c r="BZ83" s="53" t="str">
        <f t="shared" si="651"/>
        <v>South West Heritage Trust: Somerset Archives &amp; Local Studies</v>
      </c>
      <c r="CA83" s="59">
        <f t="shared" si="785"/>
        <v>0</v>
      </c>
      <c r="CB83" s="59">
        <f t="shared" si="786"/>
        <v>0</v>
      </c>
      <c r="CC83" s="59">
        <f t="shared" si="787"/>
        <v>0</v>
      </c>
      <c r="CD83" s="59">
        <f t="shared" si="788"/>
        <v>0</v>
      </c>
      <c r="CE83" s="59">
        <f t="shared" si="789"/>
        <v>0</v>
      </c>
      <c r="CF83" s="59">
        <f t="shared" si="790"/>
        <v>0</v>
      </c>
      <c r="CG83" s="58">
        <f t="shared" si="791"/>
        <v>0</v>
      </c>
      <c r="CH83" s="45">
        <f t="shared" si="792"/>
        <v>28</v>
      </c>
      <c r="CI83" s="54">
        <f t="shared" si="652"/>
        <v>2.5739999999999998</v>
      </c>
      <c r="CJ83" s="45">
        <f t="shared" si="793"/>
        <v>1</v>
      </c>
      <c r="CK83" s="45">
        <f t="shared" si="794"/>
        <v>2</v>
      </c>
      <c r="CL83" s="46" cm="1">
        <f t="array" ref="CL83">ROUND(IFERROR(INDEX(ArchiveResults!$F$5:$IX$116,ComparisonData!A83,ComparisonData!$CL$1),0),5)</f>
        <v>0</v>
      </c>
      <c r="CM83" s="56">
        <v>78</v>
      </c>
      <c r="CN83" s="53" t="str">
        <f t="shared" si="653"/>
        <v>South West Heritage Trust: Somerset Archives &amp; Local Studies</v>
      </c>
      <c r="CO83" s="45">
        <f t="shared" si="795"/>
        <v>0</v>
      </c>
      <c r="CP83" s="58">
        <f t="shared" si="796"/>
        <v>0</v>
      </c>
      <c r="CQ83" s="45">
        <f t="shared" si="797"/>
        <v>28</v>
      </c>
      <c r="CR83" s="54">
        <f t="shared" si="654"/>
        <v>2.5739999999999998</v>
      </c>
      <c r="CS83" s="45">
        <f t="shared" si="798"/>
        <v>1</v>
      </c>
      <c r="CT83" s="45">
        <f t="shared" si="799"/>
        <v>2</v>
      </c>
      <c r="CU83" s="46" cm="1">
        <f t="array" ref="CU83">ROUND(IFERROR(INDEX(ArchiveResults!$F$5:$IX$116,ComparisonData!A83,ComparisonData!$CU$1),0),5)</f>
        <v>0</v>
      </c>
      <c r="CV83" s="56">
        <v>78</v>
      </c>
      <c r="CW83" s="53" t="str">
        <f t="shared" si="655"/>
        <v>South West Heritage Trust: Somerset Archives &amp; Local Studies</v>
      </c>
      <c r="CX83" s="45">
        <f t="shared" si="800"/>
        <v>0</v>
      </c>
      <c r="CY83" s="58">
        <f t="shared" si="801"/>
        <v>0</v>
      </c>
      <c r="CZ83" s="45">
        <f t="shared" si="802"/>
        <v>28</v>
      </c>
      <c r="DA83" s="54">
        <f t="shared" si="656"/>
        <v>2.5739999999999998</v>
      </c>
      <c r="DB83" s="45">
        <f t="shared" si="803"/>
        <v>1</v>
      </c>
      <c r="DC83" s="45">
        <f t="shared" si="804"/>
        <v>2</v>
      </c>
      <c r="DD83" s="46" cm="1">
        <f t="array" ref="DD83">ROUND(IFERROR(INDEX(ArchiveResults!$F$5:$IX$116,ComparisonData!A83,ComparisonData!$DD$1),0),5)</f>
        <v>0</v>
      </c>
      <c r="DE83" s="56">
        <v>78</v>
      </c>
      <c r="DF83" s="53" t="str">
        <f t="shared" si="657"/>
        <v>South West Heritage Trust: Somerset Archives &amp; Local Studies</v>
      </c>
      <c r="DG83" s="45">
        <f t="shared" si="805"/>
        <v>0</v>
      </c>
      <c r="DH83" s="58">
        <f t="shared" si="806"/>
        <v>0</v>
      </c>
      <c r="DI83" s="45">
        <f t="shared" si="807"/>
        <v>28</v>
      </c>
      <c r="DJ83" s="54">
        <f t="shared" si="658"/>
        <v>2.5739999999999998</v>
      </c>
      <c r="DK83" s="45">
        <f t="shared" si="808"/>
        <v>1</v>
      </c>
      <c r="DL83" s="45">
        <f t="shared" si="809"/>
        <v>2</v>
      </c>
      <c r="DM83" s="46" cm="1">
        <f t="array" ref="DM83">ROUND(IFERROR(INDEX(ArchiveResults!$F$5:$IX$116,ComparisonData!A83,ComparisonData!$DM$1),0),5)</f>
        <v>0</v>
      </c>
      <c r="DN83" s="46" cm="1">
        <f t="array" ref="DN83">ROUND(IFERROR(INDEX(ArchiveResults!$F$5:$IX$116,ComparisonData!A83,ComparisonData!$DN$1),0),5)</f>
        <v>0</v>
      </c>
      <c r="DO83" s="46" cm="1">
        <f t="array" ref="DO83">ROUND(IFERROR(INDEX(ArchiveResults!$F$5:$IX$116,ComparisonData!A83,ComparisonData!$DO$1),0),5)</f>
        <v>0</v>
      </c>
      <c r="DP83" s="46" cm="1">
        <f t="array" ref="DP83">ROUND(IFERROR(INDEX(ArchiveResults!$F$5:$IX$116,ComparisonData!A83,ComparisonData!$DP$1),0),5)</f>
        <v>0</v>
      </c>
      <c r="DQ83" s="45" cm="1">
        <f t="array" ref="DQ83">IFERROR(INDEX(ArchiveResults!$F$5:$IX$116,ComparisonData!A83,ComparisonData!$DQ$1),0)</f>
        <v>0</v>
      </c>
      <c r="DR83" s="56">
        <v>78</v>
      </c>
      <c r="DS83" s="53" t="str">
        <f t="shared" si="659"/>
        <v>South West Heritage Trust: Somerset Archives &amp; Local Studies</v>
      </c>
      <c r="DT83" s="59">
        <f t="shared" si="810"/>
        <v>0</v>
      </c>
      <c r="DU83" s="59">
        <f t="shared" si="811"/>
        <v>0</v>
      </c>
      <c r="DV83" s="59">
        <f t="shared" si="812"/>
        <v>0</v>
      </c>
      <c r="DW83" s="59">
        <f t="shared" si="813"/>
        <v>0</v>
      </c>
      <c r="DX83" s="59">
        <f t="shared" si="814"/>
        <v>0</v>
      </c>
      <c r="DY83" s="58">
        <f t="shared" si="815"/>
        <v>0</v>
      </c>
      <c r="DZ83" s="45">
        <f t="shared" si="816"/>
        <v>28</v>
      </c>
      <c r="EA83" s="54">
        <f t="shared" si="660"/>
        <v>2.5739999999999998</v>
      </c>
      <c r="EB83" s="45">
        <f t="shared" si="817"/>
        <v>1</v>
      </c>
      <c r="EC83" s="45">
        <f t="shared" si="818"/>
        <v>2</v>
      </c>
      <c r="ED83" s="46" cm="1">
        <f t="array" ref="ED83">ROUND(IFERROR(INDEX(ArchiveResults!$F$5:$IX$116,ComparisonData!A83,ComparisonData!$ED$1),0),5)</f>
        <v>0</v>
      </c>
      <c r="EE83" s="46" cm="1">
        <f t="array" ref="EE83">ROUND(IFERROR(INDEX(ArchiveResults!$F$5:$IX$116,ComparisonData!A83,ComparisonData!$EE$1),0),5)</f>
        <v>0</v>
      </c>
      <c r="EF83" s="46" cm="1">
        <f t="array" ref="EF83">ROUND(IFERROR(INDEX(ArchiveResults!$F$5:$IX$116,ComparisonData!A83,ComparisonData!$EF$1),0),5)</f>
        <v>0</v>
      </c>
      <c r="EG83" s="46" cm="1">
        <f t="array" ref="EG83">ROUND(IFERROR(INDEX(ArchiveResults!$F$5:$IX$116,ComparisonData!A83,ComparisonData!$EG$1),0),5)</f>
        <v>0</v>
      </c>
      <c r="EH83" s="45" cm="1">
        <f t="array" ref="EH83">IFERROR(INDEX(ArchiveResults!$F$5:$IX$116,ComparisonData!A83,ComparisonData!$EH$1),0)</f>
        <v>0</v>
      </c>
      <c r="EI83" s="56">
        <v>78</v>
      </c>
      <c r="EJ83" s="53" t="str">
        <f t="shared" si="661"/>
        <v>South West Heritage Trust: Somerset Archives &amp; Local Studies</v>
      </c>
      <c r="EK83" s="59">
        <f t="shared" si="819"/>
        <v>0</v>
      </c>
      <c r="EL83" s="59">
        <f t="shared" si="820"/>
        <v>0</v>
      </c>
      <c r="EM83" s="59">
        <f t="shared" si="821"/>
        <v>0</v>
      </c>
      <c r="EN83" s="59">
        <f t="shared" si="822"/>
        <v>0</v>
      </c>
      <c r="EO83" s="59">
        <f t="shared" si="823"/>
        <v>0</v>
      </c>
      <c r="EP83" s="58">
        <f t="shared" si="824"/>
        <v>0</v>
      </c>
      <c r="EQ83" s="45">
        <f t="shared" si="825"/>
        <v>28</v>
      </c>
      <c r="ER83" s="54">
        <f t="shared" si="662"/>
        <v>2.5739999999999998</v>
      </c>
      <c r="ES83" s="45">
        <f t="shared" si="826"/>
        <v>1</v>
      </c>
      <c r="ET83" s="45">
        <f t="shared" si="827"/>
        <v>2</v>
      </c>
      <c r="EU83" s="46" cm="1">
        <f t="array" ref="EU83">ROUND(IFERROR(INDEX(ArchiveResults!$F$5:$IX$116,ComparisonData!A83,ComparisonData!$EU$1),0),5)</f>
        <v>0</v>
      </c>
      <c r="EV83" s="46" cm="1">
        <f t="array" ref="EV83">ROUND(IFERROR(INDEX(ArchiveResults!$F$5:$IX$116,ComparisonData!A83,ComparisonData!$EV$1),0),5)</f>
        <v>0</v>
      </c>
      <c r="EW83" s="46" cm="1">
        <f t="array" ref="EW83">ROUND(IFERROR(INDEX(ArchiveResults!$F$5:$IX$116,ComparisonData!A83,ComparisonData!$EW$1),0),5)</f>
        <v>0</v>
      </c>
      <c r="EX83" s="46" cm="1">
        <f t="array" ref="EX83">ROUND(IFERROR(INDEX(ArchiveResults!$F$5:$IX$116,ComparisonData!A83,ComparisonData!$EX$1),0),5)</f>
        <v>0</v>
      </c>
      <c r="EY83" s="45" cm="1">
        <f t="array" ref="EY83">IFERROR(INDEX(ArchiveResults!$F$5:$IX$116,ComparisonData!A83,ComparisonData!$EY$1),0)</f>
        <v>0</v>
      </c>
      <c r="EZ83" s="56">
        <v>78</v>
      </c>
      <c r="FA83" s="53" t="str">
        <f t="shared" si="663"/>
        <v>South West Heritage Trust: Somerset Archives &amp; Local Studies</v>
      </c>
      <c r="FB83" s="59">
        <f t="shared" si="828"/>
        <v>0</v>
      </c>
      <c r="FC83" s="59">
        <f t="shared" si="829"/>
        <v>0</v>
      </c>
      <c r="FD83" s="59">
        <f t="shared" si="830"/>
        <v>0</v>
      </c>
      <c r="FE83" s="59">
        <f t="shared" si="831"/>
        <v>0</v>
      </c>
      <c r="FF83" s="59">
        <f t="shared" si="832"/>
        <v>0</v>
      </c>
      <c r="FG83" s="58">
        <f t="shared" si="833"/>
        <v>0</v>
      </c>
      <c r="FH83" s="45">
        <f t="shared" si="834"/>
        <v>28</v>
      </c>
      <c r="FI83" s="54">
        <f t="shared" si="664"/>
        <v>2.5739999999999998</v>
      </c>
      <c r="FJ83" s="45">
        <f t="shared" si="835"/>
        <v>1</v>
      </c>
      <c r="FK83" s="45">
        <f t="shared" si="836"/>
        <v>2</v>
      </c>
      <c r="FL83" s="46" cm="1">
        <f t="array" ref="FL83">ROUND(IFERROR(INDEX(ArchiveResults!$F$5:$IX$116,ComparisonData!A83,ComparisonData!$FL$1),0),5)</f>
        <v>0</v>
      </c>
      <c r="FM83" s="46" cm="1">
        <f t="array" ref="FM83">ROUND(IFERROR(INDEX(ArchiveResults!$F$5:$IX$116,ComparisonData!A83,ComparisonData!$FM$1),0),5)</f>
        <v>0</v>
      </c>
      <c r="FN83" s="46" cm="1">
        <f t="array" ref="FN83">ROUND(IFERROR(INDEX(ArchiveResults!$F$5:$IX$116,ComparisonData!A83,ComparisonData!$FN$1),0),5)</f>
        <v>0</v>
      </c>
      <c r="FO83" s="46" cm="1">
        <f t="array" ref="FO83">ROUND(IFERROR(INDEX(ArchiveResults!$F$5:$IX$116,ComparisonData!A83,ComparisonData!$FO$1),0),5)</f>
        <v>0</v>
      </c>
      <c r="FP83" s="45" cm="1">
        <f t="array" ref="FP83">IFERROR(INDEX(ArchiveResults!$F$5:$IX$116,ComparisonData!A83,ComparisonData!$FP$1),0)</f>
        <v>0</v>
      </c>
      <c r="FQ83" s="56">
        <v>78</v>
      </c>
      <c r="FR83" s="53" t="str">
        <f t="shared" si="665"/>
        <v>South West Heritage Trust: Somerset Archives &amp; Local Studies</v>
      </c>
      <c r="FS83" s="59">
        <f t="shared" si="837"/>
        <v>0</v>
      </c>
      <c r="FT83" s="59">
        <f t="shared" si="838"/>
        <v>0</v>
      </c>
      <c r="FU83" s="59">
        <f t="shared" si="839"/>
        <v>0</v>
      </c>
      <c r="FV83" s="59">
        <f t="shared" si="840"/>
        <v>0</v>
      </c>
      <c r="FW83" s="59">
        <f t="shared" si="841"/>
        <v>0</v>
      </c>
      <c r="FX83" s="58">
        <f t="shared" si="842"/>
        <v>0</v>
      </c>
      <c r="FY83" s="45">
        <f t="shared" si="843"/>
        <v>28</v>
      </c>
      <c r="FZ83" s="45">
        <f t="shared" si="666"/>
        <v>2.5739999999999998</v>
      </c>
      <c r="GA83" s="45">
        <f t="shared" si="844"/>
        <v>1</v>
      </c>
      <c r="GB83" s="45">
        <f t="shared" si="845"/>
        <v>2</v>
      </c>
      <c r="GC83" s="46" cm="1">
        <f t="array" ref="GC83">ROUND(IFERROR(INDEX(ArchiveResults!$F$5:$IX$116,ComparisonData!A83,ComparisonData!$GC$1),0),5)</f>
        <v>0</v>
      </c>
      <c r="GD83" s="46" cm="1">
        <f t="array" ref="GD83">ROUND(IFERROR(INDEX(ArchiveResults!$F$5:$IX$116,ComparisonData!A83,ComparisonData!$GD$1),0),5)</f>
        <v>0</v>
      </c>
      <c r="GE83" s="46" cm="1">
        <f t="array" ref="GE83">ROUND(IFERROR(INDEX(ArchiveResults!$F$5:$IX$116,ComparisonData!A83,ComparisonData!$GE$1),0),5)</f>
        <v>0</v>
      </c>
      <c r="GF83" s="46" cm="1">
        <f t="array" ref="GF83">ROUND(IFERROR(INDEX(ArchiveResults!$F$5:$IX$116,ComparisonData!A83,ComparisonData!$GF$1),0),5)</f>
        <v>0</v>
      </c>
      <c r="GG83" s="45" cm="1">
        <f t="array" ref="GG83">IFERROR(INDEX(ArchiveResults!$F$5:$IX$116,ComparisonData!A83,ComparisonData!$GG$1),0)</f>
        <v>0</v>
      </c>
      <c r="GH83" s="56">
        <v>78</v>
      </c>
      <c r="GI83" s="53" t="str">
        <f t="shared" si="667"/>
        <v>South West Heritage Trust: Somerset Archives &amp; Local Studies</v>
      </c>
      <c r="GJ83" s="59">
        <f t="shared" si="846"/>
        <v>0</v>
      </c>
      <c r="GK83" s="59">
        <f t="shared" si="847"/>
        <v>0</v>
      </c>
      <c r="GL83" s="59">
        <f t="shared" si="848"/>
        <v>0</v>
      </c>
      <c r="GM83" s="59">
        <f t="shared" si="849"/>
        <v>0</v>
      </c>
      <c r="GN83" s="59">
        <f t="shared" si="850"/>
        <v>0</v>
      </c>
      <c r="GO83" s="58">
        <f t="shared" si="851"/>
        <v>0</v>
      </c>
      <c r="GP83" s="45">
        <f t="shared" si="852"/>
        <v>28</v>
      </c>
      <c r="GQ83" s="45">
        <f t="shared" si="668"/>
        <v>2.5739999999999998</v>
      </c>
      <c r="GR83" s="45">
        <f t="shared" si="853"/>
        <v>1</v>
      </c>
      <c r="GS83" s="45">
        <f t="shared" si="854"/>
        <v>2</v>
      </c>
      <c r="GT83" s="46" cm="1">
        <f t="array" ref="GT83">ROUND(IFERROR(INDEX(ArchiveResults!$F$5:$IX$116,ComparisonData!A83,ComparisonData!$GT$1),0),5)</f>
        <v>0</v>
      </c>
      <c r="GU83" s="46" cm="1">
        <f t="array" ref="GU83">ROUND(IFERROR(INDEX(ArchiveResults!$F$5:$IX$116,ComparisonData!A83,ComparisonData!$GU$1),0),5)</f>
        <v>0</v>
      </c>
      <c r="GV83" s="46" cm="1">
        <f t="array" ref="GV83">ROUND(IFERROR(INDEX(ArchiveResults!$F$5:$IX$116,ComparisonData!A83,ComparisonData!$GV$1),0),5)</f>
        <v>0</v>
      </c>
      <c r="GW83" s="46" cm="1">
        <f t="array" ref="GW83">ROUND(IFERROR(INDEX(ArchiveResults!$F$5:$IX$116,ComparisonData!A83,ComparisonData!$GW$1),0),5)</f>
        <v>0</v>
      </c>
      <c r="GX83" s="45" cm="1">
        <f t="array" ref="GX83">IFERROR(INDEX(ArchiveResults!$F$5:$IX$116,ComparisonData!A83,ComparisonData!$GX$1),0)</f>
        <v>0</v>
      </c>
      <c r="GY83" s="56">
        <v>78</v>
      </c>
      <c r="GZ83" s="53" t="str">
        <f t="shared" si="669"/>
        <v>South West Heritage Trust: Somerset Archives &amp; Local Studies</v>
      </c>
      <c r="HA83" s="59">
        <f t="shared" si="855"/>
        <v>0</v>
      </c>
      <c r="HB83" s="59">
        <f t="shared" si="856"/>
        <v>0</v>
      </c>
      <c r="HC83" s="59">
        <f t="shared" si="857"/>
        <v>0</v>
      </c>
      <c r="HD83" s="59">
        <f t="shared" si="858"/>
        <v>0</v>
      </c>
      <c r="HE83" s="59">
        <f t="shared" si="859"/>
        <v>0</v>
      </c>
      <c r="HF83" s="58">
        <f t="shared" si="860"/>
        <v>0</v>
      </c>
      <c r="HG83" s="45">
        <f t="shared" si="861"/>
        <v>28</v>
      </c>
      <c r="HH83" s="45">
        <f t="shared" si="670"/>
        <v>2.5739999999999998</v>
      </c>
      <c r="HI83" s="45">
        <f t="shared" si="862"/>
        <v>1</v>
      </c>
      <c r="HJ83" s="45">
        <f t="shared" si="863"/>
        <v>2</v>
      </c>
      <c r="HK83" s="46" cm="1">
        <f t="array" ref="HK83">ROUND(IFERROR(INDEX(ArchiveResults!$F$5:$IX$116,ComparisonData!A83,ComparisonData!$HK$1),0),5)</f>
        <v>0</v>
      </c>
      <c r="HL83" s="46" cm="1">
        <f t="array" ref="HL83">ROUND(IFERROR(INDEX(ArchiveResults!$F$5:$IX$116,ComparisonData!A83,ComparisonData!$HL$1),0),5)</f>
        <v>0</v>
      </c>
      <c r="HM83" s="46" cm="1">
        <f t="array" ref="HM83">ROUND(IFERROR(INDEX(ArchiveResults!$F$5:$IX$116,ComparisonData!A83,ComparisonData!$HM$1),0),5)</f>
        <v>0</v>
      </c>
      <c r="HN83" s="46" cm="1">
        <f t="array" ref="HN83">ROUND(IFERROR(INDEX(ArchiveResults!$F$5:$IX$116,ComparisonData!A83,ComparisonData!$HN$1),0),5)</f>
        <v>0</v>
      </c>
      <c r="HO83" s="45" cm="1">
        <f t="array" ref="HO83">IFERROR(INDEX(ArchiveResults!$F$5:$IX$116,ComparisonData!A83,ComparisonData!$HO$1),0)</f>
        <v>0</v>
      </c>
      <c r="HP83" s="56">
        <v>78</v>
      </c>
      <c r="HQ83" s="53" t="str">
        <f t="shared" si="671"/>
        <v>South West Heritage Trust: Somerset Archives &amp; Local Studies</v>
      </c>
      <c r="HR83" s="59">
        <f t="shared" si="672"/>
        <v>0</v>
      </c>
      <c r="HS83" s="59">
        <f t="shared" si="673"/>
        <v>0</v>
      </c>
      <c r="HT83" s="59">
        <f t="shared" si="674"/>
        <v>0</v>
      </c>
      <c r="HU83" s="59">
        <f t="shared" si="675"/>
        <v>0</v>
      </c>
      <c r="HV83" s="59">
        <f t="shared" si="676"/>
        <v>0</v>
      </c>
      <c r="HW83" s="58">
        <f t="shared" si="864"/>
        <v>0</v>
      </c>
      <c r="HX83" s="45">
        <f t="shared" si="865"/>
        <v>28</v>
      </c>
      <c r="HY83" s="45">
        <f t="shared" si="677"/>
        <v>2.5739999999999998</v>
      </c>
      <c r="HZ83" s="45">
        <f t="shared" si="866"/>
        <v>1</v>
      </c>
      <c r="IA83" s="45">
        <f t="shared" si="867"/>
        <v>2</v>
      </c>
      <c r="IB83" s="45">
        <f t="shared" si="868"/>
        <v>0</v>
      </c>
      <c r="IC83" s="46" cm="1">
        <f t="array" ref="IC83">ROUND(IFERROR(INDEX(ArchiveResults!$F$5:$IX$116,ComparisonData!A83,ComparisonData!$IC$1),0),5)</f>
        <v>0</v>
      </c>
      <c r="ID83" s="46" cm="1">
        <f t="array" ref="ID83">ROUND(IFERROR(INDEX(ArchiveResults!$F$5:$IX$116,ComparisonData!A83,ComparisonData!$ID$1),0),5)</f>
        <v>0</v>
      </c>
      <c r="IE83" s="46" cm="1">
        <f t="array" ref="IE83">ROUND(IFERROR(INDEX(ArchiveResults!$F$5:$IX$116,ComparisonData!A83,ComparisonData!$IE$1),0),5)</f>
        <v>0</v>
      </c>
      <c r="IF83" s="46" cm="1">
        <f t="array" ref="IF83">ROUND(IFERROR(INDEX(ArchiveResults!$F$5:$IX$116,ComparisonData!A83,ComparisonData!$IF$1),0),5)</f>
        <v>0</v>
      </c>
      <c r="IG83" s="45" cm="1">
        <f t="array" ref="IG83">IFERROR(INDEX(ArchiveResults!$F$5:$IX$116,ComparisonData!A83,ComparisonData!$IG$1),0)</f>
        <v>0</v>
      </c>
      <c r="IH83" s="56">
        <v>78</v>
      </c>
      <c r="II83" s="53" t="str">
        <f t="shared" si="678"/>
        <v>South West Heritage Trust: Somerset Archives &amp; Local Studies</v>
      </c>
      <c r="IJ83" s="59">
        <f t="shared" si="869"/>
        <v>0</v>
      </c>
      <c r="IK83" s="59">
        <f t="shared" si="870"/>
        <v>0</v>
      </c>
      <c r="IL83" s="59">
        <f t="shared" si="871"/>
        <v>0</v>
      </c>
      <c r="IM83" s="59">
        <f t="shared" si="872"/>
        <v>0</v>
      </c>
      <c r="IN83" s="59">
        <f t="shared" si="873"/>
        <v>0</v>
      </c>
      <c r="IO83" s="58">
        <f t="shared" si="874"/>
        <v>0</v>
      </c>
      <c r="IP83" s="45">
        <f t="shared" si="875"/>
        <v>28</v>
      </c>
      <c r="IQ83" s="45">
        <f t="shared" si="679"/>
        <v>2.5739999999999998</v>
      </c>
      <c r="IR83" s="45">
        <f t="shared" si="876"/>
        <v>1</v>
      </c>
      <c r="IS83" s="45">
        <f t="shared" si="877"/>
        <v>2</v>
      </c>
      <c r="IT83" s="46">
        <f t="shared" si="878"/>
        <v>0</v>
      </c>
      <c r="IU83" s="46" cm="1">
        <f t="array" ref="IU83">ROUND(IFERROR(INDEX(ArchiveResults!$F$5:$IX$116,ComparisonData!A83,ComparisonData!$IU$1),0),5)</f>
        <v>0</v>
      </c>
      <c r="IV83" s="46" cm="1">
        <f t="array" ref="IV83">ROUND(IFERROR(INDEX(ArchiveResults!$F$5:$IX$116,ComparisonData!A83,ComparisonData!$IV$1),0),5)</f>
        <v>0</v>
      </c>
      <c r="IW83" s="46" cm="1">
        <f t="array" ref="IW83">ROUND(IFERROR(INDEX(ArchiveResults!$F$5:$IX$116,ComparisonData!A83,ComparisonData!$IW$1),0),5)</f>
        <v>0</v>
      </c>
      <c r="IX83" s="46" cm="1">
        <f t="array" ref="IX83">ROUND(IFERROR(INDEX(ArchiveResults!$F$5:$IX$116,ComparisonData!A83,ComparisonData!$IX$1),0),5)</f>
        <v>0</v>
      </c>
      <c r="IY83" s="45" cm="1">
        <f t="array" ref="IY83">IFERROR(INDEX(ArchiveResults!$F$5:$IX$116,ComparisonData!A83,ComparisonData!$IY$1),0)</f>
        <v>0</v>
      </c>
      <c r="IZ83" s="56">
        <v>78</v>
      </c>
      <c r="JA83" s="53" t="str">
        <f t="shared" si="680"/>
        <v>South West Heritage Trust: Somerset Archives &amp; Local Studies</v>
      </c>
      <c r="JB83" s="59">
        <f t="shared" si="879"/>
        <v>0</v>
      </c>
      <c r="JC83" s="59">
        <f t="shared" si="880"/>
        <v>0</v>
      </c>
      <c r="JD83" s="59">
        <f t="shared" si="881"/>
        <v>0</v>
      </c>
      <c r="JE83" s="59">
        <f t="shared" si="882"/>
        <v>0</v>
      </c>
      <c r="JF83" s="59">
        <f t="shared" si="883"/>
        <v>0</v>
      </c>
      <c r="JG83" s="58">
        <f t="shared" si="884"/>
        <v>0</v>
      </c>
      <c r="JH83" s="45">
        <f t="shared" si="885"/>
        <v>28</v>
      </c>
      <c r="JI83" s="45">
        <f t="shared" si="681"/>
        <v>2.5739999999999998</v>
      </c>
      <c r="JJ83" s="45">
        <f t="shared" si="886"/>
        <v>1</v>
      </c>
      <c r="JK83" s="45">
        <f t="shared" si="887"/>
        <v>2</v>
      </c>
      <c r="JL83" s="45">
        <f t="shared" si="888"/>
        <v>0</v>
      </c>
      <c r="JM83" s="46" cm="1">
        <f t="array" ref="JM83">ROUND(IFERROR(INDEX(ArchiveResults!$F$5:$IX$116,ComparisonData!A83,ComparisonData!$JM$1),0),5)</f>
        <v>0</v>
      </c>
      <c r="JN83" s="46" cm="1">
        <f t="array" ref="JN83">ROUND(IFERROR(INDEX(ArchiveResults!$F$5:$IX$116,ComparisonData!A83,ComparisonData!$JN$1),0),5)</f>
        <v>0</v>
      </c>
      <c r="JO83" s="46" cm="1">
        <f t="array" ref="JO83">ROUND(IFERROR(INDEX(ArchiveResults!$F$5:$IX$116,ComparisonData!A83,ComparisonData!$JO$1),0),5)</f>
        <v>0</v>
      </c>
      <c r="JP83" s="46" cm="1">
        <f t="array" ref="JP83">ROUND(IFERROR(INDEX(ArchiveResults!$F$5:$IX$116,ComparisonData!A83,ComparisonData!$JP$1),0),5)</f>
        <v>0</v>
      </c>
      <c r="JQ83" s="45" cm="1">
        <f t="array" ref="JQ83">IFERROR(INDEX(ArchiveResults!$F$5:$IX$116,ComparisonData!A83,ComparisonData!$JQ$1),0)</f>
        <v>0</v>
      </c>
      <c r="JR83" s="56">
        <v>78</v>
      </c>
      <c r="JS83" s="53" t="str">
        <f t="shared" si="682"/>
        <v>South West Heritage Trust: Somerset Archives &amp; Local Studies</v>
      </c>
      <c r="JT83" s="59">
        <f t="shared" si="889"/>
        <v>0</v>
      </c>
      <c r="JU83" s="59">
        <f t="shared" si="890"/>
        <v>0</v>
      </c>
      <c r="JV83" s="59">
        <f t="shared" si="891"/>
        <v>0</v>
      </c>
      <c r="JW83" s="59">
        <f t="shared" si="892"/>
        <v>0</v>
      </c>
      <c r="JX83" s="59">
        <f t="shared" si="893"/>
        <v>0</v>
      </c>
      <c r="JY83" s="58">
        <f t="shared" si="894"/>
        <v>0</v>
      </c>
      <c r="JZ83" s="45">
        <f t="shared" si="895"/>
        <v>28</v>
      </c>
      <c r="KA83" s="45">
        <f t="shared" si="683"/>
        <v>2.5739999999999998</v>
      </c>
      <c r="KB83" s="45">
        <f t="shared" si="896"/>
        <v>1</v>
      </c>
      <c r="KC83" s="45">
        <f t="shared" si="897"/>
        <v>2</v>
      </c>
      <c r="KD83" s="45">
        <f t="shared" si="898"/>
        <v>0</v>
      </c>
      <c r="KE83" s="46" cm="1">
        <f t="array" ref="KE83">ROUND(IFERROR(INDEX(ArchiveResults!$F$5:$IX$116,ComparisonData!A83,ComparisonData!$KE$1),0),5)</f>
        <v>0</v>
      </c>
      <c r="KF83" s="46" cm="1">
        <f t="array" ref="KF83">ROUND(IFERROR(INDEX(ArchiveResults!$F$5:$IX$116,ComparisonData!A83,ComparisonData!$KF$1),0),5)</f>
        <v>0</v>
      </c>
      <c r="KG83" s="46" cm="1">
        <f t="array" ref="KG83">ROUND(IFERROR(INDEX(ArchiveResults!$F$5:$IX$116,ComparisonData!A83,ComparisonData!$KG$1),0),5)</f>
        <v>0</v>
      </c>
      <c r="KH83" s="46" cm="1">
        <f t="array" ref="KH83">ROUND(IFERROR(INDEX(ArchiveResults!$F$5:$IX$116,ComparisonData!A83,ComparisonData!$KH$1),0),5)</f>
        <v>0</v>
      </c>
      <c r="KI83" s="45" cm="1">
        <f t="array" ref="KI83">IFERROR(INDEX(ArchiveResults!$F$5:$IX$116,ComparisonData!A83,ComparisonData!$KI$1),0)</f>
        <v>0</v>
      </c>
      <c r="KJ83" s="56">
        <v>78</v>
      </c>
      <c r="KK83" s="53" t="str">
        <f t="shared" si="684"/>
        <v>South West Heritage Trust: Somerset Archives &amp; Local Studies</v>
      </c>
      <c r="KL83" s="59">
        <f t="shared" si="899"/>
        <v>0</v>
      </c>
      <c r="KM83" s="59">
        <f t="shared" si="900"/>
        <v>0</v>
      </c>
      <c r="KN83" s="59">
        <f t="shared" si="901"/>
        <v>0</v>
      </c>
      <c r="KO83" s="59">
        <f t="shared" si="902"/>
        <v>0</v>
      </c>
      <c r="KP83" s="59">
        <f t="shared" si="903"/>
        <v>0</v>
      </c>
      <c r="KQ83" s="58">
        <f t="shared" si="904"/>
        <v>0</v>
      </c>
      <c r="KR83" s="45">
        <f t="shared" si="905"/>
        <v>28</v>
      </c>
      <c r="KS83" s="45">
        <f t="shared" si="685"/>
        <v>2.5739999999999998</v>
      </c>
      <c r="KT83" s="45">
        <f t="shared" si="906"/>
        <v>1</v>
      </c>
      <c r="KU83" s="45">
        <f t="shared" si="907"/>
        <v>2</v>
      </c>
      <c r="KV83" s="45">
        <f t="shared" si="908"/>
        <v>0</v>
      </c>
      <c r="KW83" s="46" cm="1">
        <f t="array" ref="KW83">ROUND(IFERROR(INDEX(ArchiveResults!$F$5:$IX$116,ComparisonData!A83,ComparisonData!$KW$1),0),5)</f>
        <v>0</v>
      </c>
      <c r="KX83" s="46" cm="1">
        <f t="array" ref="KX83">ROUND(IFERROR(INDEX(ArchiveResults!$F$5:$IX$116,ComparisonData!A83,ComparisonData!$KX$1),0),5)</f>
        <v>0</v>
      </c>
      <c r="KY83" s="46" cm="1">
        <f t="array" ref="KY83">ROUND(IFERROR(INDEX(ArchiveResults!$F$5:$IX$116,ComparisonData!A83,ComparisonData!$KY$1),0),5)</f>
        <v>0</v>
      </c>
      <c r="KZ83" s="46" cm="1">
        <f t="array" ref="KZ83">ROUND(IFERROR(INDEX(ArchiveResults!$F$5:$IX$116,ComparisonData!A83,ComparisonData!$KZ$1),0),5)</f>
        <v>0</v>
      </c>
      <c r="LA83" s="45" cm="1">
        <f t="array" ref="LA83">IFERROR(INDEX(ArchiveResults!$F$5:$IX$116,ComparisonData!A83,ComparisonData!$LA$1),0)</f>
        <v>0</v>
      </c>
      <c r="LB83" s="56">
        <v>78</v>
      </c>
      <c r="LC83" s="53" t="str">
        <f t="shared" si="686"/>
        <v>South West Heritage Trust: Somerset Archives &amp; Local Studies</v>
      </c>
      <c r="LD83" s="59">
        <f t="shared" si="909"/>
        <v>0</v>
      </c>
      <c r="LE83" s="59">
        <f t="shared" si="910"/>
        <v>0</v>
      </c>
      <c r="LF83" s="59">
        <f t="shared" si="911"/>
        <v>0</v>
      </c>
      <c r="LG83" s="59">
        <f t="shared" si="912"/>
        <v>0</v>
      </c>
      <c r="LH83" s="59">
        <f t="shared" si="913"/>
        <v>0</v>
      </c>
      <c r="LI83" s="58">
        <f t="shared" si="914"/>
        <v>0</v>
      </c>
      <c r="LJ83" s="45">
        <f t="shared" si="915"/>
        <v>28</v>
      </c>
      <c r="LK83" s="45">
        <f t="shared" si="687"/>
        <v>2.5739999999999998</v>
      </c>
      <c r="LL83" s="45">
        <f t="shared" si="916"/>
        <v>1</v>
      </c>
      <c r="LM83" s="45">
        <f t="shared" si="917"/>
        <v>2</v>
      </c>
      <c r="LN83" s="45">
        <f t="shared" si="918"/>
        <v>0</v>
      </c>
      <c r="LO83" s="46" cm="1">
        <f t="array" ref="LO83">ROUND(IFERROR(INDEX(ArchiveResults!$F$5:$IX$116,ComparisonData!A83,ComparisonData!$LO$1),0),5)</f>
        <v>0</v>
      </c>
      <c r="LP83" s="46" cm="1">
        <f t="array" ref="LP83">ROUND(IFERROR(INDEX(ArchiveResults!$F$5:$IX$116,ComparisonData!A83,ComparisonData!$LP$1),0),5)</f>
        <v>0</v>
      </c>
      <c r="LQ83" s="46" cm="1">
        <f t="array" ref="LQ83">ROUND(IFERROR(INDEX(ArchiveResults!$F$5:$IX$116,ComparisonData!A83,ComparisonData!$LQ$1),0),5)</f>
        <v>0</v>
      </c>
      <c r="LR83" s="46" cm="1">
        <f t="array" ref="LR83">ROUND(IFERROR(INDEX(ArchiveResults!$F$5:$IX$116,ComparisonData!A83,ComparisonData!$LR$1),0),5)</f>
        <v>0</v>
      </c>
      <c r="LS83" s="45" cm="1">
        <f t="array" ref="LS83">IFERROR(INDEX(ArchiveResults!$F$5:$IX$116,ComparisonData!A83,ComparisonData!$LS$1),0)</f>
        <v>0</v>
      </c>
      <c r="LT83" s="56">
        <v>78</v>
      </c>
      <c r="LU83" s="53" t="str">
        <f t="shared" si="688"/>
        <v>South West Heritage Trust: Somerset Archives &amp; Local Studies</v>
      </c>
      <c r="LV83" s="59">
        <f t="shared" si="919"/>
        <v>0</v>
      </c>
      <c r="LW83" s="59">
        <f t="shared" si="920"/>
        <v>0</v>
      </c>
      <c r="LX83" s="59">
        <f t="shared" si="921"/>
        <v>0</v>
      </c>
      <c r="LY83" s="59">
        <f t="shared" si="922"/>
        <v>0</v>
      </c>
      <c r="LZ83" s="59">
        <f t="shared" si="923"/>
        <v>0</v>
      </c>
      <c r="MA83" s="58">
        <f t="shared" si="924"/>
        <v>0</v>
      </c>
      <c r="MB83" s="45">
        <f t="shared" si="925"/>
        <v>28</v>
      </c>
      <c r="MC83" s="45">
        <f t="shared" si="689"/>
        <v>2.5739999999999998</v>
      </c>
      <c r="MD83" s="45">
        <f t="shared" si="926"/>
        <v>1</v>
      </c>
      <c r="ME83" s="45">
        <f t="shared" si="927"/>
        <v>2</v>
      </c>
      <c r="MF83" s="45">
        <f t="shared" si="928"/>
        <v>0</v>
      </c>
      <c r="MG83" s="46" cm="1">
        <f t="array" ref="MG83">ROUND(IFERROR(INDEX(ArchiveResults!$F$5:$IX$116,ComparisonData!A83,ComparisonData!$MG$1),0),5)</f>
        <v>0</v>
      </c>
      <c r="MH83" s="46" cm="1">
        <f t="array" ref="MH83">ROUND(IFERROR(INDEX(ArchiveResults!$F$5:$IX$116,ComparisonData!A83,ComparisonData!$MH$1),0),5)</f>
        <v>0</v>
      </c>
      <c r="MI83" s="46" cm="1">
        <f t="array" ref="MI83">ROUND(IFERROR(INDEX(ArchiveResults!$F$5:$IX$116,ComparisonData!A83,ComparisonData!$MI$1),0),5)</f>
        <v>0</v>
      </c>
      <c r="MJ83" s="46" cm="1">
        <f t="array" ref="MJ83">ROUND(IFERROR(INDEX(ArchiveResults!$F$5:$IX$116,ComparisonData!A83,ComparisonData!$MJ$1),0),5)</f>
        <v>0</v>
      </c>
      <c r="MK83" s="45" cm="1">
        <f t="array" ref="MK83">IFERROR(INDEX(ArchiveResults!$F$5:$IX$116,ComparisonData!A83,ComparisonData!$MK$1),0)</f>
        <v>0</v>
      </c>
      <c r="ML83" s="56">
        <v>78</v>
      </c>
      <c r="MM83" s="53" t="str">
        <f t="shared" si="690"/>
        <v>South West Heritage Trust: Somerset Archives &amp; Local Studies</v>
      </c>
      <c r="MN83" s="59">
        <f t="shared" si="929"/>
        <v>0</v>
      </c>
      <c r="MO83" s="59">
        <f t="shared" si="930"/>
        <v>0</v>
      </c>
      <c r="MP83" s="59">
        <f t="shared" si="931"/>
        <v>0</v>
      </c>
      <c r="MQ83" s="59">
        <f t="shared" si="932"/>
        <v>0</v>
      </c>
      <c r="MR83" s="59">
        <f t="shared" si="933"/>
        <v>0</v>
      </c>
      <c r="MS83" s="58">
        <f t="shared" si="934"/>
        <v>0</v>
      </c>
      <c r="MT83" s="45">
        <f t="shared" si="935"/>
        <v>28</v>
      </c>
      <c r="MU83" s="45">
        <f t="shared" si="691"/>
        <v>2.5739999999999998</v>
      </c>
      <c r="MV83" s="45">
        <f t="shared" si="936"/>
        <v>1</v>
      </c>
      <c r="MW83" s="45">
        <f t="shared" si="937"/>
        <v>2</v>
      </c>
      <c r="MX83" s="45">
        <f t="shared" si="938"/>
        <v>0</v>
      </c>
      <c r="MY83" s="46" cm="1">
        <f t="array" ref="MY83">ROUND(IFERROR(INDEX(ArchiveResults!$F$5:$IX$116,ComparisonData!A83,ComparisonData!$MY$1),0),5)</f>
        <v>0</v>
      </c>
      <c r="MZ83" s="46" cm="1">
        <f t="array" ref="MZ83">ROUND(IFERROR(INDEX(ArchiveResults!$F$5:$IX$116,ComparisonData!A83,ComparisonData!$MZ$1),0),5)</f>
        <v>0</v>
      </c>
      <c r="NA83" s="46" cm="1">
        <f t="array" ref="NA83">ROUND(IFERROR(INDEX(ArchiveResults!$F$5:$IX$116,ComparisonData!A83,ComparisonData!$NA$1),0),5)</f>
        <v>0</v>
      </c>
      <c r="NB83" s="46" cm="1">
        <f t="array" ref="NB83">ROUND(IFERROR(INDEX(ArchiveResults!$F$5:$IX$116,ComparisonData!A83,ComparisonData!$NB$1),0),5)</f>
        <v>0</v>
      </c>
      <c r="NC83" s="45" cm="1">
        <f t="array" ref="NC83">IFERROR(INDEX(ArchiveResults!$F$5:$IX$116,ComparisonData!A83,ComparisonData!$NC$1),0)</f>
        <v>0</v>
      </c>
      <c r="ND83" s="56">
        <v>78</v>
      </c>
      <c r="NE83" s="53" t="str">
        <f t="shared" si="692"/>
        <v>South West Heritage Trust: Somerset Archives &amp; Local Studies</v>
      </c>
      <c r="NF83" s="59">
        <f t="shared" si="939"/>
        <v>0</v>
      </c>
      <c r="NG83" s="59">
        <f t="shared" si="940"/>
        <v>0</v>
      </c>
      <c r="NH83" s="59">
        <f t="shared" si="941"/>
        <v>0</v>
      </c>
      <c r="NI83" s="59">
        <f t="shared" si="942"/>
        <v>0</v>
      </c>
      <c r="NJ83" s="59">
        <f t="shared" si="943"/>
        <v>0</v>
      </c>
      <c r="NK83" s="58">
        <f t="shared" si="944"/>
        <v>0</v>
      </c>
      <c r="NL83" s="45">
        <f t="shared" si="945"/>
        <v>28</v>
      </c>
      <c r="NM83" s="45">
        <f t="shared" si="693"/>
        <v>2.5739999999999998</v>
      </c>
      <c r="NN83" s="45">
        <f t="shared" si="946"/>
        <v>1</v>
      </c>
      <c r="NO83" s="45">
        <f t="shared" si="947"/>
        <v>2</v>
      </c>
      <c r="NP83" s="46" cm="1">
        <f t="array" ref="NP83">ROUND(IFERROR(INDEX(ArchiveResults!$F$5:$IX$116,ComparisonData!A83,ComparisonData!$NP$1),0),5)</f>
        <v>0</v>
      </c>
      <c r="NQ83" s="46" cm="1">
        <f t="array" ref="NQ83">ROUND(IFERROR(INDEX(ArchiveResults!$F$5:$IX$116,ComparisonData!A83,ComparisonData!$NQ$1),0),5)</f>
        <v>0</v>
      </c>
      <c r="NR83" s="46" cm="1">
        <f t="array" ref="NR83">ROUND(IFERROR(INDEX(ArchiveResults!$F$5:$IX$116,ComparisonData!A83,ComparisonData!$NR$1),0),5)</f>
        <v>0</v>
      </c>
      <c r="NS83" s="46" cm="1">
        <f t="array" ref="NS83">ROUND(IFERROR(INDEX(ArchiveResults!$F$5:$IX$116,ComparisonData!A83,ComparisonData!$NS$1),0),5)</f>
        <v>0</v>
      </c>
      <c r="NT83" s="45" cm="1">
        <f t="array" ref="NT83">IFERROR(INDEX(ArchiveResults!$F$5:$IX$116,ComparisonData!A83,ComparisonData!$NT$1),0)</f>
        <v>0</v>
      </c>
      <c r="NU83" s="56">
        <v>78</v>
      </c>
      <c r="NV83" s="53" t="str">
        <f t="shared" si="694"/>
        <v>South West Heritage Trust: Somerset Archives &amp; Local Studies</v>
      </c>
      <c r="NW83" s="59">
        <f t="shared" si="948"/>
        <v>0</v>
      </c>
      <c r="NX83" s="59">
        <f t="shared" si="949"/>
        <v>0</v>
      </c>
      <c r="NY83" s="59">
        <f t="shared" si="950"/>
        <v>0</v>
      </c>
      <c r="NZ83" s="59">
        <f t="shared" si="951"/>
        <v>0</v>
      </c>
      <c r="OA83" s="59">
        <f t="shared" si="952"/>
        <v>0</v>
      </c>
      <c r="OB83" s="58">
        <f t="shared" si="953"/>
        <v>0</v>
      </c>
      <c r="OC83" s="45">
        <f t="shared" si="954"/>
        <v>28</v>
      </c>
      <c r="OD83" s="45">
        <f t="shared" si="695"/>
        <v>2.5739999999999998</v>
      </c>
      <c r="OE83" s="45">
        <f t="shared" si="955"/>
        <v>1</v>
      </c>
      <c r="OF83" s="45">
        <f t="shared" si="956"/>
        <v>2</v>
      </c>
      <c r="OG83" s="46">
        <f t="shared" si="957"/>
        <v>0</v>
      </c>
      <c r="OH83" s="46" cm="1">
        <f t="array" ref="OH83">ROUND(IFERROR(INDEX(ArchiveResults!$F$5:$IX$116,ComparisonData!A83,ComparisonData!$OH$1),0),5)</f>
        <v>0</v>
      </c>
      <c r="OI83" s="46" cm="1">
        <f t="array" ref="OI83">ROUND(IFERROR(INDEX(ArchiveResults!$F$5:$IX$116,ComparisonData!A83,ComparisonData!$OI$1),0),5)</f>
        <v>0</v>
      </c>
      <c r="OJ83" s="46" cm="1">
        <f t="array" ref="OJ83">ROUND(IFERROR(INDEX(ArchiveResults!$F$5:$IX$116,ComparisonData!A83,ComparisonData!$OJ$1),0),5)</f>
        <v>0</v>
      </c>
      <c r="OK83" s="46" cm="1">
        <f t="array" ref="OK83">ROUND(IFERROR(INDEX(ArchiveResults!$F$5:$IX$116,ComparisonData!A83,ComparisonData!$OK$1),0),5)</f>
        <v>0</v>
      </c>
      <c r="OL83" s="45" cm="1">
        <f t="array" ref="OL83">IFERROR(INDEX(ArchiveResults!$F$5:$IX$116,ComparisonData!A83,ComparisonData!$OL$1),0)</f>
        <v>0</v>
      </c>
      <c r="OM83" s="56">
        <v>78</v>
      </c>
      <c r="ON83" s="53" t="str">
        <f t="shared" si="696"/>
        <v>South West Heritage Trust: Somerset Archives &amp; Local Studies</v>
      </c>
      <c r="OO83" s="59">
        <f t="shared" si="958"/>
        <v>0</v>
      </c>
      <c r="OP83" s="59">
        <f t="shared" si="959"/>
        <v>0</v>
      </c>
      <c r="OQ83" s="59">
        <f t="shared" si="960"/>
        <v>0</v>
      </c>
      <c r="OR83" s="59">
        <f t="shared" si="961"/>
        <v>0</v>
      </c>
      <c r="OS83" s="59">
        <f t="shared" si="962"/>
        <v>0</v>
      </c>
      <c r="OT83" s="58">
        <f t="shared" si="963"/>
        <v>0</v>
      </c>
      <c r="OU83" s="45">
        <f t="shared" si="964"/>
        <v>28</v>
      </c>
      <c r="OV83" s="45">
        <f t="shared" si="697"/>
        <v>2.5739999999999998</v>
      </c>
      <c r="OW83" s="45">
        <f t="shared" si="965"/>
        <v>1</v>
      </c>
      <c r="OX83" s="45">
        <f t="shared" si="966"/>
        <v>2</v>
      </c>
      <c r="OY83" s="45">
        <f t="shared" si="967"/>
        <v>0</v>
      </c>
      <c r="OZ83" s="46" cm="1">
        <f t="array" ref="OZ83">ROUND(IFERROR(INDEX(ArchiveResults!$F$5:$IX$116,ComparisonData!A83,ComparisonData!$OZ$1),0),5)</f>
        <v>0</v>
      </c>
      <c r="PA83" s="46" cm="1">
        <f t="array" ref="PA83">ROUND(IFERROR(INDEX(ArchiveResults!$F$5:$IX$116,ComparisonData!A83,ComparisonData!$PA$1),0),5)</f>
        <v>0</v>
      </c>
      <c r="PB83" s="46" cm="1">
        <f t="array" ref="PB83">ROUND(IFERROR(INDEX(ArchiveResults!$F$5:$IX$116,ComparisonData!A83,ComparisonData!$PB$1),0),5)</f>
        <v>0</v>
      </c>
      <c r="PC83" s="46" cm="1">
        <f t="array" ref="PC83">ROUND(IFERROR(INDEX(ArchiveResults!$F$5:$IX$116,ComparisonData!A83,ComparisonData!$PC$1),0),5)</f>
        <v>0</v>
      </c>
      <c r="PD83" s="45" cm="1">
        <f t="array" ref="PD83">IFERROR(INDEX(ArchiveResults!$F$5:$IX$116,ComparisonData!A83,ComparisonData!$PD$1),0)</f>
        <v>0</v>
      </c>
      <c r="PE83" s="56">
        <v>78</v>
      </c>
      <c r="PF83" s="53" t="str">
        <f t="shared" si="698"/>
        <v>South West Heritage Trust: Somerset Archives &amp; Local Studies</v>
      </c>
      <c r="PG83" s="59">
        <f t="shared" si="968"/>
        <v>0</v>
      </c>
      <c r="PH83" s="59">
        <f t="shared" si="969"/>
        <v>0</v>
      </c>
      <c r="PI83" s="59">
        <f t="shared" si="970"/>
        <v>0</v>
      </c>
      <c r="PJ83" s="59">
        <f t="shared" si="971"/>
        <v>0</v>
      </c>
      <c r="PK83" s="59">
        <f t="shared" si="972"/>
        <v>0</v>
      </c>
      <c r="PL83" s="58">
        <f t="shared" si="973"/>
        <v>0</v>
      </c>
      <c r="PM83" s="45">
        <f t="shared" si="974"/>
        <v>28</v>
      </c>
      <c r="PN83" s="45">
        <f t="shared" si="699"/>
        <v>2.5739999999999998</v>
      </c>
      <c r="PO83" s="45">
        <f t="shared" si="975"/>
        <v>1</v>
      </c>
      <c r="PP83" s="45">
        <f t="shared" si="976"/>
        <v>2</v>
      </c>
      <c r="PQ83" s="45">
        <f t="shared" si="977"/>
        <v>0</v>
      </c>
      <c r="PR83" s="46" cm="1">
        <f t="array" ref="PR83">ROUND(IFERROR(INDEX(ArchiveResults!$F$5:$IX$116,ComparisonData!A83,ComparisonData!$PR$1),0),5)</f>
        <v>0</v>
      </c>
      <c r="PS83" s="46" cm="1">
        <f t="array" ref="PS83">ROUND(IFERROR(INDEX(ArchiveResults!$F$5:$IX$116,ComparisonData!A83,ComparisonData!$PS$1),0),5)</f>
        <v>0</v>
      </c>
      <c r="PT83" s="46" cm="1">
        <f t="array" ref="PT83">ROUND(IFERROR(INDEX(ArchiveResults!$F$5:$IX$116,ComparisonData!A83,ComparisonData!$PT$1),0),5)</f>
        <v>0</v>
      </c>
      <c r="PU83" s="46" cm="1">
        <f t="array" ref="PU83">ROUND(IFERROR(INDEX(ArchiveResults!$F$5:$IX$116,ComparisonData!A83,ComparisonData!$PU$1),0),5)</f>
        <v>0</v>
      </c>
      <c r="PV83" s="45" cm="1">
        <f t="array" ref="PV83">IFERROR(INDEX(ArchiveResults!$F$5:$IX$116,ComparisonData!A83,ComparisonData!$PV$1),0)</f>
        <v>0</v>
      </c>
      <c r="PW83" s="56">
        <v>78</v>
      </c>
      <c r="PX83" s="53" t="str">
        <f t="shared" si="700"/>
        <v>South West Heritage Trust: Somerset Archives &amp; Local Studies</v>
      </c>
      <c r="PY83" s="59">
        <f t="shared" si="978"/>
        <v>0</v>
      </c>
      <c r="PZ83" s="59">
        <f t="shared" si="979"/>
        <v>0</v>
      </c>
      <c r="QA83" s="59">
        <f t="shared" si="980"/>
        <v>0</v>
      </c>
      <c r="QB83" s="59">
        <f t="shared" si="981"/>
        <v>0</v>
      </c>
      <c r="QC83" s="59">
        <f t="shared" si="982"/>
        <v>0</v>
      </c>
      <c r="QD83" s="58">
        <f t="shared" si="983"/>
        <v>0</v>
      </c>
      <c r="QE83" s="45">
        <f t="shared" si="984"/>
        <v>28</v>
      </c>
      <c r="QF83" s="45">
        <f t="shared" si="701"/>
        <v>2.5739999999999998</v>
      </c>
      <c r="QG83" s="45">
        <f t="shared" si="985"/>
        <v>1</v>
      </c>
      <c r="QH83" s="45">
        <f t="shared" si="986"/>
        <v>2</v>
      </c>
      <c r="QI83" s="45">
        <f t="shared" si="987"/>
        <v>0</v>
      </c>
      <c r="QJ83" s="46" cm="1">
        <f t="array" ref="QJ83">ROUND(IFERROR(INDEX(ArchiveResults!$F$5:$IX$116,ComparisonData!A83,ComparisonData!$QJ$1),0),5)</f>
        <v>0</v>
      </c>
      <c r="QK83" s="46" cm="1">
        <f t="array" ref="QK83">ROUND(IFERROR(INDEX(ArchiveResults!$F$5:$IX$116,ComparisonData!A83,ComparisonData!$QK$1),0),5)</f>
        <v>0</v>
      </c>
      <c r="QL83" s="46" cm="1">
        <f t="array" ref="QL83">ROUND(IFERROR(INDEX(ArchiveResults!$F$5:$IX$116,ComparisonData!A83,ComparisonData!$QL$1),0),5)</f>
        <v>0</v>
      </c>
      <c r="QM83" s="46" cm="1">
        <f t="array" ref="QM83">ROUND(IFERROR(INDEX(ArchiveResults!$F$5:$IX$116,ComparisonData!A83,ComparisonData!$QM$1),0),5)</f>
        <v>0</v>
      </c>
      <c r="QN83" s="45" cm="1">
        <f t="array" ref="QN83">IFERROR(INDEX(ArchiveResults!$F$5:$IX$116,ComparisonData!A83,ComparisonData!$QN$1),0)</f>
        <v>0</v>
      </c>
      <c r="QO83" s="56">
        <v>78</v>
      </c>
      <c r="QP83" s="53" t="str">
        <f t="shared" si="702"/>
        <v>South West Heritage Trust: Somerset Archives &amp; Local Studies</v>
      </c>
      <c r="QQ83" s="59">
        <f t="shared" si="988"/>
        <v>0</v>
      </c>
      <c r="QR83" s="59">
        <f t="shared" si="989"/>
        <v>0</v>
      </c>
      <c r="QS83" s="59">
        <f t="shared" si="990"/>
        <v>0</v>
      </c>
      <c r="QT83" s="59">
        <f t="shared" si="991"/>
        <v>0</v>
      </c>
      <c r="QU83" s="59">
        <f t="shared" si="992"/>
        <v>0</v>
      </c>
      <c r="QV83" s="58">
        <f t="shared" si="993"/>
        <v>0</v>
      </c>
      <c r="QW83" s="45">
        <f t="shared" si="994"/>
        <v>28</v>
      </c>
      <c r="QX83" s="45">
        <f t="shared" si="703"/>
        <v>2.5739999999999998</v>
      </c>
      <c r="QY83" s="45">
        <f t="shared" si="995"/>
        <v>1</v>
      </c>
      <c r="QZ83" s="45">
        <f t="shared" si="996"/>
        <v>2</v>
      </c>
      <c r="RA83" s="45">
        <f t="shared" si="997"/>
        <v>0</v>
      </c>
      <c r="RB83" s="46" cm="1">
        <f t="array" ref="RB83">ROUND(IFERROR(INDEX(ArchiveResults!$F$5:$IX$116,ComparisonData!A83,ComparisonData!$RB$1),0),5)</f>
        <v>0</v>
      </c>
      <c r="RC83" s="46" cm="1">
        <f t="array" ref="RC83">ROUND(IFERROR(INDEX(ArchiveResults!$F$5:$IX$116,ComparisonData!A83,ComparisonData!$RC$1),0),5)</f>
        <v>0</v>
      </c>
      <c r="RD83" s="46" cm="1">
        <f t="array" ref="RD83">ROUND(IFERROR(INDEX(ArchiveResults!$F$5:$IX$116,ComparisonData!A83,ComparisonData!$RD$1),0),5)</f>
        <v>0</v>
      </c>
      <c r="RE83" s="46" cm="1">
        <f t="array" ref="RE83">ROUND(IFERROR(INDEX(ArchiveResults!$F$5:$IX$116,ComparisonData!A83,ComparisonData!$RE$1),0),5)</f>
        <v>0</v>
      </c>
      <c r="RF83" s="45" cm="1">
        <f t="array" ref="RF83">IFERROR(INDEX(ArchiveResults!$F$5:$IX$116,ComparisonData!A83,ComparisonData!$RF$1),0)</f>
        <v>0</v>
      </c>
      <c r="RG83" s="56">
        <v>78</v>
      </c>
      <c r="RH83" s="53" t="str">
        <f t="shared" si="704"/>
        <v>South West Heritage Trust: Somerset Archives &amp; Local Studies</v>
      </c>
      <c r="RI83" s="59">
        <f t="shared" si="998"/>
        <v>0</v>
      </c>
      <c r="RJ83" s="59">
        <f t="shared" si="999"/>
        <v>0</v>
      </c>
      <c r="RK83" s="59">
        <f t="shared" si="1000"/>
        <v>0</v>
      </c>
      <c r="RL83" s="59">
        <f t="shared" si="1001"/>
        <v>0</v>
      </c>
      <c r="RM83" s="59">
        <f t="shared" si="1002"/>
        <v>0</v>
      </c>
      <c r="RN83" s="58">
        <f t="shared" si="1003"/>
        <v>0</v>
      </c>
      <c r="RO83" s="45">
        <f t="shared" si="1004"/>
        <v>28</v>
      </c>
      <c r="RP83" s="45">
        <f t="shared" si="705"/>
        <v>2.5739999999999998</v>
      </c>
      <c r="RQ83" s="45">
        <f t="shared" si="1005"/>
        <v>1</v>
      </c>
      <c r="RR83" s="45">
        <f t="shared" si="1006"/>
        <v>2</v>
      </c>
      <c r="RS83" s="45">
        <f t="shared" si="1007"/>
        <v>0</v>
      </c>
      <c r="RT83" s="46" cm="1">
        <f t="array" ref="RT83">ROUND(IFERROR(INDEX(ArchiveResults!$F$5:$IX$116,ComparisonData!A83,ComparisonData!$RT$1),0),5)</f>
        <v>0</v>
      </c>
      <c r="RU83" s="46" cm="1">
        <f t="array" ref="RU83">ROUND(IFERROR(INDEX(ArchiveResults!$F$5:$IX$116,ComparisonData!A83,ComparisonData!$RU$1),0),5)</f>
        <v>0</v>
      </c>
      <c r="RV83" s="46" cm="1">
        <f t="array" ref="RV83">ROUND(IFERROR(INDEX(ArchiveResults!$F$5:$IX$116,ComparisonData!A83,ComparisonData!$RV$1),0),5)</f>
        <v>0</v>
      </c>
      <c r="RW83" s="46" cm="1">
        <f t="array" ref="RW83">ROUND(IFERROR(INDEX(ArchiveResults!$F$5:$IX$116,ComparisonData!A83,ComparisonData!$RW$1),0),5)</f>
        <v>0</v>
      </c>
      <c r="RX83" s="45" cm="1">
        <f t="array" ref="RX83">IFERROR(INDEX(ArchiveResults!$F$5:$IX$116,ComparisonData!A83,ComparisonData!$RX$1),0)</f>
        <v>0</v>
      </c>
      <c r="RY83" s="56">
        <v>78</v>
      </c>
      <c r="RZ83" s="53" t="str">
        <f t="shared" si="706"/>
        <v>South West Heritage Trust: Somerset Archives &amp; Local Studies</v>
      </c>
      <c r="SA83" s="59">
        <f t="shared" si="1008"/>
        <v>0</v>
      </c>
      <c r="SB83" s="59">
        <f t="shared" si="1009"/>
        <v>0</v>
      </c>
      <c r="SC83" s="59">
        <f t="shared" si="1010"/>
        <v>0</v>
      </c>
      <c r="SD83" s="59">
        <f t="shared" si="1011"/>
        <v>0</v>
      </c>
      <c r="SE83" s="59">
        <f t="shared" si="1012"/>
        <v>0</v>
      </c>
      <c r="SF83" s="58">
        <f t="shared" si="1013"/>
        <v>0</v>
      </c>
      <c r="SG83" s="45">
        <f t="shared" si="1014"/>
        <v>28</v>
      </c>
      <c r="SH83" s="45">
        <f t="shared" si="707"/>
        <v>2.5739999999999998</v>
      </c>
      <c r="SI83" s="45">
        <f t="shared" si="1015"/>
        <v>1</v>
      </c>
      <c r="SJ83" s="45">
        <f t="shared" si="1016"/>
        <v>2</v>
      </c>
      <c r="SK83" s="45">
        <f t="shared" si="1017"/>
        <v>0</v>
      </c>
      <c r="SL83" s="46" cm="1">
        <f t="array" ref="SL83">ROUND(IFERROR(INDEX(ArchiveResults!$F$5:$IX$116,ComparisonData!A83,ComparisonData!$SL$1),0),5)</f>
        <v>0</v>
      </c>
      <c r="SM83" s="46" cm="1">
        <f t="array" ref="SM83">ROUND(IFERROR(INDEX(ArchiveResults!$F$5:$IX$116,ComparisonData!A83,ComparisonData!$SM$1),0),5)</f>
        <v>0</v>
      </c>
      <c r="SN83" s="46" cm="1">
        <f t="array" ref="SN83">ROUND(IFERROR(INDEX(ArchiveResults!$F$5:$IX$116,ComparisonData!A83,ComparisonData!$SN$1),0),5)</f>
        <v>0</v>
      </c>
      <c r="SO83" s="46" cm="1">
        <f t="array" ref="SO83">ROUND(IFERROR(INDEX(ArchiveResults!$F$5:$IX$116,ComparisonData!A83,ComparisonData!$SO$1),0),5)</f>
        <v>0</v>
      </c>
      <c r="SP83" s="45" cm="1">
        <f t="array" ref="SP83">IFERROR(INDEX(ArchiveResults!$F$5:$IX$116,ComparisonData!A83,ComparisonData!$SP$1),0)</f>
        <v>0</v>
      </c>
      <c r="SQ83" s="56">
        <v>78</v>
      </c>
      <c r="SR83" s="53" t="str">
        <f t="shared" si="708"/>
        <v>South West Heritage Trust: Somerset Archives &amp; Local Studies</v>
      </c>
      <c r="SS83" s="59">
        <f t="shared" si="1018"/>
        <v>0</v>
      </c>
      <c r="ST83" s="59">
        <f t="shared" si="1019"/>
        <v>0</v>
      </c>
      <c r="SU83" s="59">
        <f t="shared" si="1020"/>
        <v>0</v>
      </c>
      <c r="SV83" s="59">
        <f t="shared" si="1021"/>
        <v>0</v>
      </c>
      <c r="SW83" s="59">
        <f t="shared" si="1022"/>
        <v>0</v>
      </c>
      <c r="SX83" s="58">
        <f t="shared" si="1023"/>
        <v>0</v>
      </c>
      <c r="SY83" s="45">
        <f t="shared" si="1024"/>
        <v>28</v>
      </c>
      <c r="SZ83" s="45">
        <f t="shared" si="709"/>
        <v>2.5739999999999998</v>
      </c>
      <c r="TA83" s="45">
        <f t="shared" si="1025"/>
        <v>1</v>
      </c>
      <c r="TB83" s="45">
        <f t="shared" si="1026"/>
        <v>2</v>
      </c>
      <c r="TC83" s="45">
        <f t="shared" si="1027"/>
        <v>0</v>
      </c>
      <c r="TD83" s="46" cm="1">
        <f t="array" ref="TD83">ROUND(IFERROR(INDEX(ArchiveResults!$F$5:$IX$116,ComparisonData!A83,ComparisonData!$TD$1),0),5)</f>
        <v>0</v>
      </c>
      <c r="TE83" s="46" cm="1">
        <f t="array" ref="TE83">ROUND(IFERROR(INDEX(ArchiveResults!$F$5:$IX$116,ComparisonData!A83,ComparisonData!$TE$1),0),5)</f>
        <v>0</v>
      </c>
      <c r="TF83" s="46" cm="1">
        <f t="array" ref="TF83">ROUND(IFERROR(INDEX(ArchiveResults!$F$5:$IX$116,ComparisonData!A83,ComparisonData!$TF$1),0),5)</f>
        <v>0</v>
      </c>
      <c r="TG83" s="46" cm="1">
        <f t="array" ref="TG83">ROUND(IFERROR(INDEX(ArchiveResults!$F$5:$IX$116,ComparisonData!A83,ComparisonData!$TG$1),0),5)</f>
        <v>0</v>
      </c>
      <c r="TH83" s="45" cm="1">
        <f t="array" ref="TH83">IFERROR(INDEX(ArchiveResults!$F$5:$IX$116,ComparisonData!A83,ComparisonData!$TH$1),0)</f>
        <v>0</v>
      </c>
      <c r="TI83" s="56">
        <v>78</v>
      </c>
      <c r="TJ83" s="53" t="str">
        <f t="shared" si="710"/>
        <v>South West Heritage Trust: Somerset Archives &amp; Local Studies</v>
      </c>
      <c r="TK83" s="59">
        <f t="shared" si="1028"/>
        <v>0</v>
      </c>
      <c r="TL83" s="59">
        <f t="shared" si="1029"/>
        <v>0</v>
      </c>
      <c r="TM83" s="59">
        <f t="shared" si="1030"/>
        <v>0</v>
      </c>
      <c r="TN83" s="59">
        <f t="shared" si="1031"/>
        <v>0</v>
      </c>
      <c r="TO83" s="59">
        <f t="shared" si="1032"/>
        <v>0</v>
      </c>
      <c r="TP83" s="58">
        <f t="shared" si="1033"/>
        <v>0</v>
      </c>
      <c r="TQ83" s="45">
        <f t="shared" si="1034"/>
        <v>28</v>
      </c>
      <c r="TR83" s="45">
        <f t="shared" si="711"/>
        <v>2.5739999999999998</v>
      </c>
      <c r="TS83" s="45">
        <f t="shared" si="1035"/>
        <v>1</v>
      </c>
      <c r="TT83" s="45">
        <f t="shared" si="1036"/>
        <v>2</v>
      </c>
      <c r="TU83" s="45">
        <f t="shared" si="1037"/>
        <v>0</v>
      </c>
      <c r="TV83" s="46" cm="1">
        <f t="array" ref="TV83">ROUND(IFERROR(INDEX(ArchiveResults!$F$5:$IX$116,ComparisonData!A83,ComparisonData!$TV$1),0),5)</f>
        <v>0</v>
      </c>
      <c r="TW83" s="46" cm="1">
        <f t="array" ref="TW83">ROUND(IFERROR(INDEX(ArchiveResults!$F$5:$IX$116,ComparisonData!A83,ComparisonData!$TW$1),0),5)</f>
        <v>0</v>
      </c>
      <c r="TX83" s="46" cm="1">
        <f t="array" ref="TX83">ROUND(IFERROR(INDEX(ArchiveResults!$F$5:$IX$116,ComparisonData!A83,ComparisonData!$TX$1),0),5)</f>
        <v>0</v>
      </c>
      <c r="TY83" s="46" cm="1">
        <f t="array" ref="TY83">ROUND(IFERROR(INDEX(ArchiveResults!$F$5:$IX$116,ComparisonData!A83,ComparisonData!$TY$1),0),5)</f>
        <v>0</v>
      </c>
      <c r="TZ83" s="45" cm="1">
        <f t="array" ref="TZ83">IFERROR(INDEX(ArchiveResults!$F$5:$IX$116,ComparisonData!A83,ComparisonData!$TZ$1),0)</f>
        <v>0</v>
      </c>
      <c r="UA83" s="56">
        <v>78</v>
      </c>
      <c r="UB83" s="53" t="str">
        <f t="shared" si="712"/>
        <v>South West Heritage Trust: Somerset Archives &amp; Local Studies</v>
      </c>
      <c r="UC83" s="60">
        <f t="shared" si="1038"/>
        <v>0</v>
      </c>
      <c r="UD83" s="60">
        <f t="shared" si="1039"/>
        <v>0</v>
      </c>
      <c r="UE83" s="60">
        <f t="shared" si="1040"/>
        <v>0</v>
      </c>
      <c r="UF83" s="60">
        <f t="shared" si="1041"/>
        <v>0</v>
      </c>
      <c r="UG83" s="60">
        <f t="shared" si="1042"/>
        <v>0</v>
      </c>
      <c r="UH83" s="58">
        <f t="shared" si="1043"/>
        <v>0</v>
      </c>
      <c r="UI83" s="46">
        <f t="shared" si="1044"/>
        <v>28</v>
      </c>
      <c r="UJ83" s="46">
        <f t="shared" si="713"/>
        <v>2.5739999999999998</v>
      </c>
      <c r="UK83" s="46">
        <f t="shared" si="1045"/>
        <v>1</v>
      </c>
      <c r="UL83" s="46">
        <f t="shared" si="1046"/>
        <v>2</v>
      </c>
      <c r="UM83" s="46" cm="1">
        <f t="array" ref="UM83">ROUND(IFERROR(INDEX(ArchiveResults!$F$5:$IX$116,ComparisonData!A83,ComparisonData!$UM$1),0),5)</f>
        <v>0</v>
      </c>
      <c r="UN83" s="56">
        <v>78</v>
      </c>
      <c r="UO83" s="53" t="str">
        <f t="shared" si="714"/>
        <v>South West Heritage Trust: Somerset Archives &amp; Local Studies</v>
      </c>
      <c r="UP83" s="46">
        <f t="shared" si="1047"/>
        <v>0</v>
      </c>
      <c r="UQ83" s="76">
        <f t="shared" si="1048"/>
        <v>0</v>
      </c>
      <c r="UR83" s="46">
        <f t="shared" si="1049"/>
        <v>28</v>
      </c>
      <c r="US83" s="46">
        <f t="shared" si="715"/>
        <v>2.5739999999999998</v>
      </c>
      <c r="UT83" s="46">
        <f t="shared" si="1050"/>
        <v>1</v>
      </c>
      <c r="UU83" s="46">
        <f t="shared" si="1051"/>
        <v>2</v>
      </c>
      <c r="UV83" s="46">
        <f t="shared" si="1052"/>
        <v>0</v>
      </c>
      <c r="UW83" s="46" cm="1">
        <f t="array" ref="UW83">ROUND(IFERROR(INDEX(ArchiveResults!$F$5:$IX$116,ComparisonData!A83,ComparisonData!$UW$1),0),5)</f>
        <v>0</v>
      </c>
      <c r="UX83" s="46" cm="1">
        <f t="array" ref="UX83">ROUND(IFERROR(INDEX(ArchiveResults!$F$5:$IX$116,ComparisonData!A83,ComparisonData!$UX$1),0),5)</f>
        <v>0</v>
      </c>
      <c r="UY83" s="46" cm="1">
        <f t="array" ref="UY83">ROUND(IFERROR(INDEX(ArchiveResults!$F$5:$IX$116,ComparisonData!A83,ComparisonData!$UY$1),0),5)</f>
        <v>0</v>
      </c>
      <c r="UZ83" s="46" cm="1">
        <f t="array" ref="UZ83">ROUND(IFERROR(INDEX(ArchiveResults!$F$5:$IX$116,ComparisonData!A83,ComparisonData!$UZ$1),0),5)</f>
        <v>0</v>
      </c>
      <c r="VA83" s="46" cm="1">
        <f t="array" ref="VA83">ROUND(IFERROR(INDEX(ArchiveResults!$F$5:$IX$116,ComparisonData!A83,ComparisonData!$VA$1),0),5)</f>
        <v>0</v>
      </c>
      <c r="VB83" s="56">
        <v>78</v>
      </c>
      <c r="VC83" s="53" t="str">
        <f t="shared" si="716"/>
        <v>South West Heritage Trust: Somerset Archives &amp; Local Studies</v>
      </c>
      <c r="VD83" s="60">
        <f t="shared" si="1053"/>
        <v>0</v>
      </c>
      <c r="VE83" s="60">
        <f t="shared" si="1054"/>
        <v>0</v>
      </c>
      <c r="VF83" s="60">
        <f t="shared" si="1055"/>
        <v>0</v>
      </c>
      <c r="VG83" s="60">
        <f t="shared" si="1056"/>
        <v>0</v>
      </c>
      <c r="VH83" s="60">
        <f t="shared" si="1057"/>
        <v>0</v>
      </c>
      <c r="VI83" s="76">
        <f t="shared" si="1058"/>
        <v>0</v>
      </c>
      <c r="VJ83" s="46">
        <f t="shared" si="1059"/>
        <v>28</v>
      </c>
      <c r="VK83" s="46">
        <f t="shared" si="717"/>
        <v>2.5739999999999998</v>
      </c>
      <c r="VL83" s="46">
        <f t="shared" si="1060"/>
        <v>1</v>
      </c>
      <c r="VM83" s="46">
        <f t="shared" si="1061"/>
        <v>2</v>
      </c>
      <c r="VN83" s="46" cm="1">
        <f t="array" ref="VN83">ROUND(IFERROR(INDEX(ArchiveResults!$F$5:$IX$116,ComparisonData!A83,ComparisonData!$VN$1),0),5)</f>
        <v>0</v>
      </c>
      <c r="VO83" s="46" cm="1">
        <f t="array" ref="VO83">ROUND(IFERROR(INDEX(ArchiveResults!$F$5:$IX$116,ComparisonData!A83,ComparisonData!$VO$1),0),5)</f>
        <v>0</v>
      </c>
      <c r="VP83" s="46" cm="1">
        <f t="array" ref="VP83">ROUND(IFERROR(INDEX(ArchiveResults!$F$5:$IX$116,ComparisonData!A83,ComparisonData!$VP$1),0),5)</f>
        <v>0</v>
      </c>
      <c r="VQ83" s="46" cm="1">
        <f t="array" ref="VQ83">ROUND(IFERROR(INDEX(ArchiveResults!$F$5:$IX$116,ComparisonData!A83,ComparisonData!$VQ$1),0),5)</f>
        <v>0</v>
      </c>
      <c r="VR83" s="56">
        <v>78</v>
      </c>
      <c r="VS83" s="53" t="str">
        <f t="shared" si="718"/>
        <v>South West Heritage Trust: Somerset Archives &amp; Local Studies</v>
      </c>
      <c r="VT83" s="60">
        <f t="shared" si="1062"/>
        <v>0</v>
      </c>
      <c r="VU83" s="60">
        <f t="shared" si="1063"/>
        <v>0</v>
      </c>
      <c r="VV83" s="60">
        <f t="shared" si="1064"/>
        <v>0</v>
      </c>
      <c r="VW83" s="60">
        <f t="shared" si="1065"/>
        <v>0</v>
      </c>
      <c r="VX83" s="76">
        <f t="shared" si="1066"/>
        <v>0</v>
      </c>
      <c r="VY83" s="46">
        <f t="shared" si="1067"/>
        <v>28</v>
      </c>
      <c r="VZ83" s="46">
        <f t="shared" si="719"/>
        <v>2.5739999999999998</v>
      </c>
      <c r="WA83" s="46">
        <f t="shared" si="1068"/>
        <v>1</v>
      </c>
      <c r="WB83" s="46">
        <f t="shared" si="1069"/>
        <v>2</v>
      </c>
      <c r="WC83" s="46" cm="1">
        <f t="array" ref="WC83">ROUND(IFERROR(INDEX(ArchiveResults!$F$5:$IX$116,ComparisonData!A83,ComparisonData!$WC$1),0),5)</f>
        <v>0</v>
      </c>
      <c r="WD83" s="56">
        <v>78</v>
      </c>
      <c r="WE83" s="53" t="str">
        <f t="shared" si="720"/>
        <v>South West Heritage Trust: Somerset Archives &amp; Local Studies</v>
      </c>
      <c r="WF83" s="46">
        <f t="shared" si="1070"/>
        <v>0</v>
      </c>
      <c r="WG83" s="76">
        <f t="shared" si="1071"/>
        <v>0</v>
      </c>
      <c r="WH83" s="46">
        <f t="shared" si="1072"/>
        <v>28</v>
      </c>
      <c r="WI83" s="46">
        <f t="shared" si="721"/>
        <v>2.5739999999999998</v>
      </c>
      <c r="WJ83" s="46">
        <f t="shared" si="1073"/>
        <v>1</v>
      </c>
      <c r="WK83" s="46">
        <f t="shared" si="1074"/>
        <v>2</v>
      </c>
      <c r="WL83" s="46" cm="1">
        <f t="array" ref="WL83">ROUND(IFERROR(INDEX(ArchiveResults!$F$5:$IX$116,ComparisonData!A83,ComparisonData!$WL$1),0),5)</f>
        <v>0</v>
      </c>
      <c r="WM83" s="46" cm="1">
        <f t="array" ref="WM83">IFERROR(INDEX(ArchiveResults!$F$5:$IX$116,ComparisonData!A83,ComparisonData!$WM$1),0)</f>
        <v>0</v>
      </c>
      <c r="WN83" s="56">
        <v>78</v>
      </c>
      <c r="WO83" s="53" t="str">
        <f t="shared" si="722"/>
        <v>South West Heritage Trust: Somerset Archives &amp; Local Studies</v>
      </c>
      <c r="WP83" s="60">
        <f t="shared" si="1075"/>
        <v>0</v>
      </c>
      <c r="WQ83" s="60">
        <f t="shared" si="1076"/>
        <v>0</v>
      </c>
      <c r="WR83" s="76">
        <f t="shared" si="1077"/>
        <v>0</v>
      </c>
      <c r="WS83" s="46">
        <f t="shared" si="1078"/>
        <v>28</v>
      </c>
      <c r="WT83" s="46">
        <f t="shared" si="723"/>
        <v>2.5739999999999998</v>
      </c>
      <c r="WU83" s="46">
        <f t="shared" si="1079"/>
        <v>1</v>
      </c>
      <c r="WV83" s="46">
        <f t="shared" si="1080"/>
        <v>2</v>
      </c>
      <c r="WW83" s="46" cm="1">
        <f t="array" ref="WW83">ROUND(VALUE(IFERROR(INDEX(ArchiveResults!$F$5:$IX$116,ComparisonData!A83,ComparisonData!$WW$1),0)),5)</f>
        <v>0</v>
      </c>
      <c r="WX83" s="46" cm="1">
        <f t="array" ref="WX83">ROUND(IFERROR(INDEX(ArchiveResults!$F$5:$IX$116,ComparisonData!A83,ComparisonData!$WX$1),0),5)</f>
        <v>0</v>
      </c>
      <c r="WY83" s="56">
        <v>78</v>
      </c>
      <c r="WZ83" s="53" t="str">
        <f t="shared" si="724"/>
        <v>South West Heritage Trust: Somerset Archives &amp; Local Studies</v>
      </c>
      <c r="XA83" s="60">
        <f t="shared" si="725"/>
        <v>0</v>
      </c>
      <c r="XB83" s="60">
        <f t="shared" si="726"/>
        <v>0</v>
      </c>
      <c r="XC83" s="76">
        <f t="shared" si="1081"/>
        <v>0</v>
      </c>
      <c r="XD83" s="46">
        <f t="shared" si="1082"/>
        <v>28</v>
      </c>
      <c r="XE83" s="46">
        <f t="shared" si="727"/>
        <v>2.5739999999999998</v>
      </c>
      <c r="XF83" s="46">
        <f t="shared" si="1083"/>
        <v>1</v>
      </c>
      <c r="XG83" s="46">
        <f t="shared" si="1084"/>
        <v>2</v>
      </c>
      <c r="XH83" s="46" cm="1">
        <f t="array" ref="XH83">ROUND(VALUE(IFERROR(INDEX(ArchiveResults!$F$5:$IX$116,ComparisonData!A83,ComparisonData!$XH$1),0)),5)</f>
        <v>0</v>
      </c>
      <c r="XI83" s="46" cm="1">
        <f t="array" ref="XI83">ROUND(VALUE(IFERROR(INDEX(ArchiveResults!$F$5:$IX$116,ComparisonData!A83,ComparisonData!$XI$1),0)),5)</f>
        <v>0</v>
      </c>
      <c r="XJ83" s="56">
        <v>78</v>
      </c>
      <c r="XK83" s="53" t="str">
        <f t="shared" si="728"/>
        <v>South West Heritage Trust: Somerset Archives &amp; Local Studies</v>
      </c>
      <c r="XL83" s="60">
        <f t="shared" si="1085"/>
        <v>0</v>
      </c>
      <c r="XM83" s="60">
        <f t="shared" si="1086"/>
        <v>0</v>
      </c>
      <c r="XN83" s="76">
        <f t="shared" si="1087"/>
        <v>0</v>
      </c>
      <c r="XO83" s="46">
        <f t="shared" si="1088"/>
        <v>28</v>
      </c>
      <c r="XP83" s="46">
        <f t="shared" si="729"/>
        <v>2.5739999999999998</v>
      </c>
      <c r="XQ83" s="46">
        <f t="shared" si="1089"/>
        <v>1</v>
      </c>
      <c r="XR83" s="46">
        <f t="shared" si="1090"/>
        <v>2</v>
      </c>
      <c r="XS83" s="46" cm="1">
        <f t="array" ref="XS83">ROUND(VALUE(IFERROR(INDEX(ArchiveResults!$F$5:$IX$116,ComparisonData!A83,ComparisonData!$XS$1),0)),5)</f>
        <v>0</v>
      </c>
      <c r="XT83" s="46" cm="1">
        <f t="array" ref="XT83">ROUND(VALUE(IFERROR(INDEX(ArchiveResults!$F$5:$IX$116,ComparisonData!A83,ComparisonData!$XT$1),0)),5)</f>
        <v>0</v>
      </c>
      <c r="XU83" s="56">
        <v>78</v>
      </c>
      <c r="XV83" s="53" t="str">
        <f t="shared" si="730"/>
        <v>South West Heritage Trust: Somerset Archives &amp; Local Studies</v>
      </c>
      <c r="XW83" s="60">
        <f t="shared" si="1091"/>
        <v>0</v>
      </c>
      <c r="XX83" s="60">
        <f t="shared" si="1092"/>
        <v>0</v>
      </c>
      <c r="XY83" s="76">
        <f t="shared" si="1093"/>
        <v>0</v>
      </c>
      <c r="XZ83" s="46">
        <f t="shared" si="1094"/>
        <v>28</v>
      </c>
      <c r="YA83" s="46">
        <f t="shared" si="731"/>
        <v>2.5739999999999998</v>
      </c>
      <c r="YB83" s="46">
        <f t="shared" si="1095"/>
        <v>1</v>
      </c>
      <c r="YC83" s="46">
        <f t="shared" si="1096"/>
        <v>2</v>
      </c>
      <c r="YD83" s="46" cm="1">
        <f t="array" ref="YD83">ROUND(VALUE(IFERROR(INDEX(ArchiveResults!$F$5:$IX$116,ComparisonData!A83,ComparisonData!$YD$1),0)),5)</f>
        <v>0</v>
      </c>
      <c r="YE83" s="46" cm="1">
        <f t="array" ref="YE83">ROUND(VALUE(IFERROR(INDEX(ArchiveResults!$F$5:$IX$116,ComparisonData!A83,ComparisonData!$YE$1),0)),5)</f>
        <v>0</v>
      </c>
      <c r="YF83" s="56">
        <v>78</v>
      </c>
      <c r="YG83" s="53" t="str">
        <f t="shared" si="732"/>
        <v>South West Heritage Trust: Somerset Archives &amp; Local Studies</v>
      </c>
      <c r="YH83" s="60">
        <f t="shared" si="1097"/>
        <v>0</v>
      </c>
      <c r="YI83" s="60">
        <f t="shared" si="1098"/>
        <v>0</v>
      </c>
      <c r="YJ83" s="76">
        <f t="shared" si="1099"/>
        <v>0</v>
      </c>
      <c r="YK83" s="46">
        <f t="shared" si="1100"/>
        <v>28</v>
      </c>
      <c r="YL83" s="46">
        <f t="shared" si="733"/>
        <v>2.5739999999999998</v>
      </c>
      <c r="YM83" s="46">
        <f t="shared" si="1101"/>
        <v>1</v>
      </c>
      <c r="YN83" s="46">
        <f t="shared" si="1102"/>
        <v>2</v>
      </c>
      <c r="YO83" s="46" cm="1">
        <f t="array" ref="YO83">ROUND(VALUE(IFERROR(INDEX(ArchiveResults!$F$5:$IX$116,ComparisonData!A83,ComparisonData!$YO$1),0)),5)</f>
        <v>0</v>
      </c>
      <c r="YP83" s="46" cm="1">
        <f t="array" ref="YP83">ROUND(VALUE(IFERROR(INDEX(ArchiveResults!$F$5:$IX$116,ComparisonData!A83,ComparisonData!$YP$1),0)),5)</f>
        <v>0</v>
      </c>
      <c r="YQ83" s="56">
        <v>78</v>
      </c>
      <c r="YR83" s="53" t="str">
        <f t="shared" si="734"/>
        <v>South West Heritage Trust: Somerset Archives &amp; Local Studies</v>
      </c>
      <c r="YS83" s="60">
        <f t="shared" si="1103"/>
        <v>0</v>
      </c>
      <c r="YT83" s="60">
        <f t="shared" si="1104"/>
        <v>0</v>
      </c>
      <c r="YU83" s="76">
        <f t="shared" si="1105"/>
        <v>0</v>
      </c>
      <c r="YV83" s="46">
        <f t="shared" si="1106"/>
        <v>28</v>
      </c>
      <c r="YW83" s="46">
        <f t="shared" si="735"/>
        <v>2.5739999999999998</v>
      </c>
      <c r="YX83" s="46">
        <f t="shared" si="1107"/>
        <v>1</v>
      </c>
      <c r="YY83" s="46">
        <f t="shared" si="1108"/>
        <v>2</v>
      </c>
      <c r="YZ83" s="46">
        <f t="shared" si="1109"/>
        <v>0</v>
      </c>
      <c r="ZA83" s="46" cm="1">
        <f t="array" ref="ZA83">ROUNDDOWN(VALUE(IFERROR(INDEX(ArchiveResults!$F$5:$IX$116,ComparisonData!A83,ComparisonData!$ZA$1),0)),5)</f>
        <v>0</v>
      </c>
      <c r="ZB83" s="46" cm="1">
        <f t="array" ref="ZB83">ROUNDDOWN(VALUE(IFERROR(INDEX(ArchiveResults!$F$5:$IX$116,ComparisonData!A83,ComparisonData!$ZB$1),0)),5)</f>
        <v>0</v>
      </c>
      <c r="ZC83" s="46" cm="1">
        <f t="array" ref="ZC83">ROUNDDOWN(VALUE(IFERROR(INDEX(ArchiveResults!$F$5:$IX$116,ComparisonData!A83,ComparisonData!$ZC$1),0)),5)</f>
        <v>0</v>
      </c>
      <c r="ZD83" s="46" cm="1">
        <f t="array" ref="ZD83">ROUNDDOWN(VALUE(IFERROR(INDEX(ArchiveResults!$F$5:$IX$116,ComparisonData!A83,ComparisonData!$ZD$1),0)),5)</f>
        <v>0</v>
      </c>
      <c r="ZE83" s="46" cm="1">
        <f t="array" ref="ZE83">ROUNDDOWN(VALUE(IFERROR(INDEX(ArchiveResults!$F$5:$IX$116,ComparisonData!A83,ComparisonData!$ZE$1),0)),5)</f>
        <v>0</v>
      </c>
      <c r="ZF83" s="56">
        <v>78</v>
      </c>
      <c r="ZG83" s="53" t="str">
        <f t="shared" si="736"/>
        <v>South West Heritage Trust: Somerset Archives &amp; Local Studies</v>
      </c>
      <c r="ZH83" s="60">
        <f t="shared" si="1110"/>
        <v>0</v>
      </c>
      <c r="ZI83" s="60">
        <f t="shared" si="1111"/>
        <v>0</v>
      </c>
      <c r="ZJ83" s="60">
        <f t="shared" si="1112"/>
        <v>0</v>
      </c>
      <c r="ZK83" s="60">
        <f t="shared" si="1113"/>
        <v>0</v>
      </c>
      <c r="ZL83" s="60">
        <f t="shared" si="1114"/>
        <v>0</v>
      </c>
      <c r="ZM83" s="76">
        <f t="shared" si="1115"/>
        <v>0</v>
      </c>
      <c r="ZN83" s="46">
        <f t="shared" si="1116"/>
        <v>28</v>
      </c>
      <c r="ZO83" s="46">
        <f t="shared" si="737"/>
        <v>2.5739999999999998</v>
      </c>
      <c r="ZP83" s="46">
        <f t="shared" si="1117"/>
        <v>1</v>
      </c>
      <c r="ZQ83" s="46">
        <f t="shared" si="1118"/>
        <v>2</v>
      </c>
      <c r="ZR83" s="46" cm="1">
        <f t="array" ref="ZR83">ROUND(VALUE(IFERROR(INDEX(ArchiveResults!$F$5:$IX$116,ComparisonData!A83,ComparisonData!$ZR$1),0)),5)</f>
        <v>0</v>
      </c>
      <c r="ZS83" s="56">
        <v>78</v>
      </c>
      <c r="ZT83" s="53" t="str">
        <f t="shared" si="738"/>
        <v>South West Heritage Trust: Somerset Archives &amp; Local Studies</v>
      </c>
      <c r="ZU83" s="46">
        <f t="shared" si="1119"/>
        <v>0</v>
      </c>
      <c r="ZV83" s="76">
        <f t="shared" si="1120"/>
        <v>0</v>
      </c>
      <c r="ZW83" s="81" cm="1">
        <f t="array" ref="ZW83">ROUND((IFERROR(INDEX(ArchiveResults!$F$5:$IX$116,ComparisonData!A83,ComparisonData!$ZW$1),0)),5)</f>
        <v>0</v>
      </c>
      <c r="ZX83" s="81" cm="1">
        <f t="array" ref="ZX83">ROUND((IFERROR(INDEX(ArchiveResults!$F$5:$IX$116,ComparisonData!A83,ComparisonData!$ZX$1),0)),5)</f>
        <v>0</v>
      </c>
      <c r="ZY83" s="81" cm="1">
        <f t="array" ref="ZY83">ROUND((IFERROR(INDEX(ArchiveResults!$F$5:$IX$116,ComparisonData!A83,ComparisonData!$ZY$1),0)),5)</f>
        <v>0</v>
      </c>
      <c r="ZZ83" s="81" cm="1">
        <f t="array" ref="ZZ83">ROUND((IFERROR(INDEX(ArchiveResults!$F$5:$IX$116,ComparisonData!A83,ComparisonData!$ZZ$1),0)),5)</f>
        <v>0</v>
      </c>
      <c r="AAA83" s="81" cm="1">
        <f t="array" ref="AAA83">ROUND((IFERROR(INDEX(ArchiveResults!$F$5:$IX$116,ComparisonData!A83,ComparisonData!$AAA$1),0)),5)</f>
        <v>0</v>
      </c>
      <c r="AAB83" s="81" cm="1">
        <f t="array" ref="AAB83">ROUND((IFERROR(INDEX(ArchiveResults!$F$5:$IX$116,ComparisonData!A83,ComparisonData!$AAB$1),0)),5)</f>
        <v>0</v>
      </c>
      <c r="AAC83" s="81" cm="1">
        <f t="array" ref="AAC83">ROUND((IFERROR(INDEX(ArchiveResults!$F$5:$IX$116,ComparisonData!A83,ComparisonData!$AAC$1),0)),5)</f>
        <v>0</v>
      </c>
      <c r="AAD83" s="81" cm="1">
        <f t="array" ref="AAD83">ROUND((IFERROR(INDEX(ArchiveResults!$F$5:$IX$116,ComparisonData!A83,ComparisonData!$AAD$1),0)),5)</f>
        <v>0</v>
      </c>
      <c r="AAE83" s="81" cm="1">
        <f t="array" ref="AAE83">ROUND((IFERROR(INDEX(ArchiveResults!$F$5:$IX$116,ComparisonData!A83,ComparisonData!$AAE$1),0)),5)</f>
        <v>0</v>
      </c>
      <c r="AAF83" s="81" cm="1">
        <f t="array" ref="AAF83">ROUND((IFERROR(INDEX(ArchiveResults!$F$5:$IX$116,ComparisonData!A83,ComparisonData!$AAF$1),0)),5)</f>
        <v>0</v>
      </c>
      <c r="AAG83" s="46">
        <f t="shared" si="1121"/>
        <v>28</v>
      </c>
      <c r="AAH83" s="46">
        <f t="shared" si="739"/>
        <v>2.5739999999999998</v>
      </c>
      <c r="AAI83" s="46">
        <f t="shared" si="1122"/>
        <v>1</v>
      </c>
      <c r="AAJ83" s="46">
        <f t="shared" si="1123"/>
        <v>2</v>
      </c>
      <c r="AAK83" s="46">
        <f t="shared" si="1124"/>
        <v>0</v>
      </c>
      <c r="AAL83" s="46">
        <f t="shared" si="1125"/>
        <v>0</v>
      </c>
      <c r="AAM83" s="46">
        <f t="shared" si="1126"/>
        <v>0</v>
      </c>
      <c r="AAN83" s="46">
        <f t="shared" si="1127"/>
        <v>0</v>
      </c>
      <c r="AAO83" s="46">
        <f t="shared" si="1128"/>
        <v>0</v>
      </c>
      <c r="AAP83" s="46">
        <f t="shared" si="1129"/>
        <v>0</v>
      </c>
      <c r="AAQ83" s="56">
        <v>78</v>
      </c>
      <c r="AAR83" s="53" t="str">
        <f t="shared" si="740"/>
        <v>South West Heritage Trust: Somerset Archives &amp; Local Studies</v>
      </c>
      <c r="AAS83" s="60">
        <f t="shared" si="1130"/>
        <v>0</v>
      </c>
      <c r="AAT83" s="60">
        <f t="shared" si="1131"/>
        <v>0</v>
      </c>
      <c r="AAU83" s="60">
        <f t="shared" si="1132"/>
        <v>0</v>
      </c>
      <c r="AAV83" s="60">
        <f t="shared" si="1133"/>
        <v>0</v>
      </c>
      <c r="AAW83" s="60">
        <f t="shared" si="1134"/>
        <v>0</v>
      </c>
      <c r="AAX83" s="76">
        <f t="shared" si="1135"/>
        <v>0</v>
      </c>
      <c r="AAY83" s="46">
        <f t="shared" si="1136"/>
        <v>28</v>
      </c>
      <c r="AAZ83" s="46">
        <f t="shared" si="741"/>
        <v>2.5739999999999998</v>
      </c>
      <c r="ABA83" s="46">
        <f t="shared" si="1137"/>
        <v>1</v>
      </c>
      <c r="ABB83" s="46">
        <f t="shared" si="1138"/>
        <v>2</v>
      </c>
      <c r="ABC83" s="46">
        <f t="shared" si="742"/>
        <v>0</v>
      </c>
      <c r="ABD83" s="46" cm="1">
        <f t="array" ref="ABD83">ROUND(VALUE(IFERROR(INDEX(ArchiveResults!$F$5:$IX$116,ComparisonData!A83,ComparisonData!$ABD$1),0)),5)</f>
        <v>0</v>
      </c>
      <c r="ABE83" s="46" cm="1">
        <f t="array" ref="ABE83">ROUND(VALUE(IFERROR(INDEX(ArchiveResults!$F$5:$IX$116,ComparisonData!A83,ComparisonData!$ABE$1),0)),5)</f>
        <v>0</v>
      </c>
      <c r="ABF83" s="46" cm="1">
        <f t="array" ref="ABF83">ROUND(VALUE(IFERROR(INDEX(ArchiveResults!$F$5:$IX$116,ComparisonData!A83,ComparisonData!$ABF$1),0)),5)</f>
        <v>0</v>
      </c>
      <c r="ABG83" s="46" cm="1">
        <f t="array" ref="ABG83">ROUND(VALUE(IFERROR(INDEX(ArchiveResults!$F$5:$IX$116,ComparisonData!A83,ComparisonData!$ABG$1),0)),5)</f>
        <v>0</v>
      </c>
      <c r="ABH83" s="46" cm="1">
        <f t="array" ref="ABH83">ROUND(VALUE(IFERROR(INDEX(ArchiveResults!$F$5:$IX$116,ComparisonData!A83,ComparisonData!$ABH$1),0)),5)</f>
        <v>0</v>
      </c>
      <c r="ABI83" s="56">
        <v>78</v>
      </c>
      <c r="ABJ83" s="53" t="str">
        <f t="shared" si="743"/>
        <v>South West Heritage Trust: Somerset Archives &amp; Local Studies</v>
      </c>
      <c r="ABK83" s="60">
        <f t="shared" si="1139"/>
        <v>0</v>
      </c>
      <c r="ABL83" s="60">
        <f t="shared" si="1140"/>
        <v>0</v>
      </c>
      <c r="ABM83" s="60">
        <f t="shared" si="1141"/>
        <v>0</v>
      </c>
      <c r="ABN83" s="60">
        <f t="shared" si="1142"/>
        <v>0</v>
      </c>
      <c r="ABO83" s="60">
        <f t="shared" si="1143"/>
        <v>0</v>
      </c>
      <c r="ABP83" s="76">
        <f t="shared" si="1144"/>
        <v>0</v>
      </c>
      <c r="ABQ83" s="46">
        <f t="shared" si="1145"/>
        <v>28</v>
      </c>
      <c r="ABR83" s="46">
        <f t="shared" si="744"/>
        <v>2.5739999999999998</v>
      </c>
      <c r="ABS83" s="46">
        <f t="shared" si="1146"/>
        <v>1</v>
      </c>
      <c r="ABT83" s="46">
        <f t="shared" si="1147"/>
        <v>2</v>
      </c>
      <c r="ABU83" s="46" cm="1">
        <f t="array" ref="ABU83">ROUND(VALUE(IFERROR(INDEX(ArchiveResults!$F$5:$IX$116,ComparisonData!A83,ComparisonData!$ABU$1),0)),5)</f>
        <v>0</v>
      </c>
      <c r="ABV83" s="46" cm="1">
        <f t="array" ref="ABV83">ROUND(VALUE(IFERROR(INDEX(ArchiveResults!$F$5:$IX$116,ComparisonData!A83,ComparisonData!$ABV$1),0)),5)</f>
        <v>0</v>
      </c>
      <c r="ABW83" s="46" cm="1">
        <f t="array" ref="ABW83">ROUND(VALUE(IFERROR(INDEX(ArchiveResults!$F$5:$IX$116,ComparisonData!A83,ComparisonData!$ABW$1),0)),5)</f>
        <v>0</v>
      </c>
      <c r="ABX83" s="46" cm="1">
        <f t="array" ref="ABX83">ROUND(VALUE(IFERROR(INDEX(ArchiveResults!$F$5:$IX$116,ComparisonData!A83,ComparisonData!$ABX$1),0)),5)</f>
        <v>0</v>
      </c>
      <c r="ABY83" s="46" cm="1">
        <f t="array" ref="ABY83">ROUND(VALUE(IFERROR(INDEX(ArchiveResults!$F$5:$IX$116,ComparisonData!A83,ComparisonData!$ABY$1),0)),5)</f>
        <v>0</v>
      </c>
      <c r="ABZ83" s="56">
        <v>78</v>
      </c>
      <c r="ACA83" s="53" t="str">
        <f t="shared" si="745"/>
        <v>South West Heritage Trust: Somerset Archives &amp; Local Studies</v>
      </c>
      <c r="ACB83" s="60">
        <f t="shared" si="1148"/>
        <v>0</v>
      </c>
      <c r="ACC83" s="60">
        <f t="shared" si="1149"/>
        <v>0</v>
      </c>
      <c r="ACD83" s="60">
        <f t="shared" si="1150"/>
        <v>0</v>
      </c>
      <c r="ACE83" s="60">
        <f t="shared" si="1151"/>
        <v>0</v>
      </c>
      <c r="ACF83" s="60">
        <f t="shared" si="1152"/>
        <v>0</v>
      </c>
      <c r="ACG83" s="76">
        <f t="shared" si="1153"/>
        <v>0</v>
      </c>
      <c r="ACH83" s="46">
        <f t="shared" si="1154"/>
        <v>28</v>
      </c>
      <c r="ACI83" s="46">
        <f t="shared" si="746"/>
        <v>2.5739999999999998</v>
      </c>
      <c r="ACJ83" s="46">
        <f t="shared" si="1155"/>
        <v>1</v>
      </c>
      <c r="ACK83" s="46">
        <f t="shared" si="1156"/>
        <v>2</v>
      </c>
      <c r="ACL83" s="46">
        <f t="shared" si="1157"/>
        <v>0</v>
      </c>
      <c r="ACM83" s="46" cm="1">
        <f t="array" ref="ACM83">ROUND(IFERROR(INDEX(ArchiveResults!$F$5:$IX$116,ComparisonData!A83,ComparisonData!$ACM$1),0),5)</f>
        <v>0</v>
      </c>
      <c r="ACN83" s="46" cm="1">
        <f t="array" ref="ACN83">ROUND(IFERROR(INDEX(ArchiveResults!$F$5:$IX$116,ComparisonData!A83,ComparisonData!$ACN$1),0),5)</f>
        <v>0</v>
      </c>
      <c r="ACO83" s="56">
        <v>78</v>
      </c>
      <c r="ACP83" s="53" t="str">
        <f t="shared" si="747"/>
        <v>South West Heritage Trust: Somerset Archives &amp; Local Studies</v>
      </c>
      <c r="ACQ83" s="60">
        <f t="shared" si="1158"/>
        <v>0</v>
      </c>
      <c r="ACR83" s="60">
        <f t="shared" si="1159"/>
        <v>0</v>
      </c>
      <c r="ACS83" s="76">
        <f t="shared" si="1160"/>
        <v>0</v>
      </c>
      <c r="ACT83" s="46">
        <f t="shared" si="1161"/>
        <v>28</v>
      </c>
      <c r="ACU83" s="46">
        <f t="shared" si="748"/>
        <v>2.5739999999999998</v>
      </c>
      <c r="ACV83" s="46">
        <f t="shared" si="1162"/>
        <v>1</v>
      </c>
      <c r="ACW83" s="46">
        <f t="shared" si="1163"/>
        <v>2</v>
      </c>
      <c r="ACX83" s="46">
        <f t="shared" si="1164"/>
        <v>0</v>
      </c>
      <c r="ACY83" s="46" cm="1">
        <f t="array" ref="ACY83">ROUNDDOWN(IFERROR(INDEX(ArchiveResults!$F$5:$IX$116,ComparisonData!A83,ComparisonData!$ACY$1),0),5)</f>
        <v>0</v>
      </c>
      <c r="ACZ83" s="46" cm="1">
        <f t="array" ref="ACZ83">ROUNDDOWN(IFERROR(INDEX(ArchiveResults!$F$5:$IX$116,ComparisonData!A83,ComparisonData!$ACZ$1),0),5)</f>
        <v>0</v>
      </c>
      <c r="ADA83" s="46" cm="1">
        <f t="array" ref="ADA83">ROUNDDOWN(IFERROR(INDEX(ArchiveResults!$F$5:$IX$116,ComparisonData!A83,ComparisonData!$ADA$1),0),5)</f>
        <v>0</v>
      </c>
      <c r="ADB83" s="56">
        <v>78</v>
      </c>
      <c r="ADC83" s="53" t="str">
        <f t="shared" si="749"/>
        <v>South West Heritage Trust: Somerset Archives &amp; Local Studies</v>
      </c>
      <c r="ADD83" s="60">
        <f t="shared" si="1165"/>
        <v>0</v>
      </c>
      <c r="ADE83" s="60">
        <f t="shared" si="1166"/>
        <v>0</v>
      </c>
      <c r="ADF83" s="60">
        <f t="shared" si="1167"/>
        <v>0</v>
      </c>
      <c r="ADG83" s="76">
        <f t="shared" si="1168"/>
        <v>0</v>
      </c>
    </row>
    <row r="84" spans="1:787" x14ac:dyDescent="0.25">
      <c r="A84" s="46" t="str">
        <f>IF(ISBLANK(ComparisonSelection!F80),"",ROW()-5)</f>
        <v/>
      </c>
      <c r="B84" s="53" t="s">
        <v>533</v>
      </c>
      <c r="C84" s="72">
        <v>0.90899999999999992</v>
      </c>
      <c r="D84" s="55">
        <f t="shared" si="750"/>
        <v>94</v>
      </c>
      <c r="E84" s="54">
        <f t="shared" si="751"/>
        <v>2.9089999999999998</v>
      </c>
      <c r="F84" s="54">
        <f t="shared" si="752"/>
        <v>1</v>
      </c>
      <c r="G84" s="72">
        <f t="shared" si="753"/>
        <v>2</v>
      </c>
      <c r="H84" s="72">
        <f t="shared" si="754"/>
        <v>0</v>
      </c>
      <c r="I84" s="46" cm="1">
        <f t="array" ref="I84">ROUND(IFERROR(INDEX(ArchiveResults!$F$5:$IX$116,ComparisonData!A84,ComparisonData!$I$1),0),5)</f>
        <v>0</v>
      </c>
      <c r="J84" s="46" cm="1">
        <f t="array" ref="J84">ROUND(IFERROR(INDEX(ArchiveResults!$F$5:$IX$116,ComparisonData!A84,ComparisonData!$J$1),0),5)</f>
        <v>0</v>
      </c>
      <c r="K84" s="56">
        <v>79</v>
      </c>
      <c r="L84" s="53" t="str">
        <f t="shared" si="755"/>
        <v>Southwark Archives</v>
      </c>
      <c r="M84" s="57">
        <f t="shared" si="640"/>
        <v>0</v>
      </c>
      <c r="N84" s="57">
        <f t="shared" si="641"/>
        <v>0</v>
      </c>
      <c r="O84" s="58">
        <f t="shared" si="756"/>
        <v>0</v>
      </c>
      <c r="P84" s="48">
        <f t="shared" si="757"/>
        <v>94</v>
      </c>
      <c r="Q84" s="54">
        <f t="shared" si="642"/>
        <v>2.9089999999999998</v>
      </c>
      <c r="R84" s="45">
        <f t="shared" si="758"/>
        <v>1</v>
      </c>
      <c r="S84" s="46">
        <f t="shared" si="759"/>
        <v>2</v>
      </c>
      <c r="T84" s="72">
        <f t="shared" si="760"/>
        <v>0</v>
      </c>
      <c r="U84" s="46" cm="1">
        <f t="array" ref="U84">ROUND(IFERROR(INDEX(ArchiveResults!$F$5:$IX$116,ComparisonData!A84,ComparisonData!$U$1),0),5)</f>
        <v>0</v>
      </c>
      <c r="V84" s="46" cm="1">
        <f t="array" ref="V84">ROUND(IFERROR(INDEX(ArchiveResults!$F$5:$IX$116,ComparisonData!A84,ComparisonData!$V$1),0),5)</f>
        <v>0</v>
      </c>
      <c r="W84" s="56">
        <v>79</v>
      </c>
      <c r="X84" s="53" t="str">
        <f t="shared" si="643"/>
        <v>Southwark Archives</v>
      </c>
      <c r="Y84" s="57">
        <f t="shared" si="761"/>
        <v>0</v>
      </c>
      <c r="Z84" s="57">
        <f t="shared" si="762"/>
        <v>0</v>
      </c>
      <c r="AA84" s="58">
        <f t="shared" si="763"/>
        <v>0</v>
      </c>
      <c r="AB84" s="45">
        <f t="shared" si="764"/>
        <v>94</v>
      </c>
      <c r="AC84" s="54">
        <f t="shared" si="644"/>
        <v>2.9089999999999998</v>
      </c>
      <c r="AD84" s="45">
        <f t="shared" si="765"/>
        <v>1</v>
      </c>
      <c r="AE84" s="45">
        <f t="shared" si="766"/>
        <v>2</v>
      </c>
      <c r="AF84" s="45">
        <f t="shared" si="639"/>
        <v>0</v>
      </c>
      <c r="AG84" s="46" cm="1">
        <f t="array" ref="AG84">ROUND(IFERROR(INDEX(ArchiveResults!$F$5:$IX$116,ComparisonData!A84,ComparisonData!$AG$1),0),5)</f>
        <v>0</v>
      </c>
      <c r="AH84" s="46" cm="1">
        <f t="array" ref="AH84">ROUND(IFERROR(INDEX(ArchiveResults!$F$5:$IX$116,ComparisonData!A84,ComparisonData!$AH$1),0),5)</f>
        <v>0</v>
      </c>
      <c r="AI84" s="56">
        <v>79</v>
      </c>
      <c r="AJ84" s="53" t="str">
        <f t="shared" si="645"/>
        <v>Southwark Archives</v>
      </c>
      <c r="AK84" s="59">
        <f t="shared" si="646"/>
        <v>0</v>
      </c>
      <c r="AL84" s="59">
        <f t="shared" si="647"/>
        <v>0</v>
      </c>
      <c r="AM84" s="58">
        <f t="shared" si="767"/>
        <v>0</v>
      </c>
      <c r="AN84" s="45">
        <f t="shared" si="768"/>
        <v>94</v>
      </c>
      <c r="AO84" s="54">
        <f t="shared" si="648"/>
        <v>2.9089999999999998</v>
      </c>
      <c r="AP84" s="45">
        <f t="shared" si="769"/>
        <v>1</v>
      </c>
      <c r="AQ84" s="45">
        <f t="shared" si="770"/>
        <v>2</v>
      </c>
      <c r="AR84" s="46" cm="1">
        <f t="array" ref="AR84">ROUND(IFERROR(INDEX(ArchiveResults!$F$5:$IX$116,ComparisonData!A84,ComparisonData!$AR$1),0),5)</f>
        <v>0</v>
      </c>
      <c r="AS84" s="46" cm="1">
        <f t="array" ref="AS84">ROUND(IFERROR(INDEX(ArchiveResults!$F$5:$IX$116,ComparisonData!A84,ComparisonData!$AS$1),0),5)</f>
        <v>0</v>
      </c>
      <c r="AT84" s="46" cm="1">
        <f t="array" ref="AT84">ROUND(IFERROR(INDEX(ArchiveResults!$F$5:$IX$116,ComparisonData!A84,ComparisonData!$AT$1),0),5)</f>
        <v>0</v>
      </c>
      <c r="AU84" s="46" cm="1">
        <f t="array" ref="AU84">ROUND(IFERROR(INDEX(ArchiveResults!$F$5:$IX$116,ComparisonData!A84,ComparisonData!$AU$1),0),5)</f>
        <v>0</v>
      </c>
      <c r="AV84" s="46" cm="1">
        <f t="array" ref="AV84">ROUND(IFERROR(INDEX(ArchiveResults!$F$5:$IX$116,ComparisonData!A84,ComparisonData!$AV$1),0),5)</f>
        <v>0</v>
      </c>
      <c r="AW84" s="46" cm="1">
        <f t="array" ref="AW84">ROUND(IFERROR(INDEX(ArchiveResults!$F$5:$IX$116,ComparisonData!A84,ComparisonData!$AW$1),0),5)</f>
        <v>0</v>
      </c>
      <c r="AX84" s="46" cm="1">
        <f t="array" ref="AX84">ROUND(IFERROR(INDEX(ArchiveResults!$F$5:$IX$116,ComparisonData!A84,ComparisonData!$AX$1),0),5)</f>
        <v>0</v>
      </c>
      <c r="AY84" s="46" cm="1">
        <f t="array" ref="AY84">ROUND(IFERROR(INDEX(ArchiveResults!$F$5:$IX$116,ComparisonData!A84,ComparisonData!$AY$1),0),5)</f>
        <v>0</v>
      </c>
      <c r="AZ84" s="46" cm="1">
        <f t="array" ref="AZ84">ROUND(IFERROR(INDEX(ArchiveResults!$F$5:$IX$116,ComparisonData!A84,ComparisonData!$AZ$1),0),5)</f>
        <v>0</v>
      </c>
      <c r="BA84" s="46" cm="1">
        <f t="array" ref="BA84">ROUND(IFERROR(INDEX(ArchiveResults!$F$5:$IX$116,ComparisonData!A84,ComparisonData!$BA$1),0),5)</f>
        <v>0</v>
      </c>
      <c r="BB84" s="56">
        <v>79</v>
      </c>
      <c r="BC84" s="53" t="str">
        <f t="shared" si="649"/>
        <v>Southwark Archives</v>
      </c>
      <c r="BD84" s="60">
        <f t="shared" si="771"/>
        <v>0</v>
      </c>
      <c r="BE84" s="60">
        <f t="shared" si="772"/>
        <v>0</v>
      </c>
      <c r="BF84" s="60">
        <f t="shared" si="773"/>
        <v>0</v>
      </c>
      <c r="BG84" s="60">
        <f t="shared" si="774"/>
        <v>0</v>
      </c>
      <c r="BH84" s="60">
        <f t="shared" si="775"/>
        <v>0</v>
      </c>
      <c r="BI84" s="60">
        <f t="shared" si="776"/>
        <v>0</v>
      </c>
      <c r="BJ84" s="60">
        <f t="shared" si="777"/>
        <v>0</v>
      </c>
      <c r="BK84" s="60">
        <f t="shared" si="778"/>
        <v>0</v>
      </c>
      <c r="BL84" s="60">
        <f t="shared" si="779"/>
        <v>0</v>
      </c>
      <c r="BM84" s="59">
        <f t="shared" si="780"/>
        <v>0</v>
      </c>
      <c r="BN84" s="58">
        <f t="shared" si="781"/>
        <v>0</v>
      </c>
      <c r="BO84" s="45">
        <f t="shared" si="782"/>
        <v>94</v>
      </c>
      <c r="BP84" s="54">
        <f t="shared" si="650"/>
        <v>2.9089999999999998</v>
      </c>
      <c r="BQ84" s="45">
        <f t="shared" si="783"/>
        <v>1</v>
      </c>
      <c r="BR84" s="45">
        <f t="shared" si="784"/>
        <v>2</v>
      </c>
      <c r="BS84" s="46" cm="1">
        <f t="array" ref="BS84">ROUND(IFERROR(INDEX(ArchiveResults!$F$5:$IX$116,ComparisonData!A84,ComparisonData!$BS$1),0),5)</f>
        <v>0</v>
      </c>
      <c r="BT84" s="46" cm="1">
        <f t="array" ref="BT84">ROUND(IFERROR(INDEX(ArchiveResults!$F$5:$IX$116,ComparisonData!A84,ComparisonData!$BT$1),0),5)</f>
        <v>0</v>
      </c>
      <c r="BU84" s="46" cm="1">
        <f t="array" ref="BU84">ROUND(IFERROR(INDEX(ArchiveResults!$F$5:$IX$116,ComparisonData!A84,ComparisonData!$BU$1),0),5)</f>
        <v>0</v>
      </c>
      <c r="BV84" s="46" cm="1">
        <f t="array" ref="BV84">ROUND(IFERROR(INDEX(ArchiveResults!$F$5:$IX$116,ComparisonData!A84,ComparisonData!$BV$1),0),5)</f>
        <v>0</v>
      </c>
      <c r="BW84" s="46" cm="1">
        <f t="array" ref="BW84">ROUND(IFERROR(INDEX(ArchiveResults!$F$5:$IX$116,ComparisonData!A84,ComparisonData!$BW$1),0),5)</f>
        <v>0</v>
      </c>
      <c r="BX84" s="46" cm="1">
        <f t="array" ref="BX84">ROUND(IFERROR(INDEX(ArchiveResults!$F$5:$IX$116,ComparisonData!A84,ComparisonData!$BX$1),0),5)</f>
        <v>0</v>
      </c>
      <c r="BY84" s="56">
        <v>79</v>
      </c>
      <c r="BZ84" s="53" t="str">
        <f t="shared" si="651"/>
        <v>Southwark Archives</v>
      </c>
      <c r="CA84" s="59">
        <f t="shared" si="785"/>
        <v>0</v>
      </c>
      <c r="CB84" s="59">
        <f t="shared" si="786"/>
        <v>0</v>
      </c>
      <c r="CC84" s="59">
        <f t="shared" si="787"/>
        <v>0</v>
      </c>
      <c r="CD84" s="59">
        <f t="shared" si="788"/>
        <v>0</v>
      </c>
      <c r="CE84" s="59">
        <f t="shared" si="789"/>
        <v>0</v>
      </c>
      <c r="CF84" s="59">
        <f t="shared" si="790"/>
        <v>0</v>
      </c>
      <c r="CG84" s="58">
        <f t="shared" si="791"/>
        <v>0</v>
      </c>
      <c r="CH84" s="45">
        <f t="shared" si="792"/>
        <v>94</v>
      </c>
      <c r="CI84" s="54">
        <f t="shared" si="652"/>
        <v>2.9089999999999998</v>
      </c>
      <c r="CJ84" s="45">
        <f t="shared" si="793"/>
        <v>1</v>
      </c>
      <c r="CK84" s="45">
        <f t="shared" si="794"/>
        <v>2</v>
      </c>
      <c r="CL84" s="46" cm="1">
        <f t="array" ref="CL84">ROUND(IFERROR(INDEX(ArchiveResults!$F$5:$IX$116,ComparisonData!A84,ComparisonData!$CL$1),0),5)</f>
        <v>0</v>
      </c>
      <c r="CM84" s="56">
        <v>79</v>
      </c>
      <c r="CN84" s="53" t="str">
        <f t="shared" si="653"/>
        <v>Southwark Archives</v>
      </c>
      <c r="CO84" s="45">
        <f t="shared" si="795"/>
        <v>0</v>
      </c>
      <c r="CP84" s="58">
        <f t="shared" si="796"/>
        <v>0</v>
      </c>
      <c r="CQ84" s="45">
        <f t="shared" si="797"/>
        <v>94</v>
      </c>
      <c r="CR84" s="54">
        <f t="shared" si="654"/>
        <v>2.9089999999999998</v>
      </c>
      <c r="CS84" s="45">
        <f t="shared" si="798"/>
        <v>1</v>
      </c>
      <c r="CT84" s="45">
        <f t="shared" si="799"/>
        <v>2</v>
      </c>
      <c r="CU84" s="46" cm="1">
        <f t="array" ref="CU84">ROUND(IFERROR(INDEX(ArchiveResults!$F$5:$IX$116,ComparisonData!A84,ComparisonData!$CU$1),0),5)</f>
        <v>0</v>
      </c>
      <c r="CV84" s="56">
        <v>79</v>
      </c>
      <c r="CW84" s="53" t="str">
        <f t="shared" si="655"/>
        <v>Southwark Archives</v>
      </c>
      <c r="CX84" s="45">
        <f t="shared" si="800"/>
        <v>0</v>
      </c>
      <c r="CY84" s="58">
        <f t="shared" si="801"/>
        <v>0</v>
      </c>
      <c r="CZ84" s="45">
        <f t="shared" si="802"/>
        <v>94</v>
      </c>
      <c r="DA84" s="54">
        <f t="shared" si="656"/>
        <v>2.9089999999999998</v>
      </c>
      <c r="DB84" s="45">
        <f t="shared" si="803"/>
        <v>1</v>
      </c>
      <c r="DC84" s="45">
        <f t="shared" si="804"/>
        <v>2</v>
      </c>
      <c r="DD84" s="46" cm="1">
        <f t="array" ref="DD84">ROUND(IFERROR(INDEX(ArchiveResults!$F$5:$IX$116,ComparisonData!A84,ComparisonData!$DD$1),0),5)</f>
        <v>0</v>
      </c>
      <c r="DE84" s="56">
        <v>79</v>
      </c>
      <c r="DF84" s="53" t="str">
        <f t="shared" si="657"/>
        <v>Southwark Archives</v>
      </c>
      <c r="DG84" s="45">
        <f t="shared" si="805"/>
        <v>0</v>
      </c>
      <c r="DH84" s="58">
        <f t="shared" si="806"/>
        <v>0</v>
      </c>
      <c r="DI84" s="45">
        <f t="shared" si="807"/>
        <v>94</v>
      </c>
      <c r="DJ84" s="54">
        <f t="shared" si="658"/>
        <v>2.9089999999999998</v>
      </c>
      <c r="DK84" s="45">
        <f t="shared" si="808"/>
        <v>1</v>
      </c>
      <c r="DL84" s="45">
        <f t="shared" si="809"/>
        <v>2</v>
      </c>
      <c r="DM84" s="46" cm="1">
        <f t="array" ref="DM84">ROUND(IFERROR(INDEX(ArchiveResults!$F$5:$IX$116,ComparisonData!A84,ComparisonData!$DM$1),0),5)</f>
        <v>0</v>
      </c>
      <c r="DN84" s="46" cm="1">
        <f t="array" ref="DN84">ROUND(IFERROR(INDEX(ArchiveResults!$F$5:$IX$116,ComparisonData!A84,ComparisonData!$DN$1),0),5)</f>
        <v>0</v>
      </c>
      <c r="DO84" s="46" cm="1">
        <f t="array" ref="DO84">ROUND(IFERROR(INDEX(ArchiveResults!$F$5:$IX$116,ComparisonData!A84,ComparisonData!$DO$1),0),5)</f>
        <v>0</v>
      </c>
      <c r="DP84" s="46" cm="1">
        <f t="array" ref="DP84">ROUND(IFERROR(INDEX(ArchiveResults!$F$5:$IX$116,ComparisonData!A84,ComparisonData!$DP$1),0),5)</f>
        <v>0</v>
      </c>
      <c r="DQ84" s="45" cm="1">
        <f t="array" ref="DQ84">IFERROR(INDEX(ArchiveResults!$F$5:$IX$116,ComparisonData!A84,ComparisonData!$DQ$1),0)</f>
        <v>0</v>
      </c>
      <c r="DR84" s="56">
        <v>79</v>
      </c>
      <c r="DS84" s="53" t="str">
        <f t="shared" si="659"/>
        <v>Southwark Archives</v>
      </c>
      <c r="DT84" s="59">
        <f t="shared" si="810"/>
        <v>0</v>
      </c>
      <c r="DU84" s="59">
        <f t="shared" si="811"/>
        <v>0</v>
      </c>
      <c r="DV84" s="59">
        <f t="shared" si="812"/>
        <v>0</v>
      </c>
      <c r="DW84" s="59">
        <f t="shared" si="813"/>
        <v>0</v>
      </c>
      <c r="DX84" s="59">
        <f t="shared" si="814"/>
        <v>0</v>
      </c>
      <c r="DY84" s="58">
        <f t="shared" si="815"/>
        <v>0</v>
      </c>
      <c r="DZ84" s="45">
        <f t="shared" si="816"/>
        <v>94</v>
      </c>
      <c r="EA84" s="54">
        <f t="shared" si="660"/>
        <v>2.9089999999999998</v>
      </c>
      <c r="EB84" s="45">
        <f t="shared" si="817"/>
        <v>1</v>
      </c>
      <c r="EC84" s="45">
        <f t="shared" si="818"/>
        <v>2</v>
      </c>
      <c r="ED84" s="46" cm="1">
        <f t="array" ref="ED84">ROUND(IFERROR(INDEX(ArchiveResults!$F$5:$IX$116,ComparisonData!A84,ComparisonData!$ED$1),0),5)</f>
        <v>0</v>
      </c>
      <c r="EE84" s="46" cm="1">
        <f t="array" ref="EE84">ROUND(IFERROR(INDEX(ArchiveResults!$F$5:$IX$116,ComparisonData!A84,ComparisonData!$EE$1),0),5)</f>
        <v>0</v>
      </c>
      <c r="EF84" s="46" cm="1">
        <f t="array" ref="EF84">ROUND(IFERROR(INDEX(ArchiveResults!$F$5:$IX$116,ComparisonData!A84,ComparisonData!$EF$1),0),5)</f>
        <v>0</v>
      </c>
      <c r="EG84" s="46" cm="1">
        <f t="array" ref="EG84">ROUND(IFERROR(INDEX(ArchiveResults!$F$5:$IX$116,ComparisonData!A84,ComparisonData!$EG$1),0),5)</f>
        <v>0</v>
      </c>
      <c r="EH84" s="45" cm="1">
        <f t="array" ref="EH84">IFERROR(INDEX(ArchiveResults!$F$5:$IX$116,ComparisonData!A84,ComparisonData!$EH$1),0)</f>
        <v>0</v>
      </c>
      <c r="EI84" s="56">
        <v>79</v>
      </c>
      <c r="EJ84" s="53" t="str">
        <f t="shared" si="661"/>
        <v>Southwark Archives</v>
      </c>
      <c r="EK84" s="59">
        <f t="shared" si="819"/>
        <v>0</v>
      </c>
      <c r="EL84" s="59">
        <f t="shared" si="820"/>
        <v>0</v>
      </c>
      <c r="EM84" s="59">
        <f t="shared" si="821"/>
        <v>0</v>
      </c>
      <c r="EN84" s="59">
        <f t="shared" si="822"/>
        <v>0</v>
      </c>
      <c r="EO84" s="59">
        <f t="shared" si="823"/>
        <v>0</v>
      </c>
      <c r="EP84" s="58">
        <f t="shared" si="824"/>
        <v>0</v>
      </c>
      <c r="EQ84" s="45">
        <f t="shared" si="825"/>
        <v>94</v>
      </c>
      <c r="ER84" s="54">
        <f t="shared" si="662"/>
        <v>2.9089999999999998</v>
      </c>
      <c r="ES84" s="45">
        <f t="shared" si="826"/>
        <v>1</v>
      </c>
      <c r="ET84" s="45">
        <f t="shared" si="827"/>
        <v>2</v>
      </c>
      <c r="EU84" s="46" cm="1">
        <f t="array" ref="EU84">ROUND(IFERROR(INDEX(ArchiveResults!$F$5:$IX$116,ComparisonData!A84,ComparisonData!$EU$1),0),5)</f>
        <v>0</v>
      </c>
      <c r="EV84" s="46" cm="1">
        <f t="array" ref="EV84">ROUND(IFERROR(INDEX(ArchiveResults!$F$5:$IX$116,ComparisonData!A84,ComparisonData!$EV$1),0),5)</f>
        <v>0</v>
      </c>
      <c r="EW84" s="46" cm="1">
        <f t="array" ref="EW84">ROUND(IFERROR(INDEX(ArchiveResults!$F$5:$IX$116,ComparisonData!A84,ComparisonData!$EW$1),0),5)</f>
        <v>0</v>
      </c>
      <c r="EX84" s="46" cm="1">
        <f t="array" ref="EX84">ROUND(IFERROR(INDEX(ArchiveResults!$F$5:$IX$116,ComparisonData!A84,ComparisonData!$EX$1),0),5)</f>
        <v>0</v>
      </c>
      <c r="EY84" s="45" cm="1">
        <f t="array" ref="EY84">IFERROR(INDEX(ArchiveResults!$F$5:$IX$116,ComparisonData!A84,ComparisonData!$EY$1),0)</f>
        <v>0</v>
      </c>
      <c r="EZ84" s="56">
        <v>79</v>
      </c>
      <c r="FA84" s="53" t="str">
        <f t="shared" si="663"/>
        <v>Southwark Archives</v>
      </c>
      <c r="FB84" s="59">
        <f t="shared" si="828"/>
        <v>0</v>
      </c>
      <c r="FC84" s="59">
        <f t="shared" si="829"/>
        <v>0</v>
      </c>
      <c r="FD84" s="59">
        <f t="shared" si="830"/>
        <v>0</v>
      </c>
      <c r="FE84" s="59">
        <f t="shared" si="831"/>
        <v>0</v>
      </c>
      <c r="FF84" s="59">
        <f t="shared" si="832"/>
        <v>0</v>
      </c>
      <c r="FG84" s="58">
        <f t="shared" si="833"/>
        <v>0</v>
      </c>
      <c r="FH84" s="45">
        <f t="shared" si="834"/>
        <v>94</v>
      </c>
      <c r="FI84" s="54">
        <f t="shared" si="664"/>
        <v>2.9089999999999998</v>
      </c>
      <c r="FJ84" s="45">
        <f t="shared" si="835"/>
        <v>1</v>
      </c>
      <c r="FK84" s="45">
        <f t="shared" si="836"/>
        <v>2</v>
      </c>
      <c r="FL84" s="46" cm="1">
        <f t="array" ref="FL84">ROUND(IFERROR(INDEX(ArchiveResults!$F$5:$IX$116,ComparisonData!A84,ComparisonData!$FL$1),0),5)</f>
        <v>0</v>
      </c>
      <c r="FM84" s="46" cm="1">
        <f t="array" ref="FM84">ROUND(IFERROR(INDEX(ArchiveResults!$F$5:$IX$116,ComparisonData!A84,ComparisonData!$FM$1),0),5)</f>
        <v>0</v>
      </c>
      <c r="FN84" s="46" cm="1">
        <f t="array" ref="FN84">ROUND(IFERROR(INDEX(ArchiveResults!$F$5:$IX$116,ComparisonData!A84,ComparisonData!$FN$1),0),5)</f>
        <v>0</v>
      </c>
      <c r="FO84" s="46" cm="1">
        <f t="array" ref="FO84">ROUND(IFERROR(INDEX(ArchiveResults!$F$5:$IX$116,ComparisonData!A84,ComparisonData!$FO$1),0),5)</f>
        <v>0</v>
      </c>
      <c r="FP84" s="45" cm="1">
        <f t="array" ref="FP84">IFERROR(INDEX(ArchiveResults!$F$5:$IX$116,ComparisonData!A84,ComparisonData!$FP$1),0)</f>
        <v>0</v>
      </c>
      <c r="FQ84" s="56">
        <v>79</v>
      </c>
      <c r="FR84" s="53" t="str">
        <f t="shared" si="665"/>
        <v>Southwark Archives</v>
      </c>
      <c r="FS84" s="59">
        <f t="shared" si="837"/>
        <v>0</v>
      </c>
      <c r="FT84" s="59">
        <f t="shared" si="838"/>
        <v>0</v>
      </c>
      <c r="FU84" s="59">
        <f t="shared" si="839"/>
        <v>0</v>
      </c>
      <c r="FV84" s="59">
        <f t="shared" si="840"/>
        <v>0</v>
      </c>
      <c r="FW84" s="59">
        <f t="shared" si="841"/>
        <v>0</v>
      </c>
      <c r="FX84" s="58">
        <f t="shared" si="842"/>
        <v>0</v>
      </c>
      <c r="FY84" s="45">
        <f t="shared" si="843"/>
        <v>94</v>
      </c>
      <c r="FZ84" s="45">
        <f t="shared" si="666"/>
        <v>2.9089999999999998</v>
      </c>
      <c r="GA84" s="45">
        <f t="shared" si="844"/>
        <v>1</v>
      </c>
      <c r="GB84" s="45">
        <f t="shared" si="845"/>
        <v>2</v>
      </c>
      <c r="GC84" s="46" cm="1">
        <f t="array" ref="GC84">ROUND(IFERROR(INDEX(ArchiveResults!$F$5:$IX$116,ComparisonData!A84,ComparisonData!$GC$1),0),5)</f>
        <v>0</v>
      </c>
      <c r="GD84" s="46" cm="1">
        <f t="array" ref="GD84">ROUND(IFERROR(INDEX(ArchiveResults!$F$5:$IX$116,ComparisonData!A84,ComparisonData!$GD$1),0),5)</f>
        <v>0</v>
      </c>
      <c r="GE84" s="46" cm="1">
        <f t="array" ref="GE84">ROUND(IFERROR(INDEX(ArchiveResults!$F$5:$IX$116,ComparisonData!A84,ComparisonData!$GE$1),0),5)</f>
        <v>0</v>
      </c>
      <c r="GF84" s="46" cm="1">
        <f t="array" ref="GF84">ROUND(IFERROR(INDEX(ArchiveResults!$F$5:$IX$116,ComparisonData!A84,ComparisonData!$GF$1),0),5)</f>
        <v>0</v>
      </c>
      <c r="GG84" s="45" cm="1">
        <f t="array" ref="GG84">IFERROR(INDEX(ArchiveResults!$F$5:$IX$116,ComparisonData!A84,ComparisonData!$GG$1),0)</f>
        <v>0</v>
      </c>
      <c r="GH84" s="56">
        <v>79</v>
      </c>
      <c r="GI84" s="53" t="str">
        <f t="shared" si="667"/>
        <v>Southwark Archives</v>
      </c>
      <c r="GJ84" s="59">
        <f t="shared" si="846"/>
        <v>0</v>
      </c>
      <c r="GK84" s="59">
        <f t="shared" si="847"/>
        <v>0</v>
      </c>
      <c r="GL84" s="59">
        <f t="shared" si="848"/>
        <v>0</v>
      </c>
      <c r="GM84" s="59">
        <f t="shared" si="849"/>
        <v>0</v>
      </c>
      <c r="GN84" s="59">
        <f t="shared" si="850"/>
        <v>0</v>
      </c>
      <c r="GO84" s="58">
        <f t="shared" si="851"/>
        <v>0</v>
      </c>
      <c r="GP84" s="45">
        <f t="shared" si="852"/>
        <v>94</v>
      </c>
      <c r="GQ84" s="45">
        <f t="shared" si="668"/>
        <v>2.9089999999999998</v>
      </c>
      <c r="GR84" s="45">
        <f t="shared" si="853"/>
        <v>1</v>
      </c>
      <c r="GS84" s="45">
        <f t="shared" si="854"/>
        <v>2</v>
      </c>
      <c r="GT84" s="46" cm="1">
        <f t="array" ref="GT84">ROUND(IFERROR(INDEX(ArchiveResults!$F$5:$IX$116,ComparisonData!A84,ComparisonData!$GT$1),0),5)</f>
        <v>0</v>
      </c>
      <c r="GU84" s="46" cm="1">
        <f t="array" ref="GU84">ROUND(IFERROR(INDEX(ArchiveResults!$F$5:$IX$116,ComparisonData!A84,ComparisonData!$GU$1),0),5)</f>
        <v>0</v>
      </c>
      <c r="GV84" s="46" cm="1">
        <f t="array" ref="GV84">ROUND(IFERROR(INDEX(ArchiveResults!$F$5:$IX$116,ComparisonData!A84,ComparisonData!$GV$1),0),5)</f>
        <v>0</v>
      </c>
      <c r="GW84" s="46" cm="1">
        <f t="array" ref="GW84">ROUND(IFERROR(INDEX(ArchiveResults!$F$5:$IX$116,ComparisonData!A84,ComparisonData!$GW$1),0),5)</f>
        <v>0</v>
      </c>
      <c r="GX84" s="45" cm="1">
        <f t="array" ref="GX84">IFERROR(INDEX(ArchiveResults!$F$5:$IX$116,ComparisonData!A84,ComparisonData!$GX$1),0)</f>
        <v>0</v>
      </c>
      <c r="GY84" s="56">
        <v>79</v>
      </c>
      <c r="GZ84" s="53" t="str">
        <f t="shared" si="669"/>
        <v>Southwark Archives</v>
      </c>
      <c r="HA84" s="59">
        <f t="shared" si="855"/>
        <v>0</v>
      </c>
      <c r="HB84" s="59">
        <f t="shared" si="856"/>
        <v>0</v>
      </c>
      <c r="HC84" s="59">
        <f t="shared" si="857"/>
        <v>0</v>
      </c>
      <c r="HD84" s="59">
        <f t="shared" si="858"/>
        <v>0</v>
      </c>
      <c r="HE84" s="59">
        <f t="shared" si="859"/>
        <v>0</v>
      </c>
      <c r="HF84" s="58">
        <f t="shared" si="860"/>
        <v>0</v>
      </c>
      <c r="HG84" s="45">
        <f t="shared" si="861"/>
        <v>94</v>
      </c>
      <c r="HH84" s="45">
        <f t="shared" si="670"/>
        <v>2.9089999999999998</v>
      </c>
      <c r="HI84" s="45">
        <f t="shared" si="862"/>
        <v>1</v>
      </c>
      <c r="HJ84" s="45">
        <f t="shared" si="863"/>
        <v>2</v>
      </c>
      <c r="HK84" s="46" cm="1">
        <f t="array" ref="HK84">ROUND(IFERROR(INDEX(ArchiveResults!$F$5:$IX$116,ComparisonData!A84,ComparisonData!$HK$1),0),5)</f>
        <v>0</v>
      </c>
      <c r="HL84" s="46" cm="1">
        <f t="array" ref="HL84">ROUND(IFERROR(INDEX(ArchiveResults!$F$5:$IX$116,ComparisonData!A84,ComparisonData!$HL$1),0),5)</f>
        <v>0</v>
      </c>
      <c r="HM84" s="46" cm="1">
        <f t="array" ref="HM84">ROUND(IFERROR(INDEX(ArchiveResults!$F$5:$IX$116,ComparisonData!A84,ComparisonData!$HM$1),0),5)</f>
        <v>0</v>
      </c>
      <c r="HN84" s="46" cm="1">
        <f t="array" ref="HN84">ROUND(IFERROR(INDEX(ArchiveResults!$F$5:$IX$116,ComparisonData!A84,ComparisonData!$HN$1),0),5)</f>
        <v>0</v>
      </c>
      <c r="HO84" s="45" cm="1">
        <f t="array" ref="HO84">IFERROR(INDEX(ArchiveResults!$F$5:$IX$116,ComparisonData!A84,ComparisonData!$HO$1),0)</f>
        <v>0</v>
      </c>
      <c r="HP84" s="56">
        <v>79</v>
      </c>
      <c r="HQ84" s="53" t="str">
        <f t="shared" si="671"/>
        <v>Southwark Archives</v>
      </c>
      <c r="HR84" s="59">
        <f t="shared" si="672"/>
        <v>0</v>
      </c>
      <c r="HS84" s="59">
        <f t="shared" si="673"/>
        <v>0</v>
      </c>
      <c r="HT84" s="59">
        <f t="shared" si="674"/>
        <v>0</v>
      </c>
      <c r="HU84" s="59">
        <f t="shared" si="675"/>
        <v>0</v>
      </c>
      <c r="HV84" s="59">
        <f t="shared" si="676"/>
        <v>0</v>
      </c>
      <c r="HW84" s="58">
        <f t="shared" si="864"/>
        <v>0</v>
      </c>
      <c r="HX84" s="45">
        <f t="shared" si="865"/>
        <v>94</v>
      </c>
      <c r="HY84" s="45">
        <f t="shared" si="677"/>
        <v>2.9089999999999998</v>
      </c>
      <c r="HZ84" s="45">
        <f t="shared" si="866"/>
        <v>1</v>
      </c>
      <c r="IA84" s="45">
        <f t="shared" si="867"/>
        <v>2</v>
      </c>
      <c r="IB84" s="45">
        <f t="shared" si="868"/>
        <v>0</v>
      </c>
      <c r="IC84" s="46" cm="1">
        <f t="array" ref="IC84">ROUND(IFERROR(INDEX(ArchiveResults!$F$5:$IX$116,ComparisonData!A84,ComparisonData!$IC$1),0),5)</f>
        <v>0</v>
      </c>
      <c r="ID84" s="46" cm="1">
        <f t="array" ref="ID84">ROUND(IFERROR(INDEX(ArchiveResults!$F$5:$IX$116,ComparisonData!A84,ComparisonData!$ID$1),0),5)</f>
        <v>0</v>
      </c>
      <c r="IE84" s="46" cm="1">
        <f t="array" ref="IE84">ROUND(IFERROR(INDEX(ArchiveResults!$F$5:$IX$116,ComparisonData!A84,ComparisonData!$IE$1),0),5)</f>
        <v>0</v>
      </c>
      <c r="IF84" s="46" cm="1">
        <f t="array" ref="IF84">ROUND(IFERROR(INDEX(ArchiveResults!$F$5:$IX$116,ComparisonData!A84,ComparisonData!$IF$1),0),5)</f>
        <v>0</v>
      </c>
      <c r="IG84" s="45" cm="1">
        <f t="array" ref="IG84">IFERROR(INDEX(ArchiveResults!$F$5:$IX$116,ComparisonData!A84,ComparisonData!$IG$1),0)</f>
        <v>0</v>
      </c>
      <c r="IH84" s="56">
        <v>79</v>
      </c>
      <c r="II84" s="53" t="str">
        <f t="shared" si="678"/>
        <v>Southwark Archives</v>
      </c>
      <c r="IJ84" s="59">
        <f t="shared" si="869"/>
        <v>0</v>
      </c>
      <c r="IK84" s="59">
        <f t="shared" si="870"/>
        <v>0</v>
      </c>
      <c r="IL84" s="59">
        <f t="shared" si="871"/>
        <v>0</v>
      </c>
      <c r="IM84" s="59">
        <f t="shared" si="872"/>
        <v>0</v>
      </c>
      <c r="IN84" s="59">
        <f t="shared" si="873"/>
        <v>0</v>
      </c>
      <c r="IO84" s="58">
        <f t="shared" si="874"/>
        <v>0</v>
      </c>
      <c r="IP84" s="45">
        <f t="shared" si="875"/>
        <v>94</v>
      </c>
      <c r="IQ84" s="45">
        <f t="shared" si="679"/>
        <v>2.9089999999999998</v>
      </c>
      <c r="IR84" s="45">
        <f t="shared" si="876"/>
        <v>1</v>
      </c>
      <c r="IS84" s="45">
        <f t="shared" si="877"/>
        <v>2</v>
      </c>
      <c r="IT84" s="46">
        <f t="shared" si="878"/>
        <v>0</v>
      </c>
      <c r="IU84" s="46" cm="1">
        <f t="array" ref="IU84">ROUND(IFERROR(INDEX(ArchiveResults!$F$5:$IX$116,ComparisonData!A84,ComparisonData!$IU$1),0),5)</f>
        <v>0</v>
      </c>
      <c r="IV84" s="46" cm="1">
        <f t="array" ref="IV84">ROUND(IFERROR(INDEX(ArchiveResults!$F$5:$IX$116,ComparisonData!A84,ComparisonData!$IV$1),0),5)</f>
        <v>0</v>
      </c>
      <c r="IW84" s="46" cm="1">
        <f t="array" ref="IW84">ROUND(IFERROR(INDEX(ArchiveResults!$F$5:$IX$116,ComparisonData!A84,ComparisonData!$IW$1),0),5)</f>
        <v>0</v>
      </c>
      <c r="IX84" s="46" cm="1">
        <f t="array" ref="IX84">ROUND(IFERROR(INDEX(ArchiveResults!$F$5:$IX$116,ComparisonData!A84,ComparisonData!$IX$1),0),5)</f>
        <v>0</v>
      </c>
      <c r="IY84" s="45" cm="1">
        <f t="array" ref="IY84">IFERROR(INDEX(ArchiveResults!$F$5:$IX$116,ComparisonData!A84,ComparisonData!$IY$1),0)</f>
        <v>0</v>
      </c>
      <c r="IZ84" s="56">
        <v>79</v>
      </c>
      <c r="JA84" s="53" t="str">
        <f t="shared" si="680"/>
        <v>Southwark Archives</v>
      </c>
      <c r="JB84" s="59">
        <f t="shared" si="879"/>
        <v>0</v>
      </c>
      <c r="JC84" s="59">
        <f t="shared" si="880"/>
        <v>0</v>
      </c>
      <c r="JD84" s="59">
        <f t="shared" si="881"/>
        <v>0</v>
      </c>
      <c r="JE84" s="59">
        <f t="shared" si="882"/>
        <v>0</v>
      </c>
      <c r="JF84" s="59">
        <f t="shared" si="883"/>
        <v>0</v>
      </c>
      <c r="JG84" s="58">
        <f t="shared" si="884"/>
        <v>0</v>
      </c>
      <c r="JH84" s="45">
        <f t="shared" si="885"/>
        <v>94</v>
      </c>
      <c r="JI84" s="45">
        <f t="shared" si="681"/>
        <v>2.9089999999999998</v>
      </c>
      <c r="JJ84" s="45">
        <f t="shared" si="886"/>
        <v>1</v>
      </c>
      <c r="JK84" s="45">
        <f t="shared" si="887"/>
        <v>2</v>
      </c>
      <c r="JL84" s="45">
        <f t="shared" si="888"/>
        <v>0</v>
      </c>
      <c r="JM84" s="46" cm="1">
        <f t="array" ref="JM84">ROUND(IFERROR(INDEX(ArchiveResults!$F$5:$IX$116,ComparisonData!A84,ComparisonData!$JM$1),0),5)</f>
        <v>0</v>
      </c>
      <c r="JN84" s="46" cm="1">
        <f t="array" ref="JN84">ROUND(IFERROR(INDEX(ArchiveResults!$F$5:$IX$116,ComparisonData!A84,ComparisonData!$JN$1),0),5)</f>
        <v>0</v>
      </c>
      <c r="JO84" s="46" cm="1">
        <f t="array" ref="JO84">ROUND(IFERROR(INDEX(ArchiveResults!$F$5:$IX$116,ComparisonData!A84,ComparisonData!$JO$1),0),5)</f>
        <v>0</v>
      </c>
      <c r="JP84" s="46" cm="1">
        <f t="array" ref="JP84">ROUND(IFERROR(INDEX(ArchiveResults!$F$5:$IX$116,ComparisonData!A84,ComparisonData!$JP$1),0),5)</f>
        <v>0</v>
      </c>
      <c r="JQ84" s="45" cm="1">
        <f t="array" ref="JQ84">IFERROR(INDEX(ArchiveResults!$F$5:$IX$116,ComparisonData!A84,ComparisonData!$JQ$1),0)</f>
        <v>0</v>
      </c>
      <c r="JR84" s="56">
        <v>79</v>
      </c>
      <c r="JS84" s="53" t="str">
        <f t="shared" si="682"/>
        <v>Southwark Archives</v>
      </c>
      <c r="JT84" s="59">
        <f t="shared" si="889"/>
        <v>0</v>
      </c>
      <c r="JU84" s="59">
        <f t="shared" si="890"/>
        <v>0</v>
      </c>
      <c r="JV84" s="59">
        <f t="shared" si="891"/>
        <v>0</v>
      </c>
      <c r="JW84" s="59">
        <f t="shared" si="892"/>
        <v>0</v>
      </c>
      <c r="JX84" s="59">
        <f t="shared" si="893"/>
        <v>0</v>
      </c>
      <c r="JY84" s="58">
        <f t="shared" si="894"/>
        <v>0</v>
      </c>
      <c r="JZ84" s="45">
        <f t="shared" si="895"/>
        <v>94</v>
      </c>
      <c r="KA84" s="45">
        <f t="shared" si="683"/>
        <v>2.9089999999999998</v>
      </c>
      <c r="KB84" s="45">
        <f t="shared" si="896"/>
        <v>1</v>
      </c>
      <c r="KC84" s="45">
        <f t="shared" si="897"/>
        <v>2</v>
      </c>
      <c r="KD84" s="45">
        <f t="shared" si="898"/>
        <v>0</v>
      </c>
      <c r="KE84" s="46" cm="1">
        <f t="array" ref="KE84">ROUND(IFERROR(INDEX(ArchiveResults!$F$5:$IX$116,ComparisonData!A84,ComparisonData!$KE$1),0),5)</f>
        <v>0</v>
      </c>
      <c r="KF84" s="46" cm="1">
        <f t="array" ref="KF84">ROUND(IFERROR(INDEX(ArchiveResults!$F$5:$IX$116,ComparisonData!A84,ComparisonData!$KF$1),0),5)</f>
        <v>0</v>
      </c>
      <c r="KG84" s="46" cm="1">
        <f t="array" ref="KG84">ROUND(IFERROR(INDEX(ArchiveResults!$F$5:$IX$116,ComparisonData!A84,ComparisonData!$KG$1),0),5)</f>
        <v>0</v>
      </c>
      <c r="KH84" s="46" cm="1">
        <f t="array" ref="KH84">ROUND(IFERROR(INDEX(ArchiveResults!$F$5:$IX$116,ComparisonData!A84,ComparisonData!$KH$1),0),5)</f>
        <v>0</v>
      </c>
      <c r="KI84" s="45" cm="1">
        <f t="array" ref="KI84">IFERROR(INDEX(ArchiveResults!$F$5:$IX$116,ComparisonData!A84,ComparisonData!$KI$1),0)</f>
        <v>0</v>
      </c>
      <c r="KJ84" s="56">
        <v>79</v>
      </c>
      <c r="KK84" s="53" t="str">
        <f t="shared" si="684"/>
        <v>Southwark Archives</v>
      </c>
      <c r="KL84" s="59">
        <f t="shared" si="899"/>
        <v>0</v>
      </c>
      <c r="KM84" s="59">
        <f t="shared" si="900"/>
        <v>0</v>
      </c>
      <c r="KN84" s="59">
        <f t="shared" si="901"/>
        <v>0</v>
      </c>
      <c r="KO84" s="59">
        <f t="shared" si="902"/>
        <v>0</v>
      </c>
      <c r="KP84" s="59">
        <f t="shared" si="903"/>
        <v>0</v>
      </c>
      <c r="KQ84" s="58">
        <f t="shared" si="904"/>
        <v>0</v>
      </c>
      <c r="KR84" s="45">
        <f t="shared" si="905"/>
        <v>94</v>
      </c>
      <c r="KS84" s="45">
        <f t="shared" si="685"/>
        <v>2.9089999999999998</v>
      </c>
      <c r="KT84" s="45">
        <f t="shared" si="906"/>
        <v>1</v>
      </c>
      <c r="KU84" s="45">
        <f t="shared" si="907"/>
        <v>2</v>
      </c>
      <c r="KV84" s="45">
        <f t="shared" si="908"/>
        <v>0</v>
      </c>
      <c r="KW84" s="46" cm="1">
        <f t="array" ref="KW84">ROUND(IFERROR(INDEX(ArchiveResults!$F$5:$IX$116,ComparisonData!A84,ComparisonData!$KW$1),0),5)</f>
        <v>0</v>
      </c>
      <c r="KX84" s="46" cm="1">
        <f t="array" ref="KX84">ROUND(IFERROR(INDEX(ArchiveResults!$F$5:$IX$116,ComparisonData!A84,ComparisonData!$KX$1),0),5)</f>
        <v>0</v>
      </c>
      <c r="KY84" s="46" cm="1">
        <f t="array" ref="KY84">ROUND(IFERROR(INDEX(ArchiveResults!$F$5:$IX$116,ComparisonData!A84,ComparisonData!$KY$1),0),5)</f>
        <v>0</v>
      </c>
      <c r="KZ84" s="46" cm="1">
        <f t="array" ref="KZ84">ROUND(IFERROR(INDEX(ArchiveResults!$F$5:$IX$116,ComparisonData!A84,ComparisonData!$KZ$1),0),5)</f>
        <v>0</v>
      </c>
      <c r="LA84" s="45" cm="1">
        <f t="array" ref="LA84">IFERROR(INDEX(ArchiveResults!$F$5:$IX$116,ComparisonData!A84,ComparisonData!$LA$1),0)</f>
        <v>0</v>
      </c>
      <c r="LB84" s="56">
        <v>79</v>
      </c>
      <c r="LC84" s="53" t="str">
        <f t="shared" si="686"/>
        <v>Southwark Archives</v>
      </c>
      <c r="LD84" s="59">
        <f t="shared" si="909"/>
        <v>0</v>
      </c>
      <c r="LE84" s="59">
        <f t="shared" si="910"/>
        <v>0</v>
      </c>
      <c r="LF84" s="59">
        <f t="shared" si="911"/>
        <v>0</v>
      </c>
      <c r="LG84" s="59">
        <f t="shared" si="912"/>
        <v>0</v>
      </c>
      <c r="LH84" s="59">
        <f t="shared" si="913"/>
        <v>0</v>
      </c>
      <c r="LI84" s="58">
        <f t="shared" si="914"/>
        <v>0</v>
      </c>
      <c r="LJ84" s="45">
        <f t="shared" si="915"/>
        <v>94</v>
      </c>
      <c r="LK84" s="45">
        <f t="shared" si="687"/>
        <v>2.9089999999999998</v>
      </c>
      <c r="LL84" s="45">
        <f t="shared" si="916"/>
        <v>1</v>
      </c>
      <c r="LM84" s="45">
        <f t="shared" si="917"/>
        <v>2</v>
      </c>
      <c r="LN84" s="45">
        <f t="shared" si="918"/>
        <v>0</v>
      </c>
      <c r="LO84" s="46" cm="1">
        <f t="array" ref="LO84">ROUND(IFERROR(INDEX(ArchiveResults!$F$5:$IX$116,ComparisonData!A84,ComparisonData!$LO$1),0),5)</f>
        <v>0</v>
      </c>
      <c r="LP84" s="46" cm="1">
        <f t="array" ref="LP84">ROUND(IFERROR(INDEX(ArchiveResults!$F$5:$IX$116,ComparisonData!A84,ComparisonData!$LP$1),0),5)</f>
        <v>0</v>
      </c>
      <c r="LQ84" s="46" cm="1">
        <f t="array" ref="LQ84">ROUND(IFERROR(INDEX(ArchiveResults!$F$5:$IX$116,ComparisonData!A84,ComparisonData!$LQ$1),0),5)</f>
        <v>0</v>
      </c>
      <c r="LR84" s="46" cm="1">
        <f t="array" ref="LR84">ROUND(IFERROR(INDEX(ArchiveResults!$F$5:$IX$116,ComparisonData!A84,ComparisonData!$LR$1),0),5)</f>
        <v>0</v>
      </c>
      <c r="LS84" s="45" cm="1">
        <f t="array" ref="LS84">IFERROR(INDEX(ArchiveResults!$F$5:$IX$116,ComparisonData!A84,ComparisonData!$LS$1),0)</f>
        <v>0</v>
      </c>
      <c r="LT84" s="56">
        <v>79</v>
      </c>
      <c r="LU84" s="53" t="str">
        <f t="shared" si="688"/>
        <v>Southwark Archives</v>
      </c>
      <c r="LV84" s="59">
        <f t="shared" si="919"/>
        <v>0</v>
      </c>
      <c r="LW84" s="59">
        <f t="shared" si="920"/>
        <v>0</v>
      </c>
      <c r="LX84" s="59">
        <f t="shared" si="921"/>
        <v>0</v>
      </c>
      <c r="LY84" s="59">
        <f t="shared" si="922"/>
        <v>0</v>
      </c>
      <c r="LZ84" s="59">
        <f t="shared" si="923"/>
        <v>0</v>
      </c>
      <c r="MA84" s="58">
        <f t="shared" si="924"/>
        <v>0</v>
      </c>
      <c r="MB84" s="45">
        <f t="shared" si="925"/>
        <v>94</v>
      </c>
      <c r="MC84" s="45">
        <f t="shared" si="689"/>
        <v>2.9089999999999998</v>
      </c>
      <c r="MD84" s="45">
        <f t="shared" si="926"/>
        <v>1</v>
      </c>
      <c r="ME84" s="45">
        <f t="shared" si="927"/>
        <v>2</v>
      </c>
      <c r="MF84" s="45">
        <f t="shared" si="928"/>
        <v>0</v>
      </c>
      <c r="MG84" s="46" cm="1">
        <f t="array" ref="MG84">ROUND(IFERROR(INDEX(ArchiveResults!$F$5:$IX$116,ComparisonData!A84,ComparisonData!$MG$1),0),5)</f>
        <v>0</v>
      </c>
      <c r="MH84" s="46" cm="1">
        <f t="array" ref="MH84">ROUND(IFERROR(INDEX(ArchiveResults!$F$5:$IX$116,ComparisonData!A84,ComparisonData!$MH$1),0),5)</f>
        <v>0</v>
      </c>
      <c r="MI84" s="46" cm="1">
        <f t="array" ref="MI84">ROUND(IFERROR(INDEX(ArchiveResults!$F$5:$IX$116,ComparisonData!A84,ComparisonData!$MI$1),0),5)</f>
        <v>0</v>
      </c>
      <c r="MJ84" s="46" cm="1">
        <f t="array" ref="MJ84">ROUND(IFERROR(INDEX(ArchiveResults!$F$5:$IX$116,ComparisonData!A84,ComparisonData!$MJ$1),0),5)</f>
        <v>0</v>
      </c>
      <c r="MK84" s="45" cm="1">
        <f t="array" ref="MK84">IFERROR(INDEX(ArchiveResults!$F$5:$IX$116,ComparisonData!A84,ComparisonData!$MK$1),0)</f>
        <v>0</v>
      </c>
      <c r="ML84" s="56">
        <v>79</v>
      </c>
      <c r="MM84" s="53" t="str">
        <f t="shared" si="690"/>
        <v>Southwark Archives</v>
      </c>
      <c r="MN84" s="59">
        <f t="shared" si="929"/>
        <v>0</v>
      </c>
      <c r="MO84" s="59">
        <f t="shared" si="930"/>
        <v>0</v>
      </c>
      <c r="MP84" s="59">
        <f t="shared" si="931"/>
        <v>0</v>
      </c>
      <c r="MQ84" s="59">
        <f t="shared" si="932"/>
        <v>0</v>
      </c>
      <c r="MR84" s="59">
        <f t="shared" si="933"/>
        <v>0</v>
      </c>
      <c r="MS84" s="58">
        <f t="shared" si="934"/>
        <v>0</v>
      </c>
      <c r="MT84" s="45">
        <f t="shared" si="935"/>
        <v>94</v>
      </c>
      <c r="MU84" s="45">
        <f t="shared" si="691"/>
        <v>2.9089999999999998</v>
      </c>
      <c r="MV84" s="45">
        <f t="shared" si="936"/>
        <v>1</v>
      </c>
      <c r="MW84" s="45">
        <f t="shared" si="937"/>
        <v>2</v>
      </c>
      <c r="MX84" s="45">
        <f t="shared" si="938"/>
        <v>0</v>
      </c>
      <c r="MY84" s="46" cm="1">
        <f t="array" ref="MY84">ROUND(IFERROR(INDEX(ArchiveResults!$F$5:$IX$116,ComparisonData!A84,ComparisonData!$MY$1),0),5)</f>
        <v>0</v>
      </c>
      <c r="MZ84" s="46" cm="1">
        <f t="array" ref="MZ84">ROUND(IFERROR(INDEX(ArchiveResults!$F$5:$IX$116,ComparisonData!A84,ComparisonData!$MZ$1),0),5)</f>
        <v>0</v>
      </c>
      <c r="NA84" s="46" cm="1">
        <f t="array" ref="NA84">ROUND(IFERROR(INDEX(ArchiveResults!$F$5:$IX$116,ComparisonData!A84,ComparisonData!$NA$1),0),5)</f>
        <v>0</v>
      </c>
      <c r="NB84" s="46" cm="1">
        <f t="array" ref="NB84">ROUND(IFERROR(INDEX(ArchiveResults!$F$5:$IX$116,ComparisonData!A84,ComparisonData!$NB$1),0),5)</f>
        <v>0</v>
      </c>
      <c r="NC84" s="45" cm="1">
        <f t="array" ref="NC84">IFERROR(INDEX(ArchiveResults!$F$5:$IX$116,ComparisonData!A84,ComparisonData!$NC$1),0)</f>
        <v>0</v>
      </c>
      <c r="ND84" s="56">
        <v>79</v>
      </c>
      <c r="NE84" s="53" t="str">
        <f t="shared" si="692"/>
        <v>Southwark Archives</v>
      </c>
      <c r="NF84" s="59">
        <f t="shared" si="939"/>
        <v>0</v>
      </c>
      <c r="NG84" s="59">
        <f t="shared" si="940"/>
        <v>0</v>
      </c>
      <c r="NH84" s="59">
        <f t="shared" si="941"/>
        <v>0</v>
      </c>
      <c r="NI84" s="59">
        <f t="shared" si="942"/>
        <v>0</v>
      </c>
      <c r="NJ84" s="59">
        <f t="shared" si="943"/>
        <v>0</v>
      </c>
      <c r="NK84" s="58">
        <f t="shared" si="944"/>
        <v>0</v>
      </c>
      <c r="NL84" s="45">
        <f t="shared" si="945"/>
        <v>94</v>
      </c>
      <c r="NM84" s="45">
        <f t="shared" si="693"/>
        <v>2.9089999999999998</v>
      </c>
      <c r="NN84" s="45">
        <f t="shared" si="946"/>
        <v>1</v>
      </c>
      <c r="NO84" s="45">
        <f t="shared" si="947"/>
        <v>2</v>
      </c>
      <c r="NP84" s="46" cm="1">
        <f t="array" ref="NP84">ROUND(IFERROR(INDEX(ArchiveResults!$F$5:$IX$116,ComparisonData!A84,ComparisonData!$NP$1),0),5)</f>
        <v>0</v>
      </c>
      <c r="NQ84" s="46" cm="1">
        <f t="array" ref="NQ84">ROUND(IFERROR(INDEX(ArchiveResults!$F$5:$IX$116,ComparisonData!A84,ComparisonData!$NQ$1),0),5)</f>
        <v>0</v>
      </c>
      <c r="NR84" s="46" cm="1">
        <f t="array" ref="NR84">ROUND(IFERROR(INDEX(ArchiveResults!$F$5:$IX$116,ComparisonData!A84,ComparisonData!$NR$1),0),5)</f>
        <v>0</v>
      </c>
      <c r="NS84" s="46" cm="1">
        <f t="array" ref="NS84">ROUND(IFERROR(INDEX(ArchiveResults!$F$5:$IX$116,ComparisonData!A84,ComparisonData!$NS$1),0),5)</f>
        <v>0</v>
      </c>
      <c r="NT84" s="45" cm="1">
        <f t="array" ref="NT84">IFERROR(INDEX(ArchiveResults!$F$5:$IX$116,ComparisonData!A84,ComparisonData!$NT$1),0)</f>
        <v>0</v>
      </c>
      <c r="NU84" s="56">
        <v>79</v>
      </c>
      <c r="NV84" s="53" t="str">
        <f t="shared" si="694"/>
        <v>Southwark Archives</v>
      </c>
      <c r="NW84" s="59">
        <f t="shared" si="948"/>
        <v>0</v>
      </c>
      <c r="NX84" s="59">
        <f t="shared" si="949"/>
        <v>0</v>
      </c>
      <c r="NY84" s="59">
        <f t="shared" si="950"/>
        <v>0</v>
      </c>
      <c r="NZ84" s="59">
        <f t="shared" si="951"/>
        <v>0</v>
      </c>
      <c r="OA84" s="59">
        <f t="shared" si="952"/>
        <v>0</v>
      </c>
      <c r="OB84" s="58">
        <f t="shared" si="953"/>
        <v>0</v>
      </c>
      <c r="OC84" s="45">
        <f t="shared" si="954"/>
        <v>94</v>
      </c>
      <c r="OD84" s="45">
        <f t="shared" si="695"/>
        <v>2.9089999999999998</v>
      </c>
      <c r="OE84" s="45">
        <f t="shared" si="955"/>
        <v>1</v>
      </c>
      <c r="OF84" s="45">
        <f t="shared" si="956"/>
        <v>2</v>
      </c>
      <c r="OG84" s="46">
        <f t="shared" si="957"/>
        <v>0</v>
      </c>
      <c r="OH84" s="46" cm="1">
        <f t="array" ref="OH84">ROUND(IFERROR(INDEX(ArchiveResults!$F$5:$IX$116,ComparisonData!A84,ComparisonData!$OH$1),0),5)</f>
        <v>0</v>
      </c>
      <c r="OI84" s="46" cm="1">
        <f t="array" ref="OI84">ROUND(IFERROR(INDEX(ArchiveResults!$F$5:$IX$116,ComparisonData!A84,ComparisonData!$OI$1),0),5)</f>
        <v>0</v>
      </c>
      <c r="OJ84" s="46" cm="1">
        <f t="array" ref="OJ84">ROUND(IFERROR(INDEX(ArchiveResults!$F$5:$IX$116,ComparisonData!A84,ComparisonData!$OJ$1),0),5)</f>
        <v>0</v>
      </c>
      <c r="OK84" s="46" cm="1">
        <f t="array" ref="OK84">ROUND(IFERROR(INDEX(ArchiveResults!$F$5:$IX$116,ComparisonData!A84,ComparisonData!$OK$1),0),5)</f>
        <v>0</v>
      </c>
      <c r="OL84" s="45" cm="1">
        <f t="array" ref="OL84">IFERROR(INDEX(ArchiveResults!$F$5:$IX$116,ComparisonData!A84,ComparisonData!$OL$1),0)</f>
        <v>0</v>
      </c>
      <c r="OM84" s="56">
        <v>79</v>
      </c>
      <c r="ON84" s="53" t="str">
        <f t="shared" si="696"/>
        <v>Southwark Archives</v>
      </c>
      <c r="OO84" s="59">
        <f t="shared" si="958"/>
        <v>0</v>
      </c>
      <c r="OP84" s="59">
        <f t="shared" si="959"/>
        <v>0</v>
      </c>
      <c r="OQ84" s="59">
        <f t="shared" si="960"/>
        <v>0</v>
      </c>
      <c r="OR84" s="59">
        <f t="shared" si="961"/>
        <v>0</v>
      </c>
      <c r="OS84" s="59">
        <f t="shared" si="962"/>
        <v>0</v>
      </c>
      <c r="OT84" s="58">
        <f t="shared" si="963"/>
        <v>0</v>
      </c>
      <c r="OU84" s="45">
        <f t="shared" si="964"/>
        <v>94</v>
      </c>
      <c r="OV84" s="45">
        <f t="shared" si="697"/>
        <v>2.9089999999999998</v>
      </c>
      <c r="OW84" s="45">
        <f t="shared" si="965"/>
        <v>1</v>
      </c>
      <c r="OX84" s="45">
        <f t="shared" si="966"/>
        <v>2</v>
      </c>
      <c r="OY84" s="45">
        <f t="shared" si="967"/>
        <v>0</v>
      </c>
      <c r="OZ84" s="46" cm="1">
        <f t="array" ref="OZ84">ROUND(IFERROR(INDEX(ArchiveResults!$F$5:$IX$116,ComparisonData!A84,ComparisonData!$OZ$1),0),5)</f>
        <v>0</v>
      </c>
      <c r="PA84" s="46" cm="1">
        <f t="array" ref="PA84">ROUND(IFERROR(INDEX(ArchiveResults!$F$5:$IX$116,ComparisonData!A84,ComparisonData!$PA$1),0),5)</f>
        <v>0</v>
      </c>
      <c r="PB84" s="46" cm="1">
        <f t="array" ref="PB84">ROUND(IFERROR(INDEX(ArchiveResults!$F$5:$IX$116,ComparisonData!A84,ComparisonData!$PB$1),0),5)</f>
        <v>0</v>
      </c>
      <c r="PC84" s="46" cm="1">
        <f t="array" ref="PC84">ROUND(IFERROR(INDEX(ArchiveResults!$F$5:$IX$116,ComparisonData!A84,ComparisonData!$PC$1),0),5)</f>
        <v>0</v>
      </c>
      <c r="PD84" s="45" cm="1">
        <f t="array" ref="PD84">IFERROR(INDEX(ArchiveResults!$F$5:$IX$116,ComparisonData!A84,ComparisonData!$PD$1),0)</f>
        <v>0</v>
      </c>
      <c r="PE84" s="56">
        <v>79</v>
      </c>
      <c r="PF84" s="53" t="str">
        <f t="shared" si="698"/>
        <v>Southwark Archives</v>
      </c>
      <c r="PG84" s="59">
        <f t="shared" si="968"/>
        <v>0</v>
      </c>
      <c r="PH84" s="59">
        <f t="shared" si="969"/>
        <v>0</v>
      </c>
      <c r="PI84" s="59">
        <f t="shared" si="970"/>
        <v>0</v>
      </c>
      <c r="PJ84" s="59">
        <f t="shared" si="971"/>
        <v>0</v>
      </c>
      <c r="PK84" s="59">
        <f t="shared" si="972"/>
        <v>0</v>
      </c>
      <c r="PL84" s="58">
        <f t="shared" si="973"/>
        <v>0</v>
      </c>
      <c r="PM84" s="45">
        <f t="shared" si="974"/>
        <v>94</v>
      </c>
      <c r="PN84" s="45">
        <f t="shared" si="699"/>
        <v>2.9089999999999998</v>
      </c>
      <c r="PO84" s="45">
        <f t="shared" si="975"/>
        <v>1</v>
      </c>
      <c r="PP84" s="45">
        <f t="shared" si="976"/>
        <v>2</v>
      </c>
      <c r="PQ84" s="45">
        <f t="shared" si="977"/>
        <v>0</v>
      </c>
      <c r="PR84" s="46" cm="1">
        <f t="array" ref="PR84">ROUND(IFERROR(INDEX(ArchiveResults!$F$5:$IX$116,ComparisonData!A84,ComparisonData!$PR$1),0),5)</f>
        <v>0</v>
      </c>
      <c r="PS84" s="46" cm="1">
        <f t="array" ref="PS84">ROUND(IFERROR(INDEX(ArchiveResults!$F$5:$IX$116,ComparisonData!A84,ComparisonData!$PS$1),0),5)</f>
        <v>0</v>
      </c>
      <c r="PT84" s="46" cm="1">
        <f t="array" ref="PT84">ROUND(IFERROR(INDEX(ArchiveResults!$F$5:$IX$116,ComparisonData!A84,ComparisonData!$PT$1),0),5)</f>
        <v>0</v>
      </c>
      <c r="PU84" s="46" cm="1">
        <f t="array" ref="PU84">ROUND(IFERROR(INDEX(ArchiveResults!$F$5:$IX$116,ComparisonData!A84,ComparisonData!$PU$1),0),5)</f>
        <v>0</v>
      </c>
      <c r="PV84" s="45" cm="1">
        <f t="array" ref="PV84">IFERROR(INDEX(ArchiveResults!$F$5:$IX$116,ComparisonData!A84,ComparisonData!$PV$1),0)</f>
        <v>0</v>
      </c>
      <c r="PW84" s="56">
        <v>79</v>
      </c>
      <c r="PX84" s="53" t="str">
        <f t="shared" si="700"/>
        <v>Southwark Archives</v>
      </c>
      <c r="PY84" s="59">
        <f t="shared" si="978"/>
        <v>0</v>
      </c>
      <c r="PZ84" s="59">
        <f t="shared" si="979"/>
        <v>0</v>
      </c>
      <c r="QA84" s="59">
        <f t="shared" si="980"/>
        <v>0</v>
      </c>
      <c r="QB84" s="59">
        <f t="shared" si="981"/>
        <v>0</v>
      </c>
      <c r="QC84" s="59">
        <f t="shared" si="982"/>
        <v>0</v>
      </c>
      <c r="QD84" s="58">
        <f t="shared" si="983"/>
        <v>0</v>
      </c>
      <c r="QE84" s="45">
        <f t="shared" si="984"/>
        <v>94</v>
      </c>
      <c r="QF84" s="45">
        <f t="shared" si="701"/>
        <v>2.9089999999999998</v>
      </c>
      <c r="QG84" s="45">
        <f t="shared" si="985"/>
        <v>1</v>
      </c>
      <c r="QH84" s="45">
        <f t="shared" si="986"/>
        <v>2</v>
      </c>
      <c r="QI84" s="45">
        <f t="shared" si="987"/>
        <v>0</v>
      </c>
      <c r="QJ84" s="46" cm="1">
        <f t="array" ref="QJ84">ROUND(IFERROR(INDEX(ArchiveResults!$F$5:$IX$116,ComparisonData!A84,ComparisonData!$QJ$1),0),5)</f>
        <v>0</v>
      </c>
      <c r="QK84" s="46" cm="1">
        <f t="array" ref="QK84">ROUND(IFERROR(INDEX(ArchiveResults!$F$5:$IX$116,ComparisonData!A84,ComparisonData!$QK$1),0),5)</f>
        <v>0</v>
      </c>
      <c r="QL84" s="46" cm="1">
        <f t="array" ref="QL84">ROUND(IFERROR(INDEX(ArchiveResults!$F$5:$IX$116,ComparisonData!A84,ComparisonData!$QL$1),0),5)</f>
        <v>0</v>
      </c>
      <c r="QM84" s="46" cm="1">
        <f t="array" ref="QM84">ROUND(IFERROR(INDEX(ArchiveResults!$F$5:$IX$116,ComparisonData!A84,ComparisonData!$QM$1),0),5)</f>
        <v>0</v>
      </c>
      <c r="QN84" s="45" cm="1">
        <f t="array" ref="QN84">IFERROR(INDEX(ArchiveResults!$F$5:$IX$116,ComparisonData!A84,ComparisonData!$QN$1),0)</f>
        <v>0</v>
      </c>
      <c r="QO84" s="56">
        <v>79</v>
      </c>
      <c r="QP84" s="53" t="str">
        <f t="shared" si="702"/>
        <v>Southwark Archives</v>
      </c>
      <c r="QQ84" s="59">
        <f t="shared" si="988"/>
        <v>0</v>
      </c>
      <c r="QR84" s="59">
        <f t="shared" si="989"/>
        <v>0</v>
      </c>
      <c r="QS84" s="59">
        <f t="shared" si="990"/>
        <v>0</v>
      </c>
      <c r="QT84" s="59">
        <f t="shared" si="991"/>
        <v>0</v>
      </c>
      <c r="QU84" s="59">
        <f t="shared" si="992"/>
        <v>0</v>
      </c>
      <c r="QV84" s="58">
        <f t="shared" si="993"/>
        <v>0</v>
      </c>
      <c r="QW84" s="45">
        <f t="shared" si="994"/>
        <v>94</v>
      </c>
      <c r="QX84" s="45">
        <f t="shared" si="703"/>
        <v>2.9089999999999998</v>
      </c>
      <c r="QY84" s="45">
        <f t="shared" si="995"/>
        <v>1</v>
      </c>
      <c r="QZ84" s="45">
        <f t="shared" si="996"/>
        <v>2</v>
      </c>
      <c r="RA84" s="45">
        <f t="shared" si="997"/>
        <v>0</v>
      </c>
      <c r="RB84" s="46" cm="1">
        <f t="array" ref="RB84">ROUND(IFERROR(INDEX(ArchiveResults!$F$5:$IX$116,ComparisonData!A84,ComparisonData!$RB$1),0),5)</f>
        <v>0</v>
      </c>
      <c r="RC84" s="46" cm="1">
        <f t="array" ref="RC84">ROUND(IFERROR(INDEX(ArchiveResults!$F$5:$IX$116,ComparisonData!A84,ComparisonData!$RC$1),0),5)</f>
        <v>0</v>
      </c>
      <c r="RD84" s="46" cm="1">
        <f t="array" ref="RD84">ROUND(IFERROR(INDEX(ArchiveResults!$F$5:$IX$116,ComparisonData!A84,ComparisonData!$RD$1),0),5)</f>
        <v>0</v>
      </c>
      <c r="RE84" s="46" cm="1">
        <f t="array" ref="RE84">ROUND(IFERROR(INDEX(ArchiveResults!$F$5:$IX$116,ComparisonData!A84,ComparisonData!$RE$1),0),5)</f>
        <v>0</v>
      </c>
      <c r="RF84" s="45" cm="1">
        <f t="array" ref="RF84">IFERROR(INDEX(ArchiveResults!$F$5:$IX$116,ComparisonData!A84,ComparisonData!$RF$1),0)</f>
        <v>0</v>
      </c>
      <c r="RG84" s="56">
        <v>79</v>
      </c>
      <c r="RH84" s="53" t="str">
        <f t="shared" si="704"/>
        <v>Southwark Archives</v>
      </c>
      <c r="RI84" s="59">
        <f t="shared" si="998"/>
        <v>0</v>
      </c>
      <c r="RJ84" s="59">
        <f t="shared" si="999"/>
        <v>0</v>
      </c>
      <c r="RK84" s="59">
        <f t="shared" si="1000"/>
        <v>0</v>
      </c>
      <c r="RL84" s="59">
        <f t="shared" si="1001"/>
        <v>0</v>
      </c>
      <c r="RM84" s="59">
        <f t="shared" si="1002"/>
        <v>0</v>
      </c>
      <c r="RN84" s="58">
        <f t="shared" si="1003"/>
        <v>0</v>
      </c>
      <c r="RO84" s="45">
        <f t="shared" si="1004"/>
        <v>94</v>
      </c>
      <c r="RP84" s="45">
        <f t="shared" si="705"/>
        <v>2.9089999999999998</v>
      </c>
      <c r="RQ84" s="45">
        <f t="shared" si="1005"/>
        <v>1</v>
      </c>
      <c r="RR84" s="45">
        <f t="shared" si="1006"/>
        <v>2</v>
      </c>
      <c r="RS84" s="45">
        <f t="shared" si="1007"/>
        <v>0</v>
      </c>
      <c r="RT84" s="46" cm="1">
        <f t="array" ref="RT84">ROUND(IFERROR(INDEX(ArchiveResults!$F$5:$IX$116,ComparisonData!A84,ComparisonData!$RT$1),0),5)</f>
        <v>0</v>
      </c>
      <c r="RU84" s="46" cm="1">
        <f t="array" ref="RU84">ROUND(IFERROR(INDEX(ArchiveResults!$F$5:$IX$116,ComparisonData!A84,ComparisonData!$RU$1),0),5)</f>
        <v>0</v>
      </c>
      <c r="RV84" s="46" cm="1">
        <f t="array" ref="RV84">ROUND(IFERROR(INDEX(ArchiveResults!$F$5:$IX$116,ComparisonData!A84,ComparisonData!$RV$1),0),5)</f>
        <v>0</v>
      </c>
      <c r="RW84" s="46" cm="1">
        <f t="array" ref="RW84">ROUND(IFERROR(INDEX(ArchiveResults!$F$5:$IX$116,ComparisonData!A84,ComparisonData!$RW$1),0),5)</f>
        <v>0</v>
      </c>
      <c r="RX84" s="45" cm="1">
        <f t="array" ref="RX84">IFERROR(INDEX(ArchiveResults!$F$5:$IX$116,ComparisonData!A84,ComparisonData!$RX$1),0)</f>
        <v>0</v>
      </c>
      <c r="RY84" s="56">
        <v>79</v>
      </c>
      <c r="RZ84" s="53" t="str">
        <f t="shared" si="706"/>
        <v>Southwark Archives</v>
      </c>
      <c r="SA84" s="59">
        <f t="shared" si="1008"/>
        <v>0</v>
      </c>
      <c r="SB84" s="59">
        <f t="shared" si="1009"/>
        <v>0</v>
      </c>
      <c r="SC84" s="59">
        <f t="shared" si="1010"/>
        <v>0</v>
      </c>
      <c r="SD84" s="59">
        <f t="shared" si="1011"/>
        <v>0</v>
      </c>
      <c r="SE84" s="59">
        <f t="shared" si="1012"/>
        <v>0</v>
      </c>
      <c r="SF84" s="58">
        <f t="shared" si="1013"/>
        <v>0</v>
      </c>
      <c r="SG84" s="45">
        <f t="shared" si="1014"/>
        <v>94</v>
      </c>
      <c r="SH84" s="45">
        <f t="shared" si="707"/>
        <v>2.9089999999999998</v>
      </c>
      <c r="SI84" s="45">
        <f t="shared" si="1015"/>
        <v>1</v>
      </c>
      <c r="SJ84" s="45">
        <f t="shared" si="1016"/>
        <v>2</v>
      </c>
      <c r="SK84" s="45">
        <f t="shared" si="1017"/>
        <v>0</v>
      </c>
      <c r="SL84" s="46" cm="1">
        <f t="array" ref="SL84">ROUND(IFERROR(INDEX(ArchiveResults!$F$5:$IX$116,ComparisonData!A84,ComparisonData!$SL$1),0),5)</f>
        <v>0</v>
      </c>
      <c r="SM84" s="46" cm="1">
        <f t="array" ref="SM84">ROUND(IFERROR(INDEX(ArchiveResults!$F$5:$IX$116,ComparisonData!A84,ComparisonData!$SM$1),0),5)</f>
        <v>0</v>
      </c>
      <c r="SN84" s="46" cm="1">
        <f t="array" ref="SN84">ROUND(IFERROR(INDEX(ArchiveResults!$F$5:$IX$116,ComparisonData!A84,ComparisonData!$SN$1),0),5)</f>
        <v>0</v>
      </c>
      <c r="SO84" s="46" cm="1">
        <f t="array" ref="SO84">ROUND(IFERROR(INDEX(ArchiveResults!$F$5:$IX$116,ComparisonData!A84,ComparisonData!$SO$1),0),5)</f>
        <v>0</v>
      </c>
      <c r="SP84" s="45" cm="1">
        <f t="array" ref="SP84">IFERROR(INDEX(ArchiveResults!$F$5:$IX$116,ComparisonData!A84,ComparisonData!$SP$1),0)</f>
        <v>0</v>
      </c>
      <c r="SQ84" s="56">
        <v>79</v>
      </c>
      <c r="SR84" s="53" t="str">
        <f t="shared" si="708"/>
        <v>Southwark Archives</v>
      </c>
      <c r="SS84" s="59">
        <f t="shared" si="1018"/>
        <v>0</v>
      </c>
      <c r="ST84" s="59">
        <f t="shared" si="1019"/>
        <v>0</v>
      </c>
      <c r="SU84" s="59">
        <f t="shared" si="1020"/>
        <v>0</v>
      </c>
      <c r="SV84" s="59">
        <f t="shared" si="1021"/>
        <v>0</v>
      </c>
      <c r="SW84" s="59">
        <f t="shared" si="1022"/>
        <v>0</v>
      </c>
      <c r="SX84" s="58">
        <f t="shared" si="1023"/>
        <v>0</v>
      </c>
      <c r="SY84" s="45">
        <f t="shared" si="1024"/>
        <v>94</v>
      </c>
      <c r="SZ84" s="45">
        <f t="shared" si="709"/>
        <v>2.9089999999999998</v>
      </c>
      <c r="TA84" s="45">
        <f t="shared" si="1025"/>
        <v>1</v>
      </c>
      <c r="TB84" s="45">
        <f t="shared" si="1026"/>
        <v>2</v>
      </c>
      <c r="TC84" s="45">
        <f t="shared" si="1027"/>
        <v>0</v>
      </c>
      <c r="TD84" s="46" cm="1">
        <f t="array" ref="TD84">ROUND(IFERROR(INDEX(ArchiveResults!$F$5:$IX$116,ComparisonData!A84,ComparisonData!$TD$1),0),5)</f>
        <v>0</v>
      </c>
      <c r="TE84" s="46" cm="1">
        <f t="array" ref="TE84">ROUND(IFERROR(INDEX(ArchiveResults!$F$5:$IX$116,ComparisonData!A84,ComparisonData!$TE$1),0),5)</f>
        <v>0</v>
      </c>
      <c r="TF84" s="46" cm="1">
        <f t="array" ref="TF84">ROUND(IFERROR(INDEX(ArchiveResults!$F$5:$IX$116,ComparisonData!A84,ComparisonData!$TF$1),0),5)</f>
        <v>0</v>
      </c>
      <c r="TG84" s="46" cm="1">
        <f t="array" ref="TG84">ROUND(IFERROR(INDEX(ArchiveResults!$F$5:$IX$116,ComparisonData!A84,ComparisonData!$TG$1),0),5)</f>
        <v>0</v>
      </c>
      <c r="TH84" s="45" cm="1">
        <f t="array" ref="TH84">IFERROR(INDEX(ArchiveResults!$F$5:$IX$116,ComparisonData!A84,ComparisonData!$TH$1),0)</f>
        <v>0</v>
      </c>
      <c r="TI84" s="56">
        <v>79</v>
      </c>
      <c r="TJ84" s="53" t="str">
        <f t="shared" si="710"/>
        <v>Southwark Archives</v>
      </c>
      <c r="TK84" s="59">
        <f t="shared" si="1028"/>
        <v>0</v>
      </c>
      <c r="TL84" s="59">
        <f t="shared" si="1029"/>
        <v>0</v>
      </c>
      <c r="TM84" s="59">
        <f t="shared" si="1030"/>
        <v>0</v>
      </c>
      <c r="TN84" s="59">
        <f t="shared" si="1031"/>
        <v>0</v>
      </c>
      <c r="TO84" s="59">
        <f t="shared" si="1032"/>
        <v>0</v>
      </c>
      <c r="TP84" s="58">
        <f t="shared" si="1033"/>
        <v>0</v>
      </c>
      <c r="TQ84" s="45">
        <f t="shared" si="1034"/>
        <v>94</v>
      </c>
      <c r="TR84" s="45">
        <f t="shared" si="711"/>
        <v>2.9089999999999998</v>
      </c>
      <c r="TS84" s="45">
        <f t="shared" si="1035"/>
        <v>1</v>
      </c>
      <c r="TT84" s="45">
        <f t="shared" si="1036"/>
        <v>2</v>
      </c>
      <c r="TU84" s="45">
        <f t="shared" si="1037"/>
        <v>0</v>
      </c>
      <c r="TV84" s="46" cm="1">
        <f t="array" ref="TV84">ROUND(IFERROR(INDEX(ArchiveResults!$F$5:$IX$116,ComparisonData!A84,ComparisonData!$TV$1),0),5)</f>
        <v>0</v>
      </c>
      <c r="TW84" s="46" cm="1">
        <f t="array" ref="TW84">ROUND(IFERROR(INDEX(ArchiveResults!$F$5:$IX$116,ComparisonData!A84,ComparisonData!$TW$1),0),5)</f>
        <v>0</v>
      </c>
      <c r="TX84" s="46" cm="1">
        <f t="array" ref="TX84">ROUND(IFERROR(INDEX(ArchiveResults!$F$5:$IX$116,ComparisonData!A84,ComparisonData!$TX$1),0),5)</f>
        <v>0</v>
      </c>
      <c r="TY84" s="46" cm="1">
        <f t="array" ref="TY84">ROUND(IFERROR(INDEX(ArchiveResults!$F$5:$IX$116,ComparisonData!A84,ComparisonData!$TY$1),0),5)</f>
        <v>0</v>
      </c>
      <c r="TZ84" s="45" cm="1">
        <f t="array" ref="TZ84">IFERROR(INDEX(ArchiveResults!$F$5:$IX$116,ComparisonData!A84,ComparisonData!$TZ$1),0)</f>
        <v>0</v>
      </c>
      <c r="UA84" s="56">
        <v>79</v>
      </c>
      <c r="UB84" s="53" t="str">
        <f t="shared" si="712"/>
        <v>Southwark Archives</v>
      </c>
      <c r="UC84" s="60">
        <f t="shared" si="1038"/>
        <v>0</v>
      </c>
      <c r="UD84" s="60">
        <f t="shared" si="1039"/>
        <v>0</v>
      </c>
      <c r="UE84" s="60">
        <f t="shared" si="1040"/>
        <v>0</v>
      </c>
      <c r="UF84" s="60">
        <f t="shared" si="1041"/>
        <v>0</v>
      </c>
      <c r="UG84" s="60">
        <f t="shared" si="1042"/>
        <v>0</v>
      </c>
      <c r="UH84" s="58">
        <f t="shared" si="1043"/>
        <v>0</v>
      </c>
      <c r="UI84" s="46">
        <f t="shared" si="1044"/>
        <v>94</v>
      </c>
      <c r="UJ84" s="46">
        <f t="shared" si="713"/>
        <v>2.9089999999999998</v>
      </c>
      <c r="UK84" s="46">
        <f t="shared" si="1045"/>
        <v>1</v>
      </c>
      <c r="UL84" s="46">
        <f t="shared" si="1046"/>
        <v>2</v>
      </c>
      <c r="UM84" s="46" cm="1">
        <f t="array" ref="UM84">ROUND(IFERROR(INDEX(ArchiveResults!$F$5:$IX$116,ComparisonData!A84,ComparisonData!$UM$1),0),5)</f>
        <v>0</v>
      </c>
      <c r="UN84" s="56">
        <v>79</v>
      </c>
      <c r="UO84" s="53" t="str">
        <f t="shared" si="714"/>
        <v>Southwark Archives</v>
      </c>
      <c r="UP84" s="46">
        <f t="shared" si="1047"/>
        <v>0</v>
      </c>
      <c r="UQ84" s="76">
        <f t="shared" si="1048"/>
        <v>0</v>
      </c>
      <c r="UR84" s="46">
        <f t="shared" si="1049"/>
        <v>94</v>
      </c>
      <c r="US84" s="46">
        <f t="shared" si="715"/>
        <v>2.9089999999999998</v>
      </c>
      <c r="UT84" s="46">
        <f t="shared" si="1050"/>
        <v>1</v>
      </c>
      <c r="UU84" s="46">
        <f t="shared" si="1051"/>
        <v>2</v>
      </c>
      <c r="UV84" s="46">
        <f t="shared" si="1052"/>
        <v>0</v>
      </c>
      <c r="UW84" s="46" cm="1">
        <f t="array" ref="UW84">ROUND(IFERROR(INDEX(ArchiveResults!$F$5:$IX$116,ComparisonData!A84,ComparisonData!$UW$1),0),5)</f>
        <v>0</v>
      </c>
      <c r="UX84" s="46" cm="1">
        <f t="array" ref="UX84">ROUND(IFERROR(INDEX(ArchiveResults!$F$5:$IX$116,ComparisonData!A84,ComparisonData!$UX$1),0),5)</f>
        <v>0</v>
      </c>
      <c r="UY84" s="46" cm="1">
        <f t="array" ref="UY84">ROUND(IFERROR(INDEX(ArchiveResults!$F$5:$IX$116,ComparisonData!A84,ComparisonData!$UY$1),0),5)</f>
        <v>0</v>
      </c>
      <c r="UZ84" s="46" cm="1">
        <f t="array" ref="UZ84">ROUND(IFERROR(INDEX(ArchiveResults!$F$5:$IX$116,ComparisonData!A84,ComparisonData!$UZ$1),0),5)</f>
        <v>0</v>
      </c>
      <c r="VA84" s="46" cm="1">
        <f t="array" ref="VA84">ROUND(IFERROR(INDEX(ArchiveResults!$F$5:$IX$116,ComparisonData!A84,ComparisonData!$VA$1),0),5)</f>
        <v>0</v>
      </c>
      <c r="VB84" s="56">
        <v>79</v>
      </c>
      <c r="VC84" s="53" t="str">
        <f t="shared" si="716"/>
        <v>Southwark Archives</v>
      </c>
      <c r="VD84" s="60">
        <f t="shared" si="1053"/>
        <v>0</v>
      </c>
      <c r="VE84" s="60">
        <f t="shared" si="1054"/>
        <v>0</v>
      </c>
      <c r="VF84" s="60">
        <f t="shared" si="1055"/>
        <v>0</v>
      </c>
      <c r="VG84" s="60">
        <f t="shared" si="1056"/>
        <v>0</v>
      </c>
      <c r="VH84" s="60">
        <f t="shared" si="1057"/>
        <v>0</v>
      </c>
      <c r="VI84" s="76">
        <f t="shared" si="1058"/>
        <v>0</v>
      </c>
      <c r="VJ84" s="46">
        <f t="shared" si="1059"/>
        <v>94</v>
      </c>
      <c r="VK84" s="46">
        <f t="shared" si="717"/>
        <v>2.9089999999999998</v>
      </c>
      <c r="VL84" s="46">
        <f t="shared" si="1060"/>
        <v>1</v>
      </c>
      <c r="VM84" s="46">
        <f t="shared" si="1061"/>
        <v>2</v>
      </c>
      <c r="VN84" s="46" cm="1">
        <f t="array" ref="VN84">ROUND(IFERROR(INDEX(ArchiveResults!$F$5:$IX$116,ComparisonData!A84,ComparisonData!$VN$1),0),5)</f>
        <v>0</v>
      </c>
      <c r="VO84" s="46" cm="1">
        <f t="array" ref="VO84">ROUND(IFERROR(INDEX(ArchiveResults!$F$5:$IX$116,ComparisonData!A84,ComparisonData!$VO$1),0),5)</f>
        <v>0</v>
      </c>
      <c r="VP84" s="46" cm="1">
        <f t="array" ref="VP84">ROUND(IFERROR(INDEX(ArchiveResults!$F$5:$IX$116,ComparisonData!A84,ComparisonData!$VP$1),0),5)</f>
        <v>0</v>
      </c>
      <c r="VQ84" s="46" cm="1">
        <f t="array" ref="VQ84">ROUND(IFERROR(INDEX(ArchiveResults!$F$5:$IX$116,ComparisonData!A84,ComparisonData!$VQ$1),0),5)</f>
        <v>0</v>
      </c>
      <c r="VR84" s="56">
        <v>79</v>
      </c>
      <c r="VS84" s="53" t="str">
        <f t="shared" si="718"/>
        <v>Southwark Archives</v>
      </c>
      <c r="VT84" s="60">
        <f t="shared" si="1062"/>
        <v>0</v>
      </c>
      <c r="VU84" s="60">
        <f t="shared" si="1063"/>
        <v>0</v>
      </c>
      <c r="VV84" s="60">
        <f t="shared" si="1064"/>
        <v>0</v>
      </c>
      <c r="VW84" s="60">
        <f t="shared" si="1065"/>
        <v>0</v>
      </c>
      <c r="VX84" s="76">
        <f t="shared" si="1066"/>
        <v>0</v>
      </c>
      <c r="VY84" s="46">
        <f t="shared" si="1067"/>
        <v>94</v>
      </c>
      <c r="VZ84" s="46">
        <f t="shared" si="719"/>
        <v>2.9089999999999998</v>
      </c>
      <c r="WA84" s="46">
        <f t="shared" si="1068"/>
        <v>1</v>
      </c>
      <c r="WB84" s="46">
        <f t="shared" si="1069"/>
        <v>2</v>
      </c>
      <c r="WC84" s="46" cm="1">
        <f t="array" ref="WC84">ROUND(IFERROR(INDEX(ArchiveResults!$F$5:$IX$116,ComparisonData!A84,ComparisonData!$WC$1),0),5)</f>
        <v>0</v>
      </c>
      <c r="WD84" s="56">
        <v>79</v>
      </c>
      <c r="WE84" s="53" t="str">
        <f t="shared" si="720"/>
        <v>Southwark Archives</v>
      </c>
      <c r="WF84" s="46">
        <f t="shared" si="1070"/>
        <v>0</v>
      </c>
      <c r="WG84" s="76">
        <f t="shared" si="1071"/>
        <v>0</v>
      </c>
      <c r="WH84" s="46">
        <f t="shared" si="1072"/>
        <v>94</v>
      </c>
      <c r="WI84" s="46">
        <f t="shared" si="721"/>
        <v>2.9089999999999998</v>
      </c>
      <c r="WJ84" s="46">
        <f t="shared" si="1073"/>
        <v>1</v>
      </c>
      <c r="WK84" s="46">
        <f t="shared" si="1074"/>
        <v>2</v>
      </c>
      <c r="WL84" s="46" cm="1">
        <f t="array" ref="WL84">ROUND(IFERROR(INDEX(ArchiveResults!$F$5:$IX$116,ComparisonData!A84,ComparisonData!$WL$1),0),5)</f>
        <v>0</v>
      </c>
      <c r="WM84" s="46" cm="1">
        <f t="array" ref="WM84">IFERROR(INDEX(ArchiveResults!$F$5:$IX$116,ComparisonData!A84,ComparisonData!$WM$1),0)</f>
        <v>0</v>
      </c>
      <c r="WN84" s="56">
        <v>79</v>
      </c>
      <c r="WO84" s="53" t="str">
        <f t="shared" si="722"/>
        <v>Southwark Archives</v>
      </c>
      <c r="WP84" s="60">
        <f t="shared" si="1075"/>
        <v>0</v>
      </c>
      <c r="WQ84" s="60">
        <f t="shared" si="1076"/>
        <v>0</v>
      </c>
      <c r="WR84" s="76">
        <f t="shared" si="1077"/>
        <v>0</v>
      </c>
      <c r="WS84" s="46">
        <f t="shared" si="1078"/>
        <v>94</v>
      </c>
      <c r="WT84" s="46">
        <f t="shared" si="723"/>
        <v>2.9089999999999998</v>
      </c>
      <c r="WU84" s="46">
        <f t="shared" si="1079"/>
        <v>1</v>
      </c>
      <c r="WV84" s="46">
        <f t="shared" si="1080"/>
        <v>2</v>
      </c>
      <c r="WW84" s="46" cm="1">
        <f t="array" ref="WW84">ROUND(VALUE(IFERROR(INDEX(ArchiveResults!$F$5:$IX$116,ComparisonData!A84,ComparisonData!$WW$1),0)),5)</f>
        <v>0</v>
      </c>
      <c r="WX84" s="46" cm="1">
        <f t="array" ref="WX84">ROUND(IFERROR(INDEX(ArchiveResults!$F$5:$IX$116,ComparisonData!A84,ComparisonData!$WX$1),0),5)</f>
        <v>0</v>
      </c>
      <c r="WY84" s="56">
        <v>79</v>
      </c>
      <c r="WZ84" s="53" t="str">
        <f t="shared" si="724"/>
        <v>Southwark Archives</v>
      </c>
      <c r="XA84" s="60">
        <f t="shared" si="725"/>
        <v>0</v>
      </c>
      <c r="XB84" s="60">
        <f t="shared" si="726"/>
        <v>0</v>
      </c>
      <c r="XC84" s="76">
        <f t="shared" si="1081"/>
        <v>0</v>
      </c>
      <c r="XD84" s="46">
        <f t="shared" si="1082"/>
        <v>94</v>
      </c>
      <c r="XE84" s="46">
        <f t="shared" si="727"/>
        <v>2.9089999999999998</v>
      </c>
      <c r="XF84" s="46">
        <f t="shared" si="1083"/>
        <v>1</v>
      </c>
      <c r="XG84" s="46">
        <f t="shared" si="1084"/>
        <v>2</v>
      </c>
      <c r="XH84" s="46" cm="1">
        <f t="array" ref="XH84">ROUND(VALUE(IFERROR(INDEX(ArchiveResults!$F$5:$IX$116,ComparisonData!A84,ComparisonData!$XH$1),0)),5)</f>
        <v>0</v>
      </c>
      <c r="XI84" s="46" cm="1">
        <f t="array" ref="XI84">ROUND(VALUE(IFERROR(INDEX(ArchiveResults!$F$5:$IX$116,ComparisonData!A84,ComparisonData!$XI$1),0)),5)</f>
        <v>0</v>
      </c>
      <c r="XJ84" s="56">
        <v>79</v>
      </c>
      <c r="XK84" s="53" t="str">
        <f t="shared" si="728"/>
        <v>Southwark Archives</v>
      </c>
      <c r="XL84" s="60">
        <f t="shared" si="1085"/>
        <v>0</v>
      </c>
      <c r="XM84" s="60">
        <f t="shared" si="1086"/>
        <v>0</v>
      </c>
      <c r="XN84" s="76">
        <f t="shared" si="1087"/>
        <v>0</v>
      </c>
      <c r="XO84" s="46">
        <f t="shared" si="1088"/>
        <v>94</v>
      </c>
      <c r="XP84" s="46">
        <f t="shared" si="729"/>
        <v>2.9089999999999998</v>
      </c>
      <c r="XQ84" s="46">
        <f t="shared" si="1089"/>
        <v>1</v>
      </c>
      <c r="XR84" s="46">
        <f t="shared" si="1090"/>
        <v>2</v>
      </c>
      <c r="XS84" s="46" cm="1">
        <f t="array" ref="XS84">ROUND(VALUE(IFERROR(INDEX(ArchiveResults!$F$5:$IX$116,ComparisonData!A84,ComparisonData!$XS$1),0)),5)</f>
        <v>0</v>
      </c>
      <c r="XT84" s="46" cm="1">
        <f t="array" ref="XT84">ROUND(VALUE(IFERROR(INDEX(ArchiveResults!$F$5:$IX$116,ComparisonData!A84,ComparisonData!$XT$1),0)),5)</f>
        <v>0</v>
      </c>
      <c r="XU84" s="56">
        <v>79</v>
      </c>
      <c r="XV84" s="53" t="str">
        <f t="shared" si="730"/>
        <v>Southwark Archives</v>
      </c>
      <c r="XW84" s="60">
        <f t="shared" si="1091"/>
        <v>0</v>
      </c>
      <c r="XX84" s="60">
        <f t="shared" si="1092"/>
        <v>0</v>
      </c>
      <c r="XY84" s="76">
        <f t="shared" si="1093"/>
        <v>0</v>
      </c>
      <c r="XZ84" s="46">
        <f t="shared" si="1094"/>
        <v>94</v>
      </c>
      <c r="YA84" s="46">
        <f t="shared" si="731"/>
        <v>2.9089999999999998</v>
      </c>
      <c r="YB84" s="46">
        <f t="shared" si="1095"/>
        <v>1</v>
      </c>
      <c r="YC84" s="46">
        <f t="shared" si="1096"/>
        <v>2</v>
      </c>
      <c r="YD84" s="46" cm="1">
        <f t="array" ref="YD84">ROUND(VALUE(IFERROR(INDEX(ArchiveResults!$F$5:$IX$116,ComparisonData!A84,ComparisonData!$YD$1),0)),5)</f>
        <v>0</v>
      </c>
      <c r="YE84" s="46" cm="1">
        <f t="array" ref="YE84">ROUND(VALUE(IFERROR(INDEX(ArchiveResults!$F$5:$IX$116,ComparisonData!A84,ComparisonData!$YE$1),0)),5)</f>
        <v>0</v>
      </c>
      <c r="YF84" s="56">
        <v>79</v>
      </c>
      <c r="YG84" s="53" t="str">
        <f t="shared" si="732"/>
        <v>Southwark Archives</v>
      </c>
      <c r="YH84" s="60">
        <f t="shared" si="1097"/>
        <v>0</v>
      </c>
      <c r="YI84" s="60">
        <f t="shared" si="1098"/>
        <v>0</v>
      </c>
      <c r="YJ84" s="76">
        <f t="shared" si="1099"/>
        <v>0</v>
      </c>
      <c r="YK84" s="46">
        <f t="shared" si="1100"/>
        <v>94</v>
      </c>
      <c r="YL84" s="46">
        <f t="shared" si="733"/>
        <v>2.9089999999999998</v>
      </c>
      <c r="YM84" s="46">
        <f t="shared" si="1101"/>
        <v>1</v>
      </c>
      <c r="YN84" s="46">
        <f t="shared" si="1102"/>
        <v>2</v>
      </c>
      <c r="YO84" s="46" cm="1">
        <f t="array" ref="YO84">ROUND(VALUE(IFERROR(INDEX(ArchiveResults!$F$5:$IX$116,ComparisonData!A84,ComparisonData!$YO$1),0)),5)</f>
        <v>0</v>
      </c>
      <c r="YP84" s="46" cm="1">
        <f t="array" ref="YP84">ROUND(VALUE(IFERROR(INDEX(ArchiveResults!$F$5:$IX$116,ComparisonData!A84,ComparisonData!$YP$1),0)),5)</f>
        <v>0</v>
      </c>
      <c r="YQ84" s="56">
        <v>79</v>
      </c>
      <c r="YR84" s="53" t="str">
        <f t="shared" si="734"/>
        <v>Southwark Archives</v>
      </c>
      <c r="YS84" s="60">
        <f t="shared" si="1103"/>
        <v>0</v>
      </c>
      <c r="YT84" s="60">
        <f t="shared" si="1104"/>
        <v>0</v>
      </c>
      <c r="YU84" s="76">
        <f t="shared" si="1105"/>
        <v>0</v>
      </c>
      <c r="YV84" s="46">
        <f t="shared" si="1106"/>
        <v>94</v>
      </c>
      <c r="YW84" s="46">
        <f t="shared" si="735"/>
        <v>2.9089999999999998</v>
      </c>
      <c r="YX84" s="46">
        <f t="shared" si="1107"/>
        <v>1</v>
      </c>
      <c r="YY84" s="46">
        <f t="shared" si="1108"/>
        <v>2</v>
      </c>
      <c r="YZ84" s="46">
        <f t="shared" si="1109"/>
        <v>0</v>
      </c>
      <c r="ZA84" s="46" cm="1">
        <f t="array" ref="ZA84">ROUNDDOWN(VALUE(IFERROR(INDEX(ArchiveResults!$F$5:$IX$116,ComparisonData!A84,ComparisonData!$ZA$1),0)),5)</f>
        <v>0</v>
      </c>
      <c r="ZB84" s="46" cm="1">
        <f t="array" ref="ZB84">ROUNDDOWN(VALUE(IFERROR(INDEX(ArchiveResults!$F$5:$IX$116,ComparisonData!A84,ComparisonData!$ZB$1),0)),5)</f>
        <v>0</v>
      </c>
      <c r="ZC84" s="46" cm="1">
        <f t="array" ref="ZC84">ROUNDDOWN(VALUE(IFERROR(INDEX(ArchiveResults!$F$5:$IX$116,ComparisonData!A84,ComparisonData!$ZC$1),0)),5)</f>
        <v>0</v>
      </c>
      <c r="ZD84" s="46" cm="1">
        <f t="array" ref="ZD84">ROUNDDOWN(VALUE(IFERROR(INDEX(ArchiveResults!$F$5:$IX$116,ComparisonData!A84,ComparisonData!$ZD$1),0)),5)</f>
        <v>0</v>
      </c>
      <c r="ZE84" s="46" cm="1">
        <f t="array" ref="ZE84">ROUNDDOWN(VALUE(IFERROR(INDEX(ArchiveResults!$F$5:$IX$116,ComparisonData!A84,ComparisonData!$ZE$1),0)),5)</f>
        <v>0</v>
      </c>
      <c r="ZF84" s="56">
        <v>79</v>
      </c>
      <c r="ZG84" s="53" t="str">
        <f t="shared" si="736"/>
        <v>Southwark Archives</v>
      </c>
      <c r="ZH84" s="60">
        <f t="shared" si="1110"/>
        <v>0</v>
      </c>
      <c r="ZI84" s="60">
        <f t="shared" si="1111"/>
        <v>0</v>
      </c>
      <c r="ZJ84" s="60">
        <f t="shared" si="1112"/>
        <v>0</v>
      </c>
      <c r="ZK84" s="60">
        <f t="shared" si="1113"/>
        <v>0</v>
      </c>
      <c r="ZL84" s="60">
        <f t="shared" si="1114"/>
        <v>0</v>
      </c>
      <c r="ZM84" s="76">
        <f t="shared" si="1115"/>
        <v>0</v>
      </c>
      <c r="ZN84" s="46">
        <f t="shared" si="1116"/>
        <v>94</v>
      </c>
      <c r="ZO84" s="46">
        <f t="shared" si="737"/>
        <v>2.9089999999999998</v>
      </c>
      <c r="ZP84" s="46">
        <f t="shared" si="1117"/>
        <v>1</v>
      </c>
      <c r="ZQ84" s="46">
        <f t="shared" si="1118"/>
        <v>2</v>
      </c>
      <c r="ZR84" s="46" cm="1">
        <f t="array" ref="ZR84">ROUND(VALUE(IFERROR(INDEX(ArchiveResults!$F$5:$IX$116,ComparisonData!A84,ComparisonData!$ZR$1),0)),5)</f>
        <v>0</v>
      </c>
      <c r="ZS84" s="56">
        <v>79</v>
      </c>
      <c r="ZT84" s="53" t="str">
        <f t="shared" si="738"/>
        <v>Southwark Archives</v>
      </c>
      <c r="ZU84" s="46">
        <f t="shared" si="1119"/>
        <v>0</v>
      </c>
      <c r="ZV84" s="76">
        <f t="shared" si="1120"/>
        <v>0</v>
      </c>
      <c r="ZW84" s="81" cm="1">
        <f t="array" ref="ZW84">ROUND((IFERROR(INDEX(ArchiveResults!$F$5:$IX$116,ComparisonData!A84,ComparisonData!$ZW$1),0)),5)</f>
        <v>0</v>
      </c>
      <c r="ZX84" s="81" cm="1">
        <f t="array" ref="ZX84">ROUND((IFERROR(INDEX(ArchiveResults!$F$5:$IX$116,ComparisonData!A84,ComparisonData!$ZX$1),0)),5)</f>
        <v>0</v>
      </c>
      <c r="ZY84" s="81" cm="1">
        <f t="array" ref="ZY84">ROUND((IFERROR(INDEX(ArchiveResults!$F$5:$IX$116,ComparisonData!A84,ComparisonData!$ZY$1),0)),5)</f>
        <v>0</v>
      </c>
      <c r="ZZ84" s="81" cm="1">
        <f t="array" ref="ZZ84">ROUND((IFERROR(INDEX(ArchiveResults!$F$5:$IX$116,ComparisonData!A84,ComparisonData!$ZZ$1),0)),5)</f>
        <v>0</v>
      </c>
      <c r="AAA84" s="81" cm="1">
        <f t="array" ref="AAA84">ROUND((IFERROR(INDEX(ArchiveResults!$F$5:$IX$116,ComparisonData!A84,ComparisonData!$AAA$1),0)),5)</f>
        <v>0</v>
      </c>
      <c r="AAB84" s="81" cm="1">
        <f t="array" ref="AAB84">ROUND((IFERROR(INDEX(ArchiveResults!$F$5:$IX$116,ComparisonData!A84,ComparisonData!$AAB$1),0)),5)</f>
        <v>0</v>
      </c>
      <c r="AAC84" s="81" cm="1">
        <f t="array" ref="AAC84">ROUND((IFERROR(INDEX(ArchiveResults!$F$5:$IX$116,ComparisonData!A84,ComparisonData!$AAC$1),0)),5)</f>
        <v>0</v>
      </c>
      <c r="AAD84" s="81" cm="1">
        <f t="array" ref="AAD84">ROUND((IFERROR(INDEX(ArchiveResults!$F$5:$IX$116,ComparisonData!A84,ComparisonData!$AAD$1),0)),5)</f>
        <v>0</v>
      </c>
      <c r="AAE84" s="81" cm="1">
        <f t="array" ref="AAE84">ROUND((IFERROR(INDEX(ArchiveResults!$F$5:$IX$116,ComparisonData!A84,ComparisonData!$AAE$1),0)),5)</f>
        <v>0</v>
      </c>
      <c r="AAF84" s="81" cm="1">
        <f t="array" ref="AAF84">ROUND((IFERROR(INDEX(ArchiveResults!$F$5:$IX$116,ComparisonData!A84,ComparisonData!$AAF$1),0)),5)</f>
        <v>0</v>
      </c>
      <c r="AAG84" s="46">
        <f t="shared" si="1121"/>
        <v>94</v>
      </c>
      <c r="AAH84" s="46">
        <f t="shared" si="739"/>
        <v>2.9089999999999998</v>
      </c>
      <c r="AAI84" s="46">
        <f t="shared" si="1122"/>
        <v>1</v>
      </c>
      <c r="AAJ84" s="46">
        <f t="shared" si="1123"/>
        <v>2</v>
      </c>
      <c r="AAK84" s="46">
        <f t="shared" si="1124"/>
        <v>0</v>
      </c>
      <c r="AAL84" s="46">
        <f t="shared" si="1125"/>
        <v>0</v>
      </c>
      <c r="AAM84" s="46">
        <f t="shared" si="1126"/>
        <v>0</v>
      </c>
      <c r="AAN84" s="46">
        <f t="shared" si="1127"/>
        <v>0</v>
      </c>
      <c r="AAO84" s="46">
        <f t="shared" si="1128"/>
        <v>0</v>
      </c>
      <c r="AAP84" s="46">
        <f t="shared" si="1129"/>
        <v>0</v>
      </c>
      <c r="AAQ84" s="56">
        <v>79</v>
      </c>
      <c r="AAR84" s="53" t="str">
        <f t="shared" si="740"/>
        <v>Southwark Archives</v>
      </c>
      <c r="AAS84" s="60">
        <f t="shared" si="1130"/>
        <v>0</v>
      </c>
      <c r="AAT84" s="60">
        <f t="shared" si="1131"/>
        <v>0</v>
      </c>
      <c r="AAU84" s="60">
        <f t="shared" si="1132"/>
        <v>0</v>
      </c>
      <c r="AAV84" s="60">
        <f t="shared" si="1133"/>
        <v>0</v>
      </c>
      <c r="AAW84" s="60">
        <f t="shared" si="1134"/>
        <v>0</v>
      </c>
      <c r="AAX84" s="76">
        <f t="shared" si="1135"/>
        <v>0</v>
      </c>
      <c r="AAY84" s="46">
        <f t="shared" si="1136"/>
        <v>94</v>
      </c>
      <c r="AAZ84" s="46">
        <f t="shared" si="741"/>
        <v>2.9089999999999998</v>
      </c>
      <c r="ABA84" s="46">
        <f t="shared" si="1137"/>
        <v>1</v>
      </c>
      <c r="ABB84" s="46">
        <f t="shared" si="1138"/>
        <v>2</v>
      </c>
      <c r="ABC84" s="46">
        <f t="shared" si="742"/>
        <v>0</v>
      </c>
      <c r="ABD84" s="46" cm="1">
        <f t="array" ref="ABD84">ROUND(VALUE(IFERROR(INDEX(ArchiveResults!$F$5:$IX$116,ComparisonData!A84,ComparisonData!$ABD$1),0)),5)</f>
        <v>0</v>
      </c>
      <c r="ABE84" s="46" cm="1">
        <f t="array" ref="ABE84">ROUND(VALUE(IFERROR(INDEX(ArchiveResults!$F$5:$IX$116,ComparisonData!A84,ComparisonData!$ABE$1),0)),5)</f>
        <v>0</v>
      </c>
      <c r="ABF84" s="46" cm="1">
        <f t="array" ref="ABF84">ROUND(VALUE(IFERROR(INDEX(ArchiveResults!$F$5:$IX$116,ComparisonData!A84,ComparisonData!$ABF$1),0)),5)</f>
        <v>0</v>
      </c>
      <c r="ABG84" s="46" cm="1">
        <f t="array" ref="ABG84">ROUND(VALUE(IFERROR(INDEX(ArchiveResults!$F$5:$IX$116,ComparisonData!A84,ComparisonData!$ABG$1),0)),5)</f>
        <v>0</v>
      </c>
      <c r="ABH84" s="46" cm="1">
        <f t="array" ref="ABH84">ROUND(VALUE(IFERROR(INDEX(ArchiveResults!$F$5:$IX$116,ComparisonData!A84,ComparisonData!$ABH$1),0)),5)</f>
        <v>0</v>
      </c>
      <c r="ABI84" s="56">
        <v>79</v>
      </c>
      <c r="ABJ84" s="53" t="str">
        <f t="shared" si="743"/>
        <v>Southwark Archives</v>
      </c>
      <c r="ABK84" s="60">
        <f t="shared" si="1139"/>
        <v>0</v>
      </c>
      <c r="ABL84" s="60">
        <f t="shared" si="1140"/>
        <v>0</v>
      </c>
      <c r="ABM84" s="60">
        <f t="shared" si="1141"/>
        <v>0</v>
      </c>
      <c r="ABN84" s="60">
        <f t="shared" si="1142"/>
        <v>0</v>
      </c>
      <c r="ABO84" s="60">
        <f t="shared" si="1143"/>
        <v>0</v>
      </c>
      <c r="ABP84" s="76">
        <f t="shared" si="1144"/>
        <v>0</v>
      </c>
      <c r="ABQ84" s="46">
        <f t="shared" si="1145"/>
        <v>94</v>
      </c>
      <c r="ABR84" s="46">
        <f t="shared" si="744"/>
        <v>2.9089999999999998</v>
      </c>
      <c r="ABS84" s="46">
        <f t="shared" si="1146"/>
        <v>1</v>
      </c>
      <c r="ABT84" s="46">
        <f t="shared" si="1147"/>
        <v>2</v>
      </c>
      <c r="ABU84" s="46" cm="1">
        <f t="array" ref="ABU84">ROUND(VALUE(IFERROR(INDEX(ArchiveResults!$F$5:$IX$116,ComparisonData!A84,ComparisonData!$ABU$1),0)),5)</f>
        <v>0</v>
      </c>
      <c r="ABV84" s="46" cm="1">
        <f t="array" ref="ABV84">ROUND(VALUE(IFERROR(INDEX(ArchiveResults!$F$5:$IX$116,ComparisonData!A84,ComparisonData!$ABV$1),0)),5)</f>
        <v>0</v>
      </c>
      <c r="ABW84" s="46" cm="1">
        <f t="array" ref="ABW84">ROUND(VALUE(IFERROR(INDEX(ArchiveResults!$F$5:$IX$116,ComparisonData!A84,ComparisonData!$ABW$1),0)),5)</f>
        <v>0</v>
      </c>
      <c r="ABX84" s="46" cm="1">
        <f t="array" ref="ABX84">ROUND(VALUE(IFERROR(INDEX(ArchiveResults!$F$5:$IX$116,ComparisonData!A84,ComparisonData!$ABX$1),0)),5)</f>
        <v>0</v>
      </c>
      <c r="ABY84" s="46" cm="1">
        <f t="array" ref="ABY84">ROUND(VALUE(IFERROR(INDEX(ArchiveResults!$F$5:$IX$116,ComparisonData!A84,ComparisonData!$ABY$1),0)),5)</f>
        <v>0</v>
      </c>
      <c r="ABZ84" s="56">
        <v>79</v>
      </c>
      <c r="ACA84" s="53" t="str">
        <f t="shared" si="745"/>
        <v>Southwark Archives</v>
      </c>
      <c r="ACB84" s="60">
        <f t="shared" si="1148"/>
        <v>0</v>
      </c>
      <c r="ACC84" s="60">
        <f t="shared" si="1149"/>
        <v>0</v>
      </c>
      <c r="ACD84" s="60">
        <f t="shared" si="1150"/>
        <v>0</v>
      </c>
      <c r="ACE84" s="60">
        <f t="shared" si="1151"/>
        <v>0</v>
      </c>
      <c r="ACF84" s="60">
        <f t="shared" si="1152"/>
        <v>0</v>
      </c>
      <c r="ACG84" s="76">
        <f t="shared" si="1153"/>
        <v>0</v>
      </c>
      <c r="ACH84" s="46">
        <f t="shared" si="1154"/>
        <v>94</v>
      </c>
      <c r="ACI84" s="46">
        <f t="shared" si="746"/>
        <v>2.9089999999999998</v>
      </c>
      <c r="ACJ84" s="46">
        <f t="shared" si="1155"/>
        <v>1</v>
      </c>
      <c r="ACK84" s="46">
        <f t="shared" si="1156"/>
        <v>2</v>
      </c>
      <c r="ACL84" s="46">
        <f t="shared" si="1157"/>
        <v>0</v>
      </c>
      <c r="ACM84" s="46" cm="1">
        <f t="array" ref="ACM84">ROUND(IFERROR(INDEX(ArchiveResults!$F$5:$IX$116,ComparisonData!A84,ComparisonData!$ACM$1),0),5)</f>
        <v>0</v>
      </c>
      <c r="ACN84" s="46" cm="1">
        <f t="array" ref="ACN84">ROUND(IFERROR(INDEX(ArchiveResults!$F$5:$IX$116,ComparisonData!A84,ComparisonData!$ACN$1),0),5)</f>
        <v>0</v>
      </c>
      <c r="ACO84" s="56">
        <v>79</v>
      </c>
      <c r="ACP84" s="53" t="str">
        <f t="shared" si="747"/>
        <v>Southwark Archives</v>
      </c>
      <c r="ACQ84" s="60">
        <f t="shared" si="1158"/>
        <v>0</v>
      </c>
      <c r="ACR84" s="60">
        <f t="shared" si="1159"/>
        <v>0</v>
      </c>
      <c r="ACS84" s="76">
        <f t="shared" si="1160"/>
        <v>0</v>
      </c>
      <c r="ACT84" s="46">
        <f t="shared" si="1161"/>
        <v>94</v>
      </c>
      <c r="ACU84" s="46">
        <f t="shared" si="748"/>
        <v>2.9089999999999998</v>
      </c>
      <c r="ACV84" s="46">
        <f t="shared" si="1162"/>
        <v>1</v>
      </c>
      <c r="ACW84" s="46">
        <f t="shared" si="1163"/>
        <v>2</v>
      </c>
      <c r="ACX84" s="46">
        <f t="shared" si="1164"/>
        <v>0</v>
      </c>
      <c r="ACY84" s="46" cm="1">
        <f t="array" ref="ACY84">ROUNDDOWN(IFERROR(INDEX(ArchiveResults!$F$5:$IX$116,ComparisonData!A84,ComparisonData!$ACY$1),0),5)</f>
        <v>0</v>
      </c>
      <c r="ACZ84" s="46" cm="1">
        <f t="array" ref="ACZ84">ROUNDDOWN(IFERROR(INDEX(ArchiveResults!$F$5:$IX$116,ComparisonData!A84,ComparisonData!$ACZ$1),0),5)</f>
        <v>0</v>
      </c>
      <c r="ADA84" s="46" cm="1">
        <f t="array" ref="ADA84">ROUNDDOWN(IFERROR(INDEX(ArchiveResults!$F$5:$IX$116,ComparisonData!A84,ComparisonData!$ADA$1),0),5)</f>
        <v>0</v>
      </c>
      <c r="ADB84" s="56">
        <v>79</v>
      </c>
      <c r="ADC84" s="53" t="str">
        <f t="shared" si="749"/>
        <v>Southwark Archives</v>
      </c>
      <c r="ADD84" s="60">
        <f t="shared" si="1165"/>
        <v>0</v>
      </c>
      <c r="ADE84" s="60">
        <f t="shared" si="1166"/>
        <v>0</v>
      </c>
      <c r="ADF84" s="60">
        <f t="shared" si="1167"/>
        <v>0</v>
      </c>
      <c r="ADG84" s="76">
        <f t="shared" si="1168"/>
        <v>0</v>
      </c>
    </row>
    <row r="85" spans="1:787" x14ac:dyDescent="0.25">
      <c r="A85" s="46" t="str">
        <f>IF(ISBLANK(ComparisonSelection!F81),"",ROW()-5)</f>
        <v/>
      </c>
      <c r="B85" s="53" t="s">
        <v>534</v>
      </c>
      <c r="C85" s="72">
        <v>0.91399999999999992</v>
      </c>
      <c r="D85" s="55">
        <f t="shared" si="750"/>
        <v>95</v>
      </c>
      <c r="E85" s="54">
        <f t="shared" si="751"/>
        <v>2.9139999999999997</v>
      </c>
      <c r="F85" s="54">
        <f t="shared" si="752"/>
        <v>1</v>
      </c>
      <c r="G85" s="72">
        <f t="shared" si="753"/>
        <v>2</v>
      </c>
      <c r="H85" s="72">
        <f t="shared" si="754"/>
        <v>0</v>
      </c>
      <c r="I85" s="46" cm="1">
        <f t="array" ref="I85">ROUND(IFERROR(INDEX(ArchiveResults!$F$5:$IX$116,ComparisonData!A85,ComparisonData!$I$1),0),5)</f>
        <v>0</v>
      </c>
      <c r="J85" s="46" cm="1">
        <f t="array" ref="J85">ROUND(IFERROR(INDEX(ArchiveResults!$F$5:$IX$116,ComparisonData!A85,ComparisonData!$J$1),0),5)</f>
        <v>0</v>
      </c>
      <c r="K85" s="56">
        <v>80</v>
      </c>
      <c r="L85" s="53" t="str">
        <f t="shared" si="755"/>
        <v>Surrey History Centre</v>
      </c>
      <c r="M85" s="57">
        <f t="shared" si="640"/>
        <v>0</v>
      </c>
      <c r="N85" s="57">
        <f t="shared" si="641"/>
        <v>0</v>
      </c>
      <c r="O85" s="58">
        <f t="shared" si="756"/>
        <v>0</v>
      </c>
      <c r="P85" s="48">
        <f t="shared" si="757"/>
        <v>95</v>
      </c>
      <c r="Q85" s="54">
        <f t="shared" si="642"/>
        <v>2.9139999999999997</v>
      </c>
      <c r="R85" s="45">
        <f t="shared" si="758"/>
        <v>1</v>
      </c>
      <c r="S85" s="46">
        <f t="shared" si="759"/>
        <v>2</v>
      </c>
      <c r="T85" s="72">
        <f t="shared" si="760"/>
        <v>0</v>
      </c>
      <c r="U85" s="46" cm="1">
        <f t="array" ref="U85">ROUND(IFERROR(INDEX(ArchiveResults!$F$5:$IX$116,ComparisonData!A85,ComparisonData!$U$1),0),5)</f>
        <v>0</v>
      </c>
      <c r="V85" s="46" cm="1">
        <f t="array" ref="V85">ROUND(IFERROR(INDEX(ArchiveResults!$F$5:$IX$116,ComparisonData!A85,ComparisonData!$V$1),0),5)</f>
        <v>0</v>
      </c>
      <c r="W85" s="56">
        <v>80</v>
      </c>
      <c r="X85" s="53" t="str">
        <f t="shared" si="643"/>
        <v>Surrey History Centre</v>
      </c>
      <c r="Y85" s="57">
        <f t="shared" si="761"/>
        <v>0</v>
      </c>
      <c r="Z85" s="57">
        <f t="shared" si="762"/>
        <v>0</v>
      </c>
      <c r="AA85" s="58">
        <f t="shared" si="763"/>
        <v>0</v>
      </c>
      <c r="AB85" s="45">
        <f t="shared" si="764"/>
        <v>95</v>
      </c>
      <c r="AC85" s="54">
        <f t="shared" si="644"/>
        <v>2.9139999999999997</v>
      </c>
      <c r="AD85" s="45">
        <f t="shared" si="765"/>
        <v>1</v>
      </c>
      <c r="AE85" s="45">
        <f t="shared" si="766"/>
        <v>2</v>
      </c>
      <c r="AF85" s="45">
        <f t="shared" si="639"/>
        <v>0</v>
      </c>
      <c r="AG85" s="46" cm="1">
        <f t="array" ref="AG85">ROUND(IFERROR(INDEX(ArchiveResults!$F$5:$IX$116,ComparisonData!A85,ComparisonData!$AG$1),0),5)</f>
        <v>0</v>
      </c>
      <c r="AH85" s="46" cm="1">
        <f t="array" ref="AH85">ROUND(IFERROR(INDEX(ArchiveResults!$F$5:$IX$116,ComparisonData!A85,ComparisonData!$AH$1),0),5)</f>
        <v>0</v>
      </c>
      <c r="AI85" s="56">
        <v>80</v>
      </c>
      <c r="AJ85" s="53" t="str">
        <f t="shared" si="645"/>
        <v>Surrey History Centre</v>
      </c>
      <c r="AK85" s="59">
        <f t="shared" si="646"/>
        <v>0</v>
      </c>
      <c r="AL85" s="59">
        <f t="shared" si="647"/>
        <v>0</v>
      </c>
      <c r="AM85" s="58">
        <f t="shared" si="767"/>
        <v>0</v>
      </c>
      <c r="AN85" s="45">
        <f t="shared" si="768"/>
        <v>95</v>
      </c>
      <c r="AO85" s="54">
        <f t="shared" si="648"/>
        <v>2.9139999999999997</v>
      </c>
      <c r="AP85" s="45">
        <f t="shared" si="769"/>
        <v>1</v>
      </c>
      <c r="AQ85" s="45">
        <f t="shared" si="770"/>
        <v>2</v>
      </c>
      <c r="AR85" s="46" cm="1">
        <f t="array" ref="AR85">ROUND(IFERROR(INDEX(ArchiveResults!$F$5:$IX$116,ComparisonData!A85,ComparisonData!$AR$1),0),5)</f>
        <v>0</v>
      </c>
      <c r="AS85" s="46" cm="1">
        <f t="array" ref="AS85">ROUND(IFERROR(INDEX(ArchiveResults!$F$5:$IX$116,ComparisonData!A85,ComparisonData!$AS$1),0),5)</f>
        <v>0</v>
      </c>
      <c r="AT85" s="46" cm="1">
        <f t="array" ref="AT85">ROUND(IFERROR(INDEX(ArchiveResults!$F$5:$IX$116,ComparisonData!A85,ComparisonData!$AT$1),0),5)</f>
        <v>0</v>
      </c>
      <c r="AU85" s="46" cm="1">
        <f t="array" ref="AU85">ROUND(IFERROR(INDEX(ArchiveResults!$F$5:$IX$116,ComparisonData!A85,ComparisonData!$AU$1),0),5)</f>
        <v>0</v>
      </c>
      <c r="AV85" s="46" cm="1">
        <f t="array" ref="AV85">ROUND(IFERROR(INDEX(ArchiveResults!$F$5:$IX$116,ComparisonData!A85,ComparisonData!$AV$1),0),5)</f>
        <v>0</v>
      </c>
      <c r="AW85" s="46" cm="1">
        <f t="array" ref="AW85">ROUND(IFERROR(INDEX(ArchiveResults!$F$5:$IX$116,ComparisonData!A85,ComparisonData!$AW$1),0),5)</f>
        <v>0</v>
      </c>
      <c r="AX85" s="46" cm="1">
        <f t="array" ref="AX85">ROUND(IFERROR(INDEX(ArchiveResults!$F$5:$IX$116,ComparisonData!A85,ComparisonData!$AX$1),0),5)</f>
        <v>0</v>
      </c>
      <c r="AY85" s="46" cm="1">
        <f t="array" ref="AY85">ROUND(IFERROR(INDEX(ArchiveResults!$F$5:$IX$116,ComparisonData!A85,ComparisonData!$AY$1),0),5)</f>
        <v>0</v>
      </c>
      <c r="AZ85" s="46" cm="1">
        <f t="array" ref="AZ85">ROUND(IFERROR(INDEX(ArchiveResults!$F$5:$IX$116,ComparisonData!A85,ComparisonData!$AZ$1),0),5)</f>
        <v>0</v>
      </c>
      <c r="BA85" s="46" cm="1">
        <f t="array" ref="BA85">ROUND(IFERROR(INDEX(ArchiveResults!$F$5:$IX$116,ComparisonData!A85,ComparisonData!$BA$1),0),5)</f>
        <v>0</v>
      </c>
      <c r="BB85" s="56">
        <v>80</v>
      </c>
      <c r="BC85" s="53" t="str">
        <f t="shared" si="649"/>
        <v>Surrey History Centre</v>
      </c>
      <c r="BD85" s="60">
        <f t="shared" si="771"/>
        <v>0</v>
      </c>
      <c r="BE85" s="60">
        <f t="shared" si="772"/>
        <v>0</v>
      </c>
      <c r="BF85" s="60">
        <f t="shared" si="773"/>
        <v>0</v>
      </c>
      <c r="BG85" s="60">
        <f t="shared" si="774"/>
        <v>0</v>
      </c>
      <c r="BH85" s="60">
        <f t="shared" si="775"/>
        <v>0</v>
      </c>
      <c r="BI85" s="60">
        <f t="shared" si="776"/>
        <v>0</v>
      </c>
      <c r="BJ85" s="60">
        <f t="shared" si="777"/>
        <v>0</v>
      </c>
      <c r="BK85" s="60">
        <f t="shared" si="778"/>
        <v>0</v>
      </c>
      <c r="BL85" s="60">
        <f t="shared" si="779"/>
        <v>0</v>
      </c>
      <c r="BM85" s="59">
        <f t="shared" si="780"/>
        <v>0</v>
      </c>
      <c r="BN85" s="58">
        <f t="shared" si="781"/>
        <v>0</v>
      </c>
      <c r="BO85" s="45">
        <f t="shared" si="782"/>
        <v>95</v>
      </c>
      <c r="BP85" s="54">
        <f t="shared" si="650"/>
        <v>2.9139999999999997</v>
      </c>
      <c r="BQ85" s="45">
        <f t="shared" si="783"/>
        <v>1</v>
      </c>
      <c r="BR85" s="45">
        <f t="shared" si="784"/>
        <v>2</v>
      </c>
      <c r="BS85" s="46" cm="1">
        <f t="array" ref="BS85">ROUND(IFERROR(INDEX(ArchiveResults!$F$5:$IX$116,ComparisonData!A85,ComparisonData!$BS$1),0),5)</f>
        <v>0</v>
      </c>
      <c r="BT85" s="46" cm="1">
        <f t="array" ref="BT85">ROUND(IFERROR(INDEX(ArchiveResults!$F$5:$IX$116,ComparisonData!A85,ComparisonData!$BT$1),0),5)</f>
        <v>0</v>
      </c>
      <c r="BU85" s="46" cm="1">
        <f t="array" ref="BU85">ROUND(IFERROR(INDEX(ArchiveResults!$F$5:$IX$116,ComparisonData!A85,ComparisonData!$BU$1),0),5)</f>
        <v>0</v>
      </c>
      <c r="BV85" s="46" cm="1">
        <f t="array" ref="BV85">ROUND(IFERROR(INDEX(ArchiveResults!$F$5:$IX$116,ComparisonData!A85,ComparisonData!$BV$1),0),5)</f>
        <v>0</v>
      </c>
      <c r="BW85" s="46" cm="1">
        <f t="array" ref="BW85">ROUND(IFERROR(INDEX(ArchiveResults!$F$5:$IX$116,ComparisonData!A85,ComparisonData!$BW$1),0),5)</f>
        <v>0</v>
      </c>
      <c r="BX85" s="46" cm="1">
        <f t="array" ref="BX85">ROUND(IFERROR(INDEX(ArchiveResults!$F$5:$IX$116,ComparisonData!A85,ComparisonData!$BX$1),0),5)</f>
        <v>0</v>
      </c>
      <c r="BY85" s="56">
        <v>80</v>
      </c>
      <c r="BZ85" s="53" t="str">
        <f t="shared" si="651"/>
        <v>Surrey History Centre</v>
      </c>
      <c r="CA85" s="59">
        <f t="shared" si="785"/>
        <v>0</v>
      </c>
      <c r="CB85" s="59">
        <f t="shared" si="786"/>
        <v>0</v>
      </c>
      <c r="CC85" s="59">
        <f t="shared" si="787"/>
        <v>0</v>
      </c>
      <c r="CD85" s="59">
        <f t="shared" si="788"/>
        <v>0</v>
      </c>
      <c r="CE85" s="59">
        <f t="shared" si="789"/>
        <v>0</v>
      </c>
      <c r="CF85" s="59">
        <f t="shared" si="790"/>
        <v>0</v>
      </c>
      <c r="CG85" s="58">
        <f t="shared" si="791"/>
        <v>0</v>
      </c>
      <c r="CH85" s="45">
        <f t="shared" si="792"/>
        <v>95</v>
      </c>
      <c r="CI85" s="54">
        <f t="shared" si="652"/>
        <v>2.9139999999999997</v>
      </c>
      <c r="CJ85" s="45">
        <f t="shared" si="793"/>
        <v>1</v>
      </c>
      <c r="CK85" s="45">
        <f t="shared" si="794"/>
        <v>2</v>
      </c>
      <c r="CL85" s="46" cm="1">
        <f t="array" ref="CL85">ROUND(IFERROR(INDEX(ArchiveResults!$F$5:$IX$116,ComparisonData!A85,ComparisonData!$CL$1),0),5)</f>
        <v>0</v>
      </c>
      <c r="CM85" s="56">
        <v>80</v>
      </c>
      <c r="CN85" s="53" t="str">
        <f t="shared" si="653"/>
        <v>Surrey History Centre</v>
      </c>
      <c r="CO85" s="45">
        <f t="shared" si="795"/>
        <v>0</v>
      </c>
      <c r="CP85" s="58">
        <f t="shared" si="796"/>
        <v>0</v>
      </c>
      <c r="CQ85" s="45">
        <f t="shared" si="797"/>
        <v>95</v>
      </c>
      <c r="CR85" s="54">
        <f t="shared" si="654"/>
        <v>2.9139999999999997</v>
      </c>
      <c r="CS85" s="45">
        <f t="shared" si="798"/>
        <v>1</v>
      </c>
      <c r="CT85" s="45">
        <f t="shared" si="799"/>
        <v>2</v>
      </c>
      <c r="CU85" s="46" cm="1">
        <f t="array" ref="CU85">ROUND(IFERROR(INDEX(ArchiveResults!$F$5:$IX$116,ComparisonData!A85,ComparisonData!$CU$1),0),5)</f>
        <v>0</v>
      </c>
      <c r="CV85" s="56">
        <v>80</v>
      </c>
      <c r="CW85" s="53" t="str">
        <f t="shared" si="655"/>
        <v>Surrey History Centre</v>
      </c>
      <c r="CX85" s="45">
        <f t="shared" si="800"/>
        <v>0</v>
      </c>
      <c r="CY85" s="58">
        <f t="shared" si="801"/>
        <v>0</v>
      </c>
      <c r="CZ85" s="45">
        <f t="shared" si="802"/>
        <v>95</v>
      </c>
      <c r="DA85" s="54">
        <f t="shared" si="656"/>
        <v>2.9139999999999997</v>
      </c>
      <c r="DB85" s="45">
        <f t="shared" si="803"/>
        <v>1</v>
      </c>
      <c r="DC85" s="45">
        <f t="shared" si="804"/>
        <v>2</v>
      </c>
      <c r="DD85" s="46" cm="1">
        <f t="array" ref="DD85">ROUND(IFERROR(INDEX(ArchiveResults!$F$5:$IX$116,ComparisonData!A85,ComparisonData!$DD$1),0),5)</f>
        <v>0</v>
      </c>
      <c r="DE85" s="56">
        <v>80</v>
      </c>
      <c r="DF85" s="53" t="str">
        <f t="shared" si="657"/>
        <v>Surrey History Centre</v>
      </c>
      <c r="DG85" s="45">
        <f t="shared" si="805"/>
        <v>0</v>
      </c>
      <c r="DH85" s="58">
        <f t="shared" si="806"/>
        <v>0</v>
      </c>
      <c r="DI85" s="45">
        <f t="shared" si="807"/>
        <v>95</v>
      </c>
      <c r="DJ85" s="54">
        <f t="shared" si="658"/>
        <v>2.9139999999999997</v>
      </c>
      <c r="DK85" s="45">
        <f t="shared" si="808"/>
        <v>1</v>
      </c>
      <c r="DL85" s="45">
        <f t="shared" si="809"/>
        <v>2</v>
      </c>
      <c r="DM85" s="46" cm="1">
        <f t="array" ref="DM85">ROUND(IFERROR(INDEX(ArchiveResults!$F$5:$IX$116,ComparisonData!A85,ComparisonData!$DM$1),0),5)</f>
        <v>0</v>
      </c>
      <c r="DN85" s="46" cm="1">
        <f t="array" ref="DN85">ROUND(IFERROR(INDEX(ArchiveResults!$F$5:$IX$116,ComparisonData!A85,ComparisonData!$DN$1),0),5)</f>
        <v>0</v>
      </c>
      <c r="DO85" s="46" cm="1">
        <f t="array" ref="DO85">ROUND(IFERROR(INDEX(ArchiveResults!$F$5:$IX$116,ComparisonData!A85,ComparisonData!$DO$1),0),5)</f>
        <v>0</v>
      </c>
      <c r="DP85" s="46" cm="1">
        <f t="array" ref="DP85">ROUND(IFERROR(INDEX(ArchiveResults!$F$5:$IX$116,ComparisonData!A85,ComparisonData!$DP$1),0),5)</f>
        <v>0</v>
      </c>
      <c r="DQ85" s="45" cm="1">
        <f t="array" ref="DQ85">IFERROR(INDEX(ArchiveResults!$F$5:$IX$116,ComparisonData!A85,ComparisonData!$DQ$1),0)</f>
        <v>0</v>
      </c>
      <c r="DR85" s="56">
        <v>80</v>
      </c>
      <c r="DS85" s="53" t="str">
        <f t="shared" si="659"/>
        <v>Surrey History Centre</v>
      </c>
      <c r="DT85" s="59">
        <f t="shared" si="810"/>
        <v>0</v>
      </c>
      <c r="DU85" s="59">
        <f t="shared" si="811"/>
        <v>0</v>
      </c>
      <c r="DV85" s="59">
        <f t="shared" si="812"/>
        <v>0</v>
      </c>
      <c r="DW85" s="59">
        <f t="shared" si="813"/>
        <v>0</v>
      </c>
      <c r="DX85" s="59">
        <f t="shared" si="814"/>
        <v>0</v>
      </c>
      <c r="DY85" s="58">
        <f t="shared" si="815"/>
        <v>0</v>
      </c>
      <c r="DZ85" s="45">
        <f t="shared" si="816"/>
        <v>95</v>
      </c>
      <c r="EA85" s="54">
        <f t="shared" si="660"/>
        <v>2.9139999999999997</v>
      </c>
      <c r="EB85" s="45">
        <f t="shared" si="817"/>
        <v>1</v>
      </c>
      <c r="EC85" s="45">
        <f t="shared" si="818"/>
        <v>2</v>
      </c>
      <c r="ED85" s="46" cm="1">
        <f t="array" ref="ED85">ROUND(IFERROR(INDEX(ArchiveResults!$F$5:$IX$116,ComparisonData!A85,ComparisonData!$ED$1),0),5)</f>
        <v>0</v>
      </c>
      <c r="EE85" s="46" cm="1">
        <f t="array" ref="EE85">ROUND(IFERROR(INDEX(ArchiveResults!$F$5:$IX$116,ComparisonData!A85,ComparisonData!$EE$1),0),5)</f>
        <v>0</v>
      </c>
      <c r="EF85" s="46" cm="1">
        <f t="array" ref="EF85">ROUND(IFERROR(INDEX(ArchiveResults!$F$5:$IX$116,ComparisonData!A85,ComparisonData!$EF$1),0),5)</f>
        <v>0</v>
      </c>
      <c r="EG85" s="46" cm="1">
        <f t="array" ref="EG85">ROUND(IFERROR(INDEX(ArchiveResults!$F$5:$IX$116,ComparisonData!A85,ComparisonData!$EG$1),0),5)</f>
        <v>0</v>
      </c>
      <c r="EH85" s="45" cm="1">
        <f t="array" ref="EH85">IFERROR(INDEX(ArchiveResults!$F$5:$IX$116,ComparisonData!A85,ComparisonData!$EH$1),0)</f>
        <v>0</v>
      </c>
      <c r="EI85" s="56">
        <v>80</v>
      </c>
      <c r="EJ85" s="53" t="str">
        <f t="shared" si="661"/>
        <v>Surrey History Centre</v>
      </c>
      <c r="EK85" s="59">
        <f t="shared" si="819"/>
        <v>0</v>
      </c>
      <c r="EL85" s="59">
        <f t="shared" si="820"/>
        <v>0</v>
      </c>
      <c r="EM85" s="59">
        <f t="shared" si="821"/>
        <v>0</v>
      </c>
      <c r="EN85" s="59">
        <f t="shared" si="822"/>
        <v>0</v>
      </c>
      <c r="EO85" s="59">
        <f t="shared" si="823"/>
        <v>0</v>
      </c>
      <c r="EP85" s="58">
        <f t="shared" si="824"/>
        <v>0</v>
      </c>
      <c r="EQ85" s="45">
        <f t="shared" si="825"/>
        <v>95</v>
      </c>
      <c r="ER85" s="54">
        <f t="shared" si="662"/>
        <v>2.9139999999999997</v>
      </c>
      <c r="ES85" s="45">
        <f t="shared" si="826"/>
        <v>1</v>
      </c>
      <c r="ET85" s="45">
        <f t="shared" si="827"/>
        <v>2</v>
      </c>
      <c r="EU85" s="46" cm="1">
        <f t="array" ref="EU85">ROUND(IFERROR(INDEX(ArchiveResults!$F$5:$IX$116,ComparisonData!A85,ComparisonData!$EU$1),0),5)</f>
        <v>0</v>
      </c>
      <c r="EV85" s="46" cm="1">
        <f t="array" ref="EV85">ROUND(IFERROR(INDEX(ArchiveResults!$F$5:$IX$116,ComparisonData!A85,ComparisonData!$EV$1),0),5)</f>
        <v>0</v>
      </c>
      <c r="EW85" s="46" cm="1">
        <f t="array" ref="EW85">ROUND(IFERROR(INDEX(ArchiveResults!$F$5:$IX$116,ComparisonData!A85,ComparisonData!$EW$1),0),5)</f>
        <v>0</v>
      </c>
      <c r="EX85" s="46" cm="1">
        <f t="array" ref="EX85">ROUND(IFERROR(INDEX(ArchiveResults!$F$5:$IX$116,ComparisonData!A85,ComparisonData!$EX$1),0),5)</f>
        <v>0</v>
      </c>
      <c r="EY85" s="45" cm="1">
        <f t="array" ref="EY85">IFERROR(INDEX(ArchiveResults!$F$5:$IX$116,ComparisonData!A85,ComparisonData!$EY$1),0)</f>
        <v>0</v>
      </c>
      <c r="EZ85" s="56">
        <v>80</v>
      </c>
      <c r="FA85" s="53" t="str">
        <f t="shared" si="663"/>
        <v>Surrey History Centre</v>
      </c>
      <c r="FB85" s="59">
        <f t="shared" si="828"/>
        <v>0</v>
      </c>
      <c r="FC85" s="59">
        <f t="shared" si="829"/>
        <v>0</v>
      </c>
      <c r="FD85" s="59">
        <f t="shared" si="830"/>
        <v>0</v>
      </c>
      <c r="FE85" s="59">
        <f t="shared" si="831"/>
        <v>0</v>
      </c>
      <c r="FF85" s="59">
        <f t="shared" si="832"/>
        <v>0</v>
      </c>
      <c r="FG85" s="58">
        <f t="shared" si="833"/>
        <v>0</v>
      </c>
      <c r="FH85" s="45">
        <f t="shared" si="834"/>
        <v>95</v>
      </c>
      <c r="FI85" s="54">
        <f t="shared" si="664"/>
        <v>2.9139999999999997</v>
      </c>
      <c r="FJ85" s="45">
        <f t="shared" si="835"/>
        <v>1</v>
      </c>
      <c r="FK85" s="45">
        <f t="shared" si="836"/>
        <v>2</v>
      </c>
      <c r="FL85" s="46" cm="1">
        <f t="array" ref="FL85">ROUND(IFERROR(INDEX(ArchiveResults!$F$5:$IX$116,ComparisonData!A85,ComparisonData!$FL$1),0),5)</f>
        <v>0</v>
      </c>
      <c r="FM85" s="46" cm="1">
        <f t="array" ref="FM85">ROUND(IFERROR(INDEX(ArchiveResults!$F$5:$IX$116,ComparisonData!A85,ComparisonData!$FM$1),0),5)</f>
        <v>0</v>
      </c>
      <c r="FN85" s="46" cm="1">
        <f t="array" ref="FN85">ROUND(IFERROR(INDEX(ArchiveResults!$F$5:$IX$116,ComparisonData!A85,ComparisonData!$FN$1),0),5)</f>
        <v>0</v>
      </c>
      <c r="FO85" s="46" cm="1">
        <f t="array" ref="FO85">ROUND(IFERROR(INDEX(ArchiveResults!$F$5:$IX$116,ComparisonData!A85,ComparisonData!$FO$1),0),5)</f>
        <v>0</v>
      </c>
      <c r="FP85" s="45" cm="1">
        <f t="array" ref="FP85">IFERROR(INDEX(ArchiveResults!$F$5:$IX$116,ComparisonData!A85,ComparisonData!$FP$1),0)</f>
        <v>0</v>
      </c>
      <c r="FQ85" s="56">
        <v>80</v>
      </c>
      <c r="FR85" s="53" t="str">
        <f t="shared" si="665"/>
        <v>Surrey History Centre</v>
      </c>
      <c r="FS85" s="59">
        <f t="shared" si="837"/>
        <v>0</v>
      </c>
      <c r="FT85" s="59">
        <f t="shared" si="838"/>
        <v>0</v>
      </c>
      <c r="FU85" s="59">
        <f t="shared" si="839"/>
        <v>0</v>
      </c>
      <c r="FV85" s="59">
        <f t="shared" si="840"/>
        <v>0</v>
      </c>
      <c r="FW85" s="59">
        <f t="shared" si="841"/>
        <v>0</v>
      </c>
      <c r="FX85" s="58">
        <f t="shared" si="842"/>
        <v>0</v>
      </c>
      <c r="FY85" s="45">
        <f t="shared" si="843"/>
        <v>95</v>
      </c>
      <c r="FZ85" s="45">
        <f t="shared" si="666"/>
        <v>2.9139999999999997</v>
      </c>
      <c r="GA85" s="45">
        <f t="shared" si="844"/>
        <v>1</v>
      </c>
      <c r="GB85" s="45">
        <f t="shared" si="845"/>
        <v>2</v>
      </c>
      <c r="GC85" s="46" cm="1">
        <f t="array" ref="GC85">ROUND(IFERROR(INDEX(ArchiveResults!$F$5:$IX$116,ComparisonData!A85,ComparisonData!$GC$1),0),5)</f>
        <v>0</v>
      </c>
      <c r="GD85" s="46" cm="1">
        <f t="array" ref="GD85">ROUND(IFERROR(INDEX(ArchiveResults!$F$5:$IX$116,ComparisonData!A85,ComparisonData!$GD$1),0),5)</f>
        <v>0</v>
      </c>
      <c r="GE85" s="46" cm="1">
        <f t="array" ref="GE85">ROUND(IFERROR(INDEX(ArchiveResults!$F$5:$IX$116,ComparisonData!A85,ComparisonData!$GE$1),0),5)</f>
        <v>0</v>
      </c>
      <c r="GF85" s="46" cm="1">
        <f t="array" ref="GF85">ROUND(IFERROR(INDEX(ArchiveResults!$F$5:$IX$116,ComparisonData!A85,ComparisonData!$GF$1),0),5)</f>
        <v>0</v>
      </c>
      <c r="GG85" s="45" cm="1">
        <f t="array" ref="GG85">IFERROR(INDEX(ArchiveResults!$F$5:$IX$116,ComparisonData!A85,ComparisonData!$GG$1),0)</f>
        <v>0</v>
      </c>
      <c r="GH85" s="56">
        <v>80</v>
      </c>
      <c r="GI85" s="53" t="str">
        <f t="shared" si="667"/>
        <v>Surrey History Centre</v>
      </c>
      <c r="GJ85" s="59">
        <f t="shared" si="846"/>
        <v>0</v>
      </c>
      <c r="GK85" s="59">
        <f t="shared" si="847"/>
        <v>0</v>
      </c>
      <c r="GL85" s="59">
        <f t="shared" si="848"/>
        <v>0</v>
      </c>
      <c r="GM85" s="59">
        <f t="shared" si="849"/>
        <v>0</v>
      </c>
      <c r="GN85" s="59">
        <f t="shared" si="850"/>
        <v>0</v>
      </c>
      <c r="GO85" s="58">
        <f t="shared" si="851"/>
        <v>0</v>
      </c>
      <c r="GP85" s="45">
        <f t="shared" si="852"/>
        <v>95</v>
      </c>
      <c r="GQ85" s="45">
        <f t="shared" si="668"/>
        <v>2.9139999999999997</v>
      </c>
      <c r="GR85" s="45">
        <f t="shared" si="853"/>
        <v>1</v>
      </c>
      <c r="GS85" s="45">
        <f t="shared" si="854"/>
        <v>2</v>
      </c>
      <c r="GT85" s="46" cm="1">
        <f t="array" ref="GT85">ROUND(IFERROR(INDEX(ArchiveResults!$F$5:$IX$116,ComparisonData!A85,ComparisonData!$GT$1),0),5)</f>
        <v>0</v>
      </c>
      <c r="GU85" s="46" cm="1">
        <f t="array" ref="GU85">ROUND(IFERROR(INDEX(ArchiveResults!$F$5:$IX$116,ComparisonData!A85,ComparisonData!$GU$1),0),5)</f>
        <v>0</v>
      </c>
      <c r="GV85" s="46" cm="1">
        <f t="array" ref="GV85">ROUND(IFERROR(INDEX(ArchiveResults!$F$5:$IX$116,ComparisonData!A85,ComparisonData!$GV$1),0),5)</f>
        <v>0</v>
      </c>
      <c r="GW85" s="46" cm="1">
        <f t="array" ref="GW85">ROUND(IFERROR(INDEX(ArchiveResults!$F$5:$IX$116,ComparisonData!A85,ComparisonData!$GW$1),0),5)</f>
        <v>0</v>
      </c>
      <c r="GX85" s="45" cm="1">
        <f t="array" ref="GX85">IFERROR(INDEX(ArchiveResults!$F$5:$IX$116,ComparisonData!A85,ComparisonData!$GX$1),0)</f>
        <v>0</v>
      </c>
      <c r="GY85" s="56">
        <v>80</v>
      </c>
      <c r="GZ85" s="53" t="str">
        <f t="shared" si="669"/>
        <v>Surrey History Centre</v>
      </c>
      <c r="HA85" s="59">
        <f t="shared" si="855"/>
        <v>0</v>
      </c>
      <c r="HB85" s="59">
        <f t="shared" si="856"/>
        <v>0</v>
      </c>
      <c r="HC85" s="59">
        <f t="shared" si="857"/>
        <v>0</v>
      </c>
      <c r="HD85" s="59">
        <f t="shared" si="858"/>
        <v>0</v>
      </c>
      <c r="HE85" s="59">
        <f t="shared" si="859"/>
        <v>0</v>
      </c>
      <c r="HF85" s="58">
        <f t="shared" si="860"/>
        <v>0</v>
      </c>
      <c r="HG85" s="45">
        <f t="shared" si="861"/>
        <v>95</v>
      </c>
      <c r="HH85" s="45">
        <f t="shared" si="670"/>
        <v>2.9139999999999997</v>
      </c>
      <c r="HI85" s="45">
        <f t="shared" si="862"/>
        <v>1</v>
      </c>
      <c r="HJ85" s="45">
        <f t="shared" si="863"/>
        <v>2</v>
      </c>
      <c r="HK85" s="46" cm="1">
        <f t="array" ref="HK85">ROUND(IFERROR(INDEX(ArchiveResults!$F$5:$IX$116,ComparisonData!A85,ComparisonData!$HK$1),0),5)</f>
        <v>0</v>
      </c>
      <c r="HL85" s="46" cm="1">
        <f t="array" ref="HL85">ROUND(IFERROR(INDEX(ArchiveResults!$F$5:$IX$116,ComparisonData!A85,ComparisonData!$HL$1),0),5)</f>
        <v>0</v>
      </c>
      <c r="HM85" s="46" cm="1">
        <f t="array" ref="HM85">ROUND(IFERROR(INDEX(ArchiveResults!$F$5:$IX$116,ComparisonData!A85,ComparisonData!$HM$1),0),5)</f>
        <v>0</v>
      </c>
      <c r="HN85" s="46" cm="1">
        <f t="array" ref="HN85">ROUND(IFERROR(INDEX(ArchiveResults!$F$5:$IX$116,ComparisonData!A85,ComparisonData!$HN$1),0),5)</f>
        <v>0</v>
      </c>
      <c r="HO85" s="45" cm="1">
        <f t="array" ref="HO85">IFERROR(INDEX(ArchiveResults!$F$5:$IX$116,ComparisonData!A85,ComparisonData!$HO$1),0)</f>
        <v>0</v>
      </c>
      <c r="HP85" s="56">
        <v>80</v>
      </c>
      <c r="HQ85" s="53" t="str">
        <f t="shared" si="671"/>
        <v>Surrey History Centre</v>
      </c>
      <c r="HR85" s="59">
        <f t="shared" si="672"/>
        <v>0</v>
      </c>
      <c r="HS85" s="59">
        <f t="shared" si="673"/>
        <v>0</v>
      </c>
      <c r="HT85" s="59">
        <f t="shared" si="674"/>
        <v>0</v>
      </c>
      <c r="HU85" s="59">
        <f t="shared" si="675"/>
        <v>0</v>
      </c>
      <c r="HV85" s="59">
        <f t="shared" si="676"/>
        <v>0</v>
      </c>
      <c r="HW85" s="58">
        <f t="shared" si="864"/>
        <v>0</v>
      </c>
      <c r="HX85" s="45">
        <f t="shared" si="865"/>
        <v>95</v>
      </c>
      <c r="HY85" s="45">
        <f t="shared" si="677"/>
        <v>2.9139999999999997</v>
      </c>
      <c r="HZ85" s="45">
        <f t="shared" si="866"/>
        <v>1</v>
      </c>
      <c r="IA85" s="45">
        <f t="shared" si="867"/>
        <v>2</v>
      </c>
      <c r="IB85" s="45">
        <f t="shared" si="868"/>
        <v>0</v>
      </c>
      <c r="IC85" s="46" cm="1">
        <f t="array" ref="IC85">ROUND(IFERROR(INDEX(ArchiveResults!$F$5:$IX$116,ComparisonData!A85,ComparisonData!$IC$1),0),5)</f>
        <v>0</v>
      </c>
      <c r="ID85" s="46" cm="1">
        <f t="array" ref="ID85">ROUND(IFERROR(INDEX(ArchiveResults!$F$5:$IX$116,ComparisonData!A85,ComparisonData!$ID$1),0),5)</f>
        <v>0</v>
      </c>
      <c r="IE85" s="46" cm="1">
        <f t="array" ref="IE85">ROUND(IFERROR(INDEX(ArchiveResults!$F$5:$IX$116,ComparisonData!A85,ComparisonData!$IE$1),0),5)</f>
        <v>0</v>
      </c>
      <c r="IF85" s="46" cm="1">
        <f t="array" ref="IF85">ROUND(IFERROR(INDEX(ArchiveResults!$F$5:$IX$116,ComparisonData!A85,ComparisonData!$IF$1),0),5)</f>
        <v>0</v>
      </c>
      <c r="IG85" s="45" cm="1">
        <f t="array" ref="IG85">IFERROR(INDEX(ArchiveResults!$F$5:$IX$116,ComparisonData!A85,ComparisonData!$IG$1),0)</f>
        <v>0</v>
      </c>
      <c r="IH85" s="56">
        <v>80</v>
      </c>
      <c r="II85" s="53" t="str">
        <f t="shared" si="678"/>
        <v>Surrey History Centre</v>
      </c>
      <c r="IJ85" s="59">
        <f t="shared" si="869"/>
        <v>0</v>
      </c>
      <c r="IK85" s="59">
        <f t="shared" si="870"/>
        <v>0</v>
      </c>
      <c r="IL85" s="59">
        <f t="shared" si="871"/>
        <v>0</v>
      </c>
      <c r="IM85" s="59">
        <f t="shared" si="872"/>
        <v>0</v>
      </c>
      <c r="IN85" s="59">
        <f t="shared" si="873"/>
        <v>0</v>
      </c>
      <c r="IO85" s="58">
        <f t="shared" si="874"/>
        <v>0</v>
      </c>
      <c r="IP85" s="45">
        <f t="shared" si="875"/>
        <v>95</v>
      </c>
      <c r="IQ85" s="45">
        <f t="shared" si="679"/>
        <v>2.9139999999999997</v>
      </c>
      <c r="IR85" s="45">
        <f t="shared" si="876"/>
        <v>1</v>
      </c>
      <c r="IS85" s="45">
        <f t="shared" si="877"/>
        <v>2</v>
      </c>
      <c r="IT85" s="46">
        <f t="shared" si="878"/>
        <v>0</v>
      </c>
      <c r="IU85" s="46" cm="1">
        <f t="array" ref="IU85">ROUND(IFERROR(INDEX(ArchiveResults!$F$5:$IX$116,ComparisonData!A85,ComparisonData!$IU$1),0),5)</f>
        <v>0</v>
      </c>
      <c r="IV85" s="46" cm="1">
        <f t="array" ref="IV85">ROUND(IFERROR(INDEX(ArchiveResults!$F$5:$IX$116,ComparisonData!A85,ComparisonData!$IV$1),0),5)</f>
        <v>0</v>
      </c>
      <c r="IW85" s="46" cm="1">
        <f t="array" ref="IW85">ROUND(IFERROR(INDEX(ArchiveResults!$F$5:$IX$116,ComparisonData!A85,ComparisonData!$IW$1),0),5)</f>
        <v>0</v>
      </c>
      <c r="IX85" s="46" cm="1">
        <f t="array" ref="IX85">ROUND(IFERROR(INDEX(ArchiveResults!$F$5:$IX$116,ComparisonData!A85,ComparisonData!$IX$1),0),5)</f>
        <v>0</v>
      </c>
      <c r="IY85" s="45" cm="1">
        <f t="array" ref="IY85">IFERROR(INDEX(ArchiveResults!$F$5:$IX$116,ComparisonData!A85,ComparisonData!$IY$1),0)</f>
        <v>0</v>
      </c>
      <c r="IZ85" s="56">
        <v>80</v>
      </c>
      <c r="JA85" s="53" t="str">
        <f t="shared" si="680"/>
        <v>Surrey History Centre</v>
      </c>
      <c r="JB85" s="59">
        <f t="shared" si="879"/>
        <v>0</v>
      </c>
      <c r="JC85" s="59">
        <f t="shared" si="880"/>
        <v>0</v>
      </c>
      <c r="JD85" s="59">
        <f t="shared" si="881"/>
        <v>0</v>
      </c>
      <c r="JE85" s="59">
        <f t="shared" si="882"/>
        <v>0</v>
      </c>
      <c r="JF85" s="59">
        <f t="shared" si="883"/>
        <v>0</v>
      </c>
      <c r="JG85" s="58">
        <f t="shared" si="884"/>
        <v>0</v>
      </c>
      <c r="JH85" s="45">
        <f t="shared" si="885"/>
        <v>95</v>
      </c>
      <c r="JI85" s="45">
        <f t="shared" si="681"/>
        <v>2.9139999999999997</v>
      </c>
      <c r="JJ85" s="45">
        <f t="shared" si="886"/>
        <v>1</v>
      </c>
      <c r="JK85" s="45">
        <f t="shared" si="887"/>
        <v>2</v>
      </c>
      <c r="JL85" s="45">
        <f t="shared" si="888"/>
        <v>0</v>
      </c>
      <c r="JM85" s="46" cm="1">
        <f t="array" ref="JM85">ROUND(IFERROR(INDEX(ArchiveResults!$F$5:$IX$116,ComparisonData!A85,ComparisonData!$JM$1),0),5)</f>
        <v>0</v>
      </c>
      <c r="JN85" s="46" cm="1">
        <f t="array" ref="JN85">ROUND(IFERROR(INDEX(ArchiveResults!$F$5:$IX$116,ComparisonData!A85,ComparisonData!$JN$1),0),5)</f>
        <v>0</v>
      </c>
      <c r="JO85" s="46" cm="1">
        <f t="array" ref="JO85">ROUND(IFERROR(INDEX(ArchiveResults!$F$5:$IX$116,ComparisonData!A85,ComparisonData!$JO$1),0),5)</f>
        <v>0</v>
      </c>
      <c r="JP85" s="46" cm="1">
        <f t="array" ref="JP85">ROUND(IFERROR(INDEX(ArchiveResults!$F$5:$IX$116,ComparisonData!A85,ComparisonData!$JP$1),0),5)</f>
        <v>0</v>
      </c>
      <c r="JQ85" s="45" cm="1">
        <f t="array" ref="JQ85">IFERROR(INDEX(ArchiveResults!$F$5:$IX$116,ComparisonData!A85,ComparisonData!$JQ$1),0)</f>
        <v>0</v>
      </c>
      <c r="JR85" s="56">
        <v>80</v>
      </c>
      <c r="JS85" s="53" t="str">
        <f t="shared" si="682"/>
        <v>Surrey History Centre</v>
      </c>
      <c r="JT85" s="59">
        <f t="shared" si="889"/>
        <v>0</v>
      </c>
      <c r="JU85" s="59">
        <f t="shared" si="890"/>
        <v>0</v>
      </c>
      <c r="JV85" s="59">
        <f t="shared" si="891"/>
        <v>0</v>
      </c>
      <c r="JW85" s="59">
        <f t="shared" si="892"/>
        <v>0</v>
      </c>
      <c r="JX85" s="59">
        <f t="shared" si="893"/>
        <v>0</v>
      </c>
      <c r="JY85" s="58">
        <f t="shared" si="894"/>
        <v>0</v>
      </c>
      <c r="JZ85" s="45">
        <f t="shared" si="895"/>
        <v>95</v>
      </c>
      <c r="KA85" s="45">
        <f t="shared" si="683"/>
        <v>2.9139999999999997</v>
      </c>
      <c r="KB85" s="45">
        <f t="shared" si="896"/>
        <v>1</v>
      </c>
      <c r="KC85" s="45">
        <f t="shared" si="897"/>
        <v>2</v>
      </c>
      <c r="KD85" s="45">
        <f t="shared" si="898"/>
        <v>0</v>
      </c>
      <c r="KE85" s="46" cm="1">
        <f t="array" ref="KE85">ROUND(IFERROR(INDEX(ArchiveResults!$F$5:$IX$116,ComparisonData!A85,ComparisonData!$KE$1),0),5)</f>
        <v>0</v>
      </c>
      <c r="KF85" s="46" cm="1">
        <f t="array" ref="KF85">ROUND(IFERROR(INDEX(ArchiveResults!$F$5:$IX$116,ComparisonData!A85,ComparisonData!$KF$1),0),5)</f>
        <v>0</v>
      </c>
      <c r="KG85" s="46" cm="1">
        <f t="array" ref="KG85">ROUND(IFERROR(INDEX(ArchiveResults!$F$5:$IX$116,ComparisonData!A85,ComparisonData!$KG$1),0),5)</f>
        <v>0</v>
      </c>
      <c r="KH85" s="46" cm="1">
        <f t="array" ref="KH85">ROUND(IFERROR(INDEX(ArchiveResults!$F$5:$IX$116,ComparisonData!A85,ComparisonData!$KH$1),0),5)</f>
        <v>0</v>
      </c>
      <c r="KI85" s="45" cm="1">
        <f t="array" ref="KI85">IFERROR(INDEX(ArchiveResults!$F$5:$IX$116,ComparisonData!A85,ComparisonData!$KI$1),0)</f>
        <v>0</v>
      </c>
      <c r="KJ85" s="56">
        <v>80</v>
      </c>
      <c r="KK85" s="53" t="str">
        <f t="shared" si="684"/>
        <v>Surrey History Centre</v>
      </c>
      <c r="KL85" s="59">
        <f t="shared" si="899"/>
        <v>0</v>
      </c>
      <c r="KM85" s="59">
        <f t="shared" si="900"/>
        <v>0</v>
      </c>
      <c r="KN85" s="59">
        <f t="shared" si="901"/>
        <v>0</v>
      </c>
      <c r="KO85" s="59">
        <f t="shared" si="902"/>
        <v>0</v>
      </c>
      <c r="KP85" s="59">
        <f t="shared" si="903"/>
        <v>0</v>
      </c>
      <c r="KQ85" s="58">
        <f t="shared" si="904"/>
        <v>0</v>
      </c>
      <c r="KR85" s="45">
        <f t="shared" si="905"/>
        <v>95</v>
      </c>
      <c r="KS85" s="45">
        <f t="shared" si="685"/>
        <v>2.9139999999999997</v>
      </c>
      <c r="KT85" s="45">
        <f t="shared" si="906"/>
        <v>1</v>
      </c>
      <c r="KU85" s="45">
        <f t="shared" si="907"/>
        <v>2</v>
      </c>
      <c r="KV85" s="45">
        <f t="shared" si="908"/>
        <v>0</v>
      </c>
      <c r="KW85" s="46" cm="1">
        <f t="array" ref="KW85">ROUND(IFERROR(INDEX(ArchiveResults!$F$5:$IX$116,ComparisonData!A85,ComparisonData!$KW$1),0),5)</f>
        <v>0</v>
      </c>
      <c r="KX85" s="46" cm="1">
        <f t="array" ref="KX85">ROUND(IFERROR(INDEX(ArchiveResults!$F$5:$IX$116,ComparisonData!A85,ComparisonData!$KX$1),0),5)</f>
        <v>0</v>
      </c>
      <c r="KY85" s="46" cm="1">
        <f t="array" ref="KY85">ROUND(IFERROR(INDEX(ArchiveResults!$F$5:$IX$116,ComparisonData!A85,ComparisonData!$KY$1),0),5)</f>
        <v>0</v>
      </c>
      <c r="KZ85" s="46" cm="1">
        <f t="array" ref="KZ85">ROUND(IFERROR(INDEX(ArchiveResults!$F$5:$IX$116,ComparisonData!A85,ComparisonData!$KZ$1),0),5)</f>
        <v>0</v>
      </c>
      <c r="LA85" s="45" cm="1">
        <f t="array" ref="LA85">IFERROR(INDEX(ArchiveResults!$F$5:$IX$116,ComparisonData!A85,ComparisonData!$LA$1),0)</f>
        <v>0</v>
      </c>
      <c r="LB85" s="56">
        <v>80</v>
      </c>
      <c r="LC85" s="53" t="str">
        <f t="shared" si="686"/>
        <v>Surrey History Centre</v>
      </c>
      <c r="LD85" s="59">
        <f t="shared" si="909"/>
        <v>0</v>
      </c>
      <c r="LE85" s="59">
        <f t="shared" si="910"/>
        <v>0</v>
      </c>
      <c r="LF85" s="59">
        <f t="shared" si="911"/>
        <v>0</v>
      </c>
      <c r="LG85" s="59">
        <f t="shared" si="912"/>
        <v>0</v>
      </c>
      <c r="LH85" s="59">
        <f t="shared" si="913"/>
        <v>0</v>
      </c>
      <c r="LI85" s="58">
        <f t="shared" si="914"/>
        <v>0</v>
      </c>
      <c r="LJ85" s="45">
        <f t="shared" si="915"/>
        <v>95</v>
      </c>
      <c r="LK85" s="45">
        <f t="shared" si="687"/>
        <v>2.9139999999999997</v>
      </c>
      <c r="LL85" s="45">
        <f t="shared" si="916"/>
        <v>1</v>
      </c>
      <c r="LM85" s="45">
        <f t="shared" si="917"/>
        <v>2</v>
      </c>
      <c r="LN85" s="45">
        <f t="shared" si="918"/>
        <v>0</v>
      </c>
      <c r="LO85" s="46" cm="1">
        <f t="array" ref="LO85">ROUND(IFERROR(INDEX(ArchiveResults!$F$5:$IX$116,ComparisonData!A85,ComparisonData!$LO$1),0),5)</f>
        <v>0</v>
      </c>
      <c r="LP85" s="46" cm="1">
        <f t="array" ref="LP85">ROUND(IFERROR(INDEX(ArchiveResults!$F$5:$IX$116,ComparisonData!A85,ComparisonData!$LP$1),0),5)</f>
        <v>0</v>
      </c>
      <c r="LQ85" s="46" cm="1">
        <f t="array" ref="LQ85">ROUND(IFERROR(INDEX(ArchiveResults!$F$5:$IX$116,ComparisonData!A85,ComparisonData!$LQ$1),0),5)</f>
        <v>0</v>
      </c>
      <c r="LR85" s="46" cm="1">
        <f t="array" ref="LR85">ROUND(IFERROR(INDEX(ArchiveResults!$F$5:$IX$116,ComparisonData!A85,ComparisonData!$LR$1),0),5)</f>
        <v>0</v>
      </c>
      <c r="LS85" s="45" cm="1">
        <f t="array" ref="LS85">IFERROR(INDEX(ArchiveResults!$F$5:$IX$116,ComparisonData!A85,ComparisonData!$LS$1),0)</f>
        <v>0</v>
      </c>
      <c r="LT85" s="56">
        <v>80</v>
      </c>
      <c r="LU85" s="53" t="str">
        <f t="shared" si="688"/>
        <v>Surrey History Centre</v>
      </c>
      <c r="LV85" s="59">
        <f t="shared" si="919"/>
        <v>0</v>
      </c>
      <c r="LW85" s="59">
        <f t="shared" si="920"/>
        <v>0</v>
      </c>
      <c r="LX85" s="59">
        <f t="shared" si="921"/>
        <v>0</v>
      </c>
      <c r="LY85" s="59">
        <f t="shared" si="922"/>
        <v>0</v>
      </c>
      <c r="LZ85" s="59">
        <f t="shared" si="923"/>
        <v>0</v>
      </c>
      <c r="MA85" s="58">
        <f t="shared" si="924"/>
        <v>0</v>
      </c>
      <c r="MB85" s="45">
        <f t="shared" si="925"/>
        <v>95</v>
      </c>
      <c r="MC85" s="45">
        <f t="shared" si="689"/>
        <v>2.9139999999999997</v>
      </c>
      <c r="MD85" s="45">
        <f t="shared" si="926"/>
        <v>1</v>
      </c>
      <c r="ME85" s="45">
        <f t="shared" si="927"/>
        <v>2</v>
      </c>
      <c r="MF85" s="45">
        <f t="shared" si="928"/>
        <v>0</v>
      </c>
      <c r="MG85" s="46" cm="1">
        <f t="array" ref="MG85">ROUND(IFERROR(INDEX(ArchiveResults!$F$5:$IX$116,ComparisonData!A85,ComparisonData!$MG$1),0),5)</f>
        <v>0</v>
      </c>
      <c r="MH85" s="46" cm="1">
        <f t="array" ref="MH85">ROUND(IFERROR(INDEX(ArchiveResults!$F$5:$IX$116,ComparisonData!A85,ComparisonData!$MH$1),0),5)</f>
        <v>0</v>
      </c>
      <c r="MI85" s="46" cm="1">
        <f t="array" ref="MI85">ROUND(IFERROR(INDEX(ArchiveResults!$F$5:$IX$116,ComparisonData!A85,ComparisonData!$MI$1),0),5)</f>
        <v>0</v>
      </c>
      <c r="MJ85" s="46" cm="1">
        <f t="array" ref="MJ85">ROUND(IFERROR(INDEX(ArchiveResults!$F$5:$IX$116,ComparisonData!A85,ComparisonData!$MJ$1),0),5)</f>
        <v>0</v>
      </c>
      <c r="MK85" s="45" cm="1">
        <f t="array" ref="MK85">IFERROR(INDEX(ArchiveResults!$F$5:$IX$116,ComparisonData!A85,ComparisonData!$MK$1),0)</f>
        <v>0</v>
      </c>
      <c r="ML85" s="56">
        <v>80</v>
      </c>
      <c r="MM85" s="53" t="str">
        <f t="shared" si="690"/>
        <v>Surrey History Centre</v>
      </c>
      <c r="MN85" s="59">
        <f t="shared" si="929"/>
        <v>0</v>
      </c>
      <c r="MO85" s="59">
        <f t="shared" si="930"/>
        <v>0</v>
      </c>
      <c r="MP85" s="59">
        <f t="shared" si="931"/>
        <v>0</v>
      </c>
      <c r="MQ85" s="59">
        <f t="shared" si="932"/>
        <v>0</v>
      </c>
      <c r="MR85" s="59">
        <f t="shared" si="933"/>
        <v>0</v>
      </c>
      <c r="MS85" s="58">
        <f t="shared" si="934"/>
        <v>0</v>
      </c>
      <c r="MT85" s="45">
        <f t="shared" si="935"/>
        <v>95</v>
      </c>
      <c r="MU85" s="45">
        <f t="shared" si="691"/>
        <v>2.9139999999999997</v>
      </c>
      <c r="MV85" s="45">
        <f t="shared" si="936"/>
        <v>1</v>
      </c>
      <c r="MW85" s="45">
        <f t="shared" si="937"/>
        <v>2</v>
      </c>
      <c r="MX85" s="45">
        <f t="shared" si="938"/>
        <v>0</v>
      </c>
      <c r="MY85" s="46" cm="1">
        <f t="array" ref="MY85">ROUND(IFERROR(INDEX(ArchiveResults!$F$5:$IX$116,ComparisonData!A85,ComparisonData!$MY$1),0),5)</f>
        <v>0</v>
      </c>
      <c r="MZ85" s="46" cm="1">
        <f t="array" ref="MZ85">ROUND(IFERROR(INDEX(ArchiveResults!$F$5:$IX$116,ComparisonData!A85,ComparisonData!$MZ$1),0),5)</f>
        <v>0</v>
      </c>
      <c r="NA85" s="46" cm="1">
        <f t="array" ref="NA85">ROUND(IFERROR(INDEX(ArchiveResults!$F$5:$IX$116,ComparisonData!A85,ComparisonData!$NA$1),0),5)</f>
        <v>0</v>
      </c>
      <c r="NB85" s="46" cm="1">
        <f t="array" ref="NB85">ROUND(IFERROR(INDEX(ArchiveResults!$F$5:$IX$116,ComparisonData!A85,ComparisonData!$NB$1),0),5)</f>
        <v>0</v>
      </c>
      <c r="NC85" s="45" cm="1">
        <f t="array" ref="NC85">IFERROR(INDEX(ArchiveResults!$F$5:$IX$116,ComparisonData!A85,ComparisonData!$NC$1),0)</f>
        <v>0</v>
      </c>
      <c r="ND85" s="56">
        <v>80</v>
      </c>
      <c r="NE85" s="53" t="str">
        <f t="shared" si="692"/>
        <v>Surrey History Centre</v>
      </c>
      <c r="NF85" s="59">
        <f t="shared" si="939"/>
        <v>0</v>
      </c>
      <c r="NG85" s="59">
        <f t="shared" si="940"/>
        <v>0</v>
      </c>
      <c r="NH85" s="59">
        <f t="shared" si="941"/>
        <v>0</v>
      </c>
      <c r="NI85" s="59">
        <f t="shared" si="942"/>
        <v>0</v>
      </c>
      <c r="NJ85" s="59">
        <f t="shared" si="943"/>
        <v>0</v>
      </c>
      <c r="NK85" s="58">
        <f t="shared" si="944"/>
        <v>0</v>
      </c>
      <c r="NL85" s="45">
        <f t="shared" si="945"/>
        <v>95</v>
      </c>
      <c r="NM85" s="45">
        <f t="shared" si="693"/>
        <v>2.9139999999999997</v>
      </c>
      <c r="NN85" s="45">
        <f t="shared" si="946"/>
        <v>1</v>
      </c>
      <c r="NO85" s="45">
        <f t="shared" si="947"/>
        <v>2</v>
      </c>
      <c r="NP85" s="46" cm="1">
        <f t="array" ref="NP85">ROUND(IFERROR(INDEX(ArchiveResults!$F$5:$IX$116,ComparisonData!A85,ComparisonData!$NP$1),0),5)</f>
        <v>0</v>
      </c>
      <c r="NQ85" s="46" cm="1">
        <f t="array" ref="NQ85">ROUND(IFERROR(INDEX(ArchiveResults!$F$5:$IX$116,ComparisonData!A85,ComparisonData!$NQ$1),0),5)</f>
        <v>0</v>
      </c>
      <c r="NR85" s="46" cm="1">
        <f t="array" ref="NR85">ROUND(IFERROR(INDEX(ArchiveResults!$F$5:$IX$116,ComparisonData!A85,ComparisonData!$NR$1),0),5)</f>
        <v>0</v>
      </c>
      <c r="NS85" s="46" cm="1">
        <f t="array" ref="NS85">ROUND(IFERROR(INDEX(ArchiveResults!$F$5:$IX$116,ComparisonData!A85,ComparisonData!$NS$1),0),5)</f>
        <v>0</v>
      </c>
      <c r="NT85" s="45" cm="1">
        <f t="array" ref="NT85">IFERROR(INDEX(ArchiveResults!$F$5:$IX$116,ComparisonData!A85,ComparisonData!$NT$1),0)</f>
        <v>0</v>
      </c>
      <c r="NU85" s="56">
        <v>80</v>
      </c>
      <c r="NV85" s="53" t="str">
        <f t="shared" si="694"/>
        <v>Surrey History Centre</v>
      </c>
      <c r="NW85" s="59">
        <f t="shared" si="948"/>
        <v>0</v>
      </c>
      <c r="NX85" s="59">
        <f t="shared" si="949"/>
        <v>0</v>
      </c>
      <c r="NY85" s="59">
        <f t="shared" si="950"/>
        <v>0</v>
      </c>
      <c r="NZ85" s="59">
        <f t="shared" si="951"/>
        <v>0</v>
      </c>
      <c r="OA85" s="59">
        <f t="shared" si="952"/>
        <v>0</v>
      </c>
      <c r="OB85" s="58">
        <f t="shared" si="953"/>
        <v>0</v>
      </c>
      <c r="OC85" s="45">
        <f t="shared" si="954"/>
        <v>95</v>
      </c>
      <c r="OD85" s="45">
        <f t="shared" si="695"/>
        <v>2.9139999999999997</v>
      </c>
      <c r="OE85" s="45">
        <f t="shared" si="955"/>
        <v>1</v>
      </c>
      <c r="OF85" s="45">
        <f t="shared" si="956"/>
        <v>2</v>
      </c>
      <c r="OG85" s="46">
        <f t="shared" si="957"/>
        <v>0</v>
      </c>
      <c r="OH85" s="46" cm="1">
        <f t="array" ref="OH85">ROUND(IFERROR(INDEX(ArchiveResults!$F$5:$IX$116,ComparisonData!A85,ComparisonData!$OH$1),0),5)</f>
        <v>0</v>
      </c>
      <c r="OI85" s="46" cm="1">
        <f t="array" ref="OI85">ROUND(IFERROR(INDEX(ArchiveResults!$F$5:$IX$116,ComparisonData!A85,ComparisonData!$OI$1),0),5)</f>
        <v>0</v>
      </c>
      <c r="OJ85" s="46" cm="1">
        <f t="array" ref="OJ85">ROUND(IFERROR(INDEX(ArchiveResults!$F$5:$IX$116,ComparisonData!A85,ComparisonData!$OJ$1),0),5)</f>
        <v>0</v>
      </c>
      <c r="OK85" s="46" cm="1">
        <f t="array" ref="OK85">ROUND(IFERROR(INDEX(ArchiveResults!$F$5:$IX$116,ComparisonData!A85,ComparisonData!$OK$1),0),5)</f>
        <v>0</v>
      </c>
      <c r="OL85" s="45" cm="1">
        <f t="array" ref="OL85">IFERROR(INDEX(ArchiveResults!$F$5:$IX$116,ComparisonData!A85,ComparisonData!$OL$1),0)</f>
        <v>0</v>
      </c>
      <c r="OM85" s="56">
        <v>80</v>
      </c>
      <c r="ON85" s="53" t="str">
        <f t="shared" si="696"/>
        <v>Surrey History Centre</v>
      </c>
      <c r="OO85" s="59">
        <f t="shared" si="958"/>
        <v>0</v>
      </c>
      <c r="OP85" s="59">
        <f t="shared" si="959"/>
        <v>0</v>
      </c>
      <c r="OQ85" s="59">
        <f t="shared" si="960"/>
        <v>0</v>
      </c>
      <c r="OR85" s="59">
        <f t="shared" si="961"/>
        <v>0</v>
      </c>
      <c r="OS85" s="59">
        <f t="shared" si="962"/>
        <v>0</v>
      </c>
      <c r="OT85" s="58">
        <f t="shared" si="963"/>
        <v>0</v>
      </c>
      <c r="OU85" s="45">
        <f t="shared" si="964"/>
        <v>95</v>
      </c>
      <c r="OV85" s="45">
        <f t="shared" si="697"/>
        <v>2.9139999999999997</v>
      </c>
      <c r="OW85" s="45">
        <f t="shared" si="965"/>
        <v>1</v>
      </c>
      <c r="OX85" s="45">
        <f t="shared" si="966"/>
        <v>2</v>
      </c>
      <c r="OY85" s="45">
        <f t="shared" si="967"/>
        <v>0</v>
      </c>
      <c r="OZ85" s="46" cm="1">
        <f t="array" ref="OZ85">ROUND(IFERROR(INDEX(ArchiveResults!$F$5:$IX$116,ComparisonData!A85,ComparisonData!$OZ$1),0),5)</f>
        <v>0</v>
      </c>
      <c r="PA85" s="46" cm="1">
        <f t="array" ref="PA85">ROUND(IFERROR(INDEX(ArchiveResults!$F$5:$IX$116,ComparisonData!A85,ComparisonData!$PA$1),0),5)</f>
        <v>0</v>
      </c>
      <c r="PB85" s="46" cm="1">
        <f t="array" ref="PB85">ROUND(IFERROR(INDEX(ArchiveResults!$F$5:$IX$116,ComparisonData!A85,ComparisonData!$PB$1),0),5)</f>
        <v>0</v>
      </c>
      <c r="PC85" s="46" cm="1">
        <f t="array" ref="PC85">ROUND(IFERROR(INDEX(ArchiveResults!$F$5:$IX$116,ComparisonData!A85,ComparisonData!$PC$1),0),5)</f>
        <v>0</v>
      </c>
      <c r="PD85" s="45" cm="1">
        <f t="array" ref="PD85">IFERROR(INDEX(ArchiveResults!$F$5:$IX$116,ComparisonData!A85,ComparisonData!$PD$1),0)</f>
        <v>0</v>
      </c>
      <c r="PE85" s="56">
        <v>80</v>
      </c>
      <c r="PF85" s="53" t="str">
        <f t="shared" si="698"/>
        <v>Surrey History Centre</v>
      </c>
      <c r="PG85" s="59">
        <f t="shared" si="968"/>
        <v>0</v>
      </c>
      <c r="PH85" s="59">
        <f t="shared" si="969"/>
        <v>0</v>
      </c>
      <c r="PI85" s="59">
        <f t="shared" si="970"/>
        <v>0</v>
      </c>
      <c r="PJ85" s="59">
        <f t="shared" si="971"/>
        <v>0</v>
      </c>
      <c r="PK85" s="59">
        <f t="shared" si="972"/>
        <v>0</v>
      </c>
      <c r="PL85" s="58">
        <f t="shared" si="973"/>
        <v>0</v>
      </c>
      <c r="PM85" s="45">
        <f t="shared" si="974"/>
        <v>95</v>
      </c>
      <c r="PN85" s="45">
        <f t="shared" si="699"/>
        <v>2.9139999999999997</v>
      </c>
      <c r="PO85" s="45">
        <f t="shared" si="975"/>
        <v>1</v>
      </c>
      <c r="PP85" s="45">
        <f t="shared" si="976"/>
        <v>2</v>
      </c>
      <c r="PQ85" s="45">
        <f t="shared" si="977"/>
        <v>0</v>
      </c>
      <c r="PR85" s="46" cm="1">
        <f t="array" ref="PR85">ROUND(IFERROR(INDEX(ArchiveResults!$F$5:$IX$116,ComparisonData!A85,ComparisonData!$PR$1),0),5)</f>
        <v>0</v>
      </c>
      <c r="PS85" s="46" cm="1">
        <f t="array" ref="PS85">ROUND(IFERROR(INDEX(ArchiveResults!$F$5:$IX$116,ComparisonData!A85,ComparisonData!$PS$1),0),5)</f>
        <v>0</v>
      </c>
      <c r="PT85" s="46" cm="1">
        <f t="array" ref="PT85">ROUND(IFERROR(INDEX(ArchiveResults!$F$5:$IX$116,ComparisonData!A85,ComparisonData!$PT$1),0),5)</f>
        <v>0</v>
      </c>
      <c r="PU85" s="46" cm="1">
        <f t="array" ref="PU85">ROUND(IFERROR(INDEX(ArchiveResults!$F$5:$IX$116,ComparisonData!A85,ComparisonData!$PU$1),0),5)</f>
        <v>0</v>
      </c>
      <c r="PV85" s="45" cm="1">
        <f t="array" ref="PV85">IFERROR(INDEX(ArchiveResults!$F$5:$IX$116,ComparisonData!A85,ComparisonData!$PV$1),0)</f>
        <v>0</v>
      </c>
      <c r="PW85" s="56">
        <v>80</v>
      </c>
      <c r="PX85" s="53" t="str">
        <f t="shared" si="700"/>
        <v>Surrey History Centre</v>
      </c>
      <c r="PY85" s="59">
        <f t="shared" si="978"/>
        <v>0</v>
      </c>
      <c r="PZ85" s="59">
        <f t="shared" si="979"/>
        <v>0</v>
      </c>
      <c r="QA85" s="59">
        <f t="shared" si="980"/>
        <v>0</v>
      </c>
      <c r="QB85" s="59">
        <f t="shared" si="981"/>
        <v>0</v>
      </c>
      <c r="QC85" s="59">
        <f t="shared" si="982"/>
        <v>0</v>
      </c>
      <c r="QD85" s="58">
        <f t="shared" si="983"/>
        <v>0</v>
      </c>
      <c r="QE85" s="45">
        <f t="shared" si="984"/>
        <v>95</v>
      </c>
      <c r="QF85" s="45">
        <f t="shared" si="701"/>
        <v>2.9139999999999997</v>
      </c>
      <c r="QG85" s="45">
        <f t="shared" si="985"/>
        <v>1</v>
      </c>
      <c r="QH85" s="45">
        <f t="shared" si="986"/>
        <v>2</v>
      </c>
      <c r="QI85" s="45">
        <f t="shared" si="987"/>
        <v>0</v>
      </c>
      <c r="QJ85" s="46" cm="1">
        <f t="array" ref="QJ85">ROUND(IFERROR(INDEX(ArchiveResults!$F$5:$IX$116,ComparisonData!A85,ComparisonData!$QJ$1),0),5)</f>
        <v>0</v>
      </c>
      <c r="QK85" s="46" cm="1">
        <f t="array" ref="QK85">ROUND(IFERROR(INDEX(ArchiveResults!$F$5:$IX$116,ComparisonData!A85,ComparisonData!$QK$1),0),5)</f>
        <v>0</v>
      </c>
      <c r="QL85" s="46" cm="1">
        <f t="array" ref="QL85">ROUND(IFERROR(INDEX(ArchiveResults!$F$5:$IX$116,ComparisonData!A85,ComparisonData!$QL$1),0),5)</f>
        <v>0</v>
      </c>
      <c r="QM85" s="46" cm="1">
        <f t="array" ref="QM85">ROUND(IFERROR(INDEX(ArchiveResults!$F$5:$IX$116,ComparisonData!A85,ComparisonData!$QM$1),0),5)</f>
        <v>0</v>
      </c>
      <c r="QN85" s="45" cm="1">
        <f t="array" ref="QN85">IFERROR(INDEX(ArchiveResults!$F$5:$IX$116,ComparisonData!A85,ComparisonData!$QN$1),0)</f>
        <v>0</v>
      </c>
      <c r="QO85" s="56">
        <v>80</v>
      </c>
      <c r="QP85" s="53" t="str">
        <f t="shared" si="702"/>
        <v>Surrey History Centre</v>
      </c>
      <c r="QQ85" s="59">
        <f t="shared" si="988"/>
        <v>0</v>
      </c>
      <c r="QR85" s="59">
        <f t="shared" si="989"/>
        <v>0</v>
      </c>
      <c r="QS85" s="59">
        <f t="shared" si="990"/>
        <v>0</v>
      </c>
      <c r="QT85" s="59">
        <f t="shared" si="991"/>
        <v>0</v>
      </c>
      <c r="QU85" s="59">
        <f t="shared" si="992"/>
        <v>0</v>
      </c>
      <c r="QV85" s="58">
        <f t="shared" si="993"/>
        <v>0</v>
      </c>
      <c r="QW85" s="45">
        <f t="shared" si="994"/>
        <v>95</v>
      </c>
      <c r="QX85" s="45">
        <f t="shared" si="703"/>
        <v>2.9139999999999997</v>
      </c>
      <c r="QY85" s="45">
        <f t="shared" si="995"/>
        <v>1</v>
      </c>
      <c r="QZ85" s="45">
        <f t="shared" si="996"/>
        <v>2</v>
      </c>
      <c r="RA85" s="45">
        <f t="shared" si="997"/>
        <v>0</v>
      </c>
      <c r="RB85" s="46" cm="1">
        <f t="array" ref="RB85">ROUND(IFERROR(INDEX(ArchiveResults!$F$5:$IX$116,ComparisonData!A85,ComparisonData!$RB$1),0),5)</f>
        <v>0</v>
      </c>
      <c r="RC85" s="46" cm="1">
        <f t="array" ref="RC85">ROUND(IFERROR(INDEX(ArchiveResults!$F$5:$IX$116,ComparisonData!A85,ComparisonData!$RC$1),0),5)</f>
        <v>0</v>
      </c>
      <c r="RD85" s="46" cm="1">
        <f t="array" ref="RD85">ROUND(IFERROR(INDEX(ArchiveResults!$F$5:$IX$116,ComparisonData!A85,ComparisonData!$RD$1),0),5)</f>
        <v>0</v>
      </c>
      <c r="RE85" s="46" cm="1">
        <f t="array" ref="RE85">ROUND(IFERROR(INDEX(ArchiveResults!$F$5:$IX$116,ComparisonData!A85,ComparisonData!$RE$1),0),5)</f>
        <v>0</v>
      </c>
      <c r="RF85" s="45" cm="1">
        <f t="array" ref="RF85">IFERROR(INDEX(ArchiveResults!$F$5:$IX$116,ComparisonData!A85,ComparisonData!$RF$1),0)</f>
        <v>0</v>
      </c>
      <c r="RG85" s="56">
        <v>80</v>
      </c>
      <c r="RH85" s="53" t="str">
        <f t="shared" si="704"/>
        <v>Surrey History Centre</v>
      </c>
      <c r="RI85" s="59">
        <f t="shared" si="998"/>
        <v>0</v>
      </c>
      <c r="RJ85" s="59">
        <f t="shared" si="999"/>
        <v>0</v>
      </c>
      <c r="RK85" s="59">
        <f t="shared" si="1000"/>
        <v>0</v>
      </c>
      <c r="RL85" s="59">
        <f t="shared" si="1001"/>
        <v>0</v>
      </c>
      <c r="RM85" s="59">
        <f t="shared" si="1002"/>
        <v>0</v>
      </c>
      <c r="RN85" s="58">
        <f t="shared" si="1003"/>
        <v>0</v>
      </c>
      <c r="RO85" s="45">
        <f t="shared" si="1004"/>
        <v>95</v>
      </c>
      <c r="RP85" s="45">
        <f t="shared" si="705"/>
        <v>2.9139999999999997</v>
      </c>
      <c r="RQ85" s="45">
        <f t="shared" si="1005"/>
        <v>1</v>
      </c>
      <c r="RR85" s="45">
        <f t="shared" si="1006"/>
        <v>2</v>
      </c>
      <c r="RS85" s="45">
        <f t="shared" si="1007"/>
        <v>0</v>
      </c>
      <c r="RT85" s="46" cm="1">
        <f t="array" ref="RT85">ROUND(IFERROR(INDEX(ArchiveResults!$F$5:$IX$116,ComparisonData!A85,ComparisonData!$RT$1),0),5)</f>
        <v>0</v>
      </c>
      <c r="RU85" s="46" cm="1">
        <f t="array" ref="RU85">ROUND(IFERROR(INDEX(ArchiveResults!$F$5:$IX$116,ComparisonData!A85,ComparisonData!$RU$1),0),5)</f>
        <v>0</v>
      </c>
      <c r="RV85" s="46" cm="1">
        <f t="array" ref="RV85">ROUND(IFERROR(INDEX(ArchiveResults!$F$5:$IX$116,ComparisonData!A85,ComparisonData!$RV$1),0),5)</f>
        <v>0</v>
      </c>
      <c r="RW85" s="46" cm="1">
        <f t="array" ref="RW85">ROUND(IFERROR(INDEX(ArchiveResults!$F$5:$IX$116,ComparisonData!A85,ComparisonData!$RW$1),0),5)</f>
        <v>0</v>
      </c>
      <c r="RX85" s="45" cm="1">
        <f t="array" ref="RX85">IFERROR(INDEX(ArchiveResults!$F$5:$IX$116,ComparisonData!A85,ComparisonData!$RX$1),0)</f>
        <v>0</v>
      </c>
      <c r="RY85" s="56">
        <v>80</v>
      </c>
      <c r="RZ85" s="53" t="str">
        <f t="shared" si="706"/>
        <v>Surrey History Centre</v>
      </c>
      <c r="SA85" s="59">
        <f t="shared" si="1008"/>
        <v>0</v>
      </c>
      <c r="SB85" s="59">
        <f t="shared" si="1009"/>
        <v>0</v>
      </c>
      <c r="SC85" s="59">
        <f t="shared" si="1010"/>
        <v>0</v>
      </c>
      <c r="SD85" s="59">
        <f t="shared" si="1011"/>
        <v>0</v>
      </c>
      <c r="SE85" s="59">
        <f t="shared" si="1012"/>
        <v>0</v>
      </c>
      <c r="SF85" s="58">
        <f t="shared" si="1013"/>
        <v>0</v>
      </c>
      <c r="SG85" s="45">
        <f t="shared" si="1014"/>
        <v>95</v>
      </c>
      <c r="SH85" s="45">
        <f t="shared" si="707"/>
        <v>2.9139999999999997</v>
      </c>
      <c r="SI85" s="45">
        <f t="shared" si="1015"/>
        <v>1</v>
      </c>
      <c r="SJ85" s="45">
        <f t="shared" si="1016"/>
        <v>2</v>
      </c>
      <c r="SK85" s="45">
        <f t="shared" si="1017"/>
        <v>0</v>
      </c>
      <c r="SL85" s="46" cm="1">
        <f t="array" ref="SL85">ROUND(IFERROR(INDEX(ArchiveResults!$F$5:$IX$116,ComparisonData!A85,ComparisonData!$SL$1),0),5)</f>
        <v>0</v>
      </c>
      <c r="SM85" s="46" cm="1">
        <f t="array" ref="SM85">ROUND(IFERROR(INDEX(ArchiveResults!$F$5:$IX$116,ComparisonData!A85,ComparisonData!$SM$1),0),5)</f>
        <v>0</v>
      </c>
      <c r="SN85" s="46" cm="1">
        <f t="array" ref="SN85">ROUND(IFERROR(INDEX(ArchiveResults!$F$5:$IX$116,ComparisonData!A85,ComparisonData!$SN$1),0),5)</f>
        <v>0</v>
      </c>
      <c r="SO85" s="46" cm="1">
        <f t="array" ref="SO85">ROUND(IFERROR(INDEX(ArchiveResults!$F$5:$IX$116,ComparisonData!A85,ComparisonData!$SO$1),0),5)</f>
        <v>0</v>
      </c>
      <c r="SP85" s="45" cm="1">
        <f t="array" ref="SP85">IFERROR(INDEX(ArchiveResults!$F$5:$IX$116,ComparisonData!A85,ComparisonData!$SP$1),0)</f>
        <v>0</v>
      </c>
      <c r="SQ85" s="56">
        <v>80</v>
      </c>
      <c r="SR85" s="53" t="str">
        <f t="shared" si="708"/>
        <v>Surrey History Centre</v>
      </c>
      <c r="SS85" s="59">
        <f t="shared" si="1018"/>
        <v>0</v>
      </c>
      <c r="ST85" s="59">
        <f t="shared" si="1019"/>
        <v>0</v>
      </c>
      <c r="SU85" s="59">
        <f t="shared" si="1020"/>
        <v>0</v>
      </c>
      <c r="SV85" s="59">
        <f t="shared" si="1021"/>
        <v>0</v>
      </c>
      <c r="SW85" s="59">
        <f t="shared" si="1022"/>
        <v>0</v>
      </c>
      <c r="SX85" s="58">
        <f t="shared" si="1023"/>
        <v>0</v>
      </c>
      <c r="SY85" s="45">
        <f t="shared" si="1024"/>
        <v>95</v>
      </c>
      <c r="SZ85" s="45">
        <f t="shared" si="709"/>
        <v>2.9139999999999997</v>
      </c>
      <c r="TA85" s="45">
        <f t="shared" si="1025"/>
        <v>1</v>
      </c>
      <c r="TB85" s="45">
        <f t="shared" si="1026"/>
        <v>2</v>
      </c>
      <c r="TC85" s="45">
        <f t="shared" si="1027"/>
        <v>0</v>
      </c>
      <c r="TD85" s="46" cm="1">
        <f t="array" ref="TD85">ROUND(IFERROR(INDEX(ArchiveResults!$F$5:$IX$116,ComparisonData!A85,ComparisonData!$TD$1),0),5)</f>
        <v>0</v>
      </c>
      <c r="TE85" s="46" cm="1">
        <f t="array" ref="TE85">ROUND(IFERROR(INDEX(ArchiveResults!$F$5:$IX$116,ComparisonData!A85,ComparisonData!$TE$1),0),5)</f>
        <v>0</v>
      </c>
      <c r="TF85" s="46" cm="1">
        <f t="array" ref="TF85">ROUND(IFERROR(INDEX(ArchiveResults!$F$5:$IX$116,ComparisonData!A85,ComparisonData!$TF$1),0),5)</f>
        <v>0</v>
      </c>
      <c r="TG85" s="46" cm="1">
        <f t="array" ref="TG85">ROUND(IFERROR(INDEX(ArchiveResults!$F$5:$IX$116,ComparisonData!A85,ComparisonData!$TG$1),0),5)</f>
        <v>0</v>
      </c>
      <c r="TH85" s="45" cm="1">
        <f t="array" ref="TH85">IFERROR(INDEX(ArchiveResults!$F$5:$IX$116,ComparisonData!A85,ComparisonData!$TH$1),0)</f>
        <v>0</v>
      </c>
      <c r="TI85" s="56">
        <v>80</v>
      </c>
      <c r="TJ85" s="53" t="str">
        <f t="shared" si="710"/>
        <v>Surrey History Centre</v>
      </c>
      <c r="TK85" s="59">
        <f t="shared" si="1028"/>
        <v>0</v>
      </c>
      <c r="TL85" s="59">
        <f t="shared" si="1029"/>
        <v>0</v>
      </c>
      <c r="TM85" s="59">
        <f t="shared" si="1030"/>
        <v>0</v>
      </c>
      <c r="TN85" s="59">
        <f t="shared" si="1031"/>
        <v>0</v>
      </c>
      <c r="TO85" s="59">
        <f t="shared" si="1032"/>
        <v>0</v>
      </c>
      <c r="TP85" s="58">
        <f t="shared" si="1033"/>
        <v>0</v>
      </c>
      <c r="TQ85" s="45">
        <f t="shared" si="1034"/>
        <v>95</v>
      </c>
      <c r="TR85" s="45">
        <f t="shared" si="711"/>
        <v>2.9139999999999997</v>
      </c>
      <c r="TS85" s="45">
        <f t="shared" si="1035"/>
        <v>1</v>
      </c>
      <c r="TT85" s="45">
        <f t="shared" si="1036"/>
        <v>2</v>
      </c>
      <c r="TU85" s="45">
        <f t="shared" si="1037"/>
        <v>0</v>
      </c>
      <c r="TV85" s="46" cm="1">
        <f t="array" ref="TV85">ROUND(IFERROR(INDEX(ArchiveResults!$F$5:$IX$116,ComparisonData!A85,ComparisonData!$TV$1),0),5)</f>
        <v>0</v>
      </c>
      <c r="TW85" s="46" cm="1">
        <f t="array" ref="TW85">ROUND(IFERROR(INDEX(ArchiveResults!$F$5:$IX$116,ComparisonData!A85,ComparisonData!$TW$1),0),5)</f>
        <v>0</v>
      </c>
      <c r="TX85" s="46" cm="1">
        <f t="array" ref="TX85">ROUND(IFERROR(INDEX(ArchiveResults!$F$5:$IX$116,ComparisonData!A85,ComparisonData!$TX$1),0),5)</f>
        <v>0</v>
      </c>
      <c r="TY85" s="46" cm="1">
        <f t="array" ref="TY85">ROUND(IFERROR(INDEX(ArchiveResults!$F$5:$IX$116,ComparisonData!A85,ComparisonData!$TY$1),0),5)</f>
        <v>0</v>
      </c>
      <c r="TZ85" s="45" cm="1">
        <f t="array" ref="TZ85">IFERROR(INDEX(ArchiveResults!$F$5:$IX$116,ComparisonData!A85,ComparisonData!$TZ$1),0)</f>
        <v>0</v>
      </c>
      <c r="UA85" s="56">
        <v>80</v>
      </c>
      <c r="UB85" s="53" t="str">
        <f t="shared" si="712"/>
        <v>Surrey History Centre</v>
      </c>
      <c r="UC85" s="60">
        <f t="shared" si="1038"/>
        <v>0</v>
      </c>
      <c r="UD85" s="60">
        <f t="shared" si="1039"/>
        <v>0</v>
      </c>
      <c r="UE85" s="60">
        <f t="shared" si="1040"/>
        <v>0</v>
      </c>
      <c r="UF85" s="60">
        <f t="shared" si="1041"/>
        <v>0</v>
      </c>
      <c r="UG85" s="60">
        <f t="shared" si="1042"/>
        <v>0</v>
      </c>
      <c r="UH85" s="58">
        <f t="shared" si="1043"/>
        <v>0</v>
      </c>
      <c r="UI85" s="46">
        <f t="shared" si="1044"/>
        <v>95</v>
      </c>
      <c r="UJ85" s="46">
        <f t="shared" si="713"/>
        <v>2.9139999999999997</v>
      </c>
      <c r="UK85" s="46">
        <f t="shared" si="1045"/>
        <v>1</v>
      </c>
      <c r="UL85" s="46">
        <f t="shared" si="1046"/>
        <v>2</v>
      </c>
      <c r="UM85" s="46" cm="1">
        <f t="array" ref="UM85">ROUND(IFERROR(INDEX(ArchiveResults!$F$5:$IX$116,ComparisonData!A85,ComparisonData!$UM$1),0),5)</f>
        <v>0</v>
      </c>
      <c r="UN85" s="56">
        <v>80</v>
      </c>
      <c r="UO85" s="53" t="str">
        <f t="shared" si="714"/>
        <v>Surrey History Centre</v>
      </c>
      <c r="UP85" s="46">
        <f t="shared" si="1047"/>
        <v>0</v>
      </c>
      <c r="UQ85" s="76">
        <f t="shared" si="1048"/>
        <v>0</v>
      </c>
      <c r="UR85" s="46">
        <f t="shared" si="1049"/>
        <v>95</v>
      </c>
      <c r="US85" s="46">
        <f t="shared" si="715"/>
        <v>2.9139999999999997</v>
      </c>
      <c r="UT85" s="46">
        <f t="shared" si="1050"/>
        <v>1</v>
      </c>
      <c r="UU85" s="46">
        <f t="shared" si="1051"/>
        <v>2</v>
      </c>
      <c r="UV85" s="46">
        <f t="shared" si="1052"/>
        <v>0</v>
      </c>
      <c r="UW85" s="46" cm="1">
        <f t="array" ref="UW85">ROUND(IFERROR(INDEX(ArchiveResults!$F$5:$IX$116,ComparisonData!A85,ComparisonData!$UW$1),0),5)</f>
        <v>0</v>
      </c>
      <c r="UX85" s="46" cm="1">
        <f t="array" ref="UX85">ROUND(IFERROR(INDEX(ArchiveResults!$F$5:$IX$116,ComparisonData!A85,ComparisonData!$UX$1),0),5)</f>
        <v>0</v>
      </c>
      <c r="UY85" s="46" cm="1">
        <f t="array" ref="UY85">ROUND(IFERROR(INDEX(ArchiveResults!$F$5:$IX$116,ComparisonData!A85,ComparisonData!$UY$1),0),5)</f>
        <v>0</v>
      </c>
      <c r="UZ85" s="46" cm="1">
        <f t="array" ref="UZ85">ROUND(IFERROR(INDEX(ArchiveResults!$F$5:$IX$116,ComparisonData!A85,ComparisonData!$UZ$1),0),5)</f>
        <v>0</v>
      </c>
      <c r="VA85" s="46" cm="1">
        <f t="array" ref="VA85">ROUND(IFERROR(INDEX(ArchiveResults!$F$5:$IX$116,ComparisonData!A85,ComparisonData!$VA$1),0),5)</f>
        <v>0</v>
      </c>
      <c r="VB85" s="56">
        <v>80</v>
      </c>
      <c r="VC85" s="53" t="str">
        <f t="shared" si="716"/>
        <v>Surrey History Centre</v>
      </c>
      <c r="VD85" s="60">
        <f t="shared" si="1053"/>
        <v>0</v>
      </c>
      <c r="VE85" s="60">
        <f t="shared" si="1054"/>
        <v>0</v>
      </c>
      <c r="VF85" s="60">
        <f t="shared" si="1055"/>
        <v>0</v>
      </c>
      <c r="VG85" s="60">
        <f t="shared" si="1056"/>
        <v>0</v>
      </c>
      <c r="VH85" s="60">
        <f t="shared" si="1057"/>
        <v>0</v>
      </c>
      <c r="VI85" s="76">
        <f t="shared" si="1058"/>
        <v>0</v>
      </c>
      <c r="VJ85" s="46">
        <f t="shared" si="1059"/>
        <v>95</v>
      </c>
      <c r="VK85" s="46">
        <f t="shared" si="717"/>
        <v>2.9139999999999997</v>
      </c>
      <c r="VL85" s="46">
        <f t="shared" si="1060"/>
        <v>1</v>
      </c>
      <c r="VM85" s="46">
        <f t="shared" si="1061"/>
        <v>2</v>
      </c>
      <c r="VN85" s="46" cm="1">
        <f t="array" ref="VN85">ROUND(IFERROR(INDEX(ArchiveResults!$F$5:$IX$116,ComparisonData!A85,ComparisonData!$VN$1),0),5)</f>
        <v>0</v>
      </c>
      <c r="VO85" s="46" cm="1">
        <f t="array" ref="VO85">ROUND(IFERROR(INDEX(ArchiveResults!$F$5:$IX$116,ComparisonData!A85,ComparisonData!$VO$1),0),5)</f>
        <v>0</v>
      </c>
      <c r="VP85" s="46" cm="1">
        <f t="array" ref="VP85">ROUND(IFERROR(INDEX(ArchiveResults!$F$5:$IX$116,ComparisonData!A85,ComparisonData!$VP$1),0),5)</f>
        <v>0</v>
      </c>
      <c r="VQ85" s="46" cm="1">
        <f t="array" ref="VQ85">ROUND(IFERROR(INDEX(ArchiveResults!$F$5:$IX$116,ComparisonData!A85,ComparisonData!$VQ$1),0),5)</f>
        <v>0</v>
      </c>
      <c r="VR85" s="56">
        <v>80</v>
      </c>
      <c r="VS85" s="53" t="str">
        <f t="shared" si="718"/>
        <v>Surrey History Centre</v>
      </c>
      <c r="VT85" s="60">
        <f t="shared" si="1062"/>
        <v>0</v>
      </c>
      <c r="VU85" s="60">
        <f t="shared" si="1063"/>
        <v>0</v>
      </c>
      <c r="VV85" s="60">
        <f t="shared" si="1064"/>
        <v>0</v>
      </c>
      <c r="VW85" s="60">
        <f t="shared" si="1065"/>
        <v>0</v>
      </c>
      <c r="VX85" s="76">
        <f t="shared" si="1066"/>
        <v>0</v>
      </c>
      <c r="VY85" s="46">
        <f t="shared" si="1067"/>
        <v>95</v>
      </c>
      <c r="VZ85" s="46">
        <f t="shared" si="719"/>
        <v>2.9139999999999997</v>
      </c>
      <c r="WA85" s="46">
        <f t="shared" si="1068"/>
        <v>1</v>
      </c>
      <c r="WB85" s="46">
        <f t="shared" si="1069"/>
        <v>2</v>
      </c>
      <c r="WC85" s="46" cm="1">
        <f t="array" ref="WC85">ROUND(IFERROR(INDEX(ArchiveResults!$F$5:$IX$116,ComparisonData!A85,ComparisonData!$WC$1),0),5)</f>
        <v>0</v>
      </c>
      <c r="WD85" s="56">
        <v>80</v>
      </c>
      <c r="WE85" s="53" t="str">
        <f t="shared" si="720"/>
        <v>Surrey History Centre</v>
      </c>
      <c r="WF85" s="46">
        <f t="shared" si="1070"/>
        <v>0</v>
      </c>
      <c r="WG85" s="76">
        <f t="shared" si="1071"/>
        <v>0</v>
      </c>
      <c r="WH85" s="46">
        <f t="shared" si="1072"/>
        <v>95</v>
      </c>
      <c r="WI85" s="46">
        <f t="shared" si="721"/>
        <v>2.9139999999999997</v>
      </c>
      <c r="WJ85" s="46">
        <f t="shared" si="1073"/>
        <v>1</v>
      </c>
      <c r="WK85" s="46">
        <f t="shared" si="1074"/>
        <v>2</v>
      </c>
      <c r="WL85" s="46" cm="1">
        <f t="array" ref="WL85">ROUND(IFERROR(INDEX(ArchiveResults!$F$5:$IX$116,ComparisonData!A85,ComparisonData!$WL$1),0),5)</f>
        <v>0</v>
      </c>
      <c r="WM85" s="46" cm="1">
        <f t="array" ref="WM85">IFERROR(INDEX(ArchiveResults!$F$5:$IX$116,ComparisonData!A85,ComparisonData!$WM$1),0)</f>
        <v>0</v>
      </c>
      <c r="WN85" s="56">
        <v>80</v>
      </c>
      <c r="WO85" s="53" t="str">
        <f t="shared" si="722"/>
        <v>Surrey History Centre</v>
      </c>
      <c r="WP85" s="60">
        <f t="shared" si="1075"/>
        <v>0</v>
      </c>
      <c r="WQ85" s="60">
        <f t="shared" si="1076"/>
        <v>0</v>
      </c>
      <c r="WR85" s="76">
        <f t="shared" si="1077"/>
        <v>0</v>
      </c>
      <c r="WS85" s="46">
        <f t="shared" si="1078"/>
        <v>95</v>
      </c>
      <c r="WT85" s="46">
        <f t="shared" si="723"/>
        <v>2.9139999999999997</v>
      </c>
      <c r="WU85" s="46">
        <f t="shared" si="1079"/>
        <v>1</v>
      </c>
      <c r="WV85" s="46">
        <f t="shared" si="1080"/>
        <v>2</v>
      </c>
      <c r="WW85" s="46" cm="1">
        <f t="array" ref="WW85">ROUND(VALUE(IFERROR(INDEX(ArchiveResults!$F$5:$IX$116,ComparisonData!A85,ComparisonData!$WW$1),0)),5)</f>
        <v>0</v>
      </c>
      <c r="WX85" s="46" cm="1">
        <f t="array" ref="WX85">ROUND(IFERROR(INDEX(ArchiveResults!$F$5:$IX$116,ComparisonData!A85,ComparisonData!$WX$1),0),5)</f>
        <v>0</v>
      </c>
      <c r="WY85" s="56">
        <v>80</v>
      </c>
      <c r="WZ85" s="53" t="str">
        <f t="shared" si="724"/>
        <v>Surrey History Centre</v>
      </c>
      <c r="XA85" s="60">
        <f t="shared" si="725"/>
        <v>0</v>
      </c>
      <c r="XB85" s="60">
        <f t="shared" si="726"/>
        <v>0</v>
      </c>
      <c r="XC85" s="76">
        <f t="shared" si="1081"/>
        <v>0</v>
      </c>
      <c r="XD85" s="46">
        <f t="shared" si="1082"/>
        <v>95</v>
      </c>
      <c r="XE85" s="46">
        <f t="shared" si="727"/>
        <v>2.9139999999999997</v>
      </c>
      <c r="XF85" s="46">
        <f t="shared" si="1083"/>
        <v>1</v>
      </c>
      <c r="XG85" s="46">
        <f t="shared" si="1084"/>
        <v>2</v>
      </c>
      <c r="XH85" s="46" cm="1">
        <f t="array" ref="XH85">ROUND(VALUE(IFERROR(INDEX(ArchiveResults!$F$5:$IX$116,ComparisonData!A85,ComparisonData!$XH$1),0)),5)</f>
        <v>0</v>
      </c>
      <c r="XI85" s="46" cm="1">
        <f t="array" ref="XI85">ROUND(VALUE(IFERROR(INDEX(ArchiveResults!$F$5:$IX$116,ComparisonData!A85,ComparisonData!$XI$1),0)),5)</f>
        <v>0</v>
      </c>
      <c r="XJ85" s="56">
        <v>80</v>
      </c>
      <c r="XK85" s="53" t="str">
        <f t="shared" si="728"/>
        <v>Surrey History Centre</v>
      </c>
      <c r="XL85" s="60">
        <f t="shared" si="1085"/>
        <v>0</v>
      </c>
      <c r="XM85" s="60">
        <f t="shared" si="1086"/>
        <v>0</v>
      </c>
      <c r="XN85" s="76">
        <f t="shared" si="1087"/>
        <v>0</v>
      </c>
      <c r="XO85" s="46">
        <f t="shared" si="1088"/>
        <v>95</v>
      </c>
      <c r="XP85" s="46">
        <f t="shared" si="729"/>
        <v>2.9139999999999997</v>
      </c>
      <c r="XQ85" s="46">
        <f t="shared" si="1089"/>
        <v>1</v>
      </c>
      <c r="XR85" s="46">
        <f t="shared" si="1090"/>
        <v>2</v>
      </c>
      <c r="XS85" s="46" cm="1">
        <f t="array" ref="XS85">ROUND(VALUE(IFERROR(INDEX(ArchiveResults!$F$5:$IX$116,ComparisonData!A85,ComparisonData!$XS$1),0)),5)</f>
        <v>0</v>
      </c>
      <c r="XT85" s="46" cm="1">
        <f t="array" ref="XT85">ROUND(VALUE(IFERROR(INDEX(ArchiveResults!$F$5:$IX$116,ComparisonData!A85,ComparisonData!$XT$1),0)),5)</f>
        <v>0</v>
      </c>
      <c r="XU85" s="56">
        <v>80</v>
      </c>
      <c r="XV85" s="53" t="str">
        <f t="shared" si="730"/>
        <v>Surrey History Centre</v>
      </c>
      <c r="XW85" s="60">
        <f t="shared" si="1091"/>
        <v>0</v>
      </c>
      <c r="XX85" s="60">
        <f t="shared" si="1092"/>
        <v>0</v>
      </c>
      <c r="XY85" s="76">
        <f t="shared" si="1093"/>
        <v>0</v>
      </c>
      <c r="XZ85" s="46">
        <f t="shared" si="1094"/>
        <v>95</v>
      </c>
      <c r="YA85" s="46">
        <f t="shared" si="731"/>
        <v>2.9139999999999997</v>
      </c>
      <c r="YB85" s="46">
        <f t="shared" si="1095"/>
        <v>1</v>
      </c>
      <c r="YC85" s="46">
        <f t="shared" si="1096"/>
        <v>2</v>
      </c>
      <c r="YD85" s="46" cm="1">
        <f t="array" ref="YD85">ROUND(VALUE(IFERROR(INDEX(ArchiveResults!$F$5:$IX$116,ComparisonData!A85,ComparisonData!$YD$1),0)),5)</f>
        <v>0</v>
      </c>
      <c r="YE85" s="46" cm="1">
        <f t="array" ref="YE85">ROUND(VALUE(IFERROR(INDEX(ArchiveResults!$F$5:$IX$116,ComparisonData!A85,ComparisonData!$YE$1),0)),5)</f>
        <v>0</v>
      </c>
      <c r="YF85" s="56">
        <v>80</v>
      </c>
      <c r="YG85" s="53" t="str">
        <f t="shared" si="732"/>
        <v>Surrey History Centre</v>
      </c>
      <c r="YH85" s="60">
        <f t="shared" si="1097"/>
        <v>0</v>
      </c>
      <c r="YI85" s="60">
        <f t="shared" si="1098"/>
        <v>0</v>
      </c>
      <c r="YJ85" s="76">
        <f t="shared" si="1099"/>
        <v>0</v>
      </c>
      <c r="YK85" s="46">
        <f t="shared" si="1100"/>
        <v>95</v>
      </c>
      <c r="YL85" s="46">
        <f t="shared" si="733"/>
        <v>2.9139999999999997</v>
      </c>
      <c r="YM85" s="46">
        <f t="shared" si="1101"/>
        <v>1</v>
      </c>
      <c r="YN85" s="46">
        <f t="shared" si="1102"/>
        <v>2</v>
      </c>
      <c r="YO85" s="46" cm="1">
        <f t="array" ref="YO85">ROUND(VALUE(IFERROR(INDEX(ArchiveResults!$F$5:$IX$116,ComparisonData!A85,ComparisonData!$YO$1),0)),5)</f>
        <v>0</v>
      </c>
      <c r="YP85" s="46" cm="1">
        <f t="array" ref="YP85">ROUND(VALUE(IFERROR(INDEX(ArchiveResults!$F$5:$IX$116,ComparisonData!A85,ComparisonData!$YP$1),0)),5)</f>
        <v>0</v>
      </c>
      <c r="YQ85" s="56">
        <v>80</v>
      </c>
      <c r="YR85" s="53" t="str">
        <f t="shared" si="734"/>
        <v>Surrey History Centre</v>
      </c>
      <c r="YS85" s="60">
        <f t="shared" si="1103"/>
        <v>0</v>
      </c>
      <c r="YT85" s="60">
        <f t="shared" si="1104"/>
        <v>0</v>
      </c>
      <c r="YU85" s="76">
        <f t="shared" si="1105"/>
        <v>0</v>
      </c>
      <c r="YV85" s="46">
        <f t="shared" si="1106"/>
        <v>95</v>
      </c>
      <c r="YW85" s="46">
        <f t="shared" si="735"/>
        <v>2.9139999999999997</v>
      </c>
      <c r="YX85" s="46">
        <f t="shared" si="1107"/>
        <v>1</v>
      </c>
      <c r="YY85" s="46">
        <f t="shared" si="1108"/>
        <v>2</v>
      </c>
      <c r="YZ85" s="46">
        <f t="shared" si="1109"/>
        <v>0</v>
      </c>
      <c r="ZA85" s="46" cm="1">
        <f t="array" ref="ZA85">ROUNDDOWN(VALUE(IFERROR(INDEX(ArchiveResults!$F$5:$IX$116,ComparisonData!A85,ComparisonData!$ZA$1),0)),5)</f>
        <v>0</v>
      </c>
      <c r="ZB85" s="46" cm="1">
        <f t="array" ref="ZB85">ROUNDDOWN(VALUE(IFERROR(INDEX(ArchiveResults!$F$5:$IX$116,ComparisonData!A85,ComparisonData!$ZB$1),0)),5)</f>
        <v>0</v>
      </c>
      <c r="ZC85" s="46" cm="1">
        <f t="array" ref="ZC85">ROUNDDOWN(VALUE(IFERROR(INDEX(ArchiveResults!$F$5:$IX$116,ComparisonData!A85,ComparisonData!$ZC$1),0)),5)</f>
        <v>0</v>
      </c>
      <c r="ZD85" s="46" cm="1">
        <f t="array" ref="ZD85">ROUNDDOWN(VALUE(IFERROR(INDEX(ArchiveResults!$F$5:$IX$116,ComparisonData!A85,ComparisonData!$ZD$1),0)),5)</f>
        <v>0</v>
      </c>
      <c r="ZE85" s="46" cm="1">
        <f t="array" ref="ZE85">ROUNDDOWN(VALUE(IFERROR(INDEX(ArchiveResults!$F$5:$IX$116,ComparisonData!A85,ComparisonData!$ZE$1),0)),5)</f>
        <v>0</v>
      </c>
      <c r="ZF85" s="56">
        <v>80</v>
      </c>
      <c r="ZG85" s="53" t="str">
        <f t="shared" si="736"/>
        <v>Surrey History Centre</v>
      </c>
      <c r="ZH85" s="60">
        <f t="shared" si="1110"/>
        <v>0</v>
      </c>
      <c r="ZI85" s="60">
        <f t="shared" si="1111"/>
        <v>0</v>
      </c>
      <c r="ZJ85" s="60">
        <f t="shared" si="1112"/>
        <v>0</v>
      </c>
      <c r="ZK85" s="60">
        <f t="shared" si="1113"/>
        <v>0</v>
      </c>
      <c r="ZL85" s="60">
        <f t="shared" si="1114"/>
        <v>0</v>
      </c>
      <c r="ZM85" s="76">
        <f t="shared" si="1115"/>
        <v>0</v>
      </c>
      <c r="ZN85" s="46">
        <f t="shared" si="1116"/>
        <v>95</v>
      </c>
      <c r="ZO85" s="46">
        <f t="shared" si="737"/>
        <v>2.9139999999999997</v>
      </c>
      <c r="ZP85" s="46">
        <f t="shared" si="1117"/>
        <v>1</v>
      </c>
      <c r="ZQ85" s="46">
        <f t="shared" si="1118"/>
        <v>2</v>
      </c>
      <c r="ZR85" s="46" cm="1">
        <f t="array" ref="ZR85">ROUND(VALUE(IFERROR(INDEX(ArchiveResults!$F$5:$IX$116,ComparisonData!A85,ComparisonData!$ZR$1),0)),5)</f>
        <v>0</v>
      </c>
      <c r="ZS85" s="56">
        <v>80</v>
      </c>
      <c r="ZT85" s="53" t="str">
        <f t="shared" si="738"/>
        <v>Surrey History Centre</v>
      </c>
      <c r="ZU85" s="46">
        <f t="shared" si="1119"/>
        <v>0</v>
      </c>
      <c r="ZV85" s="76">
        <f t="shared" si="1120"/>
        <v>0</v>
      </c>
      <c r="ZW85" s="81" cm="1">
        <f t="array" ref="ZW85">ROUND((IFERROR(INDEX(ArchiveResults!$F$5:$IX$116,ComparisonData!A85,ComparisonData!$ZW$1),0)),5)</f>
        <v>0</v>
      </c>
      <c r="ZX85" s="81" cm="1">
        <f t="array" ref="ZX85">ROUND((IFERROR(INDEX(ArchiveResults!$F$5:$IX$116,ComparisonData!A85,ComparisonData!$ZX$1),0)),5)</f>
        <v>0</v>
      </c>
      <c r="ZY85" s="81" cm="1">
        <f t="array" ref="ZY85">ROUND((IFERROR(INDEX(ArchiveResults!$F$5:$IX$116,ComparisonData!A85,ComparisonData!$ZY$1),0)),5)</f>
        <v>0</v>
      </c>
      <c r="ZZ85" s="81" cm="1">
        <f t="array" ref="ZZ85">ROUND((IFERROR(INDEX(ArchiveResults!$F$5:$IX$116,ComparisonData!A85,ComparisonData!$ZZ$1),0)),5)</f>
        <v>0</v>
      </c>
      <c r="AAA85" s="81" cm="1">
        <f t="array" ref="AAA85">ROUND((IFERROR(INDEX(ArchiveResults!$F$5:$IX$116,ComparisonData!A85,ComparisonData!$AAA$1),0)),5)</f>
        <v>0</v>
      </c>
      <c r="AAB85" s="81" cm="1">
        <f t="array" ref="AAB85">ROUND((IFERROR(INDEX(ArchiveResults!$F$5:$IX$116,ComparisonData!A85,ComparisonData!$AAB$1),0)),5)</f>
        <v>0</v>
      </c>
      <c r="AAC85" s="81" cm="1">
        <f t="array" ref="AAC85">ROUND((IFERROR(INDEX(ArchiveResults!$F$5:$IX$116,ComparisonData!A85,ComparisonData!$AAC$1),0)),5)</f>
        <v>0</v>
      </c>
      <c r="AAD85" s="81" cm="1">
        <f t="array" ref="AAD85">ROUND((IFERROR(INDEX(ArchiveResults!$F$5:$IX$116,ComparisonData!A85,ComparisonData!$AAD$1),0)),5)</f>
        <v>0</v>
      </c>
      <c r="AAE85" s="81" cm="1">
        <f t="array" ref="AAE85">ROUND((IFERROR(INDEX(ArchiveResults!$F$5:$IX$116,ComparisonData!A85,ComparisonData!$AAE$1),0)),5)</f>
        <v>0</v>
      </c>
      <c r="AAF85" s="81" cm="1">
        <f t="array" ref="AAF85">ROUND((IFERROR(INDEX(ArchiveResults!$F$5:$IX$116,ComparisonData!A85,ComparisonData!$AAF$1),0)),5)</f>
        <v>0</v>
      </c>
      <c r="AAG85" s="46">
        <f t="shared" si="1121"/>
        <v>95</v>
      </c>
      <c r="AAH85" s="46">
        <f t="shared" si="739"/>
        <v>2.9139999999999997</v>
      </c>
      <c r="AAI85" s="46">
        <f t="shared" si="1122"/>
        <v>1</v>
      </c>
      <c r="AAJ85" s="46">
        <f t="shared" si="1123"/>
        <v>2</v>
      </c>
      <c r="AAK85" s="46">
        <f t="shared" si="1124"/>
        <v>0</v>
      </c>
      <c r="AAL85" s="46">
        <f t="shared" si="1125"/>
        <v>0</v>
      </c>
      <c r="AAM85" s="46">
        <f t="shared" si="1126"/>
        <v>0</v>
      </c>
      <c r="AAN85" s="46">
        <f t="shared" si="1127"/>
        <v>0</v>
      </c>
      <c r="AAO85" s="46">
        <f t="shared" si="1128"/>
        <v>0</v>
      </c>
      <c r="AAP85" s="46">
        <f t="shared" si="1129"/>
        <v>0</v>
      </c>
      <c r="AAQ85" s="56">
        <v>80</v>
      </c>
      <c r="AAR85" s="53" t="str">
        <f t="shared" si="740"/>
        <v>Surrey History Centre</v>
      </c>
      <c r="AAS85" s="60">
        <f t="shared" si="1130"/>
        <v>0</v>
      </c>
      <c r="AAT85" s="60">
        <f t="shared" si="1131"/>
        <v>0</v>
      </c>
      <c r="AAU85" s="60">
        <f t="shared" si="1132"/>
        <v>0</v>
      </c>
      <c r="AAV85" s="60">
        <f t="shared" si="1133"/>
        <v>0</v>
      </c>
      <c r="AAW85" s="60">
        <f t="shared" si="1134"/>
        <v>0</v>
      </c>
      <c r="AAX85" s="76">
        <f t="shared" si="1135"/>
        <v>0</v>
      </c>
      <c r="AAY85" s="46">
        <f t="shared" si="1136"/>
        <v>95</v>
      </c>
      <c r="AAZ85" s="46">
        <f t="shared" si="741"/>
        <v>2.9139999999999997</v>
      </c>
      <c r="ABA85" s="46">
        <f t="shared" si="1137"/>
        <v>1</v>
      </c>
      <c r="ABB85" s="46">
        <f t="shared" si="1138"/>
        <v>2</v>
      </c>
      <c r="ABC85" s="46">
        <f t="shared" si="742"/>
        <v>0</v>
      </c>
      <c r="ABD85" s="46" cm="1">
        <f t="array" ref="ABD85">ROUND(VALUE(IFERROR(INDEX(ArchiveResults!$F$5:$IX$116,ComparisonData!A85,ComparisonData!$ABD$1),0)),5)</f>
        <v>0</v>
      </c>
      <c r="ABE85" s="46" cm="1">
        <f t="array" ref="ABE85">ROUND(VALUE(IFERROR(INDEX(ArchiveResults!$F$5:$IX$116,ComparisonData!A85,ComparisonData!$ABE$1),0)),5)</f>
        <v>0</v>
      </c>
      <c r="ABF85" s="46" cm="1">
        <f t="array" ref="ABF85">ROUND(VALUE(IFERROR(INDEX(ArchiveResults!$F$5:$IX$116,ComparisonData!A85,ComparisonData!$ABF$1),0)),5)</f>
        <v>0</v>
      </c>
      <c r="ABG85" s="46" cm="1">
        <f t="array" ref="ABG85">ROUND(VALUE(IFERROR(INDEX(ArchiveResults!$F$5:$IX$116,ComparisonData!A85,ComparisonData!$ABG$1),0)),5)</f>
        <v>0</v>
      </c>
      <c r="ABH85" s="46" cm="1">
        <f t="array" ref="ABH85">ROUND(VALUE(IFERROR(INDEX(ArchiveResults!$F$5:$IX$116,ComparisonData!A85,ComparisonData!$ABH$1),0)),5)</f>
        <v>0</v>
      </c>
      <c r="ABI85" s="56">
        <v>80</v>
      </c>
      <c r="ABJ85" s="53" t="str">
        <f t="shared" si="743"/>
        <v>Surrey History Centre</v>
      </c>
      <c r="ABK85" s="60">
        <f t="shared" si="1139"/>
        <v>0</v>
      </c>
      <c r="ABL85" s="60">
        <f t="shared" si="1140"/>
        <v>0</v>
      </c>
      <c r="ABM85" s="60">
        <f t="shared" si="1141"/>
        <v>0</v>
      </c>
      <c r="ABN85" s="60">
        <f t="shared" si="1142"/>
        <v>0</v>
      </c>
      <c r="ABO85" s="60">
        <f t="shared" si="1143"/>
        <v>0</v>
      </c>
      <c r="ABP85" s="76">
        <f t="shared" si="1144"/>
        <v>0</v>
      </c>
      <c r="ABQ85" s="46">
        <f t="shared" si="1145"/>
        <v>95</v>
      </c>
      <c r="ABR85" s="46">
        <f t="shared" si="744"/>
        <v>2.9139999999999997</v>
      </c>
      <c r="ABS85" s="46">
        <f t="shared" si="1146"/>
        <v>1</v>
      </c>
      <c r="ABT85" s="46">
        <f t="shared" si="1147"/>
        <v>2</v>
      </c>
      <c r="ABU85" s="46" cm="1">
        <f t="array" ref="ABU85">ROUND(VALUE(IFERROR(INDEX(ArchiveResults!$F$5:$IX$116,ComparisonData!A85,ComparisonData!$ABU$1),0)),5)</f>
        <v>0</v>
      </c>
      <c r="ABV85" s="46" cm="1">
        <f t="array" ref="ABV85">ROUND(VALUE(IFERROR(INDEX(ArchiveResults!$F$5:$IX$116,ComparisonData!A85,ComparisonData!$ABV$1),0)),5)</f>
        <v>0</v>
      </c>
      <c r="ABW85" s="46" cm="1">
        <f t="array" ref="ABW85">ROUND(VALUE(IFERROR(INDEX(ArchiveResults!$F$5:$IX$116,ComparisonData!A85,ComparisonData!$ABW$1),0)),5)</f>
        <v>0</v>
      </c>
      <c r="ABX85" s="46" cm="1">
        <f t="array" ref="ABX85">ROUND(VALUE(IFERROR(INDEX(ArchiveResults!$F$5:$IX$116,ComparisonData!A85,ComparisonData!$ABX$1),0)),5)</f>
        <v>0</v>
      </c>
      <c r="ABY85" s="46" cm="1">
        <f t="array" ref="ABY85">ROUND(VALUE(IFERROR(INDEX(ArchiveResults!$F$5:$IX$116,ComparisonData!A85,ComparisonData!$ABY$1),0)),5)</f>
        <v>0</v>
      </c>
      <c r="ABZ85" s="56">
        <v>80</v>
      </c>
      <c r="ACA85" s="53" t="str">
        <f t="shared" si="745"/>
        <v>Surrey History Centre</v>
      </c>
      <c r="ACB85" s="60">
        <f t="shared" si="1148"/>
        <v>0</v>
      </c>
      <c r="ACC85" s="60">
        <f t="shared" si="1149"/>
        <v>0</v>
      </c>
      <c r="ACD85" s="60">
        <f t="shared" si="1150"/>
        <v>0</v>
      </c>
      <c r="ACE85" s="60">
        <f t="shared" si="1151"/>
        <v>0</v>
      </c>
      <c r="ACF85" s="60">
        <f t="shared" si="1152"/>
        <v>0</v>
      </c>
      <c r="ACG85" s="76">
        <f t="shared" si="1153"/>
        <v>0</v>
      </c>
      <c r="ACH85" s="46">
        <f t="shared" si="1154"/>
        <v>95</v>
      </c>
      <c r="ACI85" s="46">
        <f t="shared" si="746"/>
        <v>2.9139999999999997</v>
      </c>
      <c r="ACJ85" s="46">
        <f t="shared" si="1155"/>
        <v>1</v>
      </c>
      <c r="ACK85" s="46">
        <f t="shared" si="1156"/>
        <v>2</v>
      </c>
      <c r="ACL85" s="46">
        <f t="shared" si="1157"/>
        <v>0</v>
      </c>
      <c r="ACM85" s="46" cm="1">
        <f t="array" ref="ACM85">ROUND(IFERROR(INDEX(ArchiveResults!$F$5:$IX$116,ComparisonData!A85,ComparisonData!$ACM$1),0),5)</f>
        <v>0</v>
      </c>
      <c r="ACN85" s="46" cm="1">
        <f t="array" ref="ACN85">ROUND(IFERROR(INDEX(ArchiveResults!$F$5:$IX$116,ComparisonData!A85,ComparisonData!$ACN$1),0),5)</f>
        <v>0</v>
      </c>
      <c r="ACO85" s="56">
        <v>80</v>
      </c>
      <c r="ACP85" s="53" t="str">
        <f t="shared" si="747"/>
        <v>Surrey History Centre</v>
      </c>
      <c r="ACQ85" s="60">
        <f t="shared" si="1158"/>
        <v>0</v>
      </c>
      <c r="ACR85" s="60">
        <f t="shared" si="1159"/>
        <v>0</v>
      </c>
      <c r="ACS85" s="76">
        <f t="shared" si="1160"/>
        <v>0</v>
      </c>
      <c r="ACT85" s="46">
        <f t="shared" si="1161"/>
        <v>95</v>
      </c>
      <c r="ACU85" s="46">
        <f t="shared" si="748"/>
        <v>2.9139999999999997</v>
      </c>
      <c r="ACV85" s="46">
        <f t="shared" si="1162"/>
        <v>1</v>
      </c>
      <c r="ACW85" s="46">
        <f t="shared" si="1163"/>
        <v>2</v>
      </c>
      <c r="ACX85" s="46">
        <f t="shared" si="1164"/>
        <v>0</v>
      </c>
      <c r="ACY85" s="46" cm="1">
        <f t="array" ref="ACY85">ROUNDDOWN(IFERROR(INDEX(ArchiveResults!$F$5:$IX$116,ComparisonData!A85,ComparisonData!$ACY$1),0),5)</f>
        <v>0</v>
      </c>
      <c r="ACZ85" s="46" cm="1">
        <f t="array" ref="ACZ85">ROUNDDOWN(IFERROR(INDEX(ArchiveResults!$F$5:$IX$116,ComparisonData!A85,ComparisonData!$ACZ$1),0),5)</f>
        <v>0</v>
      </c>
      <c r="ADA85" s="46" cm="1">
        <f t="array" ref="ADA85">ROUNDDOWN(IFERROR(INDEX(ArchiveResults!$F$5:$IX$116,ComparisonData!A85,ComparisonData!$ADA$1),0),5)</f>
        <v>0</v>
      </c>
      <c r="ADB85" s="56">
        <v>80</v>
      </c>
      <c r="ADC85" s="53" t="str">
        <f t="shared" si="749"/>
        <v>Surrey History Centre</v>
      </c>
      <c r="ADD85" s="60">
        <f t="shared" si="1165"/>
        <v>0</v>
      </c>
      <c r="ADE85" s="60">
        <f t="shared" si="1166"/>
        <v>0</v>
      </c>
      <c r="ADF85" s="60">
        <f t="shared" si="1167"/>
        <v>0</v>
      </c>
      <c r="ADG85" s="76">
        <f t="shared" si="1168"/>
        <v>0</v>
      </c>
    </row>
    <row r="86" spans="1:787" x14ac:dyDescent="0.25">
      <c r="A86" s="46" t="str">
        <f>IF(ISBLANK(ComparisonSelection!F82),"",ROW()-5)</f>
        <v/>
      </c>
      <c r="B86" s="53" t="s">
        <v>535</v>
      </c>
      <c r="C86" s="72">
        <v>0.76399999999999979</v>
      </c>
      <c r="D86" s="55">
        <f t="shared" si="750"/>
        <v>66</v>
      </c>
      <c r="E86" s="54">
        <f t="shared" si="751"/>
        <v>2.7639999999999998</v>
      </c>
      <c r="F86" s="54">
        <f t="shared" si="752"/>
        <v>1</v>
      </c>
      <c r="G86" s="72">
        <f t="shared" si="753"/>
        <v>2</v>
      </c>
      <c r="H86" s="72">
        <f t="shared" si="754"/>
        <v>0</v>
      </c>
      <c r="I86" s="46" cm="1">
        <f t="array" ref="I86">ROUND(IFERROR(INDEX(ArchiveResults!$F$5:$IX$116,ComparisonData!A86,ComparisonData!$I$1),0),5)</f>
        <v>0</v>
      </c>
      <c r="J86" s="46" cm="1">
        <f t="array" ref="J86">ROUND(IFERROR(INDEX(ArchiveResults!$F$5:$IX$116,ComparisonData!A86,ComparisonData!$J$1),0),5)</f>
        <v>0</v>
      </c>
      <c r="K86" s="56">
        <v>81</v>
      </c>
      <c r="L86" s="53" t="str">
        <f t="shared" si="755"/>
        <v>The Keep Archive Centre</v>
      </c>
      <c r="M86" s="57">
        <f t="shared" si="640"/>
        <v>0</v>
      </c>
      <c r="N86" s="57">
        <f t="shared" si="641"/>
        <v>0</v>
      </c>
      <c r="O86" s="58">
        <f t="shared" si="756"/>
        <v>0</v>
      </c>
      <c r="P86" s="48">
        <f t="shared" si="757"/>
        <v>66</v>
      </c>
      <c r="Q86" s="54">
        <f t="shared" si="642"/>
        <v>2.7639999999999998</v>
      </c>
      <c r="R86" s="45">
        <f t="shared" si="758"/>
        <v>1</v>
      </c>
      <c r="S86" s="46">
        <f t="shared" si="759"/>
        <v>2</v>
      </c>
      <c r="T86" s="72">
        <f t="shared" si="760"/>
        <v>0</v>
      </c>
      <c r="U86" s="46" cm="1">
        <f t="array" ref="U86">ROUND(IFERROR(INDEX(ArchiveResults!$F$5:$IX$116,ComparisonData!A86,ComparisonData!$U$1),0),5)</f>
        <v>0</v>
      </c>
      <c r="V86" s="46" cm="1">
        <f t="array" ref="V86">ROUND(IFERROR(INDEX(ArchiveResults!$F$5:$IX$116,ComparisonData!A86,ComparisonData!$V$1),0),5)</f>
        <v>0</v>
      </c>
      <c r="W86" s="56">
        <v>81</v>
      </c>
      <c r="X86" s="53" t="str">
        <f t="shared" si="643"/>
        <v>The Keep Archive Centre</v>
      </c>
      <c r="Y86" s="57">
        <f t="shared" si="761"/>
        <v>0</v>
      </c>
      <c r="Z86" s="57">
        <f t="shared" si="762"/>
        <v>0</v>
      </c>
      <c r="AA86" s="58">
        <f t="shared" si="763"/>
        <v>0</v>
      </c>
      <c r="AB86" s="45">
        <f t="shared" si="764"/>
        <v>66</v>
      </c>
      <c r="AC86" s="54">
        <f t="shared" si="644"/>
        <v>2.7639999999999998</v>
      </c>
      <c r="AD86" s="45">
        <f t="shared" si="765"/>
        <v>1</v>
      </c>
      <c r="AE86" s="45">
        <f t="shared" si="766"/>
        <v>2</v>
      </c>
      <c r="AF86" s="45">
        <f t="shared" si="639"/>
        <v>0</v>
      </c>
      <c r="AG86" s="46" cm="1">
        <f t="array" ref="AG86">ROUND(IFERROR(INDEX(ArchiveResults!$F$5:$IX$116,ComparisonData!A86,ComparisonData!$AG$1),0),5)</f>
        <v>0</v>
      </c>
      <c r="AH86" s="46" cm="1">
        <f t="array" ref="AH86">ROUND(IFERROR(INDEX(ArchiveResults!$F$5:$IX$116,ComparisonData!A86,ComparisonData!$AH$1),0),5)</f>
        <v>0</v>
      </c>
      <c r="AI86" s="56">
        <v>81</v>
      </c>
      <c r="AJ86" s="53" t="str">
        <f t="shared" si="645"/>
        <v>The Keep Archive Centre</v>
      </c>
      <c r="AK86" s="59">
        <f t="shared" si="646"/>
        <v>0</v>
      </c>
      <c r="AL86" s="59">
        <f t="shared" si="647"/>
        <v>0</v>
      </c>
      <c r="AM86" s="58">
        <f t="shared" si="767"/>
        <v>0</v>
      </c>
      <c r="AN86" s="45">
        <f t="shared" si="768"/>
        <v>66</v>
      </c>
      <c r="AO86" s="54">
        <f t="shared" si="648"/>
        <v>2.7639999999999998</v>
      </c>
      <c r="AP86" s="45">
        <f t="shared" si="769"/>
        <v>1</v>
      </c>
      <c r="AQ86" s="45">
        <f t="shared" si="770"/>
        <v>2</v>
      </c>
      <c r="AR86" s="46" cm="1">
        <f t="array" ref="AR86">ROUND(IFERROR(INDEX(ArchiveResults!$F$5:$IX$116,ComparisonData!A86,ComparisonData!$AR$1),0),5)</f>
        <v>0</v>
      </c>
      <c r="AS86" s="46" cm="1">
        <f t="array" ref="AS86">ROUND(IFERROR(INDEX(ArchiveResults!$F$5:$IX$116,ComparisonData!A86,ComparisonData!$AS$1),0),5)</f>
        <v>0</v>
      </c>
      <c r="AT86" s="46" cm="1">
        <f t="array" ref="AT86">ROUND(IFERROR(INDEX(ArchiveResults!$F$5:$IX$116,ComparisonData!A86,ComparisonData!$AT$1),0),5)</f>
        <v>0</v>
      </c>
      <c r="AU86" s="46" cm="1">
        <f t="array" ref="AU86">ROUND(IFERROR(INDEX(ArchiveResults!$F$5:$IX$116,ComparisonData!A86,ComparisonData!$AU$1),0),5)</f>
        <v>0</v>
      </c>
      <c r="AV86" s="46" cm="1">
        <f t="array" ref="AV86">ROUND(IFERROR(INDEX(ArchiveResults!$F$5:$IX$116,ComparisonData!A86,ComparisonData!$AV$1),0),5)</f>
        <v>0</v>
      </c>
      <c r="AW86" s="46" cm="1">
        <f t="array" ref="AW86">ROUND(IFERROR(INDEX(ArchiveResults!$F$5:$IX$116,ComparisonData!A86,ComparisonData!$AW$1),0),5)</f>
        <v>0</v>
      </c>
      <c r="AX86" s="46" cm="1">
        <f t="array" ref="AX86">ROUND(IFERROR(INDEX(ArchiveResults!$F$5:$IX$116,ComparisonData!A86,ComparisonData!$AX$1),0),5)</f>
        <v>0</v>
      </c>
      <c r="AY86" s="46" cm="1">
        <f t="array" ref="AY86">ROUND(IFERROR(INDEX(ArchiveResults!$F$5:$IX$116,ComparisonData!A86,ComparisonData!$AY$1),0),5)</f>
        <v>0</v>
      </c>
      <c r="AZ86" s="46" cm="1">
        <f t="array" ref="AZ86">ROUND(IFERROR(INDEX(ArchiveResults!$F$5:$IX$116,ComparisonData!A86,ComparisonData!$AZ$1),0),5)</f>
        <v>0</v>
      </c>
      <c r="BA86" s="46" cm="1">
        <f t="array" ref="BA86">ROUND(IFERROR(INDEX(ArchiveResults!$F$5:$IX$116,ComparisonData!A86,ComparisonData!$BA$1),0),5)</f>
        <v>0</v>
      </c>
      <c r="BB86" s="56">
        <v>81</v>
      </c>
      <c r="BC86" s="53" t="str">
        <f t="shared" si="649"/>
        <v>The Keep Archive Centre</v>
      </c>
      <c r="BD86" s="60">
        <f t="shared" si="771"/>
        <v>0</v>
      </c>
      <c r="BE86" s="60">
        <f t="shared" si="772"/>
        <v>0</v>
      </c>
      <c r="BF86" s="60">
        <f t="shared" si="773"/>
        <v>0</v>
      </c>
      <c r="BG86" s="60">
        <f t="shared" si="774"/>
        <v>0</v>
      </c>
      <c r="BH86" s="60">
        <f t="shared" si="775"/>
        <v>0</v>
      </c>
      <c r="BI86" s="60">
        <f t="shared" si="776"/>
        <v>0</v>
      </c>
      <c r="BJ86" s="60">
        <f t="shared" si="777"/>
        <v>0</v>
      </c>
      <c r="BK86" s="60">
        <f t="shared" si="778"/>
        <v>0</v>
      </c>
      <c r="BL86" s="60">
        <f t="shared" si="779"/>
        <v>0</v>
      </c>
      <c r="BM86" s="59">
        <f t="shared" si="780"/>
        <v>0</v>
      </c>
      <c r="BN86" s="58">
        <f t="shared" si="781"/>
        <v>0</v>
      </c>
      <c r="BO86" s="45">
        <f t="shared" si="782"/>
        <v>66</v>
      </c>
      <c r="BP86" s="54">
        <f t="shared" si="650"/>
        <v>2.7639999999999998</v>
      </c>
      <c r="BQ86" s="45">
        <f t="shared" si="783"/>
        <v>1</v>
      </c>
      <c r="BR86" s="45">
        <f t="shared" si="784"/>
        <v>2</v>
      </c>
      <c r="BS86" s="46" cm="1">
        <f t="array" ref="BS86">ROUND(IFERROR(INDEX(ArchiveResults!$F$5:$IX$116,ComparisonData!A86,ComparisonData!$BS$1),0),5)</f>
        <v>0</v>
      </c>
      <c r="BT86" s="46" cm="1">
        <f t="array" ref="BT86">ROUND(IFERROR(INDEX(ArchiveResults!$F$5:$IX$116,ComparisonData!A86,ComparisonData!$BT$1),0),5)</f>
        <v>0</v>
      </c>
      <c r="BU86" s="46" cm="1">
        <f t="array" ref="BU86">ROUND(IFERROR(INDEX(ArchiveResults!$F$5:$IX$116,ComparisonData!A86,ComparisonData!$BU$1),0),5)</f>
        <v>0</v>
      </c>
      <c r="BV86" s="46" cm="1">
        <f t="array" ref="BV86">ROUND(IFERROR(INDEX(ArchiveResults!$F$5:$IX$116,ComparisonData!A86,ComparisonData!$BV$1),0),5)</f>
        <v>0</v>
      </c>
      <c r="BW86" s="46" cm="1">
        <f t="array" ref="BW86">ROUND(IFERROR(INDEX(ArchiveResults!$F$5:$IX$116,ComparisonData!A86,ComparisonData!$BW$1),0),5)</f>
        <v>0</v>
      </c>
      <c r="BX86" s="46" cm="1">
        <f t="array" ref="BX86">ROUND(IFERROR(INDEX(ArchiveResults!$F$5:$IX$116,ComparisonData!A86,ComparisonData!$BX$1),0),5)</f>
        <v>0</v>
      </c>
      <c r="BY86" s="56">
        <v>81</v>
      </c>
      <c r="BZ86" s="53" t="str">
        <f t="shared" si="651"/>
        <v>The Keep Archive Centre</v>
      </c>
      <c r="CA86" s="59">
        <f t="shared" si="785"/>
        <v>0</v>
      </c>
      <c r="CB86" s="59">
        <f t="shared" si="786"/>
        <v>0</v>
      </c>
      <c r="CC86" s="59">
        <f t="shared" si="787"/>
        <v>0</v>
      </c>
      <c r="CD86" s="59">
        <f t="shared" si="788"/>
        <v>0</v>
      </c>
      <c r="CE86" s="59">
        <f t="shared" si="789"/>
        <v>0</v>
      </c>
      <c r="CF86" s="59">
        <f t="shared" si="790"/>
        <v>0</v>
      </c>
      <c r="CG86" s="58">
        <f t="shared" si="791"/>
        <v>0</v>
      </c>
      <c r="CH86" s="45">
        <f t="shared" si="792"/>
        <v>66</v>
      </c>
      <c r="CI86" s="54">
        <f t="shared" si="652"/>
        <v>2.7639999999999998</v>
      </c>
      <c r="CJ86" s="45">
        <f t="shared" si="793"/>
        <v>1</v>
      </c>
      <c r="CK86" s="45">
        <f t="shared" si="794"/>
        <v>2</v>
      </c>
      <c r="CL86" s="46" cm="1">
        <f t="array" ref="CL86">ROUND(IFERROR(INDEX(ArchiveResults!$F$5:$IX$116,ComparisonData!A86,ComparisonData!$CL$1),0),5)</f>
        <v>0</v>
      </c>
      <c r="CM86" s="56">
        <v>81</v>
      </c>
      <c r="CN86" s="53" t="str">
        <f t="shared" si="653"/>
        <v>The Keep Archive Centre</v>
      </c>
      <c r="CO86" s="45">
        <f t="shared" si="795"/>
        <v>0</v>
      </c>
      <c r="CP86" s="58">
        <f t="shared" si="796"/>
        <v>0</v>
      </c>
      <c r="CQ86" s="45">
        <f t="shared" si="797"/>
        <v>66</v>
      </c>
      <c r="CR86" s="54">
        <f t="shared" si="654"/>
        <v>2.7639999999999998</v>
      </c>
      <c r="CS86" s="45">
        <f t="shared" si="798"/>
        <v>1</v>
      </c>
      <c r="CT86" s="45">
        <f t="shared" si="799"/>
        <v>2</v>
      </c>
      <c r="CU86" s="46" cm="1">
        <f t="array" ref="CU86">ROUND(IFERROR(INDEX(ArchiveResults!$F$5:$IX$116,ComparisonData!A86,ComparisonData!$CU$1),0),5)</f>
        <v>0</v>
      </c>
      <c r="CV86" s="56">
        <v>81</v>
      </c>
      <c r="CW86" s="53" t="str">
        <f t="shared" si="655"/>
        <v>The Keep Archive Centre</v>
      </c>
      <c r="CX86" s="45">
        <f t="shared" si="800"/>
        <v>0</v>
      </c>
      <c r="CY86" s="58">
        <f t="shared" si="801"/>
        <v>0</v>
      </c>
      <c r="CZ86" s="45">
        <f t="shared" si="802"/>
        <v>66</v>
      </c>
      <c r="DA86" s="54">
        <f t="shared" si="656"/>
        <v>2.7639999999999998</v>
      </c>
      <c r="DB86" s="45">
        <f t="shared" si="803"/>
        <v>1</v>
      </c>
      <c r="DC86" s="45">
        <f t="shared" si="804"/>
        <v>2</v>
      </c>
      <c r="DD86" s="46" cm="1">
        <f t="array" ref="DD86">ROUND(IFERROR(INDEX(ArchiveResults!$F$5:$IX$116,ComparisonData!A86,ComparisonData!$DD$1),0),5)</f>
        <v>0</v>
      </c>
      <c r="DE86" s="56">
        <v>81</v>
      </c>
      <c r="DF86" s="53" t="str">
        <f t="shared" si="657"/>
        <v>The Keep Archive Centre</v>
      </c>
      <c r="DG86" s="45">
        <f t="shared" si="805"/>
        <v>0</v>
      </c>
      <c r="DH86" s="58">
        <f t="shared" si="806"/>
        <v>0</v>
      </c>
      <c r="DI86" s="45">
        <f t="shared" si="807"/>
        <v>66</v>
      </c>
      <c r="DJ86" s="54">
        <f t="shared" si="658"/>
        <v>2.7639999999999998</v>
      </c>
      <c r="DK86" s="45">
        <f t="shared" si="808"/>
        <v>1</v>
      </c>
      <c r="DL86" s="45">
        <f t="shared" si="809"/>
        <v>2</v>
      </c>
      <c r="DM86" s="46" cm="1">
        <f t="array" ref="DM86">ROUND(IFERROR(INDEX(ArchiveResults!$F$5:$IX$116,ComparisonData!A86,ComparisonData!$DM$1),0),5)</f>
        <v>0</v>
      </c>
      <c r="DN86" s="46" cm="1">
        <f t="array" ref="DN86">ROUND(IFERROR(INDEX(ArchiveResults!$F$5:$IX$116,ComparisonData!A86,ComparisonData!$DN$1),0),5)</f>
        <v>0</v>
      </c>
      <c r="DO86" s="46" cm="1">
        <f t="array" ref="DO86">ROUND(IFERROR(INDEX(ArchiveResults!$F$5:$IX$116,ComparisonData!A86,ComparisonData!$DO$1),0),5)</f>
        <v>0</v>
      </c>
      <c r="DP86" s="46" cm="1">
        <f t="array" ref="DP86">ROUND(IFERROR(INDEX(ArchiveResults!$F$5:$IX$116,ComparisonData!A86,ComparisonData!$DP$1),0),5)</f>
        <v>0</v>
      </c>
      <c r="DQ86" s="45" cm="1">
        <f t="array" ref="DQ86">IFERROR(INDEX(ArchiveResults!$F$5:$IX$116,ComparisonData!A86,ComparisonData!$DQ$1),0)</f>
        <v>0</v>
      </c>
      <c r="DR86" s="56">
        <v>81</v>
      </c>
      <c r="DS86" s="53" t="str">
        <f t="shared" si="659"/>
        <v>The Keep Archive Centre</v>
      </c>
      <c r="DT86" s="59">
        <f t="shared" si="810"/>
        <v>0</v>
      </c>
      <c r="DU86" s="59">
        <f t="shared" si="811"/>
        <v>0</v>
      </c>
      <c r="DV86" s="59">
        <f t="shared" si="812"/>
        <v>0</v>
      </c>
      <c r="DW86" s="59">
        <f t="shared" si="813"/>
        <v>0</v>
      </c>
      <c r="DX86" s="59">
        <f t="shared" si="814"/>
        <v>0</v>
      </c>
      <c r="DY86" s="58">
        <f t="shared" si="815"/>
        <v>0</v>
      </c>
      <c r="DZ86" s="45">
        <f t="shared" si="816"/>
        <v>66</v>
      </c>
      <c r="EA86" s="54">
        <f t="shared" si="660"/>
        <v>2.7639999999999998</v>
      </c>
      <c r="EB86" s="45">
        <f t="shared" si="817"/>
        <v>1</v>
      </c>
      <c r="EC86" s="45">
        <f t="shared" si="818"/>
        <v>2</v>
      </c>
      <c r="ED86" s="46" cm="1">
        <f t="array" ref="ED86">ROUND(IFERROR(INDEX(ArchiveResults!$F$5:$IX$116,ComparisonData!A86,ComparisonData!$ED$1),0),5)</f>
        <v>0</v>
      </c>
      <c r="EE86" s="46" cm="1">
        <f t="array" ref="EE86">ROUND(IFERROR(INDEX(ArchiveResults!$F$5:$IX$116,ComparisonData!A86,ComparisonData!$EE$1),0),5)</f>
        <v>0</v>
      </c>
      <c r="EF86" s="46" cm="1">
        <f t="array" ref="EF86">ROUND(IFERROR(INDEX(ArchiveResults!$F$5:$IX$116,ComparisonData!A86,ComparisonData!$EF$1),0),5)</f>
        <v>0</v>
      </c>
      <c r="EG86" s="46" cm="1">
        <f t="array" ref="EG86">ROUND(IFERROR(INDEX(ArchiveResults!$F$5:$IX$116,ComparisonData!A86,ComparisonData!$EG$1),0),5)</f>
        <v>0</v>
      </c>
      <c r="EH86" s="45" cm="1">
        <f t="array" ref="EH86">IFERROR(INDEX(ArchiveResults!$F$5:$IX$116,ComparisonData!A86,ComparisonData!$EH$1),0)</f>
        <v>0</v>
      </c>
      <c r="EI86" s="56">
        <v>81</v>
      </c>
      <c r="EJ86" s="53" t="str">
        <f t="shared" si="661"/>
        <v>The Keep Archive Centre</v>
      </c>
      <c r="EK86" s="59">
        <f t="shared" si="819"/>
        <v>0</v>
      </c>
      <c r="EL86" s="59">
        <f t="shared" si="820"/>
        <v>0</v>
      </c>
      <c r="EM86" s="59">
        <f t="shared" si="821"/>
        <v>0</v>
      </c>
      <c r="EN86" s="59">
        <f t="shared" si="822"/>
        <v>0</v>
      </c>
      <c r="EO86" s="59">
        <f t="shared" si="823"/>
        <v>0</v>
      </c>
      <c r="EP86" s="58">
        <f t="shared" si="824"/>
        <v>0</v>
      </c>
      <c r="EQ86" s="45">
        <f t="shared" si="825"/>
        <v>66</v>
      </c>
      <c r="ER86" s="54">
        <f t="shared" si="662"/>
        <v>2.7639999999999998</v>
      </c>
      <c r="ES86" s="45">
        <f t="shared" si="826"/>
        <v>1</v>
      </c>
      <c r="ET86" s="45">
        <f t="shared" si="827"/>
        <v>2</v>
      </c>
      <c r="EU86" s="46" cm="1">
        <f t="array" ref="EU86">ROUND(IFERROR(INDEX(ArchiveResults!$F$5:$IX$116,ComparisonData!A86,ComparisonData!$EU$1),0),5)</f>
        <v>0</v>
      </c>
      <c r="EV86" s="46" cm="1">
        <f t="array" ref="EV86">ROUND(IFERROR(INDEX(ArchiveResults!$F$5:$IX$116,ComparisonData!A86,ComparisonData!$EV$1),0),5)</f>
        <v>0</v>
      </c>
      <c r="EW86" s="46" cm="1">
        <f t="array" ref="EW86">ROUND(IFERROR(INDEX(ArchiveResults!$F$5:$IX$116,ComparisonData!A86,ComparisonData!$EW$1),0),5)</f>
        <v>0</v>
      </c>
      <c r="EX86" s="46" cm="1">
        <f t="array" ref="EX86">ROUND(IFERROR(INDEX(ArchiveResults!$F$5:$IX$116,ComparisonData!A86,ComparisonData!$EX$1),0),5)</f>
        <v>0</v>
      </c>
      <c r="EY86" s="45" cm="1">
        <f t="array" ref="EY86">IFERROR(INDEX(ArchiveResults!$F$5:$IX$116,ComparisonData!A86,ComparisonData!$EY$1),0)</f>
        <v>0</v>
      </c>
      <c r="EZ86" s="56">
        <v>81</v>
      </c>
      <c r="FA86" s="53" t="str">
        <f t="shared" si="663"/>
        <v>The Keep Archive Centre</v>
      </c>
      <c r="FB86" s="59">
        <f t="shared" si="828"/>
        <v>0</v>
      </c>
      <c r="FC86" s="59">
        <f t="shared" si="829"/>
        <v>0</v>
      </c>
      <c r="FD86" s="59">
        <f t="shared" si="830"/>
        <v>0</v>
      </c>
      <c r="FE86" s="59">
        <f t="shared" si="831"/>
        <v>0</v>
      </c>
      <c r="FF86" s="59">
        <f t="shared" si="832"/>
        <v>0</v>
      </c>
      <c r="FG86" s="58">
        <f t="shared" si="833"/>
        <v>0</v>
      </c>
      <c r="FH86" s="45">
        <f t="shared" si="834"/>
        <v>66</v>
      </c>
      <c r="FI86" s="54">
        <f t="shared" si="664"/>
        <v>2.7639999999999998</v>
      </c>
      <c r="FJ86" s="45">
        <f t="shared" si="835"/>
        <v>1</v>
      </c>
      <c r="FK86" s="45">
        <f t="shared" si="836"/>
        <v>2</v>
      </c>
      <c r="FL86" s="46" cm="1">
        <f t="array" ref="FL86">ROUND(IFERROR(INDEX(ArchiveResults!$F$5:$IX$116,ComparisonData!A86,ComparisonData!$FL$1),0),5)</f>
        <v>0</v>
      </c>
      <c r="FM86" s="46" cm="1">
        <f t="array" ref="FM86">ROUND(IFERROR(INDEX(ArchiveResults!$F$5:$IX$116,ComparisonData!A86,ComparisonData!$FM$1),0),5)</f>
        <v>0</v>
      </c>
      <c r="FN86" s="46" cm="1">
        <f t="array" ref="FN86">ROUND(IFERROR(INDEX(ArchiveResults!$F$5:$IX$116,ComparisonData!A86,ComparisonData!$FN$1),0),5)</f>
        <v>0</v>
      </c>
      <c r="FO86" s="46" cm="1">
        <f t="array" ref="FO86">ROUND(IFERROR(INDEX(ArchiveResults!$F$5:$IX$116,ComparisonData!A86,ComparisonData!$FO$1),0),5)</f>
        <v>0</v>
      </c>
      <c r="FP86" s="45" cm="1">
        <f t="array" ref="FP86">IFERROR(INDEX(ArchiveResults!$F$5:$IX$116,ComparisonData!A86,ComparisonData!$FP$1),0)</f>
        <v>0</v>
      </c>
      <c r="FQ86" s="56">
        <v>81</v>
      </c>
      <c r="FR86" s="53" t="str">
        <f t="shared" si="665"/>
        <v>The Keep Archive Centre</v>
      </c>
      <c r="FS86" s="59">
        <f t="shared" si="837"/>
        <v>0</v>
      </c>
      <c r="FT86" s="59">
        <f t="shared" si="838"/>
        <v>0</v>
      </c>
      <c r="FU86" s="59">
        <f t="shared" si="839"/>
        <v>0</v>
      </c>
      <c r="FV86" s="59">
        <f t="shared" si="840"/>
        <v>0</v>
      </c>
      <c r="FW86" s="59">
        <f t="shared" si="841"/>
        <v>0</v>
      </c>
      <c r="FX86" s="58">
        <f t="shared" si="842"/>
        <v>0</v>
      </c>
      <c r="FY86" s="45">
        <f t="shared" si="843"/>
        <v>66</v>
      </c>
      <c r="FZ86" s="45">
        <f t="shared" si="666"/>
        <v>2.7639999999999998</v>
      </c>
      <c r="GA86" s="45">
        <f t="shared" si="844"/>
        <v>1</v>
      </c>
      <c r="GB86" s="45">
        <f t="shared" si="845"/>
        <v>2</v>
      </c>
      <c r="GC86" s="46" cm="1">
        <f t="array" ref="GC86">ROUND(IFERROR(INDEX(ArchiveResults!$F$5:$IX$116,ComparisonData!A86,ComparisonData!$GC$1),0),5)</f>
        <v>0</v>
      </c>
      <c r="GD86" s="46" cm="1">
        <f t="array" ref="GD86">ROUND(IFERROR(INDEX(ArchiveResults!$F$5:$IX$116,ComparisonData!A86,ComparisonData!$GD$1),0),5)</f>
        <v>0</v>
      </c>
      <c r="GE86" s="46" cm="1">
        <f t="array" ref="GE86">ROUND(IFERROR(INDEX(ArchiveResults!$F$5:$IX$116,ComparisonData!A86,ComparisonData!$GE$1),0),5)</f>
        <v>0</v>
      </c>
      <c r="GF86" s="46" cm="1">
        <f t="array" ref="GF86">ROUND(IFERROR(INDEX(ArchiveResults!$F$5:$IX$116,ComparisonData!A86,ComparisonData!$GF$1),0),5)</f>
        <v>0</v>
      </c>
      <c r="GG86" s="45" cm="1">
        <f t="array" ref="GG86">IFERROR(INDEX(ArchiveResults!$F$5:$IX$116,ComparisonData!A86,ComparisonData!$GG$1),0)</f>
        <v>0</v>
      </c>
      <c r="GH86" s="56">
        <v>81</v>
      </c>
      <c r="GI86" s="53" t="str">
        <f t="shared" si="667"/>
        <v>The Keep Archive Centre</v>
      </c>
      <c r="GJ86" s="59">
        <f t="shared" si="846"/>
        <v>0</v>
      </c>
      <c r="GK86" s="59">
        <f t="shared" si="847"/>
        <v>0</v>
      </c>
      <c r="GL86" s="59">
        <f t="shared" si="848"/>
        <v>0</v>
      </c>
      <c r="GM86" s="59">
        <f t="shared" si="849"/>
        <v>0</v>
      </c>
      <c r="GN86" s="59">
        <f t="shared" si="850"/>
        <v>0</v>
      </c>
      <c r="GO86" s="58">
        <f t="shared" si="851"/>
        <v>0</v>
      </c>
      <c r="GP86" s="45">
        <f t="shared" si="852"/>
        <v>66</v>
      </c>
      <c r="GQ86" s="45">
        <f t="shared" si="668"/>
        <v>2.7639999999999998</v>
      </c>
      <c r="GR86" s="45">
        <f t="shared" si="853"/>
        <v>1</v>
      </c>
      <c r="GS86" s="45">
        <f t="shared" si="854"/>
        <v>2</v>
      </c>
      <c r="GT86" s="46" cm="1">
        <f t="array" ref="GT86">ROUND(IFERROR(INDEX(ArchiveResults!$F$5:$IX$116,ComparisonData!A86,ComparisonData!$GT$1),0),5)</f>
        <v>0</v>
      </c>
      <c r="GU86" s="46" cm="1">
        <f t="array" ref="GU86">ROUND(IFERROR(INDEX(ArchiveResults!$F$5:$IX$116,ComparisonData!A86,ComparisonData!$GU$1),0),5)</f>
        <v>0</v>
      </c>
      <c r="GV86" s="46" cm="1">
        <f t="array" ref="GV86">ROUND(IFERROR(INDEX(ArchiveResults!$F$5:$IX$116,ComparisonData!A86,ComparisonData!$GV$1),0),5)</f>
        <v>0</v>
      </c>
      <c r="GW86" s="46" cm="1">
        <f t="array" ref="GW86">ROUND(IFERROR(INDEX(ArchiveResults!$F$5:$IX$116,ComparisonData!A86,ComparisonData!$GW$1),0),5)</f>
        <v>0</v>
      </c>
      <c r="GX86" s="45" cm="1">
        <f t="array" ref="GX86">IFERROR(INDEX(ArchiveResults!$F$5:$IX$116,ComparisonData!A86,ComparisonData!$GX$1),0)</f>
        <v>0</v>
      </c>
      <c r="GY86" s="56">
        <v>81</v>
      </c>
      <c r="GZ86" s="53" t="str">
        <f t="shared" si="669"/>
        <v>The Keep Archive Centre</v>
      </c>
      <c r="HA86" s="59">
        <f t="shared" si="855"/>
        <v>0</v>
      </c>
      <c r="HB86" s="59">
        <f t="shared" si="856"/>
        <v>0</v>
      </c>
      <c r="HC86" s="59">
        <f t="shared" si="857"/>
        <v>0</v>
      </c>
      <c r="HD86" s="59">
        <f t="shared" si="858"/>
        <v>0</v>
      </c>
      <c r="HE86" s="59">
        <f t="shared" si="859"/>
        <v>0</v>
      </c>
      <c r="HF86" s="58">
        <f t="shared" si="860"/>
        <v>0</v>
      </c>
      <c r="HG86" s="45">
        <f t="shared" si="861"/>
        <v>66</v>
      </c>
      <c r="HH86" s="45">
        <f t="shared" si="670"/>
        <v>2.7639999999999998</v>
      </c>
      <c r="HI86" s="45">
        <f t="shared" si="862"/>
        <v>1</v>
      </c>
      <c r="HJ86" s="45">
        <f t="shared" si="863"/>
        <v>2</v>
      </c>
      <c r="HK86" s="46" cm="1">
        <f t="array" ref="HK86">ROUND(IFERROR(INDEX(ArchiveResults!$F$5:$IX$116,ComparisonData!A86,ComparisonData!$HK$1),0),5)</f>
        <v>0</v>
      </c>
      <c r="HL86" s="46" cm="1">
        <f t="array" ref="HL86">ROUND(IFERROR(INDEX(ArchiveResults!$F$5:$IX$116,ComparisonData!A86,ComparisonData!$HL$1),0),5)</f>
        <v>0</v>
      </c>
      <c r="HM86" s="46" cm="1">
        <f t="array" ref="HM86">ROUND(IFERROR(INDEX(ArchiveResults!$F$5:$IX$116,ComparisonData!A86,ComparisonData!$HM$1),0),5)</f>
        <v>0</v>
      </c>
      <c r="HN86" s="46" cm="1">
        <f t="array" ref="HN86">ROUND(IFERROR(INDEX(ArchiveResults!$F$5:$IX$116,ComparisonData!A86,ComparisonData!$HN$1),0),5)</f>
        <v>0</v>
      </c>
      <c r="HO86" s="45" cm="1">
        <f t="array" ref="HO86">IFERROR(INDEX(ArchiveResults!$F$5:$IX$116,ComparisonData!A86,ComparisonData!$HO$1),0)</f>
        <v>0</v>
      </c>
      <c r="HP86" s="56">
        <v>81</v>
      </c>
      <c r="HQ86" s="53" t="str">
        <f t="shared" si="671"/>
        <v>The Keep Archive Centre</v>
      </c>
      <c r="HR86" s="59">
        <f t="shared" si="672"/>
        <v>0</v>
      </c>
      <c r="HS86" s="59">
        <f t="shared" si="673"/>
        <v>0</v>
      </c>
      <c r="HT86" s="59">
        <f t="shared" si="674"/>
        <v>0</v>
      </c>
      <c r="HU86" s="59">
        <f t="shared" si="675"/>
        <v>0</v>
      </c>
      <c r="HV86" s="59">
        <f t="shared" si="676"/>
        <v>0</v>
      </c>
      <c r="HW86" s="58">
        <f t="shared" si="864"/>
        <v>0</v>
      </c>
      <c r="HX86" s="45">
        <f t="shared" si="865"/>
        <v>66</v>
      </c>
      <c r="HY86" s="45">
        <f t="shared" si="677"/>
        <v>2.7639999999999998</v>
      </c>
      <c r="HZ86" s="45">
        <f t="shared" si="866"/>
        <v>1</v>
      </c>
      <c r="IA86" s="45">
        <f t="shared" si="867"/>
        <v>2</v>
      </c>
      <c r="IB86" s="45">
        <f t="shared" si="868"/>
        <v>0</v>
      </c>
      <c r="IC86" s="46" cm="1">
        <f t="array" ref="IC86">ROUND(IFERROR(INDEX(ArchiveResults!$F$5:$IX$116,ComparisonData!A86,ComparisonData!$IC$1),0),5)</f>
        <v>0</v>
      </c>
      <c r="ID86" s="46" cm="1">
        <f t="array" ref="ID86">ROUND(IFERROR(INDEX(ArchiveResults!$F$5:$IX$116,ComparisonData!A86,ComparisonData!$ID$1),0),5)</f>
        <v>0</v>
      </c>
      <c r="IE86" s="46" cm="1">
        <f t="array" ref="IE86">ROUND(IFERROR(INDEX(ArchiveResults!$F$5:$IX$116,ComparisonData!A86,ComparisonData!$IE$1),0),5)</f>
        <v>0</v>
      </c>
      <c r="IF86" s="46" cm="1">
        <f t="array" ref="IF86">ROUND(IFERROR(INDEX(ArchiveResults!$F$5:$IX$116,ComparisonData!A86,ComparisonData!$IF$1),0),5)</f>
        <v>0</v>
      </c>
      <c r="IG86" s="45" cm="1">
        <f t="array" ref="IG86">IFERROR(INDEX(ArchiveResults!$F$5:$IX$116,ComparisonData!A86,ComparisonData!$IG$1),0)</f>
        <v>0</v>
      </c>
      <c r="IH86" s="56">
        <v>81</v>
      </c>
      <c r="II86" s="53" t="str">
        <f t="shared" si="678"/>
        <v>The Keep Archive Centre</v>
      </c>
      <c r="IJ86" s="59">
        <f t="shared" si="869"/>
        <v>0</v>
      </c>
      <c r="IK86" s="59">
        <f t="shared" si="870"/>
        <v>0</v>
      </c>
      <c r="IL86" s="59">
        <f t="shared" si="871"/>
        <v>0</v>
      </c>
      <c r="IM86" s="59">
        <f t="shared" si="872"/>
        <v>0</v>
      </c>
      <c r="IN86" s="59">
        <f t="shared" si="873"/>
        <v>0</v>
      </c>
      <c r="IO86" s="58">
        <f t="shared" si="874"/>
        <v>0</v>
      </c>
      <c r="IP86" s="45">
        <f t="shared" si="875"/>
        <v>66</v>
      </c>
      <c r="IQ86" s="45">
        <f t="shared" si="679"/>
        <v>2.7639999999999998</v>
      </c>
      <c r="IR86" s="45">
        <f t="shared" si="876"/>
        <v>1</v>
      </c>
      <c r="IS86" s="45">
        <f t="shared" si="877"/>
        <v>2</v>
      </c>
      <c r="IT86" s="46">
        <f t="shared" si="878"/>
        <v>0</v>
      </c>
      <c r="IU86" s="46" cm="1">
        <f t="array" ref="IU86">ROUND(IFERROR(INDEX(ArchiveResults!$F$5:$IX$116,ComparisonData!A86,ComparisonData!$IU$1),0),5)</f>
        <v>0</v>
      </c>
      <c r="IV86" s="46" cm="1">
        <f t="array" ref="IV86">ROUND(IFERROR(INDEX(ArchiveResults!$F$5:$IX$116,ComparisonData!A86,ComparisonData!$IV$1),0),5)</f>
        <v>0</v>
      </c>
      <c r="IW86" s="46" cm="1">
        <f t="array" ref="IW86">ROUND(IFERROR(INDEX(ArchiveResults!$F$5:$IX$116,ComparisonData!A86,ComparisonData!$IW$1),0),5)</f>
        <v>0</v>
      </c>
      <c r="IX86" s="46" cm="1">
        <f t="array" ref="IX86">ROUND(IFERROR(INDEX(ArchiveResults!$F$5:$IX$116,ComparisonData!A86,ComparisonData!$IX$1),0),5)</f>
        <v>0</v>
      </c>
      <c r="IY86" s="45" cm="1">
        <f t="array" ref="IY86">IFERROR(INDEX(ArchiveResults!$F$5:$IX$116,ComparisonData!A86,ComparisonData!$IY$1),0)</f>
        <v>0</v>
      </c>
      <c r="IZ86" s="56">
        <v>81</v>
      </c>
      <c r="JA86" s="53" t="str">
        <f t="shared" si="680"/>
        <v>The Keep Archive Centre</v>
      </c>
      <c r="JB86" s="59">
        <f t="shared" si="879"/>
        <v>0</v>
      </c>
      <c r="JC86" s="59">
        <f t="shared" si="880"/>
        <v>0</v>
      </c>
      <c r="JD86" s="59">
        <f t="shared" si="881"/>
        <v>0</v>
      </c>
      <c r="JE86" s="59">
        <f t="shared" si="882"/>
        <v>0</v>
      </c>
      <c r="JF86" s="59">
        <f t="shared" si="883"/>
        <v>0</v>
      </c>
      <c r="JG86" s="58">
        <f t="shared" si="884"/>
        <v>0</v>
      </c>
      <c r="JH86" s="45">
        <f t="shared" si="885"/>
        <v>66</v>
      </c>
      <c r="JI86" s="45">
        <f t="shared" si="681"/>
        <v>2.7639999999999998</v>
      </c>
      <c r="JJ86" s="45">
        <f t="shared" si="886"/>
        <v>1</v>
      </c>
      <c r="JK86" s="45">
        <f t="shared" si="887"/>
        <v>2</v>
      </c>
      <c r="JL86" s="45">
        <f t="shared" si="888"/>
        <v>0</v>
      </c>
      <c r="JM86" s="46" cm="1">
        <f t="array" ref="JM86">ROUND(IFERROR(INDEX(ArchiveResults!$F$5:$IX$116,ComparisonData!A86,ComparisonData!$JM$1),0),5)</f>
        <v>0</v>
      </c>
      <c r="JN86" s="46" cm="1">
        <f t="array" ref="JN86">ROUND(IFERROR(INDEX(ArchiveResults!$F$5:$IX$116,ComparisonData!A86,ComparisonData!$JN$1),0),5)</f>
        <v>0</v>
      </c>
      <c r="JO86" s="46" cm="1">
        <f t="array" ref="JO86">ROUND(IFERROR(INDEX(ArchiveResults!$F$5:$IX$116,ComparisonData!A86,ComparisonData!$JO$1),0),5)</f>
        <v>0</v>
      </c>
      <c r="JP86" s="46" cm="1">
        <f t="array" ref="JP86">ROUND(IFERROR(INDEX(ArchiveResults!$F$5:$IX$116,ComparisonData!A86,ComparisonData!$JP$1),0),5)</f>
        <v>0</v>
      </c>
      <c r="JQ86" s="45" cm="1">
        <f t="array" ref="JQ86">IFERROR(INDEX(ArchiveResults!$F$5:$IX$116,ComparisonData!A86,ComparisonData!$JQ$1),0)</f>
        <v>0</v>
      </c>
      <c r="JR86" s="56">
        <v>81</v>
      </c>
      <c r="JS86" s="53" t="str">
        <f t="shared" si="682"/>
        <v>The Keep Archive Centre</v>
      </c>
      <c r="JT86" s="59">
        <f t="shared" si="889"/>
        <v>0</v>
      </c>
      <c r="JU86" s="59">
        <f t="shared" si="890"/>
        <v>0</v>
      </c>
      <c r="JV86" s="59">
        <f t="shared" si="891"/>
        <v>0</v>
      </c>
      <c r="JW86" s="59">
        <f t="shared" si="892"/>
        <v>0</v>
      </c>
      <c r="JX86" s="59">
        <f t="shared" si="893"/>
        <v>0</v>
      </c>
      <c r="JY86" s="58">
        <f t="shared" si="894"/>
        <v>0</v>
      </c>
      <c r="JZ86" s="45">
        <f t="shared" si="895"/>
        <v>66</v>
      </c>
      <c r="KA86" s="45">
        <f t="shared" si="683"/>
        <v>2.7639999999999998</v>
      </c>
      <c r="KB86" s="45">
        <f t="shared" si="896"/>
        <v>1</v>
      </c>
      <c r="KC86" s="45">
        <f t="shared" si="897"/>
        <v>2</v>
      </c>
      <c r="KD86" s="45">
        <f t="shared" si="898"/>
        <v>0</v>
      </c>
      <c r="KE86" s="46" cm="1">
        <f t="array" ref="KE86">ROUND(IFERROR(INDEX(ArchiveResults!$F$5:$IX$116,ComparisonData!A86,ComparisonData!$KE$1),0),5)</f>
        <v>0</v>
      </c>
      <c r="KF86" s="46" cm="1">
        <f t="array" ref="KF86">ROUND(IFERROR(INDEX(ArchiveResults!$F$5:$IX$116,ComparisonData!A86,ComparisonData!$KF$1),0),5)</f>
        <v>0</v>
      </c>
      <c r="KG86" s="46" cm="1">
        <f t="array" ref="KG86">ROUND(IFERROR(INDEX(ArchiveResults!$F$5:$IX$116,ComparisonData!A86,ComparisonData!$KG$1),0),5)</f>
        <v>0</v>
      </c>
      <c r="KH86" s="46" cm="1">
        <f t="array" ref="KH86">ROUND(IFERROR(INDEX(ArchiveResults!$F$5:$IX$116,ComparisonData!A86,ComparisonData!$KH$1),0),5)</f>
        <v>0</v>
      </c>
      <c r="KI86" s="45" cm="1">
        <f t="array" ref="KI86">IFERROR(INDEX(ArchiveResults!$F$5:$IX$116,ComparisonData!A86,ComparisonData!$KI$1),0)</f>
        <v>0</v>
      </c>
      <c r="KJ86" s="56">
        <v>81</v>
      </c>
      <c r="KK86" s="53" t="str">
        <f t="shared" si="684"/>
        <v>The Keep Archive Centre</v>
      </c>
      <c r="KL86" s="59">
        <f t="shared" si="899"/>
        <v>0</v>
      </c>
      <c r="KM86" s="59">
        <f t="shared" si="900"/>
        <v>0</v>
      </c>
      <c r="KN86" s="59">
        <f t="shared" si="901"/>
        <v>0</v>
      </c>
      <c r="KO86" s="59">
        <f t="shared" si="902"/>
        <v>0</v>
      </c>
      <c r="KP86" s="59">
        <f t="shared" si="903"/>
        <v>0</v>
      </c>
      <c r="KQ86" s="58">
        <f t="shared" si="904"/>
        <v>0</v>
      </c>
      <c r="KR86" s="45">
        <f t="shared" si="905"/>
        <v>66</v>
      </c>
      <c r="KS86" s="45">
        <f t="shared" si="685"/>
        <v>2.7639999999999998</v>
      </c>
      <c r="KT86" s="45">
        <f t="shared" si="906"/>
        <v>1</v>
      </c>
      <c r="KU86" s="45">
        <f t="shared" si="907"/>
        <v>2</v>
      </c>
      <c r="KV86" s="45">
        <f t="shared" si="908"/>
        <v>0</v>
      </c>
      <c r="KW86" s="46" cm="1">
        <f t="array" ref="KW86">ROUND(IFERROR(INDEX(ArchiveResults!$F$5:$IX$116,ComparisonData!A86,ComparisonData!$KW$1),0),5)</f>
        <v>0</v>
      </c>
      <c r="KX86" s="46" cm="1">
        <f t="array" ref="KX86">ROUND(IFERROR(INDEX(ArchiveResults!$F$5:$IX$116,ComparisonData!A86,ComparisonData!$KX$1),0),5)</f>
        <v>0</v>
      </c>
      <c r="KY86" s="46" cm="1">
        <f t="array" ref="KY86">ROUND(IFERROR(INDEX(ArchiveResults!$F$5:$IX$116,ComparisonData!A86,ComparisonData!$KY$1),0),5)</f>
        <v>0</v>
      </c>
      <c r="KZ86" s="46" cm="1">
        <f t="array" ref="KZ86">ROUND(IFERROR(INDEX(ArchiveResults!$F$5:$IX$116,ComparisonData!A86,ComparisonData!$KZ$1),0),5)</f>
        <v>0</v>
      </c>
      <c r="LA86" s="45" cm="1">
        <f t="array" ref="LA86">IFERROR(INDEX(ArchiveResults!$F$5:$IX$116,ComparisonData!A86,ComparisonData!$LA$1),0)</f>
        <v>0</v>
      </c>
      <c r="LB86" s="56">
        <v>81</v>
      </c>
      <c r="LC86" s="53" t="str">
        <f t="shared" si="686"/>
        <v>The Keep Archive Centre</v>
      </c>
      <c r="LD86" s="59">
        <f t="shared" si="909"/>
        <v>0</v>
      </c>
      <c r="LE86" s="59">
        <f t="shared" si="910"/>
        <v>0</v>
      </c>
      <c r="LF86" s="59">
        <f t="shared" si="911"/>
        <v>0</v>
      </c>
      <c r="LG86" s="59">
        <f t="shared" si="912"/>
        <v>0</v>
      </c>
      <c r="LH86" s="59">
        <f t="shared" si="913"/>
        <v>0</v>
      </c>
      <c r="LI86" s="58">
        <f t="shared" si="914"/>
        <v>0</v>
      </c>
      <c r="LJ86" s="45">
        <f t="shared" si="915"/>
        <v>66</v>
      </c>
      <c r="LK86" s="45">
        <f t="shared" si="687"/>
        <v>2.7639999999999998</v>
      </c>
      <c r="LL86" s="45">
        <f t="shared" si="916"/>
        <v>1</v>
      </c>
      <c r="LM86" s="45">
        <f t="shared" si="917"/>
        <v>2</v>
      </c>
      <c r="LN86" s="45">
        <f t="shared" si="918"/>
        <v>0</v>
      </c>
      <c r="LO86" s="46" cm="1">
        <f t="array" ref="LO86">ROUND(IFERROR(INDEX(ArchiveResults!$F$5:$IX$116,ComparisonData!A86,ComparisonData!$LO$1),0),5)</f>
        <v>0</v>
      </c>
      <c r="LP86" s="46" cm="1">
        <f t="array" ref="LP86">ROUND(IFERROR(INDEX(ArchiveResults!$F$5:$IX$116,ComparisonData!A86,ComparisonData!$LP$1),0),5)</f>
        <v>0</v>
      </c>
      <c r="LQ86" s="46" cm="1">
        <f t="array" ref="LQ86">ROUND(IFERROR(INDEX(ArchiveResults!$F$5:$IX$116,ComparisonData!A86,ComparisonData!$LQ$1),0),5)</f>
        <v>0</v>
      </c>
      <c r="LR86" s="46" cm="1">
        <f t="array" ref="LR86">ROUND(IFERROR(INDEX(ArchiveResults!$F$5:$IX$116,ComparisonData!A86,ComparisonData!$LR$1),0),5)</f>
        <v>0</v>
      </c>
      <c r="LS86" s="45" cm="1">
        <f t="array" ref="LS86">IFERROR(INDEX(ArchiveResults!$F$5:$IX$116,ComparisonData!A86,ComparisonData!$LS$1),0)</f>
        <v>0</v>
      </c>
      <c r="LT86" s="56">
        <v>81</v>
      </c>
      <c r="LU86" s="53" t="str">
        <f t="shared" si="688"/>
        <v>The Keep Archive Centre</v>
      </c>
      <c r="LV86" s="59">
        <f t="shared" si="919"/>
        <v>0</v>
      </c>
      <c r="LW86" s="59">
        <f t="shared" si="920"/>
        <v>0</v>
      </c>
      <c r="LX86" s="59">
        <f t="shared" si="921"/>
        <v>0</v>
      </c>
      <c r="LY86" s="59">
        <f t="shared" si="922"/>
        <v>0</v>
      </c>
      <c r="LZ86" s="59">
        <f t="shared" si="923"/>
        <v>0</v>
      </c>
      <c r="MA86" s="58">
        <f t="shared" si="924"/>
        <v>0</v>
      </c>
      <c r="MB86" s="45">
        <f t="shared" si="925"/>
        <v>66</v>
      </c>
      <c r="MC86" s="45">
        <f t="shared" si="689"/>
        <v>2.7639999999999998</v>
      </c>
      <c r="MD86" s="45">
        <f t="shared" si="926"/>
        <v>1</v>
      </c>
      <c r="ME86" s="45">
        <f t="shared" si="927"/>
        <v>2</v>
      </c>
      <c r="MF86" s="45">
        <f t="shared" si="928"/>
        <v>0</v>
      </c>
      <c r="MG86" s="46" cm="1">
        <f t="array" ref="MG86">ROUND(IFERROR(INDEX(ArchiveResults!$F$5:$IX$116,ComparisonData!A86,ComparisonData!$MG$1),0),5)</f>
        <v>0</v>
      </c>
      <c r="MH86" s="46" cm="1">
        <f t="array" ref="MH86">ROUND(IFERROR(INDEX(ArchiveResults!$F$5:$IX$116,ComparisonData!A86,ComparisonData!$MH$1),0),5)</f>
        <v>0</v>
      </c>
      <c r="MI86" s="46" cm="1">
        <f t="array" ref="MI86">ROUND(IFERROR(INDEX(ArchiveResults!$F$5:$IX$116,ComparisonData!A86,ComparisonData!$MI$1),0),5)</f>
        <v>0</v>
      </c>
      <c r="MJ86" s="46" cm="1">
        <f t="array" ref="MJ86">ROUND(IFERROR(INDEX(ArchiveResults!$F$5:$IX$116,ComparisonData!A86,ComparisonData!$MJ$1),0),5)</f>
        <v>0</v>
      </c>
      <c r="MK86" s="45" cm="1">
        <f t="array" ref="MK86">IFERROR(INDEX(ArchiveResults!$F$5:$IX$116,ComparisonData!A86,ComparisonData!$MK$1),0)</f>
        <v>0</v>
      </c>
      <c r="ML86" s="56">
        <v>81</v>
      </c>
      <c r="MM86" s="53" t="str">
        <f t="shared" si="690"/>
        <v>The Keep Archive Centre</v>
      </c>
      <c r="MN86" s="59">
        <f t="shared" si="929"/>
        <v>0</v>
      </c>
      <c r="MO86" s="59">
        <f t="shared" si="930"/>
        <v>0</v>
      </c>
      <c r="MP86" s="59">
        <f t="shared" si="931"/>
        <v>0</v>
      </c>
      <c r="MQ86" s="59">
        <f t="shared" si="932"/>
        <v>0</v>
      </c>
      <c r="MR86" s="59">
        <f t="shared" si="933"/>
        <v>0</v>
      </c>
      <c r="MS86" s="58">
        <f t="shared" si="934"/>
        <v>0</v>
      </c>
      <c r="MT86" s="45">
        <f t="shared" si="935"/>
        <v>66</v>
      </c>
      <c r="MU86" s="45">
        <f t="shared" si="691"/>
        <v>2.7639999999999998</v>
      </c>
      <c r="MV86" s="45">
        <f t="shared" si="936"/>
        <v>1</v>
      </c>
      <c r="MW86" s="45">
        <f t="shared" si="937"/>
        <v>2</v>
      </c>
      <c r="MX86" s="45">
        <f t="shared" si="938"/>
        <v>0</v>
      </c>
      <c r="MY86" s="46" cm="1">
        <f t="array" ref="MY86">ROUND(IFERROR(INDEX(ArchiveResults!$F$5:$IX$116,ComparisonData!A86,ComparisonData!$MY$1),0),5)</f>
        <v>0</v>
      </c>
      <c r="MZ86" s="46" cm="1">
        <f t="array" ref="MZ86">ROUND(IFERROR(INDEX(ArchiveResults!$F$5:$IX$116,ComparisonData!A86,ComparisonData!$MZ$1),0),5)</f>
        <v>0</v>
      </c>
      <c r="NA86" s="46" cm="1">
        <f t="array" ref="NA86">ROUND(IFERROR(INDEX(ArchiveResults!$F$5:$IX$116,ComparisonData!A86,ComparisonData!$NA$1),0),5)</f>
        <v>0</v>
      </c>
      <c r="NB86" s="46" cm="1">
        <f t="array" ref="NB86">ROUND(IFERROR(INDEX(ArchiveResults!$F$5:$IX$116,ComparisonData!A86,ComparisonData!$NB$1),0),5)</f>
        <v>0</v>
      </c>
      <c r="NC86" s="45" cm="1">
        <f t="array" ref="NC86">IFERROR(INDEX(ArchiveResults!$F$5:$IX$116,ComparisonData!A86,ComparisonData!$NC$1),0)</f>
        <v>0</v>
      </c>
      <c r="ND86" s="56">
        <v>81</v>
      </c>
      <c r="NE86" s="53" t="str">
        <f t="shared" si="692"/>
        <v>The Keep Archive Centre</v>
      </c>
      <c r="NF86" s="59">
        <f t="shared" si="939"/>
        <v>0</v>
      </c>
      <c r="NG86" s="59">
        <f t="shared" si="940"/>
        <v>0</v>
      </c>
      <c r="NH86" s="59">
        <f t="shared" si="941"/>
        <v>0</v>
      </c>
      <c r="NI86" s="59">
        <f t="shared" si="942"/>
        <v>0</v>
      </c>
      <c r="NJ86" s="59">
        <f t="shared" si="943"/>
        <v>0</v>
      </c>
      <c r="NK86" s="58">
        <f t="shared" si="944"/>
        <v>0</v>
      </c>
      <c r="NL86" s="45">
        <f t="shared" si="945"/>
        <v>66</v>
      </c>
      <c r="NM86" s="45">
        <f t="shared" si="693"/>
        <v>2.7639999999999998</v>
      </c>
      <c r="NN86" s="45">
        <f t="shared" si="946"/>
        <v>1</v>
      </c>
      <c r="NO86" s="45">
        <f t="shared" si="947"/>
        <v>2</v>
      </c>
      <c r="NP86" s="46" cm="1">
        <f t="array" ref="NP86">ROUND(IFERROR(INDEX(ArchiveResults!$F$5:$IX$116,ComparisonData!A86,ComparisonData!$NP$1),0),5)</f>
        <v>0</v>
      </c>
      <c r="NQ86" s="46" cm="1">
        <f t="array" ref="NQ86">ROUND(IFERROR(INDEX(ArchiveResults!$F$5:$IX$116,ComparisonData!A86,ComparisonData!$NQ$1),0),5)</f>
        <v>0</v>
      </c>
      <c r="NR86" s="46" cm="1">
        <f t="array" ref="NR86">ROUND(IFERROR(INDEX(ArchiveResults!$F$5:$IX$116,ComparisonData!A86,ComparisonData!$NR$1),0),5)</f>
        <v>0</v>
      </c>
      <c r="NS86" s="46" cm="1">
        <f t="array" ref="NS86">ROUND(IFERROR(INDEX(ArchiveResults!$F$5:$IX$116,ComparisonData!A86,ComparisonData!$NS$1),0),5)</f>
        <v>0</v>
      </c>
      <c r="NT86" s="45" cm="1">
        <f t="array" ref="NT86">IFERROR(INDEX(ArchiveResults!$F$5:$IX$116,ComparisonData!A86,ComparisonData!$NT$1),0)</f>
        <v>0</v>
      </c>
      <c r="NU86" s="56">
        <v>81</v>
      </c>
      <c r="NV86" s="53" t="str">
        <f t="shared" si="694"/>
        <v>The Keep Archive Centre</v>
      </c>
      <c r="NW86" s="59">
        <f t="shared" si="948"/>
        <v>0</v>
      </c>
      <c r="NX86" s="59">
        <f t="shared" si="949"/>
        <v>0</v>
      </c>
      <c r="NY86" s="59">
        <f t="shared" si="950"/>
        <v>0</v>
      </c>
      <c r="NZ86" s="59">
        <f t="shared" si="951"/>
        <v>0</v>
      </c>
      <c r="OA86" s="59">
        <f t="shared" si="952"/>
        <v>0</v>
      </c>
      <c r="OB86" s="58">
        <f t="shared" si="953"/>
        <v>0</v>
      </c>
      <c r="OC86" s="45">
        <f t="shared" si="954"/>
        <v>66</v>
      </c>
      <c r="OD86" s="45">
        <f t="shared" si="695"/>
        <v>2.7639999999999998</v>
      </c>
      <c r="OE86" s="45">
        <f t="shared" si="955"/>
        <v>1</v>
      </c>
      <c r="OF86" s="45">
        <f t="shared" si="956"/>
        <v>2</v>
      </c>
      <c r="OG86" s="46">
        <f t="shared" si="957"/>
        <v>0</v>
      </c>
      <c r="OH86" s="46" cm="1">
        <f t="array" ref="OH86">ROUND(IFERROR(INDEX(ArchiveResults!$F$5:$IX$116,ComparisonData!A86,ComparisonData!$OH$1),0),5)</f>
        <v>0</v>
      </c>
      <c r="OI86" s="46" cm="1">
        <f t="array" ref="OI86">ROUND(IFERROR(INDEX(ArchiveResults!$F$5:$IX$116,ComparisonData!A86,ComparisonData!$OI$1),0),5)</f>
        <v>0</v>
      </c>
      <c r="OJ86" s="46" cm="1">
        <f t="array" ref="OJ86">ROUND(IFERROR(INDEX(ArchiveResults!$F$5:$IX$116,ComparisonData!A86,ComparisonData!$OJ$1),0),5)</f>
        <v>0</v>
      </c>
      <c r="OK86" s="46" cm="1">
        <f t="array" ref="OK86">ROUND(IFERROR(INDEX(ArchiveResults!$F$5:$IX$116,ComparisonData!A86,ComparisonData!$OK$1),0),5)</f>
        <v>0</v>
      </c>
      <c r="OL86" s="45" cm="1">
        <f t="array" ref="OL86">IFERROR(INDEX(ArchiveResults!$F$5:$IX$116,ComparisonData!A86,ComparisonData!$OL$1),0)</f>
        <v>0</v>
      </c>
      <c r="OM86" s="56">
        <v>81</v>
      </c>
      <c r="ON86" s="53" t="str">
        <f t="shared" si="696"/>
        <v>The Keep Archive Centre</v>
      </c>
      <c r="OO86" s="59">
        <f t="shared" si="958"/>
        <v>0</v>
      </c>
      <c r="OP86" s="59">
        <f t="shared" si="959"/>
        <v>0</v>
      </c>
      <c r="OQ86" s="59">
        <f t="shared" si="960"/>
        <v>0</v>
      </c>
      <c r="OR86" s="59">
        <f t="shared" si="961"/>
        <v>0</v>
      </c>
      <c r="OS86" s="59">
        <f t="shared" si="962"/>
        <v>0</v>
      </c>
      <c r="OT86" s="58">
        <f t="shared" si="963"/>
        <v>0</v>
      </c>
      <c r="OU86" s="45">
        <f t="shared" si="964"/>
        <v>66</v>
      </c>
      <c r="OV86" s="45">
        <f t="shared" si="697"/>
        <v>2.7639999999999998</v>
      </c>
      <c r="OW86" s="45">
        <f t="shared" si="965"/>
        <v>1</v>
      </c>
      <c r="OX86" s="45">
        <f t="shared" si="966"/>
        <v>2</v>
      </c>
      <c r="OY86" s="45">
        <f t="shared" si="967"/>
        <v>0</v>
      </c>
      <c r="OZ86" s="46" cm="1">
        <f t="array" ref="OZ86">ROUND(IFERROR(INDEX(ArchiveResults!$F$5:$IX$116,ComparisonData!A86,ComparisonData!$OZ$1),0),5)</f>
        <v>0</v>
      </c>
      <c r="PA86" s="46" cm="1">
        <f t="array" ref="PA86">ROUND(IFERROR(INDEX(ArchiveResults!$F$5:$IX$116,ComparisonData!A86,ComparisonData!$PA$1),0),5)</f>
        <v>0</v>
      </c>
      <c r="PB86" s="46" cm="1">
        <f t="array" ref="PB86">ROUND(IFERROR(INDEX(ArchiveResults!$F$5:$IX$116,ComparisonData!A86,ComparisonData!$PB$1),0),5)</f>
        <v>0</v>
      </c>
      <c r="PC86" s="46" cm="1">
        <f t="array" ref="PC86">ROUND(IFERROR(INDEX(ArchiveResults!$F$5:$IX$116,ComparisonData!A86,ComparisonData!$PC$1),0),5)</f>
        <v>0</v>
      </c>
      <c r="PD86" s="45" cm="1">
        <f t="array" ref="PD86">IFERROR(INDEX(ArchiveResults!$F$5:$IX$116,ComparisonData!A86,ComparisonData!$PD$1),0)</f>
        <v>0</v>
      </c>
      <c r="PE86" s="56">
        <v>81</v>
      </c>
      <c r="PF86" s="53" t="str">
        <f t="shared" si="698"/>
        <v>The Keep Archive Centre</v>
      </c>
      <c r="PG86" s="59">
        <f t="shared" si="968"/>
        <v>0</v>
      </c>
      <c r="PH86" s="59">
        <f t="shared" si="969"/>
        <v>0</v>
      </c>
      <c r="PI86" s="59">
        <f t="shared" si="970"/>
        <v>0</v>
      </c>
      <c r="PJ86" s="59">
        <f t="shared" si="971"/>
        <v>0</v>
      </c>
      <c r="PK86" s="59">
        <f t="shared" si="972"/>
        <v>0</v>
      </c>
      <c r="PL86" s="58">
        <f t="shared" si="973"/>
        <v>0</v>
      </c>
      <c r="PM86" s="45">
        <f t="shared" si="974"/>
        <v>66</v>
      </c>
      <c r="PN86" s="45">
        <f t="shared" si="699"/>
        <v>2.7639999999999998</v>
      </c>
      <c r="PO86" s="45">
        <f t="shared" si="975"/>
        <v>1</v>
      </c>
      <c r="PP86" s="45">
        <f t="shared" si="976"/>
        <v>2</v>
      </c>
      <c r="PQ86" s="45">
        <f t="shared" si="977"/>
        <v>0</v>
      </c>
      <c r="PR86" s="46" cm="1">
        <f t="array" ref="PR86">ROUND(IFERROR(INDEX(ArchiveResults!$F$5:$IX$116,ComparisonData!A86,ComparisonData!$PR$1),0),5)</f>
        <v>0</v>
      </c>
      <c r="PS86" s="46" cm="1">
        <f t="array" ref="PS86">ROUND(IFERROR(INDEX(ArchiveResults!$F$5:$IX$116,ComparisonData!A86,ComparisonData!$PS$1),0),5)</f>
        <v>0</v>
      </c>
      <c r="PT86" s="46" cm="1">
        <f t="array" ref="PT86">ROUND(IFERROR(INDEX(ArchiveResults!$F$5:$IX$116,ComparisonData!A86,ComparisonData!$PT$1),0),5)</f>
        <v>0</v>
      </c>
      <c r="PU86" s="46" cm="1">
        <f t="array" ref="PU86">ROUND(IFERROR(INDEX(ArchiveResults!$F$5:$IX$116,ComparisonData!A86,ComparisonData!$PU$1),0),5)</f>
        <v>0</v>
      </c>
      <c r="PV86" s="45" cm="1">
        <f t="array" ref="PV86">IFERROR(INDEX(ArchiveResults!$F$5:$IX$116,ComparisonData!A86,ComparisonData!$PV$1),0)</f>
        <v>0</v>
      </c>
      <c r="PW86" s="56">
        <v>81</v>
      </c>
      <c r="PX86" s="53" t="str">
        <f t="shared" si="700"/>
        <v>The Keep Archive Centre</v>
      </c>
      <c r="PY86" s="59">
        <f t="shared" si="978"/>
        <v>0</v>
      </c>
      <c r="PZ86" s="59">
        <f t="shared" si="979"/>
        <v>0</v>
      </c>
      <c r="QA86" s="59">
        <f t="shared" si="980"/>
        <v>0</v>
      </c>
      <c r="QB86" s="59">
        <f t="shared" si="981"/>
        <v>0</v>
      </c>
      <c r="QC86" s="59">
        <f t="shared" si="982"/>
        <v>0</v>
      </c>
      <c r="QD86" s="58">
        <f t="shared" si="983"/>
        <v>0</v>
      </c>
      <c r="QE86" s="45">
        <f t="shared" si="984"/>
        <v>66</v>
      </c>
      <c r="QF86" s="45">
        <f t="shared" si="701"/>
        <v>2.7639999999999998</v>
      </c>
      <c r="QG86" s="45">
        <f t="shared" si="985"/>
        <v>1</v>
      </c>
      <c r="QH86" s="45">
        <f t="shared" si="986"/>
        <v>2</v>
      </c>
      <c r="QI86" s="45">
        <f t="shared" si="987"/>
        <v>0</v>
      </c>
      <c r="QJ86" s="46" cm="1">
        <f t="array" ref="QJ86">ROUND(IFERROR(INDEX(ArchiveResults!$F$5:$IX$116,ComparisonData!A86,ComparisonData!$QJ$1),0),5)</f>
        <v>0</v>
      </c>
      <c r="QK86" s="46" cm="1">
        <f t="array" ref="QK86">ROUND(IFERROR(INDEX(ArchiveResults!$F$5:$IX$116,ComparisonData!A86,ComparisonData!$QK$1),0),5)</f>
        <v>0</v>
      </c>
      <c r="QL86" s="46" cm="1">
        <f t="array" ref="QL86">ROUND(IFERROR(INDEX(ArchiveResults!$F$5:$IX$116,ComparisonData!A86,ComparisonData!$QL$1),0),5)</f>
        <v>0</v>
      </c>
      <c r="QM86" s="46" cm="1">
        <f t="array" ref="QM86">ROUND(IFERROR(INDEX(ArchiveResults!$F$5:$IX$116,ComparisonData!A86,ComparisonData!$QM$1),0),5)</f>
        <v>0</v>
      </c>
      <c r="QN86" s="45" cm="1">
        <f t="array" ref="QN86">IFERROR(INDEX(ArchiveResults!$F$5:$IX$116,ComparisonData!A86,ComparisonData!$QN$1),0)</f>
        <v>0</v>
      </c>
      <c r="QO86" s="56">
        <v>81</v>
      </c>
      <c r="QP86" s="53" t="str">
        <f t="shared" si="702"/>
        <v>The Keep Archive Centre</v>
      </c>
      <c r="QQ86" s="59">
        <f t="shared" si="988"/>
        <v>0</v>
      </c>
      <c r="QR86" s="59">
        <f t="shared" si="989"/>
        <v>0</v>
      </c>
      <c r="QS86" s="59">
        <f t="shared" si="990"/>
        <v>0</v>
      </c>
      <c r="QT86" s="59">
        <f t="shared" si="991"/>
        <v>0</v>
      </c>
      <c r="QU86" s="59">
        <f t="shared" si="992"/>
        <v>0</v>
      </c>
      <c r="QV86" s="58">
        <f t="shared" si="993"/>
        <v>0</v>
      </c>
      <c r="QW86" s="45">
        <f t="shared" si="994"/>
        <v>66</v>
      </c>
      <c r="QX86" s="45">
        <f t="shared" si="703"/>
        <v>2.7639999999999998</v>
      </c>
      <c r="QY86" s="45">
        <f t="shared" si="995"/>
        <v>1</v>
      </c>
      <c r="QZ86" s="45">
        <f t="shared" si="996"/>
        <v>2</v>
      </c>
      <c r="RA86" s="45">
        <f t="shared" si="997"/>
        <v>0</v>
      </c>
      <c r="RB86" s="46" cm="1">
        <f t="array" ref="RB86">ROUND(IFERROR(INDEX(ArchiveResults!$F$5:$IX$116,ComparisonData!A86,ComparisonData!$RB$1),0),5)</f>
        <v>0</v>
      </c>
      <c r="RC86" s="46" cm="1">
        <f t="array" ref="RC86">ROUND(IFERROR(INDEX(ArchiveResults!$F$5:$IX$116,ComparisonData!A86,ComparisonData!$RC$1),0),5)</f>
        <v>0</v>
      </c>
      <c r="RD86" s="46" cm="1">
        <f t="array" ref="RD86">ROUND(IFERROR(INDEX(ArchiveResults!$F$5:$IX$116,ComparisonData!A86,ComparisonData!$RD$1),0),5)</f>
        <v>0</v>
      </c>
      <c r="RE86" s="46" cm="1">
        <f t="array" ref="RE86">ROUND(IFERROR(INDEX(ArchiveResults!$F$5:$IX$116,ComparisonData!A86,ComparisonData!$RE$1),0),5)</f>
        <v>0</v>
      </c>
      <c r="RF86" s="45" cm="1">
        <f t="array" ref="RF86">IFERROR(INDEX(ArchiveResults!$F$5:$IX$116,ComparisonData!A86,ComparisonData!$RF$1),0)</f>
        <v>0</v>
      </c>
      <c r="RG86" s="56">
        <v>81</v>
      </c>
      <c r="RH86" s="53" t="str">
        <f t="shared" si="704"/>
        <v>The Keep Archive Centre</v>
      </c>
      <c r="RI86" s="59">
        <f t="shared" si="998"/>
        <v>0</v>
      </c>
      <c r="RJ86" s="59">
        <f t="shared" si="999"/>
        <v>0</v>
      </c>
      <c r="RK86" s="59">
        <f t="shared" si="1000"/>
        <v>0</v>
      </c>
      <c r="RL86" s="59">
        <f t="shared" si="1001"/>
        <v>0</v>
      </c>
      <c r="RM86" s="59">
        <f t="shared" si="1002"/>
        <v>0</v>
      </c>
      <c r="RN86" s="58">
        <f t="shared" si="1003"/>
        <v>0</v>
      </c>
      <c r="RO86" s="45">
        <f t="shared" si="1004"/>
        <v>66</v>
      </c>
      <c r="RP86" s="45">
        <f t="shared" si="705"/>
        <v>2.7639999999999998</v>
      </c>
      <c r="RQ86" s="45">
        <f t="shared" si="1005"/>
        <v>1</v>
      </c>
      <c r="RR86" s="45">
        <f t="shared" si="1006"/>
        <v>2</v>
      </c>
      <c r="RS86" s="45">
        <f t="shared" si="1007"/>
        <v>0</v>
      </c>
      <c r="RT86" s="46" cm="1">
        <f t="array" ref="RT86">ROUND(IFERROR(INDEX(ArchiveResults!$F$5:$IX$116,ComparisonData!A86,ComparisonData!$RT$1),0),5)</f>
        <v>0</v>
      </c>
      <c r="RU86" s="46" cm="1">
        <f t="array" ref="RU86">ROUND(IFERROR(INDEX(ArchiveResults!$F$5:$IX$116,ComparisonData!A86,ComparisonData!$RU$1),0),5)</f>
        <v>0</v>
      </c>
      <c r="RV86" s="46" cm="1">
        <f t="array" ref="RV86">ROUND(IFERROR(INDEX(ArchiveResults!$F$5:$IX$116,ComparisonData!A86,ComparisonData!$RV$1),0),5)</f>
        <v>0</v>
      </c>
      <c r="RW86" s="46" cm="1">
        <f t="array" ref="RW86">ROUND(IFERROR(INDEX(ArchiveResults!$F$5:$IX$116,ComparisonData!A86,ComparisonData!$RW$1),0),5)</f>
        <v>0</v>
      </c>
      <c r="RX86" s="45" cm="1">
        <f t="array" ref="RX86">IFERROR(INDEX(ArchiveResults!$F$5:$IX$116,ComparisonData!A86,ComparisonData!$RX$1),0)</f>
        <v>0</v>
      </c>
      <c r="RY86" s="56">
        <v>81</v>
      </c>
      <c r="RZ86" s="53" t="str">
        <f t="shared" si="706"/>
        <v>The Keep Archive Centre</v>
      </c>
      <c r="SA86" s="59">
        <f t="shared" si="1008"/>
        <v>0</v>
      </c>
      <c r="SB86" s="59">
        <f t="shared" si="1009"/>
        <v>0</v>
      </c>
      <c r="SC86" s="59">
        <f t="shared" si="1010"/>
        <v>0</v>
      </c>
      <c r="SD86" s="59">
        <f t="shared" si="1011"/>
        <v>0</v>
      </c>
      <c r="SE86" s="59">
        <f t="shared" si="1012"/>
        <v>0</v>
      </c>
      <c r="SF86" s="58">
        <f t="shared" si="1013"/>
        <v>0</v>
      </c>
      <c r="SG86" s="45">
        <f t="shared" si="1014"/>
        <v>66</v>
      </c>
      <c r="SH86" s="45">
        <f t="shared" si="707"/>
        <v>2.7639999999999998</v>
      </c>
      <c r="SI86" s="45">
        <f t="shared" si="1015"/>
        <v>1</v>
      </c>
      <c r="SJ86" s="45">
        <f t="shared" si="1016"/>
        <v>2</v>
      </c>
      <c r="SK86" s="45">
        <f t="shared" si="1017"/>
        <v>0</v>
      </c>
      <c r="SL86" s="46" cm="1">
        <f t="array" ref="SL86">ROUND(IFERROR(INDEX(ArchiveResults!$F$5:$IX$116,ComparisonData!A86,ComparisonData!$SL$1),0),5)</f>
        <v>0</v>
      </c>
      <c r="SM86" s="46" cm="1">
        <f t="array" ref="SM86">ROUND(IFERROR(INDEX(ArchiveResults!$F$5:$IX$116,ComparisonData!A86,ComparisonData!$SM$1),0),5)</f>
        <v>0</v>
      </c>
      <c r="SN86" s="46" cm="1">
        <f t="array" ref="SN86">ROUND(IFERROR(INDEX(ArchiveResults!$F$5:$IX$116,ComparisonData!A86,ComparisonData!$SN$1),0),5)</f>
        <v>0</v>
      </c>
      <c r="SO86" s="46" cm="1">
        <f t="array" ref="SO86">ROUND(IFERROR(INDEX(ArchiveResults!$F$5:$IX$116,ComparisonData!A86,ComparisonData!$SO$1),0),5)</f>
        <v>0</v>
      </c>
      <c r="SP86" s="45" cm="1">
        <f t="array" ref="SP86">IFERROR(INDEX(ArchiveResults!$F$5:$IX$116,ComparisonData!A86,ComparisonData!$SP$1),0)</f>
        <v>0</v>
      </c>
      <c r="SQ86" s="56">
        <v>81</v>
      </c>
      <c r="SR86" s="53" t="str">
        <f t="shared" si="708"/>
        <v>The Keep Archive Centre</v>
      </c>
      <c r="SS86" s="59">
        <f t="shared" si="1018"/>
        <v>0</v>
      </c>
      <c r="ST86" s="59">
        <f t="shared" si="1019"/>
        <v>0</v>
      </c>
      <c r="SU86" s="59">
        <f t="shared" si="1020"/>
        <v>0</v>
      </c>
      <c r="SV86" s="59">
        <f t="shared" si="1021"/>
        <v>0</v>
      </c>
      <c r="SW86" s="59">
        <f t="shared" si="1022"/>
        <v>0</v>
      </c>
      <c r="SX86" s="58">
        <f t="shared" si="1023"/>
        <v>0</v>
      </c>
      <c r="SY86" s="45">
        <f t="shared" si="1024"/>
        <v>66</v>
      </c>
      <c r="SZ86" s="45">
        <f t="shared" si="709"/>
        <v>2.7639999999999998</v>
      </c>
      <c r="TA86" s="45">
        <f t="shared" si="1025"/>
        <v>1</v>
      </c>
      <c r="TB86" s="45">
        <f t="shared" si="1026"/>
        <v>2</v>
      </c>
      <c r="TC86" s="45">
        <f t="shared" si="1027"/>
        <v>0</v>
      </c>
      <c r="TD86" s="46" cm="1">
        <f t="array" ref="TD86">ROUND(IFERROR(INDEX(ArchiveResults!$F$5:$IX$116,ComparisonData!A86,ComparisonData!$TD$1),0),5)</f>
        <v>0</v>
      </c>
      <c r="TE86" s="46" cm="1">
        <f t="array" ref="TE86">ROUND(IFERROR(INDEX(ArchiveResults!$F$5:$IX$116,ComparisonData!A86,ComparisonData!$TE$1),0),5)</f>
        <v>0</v>
      </c>
      <c r="TF86" s="46" cm="1">
        <f t="array" ref="TF86">ROUND(IFERROR(INDEX(ArchiveResults!$F$5:$IX$116,ComparisonData!A86,ComparisonData!$TF$1),0),5)</f>
        <v>0</v>
      </c>
      <c r="TG86" s="46" cm="1">
        <f t="array" ref="TG86">ROUND(IFERROR(INDEX(ArchiveResults!$F$5:$IX$116,ComparisonData!A86,ComparisonData!$TG$1),0),5)</f>
        <v>0</v>
      </c>
      <c r="TH86" s="45" cm="1">
        <f t="array" ref="TH86">IFERROR(INDEX(ArchiveResults!$F$5:$IX$116,ComparisonData!A86,ComparisonData!$TH$1),0)</f>
        <v>0</v>
      </c>
      <c r="TI86" s="56">
        <v>81</v>
      </c>
      <c r="TJ86" s="53" t="str">
        <f t="shared" si="710"/>
        <v>The Keep Archive Centre</v>
      </c>
      <c r="TK86" s="59">
        <f t="shared" si="1028"/>
        <v>0</v>
      </c>
      <c r="TL86" s="59">
        <f t="shared" si="1029"/>
        <v>0</v>
      </c>
      <c r="TM86" s="59">
        <f t="shared" si="1030"/>
        <v>0</v>
      </c>
      <c r="TN86" s="59">
        <f t="shared" si="1031"/>
        <v>0</v>
      </c>
      <c r="TO86" s="59">
        <f t="shared" si="1032"/>
        <v>0</v>
      </c>
      <c r="TP86" s="58">
        <f t="shared" si="1033"/>
        <v>0</v>
      </c>
      <c r="TQ86" s="45">
        <f t="shared" si="1034"/>
        <v>66</v>
      </c>
      <c r="TR86" s="45">
        <f t="shared" si="711"/>
        <v>2.7639999999999998</v>
      </c>
      <c r="TS86" s="45">
        <f t="shared" si="1035"/>
        <v>1</v>
      </c>
      <c r="TT86" s="45">
        <f t="shared" si="1036"/>
        <v>2</v>
      </c>
      <c r="TU86" s="45">
        <f t="shared" si="1037"/>
        <v>0</v>
      </c>
      <c r="TV86" s="46" cm="1">
        <f t="array" ref="TV86">ROUND(IFERROR(INDEX(ArchiveResults!$F$5:$IX$116,ComparisonData!A86,ComparisonData!$TV$1),0),5)</f>
        <v>0</v>
      </c>
      <c r="TW86" s="46" cm="1">
        <f t="array" ref="TW86">ROUND(IFERROR(INDEX(ArchiveResults!$F$5:$IX$116,ComparisonData!A86,ComparisonData!$TW$1),0),5)</f>
        <v>0</v>
      </c>
      <c r="TX86" s="46" cm="1">
        <f t="array" ref="TX86">ROUND(IFERROR(INDEX(ArchiveResults!$F$5:$IX$116,ComparisonData!A86,ComparisonData!$TX$1),0),5)</f>
        <v>0</v>
      </c>
      <c r="TY86" s="46" cm="1">
        <f t="array" ref="TY86">ROUND(IFERROR(INDEX(ArchiveResults!$F$5:$IX$116,ComparisonData!A86,ComparisonData!$TY$1),0),5)</f>
        <v>0</v>
      </c>
      <c r="TZ86" s="45" cm="1">
        <f t="array" ref="TZ86">IFERROR(INDEX(ArchiveResults!$F$5:$IX$116,ComparisonData!A86,ComparisonData!$TZ$1),0)</f>
        <v>0</v>
      </c>
      <c r="UA86" s="56">
        <v>81</v>
      </c>
      <c r="UB86" s="53" t="str">
        <f t="shared" si="712"/>
        <v>The Keep Archive Centre</v>
      </c>
      <c r="UC86" s="60">
        <f t="shared" si="1038"/>
        <v>0</v>
      </c>
      <c r="UD86" s="60">
        <f t="shared" si="1039"/>
        <v>0</v>
      </c>
      <c r="UE86" s="60">
        <f t="shared" si="1040"/>
        <v>0</v>
      </c>
      <c r="UF86" s="60">
        <f t="shared" si="1041"/>
        <v>0</v>
      </c>
      <c r="UG86" s="60">
        <f t="shared" si="1042"/>
        <v>0</v>
      </c>
      <c r="UH86" s="58">
        <f t="shared" si="1043"/>
        <v>0</v>
      </c>
      <c r="UI86" s="46">
        <f t="shared" si="1044"/>
        <v>66</v>
      </c>
      <c r="UJ86" s="46">
        <f t="shared" si="713"/>
        <v>2.7639999999999998</v>
      </c>
      <c r="UK86" s="46">
        <f t="shared" si="1045"/>
        <v>1</v>
      </c>
      <c r="UL86" s="46">
        <f t="shared" si="1046"/>
        <v>2</v>
      </c>
      <c r="UM86" s="46" cm="1">
        <f t="array" ref="UM86">ROUND(IFERROR(INDEX(ArchiveResults!$F$5:$IX$116,ComparisonData!A86,ComparisonData!$UM$1),0),5)</f>
        <v>0</v>
      </c>
      <c r="UN86" s="56">
        <v>81</v>
      </c>
      <c r="UO86" s="53" t="str">
        <f t="shared" si="714"/>
        <v>The Keep Archive Centre</v>
      </c>
      <c r="UP86" s="46">
        <f t="shared" si="1047"/>
        <v>0</v>
      </c>
      <c r="UQ86" s="76">
        <f t="shared" si="1048"/>
        <v>0</v>
      </c>
      <c r="UR86" s="46">
        <f t="shared" si="1049"/>
        <v>66</v>
      </c>
      <c r="US86" s="46">
        <f t="shared" si="715"/>
        <v>2.7639999999999998</v>
      </c>
      <c r="UT86" s="46">
        <f t="shared" si="1050"/>
        <v>1</v>
      </c>
      <c r="UU86" s="46">
        <f t="shared" si="1051"/>
        <v>2</v>
      </c>
      <c r="UV86" s="46">
        <f t="shared" si="1052"/>
        <v>0</v>
      </c>
      <c r="UW86" s="46" cm="1">
        <f t="array" ref="UW86">ROUND(IFERROR(INDEX(ArchiveResults!$F$5:$IX$116,ComparisonData!A86,ComparisonData!$UW$1),0),5)</f>
        <v>0</v>
      </c>
      <c r="UX86" s="46" cm="1">
        <f t="array" ref="UX86">ROUND(IFERROR(INDEX(ArchiveResults!$F$5:$IX$116,ComparisonData!A86,ComparisonData!$UX$1),0),5)</f>
        <v>0</v>
      </c>
      <c r="UY86" s="46" cm="1">
        <f t="array" ref="UY86">ROUND(IFERROR(INDEX(ArchiveResults!$F$5:$IX$116,ComparisonData!A86,ComparisonData!$UY$1),0),5)</f>
        <v>0</v>
      </c>
      <c r="UZ86" s="46" cm="1">
        <f t="array" ref="UZ86">ROUND(IFERROR(INDEX(ArchiveResults!$F$5:$IX$116,ComparisonData!A86,ComparisonData!$UZ$1),0),5)</f>
        <v>0</v>
      </c>
      <c r="VA86" s="46" cm="1">
        <f t="array" ref="VA86">ROUND(IFERROR(INDEX(ArchiveResults!$F$5:$IX$116,ComparisonData!A86,ComparisonData!$VA$1),0),5)</f>
        <v>0</v>
      </c>
      <c r="VB86" s="56">
        <v>81</v>
      </c>
      <c r="VC86" s="53" t="str">
        <f t="shared" si="716"/>
        <v>The Keep Archive Centre</v>
      </c>
      <c r="VD86" s="60">
        <f t="shared" si="1053"/>
        <v>0</v>
      </c>
      <c r="VE86" s="60">
        <f t="shared" si="1054"/>
        <v>0</v>
      </c>
      <c r="VF86" s="60">
        <f t="shared" si="1055"/>
        <v>0</v>
      </c>
      <c r="VG86" s="60">
        <f t="shared" si="1056"/>
        <v>0</v>
      </c>
      <c r="VH86" s="60">
        <f t="shared" si="1057"/>
        <v>0</v>
      </c>
      <c r="VI86" s="76">
        <f t="shared" si="1058"/>
        <v>0</v>
      </c>
      <c r="VJ86" s="46">
        <f t="shared" si="1059"/>
        <v>66</v>
      </c>
      <c r="VK86" s="46">
        <f t="shared" si="717"/>
        <v>2.7639999999999998</v>
      </c>
      <c r="VL86" s="46">
        <f t="shared" si="1060"/>
        <v>1</v>
      </c>
      <c r="VM86" s="46">
        <f t="shared" si="1061"/>
        <v>2</v>
      </c>
      <c r="VN86" s="46" cm="1">
        <f t="array" ref="VN86">ROUND(IFERROR(INDEX(ArchiveResults!$F$5:$IX$116,ComparisonData!A86,ComparisonData!$VN$1),0),5)</f>
        <v>0</v>
      </c>
      <c r="VO86" s="46" cm="1">
        <f t="array" ref="VO86">ROUND(IFERROR(INDEX(ArchiveResults!$F$5:$IX$116,ComparisonData!A86,ComparisonData!$VO$1),0),5)</f>
        <v>0</v>
      </c>
      <c r="VP86" s="46" cm="1">
        <f t="array" ref="VP86">ROUND(IFERROR(INDEX(ArchiveResults!$F$5:$IX$116,ComparisonData!A86,ComparisonData!$VP$1),0),5)</f>
        <v>0</v>
      </c>
      <c r="VQ86" s="46" cm="1">
        <f t="array" ref="VQ86">ROUND(IFERROR(INDEX(ArchiveResults!$F$5:$IX$116,ComparisonData!A86,ComparisonData!$VQ$1),0),5)</f>
        <v>0</v>
      </c>
      <c r="VR86" s="56">
        <v>81</v>
      </c>
      <c r="VS86" s="53" t="str">
        <f t="shared" si="718"/>
        <v>The Keep Archive Centre</v>
      </c>
      <c r="VT86" s="60">
        <f t="shared" si="1062"/>
        <v>0</v>
      </c>
      <c r="VU86" s="60">
        <f t="shared" si="1063"/>
        <v>0</v>
      </c>
      <c r="VV86" s="60">
        <f t="shared" si="1064"/>
        <v>0</v>
      </c>
      <c r="VW86" s="60">
        <f t="shared" si="1065"/>
        <v>0</v>
      </c>
      <c r="VX86" s="76">
        <f t="shared" si="1066"/>
        <v>0</v>
      </c>
      <c r="VY86" s="46">
        <f t="shared" si="1067"/>
        <v>66</v>
      </c>
      <c r="VZ86" s="46">
        <f t="shared" si="719"/>
        <v>2.7639999999999998</v>
      </c>
      <c r="WA86" s="46">
        <f t="shared" si="1068"/>
        <v>1</v>
      </c>
      <c r="WB86" s="46">
        <f t="shared" si="1069"/>
        <v>2</v>
      </c>
      <c r="WC86" s="46" cm="1">
        <f t="array" ref="WC86">ROUND(IFERROR(INDEX(ArchiveResults!$F$5:$IX$116,ComparisonData!A86,ComparisonData!$WC$1),0),5)</f>
        <v>0</v>
      </c>
      <c r="WD86" s="56">
        <v>81</v>
      </c>
      <c r="WE86" s="53" t="str">
        <f t="shared" si="720"/>
        <v>The Keep Archive Centre</v>
      </c>
      <c r="WF86" s="46">
        <f t="shared" si="1070"/>
        <v>0</v>
      </c>
      <c r="WG86" s="76">
        <f t="shared" si="1071"/>
        <v>0</v>
      </c>
      <c r="WH86" s="46">
        <f t="shared" si="1072"/>
        <v>66</v>
      </c>
      <c r="WI86" s="46">
        <f t="shared" si="721"/>
        <v>2.7639999999999998</v>
      </c>
      <c r="WJ86" s="46">
        <f t="shared" si="1073"/>
        <v>1</v>
      </c>
      <c r="WK86" s="46">
        <f t="shared" si="1074"/>
        <v>2</v>
      </c>
      <c r="WL86" s="46" cm="1">
        <f t="array" ref="WL86">ROUND(IFERROR(INDEX(ArchiveResults!$F$5:$IX$116,ComparisonData!A86,ComparisonData!$WL$1),0),5)</f>
        <v>0</v>
      </c>
      <c r="WM86" s="46" cm="1">
        <f t="array" ref="WM86">IFERROR(INDEX(ArchiveResults!$F$5:$IX$116,ComparisonData!A86,ComparisonData!$WM$1),0)</f>
        <v>0</v>
      </c>
      <c r="WN86" s="56">
        <v>81</v>
      </c>
      <c r="WO86" s="53" t="str">
        <f t="shared" si="722"/>
        <v>The Keep Archive Centre</v>
      </c>
      <c r="WP86" s="60">
        <f t="shared" si="1075"/>
        <v>0</v>
      </c>
      <c r="WQ86" s="60">
        <f t="shared" si="1076"/>
        <v>0</v>
      </c>
      <c r="WR86" s="76">
        <f t="shared" si="1077"/>
        <v>0</v>
      </c>
      <c r="WS86" s="46">
        <f t="shared" si="1078"/>
        <v>66</v>
      </c>
      <c r="WT86" s="46">
        <f t="shared" si="723"/>
        <v>2.7639999999999998</v>
      </c>
      <c r="WU86" s="46">
        <f t="shared" si="1079"/>
        <v>1</v>
      </c>
      <c r="WV86" s="46">
        <f t="shared" si="1080"/>
        <v>2</v>
      </c>
      <c r="WW86" s="46" cm="1">
        <f t="array" ref="WW86">ROUND(VALUE(IFERROR(INDEX(ArchiveResults!$F$5:$IX$116,ComparisonData!A86,ComparisonData!$WW$1),0)),5)</f>
        <v>0</v>
      </c>
      <c r="WX86" s="46" cm="1">
        <f t="array" ref="WX86">ROUND(IFERROR(INDEX(ArchiveResults!$F$5:$IX$116,ComparisonData!A86,ComparisonData!$WX$1),0),5)</f>
        <v>0</v>
      </c>
      <c r="WY86" s="56">
        <v>81</v>
      </c>
      <c r="WZ86" s="53" t="str">
        <f t="shared" si="724"/>
        <v>The Keep Archive Centre</v>
      </c>
      <c r="XA86" s="60">
        <f t="shared" si="725"/>
        <v>0</v>
      </c>
      <c r="XB86" s="60">
        <f t="shared" si="726"/>
        <v>0</v>
      </c>
      <c r="XC86" s="76">
        <f t="shared" si="1081"/>
        <v>0</v>
      </c>
      <c r="XD86" s="46">
        <f t="shared" si="1082"/>
        <v>66</v>
      </c>
      <c r="XE86" s="46">
        <f t="shared" si="727"/>
        <v>2.7639999999999998</v>
      </c>
      <c r="XF86" s="46">
        <f t="shared" si="1083"/>
        <v>1</v>
      </c>
      <c r="XG86" s="46">
        <f t="shared" si="1084"/>
        <v>2</v>
      </c>
      <c r="XH86" s="46" cm="1">
        <f t="array" ref="XH86">ROUND(VALUE(IFERROR(INDEX(ArchiveResults!$F$5:$IX$116,ComparisonData!A86,ComparisonData!$XH$1),0)),5)</f>
        <v>0</v>
      </c>
      <c r="XI86" s="46" cm="1">
        <f t="array" ref="XI86">ROUND(VALUE(IFERROR(INDEX(ArchiveResults!$F$5:$IX$116,ComparisonData!A86,ComparisonData!$XI$1),0)),5)</f>
        <v>0</v>
      </c>
      <c r="XJ86" s="56">
        <v>81</v>
      </c>
      <c r="XK86" s="53" t="str">
        <f t="shared" si="728"/>
        <v>The Keep Archive Centre</v>
      </c>
      <c r="XL86" s="60">
        <f t="shared" si="1085"/>
        <v>0</v>
      </c>
      <c r="XM86" s="60">
        <f t="shared" si="1086"/>
        <v>0</v>
      </c>
      <c r="XN86" s="76">
        <f t="shared" si="1087"/>
        <v>0</v>
      </c>
      <c r="XO86" s="46">
        <f t="shared" si="1088"/>
        <v>66</v>
      </c>
      <c r="XP86" s="46">
        <f t="shared" si="729"/>
        <v>2.7639999999999998</v>
      </c>
      <c r="XQ86" s="46">
        <f t="shared" si="1089"/>
        <v>1</v>
      </c>
      <c r="XR86" s="46">
        <f t="shared" si="1090"/>
        <v>2</v>
      </c>
      <c r="XS86" s="46" cm="1">
        <f t="array" ref="XS86">ROUND(VALUE(IFERROR(INDEX(ArchiveResults!$F$5:$IX$116,ComparisonData!A86,ComparisonData!$XS$1),0)),5)</f>
        <v>0</v>
      </c>
      <c r="XT86" s="46" cm="1">
        <f t="array" ref="XT86">ROUND(VALUE(IFERROR(INDEX(ArchiveResults!$F$5:$IX$116,ComparisonData!A86,ComparisonData!$XT$1),0)),5)</f>
        <v>0</v>
      </c>
      <c r="XU86" s="56">
        <v>81</v>
      </c>
      <c r="XV86" s="53" t="str">
        <f t="shared" si="730"/>
        <v>The Keep Archive Centre</v>
      </c>
      <c r="XW86" s="60">
        <f t="shared" si="1091"/>
        <v>0</v>
      </c>
      <c r="XX86" s="60">
        <f t="shared" si="1092"/>
        <v>0</v>
      </c>
      <c r="XY86" s="76">
        <f t="shared" si="1093"/>
        <v>0</v>
      </c>
      <c r="XZ86" s="46">
        <f t="shared" si="1094"/>
        <v>66</v>
      </c>
      <c r="YA86" s="46">
        <f t="shared" si="731"/>
        <v>2.7639999999999998</v>
      </c>
      <c r="YB86" s="46">
        <f t="shared" si="1095"/>
        <v>1</v>
      </c>
      <c r="YC86" s="46">
        <f t="shared" si="1096"/>
        <v>2</v>
      </c>
      <c r="YD86" s="46" cm="1">
        <f t="array" ref="YD86">ROUND(VALUE(IFERROR(INDEX(ArchiveResults!$F$5:$IX$116,ComparisonData!A86,ComparisonData!$YD$1),0)),5)</f>
        <v>0</v>
      </c>
      <c r="YE86" s="46" cm="1">
        <f t="array" ref="YE86">ROUND(VALUE(IFERROR(INDEX(ArchiveResults!$F$5:$IX$116,ComparisonData!A86,ComparisonData!$YE$1),0)),5)</f>
        <v>0</v>
      </c>
      <c r="YF86" s="56">
        <v>81</v>
      </c>
      <c r="YG86" s="53" t="str">
        <f t="shared" si="732"/>
        <v>The Keep Archive Centre</v>
      </c>
      <c r="YH86" s="60">
        <f t="shared" si="1097"/>
        <v>0</v>
      </c>
      <c r="YI86" s="60">
        <f t="shared" si="1098"/>
        <v>0</v>
      </c>
      <c r="YJ86" s="76">
        <f t="shared" si="1099"/>
        <v>0</v>
      </c>
      <c r="YK86" s="46">
        <f t="shared" si="1100"/>
        <v>66</v>
      </c>
      <c r="YL86" s="46">
        <f t="shared" si="733"/>
        <v>2.7639999999999998</v>
      </c>
      <c r="YM86" s="46">
        <f t="shared" si="1101"/>
        <v>1</v>
      </c>
      <c r="YN86" s="46">
        <f t="shared" si="1102"/>
        <v>2</v>
      </c>
      <c r="YO86" s="46" cm="1">
        <f t="array" ref="YO86">ROUND(VALUE(IFERROR(INDEX(ArchiveResults!$F$5:$IX$116,ComparisonData!A86,ComparisonData!$YO$1),0)),5)</f>
        <v>0</v>
      </c>
      <c r="YP86" s="46" cm="1">
        <f t="array" ref="YP86">ROUND(VALUE(IFERROR(INDEX(ArchiveResults!$F$5:$IX$116,ComparisonData!A86,ComparisonData!$YP$1),0)),5)</f>
        <v>0</v>
      </c>
      <c r="YQ86" s="56">
        <v>81</v>
      </c>
      <c r="YR86" s="53" t="str">
        <f t="shared" si="734"/>
        <v>The Keep Archive Centre</v>
      </c>
      <c r="YS86" s="60">
        <f t="shared" si="1103"/>
        <v>0</v>
      </c>
      <c r="YT86" s="60">
        <f t="shared" si="1104"/>
        <v>0</v>
      </c>
      <c r="YU86" s="76">
        <f t="shared" si="1105"/>
        <v>0</v>
      </c>
      <c r="YV86" s="46">
        <f t="shared" si="1106"/>
        <v>66</v>
      </c>
      <c r="YW86" s="46">
        <f t="shared" si="735"/>
        <v>2.7639999999999998</v>
      </c>
      <c r="YX86" s="46">
        <f t="shared" si="1107"/>
        <v>1</v>
      </c>
      <c r="YY86" s="46">
        <f t="shared" si="1108"/>
        <v>2</v>
      </c>
      <c r="YZ86" s="46">
        <f t="shared" si="1109"/>
        <v>0</v>
      </c>
      <c r="ZA86" s="46" cm="1">
        <f t="array" ref="ZA86">ROUNDDOWN(VALUE(IFERROR(INDEX(ArchiveResults!$F$5:$IX$116,ComparisonData!A86,ComparisonData!$ZA$1),0)),5)</f>
        <v>0</v>
      </c>
      <c r="ZB86" s="46" cm="1">
        <f t="array" ref="ZB86">ROUNDDOWN(VALUE(IFERROR(INDEX(ArchiveResults!$F$5:$IX$116,ComparisonData!A86,ComparisonData!$ZB$1),0)),5)</f>
        <v>0</v>
      </c>
      <c r="ZC86" s="46" cm="1">
        <f t="array" ref="ZC86">ROUNDDOWN(VALUE(IFERROR(INDEX(ArchiveResults!$F$5:$IX$116,ComparisonData!A86,ComparisonData!$ZC$1),0)),5)</f>
        <v>0</v>
      </c>
      <c r="ZD86" s="46" cm="1">
        <f t="array" ref="ZD86">ROUNDDOWN(VALUE(IFERROR(INDEX(ArchiveResults!$F$5:$IX$116,ComparisonData!A86,ComparisonData!$ZD$1),0)),5)</f>
        <v>0</v>
      </c>
      <c r="ZE86" s="46" cm="1">
        <f t="array" ref="ZE86">ROUNDDOWN(VALUE(IFERROR(INDEX(ArchiveResults!$F$5:$IX$116,ComparisonData!A86,ComparisonData!$ZE$1),0)),5)</f>
        <v>0</v>
      </c>
      <c r="ZF86" s="56">
        <v>81</v>
      </c>
      <c r="ZG86" s="53" t="str">
        <f t="shared" si="736"/>
        <v>The Keep Archive Centre</v>
      </c>
      <c r="ZH86" s="60">
        <f t="shared" si="1110"/>
        <v>0</v>
      </c>
      <c r="ZI86" s="60">
        <f t="shared" si="1111"/>
        <v>0</v>
      </c>
      <c r="ZJ86" s="60">
        <f t="shared" si="1112"/>
        <v>0</v>
      </c>
      <c r="ZK86" s="60">
        <f t="shared" si="1113"/>
        <v>0</v>
      </c>
      <c r="ZL86" s="60">
        <f t="shared" si="1114"/>
        <v>0</v>
      </c>
      <c r="ZM86" s="76">
        <f t="shared" si="1115"/>
        <v>0</v>
      </c>
      <c r="ZN86" s="46">
        <f t="shared" si="1116"/>
        <v>66</v>
      </c>
      <c r="ZO86" s="46">
        <f t="shared" si="737"/>
        <v>2.7639999999999998</v>
      </c>
      <c r="ZP86" s="46">
        <f t="shared" si="1117"/>
        <v>1</v>
      </c>
      <c r="ZQ86" s="46">
        <f t="shared" si="1118"/>
        <v>2</v>
      </c>
      <c r="ZR86" s="46" cm="1">
        <f t="array" ref="ZR86">ROUND(VALUE(IFERROR(INDEX(ArchiveResults!$F$5:$IX$116,ComparisonData!A86,ComparisonData!$ZR$1),0)),5)</f>
        <v>0</v>
      </c>
      <c r="ZS86" s="56">
        <v>81</v>
      </c>
      <c r="ZT86" s="53" t="str">
        <f t="shared" si="738"/>
        <v>The Keep Archive Centre</v>
      </c>
      <c r="ZU86" s="46">
        <f t="shared" si="1119"/>
        <v>0</v>
      </c>
      <c r="ZV86" s="76">
        <f t="shared" si="1120"/>
        <v>0</v>
      </c>
      <c r="ZW86" s="81" cm="1">
        <f t="array" ref="ZW86">ROUND((IFERROR(INDEX(ArchiveResults!$F$5:$IX$116,ComparisonData!A86,ComparisonData!$ZW$1),0)),5)</f>
        <v>0</v>
      </c>
      <c r="ZX86" s="81" cm="1">
        <f t="array" ref="ZX86">ROUND((IFERROR(INDEX(ArchiveResults!$F$5:$IX$116,ComparisonData!A86,ComparisonData!$ZX$1),0)),5)</f>
        <v>0</v>
      </c>
      <c r="ZY86" s="81" cm="1">
        <f t="array" ref="ZY86">ROUND((IFERROR(INDEX(ArchiveResults!$F$5:$IX$116,ComparisonData!A86,ComparisonData!$ZY$1),0)),5)</f>
        <v>0</v>
      </c>
      <c r="ZZ86" s="81" cm="1">
        <f t="array" ref="ZZ86">ROUND((IFERROR(INDEX(ArchiveResults!$F$5:$IX$116,ComparisonData!A86,ComparisonData!$ZZ$1),0)),5)</f>
        <v>0</v>
      </c>
      <c r="AAA86" s="81" cm="1">
        <f t="array" ref="AAA86">ROUND((IFERROR(INDEX(ArchiveResults!$F$5:$IX$116,ComparisonData!A86,ComparisonData!$AAA$1),0)),5)</f>
        <v>0</v>
      </c>
      <c r="AAB86" s="81" cm="1">
        <f t="array" ref="AAB86">ROUND((IFERROR(INDEX(ArchiveResults!$F$5:$IX$116,ComparisonData!A86,ComparisonData!$AAB$1),0)),5)</f>
        <v>0</v>
      </c>
      <c r="AAC86" s="81" cm="1">
        <f t="array" ref="AAC86">ROUND((IFERROR(INDEX(ArchiveResults!$F$5:$IX$116,ComparisonData!A86,ComparisonData!$AAC$1),0)),5)</f>
        <v>0</v>
      </c>
      <c r="AAD86" s="81" cm="1">
        <f t="array" ref="AAD86">ROUND((IFERROR(INDEX(ArchiveResults!$F$5:$IX$116,ComparisonData!A86,ComparisonData!$AAD$1),0)),5)</f>
        <v>0</v>
      </c>
      <c r="AAE86" s="81" cm="1">
        <f t="array" ref="AAE86">ROUND((IFERROR(INDEX(ArchiveResults!$F$5:$IX$116,ComparisonData!A86,ComparisonData!$AAE$1),0)),5)</f>
        <v>0</v>
      </c>
      <c r="AAF86" s="81" cm="1">
        <f t="array" ref="AAF86">ROUND((IFERROR(INDEX(ArchiveResults!$F$5:$IX$116,ComparisonData!A86,ComparisonData!$AAF$1),0)),5)</f>
        <v>0</v>
      </c>
      <c r="AAG86" s="46">
        <f t="shared" si="1121"/>
        <v>66</v>
      </c>
      <c r="AAH86" s="46">
        <f t="shared" si="739"/>
        <v>2.7639999999999998</v>
      </c>
      <c r="AAI86" s="46">
        <f t="shared" si="1122"/>
        <v>1</v>
      </c>
      <c r="AAJ86" s="46">
        <f t="shared" si="1123"/>
        <v>2</v>
      </c>
      <c r="AAK86" s="46">
        <f t="shared" si="1124"/>
        <v>0</v>
      </c>
      <c r="AAL86" s="46">
        <f t="shared" si="1125"/>
        <v>0</v>
      </c>
      <c r="AAM86" s="46">
        <f t="shared" si="1126"/>
        <v>0</v>
      </c>
      <c r="AAN86" s="46">
        <f t="shared" si="1127"/>
        <v>0</v>
      </c>
      <c r="AAO86" s="46">
        <f t="shared" si="1128"/>
        <v>0</v>
      </c>
      <c r="AAP86" s="46">
        <f t="shared" si="1129"/>
        <v>0</v>
      </c>
      <c r="AAQ86" s="56">
        <v>81</v>
      </c>
      <c r="AAR86" s="53" t="str">
        <f t="shared" si="740"/>
        <v>The Keep Archive Centre</v>
      </c>
      <c r="AAS86" s="60">
        <f t="shared" si="1130"/>
        <v>0</v>
      </c>
      <c r="AAT86" s="60">
        <f t="shared" si="1131"/>
        <v>0</v>
      </c>
      <c r="AAU86" s="60">
        <f t="shared" si="1132"/>
        <v>0</v>
      </c>
      <c r="AAV86" s="60">
        <f t="shared" si="1133"/>
        <v>0</v>
      </c>
      <c r="AAW86" s="60">
        <f t="shared" si="1134"/>
        <v>0</v>
      </c>
      <c r="AAX86" s="76">
        <f t="shared" si="1135"/>
        <v>0</v>
      </c>
      <c r="AAY86" s="46">
        <f t="shared" si="1136"/>
        <v>66</v>
      </c>
      <c r="AAZ86" s="46">
        <f t="shared" si="741"/>
        <v>2.7639999999999998</v>
      </c>
      <c r="ABA86" s="46">
        <f t="shared" si="1137"/>
        <v>1</v>
      </c>
      <c r="ABB86" s="46">
        <f t="shared" si="1138"/>
        <v>2</v>
      </c>
      <c r="ABC86" s="46">
        <f t="shared" si="742"/>
        <v>0</v>
      </c>
      <c r="ABD86" s="46" cm="1">
        <f t="array" ref="ABD86">ROUND(VALUE(IFERROR(INDEX(ArchiveResults!$F$5:$IX$116,ComparisonData!A86,ComparisonData!$ABD$1),0)),5)</f>
        <v>0</v>
      </c>
      <c r="ABE86" s="46" cm="1">
        <f t="array" ref="ABE86">ROUND(VALUE(IFERROR(INDEX(ArchiveResults!$F$5:$IX$116,ComparisonData!A86,ComparisonData!$ABE$1),0)),5)</f>
        <v>0</v>
      </c>
      <c r="ABF86" s="46" cm="1">
        <f t="array" ref="ABF86">ROUND(VALUE(IFERROR(INDEX(ArchiveResults!$F$5:$IX$116,ComparisonData!A86,ComparisonData!$ABF$1),0)),5)</f>
        <v>0</v>
      </c>
      <c r="ABG86" s="46" cm="1">
        <f t="array" ref="ABG86">ROUND(VALUE(IFERROR(INDEX(ArchiveResults!$F$5:$IX$116,ComparisonData!A86,ComparisonData!$ABG$1),0)),5)</f>
        <v>0</v>
      </c>
      <c r="ABH86" s="46" cm="1">
        <f t="array" ref="ABH86">ROUND(VALUE(IFERROR(INDEX(ArchiveResults!$F$5:$IX$116,ComparisonData!A86,ComparisonData!$ABH$1),0)),5)</f>
        <v>0</v>
      </c>
      <c r="ABI86" s="56">
        <v>81</v>
      </c>
      <c r="ABJ86" s="53" t="str">
        <f t="shared" si="743"/>
        <v>The Keep Archive Centre</v>
      </c>
      <c r="ABK86" s="60">
        <f t="shared" si="1139"/>
        <v>0</v>
      </c>
      <c r="ABL86" s="60">
        <f t="shared" si="1140"/>
        <v>0</v>
      </c>
      <c r="ABM86" s="60">
        <f t="shared" si="1141"/>
        <v>0</v>
      </c>
      <c r="ABN86" s="60">
        <f t="shared" si="1142"/>
        <v>0</v>
      </c>
      <c r="ABO86" s="60">
        <f t="shared" si="1143"/>
        <v>0</v>
      </c>
      <c r="ABP86" s="76">
        <f t="shared" si="1144"/>
        <v>0</v>
      </c>
      <c r="ABQ86" s="46">
        <f t="shared" si="1145"/>
        <v>66</v>
      </c>
      <c r="ABR86" s="46">
        <f t="shared" si="744"/>
        <v>2.7639999999999998</v>
      </c>
      <c r="ABS86" s="46">
        <f t="shared" si="1146"/>
        <v>1</v>
      </c>
      <c r="ABT86" s="46">
        <f t="shared" si="1147"/>
        <v>2</v>
      </c>
      <c r="ABU86" s="46" cm="1">
        <f t="array" ref="ABU86">ROUND(VALUE(IFERROR(INDEX(ArchiveResults!$F$5:$IX$116,ComparisonData!A86,ComparisonData!$ABU$1),0)),5)</f>
        <v>0</v>
      </c>
      <c r="ABV86" s="46" cm="1">
        <f t="array" ref="ABV86">ROUND(VALUE(IFERROR(INDEX(ArchiveResults!$F$5:$IX$116,ComparisonData!A86,ComparisonData!$ABV$1),0)),5)</f>
        <v>0</v>
      </c>
      <c r="ABW86" s="46" cm="1">
        <f t="array" ref="ABW86">ROUND(VALUE(IFERROR(INDEX(ArchiveResults!$F$5:$IX$116,ComparisonData!A86,ComparisonData!$ABW$1),0)),5)</f>
        <v>0</v>
      </c>
      <c r="ABX86" s="46" cm="1">
        <f t="array" ref="ABX86">ROUND(VALUE(IFERROR(INDEX(ArchiveResults!$F$5:$IX$116,ComparisonData!A86,ComparisonData!$ABX$1),0)),5)</f>
        <v>0</v>
      </c>
      <c r="ABY86" s="46" cm="1">
        <f t="array" ref="ABY86">ROUND(VALUE(IFERROR(INDEX(ArchiveResults!$F$5:$IX$116,ComparisonData!A86,ComparisonData!$ABY$1),0)),5)</f>
        <v>0</v>
      </c>
      <c r="ABZ86" s="56">
        <v>81</v>
      </c>
      <c r="ACA86" s="53" t="str">
        <f t="shared" si="745"/>
        <v>The Keep Archive Centre</v>
      </c>
      <c r="ACB86" s="60">
        <f t="shared" si="1148"/>
        <v>0</v>
      </c>
      <c r="ACC86" s="60">
        <f t="shared" si="1149"/>
        <v>0</v>
      </c>
      <c r="ACD86" s="60">
        <f t="shared" si="1150"/>
        <v>0</v>
      </c>
      <c r="ACE86" s="60">
        <f t="shared" si="1151"/>
        <v>0</v>
      </c>
      <c r="ACF86" s="60">
        <f t="shared" si="1152"/>
        <v>0</v>
      </c>
      <c r="ACG86" s="76">
        <f t="shared" si="1153"/>
        <v>0</v>
      </c>
      <c r="ACH86" s="46">
        <f t="shared" si="1154"/>
        <v>66</v>
      </c>
      <c r="ACI86" s="46">
        <f t="shared" si="746"/>
        <v>2.7639999999999998</v>
      </c>
      <c r="ACJ86" s="46">
        <f t="shared" si="1155"/>
        <v>1</v>
      </c>
      <c r="ACK86" s="46">
        <f t="shared" si="1156"/>
        <v>2</v>
      </c>
      <c r="ACL86" s="46">
        <f t="shared" si="1157"/>
        <v>0</v>
      </c>
      <c r="ACM86" s="46" cm="1">
        <f t="array" ref="ACM86">ROUND(IFERROR(INDEX(ArchiveResults!$F$5:$IX$116,ComparisonData!A86,ComparisonData!$ACM$1),0),5)</f>
        <v>0</v>
      </c>
      <c r="ACN86" s="46" cm="1">
        <f t="array" ref="ACN86">ROUND(IFERROR(INDEX(ArchiveResults!$F$5:$IX$116,ComparisonData!A86,ComparisonData!$ACN$1),0),5)</f>
        <v>0</v>
      </c>
      <c r="ACO86" s="56">
        <v>81</v>
      </c>
      <c r="ACP86" s="53" t="str">
        <f t="shared" si="747"/>
        <v>The Keep Archive Centre</v>
      </c>
      <c r="ACQ86" s="60">
        <f t="shared" si="1158"/>
        <v>0</v>
      </c>
      <c r="ACR86" s="60">
        <f t="shared" si="1159"/>
        <v>0</v>
      </c>
      <c r="ACS86" s="76">
        <f t="shared" si="1160"/>
        <v>0</v>
      </c>
      <c r="ACT86" s="46">
        <f t="shared" si="1161"/>
        <v>66</v>
      </c>
      <c r="ACU86" s="46">
        <f t="shared" si="748"/>
        <v>2.7639999999999998</v>
      </c>
      <c r="ACV86" s="46">
        <f t="shared" si="1162"/>
        <v>1</v>
      </c>
      <c r="ACW86" s="46">
        <f t="shared" si="1163"/>
        <v>2</v>
      </c>
      <c r="ACX86" s="46">
        <f t="shared" si="1164"/>
        <v>0</v>
      </c>
      <c r="ACY86" s="46" cm="1">
        <f t="array" ref="ACY86">ROUNDDOWN(IFERROR(INDEX(ArchiveResults!$F$5:$IX$116,ComparisonData!A86,ComparisonData!$ACY$1),0),5)</f>
        <v>0</v>
      </c>
      <c r="ACZ86" s="46" cm="1">
        <f t="array" ref="ACZ86">ROUNDDOWN(IFERROR(INDEX(ArchiveResults!$F$5:$IX$116,ComparisonData!A86,ComparisonData!$ACZ$1),0),5)</f>
        <v>0</v>
      </c>
      <c r="ADA86" s="46" cm="1">
        <f t="array" ref="ADA86">ROUNDDOWN(IFERROR(INDEX(ArchiveResults!$F$5:$IX$116,ComparisonData!A86,ComparisonData!$ADA$1),0),5)</f>
        <v>0</v>
      </c>
      <c r="ADB86" s="56">
        <v>81</v>
      </c>
      <c r="ADC86" s="53" t="str">
        <f t="shared" si="749"/>
        <v>The Keep Archive Centre</v>
      </c>
      <c r="ADD86" s="60">
        <f t="shared" si="1165"/>
        <v>0</v>
      </c>
      <c r="ADE86" s="60">
        <f t="shared" si="1166"/>
        <v>0</v>
      </c>
      <c r="ADF86" s="60">
        <f t="shared" si="1167"/>
        <v>0</v>
      </c>
      <c r="ADG86" s="76">
        <f t="shared" si="1168"/>
        <v>0</v>
      </c>
    </row>
    <row r="87" spans="1:787" x14ac:dyDescent="0.25">
      <c r="A87" s="46" t="str">
        <f>IF(ISBLANK(ComparisonSelection!F83),"",ROW()-5)</f>
        <v/>
      </c>
      <c r="B87" s="53" t="s">
        <v>537</v>
      </c>
      <c r="C87" s="72">
        <v>0.78399999999999981</v>
      </c>
      <c r="D87" s="55">
        <f t="shared" si="750"/>
        <v>70</v>
      </c>
      <c r="E87" s="54">
        <f t="shared" si="751"/>
        <v>2.7839999999999998</v>
      </c>
      <c r="F87" s="54">
        <f t="shared" si="752"/>
        <v>1</v>
      </c>
      <c r="G87" s="72">
        <f t="shared" si="753"/>
        <v>2</v>
      </c>
      <c r="H87" s="72">
        <f t="shared" si="754"/>
        <v>0</v>
      </c>
      <c r="I87" s="46" cm="1">
        <f t="array" ref="I87">ROUND(IFERROR(INDEX(ArchiveResults!$F$5:$IX$116,ComparisonData!A87,ComparisonData!$I$1),0),5)</f>
        <v>0</v>
      </c>
      <c r="J87" s="46" cm="1">
        <f t="array" ref="J87">ROUND(IFERROR(INDEX(ArchiveResults!$F$5:$IX$116,ComparisonData!A87,ComparisonData!$J$1),0),5)</f>
        <v>0</v>
      </c>
      <c r="K87" s="56">
        <v>82</v>
      </c>
      <c r="L87" s="53" t="str">
        <f t="shared" si="755"/>
        <v>The National Archives</v>
      </c>
      <c r="M87" s="57">
        <f t="shared" si="640"/>
        <v>0</v>
      </c>
      <c r="N87" s="57">
        <f t="shared" si="641"/>
        <v>0</v>
      </c>
      <c r="O87" s="58">
        <f t="shared" si="756"/>
        <v>0</v>
      </c>
      <c r="P87" s="48">
        <f t="shared" si="757"/>
        <v>70</v>
      </c>
      <c r="Q87" s="54">
        <f t="shared" si="642"/>
        <v>2.7839999999999998</v>
      </c>
      <c r="R87" s="45">
        <f t="shared" si="758"/>
        <v>1</v>
      </c>
      <c r="S87" s="46">
        <f t="shared" si="759"/>
        <v>2</v>
      </c>
      <c r="T87" s="72">
        <f t="shared" si="760"/>
        <v>0</v>
      </c>
      <c r="U87" s="46" cm="1">
        <f t="array" ref="U87">ROUND(IFERROR(INDEX(ArchiveResults!$F$5:$IX$116,ComparisonData!A87,ComparisonData!$U$1),0),5)</f>
        <v>0</v>
      </c>
      <c r="V87" s="46" cm="1">
        <f t="array" ref="V87">ROUND(IFERROR(INDEX(ArchiveResults!$F$5:$IX$116,ComparisonData!A87,ComparisonData!$V$1),0),5)</f>
        <v>0</v>
      </c>
      <c r="W87" s="56">
        <v>82</v>
      </c>
      <c r="X87" s="53" t="str">
        <f t="shared" si="643"/>
        <v>The National Archives</v>
      </c>
      <c r="Y87" s="57">
        <f t="shared" si="761"/>
        <v>0</v>
      </c>
      <c r="Z87" s="57">
        <f t="shared" si="762"/>
        <v>0</v>
      </c>
      <c r="AA87" s="58">
        <f t="shared" si="763"/>
        <v>0</v>
      </c>
      <c r="AB87" s="45">
        <f t="shared" si="764"/>
        <v>70</v>
      </c>
      <c r="AC87" s="54">
        <f t="shared" si="644"/>
        <v>2.7839999999999998</v>
      </c>
      <c r="AD87" s="45">
        <f t="shared" si="765"/>
        <v>1</v>
      </c>
      <c r="AE87" s="45">
        <f t="shared" si="766"/>
        <v>2</v>
      </c>
      <c r="AF87" s="45">
        <f t="shared" si="639"/>
        <v>0</v>
      </c>
      <c r="AG87" s="46" cm="1">
        <f t="array" ref="AG87">ROUND(IFERROR(INDEX(ArchiveResults!$F$5:$IX$116,ComparisonData!A87,ComparisonData!$AG$1),0),5)</f>
        <v>0</v>
      </c>
      <c r="AH87" s="46" cm="1">
        <f t="array" ref="AH87">ROUND(IFERROR(INDEX(ArchiveResults!$F$5:$IX$116,ComparisonData!A87,ComparisonData!$AH$1),0),5)</f>
        <v>0</v>
      </c>
      <c r="AI87" s="56">
        <v>82</v>
      </c>
      <c r="AJ87" s="53" t="str">
        <f t="shared" si="645"/>
        <v>The National Archives</v>
      </c>
      <c r="AK87" s="59">
        <f t="shared" si="646"/>
        <v>0</v>
      </c>
      <c r="AL87" s="59">
        <f t="shared" si="647"/>
        <v>0</v>
      </c>
      <c r="AM87" s="58">
        <f t="shared" si="767"/>
        <v>0</v>
      </c>
      <c r="AN87" s="45">
        <f t="shared" si="768"/>
        <v>70</v>
      </c>
      <c r="AO87" s="54">
        <f t="shared" si="648"/>
        <v>2.7839999999999998</v>
      </c>
      <c r="AP87" s="45">
        <f t="shared" si="769"/>
        <v>1</v>
      </c>
      <c r="AQ87" s="45">
        <f t="shared" si="770"/>
        <v>2</v>
      </c>
      <c r="AR87" s="46" cm="1">
        <f t="array" ref="AR87">ROUND(IFERROR(INDEX(ArchiveResults!$F$5:$IX$116,ComparisonData!A87,ComparisonData!$AR$1),0),5)</f>
        <v>0</v>
      </c>
      <c r="AS87" s="46" cm="1">
        <f t="array" ref="AS87">ROUND(IFERROR(INDEX(ArchiveResults!$F$5:$IX$116,ComparisonData!A87,ComparisonData!$AS$1),0),5)</f>
        <v>0</v>
      </c>
      <c r="AT87" s="46" cm="1">
        <f t="array" ref="AT87">ROUND(IFERROR(INDEX(ArchiveResults!$F$5:$IX$116,ComparisonData!A87,ComparisonData!$AT$1),0),5)</f>
        <v>0</v>
      </c>
      <c r="AU87" s="46" cm="1">
        <f t="array" ref="AU87">ROUND(IFERROR(INDEX(ArchiveResults!$F$5:$IX$116,ComparisonData!A87,ComparisonData!$AU$1),0),5)</f>
        <v>0</v>
      </c>
      <c r="AV87" s="46" cm="1">
        <f t="array" ref="AV87">ROUND(IFERROR(INDEX(ArchiveResults!$F$5:$IX$116,ComparisonData!A87,ComparisonData!$AV$1),0),5)</f>
        <v>0</v>
      </c>
      <c r="AW87" s="46" cm="1">
        <f t="array" ref="AW87">ROUND(IFERROR(INDEX(ArchiveResults!$F$5:$IX$116,ComparisonData!A87,ComparisonData!$AW$1),0),5)</f>
        <v>0</v>
      </c>
      <c r="AX87" s="46" cm="1">
        <f t="array" ref="AX87">ROUND(IFERROR(INDEX(ArchiveResults!$F$5:$IX$116,ComparisonData!A87,ComparisonData!$AX$1),0),5)</f>
        <v>0</v>
      </c>
      <c r="AY87" s="46" cm="1">
        <f t="array" ref="AY87">ROUND(IFERROR(INDEX(ArchiveResults!$F$5:$IX$116,ComparisonData!A87,ComparisonData!$AY$1),0),5)</f>
        <v>0</v>
      </c>
      <c r="AZ87" s="46" cm="1">
        <f t="array" ref="AZ87">ROUND(IFERROR(INDEX(ArchiveResults!$F$5:$IX$116,ComparisonData!A87,ComparisonData!$AZ$1),0),5)</f>
        <v>0</v>
      </c>
      <c r="BA87" s="46" cm="1">
        <f t="array" ref="BA87">ROUND(IFERROR(INDEX(ArchiveResults!$F$5:$IX$116,ComparisonData!A87,ComparisonData!$BA$1),0),5)</f>
        <v>0</v>
      </c>
      <c r="BB87" s="56">
        <v>82</v>
      </c>
      <c r="BC87" s="53" t="str">
        <f t="shared" si="649"/>
        <v>The National Archives</v>
      </c>
      <c r="BD87" s="60">
        <f t="shared" si="771"/>
        <v>0</v>
      </c>
      <c r="BE87" s="60">
        <f t="shared" si="772"/>
        <v>0</v>
      </c>
      <c r="BF87" s="60">
        <f t="shared" si="773"/>
        <v>0</v>
      </c>
      <c r="BG87" s="60">
        <f t="shared" si="774"/>
        <v>0</v>
      </c>
      <c r="BH87" s="60">
        <f t="shared" si="775"/>
        <v>0</v>
      </c>
      <c r="BI87" s="60">
        <f t="shared" si="776"/>
        <v>0</v>
      </c>
      <c r="BJ87" s="60">
        <f t="shared" si="777"/>
        <v>0</v>
      </c>
      <c r="BK87" s="60">
        <f t="shared" si="778"/>
        <v>0</v>
      </c>
      <c r="BL87" s="60">
        <f t="shared" si="779"/>
        <v>0</v>
      </c>
      <c r="BM87" s="59">
        <f t="shared" si="780"/>
        <v>0</v>
      </c>
      <c r="BN87" s="58">
        <f t="shared" si="781"/>
        <v>0</v>
      </c>
      <c r="BO87" s="45">
        <f t="shared" si="782"/>
        <v>70</v>
      </c>
      <c r="BP87" s="54">
        <f t="shared" si="650"/>
        <v>2.7839999999999998</v>
      </c>
      <c r="BQ87" s="45">
        <f t="shared" si="783"/>
        <v>1</v>
      </c>
      <c r="BR87" s="45">
        <f t="shared" si="784"/>
        <v>2</v>
      </c>
      <c r="BS87" s="46" cm="1">
        <f t="array" ref="BS87">ROUND(IFERROR(INDEX(ArchiveResults!$F$5:$IX$116,ComparisonData!A87,ComparisonData!$BS$1),0),5)</f>
        <v>0</v>
      </c>
      <c r="BT87" s="46" cm="1">
        <f t="array" ref="BT87">ROUND(IFERROR(INDEX(ArchiveResults!$F$5:$IX$116,ComparisonData!A87,ComparisonData!$BT$1),0),5)</f>
        <v>0</v>
      </c>
      <c r="BU87" s="46" cm="1">
        <f t="array" ref="BU87">ROUND(IFERROR(INDEX(ArchiveResults!$F$5:$IX$116,ComparisonData!A87,ComparisonData!$BU$1),0),5)</f>
        <v>0</v>
      </c>
      <c r="BV87" s="46" cm="1">
        <f t="array" ref="BV87">ROUND(IFERROR(INDEX(ArchiveResults!$F$5:$IX$116,ComparisonData!A87,ComparisonData!$BV$1),0),5)</f>
        <v>0</v>
      </c>
      <c r="BW87" s="46" cm="1">
        <f t="array" ref="BW87">ROUND(IFERROR(INDEX(ArchiveResults!$F$5:$IX$116,ComparisonData!A87,ComparisonData!$BW$1),0),5)</f>
        <v>0</v>
      </c>
      <c r="BX87" s="46" cm="1">
        <f t="array" ref="BX87">ROUND(IFERROR(INDEX(ArchiveResults!$F$5:$IX$116,ComparisonData!A87,ComparisonData!$BX$1),0),5)</f>
        <v>0</v>
      </c>
      <c r="BY87" s="56">
        <v>82</v>
      </c>
      <c r="BZ87" s="53" t="str">
        <f t="shared" si="651"/>
        <v>The National Archives</v>
      </c>
      <c r="CA87" s="59">
        <f t="shared" si="785"/>
        <v>0</v>
      </c>
      <c r="CB87" s="59">
        <f t="shared" si="786"/>
        <v>0</v>
      </c>
      <c r="CC87" s="59">
        <f t="shared" si="787"/>
        <v>0</v>
      </c>
      <c r="CD87" s="59">
        <f t="shared" si="788"/>
        <v>0</v>
      </c>
      <c r="CE87" s="59">
        <f t="shared" si="789"/>
        <v>0</v>
      </c>
      <c r="CF87" s="59">
        <f t="shared" si="790"/>
        <v>0</v>
      </c>
      <c r="CG87" s="58">
        <f t="shared" si="791"/>
        <v>0</v>
      </c>
      <c r="CH87" s="45">
        <f t="shared" si="792"/>
        <v>70</v>
      </c>
      <c r="CI87" s="54">
        <f t="shared" si="652"/>
        <v>2.7839999999999998</v>
      </c>
      <c r="CJ87" s="45">
        <f t="shared" si="793"/>
        <v>1</v>
      </c>
      <c r="CK87" s="45">
        <f t="shared" si="794"/>
        <v>2</v>
      </c>
      <c r="CL87" s="46" cm="1">
        <f t="array" ref="CL87">ROUND(IFERROR(INDEX(ArchiveResults!$F$5:$IX$116,ComparisonData!A87,ComparisonData!$CL$1),0),5)</f>
        <v>0</v>
      </c>
      <c r="CM87" s="56">
        <v>82</v>
      </c>
      <c r="CN87" s="53" t="str">
        <f t="shared" si="653"/>
        <v>The National Archives</v>
      </c>
      <c r="CO87" s="45">
        <f t="shared" si="795"/>
        <v>0</v>
      </c>
      <c r="CP87" s="58">
        <f t="shared" si="796"/>
        <v>0</v>
      </c>
      <c r="CQ87" s="45">
        <f t="shared" si="797"/>
        <v>70</v>
      </c>
      <c r="CR87" s="54">
        <f t="shared" si="654"/>
        <v>2.7839999999999998</v>
      </c>
      <c r="CS87" s="45">
        <f t="shared" si="798"/>
        <v>1</v>
      </c>
      <c r="CT87" s="45">
        <f t="shared" si="799"/>
        <v>2</v>
      </c>
      <c r="CU87" s="46" cm="1">
        <f t="array" ref="CU87">ROUND(IFERROR(INDEX(ArchiveResults!$F$5:$IX$116,ComparisonData!A87,ComparisonData!$CU$1),0),5)</f>
        <v>0</v>
      </c>
      <c r="CV87" s="56">
        <v>82</v>
      </c>
      <c r="CW87" s="53" t="str">
        <f t="shared" si="655"/>
        <v>The National Archives</v>
      </c>
      <c r="CX87" s="45">
        <f t="shared" si="800"/>
        <v>0</v>
      </c>
      <c r="CY87" s="58">
        <f t="shared" si="801"/>
        <v>0</v>
      </c>
      <c r="CZ87" s="45">
        <f t="shared" si="802"/>
        <v>70</v>
      </c>
      <c r="DA87" s="54">
        <f t="shared" si="656"/>
        <v>2.7839999999999998</v>
      </c>
      <c r="DB87" s="45">
        <f t="shared" si="803"/>
        <v>1</v>
      </c>
      <c r="DC87" s="45">
        <f t="shared" si="804"/>
        <v>2</v>
      </c>
      <c r="DD87" s="46" cm="1">
        <f t="array" ref="DD87">ROUND(IFERROR(INDEX(ArchiveResults!$F$5:$IX$116,ComparisonData!A87,ComparisonData!$DD$1),0),5)</f>
        <v>0</v>
      </c>
      <c r="DE87" s="56">
        <v>82</v>
      </c>
      <c r="DF87" s="53" t="str">
        <f t="shared" si="657"/>
        <v>The National Archives</v>
      </c>
      <c r="DG87" s="45">
        <f t="shared" si="805"/>
        <v>0</v>
      </c>
      <c r="DH87" s="58">
        <f t="shared" si="806"/>
        <v>0</v>
      </c>
      <c r="DI87" s="45">
        <f t="shared" si="807"/>
        <v>70</v>
      </c>
      <c r="DJ87" s="54">
        <f t="shared" si="658"/>
        <v>2.7839999999999998</v>
      </c>
      <c r="DK87" s="45">
        <f t="shared" si="808"/>
        <v>1</v>
      </c>
      <c r="DL87" s="45">
        <f t="shared" si="809"/>
        <v>2</v>
      </c>
      <c r="DM87" s="46" cm="1">
        <f t="array" ref="DM87">ROUND(IFERROR(INDEX(ArchiveResults!$F$5:$IX$116,ComparisonData!A87,ComparisonData!$DM$1),0),5)</f>
        <v>0</v>
      </c>
      <c r="DN87" s="46" cm="1">
        <f t="array" ref="DN87">ROUND(IFERROR(INDEX(ArchiveResults!$F$5:$IX$116,ComparisonData!A87,ComparisonData!$DN$1),0),5)</f>
        <v>0</v>
      </c>
      <c r="DO87" s="46" cm="1">
        <f t="array" ref="DO87">ROUND(IFERROR(INDEX(ArchiveResults!$F$5:$IX$116,ComparisonData!A87,ComparisonData!$DO$1),0),5)</f>
        <v>0</v>
      </c>
      <c r="DP87" s="46" cm="1">
        <f t="array" ref="DP87">ROUND(IFERROR(INDEX(ArchiveResults!$F$5:$IX$116,ComparisonData!A87,ComparisonData!$DP$1),0),5)</f>
        <v>0</v>
      </c>
      <c r="DQ87" s="45" cm="1">
        <f t="array" ref="DQ87">IFERROR(INDEX(ArchiveResults!$F$5:$IX$116,ComparisonData!A87,ComparisonData!$DQ$1),0)</f>
        <v>0</v>
      </c>
      <c r="DR87" s="56">
        <v>82</v>
      </c>
      <c r="DS87" s="53" t="str">
        <f t="shared" si="659"/>
        <v>The National Archives</v>
      </c>
      <c r="DT87" s="59">
        <f t="shared" si="810"/>
        <v>0</v>
      </c>
      <c r="DU87" s="59">
        <f t="shared" si="811"/>
        <v>0</v>
      </c>
      <c r="DV87" s="59">
        <f t="shared" si="812"/>
        <v>0</v>
      </c>
      <c r="DW87" s="59">
        <f t="shared" si="813"/>
        <v>0</v>
      </c>
      <c r="DX87" s="59">
        <f t="shared" si="814"/>
        <v>0</v>
      </c>
      <c r="DY87" s="58">
        <f t="shared" si="815"/>
        <v>0</v>
      </c>
      <c r="DZ87" s="45">
        <f t="shared" si="816"/>
        <v>70</v>
      </c>
      <c r="EA87" s="54">
        <f t="shared" si="660"/>
        <v>2.7839999999999998</v>
      </c>
      <c r="EB87" s="45">
        <f t="shared" si="817"/>
        <v>1</v>
      </c>
      <c r="EC87" s="45">
        <f t="shared" si="818"/>
        <v>2</v>
      </c>
      <c r="ED87" s="46" cm="1">
        <f t="array" ref="ED87">ROUND(IFERROR(INDEX(ArchiveResults!$F$5:$IX$116,ComparisonData!A87,ComparisonData!$ED$1),0),5)</f>
        <v>0</v>
      </c>
      <c r="EE87" s="46" cm="1">
        <f t="array" ref="EE87">ROUND(IFERROR(INDEX(ArchiveResults!$F$5:$IX$116,ComparisonData!A87,ComparisonData!$EE$1),0),5)</f>
        <v>0</v>
      </c>
      <c r="EF87" s="46" cm="1">
        <f t="array" ref="EF87">ROUND(IFERROR(INDEX(ArchiveResults!$F$5:$IX$116,ComparisonData!A87,ComparisonData!$EF$1),0),5)</f>
        <v>0</v>
      </c>
      <c r="EG87" s="46" cm="1">
        <f t="array" ref="EG87">ROUND(IFERROR(INDEX(ArchiveResults!$F$5:$IX$116,ComparisonData!A87,ComparisonData!$EG$1),0),5)</f>
        <v>0</v>
      </c>
      <c r="EH87" s="45" cm="1">
        <f t="array" ref="EH87">IFERROR(INDEX(ArchiveResults!$F$5:$IX$116,ComparisonData!A87,ComparisonData!$EH$1),0)</f>
        <v>0</v>
      </c>
      <c r="EI87" s="56">
        <v>82</v>
      </c>
      <c r="EJ87" s="53" t="str">
        <f t="shared" si="661"/>
        <v>The National Archives</v>
      </c>
      <c r="EK87" s="59">
        <f t="shared" si="819"/>
        <v>0</v>
      </c>
      <c r="EL87" s="59">
        <f t="shared" si="820"/>
        <v>0</v>
      </c>
      <c r="EM87" s="59">
        <f t="shared" si="821"/>
        <v>0</v>
      </c>
      <c r="EN87" s="59">
        <f t="shared" si="822"/>
        <v>0</v>
      </c>
      <c r="EO87" s="59">
        <f t="shared" si="823"/>
        <v>0</v>
      </c>
      <c r="EP87" s="58">
        <f t="shared" si="824"/>
        <v>0</v>
      </c>
      <c r="EQ87" s="45">
        <f t="shared" si="825"/>
        <v>70</v>
      </c>
      <c r="ER87" s="54">
        <f t="shared" si="662"/>
        <v>2.7839999999999998</v>
      </c>
      <c r="ES87" s="45">
        <f t="shared" si="826"/>
        <v>1</v>
      </c>
      <c r="ET87" s="45">
        <f t="shared" si="827"/>
        <v>2</v>
      </c>
      <c r="EU87" s="46" cm="1">
        <f t="array" ref="EU87">ROUND(IFERROR(INDEX(ArchiveResults!$F$5:$IX$116,ComparisonData!A87,ComparisonData!$EU$1),0),5)</f>
        <v>0</v>
      </c>
      <c r="EV87" s="46" cm="1">
        <f t="array" ref="EV87">ROUND(IFERROR(INDEX(ArchiveResults!$F$5:$IX$116,ComparisonData!A87,ComparisonData!$EV$1),0),5)</f>
        <v>0</v>
      </c>
      <c r="EW87" s="46" cm="1">
        <f t="array" ref="EW87">ROUND(IFERROR(INDEX(ArchiveResults!$F$5:$IX$116,ComparisonData!A87,ComparisonData!$EW$1),0),5)</f>
        <v>0</v>
      </c>
      <c r="EX87" s="46" cm="1">
        <f t="array" ref="EX87">ROUND(IFERROR(INDEX(ArchiveResults!$F$5:$IX$116,ComparisonData!A87,ComparisonData!$EX$1),0),5)</f>
        <v>0</v>
      </c>
      <c r="EY87" s="45" cm="1">
        <f t="array" ref="EY87">IFERROR(INDEX(ArchiveResults!$F$5:$IX$116,ComparisonData!A87,ComparisonData!$EY$1),0)</f>
        <v>0</v>
      </c>
      <c r="EZ87" s="56">
        <v>82</v>
      </c>
      <c r="FA87" s="53" t="str">
        <f t="shared" si="663"/>
        <v>The National Archives</v>
      </c>
      <c r="FB87" s="59">
        <f t="shared" si="828"/>
        <v>0</v>
      </c>
      <c r="FC87" s="59">
        <f t="shared" si="829"/>
        <v>0</v>
      </c>
      <c r="FD87" s="59">
        <f t="shared" si="830"/>
        <v>0</v>
      </c>
      <c r="FE87" s="59">
        <f t="shared" si="831"/>
        <v>0</v>
      </c>
      <c r="FF87" s="59">
        <f t="shared" si="832"/>
        <v>0</v>
      </c>
      <c r="FG87" s="58">
        <f t="shared" si="833"/>
        <v>0</v>
      </c>
      <c r="FH87" s="45">
        <f t="shared" si="834"/>
        <v>70</v>
      </c>
      <c r="FI87" s="54">
        <f t="shared" si="664"/>
        <v>2.7839999999999998</v>
      </c>
      <c r="FJ87" s="45">
        <f t="shared" si="835"/>
        <v>1</v>
      </c>
      <c r="FK87" s="45">
        <f t="shared" si="836"/>
        <v>2</v>
      </c>
      <c r="FL87" s="46" cm="1">
        <f t="array" ref="FL87">ROUND(IFERROR(INDEX(ArchiveResults!$F$5:$IX$116,ComparisonData!A87,ComparisonData!$FL$1),0),5)</f>
        <v>0</v>
      </c>
      <c r="FM87" s="46" cm="1">
        <f t="array" ref="FM87">ROUND(IFERROR(INDEX(ArchiveResults!$F$5:$IX$116,ComparisonData!A87,ComparisonData!$FM$1),0),5)</f>
        <v>0</v>
      </c>
      <c r="FN87" s="46" cm="1">
        <f t="array" ref="FN87">ROUND(IFERROR(INDEX(ArchiveResults!$F$5:$IX$116,ComparisonData!A87,ComparisonData!$FN$1),0),5)</f>
        <v>0</v>
      </c>
      <c r="FO87" s="46" cm="1">
        <f t="array" ref="FO87">ROUND(IFERROR(INDEX(ArchiveResults!$F$5:$IX$116,ComparisonData!A87,ComparisonData!$FO$1),0),5)</f>
        <v>0</v>
      </c>
      <c r="FP87" s="45" cm="1">
        <f t="array" ref="FP87">IFERROR(INDEX(ArchiveResults!$F$5:$IX$116,ComparisonData!A87,ComparisonData!$FP$1),0)</f>
        <v>0</v>
      </c>
      <c r="FQ87" s="56">
        <v>82</v>
      </c>
      <c r="FR87" s="53" t="str">
        <f t="shared" si="665"/>
        <v>The National Archives</v>
      </c>
      <c r="FS87" s="59">
        <f t="shared" si="837"/>
        <v>0</v>
      </c>
      <c r="FT87" s="59">
        <f t="shared" si="838"/>
        <v>0</v>
      </c>
      <c r="FU87" s="59">
        <f t="shared" si="839"/>
        <v>0</v>
      </c>
      <c r="FV87" s="59">
        <f t="shared" si="840"/>
        <v>0</v>
      </c>
      <c r="FW87" s="59">
        <f t="shared" si="841"/>
        <v>0</v>
      </c>
      <c r="FX87" s="58">
        <f t="shared" si="842"/>
        <v>0</v>
      </c>
      <c r="FY87" s="45">
        <f t="shared" si="843"/>
        <v>70</v>
      </c>
      <c r="FZ87" s="45">
        <f t="shared" si="666"/>
        <v>2.7839999999999998</v>
      </c>
      <c r="GA87" s="45">
        <f t="shared" si="844"/>
        <v>1</v>
      </c>
      <c r="GB87" s="45">
        <f t="shared" si="845"/>
        <v>2</v>
      </c>
      <c r="GC87" s="46" cm="1">
        <f t="array" ref="GC87">ROUND(IFERROR(INDEX(ArchiveResults!$F$5:$IX$116,ComparisonData!A87,ComparisonData!$GC$1),0),5)</f>
        <v>0</v>
      </c>
      <c r="GD87" s="46" cm="1">
        <f t="array" ref="GD87">ROUND(IFERROR(INDEX(ArchiveResults!$F$5:$IX$116,ComparisonData!A87,ComparisonData!$GD$1),0),5)</f>
        <v>0</v>
      </c>
      <c r="GE87" s="46" cm="1">
        <f t="array" ref="GE87">ROUND(IFERROR(INDEX(ArchiveResults!$F$5:$IX$116,ComparisonData!A87,ComparisonData!$GE$1),0),5)</f>
        <v>0</v>
      </c>
      <c r="GF87" s="46" cm="1">
        <f t="array" ref="GF87">ROUND(IFERROR(INDEX(ArchiveResults!$F$5:$IX$116,ComparisonData!A87,ComparisonData!$GF$1),0),5)</f>
        <v>0</v>
      </c>
      <c r="GG87" s="45" cm="1">
        <f t="array" ref="GG87">IFERROR(INDEX(ArchiveResults!$F$5:$IX$116,ComparisonData!A87,ComparisonData!$GG$1),0)</f>
        <v>0</v>
      </c>
      <c r="GH87" s="56">
        <v>82</v>
      </c>
      <c r="GI87" s="53" t="str">
        <f t="shared" si="667"/>
        <v>The National Archives</v>
      </c>
      <c r="GJ87" s="59">
        <f t="shared" si="846"/>
        <v>0</v>
      </c>
      <c r="GK87" s="59">
        <f t="shared" si="847"/>
        <v>0</v>
      </c>
      <c r="GL87" s="59">
        <f t="shared" si="848"/>
        <v>0</v>
      </c>
      <c r="GM87" s="59">
        <f t="shared" si="849"/>
        <v>0</v>
      </c>
      <c r="GN87" s="59">
        <f t="shared" si="850"/>
        <v>0</v>
      </c>
      <c r="GO87" s="58">
        <f t="shared" si="851"/>
        <v>0</v>
      </c>
      <c r="GP87" s="45">
        <f t="shared" si="852"/>
        <v>70</v>
      </c>
      <c r="GQ87" s="45">
        <f t="shared" si="668"/>
        <v>2.7839999999999998</v>
      </c>
      <c r="GR87" s="45">
        <f t="shared" si="853"/>
        <v>1</v>
      </c>
      <c r="GS87" s="45">
        <f t="shared" si="854"/>
        <v>2</v>
      </c>
      <c r="GT87" s="46" cm="1">
        <f t="array" ref="GT87">ROUND(IFERROR(INDEX(ArchiveResults!$F$5:$IX$116,ComparisonData!A87,ComparisonData!$GT$1),0),5)</f>
        <v>0</v>
      </c>
      <c r="GU87" s="46" cm="1">
        <f t="array" ref="GU87">ROUND(IFERROR(INDEX(ArchiveResults!$F$5:$IX$116,ComparisonData!A87,ComparisonData!$GU$1),0),5)</f>
        <v>0</v>
      </c>
      <c r="GV87" s="46" cm="1">
        <f t="array" ref="GV87">ROUND(IFERROR(INDEX(ArchiveResults!$F$5:$IX$116,ComparisonData!A87,ComparisonData!$GV$1),0),5)</f>
        <v>0</v>
      </c>
      <c r="GW87" s="46" cm="1">
        <f t="array" ref="GW87">ROUND(IFERROR(INDEX(ArchiveResults!$F$5:$IX$116,ComparisonData!A87,ComparisonData!$GW$1),0),5)</f>
        <v>0</v>
      </c>
      <c r="GX87" s="45" cm="1">
        <f t="array" ref="GX87">IFERROR(INDEX(ArchiveResults!$F$5:$IX$116,ComparisonData!A87,ComparisonData!$GX$1),0)</f>
        <v>0</v>
      </c>
      <c r="GY87" s="56">
        <v>82</v>
      </c>
      <c r="GZ87" s="53" t="str">
        <f t="shared" si="669"/>
        <v>The National Archives</v>
      </c>
      <c r="HA87" s="59">
        <f t="shared" si="855"/>
        <v>0</v>
      </c>
      <c r="HB87" s="59">
        <f t="shared" si="856"/>
        <v>0</v>
      </c>
      <c r="HC87" s="59">
        <f t="shared" si="857"/>
        <v>0</v>
      </c>
      <c r="HD87" s="59">
        <f t="shared" si="858"/>
        <v>0</v>
      </c>
      <c r="HE87" s="59">
        <f t="shared" si="859"/>
        <v>0</v>
      </c>
      <c r="HF87" s="58">
        <f t="shared" si="860"/>
        <v>0</v>
      </c>
      <c r="HG87" s="45">
        <f t="shared" si="861"/>
        <v>70</v>
      </c>
      <c r="HH87" s="45">
        <f t="shared" si="670"/>
        <v>2.7839999999999998</v>
      </c>
      <c r="HI87" s="45">
        <f t="shared" si="862"/>
        <v>1</v>
      </c>
      <c r="HJ87" s="45">
        <f t="shared" si="863"/>
        <v>2</v>
      </c>
      <c r="HK87" s="46" cm="1">
        <f t="array" ref="HK87">ROUND(IFERROR(INDEX(ArchiveResults!$F$5:$IX$116,ComparisonData!A87,ComparisonData!$HK$1),0),5)</f>
        <v>0</v>
      </c>
      <c r="HL87" s="46" cm="1">
        <f t="array" ref="HL87">ROUND(IFERROR(INDEX(ArchiveResults!$F$5:$IX$116,ComparisonData!A87,ComparisonData!$HL$1),0),5)</f>
        <v>0</v>
      </c>
      <c r="HM87" s="46" cm="1">
        <f t="array" ref="HM87">ROUND(IFERROR(INDEX(ArchiveResults!$F$5:$IX$116,ComparisonData!A87,ComparisonData!$HM$1),0),5)</f>
        <v>0</v>
      </c>
      <c r="HN87" s="46" cm="1">
        <f t="array" ref="HN87">ROUND(IFERROR(INDEX(ArchiveResults!$F$5:$IX$116,ComparisonData!A87,ComparisonData!$HN$1),0),5)</f>
        <v>0</v>
      </c>
      <c r="HO87" s="45" cm="1">
        <f t="array" ref="HO87">IFERROR(INDEX(ArchiveResults!$F$5:$IX$116,ComparisonData!A87,ComparisonData!$HO$1),0)</f>
        <v>0</v>
      </c>
      <c r="HP87" s="56">
        <v>82</v>
      </c>
      <c r="HQ87" s="53" t="str">
        <f t="shared" si="671"/>
        <v>The National Archives</v>
      </c>
      <c r="HR87" s="59">
        <f t="shared" si="672"/>
        <v>0</v>
      </c>
      <c r="HS87" s="59">
        <f t="shared" si="673"/>
        <v>0</v>
      </c>
      <c r="HT87" s="59">
        <f t="shared" si="674"/>
        <v>0</v>
      </c>
      <c r="HU87" s="59">
        <f t="shared" si="675"/>
        <v>0</v>
      </c>
      <c r="HV87" s="59">
        <f t="shared" si="676"/>
        <v>0</v>
      </c>
      <c r="HW87" s="58">
        <f t="shared" si="864"/>
        <v>0</v>
      </c>
      <c r="HX87" s="45">
        <f t="shared" si="865"/>
        <v>70</v>
      </c>
      <c r="HY87" s="45">
        <f t="shared" si="677"/>
        <v>2.7839999999999998</v>
      </c>
      <c r="HZ87" s="45">
        <f t="shared" si="866"/>
        <v>1</v>
      </c>
      <c r="IA87" s="45">
        <f t="shared" si="867"/>
        <v>2</v>
      </c>
      <c r="IB87" s="45">
        <f t="shared" si="868"/>
        <v>0</v>
      </c>
      <c r="IC87" s="46" cm="1">
        <f t="array" ref="IC87">ROUND(IFERROR(INDEX(ArchiveResults!$F$5:$IX$116,ComparisonData!A87,ComparisonData!$IC$1),0),5)</f>
        <v>0</v>
      </c>
      <c r="ID87" s="46" cm="1">
        <f t="array" ref="ID87">ROUND(IFERROR(INDEX(ArchiveResults!$F$5:$IX$116,ComparisonData!A87,ComparisonData!$ID$1),0),5)</f>
        <v>0</v>
      </c>
      <c r="IE87" s="46" cm="1">
        <f t="array" ref="IE87">ROUND(IFERROR(INDEX(ArchiveResults!$F$5:$IX$116,ComparisonData!A87,ComparisonData!$IE$1),0),5)</f>
        <v>0</v>
      </c>
      <c r="IF87" s="46" cm="1">
        <f t="array" ref="IF87">ROUND(IFERROR(INDEX(ArchiveResults!$F$5:$IX$116,ComparisonData!A87,ComparisonData!$IF$1),0),5)</f>
        <v>0</v>
      </c>
      <c r="IG87" s="45" cm="1">
        <f t="array" ref="IG87">IFERROR(INDEX(ArchiveResults!$F$5:$IX$116,ComparisonData!A87,ComparisonData!$IG$1),0)</f>
        <v>0</v>
      </c>
      <c r="IH87" s="56">
        <v>82</v>
      </c>
      <c r="II87" s="53" t="str">
        <f t="shared" si="678"/>
        <v>The National Archives</v>
      </c>
      <c r="IJ87" s="59">
        <f t="shared" si="869"/>
        <v>0</v>
      </c>
      <c r="IK87" s="59">
        <f t="shared" si="870"/>
        <v>0</v>
      </c>
      <c r="IL87" s="59">
        <f t="shared" si="871"/>
        <v>0</v>
      </c>
      <c r="IM87" s="59">
        <f t="shared" si="872"/>
        <v>0</v>
      </c>
      <c r="IN87" s="59">
        <f t="shared" si="873"/>
        <v>0</v>
      </c>
      <c r="IO87" s="58">
        <f t="shared" si="874"/>
        <v>0</v>
      </c>
      <c r="IP87" s="45">
        <f t="shared" si="875"/>
        <v>70</v>
      </c>
      <c r="IQ87" s="45">
        <f t="shared" si="679"/>
        <v>2.7839999999999998</v>
      </c>
      <c r="IR87" s="45">
        <f t="shared" si="876"/>
        <v>1</v>
      </c>
      <c r="IS87" s="45">
        <f t="shared" si="877"/>
        <v>2</v>
      </c>
      <c r="IT87" s="46">
        <f t="shared" si="878"/>
        <v>0</v>
      </c>
      <c r="IU87" s="46" cm="1">
        <f t="array" ref="IU87">ROUND(IFERROR(INDEX(ArchiveResults!$F$5:$IX$116,ComparisonData!A87,ComparisonData!$IU$1),0),5)</f>
        <v>0</v>
      </c>
      <c r="IV87" s="46" cm="1">
        <f t="array" ref="IV87">ROUND(IFERROR(INDEX(ArchiveResults!$F$5:$IX$116,ComparisonData!A87,ComparisonData!$IV$1),0),5)</f>
        <v>0</v>
      </c>
      <c r="IW87" s="46" cm="1">
        <f t="array" ref="IW87">ROUND(IFERROR(INDEX(ArchiveResults!$F$5:$IX$116,ComparisonData!A87,ComparisonData!$IW$1),0),5)</f>
        <v>0</v>
      </c>
      <c r="IX87" s="46" cm="1">
        <f t="array" ref="IX87">ROUND(IFERROR(INDEX(ArchiveResults!$F$5:$IX$116,ComparisonData!A87,ComparisonData!$IX$1),0),5)</f>
        <v>0</v>
      </c>
      <c r="IY87" s="45" cm="1">
        <f t="array" ref="IY87">IFERROR(INDEX(ArchiveResults!$F$5:$IX$116,ComparisonData!A87,ComparisonData!$IY$1),0)</f>
        <v>0</v>
      </c>
      <c r="IZ87" s="56">
        <v>82</v>
      </c>
      <c r="JA87" s="53" t="str">
        <f t="shared" si="680"/>
        <v>The National Archives</v>
      </c>
      <c r="JB87" s="59">
        <f t="shared" si="879"/>
        <v>0</v>
      </c>
      <c r="JC87" s="59">
        <f t="shared" si="880"/>
        <v>0</v>
      </c>
      <c r="JD87" s="59">
        <f t="shared" si="881"/>
        <v>0</v>
      </c>
      <c r="JE87" s="59">
        <f t="shared" si="882"/>
        <v>0</v>
      </c>
      <c r="JF87" s="59">
        <f t="shared" si="883"/>
        <v>0</v>
      </c>
      <c r="JG87" s="58">
        <f t="shared" si="884"/>
        <v>0</v>
      </c>
      <c r="JH87" s="45">
        <f t="shared" si="885"/>
        <v>70</v>
      </c>
      <c r="JI87" s="45">
        <f t="shared" si="681"/>
        <v>2.7839999999999998</v>
      </c>
      <c r="JJ87" s="45">
        <f t="shared" si="886"/>
        <v>1</v>
      </c>
      <c r="JK87" s="45">
        <f t="shared" si="887"/>
        <v>2</v>
      </c>
      <c r="JL87" s="45">
        <f t="shared" si="888"/>
        <v>0</v>
      </c>
      <c r="JM87" s="46" cm="1">
        <f t="array" ref="JM87">ROUND(IFERROR(INDEX(ArchiveResults!$F$5:$IX$116,ComparisonData!A87,ComparisonData!$JM$1),0),5)</f>
        <v>0</v>
      </c>
      <c r="JN87" s="46" cm="1">
        <f t="array" ref="JN87">ROUND(IFERROR(INDEX(ArchiveResults!$F$5:$IX$116,ComparisonData!A87,ComparisonData!$JN$1),0),5)</f>
        <v>0</v>
      </c>
      <c r="JO87" s="46" cm="1">
        <f t="array" ref="JO87">ROUND(IFERROR(INDEX(ArchiveResults!$F$5:$IX$116,ComparisonData!A87,ComparisonData!$JO$1),0),5)</f>
        <v>0</v>
      </c>
      <c r="JP87" s="46" cm="1">
        <f t="array" ref="JP87">ROUND(IFERROR(INDEX(ArchiveResults!$F$5:$IX$116,ComparisonData!A87,ComparisonData!$JP$1),0),5)</f>
        <v>0</v>
      </c>
      <c r="JQ87" s="45" cm="1">
        <f t="array" ref="JQ87">IFERROR(INDEX(ArchiveResults!$F$5:$IX$116,ComparisonData!A87,ComparisonData!$JQ$1),0)</f>
        <v>0</v>
      </c>
      <c r="JR87" s="56">
        <v>82</v>
      </c>
      <c r="JS87" s="53" t="str">
        <f t="shared" si="682"/>
        <v>The National Archives</v>
      </c>
      <c r="JT87" s="59">
        <f t="shared" si="889"/>
        <v>0</v>
      </c>
      <c r="JU87" s="59">
        <f t="shared" si="890"/>
        <v>0</v>
      </c>
      <c r="JV87" s="59">
        <f t="shared" si="891"/>
        <v>0</v>
      </c>
      <c r="JW87" s="59">
        <f t="shared" si="892"/>
        <v>0</v>
      </c>
      <c r="JX87" s="59">
        <f t="shared" si="893"/>
        <v>0</v>
      </c>
      <c r="JY87" s="58">
        <f t="shared" si="894"/>
        <v>0</v>
      </c>
      <c r="JZ87" s="45">
        <f t="shared" si="895"/>
        <v>70</v>
      </c>
      <c r="KA87" s="45">
        <f t="shared" si="683"/>
        <v>2.7839999999999998</v>
      </c>
      <c r="KB87" s="45">
        <f t="shared" si="896"/>
        <v>1</v>
      </c>
      <c r="KC87" s="45">
        <f t="shared" si="897"/>
        <v>2</v>
      </c>
      <c r="KD87" s="45">
        <f t="shared" si="898"/>
        <v>0</v>
      </c>
      <c r="KE87" s="46" cm="1">
        <f t="array" ref="KE87">ROUND(IFERROR(INDEX(ArchiveResults!$F$5:$IX$116,ComparisonData!A87,ComparisonData!$KE$1),0),5)</f>
        <v>0</v>
      </c>
      <c r="KF87" s="46" cm="1">
        <f t="array" ref="KF87">ROUND(IFERROR(INDEX(ArchiveResults!$F$5:$IX$116,ComparisonData!A87,ComparisonData!$KF$1),0),5)</f>
        <v>0</v>
      </c>
      <c r="KG87" s="46" cm="1">
        <f t="array" ref="KG87">ROUND(IFERROR(INDEX(ArchiveResults!$F$5:$IX$116,ComparisonData!A87,ComparisonData!$KG$1),0),5)</f>
        <v>0</v>
      </c>
      <c r="KH87" s="46" cm="1">
        <f t="array" ref="KH87">ROUND(IFERROR(INDEX(ArchiveResults!$F$5:$IX$116,ComparisonData!A87,ComparisonData!$KH$1),0),5)</f>
        <v>0</v>
      </c>
      <c r="KI87" s="45" cm="1">
        <f t="array" ref="KI87">IFERROR(INDEX(ArchiveResults!$F$5:$IX$116,ComparisonData!A87,ComparisonData!$KI$1),0)</f>
        <v>0</v>
      </c>
      <c r="KJ87" s="56">
        <v>82</v>
      </c>
      <c r="KK87" s="53" t="str">
        <f t="shared" si="684"/>
        <v>The National Archives</v>
      </c>
      <c r="KL87" s="59">
        <f t="shared" si="899"/>
        <v>0</v>
      </c>
      <c r="KM87" s="59">
        <f t="shared" si="900"/>
        <v>0</v>
      </c>
      <c r="KN87" s="59">
        <f t="shared" si="901"/>
        <v>0</v>
      </c>
      <c r="KO87" s="59">
        <f t="shared" si="902"/>
        <v>0</v>
      </c>
      <c r="KP87" s="59">
        <f t="shared" si="903"/>
        <v>0</v>
      </c>
      <c r="KQ87" s="58">
        <f t="shared" si="904"/>
        <v>0</v>
      </c>
      <c r="KR87" s="45">
        <f t="shared" si="905"/>
        <v>70</v>
      </c>
      <c r="KS87" s="45">
        <f t="shared" si="685"/>
        <v>2.7839999999999998</v>
      </c>
      <c r="KT87" s="45">
        <f t="shared" si="906"/>
        <v>1</v>
      </c>
      <c r="KU87" s="45">
        <f t="shared" si="907"/>
        <v>2</v>
      </c>
      <c r="KV87" s="45">
        <f t="shared" si="908"/>
        <v>0</v>
      </c>
      <c r="KW87" s="46" cm="1">
        <f t="array" ref="KW87">ROUND(IFERROR(INDEX(ArchiveResults!$F$5:$IX$116,ComparisonData!A87,ComparisonData!$KW$1),0),5)</f>
        <v>0</v>
      </c>
      <c r="KX87" s="46" cm="1">
        <f t="array" ref="KX87">ROUND(IFERROR(INDEX(ArchiveResults!$F$5:$IX$116,ComparisonData!A87,ComparisonData!$KX$1),0),5)</f>
        <v>0</v>
      </c>
      <c r="KY87" s="46" cm="1">
        <f t="array" ref="KY87">ROUND(IFERROR(INDEX(ArchiveResults!$F$5:$IX$116,ComparisonData!A87,ComparisonData!$KY$1),0),5)</f>
        <v>0</v>
      </c>
      <c r="KZ87" s="46" cm="1">
        <f t="array" ref="KZ87">ROUND(IFERROR(INDEX(ArchiveResults!$F$5:$IX$116,ComparisonData!A87,ComparisonData!$KZ$1),0),5)</f>
        <v>0</v>
      </c>
      <c r="LA87" s="45" cm="1">
        <f t="array" ref="LA87">IFERROR(INDEX(ArchiveResults!$F$5:$IX$116,ComparisonData!A87,ComparisonData!$LA$1),0)</f>
        <v>0</v>
      </c>
      <c r="LB87" s="56">
        <v>82</v>
      </c>
      <c r="LC87" s="53" t="str">
        <f t="shared" si="686"/>
        <v>The National Archives</v>
      </c>
      <c r="LD87" s="59">
        <f t="shared" si="909"/>
        <v>0</v>
      </c>
      <c r="LE87" s="59">
        <f t="shared" si="910"/>
        <v>0</v>
      </c>
      <c r="LF87" s="59">
        <f t="shared" si="911"/>
        <v>0</v>
      </c>
      <c r="LG87" s="59">
        <f t="shared" si="912"/>
        <v>0</v>
      </c>
      <c r="LH87" s="59">
        <f t="shared" si="913"/>
        <v>0</v>
      </c>
      <c r="LI87" s="58">
        <f t="shared" si="914"/>
        <v>0</v>
      </c>
      <c r="LJ87" s="45">
        <f t="shared" si="915"/>
        <v>70</v>
      </c>
      <c r="LK87" s="45">
        <f t="shared" si="687"/>
        <v>2.7839999999999998</v>
      </c>
      <c r="LL87" s="45">
        <f t="shared" si="916"/>
        <v>1</v>
      </c>
      <c r="LM87" s="45">
        <f t="shared" si="917"/>
        <v>2</v>
      </c>
      <c r="LN87" s="45">
        <f t="shared" si="918"/>
        <v>0</v>
      </c>
      <c r="LO87" s="46" cm="1">
        <f t="array" ref="LO87">ROUND(IFERROR(INDEX(ArchiveResults!$F$5:$IX$116,ComparisonData!A87,ComparisonData!$LO$1),0),5)</f>
        <v>0</v>
      </c>
      <c r="LP87" s="46" cm="1">
        <f t="array" ref="LP87">ROUND(IFERROR(INDEX(ArchiveResults!$F$5:$IX$116,ComparisonData!A87,ComparisonData!$LP$1),0),5)</f>
        <v>0</v>
      </c>
      <c r="LQ87" s="46" cm="1">
        <f t="array" ref="LQ87">ROUND(IFERROR(INDEX(ArchiveResults!$F$5:$IX$116,ComparisonData!A87,ComparisonData!$LQ$1),0),5)</f>
        <v>0</v>
      </c>
      <c r="LR87" s="46" cm="1">
        <f t="array" ref="LR87">ROUND(IFERROR(INDEX(ArchiveResults!$F$5:$IX$116,ComparisonData!A87,ComparisonData!$LR$1),0),5)</f>
        <v>0</v>
      </c>
      <c r="LS87" s="45" cm="1">
        <f t="array" ref="LS87">IFERROR(INDEX(ArchiveResults!$F$5:$IX$116,ComparisonData!A87,ComparisonData!$LS$1),0)</f>
        <v>0</v>
      </c>
      <c r="LT87" s="56">
        <v>82</v>
      </c>
      <c r="LU87" s="53" t="str">
        <f t="shared" si="688"/>
        <v>The National Archives</v>
      </c>
      <c r="LV87" s="59">
        <f t="shared" si="919"/>
        <v>0</v>
      </c>
      <c r="LW87" s="59">
        <f t="shared" si="920"/>
        <v>0</v>
      </c>
      <c r="LX87" s="59">
        <f t="shared" si="921"/>
        <v>0</v>
      </c>
      <c r="LY87" s="59">
        <f t="shared" si="922"/>
        <v>0</v>
      </c>
      <c r="LZ87" s="59">
        <f t="shared" si="923"/>
        <v>0</v>
      </c>
      <c r="MA87" s="58">
        <f t="shared" si="924"/>
        <v>0</v>
      </c>
      <c r="MB87" s="45">
        <f t="shared" si="925"/>
        <v>70</v>
      </c>
      <c r="MC87" s="45">
        <f t="shared" si="689"/>
        <v>2.7839999999999998</v>
      </c>
      <c r="MD87" s="45">
        <f t="shared" si="926"/>
        <v>1</v>
      </c>
      <c r="ME87" s="45">
        <f t="shared" si="927"/>
        <v>2</v>
      </c>
      <c r="MF87" s="45">
        <f t="shared" si="928"/>
        <v>0</v>
      </c>
      <c r="MG87" s="46" cm="1">
        <f t="array" ref="MG87">ROUND(IFERROR(INDEX(ArchiveResults!$F$5:$IX$116,ComparisonData!A87,ComparisonData!$MG$1),0),5)</f>
        <v>0</v>
      </c>
      <c r="MH87" s="46" cm="1">
        <f t="array" ref="MH87">ROUND(IFERROR(INDEX(ArchiveResults!$F$5:$IX$116,ComparisonData!A87,ComparisonData!$MH$1),0),5)</f>
        <v>0</v>
      </c>
      <c r="MI87" s="46" cm="1">
        <f t="array" ref="MI87">ROUND(IFERROR(INDEX(ArchiveResults!$F$5:$IX$116,ComparisonData!A87,ComparisonData!$MI$1),0),5)</f>
        <v>0</v>
      </c>
      <c r="MJ87" s="46" cm="1">
        <f t="array" ref="MJ87">ROUND(IFERROR(INDEX(ArchiveResults!$F$5:$IX$116,ComparisonData!A87,ComparisonData!$MJ$1),0),5)</f>
        <v>0</v>
      </c>
      <c r="MK87" s="45" cm="1">
        <f t="array" ref="MK87">IFERROR(INDEX(ArchiveResults!$F$5:$IX$116,ComparisonData!A87,ComparisonData!$MK$1),0)</f>
        <v>0</v>
      </c>
      <c r="ML87" s="56">
        <v>82</v>
      </c>
      <c r="MM87" s="53" t="str">
        <f t="shared" si="690"/>
        <v>The National Archives</v>
      </c>
      <c r="MN87" s="59">
        <f t="shared" si="929"/>
        <v>0</v>
      </c>
      <c r="MO87" s="59">
        <f t="shared" si="930"/>
        <v>0</v>
      </c>
      <c r="MP87" s="59">
        <f t="shared" si="931"/>
        <v>0</v>
      </c>
      <c r="MQ87" s="59">
        <f t="shared" si="932"/>
        <v>0</v>
      </c>
      <c r="MR87" s="59">
        <f t="shared" si="933"/>
        <v>0</v>
      </c>
      <c r="MS87" s="58">
        <f t="shared" si="934"/>
        <v>0</v>
      </c>
      <c r="MT87" s="45">
        <f t="shared" si="935"/>
        <v>70</v>
      </c>
      <c r="MU87" s="45">
        <f t="shared" si="691"/>
        <v>2.7839999999999998</v>
      </c>
      <c r="MV87" s="45">
        <f t="shared" si="936"/>
        <v>1</v>
      </c>
      <c r="MW87" s="45">
        <f t="shared" si="937"/>
        <v>2</v>
      </c>
      <c r="MX87" s="45">
        <f t="shared" si="938"/>
        <v>0</v>
      </c>
      <c r="MY87" s="46" cm="1">
        <f t="array" ref="MY87">ROUND(IFERROR(INDEX(ArchiveResults!$F$5:$IX$116,ComparisonData!A87,ComparisonData!$MY$1),0),5)</f>
        <v>0</v>
      </c>
      <c r="MZ87" s="46" cm="1">
        <f t="array" ref="MZ87">ROUND(IFERROR(INDEX(ArchiveResults!$F$5:$IX$116,ComparisonData!A87,ComparisonData!$MZ$1),0),5)</f>
        <v>0</v>
      </c>
      <c r="NA87" s="46" cm="1">
        <f t="array" ref="NA87">ROUND(IFERROR(INDEX(ArchiveResults!$F$5:$IX$116,ComparisonData!A87,ComparisonData!$NA$1),0),5)</f>
        <v>0</v>
      </c>
      <c r="NB87" s="46" cm="1">
        <f t="array" ref="NB87">ROUND(IFERROR(INDEX(ArchiveResults!$F$5:$IX$116,ComparisonData!A87,ComparisonData!$NB$1),0),5)</f>
        <v>0</v>
      </c>
      <c r="NC87" s="45" cm="1">
        <f t="array" ref="NC87">IFERROR(INDEX(ArchiveResults!$F$5:$IX$116,ComparisonData!A87,ComparisonData!$NC$1),0)</f>
        <v>0</v>
      </c>
      <c r="ND87" s="56">
        <v>82</v>
      </c>
      <c r="NE87" s="53" t="str">
        <f t="shared" si="692"/>
        <v>The National Archives</v>
      </c>
      <c r="NF87" s="59">
        <f t="shared" si="939"/>
        <v>0</v>
      </c>
      <c r="NG87" s="59">
        <f t="shared" si="940"/>
        <v>0</v>
      </c>
      <c r="NH87" s="59">
        <f t="shared" si="941"/>
        <v>0</v>
      </c>
      <c r="NI87" s="59">
        <f t="shared" si="942"/>
        <v>0</v>
      </c>
      <c r="NJ87" s="59">
        <f t="shared" si="943"/>
        <v>0</v>
      </c>
      <c r="NK87" s="58">
        <f t="shared" si="944"/>
        <v>0</v>
      </c>
      <c r="NL87" s="45">
        <f t="shared" si="945"/>
        <v>70</v>
      </c>
      <c r="NM87" s="45">
        <f t="shared" si="693"/>
        <v>2.7839999999999998</v>
      </c>
      <c r="NN87" s="45">
        <f t="shared" si="946"/>
        <v>1</v>
      </c>
      <c r="NO87" s="45">
        <f t="shared" si="947"/>
        <v>2</v>
      </c>
      <c r="NP87" s="46" cm="1">
        <f t="array" ref="NP87">ROUND(IFERROR(INDEX(ArchiveResults!$F$5:$IX$116,ComparisonData!A87,ComparisonData!$NP$1),0),5)</f>
        <v>0</v>
      </c>
      <c r="NQ87" s="46" cm="1">
        <f t="array" ref="NQ87">ROUND(IFERROR(INDEX(ArchiveResults!$F$5:$IX$116,ComparisonData!A87,ComparisonData!$NQ$1),0),5)</f>
        <v>0</v>
      </c>
      <c r="NR87" s="46" cm="1">
        <f t="array" ref="NR87">ROUND(IFERROR(INDEX(ArchiveResults!$F$5:$IX$116,ComparisonData!A87,ComparisonData!$NR$1),0),5)</f>
        <v>0</v>
      </c>
      <c r="NS87" s="46" cm="1">
        <f t="array" ref="NS87">ROUND(IFERROR(INDEX(ArchiveResults!$F$5:$IX$116,ComparisonData!A87,ComparisonData!$NS$1),0),5)</f>
        <v>0</v>
      </c>
      <c r="NT87" s="45" cm="1">
        <f t="array" ref="NT87">IFERROR(INDEX(ArchiveResults!$F$5:$IX$116,ComparisonData!A87,ComparisonData!$NT$1),0)</f>
        <v>0</v>
      </c>
      <c r="NU87" s="56">
        <v>82</v>
      </c>
      <c r="NV87" s="53" t="str">
        <f t="shared" si="694"/>
        <v>The National Archives</v>
      </c>
      <c r="NW87" s="59">
        <f t="shared" si="948"/>
        <v>0</v>
      </c>
      <c r="NX87" s="59">
        <f t="shared" si="949"/>
        <v>0</v>
      </c>
      <c r="NY87" s="59">
        <f t="shared" si="950"/>
        <v>0</v>
      </c>
      <c r="NZ87" s="59">
        <f t="shared" si="951"/>
        <v>0</v>
      </c>
      <c r="OA87" s="59">
        <f t="shared" si="952"/>
        <v>0</v>
      </c>
      <c r="OB87" s="58">
        <f t="shared" si="953"/>
        <v>0</v>
      </c>
      <c r="OC87" s="45">
        <f t="shared" si="954"/>
        <v>70</v>
      </c>
      <c r="OD87" s="45">
        <f t="shared" si="695"/>
        <v>2.7839999999999998</v>
      </c>
      <c r="OE87" s="45">
        <f t="shared" si="955"/>
        <v>1</v>
      </c>
      <c r="OF87" s="45">
        <f t="shared" si="956"/>
        <v>2</v>
      </c>
      <c r="OG87" s="46">
        <f t="shared" si="957"/>
        <v>0</v>
      </c>
      <c r="OH87" s="46" cm="1">
        <f t="array" ref="OH87">ROUND(IFERROR(INDEX(ArchiveResults!$F$5:$IX$116,ComparisonData!A87,ComparisonData!$OH$1),0),5)</f>
        <v>0</v>
      </c>
      <c r="OI87" s="46" cm="1">
        <f t="array" ref="OI87">ROUND(IFERROR(INDEX(ArchiveResults!$F$5:$IX$116,ComparisonData!A87,ComparisonData!$OI$1),0),5)</f>
        <v>0</v>
      </c>
      <c r="OJ87" s="46" cm="1">
        <f t="array" ref="OJ87">ROUND(IFERROR(INDEX(ArchiveResults!$F$5:$IX$116,ComparisonData!A87,ComparisonData!$OJ$1),0),5)</f>
        <v>0</v>
      </c>
      <c r="OK87" s="46" cm="1">
        <f t="array" ref="OK87">ROUND(IFERROR(INDEX(ArchiveResults!$F$5:$IX$116,ComparisonData!A87,ComparisonData!$OK$1),0),5)</f>
        <v>0</v>
      </c>
      <c r="OL87" s="45" cm="1">
        <f t="array" ref="OL87">IFERROR(INDEX(ArchiveResults!$F$5:$IX$116,ComparisonData!A87,ComparisonData!$OL$1),0)</f>
        <v>0</v>
      </c>
      <c r="OM87" s="56">
        <v>82</v>
      </c>
      <c r="ON87" s="53" t="str">
        <f t="shared" si="696"/>
        <v>The National Archives</v>
      </c>
      <c r="OO87" s="59">
        <f t="shared" si="958"/>
        <v>0</v>
      </c>
      <c r="OP87" s="59">
        <f t="shared" si="959"/>
        <v>0</v>
      </c>
      <c r="OQ87" s="59">
        <f t="shared" si="960"/>
        <v>0</v>
      </c>
      <c r="OR87" s="59">
        <f t="shared" si="961"/>
        <v>0</v>
      </c>
      <c r="OS87" s="59">
        <f t="shared" si="962"/>
        <v>0</v>
      </c>
      <c r="OT87" s="58">
        <f t="shared" si="963"/>
        <v>0</v>
      </c>
      <c r="OU87" s="45">
        <f t="shared" si="964"/>
        <v>70</v>
      </c>
      <c r="OV87" s="45">
        <f t="shared" si="697"/>
        <v>2.7839999999999998</v>
      </c>
      <c r="OW87" s="45">
        <f t="shared" si="965"/>
        <v>1</v>
      </c>
      <c r="OX87" s="45">
        <f t="shared" si="966"/>
        <v>2</v>
      </c>
      <c r="OY87" s="45">
        <f t="shared" si="967"/>
        <v>0</v>
      </c>
      <c r="OZ87" s="46" cm="1">
        <f t="array" ref="OZ87">ROUND(IFERROR(INDEX(ArchiveResults!$F$5:$IX$116,ComparisonData!A87,ComparisonData!$OZ$1),0),5)</f>
        <v>0</v>
      </c>
      <c r="PA87" s="46" cm="1">
        <f t="array" ref="PA87">ROUND(IFERROR(INDEX(ArchiveResults!$F$5:$IX$116,ComparisonData!A87,ComparisonData!$PA$1),0),5)</f>
        <v>0</v>
      </c>
      <c r="PB87" s="46" cm="1">
        <f t="array" ref="PB87">ROUND(IFERROR(INDEX(ArchiveResults!$F$5:$IX$116,ComparisonData!A87,ComparisonData!$PB$1),0),5)</f>
        <v>0</v>
      </c>
      <c r="PC87" s="46" cm="1">
        <f t="array" ref="PC87">ROUND(IFERROR(INDEX(ArchiveResults!$F$5:$IX$116,ComparisonData!A87,ComparisonData!$PC$1),0),5)</f>
        <v>0</v>
      </c>
      <c r="PD87" s="45" cm="1">
        <f t="array" ref="PD87">IFERROR(INDEX(ArchiveResults!$F$5:$IX$116,ComparisonData!A87,ComparisonData!$PD$1),0)</f>
        <v>0</v>
      </c>
      <c r="PE87" s="56">
        <v>82</v>
      </c>
      <c r="PF87" s="53" t="str">
        <f t="shared" si="698"/>
        <v>The National Archives</v>
      </c>
      <c r="PG87" s="59">
        <f t="shared" si="968"/>
        <v>0</v>
      </c>
      <c r="PH87" s="59">
        <f t="shared" si="969"/>
        <v>0</v>
      </c>
      <c r="PI87" s="59">
        <f t="shared" si="970"/>
        <v>0</v>
      </c>
      <c r="PJ87" s="59">
        <f t="shared" si="971"/>
        <v>0</v>
      </c>
      <c r="PK87" s="59">
        <f t="shared" si="972"/>
        <v>0</v>
      </c>
      <c r="PL87" s="58">
        <f t="shared" si="973"/>
        <v>0</v>
      </c>
      <c r="PM87" s="45">
        <f t="shared" si="974"/>
        <v>70</v>
      </c>
      <c r="PN87" s="45">
        <f t="shared" si="699"/>
        <v>2.7839999999999998</v>
      </c>
      <c r="PO87" s="45">
        <f t="shared" si="975"/>
        <v>1</v>
      </c>
      <c r="PP87" s="45">
        <f t="shared" si="976"/>
        <v>2</v>
      </c>
      <c r="PQ87" s="45">
        <f t="shared" si="977"/>
        <v>0</v>
      </c>
      <c r="PR87" s="46" cm="1">
        <f t="array" ref="PR87">ROUND(IFERROR(INDEX(ArchiveResults!$F$5:$IX$116,ComparisonData!A87,ComparisonData!$PR$1),0),5)</f>
        <v>0</v>
      </c>
      <c r="PS87" s="46" cm="1">
        <f t="array" ref="PS87">ROUND(IFERROR(INDEX(ArchiveResults!$F$5:$IX$116,ComparisonData!A87,ComparisonData!$PS$1),0),5)</f>
        <v>0</v>
      </c>
      <c r="PT87" s="46" cm="1">
        <f t="array" ref="PT87">ROUND(IFERROR(INDEX(ArchiveResults!$F$5:$IX$116,ComparisonData!A87,ComparisonData!$PT$1),0),5)</f>
        <v>0</v>
      </c>
      <c r="PU87" s="46" cm="1">
        <f t="array" ref="PU87">ROUND(IFERROR(INDEX(ArchiveResults!$F$5:$IX$116,ComparisonData!A87,ComparisonData!$PU$1),0),5)</f>
        <v>0</v>
      </c>
      <c r="PV87" s="45" cm="1">
        <f t="array" ref="PV87">IFERROR(INDEX(ArchiveResults!$F$5:$IX$116,ComparisonData!A87,ComparisonData!$PV$1),0)</f>
        <v>0</v>
      </c>
      <c r="PW87" s="56">
        <v>82</v>
      </c>
      <c r="PX87" s="53" t="str">
        <f t="shared" si="700"/>
        <v>The National Archives</v>
      </c>
      <c r="PY87" s="59">
        <f t="shared" si="978"/>
        <v>0</v>
      </c>
      <c r="PZ87" s="59">
        <f t="shared" si="979"/>
        <v>0</v>
      </c>
      <c r="QA87" s="59">
        <f t="shared" si="980"/>
        <v>0</v>
      </c>
      <c r="QB87" s="59">
        <f t="shared" si="981"/>
        <v>0</v>
      </c>
      <c r="QC87" s="59">
        <f t="shared" si="982"/>
        <v>0</v>
      </c>
      <c r="QD87" s="58">
        <f t="shared" si="983"/>
        <v>0</v>
      </c>
      <c r="QE87" s="45">
        <f t="shared" si="984"/>
        <v>70</v>
      </c>
      <c r="QF87" s="45">
        <f t="shared" si="701"/>
        <v>2.7839999999999998</v>
      </c>
      <c r="QG87" s="45">
        <f t="shared" si="985"/>
        <v>1</v>
      </c>
      <c r="QH87" s="45">
        <f t="shared" si="986"/>
        <v>2</v>
      </c>
      <c r="QI87" s="45">
        <f t="shared" si="987"/>
        <v>0</v>
      </c>
      <c r="QJ87" s="46" cm="1">
        <f t="array" ref="QJ87">ROUND(IFERROR(INDEX(ArchiveResults!$F$5:$IX$116,ComparisonData!A87,ComparisonData!$QJ$1),0),5)</f>
        <v>0</v>
      </c>
      <c r="QK87" s="46" cm="1">
        <f t="array" ref="QK87">ROUND(IFERROR(INDEX(ArchiveResults!$F$5:$IX$116,ComparisonData!A87,ComparisonData!$QK$1),0),5)</f>
        <v>0</v>
      </c>
      <c r="QL87" s="46" cm="1">
        <f t="array" ref="QL87">ROUND(IFERROR(INDEX(ArchiveResults!$F$5:$IX$116,ComparisonData!A87,ComparisonData!$QL$1),0),5)</f>
        <v>0</v>
      </c>
      <c r="QM87" s="46" cm="1">
        <f t="array" ref="QM87">ROUND(IFERROR(INDEX(ArchiveResults!$F$5:$IX$116,ComparisonData!A87,ComparisonData!$QM$1),0),5)</f>
        <v>0</v>
      </c>
      <c r="QN87" s="45" cm="1">
        <f t="array" ref="QN87">IFERROR(INDEX(ArchiveResults!$F$5:$IX$116,ComparisonData!A87,ComparisonData!$QN$1),0)</f>
        <v>0</v>
      </c>
      <c r="QO87" s="56">
        <v>82</v>
      </c>
      <c r="QP87" s="53" t="str">
        <f t="shared" si="702"/>
        <v>The National Archives</v>
      </c>
      <c r="QQ87" s="59">
        <f t="shared" si="988"/>
        <v>0</v>
      </c>
      <c r="QR87" s="59">
        <f t="shared" si="989"/>
        <v>0</v>
      </c>
      <c r="QS87" s="59">
        <f t="shared" si="990"/>
        <v>0</v>
      </c>
      <c r="QT87" s="59">
        <f t="shared" si="991"/>
        <v>0</v>
      </c>
      <c r="QU87" s="59">
        <f t="shared" si="992"/>
        <v>0</v>
      </c>
      <c r="QV87" s="58">
        <f t="shared" si="993"/>
        <v>0</v>
      </c>
      <c r="QW87" s="45">
        <f t="shared" si="994"/>
        <v>70</v>
      </c>
      <c r="QX87" s="45">
        <f t="shared" si="703"/>
        <v>2.7839999999999998</v>
      </c>
      <c r="QY87" s="45">
        <f t="shared" si="995"/>
        <v>1</v>
      </c>
      <c r="QZ87" s="45">
        <f t="shared" si="996"/>
        <v>2</v>
      </c>
      <c r="RA87" s="45">
        <f t="shared" si="997"/>
        <v>0</v>
      </c>
      <c r="RB87" s="46" cm="1">
        <f t="array" ref="RB87">ROUND(IFERROR(INDEX(ArchiveResults!$F$5:$IX$116,ComparisonData!A87,ComparisonData!$RB$1),0),5)</f>
        <v>0</v>
      </c>
      <c r="RC87" s="46" cm="1">
        <f t="array" ref="RC87">ROUND(IFERROR(INDEX(ArchiveResults!$F$5:$IX$116,ComparisonData!A87,ComparisonData!$RC$1),0),5)</f>
        <v>0</v>
      </c>
      <c r="RD87" s="46" cm="1">
        <f t="array" ref="RD87">ROUND(IFERROR(INDEX(ArchiveResults!$F$5:$IX$116,ComparisonData!A87,ComparisonData!$RD$1),0),5)</f>
        <v>0</v>
      </c>
      <c r="RE87" s="46" cm="1">
        <f t="array" ref="RE87">ROUND(IFERROR(INDEX(ArchiveResults!$F$5:$IX$116,ComparisonData!A87,ComparisonData!$RE$1),0),5)</f>
        <v>0</v>
      </c>
      <c r="RF87" s="45" cm="1">
        <f t="array" ref="RF87">IFERROR(INDEX(ArchiveResults!$F$5:$IX$116,ComparisonData!A87,ComparisonData!$RF$1),0)</f>
        <v>0</v>
      </c>
      <c r="RG87" s="56">
        <v>82</v>
      </c>
      <c r="RH87" s="53" t="str">
        <f t="shared" si="704"/>
        <v>The National Archives</v>
      </c>
      <c r="RI87" s="59">
        <f t="shared" si="998"/>
        <v>0</v>
      </c>
      <c r="RJ87" s="59">
        <f t="shared" si="999"/>
        <v>0</v>
      </c>
      <c r="RK87" s="59">
        <f t="shared" si="1000"/>
        <v>0</v>
      </c>
      <c r="RL87" s="59">
        <f t="shared" si="1001"/>
        <v>0</v>
      </c>
      <c r="RM87" s="59">
        <f t="shared" si="1002"/>
        <v>0</v>
      </c>
      <c r="RN87" s="58">
        <f t="shared" si="1003"/>
        <v>0</v>
      </c>
      <c r="RO87" s="45">
        <f t="shared" si="1004"/>
        <v>70</v>
      </c>
      <c r="RP87" s="45">
        <f t="shared" si="705"/>
        <v>2.7839999999999998</v>
      </c>
      <c r="RQ87" s="45">
        <f t="shared" si="1005"/>
        <v>1</v>
      </c>
      <c r="RR87" s="45">
        <f t="shared" si="1006"/>
        <v>2</v>
      </c>
      <c r="RS87" s="45">
        <f t="shared" si="1007"/>
        <v>0</v>
      </c>
      <c r="RT87" s="46" cm="1">
        <f t="array" ref="RT87">ROUND(IFERROR(INDEX(ArchiveResults!$F$5:$IX$116,ComparisonData!A87,ComparisonData!$RT$1),0),5)</f>
        <v>0</v>
      </c>
      <c r="RU87" s="46" cm="1">
        <f t="array" ref="RU87">ROUND(IFERROR(INDEX(ArchiveResults!$F$5:$IX$116,ComparisonData!A87,ComparisonData!$RU$1),0),5)</f>
        <v>0</v>
      </c>
      <c r="RV87" s="46" cm="1">
        <f t="array" ref="RV87">ROUND(IFERROR(INDEX(ArchiveResults!$F$5:$IX$116,ComparisonData!A87,ComparisonData!$RV$1),0),5)</f>
        <v>0</v>
      </c>
      <c r="RW87" s="46" cm="1">
        <f t="array" ref="RW87">ROUND(IFERROR(INDEX(ArchiveResults!$F$5:$IX$116,ComparisonData!A87,ComparisonData!$RW$1),0),5)</f>
        <v>0</v>
      </c>
      <c r="RX87" s="45" cm="1">
        <f t="array" ref="RX87">IFERROR(INDEX(ArchiveResults!$F$5:$IX$116,ComparisonData!A87,ComparisonData!$RX$1),0)</f>
        <v>0</v>
      </c>
      <c r="RY87" s="56">
        <v>82</v>
      </c>
      <c r="RZ87" s="53" t="str">
        <f t="shared" si="706"/>
        <v>The National Archives</v>
      </c>
      <c r="SA87" s="59">
        <f t="shared" si="1008"/>
        <v>0</v>
      </c>
      <c r="SB87" s="59">
        <f t="shared" si="1009"/>
        <v>0</v>
      </c>
      <c r="SC87" s="59">
        <f t="shared" si="1010"/>
        <v>0</v>
      </c>
      <c r="SD87" s="59">
        <f t="shared" si="1011"/>
        <v>0</v>
      </c>
      <c r="SE87" s="59">
        <f t="shared" si="1012"/>
        <v>0</v>
      </c>
      <c r="SF87" s="58">
        <f t="shared" si="1013"/>
        <v>0</v>
      </c>
      <c r="SG87" s="45">
        <f t="shared" si="1014"/>
        <v>70</v>
      </c>
      <c r="SH87" s="45">
        <f t="shared" si="707"/>
        <v>2.7839999999999998</v>
      </c>
      <c r="SI87" s="45">
        <f t="shared" si="1015"/>
        <v>1</v>
      </c>
      <c r="SJ87" s="45">
        <f t="shared" si="1016"/>
        <v>2</v>
      </c>
      <c r="SK87" s="45">
        <f t="shared" si="1017"/>
        <v>0</v>
      </c>
      <c r="SL87" s="46" cm="1">
        <f t="array" ref="SL87">ROUND(IFERROR(INDEX(ArchiveResults!$F$5:$IX$116,ComparisonData!A87,ComparisonData!$SL$1),0),5)</f>
        <v>0</v>
      </c>
      <c r="SM87" s="46" cm="1">
        <f t="array" ref="SM87">ROUND(IFERROR(INDEX(ArchiveResults!$F$5:$IX$116,ComparisonData!A87,ComparisonData!$SM$1),0),5)</f>
        <v>0</v>
      </c>
      <c r="SN87" s="46" cm="1">
        <f t="array" ref="SN87">ROUND(IFERROR(INDEX(ArchiveResults!$F$5:$IX$116,ComparisonData!A87,ComparisonData!$SN$1),0),5)</f>
        <v>0</v>
      </c>
      <c r="SO87" s="46" cm="1">
        <f t="array" ref="SO87">ROUND(IFERROR(INDEX(ArchiveResults!$F$5:$IX$116,ComparisonData!A87,ComparisonData!$SO$1),0),5)</f>
        <v>0</v>
      </c>
      <c r="SP87" s="45" cm="1">
        <f t="array" ref="SP87">IFERROR(INDEX(ArchiveResults!$F$5:$IX$116,ComparisonData!A87,ComparisonData!$SP$1),0)</f>
        <v>0</v>
      </c>
      <c r="SQ87" s="56">
        <v>82</v>
      </c>
      <c r="SR87" s="53" t="str">
        <f t="shared" si="708"/>
        <v>The National Archives</v>
      </c>
      <c r="SS87" s="59">
        <f t="shared" si="1018"/>
        <v>0</v>
      </c>
      <c r="ST87" s="59">
        <f t="shared" si="1019"/>
        <v>0</v>
      </c>
      <c r="SU87" s="59">
        <f t="shared" si="1020"/>
        <v>0</v>
      </c>
      <c r="SV87" s="59">
        <f t="shared" si="1021"/>
        <v>0</v>
      </c>
      <c r="SW87" s="59">
        <f t="shared" si="1022"/>
        <v>0</v>
      </c>
      <c r="SX87" s="58">
        <f t="shared" si="1023"/>
        <v>0</v>
      </c>
      <c r="SY87" s="45">
        <f t="shared" si="1024"/>
        <v>70</v>
      </c>
      <c r="SZ87" s="45">
        <f t="shared" si="709"/>
        <v>2.7839999999999998</v>
      </c>
      <c r="TA87" s="45">
        <f t="shared" si="1025"/>
        <v>1</v>
      </c>
      <c r="TB87" s="45">
        <f t="shared" si="1026"/>
        <v>2</v>
      </c>
      <c r="TC87" s="45">
        <f t="shared" si="1027"/>
        <v>0</v>
      </c>
      <c r="TD87" s="46" cm="1">
        <f t="array" ref="TD87">ROUND(IFERROR(INDEX(ArchiveResults!$F$5:$IX$116,ComparisonData!A87,ComparisonData!$TD$1),0),5)</f>
        <v>0</v>
      </c>
      <c r="TE87" s="46" cm="1">
        <f t="array" ref="TE87">ROUND(IFERROR(INDEX(ArchiveResults!$F$5:$IX$116,ComparisonData!A87,ComparisonData!$TE$1),0),5)</f>
        <v>0</v>
      </c>
      <c r="TF87" s="46" cm="1">
        <f t="array" ref="TF87">ROUND(IFERROR(INDEX(ArchiveResults!$F$5:$IX$116,ComparisonData!A87,ComparisonData!$TF$1),0),5)</f>
        <v>0</v>
      </c>
      <c r="TG87" s="46" cm="1">
        <f t="array" ref="TG87">ROUND(IFERROR(INDEX(ArchiveResults!$F$5:$IX$116,ComparisonData!A87,ComparisonData!$TG$1),0),5)</f>
        <v>0</v>
      </c>
      <c r="TH87" s="45" cm="1">
        <f t="array" ref="TH87">IFERROR(INDEX(ArchiveResults!$F$5:$IX$116,ComparisonData!A87,ComparisonData!$TH$1),0)</f>
        <v>0</v>
      </c>
      <c r="TI87" s="56">
        <v>82</v>
      </c>
      <c r="TJ87" s="53" t="str">
        <f t="shared" si="710"/>
        <v>The National Archives</v>
      </c>
      <c r="TK87" s="59">
        <f t="shared" si="1028"/>
        <v>0</v>
      </c>
      <c r="TL87" s="59">
        <f t="shared" si="1029"/>
        <v>0</v>
      </c>
      <c r="TM87" s="59">
        <f t="shared" si="1030"/>
        <v>0</v>
      </c>
      <c r="TN87" s="59">
        <f t="shared" si="1031"/>
        <v>0</v>
      </c>
      <c r="TO87" s="59">
        <f t="shared" si="1032"/>
        <v>0</v>
      </c>
      <c r="TP87" s="58">
        <f t="shared" si="1033"/>
        <v>0</v>
      </c>
      <c r="TQ87" s="45">
        <f t="shared" si="1034"/>
        <v>70</v>
      </c>
      <c r="TR87" s="45">
        <f t="shared" si="711"/>
        <v>2.7839999999999998</v>
      </c>
      <c r="TS87" s="45">
        <f t="shared" si="1035"/>
        <v>1</v>
      </c>
      <c r="TT87" s="45">
        <f t="shared" si="1036"/>
        <v>2</v>
      </c>
      <c r="TU87" s="45">
        <f t="shared" si="1037"/>
        <v>0</v>
      </c>
      <c r="TV87" s="46" cm="1">
        <f t="array" ref="TV87">ROUND(IFERROR(INDEX(ArchiveResults!$F$5:$IX$116,ComparisonData!A87,ComparisonData!$TV$1),0),5)</f>
        <v>0</v>
      </c>
      <c r="TW87" s="46" cm="1">
        <f t="array" ref="TW87">ROUND(IFERROR(INDEX(ArchiveResults!$F$5:$IX$116,ComparisonData!A87,ComparisonData!$TW$1),0),5)</f>
        <v>0</v>
      </c>
      <c r="TX87" s="46" cm="1">
        <f t="array" ref="TX87">ROUND(IFERROR(INDEX(ArchiveResults!$F$5:$IX$116,ComparisonData!A87,ComparisonData!$TX$1),0),5)</f>
        <v>0</v>
      </c>
      <c r="TY87" s="46" cm="1">
        <f t="array" ref="TY87">ROUND(IFERROR(INDEX(ArchiveResults!$F$5:$IX$116,ComparisonData!A87,ComparisonData!$TY$1),0),5)</f>
        <v>0</v>
      </c>
      <c r="TZ87" s="45" cm="1">
        <f t="array" ref="TZ87">IFERROR(INDEX(ArchiveResults!$F$5:$IX$116,ComparisonData!A87,ComparisonData!$TZ$1),0)</f>
        <v>0</v>
      </c>
      <c r="UA87" s="56">
        <v>82</v>
      </c>
      <c r="UB87" s="53" t="str">
        <f t="shared" si="712"/>
        <v>The National Archives</v>
      </c>
      <c r="UC87" s="60">
        <f t="shared" si="1038"/>
        <v>0</v>
      </c>
      <c r="UD87" s="60">
        <f t="shared" si="1039"/>
        <v>0</v>
      </c>
      <c r="UE87" s="60">
        <f t="shared" si="1040"/>
        <v>0</v>
      </c>
      <c r="UF87" s="60">
        <f t="shared" si="1041"/>
        <v>0</v>
      </c>
      <c r="UG87" s="60">
        <f t="shared" si="1042"/>
        <v>0</v>
      </c>
      <c r="UH87" s="58">
        <f t="shared" si="1043"/>
        <v>0</v>
      </c>
      <c r="UI87" s="46">
        <f t="shared" si="1044"/>
        <v>70</v>
      </c>
      <c r="UJ87" s="46">
        <f t="shared" si="713"/>
        <v>2.7839999999999998</v>
      </c>
      <c r="UK87" s="46">
        <f t="shared" si="1045"/>
        <v>1</v>
      </c>
      <c r="UL87" s="46">
        <f t="shared" si="1046"/>
        <v>2</v>
      </c>
      <c r="UM87" s="46" cm="1">
        <f t="array" ref="UM87">ROUND(IFERROR(INDEX(ArchiveResults!$F$5:$IX$116,ComparisonData!A87,ComparisonData!$UM$1),0),5)</f>
        <v>0</v>
      </c>
      <c r="UN87" s="56">
        <v>82</v>
      </c>
      <c r="UO87" s="53" t="str">
        <f t="shared" si="714"/>
        <v>The National Archives</v>
      </c>
      <c r="UP87" s="46">
        <f t="shared" si="1047"/>
        <v>0</v>
      </c>
      <c r="UQ87" s="76">
        <f t="shared" si="1048"/>
        <v>0</v>
      </c>
      <c r="UR87" s="46">
        <f t="shared" si="1049"/>
        <v>70</v>
      </c>
      <c r="US87" s="46">
        <f t="shared" si="715"/>
        <v>2.7839999999999998</v>
      </c>
      <c r="UT87" s="46">
        <f t="shared" si="1050"/>
        <v>1</v>
      </c>
      <c r="UU87" s="46">
        <f t="shared" si="1051"/>
        <v>2</v>
      </c>
      <c r="UV87" s="46">
        <f t="shared" si="1052"/>
        <v>0</v>
      </c>
      <c r="UW87" s="46" cm="1">
        <f t="array" ref="UW87">ROUND(IFERROR(INDEX(ArchiveResults!$F$5:$IX$116,ComparisonData!A87,ComparisonData!$UW$1),0),5)</f>
        <v>0</v>
      </c>
      <c r="UX87" s="46" cm="1">
        <f t="array" ref="UX87">ROUND(IFERROR(INDEX(ArchiveResults!$F$5:$IX$116,ComparisonData!A87,ComparisonData!$UX$1),0),5)</f>
        <v>0</v>
      </c>
      <c r="UY87" s="46" cm="1">
        <f t="array" ref="UY87">ROUND(IFERROR(INDEX(ArchiveResults!$F$5:$IX$116,ComparisonData!A87,ComparisonData!$UY$1),0),5)</f>
        <v>0</v>
      </c>
      <c r="UZ87" s="46" cm="1">
        <f t="array" ref="UZ87">ROUND(IFERROR(INDEX(ArchiveResults!$F$5:$IX$116,ComparisonData!A87,ComparisonData!$UZ$1),0),5)</f>
        <v>0</v>
      </c>
      <c r="VA87" s="46" cm="1">
        <f t="array" ref="VA87">ROUND(IFERROR(INDEX(ArchiveResults!$F$5:$IX$116,ComparisonData!A87,ComparisonData!$VA$1),0),5)</f>
        <v>0</v>
      </c>
      <c r="VB87" s="56">
        <v>82</v>
      </c>
      <c r="VC87" s="53" t="str">
        <f t="shared" si="716"/>
        <v>The National Archives</v>
      </c>
      <c r="VD87" s="60">
        <f t="shared" si="1053"/>
        <v>0</v>
      </c>
      <c r="VE87" s="60">
        <f t="shared" si="1054"/>
        <v>0</v>
      </c>
      <c r="VF87" s="60">
        <f t="shared" si="1055"/>
        <v>0</v>
      </c>
      <c r="VG87" s="60">
        <f t="shared" si="1056"/>
        <v>0</v>
      </c>
      <c r="VH87" s="60">
        <f t="shared" si="1057"/>
        <v>0</v>
      </c>
      <c r="VI87" s="76">
        <f t="shared" si="1058"/>
        <v>0</v>
      </c>
      <c r="VJ87" s="46">
        <f t="shared" si="1059"/>
        <v>70</v>
      </c>
      <c r="VK87" s="46">
        <f t="shared" si="717"/>
        <v>2.7839999999999998</v>
      </c>
      <c r="VL87" s="46">
        <f t="shared" si="1060"/>
        <v>1</v>
      </c>
      <c r="VM87" s="46">
        <f t="shared" si="1061"/>
        <v>2</v>
      </c>
      <c r="VN87" s="46" cm="1">
        <f t="array" ref="VN87">ROUND(IFERROR(INDEX(ArchiveResults!$F$5:$IX$116,ComparisonData!A87,ComparisonData!$VN$1),0),5)</f>
        <v>0</v>
      </c>
      <c r="VO87" s="46" cm="1">
        <f t="array" ref="VO87">ROUND(IFERROR(INDEX(ArchiveResults!$F$5:$IX$116,ComparisonData!A87,ComparisonData!$VO$1),0),5)</f>
        <v>0</v>
      </c>
      <c r="VP87" s="46" cm="1">
        <f t="array" ref="VP87">ROUND(IFERROR(INDEX(ArchiveResults!$F$5:$IX$116,ComparisonData!A87,ComparisonData!$VP$1),0),5)</f>
        <v>0</v>
      </c>
      <c r="VQ87" s="46" cm="1">
        <f t="array" ref="VQ87">ROUND(IFERROR(INDEX(ArchiveResults!$F$5:$IX$116,ComparisonData!A87,ComparisonData!$VQ$1),0),5)</f>
        <v>0</v>
      </c>
      <c r="VR87" s="56">
        <v>82</v>
      </c>
      <c r="VS87" s="53" t="str">
        <f t="shared" si="718"/>
        <v>The National Archives</v>
      </c>
      <c r="VT87" s="60">
        <f t="shared" si="1062"/>
        <v>0</v>
      </c>
      <c r="VU87" s="60">
        <f t="shared" si="1063"/>
        <v>0</v>
      </c>
      <c r="VV87" s="60">
        <f t="shared" si="1064"/>
        <v>0</v>
      </c>
      <c r="VW87" s="60">
        <f t="shared" si="1065"/>
        <v>0</v>
      </c>
      <c r="VX87" s="76">
        <f t="shared" si="1066"/>
        <v>0</v>
      </c>
      <c r="VY87" s="46">
        <f t="shared" si="1067"/>
        <v>70</v>
      </c>
      <c r="VZ87" s="46">
        <f t="shared" si="719"/>
        <v>2.7839999999999998</v>
      </c>
      <c r="WA87" s="46">
        <f t="shared" si="1068"/>
        <v>1</v>
      </c>
      <c r="WB87" s="46">
        <f t="shared" si="1069"/>
        <v>2</v>
      </c>
      <c r="WC87" s="46" cm="1">
        <f t="array" ref="WC87">ROUND(IFERROR(INDEX(ArchiveResults!$F$5:$IX$116,ComparisonData!A87,ComparisonData!$WC$1),0),5)</f>
        <v>0</v>
      </c>
      <c r="WD87" s="56">
        <v>82</v>
      </c>
      <c r="WE87" s="53" t="str">
        <f t="shared" si="720"/>
        <v>The National Archives</v>
      </c>
      <c r="WF87" s="46">
        <f t="shared" si="1070"/>
        <v>0</v>
      </c>
      <c r="WG87" s="76">
        <f t="shared" si="1071"/>
        <v>0</v>
      </c>
      <c r="WH87" s="46">
        <f t="shared" si="1072"/>
        <v>70</v>
      </c>
      <c r="WI87" s="46">
        <f t="shared" si="721"/>
        <v>2.7839999999999998</v>
      </c>
      <c r="WJ87" s="46">
        <f t="shared" si="1073"/>
        <v>1</v>
      </c>
      <c r="WK87" s="46">
        <f t="shared" si="1074"/>
        <v>2</v>
      </c>
      <c r="WL87" s="46" cm="1">
        <f t="array" ref="WL87">ROUND(IFERROR(INDEX(ArchiveResults!$F$5:$IX$116,ComparisonData!A87,ComparisonData!$WL$1),0),5)</f>
        <v>0</v>
      </c>
      <c r="WM87" s="46" cm="1">
        <f t="array" ref="WM87">IFERROR(INDEX(ArchiveResults!$F$5:$IX$116,ComparisonData!A87,ComparisonData!$WM$1),0)</f>
        <v>0</v>
      </c>
      <c r="WN87" s="56">
        <v>82</v>
      </c>
      <c r="WO87" s="53" t="str">
        <f t="shared" si="722"/>
        <v>The National Archives</v>
      </c>
      <c r="WP87" s="60">
        <f t="shared" si="1075"/>
        <v>0</v>
      </c>
      <c r="WQ87" s="60">
        <f t="shared" si="1076"/>
        <v>0</v>
      </c>
      <c r="WR87" s="76">
        <f t="shared" si="1077"/>
        <v>0</v>
      </c>
      <c r="WS87" s="46">
        <f t="shared" si="1078"/>
        <v>70</v>
      </c>
      <c r="WT87" s="46">
        <f t="shared" si="723"/>
        <v>2.7839999999999998</v>
      </c>
      <c r="WU87" s="46">
        <f t="shared" si="1079"/>
        <v>1</v>
      </c>
      <c r="WV87" s="46">
        <f t="shared" si="1080"/>
        <v>2</v>
      </c>
      <c r="WW87" s="46" cm="1">
        <f t="array" ref="WW87">ROUND(VALUE(IFERROR(INDEX(ArchiveResults!$F$5:$IX$116,ComparisonData!A87,ComparisonData!$WW$1),0)),5)</f>
        <v>0</v>
      </c>
      <c r="WX87" s="46" cm="1">
        <f t="array" ref="WX87">ROUND(IFERROR(INDEX(ArchiveResults!$F$5:$IX$116,ComparisonData!A87,ComparisonData!$WX$1),0),5)</f>
        <v>0</v>
      </c>
      <c r="WY87" s="56">
        <v>82</v>
      </c>
      <c r="WZ87" s="53" t="str">
        <f t="shared" si="724"/>
        <v>The National Archives</v>
      </c>
      <c r="XA87" s="60">
        <f t="shared" si="725"/>
        <v>0</v>
      </c>
      <c r="XB87" s="60">
        <f t="shared" si="726"/>
        <v>0</v>
      </c>
      <c r="XC87" s="76">
        <f t="shared" si="1081"/>
        <v>0</v>
      </c>
      <c r="XD87" s="46">
        <f t="shared" si="1082"/>
        <v>70</v>
      </c>
      <c r="XE87" s="46">
        <f t="shared" si="727"/>
        <v>2.7839999999999998</v>
      </c>
      <c r="XF87" s="46">
        <f t="shared" si="1083"/>
        <v>1</v>
      </c>
      <c r="XG87" s="46">
        <f t="shared" si="1084"/>
        <v>2</v>
      </c>
      <c r="XH87" s="46" cm="1">
        <f t="array" ref="XH87">ROUND(VALUE(IFERROR(INDEX(ArchiveResults!$F$5:$IX$116,ComparisonData!A87,ComparisonData!$XH$1),0)),5)</f>
        <v>0</v>
      </c>
      <c r="XI87" s="46" cm="1">
        <f t="array" ref="XI87">ROUND(VALUE(IFERROR(INDEX(ArchiveResults!$F$5:$IX$116,ComparisonData!A87,ComparisonData!$XI$1),0)),5)</f>
        <v>0</v>
      </c>
      <c r="XJ87" s="56">
        <v>82</v>
      </c>
      <c r="XK87" s="53" t="str">
        <f t="shared" si="728"/>
        <v>The National Archives</v>
      </c>
      <c r="XL87" s="60">
        <f t="shared" si="1085"/>
        <v>0</v>
      </c>
      <c r="XM87" s="60">
        <f t="shared" si="1086"/>
        <v>0</v>
      </c>
      <c r="XN87" s="76">
        <f t="shared" si="1087"/>
        <v>0</v>
      </c>
      <c r="XO87" s="46">
        <f t="shared" si="1088"/>
        <v>70</v>
      </c>
      <c r="XP87" s="46">
        <f t="shared" si="729"/>
        <v>2.7839999999999998</v>
      </c>
      <c r="XQ87" s="46">
        <f t="shared" si="1089"/>
        <v>1</v>
      </c>
      <c r="XR87" s="46">
        <f t="shared" si="1090"/>
        <v>2</v>
      </c>
      <c r="XS87" s="46" cm="1">
        <f t="array" ref="XS87">ROUND(VALUE(IFERROR(INDEX(ArchiveResults!$F$5:$IX$116,ComparisonData!A87,ComparisonData!$XS$1),0)),5)</f>
        <v>0</v>
      </c>
      <c r="XT87" s="46" cm="1">
        <f t="array" ref="XT87">ROUND(VALUE(IFERROR(INDEX(ArchiveResults!$F$5:$IX$116,ComparisonData!A87,ComparisonData!$XT$1),0)),5)</f>
        <v>0</v>
      </c>
      <c r="XU87" s="56">
        <v>82</v>
      </c>
      <c r="XV87" s="53" t="str">
        <f t="shared" si="730"/>
        <v>The National Archives</v>
      </c>
      <c r="XW87" s="60">
        <f t="shared" si="1091"/>
        <v>0</v>
      </c>
      <c r="XX87" s="60">
        <f t="shared" si="1092"/>
        <v>0</v>
      </c>
      <c r="XY87" s="76">
        <f t="shared" si="1093"/>
        <v>0</v>
      </c>
      <c r="XZ87" s="46">
        <f t="shared" si="1094"/>
        <v>70</v>
      </c>
      <c r="YA87" s="46">
        <f t="shared" si="731"/>
        <v>2.7839999999999998</v>
      </c>
      <c r="YB87" s="46">
        <f t="shared" si="1095"/>
        <v>1</v>
      </c>
      <c r="YC87" s="46">
        <f t="shared" si="1096"/>
        <v>2</v>
      </c>
      <c r="YD87" s="46" cm="1">
        <f t="array" ref="YD87">ROUND(VALUE(IFERROR(INDEX(ArchiveResults!$F$5:$IX$116,ComparisonData!A87,ComparisonData!$YD$1),0)),5)</f>
        <v>0</v>
      </c>
      <c r="YE87" s="46" cm="1">
        <f t="array" ref="YE87">ROUND(VALUE(IFERROR(INDEX(ArchiveResults!$F$5:$IX$116,ComparisonData!A87,ComparisonData!$YE$1),0)),5)</f>
        <v>0</v>
      </c>
      <c r="YF87" s="56">
        <v>82</v>
      </c>
      <c r="YG87" s="53" t="str">
        <f t="shared" si="732"/>
        <v>The National Archives</v>
      </c>
      <c r="YH87" s="60">
        <f t="shared" si="1097"/>
        <v>0</v>
      </c>
      <c r="YI87" s="60">
        <f t="shared" si="1098"/>
        <v>0</v>
      </c>
      <c r="YJ87" s="76">
        <f t="shared" si="1099"/>
        <v>0</v>
      </c>
      <c r="YK87" s="46">
        <f t="shared" si="1100"/>
        <v>70</v>
      </c>
      <c r="YL87" s="46">
        <f t="shared" si="733"/>
        <v>2.7839999999999998</v>
      </c>
      <c r="YM87" s="46">
        <f t="shared" si="1101"/>
        <v>1</v>
      </c>
      <c r="YN87" s="46">
        <f t="shared" si="1102"/>
        <v>2</v>
      </c>
      <c r="YO87" s="46" cm="1">
        <f t="array" ref="YO87">ROUND(VALUE(IFERROR(INDEX(ArchiveResults!$F$5:$IX$116,ComparisonData!A87,ComparisonData!$YO$1),0)),5)</f>
        <v>0</v>
      </c>
      <c r="YP87" s="46" cm="1">
        <f t="array" ref="YP87">ROUND(VALUE(IFERROR(INDEX(ArchiveResults!$F$5:$IX$116,ComparisonData!A87,ComparisonData!$YP$1),0)),5)</f>
        <v>0</v>
      </c>
      <c r="YQ87" s="56">
        <v>82</v>
      </c>
      <c r="YR87" s="53" t="str">
        <f t="shared" si="734"/>
        <v>The National Archives</v>
      </c>
      <c r="YS87" s="60">
        <f t="shared" si="1103"/>
        <v>0</v>
      </c>
      <c r="YT87" s="60">
        <f t="shared" si="1104"/>
        <v>0</v>
      </c>
      <c r="YU87" s="76">
        <f t="shared" si="1105"/>
        <v>0</v>
      </c>
      <c r="YV87" s="46">
        <f t="shared" si="1106"/>
        <v>70</v>
      </c>
      <c r="YW87" s="46">
        <f t="shared" si="735"/>
        <v>2.7839999999999998</v>
      </c>
      <c r="YX87" s="46">
        <f t="shared" si="1107"/>
        <v>1</v>
      </c>
      <c r="YY87" s="46">
        <f t="shared" si="1108"/>
        <v>2</v>
      </c>
      <c r="YZ87" s="46">
        <f t="shared" si="1109"/>
        <v>0</v>
      </c>
      <c r="ZA87" s="46" cm="1">
        <f t="array" ref="ZA87">ROUNDDOWN(VALUE(IFERROR(INDEX(ArchiveResults!$F$5:$IX$116,ComparisonData!A87,ComparisonData!$ZA$1),0)),5)</f>
        <v>0</v>
      </c>
      <c r="ZB87" s="46" cm="1">
        <f t="array" ref="ZB87">ROUNDDOWN(VALUE(IFERROR(INDEX(ArchiveResults!$F$5:$IX$116,ComparisonData!A87,ComparisonData!$ZB$1),0)),5)</f>
        <v>0</v>
      </c>
      <c r="ZC87" s="46" cm="1">
        <f t="array" ref="ZC87">ROUNDDOWN(VALUE(IFERROR(INDEX(ArchiveResults!$F$5:$IX$116,ComparisonData!A87,ComparisonData!$ZC$1),0)),5)</f>
        <v>0</v>
      </c>
      <c r="ZD87" s="46" cm="1">
        <f t="array" ref="ZD87">ROUNDDOWN(VALUE(IFERROR(INDEX(ArchiveResults!$F$5:$IX$116,ComparisonData!A87,ComparisonData!$ZD$1),0)),5)</f>
        <v>0</v>
      </c>
      <c r="ZE87" s="46" cm="1">
        <f t="array" ref="ZE87">ROUNDDOWN(VALUE(IFERROR(INDEX(ArchiveResults!$F$5:$IX$116,ComparisonData!A87,ComparisonData!$ZE$1),0)),5)</f>
        <v>0</v>
      </c>
      <c r="ZF87" s="56">
        <v>82</v>
      </c>
      <c r="ZG87" s="53" t="str">
        <f t="shared" si="736"/>
        <v>The National Archives</v>
      </c>
      <c r="ZH87" s="60">
        <f t="shared" si="1110"/>
        <v>0</v>
      </c>
      <c r="ZI87" s="60">
        <f t="shared" si="1111"/>
        <v>0</v>
      </c>
      <c r="ZJ87" s="60">
        <f t="shared" si="1112"/>
        <v>0</v>
      </c>
      <c r="ZK87" s="60">
        <f t="shared" si="1113"/>
        <v>0</v>
      </c>
      <c r="ZL87" s="60">
        <f t="shared" si="1114"/>
        <v>0</v>
      </c>
      <c r="ZM87" s="76">
        <f t="shared" si="1115"/>
        <v>0</v>
      </c>
      <c r="ZN87" s="46">
        <f t="shared" si="1116"/>
        <v>70</v>
      </c>
      <c r="ZO87" s="46">
        <f t="shared" si="737"/>
        <v>2.7839999999999998</v>
      </c>
      <c r="ZP87" s="46">
        <f t="shared" si="1117"/>
        <v>1</v>
      </c>
      <c r="ZQ87" s="46">
        <f t="shared" si="1118"/>
        <v>2</v>
      </c>
      <c r="ZR87" s="46" cm="1">
        <f t="array" ref="ZR87">ROUND(VALUE(IFERROR(INDEX(ArchiveResults!$F$5:$IX$116,ComparisonData!A87,ComparisonData!$ZR$1),0)),5)</f>
        <v>0</v>
      </c>
      <c r="ZS87" s="56">
        <v>82</v>
      </c>
      <c r="ZT87" s="53" t="str">
        <f t="shared" si="738"/>
        <v>The National Archives</v>
      </c>
      <c r="ZU87" s="46">
        <f t="shared" si="1119"/>
        <v>0</v>
      </c>
      <c r="ZV87" s="76">
        <f t="shared" si="1120"/>
        <v>0</v>
      </c>
      <c r="ZW87" s="81" cm="1">
        <f t="array" ref="ZW87">ROUND((IFERROR(INDEX(ArchiveResults!$F$5:$IX$116,ComparisonData!A87,ComparisonData!$ZW$1),0)),5)</f>
        <v>0</v>
      </c>
      <c r="ZX87" s="81" cm="1">
        <f t="array" ref="ZX87">ROUND((IFERROR(INDEX(ArchiveResults!$F$5:$IX$116,ComparisonData!A87,ComparisonData!$ZX$1),0)),5)</f>
        <v>0</v>
      </c>
      <c r="ZY87" s="81" cm="1">
        <f t="array" ref="ZY87">ROUND((IFERROR(INDEX(ArchiveResults!$F$5:$IX$116,ComparisonData!A87,ComparisonData!$ZY$1),0)),5)</f>
        <v>0</v>
      </c>
      <c r="ZZ87" s="81" cm="1">
        <f t="array" ref="ZZ87">ROUND((IFERROR(INDEX(ArchiveResults!$F$5:$IX$116,ComparisonData!A87,ComparisonData!$ZZ$1),0)),5)</f>
        <v>0</v>
      </c>
      <c r="AAA87" s="81" cm="1">
        <f t="array" ref="AAA87">ROUND((IFERROR(INDEX(ArchiveResults!$F$5:$IX$116,ComparisonData!A87,ComparisonData!$AAA$1),0)),5)</f>
        <v>0</v>
      </c>
      <c r="AAB87" s="81" cm="1">
        <f t="array" ref="AAB87">ROUND((IFERROR(INDEX(ArchiveResults!$F$5:$IX$116,ComparisonData!A87,ComparisonData!$AAB$1),0)),5)</f>
        <v>0</v>
      </c>
      <c r="AAC87" s="81" cm="1">
        <f t="array" ref="AAC87">ROUND((IFERROR(INDEX(ArchiveResults!$F$5:$IX$116,ComparisonData!A87,ComparisonData!$AAC$1),0)),5)</f>
        <v>0</v>
      </c>
      <c r="AAD87" s="81" cm="1">
        <f t="array" ref="AAD87">ROUND((IFERROR(INDEX(ArchiveResults!$F$5:$IX$116,ComparisonData!A87,ComparisonData!$AAD$1),0)),5)</f>
        <v>0</v>
      </c>
      <c r="AAE87" s="81" cm="1">
        <f t="array" ref="AAE87">ROUND((IFERROR(INDEX(ArchiveResults!$F$5:$IX$116,ComparisonData!A87,ComparisonData!$AAE$1),0)),5)</f>
        <v>0</v>
      </c>
      <c r="AAF87" s="81" cm="1">
        <f t="array" ref="AAF87">ROUND((IFERROR(INDEX(ArchiveResults!$F$5:$IX$116,ComparisonData!A87,ComparisonData!$AAF$1),0)),5)</f>
        <v>0</v>
      </c>
      <c r="AAG87" s="46">
        <f t="shared" si="1121"/>
        <v>70</v>
      </c>
      <c r="AAH87" s="46">
        <f t="shared" si="739"/>
        <v>2.7839999999999998</v>
      </c>
      <c r="AAI87" s="46">
        <f t="shared" si="1122"/>
        <v>1</v>
      </c>
      <c r="AAJ87" s="46">
        <f t="shared" si="1123"/>
        <v>2</v>
      </c>
      <c r="AAK87" s="46">
        <f t="shared" si="1124"/>
        <v>0</v>
      </c>
      <c r="AAL87" s="46">
        <f t="shared" si="1125"/>
        <v>0</v>
      </c>
      <c r="AAM87" s="46">
        <f t="shared" si="1126"/>
        <v>0</v>
      </c>
      <c r="AAN87" s="46">
        <f t="shared" si="1127"/>
        <v>0</v>
      </c>
      <c r="AAO87" s="46">
        <f t="shared" si="1128"/>
        <v>0</v>
      </c>
      <c r="AAP87" s="46">
        <f t="shared" si="1129"/>
        <v>0</v>
      </c>
      <c r="AAQ87" s="56">
        <v>82</v>
      </c>
      <c r="AAR87" s="53" t="str">
        <f t="shared" si="740"/>
        <v>The National Archives</v>
      </c>
      <c r="AAS87" s="60">
        <f t="shared" si="1130"/>
        <v>0</v>
      </c>
      <c r="AAT87" s="60">
        <f t="shared" si="1131"/>
        <v>0</v>
      </c>
      <c r="AAU87" s="60">
        <f t="shared" si="1132"/>
        <v>0</v>
      </c>
      <c r="AAV87" s="60">
        <f t="shared" si="1133"/>
        <v>0</v>
      </c>
      <c r="AAW87" s="60">
        <f t="shared" si="1134"/>
        <v>0</v>
      </c>
      <c r="AAX87" s="76">
        <f t="shared" si="1135"/>
        <v>0</v>
      </c>
      <c r="AAY87" s="46">
        <f t="shared" si="1136"/>
        <v>70</v>
      </c>
      <c r="AAZ87" s="46">
        <f t="shared" si="741"/>
        <v>2.7839999999999998</v>
      </c>
      <c r="ABA87" s="46">
        <f t="shared" si="1137"/>
        <v>1</v>
      </c>
      <c r="ABB87" s="46">
        <f t="shared" si="1138"/>
        <v>2</v>
      </c>
      <c r="ABC87" s="46">
        <f t="shared" si="742"/>
        <v>0</v>
      </c>
      <c r="ABD87" s="46" cm="1">
        <f t="array" ref="ABD87">ROUND(VALUE(IFERROR(INDEX(ArchiveResults!$F$5:$IX$116,ComparisonData!A87,ComparisonData!$ABD$1),0)),5)</f>
        <v>0</v>
      </c>
      <c r="ABE87" s="46" cm="1">
        <f t="array" ref="ABE87">ROUND(VALUE(IFERROR(INDEX(ArchiveResults!$F$5:$IX$116,ComparisonData!A87,ComparisonData!$ABE$1),0)),5)</f>
        <v>0</v>
      </c>
      <c r="ABF87" s="46" cm="1">
        <f t="array" ref="ABF87">ROUND(VALUE(IFERROR(INDEX(ArchiveResults!$F$5:$IX$116,ComparisonData!A87,ComparisonData!$ABF$1),0)),5)</f>
        <v>0</v>
      </c>
      <c r="ABG87" s="46" cm="1">
        <f t="array" ref="ABG87">ROUND(VALUE(IFERROR(INDEX(ArchiveResults!$F$5:$IX$116,ComparisonData!A87,ComparisonData!$ABG$1),0)),5)</f>
        <v>0</v>
      </c>
      <c r="ABH87" s="46" cm="1">
        <f t="array" ref="ABH87">ROUND(VALUE(IFERROR(INDEX(ArchiveResults!$F$5:$IX$116,ComparisonData!A87,ComparisonData!$ABH$1),0)),5)</f>
        <v>0</v>
      </c>
      <c r="ABI87" s="56">
        <v>82</v>
      </c>
      <c r="ABJ87" s="53" t="str">
        <f t="shared" si="743"/>
        <v>The National Archives</v>
      </c>
      <c r="ABK87" s="60">
        <f t="shared" si="1139"/>
        <v>0</v>
      </c>
      <c r="ABL87" s="60">
        <f t="shared" si="1140"/>
        <v>0</v>
      </c>
      <c r="ABM87" s="60">
        <f t="shared" si="1141"/>
        <v>0</v>
      </c>
      <c r="ABN87" s="60">
        <f t="shared" si="1142"/>
        <v>0</v>
      </c>
      <c r="ABO87" s="60">
        <f t="shared" si="1143"/>
        <v>0</v>
      </c>
      <c r="ABP87" s="76">
        <f t="shared" si="1144"/>
        <v>0</v>
      </c>
      <c r="ABQ87" s="46">
        <f t="shared" si="1145"/>
        <v>70</v>
      </c>
      <c r="ABR87" s="46">
        <f t="shared" si="744"/>
        <v>2.7839999999999998</v>
      </c>
      <c r="ABS87" s="46">
        <f t="shared" si="1146"/>
        <v>1</v>
      </c>
      <c r="ABT87" s="46">
        <f t="shared" si="1147"/>
        <v>2</v>
      </c>
      <c r="ABU87" s="46" cm="1">
        <f t="array" ref="ABU87">ROUND(VALUE(IFERROR(INDEX(ArchiveResults!$F$5:$IX$116,ComparisonData!A87,ComparisonData!$ABU$1),0)),5)</f>
        <v>0</v>
      </c>
      <c r="ABV87" s="46" cm="1">
        <f t="array" ref="ABV87">ROUND(VALUE(IFERROR(INDEX(ArchiveResults!$F$5:$IX$116,ComparisonData!A87,ComparisonData!$ABV$1),0)),5)</f>
        <v>0</v>
      </c>
      <c r="ABW87" s="46" cm="1">
        <f t="array" ref="ABW87">ROUND(VALUE(IFERROR(INDEX(ArchiveResults!$F$5:$IX$116,ComparisonData!A87,ComparisonData!$ABW$1),0)),5)</f>
        <v>0</v>
      </c>
      <c r="ABX87" s="46" cm="1">
        <f t="array" ref="ABX87">ROUND(VALUE(IFERROR(INDEX(ArchiveResults!$F$5:$IX$116,ComparisonData!A87,ComparisonData!$ABX$1),0)),5)</f>
        <v>0</v>
      </c>
      <c r="ABY87" s="46" cm="1">
        <f t="array" ref="ABY87">ROUND(VALUE(IFERROR(INDEX(ArchiveResults!$F$5:$IX$116,ComparisonData!A87,ComparisonData!$ABY$1),0)),5)</f>
        <v>0</v>
      </c>
      <c r="ABZ87" s="56">
        <v>82</v>
      </c>
      <c r="ACA87" s="53" t="str">
        <f t="shared" si="745"/>
        <v>The National Archives</v>
      </c>
      <c r="ACB87" s="60">
        <f t="shared" si="1148"/>
        <v>0</v>
      </c>
      <c r="ACC87" s="60">
        <f t="shared" si="1149"/>
        <v>0</v>
      </c>
      <c r="ACD87" s="60">
        <f t="shared" si="1150"/>
        <v>0</v>
      </c>
      <c r="ACE87" s="60">
        <f t="shared" si="1151"/>
        <v>0</v>
      </c>
      <c r="ACF87" s="60">
        <f t="shared" si="1152"/>
        <v>0</v>
      </c>
      <c r="ACG87" s="76">
        <f t="shared" si="1153"/>
        <v>0</v>
      </c>
      <c r="ACH87" s="46">
        <f t="shared" si="1154"/>
        <v>70</v>
      </c>
      <c r="ACI87" s="46">
        <f t="shared" si="746"/>
        <v>2.7839999999999998</v>
      </c>
      <c r="ACJ87" s="46">
        <f t="shared" si="1155"/>
        <v>1</v>
      </c>
      <c r="ACK87" s="46">
        <f t="shared" si="1156"/>
        <v>2</v>
      </c>
      <c r="ACL87" s="46">
        <f t="shared" si="1157"/>
        <v>0</v>
      </c>
      <c r="ACM87" s="46" cm="1">
        <f t="array" ref="ACM87">ROUND(IFERROR(INDEX(ArchiveResults!$F$5:$IX$116,ComparisonData!A87,ComparisonData!$ACM$1),0),5)</f>
        <v>0</v>
      </c>
      <c r="ACN87" s="46" cm="1">
        <f t="array" ref="ACN87">ROUND(IFERROR(INDEX(ArchiveResults!$F$5:$IX$116,ComparisonData!A87,ComparisonData!$ACN$1),0),5)</f>
        <v>0</v>
      </c>
      <c r="ACO87" s="56">
        <v>82</v>
      </c>
      <c r="ACP87" s="53" t="str">
        <f t="shared" si="747"/>
        <v>The National Archives</v>
      </c>
      <c r="ACQ87" s="60">
        <f t="shared" si="1158"/>
        <v>0</v>
      </c>
      <c r="ACR87" s="60">
        <f t="shared" si="1159"/>
        <v>0</v>
      </c>
      <c r="ACS87" s="76">
        <f t="shared" si="1160"/>
        <v>0</v>
      </c>
      <c r="ACT87" s="46">
        <f t="shared" si="1161"/>
        <v>70</v>
      </c>
      <c r="ACU87" s="46">
        <f t="shared" si="748"/>
        <v>2.7839999999999998</v>
      </c>
      <c r="ACV87" s="46">
        <f t="shared" si="1162"/>
        <v>1</v>
      </c>
      <c r="ACW87" s="46">
        <f t="shared" si="1163"/>
        <v>2</v>
      </c>
      <c r="ACX87" s="46">
        <f t="shared" si="1164"/>
        <v>0</v>
      </c>
      <c r="ACY87" s="46" cm="1">
        <f t="array" ref="ACY87">ROUNDDOWN(IFERROR(INDEX(ArchiveResults!$F$5:$IX$116,ComparisonData!A87,ComparisonData!$ACY$1),0),5)</f>
        <v>0</v>
      </c>
      <c r="ACZ87" s="46" cm="1">
        <f t="array" ref="ACZ87">ROUNDDOWN(IFERROR(INDEX(ArchiveResults!$F$5:$IX$116,ComparisonData!A87,ComparisonData!$ACZ$1),0),5)</f>
        <v>0</v>
      </c>
      <c r="ADA87" s="46" cm="1">
        <f t="array" ref="ADA87">ROUNDDOWN(IFERROR(INDEX(ArchiveResults!$F$5:$IX$116,ComparisonData!A87,ComparisonData!$ADA$1),0),5)</f>
        <v>0</v>
      </c>
      <c r="ADB87" s="56">
        <v>82</v>
      </c>
      <c r="ADC87" s="53" t="str">
        <f t="shared" si="749"/>
        <v>The National Archives</v>
      </c>
      <c r="ADD87" s="60">
        <f t="shared" si="1165"/>
        <v>0</v>
      </c>
      <c r="ADE87" s="60">
        <f t="shared" si="1166"/>
        <v>0</v>
      </c>
      <c r="ADF87" s="60">
        <f t="shared" si="1167"/>
        <v>0</v>
      </c>
      <c r="ADG87" s="76">
        <f t="shared" si="1168"/>
        <v>0</v>
      </c>
    </row>
    <row r="88" spans="1:787" x14ac:dyDescent="0.25">
      <c r="A88" s="46" t="str">
        <f>IF(ISBLANK(ComparisonSelection!F84),"",ROW()-5)</f>
        <v/>
      </c>
      <c r="B88" s="53" t="s">
        <v>538</v>
      </c>
      <c r="C88" s="72">
        <v>0.95399999999999996</v>
      </c>
      <c r="D88" s="55">
        <f t="shared" si="750"/>
        <v>103</v>
      </c>
      <c r="E88" s="54">
        <f t="shared" si="751"/>
        <v>2.9539999999999997</v>
      </c>
      <c r="F88" s="54">
        <f t="shared" si="752"/>
        <v>1</v>
      </c>
      <c r="G88" s="72">
        <f t="shared" si="753"/>
        <v>2</v>
      </c>
      <c r="H88" s="72">
        <f t="shared" si="754"/>
        <v>0</v>
      </c>
      <c r="I88" s="46" cm="1">
        <f t="array" ref="I88">ROUND(IFERROR(INDEX(ArchiveResults!$F$5:$IX$116,ComparisonData!A88,ComparisonData!$I$1),0),5)</f>
        <v>0</v>
      </c>
      <c r="J88" s="46" cm="1">
        <f t="array" ref="J88">ROUND(IFERROR(INDEX(ArchiveResults!$F$5:$IX$116,ComparisonData!A88,ComparisonData!$J$1),0),5)</f>
        <v>0</v>
      </c>
      <c r="K88" s="56">
        <v>83</v>
      </c>
      <c r="L88" s="53" t="str">
        <f t="shared" si="755"/>
        <v>The National Library of Wales</v>
      </c>
      <c r="M88" s="57">
        <f t="shared" si="640"/>
        <v>0</v>
      </c>
      <c r="N88" s="57">
        <f t="shared" si="641"/>
        <v>0</v>
      </c>
      <c r="O88" s="58">
        <f t="shared" si="756"/>
        <v>0</v>
      </c>
      <c r="P88" s="48">
        <f t="shared" si="757"/>
        <v>103</v>
      </c>
      <c r="Q88" s="54">
        <f t="shared" si="642"/>
        <v>2.9539999999999997</v>
      </c>
      <c r="R88" s="45">
        <f t="shared" si="758"/>
        <v>1</v>
      </c>
      <c r="S88" s="46">
        <f t="shared" si="759"/>
        <v>2</v>
      </c>
      <c r="T88" s="72">
        <f t="shared" si="760"/>
        <v>0</v>
      </c>
      <c r="U88" s="46" cm="1">
        <f t="array" ref="U88">ROUND(IFERROR(INDEX(ArchiveResults!$F$5:$IX$116,ComparisonData!A88,ComparisonData!$U$1),0),5)</f>
        <v>0</v>
      </c>
      <c r="V88" s="46" cm="1">
        <f t="array" ref="V88">ROUND(IFERROR(INDEX(ArchiveResults!$F$5:$IX$116,ComparisonData!A88,ComparisonData!$V$1),0),5)</f>
        <v>0</v>
      </c>
      <c r="W88" s="56">
        <v>83</v>
      </c>
      <c r="X88" s="53" t="str">
        <f t="shared" si="643"/>
        <v>The National Library of Wales</v>
      </c>
      <c r="Y88" s="57">
        <f t="shared" si="761"/>
        <v>0</v>
      </c>
      <c r="Z88" s="57">
        <f t="shared" si="762"/>
        <v>0</v>
      </c>
      <c r="AA88" s="58">
        <f t="shared" si="763"/>
        <v>0</v>
      </c>
      <c r="AB88" s="45">
        <f t="shared" si="764"/>
        <v>103</v>
      </c>
      <c r="AC88" s="54">
        <f t="shared" si="644"/>
        <v>2.9539999999999997</v>
      </c>
      <c r="AD88" s="45">
        <f t="shared" si="765"/>
        <v>1</v>
      </c>
      <c r="AE88" s="45">
        <f t="shared" si="766"/>
        <v>2</v>
      </c>
      <c r="AF88" s="45">
        <f t="shared" si="639"/>
        <v>0</v>
      </c>
      <c r="AG88" s="46" cm="1">
        <f t="array" ref="AG88">ROUND(IFERROR(INDEX(ArchiveResults!$F$5:$IX$116,ComparisonData!A88,ComparisonData!$AG$1),0),5)</f>
        <v>0</v>
      </c>
      <c r="AH88" s="46" cm="1">
        <f t="array" ref="AH88">ROUND(IFERROR(INDEX(ArchiveResults!$F$5:$IX$116,ComparisonData!A88,ComparisonData!$AH$1),0),5)</f>
        <v>0</v>
      </c>
      <c r="AI88" s="56">
        <v>83</v>
      </c>
      <c r="AJ88" s="53" t="str">
        <f t="shared" si="645"/>
        <v>The National Library of Wales</v>
      </c>
      <c r="AK88" s="59">
        <f t="shared" si="646"/>
        <v>0</v>
      </c>
      <c r="AL88" s="59">
        <f t="shared" si="647"/>
        <v>0</v>
      </c>
      <c r="AM88" s="58">
        <f t="shared" si="767"/>
        <v>0</v>
      </c>
      <c r="AN88" s="45">
        <f t="shared" si="768"/>
        <v>103</v>
      </c>
      <c r="AO88" s="54">
        <f t="shared" si="648"/>
        <v>2.9539999999999997</v>
      </c>
      <c r="AP88" s="45">
        <f t="shared" si="769"/>
        <v>1</v>
      </c>
      <c r="AQ88" s="45">
        <f t="shared" si="770"/>
        <v>2</v>
      </c>
      <c r="AR88" s="46" cm="1">
        <f t="array" ref="AR88">ROUND(IFERROR(INDEX(ArchiveResults!$F$5:$IX$116,ComparisonData!A88,ComparisonData!$AR$1),0),5)</f>
        <v>0</v>
      </c>
      <c r="AS88" s="46" cm="1">
        <f t="array" ref="AS88">ROUND(IFERROR(INDEX(ArchiveResults!$F$5:$IX$116,ComparisonData!A88,ComparisonData!$AS$1),0),5)</f>
        <v>0</v>
      </c>
      <c r="AT88" s="46" cm="1">
        <f t="array" ref="AT88">ROUND(IFERROR(INDEX(ArchiveResults!$F$5:$IX$116,ComparisonData!A88,ComparisonData!$AT$1),0),5)</f>
        <v>0</v>
      </c>
      <c r="AU88" s="46" cm="1">
        <f t="array" ref="AU88">ROUND(IFERROR(INDEX(ArchiveResults!$F$5:$IX$116,ComparisonData!A88,ComparisonData!$AU$1),0),5)</f>
        <v>0</v>
      </c>
      <c r="AV88" s="46" cm="1">
        <f t="array" ref="AV88">ROUND(IFERROR(INDEX(ArchiveResults!$F$5:$IX$116,ComparisonData!A88,ComparisonData!$AV$1),0),5)</f>
        <v>0</v>
      </c>
      <c r="AW88" s="46" cm="1">
        <f t="array" ref="AW88">ROUND(IFERROR(INDEX(ArchiveResults!$F$5:$IX$116,ComparisonData!A88,ComparisonData!$AW$1),0),5)</f>
        <v>0</v>
      </c>
      <c r="AX88" s="46" cm="1">
        <f t="array" ref="AX88">ROUND(IFERROR(INDEX(ArchiveResults!$F$5:$IX$116,ComparisonData!A88,ComparisonData!$AX$1),0),5)</f>
        <v>0</v>
      </c>
      <c r="AY88" s="46" cm="1">
        <f t="array" ref="AY88">ROUND(IFERROR(INDEX(ArchiveResults!$F$5:$IX$116,ComparisonData!A88,ComparisonData!$AY$1),0),5)</f>
        <v>0</v>
      </c>
      <c r="AZ88" s="46" cm="1">
        <f t="array" ref="AZ88">ROUND(IFERROR(INDEX(ArchiveResults!$F$5:$IX$116,ComparisonData!A88,ComparisonData!$AZ$1),0),5)</f>
        <v>0</v>
      </c>
      <c r="BA88" s="46" cm="1">
        <f t="array" ref="BA88">ROUND(IFERROR(INDEX(ArchiveResults!$F$5:$IX$116,ComparisonData!A88,ComparisonData!$BA$1),0),5)</f>
        <v>0</v>
      </c>
      <c r="BB88" s="56">
        <v>83</v>
      </c>
      <c r="BC88" s="53" t="str">
        <f t="shared" si="649"/>
        <v>The National Library of Wales</v>
      </c>
      <c r="BD88" s="60">
        <f t="shared" si="771"/>
        <v>0</v>
      </c>
      <c r="BE88" s="60">
        <f t="shared" si="772"/>
        <v>0</v>
      </c>
      <c r="BF88" s="60">
        <f t="shared" si="773"/>
        <v>0</v>
      </c>
      <c r="BG88" s="60">
        <f t="shared" si="774"/>
        <v>0</v>
      </c>
      <c r="BH88" s="60">
        <f t="shared" si="775"/>
        <v>0</v>
      </c>
      <c r="BI88" s="60">
        <f t="shared" si="776"/>
        <v>0</v>
      </c>
      <c r="BJ88" s="60">
        <f t="shared" si="777"/>
        <v>0</v>
      </c>
      <c r="BK88" s="60">
        <f t="shared" si="778"/>
        <v>0</v>
      </c>
      <c r="BL88" s="60">
        <f t="shared" si="779"/>
        <v>0</v>
      </c>
      <c r="BM88" s="59">
        <f t="shared" si="780"/>
        <v>0</v>
      </c>
      <c r="BN88" s="58">
        <f t="shared" si="781"/>
        <v>0</v>
      </c>
      <c r="BO88" s="45">
        <f t="shared" si="782"/>
        <v>103</v>
      </c>
      <c r="BP88" s="54">
        <f t="shared" si="650"/>
        <v>2.9539999999999997</v>
      </c>
      <c r="BQ88" s="45">
        <f t="shared" si="783"/>
        <v>1</v>
      </c>
      <c r="BR88" s="45">
        <f t="shared" si="784"/>
        <v>2</v>
      </c>
      <c r="BS88" s="46" cm="1">
        <f t="array" ref="BS88">ROUND(IFERROR(INDEX(ArchiveResults!$F$5:$IX$116,ComparisonData!A88,ComparisonData!$BS$1),0),5)</f>
        <v>0</v>
      </c>
      <c r="BT88" s="46" cm="1">
        <f t="array" ref="BT88">ROUND(IFERROR(INDEX(ArchiveResults!$F$5:$IX$116,ComparisonData!A88,ComparisonData!$BT$1),0),5)</f>
        <v>0</v>
      </c>
      <c r="BU88" s="46" cm="1">
        <f t="array" ref="BU88">ROUND(IFERROR(INDEX(ArchiveResults!$F$5:$IX$116,ComparisonData!A88,ComparisonData!$BU$1),0),5)</f>
        <v>0</v>
      </c>
      <c r="BV88" s="46" cm="1">
        <f t="array" ref="BV88">ROUND(IFERROR(INDEX(ArchiveResults!$F$5:$IX$116,ComparisonData!A88,ComparisonData!$BV$1),0),5)</f>
        <v>0</v>
      </c>
      <c r="BW88" s="46" cm="1">
        <f t="array" ref="BW88">ROUND(IFERROR(INDEX(ArchiveResults!$F$5:$IX$116,ComparisonData!A88,ComparisonData!$BW$1),0),5)</f>
        <v>0</v>
      </c>
      <c r="BX88" s="46" cm="1">
        <f t="array" ref="BX88">ROUND(IFERROR(INDEX(ArchiveResults!$F$5:$IX$116,ComparisonData!A88,ComparisonData!$BX$1),0),5)</f>
        <v>0</v>
      </c>
      <c r="BY88" s="56">
        <v>83</v>
      </c>
      <c r="BZ88" s="53" t="str">
        <f t="shared" si="651"/>
        <v>The National Library of Wales</v>
      </c>
      <c r="CA88" s="59">
        <f t="shared" si="785"/>
        <v>0</v>
      </c>
      <c r="CB88" s="59">
        <f t="shared" si="786"/>
        <v>0</v>
      </c>
      <c r="CC88" s="59">
        <f t="shared" si="787"/>
        <v>0</v>
      </c>
      <c r="CD88" s="59">
        <f t="shared" si="788"/>
        <v>0</v>
      </c>
      <c r="CE88" s="59">
        <f t="shared" si="789"/>
        <v>0</v>
      </c>
      <c r="CF88" s="59">
        <f t="shared" si="790"/>
        <v>0</v>
      </c>
      <c r="CG88" s="58">
        <f t="shared" si="791"/>
        <v>0</v>
      </c>
      <c r="CH88" s="45">
        <f t="shared" si="792"/>
        <v>103</v>
      </c>
      <c r="CI88" s="54">
        <f t="shared" si="652"/>
        <v>2.9539999999999997</v>
      </c>
      <c r="CJ88" s="45">
        <f t="shared" si="793"/>
        <v>1</v>
      </c>
      <c r="CK88" s="45">
        <f t="shared" si="794"/>
        <v>2</v>
      </c>
      <c r="CL88" s="46" cm="1">
        <f t="array" ref="CL88">ROUND(IFERROR(INDEX(ArchiveResults!$F$5:$IX$116,ComparisonData!A88,ComparisonData!$CL$1),0),5)</f>
        <v>0</v>
      </c>
      <c r="CM88" s="56">
        <v>83</v>
      </c>
      <c r="CN88" s="53" t="str">
        <f t="shared" si="653"/>
        <v>The National Library of Wales</v>
      </c>
      <c r="CO88" s="45">
        <f t="shared" si="795"/>
        <v>0</v>
      </c>
      <c r="CP88" s="58">
        <f t="shared" si="796"/>
        <v>0</v>
      </c>
      <c r="CQ88" s="45">
        <f t="shared" si="797"/>
        <v>103</v>
      </c>
      <c r="CR88" s="54">
        <f t="shared" si="654"/>
        <v>2.9539999999999997</v>
      </c>
      <c r="CS88" s="45">
        <f t="shared" si="798"/>
        <v>1</v>
      </c>
      <c r="CT88" s="45">
        <f t="shared" si="799"/>
        <v>2</v>
      </c>
      <c r="CU88" s="46" cm="1">
        <f t="array" ref="CU88">ROUND(IFERROR(INDEX(ArchiveResults!$F$5:$IX$116,ComparisonData!A88,ComparisonData!$CU$1),0),5)</f>
        <v>0</v>
      </c>
      <c r="CV88" s="56">
        <v>83</v>
      </c>
      <c r="CW88" s="53" t="str">
        <f t="shared" si="655"/>
        <v>The National Library of Wales</v>
      </c>
      <c r="CX88" s="45">
        <f t="shared" si="800"/>
        <v>0</v>
      </c>
      <c r="CY88" s="58">
        <f t="shared" si="801"/>
        <v>0</v>
      </c>
      <c r="CZ88" s="45">
        <f t="shared" si="802"/>
        <v>103</v>
      </c>
      <c r="DA88" s="54">
        <f t="shared" si="656"/>
        <v>2.9539999999999997</v>
      </c>
      <c r="DB88" s="45">
        <f t="shared" si="803"/>
        <v>1</v>
      </c>
      <c r="DC88" s="45">
        <f t="shared" si="804"/>
        <v>2</v>
      </c>
      <c r="DD88" s="46" cm="1">
        <f t="array" ref="DD88">ROUND(IFERROR(INDEX(ArchiveResults!$F$5:$IX$116,ComparisonData!A88,ComparisonData!$DD$1),0),5)</f>
        <v>0</v>
      </c>
      <c r="DE88" s="56">
        <v>83</v>
      </c>
      <c r="DF88" s="53" t="str">
        <f t="shared" si="657"/>
        <v>The National Library of Wales</v>
      </c>
      <c r="DG88" s="45">
        <f t="shared" si="805"/>
        <v>0</v>
      </c>
      <c r="DH88" s="58">
        <f t="shared" si="806"/>
        <v>0</v>
      </c>
      <c r="DI88" s="45">
        <f t="shared" si="807"/>
        <v>103</v>
      </c>
      <c r="DJ88" s="54">
        <f t="shared" si="658"/>
        <v>2.9539999999999997</v>
      </c>
      <c r="DK88" s="45">
        <f t="shared" si="808"/>
        <v>1</v>
      </c>
      <c r="DL88" s="45">
        <f t="shared" si="809"/>
        <v>2</v>
      </c>
      <c r="DM88" s="46" cm="1">
        <f t="array" ref="DM88">ROUND(IFERROR(INDEX(ArchiveResults!$F$5:$IX$116,ComparisonData!A88,ComparisonData!$DM$1),0),5)</f>
        <v>0</v>
      </c>
      <c r="DN88" s="46" cm="1">
        <f t="array" ref="DN88">ROUND(IFERROR(INDEX(ArchiveResults!$F$5:$IX$116,ComparisonData!A88,ComparisonData!$DN$1),0),5)</f>
        <v>0</v>
      </c>
      <c r="DO88" s="46" cm="1">
        <f t="array" ref="DO88">ROUND(IFERROR(INDEX(ArchiveResults!$F$5:$IX$116,ComparisonData!A88,ComparisonData!$DO$1),0),5)</f>
        <v>0</v>
      </c>
      <c r="DP88" s="46" cm="1">
        <f t="array" ref="DP88">ROUND(IFERROR(INDEX(ArchiveResults!$F$5:$IX$116,ComparisonData!A88,ComparisonData!$DP$1),0),5)</f>
        <v>0</v>
      </c>
      <c r="DQ88" s="45" cm="1">
        <f t="array" ref="DQ88">IFERROR(INDEX(ArchiveResults!$F$5:$IX$116,ComparisonData!A88,ComparisonData!$DQ$1),0)</f>
        <v>0</v>
      </c>
      <c r="DR88" s="56">
        <v>83</v>
      </c>
      <c r="DS88" s="53" t="str">
        <f t="shared" si="659"/>
        <v>The National Library of Wales</v>
      </c>
      <c r="DT88" s="59">
        <f t="shared" si="810"/>
        <v>0</v>
      </c>
      <c r="DU88" s="59">
        <f t="shared" si="811"/>
        <v>0</v>
      </c>
      <c r="DV88" s="59">
        <f t="shared" si="812"/>
        <v>0</v>
      </c>
      <c r="DW88" s="59">
        <f t="shared" si="813"/>
        <v>0</v>
      </c>
      <c r="DX88" s="59">
        <f t="shared" si="814"/>
        <v>0</v>
      </c>
      <c r="DY88" s="58">
        <f t="shared" si="815"/>
        <v>0</v>
      </c>
      <c r="DZ88" s="45">
        <f t="shared" si="816"/>
        <v>103</v>
      </c>
      <c r="EA88" s="54">
        <f t="shared" si="660"/>
        <v>2.9539999999999997</v>
      </c>
      <c r="EB88" s="45">
        <f t="shared" si="817"/>
        <v>1</v>
      </c>
      <c r="EC88" s="45">
        <f t="shared" si="818"/>
        <v>2</v>
      </c>
      <c r="ED88" s="46" cm="1">
        <f t="array" ref="ED88">ROUND(IFERROR(INDEX(ArchiveResults!$F$5:$IX$116,ComparisonData!A88,ComparisonData!$ED$1),0),5)</f>
        <v>0</v>
      </c>
      <c r="EE88" s="46" cm="1">
        <f t="array" ref="EE88">ROUND(IFERROR(INDEX(ArchiveResults!$F$5:$IX$116,ComparisonData!A88,ComparisonData!$EE$1),0),5)</f>
        <v>0</v>
      </c>
      <c r="EF88" s="46" cm="1">
        <f t="array" ref="EF88">ROUND(IFERROR(INDEX(ArchiveResults!$F$5:$IX$116,ComparisonData!A88,ComparisonData!$EF$1),0),5)</f>
        <v>0</v>
      </c>
      <c r="EG88" s="46" cm="1">
        <f t="array" ref="EG88">ROUND(IFERROR(INDEX(ArchiveResults!$F$5:$IX$116,ComparisonData!A88,ComparisonData!$EG$1),0),5)</f>
        <v>0</v>
      </c>
      <c r="EH88" s="45" cm="1">
        <f t="array" ref="EH88">IFERROR(INDEX(ArchiveResults!$F$5:$IX$116,ComparisonData!A88,ComparisonData!$EH$1),0)</f>
        <v>0</v>
      </c>
      <c r="EI88" s="56">
        <v>83</v>
      </c>
      <c r="EJ88" s="53" t="str">
        <f t="shared" si="661"/>
        <v>The National Library of Wales</v>
      </c>
      <c r="EK88" s="59">
        <f t="shared" si="819"/>
        <v>0</v>
      </c>
      <c r="EL88" s="59">
        <f t="shared" si="820"/>
        <v>0</v>
      </c>
      <c r="EM88" s="59">
        <f t="shared" si="821"/>
        <v>0</v>
      </c>
      <c r="EN88" s="59">
        <f t="shared" si="822"/>
        <v>0</v>
      </c>
      <c r="EO88" s="59">
        <f t="shared" si="823"/>
        <v>0</v>
      </c>
      <c r="EP88" s="58">
        <f t="shared" si="824"/>
        <v>0</v>
      </c>
      <c r="EQ88" s="45">
        <f t="shared" si="825"/>
        <v>103</v>
      </c>
      <c r="ER88" s="54">
        <f t="shared" si="662"/>
        <v>2.9539999999999997</v>
      </c>
      <c r="ES88" s="45">
        <f t="shared" si="826"/>
        <v>1</v>
      </c>
      <c r="ET88" s="45">
        <f t="shared" si="827"/>
        <v>2</v>
      </c>
      <c r="EU88" s="46" cm="1">
        <f t="array" ref="EU88">ROUND(IFERROR(INDEX(ArchiveResults!$F$5:$IX$116,ComparisonData!A88,ComparisonData!$EU$1),0),5)</f>
        <v>0</v>
      </c>
      <c r="EV88" s="46" cm="1">
        <f t="array" ref="EV88">ROUND(IFERROR(INDEX(ArchiveResults!$F$5:$IX$116,ComparisonData!A88,ComparisonData!$EV$1),0),5)</f>
        <v>0</v>
      </c>
      <c r="EW88" s="46" cm="1">
        <f t="array" ref="EW88">ROUND(IFERROR(INDEX(ArchiveResults!$F$5:$IX$116,ComparisonData!A88,ComparisonData!$EW$1),0),5)</f>
        <v>0</v>
      </c>
      <c r="EX88" s="46" cm="1">
        <f t="array" ref="EX88">ROUND(IFERROR(INDEX(ArchiveResults!$F$5:$IX$116,ComparisonData!A88,ComparisonData!$EX$1),0),5)</f>
        <v>0</v>
      </c>
      <c r="EY88" s="45" cm="1">
        <f t="array" ref="EY88">IFERROR(INDEX(ArchiveResults!$F$5:$IX$116,ComparisonData!A88,ComparisonData!$EY$1),0)</f>
        <v>0</v>
      </c>
      <c r="EZ88" s="56">
        <v>83</v>
      </c>
      <c r="FA88" s="53" t="str">
        <f t="shared" si="663"/>
        <v>The National Library of Wales</v>
      </c>
      <c r="FB88" s="59">
        <f t="shared" si="828"/>
        <v>0</v>
      </c>
      <c r="FC88" s="59">
        <f t="shared" si="829"/>
        <v>0</v>
      </c>
      <c r="FD88" s="59">
        <f t="shared" si="830"/>
        <v>0</v>
      </c>
      <c r="FE88" s="59">
        <f t="shared" si="831"/>
        <v>0</v>
      </c>
      <c r="FF88" s="59">
        <f t="shared" si="832"/>
        <v>0</v>
      </c>
      <c r="FG88" s="58">
        <f t="shared" si="833"/>
        <v>0</v>
      </c>
      <c r="FH88" s="45">
        <f t="shared" si="834"/>
        <v>103</v>
      </c>
      <c r="FI88" s="54">
        <f t="shared" si="664"/>
        <v>2.9539999999999997</v>
      </c>
      <c r="FJ88" s="45">
        <f t="shared" si="835"/>
        <v>1</v>
      </c>
      <c r="FK88" s="45">
        <f t="shared" si="836"/>
        <v>2</v>
      </c>
      <c r="FL88" s="46" cm="1">
        <f t="array" ref="FL88">ROUND(IFERROR(INDEX(ArchiveResults!$F$5:$IX$116,ComparisonData!A88,ComparisonData!$FL$1),0),5)</f>
        <v>0</v>
      </c>
      <c r="FM88" s="46" cm="1">
        <f t="array" ref="FM88">ROUND(IFERROR(INDEX(ArchiveResults!$F$5:$IX$116,ComparisonData!A88,ComparisonData!$FM$1),0),5)</f>
        <v>0</v>
      </c>
      <c r="FN88" s="46" cm="1">
        <f t="array" ref="FN88">ROUND(IFERROR(INDEX(ArchiveResults!$F$5:$IX$116,ComparisonData!A88,ComparisonData!$FN$1),0),5)</f>
        <v>0</v>
      </c>
      <c r="FO88" s="46" cm="1">
        <f t="array" ref="FO88">ROUND(IFERROR(INDEX(ArchiveResults!$F$5:$IX$116,ComparisonData!A88,ComparisonData!$FO$1),0),5)</f>
        <v>0</v>
      </c>
      <c r="FP88" s="45" cm="1">
        <f t="array" ref="FP88">IFERROR(INDEX(ArchiveResults!$F$5:$IX$116,ComparisonData!A88,ComparisonData!$FP$1),0)</f>
        <v>0</v>
      </c>
      <c r="FQ88" s="56">
        <v>83</v>
      </c>
      <c r="FR88" s="53" t="str">
        <f t="shared" si="665"/>
        <v>The National Library of Wales</v>
      </c>
      <c r="FS88" s="59">
        <f t="shared" si="837"/>
        <v>0</v>
      </c>
      <c r="FT88" s="59">
        <f t="shared" si="838"/>
        <v>0</v>
      </c>
      <c r="FU88" s="59">
        <f t="shared" si="839"/>
        <v>0</v>
      </c>
      <c r="FV88" s="59">
        <f t="shared" si="840"/>
        <v>0</v>
      </c>
      <c r="FW88" s="59">
        <f t="shared" si="841"/>
        <v>0</v>
      </c>
      <c r="FX88" s="58">
        <f t="shared" si="842"/>
        <v>0</v>
      </c>
      <c r="FY88" s="45">
        <f t="shared" si="843"/>
        <v>103</v>
      </c>
      <c r="FZ88" s="45">
        <f t="shared" si="666"/>
        <v>2.9539999999999997</v>
      </c>
      <c r="GA88" s="45">
        <f t="shared" si="844"/>
        <v>1</v>
      </c>
      <c r="GB88" s="45">
        <f t="shared" si="845"/>
        <v>2</v>
      </c>
      <c r="GC88" s="46" cm="1">
        <f t="array" ref="GC88">ROUND(IFERROR(INDEX(ArchiveResults!$F$5:$IX$116,ComparisonData!A88,ComparisonData!$GC$1),0),5)</f>
        <v>0</v>
      </c>
      <c r="GD88" s="46" cm="1">
        <f t="array" ref="GD88">ROUND(IFERROR(INDEX(ArchiveResults!$F$5:$IX$116,ComparisonData!A88,ComparisonData!$GD$1),0),5)</f>
        <v>0</v>
      </c>
      <c r="GE88" s="46" cm="1">
        <f t="array" ref="GE88">ROUND(IFERROR(INDEX(ArchiveResults!$F$5:$IX$116,ComparisonData!A88,ComparisonData!$GE$1),0),5)</f>
        <v>0</v>
      </c>
      <c r="GF88" s="46" cm="1">
        <f t="array" ref="GF88">ROUND(IFERROR(INDEX(ArchiveResults!$F$5:$IX$116,ComparisonData!A88,ComparisonData!$GF$1),0),5)</f>
        <v>0</v>
      </c>
      <c r="GG88" s="45" cm="1">
        <f t="array" ref="GG88">IFERROR(INDEX(ArchiveResults!$F$5:$IX$116,ComparisonData!A88,ComparisonData!$GG$1),0)</f>
        <v>0</v>
      </c>
      <c r="GH88" s="56">
        <v>83</v>
      </c>
      <c r="GI88" s="53" t="str">
        <f t="shared" si="667"/>
        <v>The National Library of Wales</v>
      </c>
      <c r="GJ88" s="59">
        <f t="shared" si="846"/>
        <v>0</v>
      </c>
      <c r="GK88" s="59">
        <f t="shared" si="847"/>
        <v>0</v>
      </c>
      <c r="GL88" s="59">
        <f t="shared" si="848"/>
        <v>0</v>
      </c>
      <c r="GM88" s="59">
        <f t="shared" si="849"/>
        <v>0</v>
      </c>
      <c r="GN88" s="59">
        <f t="shared" si="850"/>
        <v>0</v>
      </c>
      <c r="GO88" s="58">
        <f t="shared" si="851"/>
        <v>0</v>
      </c>
      <c r="GP88" s="45">
        <f t="shared" si="852"/>
        <v>103</v>
      </c>
      <c r="GQ88" s="45">
        <f t="shared" si="668"/>
        <v>2.9539999999999997</v>
      </c>
      <c r="GR88" s="45">
        <f t="shared" si="853"/>
        <v>1</v>
      </c>
      <c r="GS88" s="45">
        <f t="shared" si="854"/>
        <v>2</v>
      </c>
      <c r="GT88" s="46" cm="1">
        <f t="array" ref="GT88">ROUND(IFERROR(INDEX(ArchiveResults!$F$5:$IX$116,ComparisonData!A88,ComparisonData!$GT$1),0),5)</f>
        <v>0</v>
      </c>
      <c r="GU88" s="46" cm="1">
        <f t="array" ref="GU88">ROUND(IFERROR(INDEX(ArchiveResults!$F$5:$IX$116,ComparisonData!A88,ComparisonData!$GU$1),0),5)</f>
        <v>0</v>
      </c>
      <c r="GV88" s="46" cm="1">
        <f t="array" ref="GV88">ROUND(IFERROR(INDEX(ArchiveResults!$F$5:$IX$116,ComparisonData!A88,ComparisonData!$GV$1),0),5)</f>
        <v>0</v>
      </c>
      <c r="GW88" s="46" cm="1">
        <f t="array" ref="GW88">ROUND(IFERROR(INDEX(ArchiveResults!$F$5:$IX$116,ComparisonData!A88,ComparisonData!$GW$1),0),5)</f>
        <v>0</v>
      </c>
      <c r="GX88" s="45" cm="1">
        <f t="array" ref="GX88">IFERROR(INDEX(ArchiveResults!$F$5:$IX$116,ComparisonData!A88,ComparisonData!$GX$1),0)</f>
        <v>0</v>
      </c>
      <c r="GY88" s="56">
        <v>83</v>
      </c>
      <c r="GZ88" s="53" t="str">
        <f t="shared" si="669"/>
        <v>The National Library of Wales</v>
      </c>
      <c r="HA88" s="59">
        <f t="shared" si="855"/>
        <v>0</v>
      </c>
      <c r="HB88" s="59">
        <f t="shared" si="856"/>
        <v>0</v>
      </c>
      <c r="HC88" s="59">
        <f t="shared" si="857"/>
        <v>0</v>
      </c>
      <c r="HD88" s="59">
        <f t="shared" si="858"/>
        <v>0</v>
      </c>
      <c r="HE88" s="59">
        <f t="shared" si="859"/>
        <v>0</v>
      </c>
      <c r="HF88" s="58">
        <f t="shared" si="860"/>
        <v>0</v>
      </c>
      <c r="HG88" s="45">
        <f t="shared" si="861"/>
        <v>103</v>
      </c>
      <c r="HH88" s="45">
        <f t="shared" si="670"/>
        <v>2.9539999999999997</v>
      </c>
      <c r="HI88" s="45">
        <f t="shared" si="862"/>
        <v>1</v>
      </c>
      <c r="HJ88" s="45">
        <f t="shared" si="863"/>
        <v>2</v>
      </c>
      <c r="HK88" s="46" cm="1">
        <f t="array" ref="HK88">ROUND(IFERROR(INDEX(ArchiveResults!$F$5:$IX$116,ComparisonData!A88,ComparisonData!$HK$1),0),5)</f>
        <v>0</v>
      </c>
      <c r="HL88" s="46" cm="1">
        <f t="array" ref="HL88">ROUND(IFERROR(INDEX(ArchiveResults!$F$5:$IX$116,ComparisonData!A88,ComparisonData!$HL$1),0),5)</f>
        <v>0</v>
      </c>
      <c r="HM88" s="46" cm="1">
        <f t="array" ref="HM88">ROUND(IFERROR(INDEX(ArchiveResults!$F$5:$IX$116,ComparisonData!A88,ComparisonData!$HM$1),0),5)</f>
        <v>0</v>
      </c>
      <c r="HN88" s="46" cm="1">
        <f t="array" ref="HN88">ROUND(IFERROR(INDEX(ArchiveResults!$F$5:$IX$116,ComparisonData!A88,ComparisonData!$HN$1),0),5)</f>
        <v>0</v>
      </c>
      <c r="HO88" s="45" cm="1">
        <f t="array" ref="HO88">IFERROR(INDEX(ArchiveResults!$F$5:$IX$116,ComparisonData!A88,ComparisonData!$HO$1),0)</f>
        <v>0</v>
      </c>
      <c r="HP88" s="56">
        <v>83</v>
      </c>
      <c r="HQ88" s="53" t="str">
        <f t="shared" si="671"/>
        <v>The National Library of Wales</v>
      </c>
      <c r="HR88" s="59">
        <f t="shared" si="672"/>
        <v>0</v>
      </c>
      <c r="HS88" s="59">
        <f t="shared" si="673"/>
        <v>0</v>
      </c>
      <c r="HT88" s="59">
        <f t="shared" si="674"/>
        <v>0</v>
      </c>
      <c r="HU88" s="59">
        <f t="shared" si="675"/>
        <v>0</v>
      </c>
      <c r="HV88" s="59">
        <f t="shared" si="676"/>
        <v>0</v>
      </c>
      <c r="HW88" s="58">
        <f t="shared" si="864"/>
        <v>0</v>
      </c>
      <c r="HX88" s="45">
        <f t="shared" si="865"/>
        <v>103</v>
      </c>
      <c r="HY88" s="45">
        <f t="shared" si="677"/>
        <v>2.9539999999999997</v>
      </c>
      <c r="HZ88" s="45">
        <f t="shared" si="866"/>
        <v>1</v>
      </c>
      <c r="IA88" s="45">
        <f t="shared" si="867"/>
        <v>2</v>
      </c>
      <c r="IB88" s="45">
        <f t="shared" si="868"/>
        <v>0</v>
      </c>
      <c r="IC88" s="46" cm="1">
        <f t="array" ref="IC88">ROUND(IFERROR(INDEX(ArchiveResults!$F$5:$IX$116,ComparisonData!A88,ComparisonData!$IC$1),0),5)</f>
        <v>0</v>
      </c>
      <c r="ID88" s="46" cm="1">
        <f t="array" ref="ID88">ROUND(IFERROR(INDEX(ArchiveResults!$F$5:$IX$116,ComparisonData!A88,ComparisonData!$ID$1),0),5)</f>
        <v>0</v>
      </c>
      <c r="IE88" s="46" cm="1">
        <f t="array" ref="IE88">ROUND(IFERROR(INDEX(ArchiveResults!$F$5:$IX$116,ComparisonData!A88,ComparisonData!$IE$1),0),5)</f>
        <v>0</v>
      </c>
      <c r="IF88" s="46" cm="1">
        <f t="array" ref="IF88">ROUND(IFERROR(INDEX(ArchiveResults!$F$5:$IX$116,ComparisonData!A88,ComparisonData!$IF$1),0),5)</f>
        <v>0</v>
      </c>
      <c r="IG88" s="45" cm="1">
        <f t="array" ref="IG88">IFERROR(INDEX(ArchiveResults!$F$5:$IX$116,ComparisonData!A88,ComparisonData!$IG$1),0)</f>
        <v>0</v>
      </c>
      <c r="IH88" s="56">
        <v>83</v>
      </c>
      <c r="II88" s="53" t="str">
        <f t="shared" si="678"/>
        <v>The National Library of Wales</v>
      </c>
      <c r="IJ88" s="59">
        <f t="shared" si="869"/>
        <v>0</v>
      </c>
      <c r="IK88" s="59">
        <f t="shared" si="870"/>
        <v>0</v>
      </c>
      <c r="IL88" s="59">
        <f t="shared" si="871"/>
        <v>0</v>
      </c>
      <c r="IM88" s="59">
        <f t="shared" si="872"/>
        <v>0</v>
      </c>
      <c r="IN88" s="59">
        <f t="shared" si="873"/>
        <v>0</v>
      </c>
      <c r="IO88" s="58">
        <f t="shared" si="874"/>
        <v>0</v>
      </c>
      <c r="IP88" s="45">
        <f t="shared" si="875"/>
        <v>103</v>
      </c>
      <c r="IQ88" s="45">
        <f t="shared" si="679"/>
        <v>2.9539999999999997</v>
      </c>
      <c r="IR88" s="45">
        <f t="shared" si="876"/>
        <v>1</v>
      </c>
      <c r="IS88" s="45">
        <f t="shared" si="877"/>
        <v>2</v>
      </c>
      <c r="IT88" s="46">
        <f t="shared" si="878"/>
        <v>0</v>
      </c>
      <c r="IU88" s="46" cm="1">
        <f t="array" ref="IU88">ROUND(IFERROR(INDEX(ArchiveResults!$F$5:$IX$116,ComparisonData!A88,ComparisonData!$IU$1),0),5)</f>
        <v>0</v>
      </c>
      <c r="IV88" s="46" cm="1">
        <f t="array" ref="IV88">ROUND(IFERROR(INDEX(ArchiveResults!$F$5:$IX$116,ComparisonData!A88,ComparisonData!$IV$1),0),5)</f>
        <v>0</v>
      </c>
      <c r="IW88" s="46" cm="1">
        <f t="array" ref="IW88">ROUND(IFERROR(INDEX(ArchiveResults!$F$5:$IX$116,ComparisonData!A88,ComparisonData!$IW$1),0),5)</f>
        <v>0</v>
      </c>
      <c r="IX88" s="46" cm="1">
        <f t="array" ref="IX88">ROUND(IFERROR(INDEX(ArchiveResults!$F$5:$IX$116,ComparisonData!A88,ComparisonData!$IX$1),0),5)</f>
        <v>0</v>
      </c>
      <c r="IY88" s="45" cm="1">
        <f t="array" ref="IY88">IFERROR(INDEX(ArchiveResults!$F$5:$IX$116,ComparisonData!A88,ComparisonData!$IY$1),0)</f>
        <v>0</v>
      </c>
      <c r="IZ88" s="56">
        <v>83</v>
      </c>
      <c r="JA88" s="53" t="str">
        <f t="shared" si="680"/>
        <v>The National Library of Wales</v>
      </c>
      <c r="JB88" s="59">
        <f t="shared" si="879"/>
        <v>0</v>
      </c>
      <c r="JC88" s="59">
        <f t="shared" si="880"/>
        <v>0</v>
      </c>
      <c r="JD88" s="59">
        <f t="shared" si="881"/>
        <v>0</v>
      </c>
      <c r="JE88" s="59">
        <f t="shared" si="882"/>
        <v>0</v>
      </c>
      <c r="JF88" s="59">
        <f t="shared" si="883"/>
        <v>0</v>
      </c>
      <c r="JG88" s="58">
        <f t="shared" si="884"/>
        <v>0</v>
      </c>
      <c r="JH88" s="45">
        <f t="shared" si="885"/>
        <v>103</v>
      </c>
      <c r="JI88" s="45">
        <f t="shared" si="681"/>
        <v>2.9539999999999997</v>
      </c>
      <c r="JJ88" s="45">
        <f t="shared" si="886"/>
        <v>1</v>
      </c>
      <c r="JK88" s="45">
        <f t="shared" si="887"/>
        <v>2</v>
      </c>
      <c r="JL88" s="45">
        <f t="shared" si="888"/>
        <v>0</v>
      </c>
      <c r="JM88" s="46" cm="1">
        <f t="array" ref="JM88">ROUND(IFERROR(INDEX(ArchiveResults!$F$5:$IX$116,ComparisonData!A88,ComparisonData!$JM$1),0),5)</f>
        <v>0</v>
      </c>
      <c r="JN88" s="46" cm="1">
        <f t="array" ref="JN88">ROUND(IFERROR(INDEX(ArchiveResults!$F$5:$IX$116,ComparisonData!A88,ComparisonData!$JN$1),0),5)</f>
        <v>0</v>
      </c>
      <c r="JO88" s="46" cm="1">
        <f t="array" ref="JO88">ROUND(IFERROR(INDEX(ArchiveResults!$F$5:$IX$116,ComparisonData!A88,ComparisonData!$JO$1),0),5)</f>
        <v>0</v>
      </c>
      <c r="JP88" s="46" cm="1">
        <f t="array" ref="JP88">ROUND(IFERROR(INDEX(ArchiveResults!$F$5:$IX$116,ComparisonData!A88,ComparisonData!$JP$1),0),5)</f>
        <v>0</v>
      </c>
      <c r="JQ88" s="45" cm="1">
        <f t="array" ref="JQ88">IFERROR(INDEX(ArchiveResults!$F$5:$IX$116,ComparisonData!A88,ComparisonData!$JQ$1),0)</f>
        <v>0</v>
      </c>
      <c r="JR88" s="56">
        <v>83</v>
      </c>
      <c r="JS88" s="53" t="str">
        <f t="shared" si="682"/>
        <v>The National Library of Wales</v>
      </c>
      <c r="JT88" s="59">
        <f t="shared" si="889"/>
        <v>0</v>
      </c>
      <c r="JU88" s="59">
        <f t="shared" si="890"/>
        <v>0</v>
      </c>
      <c r="JV88" s="59">
        <f t="shared" si="891"/>
        <v>0</v>
      </c>
      <c r="JW88" s="59">
        <f t="shared" si="892"/>
        <v>0</v>
      </c>
      <c r="JX88" s="59">
        <f t="shared" si="893"/>
        <v>0</v>
      </c>
      <c r="JY88" s="58">
        <f t="shared" si="894"/>
        <v>0</v>
      </c>
      <c r="JZ88" s="45">
        <f t="shared" si="895"/>
        <v>103</v>
      </c>
      <c r="KA88" s="45">
        <f t="shared" si="683"/>
        <v>2.9539999999999997</v>
      </c>
      <c r="KB88" s="45">
        <f t="shared" si="896"/>
        <v>1</v>
      </c>
      <c r="KC88" s="45">
        <f t="shared" si="897"/>
        <v>2</v>
      </c>
      <c r="KD88" s="45">
        <f t="shared" si="898"/>
        <v>0</v>
      </c>
      <c r="KE88" s="46" cm="1">
        <f t="array" ref="KE88">ROUND(IFERROR(INDEX(ArchiveResults!$F$5:$IX$116,ComparisonData!A88,ComparisonData!$KE$1),0),5)</f>
        <v>0</v>
      </c>
      <c r="KF88" s="46" cm="1">
        <f t="array" ref="KF88">ROUND(IFERROR(INDEX(ArchiveResults!$F$5:$IX$116,ComparisonData!A88,ComparisonData!$KF$1),0),5)</f>
        <v>0</v>
      </c>
      <c r="KG88" s="46" cm="1">
        <f t="array" ref="KG88">ROUND(IFERROR(INDEX(ArchiveResults!$F$5:$IX$116,ComparisonData!A88,ComparisonData!$KG$1),0),5)</f>
        <v>0</v>
      </c>
      <c r="KH88" s="46" cm="1">
        <f t="array" ref="KH88">ROUND(IFERROR(INDEX(ArchiveResults!$F$5:$IX$116,ComparisonData!A88,ComparisonData!$KH$1),0),5)</f>
        <v>0</v>
      </c>
      <c r="KI88" s="45" cm="1">
        <f t="array" ref="KI88">IFERROR(INDEX(ArchiveResults!$F$5:$IX$116,ComparisonData!A88,ComparisonData!$KI$1),0)</f>
        <v>0</v>
      </c>
      <c r="KJ88" s="56">
        <v>83</v>
      </c>
      <c r="KK88" s="53" t="str">
        <f t="shared" si="684"/>
        <v>The National Library of Wales</v>
      </c>
      <c r="KL88" s="59">
        <f t="shared" si="899"/>
        <v>0</v>
      </c>
      <c r="KM88" s="59">
        <f t="shared" si="900"/>
        <v>0</v>
      </c>
      <c r="KN88" s="59">
        <f t="shared" si="901"/>
        <v>0</v>
      </c>
      <c r="KO88" s="59">
        <f t="shared" si="902"/>
        <v>0</v>
      </c>
      <c r="KP88" s="59">
        <f t="shared" si="903"/>
        <v>0</v>
      </c>
      <c r="KQ88" s="58">
        <f t="shared" si="904"/>
        <v>0</v>
      </c>
      <c r="KR88" s="45">
        <f t="shared" si="905"/>
        <v>103</v>
      </c>
      <c r="KS88" s="45">
        <f t="shared" si="685"/>
        <v>2.9539999999999997</v>
      </c>
      <c r="KT88" s="45">
        <f t="shared" si="906"/>
        <v>1</v>
      </c>
      <c r="KU88" s="45">
        <f t="shared" si="907"/>
        <v>2</v>
      </c>
      <c r="KV88" s="45">
        <f t="shared" si="908"/>
        <v>0</v>
      </c>
      <c r="KW88" s="46" cm="1">
        <f t="array" ref="KW88">ROUND(IFERROR(INDEX(ArchiveResults!$F$5:$IX$116,ComparisonData!A88,ComparisonData!$KW$1),0),5)</f>
        <v>0</v>
      </c>
      <c r="KX88" s="46" cm="1">
        <f t="array" ref="KX88">ROUND(IFERROR(INDEX(ArchiveResults!$F$5:$IX$116,ComparisonData!A88,ComparisonData!$KX$1),0),5)</f>
        <v>0</v>
      </c>
      <c r="KY88" s="46" cm="1">
        <f t="array" ref="KY88">ROUND(IFERROR(INDEX(ArchiveResults!$F$5:$IX$116,ComparisonData!A88,ComparisonData!$KY$1),0),5)</f>
        <v>0</v>
      </c>
      <c r="KZ88" s="46" cm="1">
        <f t="array" ref="KZ88">ROUND(IFERROR(INDEX(ArchiveResults!$F$5:$IX$116,ComparisonData!A88,ComparisonData!$KZ$1),0),5)</f>
        <v>0</v>
      </c>
      <c r="LA88" s="45" cm="1">
        <f t="array" ref="LA88">IFERROR(INDEX(ArchiveResults!$F$5:$IX$116,ComparisonData!A88,ComparisonData!$LA$1),0)</f>
        <v>0</v>
      </c>
      <c r="LB88" s="56">
        <v>83</v>
      </c>
      <c r="LC88" s="53" t="str">
        <f t="shared" si="686"/>
        <v>The National Library of Wales</v>
      </c>
      <c r="LD88" s="59">
        <f t="shared" si="909"/>
        <v>0</v>
      </c>
      <c r="LE88" s="59">
        <f t="shared" si="910"/>
        <v>0</v>
      </c>
      <c r="LF88" s="59">
        <f t="shared" si="911"/>
        <v>0</v>
      </c>
      <c r="LG88" s="59">
        <f t="shared" si="912"/>
        <v>0</v>
      </c>
      <c r="LH88" s="59">
        <f t="shared" si="913"/>
        <v>0</v>
      </c>
      <c r="LI88" s="58">
        <f t="shared" si="914"/>
        <v>0</v>
      </c>
      <c r="LJ88" s="45">
        <f t="shared" si="915"/>
        <v>103</v>
      </c>
      <c r="LK88" s="45">
        <f t="shared" si="687"/>
        <v>2.9539999999999997</v>
      </c>
      <c r="LL88" s="45">
        <f t="shared" si="916"/>
        <v>1</v>
      </c>
      <c r="LM88" s="45">
        <f t="shared" si="917"/>
        <v>2</v>
      </c>
      <c r="LN88" s="45">
        <f t="shared" si="918"/>
        <v>0</v>
      </c>
      <c r="LO88" s="46" cm="1">
        <f t="array" ref="LO88">ROUND(IFERROR(INDEX(ArchiveResults!$F$5:$IX$116,ComparisonData!A88,ComparisonData!$LO$1),0),5)</f>
        <v>0</v>
      </c>
      <c r="LP88" s="46" cm="1">
        <f t="array" ref="LP88">ROUND(IFERROR(INDEX(ArchiveResults!$F$5:$IX$116,ComparisonData!A88,ComparisonData!$LP$1),0),5)</f>
        <v>0</v>
      </c>
      <c r="LQ88" s="46" cm="1">
        <f t="array" ref="LQ88">ROUND(IFERROR(INDEX(ArchiveResults!$F$5:$IX$116,ComparisonData!A88,ComparisonData!$LQ$1),0),5)</f>
        <v>0</v>
      </c>
      <c r="LR88" s="46" cm="1">
        <f t="array" ref="LR88">ROUND(IFERROR(INDEX(ArchiveResults!$F$5:$IX$116,ComparisonData!A88,ComparisonData!$LR$1),0),5)</f>
        <v>0</v>
      </c>
      <c r="LS88" s="45" cm="1">
        <f t="array" ref="LS88">IFERROR(INDEX(ArchiveResults!$F$5:$IX$116,ComparisonData!A88,ComparisonData!$LS$1),0)</f>
        <v>0</v>
      </c>
      <c r="LT88" s="56">
        <v>83</v>
      </c>
      <c r="LU88" s="53" t="str">
        <f t="shared" si="688"/>
        <v>The National Library of Wales</v>
      </c>
      <c r="LV88" s="59">
        <f t="shared" si="919"/>
        <v>0</v>
      </c>
      <c r="LW88" s="59">
        <f t="shared" si="920"/>
        <v>0</v>
      </c>
      <c r="LX88" s="59">
        <f t="shared" si="921"/>
        <v>0</v>
      </c>
      <c r="LY88" s="59">
        <f t="shared" si="922"/>
        <v>0</v>
      </c>
      <c r="LZ88" s="59">
        <f t="shared" si="923"/>
        <v>0</v>
      </c>
      <c r="MA88" s="58">
        <f t="shared" si="924"/>
        <v>0</v>
      </c>
      <c r="MB88" s="45">
        <f t="shared" si="925"/>
        <v>103</v>
      </c>
      <c r="MC88" s="45">
        <f t="shared" si="689"/>
        <v>2.9539999999999997</v>
      </c>
      <c r="MD88" s="45">
        <f t="shared" si="926"/>
        <v>1</v>
      </c>
      <c r="ME88" s="45">
        <f t="shared" si="927"/>
        <v>2</v>
      </c>
      <c r="MF88" s="45">
        <f t="shared" si="928"/>
        <v>0</v>
      </c>
      <c r="MG88" s="46" cm="1">
        <f t="array" ref="MG88">ROUND(IFERROR(INDEX(ArchiveResults!$F$5:$IX$116,ComparisonData!A88,ComparisonData!$MG$1),0),5)</f>
        <v>0</v>
      </c>
      <c r="MH88" s="46" cm="1">
        <f t="array" ref="MH88">ROUND(IFERROR(INDEX(ArchiveResults!$F$5:$IX$116,ComparisonData!A88,ComparisonData!$MH$1),0),5)</f>
        <v>0</v>
      </c>
      <c r="MI88" s="46" cm="1">
        <f t="array" ref="MI88">ROUND(IFERROR(INDEX(ArchiveResults!$F$5:$IX$116,ComparisonData!A88,ComparisonData!$MI$1),0),5)</f>
        <v>0</v>
      </c>
      <c r="MJ88" s="46" cm="1">
        <f t="array" ref="MJ88">ROUND(IFERROR(INDEX(ArchiveResults!$F$5:$IX$116,ComparisonData!A88,ComparisonData!$MJ$1),0),5)</f>
        <v>0</v>
      </c>
      <c r="MK88" s="45" cm="1">
        <f t="array" ref="MK88">IFERROR(INDEX(ArchiveResults!$F$5:$IX$116,ComparisonData!A88,ComparisonData!$MK$1),0)</f>
        <v>0</v>
      </c>
      <c r="ML88" s="56">
        <v>83</v>
      </c>
      <c r="MM88" s="53" t="str">
        <f t="shared" si="690"/>
        <v>The National Library of Wales</v>
      </c>
      <c r="MN88" s="59">
        <f t="shared" si="929"/>
        <v>0</v>
      </c>
      <c r="MO88" s="59">
        <f t="shared" si="930"/>
        <v>0</v>
      </c>
      <c r="MP88" s="59">
        <f t="shared" si="931"/>
        <v>0</v>
      </c>
      <c r="MQ88" s="59">
        <f t="shared" si="932"/>
        <v>0</v>
      </c>
      <c r="MR88" s="59">
        <f t="shared" si="933"/>
        <v>0</v>
      </c>
      <c r="MS88" s="58">
        <f t="shared" si="934"/>
        <v>0</v>
      </c>
      <c r="MT88" s="45">
        <f t="shared" si="935"/>
        <v>103</v>
      </c>
      <c r="MU88" s="45">
        <f t="shared" si="691"/>
        <v>2.9539999999999997</v>
      </c>
      <c r="MV88" s="45">
        <f t="shared" si="936"/>
        <v>1</v>
      </c>
      <c r="MW88" s="45">
        <f t="shared" si="937"/>
        <v>2</v>
      </c>
      <c r="MX88" s="45">
        <f t="shared" si="938"/>
        <v>0</v>
      </c>
      <c r="MY88" s="46" cm="1">
        <f t="array" ref="MY88">ROUND(IFERROR(INDEX(ArchiveResults!$F$5:$IX$116,ComparisonData!A88,ComparisonData!$MY$1),0),5)</f>
        <v>0</v>
      </c>
      <c r="MZ88" s="46" cm="1">
        <f t="array" ref="MZ88">ROUND(IFERROR(INDEX(ArchiveResults!$F$5:$IX$116,ComparisonData!A88,ComparisonData!$MZ$1),0),5)</f>
        <v>0</v>
      </c>
      <c r="NA88" s="46" cm="1">
        <f t="array" ref="NA88">ROUND(IFERROR(INDEX(ArchiveResults!$F$5:$IX$116,ComparisonData!A88,ComparisonData!$NA$1),0),5)</f>
        <v>0</v>
      </c>
      <c r="NB88" s="46" cm="1">
        <f t="array" ref="NB88">ROUND(IFERROR(INDEX(ArchiveResults!$F$5:$IX$116,ComparisonData!A88,ComparisonData!$NB$1),0),5)</f>
        <v>0</v>
      </c>
      <c r="NC88" s="45" cm="1">
        <f t="array" ref="NC88">IFERROR(INDEX(ArchiveResults!$F$5:$IX$116,ComparisonData!A88,ComparisonData!$NC$1),0)</f>
        <v>0</v>
      </c>
      <c r="ND88" s="56">
        <v>83</v>
      </c>
      <c r="NE88" s="53" t="str">
        <f t="shared" si="692"/>
        <v>The National Library of Wales</v>
      </c>
      <c r="NF88" s="59">
        <f t="shared" si="939"/>
        <v>0</v>
      </c>
      <c r="NG88" s="59">
        <f t="shared" si="940"/>
        <v>0</v>
      </c>
      <c r="NH88" s="59">
        <f t="shared" si="941"/>
        <v>0</v>
      </c>
      <c r="NI88" s="59">
        <f t="shared" si="942"/>
        <v>0</v>
      </c>
      <c r="NJ88" s="59">
        <f t="shared" si="943"/>
        <v>0</v>
      </c>
      <c r="NK88" s="58">
        <f t="shared" si="944"/>
        <v>0</v>
      </c>
      <c r="NL88" s="45">
        <f t="shared" si="945"/>
        <v>103</v>
      </c>
      <c r="NM88" s="45">
        <f t="shared" si="693"/>
        <v>2.9539999999999997</v>
      </c>
      <c r="NN88" s="45">
        <f t="shared" si="946"/>
        <v>1</v>
      </c>
      <c r="NO88" s="45">
        <f t="shared" si="947"/>
        <v>2</v>
      </c>
      <c r="NP88" s="46" cm="1">
        <f t="array" ref="NP88">ROUND(IFERROR(INDEX(ArchiveResults!$F$5:$IX$116,ComparisonData!A88,ComparisonData!$NP$1),0),5)</f>
        <v>0</v>
      </c>
      <c r="NQ88" s="46" cm="1">
        <f t="array" ref="NQ88">ROUND(IFERROR(INDEX(ArchiveResults!$F$5:$IX$116,ComparisonData!A88,ComparisonData!$NQ$1),0),5)</f>
        <v>0</v>
      </c>
      <c r="NR88" s="46" cm="1">
        <f t="array" ref="NR88">ROUND(IFERROR(INDEX(ArchiveResults!$F$5:$IX$116,ComparisonData!A88,ComparisonData!$NR$1),0),5)</f>
        <v>0</v>
      </c>
      <c r="NS88" s="46" cm="1">
        <f t="array" ref="NS88">ROUND(IFERROR(INDEX(ArchiveResults!$F$5:$IX$116,ComparisonData!A88,ComparisonData!$NS$1),0),5)</f>
        <v>0</v>
      </c>
      <c r="NT88" s="45" cm="1">
        <f t="array" ref="NT88">IFERROR(INDEX(ArchiveResults!$F$5:$IX$116,ComparisonData!A88,ComparisonData!$NT$1),0)</f>
        <v>0</v>
      </c>
      <c r="NU88" s="56">
        <v>83</v>
      </c>
      <c r="NV88" s="53" t="str">
        <f t="shared" si="694"/>
        <v>The National Library of Wales</v>
      </c>
      <c r="NW88" s="59">
        <f t="shared" si="948"/>
        <v>0</v>
      </c>
      <c r="NX88" s="59">
        <f t="shared" si="949"/>
        <v>0</v>
      </c>
      <c r="NY88" s="59">
        <f t="shared" si="950"/>
        <v>0</v>
      </c>
      <c r="NZ88" s="59">
        <f t="shared" si="951"/>
        <v>0</v>
      </c>
      <c r="OA88" s="59">
        <f t="shared" si="952"/>
        <v>0</v>
      </c>
      <c r="OB88" s="58">
        <f t="shared" si="953"/>
        <v>0</v>
      </c>
      <c r="OC88" s="45">
        <f t="shared" si="954"/>
        <v>103</v>
      </c>
      <c r="OD88" s="45">
        <f t="shared" si="695"/>
        <v>2.9539999999999997</v>
      </c>
      <c r="OE88" s="45">
        <f t="shared" si="955"/>
        <v>1</v>
      </c>
      <c r="OF88" s="45">
        <f t="shared" si="956"/>
        <v>2</v>
      </c>
      <c r="OG88" s="46">
        <f t="shared" si="957"/>
        <v>0</v>
      </c>
      <c r="OH88" s="46" cm="1">
        <f t="array" ref="OH88">ROUND(IFERROR(INDEX(ArchiveResults!$F$5:$IX$116,ComparisonData!A88,ComparisonData!$OH$1),0),5)</f>
        <v>0</v>
      </c>
      <c r="OI88" s="46" cm="1">
        <f t="array" ref="OI88">ROUND(IFERROR(INDEX(ArchiveResults!$F$5:$IX$116,ComparisonData!A88,ComparisonData!$OI$1),0),5)</f>
        <v>0</v>
      </c>
      <c r="OJ88" s="46" cm="1">
        <f t="array" ref="OJ88">ROUND(IFERROR(INDEX(ArchiveResults!$F$5:$IX$116,ComparisonData!A88,ComparisonData!$OJ$1),0),5)</f>
        <v>0</v>
      </c>
      <c r="OK88" s="46" cm="1">
        <f t="array" ref="OK88">ROUND(IFERROR(INDEX(ArchiveResults!$F$5:$IX$116,ComparisonData!A88,ComparisonData!$OK$1),0),5)</f>
        <v>0</v>
      </c>
      <c r="OL88" s="45" cm="1">
        <f t="array" ref="OL88">IFERROR(INDEX(ArchiveResults!$F$5:$IX$116,ComparisonData!A88,ComparisonData!$OL$1),0)</f>
        <v>0</v>
      </c>
      <c r="OM88" s="56">
        <v>83</v>
      </c>
      <c r="ON88" s="53" t="str">
        <f t="shared" si="696"/>
        <v>The National Library of Wales</v>
      </c>
      <c r="OO88" s="59">
        <f t="shared" si="958"/>
        <v>0</v>
      </c>
      <c r="OP88" s="59">
        <f t="shared" si="959"/>
        <v>0</v>
      </c>
      <c r="OQ88" s="59">
        <f t="shared" si="960"/>
        <v>0</v>
      </c>
      <c r="OR88" s="59">
        <f t="shared" si="961"/>
        <v>0</v>
      </c>
      <c r="OS88" s="59">
        <f t="shared" si="962"/>
        <v>0</v>
      </c>
      <c r="OT88" s="58">
        <f t="shared" si="963"/>
        <v>0</v>
      </c>
      <c r="OU88" s="45">
        <f t="shared" si="964"/>
        <v>103</v>
      </c>
      <c r="OV88" s="45">
        <f t="shared" si="697"/>
        <v>2.9539999999999997</v>
      </c>
      <c r="OW88" s="45">
        <f t="shared" si="965"/>
        <v>1</v>
      </c>
      <c r="OX88" s="45">
        <f t="shared" si="966"/>
        <v>2</v>
      </c>
      <c r="OY88" s="45">
        <f t="shared" si="967"/>
        <v>0</v>
      </c>
      <c r="OZ88" s="46" cm="1">
        <f t="array" ref="OZ88">ROUND(IFERROR(INDEX(ArchiveResults!$F$5:$IX$116,ComparisonData!A88,ComparisonData!$OZ$1),0),5)</f>
        <v>0</v>
      </c>
      <c r="PA88" s="46" cm="1">
        <f t="array" ref="PA88">ROUND(IFERROR(INDEX(ArchiveResults!$F$5:$IX$116,ComparisonData!A88,ComparisonData!$PA$1),0),5)</f>
        <v>0</v>
      </c>
      <c r="PB88" s="46" cm="1">
        <f t="array" ref="PB88">ROUND(IFERROR(INDEX(ArchiveResults!$F$5:$IX$116,ComparisonData!A88,ComparisonData!$PB$1),0),5)</f>
        <v>0</v>
      </c>
      <c r="PC88" s="46" cm="1">
        <f t="array" ref="PC88">ROUND(IFERROR(INDEX(ArchiveResults!$F$5:$IX$116,ComparisonData!A88,ComparisonData!$PC$1),0),5)</f>
        <v>0</v>
      </c>
      <c r="PD88" s="45" cm="1">
        <f t="array" ref="PD88">IFERROR(INDEX(ArchiveResults!$F$5:$IX$116,ComparisonData!A88,ComparisonData!$PD$1),0)</f>
        <v>0</v>
      </c>
      <c r="PE88" s="56">
        <v>83</v>
      </c>
      <c r="PF88" s="53" t="str">
        <f t="shared" si="698"/>
        <v>The National Library of Wales</v>
      </c>
      <c r="PG88" s="59">
        <f t="shared" si="968"/>
        <v>0</v>
      </c>
      <c r="PH88" s="59">
        <f t="shared" si="969"/>
        <v>0</v>
      </c>
      <c r="PI88" s="59">
        <f t="shared" si="970"/>
        <v>0</v>
      </c>
      <c r="PJ88" s="59">
        <f t="shared" si="971"/>
        <v>0</v>
      </c>
      <c r="PK88" s="59">
        <f t="shared" si="972"/>
        <v>0</v>
      </c>
      <c r="PL88" s="58">
        <f t="shared" si="973"/>
        <v>0</v>
      </c>
      <c r="PM88" s="45">
        <f t="shared" si="974"/>
        <v>103</v>
      </c>
      <c r="PN88" s="45">
        <f t="shared" si="699"/>
        <v>2.9539999999999997</v>
      </c>
      <c r="PO88" s="45">
        <f t="shared" si="975"/>
        <v>1</v>
      </c>
      <c r="PP88" s="45">
        <f t="shared" si="976"/>
        <v>2</v>
      </c>
      <c r="PQ88" s="45">
        <f t="shared" si="977"/>
        <v>0</v>
      </c>
      <c r="PR88" s="46" cm="1">
        <f t="array" ref="PR88">ROUND(IFERROR(INDEX(ArchiveResults!$F$5:$IX$116,ComparisonData!A88,ComparisonData!$PR$1),0),5)</f>
        <v>0</v>
      </c>
      <c r="PS88" s="46" cm="1">
        <f t="array" ref="PS88">ROUND(IFERROR(INDEX(ArchiveResults!$F$5:$IX$116,ComparisonData!A88,ComparisonData!$PS$1),0),5)</f>
        <v>0</v>
      </c>
      <c r="PT88" s="46" cm="1">
        <f t="array" ref="PT88">ROUND(IFERROR(INDEX(ArchiveResults!$F$5:$IX$116,ComparisonData!A88,ComparisonData!$PT$1),0),5)</f>
        <v>0</v>
      </c>
      <c r="PU88" s="46" cm="1">
        <f t="array" ref="PU88">ROUND(IFERROR(INDEX(ArchiveResults!$F$5:$IX$116,ComparisonData!A88,ComparisonData!$PU$1),0),5)</f>
        <v>0</v>
      </c>
      <c r="PV88" s="45" cm="1">
        <f t="array" ref="PV88">IFERROR(INDEX(ArchiveResults!$F$5:$IX$116,ComparisonData!A88,ComparisonData!$PV$1),0)</f>
        <v>0</v>
      </c>
      <c r="PW88" s="56">
        <v>83</v>
      </c>
      <c r="PX88" s="53" t="str">
        <f t="shared" si="700"/>
        <v>The National Library of Wales</v>
      </c>
      <c r="PY88" s="59">
        <f t="shared" si="978"/>
        <v>0</v>
      </c>
      <c r="PZ88" s="59">
        <f t="shared" si="979"/>
        <v>0</v>
      </c>
      <c r="QA88" s="59">
        <f t="shared" si="980"/>
        <v>0</v>
      </c>
      <c r="QB88" s="59">
        <f t="shared" si="981"/>
        <v>0</v>
      </c>
      <c r="QC88" s="59">
        <f t="shared" si="982"/>
        <v>0</v>
      </c>
      <c r="QD88" s="58">
        <f t="shared" si="983"/>
        <v>0</v>
      </c>
      <c r="QE88" s="45">
        <f t="shared" si="984"/>
        <v>103</v>
      </c>
      <c r="QF88" s="45">
        <f t="shared" si="701"/>
        <v>2.9539999999999997</v>
      </c>
      <c r="QG88" s="45">
        <f t="shared" si="985"/>
        <v>1</v>
      </c>
      <c r="QH88" s="45">
        <f t="shared" si="986"/>
        <v>2</v>
      </c>
      <c r="QI88" s="45">
        <f t="shared" si="987"/>
        <v>0</v>
      </c>
      <c r="QJ88" s="46" cm="1">
        <f t="array" ref="QJ88">ROUND(IFERROR(INDEX(ArchiveResults!$F$5:$IX$116,ComparisonData!A88,ComparisonData!$QJ$1),0),5)</f>
        <v>0</v>
      </c>
      <c r="QK88" s="46" cm="1">
        <f t="array" ref="QK88">ROUND(IFERROR(INDEX(ArchiveResults!$F$5:$IX$116,ComparisonData!A88,ComparisonData!$QK$1),0),5)</f>
        <v>0</v>
      </c>
      <c r="QL88" s="46" cm="1">
        <f t="array" ref="QL88">ROUND(IFERROR(INDEX(ArchiveResults!$F$5:$IX$116,ComparisonData!A88,ComparisonData!$QL$1),0),5)</f>
        <v>0</v>
      </c>
      <c r="QM88" s="46" cm="1">
        <f t="array" ref="QM88">ROUND(IFERROR(INDEX(ArchiveResults!$F$5:$IX$116,ComparisonData!A88,ComparisonData!$QM$1),0),5)</f>
        <v>0</v>
      </c>
      <c r="QN88" s="45" cm="1">
        <f t="array" ref="QN88">IFERROR(INDEX(ArchiveResults!$F$5:$IX$116,ComparisonData!A88,ComparisonData!$QN$1),0)</f>
        <v>0</v>
      </c>
      <c r="QO88" s="56">
        <v>83</v>
      </c>
      <c r="QP88" s="53" t="str">
        <f t="shared" si="702"/>
        <v>The National Library of Wales</v>
      </c>
      <c r="QQ88" s="59">
        <f t="shared" si="988"/>
        <v>0</v>
      </c>
      <c r="QR88" s="59">
        <f t="shared" si="989"/>
        <v>0</v>
      </c>
      <c r="QS88" s="59">
        <f t="shared" si="990"/>
        <v>0</v>
      </c>
      <c r="QT88" s="59">
        <f t="shared" si="991"/>
        <v>0</v>
      </c>
      <c r="QU88" s="59">
        <f t="shared" si="992"/>
        <v>0</v>
      </c>
      <c r="QV88" s="58">
        <f t="shared" si="993"/>
        <v>0</v>
      </c>
      <c r="QW88" s="45">
        <f t="shared" si="994"/>
        <v>103</v>
      </c>
      <c r="QX88" s="45">
        <f t="shared" si="703"/>
        <v>2.9539999999999997</v>
      </c>
      <c r="QY88" s="45">
        <f t="shared" si="995"/>
        <v>1</v>
      </c>
      <c r="QZ88" s="45">
        <f t="shared" si="996"/>
        <v>2</v>
      </c>
      <c r="RA88" s="45">
        <f t="shared" si="997"/>
        <v>0</v>
      </c>
      <c r="RB88" s="46" cm="1">
        <f t="array" ref="RB88">ROUND(IFERROR(INDEX(ArchiveResults!$F$5:$IX$116,ComparisonData!A88,ComparisonData!$RB$1),0),5)</f>
        <v>0</v>
      </c>
      <c r="RC88" s="46" cm="1">
        <f t="array" ref="RC88">ROUND(IFERROR(INDEX(ArchiveResults!$F$5:$IX$116,ComparisonData!A88,ComparisonData!$RC$1),0),5)</f>
        <v>0</v>
      </c>
      <c r="RD88" s="46" cm="1">
        <f t="array" ref="RD88">ROUND(IFERROR(INDEX(ArchiveResults!$F$5:$IX$116,ComparisonData!A88,ComparisonData!$RD$1),0),5)</f>
        <v>0</v>
      </c>
      <c r="RE88" s="46" cm="1">
        <f t="array" ref="RE88">ROUND(IFERROR(INDEX(ArchiveResults!$F$5:$IX$116,ComparisonData!A88,ComparisonData!$RE$1),0),5)</f>
        <v>0</v>
      </c>
      <c r="RF88" s="45" cm="1">
        <f t="array" ref="RF88">IFERROR(INDEX(ArchiveResults!$F$5:$IX$116,ComparisonData!A88,ComparisonData!$RF$1),0)</f>
        <v>0</v>
      </c>
      <c r="RG88" s="56">
        <v>83</v>
      </c>
      <c r="RH88" s="53" t="str">
        <f t="shared" si="704"/>
        <v>The National Library of Wales</v>
      </c>
      <c r="RI88" s="59">
        <f t="shared" si="998"/>
        <v>0</v>
      </c>
      <c r="RJ88" s="59">
        <f t="shared" si="999"/>
        <v>0</v>
      </c>
      <c r="RK88" s="59">
        <f t="shared" si="1000"/>
        <v>0</v>
      </c>
      <c r="RL88" s="59">
        <f t="shared" si="1001"/>
        <v>0</v>
      </c>
      <c r="RM88" s="59">
        <f t="shared" si="1002"/>
        <v>0</v>
      </c>
      <c r="RN88" s="58">
        <f t="shared" si="1003"/>
        <v>0</v>
      </c>
      <c r="RO88" s="45">
        <f t="shared" si="1004"/>
        <v>103</v>
      </c>
      <c r="RP88" s="45">
        <f t="shared" si="705"/>
        <v>2.9539999999999997</v>
      </c>
      <c r="RQ88" s="45">
        <f t="shared" si="1005"/>
        <v>1</v>
      </c>
      <c r="RR88" s="45">
        <f t="shared" si="1006"/>
        <v>2</v>
      </c>
      <c r="RS88" s="45">
        <f t="shared" si="1007"/>
        <v>0</v>
      </c>
      <c r="RT88" s="46" cm="1">
        <f t="array" ref="RT88">ROUND(IFERROR(INDEX(ArchiveResults!$F$5:$IX$116,ComparisonData!A88,ComparisonData!$RT$1),0),5)</f>
        <v>0</v>
      </c>
      <c r="RU88" s="46" cm="1">
        <f t="array" ref="RU88">ROUND(IFERROR(INDEX(ArchiveResults!$F$5:$IX$116,ComparisonData!A88,ComparisonData!$RU$1),0),5)</f>
        <v>0</v>
      </c>
      <c r="RV88" s="46" cm="1">
        <f t="array" ref="RV88">ROUND(IFERROR(INDEX(ArchiveResults!$F$5:$IX$116,ComparisonData!A88,ComparisonData!$RV$1),0),5)</f>
        <v>0</v>
      </c>
      <c r="RW88" s="46" cm="1">
        <f t="array" ref="RW88">ROUND(IFERROR(INDEX(ArchiveResults!$F$5:$IX$116,ComparisonData!A88,ComparisonData!$RW$1),0),5)</f>
        <v>0</v>
      </c>
      <c r="RX88" s="45" cm="1">
        <f t="array" ref="RX88">IFERROR(INDEX(ArchiveResults!$F$5:$IX$116,ComparisonData!A88,ComparisonData!$RX$1),0)</f>
        <v>0</v>
      </c>
      <c r="RY88" s="56">
        <v>83</v>
      </c>
      <c r="RZ88" s="53" t="str">
        <f t="shared" si="706"/>
        <v>The National Library of Wales</v>
      </c>
      <c r="SA88" s="59">
        <f t="shared" si="1008"/>
        <v>0</v>
      </c>
      <c r="SB88" s="59">
        <f t="shared" si="1009"/>
        <v>0</v>
      </c>
      <c r="SC88" s="59">
        <f t="shared" si="1010"/>
        <v>0</v>
      </c>
      <c r="SD88" s="59">
        <f t="shared" si="1011"/>
        <v>0</v>
      </c>
      <c r="SE88" s="59">
        <f t="shared" si="1012"/>
        <v>0</v>
      </c>
      <c r="SF88" s="58">
        <f t="shared" si="1013"/>
        <v>0</v>
      </c>
      <c r="SG88" s="45">
        <f t="shared" si="1014"/>
        <v>103</v>
      </c>
      <c r="SH88" s="45">
        <f t="shared" si="707"/>
        <v>2.9539999999999997</v>
      </c>
      <c r="SI88" s="45">
        <f t="shared" si="1015"/>
        <v>1</v>
      </c>
      <c r="SJ88" s="45">
        <f t="shared" si="1016"/>
        <v>2</v>
      </c>
      <c r="SK88" s="45">
        <f t="shared" si="1017"/>
        <v>0</v>
      </c>
      <c r="SL88" s="46" cm="1">
        <f t="array" ref="SL88">ROUND(IFERROR(INDEX(ArchiveResults!$F$5:$IX$116,ComparisonData!A88,ComparisonData!$SL$1),0),5)</f>
        <v>0</v>
      </c>
      <c r="SM88" s="46" cm="1">
        <f t="array" ref="SM88">ROUND(IFERROR(INDEX(ArchiveResults!$F$5:$IX$116,ComparisonData!A88,ComparisonData!$SM$1),0),5)</f>
        <v>0</v>
      </c>
      <c r="SN88" s="46" cm="1">
        <f t="array" ref="SN88">ROUND(IFERROR(INDEX(ArchiveResults!$F$5:$IX$116,ComparisonData!A88,ComparisonData!$SN$1),0),5)</f>
        <v>0</v>
      </c>
      <c r="SO88" s="46" cm="1">
        <f t="array" ref="SO88">ROUND(IFERROR(INDEX(ArchiveResults!$F$5:$IX$116,ComparisonData!A88,ComparisonData!$SO$1),0),5)</f>
        <v>0</v>
      </c>
      <c r="SP88" s="45" cm="1">
        <f t="array" ref="SP88">IFERROR(INDEX(ArchiveResults!$F$5:$IX$116,ComparisonData!A88,ComparisonData!$SP$1),0)</f>
        <v>0</v>
      </c>
      <c r="SQ88" s="56">
        <v>83</v>
      </c>
      <c r="SR88" s="53" t="str">
        <f t="shared" si="708"/>
        <v>The National Library of Wales</v>
      </c>
      <c r="SS88" s="59">
        <f t="shared" si="1018"/>
        <v>0</v>
      </c>
      <c r="ST88" s="59">
        <f t="shared" si="1019"/>
        <v>0</v>
      </c>
      <c r="SU88" s="59">
        <f t="shared" si="1020"/>
        <v>0</v>
      </c>
      <c r="SV88" s="59">
        <f t="shared" si="1021"/>
        <v>0</v>
      </c>
      <c r="SW88" s="59">
        <f t="shared" si="1022"/>
        <v>0</v>
      </c>
      <c r="SX88" s="58">
        <f t="shared" si="1023"/>
        <v>0</v>
      </c>
      <c r="SY88" s="45">
        <f t="shared" si="1024"/>
        <v>103</v>
      </c>
      <c r="SZ88" s="45">
        <f t="shared" si="709"/>
        <v>2.9539999999999997</v>
      </c>
      <c r="TA88" s="45">
        <f t="shared" si="1025"/>
        <v>1</v>
      </c>
      <c r="TB88" s="45">
        <f t="shared" si="1026"/>
        <v>2</v>
      </c>
      <c r="TC88" s="45">
        <f t="shared" si="1027"/>
        <v>0</v>
      </c>
      <c r="TD88" s="46" cm="1">
        <f t="array" ref="TD88">ROUND(IFERROR(INDEX(ArchiveResults!$F$5:$IX$116,ComparisonData!A88,ComparisonData!$TD$1),0),5)</f>
        <v>0</v>
      </c>
      <c r="TE88" s="46" cm="1">
        <f t="array" ref="TE88">ROUND(IFERROR(INDEX(ArchiveResults!$F$5:$IX$116,ComparisonData!A88,ComparisonData!$TE$1),0),5)</f>
        <v>0</v>
      </c>
      <c r="TF88" s="46" cm="1">
        <f t="array" ref="TF88">ROUND(IFERROR(INDEX(ArchiveResults!$F$5:$IX$116,ComparisonData!A88,ComparisonData!$TF$1),0),5)</f>
        <v>0</v>
      </c>
      <c r="TG88" s="46" cm="1">
        <f t="array" ref="TG88">ROUND(IFERROR(INDEX(ArchiveResults!$F$5:$IX$116,ComparisonData!A88,ComparisonData!$TG$1),0),5)</f>
        <v>0</v>
      </c>
      <c r="TH88" s="45" cm="1">
        <f t="array" ref="TH88">IFERROR(INDEX(ArchiveResults!$F$5:$IX$116,ComparisonData!A88,ComparisonData!$TH$1),0)</f>
        <v>0</v>
      </c>
      <c r="TI88" s="56">
        <v>83</v>
      </c>
      <c r="TJ88" s="53" t="str">
        <f t="shared" si="710"/>
        <v>The National Library of Wales</v>
      </c>
      <c r="TK88" s="59">
        <f t="shared" si="1028"/>
        <v>0</v>
      </c>
      <c r="TL88" s="59">
        <f t="shared" si="1029"/>
        <v>0</v>
      </c>
      <c r="TM88" s="59">
        <f t="shared" si="1030"/>
        <v>0</v>
      </c>
      <c r="TN88" s="59">
        <f t="shared" si="1031"/>
        <v>0</v>
      </c>
      <c r="TO88" s="59">
        <f t="shared" si="1032"/>
        <v>0</v>
      </c>
      <c r="TP88" s="58">
        <f t="shared" si="1033"/>
        <v>0</v>
      </c>
      <c r="TQ88" s="45">
        <f t="shared" si="1034"/>
        <v>103</v>
      </c>
      <c r="TR88" s="45">
        <f t="shared" si="711"/>
        <v>2.9539999999999997</v>
      </c>
      <c r="TS88" s="45">
        <f t="shared" si="1035"/>
        <v>1</v>
      </c>
      <c r="TT88" s="45">
        <f t="shared" si="1036"/>
        <v>2</v>
      </c>
      <c r="TU88" s="45">
        <f t="shared" si="1037"/>
        <v>0</v>
      </c>
      <c r="TV88" s="46" cm="1">
        <f t="array" ref="TV88">ROUND(IFERROR(INDEX(ArchiveResults!$F$5:$IX$116,ComparisonData!A88,ComparisonData!$TV$1),0),5)</f>
        <v>0</v>
      </c>
      <c r="TW88" s="46" cm="1">
        <f t="array" ref="TW88">ROUND(IFERROR(INDEX(ArchiveResults!$F$5:$IX$116,ComparisonData!A88,ComparisonData!$TW$1),0),5)</f>
        <v>0</v>
      </c>
      <c r="TX88" s="46" cm="1">
        <f t="array" ref="TX88">ROUND(IFERROR(INDEX(ArchiveResults!$F$5:$IX$116,ComparisonData!A88,ComparisonData!$TX$1),0),5)</f>
        <v>0</v>
      </c>
      <c r="TY88" s="46" cm="1">
        <f t="array" ref="TY88">ROUND(IFERROR(INDEX(ArchiveResults!$F$5:$IX$116,ComparisonData!A88,ComparisonData!$TY$1),0),5)</f>
        <v>0</v>
      </c>
      <c r="TZ88" s="45" cm="1">
        <f t="array" ref="TZ88">IFERROR(INDEX(ArchiveResults!$F$5:$IX$116,ComparisonData!A88,ComparisonData!$TZ$1),0)</f>
        <v>0</v>
      </c>
      <c r="UA88" s="56">
        <v>83</v>
      </c>
      <c r="UB88" s="53" t="str">
        <f t="shared" si="712"/>
        <v>The National Library of Wales</v>
      </c>
      <c r="UC88" s="60">
        <f t="shared" si="1038"/>
        <v>0</v>
      </c>
      <c r="UD88" s="60">
        <f t="shared" si="1039"/>
        <v>0</v>
      </c>
      <c r="UE88" s="60">
        <f t="shared" si="1040"/>
        <v>0</v>
      </c>
      <c r="UF88" s="60">
        <f t="shared" si="1041"/>
        <v>0</v>
      </c>
      <c r="UG88" s="60">
        <f t="shared" si="1042"/>
        <v>0</v>
      </c>
      <c r="UH88" s="58">
        <f t="shared" si="1043"/>
        <v>0</v>
      </c>
      <c r="UI88" s="46">
        <f t="shared" si="1044"/>
        <v>103</v>
      </c>
      <c r="UJ88" s="46">
        <f t="shared" si="713"/>
        <v>2.9539999999999997</v>
      </c>
      <c r="UK88" s="46">
        <f t="shared" si="1045"/>
        <v>1</v>
      </c>
      <c r="UL88" s="46">
        <f t="shared" si="1046"/>
        <v>2</v>
      </c>
      <c r="UM88" s="46" cm="1">
        <f t="array" ref="UM88">ROUND(IFERROR(INDEX(ArchiveResults!$F$5:$IX$116,ComparisonData!A88,ComparisonData!$UM$1),0),5)</f>
        <v>0</v>
      </c>
      <c r="UN88" s="56">
        <v>83</v>
      </c>
      <c r="UO88" s="53" t="str">
        <f t="shared" si="714"/>
        <v>The National Library of Wales</v>
      </c>
      <c r="UP88" s="46">
        <f t="shared" si="1047"/>
        <v>0</v>
      </c>
      <c r="UQ88" s="76">
        <f t="shared" si="1048"/>
        <v>0</v>
      </c>
      <c r="UR88" s="46">
        <f t="shared" si="1049"/>
        <v>103</v>
      </c>
      <c r="US88" s="46">
        <f t="shared" si="715"/>
        <v>2.9539999999999997</v>
      </c>
      <c r="UT88" s="46">
        <f t="shared" si="1050"/>
        <v>1</v>
      </c>
      <c r="UU88" s="46">
        <f t="shared" si="1051"/>
        <v>2</v>
      </c>
      <c r="UV88" s="46">
        <f t="shared" si="1052"/>
        <v>0</v>
      </c>
      <c r="UW88" s="46" cm="1">
        <f t="array" ref="UW88">ROUND(IFERROR(INDEX(ArchiveResults!$F$5:$IX$116,ComparisonData!A88,ComparisonData!$UW$1),0),5)</f>
        <v>0</v>
      </c>
      <c r="UX88" s="46" cm="1">
        <f t="array" ref="UX88">ROUND(IFERROR(INDEX(ArchiveResults!$F$5:$IX$116,ComparisonData!A88,ComparisonData!$UX$1),0),5)</f>
        <v>0</v>
      </c>
      <c r="UY88" s="46" cm="1">
        <f t="array" ref="UY88">ROUND(IFERROR(INDEX(ArchiveResults!$F$5:$IX$116,ComparisonData!A88,ComparisonData!$UY$1),0),5)</f>
        <v>0</v>
      </c>
      <c r="UZ88" s="46" cm="1">
        <f t="array" ref="UZ88">ROUND(IFERROR(INDEX(ArchiveResults!$F$5:$IX$116,ComparisonData!A88,ComparisonData!$UZ$1),0),5)</f>
        <v>0</v>
      </c>
      <c r="VA88" s="46" cm="1">
        <f t="array" ref="VA88">ROUND(IFERROR(INDEX(ArchiveResults!$F$5:$IX$116,ComparisonData!A88,ComparisonData!$VA$1),0),5)</f>
        <v>0</v>
      </c>
      <c r="VB88" s="56">
        <v>83</v>
      </c>
      <c r="VC88" s="53" t="str">
        <f t="shared" si="716"/>
        <v>The National Library of Wales</v>
      </c>
      <c r="VD88" s="60">
        <f t="shared" si="1053"/>
        <v>0</v>
      </c>
      <c r="VE88" s="60">
        <f t="shared" si="1054"/>
        <v>0</v>
      </c>
      <c r="VF88" s="60">
        <f t="shared" si="1055"/>
        <v>0</v>
      </c>
      <c r="VG88" s="60">
        <f t="shared" si="1056"/>
        <v>0</v>
      </c>
      <c r="VH88" s="60">
        <f t="shared" si="1057"/>
        <v>0</v>
      </c>
      <c r="VI88" s="76">
        <f t="shared" si="1058"/>
        <v>0</v>
      </c>
      <c r="VJ88" s="46">
        <f t="shared" si="1059"/>
        <v>103</v>
      </c>
      <c r="VK88" s="46">
        <f t="shared" si="717"/>
        <v>2.9539999999999997</v>
      </c>
      <c r="VL88" s="46">
        <f t="shared" si="1060"/>
        <v>1</v>
      </c>
      <c r="VM88" s="46">
        <f t="shared" si="1061"/>
        <v>2</v>
      </c>
      <c r="VN88" s="46" cm="1">
        <f t="array" ref="VN88">ROUND(IFERROR(INDEX(ArchiveResults!$F$5:$IX$116,ComparisonData!A88,ComparisonData!$VN$1),0),5)</f>
        <v>0</v>
      </c>
      <c r="VO88" s="46" cm="1">
        <f t="array" ref="VO88">ROUND(IFERROR(INDEX(ArchiveResults!$F$5:$IX$116,ComparisonData!A88,ComparisonData!$VO$1),0),5)</f>
        <v>0</v>
      </c>
      <c r="VP88" s="46" cm="1">
        <f t="array" ref="VP88">ROUND(IFERROR(INDEX(ArchiveResults!$F$5:$IX$116,ComparisonData!A88,ComparisonData!$VP$1),0),5)</f>
        <v>0</v>
      </c>
      <c r="VQ88" s="46" cm="1">
        <f t="array" ref="VQ88">ROUND(IFERROR(INDEX(ArchiveResults!$F$5:$IX$116,ComparisonData!A88,ComparisonData!$VQ$1),0),5)</f>
        <v>0</v>
      </c>
      <c r="VR88" s="56">
        <v>83</v>
      </c>
      <c r="VS88" s="53" t="str">
        <f t="shared" si="718"/>
        <v>The National Library of Wales</v>
      </c>
      <c r="VT88" s="60">
        <f t="shared" si="1062"/>
        <v>0</v>
      </c>
      <c r="VU88" s="60">
        <f t="shared" si="1063"/>
        <v>0</v>
      </c>
      <c r="VV88" s="60">
        <f t="shared" si="1064"/>
        <v>0</v>
      </c>
      <c r="VW88" s="60">
        <f t="shared" si="1065"/>
        <v>0</v>
      </c>
      <c r="VX88" s="76">
        <f t="shared" si="1066"/>
        <v>0</v>
      </c>
      <c r="VY88" s="46">
        <f t="shared" si="1067"/>
        <v>103</v>
      </c>
      <c r="VZ88" s="46">
        <f t="shared" si="719"/>
        <v>2.9539999999999997</v>
      </c>
      <c r="WA88" s="46">
        <f t="shared" si="1068"/>
        <v>1</v>
      </c>
      <c r="WB88" s="46">
        <f t="shared" si="1069"/>
        <v>2</v>
      </c>
      <c r="WC88" s="46" cm="1">
        <f t="array" ref="WC88">ROUND(IFERROR(INDEX(ArchiveResults!$F$5:$IX$116,ComparisonData!A88,ComparisonData!$WC$1),0),5)</f>
        <v>0</v>
      </c>
      <c r="WD88" s="56">
        <v>83</v>
      </c>
      <c r="WE88" s="53" t="str">
        <f t="shared" si="720"/>
        <v>The National Library of Wales</v>
      </c>
      <c r="WF88" s="46">
        <f t="shared" si="1070"/>
        <v>0</v>
      </c>
      <c r="WG88" s="76">
        <f t="shared" si="1071"/>
        <v>0</v>
      </c>
      <c r="WH88" s="46">
        <f t="shared" si="1072"/>
        <v>103</v>
      </c>
      <c r="WI88" s="46">
        <f t="shared" si="721"/>
        <v>2.9539999999999997</v>
      </c>
      <c r="WJ88" s="46">
        <f t="shared" si="1073"/>
        <v>1</v>
      </c>
      <c r="WK88" s="46">
        <f t="shared" si="1074"/>
        <v>2</v>
      </c>
      <c r="WL88" s="46" cm="1">
        <f t="array" ref="WL88">ROUND(IFERROR(INDEX(ArchiveResults!$F$5:$IX$116,ComparisonData!A88,ComparisonData!$WL$1),0),5)</f>
        <v>0</v>
      </c>
      <c r="WM88" s="46" cm="1">
        <f t="array" ref="WM88">IFERROR(INDEX(ArchiveResults!$F$5:$IX$116,ComparisonData!A88,ComparisonData!$WM$1),0)</f>
        <v>0</v>
      </c>
      <c r="WN88" s="56">
        <v>83</v>
      </c>
      <c r="WO88" s="53" t="str">
        <f t="shared" si="722"/>
        <v>The National Library of Wales</v>
      </c>
      <c r="WP88" s="60">
        <f t="shared" si="1075"/>
        <v>0</v>
      </c>
      <c r="WQ88" s="60">
        <f t="shared" si="1076"/>
        <v>0</v>
      </c>
      <c r="WR88" s="76">
        <f t="shared" si="1077"/>
        <v>0</v>
      </c>
      <c r="WS88" s="46">
        <f t="shared" si="1078"/>
        <v>103</v>
      </c>
      <c r="WT88" s="46">
        <f t="shared" si="723"/>
        <v>2.9539999999999997</v>
      </c>
      <c r="WU88" s="46">
        <f t="shared" si="1079"/>
        <v>1</v>
      </c>
      <c r="WV88" s="46">
        <f t="shared" si="1080"/>
        <v>2</v>
      </c>
      <c r="WW88" s="46" cm="1">
        <f t="array" ref="WW88">ROUND(VALUE(IFERROR(INDEX(ArchiveResults!$F$5:$IX$116,ComparisonData!A88,ComparisonData!$WW$1),0)),5)</f>
        <v>0</v>
      </c>
      <c r="WX88" s="46" cm="1">
        <f t="array" ref="WX88">ROUND(IFERROR(INDEX(ArchiveResults!$F$5:$IX$116,ComparisonData!A88,ComparisonData!$WX$1),0),5)</f>
        <v>0</v>
      </c>
      <c r="WY88" s="56">
        <v>83</v>
      </c>
      <c r="WZ88" s="53" t="str">
        <f t="shared" si="724"/>
        <v>The National Library of Wales</v>
      </c>
      <c r="XA88" s="60">
        <f t="shared" si="725"/>
        <v>0</v>
      </c>
      <c r="XB88" s="60">
        <f t="shared" si="726"/>
        <v>0</v>
      </c>
      <c r="XC88" s="76">
        <f t="shared" si="1081"/>
        <v>0</v>
      </c>
      <c r="XD88" s="46">
        <f t="shared" si="1082"/>
        <v>103</v>
      </c>
      <c r="XE88" s="46">
        <f t="shared" si="727"/>
        <v>2.9539999999999997</v>
      </c>
      <c r="XF88" s="46">
        <f t="shared" si="1083"/>
        <v>1</v>
      </c>
      <c r="XG88" s="46">
        <f t="shared" si="1084"/>
        <v>2</v>
      </c>
      <c r="XH88" s="46" cm="1">
        <f t="array" ref="XH88">ROUND(VALUE(IFERROR(INDEX(ArchiveResults!$F$5:$IX$116,ComparisonData!A88,ComparisonData!$XH$1),0)),5)</f>
        <v>0</v>
      </c>
      <c r="XI88" s="46" cm="1">
        <f t="array" ref="XI88">ROUND(VALUE(IFERROR(INDEX(ArchiveResults!$F$5:$IX$116,ComparisonData!A88,ComparisonData!$XI$1),0)),5)</f>
        <v>0</v>
      </c>
      <c r="XJ88" s="56">
        <v>83</v>
      </c>
      <c r="XK88" s="53" t="str">
        <f t="shared" si="728"/>
        <v>The National Library of Wales</v>
      </c>
      <c r="XL88" s="60">
        <f t="shared" si="1085"/>
        <v>0</v>
      </c>
      <c r="XM88" s="60">
        <f t="shared" si="1086"/>
        <v>0</v>
      </c>
      <c r="XN88" s="76">
        <f t="shared" si="1087"/>
        <v>0</v>
      </c>
      <c r="XO88" s="46">
        <f t="shared" si="1088"/>
        <v>103</v>
      </c>
      <c r="XP88" s="46">
        <f t="shared" si="729"/>
        <v>2.9539999999999997</v>
      </c>
      <c r="XQ88" s="46">
        <f t="shared" si="1089"/>
        <v>1</v>
      </c>
      <c r="XR88" s="46">
        <f t="shared" si="1090"/>
        <v>2</v>
      </c>
      <c r="XS88" s="46" cm="1">
        <f t="array" ref="XS88">ROUND(VALUE(IFERROR(INDEX(ArchiveResults!$F$5:$IX$116,ComparisonData!A88,ComparisonData!$XS$1),0)),5)</f>
        <v>0</v>
      </c>
      <c r="XT88" s="46" cm="1">
        <f t="array" ref="XT88">ROUND(VALUE(IFERROR(INDEX(ArchiveResults!$F$5:$IX$116,ComparisonData!A88,ComparisonData!$XT$1),0)),5)</f>
        <v>0</v>
      </c>
      <c r="XU88" s="56">
        <v>83</v>
      </c>
      <c r="XV88" s="53" t="str">
        <f t="shared" si="730"/>
        <v>The National Library of Wales</v>
      </c>
      <c r="XW88" s="60">
        <f t="shared" si="1091"/>
        <v>0</v>
      </c>
      <c r="XX88" s="60">
        <f t="shared" si="1092"/>
        <v>0</v>
      </c>
      <c r="XY88" s="76">
        <f t="shared" si="1093"/>
        <v>0</v>
      </c>
      <c r="XZ88" s="46">
        <f t="shared" si="1094"/>
        <v>103</v>
      </c>
      <c r="YA88" s="46">
        <f t="shared" si="731"/>
        <v>2.9539999999999997</v>
      </c>
      <c r="YB88" s="46">
        <f t="shared" si="1095"/>
        <v>1</v>
      </c>
      <c r="YC88" s="46">
        <f t="shared" si="1096"/>
        <v>2</v>
      </c>
      <c r="YD88" s="46" cm="1">
        <f t="array" ref="YD88">ROUND(VALUE(IFERROR(INDEX(ArchiveResults!$F$5:$IX$116,ComparisonData!A88,ComparisonData!$YD$1),0)),5)</f>
        <v>0</v>
      </c>
      <c r="YE88" s="46" cm="1">
        <f t="array" ref="YE88">ROUND(VALUE(IFERROR(INDEX(ArchiveResults!$F$5:$IX$116,ComparisonData!A88,ComparisonData!$YE$1),0)),5)</f>
        <v>0</v>
      </c>
      <c r="YF88" s="56">
        <v>83</v>
      </c>
      <c r="YG88" s="53" t="str">
        <f t="shared" si="732"/>
        <v>The National Library of Wales</v>
      </c>
      <c r="YH88" s="60">
        <f t="shared" si="1097"/>
        <v>0</v>
      </c>
      <c r="YI88" s="60">
        <f t="shared" si="1098"/>
        <v>0</v>
      </c>
      <c r="YJ88" s="76">
        <f t="shared" si="1099"/>
        <v>0</v>
      </c>
      <c r="YK88" s="46">
        <f t="shared" si="1100"/>
        <v>103</v>
      </c>
      <c r="YL88" s="46">
        <f t="shared" si="733"/>
        <v>2.9539999999999997</v>
      </c>
      <c r="YM88" s="46">
        <f t="shared" si="1101"/>
        <v>1</v>
      </c>
      <c r="YN88" s="46">
        <f t="shared" si="1102"/>
        <v>2</v>
      </c>
      <c r="YO88" s="46" cm="1">
        <f t="array" ref="YO88">ROUND(VALUE(IFERROR(INDEX(ArchiveResults!$F$5:$IX$116,ComparisonData!A88,ComparisonData!$YO$1),0)),5)</f>
        <v>0</v>
      </c>
      <c r="YP88" s="46" cm="1">
        <f t="array" ref="YP88">ROUND(VALUE(IFERROR(INDEX(ArchiveResults!$F$5:$IX$116,ComparisonData!A88,ComparisonData!$YP$1),0)),5)</f>
        <v>0</v>
      </c>
      <c r="YQ88" s="56">
        <v>83</v>
      </c>
      <c r="YR88" s="53" t="str">
        <f t="shared" si="734"/>
        <v>The National Library of Wales</v>
      </c>
      <c r="YS88" s="60">
        <f t="shared" si="1103"/>
        <v>0</v>
      </c>
      <c r="YT88" s="60">
        <f t="shared" si="1104"/>
        <v>0</v>
      </c>
      <c r="YU88" s="76">
        <f t="shared" si="1105"/>
        <v>0</v>
      </c>
      <c r="YV88" s="46">
        <f t="shared" si="1106"/>
        <v>103</v>
      </c>
      <c r="YW88" s="46">
        <f t="shared" si="735"/>
        <v>2.9539999999999997</v>
      </c>
      <c r="YX88" s="46">
        <f t="shared" si="1107"/>
        <v>1</v>
      </c>
      <c r="YY88" s="46">
        <f t="shared" si="1108"/>
        <v>2</v>
      </c>
      <c r="YZ88" s="46">
        <f t="shared" si="1109"/>
        <v>0</v>
      </c>
      <c r="ZA88" s="46" cm="1">
        <f t="array" ref="ZA88">ROUNDDOWN(VALUE(IFERROR(INDEX(ArchiveResults!$F$5:$IX$116,ComparisonData!A88,ComparisonData!$ZA$1),0)),5)</f>
        <v>0</v>
      </c>
      <c r="ZB88" s="46" cm="1">
        <f t="array" ref="ZB88">ROUNDDOWN(VALUE(IFERROR(INDEX(ArchiveResults!$F$5:$IX$116,ComparisonData!A88,ComparisonData!$ZB$1),0)),5)</f>
        <v>0</v>
      </c>
      <c r="ZC88" s="46" cm="1">
        <f t="array" ref="ZC88">ROUNDDOWN(VALUE(IFERROR(INDEX(ArchiveResults!$F$5:$IX$116,ComparisonData!A88,ComparisonData!$ZC$1),0)),5)</f>
        <v>0</v>
      </c>
      <c r="ZD88" s="46" cm="1">
        <f t="array" ref="ZD88">ROUNDDOWN(VALUE(IFERROR(INDEX(ArchiveResults!$F$5:$IX$116,ComparisonData!A88,ComparisonData!$ZD$1),0)),5)</f>
        <v>0</v>
      </c>
      <c r="ZE88" s="46" cm="1">
        <f t="array" ref="ZE88">ROUNDDOWN(VALUE(IFERROR(INDEX(ArchiveResults!$F$5:$IX$116,ComparisonData!A88,ComparisonData!$ZE$1),0)),5)</f>
        <v>0</v>
      </c>
      <c r="ZF88" s="56">
        <v>83</v>
      </c>
      <c r="ZG88" s="53" t="str">
        <f t="shared" si="736"/>
        <v>The National Library of Wales</v>
      </c>
      <c r="ZH88" s="60">
        <f t="shared" si="1110"/>
        <v>0</v>
      </c>
      <c r="ZI88" s="60">
        <f t="shared" si="1111"/>
        <v>0</v>
      </c>
      <c r="ZJ88" s="60">
        <f t="shared" si="1112"/>
        <v>0</v>
      </c>
      <c r="ZK88" s="60">
        <f t="shared" si="1113"/>
        <v>0</v>
      </c>
      <c r="ZL88" s="60">
        <f t="shared" si="1114"/>
        <v>0</v>
      </c>
      <c r="ZM88" s="76">
        <f t="shared" si="1115"/>
        <v>0</v>
      </c>
      <c r="ZN88" s="46">
        <f t="shared" si="1116"/>
        <v>103</v>
      </c>
      <c r="ZO88" s="46">
        <f t="shared" si="737"/>
        <v>2.9539999999999997</v>
      </c>
      <c r="ZP88" s="46">
        <f t="shared" si="1117"/>
        <v>1</v>
      </c>
      <c r="ZQ88" s="46">
        <f t="shared" si="1118"/>
        <v>2</v>
      </c>
      <c r="ZR88" s="46" cm="1">
        <f t="array" ref="ZR88">ROUND(VALUE(IFERROR(INDEX(ArchiveResults!$F$5:$IX$116,ComparisonData!A88,ComparisonData!$ZR$1),0)),5)</f>
        <v>0</v>
      </c>
      <c r="ZS88" s="56">
        <v>83</v>
      </c>
      <c r="ZT88" s="53" t="str">
        <f t="shared" si="738"/>
        <v>The National Library of Wales</v>
      </c>
      <c r="ZU88" s="46">
        <f t="shared" si="1119"/>
        <v>0</v>
      </c>
      <c r="ZV88" s="76">
        <f t="shared" si="1120"/>
        <v>0</v>
      </c>
      <c r="ZW88" s="81" cm="1">
        <f t="array" ref="ZW88">ROUND((IFERROR(INDEX(ArchiveResults!$F$5:$IX$116,ComparisonData!A88,ComparisonData!$ZW$1),0)),5)</f>
        <v>0</v>
      </c>
      <c r="ZX88" s="81" cm="1">
        <f t="array" ref="ZX88">ROUND((IFERROR(INDEX(ArchiveResults!$F$5:$IX$116,ComparisonData!A88,ComparisonData!$ZX$1),0)),5)</f>
        <v>0</v>
      </c>
      <c r="ZY88" s="81" cm="1">
        <f t="array" ref="ZY88">ROUND((IFERROR(INDEX(ArchiveResults!$F$5:$IX$116,ComparisonData!A88,ComparisonData!$ZY$1),0)),5)</f>
        <v>0</v>
      </c>
      <c r="ZZ88" s="81" cm="1">
        <f t="array" ref="ZZ88">ROUND((IFERROR(INDEX(ArchiveResults!$F$5:$IX$116,ComparisonData!A88,ComparisonData!$ZZ$1),0)),5)</f>
        <v>0</v>
      </c>
      <c r="AAA88" s="81" cm="1">
        <f t="array" ref="AAA88">ROUND((IFERROR(INDEX(ArchiveResults!$F$5:$IX$116,ComparisonData!A88,ComparisonData!$AAA$1),0)),5)</f>
        <v>0</v>
      </c>
      <c r="AAB88" s="81" cm="1">
        <f t="array" ref="AAB88">ROUND((IFERROR(INDEX(ArchiveResults!$F$5:$IX$116,ComparisonData!A88,ComparisonData!$AAB$1),0)),5)</f>
        <v>0</v>
      </c>
      <c r="AAC88" s="81" cm="1">
        <f t="array" ref="AAC88">ROUND((IFERROR(INDEX(ArchiveResults!$F$5:$IX$116,ComparisonData!A88,ComparisonData!$AAC$1),0)),5)</f>
        <v>0</v>
      </c>
      <c r="AAD88" s="81" cm="1">
        <f t="array" ref="AAD88">ROUND((IFERROR(INDEX(ArchiveResults!$F$5:$IX$116,ComparisonData!A88,ComparisonData!$AAD$1),0)),5)</f>
        <v>0</v>
      </c>
      <c r="AAE88" s="81" cm="1">
        <f t="array" ref="AAE88">ROUND((IFERROR(INDEX(ArchiveResults!$F$5:$IX$116,ComparisonData!A88,ComparisonData!$AAE$1),0)),5)</f>
        <v>0</v>
      </c>
      <c r="AAF88" s="81" cm="1">
        <f t="array" ref="AAF88">ROUND((IFERROR(INDEX(ArchiveResults!$F$5:$IX$116,ComparisonData!A88,ComparisonData!$AAF$1),0)),5)</f>
        <v>0</v>
      </c>
      <c r="AAG88" s="46">
        <f t="shared" si="1121"/>
        <v>103</v>
      </c>
      <c r="AAH88" s="46">
        <f t="shared" si="739"/>
        <v>2.9539999999999997</v>
      </c>
      <c r="AAI88" s="46">
        <f t="shared" si="1122"/>
        <v>1</v>
      </c>
      <c r="AAJ88" s="46">
        <f t="shared" si="1123"/>
        <v>2</v>
      </c>
      <c r="AAK88" s="46">
        <f t="shared" si="1124"/>
        <v>0</v>
      </c>
      <c r="AAL88" s="46">
        <f t="shared" si="1125"/>
        <v>0</v>
      </c>
      <c r="AAM88" s="46">
        <f t="shared" si="1126"/>
        <v>0</v>
      </c>
      <c r="AAN88" s="46">
        <f t="shared" si="1127"/>
        <v>0</v>
      </c>
      <c r="AAO88" s="46">
        <f t="shared" si="1128"/>
        <v>0</v>
      </c>
      <c r="AAP88" s="46">
        <f t="shared" si="1129"/>
        <v>0</v>
      </c>
      <c r="AAQ88" s="56">
        <v>83</v>
      </c>
      <c r="AAR88" s="53" t="str">
        <f t="shared" si="740"/>
        <v>The National Library of Wales</v>
      </c>
      <c r="AAS88" s="60">
        <f t="shared" si="1130"/>
        <v>0</v>
      </c>
      <c r="AAT88" s="60">
        <f t="shared" si="1131"/>
        <v>0</v>
      </c>
      <c r="AAU88" s="60">
        <f t="shared" si="1132"/>
        <v>0</v>
      </c>
      <c r="AAV88" s="60">
        <f t="shared" si="1133"/>
        <v>0</v>
      </c>
      <c r="AAW88" s="60">
        <f t="shared" si="1134"/>
        <v>0</v>
      </c>
      <c r="AAX88" s="76">
        <f t="shared" si="1135"/>
        <v>0</v>
      </c>
      <c r="AAY88" s="46">
        <f t="shared" si="1136"/>
        <v>103</v>
      </c>
      <c r="AAZ88" s="46">
        <f t="shared" si="741"/>
        <v>2.9539999999999997</v>
      </c>
      <c r="ABA88" s="46">
        <f t="shared" si="1137"/>
        <v>1</v>
      </c>
      <c r="ABB88" s="46">
        <f t="shared" si="1138"/>
        <v>2</v>
      </c>
      <c r="ABC88" s="46">
        <f t="shared" si="742"/>
        <v>0</v>
      </c>
      <c r="ABD88" s="46" cm="1">
        <f t="array" ref="ABD88">ROUND(VALUE(IFERROR(INDEX(ArchiveResults!$F$5:$IX$116,ComparisonData!A88,ComparisonData!$ABD$1),0)),5)</f>
        <v>0</v>
      </c>
      <c r="ABE88" s="46" cm="1">
        <f t="array" ref="ABE88">ROUND(VALUE(IFERROR(INDEX(ArchiveResults!$F$5:$IX$116,ComparisonData!A88,ComparisonData!$ABE$1),0)),5)</f>
        <v>0</v>
      </c>
      <c r="ABF88" s="46" cm="1">
        <f t="array" ref="ABF88">ROUND(VALUE(IFERROR(INDEX(ArchiveResults!$F$5:$IX$116,ComparisonData!A88,ComparisonData!$ABF$1),0)),5)</f>
        <v>0</v>
      </c>
      <c r="ABG88" s="46" cm="1">
        <f t="array" ref="ABG88">ROUND(VALUE(IFERROR(INDEX(ArchiveResults!$F$5:$IX$116,ComparisonData!A88,ComparisonData!$ABG$1),0)),5)</f>
        <v>0</v>
      </c>
      <c r="ABH88" s="46" cm="1">
        <f t="array" ref="ABH88">ROUND(VALUE(IFERROR(INDEX(ArchiveResults!$F$5:$IX$116,ComparisonData!A88,ComparisonData!$ABH$1),0)),5)</f>
        <v>0</v>
      </c>
      <c r="ABI88" s="56">
        <v>83</v>
      </c>
      <c r="ABJ88" s="53" t="str">
        <f t="shared" si="743"/>
        <v>The National Library of Wales</v>
      </c>
      <c r="ABK88" s="60">
        <f t="shared" si="1139"/>
        <v>0</v>
      </c>
      <c r="ABL88" s="60">
        <f t="shared" si="1140"/>
        <v>0</v>
      </c>
      <c r="ABM88" s="60">
        <f t="shared" si="1141"/>
        <v>0</v>
      </c>
      <c r="ABN88" s="60">
        <f t="shared" si="1142"/>
        <v>0</v>
      </c>
      <c r="ABO88" s="60">
        <f t="shared" si="1143"/>
        <v>0</v>
      </c>
      <c r="ABP88" s="76">
        <f t="shared" si="1144"/>
        <v>0</v>
      </c>
      <c r="ABQ88" s="46">
        <f t="shared" si="1145"/>
        <v>103</v>
      </c>
      <c r="ABR88" s="46">
        <f t="shared" si="744"/>
        <v>2.9539999999999997</v>
      </c>
      <c r="ABS88" s="46">
        <f t="shared" si="1146"/>
        <v>1</v>
      </c>
      <c r="ABT88" s="46">
        <f t="shared" si="1147"/>
        <v>2</v>
      </c>
      <c r="ABU88" s="46" cm="1">
        <f t="array" ref="ABU88">ROUND(VALUE(IFERROR(INDEX(ArchiveResults!$F$5:$IX$116,ComparisonData!A88,ComparisonData!$ABU$1),0)),5)</f>
        <v>0</v>
      </c>
      <c r="ABV88" s="46" cm="1">
        <f t="array" ref="ABV88">ROUND(VALUE(IFERROR(INDEX(ArchiveResults!$F$5:$IX$116,ComparisonData!A88,ComparisonData!$ABV$1),0)),5)</f>
        <v>0</v>
      </c>
      <c r="ABW88" s="46" cm="1">
        <f t="array" ref="ABW88">ROUND(VALUE(IFERROR(INDEX(ArchiveResults!$F$5:$IX$116,ComparisonData!A88,ComparisonData!$ABW$1),0)),5)</f>
        <v>0</v>
      </c>
      <c r="ABX88" s="46" cm="1">
        <f t="array" ref="ABX88">ROUND(VALUE(IFERROR(INDEX(ArchiveResults!$F$5:$IX$116,ComparisonData!A88,ComparisonData!$ABX$1),0)),5)</f>
        <v>0</v>
      </c>
      <c r="ABY88" s="46" cm="1">
        <f t="array" ref="ABY88">ROUND(VALUE(IFERROR(INDEX(ArchiveResults!$F$5:$IX$116,ComparisonData!A88,ComparisonData!$ABY$1),0)),5)</f>
        <v>0</v>
      </c>
      <c r="ABZ88" s="56">
        <v>83</v>
      </c>
      <c r="ACA88" s="53" t="str">
        <f t="shared" si="745"/>
        <v>The National Library of Wales</v>
      </c>
      <c r="ACB88" s="60">
        <f t="shared" si="1148"/>
        <v>0</v>
      </c>
      <c r="ACC88" s="60">
        <f t="shared" si="1149"/>
        <v>0</v>
      </c>
      <c r="ACD88" s="60">
        <f t="shared" si="1150"/>
        <v>0</v>
      </c>
      <c r="ACE88" s="60">
        <f t="shared" si="1151"/>
        <v>0</v>
      </c>
      <c r="ACF88" s="60">
        <f t="shared" si="1152"/>
        <v>0</v>
      </c>
      <c r="ACG88" s="76">
        <f t="shared" si="1153"/>
        <v>0</v>
      </c>
      <c r="ACH88" s="46">
        <f t="shared" si="1154"/>
        <v>103</v>
      </c>
      <c r="ACI88" s="46">
        <f t="shared" si="746"/>
        <v>2.9539999999999997</v>
      </c>
      <c r="ACJ88" s="46">
        <f t="shared" si="1155"/>
        <v>1</v>
      </c>
      <c r="ACK88" s="46">
        <f t="shared" si="1156"/>
        <v>2</v>
      </c>
      <c r="ACL88" s="46">
        <f t="shared" si="1157"/>
        <v>0</v>
      </c>
      <c r="ACM88" s="46" cm="1">
        <f t="array" ref="ACM88">ROUND(IFERROR(INDEX(ArchiveResults!$F$5:$IX$116,ComparisonData!A88,ComparisonData!$ACM$1),0),5)</f>
        <v>0</v>
      </c>
      <c r="ACN88" s="46" cm="1">
        <f t="array" ref="ACN88">ROUND(IFERROR(INDEX(ArchiveResults!$F$5:$IX$116,ComparisonData!A88,ComparisonData!$ACN$1),0),5)</f>
        <v>0</v>
      </c>
      <c r="ACO88" s="56">
        <v>83</v>
      </c>
      <c r="ACP88" s="53" t="str">
        <f t="shared" si="747"/>
        <v>The National Library of Wales</v>
      </c>
      <c r="ACQ88" s="60">
        <f t="shared" si="1158"/>
        <v>0</v>
      </c>
      <c r="ACR88" s="60">
        <f t="shared" si="1159"/>
        <v>0</v>
      </c>
      <c r="ACS88" s="76">
        <f t="shared" si="1160"/>
        <v>0</v>
      </c>
      <c r="ACT88" s="46">
        <f t="shared" si="1161"/>
        <v>103</v>
      </c>
      <c r="ACU88" s="46">
        <f t="shared" si="748"/>
        <v>2.9539999999999997</v>
      </c>
      <c r="ACV88" s="46">
        <f t="shared" si="1162"/>
        <v>1</v>
      </c>
      <c r="ACW88" s="46">
        <f t="shared" si="1163"/>
        <v>2</v>
      </c>
      <c r="ACX88" s="46">
        <f t="shared" si="1164"/>
        <v>0</v>
      </c>
      <c r="ACY88" s="46" cm="1">
        <f t="array" ref="ACY88">ROUNDDOWN(IFERROR(INDEX(ArchiveResults!$F$5:$IX$116,ComparisonData!A88,ComparisonData!$ACY$1),0),5)</f>
        <v>0</v>
      </c>
      <c r="ACZ88" s="46" cm="1">
        <f t="array" ref="ACZ88">ROUNDDOWN(IFERROR(INDEX(ArchiveResults!$F$5:$IX$116,ComparisonData!A88,ComparisonData!$ACZ$1),0),5)</f>
        <v>0</v>
      </c>
      <c r="ADA88" s="46" cm="1">
        <f t="array" ref="ADA88">ROUNDDOWN(IFERROR(INDEX(ArchiveResults!$F$5:$IX$116,ComparisonData!A88,ComparisonData!$ADA$1),0),5)</f>
        <v>0</v>
      </c>
      <c r="ADB88" s="56">
        <v>83</v>
      </c>
      <c r="ADC88" s="53" t="str">
        <f t="shared" si="749"/>
        <v>The National Library of Wales</v>
      </c>
      <c r="ADD88" s="60">
        <f t="shared" si="1165"/>
        <v>0</v>
      </c>
      <c r="ADE88" s="60">
        <f t="shared" si="1166"/>
        <v>0</v>
      </c>
      <c r="ADF88" s="60">
        <f t="shared" si="1167"/>
        <v>0</v>
      </c>
      <c r="ADG88" s="76">
        <f t="shared" si="1168"/>
        <v>0</v>
      </c>
    </row>
    <row r="89" spans="1:787" x14ac:dyDescent="0.25">
      <c r="A89" s="46" t="str">
        <f>IF(ISBLANK(ComparisonSelection!F85),"",ROW()-5)</f>
        <v/>
      </c>
      <c r="B89" s="53" t="s">
        <v>539</v>
      </c>
      <c r="C89" s="72">
        <v>0.68399999999999972</v>
      </c>
      <c r="D89" s="55">
        <f t="shared" si="750"/>
        <v>50</v>
      </c>
      <c r="E89" s="54">
        <f t="shared" si="751"/>
        <v>2.6839999999999997</v>
      </c>
      <c r="F89" s="54">
        <f t="shared" si="752"/>
        <v>1</v>
      </c>
      <c r="G89" s="72">
        <f t="shared" si="753"/>
        <v>2</v>
      </c>
      <c r="H89" s="72">
        <f t="shared" si="754"/>
        <v>0</v>
      </c>
      <c r="I89" s="46" cm="1">
        <f t="array" ref="I89">ROUND(IFERROR(INDEX(ArchiveResults!$F$5:$IX$116,ComparisonData!A89,ComparisonData!$I$1),0),5)</f>
        <v>0</v>
      </c>
      <c r="J89" s="46" cm="1">
        <f t="array" ref="J89">ROUND(IFERROR(INDEX(ArchiveResults!$F$5:$IX$116,ComparisonData!A89,ComparisonData!$J$1),0),5)</f>
        <v>0</v>
      </c>
      <c r="K89" s="56">
        <v>84</v>
      </c>
      <c r="L89" s="53" t="str">
        <f t="shared" si="755"/>
        <v>The Paul Mellon Centre</v>
      </c>
      <c r="M89" s="57">
        <f t="shared" si="640"/>
        <v>0</v>
      </c>
      <c r="N89" s="57">
        <f t="shared" si="641"/>
        <v>0</v>
      </c>
      <c r="O89" s="58">
        <f t="shared" si="756"/>
        <v>0</v>
      </c>
      <c r="P89" s="48">
        <f t="shared" si="757"/>
        <v>50</v>
      </c>
      <c r="Q89" s="54">
        <f t="shared" si="642"/>
        <v>2.6839999999999997</v>
      </c>
      <c r="R89" s="45">
        <f t="shared" si="758"/>
        <v>1</v>
      </c>
      <c r="S89" s="46">
        <f t="shared" si="759"/>
        <v>2</v>
      </c>
      <c r="T89" s="72">
        <f t="shared" si="760"/>
        <v>0</v>
      </c>
      <c r="U89" s="46" cm="1">
        <f t="array" ref="U89">ROUND(IFERROR(INDEX(ArchiveResults!$F$5:$IX$116,ComparisonData!A89,ComparisonData!$U$1),0),5)</f>
        <v>0</v>
      </c>
      <c r="V89" s="46" cm="1">
        <f t="array" ref="V89">ROUND(IFERROR(INDEX(ArchiveResults!$F$5:$IX$116,ComparisonData!A89,ComparisonData!$V$1),0),5)</f>
        <v>0</v>
      </c>
      <c r="W89" s="56">
        <v>84</v>
      </c>
      <c r="X89" s="53" t="str">
        <f t="shared" si="643"/>
        <v>The Paul Mellon Centre</v>
      </c>
      <c r="Y89" s="57">
        <f t="shared" si="761"/>
        <v>0</v>
      </c>
      <c r="Z89" s="57">
        <f t="shared" si="762"/>
        <v>0</v>
      </c>
      <c r="AA89" s="58">
        <f t="shared" si="763"/>
        <v>0</v>
      </c>
      <c r="AB89" s="45">
        <f t="shared" si="764"/>
        <v>50</v>
      </c>
      <c r="AC89" s="54">
        <f t="shared" si="644"/>
        <v>2.6839999999999997</v>
      </c>
      <c r="AD89" s="45">
        <f t="shared" si="765"/>
        <v>1</v>
      </c>
      <c r="AE89" s="45">
        <f t="shared" si="766"/>
        <v>2</v>
      </c>
      <c r="AF89" s="45">
        <f t="shared" si="639"/>
        <v>0</v>
      </c>
      <c r="AG89" s="46" cm="1">
        <f t="array" ref="AG89">ROUND(IFERROR(INDEX(ArchiveResults!$F$5:$IX$116,ComparisonData!A89,ComparisonData!$AG$1),0),5)</f>
        <v>0</v>
      </c>
      <c r="AH89" s="46" cm="1">
        <f t="array" ref="AH89">ROUND(IFERROR(INDEX(ArchiveResults!$F$5:$IX$116,ComparisonData!A89,ComparisonData!$AH$1),0),5)</f>
        <v>0</v>
      </c>
      <c r="AI89" s="56">
        <v>84</v>
      </c>
      <c r="AJ89" s="53" t="str">
        <f t="shared" si="645"/>
        <v>The Paul Mellon Centre</v>
      </c>
      <c r="AK89" s="59">
        <f t="shared" si="646"/>
        <v>0</v>
      </c>
      <c r="AL89" s="59">
        <f t="shared" si="647"/>
        <v>0</v>
      </c>
      <c r="AM89" s="58">
        <f t="shared" si="767"/>
        <v>0</v>
      </c>
      <c r="AN89" s="45">
        <f t="shared" si="768"/>
        <v>50</v>
      </c>
      <c r="AO89" s="54">
        <f t="shared" si="648"/>
        <v>2.6839999999999997</v>
      </c>
      <c r="AP89" s="45">
        <f t="shared" si="769"/>
        <v>1</v>
      </c>
      <c r="AQ89" s="45">
        <f t="shared" si="770"/>
        <v>2</v>
      </c>
      <c r="AR89" s="46" cm="1">
        <f t="array" ref="AR89">ROUND(IFERROR(INDEX(ArchiveResults!$F$5:$IX$116,ComparisonData!A89,ComparisonData!$AR$1),0),5)</f>
        <v>0</v>
      </c>
      <c r="AS89" s="46" cm="1">
        <f t="array" ref="AS89">ROUND(IFERROR(INDEX(ArchiveResults!$F$5:$IX$116,ComparisonData!A89,ComparisonData!$AS$1),0),5)</f>
        <v>0</v>
      </c>
      <c r="AT89" s="46" cm="1">
        <f t="array" ref="AT89">ROUND(IFERROR(INDEX(ArchiveResults!$F$5:$IX$116,ComparisonData!A89,ComparisonData!$AT$1),0),5)</f>
        <v>0</v>
      </c>
      <c r="AU89" s="46" cm="1">
        <f t="array" ref="AU89">ROUND(IFERROR(INDEX(ArchiveResults!$F$5:$IX$116,ComparisonData!A89,ComparisonData!$AU$1),0),5)</f>
        <v>0</v>
      </c>
      <c r="AV89" s="46" cm="1">
        <f t="array" ref="AV89">ROUND(IFERROR(INDEX(ArchiveResults!$F$5:$IX$116,ComparisonData!A89,ComparisonData!$AV$1),0),5)</f>
        <v>0</v>
      </c>
      <c r="AW89" s="46" cm="1">
        <f t="array" ref="AW89">ROUND(IFERROR(INDEX(ArchiveResults!$F$5:$IX$116,ComparisonData!A89,ComparisonData!$AW$1),0),5)</f>
        <v>0</v>
      </c>
      <c r="AX89" s="46" cm="1">
        <f t="array" ref="AX89">ROUND(IFERROR(INDEX(ArchiveResults!$F$5:$IX$116,ComparisonData!A89,ComparisonData!$AX$1),0),5)</f>
        <v>0</v>
      </c>
      <c r="AY89" s="46" cm="1">
        <f t="array" ref="AY89">ROUND(IFERROR(INDEX(ArchiveResults!$F$5:$IX$116,ComparisonData!A89,ComparisonData!$AY$1),0),5)</f>
        <v>0</v>
      </c>
      <c r="AZ89" s="46" cm="1">
        <f t="array" ref="AZ89">ROUND(IFERROR(INDEX(ArchiveResults!$F$5:$IX$116,ComparisonData!A89,ComparisonData!$AZ$1),0),5)</f>
        <v>0</v>
      </c>
      <c r="BA89" s="46" cm="1">
        <f t="array" ref="BA89">ROUND(IFERROR(INDEX(ArchiveResults!$F$5:$IX$116,ComparisonData!A89,ComparisonData!$BA$1),0),5)</f>
        <v>0</v>
      </c>
      <c r="BB89" s="56">
        <v>84</v>
      </c>
      <c r="BC89" s="53" t="str">
        <f t="shared" si="649"/>
        <v>The Paul Mellon Centre</v>
      </c>
      <c r="BD89" s="60">
        <f t="shared" si="771"/>
        <v>0</v>
      </c>
      <c r="BE89" s="60">
        <f t="shared" si="772"/>
        <v>0</v>
      </c>
      <c r="BF89" s="60">
        <f t="shared" si="773"/>
        <v>0</v>
      </c>
      <c r="BG89" s="60">
        <f t="shared" si="774"/>
        <v>0</v>
      </c>
      <c r="BH89" s="60">
        <f t="shared" si="775"/>
        <v>0</v>
      </c>
      <c r="BI89" s="60">
        <f t="shared" si="776"/>
        <v>0</v>
      </c>
      <c r="BJ89" s="60">
        <f t="shared" si="777"/>
        <v>0</v>
      </c>
      <c r="BK89" s="60">
        <f t="shared" si="778"/>
        <v>0</v>
      </c>
      <c r="BL89" s="60">
        <f t="shared" si="779"/>
        <v>0</v>
      </c>
      <c r="BM89" s="59">
        <f t="shared" si="780"/>
        <v>0</v>
      </c>
      <c r="BN89" s="58">
        <f t="shared" si="781"/>
        <v>0</v>
      </c>
      <c r="BO89" s="45">
        <f t="shared" si="782"/>
        <v>50</v>
      </c>
      <c r="BP89" s="54">
        <f t="shared" si="650"/>
        <v>2.6839999999999997</v>
      </c>
      <c r="BQ89" s="45">
        <f t="shared" si="783"/>
        <v>1</v>
      </c>
      <c r="BR89" s="45">
        <f t="shared" si="784"/>
        <v>2</v>
      </c>
      <c r="BS89" s="46" cm="1">
        <f t="array" ref="BS89">ROUND(IFERROR(INDEX(ArchiveResults!$F$5:$IX$116,ComparisonData!A89,ComparisonData!$BS$1),0),5)</f>
        <v>0</v>
      </c>
      <c r="BT89" s="46" cm="1">
        <f t="array" ref="BT89">ROUND(IFERROR(INDEX(ArchiveResults!$F$5:$IX$116,ComparisonData!A89,ComparisonData!$BT$1),0),5)</f>
        <v>0</v>
      </c>
      <c r="BU89" s="46" cm="1">
        <f t="array" ref="BU89">ROUND(IFERROR(INDEX(ArchiveResults!$F$5:$IX$116,ComparisonData!A89,ComparisonData!$BU$1),0),5)</f>
        <v>0</v>
      </c>
      <c r="BV89" s="46" cm="1">
        <f t="array" ref="BV89">ROUND(IFERROR(INDEX(ArchiveResults!$F$5:$IX$116,ComparisonData!A89,ComparisonData!$BV$1),0),5)</f>
        <v>0</v>
      </c>
      <c r="BW89" s="46" cm="1">
        <f t="array" ref="BW89">ROUND(IFERROR(INDEX(ArchiveResults!$F$5:$IX$116,ComparisonData!A89,ComparisonData!$BW$1),0),5)</f>
        <v>0</v>
      </c>
      <c r="BX89" s="46" cm="1">
        <f t="array" ref="BX89">ROUND(IFERROR(INDEX(ArchiveResults!$F$5:$IX$116,ComparisonData!A89,ComparisonData!$BX$1),0),5)</f>
        <v>0</v>
      </c>
      <c r="BY89" s="56">
        <v>84</v>
      </c>
      <c r="BZ89" s="53" t="str">
        <f t="shared" si="651"/>
        <v>The Paul Mellon Centre</v>
      </c>
      <c r="CA89" s="59">
        <f t="shared" si="785"/>
        <v>0</v>
      </c>
      <c r="CB89" s="59">
        <f t="shared" si="786"/>
        <v>0</v>
      </c>
      <c r="CC89" s="59">
        <f t="shared" si="787"/>
        <v>0</v>
      </c>
      <c r="CD89" s="59">
        <f t="shared" si="788"/>
        <v>0</v>
      </c>
      <c r="CE89" s="59">
        <f t="shared" si="789"/>
        <v>0</v>
      </c>
      <c r="CF89" s="59">
        <f t="shared" si="790"/>
        <v>0</v>
      </c>
      <c r="CG89" s="58">
        <f t="shared" si="791"/>
        <v>0</v>
      </c>
      <c r="CH89" s="45">
        <f t="shared" si="792"/>
        <v>50</v>
      </c>
      <c r="CI89" s="54">
        <f t="shared" si="652"/>
        <v>2.6839999999999997</v>
      </c>
      <c r="CJ89" s="45">
        <f t="shared" si="793"/>
        <v>1</v>
      </c>
      <c r="CK89" s="45">
        <f t="shared" si="794"/>
        <v>2</v>
      </c>
      <c r="CL89" s="46" cm="1">
        <f t="array" ref="CL89">ROUND(IFERROR(INDEX(ArchiveResults!$F$5:$IX$116,ComparisonData!A89,ComparisonData!$CL$1),0),5)</f>
        <v>0</v>
      </c>
      <c r="CM89" s="56">
        <v>84</v>
      </c>
      <c r="CN89" s="53" t="str">
        <f t="shared" si="653"/>
        <v>The Paul Mellon Centre</v>
      </c>
      <c r="CO89" s="45">
        <f t="shared" si="795"/>
        <v>0</v>
      </c>
      <c r="CP89" s="58">
        <f t="shared" si="796"/>
        <v>0</v>
      </c>
      <c r="CQ89" s="45">
        <f t="shared" si="797"/>
        <v>50</v>
      </c>
      <c r="CR89" s="54">
        <f t="shared" si="654"/>
        <v>2.6839999999999997</v>
      </c>
      <c r="CS89" s="45">
        <f t="shared" si="798"/>
        <v>1</v>
      </c>
      <c r="CT89" s="45">
        <f t="shared" si="799"/>
        <v>2</v>
      </c>
      <c r="CU89" s="46" cm="1">
        <f t="array" ref="CU89">ROUND(IFERROR(INDEX(ArchiveResults!$F$5:$IX$116,ComparisonData!A89,ComparisonData!$CU$1),0),5)</f>
        <v>0</v>
      </c>
      <c r="CV89" s="56">
        <v>84</v>
      </c>
      <c r="CW89" s="53" t="str">
        <f t="shared" si="655"/>
        <v>The Paul Mellon Centre</v>
      </c>
      <c r="CX89" s="45">
        <f t="shared" si="800"/>
        <v>0</v>
      </c>
      <c r="CY89" s="58">
        <f t="shared" si="801"/>
        <v>0</v>
      </c>
      <c r="CZ89" s="45">
        <f t="shared" si="802"/>
        <v>50</v>
      </c>
      <c r="DA89" s="54">
        <f t="shared" si="656"/>
        <v>2.6839999999999997</v>
      </c>
      <c r="DB89" s="45">
        <f t="shared" si="803"/>
        <v>1</v>
      </c>
      <c r="DC89" s="45">
        <f t="shared" si="804"/>
        <v>2</v>
      </c>
      <c r="DD89" s="46" cm="1">
        <f t="array" ref="DD89">ROUND(IFERROR(INDEX(ArchiveResults!$F$5:$IX$116,ComparisonData!A89,ComparisonData!$DD$1),0),5)</f>
        <v>0</v>
      </c>
      <c r="DE89" s="56">
        <v>84</v>
      </c>
      <c r="DF89" s="53" t="str">
        <f t="shared" si="657"/>
        <v>The Paul Mellon Centre</v>
      </c>
      <c r="DG89" s="45">
        <f t="shared" si="805"/>
        <v>0</v>
      </c>
      <c r="DH89" s="58">
        <f t="shared" si="806"/>
        <v>0</v>
      </c>
      <c r="DI89" s="45">
        <f t="shared" si="807"/>
        <v>50</v>
      </c>
      <c r="DJ89" s="54">
        <f t="shared" si="658"/>
        <v>2.6839999999999997</v>
      </c>
      <c r="DK89" s="45">
        <f t="shared" si="808"/>
        <v>1</v>
      </c>
      <c r="DL89" s="45">
        <f t="shared" si="809"/>
        <v>2</v>
      </c>
      <c r="DM89" s="46" cm="1">
        <f t="array" ref="DM89">ROUND(IFERROR(INDEX(ArchiveResults!$F$5:$IX$116,ComparisonData!A89,ComparisonData!$DM$1),0),5)</f>
        <v>0</v>
      </c>
      <c r="DN89" s="46" cm="1">
        <f t="array" ref="DN89">ROUND(IFERROR(INDEX(ArchiveResults!$F$5:$IX$116,ComparisonData!A89,ComparisonData!$DN$1),0),5)</f>
        <v>0</v>
      </c>
      <c r="DO89" s="46" cm="1">
        <f t="array" ref="DO89">ROUND(IFERROR(INDEX(ArchiveResults!$F$5:$IX$116,ComparisonData!A89,ComparisonData!$DO$1),0),5)</f>
        <v>0</v>
      </c>
      <c r="DP89" s="46" cm="1">
        <f t="array" ref="DP89">ROUND(IFERROR(INDEX(ArchiveResults!$F$5:$IX$116,ComparisonData!A89,ComparisonData!$DP$1),0),5)</f>
        <v>0</v>
      </c>
      <c r="DQ89" s="45" cm="1">
        <f t="array" ref="DQ89">IFERROR(INDEX(ArchiveResults!$F$5:$IX$116,ComparisonData!A89,ComparisonData!$DQ$1),0)</f>
        <v>0</v>
      </c>
      <c r="DR89" s="56">
        <v>84</v>
      </c>
      <c r="DS89" s="53" t="str">
        <f t="shared" si="659"/>
        <v>The Paul Mellon Centre</v>
      </c>
      <c r="DT89" s="59">
        <f t="shared" si="810"/>
        <v>0</v>
      </c>
      <c r="DU89" s="59">
        <f t="shared" si="811"/>
        <v>0</v>
      </c>
      <c r="DV89" s="59">
        <f t="shared" si="812"/>
        <v>0</v>
      </c>
      <c r="DW89" s="59">
        <f t="shared" si="813"/>
        <v>0</v>
      </c>
      <c r="DX89" s="59">
        <f t="shared" si="814"/>
        <v>0</v>
      </c>
      <c r="DY89" s="58">
        <f t="shared" si="815"/>
        <v>0</v>
      </c>
      <c r="DZ89" s="45">
        <f t="shared" si="816"/>
        <v>50</v>
      </c>
      <c r="EA89" s="54">
        <f t="shared" si="660"/>
        <v>2.6839999999999997</v>
      </c>
      <c r="EB89" s="45">
        <f t="shared" si="817"/>
        <v>1</v>
      </c>
      <c r="EC89" s="45">
        <f t="shared" si="818"/>
        <v>2</v>
      </c>
      <c r="ED89" s="46" cm="1">
        <f t="array" ref="ED89">ROUND(IFERROR(INDEX(ArchiveResults!$F$5:$IX$116,ComparisonData!A89,ComparisonData!$ED$1),0),5)</f>
        <v>0</v>
      </c>
      <c r="EE89" s="46" cm="1">
        <f t="array" ref="EE89">ROUND(IFERROR(INDEX(ArchiveResults!$F$5:$IX$116,ComparisonData!A89,ComparisonData!$EE$1),0),5)</f>
        <v>0</v>
      </c>
      <c r="EF89" s="46" cm="1">
        <f t="array" ref="EF89">ROUND(IFERROR(INDEX(ArchiveResults!$F$5:$IX$116,ComparisonData!A89,ComparisonData!$EF$1),0),5)</f>
        <v>0</v>
      </c>
      <c r="EG89" s="46" cm="1">
        <f t="array" ref="EG89">ROUND(IFERROR(INDEX(ArchiveResults!$F$5:$IX$116,ComparisonData!A89,ComparisonData!$EG$1),0),5)</f>
        <v>0</v>
      </c>
      <c r="EH89" s="45" cm="1">
        <f t="array" ref="EH89">IFERROR(INDEX(ArchiveResults!$F$5:$IX$116,ComparisonData!A89,ComparisonData!$EH$1),0)</f>
        <v>0</v>
      </c>
      <c r="EI89" s="56">
        <v>84</v>
      </c>
      <c r="EJ89" s="53" t="str">
        <f t="shared" si="661"/>
        <v>The Paul Mellon Centre</v>
      </c>
      <c r="EK89" s="59">
        <f t="shared" si="819"/>
        <v>0</v>
      </c>
      <c r="EL89" s="59">
        <f t="shared" si="820"/>
        <v>0</v>
      </c>
      <c r="EM89" s="59">
        <f t="shared" si="821"/>
        <v>0</v>
      </c>
      <c r="EN89" s="59">
        <f t="shared" si="822"/>
        <v>0</v>
      </c>
      <c r="EO89" s="59">
        <f t="shared" si="823"/>
        <v>0</v>
      </c>
      <c r="EP89" s="58">
        <f t="shared" si="824"/>
        <v>0</v>
      </c>
      <c r="EQ89" s="45">
        <f t="shared" si="825"/>
        <v>50</v>
      </c>
      <c r="ER89" s="54">
        <f t="shared" si="662"/>
        <v>2.6839999999999997</v>
      </c>
      <c r="ES89" s="45">
        <f t="shared" si="826"/>
        <v>1</v>
      </c>
      <c r="ET89" s="45">
        <f t="shared" si="827"/>
        <v>2</v>
      </c>
      <c r="EU89" s="46" cm="1">
        <f t="array" ref="EU89">ROUND(IFERROR(INDEX(ArchiveResults!$F$5:$IX$116,ComparisonData!A89,ComparisonData!$EU$1),0),5)</f>
        <v>0</v>
      </c>
      <c r="EV89" s="46" cm="1">
        <f t="array" ref="EV89">ROUND(IFERROR(INDEX(ArchiveResults!$F$5:$IX$116,ComparisonData!A89,ComparisonData!$EV$1),0),5)</f>
        <v>0</v>
      </c>
      <c r="EW89" s="46" cm="1">
        <f t="array" ref="EW89">ROUND(IFERROR(INDEX(ArchiveResults!$F$5:$IX$116,ComparisonData!A89,ComparisonData!$EW$1),0),5)</f>
        <v>0</v>
      </c>
      <c r="EX89" s="46" cm="1">
        <f t="array" ref="EX89">ROUND(IFERROR(INDEX(ArchiveResults!$F$5:$IX$116,ComparisonData!A89,ComparisonData!$EX$1),0),5)</f>
        <v>0</v>
      </c>
      <c r="EY89" s="45" cm="1">
        <f t="array" ref="EY89">IFERROR(INDEX(ArchiveResults!$F$5:$IX$116,ComparisonData!A89,ComparisonData!$EY$1),0)</f>
        <v>0</v>
      </c>
      <c r="EZ89" s="56">
        <v>84</v>
      </c>
      <c r="FA89" s="53" t="str">
        <f t="shared" si="663"/>
        <v>The Paul Mellon Centre</v>
      </c>
      <c r="FB89" s="59">
        <f t="shared" si="828"/>
        <v>0</v>
      </c>
      <c r="FC89" s="59">
        <f t="shared" si="829"/>
        <v>0</v>
      </c>
      <c r="FD89" s="59">
        <f t="shared" si="830"/>
        <v>0</v>
      </c>
      <c r="FE89" s="59">
        <f t="shared" si="831"/>
        <v>0</v>
      </c>
      <c r="FF89" s="59">
        <f t="shared" si="832"/>
        <v>0</v>
      </c>
      <c r="FG89" s="58">
        <f t="shared" si="833"/>
        <v>0</v>
      </c>
      <c r="FH89" s="45">
        <f t="shared" si="834"/>
        <v>50</v>
      </c>
      <c r="FI89" s="54">
        <f t="shared" si="664"/>
        <v>2.6839999999999997</v>
      </c>
      <c r="FJ89" s="45">
        <f t="shared" si="835"/>
        <v>1</v>
      </c>
      <c r="FK89" s="45">
        <f t="shared" si="836"/>
        <v>2</v>
      </c>
      <c r="FL89" s="46" cm="1">
        <f t="array" ref="FL89">ROUND(IFERROR(INDEX(ArchiveResults!$F$5:$IX$116,ComparisonData!A89,ComparisonData!$FL$1),0),5)</f>
        <v>0</v>
      </c>
      <c r="FM89" s="46" cm="1">
        <f t="array" ref="FM89">ROUND(IFERROR(INDEX(ArchiveResults!$F$5:$IX$116,ComparisonData!A89,ComparisonData!$FM$1),0),5)</f>
        <v>0</v>
      </c>
      <c r="FN89" s="46" cm="1">
        <f t="array" ref="FN89">ROUND(IFERROR(INDEX(ArchiveResults!$F$5:$IX$116,ComparisonData!A89,ComparisonData!$FN$1),0),5)</f>
        <v>0</v>
      </c>
      <c r="FO89" s="46" cm="1">
        <f t="array" ref="FO89">ROUND(IFERROR(INDEX(ArchiveResults!$F$5:$IX$116,ComparisonData!A89,ComparisonData!$FO$1),0),5)</f>
        <v>0</v>
      </c>
      <c r="FP89" s="45" cm="1">
        <f t="array" ref="FP89">IFERROR(INDEX(ArchiveResults!$F$5:$IX$116,ComparisonData!A89,ComparisonData!$FP$1),0)</f>
        <v>0</v>
      </c>
      <c r="FQ89" s="56">
        <v>84</v>
      </c>
      <c r="FR89" s="53" t="str">
        <f t="shared" si="665"/>
        <v>The Paul Mellon Centre</v>
      </c>
      <c r="FS89" s="59">
        <f t="shared" si="837"/>
        <v>0</v>
      </c>
      <c r="FT89" s="59">
        <f t="shared" si="838"/>
        <v>0</v>
      </c>
      <c r="FU89" s="59">
        <f t="shared" si="839"/>
        <v>0</v>
      </c>
      <c r="FV89" s="59">
        <f t="shared" si="840"/>
        <v>0</v>
      </c>
      <c r="FW89" s="59">
        <f t="shared" si="841"/>
        <v>0</v>
      </c>
      <c r="FX89" s="58">
        <f t="shared" si="842"/>
        <v>0</v>
      </c>
      <c r="FY89" s="45">
        <f t="shared" si="843"/>
        <v>50</v>
      </c>
      <c r="FZ89" s="45">
        <f t="shared" si="666"/>
        <v>2.6839999999999997</v>
      </c>
      <c r="GA89" s="45">
        <f t="shared" si="844"/>
        <v>1</v>
      </c>
      <c r="GB89" s="45">
        <f t="shared" si="845"/>
        <v>2</v>
      </c>
      <c r="GC89" s="46" cm="1">
        <f t="array" ref="GC89">ROUND(IFERROR(INDEX(ArchiveResults!$F$5:$IX$116,ComparisonData!A89,ComparisonData!$GC$1),0),5)</f>
        <v>0</v>
      </c>
      <c r="GD89" s="46" cm="1">
        <f t="array" ref="GD89">ROUND(IFERROR(INDEX(ArchiveResults!$F$5:$IX$116,ComparisonData!A89,ComparisonData!$GD$1),0),5)</f>
        <v>0</v>
      </c>
      <c r="GE89" s="46" cm="1">
        <f t="array" ref="GE89">ROUND(IFERROR(INDEX(ArchiveResults!$F$5:$IX$116,ComparisonData!A89,ComparisonData!$GE$1),0),5)</f>
        <v>0</v>
      </c>
      <c r="GF89" s="46" cm="1">
        <f t="array" ref="GF89">ROUND(IFERROR(INDEX(ArchiveResults!$F$5:$IX$116,ComparisonData!A89,ComparisonData!$GF$1),0),5)</f>
        <v>0</v>
      </c>
      <c r="GG89" s="45" cm="1">
        <f t="array" ref="GG89">IFERROR(INDEX(ArchiveResults!$F$5:$IX$116,ComparisonData!A89,ComparisonData!$GG$1),0)</f>
        <v>0</v>
      </c>
      <c r="GH89" s="56">
        <v>84</v>
      </c>
      <c r="GI89" s="53" t="str">
        <f t="shared" si="667"/>
        <v>The Paul Mellon Centre</v>
      </c>
      <c r="GJ89" s="59">
        <f t="shared" si="846"/>
        <v>0</v>
      </c>
      <c r="GK89" s="59">
        <f t="shared" si="847"/>
        <v>0</v>
      </c>
      <c r="GL89" s="59">
        <f t="shared" si="848"/>
        <v>0</v>
      </c>
      <c r="GM89" s="59">
        <f t="shared" si="849"/>
        <v>0</v>
      </c>
      <c r="GN89" s="59">
        <f t="shared" si="850"/>
        <v>0</v>
      </c>
      <c r="GO89" s="58">
        <f t="shared" si="851"/>
        <v>0</v>
      </c>
      <c r="GP89" s="45">
        <f t="shared" si="852"/>
        <v>50</v>
      </c>
      <c r="GQ89" s="45">
        <f t="shared" si="668"/>
        <v>2.6839999999999997</v>
      </c>
      <c r="GR89" s="45">
        <f t="shared" si="853"/>
        <v>1</v>
      </c>
      <c r="GS89" s="45">
        <f t="shared" si="854"/>
        <v>2</v>
      </c>
      <c r="GT89" s="46" cm="1">
        <f t="array" ref="GT89">ROUND(IFERROR(INDEX(ArchiveResults!$F$5:$IX$116,ComparisonData!A89,ComparisonData!$GT$1),0),5)</f>
        <v>0</v>
      </c>
      <c r="GU89" s="46" cm="1">
        <f t="array" ref="GU89">ROUND(IFERROR(INDEX(ArchiveResults!$F$5:$IX$116,ComparisonData!A89,ComparisonData!$GU$1),0),5)</f>
        <v>0</v>
      </c>
      <c r="GV89" s="46" cm="1">
        <f t="array" ref="GV89">ROUND(IFERROR(INDEX(ArchiveResults!$F$5:$IX$116,ComparisonData!A89,ComparisonData!$GV$1),0),5)</f>
        <v>0</v>
      </c>
      <c r="GW89" s="46" cm="1">
        <f t="array" ref="GW89">ROUND(IFERROR(INDEX(ArchiveResults!$F$5:$IX$116,ComparisonData!A89,ComparisonData!$GW$1),0),5)</f>
        <v>0</v>
      </c>
      <c r="GX89" s="45" cm="1">
        <f t="array" ref="GX89">IFERROR(INDEX(ArchiveResults!$F$5:$IX$116,ComparisonData!A89,ComparisonData!$GX$1),0)</f>
        <v>0</v>
      </c>
      <c r="GY89" s="56">
        <v>84</v>
      </c>
      <c r="GZ89" s="53" t="str">
        <f t="shared" si="669"/>
        <v>The Paul Mellon Centre</v>
      </c>
      <c r="HA89" s="59">
        <f t="shared" si="855"/>
        <v>0</v>
      </c>
      <c r="HB89" s="59">
        <f t="shared" si="856"/>
        <v>0</v>
      </c>
      <c r="HC89" s="59">
        <f t="shared" si="857"/>
        <v>0</v>
      </c>
      <c r="HD89" s="59">
        <f t="shared" si="858"/>
        <v>0</v>
      </c>
      <c r="HE89" s="59">
        <f t="shared" si="859"/>
        <v>0</v>
      </c>
      <c r="HF89" s="58">
        <f t="shared" si="860"/>
        <v>0</v>
      </c>
      <c r="HG89" s="45">
        <f t="shared" si="861"/>
        <v>50</v>
      </c>
      <c r="HH89" s="45">
        <f t="shared" si="670"/>
        <v>2.6839999999999997</v>
      </c>
      <c r="HI89" s="45">
        <f t="shared" si="862"/>
        <v>1</v>
      </c>
      <c r="HJ89" s="45">
        <f t="shared" si="863"/>
        <v>2</v>
      </c>
      <c r="HK89" s="46" cm="1">
        <f t="array" ref="HK89">ROUND(IFERROR(INDEX(ArchiveResults!$F$5:$IX$116,ComparisonData!A89,ComparisonData!$HK$1),0),5)</f>
        <v>0</v>
      </c>
      <c r="HL89" s="46" cm="1">
        <f t="array" ref="HL89">ROUND(IFERROR(INDEX(ArchiveResults!$F$5:$IX$116,ComparisonData!A89,ComparisonData!$HL$1),0),5)</f>
        <v>0</v>
      </c>
      <c r="HM89" s="46" cm="1">
        <f t="array" ref="HM89">ROUND(IFERROR(INDEX(ArchiveResults!$F$5:$IX$116,ComparisonData!A89,ComparisonData!$HM$1),0),5)</f>
        <v>0</v>
      </c>
      <c r="HN89" s="46" cm="1">
        <f t="array" ref="HN89">ROUND(IFERROR(INDEX(ArchiveResults!$F$5:$IX$116,ComparisonData!A89,ComparisonData!$HN$1),0),5)</f>
        <v>0</v>
      </c>
      <c r="HO89" s="45" cm="1">
        <f t="array" ref="HO89">IFERROR(INDEX(ArchiveResults!$F$5:$IX$116,ComparisonData!A89,ComparisonData!$HO$1),0)</f>
        <v>0</v>
      </c>
      <c r="HP89" s="56">
        <v>84</v>
      </c>
      <c r="HQ89" s="53" t="str">
        <f t="shared" si="671"/>
        <v>The Paul Mellon Centre</v>
      </c>
      <c r="HR89" s="59">
        <f t="shared" si="672"/>
        <v>0</v>
      </c>
      <c r="HS89" s="59">
        <f t="shared" si="673"/>
        <v>0</v>
      </c>
      <c r="HT89" s="59">
        <f t="shared" si="674"/>
        <v>0</v>
      </c>
      <c r="HU89" s="59">
        <f t="shared" si="675"/>
        <v>0</v>
      </c>
      <c r="HV89" s="59">
        <f t="shared" si="676"/>
        <v>0</v>
      </c>
      <c r="HW89" s="58">
        <f t="shared" si="864"/>
        <v>0</v>
      </c>
      <c r="HX89" s="45">
        <f t="shared" si="865"/>
        <v>50</v>
      </c>
      <c r="HY89" s="45">
        <f t="shared" si="677"/>
        <v>2.6839999999999997</v>
      </c>
      <c r="HZ89" s="45">
        <f t="shared" si="866"/>
        <v>1</v>
      </c>
      <c r="IA89" s="45">
        <f t="shared" si="867"/>
        <v>2</v>
      </c>
      <c r="IB89" s="45">
        <f t="shared" si="868"/>
        <v>0</v>
      </c>
      <c r="IC89" s="46" cm="1">
        <f t="array" ref="IC89">ROUND(IFERROR(INDEX(ArchiveResults!$F$5:$IX$116,ComparisonData!A89,ComparisonData!$IC$1),0),5)</f>
        <v>0</v>
      </c>
      <c r="ID89" s="46" cm="1">
        <f t="array" ref="ID89">ROUND(IFERROR(INDEX(ArchiveResults!$F$5:$IX$116,ComparisonData!A89,ComparisonData!$ID$1),0),5)</f>
        <v>0</v>
      </c>
      <c r="IE89" s="46" cm="1">
        <f t="array" ref="IE89">ROUND(IFERROR(INDEX(ArchiveResults!$F$5:$IX$116,ComparisonData!A89,ComparisonData!$IE$1),0),5)</f>
        <v>0</v>
      </c>
      <c r="IF89" s="46" cm="1">
        <f t="array" ref="IF89">ROUND(IFERROR(INDEX(ArchiveResults!$F$5:$IX$116,ComparisonData!A89,ComparisonData!$IF$1),0),5)</f>
        <v>0</v>
      </c>
      <c r="IG89" s="45" cm="1">
        <f t="array" ref="IG89">IFERROR(INDEX(ArchiveResults!$F$5:$IX$116,ComparisonData!A89,ComparisonData!$IG$1),0)</f>
        <v>0</v>
      </c>
      <c r="IH89" s="56">
        <v>84</v>
      </c>
      <c r="II89" s="53" t="str">
        <f t="shared" si="678"/>
        <v>The Paul Mellon Centre</v>
      </c>
      <c r="IJ89" s="59">
        <f t="shared" si="869"/>
        <v>0</v>
      </c>
      <c r="IK89" s="59">
        <f t="shared" si="870"/>
        <v>0</v>
      </c>
      <c r="IL89" s="59">
        <f t="shared" si="871"/>
        <v>0</v>
      </c>
      <c r="IM89" s="59">
        <f t="shared" si="872"/>
        <v>0</v>
      </c>
      <c r="IN89" s="59">
        <f t="shared" si="873"/>
        <v>0</v>
      </c>
      <c r="IO89" s="58">
        <f t="shared" si="874"/>
        <v>0</v>
      </c>
      <c r="IP89" s="45">
        <f t="shared" si="875"/>
        <v>50</v>
      </c>
      <c r="IQ89" s="45">
        <f t="shared" si="679"/>
        <v>2.6839999999999997</v>
      </c>
      <c r="IR89" s="45">
        <f t="shared" si="876"/>
        <v>1</v>
      </c>
      <c r="IS89" s="45">
        <f t="shared" si="877"/>
        <v>2</v>
      </c>
      <c r="IT89" s="46">
        <f t="shared" si="878"/>
        <v>0</v>
      </c>
      <c r="IU89" s="46" cm="1">
        <f t="array" ref="IU89">ROUND(IFERROR(INDEX(ArchiveResults!$F$5:$IX$116,ComparisonData!A89,ComparisonData!$IU$1),0),5)</f>
        <v>0</v>
      </c>
      <c r="IV89" s="46" cm="1">
        <f t="array" ref="IV89">ROUND(IFERROR(INDEX(ArchiveResults!$F$5:$IX$116,ComparisonData!A89,ComparisonData!$IV$1),0),5)</f>
        <v>0</v>
      </c>
      <c r="IW89" s="46" cm="1">
        <f t="array" ref="IW89">ROUND(IFERROR(INDEX(ArchiveResults!$F$5:$IX$116,ComparisonData!A89,ComparisonData!$IW$1),0),5)</f>
        <v>0</v>
      </c>
      <c r="IX89" s="46" cm="1">
        <f t="array" ref="IX89">ROUND(IFERROR(INDEX(ArchiveResults!$F$5:$IX$116,ComparisonData!A89,ComparisonData!$IX$1),0),5)</f>
        <v>0</v>
      </c>
      <c r="IY89" s="45" cm="1">
        <f t="array" ref="IY89">IFERROR(INDEX(ArchiveResults!$F$5:$IX$116,ComparisonData!A89,ComparisonData!$IY$1),0)</f>
        <v>0</v>
      </c>
      <c r="IZ89" s="56">
        <v>84</v>
      </c>
      <c r="JA89" s="53" t="str">
        <f t="shared" si="680"/>
        <v>The Paul Mellon Centre</v>
      </c>
      <c r="JB89" s="59">
        <f t="shared" si="879"/>
        <v>0</v>
      </c>
      <c r="JC89" s="59">
        <f t="shared" si="880"/>
        <v>0</v>
      </c>
      <c r="JD89" s="59">
        <f t="shared" si="881"/>
        <v>0</v>
      </c>
      <c r="JE89" s="59">
        <f t="shared" si="882"/>
        <v>0</v>
      </c>
      <c r="JF89" s="59">
        <f t="shared" si="883"/>
        <v>0</v>
      </c>
      <c r="JG89" s="58">
        <f t="shared" si="884"/>
        <v>0</v>
      </c>
      <c r="JH89" s="45">
        <f t="shared" si="885"/>
        <v>50</v>
      </c>
      <c r="JI89" s="45">
        <f t="shared" si="681"/>
        <v>2.6839999999999997</v>
      </c>
      <c r="JJ89" s="45">
        <f t="shared" si="886"/>
        <v>1</v>
      </c>
      <c r="JK89" s="45">
        <f t="shared" si="887"/>
        <v>2</v>
      </c>
      <c r="JL89" s="45">
        <f t="shared" si="888"/>
        <v>0</v>
      </c>
      <c r="JM89" s="46" cm="1">
        <f t="array" ref="JM89">ROUND(IFERROR(INDEX(ArchiveResults!$F$5:$IX$116,ComparisonData!A89,ComparisonData!$JM$1),0),5)</f>
        <v>0</v>
      </c>
      <c r="JN89" s="46" cm="1">
        <f t="array" ref="JN89">ROUND(IFERROR(INDEX(ArchiveResults!$F$5:$IX$116,ComparisonData!A89,ComparisonData!$JN$1),0),5)</f>
        <v>0</v>
      </c>
      <c r="JO89" s="46" cm="1">
        <f t="array" ref="JO89">ROUND(IFERROR(INDEX(ArchiveResults!$F$5:$IX$116,ComparisonData!A89,ComparisonData!$JO$1),0),5)</f>
        <v>0</v>
      </c>
      <c r="JP89" s="46" cm="1">
        <f t="array" ref="JP89">ROUND(IFERROR(INDEX(ArchiveResults!$F$5:$IX$116,ComparisonData!A89,ComparisonData!$JP$1),0),5)</f>
        <v>0</v>
      </c>
      <c r="JQ89" s="45" cm="1">
        <f t="array" ref="JQ89">IFERROR(INDEX(ArchiveResults!$F$5:$IX$116,ComparisonData!A89,ComparisonData!$JQ$1),0)</f>
        <v>0</v>
      </c>
      <c r="JR89" s="56">
        <v>84</v>
      </c>
      <c r="JS89" s="53" t="str">
        <f t="shared" si="682"/>
        <v>The Paul Mellon Centre</v>
      </c>
      <c r="JT89" s="59">
        <f t="shared" si="889"/>
        <v>0</v>
      </c>
      <c r="JU89" s="59">
        <f t="shared" si="890"/>
        <v>0</v>
      </c>
      <c r="JV89" s="59">
        <f t="shared" si="891"/>
        <v>0</v>
      </c>
      <c r="JW89" s="59">
        <f t="shared" si="892"/>
        <v>0</v>
      </c>
      <c r="JX89" s="59">
        <f t="shared" si="893"/>
        <v>0</v>
      </c>
      <c r="JY89" s="58">
        <f t="shared" si="894"/>
        <v>0</v>
      </c>
      <c r="JZ89" s="45">
        <f t="shared" si="895"/>
        <v>50</v>
      </c>
      <c r="KA89" s="45">
        <f t="shared" si="683"/>
        <v>2.6839999999999997</v>
      </c>
      <c r="KB89" s="45">
        <f t="shared" si="896"/>
        <v>1</v>
      </c>
      <c r="KC89" s="45">
        <f t="shared" si="897"/>
        <v>2</v>
      </c>
      <c r="KD89" s="45">
        <f t="shared" si="898"/>
        <v>0</v>
      </c>
      <c r="KE89" s="46" cm="1">
        <f t="array" ref="KE89">ROUND(IFERROR(INDEX(ArchiveResults!$F$5:$IX$116,ComparisonData!A89,ComparisonData!$KE$1),0),5)</f>
        <v>0</v>
      </c>
      <c r="KF89" s="46" cm="1">
        <f t="array" ref="KF89">ROUND(IFERROR(INDEX(ArchiveResults!$F$5:$IX$116,ComparisonData!A89,ComparisonData!$KF$1),0),5)</f>
        <v>0</v>
      </c>
      <c r="KG89" s="46" cm="1">
        <f t="array" ref="KG89">ROUND(IFERROR(INDEX(ArchiveResults!$F$5:$IX$116,ComparisonData!A89,ComparisonData!$KG$1),0),5)</f>
        <v>0</v>
      </c>
      <c r="KH89" s="46" cm="1">
        <f t="array" ref="KH89">ROUND(IFERROR(INDEX(ArchiveResults!$F$5:$IX$116,ComparisonData!A89,ComparisonData!$KH$1),0),5)</f>
        <v>0</v>
      </c>
      <c r="KI89" s="45" cm="1">
        <f t="array" ref="KI89">IFERROR(INDEX(ArchiveResults!$F$5:$IX$116,ComparisonData!A89,ComparisonData!$KI$1),0)</f>
        <v>0</v>
      </c>
      <c r="KJ89" s="56">
        <v>84</v>
      </c>
      <c r="KK89" s="53" t="str">
        <f t="shared" si="684"/>
        <v>The Paul Mellon Centre</v>
      </c>
      <c r="KL89" s="59">
        <f t="shared" si="899"/>
        <v>0</v>
      </c>
      <c r="KM89" s="59">
        <f t="shared" si="900"/>
        <v>0</v>
      </c>
      <c r="KN89" s="59">
        <f t="shared" si="901"/>
        <v>0</v>
      </c>
      <c r="KO89" s="59">
        <f t="shared" si="902"/>
        <v>0</v>
      </c>
      <c r="KP89" s="59">
        <f t="shared" si="903"/>
        <v>0</v>
      </c>
      <c r="KQ89" s="58">
        <f t="shared" si="904"/>
        <v>0</v>
      </c>
      <c r="KR89" s="45">
        <f t="shared" si="905"/>
        <v>50</v>
      </c>
      <c r="KS89" s="45">
        <f t="shared" si="685"/>
        <v>2.6839999999999997</v>
      </c>
      <c r="KT89" s="45">
        <f t="shared" si="906"/>
        <v>1</v>
      </c>
      <c r="KU89" s="45">
        <f t="shared" si="907"/>
        <v>2</v>
      </c>
      <c r="KV89" s="45">
        <f t="shared" si="908"/>
        <v>0</v>
      </c>
      <c r="KW89" s="46" cm="1">
        <f t="array" ref="KW89">ROUND(IFERROR(INDEX(ArchiveResults!$F$5:$IX$116,ComparisonData!A89,ComparisonData!$KW$1),0),5)</f>
        <v>0</v>
      </c>
      <c r="KX89" s="46" cm="1">
        <f t="array" ref="KX89">ROUND(IFERROR(INDEX(ArchiveResults!$F$5:$IX$116,ComparisonData!A89,ComparisonData!$KX$1),0),5)</f>
        <v>0</v>
      </c>
      <c r="KY89" s="46" cm="1">
        <f t="array" ref="KY89">ROUND(IFERROR(INDEX(ArchiveResults!$F$5:$IX$116,ComparisonData!A89,ComparisonData!$KY$1),0),5)</f>
        <v>0</v>
      </c>
      <c r="KZ89" s="46" cm="1">
        <f t="array" ref="KZ89">ROUND(IFERROR(INDEX(ArchiveResults!$F$5:$IX$116,ComparisonData!A89,ComparisonData!$KZ$1),0),5)</f>
        <v>0</v>
      </c>
      <c r="LA89" s="45" cm="1">
        <f t="array" ref="LA89">IFERROR(INDEX(ArchiveResults!$F$5:$IX$116,ComparisonData!A89,ComparisonData!$LA$1),0)</f>
        <v>0</v>
      </c>
      <c r="LB89" s="56">
        <v>84</v>
      </c>
      <c r="LC89" s="53" t="str">
        <f t="shared" si="686"/>
        <v>The Paul Mellon Centre</v>
      </c>
      <c r="LD89" s="59">
        <f t="shared" si="909"/>
        <v>0</v>
      </c>
      <c r="LE89" s="59">
        <f t="shared" si="910"/>
        <v>0</v>
      </c>
      <c r="LF89" s="59">
        <f t="shared" si="911"/>
        <v>0</v>
      </c>
      <c r="LG89" s="59">
        <f t="shared" si="912"/>
        <v>0</v>
      </c>
      <c r="LH89" s="59">
        <f t="shared" si="913"/>
        <v>0</v>
      </c>
      <c r="LI89" s="58">
        <f t="shared" si="914"/>
        <v>0</v>
      </c>
      <c r="LJ89" s="45">
        <f t="shared" si="915"/>
        <v>50</v>
      </c>
      <c r="LK89" s="45">
        <f t="shared" si="687"/>
        <v>2.6839999999999997</v>
      </c>
      <c r="LL89" s="45">
        <f t="shared" si="916"/>
        <v>1</v>
      </c>
      <c r="LM89" s="45">
        <f t="shared" si="917"/>
        <v>2</v>
      </c>
      <c r="LN89" s="45">
        <f t="shared" si="918"/>
        <v>0</v>
      </c>
      <c r="LO89" s="46" cm="1">
        <f t="array" ref="LO89">ROUND(IFERROR(INDEX(ArchiveResults!$F$5:$IX$116,ComparisonData!A89,ComparisonData!$LO$1),0),5)</f>
        <v>0</v>
      </c>
      <c r="LP89" s="46" cm="1">
        <f t="array" ref="LP89">ROUND(IFERROR(INDEX(ArchiveResults!$F$5:$IX$116,ComparisonData!A89,ComparisonData!$LP$1),0),5)</f>
        <v>0</v>
      </c>
      <c r="LQ89" s="46" cm="1">
        <f t="array" ref="LQ89">ROUND(IFERROR(INDEX(ArchiveResults!$F$5:$IX$116,ComparisonData!A89,ComparisonData!$LQ$1),0),5)</f>
        <v>0</v>
      </c>
      <c r="LR89" s="46" cm="1">
        <f t="array" ref="LR89">ROUND(IFERROR(INDEX(ArchiveResults!$F$5:$IX$116,ComparisonData!A89,ComparisonData!$LR$1),0),5)</f>
        <v>0</v>
      </c>
      <c r="LS89" s="45" cm="1">
        <f t="array" ref="LS89">IFERROR(INDEX(ArchiveResults!$F$5:$IX$116,ComparisonData!A89,ComparisonData!$LS$1),0)</f>
        <v>0</v>
      </c>
      <c r="LT89" s="56">
        <v>84</v>
      </c>
      <c r="LU89" s="53" t="str">
        <f t="shared" si="688"/>
        <v>The Paul Mellon Centre</v>
      </c>
      <c r="LV89" s="59">
        <f t="shared" si="919"/>
        <v>0</v>
      </c>
      <c r="LW89" s="59">
        <f t="shared" si="920"/>
        <v>0</v>
      </c>
      <c r="LX89" s="59">
        <f t="shared" si="921"/>
        <v>0</v>
      </c>
      <c r="LY89" s="59">
        <f t="shared" si="922"/>
        <v>0</v>
      </c>
      <c r="LZ89" s="59">
        <f t="shared" si="923"/>
        <v>0</v>
      </c>
      <c r="MA89" s="58">
        <f t="shared" si="924"/>
        <v>0</v>
      </c>
      <c r="MB89" s="45">
        <f t="shared" si="925"/>
        <v>50</v>
      </c>
      <c r="MC89" s="45">
        <f t="shared" si="689"/>
        <v>2.6839999999999997</v>
      </c>
      <c r="MD89" s="45">
        <f t="shared" si="926"/>
        <v>1</v>
      </c>
      <c r="ME89" s="45">
        <f t="shared" si="927"/>
        <v>2</v>
      </c>
      <c r="MF89" s="45">
        <f t="shared" si="928"/>
        <v>0</v>
      </c>
      <c r="MG89" s="46" cm="1">
        <f t="array" ref="MG89">ROUND(IFERROR(INDEX(ArchiveResults!$F$5:$IX$116,ComparisonData!A89,ComparisonData!$MG$1),0),5)</f>
        <v>0</v>
      </c>
      <c r="MH89" s="46" cm="1">
        <f t="array" ref="MH89">ROUND(IFERROR(INDEX(ArchiveResults!$F$5:$IX$116,ComparisonData!A89,ComparisonData!$MH$1),0),5)</f>
        <v>0</v>
      </c>
      <c r="MI89" s="46" cm="1">
        <f t="array" ref="MI89">ROUND(IFERROR(INDEX(ArchiveResults!$F$5:$IX$116,ComparisonData!A89,ComparisonData!$MI$1),0),5)</f>
        <v>0</v>
      </c>
      <c r="MJ89" s="46" cm="1">
        <f t="array" ref="MJ89">ROUND(IFERROR(INDEX(ArchiveResults!$F$5:$IX$116,ComparisonData!A89,ComparisonData!$MJ$1),0),5)</f>
        <v>0</v>
      </c>
      <c r="MK89" s="45" cm="1">
        <f t="array" ref="MK89">IFERROR(INDEX(ArchiveResults!$F$5:$IX$116,ComparisonData!A89,ComparisonData!$MK$1),0)</f>
        <v>0</v>
      </c>
      <c r="ML89" s="56">
        <v>84</v>
      </c>
      <c r="MM89" s="53" t="str">
        <f t="shared" si="690"/>
        <v>The Paul Mellon Centre</v>
      </c>
      <c r="MN89" s="59">
        <f t="shared" si="929"/>
        <v>0</v>
      </c>
      <c r="MO89" s="59">
        <f t="shared" si="930"/>
        <v>0</v>
      </c>
      <c r="MP89" s="59">
        <f t="shared" si="931"/>
        <v>0</v>
      </c>
      <c r="MQ89" s="59">
        <f t="shared" si="932"/>
        <v>0</v>
      </c>
      <c r="MR89" s="59">
        <f t="shared" si="933"/>
        <v>0</v>
      </c>
      <c r="MS89" s="58">
        <f t="shared" si="934"/>
        <v>0</v>
      </c>
      <c r="MT89" s="45">
        <f t="shared" si="935"/>
        <v>50</v>
      </c>
      <c r="MU89" s="45">
        <f t="shared" si="691"/>
        <v>2.6839999999999997</v>
      </c>
      <c r="MV89" s="45">
        <f t="shared" si="936"/>
        <v>1</v>
      </c>
      <c r="MW89" s="45">
        <f t="shared" si="937"/>
        <v>2</v>
      </c>
      <c r="MX89" s="45">
        <f t="shared" si="938"/>
        <v>0</v>
      </c>
      <c r="MY89" s="46" cm="1">
        <f t="array" ref="MY89">ROUND(IFERROR(INDEX(ArchiveResults!$F$5:$IX$116,ComparisonData!A89,ComparisonData!$MY$1),0),5)</f>
        <v>0</v>
      </c>
      <c r="MZ89" s="46" cm="1">
        <f t="array" ref="MZ89">ROUND(IFERROR(INDEX(ArchiveResults!$F$5:$IX$116,ComparisonData!A89,ComparisonData!$MZ$1),0),5)</f>
        <v>0</v>
      </c>
      <c r="NA89" s="46" cm="1">
        <f t="array" ref="NA89">ROUND(IFERROR(INDEX(ArchiveResults!$F$5:$IX$116,ComparisonData!A89,ComparisonData!$NA$1),0),5)</f>
        <v>0</v>
      </c>
      <c r="NB89" s="46" cm="1">
        <f t="array" ref="NB89">ROUND(IFERROR(INDEX(ArchiveResults!$F$5:$IX$116,ComparisonData!A89,ComparisonData!$NB$1),0),5)</f>
        <v>0</v>
      </c>
      <c r="NC89" s="45" cm="1">
        <f t="array" ref="NC89">IFERROR(INDEX(ArchiveResults!$F$5:$IX$116,ComparisonData!A89,ComparisonData!$NC$1),0)</f>
        <v>0</v>
      </c>
      <c r="ND89" s="56">
        <v>84</v>
      </c>
      <c r="NE89" s="53" t="str">
        <f t="shared" si="692"/>
        <v>The Paul Mellon Centre</v>
      </c>
      <c r="NF89" s="59">
        <f t="shared" si="939"/>
        <v>0</v>
      </c>
      <c r="NG89" s="59">
        <f t="shared" si="940"/>
        <v>0</v>
      </c>
      <c r="NH89" s="59">
        <f t="shared" si="941"/>
        <v>0</v>
      </c>
      <c r="NI89" s="59">
        <f t="shared" si="942"/>
        <v>0</v>
      </c>
      <c r="NJ89" s="59">
        <f t="shared" si="943"/>
        <v>0</v>
      </c>
      <c r="NK89" s="58">
        <f t="shared" si="944"/>
        <v>0</v>
      </c>
      <c r="NL89" s="45">
        <f t="shared" si="945"/>
        <v>50</v>
      </c>
      <c r="NM89" s="45">
        <f t="shared" si="693"/>
        <v>2.6839999999999997</v>
      </c>
      <c r="NN89" s="45">
        <f t="shared" si="946"/>
        <v>1</v>
      </c>
      <c r="NO89" s="45">
        <f t="shared" si="947"/>
        <v>2</v>
      </c>
      <c r="NP89" s="46" cm="1">
        <f t="array" ref="NP89">ROUND(IFERROR(INDEX(ArchiveResults!$F$5:$IX$116,ComparisonData!A89,ComparisonData!$NP$1),0),5)</f>
        <v>0</v>
      </c>
      <c r="NQ89" s="46" cm="1">
        <f t="array" ref="NQ89">ROUND(IFERROR(INDEX(ArchiveResults!$F$5:$IX$116,ComparisonData!A89,ComparisonData!$NQ$1),0),5)</f>
        <v>0</v>
      </c>
      <c r="NR89" s="46" cm="1">
        <f t="array" ref="NR89">ROUND(IFERROR(INDEX(ArchiveResults!$F$5:$IX$116,ComparisonData!A89,ComparisonData!$NR$1),0),5)</f>
        <v>0</v>
      </c>
      <c r="NS89" s="46" cm="1">
        <f t="array" ref="NS89">ROUND(IFERROR(INDEX(ArchiveResults!$F$5:$IX$116,ComparisonData!A89,ComparisonData!$NS$1),0),5)</f>
        <v>0</v>
      </c>
      <c r="NT89" s="45" cm="1">
        <f t="array" ref="NT89">IFERROR(INDEX(ArchiveResults!$F$5:$IX$116,ComparisonData!A89,ComparisonData!$NT$1),0)</f>
        <v>0</v>
      </c>
      <c r="NU89" s="56">
        <v>84</v>
      </c>
      <c r="NV89" s="53" t="str">
        <f t="shared" si="694"/>
        <v>The Paul Mellon Centre</v>
      </c>
      <c r="NW89" s="59">
        <f t="shared" si="948"/>
        <v>0</v>
      </c>
      <c r="NX89" s="59">
        <f t="shared" si="949"/>
        <v>0</v>
      </c>
      <c r="NY89" s="59">
        <f t="shared" si="950"/>
        <v>0</v>
      </c>
      <c r="NZ89" s="59">
        <f t="shared" si="951"/>
        <v>0</v>
      </c>
      <c r="OA89" s="59">
        <f t="shared" si="952"/>
        <v>0</v>
      </c>
      <c r="OB89" s="58">
        <f t="shared" si="953"/>
        <v>0</v>
      </c>
      <c r="OC89" s="45">
        <f t="shared" si="954"/>
        <v>50</v>
      </c>
      <c r="OD89" s="45">
        <f t="shared" si="695"/>
        <v>2.6839999999999997</v>
      </c>
      <c r="OE89" s="45">
        <f t="shared" si="955"/>
        <v>1</v>
      </c>
      <c r="OF89" s="45">
        <f t="shared" si="956"/>
        <v>2</v>
      </c>
      <c r="OG89" s="46">
        <f t="shared" si="957"/>
        <v>0</v>
      </c>
      <c r="OH89" s="46" cm="1">
        <f t="array" ref="OH89">ROUND(IFERROR(INDEX(ArchiveResults!$F$5:$IX$116,ComparisonData!A89,ComparisonData!$OH$1),0),5)</f>
        <v>0</v>
      </c>
      <c r="OI89" s="46" cm="1">
        <f t="array" ref="OI89">ROUND(IFERROR(INDEX(ArchiveResults!$F$5:$IX$116,ComparisonData!A89,ComparisonData!$OI$1),0),5)</f>
        <v>0</v>
      </c>
      <c r="OJ89" s="46" cm="1">
        <f t="array" ref="OJ89">ROUND(IFERROR(INDEX(ArchiveResults!$F$5:$IX$116,ComparisonData!A89,ComparisonData!$OJ$1),0),5)</f>
        <v>0</v>
      </c>
      <c r="OK89" s="46" cm="1">
        <f t="array" ref="OK89">ROUND(IFERROR(INDEX(ArchiveResults!$F$5:$IX$116,ComparisonData!A89,ComparisonData!$OK$1),0),5)</f>
        <v>0</v>
      </c>
      <c r="OL89" s="45" cm="1">
        <f t="array" ref="OL89">IFERROR(INDEX(ArchiveResults!$F$5:$IX$116,ComparisonData!A89,ComparisonData!$OL$1),0)</f>
        <v>0</v>
      </c>
      <c r="OM89" s="56">
        <v>84</v>
      </c>
      <c r="ON89" s="53" t="str">
        <f t="shared" si="696"/>
        <v>The Paul Mellon Centre</v>
      </c>
      <c r="OO89" s="59">
        <f t="shared" si="958"/>
        <v>0</v>
      </c>
      <c r="OP89" s="59">
        <f t="shared" si="959"/>
        <v>0</v>
      </c>
      <c r="OQ89" s="59">
        <f t="shared" si="960"/>
        <v>0</v>
      </c>
      <c r="OR89" s="59">
        <f t="shared" si="961"/>
        <v>0</v>
      </c>
      <c r="OS89" s="59">
        <f t="shared" si="962"/>
        <v>0</v>
      </c>
      <c r="OT89" s="58">
        <f t="shared" si="963"/>
        <v>0</v>
      </c>
      <c r="OU89" s="45">
        <f t="shared" si="964"/>
        <v>50</v>
      </c>
      <c r="OV89" s="45">
        <f t="shared" si="697"/>
        <v>2.6839999999999997</v>
      </c>
      <c r="OW89" s="45">
        <f t="shared" si="965"/>
        <v>1</v>
      </c>
      <c r="OX89" s="45">
        <f t="shared" si="966"/>
        <v>2</v>
      </c>
      <c r="OY89" s="45">
        <f t="shared" si="967"/>
        <v>0</v>
      </c>
      <c r="OZ89" s="46" cm="1">
        <f t="array" ref="OZ89">ROUND(IFERROR(INDEX(ArchiveResults!$F$5:$IX$116,ComparisonData!A89,ComparisonData!$OZ$1),0),5)</f>
        <v>0</v>
      </c>
      <c r="PA89" s="46" cm="1">
        <f t="array" ref="PA89">ROUND(IFERROR(INDEX(ArchiveResults!$F$5:$IX$116,ComparisonData!A89,ComparisonData!$PA$1),0),5)</f>
        <v>0</v>
      </c>
      <c r="PB89" s="46" cm="1">
        <f t="array" ref="PB89">ROUND(IFERROR(INDEX(ArchiveResults!$F$5:$IX$116,ComparisonData!A89,ComparisonData!$PB$1),0),5)</f>
        <v>0</v>
      </c>
      <c r="PC89" s="46" cm="1">
        <f t="array" ref="PC89">ROUND(IFERROR(INDEX(ArchiveResults!$F$5:$IX$116,ComparisonData!A89,ComparisonData!$PC$1),0),5)</f>
        <v>0</v>
      </c>
      <c r="PD89" s="45" cm="1">
        <f t="array" ref="PD89">IFERROR(INDEX(ArchiveResults!$F$5:$IX$116,ComparisonData!A89,ComparisonData!$PD$1),0)</f>
        <v>0</v>
      </c>
      <c r="PE89" s="56">
        <v>84</v>
      </c>
      <c r="PF89" s="53" t="str">
        <f t="shared" si="698"/>
        <v>The Paul Mellon Centre</v>
      </c>
      <c r="PG89" s="59">
        <f t="shared" si="968"/>
        <v>0</v>
      </c>
      <c r="PH89" s="59">
        <f t="shared" si="969"/>
        <v>0</v>
      </c>
      <c r="PI89" s="59">
        <f t="shared" si="970"/>
        <v>0</v>
      </c>
      <c r="PJ89" s="59">
        <f t="shared" si="971"/>
        <v>0</v>
      </c>
      <c r="PK89" s="59">
        <f t="shared" si="972"/>
        <v>0</v>
      </c>
      <c r="PL89" s="58">
        <f t="shared" si="973"/>
        <v>0</v>
      </c>
      <c r="PM89" s="45">
        <f t="shared" si="974"/>
        <v>50</v>
      </c>
      <c r="PN89" s="45">
        <f t="shared" si="699"/>
        <v>2.6839999999999997</v>
      </c>
      <c r="PO89" s="45">
        <f t="shared" si="975"/>
        <v>1</v>
      </c>
      <c r="PP89" s="45">
        <f t="shared" si="976"/>
        <v>2</v>
      </c>
      <c r="PQ89" s="45">
        <f t="shared" si="977"/>
        <v>0</v>
      </c>
      <c r="PR89" s="46" cm="1">
        <f t="array" ref="PR89">ROUND(IFERROR(INDEX(ArchiveResults!$F$5:$IX$116,ComparisonData!A89,ComparisonData!$PR$1),0),5)</f>
        <v>0</v>
      </c>
      <c r="PS89" s="46" cm="1">
        <f t="array" ref="PS89">ROUND(IFERROR(INDEX(ArchiveResults!$F$5:$IX$116,ComparisonData!A89,ComparisonData!$PS$1),0),5)</f>
        <v>0</v>
      </c>
      <c r="PT89" s="46" cm="1">
        <f t="array" ref="PT89">ROUND(IFERROR(INDEX(ArchiveResults!$F$5:$IX$116,ComparisonData!A89,ComparisonData!$PT$1),0),5)</f>
        <v>0</v>
      </c>
      <c r="PU89" s="46" cm="1">
        <f t="array" ref="PU89">ROUND(IFERROR(INDEX(ArchiveResults!$F$5:$IX$116,ComparisonData!A89,ComparisonData!$PU$1),0),5)</f>
        <v>0</v>
      </c>
      <c r="PV89" s="45" cm="1">
        <f t="array" ref="PV89">IFERROR(INDEX(ArchiveResults!$F$5:$IX$116,ComparisonData!A89,ComparisonData!$PV$1),0)</f>
        <v>0</v>
      </c>
      <c r="PW89" s="56">
        <v>84</v>
      </c>
      <c r="PX89" s="53" t="str">
        <f t="shared" si="700"/>
        <v>The Paul Mellon Centre</v>
      </c>
      <c r="PY89" s="59">
        <f t="shared" si="978"/>
        <v>0</v>
      </c>
      <c r="PZ89" s="59">
        <f t="shared" si="979"/>
        <v>0</v>
      </c>
      <c r="QA89" s="59">
        <f t="shared" si="980"/>
        <v>0</v>
      </c>
      <c r="QB89" s="59">
        <f t="shared" si="981"/>
        <v>0</v>
      </c>
      <c r="QC89" s="59">
        <f t="shared" si="982"/>
        <v>0</v>
      </c>
      <c r="QD89" s="58">
        <f t="shared" si="983"/>
        <v>0</v>
      </c>
      <c r="QE89" s="45">
        <f t="shared" si="984"/>
        <v>50</v>
      </c>
      <c r="QF89" s="45">
        <f t="shared" si="701"/>
        <v>2.6839999999999997</v>
      </c>
      <c r="QG89" s="45">
        <f t="shared" si="985"/>
        <v>1</v>
      </c>
      <c r="QH89" s="45">
        <f t="shared" si="986"/>
        <v>2</v>
      </c>
      <c r="QI89" s="45">
        <f t="shared" si="987"/>
        <v>0</v>
      </c>
      <c r="QJ89" s="46" cm="1">
        <f t="array" ref="QJ89">ROUND(IFERROR(INDEX(ArchiveResults!$F$5:$IX$116,ComparisonData!A89,ComparisonData!$QJ$1),0),5)</f>
        <v>0</v>
      </c>
      <c r="QK89" s="46" cm="1">
        <f t="array" ref="QK89">ROUND(IFERROR(INDEX(ArchiveResults!$F$5:$IX$116,ComparisonData!A89,ComparisonData!$QK$1),0),5)</f>
        <v>0</v>
      </c>
      <c r="QL89" s="46" cm="1">
        <f t="array" ref="QL89">ROUND(IFERROR(INDEX(ArchiveResults!$F$5:$IX$116,ComparisonData!A89,ComparisonData!$QL$1),0),5)</f>
        <v>0</v>
      </c>
      <c r="QM89" s="46" cm="1">
        <f t="array" ref="QM89">ROUND(IFERROR(INDEX(ArchiveResults!$F$5:$IX$116,ComparisonData!A89,ComparisonData!$QM$1),0),5)</f>
        <v>0</v>
      </c>
      <c r="QN89" s="45" cm="1">
        <f t="array" ref="QN89">IFERROR(INDEX(ArchiveResults!$F$5:$IX$116,ComparisonData!A89,ComparisonData!$QN$1),0)</f>
        <v>0</v>
      </c>
      <c r="QO89" s="56">
        <v>84</v>
      </c>
      <c r="QP89" s="53" t="str">
        <f t="shared" si="702"/>
        <v>The Paul Mellon Centre</v>
      </c>
      <c r="QQ89" s="59">
        <f t="shared" si="988"/>
        <v>0</v>
      </c>
      <c r="QR89" s="59">
        <f t="shared" si="989"/>
        <v>0</v>
      </c>
      <c r="QS89" s="59">
        <f t="shared" si="990"/>
        <v>0</v>
      </c>
      <c r="QT89" s="59">
        <f t="shared" si="991"/>
        <v>0</v>
      </c>
      <c r="QU89" s="59">
        <f t="shared" si="992"/>
        <v>0</v>
      </c>
      <c r="QV89" s="58">
        <f t="shared" si="993"/>
        <v>0</v>
      </c>
      <c r="QW89" s="45">
        <f t="shared" si="994"/>
        <v>50</v>
      </c>
      <c r="QX89" s="45">
        <f t="shared" si="703"/>
        <v>2.6839999999999997</v>
      </c>
      <c r="QY89" s="45">
        <f t="shared" si="995"/>
        <v>1</v>
      </c>
      <c r="QZ89" s="45">
        <f t="shared" si="996"/>
        <v>2</v>
      </c>
      <c r="RA89" s="45">
        <f t="shared" si="997"/>
        <v>0</v>
      </c>
      <c r="RB89" s="46" cm="1">
        <f t="array" ref="RB89">ROUND(IFERROR(INDEX(ArchiveResults!$F$5:$IX$116,ComparisonData!A89,ComparisonData!$RB$1),0),5)</f>
        <v>0</v>
      </c>
      <c r="RC89" s="46" cm="1">
        <f t="array" ref="RC89">ROUND(IFERROR(INDEX(ArchiveResults!$F$5:$IX$116,ComparisonData!A89,ComparisonData!$RC$1),0),5)</f>
        <v>0</v>
      </c>
      <c r="RD89" s="46" cm="1">
        <f t="array" ref="RD89">ROUND(IFERROR(INDEX(ArchiveResults!$F$5:$IX$116,ComparisonData!A89,ComparisonData!$RD$1),0),5)</f>
        <v>0</v>
      </c>
      <c r="RE89" s="46" cm="1">
        <f t="array" ref="RE89">ROUND(IFERROR(INDEX(ArchiveResults!$F$5:$IX$116,ComparisonData!A89,ComparisonData!$RE$1),0),5)</f>
        <v>0</v>
      </c>
      <c r="RF89" s="45" cm="1">
        <f t="array" ref="RF89">IFERROR(INDEX(ArchiveResults!$F$5:$IX$116,ComparisonData!A89,ComparisonData!$RF$1),0)</f>
        <v>0</v>
      </c>
      <c r="RG89" s="56">
        <v>84</v>
      </c>
      <c r="RH89" s="53" t="str">
        <f t="shared" si="704"/>
        <v>The Paul Mellon Centre</v>
      </c>
      <c r="RI89" s="59">
        <f t="shared" si="998"/>
        <v>0</v>
      </c>
      <c r="RJ89" s="59">
        <f t="shared" si="999"/>
        <v>0</v>
      </c>
      <c r="RK89" s="59">
        <f t="shared" si="1000"/>
        <v>0</v>
      </c>
      <c r="RL89" s="59">
        <f t="shared" si="1001"/>
        <v>0</v>
      </c>
      <c r="RM89" s="59">
        <f t="shared" si="1002"/>
        <v>0</v>
      </c>
      <c r="RN89" s="58">
        <f t="shared" si="1003"/>
        <v>0</v>
      </c>
      <c r="RO89" s="45">
        <f t="shared" si="1004"/>
        <v>50</v>
      </c>
      <c r="RP89" s="45">
        <f t="shared" si="705"/>
        <v>2.6839999999999997</v>
      </c>
      <c r="RQ89" s="45">
        <f t="shared" si="1005"/>
        <v>1</v>
      </c>
      <c r="RR89" s="45">
        <f t="shared" si="1006"/>
        <v>2</v>
      </c>
      <c r="RS89" s="45">
        <f t="shared" si="1007"/>
        <v>0</v>
      </c>
      <c r="RT89" s="46" cm="1">
        <f t="array" ref="RT89">ROUND(IFERROR(INDEX(ArchiveResults!$F$5:$IX$116,ComparisonData!A89,ComparisonData!$RT$1),0),5)</f>
        <v>0</v>
      </c>
      <c r="RU89" s="46" cm="1">
        <f t="array" ref="RU89">ROUND(IFERROR(INDEX(ArchiveResults!$F$5:$IX$116,ComparisonData!A89,ComparisonData!$RU$1),0),5)</f>
        <v>0</v>
      </c>
      <c r="RV89" s="46" cm="1">
        <f t="array" ref="RV89">ROUND(IFERROR(INDEX(ArchiveResults!$F$5:$IX$116,ComparisonData!A89,ComparisonData!$RV$1),0),5)</f>
        <v>0</v>
      </c>
      <c r="RW89" s="46" cm="1">
        <f t="array" ref="RW89">ROUND(IFERROR(INDEX(ArchiveResults!$F$5:$IX$116,ComparisonData!A89,ComparisonData!$RW$1),0),5)</f>
        <v>0</v>
      </c>
      <c r="RX89" s="45" cm="1">
        <f t="array" ref="RX89">IFERROR(INDEX(ArchiveResults!$F$5:$IX$116,ComparisonData!A89,ComparisonData!$RX$1),0)</f>
        <v>0</v>
      </c>
      <c r="RY89" s="56">
        <v>84</v>
      </c>
      <c r="RZ89" s="53" t="str">
        <f t="shared" si="706"/>
        <v>The Paul Mellon Centre</v>
      </c>
      <c r="SA89" s="59">
        <f t="shared" si="1008"/>
        <v>0</v>
      </c>
      <c r="SB89" s="59">
        <f t="shared" si="1009"/>
        <v>0</v>
      </c>
      <c r="SC89" s="59">
        <f t="shared" si="1010"/>
        <v>0</v>
      </c>
      <c r="SD89" s="59">
        <f t="shared" si="1011"/>
        <v>0</v>
      </c>
      <c r="SE89" s="59">
        <f t="shared" si="1012"/>
        <v>0</v>
      </c>
      <c r="SF89" s="58">
        <f t="shared" si="1013"/>
        <v>0</v>
      </c>
      <c r="SG89" s="45">
        <f t="shared" si="1014"/>
        <v>50</v>
      </c>
      <c r="SH89" s="45">
        <f t="shared" si="707"/>
        <v>2.6839999999999997</v>
      </c>
      <c r="SI89" s="45">
        <f t="shared" si="1015"/>
        <v>1</v>
      </c>
      <c r="SJ89" s="45">
        <f t="shared" si="1016"/>
        <v>2</v>
      </c>
      <c r="SK89" s="45">
        <f t="shared" si="1017"/>
        <v>0</v>
      </c>
      <c r="SL89" s="46" cm="1">
        <f t="array" ref="SL89">ROUND(IFERROR(INDEX(ArchiveResults!$F$5:$IX$116,ComparisonData!A89,ComparisonData!$SL$1),0),5)</f>
        <v>0</v>
      </c>
      <c r="SM89" s="46" cm="1">
        <f t="array" ref="SM89">ROUND(IFERROR(INDEX(ArchiveResults!$F$5:$IX$116,ComparisonData!A89,ComparisonData!$SM$1),0),5)</f>
        <v>0</v>
      </c>
      <c r="SN89" s="46" cm="1">
        <f t="array" ref="SN89">ROUND(IFERROR(INDEX(ArchiveResults!$F$5:$IX$116,ComparisonData!A89,ComparisonData!$SN$1),0),5)</f>
        <v>0</v>
      </c>
      <c r="SO89" s="46" cm="1">
        <f t="array" ref="SO89">ROUND(IFERROR(INDEX(ArchiveResults!$F$5:$IX$116,ComparisonData!A89,ComparisonData!$SO$1),0),5)</f>
        <v>0</v>
      </c>
      <c r="SP89" s="45" cm="1">
        <f t="array" ref="SP89">IFERROR(INDEX(ArchiveResults!$F$5:$IX$116,ComparisonData!A89,ComparisonData!$SP$1),0)</f>
        <v>0</v>
      </c>
      <c r="SQ89" s="56">
        <v>84</v>
      </c>
      <c r="SR89" s="53" t="str">
        <f t="shared" si="708"/>
        <v>The Paul Mellon Centre</v>
      </c>
      <c r="SS89" s="59">
        <f t="shared" si="1018"/>
        <v>0</v>
      </c>
      <c r="ST89" s="59">
        <f t="shared" si="1019"/>
        <v>0</v>
      </c>
      <c r="SU89" s="59">
        <f t="shared" si="1020"/>
        <v>0</v>
      </c>
      <c r="SV89" s="59">
        <f t="shared" si="1021"/>
        <v>0</v>
      </c>
      <c r="SW89" s="59">
        <f t="shared" si="1022"/>
        <v>0</v>
      </c>
      <c r="SX89" s="58">
        <f t="shared" si="1023"/>
        <v>0</v>
      </c>
      <c r="SY89" s="45">
        <f t="shared" si="1024"/>
        <v>50</v>
      </c>
      <c r="SZ89" s="45">
        <f t="shared" si="709"/>
        <v>2.6839999999999997</v>
      </c>
      <c r="TA89" s="45">
        <f t="shared" si="1025"/>
        <v>1</v>
      </c>
      <c r="TB89" s="45">
        <f t="shared" si="1026"/>
        <v>2</v>
      </c>
      <c r="TC89" s="45">
        <f t="shared" si="1027"/>
        <v>0</v>
      </c>
      <c r="TD89" s="46" cm="1">
        <f t="array" ref="TD89">ROUND(IFERROR(INDEX(ArchiveResults!$F$5:$IX$116,ComparisonData!A89,ComparisonData!$TD$1),0),5)</f>
        <v>0</v>
      </c>
      <c r="TE89" s="46" cm="1">
        <f t="array" ref="TE89">ROUND(IFERROR(INDEX(ArchiveResults!$F$5:$IX$116,ComparisonData!A89,ComparisonData!$TE$1),0),5)</f>
        <v>0</v>
      </c>
      <c r="TF89" s="46" cm="1">
        <f t="array" ref="TF89">ROUND(IFERROR(INDEX(ArchiveResults!$F$5:$IX$116,ComparisonData!A89,ComparisonData!$TF$1),0),5)</f>
        <v>0</v>
      </c>
      <c r="TG89" s="46" cm="1">
        <f t="array" ref="TG89">ROUND(IFERROR(INDEX(ArchiveResults!$F$5:$IX$116,ComparisonData!A89,ComparisonData!$TG$1),0),5)</f>
        <v>0</v>
      </c>
      <c r="TH89" s="45" cm="1">
        <f t="array" ref="TH89">IFERROR(INDEX(ArchiveResults!$F$5:$IX$116,ComparisonData!A89,ComparisonData!$TH$1),0)</f>
        <v>0</v>
      </c>
      <c r="TI89" s="56">
        <v>84</v>
      </c>
      <c r="TJ89" s="53" t="str">
        <f t="shared" si="710"/>
        <v>The Paul Mellon Centre</v>
      </c>
      <c r="TK89" s="59">
        <f t="shared" si="1028"/>
        <v>0</v>
      </c>
      <c r="TL89" s="59">
        <f t="shared" si="1029"/>
        <v>0</v>
      </c>
      <c r="TM89" s="59">
        <f t="shared" si="1030"/>
        <v>0</v>
      </c>
      <c r="TN89" s="59">
        <f t="shared" si="1031"/>
        <v>0</v>
      </c>
      <c r="TO89" s="59">
        <f t="shared" si="1032"/>
        <v>0</v>
      </c>
      <c r="TP89" s="58">
        <f t="shared" si="1033"/>
        <v>0</v>
      </c>
      <c r="TQ89" s="45">
        <f t="shared" si="1034"/>
        <v>50</v>
      </c>
      <c r="TR89" s="45">
        <f t="shared" si="711"/>
        <v>2.6839999999999997</v>
      </c>
      <c r="TS89" s="45">
        <f t="shared" si="1035"/>
        <v>1</v>
      </c>
      <c r="TT89" s="45">
        <f t="shared" si="1036"/>
        <v>2</v>
      </c>
      <c r="TU89" s="45">
        <f t="shared" si="1037"/>
        <v>0</v>
      </c>
      <c r="TV89" s="46" cm="1">
        <f t="array" ref="TV89">ROUND(IFERROR(INDEX(ArchiveResults!$F$5:$IX$116,ComparisonData!A89,ComparisonData!$TV$1),0),5)</f>
        <v>0</v>
      </c>
      <c r="TW89" s="46" cm="1">
        <f t="array" ref="TW89">ROUND(IFERROR(INDEX(ArchiveResults!$F$5:$IX$116,ComparisonData!A89,ComparisonData!$TW$1),0),5)</f>
        <v>0</v>
      </c>
      <c r="TX89" s="46" cm="1">
        <f t="array" ref="TX89">ROUND(IFERROR(INDEX(ArchiveResults!$F$5:$IX$116,ComparisonData!A89,ComparisonData!$TX$1),0),5)</f>
        <v>0</v>
      </c>
      <c r="TY89" s="46" cm="1">
        <f t="array" ref="TY89">ROUND(IFERROR(INDEX(ArchiveResults!$F$5:$IX$116,ComparisonData!A89,ComparisonData!$TY$1),0),5)</f>
        <v>0</v>
      </c>
      <c r="TZ89" s="45" cm="1">
        <f t="array" ref="TZ89">IFERROR(INDEX(ArchiveResults!$F$5:$IX$116,ComparisonData!A89,ComparisonData!$TZ$1),0)</f>
        <v>0</v>
      </c>
      <c r="UA89" s="56">
        <v>84</v>
      </c>
      <c r="UB89" s="53" t="str">
        <f t="shared" si="712"/>
        <v>The Paul Mellon Centre</v>
      </c>
      <c r="UC89" s="60">
        <f t="shared" si="1038"/>
        <v>0</v>
      </c>
      <c r="UD89" s="60">
        <f t="shared" si="1039"/>
        <v>0</v>
      </c>
      <c r="UE89" s="60">
        <f t="shared" si="1040"/>
        <v>0</v>
      </c>
      <c r="UF89" s="60">
        <f t="shared" si="1041"/>
        <v>0</v>
      </c>
      <c r="UG89" s="60">
        <f t="shared" si="1042"/>
        <v>0</v>
      </c>
      <c r="UH89" s="58">
        <f t="shared" si="1043"/>
        <v>0</v>
      </c>
      <c r="UI89" s="46">
        <f t="shared" si="1044"/>
        <v>50</v>
      </c>
      <c r="UJ89" s="46">
        <f t="shared" si="713"/>
        <v>2.6839999999999997</v>
      </c>
      <c r="UK89" s="46">
        <f t="shared" si="1045"/>
        <v>1</v>
      </c>
      <c r="UL89" s="46">
        <f t="shared" si="1046"/>
        <v>2</v>
      </c>
      <c r="UM89" s="46" cm="1">
        <f t="array" ref="UM89">ROUND(IFERROR(INDEX(ArchiveResults!$F$5:$IX$116,ComparisonData!A89,ComparisonData!$UM$1),0),5)</f>
        <v>0</v>
      </c>
      <c r="UN89" s="56">
        <v>84</v>
      </c>
      <c r="UO89" s="53" t="str">
        <f t="shared" si="714"/>
        <v>The Paul Mellon Centre</v>
      </c>
      <c r="UP89" s="46">
        <f t="shared" si="1047"/>
        <v>0</v>
      </c>
      <c r="UQ89" s="76">
        <f t="shared" si="1048"/>
        <v>0</v>
      </c>
      <c r="UR89" s="46">
        <f t="shared" si="1049"/>
        <v>50</v>
      </c>
      <c r="US89" s="46">
        <f t="shared" si="715"/>
        <v>2.6839999999999997</v>
      </c>
      <c r="UT89" s="46">
        <f t="shared" si="1050"/>
        <v>1</v>
      </c>
      <c r="UU89" s="46">
        <f t="shared" si="1051"/>
        <v>2</v>
      </c>
      <c r="UV89" s="46">
        <f t="shared" si="1052"/>
        <v>0</v>
      </c>
      <c r="UW89" s="46" cm="1">
        <f t="array" ref="UW89">ROUND(IFERROR(INDEX(ArchiveResults!$F$5:$IX$116,ComparisonData!A89,ComparisonData!$UW$1),0),5)</f>
        <v>0</v>
      </c>
      <c r="UX89" s="46" cm="1">
        <f t="array" ref="UX89">ROUND(IFERROR(INDEX(ArchiveResults!$F$5:$IX$116,ComparisonData!A89,ComparisonData!$UX$1),0),5)</f>
        <v>0</v>
      </c>
      <c r="UY89" s="46" cm="1">
        <f t="array" ref="UY89">ROUND(IFERROR(INDEX(ArchiveResults!$F$5:$IX$116,ComparisonData!A89,ComparisonData!$UY$1),0),5)</f>
        <v>0</v>
      </c>
      <c r="UZ89" s="46" cm="1">
        <f t="array" ref="UZ89">ROUND(IFERROR(INDEX(ArchiveResults!$F$5:$IX$116,ComparisonData!A89,ComparisonData!$UZ$1),0),5)</f>
        <v>0</v>
      </c>
      <c r="VA89" s="46" cm="1">
        <f t="array" ref="VA89">ROUND(IFERROR(INDEX(ArchiveResults!$F$5:$IX$116,ComparisonData!A89,ComparisonData!$VA$1),0),5)</f>
        <v>0</v>
      </c>
      <c r="VB89" s="56">
        <v>84</v>
      </c>
      <c r="VC89" s="53" t="str">
        <f t="shared" si="716"/>
        <v>The Paul Mellon Centre</v>
      </c>
      <c r="VD89" s="60">
        <f t="shared" si="1053"/>
        <v>0</v>
      </c>
      <c r="VE89" s="60">
        <f t="shared" si="1054"/>
        <v>0</v>
      </c>
      <c r="VF89" s="60">
        <f t="shared" si="1055"/>
        <v>0</v>
      </c>
      <c r="VG89" s="60">
        <f t="shared" si="1056"/>
        <v>0</v>
      </c>
      <c r="VH89" s="60">
        <f t="shared" si="1057"/>
        <v>0</v>
      </c>
      <c r="VI89" s="76">
        <f t="shared" si="1058"/>
        <v>0</v>
      </c>
      <c r="VJ89" s="46">
        <f t="shared" si="1059"/>
        <v>50</v>
      </c>
      <c r="VK89" s="46">
        <f t="shared" si="717"/>
        <v>2.6839999999999997</v>
      </c>
      <c r="VL89" s="46">
        <f t="shared" si="1060"/>
        <v>1</v>
      </c>
      <c r="VM89" s="46">
        <f t="shared" si="1061"/>
        <v>2</v>
      </c>
      <c r="VN89" s="46" cm="1">
        <f t="array" ref="VN89">ROUND(IFERROR(INDEX(ArchiveResults!$F$5:$IX$116,ComparisonData!A89,ComparisonData!$VN$1),0),5)</f>
        <v>0</v>
      </c>
      <c r="VO89" s="46" cm="1">
        <f t="array" ref="VO89">ROUND(IFERROR(INDEX(ArchiveResults!$F$5:$IX$116,ComparisonData!A89,ComparisonData!$VO$1),0),5)</f>
        <v>0</v>
      </c>
      <c r="VP89" s="46" cm="1">
        <f t="array" ref="VP89">ROUND(IFERROR(INDEX(ArchiveResults!$F$5:$IX$116,ComparisonData!A89,ComparisonData!$VP$1),0),5)</f>
        <v>0</v>
      </c>
      <c r="VQ89" s="46" cm="1">
        <f t="array" ref="VQ89">ROUND(IFERROR(INDEX(ArchiveResults!$F$5:$IX$116,ComparisonData!A89,ComparisonData!$VQ$1),0),5)</f>
        <v>0</v>
      </c>
      <c r="VR89" s="56">
        <v>84</v>
      </c>
      <c r="VS89" s="53" t="str">
        <f t="shared" si="718"/>
        <v>The Paul Mellon Centre</v>
      </c>
      <c r="VT89" s="60">
        <f t="shared" si="1062"/>
        <v>0</v>
      </c>
      <c r="VU89" s="60">
        <f t="shared" si="1063"/>
        <v>0</v>
      </c>
      <c r="VV89" s="60">
        <f t="shared" si="1064"/>
        <v>0</v>
      </c>
      <c r="VW89" s="60">
        <f t="shared" si="1065"/>
        <v>0</v>
      </c>
      <c r="VX89" s="76">
        <f t="shared" si="1066"/>
        <v>0</v>
      </c>
      <c r="VY89" s="46">
        <f t="shared" si="1067"/>
        <v>50</v>
      </c>
      <c r="VZ89" s="46">
        <f t="shared" si="719"/>
        <v>2.6839999999999997</v>
      </c>
      <c r="WA89" s="46">
        <f t="shared" si="1068"/>
        <v>1</v>
      </c>
      <c r="WB89" s="46">
        <f t="shared" si="1069"/>
        <v>2</v>
      </c>
      <c r="WC89" s="46" cm="1">
        <f t="array" ref="WC89">ROUND(IFERROR(INDEX(ArchiveResults!$F$5:$IX$116,ComparisonData!A89,ComparisonData!$WC$1),0),5)</f>
        <v>0</v>
      </c>
      <c r="WD89" s="56">
        <v>84</v>
      </c>
      <c r="WE89" s="53" t="str">
        <f t="shared" si="720"/>
        <v>The Paul Mellon Centre</v>
      </c>
      <c r="WF89" s="46">
        <f t="shared" si="1070"/>
        <v>0</v>
      </c>
      <c r="WG89" s="76">
        <f t="shared" si="1071"/>
        <v>0</v>
      </c>
      <c r="WH89" s="46">
        <f t="shared" si="1072"/>
        <v>50</v>
      </c>
      <c r="WI89" s="46">
        <f t="shared" si="721"/>
        <v>2.6839999999999997</v>
      </c>
      <c r="WJ89" s="46">
        <f t="shared" si="1073"/>
        <v>1</v>
      </c>
      <c r="WK89" s="46">
        <f t="shared" si="1074"/>
        <v>2</v>
      </c>
      <c r="WL89" s="46" cm="1">
        <f t="array" ref="WL89">ROUND(IFERROR(INDEX(ArchiveResults!$F$5:$IX$116,ComparisonData!A89,ComparisonData!$WL$1),0),5)</f>
        <v>0</v>
      </c>
      <c r="WM89" s="46" cm="1">
        <f t="array" ref="WM89">IFERROR(INDEX(ArchiveResults!$F$5:$IX$116,ComparisonData!A89,ComparisonData!$WM$1),0)</f>
        <v>0</v>
      </c>
      <c r="WN89" s="56">
        <v>84</v>
      </c>
      <c r="WO89" s="53" t="str">
        <f t="shared" si="722"/>
        <v>The Paul Mellon Centre</v>
      </c>
      <c r="WP89" s="60">
        <f t="shared" si="1075"/>
        <v>0</v>
      </c>
      <c r="WQ89" s="60">
        <f t="shared" si="1076"/>
        <v>0</v>
      </c>
      <c r="WR89" s="76">
        <f t="shared" si="1077"/>
        <v>0</v>
      </c>
      <c r="WS89" s="46">
        <f t="shared" si="1078"/>
        <v>50</v>
      </c>
      <c r="WT89" s="46">
        <f t="shared" si="723"/>
        <v>2.6839999999999997</v>
      </c>
      <c r="WU89" s="46">
        <f t="shared" si="1079"/>
        <v>1</v>
      </c>
      <c r="WV89" s="46">
        <f t="shared" si="1080"/>
        <v>2</v>
      </c>
      <c r="WW89" s="46" cm="1">
        <f t="array" ref="WW89">ROUND(VALUE(IFERROR(INDEX(ArchiveResults!$F$5:$IX$116,ComparisonData!A89,ComparisonData!$WW$1),0)),5)</f>
        <v>0</v>
      </c>
      <c r="WX89" s="46" cm="1">
        <f t="array" ref="WX89">ROUND(IFERROR(INDEX(ArchiveResults!$F$5:$IX$116,ComparisonData!A89,ComparisonData!$WX$1),0),5)</f>
        <v>0</v>
      </c>
      <c r="WY89" s="56">
        <v>84</v>
      </c>
      <c r="WZ89" s="53" t="str">
        <f t="shared" si="724"/>
        <v>The Paul Mellon Centre</v>
      </c>
      <c r="XA89" s="60">
        <f t="shared" si="725"/>
        <v>0</v>
      </c>
      <c r="XB89" s="60">
        <f t="shared" si="726"/>
        <v>0</v>
      </c>
      <c r="XC89" s="76">
        <f t="shared" si="1081"/>
        <v>0</v>
      </c>
      <c r="XD89" s="46">
        <f t="shared" si="1082"/>
        <v>50</v>
      </c>
      <c r="XE89" s="46">
        <f t="shared" si="727"/>
        <v>2.6839999999999997</v>
      </c>
      <c r="XF89" s="46">
        <f t="shared" si="1083"/>
        <v>1</v>
      </c>
      <c r="XG89" s="46">
        <f t="shared" si="1084"/>
        <v>2</v>
      </c>
      <c r="XH89" s="46" cm="1">
        <f t="array" ref="XH89">ROUND(VALUE(IFERROR(INDEX(ArchiveResults!$F$5:$IX$116,ComparisonData!A89,ComparisonData!$XH$1),0)),5)</f>
        <v>0</v>
      </c>
      <c r="XI89" s="46" cm="1">
        <f t="array" ref="XI89">ROUND(VALUE(IFERROR(INDEX(ArchiveResults!$F$5:$IX$116,ComparisonData!A89,ComparisonData!$XI$1),0)),5)</f>
        <v>0</v>
      </c>
      <c r="XJ89" s="56">
        <v>84</v>
      </c>
      <c r="XK89" s="53" t="str">
        <f t="shared" si="728"/>
        <v>The Paul Mellon Centre</v>
      </c>
      <c r="XL89" s="60">
        <f t="shared" si="1085"/>
        <v>0</v>
      </c>
      <c r="XM89" s="60">
        <f t="shared" si="1086"/>
        <v>0</v>
      </c>
      <c r="XN89" s="76">
        <f t="shared" si="1087"/>
        <v>0</v>
      </c>
      <c r="XO89" s="46">
        <f t="shared" si="1088"/>
        <v>50</v>
      </c>
      <c r="XP89" s="46">
        <f t="shared" si="729"/>
        <v>2.6839999999999997</v>
      </c>
      <c r="XQ89" s="46">
        <f t="shared" si="1089"/>
        <v>1</v>
      </c>
      <c r="XR89" s="46">
        <f t="shared" si="1090"/>
        <v>2</v>
      </c>
      <c r="XS89" s="46" cm="1">
        <f t="array" ref="XS89">ROUND(VALUE(IFERROR(INDEX(ArchiveResults!$F$5:$IX$116,ComparisonData!A89,ComparisonData!$XS$1),0)),5)</f>
        <v>0</v>
      </c>
      <c r="XT89" s="46" cm="1">
        <f t="array" ref="XT89">ROUND(VALUE(IFERROR(INDEX(ArchiveResults!$F$5:$IX$116,ComparisonData!A89,ComparisonData!$XT$1),0)),5)</f>
        <v>0</v>
      </c>
      <c r="XU89" s="56">
        <v>84</v>
      </c>
      <c r="XV89" s="53" t="str">
        <f t="shared" si="730"/>
        <v>The Paul Mellon Centre</v>
      </c>
      <c r="XW89" s="60">
        <f t="shared" si="1091"/>
        <v>0</v>
      </c>
      <c r="XX89" s="60">
        <f t="shared" si="1092"/>
        <v>0</v>
      </c>
      <c r="XY89" s="76">
        <f t="shared" si="1093"/>
        <v>0</v>
      </c>
      <c r="XZ89" s="46">
        <f t="shared" si="1094"/>
        <v>50</v>
      </c>
      <c r="YA89" s="46">
        <f t="shared" si="731"/>
        <v>2.6839999999999997</v>
      </c>
      <c r="YB89" s="46">
        <f t="shared" si="1095"/>
        <v>1</v>
      </c>
      <c r="YC89" s="46">
        <f t="shared" si="1096"/>
        <v>2</v>
      </c>
      <c r="YD89" s="46" cm="1">
        <f t="array" ref="YD89">ROUND(VALUE(IFERROR(INDEX(ArchiveResults!$F$5:$IX$116,ComparisonData!A89,ComparisonData!$YD$1),0)),5)</f>
        <v>0</v>
      </c>
      <c r="YE89" s="46" cm="1">
        <f t="array" ref="YE89">ROUND(VALUE(IFERROR(INDEX(ArchiveResults!$F$5:$IX$116,ComparisonData!A89,ComparisonData!$YE$1),0)),5)</f>
        <v>0</v>
      </c>
      <c r="YF89" s="56">
        <v>84</v>
      </c>
      <c r="YG89" s="53" t="str">
        <f t="shared" si="732"/>
        <v>The Paul Mellon Centre</v>
      </c>
      <c r="YH89" s="60">
        <f t="shared" si="1097"/>
        <v>0</v>
      </c>
      <c r="YI89" s="60">
        <f t="shared" si="1098"/>
        <v>0</v>
      </c>
      <c r="YJ89" s="76">
        <f t="shared" si="1099"/>
        <v>0</v>
      </c>
      <c r="YK89" s="46">
        <f t="shared" si="1100"/>
        <v>50</v>
      </c>
      <c r="YL89" s="46">
        <f t="shared" si="733"/>
        <v>2.6839999999999997</v>
      </c>
      <c r="YM89" s="46">
        <f t="shared" si="1101"/>
        <v>1</v>
      </c>
      <c r="YN89" s="46">
        <f t="shared" si="1102"/>
        <v>2</v>
      </c>
      <c r="YO89" s="46" cm="1">
        <f t="array" ref="YO89">ROUND(VALUE(IFERROR(INDEX(ArchiveResults!$F$5:$IX$116,ComparisonData!A89,ComparisonData!$YO$1),0)),5)</f>
        <v>0</v>
      </c>
      <c r="YP89" s="46" cm="1">
        <f t="array" ref="YP89">ROUND(VALUE(IFERROR(INDEX(ArchiveResults!$F$5:$IX$116,ComparisonData!A89,ComparisonData!$YP$1),0)),5)</f>
        <v>0</v>
      </c>
      <c r="YQ89" s="56">
        <v>84</v>
      </c>
      <c r="YR89" s="53" t="str">
        <f t="shared" si="734"/>
        <v>The Paul Mellon Centre</v>
      </c>
      <c r="YS89" s="60">
        <f t="shared" si="1103"/>
        <v>0</v>
      </c>
      <c r="YT89" s="60">
        <f t="shared" si="1104"/>
        <v>0</v>
      </c>
      <c r="YU89" s="76">
        <f t="shared" si="1105"/>
        <v>0</v>
      </c>
      <c r="YV89" s="46">
        <f t="shared" si="1106"/>
        <v>50</v>
      </c>
      <c r="YW89" s="46">
        <f t="shared" si="735"/>
        <v>2.6839999999999997</v>
      </c>
      <c r="YX89" s="46">
        <f t="shared" si="1107"/>
        <v>1</v>
      </c>
      <c r="YY89" s="46">
        <f t="shared" si="1108"/>
        <v>2</v>
      </c>
      <c r="YZ89" s="46">
        <f t="shared" si="1109"/>
        <v>0</v>
      </c>
      <c r="ZA89" s="46" cm="1">
        <f t="array" ref="ZA89">ROUNDDOWN(VALUE(IFERROR(INDEX(ArchiveResults!$F$5:$IX$116,ComparisonData!A89,ComparisonData!$ZA$1),0)),5)</f>
        <v>0</v>
      </c>
      <c r="ZB89" s="46" cm="1">
        <f t="array" ref="ZB89">ROUNDDOWN(VALUE(IFERROR(INDEX(ArchiveResults!$F$5:$IX$116,ComparisonData!A89,ComparisonData!$ZB$1),0)),5)</f>
        <v>0</v>
      </c>
      <c r="ZC89" s="46" cm="1">
        <f t="array" ref="ZC89">ROUNDDOWN(VALUE(IFERROR(INDEX(ArchiveResults!$F$5:$IX$116,ComparisonData!A89,ComparisonData!$ZC$1),0)),5)</f>
        <v>0</v>
      </c>
      <c r="ZD89" s="46" cm="1">
        <f t="array" ref="ZD89">ROUNDDOWN(VALUE(IFERROR(INDEX(ArchiveResults!$F$5:$IX$116,ComparisonData!A89,ComparisonData!$ZD$1),0)),5)</f>
        <v>0</v>
      </c>
      <c r="ZE89" s="46" cm="1">
        <f t="array" ref="ZE89">ROUNDDOWN(VALUE(IFERROR(INDEX(ArchiveResults!$F$5:$IX$116,ComparisonData!A89,ComparisonData!$ZE$1),0)),5)</f>
        <v>0</v>
      </c>
      <c r="ZF89" s="56">
        <v>84</v>
      </c>
      <c r="ZG89" s="53" t="str">
        <f t="shared" si="736"/>
        <v>The Paul Mellon Centre</v>
      </c>
      <c r="ZH89" s="60">
        <f t="shared" si="1110"/>
        <v>0</v>
      </c>
      <c r="ZI89" s="60">
        <f t="shared" si="1111"/>
        <v>0</v>
      </c>
      <c r="ZJ89" s="60">
        <f t="shared" si="1112"/>
        <v>0</v>
      </c>
      <c r="ZK89" s="60">
        <f t="shared" si="1113"/>
        <v>0</v>
      </c>
      <c r="ZL89" s="60">
        <f t="shared" si="1114"/>
        <v>0</v>
      </c>
      <c r="ZM89" s="76">
        <f t="shared" si="1115"/>
        <v>0</v>
      </c>
      <c r="ZN89" s="46">
        <f t="shared" si="1116"/>
        <v>50</v>
      </c>
      <c r="ZO89" s="46">
        <f t="shared" si="737"/>
        <v>2.6839999999999997</v>
      </c>
      <c r="ZP89" s="46">
        <f t="shared" si="1117"/>
        <v>1</v>
      </c>
      <c r="ZQ89" s="46">
        <f t="shared" si="1118"/>
        <v>2</v>
      </c>
      <c r="ZR89" s="46" cm="1">
        <f t="array" ref="ZR89">ROUND(VALUE(IFERROR(INDEX(ArchiveResults!$F$5:$IX$116,ComparisonData!A89,ComparisonData!$ZR$1),0)),5)</f>
        <v>0</v>
      </c>
      <c r="ZS89" s="56">
        <v>84</v>
      </c>
      <c r="ZT89" s="53" t="str">
        <f t="shared" si="738"/>
        <v>The Paul Mellon Centre</v>
      </c>
      <c r="ZU89" s="46">
        <f t="shared" si="1119"/>
        <v>0</v>
      </c>
      <c r="ZV89" s="76">
        <f t="shared" si="1120"/>
        <v>0</v>
      </c>
      <c r="ZW89" s="81" cm="1">
        <f t="array" ref="ZW89">ROUND((IFERROR(INDEX(ArchiveResults!$F$5:$IX$116,ComparisonData!A89,ComparisonData!$ZW$1),0)),5)</f>
        <v>0</v>
      </c>
      <c r="ZX89" s="81" cm="1">
        <f t="array" ref="ZX89">ROUND((IFERROR(INDEX(ArchiveResults!$F$5:$IX$116,ComparisonData!A89,ComparisonData!$ZX$1),0)),5)</f>
        <v>0</v>
      </c>
      <c r="ZY89" s="81" cm="1">
        <f t="array" ref="ZY89">ROUND((IFERROR(INDEX(ArchiveResults!$F$5:$IX$116,ComparisonData!A89,ComparisonData!$ZY$1),0)),5)</f>
        <v>0</v>
      </c>
      <c r="ZZ89" s="81" cm="1">
        <f t="array" ref="ZZ89">ROUND((IFERROR(INDEX(ArchiveResults!$F$5:$IX$116,ComparisonData!A89,ComparisonData!$ZZ$1),0)),5)</f>
        <v>0</v>
      </c>
      <c r="AAA89" s="81" cm="1">
        <f t="array" ref="AAA89">ROUND((IFERROR(INDEX(ArchiveResults!$F$5:$IX$116,ComparisonData!A89,ComparisonData!$AAA$1),0)),5)</f>
        <v>0</v>
      </c>
      <c r="AAB89" s="81" cm="1">
        <f t="array" ref="AAB89">ROUND((IFERROR(INDEX(ArchiveResults!$F$5:$IX$116,ComparisonData!A89,ComparisonData!$AAB$1),0)),5)</f>
        <v>0</v>
      </c>
      <c r="AAC89" s="81" cm="1">
        <f t="array" ref="AAC89">ROUND((IFERROR(INDEX(ArchiveResults!$F$5:$IX$116,ComparisonData!A89,ComparisonData!$AAC$1),0)),5)</f>
        <v>0</v>
      </c>
      <c r="AAD89" s="81" cm="1">
        <f t="array" ref="AAD89">ROUND((IFERROR(INDEX(ArchiveResults!$F$5:$IX$116,ComparisonData!A89,ComparisonData!$AAD$1),0)),5)</f>
        <v>0</v>
      </c>
      <c r="AAE89" s="81" cm="1">
        <f t="array" ref="AAE89">ROUND((IFERROR(INDEX(ArchiveResults!$F$5:$IX$116,ComparisonData!A89,ComparisonData!$AAE$1),0)),5)</f>
        <v>0</v>
      </c>
      <c r="AAF89" s="81" cm="1">
        <f t="array" ref="AAF89">ROUND((IFERROR(INDEX(ArchiveResults!$F$5:$IX$116,ComparisonData!A89,ComparisonData!$AAF$1),0)),5)</f>
        <v>0</v>
      </c>
      <c r="AAG89" s="46">
        <f t="shared" si="1121"/>
        <v>50</v>
      </c>
      <c r="AAH89" s="46">
        <f t="shared" si="739"/>
        <v>2.6839999999999997</v>
      </c>
      <c r="AAI89" s="46">
        <f t="shared" si="1122"/>
        <v>1</v>
      </c>
      <c r="AAJ89" s="46">
        <f t="shared" si="1123"/>
        <v>2</v>
      </c>
      <c r="AAK89" s="46">
        <f t="shared" si="1124"/>
        <v>0</v>
      </c>
      <c r="AAL89" s="46">
        <f t="shared" si="1125"/>
        <v>0</v>
      </c>
      <c r="AAM89" s="46">
        <f t="shared" si="1126"/>
        <v>0</v>
      </c>
      <c r="AAN89" s="46">
        <f t="shared" si="1127"/>
        <v>0</v>
      </c>
      <c r="AAO89" s="46">
        <f t="shared" si="1128"/>
        <v>0</v>
      </c>
      <c r="AAP89" s="46">
        <f t="shared" si="1129"/>
        <v>0</v>
      </c>
      <c r="AAQ89" s="56">
        <v>84</v>
      </c>
      <c r="AAR89" s="53" t="str">
        <f t="shared" si="740"/>
        <v>The Paul Mellon Centre</v>
      </c>
      <c r="AAS89" s="60">
        <f t="shared" si="1130"/>
        <v>0</v>
      </c>
      <c r="AAT89" s="60">
        <f t="shared" si="1131"/>
        <v>0</v>
      </c>
      <c r="AAU89" s="60">
        <f t="shared" si="1132"/>
        <v>0</v>
      </c>
      <c r="AAV89" s="60">
        <f t="shared" si="1133"/>
        <v>0</v>
      </c>
      <c r="AAW89" s="60">
        <f t="shared" si="1134"/>
        <v>0</v>
      </c>
      <c r="AAX89" s="76">
        <f t="shared" si="1135"/>
        <v>0</v>
      </c>
      <c r="AAY89" s="46">
        <f t="shared" si="1136"/>
        <v>50</v>
      </c>
      <c r="AAZ89" s="46">
        <f t="shared" si="741"/>
        <v>2.6839999999999997</v>
      </c>
      <c r="ABA89" s="46">
        <f t="shared" si="1137"/>
        <v>1</v>
      </c>
      <c r="ABB89" s="46">
        <f t="shared" si="1138"/>
        <v>2</v>
      </c>
      <c r="ABC89" s="46">
        <f t="shared" si="742"/>
        <v>0</v>
      </c>
      <c r="ABD89" s="46" cm="1">
        <f t="array" ref="ABD89">ROUND(VALUE(IFERROR(INDEX(ArchiveResults!$F$5:$IX$116,ComparisonData!A89,ComparisonData!$ABD$1),0)),5)</f>
        <v>0</v>
      </c>
      <c r="ABE89" s="46" cm="1">
        <f t="array" ref="ABE89">ROUND(VALUE(IFERROR(INDEX(ArchiveResults!$F$5:$IX$116,ComparisonData!A89,ComparisonData!$ABE$1),0)),5)</f>
        <v>0</v>
      </c>
      <c r="ABF89" s="46" cm="1">
        <f t="array" ref="ABF89">ROUND(VALUE(IFERROR(INDEX(ArchiveResults!$F$5:$IX$116,ComparisonData!A89,ComparisonData!$ABF$1),0)),5)</f>
        <v>0</v>
      </c>
      <c r="ABG89" s="46" cm="1">
        <f t="array" ref="ABG89">ROUND(VALUE(IFERROR(INDEX(ArchiveResults!$F$5:$IX$116,ComparisonData!A89,ComparisonData!$ABG$1),0)),5)</f>
        <v>0</v>
      </c>
      <c r="ABH89" s="46" cm="1">
        <f t="array" ref="ABH89">ROUND(VALUE(IFERROR(INDEX(ArchiveResults!$F$5:$IX$116,ComparisonData!A89,ComparisonData!$ABH$1),0)),5)</f>
        <v>0</v>
      </c>
      <c r="ABI89" s="56">
        <v>84</v>
      </c>
      <c r="ABJ89" s="53" t="str">
        <f t="shared" si="743"/>
        <v>The Paul Mellon Centre</v>
      </c>
      <c r="ABK89" s="60">
        <f t="shared" si="1139"/>
        <v>0</v>
      </c>
      <c r="ABL89" s="60">
        <f t="shared" si="1140"/>
        <v>0</v>
      </c>
      <c r="ABM89" s="60">
        <f t="shared" si="1141"/>
        <v>0</v>
      </c>
      <c r="ABN89" s="60">
        <f t="shared" si="1142"/>
        <v>0</v>
      </c>
      <c r="ABO89" s="60">
        <f t="shared" si="1143"/>
        <v>0</v>
      </c>
      <c r="ABP89" s="76">
        <f t="shared" si="1144"/>
        <v>0</v>
      </c>
      <c r="ABQ89" s="46">
        <f t="shared" si="1145"/>
        <v>50</v>
      </c>
      <c r="ABR89" s="46">
        <f t="shared" si="744"/>
        <v>2.6839999999999997</v>
      </c>
      <c r="ABS89" s="46">
        <f t="shared" si="1146"/>
        <v>1</v>
      </c>
      <c r="ABT89" s="46">
        <f t="shared" si="1147"/>
        <v>2</v>
      </c>
      <c r="ABU89" s="46" cm="1">
        <f t="array" ref="ABU89">ROUND(VALUE(IFERROR(INDEX(ArchiveResults!$F$5:$IX$116,ComparisonData!A89,ComparisonData!$ABU$1),0)),5)</f>
        <v>0</v>
      </c>
      <c r="ABV89" s="46" cm="1">
        <f t="array" ref="ABV89">ROUND(VALUE(IFERROR(INDEX(ArchiveResults!$F$5:$IX$116,ComparisonData!A89,ComparisonData!$ABV$1),0)),5)</f>
        <v>0</v>
      </c>
      <c r="ABW89" s="46" cm="1">
        <f t="array" ref="ABW89">ROUND(VALUE(IFERROR(INDEX(ArchiveResults!$F$5:$IX$116,ComparisonData!A89,ComparisonData!$ABW$1),0)),5)</f>
        <v>0</v>
      </c>
      <c r="ABX89" s="46" cm="1">
        <f t="array" ref="ABX89">ROUND(VALUE(IFERROR(INDEX(ArchiveResults!$F$5:$IX$116,ComparisonData!A89,ComparisonData!$ABX$1),0)),5)</f>
        <v>0</v>
      </c>
      <c r="ABY89" s="46" cm="1">
        <f t="array" ref="ABY89">ROUND(VALUE(IFERROR(INDEX(ArchiveResults!$F$5:$IX$116,ComparisonData!A89,ComparisonData!$ABY$1),0)),5)</f>
        <v>0</v>
      </c>
      <c r="ABZ89" s="56">
        <v>84</v>
      </c>
      <c r="ACA89" s="53" t="str">
        <f t="shared" si="745"/>
        <v>The Paul Mellon Centre</v>
      </c>
      <c r="ACB89" s="60">
        <f t="shared" si="1148"/>
        <v>0</v>
      </c>
      <c r="ACC89" s="60">
        <f t="shared" si="1149"/>
        <v>0</v>
      </c>
      <c r="ACD89" s="60">
        <f t="shared" si="1150"/>
        <v>0</v>
      </c>
      <c r="ACE89" s="60">
        <f t="shared" si="1151"/>
        <v>0</v>
      </c>
      <c r="ACF89" s="60">
        <f t="shared" si="1152"/>
        <v>0</v>
      </c>
      <c r="ACG89" s="76">
        <f t="shared" si="1153"/>
        <v>0</v>
      </c>
      <c r="ACH89" s="46">
        <f t="shared" si="1154"/>
        <v>50</v>
      </c>
      <c r="ACI89" s="46">
        <f t="shared" si="746"/>
        <v>2.6839999999999997</v>
      </c>
      <c r="ACJ89" s="46">
        <f t="shared" si="1155"/>
        <v>1</v>
      </c>
      <c r="ACK89" s="46">
        <f t="shared" si="1156"/>
        <v>2</v>
      </c>
      <c r="ACL89" s="46">
        <f t="shared" si="1157"/>
        <v>0</v>
      </c>
      <c r="ACM89" s="46" cm="1">
        <f t="array" ref="ACM89">ROUND(IFERROR(INDEX(ArchiveResults!$F$5:$IX$116,ComparisonData!A89,ComparisonData!$ACM$1),0),5)</f>
        <v>0</v>
      </c>
      <c r="ACN89" s="46" cm="1">
        <f t="array" ref="ACN89">ROUND(IFERROR(INDEX(ArchiveResults!$F$5:$IX$116,ComparisonData!A89,ComparisonData!$ACN$1),0),5)</f>
        <v>0</v>
      </c>
      <c r="ACO89" s="56">
        <v>84</v>
      </c>
      <c r="ACP89" s="53" t="str">
        <f t="shared" si="747"/>
        <v>The Paul Mellon Centre</v>
      </c>
      <c r="ACQ89" s="60">
        <f t="shared" si="1158"/>
        <v>0</v>
      </c>
      <c r="ACR89" s="60">
        <f t="shared" si="1159"/>
        <v>0</v>
      </c>
      <c r="ACS89" s="76">
        <f t="shared" si="1160"/>
        <v>0</v>
      </c>
      <c r="ACT89" s="46">
        <f t="shared" si="1161"/>
        <v>50</v>
      </c>
      <c r="ACU89" s="46">
        <f t="shared" si="748"/>
        <v>2.6839999999999997</v>
      </c>
      <c r="ACV89" s="46">
        <f t="shared" si="1162"/>
        <v>1</v>
      </c>
      <c r="ACW89" s="46">
        <f t="shared" si="1163"/>
        <v>2</v>
      </c>
      <c r="ACX89" s="46">
        <f t="shared" si="1164"/>
        <v>0</v>
      </c>
      <c r="ACY89" s="46" cm="1">
        <f t="array" ref="ACY89">ROUNDDOWN(IFERROR(INDEX(ArchiveResults!$F$5:$IX$116,ComparisonData!A89,ComparisonData!$ACY$1),0),5)</f>
        <v>0</v>
      </c>
      <c r="ACZ89" s="46" cm="1">
        <f t="array" ref="ACZ89">ROUNDDOWN(IFERROR(INDEX(ArchiveResults!$F$5:$IX$116,ComparisonData!A89,ComparisonData!$ACZ$1),0),5)</f>
        <v>0</v>
      </c>
      <c r="ADA89" s="46" cm="1">
        <f t="array" ref="ADA89">ROUNDDOWN(IFERROR(INDEX(ArchiveResults!$F$5:$IX$116,ComparisonData!A89,ComparisonData!$ADA$1),0),5)</f>
        <v>0</v>
      </c>
      <c r="ADB89" s="56">
        <v>84</v>
      </c>
      <c r="ADC89" s="53" t="str">
        <f t="shared" si="749"/>
        <v>The Paul Mellon Centre</v>
      </c>
      <c r="ADD89" s="60">
        <f t="shared" si="1165"/>
        <v>0</v>
      </c>
      <c r="ADE89" s="60">
        <f t="shared" si="1166"/>
        <v>0</v>
      </c>
      <c r="ADF89" s="60">
        <f t="shared" si="1167"/>
        <v>0</v>
      </c>
      <c r="ADG89" s="76">
        <f t="shared" si="1168"/>
        <v>0</v>
      </c>
    </row>
    <row r="90" spans="1:787" x14ac:dyDescent="0.25">
      <c r="A90" s="46" t="str">
        <f>IF(ISBLANK(ComparisonSelection!F86),"",ROW()-5)</f>
        <v/>
      </c>
      <c r="B90" s="53" t="s">
        <v>540</v>
      </c>
      <c r="C90" s="72">
        <v>0.7739999999999998</v>
      </c>
      <c r="D90" s="55">
        <f t="shared" si="750"/>
        <v>68</v>
      </c>
      <c r="E90" s="54">
        <f t="shared" si="751"/>
        <v>2.774</v>
      </c>
      <c r="F90" s="54">
        <f t="shared" si="752"/>
        <v>1</v>
      </c>
      <c r="G90" s="72">
        <f t="shared" si="753"/>
        <v>2</v>
      </c>
      <c r="H90" s="72">
        <f t="shared" si="754"/>
        <v>0</v>
      </c>
      <c r="I90" s="46" cm="1">
        <f t="array" ref="I90">ROUND(IFERROR(INDEX(ArchiveResults!$F$5:$IX$116,ComparisonData!A90,ComparisonData!$I$1),0),5)</f>
        <v>0</v>
      </c>
      <c r="J90" s="46" cm="1">
        <f t="array" ref="J90">ROUND(IFERROR(INDEX(ArchiveResults!$F$5:$IX$116,ComparisonData!A90,ComparisonData!$J$1),0),5)</f>
        <v>0</v>
      </c>
      <c r="K90" s="56">
        <v>85</v>
      </c>
      <c r="L90" s="53" t="str">
        <f t="shared" si="755"/>
        <v>The Postal Museum: the Royal Mail Archive</v>
      </c>
      <c r="M90" s="57">
        <f t="shared" si="640"/>
        <v>0</v>
      </c>
      <c r="N90" s="57">
        <f t="shared" si="641"/>
        <v>0</v>
      </c>
      <c r="O90" s="58">
        <f t="shared" si="756"/>
        <v>0</v>
      </c>
      <c r="P90" s="48">
        <f t="shared" si="757"/>
        <v>68</v>
      </c>
      <c r="Q90" s="54">
        <f t="shared" si="642"/>
        <v>2.774</v>
      </c>
      <c r="R90" s="45">
        <f t="shared" si="758"/>
        <v>1</v>
      </c>
      <c r="S90" s="46">
        <f t="shared" si="759"/>
        <v>2</v>
      </c>
      <c r="T90" s="72">
        <f t="shared" si="760"/>
        <v>0</v>
      </c>
      <c r="U90" s="46" cm="1">
        <f t="array" ref="U90">ROUND(IFERROR(INDEX(ArchiveResults!$F$5:$IX$116,ComparisonData!A90,ComparisonData!$U$1),0),5)</f>
        <v>0</v>
      </c>
      <c r="V90" s="46" cm="1">
        <f t="array" ref="V90">ROUND(IFERROR(INDEX(ArchiveResults!$F$5:$IX$116,ComparisonData!A90,ComparisonData!$V$1),0),5)</f>
        <v>0</v>
      </c>
      <c r="W90" s="56">
        <v>85</v>
      </c>
      <c r="X90" s="53" t="str">
        <f t="shared" si="643"/>
        <v>The Postal Museum: the Royal Mail Archive</v>
      </c>
      <c r="Y90" s="57">
        <f t="shared" si="761"/>
        <v>0</v>
      </c>
      <c r="Z90" s="57">
        <f t="shared" si="762"/>
        <v>0</v>
      </c>
      <c r="AA90" s="58">
        <f t="shared" si="763"/>
        <v>0</v>
      </c>
      <c r="AB90" s="45">
        <f t="shared" si="764"/>
        <v>68</v>
      </c>
      <c r="AC90" s="54">
        <f t="shared" si="644"/>
        <v>2.774</v>
      </c>
      <c r="AD90" s="45">
        <f t="shared" si="765"/>
        <v>1</v>
      </c>
      <c r="AE90" s="45">
        <f t="shared" si="766"/>
        <v>2</v>
      </c>
      <c r="AF90" s="45">
        <f t="shared" si="639"/>
        <v>0</v>
      </c>
      <c r="AG90" s="46" cm="1">
        <f t="array" ref="AG90">ROUND(IFERROR(INDEX(ArchiveResults!$F$5:$IX$116,ComparisonData!A90,ComparisonData!$AG$1),0),5)</f>
        <v>0</v>
      </c>
      <c r="AH90" s="46" cm="1">
        <f t="array" ref="AH90">ROUND(IFERROR(INDEX(ArchiveResults!$F$5:$IX$116,ComparisonData!A90,ComparisonData!$AH$1),0),5)</f>
        <v>0</v>
      </c>
      <c r="AI90" s="56">
        <v>85</v>
      </c>
      <c r="AJ90" s="53" t="str">
        <f t="shared" si="645"/>
        <v>The Postal Museum: the Royal Mail Archive</v>
      </c>
      <c r="AK90" s="59">
        <f t="shared" si="646"/>
        <v>0</v>
      </c>
      <c r="AL90" s="59">
        <f t="shared" si="647"/>
        <v>0</v>
      </c>
      <c r="AM90" s="58">
        <f t="shared" si="767"/>
        <v>0</v>
      </c>
      <c r="AN90" s="45">
        <f t="shared" si="768"/>
        <v>68</v>
      </c>
      <c r="AO90" s="54">
        <f t="shared" si="648"/>
        <v>2.774</v>
      </c>
      <c r="AP90" s="45">
        <f t="shared" si="769"/>
        <v>1</v>
      </c>
      <c r="AQ90" s="45">
        <f t="shared" si="770"/>
        <v>2</v>
      </c>
      <c r="AR90" s="46" cm="1">
        <f t="array" ref="AR90">ROUND(IFERROR(INDEX(ArchiveResults!$F$5:$IX$116,ComparisonData!A90,ComparisonData!$AR$1),0),5)</f>
        <v>0</v>
      </c>
      <c r="AS90" s="46" cm="1">
        <f t="array" ref="AS90">ROUND(IFERROR(INDEX(ArchiveResults!$F$5:$IX$116,ComparisonData!A90,ComparisonData!$AS$1),0),5)</f>
        <v>0</v>
      </c>
      <c r="AT90" s="46" cm="1">
        <f t="array" ref="AT90">ROUND(IFERROR(INDEX(ArchiveResults!$F$5:$IX$116,ComparisonData!A90,ComparisonData!$AT$1),0),5)</f>
        <v>0</v>
      </c>
      <c r="AU90" s="46" cm="1">
        <f t="array" ref="AU90">ROUND(IFERROR(INDEX(ArchiveResults!$F$5:$IX$116,ComparisonData!A90,ComparisonData!$AU$1),0),5)</f>
        <v>0</v>
      </c>
      <c r="AV90" s="46" cm="1">
        <f t="array" ref="AV90">ROUND(IFERROR(INDEX(ArchiveResults!$F$5:$IX$116,ComparisonData!A90,ComparisonData!$AV$1),0),5)</f>
        <v>0</v>
      </c>
      <c r="AW90" s="46" cm="1">
        <f t="array" ref="AW90">ROUND(IFERROR(INDEX(ArchiveResults!$F$5:$IX$116,ComparisonData!A90,ComparisonData!$AW$1),0),5)</f>
        <v>0</v>
      </c>
      <c r="AX90" s="46" cm="1">
        <f t="array" ref="AX90">ROUND(IFERROR(INDEX(ArchiveResults!$F$5:$IX$116,ComparisonData!A90,ComparisonData!$AX$1),0),5)</f>
        <v>0</v>
      </c>
      <c r="AY90" s="46" cm="1">
        <f t="array" ref="AY90">ROUND(IFERROR(INDEX(ArchiveResults!$F$5:$IX$116,ComparisonData!A90,ComparisonData!$AY$1),0),5)</f>
        <v>0</v>
      </c>
      <c r="AZ90" s="46" cm="1">
        <f t="array" ref="AZ90">ROUND(IFERROR(INDEX(ArchiveResults!$F$5:$IX$116,ComparisonData!A90,ComparisonData!$AZ$1),0),5)</f>
        <v>0</v>
      </c>
      <c r="BA90" s="46" cm="1">
        <f t="array" ref="BA90">ROUND(IFERROR(INDEX(ArchiveResults!$F$5:$IX$116,ComparisonData!A90,ComparisonData!$BA$1),0),5)</f>
        <v>0</v>
      </c>
      <c r="BB90" s="56">
        <v>85</v>
      </c>
      <c r="BC90" s="53" t="str">
        <f t="shared" si="649"/>
        <v>The Postal Museum: the Royal Mail Archive</v>
      </c>
      <c r="BD90" s="60">
        <f t="shared" si="771"/>
        <v>0</v>
      </c>
      <c r="BE90" s="60">
        <f t="shared" si="772"/>
        <v>0</v>
      </c>
      <c r="BF90" s="60">
        <f t="shared" si="773"/>
        <v>0</v>
      </c>
      <c r="BG90" s="60">
        <f t="shared" si="774"/>
        <v>0</v>
      </c>
      <c r="BH90" s="60">
        <f t="shared" si="775"/>
        <v>0</v>
      </c>
      <c r="BI90" s="60">
        <f t="shared" si="776"/>
        <v>0</v>
      </c>
      <c r="BJ90" s="60">
        <f t="shared" si="777"/>
        <v>0</v>
      </c>
      <c r="BK90" s="60">
        <f t="shared" si="778"/>
        <v>0</v>
      </c>
      <c r="BL90" s="60">
        <f t="shared" si="779"/>
        <v>0</v>
      </c>
      <c r="BM90" s="59">
        <f t="shared" si="780"/>
        <v>0</v>
      </c>
      <c r="BN90" s="58">
        <f t="shared" si="781"/>
        <v>0</v>
      </c>
      <c r="BO90" s="45">
        <f t="shared" si="782"/>
        <v>68</v>
      </c>
      <c r="BP90" s="54">
        <f t="shared" si="650"/>
        <v>2.774</v>
      </c>
      <c r="BQ90" s="45">
        <f t="shared" si="783"/>
        <v>1</v>
      </c>
      <c r="BR90" s="45">
        <f t="shared" si="784"/>
        <v>2</v>
      </c>
      <c r="BS90" s="46" cm="1">
        <f t="array" ref="BS90">ROUND(IFERROR(INDEX(ArchiveResults!$F$5:$IX$116,ComparisonData!A90,ComparisonData!$BS$1),0),5)</f>
        <v>0</v>
      </c>
      <c r="BT90" s="46" cm="1">
        <f t="array" ref="BT90">ROUND(IFERROR(INDEX(ArchiveResults!$F$5:$IX$116,ComparisonData!A90,ComparisonData!$BT$1),0),5)</f>
        <v>0</v>
      </c>
      <c r="BU90" s="46" cm="1">
        <f t="array" ref="BU90">ROUND(IFERROR(INDEX(ArchiveResults!$F$5:$IX$116,ComparisonData!A90,ComparisonData!$BU$1),0),5)</f>
        <v>0</v>
      </c>
      <c r="BV90" s="46" cm="1">
        <f t="array" ref="BV90">ROUND(IFERROR(INDEX(ArchiveResults!$F$5:$IX$116,ComparisonData!A90,ComparisonData!$BV$1),0),5)</f>
        <v>0</v>
      </c>
      <c r="BW90" s="46" cm="1">
        <f t="array" ref="BW90">ROUND(IFERROR(INDEX(ArchiveResults!$F$5:$IX$116,ComparisonData!A90,ComparisonData!$BW$1),0),5)</f>
        <v>0</v>
      </c>
      <c r="BX90" s="46" cm="1">
        <f t="array" ref="BX90">ROUND(IFERROR(INDEX(ArchiveResults!$F$5:$IX$116,ComparisonData!A90,ComparisonData!$BX$1),0),5)</f>
        <v>0</v>
      </c>
      <c r="BY90" s="56">
        <v>85</v>
      </c>
      <c r="BZ90" s="53" t="str">
        <f t="shared" si="651"/>
        <v>The Postal Museum: the Royal Mail Archive</v>
      </c>
      <c r="CA90" s="59">
        <f t="shared" si="785"/>
        <v>0</v>
      </c>
      <c r="CB90" s="59">
        <f t="shared" si="786"/>
        <v>0</v>
      </c>
      <c r="CC90" s="59">
        <f t="shared" si="787"/>
        <v>0</v>
      </c>
      <c r="CD90" s="59">
        <f t="shared" si="788"/>
        <v>0</v>
      </c>
      <c r="CE90" s="59">
        <f t="shared" si="789"/>
        <v>0</v>
      </c>
      <c r="CF90" s="59">
        <f t="shared" si="790"/>
        <v>0</v>
      </c>
      <c r="CG90" s="58">
        <f t="shared" si="791"/>
        <v>0</v>
      </c>
      <c r="CH90" s="45">
        <f t="shared" si="792"/>
        <v>68</v>
      </c>
      <c r="CI90" s="54">
        <f t="shared" si="652"/>
        <v>2.774</v>
      </c>
      <c r="CJ90" s="45">
        <f t="shared" si="793"/>
        <v>1</v>
      </c>
      <c r="CK90" s="45">
        <f t="shared" si="794"/>
        <v>2</v>
      </c>
      <c r="CL90" s="46" cm="1">
        <f t="array" ref="CL90">ROUND(IFERROR(INDEX(ArchiveResults!$F$5:$IX$116,ComparisonData!A90,ComparisonData!$CL$1),0),5)</f>
        <v>0</v>
      </c>
      <c r="CM90" s="56">
        <v>85</v>
      </c>
      <c r="CN90" s="53" t="str">
        <f t="shared" si="653"/>
        <v>The Postal Museum: the Royal Mail Archive</v>
      </c>
      <c r="CO90" s="45">
        <f t="shared" si="795"/>
        <v>0</v>
      </c>
      <c r="CP90" s="58">
        <f t="shared" si="796"/>
        <v>0</v>
      </c>
      <c r="CQ90" s="45">
        <f t="shared" si="797"/>
        <v>68</v>
      </c>
      <c r="CR90" s="54">
        <f t="shared" si="654"/>
        <v>2.774</v>
      </c>
      <c r="CS90" s="45">
        <f t="shared" si="798"/>
        <v>1</v>
      </c>
      <c r="CT90" s="45">
        <f t="shared" si="799"/>
        <v>2</v>
      </c>
      <c r="CU90" s="46" cm="1">
        <f t="array" ref="CU90">ROUND(IFERROR(INDEX(ArchiveResults!$F$5:$IX$116,ComparisonData!A90,ComparisonData!$CU$1),0),5)</f>
        <v>0</v>
      </c>
      <c r="CV90" s="56">
        <v>85</v>
      </c>
      <c r="CW90" s="53" t="str">
        <f t="shared" si="655"/>
        <v>The Postal Museum: the Royal Mail Archive</v>
      </c>
      <c r="CX90" s="45">
        <f t="shared" si="800"/>
        <v>0</v>
      </c>
      <c r="CY90" s="58">
        <f t="shared" si="801"/>
        <v>0</v>
      </c>
      <c r="CZ90" s="45">
        <f t="shared" si="802"/>
        <v>68</v>
      </c>
      <c r="DA90" s="54">
        <f t="shared" si="656"/>
        <v>2.774</v>
      </c>
      <c r="DB90" s="45">
        <f t="shared" si="803"/>
        <v>1</v>
      </c>
      <c r="DC90" s="45">
        <f t="shared" si="804"/>
        <v>2</v>
      </c>
      <c r="DD90" s="46" cm="1">
        <f t="array" ref="DD90">ROUND(IFERROR(INDEX(ArchiveResults!$F$5:$IX$116,ComparisonData!A90,ComparisonData!$DD$1),0),5)</f>
        <v>0</v>
      </c>
      <c r="DE90" s="56">
        <v>85</v>
      </c>
      <c r="DF90" s="53" t="str">
        <f t="shared" si="657"/>
        <v>The Postal Museum: the Royal Mail Archive</v>
      </c>
      <c r="DG90" s="45">
        <f t="shared" si="805"/>
        <v>0</v>
      </c>
      <c r="DH90" s="58">
        <f t="shared" si="806"/>
        <v>0</v>
      </c>
      <c r="DI90" s="45">
        <f t="shared" si="807"/>
        <v>68</v>
      </c>
      <c r="DJ90" s="54">
        <f t="shared" si="658"/>
        <v>2.774</v>
      </c>
      <c r="DK90" s="45">
        <f t="shared" si="808"/>
        <v>1</v>
      </c>
      <c r="DL90" s="45">
        <f t="shared" si="809"/>
        <v>2</v>
      </c>
      <c r="DM90" s="46" cm="1">
        <f t="array" ref="DM90">ROUND(IFERROR(INDEX(ArchiveResults!$F$5:$IX$116,ComparisonData!A90,ComparisonData!$DM$1),0),5)</f>
        <v>0</v>
      </c>
      <c r="DN90" s="46" cm="1">
        <f t="array" ref="DN90">ROUND(IFERROR(INDEX(ArchiveResults!$F$5:$IX$116,ComparisonData!A90,ComparisonData!$DN$1),0),5)</f>
        <v>0</v>
      </c>
      <c r="DO90" s="46" cm="1">
        <f t="array" ref="DO90">ROUND(IFERROR(INDEX(ArchiveResults!$F$5:$IX$116,ComparisonData!A90,ComparisonData!$DO$1),0),5)</f>
        <v>0</v>
      </c>
      <c r="DP90" s="46" cm="1">
        <f t="array" ref="DP90">ROUND(IFERROR(INDEX(ArchiveResults!$F$5:$IX$116,ComparisonData!A90,ComparisonData!$DP$1),0),5)</f>
        <v>0</v>
      </c>
      <c r="DQ90" s="45" cm="1">
        <f t="array" ref="DQ90">IFERROR(INDEX(ArchiveResults!$F$5:$IX$116,ComparisonData!A90,ComparisonData!$DQ$1),0)</f>
        <v>0</v>
      </c>
      <c r="DR90" s="56">
        <v>85</v>
      </c>
      <c r="DS90" s="53" t="str">
        <f t="shared" si="659"/>
        <v>The Postal Museum: the Royal Mail Archive</v>
      </c>
      <c r="DT90" s="59">
        <f t="shared" si="810"/>
        <v>0</v>
      </c>
      <c r="DU90" s="59">
        <f t="shared" si="811"/>
        <v>0</v>
      </c>
      <c r="DV90" s="59">
        <f t="shared" si="812"/>
        <v>0</v>
      </c>
      <c r="DW90" s="59">
        <f t="shared" si="813"/>
        <v>0</v>
      </c>
      <c r="DX90" s="59">
        <f t="shared" si="814"/>
        <v>0</v>
      </c>
      <c r="DY90" s="58">
        <f t="shared" si="815"/>
        <v>0</v>
      </c>
      <c r="DZ90" s="45">
        <f t="shared" si="816"/>
        <v>68</v>
      </c>
      <c r="EA90" s="54">
        <f t="shared" si="660"/>
        <v>2.774</v>
      </c>
      <c r="EB90" s="45">
        <f t="shared" si="817"/>
        <v>1</v>
      </c>
      <c r="EC90" s="45">
        <f t="shared" si="818"/>
        <v>2</v>
      </c>
      <c r="ED90" s="46" cm="1">
        <f t="array" ref="ED90">ROUND(IFERROR(INDEX(ArchiveResults!$F$5:$IX$116,ComparisonData!A90,ComparisonData!$ED$1),0),5)</f>
        <v>0</v>
      </c>
      <c r="EE90" s="46" cm="1">
        <f t="array" ref="EE90">ROUND(IFERROR(INDEX(ArchiveResults!$F$5:$IX$116,ComparisonData!A90,ComparisonData!$EE$1),0),5)</f>
        <v>0</v>
      </c>
      <c r="EF90" s="46" cm="1">
        <f t="array" ref="EF90">ROUND(IFERROR(INDEX(ArchiveResults!$F$5:$IX$116,ComparisonData!A90,ComparisonData!$EF$1),0),5)</f>
        <v>0</v>
      </c>
      <c r="EG90" s="46" cm="1">
        <f t="array" ref="EG90">ROUND(IFERROR(INDEX(ArchiveResults!$F$5:$IX$116,ComparisonData!A90,ComparisonData!$EG$1),0),5)</f>
        <v>0</v>
      </c>
      <c r="EH90" s="45" cm="1">
        <f t="array" ref="EH90">IFERROR(INDEX(ArchiveResults!$F$5:$IX$116,ComparisonData!A90,ComparisonData!$EH$1),0)</f>
        <v>0</v>
      </c>
      <c r="EI90" s="56">
        <v>85</v>
      </c>
      <c r="EJ90" s="53" t="str">
        <f t="shared" si="661"/>
        <v>The Postal Museum: the Royal Mail Archive</v>
      </c>
      <c r="EK90" s="59">
        <f t="shared" si="819"/>
        <v>0</v>
      </c>
      <c r="EL90" s="59">
        <f t="shared" si="820"/>
        <v>0</v>
      </c>
      <c r="EM90" s="59">
        <f t="shared" si="821"/>
        <v>0</v>
      </c>
      <c r="EN90" s="59">
        <f t="shared" si="822"/>
        <v>0</v>
      </c>
      <c r="EO90" s="59">
        <f t="shared" si="823"/>
        <v>0</v>
      </c>
      <c r="EP90" s="58">
        <f t="shared" si="824"/>
        <v>0</v>
      </c>
      <c r="EQ90" s="45">
        <f t="shared" si="825"/>
        <v>68</v>
      </c>
      <c r="ER90" s="54">
        <f t="shared" si="662"/>
        <v>2.774</v>
      </c>
      <c r="ES90" s="45">
        <f t="shared" si="826"/>
        <v>1</v>
      </c>
      <c r="ET90" s="45">
        <f t="shared" si="827"/>
        <v>2</v>
      </c>
      <c r="EU90" s="46" cm="1">
        <f t="array" ref="EU90">ROUND(IFERROR(INDEX(ArchiveResults!$F$5:$IX$116,ComparisonData!A90,ComparisonData!$EU$1),0),5)</f>
        <v>0</v>
      </c>
      <c r="EV90" s="46" cm="1">
        <f t="array" ref="EV90">ROUND(IFERROR(INDEX(ArchiveResults!$F$5:$IX$116,ComparisonData!A90,ComparisonData!$EV$1),0),5)</f>
        <v>0</v>
      </c>
      <c r="EW90" s="46" cm="1">
        <f t="array" ref="EW90">ROUND(IFERROR(INDEX(ArchiveResults!$F$5:$IX$116,ComparisonData!A90,ComparisonData!$EW$1),0),5)</f>
        <v>0</v>
      </c>
      <c r="EX90" s="46" cm="1">
        <f t="array" ref="EX90">ROUND(IFERROR(INDEX(ArchiveResults!$F$5:$IX$116,ComparisonData!A90,ComparisonData!$EX$1),0),5)</f>
        <v>0</v>
      </c>
      <c r="EY90" s="45" cm="1">
        <f t="array" ref="EY90">IFERROR(INDEX(ArchiveResults!$F$5:$IX$116,ComparisonData!A90,ComparisonData!$EY$1),0)</f>
        <v>0</v>
      </c>
      <c r="EZ90" s="56">
        <v>85</v>
      </c>
      <c r="FA90" s="53" t="str">
        <f t="shared" si="663"/>
        <v>The Postal Museum: the Royal Mail Archive</v>
      </c>
      <c r="FB90" s="59">
        <f t="shared" si="828"/>
        <v>0</v>
      </c>
      <c r="FC90" s="59">
        <f t="shared" si="829"/>
        <v>0</v>
      </c>
      <c r="FD90" s="59">
        <f t="shared" si="830"/>
        <v>0</v>
      </c>
      <c r="FE90" s="59">
        <f t="shared" si="831"/>
        <v>0</v>
      </c>
      <c r="FF90" s="59">
        <f t="shared" si="832"/>
        <v>0</v>
      </c>
      <c r="FG90" s="58">
        <f t="shared" si="833"/>
        <v>0</v>
      </c>
      <c r="FH90" s="45">
        <f t="shared" si="834"/>
        <v>68</v>
      </c>
      <c r="FI90" s="54">
        <f t="shared" si="664"/>
        <v>2.774</v>
      </c>
      <c r="FJ90" s="45">
        <f t="shared" si="835"/>
        <v>1</v>
      </c>
      <c r="FK90" s="45">
        <f t="shared" si="836"/>
        <v>2</v>
      </c>
      <c r="FL90" s="46" cm="1">
        <f t="array" ref="FL90">ROUND(IFERROR(INDEX(ArchiveResults!$F$5:$IX$116,ComparisonData!A90,ComparisonData!$FL$1),0),5)</f>
        <v>0</v>
      </c>
      <c r="FM90" s="46" cm="1">
        <f t="array" ref="FM90">ROUND(IFERROR(INDEX(ArchiveResults!$F$5:$IX$116,ComparisonData!A90,ComparisonData!$FM$1),0),5)</f>
        <v>0</v>
      </c>
      <c r="FN90" s="46" cm="1">
        <f t="array" ref="FN90">ROUND(IFERROR(INDEX(ArchiveResults!$F$5:$IX$116,ComparisonData!A90,ComparisonData!$FN$1),0),5)</f>
        <v>0</v>
      </c>
      <c r="FO90" s="46" cm="1">
        <f t="array" ref="FO90">ROUND(IFERROR(INDEX(ArchiveResults!$F$5:$IX$116,ComparisonData!A90,ComparisonData!$FO$1),0),5)</f>
        <v>0</v>
      </c>
      <c r="FP90" s="45" cm="1">
        <f t="array" ref="FP90">IFERROR(INDEX(ArchiveResults!$F$5:$IX$116,ComparisonData!A90,ComparisonData!$FP$1),0)</f>
        <v>0</v>
      </c>
      <c r="FQ90" s="56">
        <v>85</v>
      </c>
      <c r="FR90" s="53" t="str">
        <f t="shared" si="665"/>
        <v>The Postal Museum: the Royal Mail Archive</v>
      </c>
      <c r="FS90" s="59">
        <f t="shared" si="837"/>
        <v>0</v>
      </c>
      <c r="FT90" s="59">
        <f t="shared" si="838"/>
        <v>0</v>
      </c>
      <c r="FU90" s="59">
        <f t="shared" si="839"/>
        <v>0</v>
      </c>
      <c r="FV90" s="59">
        <f t="shared" si="840"/>
        <v>0</v>
      </c>
      <c r="FW90" s="59">
        <f t="shared" si="841"/>
        <v>0</v>
      </c>
      <c r="FX90" s="58">
        <f t="shared" si="842"/>
        <v>0</v>
      </c>
      <c r="FY90" s="45">
        <f t="shared" si="843"/>
        <v>68</v>
      </c>
      <c r="FZ90" s="45">
        <f t="shared" si="666"/>
        <v>2.774</v>
      </c>
      <c r="GA90" s="45">
        <f t="shared" si="844"/>
        <v>1</v>
      </c>
      <c r="GB90" s="45">
        <f t="shared" si="845"/>
        <v>2</v>
      </c>
      <c r="GC90" s="46" cm="1">
        <f t="array" ref="GC90">ROUND(IFERROR(INDEX(ArchiveResults!$F$5:$IX$116,ComparisonData!A90,ComparisonData!$GC$1),0),5)</f>
        <v>0</v>
      </c>
      <c r="GD90" s="46" cm="1">
        <f t="array" ref="GD90">ROUND(IFERROR(INDEX(ArchiveResults!$F$5:$IX$116,ComparisonData!A90,ComparisonData!$GD$1),0),5)</f>
        <v>0</v>
      </c>
      <c r="GE90" s="46" cm="1">
        <f t="array" ref="GE90">ROUND(IFERROR(INDEX(ArchiveResults!$F$5:$IX$116,ComparisonData!A90,ComparisonData!$GE$1),0),5)</f>
        <v>0</v>
      </c>
      <c r="GF90" s="46" cm="1">
        <f t="array" ref="GF90">ROUND(IFERROR(INDEX(ArchiveResults!$F$5:$IX$116,ComparisonData!A90,ComparisonData!$GF$1),0),5)</f>
        <v>0</v>
      </c>
      <c r="GG90" s="45" cm="1">
        <f t="array" ref="GG90">IFERROR(INDEX(ArchiveResults!$F$5:$IX$116,ComparisonData!A90,ComparisonData!$GG$1),0)</f>
        <v>0</v>
      </c>
      <c r="GH90" s="56">
        <v>85</v>
      </c>
      <c r="GI90" s="53" t="str">
        <f t="shared" si="667"/>
        <v>The Postal Museum: the Royal Mail Archive</v>
      </c>
      <c r="GJ90" s="59">
        <f t="shared" si="846"/>
        <v>0</v>
      </c>
      <c r="GK90" s="59">
        <f t="shared" si="847"/>
        <v>0</v>
      </c>
      <c r="GL90" s="59">
        <f t="shared" si="848"/>
        <v>0</v>
      </c>
      <c r="GM90" s="59">
        <f t="shared" si="849"/>
        <v>0</v>
      </c>
      <c r="GN90" s="59">
        <f t="shared" si="850"/>
        <v>0</v>
      </c>
      <c r="GO90" s="58">
        <f t="shared" si="851"/>
        <v>0</v>
      </c>
      <c r="GP90" s="45">
        <f t="shared" si="852"/>
        <v>68</v>
      </c>
      <c r="GQ90" s="45">
        <f t="shared" si="668"/>
        <v>2.774</v>
      </c>
      <c r="GR90" s="45">
        <f t="shared" si="853"/>
        <v>1</v>
      </c>
      <c r="GS90" s="45">
        <f t="shared" si="854"/>
        <v>2</v>
      </c>
      <c r="GT90" s="46" cm="1">
        <f t="array" ref="GT90">ROUND(IFERROR(INDEX(ArchiveResults!$F$5:$IX$116,ComparisonData!A90,ComparisonData!$GT$1),0),5)</f>
        <v>0</v>
      </c>
      <c r="GU90" s="46" cm="1">
        <f t="array" ref="GU90">ROUND(IFERROR(INDEX(ArchiveResults!$F$5:$IX$116,ComparisonData!A90,ComparisonData!$GU$1),0),5)</f>
        <v>0</v>
      </c>
      <c r="GV90" s="46" cm="1">
        <f t="array" ref="GV90">ROUND(IFERROR(INDEX(ArchiveResults!$F$5:$IX$116,ComparisonData!A90,ComparisonData!$GV$1),0),5)</f>
        <v>0</v>
      </c>
      <c r="GW90" s="46" cm="1">
        <f t="array" ref="GW90">ROUND(IFERROR(INDEX(ArchiveResults!$F$5:$IX$116,ComparisonData!A90,ComparisonData!$GW$1),0),5)</f>
        <v>0</v>
      </c>
      <c r="GX90" s="45" cm="1">
        <f t="array" ref="GX90">IFERROR(INDEX(ArchiveResults!$F$5:$IX$116,ComparisonData!A90,ComparisonData!$GX$1),0)</f>
        <v>0</v>
      </c>
      <c r="GY90" s="56">
        <v>85</v>
      </c>
      <c r="GZ90" s="53" t="str">
        <f t="shared" si="669"/>
        <v>The Postal Museum: the Royal Mail Archive</v>
      </c>
      <c r="HA90" s="59">
        <f t="shared" si="855"/>
        <v>0</v>
      </c>
      <c r="HB90" s="59">
        <f t="shared" si="856"/>
        <v>0</v>
      </c>
      <c r="HC90" s="59">
        <f t="shared" si="857"/>
        <v>0</v>
      </c>
      <c r="HD90" s="59">
        <f t="shared" si="858"/>
        <v>0</v>
      </c>
      <c r="HE90" s="59">
        <f t="shared" si="859"/>
        <v>0</v>
      </c>
      <c r="HF90" s="58">
        <f t="shared" si="860"/>
        <v>0</v>
      </c>
      <c r="HG90" s="45">
        <f t="shared" si="861"/>
        <v>68</v>
      </c>
      <c r="HH90" s="45">
        <f t="shared" si="670"/>
        <v>2.774</v>
      </c>
      <c r="HI90" s="45">
        <f t="shared" si="862"/>
        <v>1</v>
      </c>
      <c r="HJ90" s="45">
        <f t="shared" si="863"/>
        <v>2</v>
      </c>
      <c r="HK90" s="46" cm="1">
        <f t="array" ref="HK90">ROUND(IFERROR(INDEX(ArchiveResults!$F$5:$IX$116,ComparisonData!A90,ComparisonData!$HK$1),0),5)</f>
        <v>0</v>
      </c>
      <c r="HL90" s="46" cm="1">
        <f t="array" ref="HL90">ROUND(IFERROR(INDEX(ArchiveResults!$F$5:$IX$116,ComparisonData!A90,ComparisonData!$HL$1),0),5)</f>
        <v>0</v>
      </c>
      <c r="HM90" s="46" cm="1">
        <f t="array" ref="HM90">ROUND(IFERROR(INDEX(ArchiveResults!$F$5:$IX$116,ComparisonData!A90,ComparisonData!$HM$1),0),5)</f>
        <v>0</v>
      </c>
      <c r="HN90" s="46" cm="1">
        <f t="array" ref="HN90">ROUND(IFERROR(INDEX(ArchiveResults!$F$5:$IX$116,ComparisonData!A90,ComparisonData!$HN$1),0),5)</f>
        <v>0</v>
      </c>
      <c r="HO90" s="45" cm="1">
        <f t="array" ref="HO90">IFERROR(INDEX(ArchiveResults!$F$5:$IX$116,ComparisonData!A90,ComparisonData!$HO$1),0)</f>
        <v>0</v>
      </c>
      <c r="HP90" s="56">
        <v>85</v>
      </c>
      <c r="HQ90" s="53" t="str">
        <f t="shared" si="671"/>
        <v>The Postal Museum: the Royal Mail Archive</v>
      </c>
      <c r="HR90" s="59">
        <f t="shared" si="672"/>
        <v>0</v>
      </c>
      <c r="HS90" s="59">
        <f t="shared" si="673"/>
        <v>0</v>
      </c>
      <c r="HT90" s="59">
        <f t="shared" si="674"/>
        <v>0</v>
      </c>
      <c r="HU90" s="59">
        <f t="shared" si="675"/>
        <v>0</v>
      </c>
      <c r="HV90" s="59">
        <f t="shared" si="676"/>
        <v>0</v>
      </c>
      <c r="HW90" s="58">
        <f t="shared" si="864"/>
        <v>0</v>
      </c>
      <c r="HX90" s="45">
        <f t="shared" si="865"/>
        <v>68</v>
      </c>
      <c r="HY90" s="45">
        <f t="shared" si="677"/>
        <v>2.774</v>
      </c>
      <c r="HZ90" s="45">
        <f t="shared" si="866"/>
        <v>1</v>
      </c>
      <c r="IA90" s="45">
        <f t="shared" si="867"/>
        <v>2</v>
      </c>
      <c r="IB90" s="45">
        <f t="shared" si="868"/>
        <v>0</v>
      </c>
      <c r="IC90" s="46" cm="1">
        <f t="array" ref="IC90">ROUND(IFERROR(INDEX(ArchiveResults!$F$5:$IX$116,ComparisonData!A90,ComparisonData!$IC$1),0),5)</f>
        <v>0</v>
      </c>
      <c r="ID90" s="46" cm="1">
        <f t="array" ref="ID90">ROUND(IFERROR(INDEX(ArchiveResults!$F$5:$IX$116,ComparisonData!A90,ComparisonData!$ID$1),0),5)</f>
        <v>0</v>
      </c>
      <c r="IE90" s="46" cm="1">
        <f t="array" ref="IE90">ROUND(IFERROR(INDEX(ArchiveResults!$F$5:$IX$116,ComparisonData!A90,ComparisonData!$IE$1),0),5)</f>
        <v>0</v>
      </c>
      <c r="IF90" s="46" cm="1">
        <f t="array" ref="IF90">ROUND(IFERROR(INDEX(ArchiveResults!$F$5:$IX$116,ComparisonData!A90,ComparisonData!$IF$1),0),5)</f>
        <v>0</v>
      </c>
      <c r="IG90" s="45" cm="1">
        <f t="array" ref="IG90">IFERROR(INDEX(ArchiveResults!$F$5:$IX$116,ComparisonData!A90,ComparisonData!$IG$1),0)</f>
        <v>0</v>
      </c>
      <c r="IH90" s="56">
        <v>85</v>
      </c>
      <c r="II90" s="53" t="str">
        <f t="shared" si="678"/>
        <v>The Postal Museum: the Royal Mail Archive</v>
      </c>
      <c r="IJ90" s="59">
        <f t="shared" si="869"/>
        <v>0</v>
      </c>
      <c r="IK90" s="59">
        <f t="shared" si="870"/>
        <v>0</v>
      </c>
      <c r="IL90" s="59">
        <f t="shared" si="871"/>
        <v>0</v>
      </c>
      <c r="IM90" s="59">
        <f t="shared" si="872"/>
        <v>0</v>
      </c>
      <c r="IN90" s="59">
        <f t="shared" si="873"/>
        <v>0</v>
      </c>
      <c r="IO90" s="58">
        <f t="shared" si="874"/>
        <v>0</v>
      </c>
      <c r="IP90" s="45">
        <f t="shared" si="875"/>
        <v>68</v>
      </c>
      <c r="IQ90" s="45">
        <f t="shared" si="679"/>
        <v>2.774</v>
      </c>
      <c r="IR90" s="45">
        <f t="shared" si="876"/>
        <v>1</v>
      </c>
      <c r="IS90" s="45">
        <f t="shared" si="877"/>
        <v>2</v>
      </c>
      <c r="IT90" s="46">
        <f t="shared" si="878"/>
        <v>0</v>
      </c>
      <c r="IU90" s="46" cm="1">
        <f t="array" ref="IU90">ROUND(IFERROR(INDEX(ArchiveResults!$F$5:$IX$116,ComparisonData!A90,ComparisonData!$IU$1),0),5)</f>
        <v>0</v>
      </c>
      <c r="IV90" s="46" cm="1">
        <f t="array" ref="IV90">ROUND(IFERROR(INDEX(ArchiveResults!$F$5:$IX$116,ComparisonData!A90,ComparisonData!$IV$1),0),5)</f>
        <v>0</v>
      </c>
      <c r="IW90" s="46" cm="1">
        <f t="array" ref="IW90">ROUND(IFERROR(INDEX(ArchiveResults!$F$5:$IX$116,ComparisonData!A90,ComparisonData!$IW$1),0),5)</f>
        <v>0</v>
      </c>
      <c r="IX90" s="46" cm="1">
        <f t="array" ref="IX90">ROUND(IFERROR(INDEX(ArchiveResults!$F$5:$IX$116,ComparisonData!A90,ComparisonData!$IX$1),0),5)</f>
        <v>0</v>
      </c>
      <c r="IY90" s="45" cm="1">
        <f t="array" ref="IY90">IFERROR(INDEX(ArchiveResults!$F$5:$IX$116,ComparisonData!A90,ComparisonData!$IY$1),0)</f>
        <v>0</v>
      </c>
      <c r="IZ90" s="56">
        <v>85</v>
      </c>
      <c r="JA90" s="53" t="str">
        <f t="shared" si="680"/>
        <v>The Postal Museum: the Royal Mail Archive</v>
      </c>
      <c r="JB90" s="59">
        <f t="shared" si="879"/>
        <v>0</v>
      </c>
      <c r="JC90" s="59">
        <f t="shared" si="880"/>
        <v>0</v>
      </c>
      <c r="JD90" s="59">
        <f t="shared" si="881"/>
        <v>0</v>
      </c>
      <c r="JE90" s="59">
        <f t="shared" si="882"/>
        <v>0</v>
      </c>
      <c r="JF90" s="59">
        <f t="shared" si="883"/>
        <v>0</v>
      </c>
      <c r="JG90" s="58">
        <f t="shared" si="884"/>
        <v>0</v>
      </c>
      <c r="JH90" s="45">
        <f t="shared" si="885"/>
        <v>68</v>
      </c>
      <c r="JI90" s="45">
        <f t="shared" si="681"/>
        <v>2.774</v>
      </c>
      <c r="JJ90" s="45">
        <f t="shared" si="886"/>
        <v>1</v>
      </c>
      <c r="JK90" s="45">
        <f t="shared" si="887"/>
        <v>2</v>
      </c>
      <c r="JL90" s="45">
        <f t="shared" si="888"/>
        <v>0</v>
      </c>
      <c r="JM90" s="46" cm="1">
        <f t="array" ref="JM90">ROUND(IFERROR(INDEX(ArchiveResults!$F$5:$IX$116,ComparisonData!A90,ComparisonData!$JM$1),0),5)</f>
        <v>0</v>
      </c>
      <c r="JN90" s="46" cm="1">
        <f t="array" ref="JN90">ROUND(IFERROR(INDEX(ArchiveResults!$F$5:$IX$116,ComparisonData!A90,ComparisonData!$JN$1),0),5)</f>
        <v>0</v>
      </c>
      <c r="JO90" s="46" cm="1">
        <f t="array" ref="JO90">ROUND(IFERROR(INDEX(ArchiveResults!$F$5:$IX$116,ComparisonData!A90,ComparisonData!$JO$1),0),5)</f>
        <v>0</v>
      </c>
      <c r="JP90" s="46" cm="1">
        <f t="array" ref="JP90">ROUND(IFERROR(INDEX(ArchiveResults!$F$5:$IX$116,ComparisonData!A90,ComparisonData!$JP$1),0),5)</f>
        <v>0</v>
      </c>
      <c r="JQ90" s="45" cm="1">
        <f t="array" ref="JQ90">IFERROR(INDEX(ArchiveResults!$F$5:$IX$116,ComparisonData!A90,ComparisonData!$JQ$1),0)</f>
        <v>0</v>
      </c>
      <c r="JR90" s="56">
        <v>85</v>
      </c>
      <c r="JS90" s="53" t="str">
        <f t="shared" si="682"/>
        <v>The Postal Museum: the Royal Mail Archive</v>
      </c>
      <c r="JT90" s="59">
        <f t="shared" si="889"/>
        <v>0</v>
      </c>
      <c r="JU90" s="59">
        <f t="shared" si="890"/>
        <v>0</v>
      </c>
      <c r="JV90" s="59">
        <f t="shared" si="891"/>
        <v>0</v>
      </c>
      <c r="JW90" s="59">
        <f t="shared" si="892"/>
        <v>0</v>
      </c>
      <c r="JX90" s="59">
        <f t="shared" si="893"/>
        <v>0</v>
      </c>
      <c r="JY90" s="58">
        <f t="shared" si="894"/>
        <v>0</v>
      </c>
      <c r="JZ90" s="45">
        <f t="shared" si="895"/>
        <v>68</v>
      </c>
      <c r="KA90" s="45">
        <f t="shared" si="683"/>
        <v>2.774</v>
      </c>
      <c r="KB90" s="45">
        <f t="shared" si="896"/>
        <v>1</v>
      </c>
      <c r="KC90" s="45">
        <f t="shared" si="897"/>
        <v>2</v>
      </c>
      <c r="KD90" s="45">
        <f t="shared" si="898"/>
        <v>0</v>
      </c>
      <c r="KE90" s="46" cm="1">
        <f t="array" ref="KE90">ROUND(IFERROR(INDEX(ArchiveResults!$F$5:$IX$116,ComparisonData!A90,ComparisonData!$KE$1),0),5)</f>
        <v>0</v>
      </c>
      <c r="KF90" s="46" cm="1">
        <f t="array" ref="KF90">ROUND(IFERROR(INDEX(ArchiveResults!$F$5:$IX$116,ComparisonData!A90,ComparisonData!$KF$1),0),5)</f>
        <v>0</v>
      </c>
      <c r="KG90" s="46" cm="1">
        <f t="array" ref="KG90">ROUND(IFERROR(INDEX(ArchiveResults!$F$5:$IX$116,ComparisonData!A90,ComparisonData!$KG$1),0),5)</f>
        <v>0</v>
      </c>
      <c r="KH90" s="46" cm="1">
        <f t="array" ref="KH90">ROUND(IFERROR(INDEX(ArchiveResults!$F$5:$IX$116,ComparisonData!A90,ComparisonData!$KH$1),0),5)</f>
        <v>0</v>
      </c>
      <c r="KI90" s="45" cm="1">
        <f t="array" ref="KI90">IFERROR(INDEX(ArchiveResults!$F$5:$IX$116,ComparisonData!A90,ComparisonData!$KI$1),0)</f>
        <v>0</v>
      </c>
      <c r="KJ90" s="56">
        <v>85</v>
      </c>
      <c r="KK90" s="53" t="str">
        <f t="shared" si="684"/>
        <v>The Postal Museum: the Royal Mail Archive</v>
      </c>
      <c r="KL90" s="59">
        <f t="shared" si="899"/>
        <v>0</v>
      </c>
      <c r="KM90" s="59">
        <f t="shared" si="900"/>
        <v>0</v>
      </c>
      <c r="KN90" s="59">
        <f t="shared" si="901"/>
        <v>0</v>
      </c>
      <c r="KO90" s="59">
        <f t="shared" si="902"/>
        <v>0</v>
      </c>
      <c r="KP90" s="59">
        <f t="shared" si="903"/>
        <v>0</v>
      </c>
      <c r="KQ90" s="58">
        <f t="shared" si="904"/>
        <v>0</v>
      </c>
      <c r="KR90" s="45">
        <f t="shared" si="905"/>
        <v>68</v>
      </c>
      <c r="KS90" s="45">
        <f t="shared" si="685"/>
        <v>2.774</v>
      </c>
      <c r="KT90" s="45">
        <f t="shared" si="906"/>
        <v>1</v>
      </c>
      <c r="KU90" s="45">
        <f t="shared" si="907"/>
        <v>2</v>
      </c>
      <c r="KV90" s="45">
        <f t="shared" si="908"/>
        <v>0</v>
      </c>
      <c r="KW90" s="46" cm="1">
        <f t="array" ref="KW90">ROUND(IFERROR(INDEX(ArchiveResults!$F$5:$IX$116,ComparisonData!A90,ComparisonData!$KW$1),0),5)</f>
        <v>0</v>
      </c>
      <c r="KX90" s="46" cm="1">
        <f t="array" ref="KX90">ROUND(IFERROR(INDEX(ArchiveResults!$F$5:$IX$116,ComparisonData!A90,ComparisonData!$KX$1),0),5)</f>
        <v>0</v>
      </c>
      <c r="KY90" s="46" cm="1">
        <f t="array" ref="KY90">ROUND(IFERROR(INDEX(ArchiveResults!$F$5:$IX$116,ComparisonData!A90,ComparisonData!$KY$1),0),5)</f>
        <v>0</v>
      </c>
      <c r="KZ90" s="46" cm="1">
        <f t="array" ref="KZ90">ROUND(IFERROR(INDEX(ArchiveResults!$F$5:$IX$116,ComparisonData!A90,ComparisonData!$KZ$1),0),5)</f>
        <v>0</v>
      </c>
      <c r="LA90" s="45" cm="1">
        <f t="array" ref="LA90">IFERROR(INDEX(ArchiveResults!$F$5:$IX$116,ComparisonData!A90,ComparisonData!$LA$1),0)</f>
        <v>0</v>
      </c>
      <c r="LB90" s="56">
        <v>85</v>
      </c>
      <c r="LC90" s="53" t="str">
        <f t="shared" si="686"/>
        <v>The Postal Museum: the Royal Mail Archive</v>
      </c>
      <c r="LD90" s="59">
        <f t="shared" si="909"/>
        <v>0</v>
      </c>
      <c r="LE90" s="59">
        <f t="shared" si="910"/>
        <v>0</v>
      </c>
      <c r="LF90" s="59">
        <f t="shared" si="911"/>
        <v>0</v>
      </c>
      <c r="LG90" s="59">
        <f t="shared" si="912"/>
        <v>0</v>
      </c>
      <c r="LH90" s="59">
        <f t="shared" si="913"/>
        <v>0</v>
      </c>
      <c r="LI90" s="58">
        <f t="shared" si="914"/>
        <v>0</v>
      </c>
      <c r="LJ90" s="45">
        <f t="shared" si="915"/>
        <v>68</v>
      </c>
      <c r="LK90" s="45">
        <f t="shared" si="687"/>
        <v>2.774</v>
      </c>
      <c r="LL90" s="45">
        <f t="shared" si="916"/>
        <v>1</v>
      </c>
      <c r="LM90" s="45">
        <f t="shared" si="917"/>
        <v>2</v>
      </c>
      <c r="LN90" s="45">
        <f t="shared" si="918"/>
        <v>0</v>
      </c>
      <c r="LO90" s="46" cm="1">
        <f t="array" ref="LO90">ROUND(IFERROR(INDEX(ArchiveResults!$F$5:$IX$116,ComparisonData!A90,ComparisonData!$LO$1),0),5)</f>
        <v>0</v>
      </c>
      <c r="LP90" s="46" cm="1">
        <f t="array" ref="LP90">ROUND(IFERROR(INDEX(ArchiveResults!$F$5:$IX$116,ComparisonData!A90,ComparisonData!$LP$1),0),5)</f>
        <v>0</v>
      </c>
      <c r="LQ90" s="46" cm="1">
        <f t="array" ref="LQ90">ROUND(IFERROR(INDEX(ArchiveResults!$F$5:$IX$116,ComparisonData!A90,ComparisonData!$LQ$1),0),5)</f>
        <v>0</v>
      </c>
      <c r="LR90" s="46" cm="1">
        <f t="array" ref="LR90">ROUND(IFERROR(INDEX(ArchiveResults!$F$5:$IX$116,ComparisonData!A90,ComparisonData!$LR$1),0),5)</f>
        <v>0</v>
      </c>
      <c r="LS90" s="45" cm="1">
        <f t="array" ref="LS90">IFERROR(INDEX(ArchiveResults!$F$5:$IX$116,ComparisonData!A90,ComparisonData!$LS$1),0)</f>
        <v>0</v>
      </c>
      <c r="LT90" s="56">
        <v>85</v>
      </c>
      <c r="LU90" s="53" t="str">
        <f t="shared" si="688"/>
        <v>The Postal Museum: the Royal Mail Archive</v>
      </c>
      <c r="LV90" s="59">
        <f t="shared" si="919"/>
        <v>0</v>
      </c>
      <c r="LW90" s="59">
        <f t="shared" si="920"/>
        <v>0</v>
      </c>
      <c r="LX90" s="59">
        <f t="shared" si="921"/>
        <v>0</v>
      </c>
      <c r="LY90" s="59">
        <f t="shared" si="922"/>
        <v>0</v>
      </c>
      <c r="LZ90" s="59">
        <f t="shared" si="923"/>
        <v>0</v>
      </c>
      <c r="MA90" s="58">
        <f t="shared" si="924"/>
        <v>0</v>
      </c>
      <c r="MB90" s="45">
        <f t="shared" si="925"/>
        <v>68</v>
      </c>
      <c r="MC90" s="45">
        <f t="shared" si="689"/>
        <v>2.774</v>
      </c>
      <c r="MD90" s="45">
        <f t="shared" si="926"/>
        <v>1</v>
      </c>
      <c r="ME90" s="45">
        <f t="shared" si="927"/>
        <v>2</v>
      </c>
      <c r="MF90" s="45">
        <f t="shared" si="928"/>
        <v>0</v>
      </c>
      <c r="MG90" s="46" cm="1">
        <f t="array" ref="MG90">ROUND(IFERROR(INDEX(ArchiveResults!$F$5:$IX$116,ComparisonData!A90,ComparisonData!$MG$1),0),5)</f>
        <v>0</v>
      </c>
      <c r="MH90" s="46" cm="1">
        <f t="array" ref="MH90">ROUND(IFERROR(INDEX(ArchiveResults!$F$5:$IX$116,ComparisonData!A90,ComparisonData!$MH$1),0),5)</f>
        <v>0</v>
      </c>
      <c r="MI90" s="46" cm="1">
        <f t="array" ref="MI90">ROUND(IFERROR(INDEX(ArchiveResults!$F$5:$IX$116,ComparisonData!A90,ComparisonData!$MI$1),0),5)</f>
        <v>0</v>
      </c>
      <c r="MJ90" s="46" cm="1">
        <f t="array" ref="MJ90">ROUND(IFERROR(INDEX(ArchiveResults!$F$5:$IX$116,ComparisonData!A90,ComparisonData!$MJ$1),0),5)</f>
        <v>0</v>
      </c>
      <c r="MK90" s="45" cm="1">
        <f t="array" ref="MK90">IFERROR(INDEX(ArchiveResults!$F$5:$IX$116,ComparisonData!A90,ComparisonData!$MK$1),0)</f>
        <v>0</v>
      </c>
      <c r="ML90" s="56">
        <v>85</v>
      </c>
      <c r="MM90" s="53" t="str">
        <f t="shared" si="690"/>
        <v>The Postal Museum: the Royal Mail Archive</v>
      </c>
      <c r="MN90" s="59">
        <f t="shared" si="929"/>
        <v>0</v>
      </c>
      <c r="MO90" s="59">
        <f t="shared" si="930"/>
        <v>0</v>
      </c>
      <c r="MP90" s="59">
        <f t="shared" si="931"/>
        <v>0</v>
      </c>
      <c r="MQ90" s="59">
        <f t="shared" si="932"/>
        <v>0</v>
      </c>
      <c r="MR90" s="59">
        <f t="shared" si="933"/>
        <v>0</v>
      </c>
      <c r="MS90" s="58">
        <f t="shared" si="934"/>
        <v>0</v>
      </c>
      <c r="MT90" s="45">
        <f t="shared" si="935"/>
        <v>68</v>
      </c>
      <c r="MU90" s="45">
        <f t="shared" si="691"/>
        <v>2.774</v>
      </c>
      <c r="MV90" s="45">
        <f t="shared" si="936"/>
        <v>1</v>
      </c>
      <c r="MW90" s="45">
        <f t="shared" si="937"/>
        <v>2</v>
      </c>
      <c r="MX90" s="45">
        <f t="shared" si="938"/>
        <v>0</v>
      </c>
      <c r="MY90" s="46" cm="1">
        <f t="array" ref="MY90">ROUND(IFERROR(INDEX(ArchiveResults!$F$5:$IX$116,ComparisonData!A90,ComparisonData!$MY$1),0),5)</f>
        <v>0</v>
      </c>
      <c r="MZ90" s="46" cm="1">
        <f t="array" ref="MZ90">ROUND(IFERROR(INDEX(ArchiveResults!$F$5:$IX$116,ComparisonData!A90,ComparisonData!$MZ$1),0),5)</f>
        <v>0</v>
      </c>
      <c r="NA90" s="46" cm="1">
        <f t="array" ref="NA90">ROUND(IFERROR(INDEX(ArchiveResults!$F$5:$IX$116,ComparisonData!A90,ComparisonData!$NA$1),0),5)</f>
        <v>0</v>
      </c>
      <c r="NB90" s="46" cm="1">
        <f t="array" ref="NB90">ROUND(IFERROR(INDEX(ArchiveResults!$F$5:$IX$116,ComparisonData!A90,ComparisonData!$NB$1),0),5)</f>
        <v>0</v>
      </c>
      <c r="NC90" s="45" cm="1">
        <f t="array" ref="NC90">IFERROR(INDEX(ArchiveResults!$F$5:$IX$116,ComparisonData!A90,ComparisonData!$NC$1),0)</f>
        <v>0</v>
      </c>
      <c r="ND90" s="56">
        <v>85</v>
      </c>
      <c r="NE90" s="53" t="str">
        <f t="shared" si="692"/>
        <v>The Postal Museum: the Royal Mail Archive</v>
      </c>
      <c r="NF90" s="59">
        <f t="shared" si="939"/>
        <v>0</v>
      </c>
      <c r="NG90" s="59">
        <f t="shared" si="940"/>
        <v>0</v>
      </c>
      <c r="NH90" s="59">
        <f t="shared" si="941"/>
        <v>0</v>
      </c>
      <c r="NI90" s="59">
        <f t="shared" si="942"/>
        <v>0</v>
      </c>
      <c r="NJ90" s="59">
        <f t="shared" si="943"/>
        <v>0</v>
      </c>
      <c r="NK90" s="58">
        <f t="shared" si="944"/>
        <v>0</v>
      </c>
      <c r="NL90" s="45">
        <f t="shared" si="945"/>
        <v>68</v>
      </c>
      <c r="NM90" s="45">
        <f t="shared" si="693"/>
        <v>2.774</v>
      </c>
      <c r="NN90" s="45">
        <f t="shared" si="946"/>
        <v>1</v>
      </c>
      <c r="NO90" s="45">
        <f t="shared" si="947"/>
        <v>2</v>
      </c>
      <c r="NP90" s="46" cm="1">
        <f t="array" ref="NP90">ROUND(IFERROR(INDEX(ArchiveResults!$F$5:$IX$116,ComparisonData!A90,ComparisonData!$NP$1),0),5)</f>
        <v>0</v>
      </c>
      <c r="NQ90" s="46" cm="1">
        <f t="array" ref="NQ90">ROUND(IFERROR(INDEX(ArchiveResults!$F$5:$IX$116,ComparisonData!A90,ComparisonData!$NQ$1),0),5)</f>
        <v>0</v>
      </c>
      <c r="NR90" s="46" cm="1">
        <f t="array" ref="NR90">ROUND(IFERROR(INDEX(ArchiveResults!$F$5:$IX$116,ComparisonData!A90,ComparisonData!$NR$1),0),5)</f>
        <v>0</v>
      </c>
      <c r="NS90" s="46" cm="1">
        <f t="array" ref="NS90">ROUND(IFERROR(INDEX(ArchiveResults!$F$5:$IX$116,ComparisonData!A90,ComparisonData!$NS$1),0),5)</f>
        <v>0</v>
      </c>
      <c r="NT90" s="45" cm="1">
        <f t="array" ref="NT90">IFERROR(INDEX(ArchiveResults!$F$5:$IX$116,ComparisonData!A90,ComparisonData!$NT$1),0)</f>
        <v>0</v>
      </c>
      <c r="NU90" s="56">
        <v>85</v>
      </c>
      <c r="NV90" s="53" t="str">
        <f t="shared" si="694"/>
        <v>The Postal Museum: the Royal Mail Archive</v>
      </c>
      <c r="NW90" s="59">
        <f t="shared" si="948"/>
        <v>0</v>
      </c>
      <c r="NX90" s="59">
        <f t="shared" si="949"/>
        <v>0</v>
      </c>
      <c r="NY90" s="59">
        <f t="shared" si="950"/>
        <v>0</v>
      </c>
      <c r="NZ90" s="59">
        <f t="shared" si="951"/>
        <v>0</v>
      </c>
      <c r="OA90" s="59">
        <f t="shared" si="952"/>
        <v>0</v>
      </c>
      <c r="OB90" s="58">
        <f t="shared" si="953"/>
        <v>0</v>
      </c>
      <c r="OC90" s="45">
        <f t="shared" si="954"/>
        <v>68</v>
      </c>
      <c r="OD90" s="45">
        <f t="shared" si="695"/>
        <v>2.774</v>
      </c>
      <c r="OE90" s="45">
        <f t="shared" si="955"/>
        <v>1</v>
      </c>
      <c r="OF90" s="45">
        <f t="shared" si="956"/>
        <v>2</v>
      </c>
      <c r="OG90" s="46">
        <f t="shared" si="957"/>
        <v>0</v>
      </c>
      <c r="OH90" s="46" cm="1">
        <f t="array" ref="OH90">ROUND(IFERROR(INDEX(ArchiveResults!$F$5:$IX$116,ComparisonData!A90,ComparisonData!$OH$1),0),5)</f>
        <v>0</v>
      </c>
      <c r="OI90" s="46" cm="1">
        <f t="array" ref="OI90">ROUND(IFERROR(INDEX(ArchiveResults!$F$5:$IX$116,ComparisonData!A90,ComparisonData!$OI$1),0),5)</f>
        <v>0</v>
      </c>
      <c r="OJ90" s="46" cm="1">
        <f t="array" ref="OJ90">ROUND(IFERROR(INDEX(ArchiveResults!$F$5:$IX$116,ComparisonData!A90,ComparisonData!$OJ$1),0),5)</f>
        <v>0</v>
      </c>
      <c r="OK90" s="46" cm="1">
        <f t="array" ref="OK90">ROUND(IFERROR(INDEX(ArchiveResults!$F$5:$IX$116,ComparisonData!A90,ComparisonData!$OK$1),0),5)</f>
        <v>0</v>
      </c>
      <c r="OL90" s="45" cm="1">
        <f t="array" ref="OL90">IFERROR(INDEX(ArchiveResults!$F$5:$IX$116,ComparisonData!A90,ComparisonData!$OL$1),0)</f>
        <v>0</v>
      </c>
      <c r="OM90" s="56">
        <v>85</v>
      </c>
      <c r="ON90" s="53" t="str">
        <f t="shared" si="696"/>
        <v>The Postal Museum: the Royal Mail Archive</v>
      </c>
      <c r="OO90" s="59">
        <f t="shared" si="958"/>
        <v>0</v>
      </c>
      <c r="OP90" s="59">
        <f t="shared" si="959"/>
        <v>0</v>
      </c>
      <c r="OQ90" s="59">
        <f t="shared" si="960"/>
        <v>0</v>
      </c>
      <c r="OR90" s="59">
        <f t="shared" si="961"/>
        <v>0</v>
      </c>
      <c r="OS90" s="59">
        <f t="shared" si="962"/>
        <v>0</v>
      </c>
      <c r="OT90" s="58">
        <f t="shared" si="963"/>
        <v>0</v>
      </c>
      <c r="OU90" s="45">
        <f t="shared" si="964"/>
        <v>68</v>
      </c>
      <c r="OV90" s="45">
        <f t="shared" si="697"/>
        <v>2.774</v>
      </c>
      <c r="OW90" s="45">
        <f t="shared" si="965"/>
        <v>1</v>
      </c>
      <c r="OX90" s="45">
        <f t="shared" si="966"/>
        <v>2</v>
      </c>
      <c r="OY90" s="45">
        <f t="shared" si="967"/>
        <v>0</v>
      </c>
      <c r="OZ90" s="46" cm="1">
        <f t="array" ref="OZ90">ROUND(IFERROR(INDEX(ArchiveResults!$F$5:$IX$116,ComparisonData!A90,ComparisonData!$OZ$1),0),5)</f>
        <v>0</v>
      </c>
      <c r="PA90" s="46" cm="1">
        <f t="array" ref="PA90">ROUND(IFERROR(INDEX(ArchiveResults!$F$5:$IX$116,ComparisonData!A90,ComparisonData!$PA$1),0),5)</f>
        <v>0</v>
      </c>
      <c r="PB90" s="46" cm="1">
        <f t="array" ref="PB90">ROUND(IFERROR(INDEX(ArchiveResults!$F$5:$IX$116,ComparisonData!A90,ComparisonData!$PB$1),0),5)</f>
        <v>0</v>
      </c>
      <c r="PC90" s="46" cm="1">
        <f t="array" ref="PC90">ROUND(IFERROR(INDEX(ArchiveResults!$F$5:$IX$116,ComparisonData!A90,ComparisonData!$PC$1),0),5)</f>
        <v>0</v>
      </c>
      <c r="PD90" s="45" cm="1">
        <f t="array" ref="PD90">IFERROR(INDEX(ArchiveResults!$F$5:$IX$116,ComparisonData!A90,ComparisonData!$PD$1),0)</f>
        <v>0</v>
      </c>
      <c r="PE90" s="56">
        <v>85</v>
      </c>
      <c r="PF90" s="53" t="str">
        <f t="shared" si="698"/>
        <v>The Postal Museum: the Royal Mail Archive</v>
      </c>
      <c r="PG90" s="59">
        <f t="shared" si="968"/>
        <v>0</v>
      </c>
      <c r="PH90" s="59">
        <f t="shared" si="969"/>
        <v>0</v>
      </c>
      <c r="PI90" s="59">
        <f t="shared" si="970"/>
        <v>0</v>
      </c>
      <c r="PJ90" s="59">
        <f t="shared" si="971"/>
        <v>0</v>
      </c>
      <c r="PK90" s="59">
        <f t="shared" si="972"/>
        <v>0</v>
      </c>
      <c r="PL90" s="58">
        <f t="shared" si="973"/>
        <v>0</v>
      </c>
      <c r="PM90" s="45">
        <f t="shared" si="974"/>
        <v>68</v>
      </c>
      <c r="PN90" s="45">
        <f t="shared" si="699"/>
        <v>2.774</v>
      </c>
      <c r="PO90" s="45">
        <f t="shared" si="975"/>
        <v>1</v>
      </c>
      <c r="PP90" s="45">
        <f t="shared" si="976"/>
        <v>2</v>
      </c>
      <c r="PQ90" s="45">
        <f t="shared" si="977"/>
        <v>0</v>
      </c>
      <c r="PR90" s="46" cm="1">
        <f t="array" ref="PR90">ROUND(IFERROR(INDEX(ArchiveResults!$F$5:$IX$116,ComparisonData!A90,ComparisonData!$PR$1),0),5)</f>
        <v>0</v>
      </c>
      <c r="PS90" s="46" cm="1">
        <f t="array" ref="PS90">ROUND(IFERROR(INDEX(ArchiveResults!$F$5:$IX$116,ComparisonData!A90,ComparisonData!$PS$1),0),5)</f>
        <v>0</v>
      </c>
      <c r="PT90" s="46" cm="1">
        <f t="array" ref="PT90">ROUND(IFERROR(INDEX(ArchiveResults!$F$5:$IX$116,ComparisonData!A90,ComparisonData!$PT$1),0),5)</f>
        <v>0</v>
      </c>
      <c r="PU90" s="46" cm="1">
        <f t="array" ref="PU90">ROUND(IFERROR(INDEX(ArchiveResults!$F$5:$IX$116,ComparisonData!A90,ComparisonData!$PU$1),0),5)</f>
        <v>0</v>
      </c>
      <c r="PV90" s="45" cm="1">
        <f t="array" ref="PV90">IFERROR(INDEX(ArchiveResults!$F$5:$IX$116,ComparisonData!A90,ComparisonData!$PV$1),0)</f>
        <v>0</v>
      </c>
      <c r="PW90" s="56">
        <v>85</v>
      </c>
      <c r="PX90" s="53" t="str">
        <f t="shared" si="700"/>
        <v>The Postal Museum: the Royal Mail Archive</v>
      </c>
      <c r="PY90" s="59">
        <f t="shared" si="978"/>
        <v>0</v>
      </c>
      <c r="PZ90" s="59">
        <f t="shared" si="979"/>
        <v>0</v>
      </c>
      <c r="QA90" s="59">
        <f t="shared" si="980"/>
        <v>0</v>
      </c>
      <c r="QB90" s="59">
        <f t="shared" si="981"/>
        <v>0</v>
      </c>
      <c r="QC90" s="59">
        <f t="shared" si="982"/>
        <v>0</v>
      </c>
      <c r="QD90" s="58">
        <f t="shared" si="983"/>
        <v>0</v>
      </c>
      <c r="QE90" s="45">
        <f t="shared" si="984"/>
        <v>68</v>
      </c>
      <c r="QF90" s="45">
        <f t="shared" si="701"/>
        <v>2.774</v>
      </c>
      <c r="QG90" s="45">
        <f t="shared" si="985"/>
        <v>1</v>
      </c>
      <c r="QH90" s="45">
        <f t="shared" si="986"/>
        <v>2</v>
      </c>
      <c r="QI90" s="45">
        <f t="shared" si="987"/>
        <v>0</v>
      </c>
      <c r="QJ90" s="46" cm="1">
        <f t="array" ref="QJ90">ROUND(IFERROR(INDEX(ArchiveResults!$F$5:$IX$116,ComparisonData!A90,ComparisonData!$QJ$1),0),5)</f>
        <v>0</v>
      </c>
      <c r="QK90" s="46" cm="1">
        <f t="array" ref="QK90">ROUND(IFERROR(INDEX(ArchiveResults!$F$5:$IX$116,ComparisonData!A90,ComparisonData!$QK$1),0),5)</f>
        <v>0</v>
      </c>
      <c r="QL90" s="46" cm="1">
        <f t="array" ref="QL90">ROUND(IFERROR(INDEX(ArchiveResults!$F$5:$IX$116,ComparisonData!A90,ComparisonData!$QL$1),0),5)</f>
        <v>0</v>
      </c>
      <c r="QM90" s="46" cm="1">
        <f t="array" ref="QM90">ROUND(IFERROR(INDEX(ArchiveResults!$F$5:$IX$116,ComparisonData!A90,ComparisonData!$QM$1),0),5)</f>
        <v>0</v>
      </c>
      <c r="QN90" s="45" cm="1">
        <f t="array" ref="QN90">IFERROR(INDEX(ArchiveResults!$F$5:$IX$116,ComparisonData!A90,ComparisonData!$QN$1),0)</f>
        <v>0</v>
      </c>
      <c r="QO90" s="56">
        <v>85</v>
      </c>
      <c r="QP90" s="53" t="str">
        <f t="shared" si="702"/>
        <v>The Postal Museum: the Royal Mail Archive</v>
      </c>
      <c r="QQ90" s="59">
        <f t="shared" si="988"/>
        <v>0</v>
      </c>
      <c r="QR90" s="59">
        <f t="shared" si="989"/>
        <v>0</v>
      </c>
      <c r="QS90" s="59">
        <f t="shared" si="990"/>
        <v>0</v>
      </c>
      <c r="QT90" s="59">
        <f t="shared" si="991"/>
        <v>0</v>
      </c>
      <c r="QU90" s="59">
        <f t="shared" si="992"/>
        <v>0</v>
      </c>
      <c r="QV90" s="58">
        <f t="shared" si="993"/>
        <v>0</v>
      </c>
      <c r="QW90" s="45">
        <f t="shared" si="994"/>
        <v>68</v>
      </c>
      <c r="QX90" s="45">
        <f t="shared" si="703"/>
        <v>2.774</v>
      </c>
      <c r="QY90" s="45">
        <f t="shared" si="995"/>
        <v>1</v>
      </c>
      <c r="QZ90" s="45">
        <f t="shared" si="996"/>
        <v>2</v>
      </c>
      <c r="RA90" s="45">
        <f t="shared" si="997"/>
        <v>0</v>
      </c>
      <c r="RB90" s="46" cm="1">
        <f t="array" ref="RB90">ROUND(IFERROR(INDEX(ArchiveResults!$F$5:$IX$116,ComparisonData!A90,ComparisonData!$RB$1),0),5)</f>
        <v>0</v>
      </c>
      <c r="RC90" s="46" cm="1">
        <f t="array" ref="RC90">ROUND(IFERROR(INDEX(ArchiveResults!$F$5:$IX$116,ComparisonData!A90,ComparisonData!$RC$1),0),5)</f>
        <v>0</v>
      </c>
      <c r="RD90" s="46" cm="1">
        <f t="array" ref="RD90">ROUND(IFERROR(INDEX(ArchiveResults!$F$5:$IX$116,ComparisonData!A90,ComparisonData!$RD$1),0),5)</f>
        <v>0</v>
      </c>
      <c r="RE90" s="46" cm="1">
        <f t="array" ref="RE90">ROUND(IFERROR(INDEX(ArchiveResults!$F$5:$IX$116,ComparisonData!A90,ComparisonData!$RE$1),0),5)</f>
        <v>0</v>
      </c>
      <c r="RF90" s="45" cm="1">
        <f t="array" ref="RF90">IFERROR(INDEX(ArchiveResults!$F$5:$IX$116,ComparisonData!A90,ComparisonData!$RF$1),0)</f>
        <v>0</v>
      </c>
      <c r="RG90" s="56">
        <v>85</v>
      </c>
      <c r="RH90" s="53" t="str">
        <f t="shared" si="704"/>
        <v>The Postal Museum: the Royal Mail Archive</v>
      </c>
      <c r="RI90" s="59">
        <f t="shared" si="998"/>
        <v>0</v>
      </c>
      <c r="RJ90" s="59">
        <f t="shared" si="999"/>
        <v>0</v>
      </c>
      <c r="RK90" s="59">
        <f t="shared" si="1000"/>
        <v>0</v>
      </c>
      <c r="RL90" s="59">
        <f t="shared" si="1001"/>
        <v>0</v>
      </c>
      <c r="RM90" s="59">
        <f t="shared" si="1002"/>
        <v>0</v>
      </c>
      <c r="RN90" s="58">
        <f t="shared" si="1003"/>
        <v>0</v>
      </c>
      <c r="RO90" s="45">
        <f t="shared" si="1004"/>
        <v>68</v>
      </c>
      <c r="RP90" s="45">
        <f t="shared" si="705"/>
        <v>2.774</v>
      </c>
      <c r="RQ90" s="45">
        <f t="shared" si="1005"/>
        <v>1</v>
      </c>
      <c r="RR90" s="45">
        <f t="shared" si="1006"/>
        <v>2</v>
      </c>
      <c r="RS90" s="45">
        <f t="shared" si="1007"/>
        <v>0</v>
      </c>
      <c r="RT90" s="46" cm="1">
        <f t="array" ref="RT90">ROUND(IFERROR(INDEX(ArchiveResults!$F$5:$IX$116,ComparisonData!A90,ComparisonData!$RT$1),0),5)</f>
        <v>0</v>
      </c>
      <c r="RU90" s="46" cm="1">
        <f t="array" ref="RU90">ROUND(IFERROR(INDEX(ArchiveResults!$F$5:$IX$116,ComparisonData!A90,ComparisonData!$RU$1),0),5)</f>
        <v>0</v>
      </c>
      <c r="RV90" s="46" cm="1">
        <f t="array" ref="RV90">ROUND(IFERROR(INDEX(ArchiveResults!$F$5:$IX$116,ComparisonData!A90,ComparisonData!$RV$1),0),5)</f>
        <v>0</v>
      </c>
      <c r="RW90" s="46" cm="1">
        <f t="array" ref="RW90">ROUND(IFERROR(INDEX(ArchiveResults!$F$5:$IX$116,ComparisonData!A90,ComparisonData!$RW$1),0),5)</f>
        <v>0</v>
      </c>
      <c r="RX90" s="45" cm="1">
        <f t="array" ref="RX90">IFERROR(INDEX(ArchiveResults!$F$5:$IX$116,ComparisonData!A90,ComparisonData!$RX$1),0)</f>
        <v>0</v>
      </c>
      <c r="RY90" s="56">
        <v>85</v>
      </c>
      <c r="RZ90" s="53" t="str">
        <f t="shared" si="706"/>
        <v>The Postal Museum: the Royal Mail Archive</v>
      </c>
      <c r="SA90" s="59">
        <f t="shared" si="1008"/>
        <v>0</v>
      </c>
      <c r="SB90" s="59">
        <f t="shared" si="1009"/>
        <v>0</v>
      </c>
      <c r="SC90" s="59">
        <f t="shared" si="1010"/>
        <v>0</v>
      </c>
      <c r="SD90" s="59">
        <f t="shared" si="1011"/>
        <v>0</v>
      </c>
      <c r="SE90" s="59">
        <f t="shared" si="1012"/>
        <v>0</v>
      </c>
      <c r="SF90" s="58">
        <f t="shared" si="1013"/>
        <v>0</v>
      </c>
      <c r="SG90" s="45">
        <f t="shared" si="1014"/>
        <v>68</v>
      </c>
      <c r="SH90" s="45">
        <f t="shared" si="707"/>
        <v>2.774</v>
      </c>
      <c r="SI90" s="45">
        <f t="shared" si="1015"/>
        <v>1</v>
      </c>
      <c r="SJ90" s="45">
        <f t="shared" si="1016"/>
        <v>2</v>
      </c>
      <c r="SK90" s="45">
        <f t="shared" si="1017"/>
        <v>0</v>
      </c>
      <c r="SL90" s="46" cm="1">
        <f t="array" ref="SL90">ROUND(IFERROR(INDEX(ArchiveResults!$F$5:$IX$116,ComparisonData!A90,ComparisonData!$SL$1),0),5)</f>
        <v>0</v>
      </c>
      <c r="SM90" s="46" cm="1">
        <f t="array" ref="SM90">ROUND(IFERROR(INDEX(ArchiveResults!$F$5:$IX$116,ComparisonData!A90,ComparisonData!$SM$1),0),5)</f>
        <v>0</v>
      </c>
      <c r="SN90" s="46" cm="1">
        <f t="array" ref="SN90">ROUND(IFERROR(INDEX(ArchiveResults!$F$5:$IX$116,ComparisonData!A90,ComparisonData!$SN$1),0),5)</f>
        <v>0</v>
      </c>
      <c r="SO90" s="46" cm="1">
        <f t="array" ref="SO90">ROUND(IFERROR(INDEX(ArchiveResults!$F$5:$IX$116,ComparisonData!A90,ComparisonData!$SO$1),0),5)</f>
        <v>0</v>
      </c>
      <c r="SP90" s="45" cm="1">
        <f t="array" ref="SP90">IFERROR(INDEX(ArchiveResults!$F$5:$IX$116,ComparisonData!A90,ComparisonData!$SP$1),0)</f>
        <v>0</v>
      </c>
      <c r="SQ90" s="56">
        <v>85</v>
      </c>
      <c r="SR90" s="53" t="str">
        <f t="shared" si="708"/>
        <v>The Postal Museum: the Royal Mail Archive</v>
      </c>
      <c r="SS90" s="59">
        <f t="shared" si="1018"/>
        <v>0</v>
      </c>
      <c r="ST90" s="59">
        <f t="shared" si="1019"/>
        <v>0</v>
      </c>
      <c r="SU90" s="59">
        <f t="shared" si="1020"/>
        <v>0</v>
      </c>
      <c r="SV90" s="59">
        <f t="shared" si="1021"/>
        <v>0</v>
      </c>
      <c r="SW90" s="59">
        <f t="shared" si="1022"/>
        <v>0</v>
      </c>
      <c r="SX90" s="58">
        <f t="shared" si="1023"/>
        <v>0</v>
      </c>
      <c r="SY90" s="45">
        <f t="shared" si="1024"/>
        <v>68</v>
      </c>
      <c r="SZ90" s="45">
        <f t="shared" si="709"/>
        <v>2.774</v>
      </c>
      <c r="TA90" s="45">
        <f t="shared" si="1025"/>
        <v>1</v>
      </c>
      <c r="TB90" s="45">
        <f t="shared" si="1026"/>
        <v>2</v>
      </c>
      <c r="TC90" s="45">
        <f t="shared" si="1027"/>
        <v>0</v>
      </c>
      <c r="TD90" s="46" cm="1">
        <f t="array" ref="TD90">ROUND(IFERROR(INDEX(ArchiveResults!$F$5:$IX$116,ComparisonData!A90,ComparisonData!$TD$1),0),5)</f>
        <v>0</v>
      </c>
      <c r="TE90" s="46" cm="1">
        <f t="array" ref="TE90">ROUND(IFERROR(INDEX(ArchiveResults!$F$5:$IX$116,ComparisonData!A90,ComparisonData!$TE$1),0),5)</f>
        <v>0</v>
      </c>
      <c r="TF90" s="46" cm="1">
        <f t="array" ref="TF90">ROUND(IFERROR(INDEX(ArchiveResults!$F$5:$IX$116,ComparisonData!A90,ComparisonData!$TF$1),0),5)</f>
        <v>0</v>
      </c>
      <c r="TG90" s="46" cm="1">
        <f t="array" ref="TG90">ROUND(IFERROR(INDEX(ArchiveResults!$F$5:$IX$116,ComparisonData!A90,ComparisonData!$TG$1),0),5)</f>
        <v>0</v>
      </c>
      <c r="TH90" s="45" cm="1">
        <f t="array" ref="TH90">IFERROR(INDEX(ArchiveResults!$F$5:$IX$116,ComparisonData!A90,ComparisonData!$TH$1),0)</f>
        <v>0</v>
      </c>
      <c r="TI90" s="56">
        <v>85</v>
      </c>
      <c r="TJ90" s="53" t="str">
        <f t="shared" si="710"/>
        <v>The Postal Museum: the Royal Mail Archive</v>
      </c>
      <c r="TK90" s="59">
        <f t="shared" si="1028"/>
        <v>0</v>
      </c>
      <c r="TL90" s="59">
        <f t="shared" si="1029"/>
        <v>0</v>
      </c>
      <c r="TM90" s="59">
        <f t="shared" si="1030"/>
        <v>0</v>
      </c>
      <c r="TN90" s="59">
        <f t="shared" si="1031"/>
        <v>0</v>
      </c>
      <c r="TO90" s="59">
        <f t="shared" si="1032"/>
        <v>0</v>
      </c>
      <c r="TP90" s="58">
        <f t="shared" si="1033"/>
        <v>0</v>
      </c>
      <c r="TQ90" s="45">
        <f t="shared" si="1034"/>
        <v>68</v>
      </c>
      <c r="TR90" s="45">
        <f t="shared" si="711"/>
        <v>2.774</v>
      </c>
      <c r="TS90" s="45">
        <f t="shared" si="1035"/>
        <v>1</v>
      </c>
      <c r="TT90" s="45">
        <f t="shared" si="1036"/>
        <v>2</v>
      </c>
      <c r="TU90" s="45">
        <f t="shared" si="1037"/>
        <v>0</v>
      </c>
      <c r="TV90" s="46" cm="1">
        <f t="array" ref="TV90">ROUND(IFERROR(INDEX(ArchiveResults!$F$5:$IX$116,ComparisonData!A90,ComparisonData!$TV$1),0),5)</f>
        <v>0</v>
      </c>
      <c r="TW90" s="46" cm="1">
        <f t="array" ref="TW90">ROUND(IFERROR(INDEX(ArchiveResults!$F$5:$IX$116,ComparisonData!A90,ComparisonData!$TW$1),0),5)</f>
        <v>0</v>
      </c>
      <c r="TX90" s="46" cm="1">
        <f t="array" ref="TX90">ROUND(IFERROR(INDEX(ArchiveResults!$F$5:$IX$116,ComparisonData!A90,ComparisonData!$TX$1),0),5)</f>
        <v>0</v>
      </c>
      <c r="TY90" s="46" cm="1">
        <f t="array" ref="TY90">ROUND(IFERROR(INDEX(ArchiveResults!$F$5:$IX$116,ComparisonData!A90,ComparisonData!$TY$1),0),5)</f>
        <v>0</v>
      </c>
      <c r="TZ90" s="45" cm="1">
        <f t="array" ref="TZ90">IFERROR(INDEX(ArchiveResults!$F$5:$IX$116,ComparisonData!A90,ComparisonData!$TZ$1),0)</f>
        <v>0</v>
      </c>
      <c r="UA90" s="56">
        <v>85</v>
      </c>
      <c r="UB90" s="53" t="str">
        <f t="shared" si="712"/>
        <v>The Postal Museum: the Royal Mail Archive</v>
      </c>
      <c r="UC90" s="60">
        <f t="shared" si="1038"/>
        <v>0</v>
      </c>
      <c r="UD90" s="60">
        <f t="shared" si="1039"/>
        <v>0</v>
      </c>
      <c r="UE90" s="60">
        <f t="shared" si="1040"/>
        <v>0</v>
      </c>
      <c r="UF90" s="60">
        <f t="shared" si="1041"/>
        <v>0</v>
      </c>
      <c r="UG90" s="60">
        <f t="shared" si="1042"/>
        <v>0</v>
      </c>
      <c r="UH90" s="58">
        <f t="shared" si="1043"/>
        <v>0</v>
      </c>
      <c r="UI90" s="46">
        <f t="shared" si="1044"/>
        <v>68</v>
      </c>
      <c r="UJ90" s="46">
        <f t="shared" si="713"/>
        <v>2.774</v>
      </c>
      <c r="UK90" s="46">
        <f t="shared" si="1045"/>
        <v>1</v>
      </c>
      <c r="UL90" s="46">
        <f t="shared" si="1046"/>
        <v>2</v>
      </c>
      <c r="UM90" s="46" cm="1">
        <f t="array" ref="UM90">ROUND(IFERROR(INDEX(ArchiveResults!$F$5:$IX$116,ComparisonData!A90,ComparisonData!$UM$1),0),5)</f>
        <v>0</v>
      </c>
      <c r="UN90" s="56">
        <v>85</v>
      </c>
      <c r="UO90" s="53" t="str">
        <f t="shared" si="714"/>
        <v>The Postal Museum: the Royal Mail Archive</v>
      </c>
      <c r="UP90" s="46">
        <f t="shared" si="1047"/>
        <v>0</v>
      </c>
      <c r="UQ90" s="76">
        <f t="shared" si="1048"/>
        <v>0</v>
      </c>
      <c r="UR90" s="46">
        <f t="shared" si="1049"/>
        <v>68</v>
      </c>
      <c r="US90" s="46">
        <f t="shared" si="715"/>
        <v>2.774</v>
      </c>
      <c r="UT90" s="46">
        <f t="shared" si="1050"/>
        <v>1</v>
      </c>
      <c r="UU90" s="46">
        <f t="shared" si="1051"/>
        <v>2</v>
      </c>
      <c r="UV90" s="46">
        <f t="shared" si="1052"/>
        <v>0</v>
      </c>
      <c r="UW90" s="46" cm="1">
        <f t="array" ref="UW90">ROUND(IFERROR(INDEX(ArchiveResults!$F$5:$IX$116,ComparisonData!A90,ComparisonData!$UW$1),0),5)</f>
        <v>0</v>
      </c>
      <c r="UX90" s="46" cm="1">
        <f t="array" ref="UX90">ROUND(IFERROR(INDEX(ArchiveResults!$F$5:$IX$116,ComparisonData!A90,ComparisonData!$UX$1),0),5)</f>
        <v>0</v>
      </c>
      <c r="UY90" s="46" cm="1">
        <f t="array" ref="UY90">ROUND(IFERROR(INDEX(ArchiveResults!$F$5:$IX$116,ComparisonData!A90,ComparisonData!$UY$1),0),5)</f>
        <v>0</v>
      </c>
      <c r="UZ90" s="46" cm="1">
        <f t="array" ref="UZ90">ROUND(IFERROR(INDEX(ArchiveResults!$F$5:$IX$116,ComparisonData!A90,ComparisonData!$UZ$1),0),5)</f>
        <v>0</v>
      </c>
      <c r="VA90" s="46" cm="1">
        <f t="array" ref="VA90">ROUND(IFERROR(INDEX(ArchiveResults!$F$5:$IX$116,ComparisonData!A90,ComparisonData!$VA$1),0),5)</f>
        <v>0</v>
      </c>
      <c r="VB90" s="56">
        <v>85</v>
      </c>
      <c r="VC90" s="53" t="str">
        <f t="shared" si="716"/>
        <v>The Postal Museum: the Royal Mail Archive</v>
      </c>
      <c r="VD90" s="60">
        <f t="shared" si="1053"/>
        <v>0</v>
      </c>
      <c r="VE90" s="60">
        <f t="shared" si="1054"/>
        <v>0</v>
      </c>
      <c r="VF90" s="60">
        <f t="shared" si="1055"/>
        <v>0</v>
      </c>
      <c r="VG90" s="60">
        <f t="shared" si="1056"/>
        <v>0</v>
      </c>
      <c r="VH90" s="60">
        <f t="shared" si="1057"/>
        <v>0</v>
      </c>
      <c r="VI90" s="76">
        <f t="shared" si="1058"/>
        <v>0</v>
      </c>
      <c r="VJ90" s="46">
        <f t="shared" si="1059"/>
        <v>68</v>
      </c>
      <c r="VK90" s="46">
        <f t="shared" si="717"/>
        <v>2.774</v>
      </c>
      <c r="VL90" s="46">
        <f t="shared" si="1060"/>
        <v>1</v>
      </c>
      <c r="VM90" s="46">
        <f t="shared" si="1061"/>
        <v>2</v>
      </c>
      <c r="VN90" s="46" cm="1">
        <f t="array" ref="VN90">ROUND(IFERROR(INDEX(ArchiveResults!$F$5:$IX$116,ComparisonData!A90,ComparisonData!$VN$1),0),5)</f>
        <v>0</v>
      </c>
      <c r="VO90" s="46" cm="1">
        <f t="array" ref="VO90">ROUND(IFERROR(INDEX(ArchiveResults!$F$5:$IX$116,ComparisonData!A90,ComparisonData!$VO$1),0),5)</f>
        <v>0</v>
      </c>
      <c r="VP90" s="46" cm="1">
        <f t="array" ref="VP90">ROUND(IFERROR(INDEX(ArchiveResults!$F$5:$IX$116,ComparisonData!A90,ComparisonData!$VP$1),0),5)</f>
        <v>0</v>
      </c>
      <c r="VQ90" s="46" cm="1">
        <f t="array" ref="VQ90">ROUND(IFERROR(INDEX(ArchiveResults!$F$5:$IX$116,ComparisonData!A90,ComparisonData!$VQ$1),0),5)</f>
        <v>0</v>
      </c>
      <c r="VR90" s="56">
        <v>85</v>
      </c>
      <c r="VS90" s="53" t="str">
        <f t="shared" si="718"/>
        <v>The Postal Museum: the Royal Mail Archive</v>
      </c>
      <c r="VT90" s="60">
        <f t="shared" si="1062"/>
        <v>0</v>
      </c>
      <c r="VU90" s="60">
        <f t="shared" si="1063"/>
        <v>0</v>
      </c>
      <c r="VV90" s="60">
        <f t="shared" si="1064"/>
        <v>0</v>
      </c>
      <c r="VW90" s="60">
        <f t="shared" si="1065"/>
        <v>0</v>
      </c>
      <c r="VX90" s="76">
        <f t="shared" si="1066"/>
        <v>0</v>
      </c>
      <c r="VY90" s="46">
        <f t="shared" si="1067"/>
        <v>68</v>
      </c>
      <c r="VZ90" s="46">
        <f t="shared" si="719"/>
        <v>2.774</v>
      </c>
      <c r="WA90" s="46">
        <f t="shared" si="1068"/>
        <v>1</v>
      </c>
      <c r="WB90" s="46">
        <f t="shared" si="1069"/>
        <v>2</v>
      </c>
      <c r="WC90" s="46" cm="1">
        <f t="array" ref="WC90">ROUND(IFERROR(INDEX(ArchiveResults!$F$5:$IX$116,ComparisonData!A90,ComparisonData!$WC$1),0),5)</f>
        <v>0</v>
      </c>
      <c r="WD90" s="56">
        <v>85</v>
      </c>
      <c r="WE90" s="53" t="str">
        <f t="shared" si="720"/>
        <v>The Postal Museum: the Royal Mail Archive</v>
      </c>
      <c r="WF90" s="46">
        <f t="shared" si="1070"/>
        <v>0</v>
      </c>
      <c r="WG90" s="76">
        <f t="shared" si="1071"/>
        <v>0</v>
      </c>
      <c r="WH90" s="46">
        <f t="shared" si="1072"/>
        <v>68</v>
      </c>
      <c r="WI90" s="46">
        <f t="shared" si="721"/>
        <v>2.774</v>
      </c>
      <c r="WJ90" s="46">
        <f t="shared" si="1073"/>
        <v>1</v>
      </c>
      <c r="WK90" s="46">
        <f t="shared" si="1074"/>
        <v>2</v>
      </c>
      <c r="WL90" s="46" cm="1">
        <f t="array" ref="WL90">ROUND(IFERROR(INDEX(ArchiveResults!$F$5:$IX$116,ComparisonData!A90,ComparisonData!$WL$1),0),5)</f>
        <v>0</v>
      </c>
      <c r="WM90" s="46" cm="1">
        <f t="array" ref="WM90">IFERROR(INDEX(ArchiveResults!$F$5:$IX$116,ComparisonData!A90,ComparisonData!$WM$1),0)</f>
        <v>0</v>
      </c>
      <c r="WN90" s="56">
        <v>85</v>
      </c>
      <c r="WO90" s="53" t="str">
        <f t="shared" si="722"/>
        <v>The Postal Museum: the Royal Mail Archive</v>
      </c>
      <c r="WP90" s="60">
        <f t="shared" si="1075"/>
        <v>0</v>
      </c>
      <c r="WQ90" s="60">
        <f t="shared" si="1076"/>
        <v>0</v>
      </c>
      <c r="WR90" s="76">
        <f t="shared" si="1077"/>
        <v>0</v>
      </c>
      <c r="WS90" s="46">
        <f t="shared" si="1078"/>
        <v>68</v>
      </c>
      <c r="WT90" s="46">
        <f t="shared" si="723"/>
        <v>2.774</v>
      </c>
      <c r="WU90" s="46">
        <f t="shared" si="1079"/>
        <v>1</v>
      </c>
      <c r="WV90" s="46">
        <f t="shared" si="1080"/>
        <v>2</v>
      </c>
      <c r="WW90" s="46" cm="1">
        <f t="array" ref="WW90">ROUND(VALUE(IFERROR(INDEX(ArchiveResults!$F$5:$IX$116,ComparisonData!A90,ComparisonData!$WW$1),0)),5)</f>
        <v>0</v>
      </c>
      <c r="WX90" s="46" cm="1">
        <f t="array" ref="WX90">ROUND(IFERROR(INDEX(ArchiveResults!$F$5:$IX$116,ComparisonData!A90,ComparisonData!$WX$1),0),5)</f>
        <v>0</v>
      </c>
      <c r="WY90" s="56">
        <v>85</v>
      </c>
      <c r="WZ90" s="53" t="str">
        <f t="shared" si="724"/>
        <v>The Postal Museum: the Royal Mail Archive</v>
      </c>
      <c r="XA90" s="60">
        <f t="shared" si="725"/>
        <v>0</v>
      </c>
      <c r="XB90" s="60">
        <f t="shared" si="726"/>
        <v>0</v>
      </c>
      <c r="XC90" s="76">
        <f t="shared" si="1081"/>
        <v>0</v>
      </c>
      <c r="XD90" s="46">
        <f t="shared" si="1082"/>
        <v>68</v>
      </c>
      <c r="XE90" s="46">
        <f t="shared" si="727"/>
        <v>2.774</v>
      </c>
      <c r="XF90" s="46">
        <f t="shared" si="1083"/>
        <v>1</v>
      </c>
      <c r="XG90" s="46">
        <f t="shared" si="1084"/>
        <v>2</v>
      </c>
      <c r="XH90" s="46" cm="1">
        <f t="array" ref="XH90">ROUND(VALUE(IFERROR(INDEX(ArchiveResults!$F$5:$IX$116,ComparisonData!A90,ComparisonData!$XH$1),0)),5)</f>
        <v>0</v>
      </c>
      <c r="XI90" s="46" cm="1">
        <f t="array" ref="XI90">ROUND(VALUE(IFERROR(INDEX(ArchiveResults!$F$5:$IX$116,ComparisonData!A90,ComparisonData!$XI$1),0)),5)</f>
        <v>0</v>
      </c>
      <c r="XJ90" s="56">
        <v>85</v>
      </c>
      <c r="XK90" s="53" t="str">
        <f t="shared" si="728"/>
        <v>The Postal Museum: the Royal Mail Archive</v>
      </c>
      <c r="XL90" s="60">
        <f t="shared" si="1085"/>
        <v>0</v>
      </c>
      <c r="XM90" s="60">
        <f t="shared" si="1086"/>
        <v>0</v>
      </c>
      <c r="XN90" s="76">
        <f t="shared" si="1087"/>
        <v>0</v>
      </c>
      <c r="XO90" s="46">
        <f t="shared" si="1088"/>
        <v>68</v>
      </c>
      <c r="XP90" s="46">
        <f t="shared" si="729"/>
        <v>2.774</v>
      </c>
      <c r="XQ90" s="46">
        <f t="shared" si="1089"/>
        <v>1</v>
      </c>
      <c r="XR90" s="46">
        <f t="shared" si="1090"/>
        <v>2</v>
      </c>
      <c r="XS90" s="46" cm="1">
        <f t="array" ref="XS90">ROUND(VALUE(IFERROR(INDEX(ArchiveResults!$F$5:$IX$116,ComparisonData!A90,ComparisonData!$XS$1),0)),5)</f>
        <v>0</v>
      </c>
      <c r="XT90" s="46" cm="1">
        <f t="array" ref="XT90">ROUND(VALUE(IFERROR(INDEX(ArchiveResults!$F$5:$IX$116,ComparisonData!A90,ComparisonData!$XT$1),0)),5)</f>
        <v>0</v>
      </c>
      <c r="XU90" s="56">
        <v>85</v>
      </c>
      <c r="XV90" s="53" t="str">
        <f t="shared" si="730"/>
        <v>The Postal Museum: the Royal Mail Archive</v>
      </c>
      <c r="XW90" s="60">
        <f t="shared" si="1091"/>
        <v>0</v>
      </c>
      <c r="XX90" s="60">
        <f t="shared" si="1092"/>
        <v>0</v>
      </c>
      <c r="XY90" s="76">
        <f t="shared" si="1093"/>
        <v>0</v>
      </c>
      <c r="XZ90" s="46">
        <f t="shared" si="1094"/>
        <v>68</v>
      </c>
      <c r="YA90" s="46">
        <f t="shared" si="731"/>
        <v>2.774</v>
      </c>
      <c r="YB90" s="46">
        <f t="shared" si="1095"/>
        <v>1</v>
      </c>
      <c r="YC90" s="46">
        <f t="shared" si="1096"/>
        <v>2</v>
      </c>
      <c r="YD90" s="46" cm="1">
        <f t="array" ref="YD90">ROUND(VALUE(IFERROR(INDEX(ArchiveResults!$F$5:$IX$116,ComparisonData!A90,ComparisonData!$YD$1),0)),5)</f>
        <v>0</v>
      </c>
      <c r="YE90" s="46" cm="1">
        <f t="array" ref="YE90">ROUND(VALUE(IFERROR(INDEX(ArchiveResults!$F$5:$IX$116,ComparisonData!A90,ComparisonData!$YE$1),0)),5)</f>
        <v>0</v>
      </c>
      <c r="YF90" s="56">
        <v>85</v>
      </c>
      <c r="YG90" s="53" t="str">
        <f t="shared" si="732"/>
        <v>The Postal Museum: the Royal Mail Archive</v>
      </c>
      <c r="YH90" s="60">
        <f t="shared" si="1097"/>
        <v>0</v>
      </c>
      <c r="YI90" s="60">
        <f t="shared" si="1098"/>
        <v>0</v>
      </c>
      <c r="YJ90" s="76">
        <f t="shared" si="1099"/>
        <v>0</v>
      </c>
      <c r="YK90" s="46">
        <f t="shared" si="1100"/>
        <v>68</v>
      </c>
      <c r="YL90" s="46">
        <f t="shared" si="733"/>
        <v>2.774</v>
      </c>
      <c r="YM90" s="46">
        <f t="shared" si="1101"/>
        <v>1</v>
      </c>
      <c r="YN90" s="46">
        <f t="shared" si="1102"/>
        <v>2</v>
      </c>
      <c r="YO90" s="46" cm="1">
        <f t="array" ref="YO90">ROUND(VALUE(IFERROR(INDEX(ArchiveResults!$F$5:$IX$116,ComparisonData!A90,ComparisonData!$YO$1),0)),5)</f>
        <v>0</v>
      </c>
      <c r="YP90" s="46" cm="1">
        <f t="array" ref="YP90">ROUND(VALUE(IFERROR(INDEX(ArchiveResults!$F$5:$IX$116,ComparisonData!A90,ComparisonData!$YP$1),0)),5)</f>
        <v>0</v>
      </c>
      <c r="YQ90" s="56">
        <v>85</v>
      </c>
      <c r="YR90" s="53" t="str">
        <f t="shared" si="734"/>
        <v>The Postal Museum: the Royal Mail Archive</v>
      </c>
      <c r="YS90" s="60">
        <f t="shared" si="1103"/>
        <v>0</v>
      </c>
      <c r="YT90" s="60">
        <f t="shared" si="1104"/>
        <v>0</v>
      </c>
      <c r="YU90" s="76">
        <f t="shared" si="1105"/>
        <v>0</v>
      </c>
      <c r="YV90" s="46">
        <f t="shared" si="1106"/>
        <v>68</v>
      </c>
      <c r="YW90" s="46">
        <f t="shared" si="735"/>
        <v>2.774</v>
      </c>
      <c r="YX90" s="46">
        <f t="shared" si="1107"/>
        <v>1</v>
      </c>
      <c r="YY90" s="46">
        <f t="shared" si="1108"/>
        <v>2</v>
      </c>
      <c r="YZ90" s="46">
        <f t="shared" si="1109"/>
        <v>0</v>
      </c>
      <c r="ZA90" s="46" cm="1">
        <f t="array" ref="ZA90">ROUNDDOWN(VALUE(IFERROR(INDEX(ArchiveResults!$F$5:$IX$116,ComparisonData!A90,ComparisonData!$ZA$1),0)),5)</f>
        <v>0</v>
      </c>
      <c r="ZB90" s="46" cm="1">
        <f t="array" ref="ZB90">ROUNDDOWN(VALUE(IFERROR(INDEX(ArchiveResults!$F$5:$IX$116,ComparisonData!A90,ComparisonData!$ZB$1),0)),5)</f>
        <v>0</v>
      </c>
      <c r="ZC90" s="46" cm="1">
        <f t="array" ref="ZC90">ROUNDDOWN(VALUE(IFERROR(INDEX(ArchiveResults!$F$5:$IX$116,ComparisonData!A90,ComparisonData!$ZC$1),0)),5)</f>
        <v>0</v>
      </c>
      <c r="ZD90" s="46" cm="1">
        <f t="array" ref="ZD90">ROUNDDOWN(VALUE(IFERROR(INDEX(ArchiveResults!$F$5:$IX$116,ComparisonData!A90,ComparisonData!$ZD$1),0)),5)</f>
        <v>0</v>
      </c>
      <c r="ZE90" s="46" cm="1">
        <f t="array" ref="ZE90">ROUNDDOWN(VALUE(IFERROR(INDEX(ArchiveResults!$F$5:$IX$116,ComparisonData!A90,ComparisonData!$ZE$1),0)),5)</f>
        <v>0</v>
      </c>
      <c r="ZF90" s="56">
        <v>85</v>
      </c>
      <c r="ZG90" s="53" t="str">
        <f t="shared" si="736"/>
        <v>The Postal Museum: the Royal Mail Archive</v>
      </c>
      <c r="ZH90" s="60">
        <f t="shared" si="1110"/>
        <v>0</v>
      </c>
      <c r="ZI90" s="60">
        <f t="shared" si="1111"/>
        <v>0</v>
      </c>
      <c r="ZJ90" s="60">
        <f t="shared" si="1112"/>
        <v>0</v>
      </c>
      <c r="ZK90" s="60">
        <f t="shared" si="1113"/>
        <v>0</v>
      </c>
      <c r="ZL90" s="60">
        <f t="shared" si="1114"/>
        <v>0</v>
      </c>
      <c r="ZM90" s="76">
        <f t="shared" si="1115"/>
        <v>0</v>
      </c>
      <c r="ZN90" s="46">
        <f t="shared" si="1116"/>
        <v>68</v>
      </c>
      <c r="ZO90" s="46">
        <f t="shared" si="737"/>
        <v>2.774</v>
      </c>
      <c r="ZP90" s="46">
        <f t="shared" si="1117"/>
        <v>1</v>
      </c>
      <c r="ZQ90" s="46">
        <f t="shared" si="1118"/>
        <v>2</v>
      </c>
      <c r="ZR90" s="46" cm="1">
        <f t="array" ref="ZR90">ROUND(VALUE(IFERROR(INDEX(ArchiveResults!$F$5:$IX$116,ComparisonData!A90,ComparisonData!$ZR$1),0)),5)</f>
        <v>0</v>
      </c>
      <c r="ZS90" s="56">
        <v>85</v>
      </c>
      <c r="ZT90" s="53" t="str">
        <f t="shared" si="738"/>
        <v>The Postal Museum: the Royal Mail Archive</v>
      </c>
      <c r="ZU90" s="46">
        <f t="shared" si="1119"/>
        <v>0</v>
      </c>
      <c r="ZV90" s="76">
        <f t="shared" si="1120"/>
        <v>0</v>
      </c>
      <c r="ZW90" s="81" cm="1">
        <f t="array" ref="ZW90">ROUND((IFERROR(INDEX(ArchiveResults!$F$5:$IX$116,ComparisonData!A90,ComparisonData!$ZW$1),0)),5)</f>
        <v>0</v>
      </c>
      <c r="ZX90" s="81" cm="1">
        <f t="array" ref="ZX90">ROUND((IFERROR(INDEX(ArchiveResults!$F$5:$IX$116,ComparisonData!A90,ComparisonData!$ZX$1),0)),5)</f>
        <v>0</v>
      </c>
      <c r="ZY90" s="81" cm="1">
        <f t="array" ref="ZY90">ROUND((IFERROR(INDEX(ArchiveResults!$F$5:$IX$116,ComparisonData!A90,ComparisonData!$ZY$1),0)),5)</f>
        <v>0</v>
      </c>
      <c r="ZZ90" s="81" cm="1">
        <f t="array" ref="ZZ90">ROUND((IFERROR(INDEX(ArchiveResults!$F$5:$IX$116,ComparisonData!A90,ComparisonData!$ZZ$1),0)),5)</f>
        <v>0</v>
      </c>
      <c r="AAA90" s="81" cm="1">
        <f t="array" ref="AAA90">ROUND((IFERROR(INDEX(ArchiveResults!$F$5:$IX$116,ComparisonData!A90,ComparisonData!$AAA$1),0)),5)</f>
        <v>0</v>
      </c>
      <c r="AAB90" s="81" cm="1">
        <f t="array" ref="AAB90">ROUND((IFERROR(INDEX(ArchiveResults!$F$5:$IX$116,ComparisonData!A90,ComparisonData!$AAB$1),0)),5)</f>
        <v>0</v>
      </c>
      <c r="AAC90" s="81" cm="1">
        <f t="array" ref="AAC90">ROUND((IFERROR(INDEX(ArchiveResults!$F$5:$IX$116,ComparisonData!A90,ComparisonData!$AAC$1),0)),5)</f>
        <v>0</v>
      </c>
      <c r="AAD90" s="81" cm="1">
        <f t="array" ref="AAD90">ROUND((IFERROR(INDEX(ArchiveResults!$F$5:$IX$116,ComparisonData!A90,ComparisonData!$AAD$1),0)),5)</f>
        <v>0</v>
      </c>
      <c r="AAE90" s="81" cm="1">
        <f t="array" ref="AAE90">ROUND((IFERROR(INDEX(ArchiveResults!$F$5:$IX$116,ComparisonData!A90,ComparisonData!$AAE$1),0)),5)</f>
        <v>0</v>
      </c>
      <c r="AAF90" s="81" cm="1">
        <f t="array" ref="AAF90">ROUND((IFERROR(INDEX(ArchiveResults!$F$5:$IX$116,ComparisonData!A90,ComparisonData!$AAF$1),0)),5)</f>
        <v>0</v>
      </c>
      <c r="AAG90" s="46">
        <f t="shared" si="1121"/>
        <v>68</v>
      </c>
      <c r="AAH90" s="46">
        <f t="shared" si="739"/>
        <v>2.774</v>
      </c>
      <c r="AAI90" s="46">
        <f t="shared" si="1122"/>
        <v>1</v>
      </c>
      <c r="AAJ90" s="46">
        <f t="shared" si="1123"/>
        <v>2</v>
      </c>
      <c r="AAK90" s="46">
        <f t="shared" si="1124"/>
        <v>0</v>
      </c>
      <c r="AAL90" s="46">
        <f t="shared" si="1125"/>
        <v>0</v>
      </c>
      <c r="AAM90" s="46">
        <f t="shared" si="1126"/>
        <v>0</v>
      </c>
      <c r="AAN90" s="46">
        <f t="shared" si="1127"/>
        <v>0</v>
      </c>
      <c r="AAO90" s="46">
        <f t="shared" si="1128"/>
        <v>0</v>
      </c>
      <c r="AAP90" s="46">
        <f t="shared" si="1129"/>
        <v>0</v>
      </c>
      <c r="AAQ90" s="56">
        <v>85</v>
      </c>
      <c r="AAR90" s="53" t="str">
        <f t="shared" si="740"/>
        <v>The Postal Museum: the Royal Mail Archive</v>
      </c>
      <c r="AAS90" s="60">
        <f t="shared" si="1130"/>
        <v>0</v>
      </c>
      <c r="AAT90" s="60">
        <f t="shared" si="1131"/>
        <v>0</v>
      </c>
      <c r="AAU90" s="60">
        <f t="shared" si="1132"/>
        <v>0</v>
      </c>
      <c r="AAV90" s="60">
        <f t="shared" si="1133"/>
        <v>0</v>
      </c>
      <c r="AAW90" s="60">
        <f t="shared" si="1134"/>
        <v>0</v>
      </c>
      <c r="AAX90" s="76">
        <f t="shared" si="1135"/>
        <v>0</v>
      </c>
      <c r="AAY90" s="46">
        <f t="shared" si="1136"/>
        <v>68</v>
      </c>
      <c r="AAZ90" s="46">
        <f t="shared" si="741"/>
        <v>2.774</v>
      </c>
      <c r="ABA90" s="46">
        <f t="shared" si="1137"/>
        <v>1</v>
      </c>
      <c r="ABB90" s="46">
        <f t="shared" si="1138"/>
        <v>2</v>
      </c>
      <c r="ABC90" s="46">
        <f t="shared" si="742"/>
        <v>0</v>
      </c>
      <c r="ABD90" s="46" cm="1">
        <f t="array" ref="ABD90">ROUND(VALUE(IFERROR(INDEX(ArchiveResults!$F$5:$IX$116,ComparisonData!A90,ComparisonData!$ABD$1),0)),5)</f>
        <v>0</v>
      </c>
      <c r="ABE90" s="46" cm="1">
        <f t="array" ref="ABE90">ROUND(VALUE(IFERROR(INDEX(ArchiveResults!$F$5:$IX$116,ComparisonData!A90,ComparisonData!$ABE$1),0)),5)</f>
        <v>0</v>
      </c>
      <c r="ABF90" s="46" cm="1">
        <f t="array" ref="ABF90">ROUND(VALUE(IFERROR(INDEX(ArchiveResults!$F$5:$IX$116,ComparisonData!A90,ComparisonData!$ABF$1),0)),5)</f>
        <v>0</v>
      </c>
      <c r="ABG90" s="46" cm="1">
        <f t="array" ref="ABG90">ROUND(VALUE(IFERROR(INDEX(ArchiveResults!$F$5:$IX$116,ComparisonData!A90,ComparisonData!$ABG$1),0)),5)</f>
        <v>0</v>
      </c>
      <c r="ABH90" s="46" cm="1">
        <f t="array" ref="ABH90">ROUND(VALUE(IFERROR(INDEX(ArchiveResults!$F$5:$IX$116,ComparisonData!A90,ComparisonData!$ABH$1),0)),5)</f>
        <v>0</v>
      </c>
      <c r="ABI90" s="56">
        <v>85</v>
      </c>
      <c r="ABJ90" s="53" t="str">
        <f t="shared" si="743"/>
        <v>The Postal Museum: the Royal Mail Archive</v>
      </c>
      <c r="ABK90" s="60">
        <f t="shared" si="1139"/>
        <v>0</v>
      </c>
      <c r="ABL90" s="60">
        <f t="shared" si="1140"/>
        <v>0</v>
      </c>
      <c r="ABM90" s="60">
        <f t="shared" si="1141"/>
        <v>0</v>
      </c>
      <c r="ABN90" s="60">
        <f t="shared" si="1142"/>
        <v>0</v>
      </c>
      <c r="ABO90" s="60">
        <f t="shared" si="1143"/>
        <v>0</v>
      </c>
      <c r="ABP90" s="76">
        <f t="shared" si="1144"/>
        <v>0</v>
      </c>
      <c r="ABQ90" s="46">
        <f t="shared" si="1145"/>
        <v>68</v>
      </c>
      <c r="ABR90" s="46">
        <f t="shared" si="744"/>
        <v>2.774</v>
      </c>
      <c r="ABS90" s="46">
        <f t="shared" si="1146"/>
        <v>1</v>
      </c>
      <c r="ABT90" s="46">
        <f t="shared" si="1147"/>
        <v>2</v>
      </c>
      <c r="ABU90" s="46" cm="1">
        <f t="array" ref="ABU90">ROUND(VALUE(IFERROR(INDEX(ArchiveResults!$F$5:$IX$116,ComparisonData!A90,ComparisonData!$ABU$1),0)),5)</f>
        <v>0</v>
      </c>
      <c r="ABV90" s="46" cm="1">
        <f t="array" ref="ABV90">ROUND(VALUE(IFERROR(INDEX(ArchiveResults!$F$5:$IX$116,ComparisonData!A90,ComparisonData!$ABV$1),0)),5)</f>
        <v>0</v>
      </c>
      <c r="ABW90" s="46" cm="1">
        <f t="array" ref="ABW90">ROUND(VALUE(IFERROR(INDEX(ArchiveResults!$F$5:$IX$116,ComparisonData!A90,ComparisonData!$ABW$1),0)),5)</f>
        <v>0</v>
      </c>
      <c r="ABX90" s="46" cm="1">
        <f t="array" ref="ABX90">ROUND(VALUE(IFERROR(INDEX(ArchiveResults!$F$5:$IX$116,ComparisonData!A90,ComparisonData!$ABX$1),0)),5)</f>
        <v>0</v>
      </c>
      <c r="ABY90" s="46" cm="1">
        <f t="array" ref="ABY90">ROUND(VALUE(IFERROR(INDEX(ArchiveResults!$F$5:$IX$116,ComparisonData!A90,ComparisonData!$ABY$1),0)),5)</f>
        <v>0</v>
      </c>
      <c r="ABZ90" s="56">
        <v>85</v>
      </c>
      <c r="ACA90" s="53" t="str">
        <f t="shared" si="745"/>
        <v>The Postal Museum: the Royal Mail Archive</v>
      </c>
      <c r="ACB90" s="60">
        <f t="shared" si="1148"/>
        <v>0</v>
      </c>
      <c r="ACC90" s="60">
        <f t="shared" si="1149"/>
        <v>0</v>
      </c>
      <c r="ACD90" s="60">
        <f t="shared" si="1150"/>
        <v>0</v>
      </c>
      <c r="ACE90" s="60">
        <f t="shared" si="1151"/>
        <v>0</v>
      </c>
      <c r="ACF90" s="60">
        <f t="shared" si="1152"/>
        <v>0</v>
      </c>
      <c r="ACG90" s="76">
        <f t="shared" si="1153"/>
        <v>0</v>
      </c>
      <c r="ACH90" s="46">
        <f t="shared" si="1154"/>
        <v>68</v>
      </c>
      <c r="ACI90" s="46">
        <f t="shared" si="746"/>
        <v>2.774</v>
      </c>
      <c r="ACJ90" s="46">
        <f t="shared" si="1155"/>
        <v>1</v>
      </c>
      <c r="ACK90" s="46">
        <f t="shared" si="1156"/>
        <v>2</v>
      </c>
      <c r="ACL90" s="46">
        <f t="shared" si="1157"/>
        <v>0</v>
      </c>
      <c r="ACM90" s="46" cm="1">
        <f t="array" ref="ACM90">ROUND(IFERROR(INDEX(ArchiveResults!$F$5:$IX$116,ComparisonData!A90,ComparisonData!$ACM$1),0),5)</f>
        <v>0</v>
      </c>
      <c r="ACN90" s="46" cm="1">
        <f t="array" ref="ACN90">ROUND(IFERROR(INDEX(ArchiveResults!$F$5:$IX$116,ComparisonData!A90,ComparisonData!$ACN$1),0),5)</f>
        <v>0</v>
      </c>
      <c r="ACO90" s="56">
        <v>85</v>
      </c>
      <c r="ACP90" s="53" t="str">
        <f t="shared" si="747"/>
        <v>The Postal Museum: the Royal Mail Archive</v>
      </c>
      <c r="ACQ90" s="60">
        <f t="shared" si="1158"/>
        <v>0</v>
      </c>
      <c r="ACR90" s="60">
        <f t="shared" si="1159"/>
        <v>0</v>
      </c>
      <c r="ACS90" s="76">
        <f t="shared" si="1160"/>
        <v>0</v>
      </c>
      <c r="ACT90" s="46">
        <f t="shared" si="1161"/>
        <v>68</v>
      </c>
      <c r="ACU90" s="46">
        <f t="shared" si="748"/>
        <v>2.774</v>
      </c>
      <c r="ACV90" s="46">
        <f t="shared" si="1162"/>
        <v>1</v>
      </c>
      <c r="ACW90" s="46">
        <f t="shared" si="1163"/>
        <v>2</v>
      </c>
      <c r="ACX90" s="46">
        <f t="shared" si="1164"/>
        <v>0</v>
      </c>
      <c r="ACY90" s="46" cm="1">
        <f t="array" ref="ACY90">ROUNDDOWN(IFERROR(INDEX(ArchiveResults!$F$5:$IX$116,ComparisonData!A90,ComparisonData!$ACY$1),0),5)</f>
        <v>0</v>
      </c>
      <c r="ACZ90" s="46" cm="1">
        <f t="array" ref="ACZ90">ROUNDDOWN(IFERROR(INDEX(ArchiveResults!$F$5:$IX$116,ComparisonData!A90,ComparisonData!$ACZ$1),0),5)</f>
        <v>0</v>
      </c>
      <c r="ADA90" s="46" cm="1">
        <f t="array" ref="ADA90">ROUNDDOWN(IFERROR(INDEX(ArchiveResults!$F$5:$IX$116,ComparisonData!A90,ComparisonData!$ADA$1),0),5)</f>
        <v>0</v>
      </c>
      <c r="ADB90" s="56">
        <v>85</v>
      </c>
      <c r="ADC90" s="53" t="str">
        <f t="shared" si="749"/>
        <v>The Postal Museum: the Royal Mail Archive</v>
      </c>
      <c r="ADD90" s="60">
        <f t="shared" si="1165"/>
        <v>0</v>
      </c>
      <c r="ADE90" s="60">
        <f t="shared" si="1166"/>
        <v>0</v>
      </c>
      <c r="ADF90" s="60">
        <f t="shared" si="1167"/>
        <v>0</v>
      </c>
      <c r="ADG90" s="76">
        <f t="shared" si="1168"/>
        <v>0</v>
      </c>
    </row>
    <row r="91" spans="1:787" x14ac:dyDescent="0.25">
      <c r="A91" s="46" t="str">
        <f>IF(ISBLANK(ComparisonSelection!F87),"",ROW()-5)</f>
        <v/>
      </c>
      <c r="B91" s="53" t="s">
        <v>541</v>
      </c>
      <c r="C91" s="72">
        <v>0.8839999999999999</v>
      </c>
      <c r="D91" s="55">
        <f t="shared" si="750"/>
        <v>89</v>
      </c>
      <c r="E91" s="54">
        <f t="shared" si="751"/>
        <v>2.8839999999999999</v>
      </c>
      <c r="F91" s="54">
        <f t="shared" si="752"/>
        <v>1</v>
      </c>
      <c r="G91" s="72">
        <f t="shared" si="753"/>
        <v>2</v>
      </c>
      <c r="H91" s="72">
        <f t="shared" si="754"/>
        <v>0</v>
      </c>
      <c r="I91" s="46" cm="1">
        <f t="array" ref="I91">ROUND(IFERROR(INDEX(ArchiveResults!$F$5:$IX$116,ComparisonData!A91,ComparisonData!$I$1),0),5)</f>
        <v>0</v>
      </c>
      <c r="J91" s="46" cm="1">
        <f t="array" ref="J91">ROUND(IFERROR(INDEX(ArchiveResults!$F$5:$IX$116,ComparisonData!A91,ComparisonData!$J$1),0),5)</f>
        <v>0</v>
      </c>
      <c r="K91" s="56">
        <v>86</v>
      </c>
      <c r="L91" s="53" t="str">
        <f t="shared" si="755"/>
        <v>The Record Office for Leicestershire, Leicester &amp; Rutland</v>
      </c>
      <c r="M91" s="57">
        <f t="shared" si="640"/>
        <v>0</v>
      </c>
      <c r="N91" s="57">
        <f t="shared" si="641"/>
        <v>0</v>
      </c>
      <c r="O91" s="58">
        <f t="shared" si="756"/>
        <v>0</v>
      </c>
      <c r="P91" s="48">
        <f t="shared" si="757"/>
        <v>89</v>
      </c>
      <c r="Q91" s="54">
        <f t="shared" si="642"/>
        <v>2.8839999999999999</v>
      </c>
      <c r="R91" s="45">
        <f t="shared" si="758"/>
        <v>1</v>
      </c>
      <c r="S91" s="46">
        <f t="shared" si="759"/>
        <v>2</v>
      </c>
      <c r="T91" s="72">
        <f t="shared" si="760"/>
        <v>0</v>
      </c>
      <c r="U91" s="46" cm="1">
        <f t="array" ref="U91">ROUND(IFERROR(INDEX(ArchiveResults!$F$5:$IX$116,ComparisonData!A91,ComparisonData!$U$1),0),5)</f>
        <v>0</v>
      </c>
      <c r="V91" s="46" cm="1">
        <f t="array" ref="V91">ROUND(IFERROR(INDEX(ArchiveResults!$F$5:$IX$116,ComparisonData!A91,ComparisonData!$V$1),0),5)</f>
        <v>0</v>
      </c>
      <c r="W91" s="56">
        <v>86</v>
      </c>
      <c r="X91" s="53" t="str">
        <f t="shared" si="643"/>
        <v>The Record Office for Leicestershire, Leicester &amp; Rutland</v>
      </c>
      <c r="Y91" s="57">
        <f t="shared" si="761"/>
        <v>0</v>
      </c>
      <c r="Z91" s="57">
        <f t="shared" si="762"/>
        <v>0</v>
      </c>
      <c r="AA91" s="58">
        <f t="shared" si="763"/>
        <v>0</v>
      </c>
      <c r="AB91" s="45">
        <f t="shared" si="764"/>
        <v>89</v>
      </c>
      <c r="AC91" s="54">
        <f t="shared" si="644"/>
        <v>2.8839999999999999</v>
      </c>
      <c r="AD91" s="45">
        <f t="shared" si="765"/>
        <v>1</v>
      </c>
      <c r="AE91" s="45">
        <f t="shared" si="766"/>
        <v>2</v>
      </c>
      <c r="AF91" s="45">
        <f t="shared" si="639"/>
        <v>0</v>
      </c>
      <c r="AG91" s="46" cm="1">
        <f t="array" ref="AG91">ROUND(IFERROR(INDEX(ArchiveResults!$F$5:$IX$116,ComparisonData!A91,ComparisonData!$AG$1),0),5)</f>
        <v>0</v>
      </c>
      <c r="AH91" s="46" cm="1">
        <f t="array" ref="AH91">ROUND(IFERROR(INDEX(ArchiveResults!$F$5:$IX$116,ComparisonData!A91,ComparisonData!$AH$1),0),5)</f>
        <v>0</v>
      </c>
      <c r="AI91" s="56">
        <v>86</v>
      </c>
      <c r="AJ91" s="53" t="str">
        <f t="shared" si="645"/>
        <v>The Record Office for Leicestershire, Leicester &amp; Rutland</v>
      </c>
      <c r="AK91" s="59">
        <f t="shared" si="646"/>
        <v>0</v>
      </c>
      <c r="AL91" s="59">
        <f t="shared" si="647"/>
        <v>0</v>
      </c>
      <c r="AM91" s="58">
        <f t="shared" si="767"/>
        <v>0</v>
      </c>
      <c r="AN91" s="45">
        <f t="shared" si="768"/>
        <v>89</v>
      </c>
      <c r="AO91" s="54">
        <f t="shared" si="648"/>
        <v>2.8839999999999999</v>
      </c>
      <c r="AP91" s="45">
        <f t="shared" si="769"/>
        <v>1</v>
      </c>
      <c r="AQ91" s="45">
        <f t="shared" si="770"/>
        <v>2</v>
      </c>
      <c r="AR91" s="46" cm="1">
        <f t="array" ref="AR91">ROUND(IFERROR(INDEX(ArchiveResults!$F$5:$IX$116,ComparisonData!A91,ComparisonData!$AR$1),0),5)</f>
        <v>0</v>
      </c>
      <c r="AS91" s="46" cm="1">
        <f t="array" ref="AS91">ROUND(IFERROR(INDEX(ArchiveResults!$F$5:$IX$116,ComparisonData!A91,ComparisonData!$AS$1),0),5)</f>
        <v>0</v>
      </c>
      <c r="AT91" s="46" cm="1">
        <f t="array" ref="AT91">ROUND(IFERROR(INDEX(ArchiveResults!$F$5:$IX$116,ComparisonData!A91,ComparisonData!$AT$1),0),5)</f>
        <v>0</v>
      </c>
      <c r="AU91" s="46" cm="1">
        <f t="array" ref="AU91">ROUND(IFERROR(INDEX(ArchiveResults!$F$5:$IX$116,ComparisonData!A91,ComparisonData!$AU$1),0),5)</f>
        <v>0</v>
      </c>
      <c r="AV91" s="46" cm="1">
        <f t="array" ref="AV91">ROUND(IFERROR(INDEX(ArchiveResults!$F$5:$IX$116,ComparisonData!A91,ComparisonData!$AV$1),0),5)</f>
        <v>0</v>
      </c>
      <c r="AW91" s="46" cm="1">
        <f t="array" ref="AW91">ROUND(IFERROR(INDEX(ArchiveResults!$F$5:$IX$116,ComparisonData!A91,ComparisonData!$AW$1),0),5)</f>
        <v>0</v>
      </c>
      <c r="AX91" s="46" cm="1">
        <f t="array" ref="AX91">ROUND(IFERROR(INDEX(ArchiveResults!$F$5:$IX$116,ComparisonData!A91,ComparisonData!$AX$1),0),5)</f>
        <v>0</v>
      </c>
      <c r="AY91" s="46" cm="1">
        <f t="array" ref="AY91">ROUND(IFERROR(INDEX(ArchiveResults!$F$5:$IX$116,ComparisonData!A91,ComparisonData!$AY$1),0),5)</f>
        <v>0</v>
      </c>
      <c r="AZ91" s="46" cm="1">
        <f t="array" ref="AZ91">ROUND(IFERROR(INDEX(ArchiveResults!$F$5:$IX$116,ComparisonData!A91,ComparisonData!$AZ$1),0),5)</f>
        <v>0</v>
      </c>
      <c r="BA91" s="46" cm="1">
        <f t="array" ref="BA91">ROUND(IFERROR(INDEX(ArchiveResults!$F$5:$IX$116,ComparisonData!A91,ComparisonData!$BA$1),0),5)</f>
        <v>0</v>
      </c>
      <c r="BB91" s="56">
        <v>86</v>
      </c>
      <c r="BC91" s="53" t="str">
        <f t="shared" si="649"/>
        <v>The Record Office for Leicestershire, Leicester &amp; Rutland</v>
      </c>
      <c r="BD91" s="60">
        <f t="shared" si="771"/>
        <v>0</v>
      </c>
      <c r="BE91" s="60">
        <f t="shared" si="772"/>
        <v>0</v>
      </c>
      <c r="BF91" s="60">
        <f t="shared" si="773"/>
        <v>0</v>
      </c>
      <c r="BG91" s="60">
        <f t="shared" si="774"/>
        <v>0</v>
      </c>
      <c r="BH91" s="60">
        <f t="shared" si="775"/>
        <v>0</v>
      </c>
      <c r="BI91" s="60">
        <f t="shared" si="776"/>
        <v>0</v>
      </c>
      <c r="BJ91" s="60">
        <f t="shared" si="777"/>
        <v>0</v>
      </c>
      <c r="BK91" s="60">
        <f t="shared" si="778"/>
        <v>0</v>
      </c>
      <c r="BL91" s="60">
        <f t="shared" si="779"/>
        <v>0</v>
      </c>
      <c r="BM91" s="59">
        <f t="shared" si="780"/>
        <v>0</v>
      </c>
      <c r="BN91" s="58">
        <f t="shared" si="781"/>
        <v>0</v>
      </c>
      <c r="BO91" s="45">
        <f t="shared" si="782"/>
        <v>89</v>
      </c>
      <c r="BP91" s="54">
        <f t="shared" si="650"/>
        <v>2.8839999999999999</v>
      </c>
      <c r="BQ91" s="45">
        <f t="shared" si="783"/>
        <v>1</v>
      </c>
      <c r="BR91" s="45">
        <f t="shared" si="784"/>
        <v>2</v>
      </c>
      <c r="BS91" s="46" cm="1">
        <f t="array" ref="BS91">ROUND(IFERROR(INDEX(ArchiveResults!$F$5:$IX$116,ComparisonData!A91,ComparisonData!$BS$1),0),5)</f>
        <v>0</v>
      </c>
      <c r="BT91" s="46" cm="1">
        <f t="array" ref="BT91">ROUND(IFERROR(INDEX(ArchiveResults!$F$5:$IX$116,ComparisonData!A91,ComparisonData!$BT$1),0),5)</f>
        <v>0</v>
      </c>
      <c r="BU91" s="46" cm="1">
        <f t="array" ref="BU91">ROUND(IFERROR(INDEX(ArchiveResults!$F$5:$IX$116,ComparisonData!A91,ComparisonData!$BU$1),0),5)</f>
        <v>0</v>
      </c>
      <c r="BV91" s="46" cm="1">
        <f t="array" ref="BV91">ROUND(IFERROR(INDEX(ArchiveResults!$F$5:$IX$116,ComparisonData!A91,ComparisonData!$BV$1),0),5)</f>
        <v>0</v>
      </c>
      <c r="BW91" s="46" cm="1">
        <f t="array" ref="BW91">ROUND(IFERROR(INDEX(ArchiveResults!$F$5:$IX$116,ComparisonData!A91,ComparisonData!$BW$1),0),5)</f>
        <v>0</v>
      </c>
      <c r="BX91" s="46" cm="1">
        <f t="array" ref="BX91">ROUND(IFERROR(INDEX(ArchiveResults!$F$5:$IX$116,ComparisonData!A91,ComparisonData!$BX$1),0),5)</f>
        <v>0</v>
      </c>
      <c r="BY91" s="56">
        <v>86</v>
      </c>
      <c r="BZ91" s="53" t="str">
        <f t="shared" si="651"/>
        <v>The Record Office for Leicestershire, Leicester &amp; Rutland</v>
      </c>
      <c r="CA91" s="59">
        <f t="shared" si="785"/>
        <v>0</v>
      </c>
      <c r="CB91" s="59">
        <f t="shared" si="786"/>
        <v>0</v>
      </c>
      <c r="CC91" s="59">
        <f t="shared" si="787"/>
        <v>0</v>
      </c>
      <c r="CD91" s="59">
        <f t="shared" si="788"/>
        <v>0</v>
      </c>
      <c r="CE91" s="59">
        <f t="shared" si="789"/>
        <v>0</v>
      </c>
      <c r="CF91" s="59">
        <f t="shared" si="790"/>
        <v>0</v>
      </c>
      <c r="CG91" s="58">
        <f t="shared" si="791"/>
        <v>0</v>
      </c>
      <c r="CH91" s="45">
        <f t="shared" si="792"/>
        <v>89</v>
      </c>
      <c r="CI91" s="54">
        <f t="shared" si="652"/>
        <v>2.8839999999999999</v>
      </c>
      <c r="CJ91" s="45">
        <f t="shared" si="793"/>
        <v>1</v>
      </c>
      <c r="CK91" s="45">
        <f t="shared" si="794"/>
        <v>2</v>
      </c>
      <c r="CL91" s="46" cm="1">
        <f t="array" ref="CL91">ROUND(IFERROR(INDEX(ArchiveResults!$F$5:$IX$116,ComparisonData!A91,ComparisonData!$CL$1),0),5)</f>
        <v>0</v>
      </c>
      <c r="CM91" s="56">
        <v>86</v>
      </c>
      <c r="CN91" s="53" t="str">
        <f t="shared" si="653"/>
        <v>The Record Office for Leicestershire, Leicester &amp; Rutland</v>
      </c>
      <c r="CO91" s="45">
        <f t="shared" si="795"/>
        <v>0</v>
      </c>
      <c r="CP91" s="58">
        <f t="shared" si="796"/>
        <v>0</v>
      </c>
      <c r="CQ91" s="45">
        <f t="shared" si="797"/>
        <v>89</v>
      </c>
      <c r="CR91" s="54">
        <f t="shared" si="654"/>
        <v>2.8839999999999999</v>
      </c>
      <c r="CS91" s="45">
        <f t="shared" si="798"/>
        <v>1</v>
      </c>
      <c r="CT91" s="45">
        <f t="shared" si="799"/>
        <v>2</v>
      </c>
      <c r="CU91" s="46" cm="1">
        <f t="array" ref="CU91">ROUND(IFERROR(INDEX(ArchiveResults!$F$5:$IX$116,ComparisonData!A91,ComparisonData!$CU$1),0),5)</f>
        <v>0</v>
      </c>
      <c r="CV91" s="56">
        <v>86</v>
      </c>
      <c r="CW91" s="53" t="str">
        <f t="shared" si="655"/>
        <v>The Record Office for Leicestershire, Leicester &amp; Rutland</v>
      </c>
      <c r="CX91" s="45">
        <f t="shared" si="800"/>
        <v>0</v>
      </c>
      <c r="CY91" s="58">
        <f t="shared" si="801"/>
        <v>0</v>
      </c>
      <c r="CZ91" s="45">
        <f t="shared" si="802"/>
        <v>89</v>
      </c>
      <c r="DA91" s="54">
        <f t="shared" si="656"/>
        <v>2.8839999999999999</v>
      </c>
      <c r="DB91" s="45">
        <f t="shared" si="803"/>
        <v>1</v>
      </c>
      <c r="DC91" s="45">
        <f t="shared" si="804"/>
        <v>2</v>
      </c>
      <c r="DD91" s="46" cm="1">
        <f t="array" ref="DD91">ROUND(IFERROR(INDEX(ArchiveResults!$F$5:$IX$116,ComparisonData!A91,ComparisonData!$DD$1),0),5)</f>
        <v>0</v>
      </c>
      <c r="DE91" s="56">
        <v>86</v>
      </c>
      <c r="DF91" s="53" t="str">
        <f t="shared" si="657"/>
        <v>The Record Office for Leicestershire, Leicester &amp; Rutland</v>
      </c>
      <c r="DG91" s="45">
        <f t="shared" si="805"/>
        <v>0</v>
      </c>
      <c r="DH91" s="58">
        <f t="shared" si="806"/>
        <v>0</v>
      </c>
      <c r="DI91" s="45">
        <f t="shared" si="807"/>
        <v>89</v>
      </c>
      <c r="DJ91" s="54">
        <f t="shared" si="658"/>
        <v>2.8839999999999999</v>
      </c>
      <c r="DK91" s="45">
        <f t="shared" si="808"/>
        <v>1</v>
      </c>
      <c r="DL91" s="45">
        <f t="shared" si="809"/>
        <v>2</v>
      </c>
      <c r="DM91" s="46" cm="1">
        <f t="array" ref="DM91">ROUND(IFERROR(INDEX(ArchiveResults!$F$5:$IX$116,ComparisonData!A91,ComparisonData!$DM$1),0),5)</f>
        <v>0</v>
      </c>
      <c r="DN91" s="46" cm="1">
        <f t="array" ref="DN91">ROUND(IFERROR(INDEX(ArchiveResults!$F$5:$IX$116,ComparisonData!A91,ComparisonData!$DN$1),0),5)</f>
        <v>0</v>
      </c>
      <c r="DO91" s="46" cm="1">
        <f t="array" ref="DO91">ROUND(IFERROR(INDEX(ArchiveResults!$F$5:$IX$116,ComparisonData!A91,ComparisonData!$DO$1),0),5)</f>
        <v>0</v>
      </c>
      <c r="DP91" s="46" cm="1">
        <f t="array" ref="DP91">ROUND(IFERROR(INDEX(ArchiveResults!$F$5:$IX$116,ComparisonData!A91,ComparisonData!$DP$1),0),5)</f>
        <v>0</v>
      </c>
      <c r="DQ91" s="45" cm="1">
        <f t="array" ref="DQ91">IFERROR(INDEX(ArchiveResults!$F$5:$IX$116,ComparisonData!A91,ComparisonData!$DQ$1),0)</f>
        <v>0</v>
      </c>
      <c r="DR91" s="56">
        <v>86</v>
      </c>
      <c r="DS91" s="53" t="str">
        <f t="shared" si="659"/>
        <v>The Record Office for Leicestershire, Leicester &amp; Rutland</v>
      </c>
      <c r="DT91" s="59">
        <f t="shared" si="810"/>
        <v>0</v>
      </c>
      <c r="DU91" s="59">
        <f t="shared" si="811"/>
        <v>0</v>
      </c>
      <c r="DV91" s="59">
        <f t="shared" si="812"/>
        <v>0</v>
      </c>
      <c r="DW91" s="59">
        <f t="shared" si="813"/>
        <v>0</v>
      </c>
      <c r="DX91" s="59">
        <f t="shared" si="814"/>
        <v>0</v>
      </c>
      <c r="DY91" s="58">
        <f t="shared" si="815"/>
        <v>0</v>
      </c>
      <c r="DZ91" s="45">
        <f t="shared" si="816"/>
        <v>89</v>
      </c>
      <c r="EA91" s="54">
        <f t="shared" si="660"/>
        <v>2.8839999999999999</v>
      </c>
      <c r="EB91" s="45">
        <f t="shared" si="817"/>
        <v>1</v>
      </c>
      <c r="EC91" s="45">
        <f t="shared" si="818"/>
        <v>2</v>
      </c>
      <c r="ED91" s="46" cm="1">
        <f t="array" ref="ED91">ROUND(IFERROR(INDEX(ArchiveResults!$F$5:$IX$116,ComparisonData!A91,ComparisonData!$ED$1),0),5)</f>
        <v>0</v>
      </c>
      <c r="EE91" s="46" cm="1">
        <f t="array" ref="EE91">ROUND(IFERROR(INDEX(ArchiveResults!$F$5:$IX$116,ComparisonData!A91,ComparisonData!$EE$1),0),5)</f>
        <v>0</v>
      </c>
      <c r="EF91" s="46" cm="1">
        <f t="array" ref="EF91">ROUND(IFERROR(INDEX(ArchiveResults!$F$5:$IX$116,ComparisonData!A91,ComparisonData!$EF$1),0),5)</f>
        <v>0</v>
      </c>
      <c r="EG91" s="46" cm="1">
        <f t="array" ref="EG91">ROUND(IFERROR(INDEX(ArchiveResults!$F$5:$IX$116,ComparisonData!A91,ComparisonData!$EG$1),0),5)</f>
        <v>0</v>
      </c>
      <c r="EH91" s="45" cm="1">
        <f t="array" ref="EH91">IFERROR(INDEX(ArchiveResults!$F$5:$IX$116,ComparisonData!A91,ComparisonData!$EH$1),0)</f>
        <v>0</v>
      </c>
      <c r="EI91" s="56">
        <v>86</v>
      </c>
      <c r="EJ91" s="53" t="str">
        <f t="shared" si="661"/>
        <v>The Record Office for Leicestershire, Leicester &amp; Rutland</v>
      </c>
      <c r="EK91" s="59">
        <f t="shared" si="819"/>
        <v>0</v>
      </c>
      <c r="EL91" s="59">
        <f t="shared" si="820"/>
        <v>0</v>
      </c>
      <c r="EM91" s="59">
        <f t="shared" si="821"/>
        <v>0</v>
      </c>
      <c r="EN91" s="59">
        <f t="shared" si="822"/>
        <v>0</v>
      </c>
      <c r="EO91" s="59">
        <f t="shared" si="823"/>
        <v>0</v>
      </c>
      <c r="EP91" s="58">
        <f t="shared" si="824"/>
        <v>0</v>
      </c>
      <c r="EQ91" s="45">
        <f t="shared" si="825"/>
        <v>89</v>
      </c>
      <c r="ER91" s="54">
        <f t="shared" si="662"/>
        <v>2.8839999999999999</v>
      </c>
      <c r="ES91" s="45">
        <f t="shared" si="826"/>
        <v>1</v>
      </c>
      <c r="ET91" s="45">
        <f t="shared" si="827"/>
        <v>2</v>
      </c>
      <c r="EU91" s="46" cm="1">
        <f t="array" ref="EU91">ROUND(IFERROR(INDEX(ArchiveResults!$F$5:$IX$116,ComparisonData!A91,ComparisonData!$EU$1),0),5)</f>
        <v>0</v>
      </c>
      <c r="EV91" s="46" cm="1">
        <f t="array" ref="EV91">ROUND(IFERROR(INDEX(ArchiveResults!$F$5:$IX$116,ComparisonData!A91,ComparisonData!$EV$1),0),5)</f>
        <v>0</v>
      </c>
      <c r="EW91" s="46" cm="1">
        <f t="array" ref="EW91">ROUND(IFERROR(INDEX(ArchiveResults!$F$5:$IX$116,ComparisonData!A91,ComparisonData!$EW$1),0),5)</f>
        <v>0</v>
      </c>
      <c r="EX91" s="46" cm="1">
        <f t="array" ref="EX91">ROUND(IFERROR(INDEX(ArchiveResults!$F$5:$IX$116,ComparisonData!A91,ComparisonData!$EX$1),0),5)</f>
        <v>0</v>
      </c>
      <c r="EY91" s="45" cm="1">
        <f t="array" ref="EY91">IFERROR(INDEX(ArchiveResults!$F$5:$IX$116,ComparisonData!A91,ComparisonData!$EY$1),0)</f>
        <v>0</v>
      </c>
      <c r="EZ91" s="56">
        <v>86</v>
      </c>
      <c r="FA91" s="53" t="str">
        <f t="shared" si="663"/>
        <v>The Record Office for Leicestershire, Leicester &amp; Rutland</v>
      </c>
      <c r="FB91" s="59">
        <f t="shared" si="828"/>
        <v>0</v>
      </c>
      <c r="FC91" s="59">
        <f t="shared" si="829"/>
        <v>0</v>
      </c>
      <c r="FD91" s="59">
        <f t="shared" si="830"/>
        <v>0</v>
      </c>
      <c r="FE91" s="59">
        <f t="shared" si="831"/>
        <v>0</v>
      </c>
      <c r="FF91" s="59">
        <f t="shared" si="832"/>
        <v>0</v>
      </c>
      <c r="FG91" s="58">
        <f t="shared" si="833"/>
        <v>0</v>
      </c>
      <c r="FH91" s="45">
        <f t="shared" si="834"/>
        <v>89</v>
      </c>
      <c r="FI91" s="54">
        <f t="shared" si="664"/>
        <v>2.8839999999999999</v>
      </c>
      <c r="FJ91" s="45">
        <f t="shared" si="835"/>
        <v>1</v>
      </c>
      <c r="FK91" s="45">
        <f t="shared" si="836"/>
        <v>2</v>
      </c>
      <c r="FL91" s="46" cm="1">
        <f t="array" ref="FL91">ROUND(IFERROR(INDEX(ArchiveResults!$F$5:$IX$116,ComparisonData!A91,ComparisonData!$FL$1),0),5)</f>
        <v>0</v>
      </c>
      <c r="FM91" s="46" cm="1">
        <f t="array" ref="FM91">ROUND(IFERROR(INDEX(ArchiveResults!$F$5:$IX$116,ComparisonData!A91,ComparisonData!$FM$1),0),5)</f>
        <v>0</v>
      </c>
      <c r="FN91" s="46" cm="1">
        <f t="array" ref="FN91">ROUND(IFERROR(INDEX(ArchiveResults!$F$5:$IX$116,ComparisonData!A91,ComparisonData!$FN$1),0),5)</f>
        <v>0</v>
      </c>
      <c r="FO91" s="46" cm="1">
        <f t="array" ref="FO91">ROUND(IFERROR(INDEX(ArchiveResults!$F$5:$IX$116,ComparisonData!A91,ComparisonData!$FO$1),0),5)</f>
        <v>0</v>
      </c>
      <c r="FP91" s="45" cm="1">
        <f t="array" ref="FP91">IFERROR(INDEX(ArchiveResults!$F$5:$IX$116,ComparisonData!A91,ComparisonData!$FP$1),0)</f>
        <v>0</v>
      </c>
      <c r="FQ91" s="56">
        <v>86</v>
      </c>
      <c r="FR91" s="53" t="str">
        <f t="shared" si="665"/>
        <v>The Record Office for Leicestershire, Leicester &amp; Rutland</v>
      </c>
      <c r="FS91" s="59">
        <f t="shared" si="837"/>
        <v>0</v>
      </c>
      <c r="FT91" s="59">
        <f t="shared" si="838"/>
        <v>0</v>
      </c>
      <c r="FU91" s="59">
        <f t="shared" si="839"/>
        <v>0</v>
      </c>
      <c r="FV91" s="59">
        <f t="shared" si="840"/>
        <v>0</v>
      </c>
      <c r="FW91" s="59">
        <f t="shared" si="841"/>
        <v>0</v>
      </c>
      <c r="FX91" s="58">
        <f t="shared" si="842"/>
        <v>0</v>
      </c>
      <c r="FY91" s="45">
        <f t="shared" si="843"/>
        <v>89</v>
      </c>
      <c r="FZ91" s="45">
        <f t="shared" si="666"/>
        <v>2.8839999999999999</v>
      </c>
      <c r="GA91" s="45">
        <f t="shared" si="844"/>
        <v>1</v>
      </c>
      <c r="GB91" s="45">
        <f t="shared" si="845"/>
        <v>2</v>
      </c>
      <c r="GC91" s="46" cm="1">
        <f t="array" ref="GC91">ROUND(IFERROR(INDEX(ArchiveResults!$F$5:$IX$116,ComparisonData!A91,ComparisonData!$GC$1),0),5)</f>
        <v>0</v>
      </c>
      <c r="GD91" s="46" cm="1">
        <f t="array" ref="GD91">ROUND(IFERROR(INDEX(ArchiveResults!$F$5:$IX$116,ComparisonData!A91,ComparisonData!$GD$1),0),5)</f>
        <v>0</v>
      </c>
      <c r="GE91" s="46" cm="1">
        <f t="array" ref="GE91">ROUND(IFERROR(INDEX(ArchiveResults!$F$5:$IX$116,ComparisonData!A91,ComparisonData!$GE$1),0),5)</f>
        <v>0</v>
      </c>
      <c r="GF91" s="46" cm="1">
        <f t="array" ref="GF91">ROUND(IFERROR(INDEX(ArchiveResults!$F$5:$IX$116,ComparisonData!A91,ComparisonData!$GF$1),0),5)</f>
        <v>0</v>
      </c>
      <c r="GG91" s="45" cm="1">
        <f t="array" ref="GG91">IFERROR(INDEX(ArchiveResults!$F$5:$IX$116,ComparisonData!A91,ComparisonData!$GG$1),0)</f>
        <v>0</v>
      </c>
      <c r="GH91" s="56">
        <v>86</v>
      </c>
      <c r="GI91" s="53" t="str">
        <f t="shared" si="667"/>
        <v>The Record Office for Leicestershire, Leicester &amp; Rutland</v>
      </c>
      <c r="GJ91" s="59">
        <f t="shared" si="846"/>
        <v>0</v>
      </c>
      <c r="GK91" s="59">
        <f t="shared" si="847"/>
        <v>0</v>
      </c>
      <c r="GL91" s="59">
        <f t="shared" si="848"/>
        <v>0</v>
      </c>
      <c r="GM91" s="59">
        <f t="shared" si="849"/>
        <v>0</v>
      </c>
      <c r="GN91" s="59">
        <f t="shared" si="850"/>
        <v>0</v>
      </c>
      <c r="GO91" s="58">
        <f t="shared" si="851"/>
        <v>0</v>
      </c>
      <c r="GP91" s="45">
        <f t="shared" si="852"/>
        <v>89</v>
      </c>
      <c r="GQ91" s="45">
        <f t="shared" si="668"/>
        <v>2.8839999999999999</v>
      </c>
      <c r="GR91" s="45">
        <f t="shared" si="853"/>
        <v>1</v>
      </c>
      <c r="GS91" s="45">
        <f t="shared" si="854"/>
        <v>2</v>
      </c>
      <c r="GT91" s="46" cm="1">
        <f t="array" ref="GT91">ROUND(IFERROR(INDEX(ArchiveResults!$F$5:$IX$116,ComparisonData!A91,ComparisonData!$GT$1),0),5)</f>
        <v>0</v>
      </c>
      <c r="GU91" s="46" cm="1">
        <f t="array" ref="GU91">ROUND(IFERROR(INDEX(ArchiveResults!$F$5:$IX$116,ComparisonData!A91,ComparisonData!$GU$1),0),5)</f>
        <v>0</v>
      </c>
      <c r="GV91" s="46" cm="1">
        <f t="array" ref="GV91">ROUND(IFERROR(INDEX(ArchiveResults!$F$5:$IX$116,ComparisonData!A91,ComparisonData!$GV$1),0),5)</f>
        <v>0</v>
      </c>
      <c r="GW91" s="46" cm="1">
        <f t="array" ref="GW91">ROUND(IFERROR(INDEX(ArchiveResults!$F$5:$IX$116,ComparisonData!A91,ComparisonData!$GW$1),0),5)</f>
        <v>0</v>
      </c>
      <c r="GX91" s="45" cm="1">
        <f t="array" ref="GX91">IFERROR(INDEX(ArchiveResults!$F$5:$IX$116,ComparisonData!A91,ComparisonData!$GX$1),0)</f>
        <v>0</v>
      </c>
      <c r="GY91" s="56">
        <v>86</v>
      </c>
      <c r="GZ91" s="53" t="str">
        <f t="shared" si="669"/>
        <v>The Record Office for Leicestershire, Leicester &amp; Rutland</v>
      </c>
      <c r="HA91" s="59">
        <f t="shared" si="855"/>
        <v>0</v>
      </c>
      <c r="HB91" s="59">
        <f t="shared" si="856"/>
        <v>0</v>
      </c>
      <c r="HC91" s="59">
        <f t="shared" si="857"/>
        <v>0</v>
      </c>
      <c r="HD91" s="59">
        <f t="shared" si="858"/>
        <v>0</v>
      </c>
      <c r="HE91" s="59">
        <f t="shared" si="859"/>
        <v>0</v>
      </c>
      <c r="HF91" s="58">
        <f t="shared" si="860"/>
        <v>0</v>
      </c>
      <c r="HG91" s="45">
        <f t="shared" si="861"/>
        <v>89</v>
      </c>
      <c r="HH91" s="45">
        <f t="shared" si="670"/>
        <v>2.8839999999999999</v>
      </c>
      <c r="HI91" s="45">
        <f t="shared" si="862"/>
        <v>1</v>
      </c>
      <c r="HJ91" s="45">
        <f t="shared" si="863"/>
        <v>2</v>
      </c>
      <c r="HK91" s="46" cm="1">
        <f t="array" ref="HK91">ROUND(IFERROR(INDEX(ArchiveResults!$F$5:$IX$116,ComparisonData!A91,ComparisonData!$HK$1),0),5)</f>
        <v>0</v>
      </c>
      <c r="HL91" s="46" cm="1">
        <f t="array" ref="HL91">ROUND(IFERROR(INDEX(ArchiveResults!$F$5:$IX$116,ComparisonData!A91,ComparisonData!$HL$1),0),5)</f>
        <v>0</v>
      </c>
      <c r="HM91" s="46" cm="1">
        <f t="array" ref="HM91">ROUND(IFERROR(INDEX(ArchiveResults!$F$5:$IX$116,ComparisonData!A91,ComparisonData!$HM$1),0),5)</f>
        <v>0</v>
      </c>
      <c r="HN91" s="46" cm="1">
        <f t="array" ref="HN91">ROUND(IFERROR(INDEX(ArchiveResults!$F$5:$IX$116,ComparisonData!A91,ComparisonData!$HN$1),0),5)</f>
        <v>0</v>
      </c>
      <c r="HO91" s="45" cm="1">
        <f t="array" ref="HO91">IFERROR(INDEX(ArchiveResults!$F$5:$IX$116,ComparisonData!A91,ComparisonData!$HO$1),0)</f>
        <v>0</v>
      </c>
      <c r="HP91" s="56">
        <v>86</v>
      </c>
      <c r="HQ91" s="53" t="str">
        <f t="shared" si="671"/>
        <v>The Record Office for Leicestershire, Leicester &amp; Rutland</v>
      </c>
      <c r="HR91" s="59">
        <f t="shared" si="672"/>
        <v>0</v>
      </c>
      <c r="HS91" s="59">
        <f t="shared" si="673"/>
        <v>0</v>
      </c>
      <c r="HT91" s="59">
        <f t="shared" si="674"/>
        <v>0</v>
      </c>
      <c r="HU91" s="59">
        <f t="shared" si="675"/>
        <v>0</v>
      </c>
      <c r="HV91" s="59">
        <f t="shared" si="676"/>
        <v>0</v>
      </c>
      <c r="HW91" s="58">
        <f t="shared" si="864"/>
        <v>0</v>
      </c>
      <c r="HX91" s="45">
        <f t="shared" si="865"/>
        <v>89</v>
      </c>
      <c r="HY91" s="45">
        <f t="shared" si="677"/>
        <v>2.8839999999999999</v>
      </c>
      <c r="HZ91" s="45">
        <f t="shared" si="866"/>
        <v>1</v>
      </c>
      <c r="IA91" s="45">
        <f t="shared" si="867"/>
        <v>2</v>
      </c>
      <c r="IB91" s="45">
        <f t="shared" si="868"/>
        <v>0</v>
      </c>
      <c r="IC91" s="46" cm="1">
        <f t="array" ref="IC91">ROUND(IFERROR(INDEX(ArchiveResults!$F$5:$IX$116,ComparisonData!A91,ComparisonData!$IC$1),0),5)</f>
        <v>0</v>
      </c>
      <c r="ID91" s="46" cm="1">
        <f t="array" ref="ID91">ROUND(IFERROR(INDEX(ArchiveResults!$F$5:$IX$116,ComparisonData!A91,ComparisonData!$ID$1),0),5)</f>
        <v>0</v>
      </c>
      <c r="IE91" s="46" cm="1">
        <f t="array" ref="IE91">ROUND(IFERROR(INDEX(ArchiveResults!$F$5:$IX$116,ComparisonData!A91,ComparisonData!$IE$1),0),5)</f>
        <v>0</v>
      </c>
      <c r="IF91" s="46" cm="1">
        <f t="array" ref="IF91">ROUND(IFERROR(INDEX(ArchiveResults!$F$5:$IX$116,ComparisonData!A91,ComparisonData!$IF$1),0),5)</f>
        <v>0</v>
      </c>
      <c r="IG91" s="45" cm="1">
        <f t="array" ref="IG91">IFERROR(INDEX(ArchiveResults!$F$5:$IX$116,ComparisonData!A91,ComparisonData!$IG$1),0)</f>
        <v>0</v>
      </c>
      <c r="IH91" s="56">
        <v>86</v>
      </c>
      <c r="II91" s="53" t="str">
        <f t="shared" si="678"/>
        <v>The Record Office for Leicestershire, Leicester &amp; Rutland</v>
      </c>
      <c r="IJ91" s="59">
        <f t="shared" si="869"/>
        <v>0</v>
      </c>
      <c r="IK91" s="59">
        <f t="shared" si="870"/>
        <v>0</v>
      </c>
      <c r="IL91" s="59">
        <f t="shared" si="871"/>
        <v>0</v>
      </c>
      <c r="IM91" s="59">
        <f t="shared" si="872"/>
        <v>0</v>
      </c>
      <c r="IN91" s="59">
        <f t="shared" si="873"/>
        <v>0</v>
      </c>
      <c r="IO91" s="58">
        <f t="shared" si="874"/>
        <v>0</v>
      </c>
      <c r="IP91" s="45">
        <f t="shared" si="875"/>
        <v>89</v>
      </c>
      <c r="IQ91" s="45">
        <f t="shared" si="679"/>
        <v>2.8839999999999999</v>
      </c>
      <c r="IR91" s="45">
        <f t="shared" si="876"/>
        <v>1</v>
      </c>
      <c r="IS91" s="45">
        <f t="shared" si="877"/>
        <v>2</v>
      </c>
      <c r="IT91" s="46">
        <f t="shared" si="878"/>
        <v>0</v>
      </c>
      <c r="IU91" s="46" cm="1">
        <f t="array" ref="IU91">ROUND(IFERROR(INDEX(ArchiveResults!$F$5:$IX$116,ComparisonData!A91,ComparisonData!$IU$1),0),5)</f>
        <v>0</v>
      </c>
      <c r="IV91" s="46" cm="1">
        <f t="array" ref="IV91">ROUND(IFERROR(INDEX(ArchiveResults!$F$5:$IX$116,ComparisonData!A91,ComparisonData!$IV$1),0),5)</f>
        <v>0</v>
      </c>
      <c r="IW91" s="46" cm="1">
        <f t="array" ref="IW91">ROUND(IFERROR(INDEX(ArchiveResults!$F$5:$IX$116,ComparisonData!A91,ComparisonData!$IW$1),0),5)</f>
        <v>0</v>
      </c>
      <c r="IX91" s="46" cm="1">
        <f t="array" ref="IX91">ROUND(IFERROR(INDEX(ArchiveResults!$F$5:$IX$116,ComparisonData!A91,ComparisonData!$IX$1),0),5)</f>
        <v>0</v>
      </c>
      <c r="IY91" s="45" cm="1">
        <f t="array" ref="IY91">IFERROR(INDEX(ArchiveResults!$F$5:$IX$116,ComparisonData!A91,ComparisonData!$IY$1),0)</f>
        <v>0</v>
      </c>
      <c r="IZ91" s="56">
        <v>86</v>
      </c>
      <c r="JA91" s="53" t="str">
        <f t="shared" si="680"/>
        <v>The Record Office for Leicestershire, Leicester &amp; Rutland</v>
      </c>
      <c r="JB91" s="59">
        <f t="shared" si="879"/>
        <v>0</v>
      </c>
      <c r="JC91" s="59">
        <f t="shared" si="880"/>
        <v>0</v>
      </c>
      <c r="JD91" s="59">
        <f t="shared" si="881"/>
        <v>0</v>
      </c>
      <c r="JE91" s="59">
        <f t="shared" si="882"/>
        <v>0</v>
      </c>
      <c r="JF91" s="59">
        <f t="shared" si="883"/>
        <v>0</v>
      </c>
      <c r="JG91" s="58">
        <f t="shared" si="884"/>
        <v>0</v>
      </c>
      <c r="JH91" s="45">
        <f t="shared" si="885"/>
        <v>89</v>
      </c>
      <c r="JI91" s="45">
        <f t="shared" si="681"/>
        <v>2.8839999999999999</v>
      </c>
      <c r="JJ91" s="45">
        <f t="shared" si="886"/>
        <v>1</v>
      </c>
      <c r="JK91" s="45">
        <f t="shared" si="887"/>
        <v>2</v>
      </c>
      <c r="JL91" s="45">
        <f t="shared" si="888"/>
        <v>0</v>
      </c>
      <c r="JM91" s="46" cm="1">
        <f t="array" ref="JM91">ROUND(IFERROR(INDEX(ArchiveResults!$F$5:$IX$116,ComparisonData!A91,ComparisonData!$JM$1),0),5)</f>
        <v>0</v>
      </c>
      <c r="JN91" s="46" cm="1">
        <f t="array" ref="JN91">ROUND(IFERROR(INDEX(ArchiveResults!$F$5:$IX$116,ComparisonData!A91,ComparisonData!$JN$1),0),5)</f>
        <v>0</v>
      </c>
      <c r="JO91" s="46" cm="1">
        <f t="array" ref="JO91">ROUND(IFERROR(INDEX(ArchiveResults!$F$5:$IX$116,ComparisonData!A91,ComparisonData!$JO$1),0),5)</f>
        <v>0</v>
      </c>
      <c r="JP91" s="46" cm="1">
        <f t="array" ref="JP91">ROUND(IFERROR(INDEX(ArchiveResults!$F$5:$IX$116,ComparisonData!A91,ComparisonData!$JP$1),0),5)</f>
        <v>0</v>
      </c>
      <c r="JQ91" s="45" cm="1">
        <f t="array" ref="JQ91">IFERROR(INDEX(ArchiveResults!$F$5:$IX$116,ComparisonData!A91,ComparisonData!$JQ$1),0)</f>
        <v>0</v>
      </c>
      <c r="JR91" s="56">
        <v>86</v>
      </c>
      <c r="JS91" s="53" t="str">
        <f t="shared" si="682"/>
        <v>The Record Office for Leicestershire, Leicester &amp; Rutland</v>
      </c>
      <c r="JT91" s="59">
        <f t="shared" si="889"/>
        <v>0</v>
      </c>
      <c r="JU91" s="59">
        <f t="shared" si="890"/>
        <v>0</v>
      </c>
      <c r="JV91" s="59">
        <f t="shared" si="891"/>
        <v>0</v>
      </c>
      <c r="JW91" s="59">
        <f t="shared" si="892"/>
        <v>0</v>
      </c>
      <c r="JX91" s="59">
        <f t="shared" si="893"/>
        <v>0</v>
      </c>
      <c r="JY91" s="58">
        <f t="shared" si="894"/>
        <v>0</v>
      </c>
      <c r="JZ91" s="45">
        <f t="shared" si="895"/>
        <v>89</v>
      </c>
      <c r="KA91" s="45">
        <f t="shared" si="683"/>
        <v>2.8839999999999999</v>
      </c>
      <c r="KB91" s="45">
        <f t="shared" si="896"/>
        <v>1</v>
      </c>
      <c r="KC91" s="45">
        <f t="shared" si="897"/>
        <v>2</v>
      </c>
      <c r="KD91" s="45">
        <f t="shared" si="898"/>
        <v>0</v>
      </c>
      <c r="KE91" s="46" cm="1">
        <f t="array" ref="KE91">ROUND(IFERROR(INDEX(ArchiveResults!$F$5:$IX$116,ComparisonData!A91,ComparisonData!$KE$1),0),5)</f>
        <v>0</v>
      </c>
      <c r="KF91" s="46" cm="1">
        <f t="array" ref="KF91">ROUND(IFERROR(INDEX(ArchiveResults!$F$5:$IX$116,ComparisonData!A91,ComparisonData!$KF$1),0),5)</f>
        <v>0</v>
      </c>
      <c r="KG91" s="46" cm="1">
        <f t="array" ref="KG91">ROUND(IFERROR(INDEX(ArchiveResults!$F$5:$IX$116,ComparisonData!A91,ComparisonData!$KG$1),0),5)</f>
        <v>0</v>
      </c>
      <c r="KH91" s="46" cm="1">
        <f t="array" ref="KH91">ROUND(IFERROR(INDEX(ArchiveResults!$F$5:$IX$116,ComparisonData!A91,ComparisonData!$KH$1),0),5)</f>
        <v>0</v>
      </c>
      <c r="KI91" s="45" cm="1">
        <f t="array" ref="KI91">IFERROR(INDEX(ArchiveResults!$F$5:$IX$116,ComparisonData!A91,ComparisonData!$KI$1),0)</f>
        <v>0</v>
      </c>
      <c r="KJ91" s="56">
        <v>86</v>
      </c>
      <c r="KK91" s="53" t="str">
        <f t="shared" si="684"/>
        <v>The Record Office for Leicestershire, Leicester &amp; Rutland</v>
      </c>
      <c r="KL91" s="59">
        <f t="shared" si="899"/>
        <v>0</v>
      </c>
      <c r="KM91" s="59">
        <f t="shared" si="900"/>
        <v>0</v>
      </c>
      <c r="KN91" s="59">
        <f t="shared" si="901"/>
        <v>0</v>
      </c>
      <c r="KO91" s="59">
        <f t="shared" si="902"/>
        <v>0</v>
      </c>
      <c r="KP91" s="59">
        <f t="shared" si="903"/>
        <v>0</v>
      </c>
      <c r="KQ91" s="58">
        <f t="shared" si="904"/>
        <v>0</v>
      </c>
      <c r="KR91" s="45">
        <f t="shared" si="905"/>
        <v>89</v>
      </c>
      <c r="KS91" s="45">
        <f t="shared" si="685"/>
        <v>2.8839999999999999</v>
      </c>
      <c r="KT91" s="45">
        <f t="shared" si="906"/>
        <v>1</v>
      </c>
      <c r="KU91" s="45">
        <f t="shared" si="907"/>
        <v>2</v>
      </c>
      <c r="KV91" s="45">
        <f t="shared" si="908"/>
        <v>0</v>
      </c>
      <c r="KW91" s="46" cm="1">
        <f t="array" ref="KW91">ROUND(IFERROR(INDEX(ArchiveResults!$F$5:$IX$116,ComparisonData!A91,ComparisonData!$KW$1),0),5)</f>
        <v>0</v>
      </c>
      <c r="KX91" s="46" cm="1">
        <f t="array" ref="KX91">ROUND(IFERROR(INDEX(ArchiveResults!$F$5:$IX$116,ComparisonData!A91,ComparisonData!$KX$1),0),5)</f>
        <v>0</v>
      </c>
      <c r="KY91" s="46" cm="1">
        <f t="array" ref="KY91">ROUND(IFERROR(INDEX(ArchiveResults!$F$5:$IX$116,ComparisonData!A91,ComparisonData!$KY$1),0),5)</f>
        <v>0</v>
      </c>
      <c r="KZ91" s="46" cm="1">
        <f t="array" ref="KZ91">ROUND(IFERROR(INDEX(ArchiveResults!$F$5:$IX$116,ComparisonData!A91,ComparisonData!$KZ$1),0),5)</f>
        <v>0</v>
      </c>
      <c r="LA91" s="45" cm="1">
        <f t="array" ref="LA91">IFERROR(INDEX(ArchiveResults!$F$5:$IX$116,ComparisonData!A91,ComparisonData!$LA$1),0)</f>
        <v>0</v>
      </c>
      <c r="LB91" s="56">
        <v>86</v>
      </c>
      <c r="LC91" s="53" t="str">
        <f t="shared" si="686"/>
        <v>The Record Office for Leicestershire, Leicester &amp; Rutland</v>
      </c>
      <c r="LD91" s="59">
        <f t="shared" si="909"/>
        <v>0</v>
      </c>
      <c r="LE91" s="59">
        <f t="shared" si="910"/>
        <v>0</v>
      </c>
      <c r="LF91" s="59">
        <f t="shared" si="911"/>
        <v>0</v>
      </c>
      <c r="LG91" s="59">
        <f t="shared" si="912"/>
        <v>0</v>
      </c>
      <c r="LH91" s="59">
        <f t="shared" si="913"/>
        <v>0</v>
      </c>
      <c r="LI91" s="58">
        <f t="shared" si="914"/>
        <v>0</v>
      </c>
      <c r="LJ91" s="45">
        <f t="shared" si="915"/>
        <v>89</v>
      </c>
      <c r="LK91" s="45">
        <f t="shared" si="687"/>
        <v>2.8839999999999999</v>
      </c>
      <c r="LL91" s="45">
        <f t="shared" si="916"/>
        <v>1</v>
      </c>
      <c r="LM91" s="45">
        <f t="shared" si="917"/>
        <v>2</v>
      </c>
      <c r="LN91" s="45">
        <f t="shared" si="918"/>
        <v>0</v>
      </c>
      <c r="LO91" s="46" cm="1">
        <f t="array" ref="LO91">ROUND(IFERROR(INDEX(ArchiveResults!$F$5:$IX$116,ComparisonData!A91,ComparisonData!$LO$1),0),5)</f>
        <v>0</v>
      </c>
      <c r="LP91" s="46" cm="1">
        <f t="array" ref="LP91">ROUND(IFERROR(INDEX(ArchiveResults!$F$5:$IX$116,ComparisonData!A91,ComparisonData!$LP$1),0),5)</f>
        <v>0</v>
      </c>
      <c r="LQ91" s="46" cm="1">
        <f t="array" ref="LQ91">ROUND(IFERROR(INDEX(ArchiveResults!$F$5:$IX$116,ComparisonData!A91,ComparisonData!$LQ$1),0),5)</f>
        <v>0</v>
      </c>
      <c r="LR91" s="46" cm="1">
        <f t="array" ref="LR91">ROUND(IFERROR(INDEX(ArchiveResults!$F$5:$IX$116,ComparisonData!A91,ComparisonData!$LR$1),0),5)</f>
        <v>0</v>
      </c>
      <c r="LS91" s="45" cm="1">
        <f t="array" ref="LS91">IFERROR(INDEX(ArchiveResults!$F$5:$IX$116,ComparisonData!A91,ComparisonData!$LS$1),0)</f>
        <v>0</v>
      </c>
      <c r="LT91" s="56">
        <v>86</v>
      </c>
      <c r="LU91" s="53" t="str">
        <f t="shared" si="688"/>
        <v>The Record Office for Leicestershire, Leicester &amp; Rutland</v>
      </c>
      <c r="LV91" s="59">
        <f t="shared" si="919"/>
        <v>0</v>
      </c>
      <c r="LW91" s="59">
        <f t="shared" si="920"/>
        <v>0</v>
      </c>
      <c r="LX91" s="59">
        <f t="shared" si="921"/>
        <v>0</v>
      </c>
      <c r="LY91" s="59">
        <f t="shared" si="922"/>
        <v>0</v>
      </c>
      <c r="LZ91" s="59">
        <f t="shared" si="923"/>
        <v>0</v>
      </c>
      <c r="MA91" s="58">
        <f t="shared" si="924"/>
        <v>0</v>
      </c>
      <c r="MB91" s="45">
        <f t="shared" si="925"/>
        <v>89</v>
      </c>
      <c r="MC91" s="45">
        <f t="shared" si="689"/>
        <v>2.8839999999999999</v>
      </c>
      <c r="MD91" s="45">
        <f t="shared" si="926"/>
        <v>1</v>
      </c>
      <c r="ME91" s="45">
        <f t="shared" si="927"/>
        <v>2</v>
      </c>
      <c r="MF91" s="45">
        <f t="shared" si="928"/>
        <v>0</v>
      </c>
      <c r="MG91" s="46" cm="1">
        <f t="array" ref="MG91">ROUND(IFERROR(INDEX(ArchiveResults!$F$5:$IX$116,ComparisonData!A91,ComparisonData!$MG$1),0),5)</f>
        <v>0</v>
      </c>
      <c r="MH91" s="46" cm="1">
        <f t="array" ref="MH91">ROUND(IFERROR(INDEX(ArchiveResults!$F$5:$IX$116,ComparisonData!A91,ComparisonData!$MH$1),0),5)</f>
        <v>0</v>
      </c>
      <c r="MI91" s="46" cm="1">
        <f t="array" ref="MI91">ROUND(IFERROR(INDEX(ArchiveResults!$F$5:$IX$116,ComparisonData!A91,ComparisonData!$MI$1),0),5)</f>
        <v>0</v>
      </c>
      <c r="MJ91" s="46" cm="1">
        <f t="array" ref="MJ91">ROUND(IFERROR(INDEX(ArchiveResults!$F$5:$IX$116,ComparisonData!A91,ComparisonData!$MJ$1),0),5)</f>
        <v>0</v>
      </c>
      <c r="MK91" s="45" cm="1">
        <f t="array" ref="MK91">IFERROR(INDEX(ArchiveResults!$F$5:$IX$116,ComparisonData!A91,ComparisonData!$MK$1),0)</f>
        <v>0</v>
      </c>
      <c r="ML91" s="56">
        <v>86</v>
      </c>
      <c r="MM91" s="53" t="str">
        <f t="shared" si="690"/>
        <v>The Record Office for Leicestershire, Leicester &amp; Rutland</v>
      </c>
      <c r="MN91" s="59">
        <f t="shared" si="929"/>
        <v>0</v>
      </c>
      <c r="MO91" s="59">
        <f t="shared" si="930"/>
        <v>0</v>
      </c>
      <c r="MP91" s="59">
        <f t="shared" si="931"/>
        <v>0</v>
      </c>
      <c r="MQ91" s="59">
        <f t="shared" si="932"/>
        <v>0</v>
      </c>
      <c r="MR91" s="59">
        <f t="shared" si="933"/>
        <v>0</v>
      </c>
      <c r="MS91" s="58">
        <f t="shared" si="934"/>
        <v>0</v>
      </c>
      <c r="MT91" s="45">
        <f t="shared" si="935"/>
        <v>89</v>
      </c>
      <c r="MU91" s="45">
        <f t="shared" si="691"/>
        <v>2.8839999999999999</v>
      </c>
      <c r="MV91" s="45">
        <f t="shared" si="936"/>
        <v>1</v>
      </c>
      <c r="MW91" s="45">
        <f t="shared" si="937"/>
        <v>2</v>
      </c>
      <c r="MX91" s="45">
        <f t="shared" si="938"/>
        <v>0</v>
      </c>
      <c r="MY91" s="46" cm="1">
        <f t="array" ref="MY91">ROUND(IFERROR(INDEX(ArchiveResults!$F$5:$IX$116,ComparisonData!A91,ComparisonData!$MY$1),0),5)</f>
        <v>0</v>
      </c>
      <c r="MZ91" s="46" cm="1">
        <f t="array" ref="MZ91">ROUND(IFERROR(INDEX(ArchiveResults!$F$5:$IX$116,ComparisonData!A91,ComparisonData!$MZ$1),0),5)</f>
        <v>0</v>
      </c>
      <c r="NA91" s="46" cm="1">
        <f t="array" ref="NA91">ROUND(IFERROR(INDEX(ArchiveResults!$F$5:$IX$116,ComparisonData!A91,ComparisonData!$NA$1),0),5)</f>
        <v>0</v>
      </c>
      <c r="NB91" s="46" cm="1">
        <f t="array" ref="NB91">ROUND(IFERROR(INDEX(ArchiveResults!$F$5:$IX$116,ComparisonData!A91,ComparisonData!$NB$1),0),5)</f>
        <v>0</v>
      </c>
      <c r="NC91" s="45" cm="1">
        <f t="array" ref="NC91">IFERROR(INDEX(ArchiveResults!$F$5:$IX$116,ComparisonData!A91,ComparisonData!$NC$1),0)</f>
        <v>0</v>
      </c>
      <c r="ND91" s="56">
        <v>86</v>
      </c>
      <c r="NE91" s="53" t="str">
        <f t="shared" si="692"/>
        <v>The Record Office for Leicestershire, Leicester &amp; Rutland</v>
      </c>
      <c r="NF91" s="59">
        <f t="shared" si="939"/>
        <v>0</v>
      </c>
      <c r="NG91" s="59">
        <f t="shared" si="940"/>
        <v>0</v>
      </c>
      <c r="NH91" s="59">
        <f t="shared" si="941"/>
        <v>0</v>
      </c>
      <c r="NI91" s="59">
        <f t="shared" si="942"/>
        <v>0</v>
      </c>
      <c r="NJ91" s="59">
        <f t="shared" si="943"/>
        <v>0</v>
      </c>
      <c r="NK91" s="58">
        <f t="shared" si="944"/>
        <v>0</v>
      </c>
      <c r="NL91" s="45">
        <f t="shared" si="945"/>
        <v>89</v>
      </c>
      <c r="NM91" s="45">
        <f t="shared" si="693"/>
        <v>2.8839999999999999</v>
      </c>
      <c r="NN91" s="45">
        <f t="shared" si="946"/>
        <v>1</v>
      </c>
      <c r="NO91" s="45">
        <f t="shared" si="947"/>
        <v>2</v>
      </c>
      <c r="NP91" s="46" cm="1">
        <f t="array" ref="NP91">ROUND(IFERROR(INDEX(ArchiveResults!$F$5:$IX$116,ComparisonData!A91,ComparisonData!$NP$1),0),5)</f>
        <v>0</v>
      </c>
      <c r="NQ91" s="46" cm="1">
        <f t="array" ref="NQ91">ROUND(IFERROR(INDEX(ArchiveResults!$F$5:$IX$116,ComparisonData!A91,ComparisonData!$NQ$1),0),5)</f>
        <v>0</v>
      </c>
      <c r="NR91" s="46" cm="1">
        <f t="array" ref="NR91">ROUND(IFERROR(INDEX(ArchiveResults!$F$5:$IX$116,ComparisonData!A91,ComparisonData!$NR$1),0),5)</f>
        <v>0</v>
      </c>
      <c r="NS91" s="46" cm="1">
        <f t="array" ref="NS91">ROUND(IFERROR(INDEX(ArchiveResults!$F$5:$IX$116,ComparisonData!A91,ComparisonData!$NS$1),0),5)</f>
        <v>0</v>
      </c>
      <c r="NT91" s="45" cm="1">
        <f t="array" ref="NT91">IFERROR(INDEX(ArchiveResults!$F$5:$IX$116,ComparisonData!A91,ComparisonData!$NT$1),0)</f>
        <v>0</v>
      </c>
      <c r="NU91" s="56">
        <v>86</v>
      </c>
      <c r="NV91" s="53" t="str">
        <f t="shared" si="694"/>
        <v>The Record Office for Leicestershire, Leicester &amp; Rutland</v>
      </c>
      <c r="NW91" s="59">
        <f t="shared" si="948"/>
        <v>0</v>
      </c>
      <c r="NX91" s="59">
        <f t="shared" si="949"/>
        <v>0</v>
      </c>
      <c r="NY91" s="59">
        <f t="shared" si="950"/>
        <v>0</v>
      </c>
      <c r="NZ91" s="59">
        <f t="shared" si="951"/>
        <v>0</v>
      </c>
      <c r="OA91" s="59">
        <f t="shared" si="952"/>
        <v>0</v>
      </c>
      <c r="OB91" s="58">
        <f t="shared" si="953"/>
        <v>0</v>
      </c>
      <c r="OC91" s="45">
        <f t="shared" si="954"/>
        <v>89</v>
      </c>
      <c r="OD91" s="45">
        <f t="shared" si="695"/>
        <v>2.8839999999999999</v>
      </c>
      <c r="OE91" s="45">
        <f t="shared" si="955"/>
        <v>1</v>
      </c>
      <c r="OF91" s="45">
        <f t="shared" si="956"/>
        <v>2</v>
      </c>
      <c r="OG91" s="46">
        <f t="shared" si="957"/>
        <v>0</v>
      </c>
      <c r="OH91" s="46" cm="1">
        <f t="array" ref="OH91">ROUND(IFERROR(INDEX(ArchiveResults!$F$5:$IX$116,ComparisonData!A91,ComparisonData!$OH$1),0),5)</f>
        <v>0</v>
      </c>
      <c r="OI91" s="46" cm="1">
        <f t="array" ref="OI91">ROUND(IFERROR(INDEX(ArchiveResults!$F$5:$IX$116,ComparisonData!A91,ComparisonData!$OI$1),0),5)</f>
        <v>0</v>
      </c>
      <c r="OJ91" s="46" cm="1">
        <f t="array" ref="OJ91">ROUND(IFERROR(INDEX(ArchiveResults!$F$5:$IX$116,ComparisonData!A91,ComparisonData!$OJ$1),0),5)</f>
        <v>0</v>
      </c>
      <c r="OK91" s="46" cm="1">
        <f t="array" ref="OK91">ROUND(IFERROR(INDEX(ArchiveResults!$F$5:$IX$116,ComparisonData!A91,ComparisonData!$OK$1),0),5)</f>
        <v>0</v>
      </c>
      <c r="OL91" s="45" cm="1">
        <f t="array" ref="OL91">IFERROR(INDEX(ArchiveResults!$F$5:$IX$116,ComparisonData!A91,ComparisonData!$OL$1),0)</f>
        <v>0</v>
      </c>
      <c r="OM91" s="56">
        <v>86</v>
      </c>
      <c r="ON91" s="53" t="str">
        <f t="shared" si="696"/>
        <v>The Record Office for Leicestershire, Leicester &amp; Rutland</v>
      </c>
      <c r="OO91" s="59">
        <f t="shared" si="958"/>
        <v>0</v>
      </c>
      <c r="OP91" s="59">
        <f t="shared" si="959"/>
        <v>0</v>
      </c>
      <c r="OQ91" s="59">
        <f t="shared" si="960"/>
        <v>0</v>
      </c>
      <c r="OR91" s="59">
        <f t="shared" si="961"/>
        <v>0</v>
      </c>
      <c r="OS91" s="59">
        <f t="shared" si="962"/>
        <v>0</v>
      </c>
      <c r="OT91" s="58">
        <f t="shared" si="963"/>
        <v>0</v>
      </c>
      <c r="OU91" s="45">
        <f t="shared" si="964"/>
        <v>89</v>
      </c>
      <c r="OV91" s="45">
        <f t="shared" si="697"/>
        <v>2.8839999999999999</v>
      </c>
      <c r="OW91" s="45">
        <f t="shared" si="965"/>
        <v>1</v>
      </c>
      <c r="OX91" s="45">
        <f t="shared" si="966"/>
        <v>2</v>
      </c>
      <c r="OY91" s="45">
        <f t="shared" si="967"/>
        <v>0</v>
      </c>
      <c r="OZ91" s="46" cm="1">
        <f t="array" ref="OZ91">ROUND(IFERROR(INDEX(ArchiveResults!$F$5:$IX$116,ComparisonData!A91,ComparisonData!$OZ$1),0),5)</f>
        <v>0</v>
      </c>
      <c r="PA91" s="46" cm="1">
        <f t="array" ref="PA91">ROUND(IFERROR(INDEX(ArchiveResults!$F$5:$IX$116,ComparisonData!A91,ComparisonData!$PA$1),0),5)</f>
        <v>0</v>
      </c>
      <c r="PB91" s="46" cm="1">
        <f t="array" ref="PB91">ROUND(IFERROR(INDEX(ArchiveResults!$F$5:$IX$116,ComparisonData!A91,ComparisonData!$PB$1),0),5)</f>
        <v>0</v>
      </c>
      <c r="PC91" s="46" cm="1">
        <f t="array" ref="PC91">ROUND(IFERROR(INDEX(ArchiveResults!$F$5:$IX$116,ComparisonData!A91,ComparisonData!$PC$1),0),5)</f>
        <v>0</v>
      </c>
      <c r="PD91" s="45" cm="1">
        <f t="array" ref="PD91">IFERROR(INDEX(ArchiveResults!$F$5:$IX$116,ComparisonData!A91,ComparisonData!$PD$1),0)</f>
        <v>0</v>
      </c>
      <c r="PE91" s="56">
        <v>86</v>
      </c>
      <c r="PF91" s="53" t="str">
        <f t="shared" si="698"/>
        <v>The Record Office for Leicestershire, Leicester &amp; Rutland</v>
      </c>
      <c r="PG91" s="59">
        <f t="shared" si="968"/>
        <v>0</v>
      </c>
      <c r="PH91" s="59">
        <f t="shared" si="969"/>
        <v>0</v>
      </c>
      <c r="PI91" s="59">
        <f t="shared" si="970"/>
        <v>0</v>
      </c>
      <c r="PJ91" s="59">
        <f t="shared" si="971"/>
        <v>0</v>
      </c>
      <c r="PK91" s="59">
        <f t="shared" si="972"/>
        <v>0</v>
      </c>
      <c r="PL91" s="58">
        <f t="shared" si="973"/>
        <v>0</v>
      </c>
      <c r="PM91" s="45">
        <f t="shared" si="974"/>
        <v>89</v>
      </c>
      <c r="PN91" s="45">
        <f t="shared" si="699"/>
        <v>2.8839999999999999</v>
      </c>
      <c r="PO91" s="45">
        <f t="shared" si="975"/>
        <v>1</v>
      </c>
      <c r="PP91" s="45">
        <f t="shared" si="976"/>
        <v>2</v>
      </c>
      <c r="PQ91" s="45">
        <f t="shared" si="977"/>
        <v>0</v>
      </c>
      <c r="PR91" s="46" cm="1">
        <f t="array" ref="PR91">ROUND(IFERROR(INDEX(ArchiveResults!$F$5:$IX$116,ComparisonData!A91,ComparisonData!$PR$1),0),5)</f>
        <v>0</v>
      </c>
      <c r="PS91" s="46" cm="1">
        <f t="array" ref="PS91">ROUND(IFERROR(INDEX(ArchiveResults!$F$5:$IX$116,ComparisonData!A91,ComparisonData!$PS$1),0),5)</f>
        <v>0</v>
      </c>
      <c r="PT91" s="46" cm="1">
        <f t="array" ref="PT91">ROUND(IFERROR(INDEX(ArchiveResults!$F$5:$IX$116,ComparisonData!A91,ComparisonData!$PT$1),0),5)</f>
        <v>0</v>
      </c>
      <c r="PU91" s="46" cm="1">
        <f t="array" ref="PU91">ROUND(IFERROR(INDEX(ArchiveResults!$F$5:$IX$116,ComparisonData!A91,ComparisonData!$PU$1),0),5)</f>
        <v>0</v>
      </c>
      <c r="PV91" s="45" cm="1">
        <f t="array" ref="PV91">IFERROR(INDEX(ArchiveResults!$F$5:$IX$116,ComparisonData!A91,ComparisonData!$PV$1),0)</f>
        <v>0</v>
      </c>
      <c r="PW91" s="56">
        <v>86</v>
      </c>
      <c r="PX91" s="53" t="str">
        <f t="shared" si="700"/>
        <v>The Record Office for Leicestershire, Leicester &amp; Rutland</v>
      </c>
      <c r="PY91" s="59">
        <f t="shared" si="978"/>
        <v>0</v>
      </c>
      <c r="PZ91" s="59">
        <f t="shared" si="979"/>
        <v>0</v>
      </c>
      <c r="QA91" s="59">
        <f t="shared" si="980"/>
        <v>0</v>
      </c>
      <c r="QB91" s="59">
        <f t="shared" si="981"/>
        <v>0</v>
      </c>
      <c r="QC91" s="59">
        <f t="shared" si="982"/>
        <v>0</v>
      </c>
      <c r="QD91" s="58">
        <f t="shared" si="983"/>
        <v>0</v>
      </c>
      <c r="QE91" s="45">
        <f t="shared" si="984"/>
        <v>89</v>
      </c>
      <c r="QF91" s="45">
        <f t="shared" si="701"/>
        <v>2.8839999999999999</v>
      </c>
      <c r="QG91" s="45">
        <f t="shared" si="985"/>
        <v>1</v>
      </c>
      <c r="QH91" s="45">
        <f t="shared" si="986"/>
        <v>2</v>
      </c>
      <c r="QI91" s="45">
        <f t="shared" si="987"/>
        <v>0</v>
      </c>
      <c r="QJ91" s="46" cm="1">
        <f t="array" ref="QJ91">ROUND(IFERROR(INDEX(ArchiveResults!$F$5:$IX$116,ComparisonData!A91,ComparisonData!$QJ$1),0),5)</f>
        <v>0</v>
      </c>
      <c r="QK91" s="46" cm="1">
        <f t="array" ref="QK91">ROUND(IFERROR(INDEX(ArchiveResults!$F$5:$IX$116,ComparisonData!A91,ComparisonData!$QK$1),0),5)</f>
        <v>0</v>
      </c>
      <c r="QL91" s="46" cm="1">
        <f t="array" ref="QL91">ROUND(IFERROR(INDEX(ArchiveResults!$F$5:$IX$116,ComparisonData!A91,ComparisonData!$QL$1),0),5)</f>
        <v>0</v>
      </c>
      <c r="QM91" s="46" cm="1">
        <f t="array" ref="QM91">ROUND(IFERROR(INDEX(ArchiveResults!$F$5:$IX$116,ComparisonData!A91,ComparisonData!$QM$1),0),5)</f>
        <v>0</v>
      </c>
      <c r="QN91" s="45" cm="1">
        <f t="array" ref="QN91">IFERROR(INDEX(ArchiveResults!$F$5:$IX$116,ComparisonData!A91,ComparisonData!$QN$1),0)</f>
        <v>0</v>
      </c>
      <c r="QO91" s="56">
        <v>86</v>
      </c>
      <c r="QP91" s="53" t="str">
        <f t="shared" si="702"/>
        <v>The Record Office for Leicestershire, Leicester &amp; Rutland</v>
      </c>
      <c r="QQ91" s="59">
        <f t="shared" si="988"/>
        <v>0</v>
      </c>
      <c r="QR91" s="59">
        <f t="shared" si="989"/>
        <v>0</v>
      </c>
      <c r="QS91" s="59">
        <f t="shared" si="990"/>
        <v>0</v>
      </c>
      <c r="QT91" s="59">
        <f t="shared" si="991"/>
        <v>0</v>
      </c>
      <c r="QU91" s="59">
        <f t="shared" si="992"/>
        <v>0</v>
      </c>
      <c r="QV91" s="58">
        <f t="shared" si="993"/>
        <v>0</v>
      </c>
      <c r="QW91" s="45">
        <f t="shared" si="994"/>
        <v>89</v>
      </c>
      <c r="QX91" s="45">
        <f t="shared" si="703"/>
        <v>2.8839999999999999</v>
      </c>
      <c r="QY91" s="45">
        <f t="shared" si="995"/>
        <v>1</v>
      </c>
      <c r="QZ91" s="45">
        <f t="shared" si="996"/>
        <v>2</v>
      </c>
      <c r="RA91" s="45">
        <f t="shared" si="997"/>
        <v>0</v>
      </c>
      <c r="RB91" s="46" cm="1">
        <f t="array" ref="RB91">ROUND(IFERROR(INDEX(ArchiveResults!$F$5:$IX$116,ComparisonData!A91,ComparisonData!$RB$1),0),5)</f>
        <v>0</v>
      </c>
      <c r="RC91" s="46" cm="1">
        <f t="array" ref="RC91">ROUND(IFERROR(INDEX(ArchiveResults!$F$5:$IX$116,ComparisonData!A91,ComparisonData!$RC$1),0),5)</f>
        <v>0</v>
      </c>
      <c r="RD91" s="46" cm="1">
        <f t="array" ref="RD91">ROUND(IFERROR(INDEX(ArchiveResults!$F$5:$IX$116,ComparisonData!A91,ComparisonData!$RD$1),0),5)</f>
        <v>0</v>
      </c>
      <c r="RE91" s="46" cm="1">
        <f t="array" ref="RE91">ROUND(IFERROR(INDEX(ArchiveResults!$F$5:$IX$116,ComparisonData!A91,ComparisonData!$RE$1),0),5)</f>
        <v>0</v>
      </c>
      <c r="RF91" s="45" cm="1">
        <f t="array" ref="RF91">IFERROR(INDEX(ArchiveResults!$F$5:$IX$116,ComparisonData!A91,ComparisonData!$RF$1),0)</f>
        <v>0</v>
      </c>
      <c r="RG91" s="56">
        <v>86</v>
      </c>
      <c r="RH91" s="53" t="str">
        <f t="shared" si="704"/>
        <v>The Record Office for Leicestershire, Leicester &amp; Rutland</v>
      </c>
      <c r="RI91" s="59">
        <f t="shared" si="998"/>
        <v>0</v>
      </c>
      <c r="RJ91" s="59">
        <f t="shared" si="999"/>
        <v>0</v>
      </c>
      <c r="RK91" s="59">
        <f t="shared" si="1000"/>
        <v>0</v>
      </c>
      <c r="RL91" s="59">
        <f t="shared" si="1001"/>
        <v>0</v>
      </c>
      <c r="RM91" s="59">
        <f t="shared" si="1002"/>
        <v>0</v>
      </c>
      <c r="RN91" s="58">
        <f t="shared" si="1003"/>
        <v>0</v>
      </c>
      <c r="RO91" s="45">
        <f t="shared" si="1004"/>
        <v>89</v>
      </c>
      <c r="RP91" s="45">
        <f t="shared" si="705"/>
        <v>2.8839999999999999</v>
      </c>
      <c r="RQ91" s="45">
        <f t="shared" si="1005"/>
        <v>1</v>
      </c>
      <c r="RR91" s="45">
        <f t="shared" si="1006"/>
        <v>2</v>
      </c>
      <c r="RS91" s="45">
        <f t="shared" si="1007"/>
        <v>0</v>
      </c>
      <c r="RT91" s="46" cm="1">
        <f t="array" ref="RT91">ROUND(IFERROR(INDEX(ArchiveResults!$F$5:$IX$116,ComparisonData!A91,ComparisonData!$RT$1),0),5)</f>
        <v>0</v>
      </c>
      <c r="RU91" s="46" cm="1">
        <f t="array" ref="RU91">ROUND(IFERROR(INDEX(ArchiveResults!$F$5:$IX$116,ComparisonData!A91,ComparisonData!$RU$1),0),5)</f>
        <v>0</v>
      </c>
      <c r="RV91" s="46" cm="1">
        <f t="array" ref="RV91">ROUND(IFERROR(INDEX(ArchiveResults!$F$5:$IX$116,ComparisonData!A91,ComparisonData!$RV$1),0),5)</f>
        <v>0</v>
      </c>
      <c r="RW91" s="46" cm="1">
        <f t="array" ref="RW91">ROUND(IFERROR(INDEX(ArchiveResults!$F$5:$IX$116,ComparisonData!A91,ComparisonData!$RW$1),0),5)</f>
        <v>0</v>
      </c>
      <c r="RX91" s="45" cm="1">
        <f t="array" ref="RX91">IFERROR(INDEX(ArchiveResults!$F$5:$IX$116,ComparisonData!A91,ComparisonData!$RX$1),0)</f>
        <v>0</v>
      </c>
      <c r="RY91" s="56">
        <v>86</v>
      </c>
      <c r="RZ91" s="53" t="str">
        <f t="shared" si="706"/>
        <v>The Record Office for Leicestershire, Leicester &amp; Rutland</v>
      </c>
      <c r="SA91" s="59">
        <f t="shared" si="1008"/>
        <v>0</v>
      </c>
      <c r="SB91" s="59">
        <f t="shared" si="1009"/>
        <v>0</v>
      </c>
      <c r="SC91" s="59">
        <f t="shared" si="1010"/>
        <v>0</v>
      </c>
      <c r="SD91" s="59">
        <f t="shared" si="1011"/>
        <v>0</v>
      </c>
      <c r="SE91" s="59">
        <f t="shared" si="1012"/>
        <v>0</v>
      </c>
      <c r="SF91" s="58">
        <f t="shared" si="1013"/>
        <v>0</v>
      </c>
      <c r="SG91" s="45">
        <f t="shared" si="1014"/>
        <v>89</v>
      </c>
      <c r="SH91" s="45">
        <f t="shared" si="707"/>
        <v>2.8839999999999999</v>
      </c>
      <c r="SI91" s="45">
        <f t="shared" si="1015"/>
        <v>1</v>
      </c>
      <c r="SJ91" s="45">
        <f t="shared" si="1016"/>
        <v>2</v>
      </c>
      <c r="SK91" s="45">
        <f t="shared" si="1017"/>
        <v>0</v>
      </c>
      <c r="SL91" s="46" cm="1">
        <f t="array" ref="SL91">ROUND(IFERROR(INDEX(ArchiveResults!$F$5:$IX$116,ComparisonData!A91,ComparisonData!$SL$1),0),5)</f>
        <v>0</v>
      </c>
      <c r="SM91" s="46" cm="1">
        <f t="array" ref="SM91">ROUND(IFERROR(INDEX(ArchiveResults!$F$5:$IX$116,ComparisonData!A91,ComparisonData!$SM$1),0),5)</f>
        <v>0</v>
      </c>
      <c r="SN91" s="46" cm="1">
        <f t="array" ref="SN91">ROUND(IFERROR(INDEX(ArchiveResults!$F$5:$IX$116,ComparisonData!A91,ComparisonData!$SN$1),0),5)</f>
        <v>0</v>
      </c>
      <c r="SO91" s="46" cm="1">
        <f t="array" ref="SO91">ROUND(IFERROR(INDEX(ArchiveResults!$F$5:$IX$116,ComparisonData!A91,ComparisonData!$SO$1),0),5)</f>
        <v>0</v>
      </c>
      <c r="SP91" s="45" cm="1">
        <f t="array" ref="SP91">IFERROR(INDEX(ArchiveResults!$F$5:$IX$116,ComparisonData!A91,ComparisonData!$SP$1),0)</f>
        <v>0</v>
      </c>
      <c r="SQ91" s="56">
        <v>86</v>
      </c>
      <c r="SR91" s="53" t="str">
        <f t="shared" si="708"/>
        <v>The Record Office for Leicestershire, Leicester &amp; Rutland</v>
      </c>
      <c r="SS91" s="59">
        <f t="shared" si="1018"/>
        <v>0</v>
      </c>
      <c r="ST91" s="59">
        <f t="shared" si="1019"/>
        <v>0</v>
      </c>
      <c r="SU91" s="59">
        <f t="shared" si="1020"/>
        <v>0</v>
      </c>
      <c r="SV91" s="59">
        <f t="shared" si="1021"/>
        <v>0</v>
      </c>
      <c r="SW91" s="59">
        <f t="shared" si="1022"/>
        <v>0</v>
      </c>
      <c r="SX91" s="58">
        <f t="shared" si="1023"/>
        <v>0</v>
      </c>
      <c r="SY91" s="45">
        <f t="shared" si="1024"/>
        <v>89</v>
      </c>
      <c r="SZ91" s="45">
        <f t="shared" si="709"/>
        <v>2.8839999999999999</v>
      </c>
      <c r="TA91" s="45">
        <f t="shared" si="1025"/>
        <v>1</v>
      </c>
      <c r="TB91" s="45">
        <f t="shared" si="1026"/>
        <v>2</v>
      </c>
      <c r="TC91" s="45">
        <f t="shared" si="1027"/>
        <v>0</v>
      </c>
      <c r="TD91" s="46" cm="1">
        <f t="array" ref="TD91">ROUND(IFERROR(INDEX(ArchiveResults!$F$5:$IX$116,ComparisonData!A91,ComparisonData!$TD$1),0),5)</f>
        <v>0</v>
      </c>
      <c r="TE91" s="46" cm="1">
        <f t="array" ref="TE91">ROUND(IFERROR(INDEX(ArchiveResults!$F$5:$IX$116,ComparisonData!A91,ComparisonData!$TE$1),0),5)</f>
        <v>0</v>
      </c>
      <c r="TF91" s="46" cm="1">
        <f t="array" ref="TF91">ROUND(IFERROR(INDEX(ArchiveResults!$F$5:$IX$116,ComparisonData!A91,ComparisonData!$TF$1),0),5)</f>
        <v>0</v>
      </c>
      <c r="TG91" s="46" cm="1">
        <f t="array" ref="TG91">ROUND(IFERROR(INDEX(ArchiveResults!$F$5:$IX$116,ComparisonData!A91,ComparisonData!$TG$1),0),5)</f>
        <v>0</v>
      </c>
      <c r="TH91" s="45" cm="1">
        <f t="array" ref="TH91">IFERROR(INDEX(ArchiveResults!$F$5:$IX$116,ComparisonData!A91,ComparisonData!$TH$1),0)</f>
        <v>0</v>
      </c>
      <c r="TI91" s="56">
        <v>86</v>
      </c>
      <c r="TJ91" s="53" t="str">
        <f t="shared" si="710"/>
        <v>The Record Office for Leicestershire, Leicester &amp; Rutland</v>
      </c>
      <c r="TK91" s="59">
        <f t="shared" si="1028"/>
        <v>0</v>
      </c>
      <c r="TL91" s="59">
        <f t="shared" si="1029"/>
        <v>0</v>
      </c>
      <c r="TM91" s="59">
        <f t="shared" si="1030"/>
        <v>0</v>
      </c>
      <c r="TN91" s="59">
        <f t="shared" si="1031"/>
        <v>0</v>
      </c>
      <c r="TO91" s="59">
        <f t="shared" si="1032"/>
        <v>0</v>
      </c>
      <c r="TP91" s="58">
        <f t="shared" si="1033"/>
        <v>0</v>
      </c>
      <c r="TQ91" s="45">
        <f t="shared" si="1034"/>
        <v>89</v>
      </c>
      <c r="TR91" s="45">
        <f t="shared" si="711"/>
        <v>2.8839999999999999</v>
      </c>
      <c r="TS91" s="45">
        <f t="shared" si="1035"/>
        <v>1</v>
      </c>
      <c r="TT91" s="45">
        <f t="shared" si="1036"/>
        <v>2</v>
      </c>
      <c r="TU91" s="45">
        <f t="shared" si="1037"/>
        <v>0</v>
      </c>
      <c r="TV91" s="46" cm="1">
        <f t="array" ref="TV91">ROUND(IFERROR(INDEX(ArchiveResults!$F$5:$IX$116,ComparisonData!A91,ComparisonData!$TV$1),0),5)</f>
        <v>0</v>
      </c>
      <c r="TW91" s="46" cm="1">
        <f t="array" ref="TW91">ROUND(IFERROR(INDEX(ArchiveResults!$F$5:$IX$116,ComparisonData!A91,ComparisonData!$TW$1),0),5)</f>
        <v>0</v>
      </c>
      <c r="TX91" s="46" cm="1">
        <f t="array" ref="TX91">ROUND(IFERROR(INDEX(ArchiveResults!$F$5:$IX$116,ComparisonData!A91,ComparisonData!$TX$1),0),5)</f>
        <v>0</v>
      </c>
      <c r="TY91" s="46" cm="1">
        <f t="array" ref="TY91">ROUND(IFERROR(INDEX(ArchiveResults!$F$5:$IX$116,ComparisonData!A91,ComparisonData!$TY$1),0),5)</f>
        <v>0</v>
      </c>
      <c r="TZ91" s="45" cm="1">
        <f t="array" ref="TZ91">IFERROR(INDEX(ArchiveResults!$F$5:$IX$116,ComparisonData!A91,ComparisonData!$TZ$1),0)</f>
        <v>0</v>
      </c>
      <c r="UA91" s="56">
        <v>86</v>
      </c>
      <c r="UB91" s="53" t="str">
        <f t="shared" si="712"/>
        <v>The Record Office for Leicestershire, Leicester &amp; Rutland</v>
      </c>
      <c r="UC91" s="60">
        <f t="shared" si="1038"/>
        <v>0</v>
      </c>
      <c r="UD91" s="60">
        <f t="shared" si="1039"/>
        <v>0</v>
      </c>
      <c r="UE91" s="60">
        <f t="shared" si="1040"/>
        <v>0</v>
      </c>
      <c r="UF91" s="60">
        <f t="shared" si="1041"/>
        <v>0</v>
      </c>
      <c r="UG91" s="60">
        <f t="shared" si="1042"/>
        <v>0</v>
      </c>
      <c r="UH91" s="58">
        <f t="shared" si="1043"/>
        <v>0</v>
      </c>
      <c r="UI91" s="46">
        <f t="shared" si="1044"/>
        <v>89</v>
      </c>
      <c r="UJ91" s="46">
        <f t="shared" si="713"/>
        <v>2.8839999999999999</v>
      </c>
      <c r="UK91" s="46">
        <f t="shared" si="1045"/>
        <v>1</v>
      </c>
      <c r="UL91" s="46">
        <f t="shared" si="1046"/>
        <v>2</v>
      </c>
      <c r="UM91" s="46" cm="1">
        <f t="array" ref="UM91">ROUND(IFERROR(INDEX(ArchiveResults!$F$5:$IX$116,ComparisonData!A91,ComparisonData!$UM$1),0),5)</f>
        <v>0</v>
      </c>
      <c r="UN91" s="56">
        <v>86</v>
      </c>
      <c r="UO91" s="53" t="str">
        <f t="shared" si="714"/>
        <v>The Record Office for Leicestershire, Leicester &amp; Rutland</v>
      </c>
      <c r="UP91" s="46">
        <f t="shared" si="1047"/>
        <v>0</v>
      </c>
      <c r="UQ91" s="76">
        <f t="shared" si="1048"/>
        <v>0</v>
      </c>
      <c r="UR91" s="46">
        <f t="shared" si="1049"/>
        <v>89</v>
      </c>
      <c r="US91" s="46">
        <f t="shared" si="715"/>
        <v>2.8839999999999999</v>
      </c>
      <c r="UT91" s="46">
        <f t="shared" si="1050"/>
        <v>1</v>
      </c>
      <c r="UU91" s="46">
        <f t="shared" si="1051"/>
        <v>2</v>
      </c>
      <c r="UV91" s="46">
        <f t="shared" si="1052"/>
        <v>0</v>
      </c>
      <c r="UW91" s="46" cm="1">
        <f t="array" ref="UW91">ROUND(IFERROR(INDEX(ArchiveResults!$F$5:$IX$116,ComparisonData!A91,ComparisonData!$UW$1),0),5)</f>
        <v>0</v>
      </c>
      <c r="UX91" s="46" cm="1">
        <f t="array" ref="UX91">ROUND(IFERROR(INDEX(ArchiveResults!$F$5:$IX$116,ComparisonData!A91,ComparisonData!$UX$1),0),5)</f>
        <v>0</v>
      </c>
      <c r="UY91" s="46" cm="1">
        <f t="array" ref="UY91">ROUND(IFERROR(INDEX(ArchiveResults!$F$5:$IX$116,ComparisonData!A91,ComparisonData!$UY$1),0),5)</f>
        <v>0</v>
      </c>
      <c r="UZ91" s="46" cm="1">
        <f t="array" ref="UZ91">ROUND(IFERROR(INDEX(ArchiveResults!$F$5:$IX$116,ComparisonData!A91,ComparisonData!$UZ$1),0),5)</f>
        <v>0</v>
      </c>
      <c r="VA91" s="46" cm="1">
        <f t="array" ref="VA91">ROUND(IFERROR(INDEX(ArchiveResults!$F$5:$IX$116,ComparisonData!A91,ComparisonData!$VA$1),0),5)</f>
        <v>0</v>
      </c>
      <c r="VB91" s="56">
        <v>86</v>
      </c>
      <c r="VC91" s="53" t="str">
        <f t="shared" si="716"/>
        <v>The Record Office for Leicestershire, Leicester &amp; Rutland</v>
      </c>
      <c r="VD91" s="60">
        <f t="shared" si="1053"/>
        <v>0</v>
      </c>
      <c r="VE91" s="60">
        <f t="shared" si="1054"/>
        <v>0</v>
      </c>
      <c r="VF91" s="60">
        <f t="shared" si="1055"/>
        <v>0</v>
      </c>
      <c r="VG91" s="60">
        <f t="shared" si="1056"/>
        <v>0</v>
      </c>
      <c r="VH91" s="60">
        <f t="shared" si="1057"/>
        <v>0</v>
      </c>
      <c r="VI91" s="76">
        <f t="shared" si="1058"/>
        <v>0</v>
      </c>
      <c r="VJ91" s="46">
        <f t="shared" si="1059"/>
        <v>89</v>
      </c>
      <c r="VK91" s="46">
        <f t="shared" si="717"/>
        <v>2.8839999999999999</v>
      </c>
      <c r="VL91" s="46">
        <f t="shared" si="1060"/>
        <v>1</v>
      </c>
      <c r="VM91" s="46">
        <f t="shared" si="1061"/>
        <v>2</v>
      </c>
      <c r="VN91" s="46" cm="1">
        <f t="array" ref="VN91">ROUND(IFERROR(INDEX(ArchiveResults!$F$5:$IX$116,ComparisonData!A91,ComparisonData!$VN$1),0),5)</f>
        <v>0</v>
      </c>
      <c r="VO91" s="46" cm="1">
        <f t="array" ref="VO91">ROUND(IFERROR(INDEX(ArchiveResults!$F$5:$IX$116,ComparisonData!A91,ComparisonData!$VO$1),0),5)</f>
        <v>0</v>
      </c>
      <c r="VP91" s="46" cm="1">
        <f t="array" ref="VP91">ROUND(IFERROR(INDEX(ArchiveResults!$F$5:$IX$116,ComparisonData!A91,ComparisonData!$VP$1),0),5)</f>
        <v>0</v>
      </c>
      <c r="VQ91" s="46" cm="1">
        <f t="array" ref="VQ91">ROUND(IFERROR(INDEX(ArchiveResults!$F$5:$IX$116,ComparisonData!A91,ComparisonData!$VQ$1),0),5)</f>
        <v>0</v>
      </c>
      <c r="VR91" s="56">
        <v>86</v>
      </c>
      <c r="VS91" s="53" t="str">
        <f t="shared" si="718"/>
        <v>The Record Office for Leicestershire, Leicester &amp; Rutland</v>
      </c>
      <c r="VT91" s="60">
        <f t="shared" si="1062"/>
        <v>0</v>
      </c>
      <c r="VU91" s="60">
        <f t="shared" si="1063"/>
        <v>0</v>
      </c>
      <c r="VV91" s="60">
        <f t="shared" si="1064"/>
        <v>0</v>
      </c>
      <c r="VW91" s="60">
        <f t="shared" si="1065"/>
        <v>0</v>
      </c>
      <c r="VX91" s="76">
        <f t="shared" si="1066"/>
        <v>0</v>
      </c>
      <c r="VY91" s="46">
        <f t="shared" si="1067"/>
        <v>89</v>
      </c>
      <c r="VZ91" s="46">
        <f t="shared" si="719"/>
        <v>2.8839999999999999</v>
      </c>
      <c r="WA91" s="46">
        <f t="shared" si="1068"/>
        <v>1</v>
      </c>
      <c r="WB91" s="46">
        <f t="shared" si="1069"/>
        <v>2</v>
      </c>
      <c r="WC91" s="46" cm="1">
        <f t="array" ref="WC91">ROUND(IFERROR(INDEX(ArchiveResults!$F$5:$IX$116,ComparisonData!A91,ComparisonData!$WC$1),0),5)</f>
        <v>0</v>
      </c>
      <c r="WD91" s="56">
        <v>86</v>
      </c>
      <c r="WE91" s="53" t="str">
        <f t="shared" si="720"/>
        <v>The Record Office for Leicestershire, Leicester &amp; Rutland</v>
      </c>
      <c r="WF91" s="46">
        <f t="shared" si="1070"/>
        <v>0</v>
      </c>
      <c r="WG91" s="76">
        <f t="shared" si="1071"/>
        <v>0</v>
      </c>
      <c r="WH91" s="46">
        <f t="shared" si="1072"/>
        <v>89</v>
      </c>
      <c r="WI91" s="46">
        <f t="shared" si="721"/>
        <v>2.8839999999999999</v>
      </c>
      <c r="WJ91" s="46">
        <f t="shared" si="1073"/>
        <v>1</v>
      </c>
      <c r="WK91" s="46">
        <f t="shared" si="1074"/>
        <v>2</v>
      </c>
      <c r="WL91" s="46" cm="1">
        <f t="array" ref="WL91">ROUND(IFERROR(INDEX(ArchiveResults!$F$5:$IX$116,ComparisonData!A91,ComparisonData!$WL$1),0),5)</f>
        <v>0</v>
      </c>
      <c r="WM91" s="46" cm="1">
        <f t="array" ref="WM91">IFERROR(INDEX(ArchiveResults!$F$5:$IX$116,ComparisonData!A91,ComparisonData!$WM$1),0)</f>
        <v>0</v>
      </c>
      <c r="WN91" s="56">
        <v>86</v>
      </c>
      <c r="WO91" s="53" t="str">
        <f t="shared" si="722"/>
        <v>The Record Office for Leicestershire, Leicester &amp; Rutland</v>
      </c>
      <c r="WP91" s="60">
        <f t="shared" si="1075"/>
        <v>0</v>
      </c>
      <c r="WQ91" s="60">
        <f t="shared" si="1076"/>
        <v>0</v>
      </c>
      <c r="WR91" s="76">
        <f t="shared" si="1077"/>
        <v>0</v>
      </c>
      <c r="WS91" s="46">
        <f t="shared" si="1078"/>
        <v>89</v>
      </c>
      <c r="WT91" s="46">
        <f t="shared" si="723"/>
        <v>2.8839999999999999</v>
      </c>
      <c r="WU91" s="46">
        <f t="shared" si="1079"/>
        <v>1</v>
      </c>
      <c r="WV91" s="46">
        <f t="shared" si="1080"/>
        <v>2</v>
      </c>
      <c r="WW91" s="46" cm="1">
        <f t="array" ref="WW91">ROUND(VALUE(IFERROR(INDEX(ArchiveResults!$F$5:$IX$116,ComparisonData!A91,ComparisonData!$WW$1),0)),5)</f>
        <v>0</v>
      </c>
      <c r="WX91" s="46" cm="1">
        <f t="array" ref="WX91">ROUND(IFERROR(INDEX(ArchiveResults!$F$5:$IX$116,ComparisonData!A91,ComparisonData!$WX$1),0),5)</f>
        <v>0</v>
      </c>
      <c r="WY91" s="56">
        <v>86</v>
      </c>
      <c r="WZ91" s="53" t="str">
        <f t="shared" si="724"/>
        <v>The Record Office for Leicestershire, Leicester &amp; Rutland</v>
      </c>
      <c r="XA91" s="60">
        <f t="shared" si="725"/>
        <v>0</v>
      </c>
      <c r="XB91" s="60">
        <f t="shared" si="726"/>
        <v>0</v>
      </c>
      <c r="XC91" s="76">
        <f t="shared" si="1081"/>
        <v>0</v>
      </c>
      <c r="XD91" s="46">
        <f t="shared" si="1082"/>
        <v>89</v>
      </c>
      <c r="XE91" s="46">
        <f t="shared" si="727"/>
        <v>2.8839999999999999</v>
      </c>
      <c r="XF91" s="46">
        <f t="shared" si="1083"/>
        <v>1</v>
      </c>
      <c r="XG91" s="46">
        <f t="shared" si="1084"/>
        <v>2</v>
      </c>
      <c r="XH91" s="46" cm="1">
        <f t="array" ref="XH91">ROUND(VALUE(IFERROR(INDEX(ArchiveResults!$F$5:$IX$116,ComparisonData!A91,ComparisonData!$XH$1),0)),5)</f>
        <v>0</v>
      </c>
      <c r="XI91" s="46" cm="1">
        <f t="array" ref="XI91">ROUND(VALUE(IFERROR(INDEX(ArchiveResults!$F$5:$IX$116,ComparisonData!A91,ComparisonData!$XI$1),0)),5)</f>
        <v>0</v>
      </c>
      <c r="XJ91" s="56">
        <v>86</v>
      </c>
      <c r="XK91" s="53" t="str">
        <f t="shared" si="728"/>
        <v>The Record Office for Leicestershire, Leicester &amp; Rutland</v>
      </c>
      <c r="XL91" s="60">
        <f t="shared" si="1085"/>
        <v>0</v>
      </c>
      <c r="XM91" s="60">
        <f t="shared" si="1086"/>
        <v>0</v>
      </c>
      <c r="XN91" s="76">
        <f t="shared" si="1087"/>
        <v>0</v>
      </c>
      <c r="XO91" s="46">
        <f t="shared" si="1088"/>
        <v>89</v>
      </c>
      <c r="XP91" s="46">
        <f t="shared" si="729"/>
        <v>2.8839999999999999</v>
      </c>
      <c r="XQ91" s="46">
        <f t="shared" si="1089"/>
        <v>1</v>
      </c>
      <c r="XR91" s="46">
        <f t="shared" si="1090"/>
        <v>2</v>
      </c>
      <c r="XS91" s="46" cm="1">
        <f t="array" ref="XS91">ROUND(VALUE(IFERROR(INDEX(ArchiveResults!$F$5:$IX$116,ComparisonData!A91,ComparisonData!$XS$1),0)),5)</f>
        <v>0</v>
      </c>
      <c r="XT91" s="46" cm="1">
        <f t="array" ref="XT91">ROUND(VALUE(IFERROR(INDEX(ArchiveResults!$F$5:$IX$116,ComparisonData!A91,ComparisonData!$XT$1),0)),5)</f>
        <v>0</v>
      </c>
      <c r="XU91" s="56">
        <v>86</v>
      </c>
      <c r="XV91" s="53" t="str">
        <f t="shared" si="730"/>
        <v>The Record Office for Leicestershire, Leicester &amp; Rutland</v>
      </c>
      <c r="XW91" s="60">
        <f t="shared" si="1091"/>
        <v>0</v>
      </c>
      <c r="XX91" s="60">
        <f t="shared" si="1092"/>
        <v>0</v>
      </c>
      <c r="XY91" s="76">
        <f t="shared" si="1093"/>
        <v>0</v>
      </c>
      <c r="XZ91" s="46">
        <f t="shared" si="1094"/>
        <v>89</v>
      </c>
      <c r="YA91" s="46">
        <f t="shared" si="731"/>
        <v>2.8839999999999999</v>
      </c>
      <c r="YB91" s="46">
        <f t="shared" si="1095"/>
        <v>1</v>
      </c>
      <c r="YC91" s="46">
        <f t="shared" si="1096"/>
        <v>2</v>
      </c>
      <c r="YD91" s="46" cm="1">
        <f t="array" ref="YD91">ROUND(VALUE(IFERROR(INDEX(ArchiveResults!$F$5:$IX$116,ComparisonData!A91,ComparisonData!$YD$1),0)),5)</f>
        <v>0</v>
      </c>
      <c r="YE91" s="46" cm="1">
        <f t="array" ref="YE91">ROUND(VALUE(IFERROR(INDEX(ArchiveResults!$F$5:$IX$116,ComparisonData!A91,ComparisonData!$YE$1),0)),5)</f>
        <v>0</v>
      </c>
      <c r="YF91" s="56">
        <v>86</v>
      </c>
      <c r="YG91" s="53" t="str">
        <f t="shared" si="732"/>
        <v>The Record Office for Leicestershire, Leicester &amp; Rutland</v>
      </c>
      <c r="YH91" s="60">
        <f t="shared" si="1097"/>
        <v>0</v>
      </c>
      <c r="YI91" s="60">
        <f t="shared" si="1098"/>
        <v>0</v>
      </c>
      <c r="YJ91" s="76">
        <f t="shared" si="1099"/>
        <v>0</v>
      </c>
      <c r="YK91" s="46">
        <f t="shared" si="1100"/>
        <v>89</v>
      </c>
      <c r="YL91" s="46">
        <f t="shared" si="733"/>
        <v>2.8839999999999999</v>
      </c>
      <c r="YM91" s="46">
        <f t="shared" si="1101"/>
        <v>1</v>
      </c>
      <c r="YN91" s="46">
        <f t="shared" si="1102"/>
        <v>2</v>
      </c>
      <c r="YO91" s="46" cm="1">
        <f t="array" ref="YO91">ROUND(VALUE(IFERROR(INDEX(ArchiveResults!$F$5:$IX$116,ComparisonData!A91,ComparisonData!$YO$1),0)),5)</f>
        <v>0</v>
      </c>
      <c r="YP91" s="46" cm="1">
        <f t="array" ref="YP91">ROUND(VALUE(IFERROR(INDEX(ArchiveResults!$F$5:$IX$116,ComparisonData!A91,ComparisonData!$YP$1),0)),5)</f>
        <v>0</v>
      </c>
      <c r="YQ91" s="56">
        <v>86</v>
      </c>
      <c r="YR91" s="53" t="str">
        <f t="shared" si="734"/>
        <v>The Record Office for Leicestershire, Leicester &amp; Rutland</v>
      </c>
      <c r="YS91" s="60">
        <f t="shared" si="1103"/>
        <v>0</v>
      </c>
      <c r="YT91" s="60">
        <f t="shared" si="1104"/>
        <v>0</v>
      </c>
      <c r="YU91" s="76">
        <f t="shared" si="1105"/>
        <v>0</v>
      </c>
      <c r="YV91" s="46">
        <f t="shared" si="1106"/>
        <v>89</v>
      </c>
      <c r="YW91" s="46">
        <f t="shared" si="735"/>
        <v>2.8839999999999999</v>
      </c>
      <c r="YX91" s="46">
        <f t="shared" si="1107"/>
        <v>1</v>
      </c>
      <c r="YY91" s="46">
        <f t="shared" si="1108"/>
        <v>2</v>
      </c>
      <c r="YZ91" s="46">
        <f t="shared" si="1109"/>
        <v>0</v>
      </c>
      <c r="ZA91" s="46" cm="1">
        <f t="array" ref="ZA91">ROUNDDOWN(VALUE(IFERROR(INDEX(ArchiveResults!$F$5:$IX$116,ComparisonData!A91,ComparisonData!$ZA$1),0)),5)</f>
        <v>0</v>
      </c>
      <c r="ZB91" s="46" cm="1">
        <f t="array" ref="ZB91">ROUNDDOWN(VALUE(IFERROR(INDEX(ArchiveResults!$F$5:$IX$116,ComparisonData!A91,ComparisonData!$ZB$1),0)),5)</f>
        <v>0</v>
      </c>
      <c r="ZC91" s="46" cm="1">
        <f t="array" ref="ZC91">ROUNDDOWN(VALUE(IFERROR(INDEX(ArchiveResults!$F$5:$IX$116,ComparisonData!A91,ComparisonData!$ZC$1),0)),5)</f>
        <v>0</v>
      </c>
      <c r="ZD91" s="46" cm="1">
        <f t="array" ref="ZD91">ROUNDDOWN(VALUE(IFERROR(INDEX(ArchiveResults!$F$5:$IX$116,ComparisonData!A91,ComparisonData!$ZD$1),0)),5)</f>
        <v>0</v>
      </c>
      <c r="ZE91" s="46" cm="1">
        <f t="array" ref="ZE91">ROUNDDOWN(VALUE(IFERROR(INDEX(ArchiveResults!$F$5:$IX$116,ComparisonData!A91,ComparisonData!$ZE$1),0)),5)</f>
        <v>0</v>
      </c>
      <c r="ZF91" s="56">
        <v>86</v>
      </c>
      <c r="ZG91" s="53" t="str">
        <f t="shared" si="736"/>
        <v>The Record Office for Leicestershire, Leicester &amp; Rutland</v>
      </c>
      <c r="ZH91" s="60">
        <f t="shared" si="1110"/>
        <v>0</v>
      </c>
      <c r="ZI91" s="60">
        <f t="shared" si="1111"/>
        <v>0</v>
      </c>
      <c r="ZJ91" s="60">
        <f t="shared" si="1112"/>
        <v>0</v>
      </c>
      <c r="ZK91" s="60">
        <f t="shared" si="1113"/>
        <v>0</v>
      </c>
      <c r="ZL91" s="60">
        <f t="shared" si="1114"/>
        <v>0</v>
      </c>
      <c r="ZM91" s="76">
        <f t="shared" si="1115"/>
        <v>0</v>
      </c>
      <c r="ZN91" s="46">
        <f t="shared" si="1116"/>
        <v>89</v>
      </c>
      <c r="ZO91" s="46">
        <f t="shared" si="737"/>
        <v>2.8839999999999999</v>
      </c>
      <c r="ZP91" s="46">
        <f t="shared" si="1117"/>
        <v>1</v>
      </c>
      <c r="ZQ91" s="46">
        <f t="shared" si="1118"/>
        <v>2</v>
      </c>
      <c r="ZR91" s="46" cm="1">
        <f t="array" ref="ZR91">ROUND(VALUE(IFERROR(INDEX(ArchiveResults!$F$5:$IX$116,ComparisonData!A91,ComparisonData!$ZR$1),0)),5)</f>
        <v>0</v>
      </c>
      <c r="ZS91" s="56">
        <v>86</v>
      </c>
      <c r="ZT91" s="53" t="str">
        <f t="shared" si="738"/>
        <v>The Record Office for Leicestershire, Leicester &amp; Rutland</v>
      </c>
      <c r="ZU91" s="46">
        <f t="shared" si="1119"/>
        <v>0</v>
      </c>
      <c r="ZV91" s="76">
        <f t="shared" si="1120"/>
        <v>0</v>
      </c>
      <c r="ZW91" s="81" cm="1">
        <f t="array" ref="ZW91">ROUND((IFERROR(INDEX(ArchiveResults!$F$5:$IX$116,ComparisonData!A91,ComparisonData!$ZW$1),0)),5)</f>
        <v>0</v>
      </c>
      <c r="ZX91" s="81" cm="1">
        <f t="array" ref="ZX91">ROUND((IFERROR(INDEX(ArchiveResults!$F$5:$IX$116,ComparisonData!A91,ComparisonData!$ZX$1),0)),5)</f>
        <v>0</v>
      </c>
      <c r="ZY91" s="81" cm="1">
        <f t="array" ref="ZY91">ROUND((IFERROR(INDEX(ArchiveResults!$F$5:$IX$116,ComparisonData!A91,ComparisonData!$ZY$1),0)),5)</f>
        <v>0</v>
      </c>
      <c r="ZZ91" s="81" cm="1">
        <f t="array" ref="ZZ91">ROUND((IFERROR(INDEX(ArchiveResults!$F$5:$IX$116,ComparisonData!A91,ComparisonData!$ZZ$1),0)),5)</f>
        <v>0</v>
      </c>
      <c r="AAA91" s="81" cm="1">
        <f t="array" ref="AAA91">ROUND((IFERROR(INDEX(ArchiveResults!$F$5:$IX$116,ComparisonData!A91,ComparisonData!$AAA$1),0)),5)</f>
        <v>0</v>
      </c>
      <c r="AAB91" s="81" cm="1">
        <f t="array" ref="AAB91">ROUND((IFERROR(INDEX(ArchiveResults!$F$5:$IX$116,ComparisonData!A91,ComparisonData!$AAB$1),0)),5)</f>
        <v>0</v>
      </c>
      <c r="AAC91" s="81" cm="1">
        <f t="array" ref="AAC91">ROUND((IFERROR(INDEX(ArchiveResults!$F$5:$IX$116,ComparisonData!A91,ComparisonData!$AAC$1),0)),5)</f>
        <v>0</v>
      </c>
      <c r="AAD91" s="81" cm="1">
        <f t="array" ref="AAD91">ROUND((IFERROR(INDEX(ArchiveResults!$F$5:$IX$116,ComparisonData!A91,ComparisonData!$AAD$1),0)),5)</f>
        <v>0</v>
      </c>
      <c r="AAE91" s="81" cm="1">
        <f t="array" ref="AAE91">ROUND((IFERROR(INDEX(ArchiveResults!$F$5:$IX$116,ComparisonData!A91,ComparisonData!$AAE$1),0)),5)</f>
        <v>0</v>
      </c>
      <c r="AAF91" s="81" cm="1">
        <f t="array" ref="AAF91">ROUND((IFERROR(INDEX(ArchiveResults!$F$5:$IX$116,ComparisonData!A91,ComparisonData!$AAF$1),0)),5)</f>
        <v>0</v>
      </c>
      <c r="AAG91" s="46">
        <f t="shared" si="1121"/>
        <v>89</v>
      </c>
      <c r="AAH91" s="46">
        <f t="shared" si="739"/>
        <v>2.8839999999999999</v>
      </c>
      <c r="AAI91" s="46">
        <f t="shared" si="1122"/>
        <v>1</v>
      </c>
      <c r="AAJ91" s="46">
        <f t="shared" si="1123"/>
        <v>2</v>
      </c>
      <c r="AAK91" s="46">
        <f t="shared" si="1124"/>
        <v>0</v>
      </c>
      <c r="AAL91" s="46">
        <f t="shared" si="1125"/>
        <v>0</v>
      </c>
      <c r="AAM91" s="46">
        <f t="shared" si="1126"/>
        <v>0</v>
      </c>
      <c r="AAN91" s="46">
        <f t="shared" si="1127"/>
        <v>0</v>
      </c>
      <c r="AAO91" s="46">
        <f t="shared" si="1128"/>
        <v>0</v>
      </c>
      <c r="AAP91" s="46">
        <f t="shared" si="1129"/>
        <v>0</v>
      </c>
      <c r="AAQ91" s="56">
        <v>86</v>
      </c>
      <c r="AAR91" s="53" t="str">
        <f t="shared" si="740"/>
        <v>The Record Office for Leicestershire, Leicester &amp; Rutland</v>
      </c>
      <c r="AAS91" s="60">
        <f t="shared" si="1130"/>
        <v>0</v>
      </c>
      <c r="AAT91" s="60">
        <f t="shared" si="1131"/>
        <v>0</v>
      </c>
      <c r="AAU91" s="60">
        <f t="shared" si="1132"/>
        <v>0</v>
      </c>
      <c r="AAV91" s="60">
        <f t="shared" si="1133"/>
        <v>0</v>
      </c>
      <c r="AAW91" s="60">
        <f t="shared" si="1134"/>
        <v>0</v>
      </c>
      <c r="AAX91" s="76">
        <f t="shared" si="1135"/>
        <v>0</v>
      </c>
      <c r="AAY91" s="46">
        <f t="shared" si="1136"/>
        <v>89</v>
      </c>
      <c r="AAZ91" s="46">
        <f t="shared" si="741"/>
        <v>2.8839999999999999</v>
      </c>
      <c r="ABA91" s="46">
        <f t="shared" si="1137"/>
        <v>1</v>
      </c>
      <c r="ABB91" s="46">
        <f t="shared" si="1138"/>
        <v>2</v>
      </c>
      <c r="ABC91" s="46">
        <f t="shared" si="742"/>
        <v>0</v>
      </c>
      <c r="ABD91" s="46" cm="1">
        <f t="array" ref="ABD91">ROUND(VALUE(IFERROR(INDEX(ArchiveResults!$F$5:$IX$116,ComparisonData!A91,ComparisonData!$ABD$1),0)),5)</f>
        <v>0</v>
      </c>
      <c r="ABE91" s="46" cm="1">
        <f t="array" ref="ABE91">ROUND(VALUE(IFERROR(INDEX(ArchiveResults!$F$5:$IX$116,ComparisonData!A91,ComparisonData!$ABE$1),0)),5)</f>
        <v>0</v>
      </c>
      <c r="ABF91" s="46" cm="1">
        <f t="array" ref="ABF91">ROUND(VALUE(IFERROR(INDEX(ArchiveResults!$F$5:$IX$116,ComparisonData!A91,ComparisonData!$ABF$1),0)),5)</f>
        <v>0</v>
      </c>
      <c r="ABG91" s="46" cm="1">
        <f t="array" ref="ABG91">ROUND(VALUE(IFERROR(INDEX(ArchiveResults!$F$5:$IX$116,ComparisonData!A91,ComparisonData!$ABG$1),0)),5)</f>
        <v>0</v>
      </c>
      <c r="ABH91" s="46" cm="1">
        <f t="array" ref="ABH91">ROUND(VALUE(IFERROR(INDEX(ArchiveResults!$F$5:$IX$116,ComparisonData!A91,ComparisonData!$ABH$1),0)),5)</f>
        <v>0</v>
      </c>
      <c r="ABI91" s="56">
        <v>86</v>
      </c>
      <c r="ABJ91" s="53" t="str">
        <f t="shared" si="743"/>
        <v>The Record Office for Leicestershire, Leicester &amp; Rutland</v>
      </c>
      <c r="ABK91" s="60">
        <f t="shared" si="1139"/>
        <v>0</v>
      </c>
      <c r="ABL91" s="60">
        <f t="shared" si="1140"/>
        <v>0</v>
      </c>
      <c r="ABM91" s="60">
        <f t="shared" si="1141"/>
        <v>0</v>
      </c>
      <c r="ABN91" s="60">
        <f t="shared" si="1142"/>
        <v>0</v>
      </c>
      <c r="ABO91" s="60">
        <f t="shared" si="1143"/>
        <v>0</v>
      </c>
      <c r="ABP91" s="76">
        <f t="shared" si="1144"/>
        <v>0</v>
      </c>
      <c r="ABQ91" s="46">
        <f t="shared" si="1145"/>
        <v>89</v>
      </c>
      <c r="ABR91" s="46">
        <f t="shared" si="744"/>
        <v>2.8839999999999999</v>
      </c>
      <c r="ABS91" s="46">
        <f t="shared" si="1146"/>
        <v>1</v>
      </c>
      <c r="ABT91" s="46">
        <f t="shared" si="1147"/>
        <v>2</v>
      </c>
      <c r="ABU91" s="46" cm="1">
        <f t="array" ref="ABU91">ROUND(VALUE(IFERROR(INDEX(ArchiveResults!$F$5:$IX$116,ComparisonData!A91,ComparisonData!$ABU$1),0)),5)</f>
        <v>0</v>
      </c>
      <c r="ABV91" s="46" cm="1">
        <f t="array" ref="ABV91">ROUND(VALUE(IFERROR(INDEX(ArchiveResults!$F$5:$IX$116,ComparisonData!A91,ComparisonData!$ABV$1),0)),5)</f>
        <v>0</v>
      </c>
      <c r="ABW91" s="46" cm="1">
        <f t="array" ref="ABW91">ROUND(VALUE(IFERROR(INDEX(ArchiveResults!$F$5:$IX$116,ComparisonData!A91,ComparisonData!$ABW$1),0)),5)</f>
        <v>0</v>
      </c>
      <c r="ABX91" s="46" cm="1">
        <f t="array" ref="ABX91">ROUND(VALUE(IFERROR(INDEX(ArchiveResults!$F$5:$IX$116,ComparisonData!A91,ComparisonData!$ABX$1),0)),5)</f>
        <v>0</v>
      </c>
      <c r="ABY91" s="46" cm="1">
        <f t="array" ref="ABY91">ROUND(VALUE(IFERROR(INDEX(ArchiveResults!$F$5:$IX$116,ComparisonData!A91,ComparisonData!$ABY$1),0)),5)</f>
        <v>0</v>
      </c>
      <c r="ABZ91" s="56">
        <v>86</v>
      </c>
      <c r="ACA91" s="53" t="str">
        <f t="shared" si="745"/>
        <v>The Record Office for Leicestershire, Leicester &amp; Rutland</v>
      </c>
      <c r="ACB91" s="60">
        <f t="shared" si="1148"/>
        <v>0</v>
      </c>
      <c r="ACC91" s="60">
        <f t="shared" si="1149"/>
        <v>0</v>
      </c>
      <c r="ACD91" s="60">
        <f t="shared" si="1150"/>
        <v>0</v>
      </c>
      <c r="ACE91" s="60">
        <f t="shared" si="1151"/>
        <v>0</v>
      </c>
      <c r="ACF91" s="60">
        <f t="shared" si="1152"/>
        <v>0</v>
      </c>
      <c r="ACG91" s="76">
        <f t="shared" si="1153"/>
        <v>0</v>
      </c>
      <c r="ACH91" s="46">
        <f t="shared" si="1154"/>
        <v>89</v>
      </c>
      <c r="ACI91" s="46">
        <f t="shared" si="746"/>
        <v>2.8839999999999999</v>
      </c>
      <c r="ACJ91" s="46">
        <f t="shared" si="1155"/>
        <v>1</v>
      </c>
      <c r="ACK91" s="46">
        <f t="shared" si="1156"/>
        <v>2</v>
      </c>
      <c r="ACL91" s="46">
        <f t="shared" si="1157"/>
        <v>0</v>
      </c>
      <c r="ACM91" s="46" cm="1">
        <f t="array" ref="ACM91">ROUND(IFERROR(INDEX(ArchiveResults!$F$5:$IX$116,ComparisonData!A91,ComparisonData!$ACM$1),0),5)</f>
        <v>0</v>
      </c>
      <c r="ACN91" s="46" cm="1">
        <f t="array" ref="ACN91">ROUND(IFERROR(INDEX(ArchiveResults!$F$5:$IX$116,ComparisonData!A91,ComparisonData!$ACN$1),0),5)</f>
        <v>0</v>
      </c>
      <c r="ACO91" s="56">
        <v>86</v>
      </c>
      <c r="ACP91" s="53" t="str">
        <f t="shared" si="747"/>
        <v>The Record Office for Leicestershire, Leicester &amp; Rutland</v>
      </c>
      <c r="ACQ91" s="60">
        <f t="shared" si="1158"/>
        <v>0</v>
      </c>
      <c r="ACR91" s="60">
        <f t="shared" si="1159"/>
        <v>0</v>
      </c>
      <c r="ACS91" s="76">
        <f t="shared" si="1160"/>
        <v>0</v>
      </c>
      <c r="ACT91" s="46">
        <f t="shared" si="1161"/>
        <v>89</v>
      </c>
      <c r="ACU91" s="46">
        <f t="shared" si="748"/>
        <v>2.8839999999999999</v>
      </c>
      <c r="ACV91" s="46">
        <f t="shared" si="1162"/>
        <v>1</v>
      </c>
      <c r="ACW91" s="46">
        <f t="shared" si="1163"/>
        <v>2</v>
      </c>
      <c r="ACX91" s="46">
        <f t="shared" si="1164"/>
        <v>0</v>
      </c>
      <c r="ACY91" s="46" cm="1">
        <f t="array" ref="ACY91">ROUNDDOWN(IFERROR(INDEX(ArchiveResults!$F$5:$IX$116,ComparisonData!A91,ComparisonData!$ACY$1),0),5)</f>
        <v>0</v>
      </c>
      <c r="ACZ91" s="46" cm="1">
        <f t="array" ref="ACZ91">ROUNDDOWN(IFERROR(INDEX(ArchiveResults!$F$5:$IX$116,ComparisonData!A91,ComparisonData!$ACZ$1),0),5)</f>
        <v>0</v>
      </c>
      <c r="ADA91" s="46" cm="1">
        <f t="array" ref="ADA91">ROUNDDOWN(IFERROR(INDEX(ArchiveResults!$F$5:$IX$116,ComparisonData!A91,ComparisonData!$ADA$1),0),5)</f>
        <v>0</v>
      </c>
      <c r="ADB91" s="56">
        <v>86</v>
      </c>
      <c r="ADC91" s="53" t="str">
        <f t="shared" si="749"/>
        <v>The Record Office for Leicestershire, Leicester &amp; Rutland</v>
      </c>
      <c r="ADD91" s="60">
        <f t="shared" si="1165"/>
        <v>0</v>
      </c>
      <c r="ADE91" s="60">
        <f t="shared" si="1166"/>
        <v>0</v>
      </c>
      <c r="ADF91" s="60">
        <f t="shared" si="1167"/>
        <v>0</v>
      </c>
      <c r="ADG91" s="76">
        <f t="shared" si="1168"/>
        <v>0</v>
      </c>
    </row>
    <row r="92" spans="1:787" x14ac:dyDescent="0.25">
      <c r="A92" s="46" t="str">
        <f>IF(ISBLANK(ComparisonSelection!F88),"",ROW()-5)</f>
        <v/>
      </c>
      <c r="B92" s="53" t="s">
        <v>542</v>
      </c>
      <c r="C92" s="72">
        <v>0.79899999999999982</v>
      </c>
      <c r="D92" s="55">
        <f t="shared" si="750"/>
        <v>73</v>
      </c>
      <c r="E92" s="54">
        <f t="shared" si="751"/>
        <v>2.7989999999999999</v>
      </c>
      <c r="F92" s="54">
        <f t="shared" si="752"/>
        <v>1</v>
      </c>
      <c r="G92" s="72">
        <f t="shared" si="753"/>
        <v>2</v>
      </c>
      <c r="H92" s="72">
        <f t="shared" si="754"/>
        <v>0</v>
      </c>
      <c r="I92" s="46" cm="1">
        <f t="array" ref="I92">ROUND(IFERROR(INDEX(ArchiveResults!$F$5:$IX$116,ComparisonData!A92,ComparisonData!$I$1),0),5)</f>
        <v>0</v>
      </c>
      <c r="J92" s="46" cm="1">
        <f t="array" ref="J92">ROUND(IFERROR(INDEX(ArchiveResults!$F$5:$IX$116,ComparisonData!A92,ComparisonData!$J$1),0),5)</f>
        <v>0</v>
      </c>
      <c r="K92" s="56">
        <v>87</v>
      </c>
      <c r="L92" s="53" t="str">
        <f t="shared" si="755"/>
        <v>Tower Hamlets Local History Library and Archives</v>
      </c>
      <c r="M92" s="57">
        <f t="shared" si="640"/>
        <v>0</v>
      </c>
      <c r="N92" s="57">
        <f t="shared" si="641"/>
        <v>0</v>
      </c>
      <c r="O92" s="58">
        <f t="shared" si="756"/>
        <v>0</v>
      </c>
      <c r="P92" s="48">
        <f t="shared" si="757"/>
        <v>73</v>
      </c>
      <c r="Q92" s="54">
        <f t="shared" si="642"/>
        <v>2.7989999999999999</v>
      </c>
      <c r="R92" s="45">
        <f t="shared" si="758"/>
        <v>1</v>
      </c>
      <c r="S92" s="46">
        <f t="shared" si="759"/>
        <v>2</v>
      </c>
      <c r="T92" s="72">
        <f t="shared" si="760"/>
        <v>0</v>
      </c>
      <c r="U92" s="46" cm="1">
        <f t="array" ref="U92">ROUND(IFERROR(INDEX(ArchiveResults!$F$5:$IX$116,ComparisonData!A92,ComparisonData!$U$1),0),5)</f>
        <v>0</v>
      </c>
      <c r="V92" s="46" cm="1">
        <f t="array" ref="V92">ROUND(IFERROR(INDEX(ArchiveResults!$F$5:$IX$116,ComparisonData!A92,ComparisonData!$V$1),0),5)</f>
        <v>0</v>
      </c>
      <c r="W92" s="56">
        <v>87</v>
      </c>
      <c r="X92" s="53" t="str">
        <f t="shared" si="643"/>
        <v>Tower Hamlets Local History Library and Archives</v>
      </c>
      <c r="Y92" s="57">
        <f t="shared" si="761"/>
        <v>0</v>
      </c>
      <c r="Z92" s="57">
        <f t="shared" si="762"/>
        <v>0</v>
      </c>
      <c r="AA92" s="58">
        <f t="shared" si="763"/>
        <v>0</v>
      </c>
      <c r="AB92" s="45">
        <f t="shared" si="764"/>
        <v>73</v>
      </c>
      <c r="AC92" s="54">
        <f t="shared" si="644"/>
        <v>2.7989999999999999</v>
      </c>
      <c r="AD92" s="45">
        <f t="shared" si="765"/>
        <v>1</v>
      </c>
      <c r="AE92" s="45">
        <f t="shared" si="766"/>
        <v>2</v>
      </c>
      <c r="AF92" s="45">
        <f t="shared" si="639"/>
        <v>0</v>
      </c>
      <c r="AG92" s="46" cm="1">
        <f t="array" ref="AG92">ROUND(IFERROR(INDEX(ArchiveResults!$F$5:$IX$116,ComparisonData!A92,ComparisonData!$AG$1),0),5)</f>
        <v>0</v>
      </c>
      <c r="AH92" s="46" cm="1">
        <f t="array" ref="AH92">ROUND(IFERROR(INDEX(ArchiveResults!$F$5:$IX$116,ComparisonData!A92,ComparisonData!$AH$1),0),5)</f>
        <v>0</v>
      </c>
      <c r="AI92" s="56">
        <v>87</v>
      </c>
      <c r="AJ92" s="53" t="str">
        <f t="shared" si="645"/>
        <v>Tower Hamlets Local History Library and Archives</v>
      </c>
      <c r="AK92" s="59">
        <f t="shared" si="646"/>
        <v>0</v>
      </c>
      <c r="AL92" s="59">
        <f t="shared" si="647"/>
        <v>0</v>
      </c>
      <c r="AM92" s="58">
        <f t="shared" si="767"/>
        <v>0</v>
      </c>
      <c r="AN92" s="45">
        <f t="shared" si="768"/>
        <v>73</v>
      </c>
      <c r="AO92" s="54">
        <f t="shared" si="648"/>
        <v>2.7989999999999999</v>
      </c>
      <c r="AP92" s="45">
        <f t="shared" si="769"/>
        <v>1</v>
      </c>
      <c r="AQ92" s="45">
        <f t="shared" si="770"/>
        <v>2</v>
      </c>
      <c r="AR92" s="46" cm="1">
        <f t="array" ref="AR92">ROUND(IFERROR(INDEX(ArchiveResults!$F$5:$IX$116,ComparisonData!A92,ComparisonData!$AR$1),0),5)</f>
        <v>0</v>
      </c>
      <c r="AS92" s="46" cm="1">
        <f t="array" ref="AS92">ROUND(IFERROR(INDEX(ArchiveResults!$F$5:$IX$116,ComparisonData!A92,ComparisonData!$AS$1),0),5)</f>
        <v>0</v>
      </c>
      <c r="AT92" s="46" cm="1">
        <f t="array" ref="AT92">ROUND(IFERROR(INDEX(ArchiveResults!$F$5:$IX$116,ComparisonData!A92,ComparisonData!$AT$1),0),5)</f>
        <v>0</v>
      </c>
      <c r="AU92" s="46" cm="1">
        <f t="array" ref="AU92">ROUND(IFERROR(INDEX(ArchiveResults!$F$5:$IX$116,ComparisonData!A92,ComparisonData!$AU$1),0),5)</f>
        <v>0</v>
      </c>
      <c r="AV92" s="46" cm="1">
        <f t="array" ref="AV92">ROUND(IFERROR(INDEX(ArchiveResults!$F$5:$IX$116,ComparisonData!A92,ComparisonData!$AV$1),0),5)</f>
        <v>0</v>
      </c>
      <c r="AW92" s="46" cm="1">
        <f t="array" ref="AW92">ROUND(IFERROR(INDEX(ArchiveResults!$F$5:$IX$116,ComparisonData!A92,ComparisonData!$AW$1),0),5)</f>
        <v>0</v>
      </c>
      <c r="AX92" s="46" cm="1">
        <f t="array" ref="AX92">ROUND(IFERROR(INDEX(ArchiveResults!$F$5:$IX$116,ComparisonData!A92,ComparisonData!$AX$1),0),5)</f>
        <v>0</v>
      </c>
      <c r="AY92" s="46" cm="1">
        <f t="array" ref="AY92">ROUND(IFERROR(INDEX(ArchiveResults!$F$5:$IX$116,ComparisonData!A92,ComparisonData!$AY$1),0),5)</f>
        <v>0</v>
      </c>
      <c r="AZ92" s="46" cm="1">
        <f t="array" ref="AZ92">ROUND(IFERROR(INDEX(ArchiveResults!$F$5:$IX$116,ComparisonData!A92,ComparisonData!$AZ$1),0),5)</f>
        <v>0</v>
      </c>
      <c r="BA92" s="46" cm="1">
        <f t="array" ref="BA92">ROUND(IFERROR(INDEX(ArchiveResults!$F$5:$IX$116,ComparisonData!A92,ComparisonData!$BA$1),0),5)</f>
        <v>0</v>
      </c>
      <c r="BB92" s="56">
        <v>87</v>
      </c>
      <c r="BC92" s="53" t="str">
        <f t="shared" si="649"/>
        <v>Tower Hamlets Local History Library and Archives</v>
      </c>
      <c r="BD92" s="60">
        <f t="shared" si="771"/>
        <v>0</v>
      </c>
      <c r="BE92" s="60">
        <f t="shared" si="772"/>
        <v>0</v>
      </c>
      <c r="BF92" s="60">
        <f t="shared" si="773"/>
        <v>0</v>
      </c>
      <c r="BG92" s="60">
        <f t="shared" si="774"/>
        <v>0</v>
      </c>
      <c r="BH92" s="60">
        <f t="shared" si="775"/>
        <v>0</v>
      </c>
      <c r="BI92" s="60">
        <f t="shared" si="776"/>
        <v>0</v>
      </c>
      <c r="BJ92" s="60">
        <f t="shared" si="777"/>
        <v>0</v>
      </c>
      <c r="BK92" s="60">
        <f t="shared" si="778"/>
        <v>0</v>
      </c>
      <c r="BL92" s="60">
        <f t="shared" si="779"/>
        <v>0</v>
      </c>
      <c r="BM92" s="59">
        <f t="shared" si="780"/>
        <v>0</v>
      </c>
      <c r="BN92" s="58">
        <f t="shared" si="781"/>
        <v>0</v>
      </c>
      <c r="BO92" s="45">
        <f t="shared" si="782"/>
        <v>73</v>
      </c>
      <c r="BP92" s="54">
        <f t="shared" si="650"/>
        <v>2.7989999999999999</v>
      </c>
      <c r="BQ92" s="45">
        <f t="shared" si="783"/>
        <v>1</v>
      </c>
      <c r="BR92" s="45">
        <f t="shared" si="784"/>
        <v>2</v>
      </c>
      <c r="BS92" s="46" cm="1">
        <f t="array" ref="BS92">ROUND(IFERROR(INDEX(ArchiveResults!$F$5:$IX$116,ComparisonData!A92,ComparisonData!$BS$1),0),5)</f>
        <v>0</v>
      </c>
      <c r="BT92" s="46" cm="1">
        <f t="array" ref="BT92">ROUND(IFERROR(INDEX(ArchiveResults!$F$5:$IX$116,ComparisonData!A92,ComparisonData!$BT$1),0),5)</f>
        <v>0</v>
      </c>
      <c r="BU92" s="46" cm="1">
        <f t="array" ref="BU92">ROUND(IFERROR(INDEX(ArchiveResults!$F$5:$IX$116,ComparisonData!A92,ComparisonData!$BU$1),0),5)</f>
        <v>0</v>
      </c>
      <c r="BV92" s="46" cm="1">
        <f t="array" ref="BV92">ROUND(IFERROR(INDEX(ArchiveResults!$F$5:$IX$116,ComparisonData!A92,ComparisonData!$BV$1),0),5)</f>
        <v>0</v>
      </c>
      <c r="BW92" s="46" cm="1">
        <f t="array" ref="BW92">ROUND(IFERROR(INDEX(ArchiveResults!$F$5:$IX$116,ComparisonData!A92,ComparisonData!$BW$1),0),5)</f>
        <v>0</v>
      </c>
      <c r="BX92" s="46" cm="1">
        <f t="array" ref="BX92">ROUND(IFERROR(INDEX(ArchiveResults!$F$5:$IX$116,ComparisonData!A92,ComparisonData!$BX$1),0),5)</f>
        <v>0</v>
      </c>
      <c r="BY92" s="56">
        <v>87</v>
      </c>
      <c r="BZ92" s="53" t="str">
        <f t="shared" si="651"/>
        <v>Tower Hamlets Local History Library and Archives</v>
      </c>
      <c r="CA92" s="59">
        <f t="shared" si="785"/>
        <v>0</v>
      </c>
      <c r="CB92" s="59">
        <f t="shared" si="786"/>
        <v>0</v>
      </c>
      <c r="CC92" s="59">
        <f t="shared" si="787"/>
        <v>0</v>
      </c>
      <c r="CD92" s="59">
        <f t="shared" si="788"/>
        <v>0</v>
      </c>
      <c r="CE92" s="59">
        <f t="shared" si="789"/>
        <v>0</v>
      </c>
      <c r="CF92" s="59">
        <f t="shared" si="790"/>
        <v>0</v>
      </c>
      <c r="CG92" s="58">
        <f t="shared" si="791"/>
        <v>0</v>
      </c>
      <c r="CH92" s="45">
        <f t="shared" si="792"/>
        <v>73</v>
      </c>
      <c r="CI92" s="54">
        <f t="shared" si="652"/>
        <v>2.7989999999999999</v>
      </c>
      <c r="CJ92" s="45">
        <f t="shared" si="793"/>
        <v>1</v>
      </c>
      <c r="CK92" s="45">
        <f t="shared" si="794"/>
        <v>2</v>
      </c>
      <c r="CL92" s="46" cm="1">
        <f t="array" ref="CL92">ROUND(IFERROR(INDEX(ArchiveResults!$F$5:$IX$116,ComparisonData!A92,ComparisonData!$CL$1),0),5)</f>
        <v>0</v>
      </c>
      <c r="CM92" s="56">
        <v>87</v>
      </c>
      <c r="CN92" s="53" t="str">
        <f t="shared" si="653"/>
        <v>Tower Hamlets Local History Library and Archives</v>
      </c>
      <c r="CO92" s="45">
        <f t="shared" si="795"/>
        <v>0</v>
      </c>
      <c r="CP92" s="58">
        <f t="shared" si="796"/>
        <v>0</v>
      </c>
      <c r="CQ92" s="45">
        <f t="shared" si="797"/>
        <v>73</v>
      </c>
      <c r="CR92" s="54">
        <f t="shared" si="654"/>
        <v>2.7989999999999999</v>
      </c>
      <c r="CS92" s="45">
        <f t="shared" si="798"/>
        <v>1</v>
      </c>
      <c r="CT92" s="45">
        <f t="shared" si="799"/>
        <v>2</v>
      </c>
      <c r="CU92" s="46" cm="1">
        <f t="array" ref="CU92">ROUND(IFERROR(INDEX(ArchiveResults!$F$5:$IX$116,ComparisonData!A92,ComparisonData!$CU$1),0),5)</f>
        <v>0</v>
      </c>
      <c r="CV92" s="56">
        <v>87</v>
      </c>
      <c r="CW92" s="53" t="str">
        <f t="shared" si="655"/>
        <v>Tower Hamlets Local History Library and Archives</v>
      </c>
      <c r="CX92" s="45">
        <f t="shared" si="800"/>
        <v>0</v>
      </c>
      <c r="CY92" s="58">
        <f t="shared" si="801"/>
        <v>0</v>
      </c>
      <c r="CZ92" s="45">
        <f t="shared" si="802"/>
        <v>73</v>
      </c>
      <c r="DA92" s="54">
        <f t="shared" si="656"/>
        <v>2.7989999999999999</v>
      </c>
      <c r="DB92" s="45">
        <f t="shared" si="803"/>
        <v>1</v>
      </c>
      <c r="DC92" s="45">
        <f t="shared" si="804"/>
        <v>2</v>
      </c>
      <c r="DD92" s="46" cm="1">
        <f t="array" ref="DD92">ROUND(IFERROR(INDEX(ArchiveResults!$F$5:$IX$116,ComparisonData!A92,ComparisonData!$DD$1),0),5)</f>
        <v>0</v>
      </c>
      <c r="DE92" s="56">
        <v>87</v>
      </c>
      <c r="DF92" s="53" t="str">
        <f t="shared" si="657"/>
        <v>Tower Hamlets Local History Library and Archives</v>
      </c>
      <c r="DG92" s="45">
        <f t="shared" si="805"/>
        <v>0</v>
      </c>
      <c r="DH92" s="58">
        <f t="shared" si="806"/>
        <v>0</v>
      </c>
      <c r="DI92" s="45">
        <f t="shared" si="807"/>
        <v>73</v>
      </c>
      <c r="DJ92" s="54">
        <f t="shared" si="658"/>
        <v>2.7989999999999999</v>
      </c>
      <c r="DK92" s="45">
        <f t="shared" si="808"/>
        <v>1</v>
      </c>
      <c r="DL92" s="45">
        <f t="shared" si="809"/>
        <v>2</v>
      </c>
      <c r="DM92" s="46" cm="1">
        <f t="array" ref="DM92">ROUND(IFERROR(INDEX(ArchiveResults!$F$5:$IX$116,ComparisonData!A92,ComparisonData!$DM$1),0),5)</f>
        <v>0</v>
      </c>
      <c r="DN92" s="46" cm="1">
        <f t="array" ref="DN92">ROUND(IFERROR(INDEX(ArchiveResults!$F$5:$IX$116,ComparisonData!A92,ComparisonData!$DN$1),0),5)</f>
        <v>0</v>
      </c>
      <c r="DO92" s="46" cm="1">
        <f t="array" ref="DO92">ROUND(IFERROR(INDEX(ArchiveResults!$F$5:$IX$116,ComparisonData!A92,ComparisonData!$DO$1),0),5)</f>
        <v>0</v>
      </c>
      <c r="DP92" s="46" cm="1">
        <f t="array" ref="DP92">ROUND(IFERROR(INDEX(ArchiveResults!$F$5:$IX$116,ComparisonData!A92,ComparisonData!$DP$1),0),5)</f>
        <v>0</v>
      </c>
      <c r="DQ92" s="45" cm="1">
        <f t="array" ref="DQ92">IFERROR(INDEX(ArchiveResults!$F$5:$IX$116,ComparisonData!A92,ComparisonData!$DQ$1),0)</f>
        <v>0</v>
      </c>
      <c r="DR92" s="56">
        <v>87</v>
      </c>
      <c r="DS92" s="53" t="str">
        <f t="shared" si="659"/>
        <v>Tower Hamlets Local History Library and Archives</v>
      </c>
      <c r="DT92" s="59">
        <f t="shared" si="810"/>
        <v>0</v>
      </c>
      <c r="DU92" s="59">
        <f t="shared" si="811"/>
        <v>0</v>
      </c>
      <c r="DV92" s="59">
        <f t="shared" si="812"/>
        <v>0</v>
      </c>
      <c r="DW92" s="59">
        <f t="shared" si="813"/>
        <v>0</v>
      </c>
      <c r="DX92" s="59">
        <f t="shared" si="814"/>
        <v>0</v>
      </c>
      <c r="DY92" s="58">
        <f t="shared" si="815"/>
        <v>0</v>
      </c>
      <c r="DZ92" s="45">
        <f t="shared" si="816"/>
        <v>73</v>
      </c>
      <c r="EA92" s="54">
        <f t="shared" si="660"/>
        <v>2.7989999999999999</v>
      </c>
      <c r="EB92" s="45">
        <f t="shared" si="817"/>
        <v>1</v>
      </c>
      <c r="EC92" s="45">
        <f t="shared" si="818"/>
        <v>2</v>
      </c>
      <c r="ED92" s="46" cm="1">
        <f t="array" ref="ED92">ROUND(IFERROR(INDEX(ArchiveResults!$F$5:$IX$116,ComparisonData!A92,ComparisonData!$ED$1),0),5)</f>
        <v>0</v>
      </c>
      <c r="EE92" s="46" cm="1">
        <f t="array" ref="EE92">ROUND(IFERROR(INDEX(ArchiveResults!$F$5:$IX$116,ComparisonData!A92,ComparisonData!$EE$1),0),5)</f>
        <v>0</v>
      </c>
      <c r="EF92" s="46" cm="1">
        <f t="array" ref="EF92">ROUND(IFERROR(INDEX(ArchiveResults!$F$5:$IX$116,ComparisonData!A92,ComparisonData!$EF$1),0),5)</f>
        <v>0</v>
      </c>
      <c r="EG92" s="46" cm="1">
        <f t="array" ref="EG92">ROUND(IFERROR(INDEX(ArchiveResults!$F$5:$IX$116,ComparisonData!A92,ComparisonData!$EG$1),0),5)</f>
        <v>0</v>
      </c>
      <c r="EH92" s="45" cm="1">
        <f t="array" ref="EH92">IFERROR(INDEX(ArchiveResults!$F$5:$IX$116,ComparisonData!A92,ComparisonData!$EH$1),0)</f>
        <v>0</v>
      </c>
      <c r="EI92" s="56">
        <v>87</v>
      </c>
      <c r="EJ92" s="53" t="str">
        <f t="shared" si="661"/>
        <v>Tower Hamlets Local History Library and Archives</v>
      </c>
      <c r="EK92" s="59">
        <f t="shared" si="819"/>
        <v>0</v>
      </c>
      <c r="EL92" s="59">
        <f t="shared" si="820"/>
        <v>0</v>
      </c>
      <c r="EM92" s="59">
        <f t="shared" si="821"/>
        <v>0</v>
      </c>
      <c r="EN92" s="59">
        <f t="shared" si="822"/>
        <v>0</v>
      </c>
      <c r="EO92" s="59">
        <f t="shared" si="823"/>
        <v>0</v>
      </c>
      <c r="EP92" s="58">
        <f t="shared" si="824"/>
        <v>0</v>
      </c>
      <c r="EQ92" s="45">
        <f t="shared" si="825"/>
        <v>73</v>
      </c>
      <c r="ER92" s="54">
        <f t="shared" si="662"/>
        <v>2.7989999999999999</v>
      </c>
      <c r="ES92" s="45">
        <f t="shared" si="826"/>
        <v>1</v>
      </c>
      <c r="ET92" s="45">
        <f t="shared" si="827"/>
        <v>2</v>
      </c>
      <c r="EU92" s="46" cm="1">
        <f t="array" ref="EU92">ROUND(IFERROR(INDEX(ArchiveResults!$F$5:$IX$116,ComparisonData!A92,ComparisonData!$EU$1),0),5)</f>
        <v>0</v>
      </c>
      <c r="EV92" s="46" cm="1">
        <f t="array" ref="EV92">ROUND(IFERROR(INDEX(ArchiveResults!$F$5:$IX$116,ComparisonData!A92,ComparisonData!$EV$1),0),5)</f>
        <v>0</v>
      </c>
      <c r="EW92" s="46" cm="1">
        <f t="array" ref="EW92">ROUND(IFERROR(INDEX(ArchiveResults!$F$5:$IX$116,ComparisonData!A92,ComparisonData!$EW$1),0),5)</f>
        <v>0</v>
      </c>
      <c r="EX92" s="46" cm="1">
        <f t="array" ref="EX92">ROUND(IFERROR(INDEX(ArchiveResults!$F$5:$IX$116,ComparisonData!A92,ComparisonData!$EX$1),0),5)</f>
        <v>0</v>
      </c>
      <c r="EY92" s="45" cm="1">
        <f t="array" ref="EY92">IFERROR(INDEX(ArchiveResults!$F$5:$IX$116,ComparisonData!A92,ComparisonData!$EY$1),0)</f>
        <v>0</v>
      </c>
      <c r="EZ92" s="56">
        <v>87</v>
      </c>
      <c r="FA92" s="53" t="str">
        <f t="shared" si="663"/>
        <v>Tower Hamlets Local History Library and Archives</v>
      </c>
      <c r="FB92" s="59">
        <f t="shared" si="828"/>
        <v>0</v>
      </c>
      <c r="FC92" s="59">
        <f t="shared" si="829"/>
        <v>0</v>
      </c>
      <c r="FD92" s="59">
        <f t="shared" si="830"/>
        <v>0</v>
      </c>
      <c r="FE92" s="59">
        <f t="shared" si="831"/>
        <v>0</v>
      </c>
      <c r="FF92" s="59">
        <f t="shared" si="832"/>
        <v>0</v>
      </c>
      <c r="FG92" s="58">
        <f t="shared" si="833"/>
        <v>0</v>
      </c>
      <c r="FH92" s="45">
        <f t="shared" si="834"/>
        <v>73</v>
      </c>
      <c r="FI92" s="54">
        <f t="shared" si="664"/>
        <v>2.7989999999999999</v>
      </c>
      <c r="FJ92" s="45">
        <f t="shared" si="835"/>
        <v>1</v>
      </c>
      <c r="FK92" s="45">
        <f t="shared" si="836"/>
        <v>2</v>
      </c>
      <c r="FL92" s="46" cm="1">
        <f t="array" ref="FL92">ROUND(IFERROR(INDEX(ArchiveResults!$F$5:$IX$116,ComparisonData!A92,ComparisonData!$FL$1),0),5)</f>
        <v>0</v>
      </c>
      <c r="FM92" s="46" cm="1">
        <f t="array" ref="FM92">ROUND(IFERROR(INDEX(ArchiveResults!$F$5:$IX$116,ComparisonData!A92,ComparisonData!$FM$1),0),5)</f>
        <v>0</v>
      </c>
      <c r="FN92" s="46" cm="1">
        <f t="array" ref="FN92">ROUND(IFERROR(INDEX(ArchiveResults!$F$5:$IX$116,ComparisonData!A92,ComparisonData!$FN$1),0),5)</f>
        <v>0</v>
      </c>
      <c r="FO92" s="46" cm="1">
        <f t="array" ref="FO92">ROUND(IFERROR(INDEX(ArchiveResults!$F$5:$IX$116,ComparisonData!A92,ComparisonData!$FO$1),0),5)</f>
        <v>0</v>
      </c>
      <c r="FP92" s="45" cm="1">
        <f t="array" ref="FP92">IFERROR(INDEX(ArchiveResults!$F$5:$IX$116,ComparisonData!A92,ComparisonData!$FP$1),0)</f>
        <v>0</v>
      </c>
      <c r="FQ92" s="56">
        <v>87</v>
      </c>
      <c r="FR92" s="53" t="str">
        <f t="shared" si="665"/>
        <v>Tower Hamlets Local History Library and Archives</v>
      </c>
      <c r="FS92" s="59">
        <f t="shared" si="837"/>
        <v>0</v>
      </c>
      <c r="FT92" s="59">
        <f t="shared" si="838"/>
        <v>0</v>
      </c>
      <c r="FU92" s="59">
        <f t="shared" si="839"/>
        <v>0</v>
      </c>
      <c r="FV92" s="59">
        <f t="shared" si="840"/>
        <v>0</v>
      </c>
      <c r="FW92" s="59">
        <f t="shared" si="841"/>
        <v>0</v>
      </c>
      <c r="FX92" s="58">
        <f t="shared" si="842"/>
        <v>0</v>
      </c>
      <c r="FY92" s="45">
        <f t="shared" si="843"/>
        <v>73</v>
      </c>
      <c r="FZ92" s="45">
        <f t="shared" si="666"/>
        <v>2.7989999999999999</v>
      </c>
      <c r="GA92" s="45">
        <f t="shared" si="844"/>
        <v>1</v>
      </c>
      <c r="GB92" s="45">
        <f t="shared" si="845"/>
        <v>2</v>
      </c>
      <c r="GC92" s="46" cm="1">
        <f t="array" ref="GC92">ROUND(IFERROR(INDEX(ArchiveResults!$F$5:$IX$116,ComparisonData!A92,ComparisonData!$GC$1),0),5)</f>
        <v>0</v>
      </c>
      <c r="GD92" s="46" cm="1">
        <f t="array" ref="GD92">ROUND(IFERROR(INDEX(ArchiveResults!$F$5:$IX$116,ComparisonData!A92,ComparisonData!$GD$1),0),5)</f>
        <v>0</v>
      </c>
      <c r="GE92" s="46" cm="1">
        <f t="array" ref="GE92">ROUND(IFERROR(INDEX(ArchiveResults!$F$5:$IX$116,ComparisonData!A92,ComparisonData!$GE$1),0),5)</f>
        <v>0</v>
      </c>
      <c r="GF92" s="46" cm="1">
        <f t="array" ref="GF92">ROUND(IFERROR(INDEX(ArchiveResults!$F$5:$IX$116,ComparisonData!A92,ComparisonData!$GF$1),0),5)</f>
        <v>0</v>
      </c>
      <c r="GG92" s="45" cm="1">
        <f t="array" ref="GG92">IFERROR(INDEX(ArchiveResults!$F$5:$IX$116,ComparisonData!A92,ComparisonData!$GG$1),0)</f>
        <v>0</v>
      </c>
      <c r="GH92" s="56">
        <v>87</v>
      </c>
      <c r="GI92" s="53" t="str">
        <f t="shared" si="667"/>
        <v>Tower Hamlets Local History Library and Archives</v>
      </c>
      <c r="GJ92" s="59">
        <f t="shared" si="846"/>
        <v>0</v>
      </c>
      <c r="GK92" s="59">
        <f t="shared" si="847"/>
        <v>0</v>
      </c>
      <c r="GL92" s="59">
        <f t="shared" si="848"/>
        <v>0</v>
      </c>
      <c r="GM92" s="59">
        <f t="shared" si="849"/>
        <v>0</v>
      </c>
      <c r="GN92" s="59">
        <f t="shared" si="850"/>
        <v>0</v>
      </c>
      <c r="GO92" s="58">
        <f t="shared" si="851"/>
        <v>0</v>
      </c>
      <c r="GP92" s="45">
        <f t="shared" si="852"/>
        <v>73</v>
      </c>
      <c r="GQ92" s="45">
        <f t="shared" si="668"/>
        <v>2.7989999999999999</v>
      </c>
      <c r="GR92" s="45">
        <f t="shared" si="853"/>
        <v>1</v>
      </c>
      <c r="GS92" s="45">
        <f t="shared" si="854"/>
        <v>2</v>
      </c>
      <c r="GT92" s="46" cm="1">
        <f t="array" ref="GT92">ROUND(IFERROR(INDEX(ArchiveResults!$F$5:$IX$116,ComparisonData!A92,ComparisonData!$GT$1),0),5)</f>
        <v>0</v>
      </c>
      <c r="GU92" s="46" cm="1">
        <f t="array" ref="GU92">ROUND(IFERROR(INDEX(ArchiveResults!$F$5:$IX$116,ComparisonData!A92,ComparisonData!$GU$1),0),5)</f>
        <v>0</v>
      </c>
      <c r="GV92" s="46" cm="1">
        <f t="array" ref="GV92">ROUND(IFERROR(INDEX(ArchiveResults!$F$5:$IX$116,ComparisonData!A92,ComparisonData!$GV$1),0),5)</f>
        <v>0</v>
      </c>
      <c r="GW92" s="46" cm="1">
        <f t="array" ref="GW92">ROUND(IFERROR(INDEX(ArchiveResults!$F$5:$IX$116,ComparisonData!A92,ComparisonData!$GW$1),0),5)</f>
        <v>0</v>
      </c>
      <c r="GX92" s="45" cm="1">
        <f t="array" ref="GX92">IFERROR(INDEX(ArchiveResults!$F$5:$IX$116,ComparisonData!A92,ComparisonData!$GX$1),0)</f>
        <v>0</v>
      </c>
      <c r="GY92" s="56">
        <v>87</v>
      </c>
      <c r="GZ92" s="53" t="str">
        <f t="shared" si="669"/>
        <v>Tower Hamlets Local History Library and Archives</v>
      </c>
      <c r="HA92" s="59">
        <f t="shared" si="855"/>
        <v>0</v>
      </c>
      <c r="HB92" s="59">
        <f t="shared" si="856"/>
        <v>0</v>
      </c>
      <c r="HC92" s="59">
        <f t="shared" si="857"/>
        <v>0</v>
      </c>
      <c r="HD92" s="59">
        <f t="shared" si="858"/>
        <v>0</v>
      </c>
      <c r="HE92" s="59">
        <f t="shared" si="859"/>
        <v>0</v>
      </c>
      <c r="HF92" s="58">
        <f t="shared" si="860"/>
        <v>0</v>
      </c>
      <c r="HG92" s="45">
        <f t="shared" si="861"/>
        <v>73</v>
      </c>
      <c r="HH92" s="45">
        <f t="shared" si="670"/>
        <v>2.7989999999999999</v>
      </c>
      <c r="HI92" s="45">
        <f t="shared" si="862"/>
        <v>1</v>
      </c>
      <c r="HJ92" s="45">
        <f t="shared" si="863"/>
        <v>2</v>
      </c>
      <c r="HK92" s="46" cm="1">
        <f t="array" ref="HK92">ROUND(IFERROR(INDEX(ArchiveResults!$F$5:$IX$116,ComparisonData!A92,ComparisonData!$HK$1),0),5)</f>
        <v>0</v>
      </c>
      <c r="HL92" s="46" cm="1">
        <f t="array" ref="HL92">ROUND(IFERROR(INDEX(ArchiveResults!$F$5:$IX$116,ComparisonData!A92,ComparisonData!$HL$1),0),5)</f>
        <v>0</v>
      </c>
      <c r="HM92" s="46" cm="1">
        <f t="array" ref="HM92">ROUND(IFERROR(INDEX(ArchiveResults!$F$5:$IX$116,ComparisonData!A92,ComparisonData!$HM$1),0),5)</f>
        <v>0</v>
      </c>
      <c r="HN92" s="46" cm="1">
        <f t="array" ref="HN92">ROUND(IFERROR(INDEX(ArchiveResults!$F$5:$IX$116,ComparisonData!A92,ComparisonData!$HN$1),0),5)</f>
        <v>0</v>
      </c>
      <c r="HO92" s="45" cm="1">
        <f t="array" ref="HO92">IFERROR(INDEX(ArchiveResults!$F$5:$IX$116,ComparisonData!A92,ComparisonData!$HO$1),0)</f>
        <v>0</v>
      </c>
      <c r="HP92" s="56">
        <v>87</v>
      </c>
      <c r="HQ92" s="53" t="str">
        <f t="shared" si="671"/>
        <v>Tower Hamlets Local History Library and Archives</v>
      </c>
      <c r="HR92" s="59">
        <f t="shared" si="672"/>
        <v>0</v>
      </c>
      <c r="HS92" s="59">
        <f t="shared" si="673"/>
        <v>0</v>
      </c>
      <c r="HT92" s="59">
        <f t="shared" si="674"/>
        <v>0</v>
      </c>
      <c r="HU92" s="59">
        <f t="shared" si="675"/>
        <v>0</v>
      </c>
      <c r="HV92" s="59">
        <f t="shared" si="676"/>
        <v>0</v>
      </c>
      <c r="HW92" s="58">
        <f t="shared" si="864"/>
        <v>0</v>
      </c>
      <c r="HX92" s="45">
        <f t="shared" si="865"/>
        <v>73</v>
      </c>
      <c r="HY92" s="45">
        <f t="shared" si="677"/>
        <v>2.7989999999999999</v>
      </c>
      <c r="HZ92" s="45">
        <f t="shared" si="866"/>
        <v>1</v>
      </c>
      <c r="IA92" s="45">
        <f t="shared" si="867"/>
        <v>2</v>
      </c>
      <c r="IB92" s="45">
        <f t="shared" si="868"/>
        <v>0</v>
      </c>
      <c r="IC92" s="46" cm="1">
        <f t="array" ref="IC92">ROUND(IFERROR(INDEX(ArchiveResults!$F$5:$IX$116,ComparisonData!A92,ComparisonData!$IC$1),0),5)</f>
        <v>0</v>
      </c>
      <c r="ID92" s="46" cm="1">
        <f t="array" ref="ID92">ROUND(IFERROR(INDEX(ArchiveResults!$F$5:$IX$116,ComparisonData!A92,ComparisonData!$ID$1),0),5)</f>
        <v>0</v>
      </c>
      <c r="IE92" s="46" cm="1">
        <f t="array" ref="IE92">ROUND(IFERROR(INDEX(ArchiveResults!$F$5:$IX$116,ComparisonData!A92,ComparisonData!$IE$1),0),5)</f>
        <v>0</v>
      </c>
      <c r="IF92" s="46" cm="1">
        <f t="array" ref="IF92">ROUND(IFERROR(INDEX(ArchiveResults!$F$5:$IX$116,ComparisonData!A92,ComparisonData!$IF$1),0),5)</f>
        <v>0</v>
      </c>
      <c r="IG92" s="45" cm="1">
        <f t="array" ref="IG92">IFERROR(INDEX(ArchiveResults!$F$5:$IX$116,ComparisonData!A92,ComparisonData!$IG$1),0)</f>
        <v>0</v>
      </c>
      <c r="IH92" s="56">
        <v>87</v>
      </c>
      <c r="II92" s="53" t="str">
        <f t="shared" si="678"/>
        <v>Tower Hamlets Local History Library and Archives</v>
      </c>
      <c r="IJ92" s="59">
        <f t="shared" si="869"/>
        <v>0</v>
      </c>
      <c r="IK92" s="59">
        <f t="shared" si="870"/>
        <v>0</v>
      </c>
      <c r="IL92" s="59">
        <f t="shared" si="871"/>
        <v>0</v>
      </c>
      <c r="IM92" s="59">
        <f t="shared" si="872"/>
        <v>0</v>
      </c>
      <c r="IN92" s="59">
        <f t="shared" si="873"/>
        <v>0</v>
      </c>
      <c r="IO92" s="58">
        <f t="shared" si="874"/>
        <v>0</v>
      </c>
      <c r="IP92" s="45">
        <f t="shared" si="875"/>
        <v>73</v>
      </c>
      <c r="IQ92" s="45">
        <f t="shared" si="679"/>
        <v>2.7989999999999999</v>
      </c>
      <c r="IR92" s="45">
        <f t="shared" si="876"/>
        <v>1</v>
      </c>
      <c r="IS92" s="45">
        <f t="shared" si="877"/>
        <v>2</v>
      </c>
      <c r="IT92" s="46">
        <f t="shared" si="878"/>
        <v>0</v>
      </c>
      <c r="IU92" s="46" cm="1">
        <f t="array" ref="IU92">ROUND(IFERROR(INDEX(ArchiveResults!$F$5:$IX$116,ComparisonData!A92,ComparisonData!$IU$1),0),5)</f>
        <v>0</v>
      </c>
      <c r="IV92" s="46" cm="1">
        <f t="array" ref="IV92">ROUND(IFERROR(INDEX(ArchiveResults!$F$5:$IX$116,ComparisonData!A92,ComparisonData!$IV$1),0),5)</f>
        <v>0</v>
      </c>
      <c r="IW92" s="46" cm="1">
        <f t="array" ref="IW92">ROUND(IFERROR(INDEX(ArchiveResults!$F$5:$IX$116,ComparisonData!A92,ComparisonData!$IW$1),0),5)</f>
        <v>0</v>
      </c>
      <c r="IX92" s="46" cm="1">
        <f t="array" ref="IX92">ROUND(IFERROR(INDEX(ArchiveResults!$F$5:$IX$116,ComparisonData!A92,ComparisonData!$IX$1),0),5)</f>
        <v>0</v>
      </c>
      <c r="IY92" s="45" cm="1">
        <f t="array" ref="IY92">IFERROR(INDEX(ArchiveResults!$F$5:$IX$116,ComparisonData!A92,ComparisonData!$IY$1),0)</f>
        <v>0</v>
      </c>
      <c r="IZ92" s="56">
        <v>87</v>
      </c>
      <c r="JA92" s="53" t="str">
        <f t="shared" si="680"/>
        <v>Tower Hamlets Local History Library and Archives</v>
      </c>
      <c r="JB92" s="59">
        <f t="shared" si="879"/>
        <v>0</v>
      </c>
      <c r="JC92" s="59">
        <f t="shared" si="880"/>
        <v>0</v>
      </c>
      <c r="JD92" s="59">
        <f t="shared" si="881"/>
        <v>0</v>
      </c>
      <c r="JE92" s="59">
        <f t="shared" si="882"/>
        <v>0</v>
      </c>
      <c r="JF92" s="59">
        <f t="shared" si="883"/>
        <v>0</v>
      </c>
      <c r="JG92" s="58">
        <f t="shared" si="884"/>
        <v>0</v>
      </c>
      <c r="JH92" s="45">
        <f t="shared" si="885"/>
        <v>73</v>
      </c>
      <c r="JI92" s="45">
        <f t="shared" si="681"/>
        <v>2.7989999999999999</v>
      </c>
      <c r="JJ92" s="45">
        <f t="shared" si="886"/>
        <v>1</v>
      </c>
      <c r="JK92" s="45">
        <f t="shared" si="887"/>
        <v>2</v>
      </c>
      <c r="JL92" s="45">
        <f t="shared" si="888"/>
        <v>0</v>
      </c>
      <c r="JM92" s="46" cm="1">
        <f t="array" ref="JM92">ROUND(IFERROR(INDEX(ArchiveResults!$F$5:$IX$116,ComparisonData!A92,ComparisonData!$JM$1),0),5)</f>
        <v>0</v>
      </c>
      <c r="JN92" s="46" cm="1">
        <f t="array" ref="JN92">ROUND(IFERROR(INDEX(ArchiveResults!$F$5:$IX$116,ComparisonData!A92,ComparisonData!$JN$1),0),5)</f>
        <v>0</v>
      </c>
      <c r="JO92" s="46" cm="1">
        <f t="array" ref="JO92">ROUND(IFERROR(INDEX(ArchiveResults!$F$5:$IX$116,ComparisonData!A92,ComparisonData!$JO$1),0),5)</f>
        <v>0</v>
      </c>
      <c r="JP92" s="46" cm="1">
        <f t="array" ref="JP92">ROUND(IFERROR(INDEX(ArchiveResults!$F$5:$IX$116,ComparisonData!A92,ComparisonData!$JP$1),0),5)</f>
        <v>0</v>
      </c>
      <c r="JQ92" s="45" cm="1">
        <f t="array" ref="JQ92">IFERROR(INDEX(ArchiveResults!$F$5:$IX$116,ComparisonData!A92,ComparisonData!$JQ$1),0)</f>
        <v>0</v>
      </c>
      <c r="JR92" s="56">
        <v>87</v>
      </c>
      <c r="JS92" s="53" t="str">
        <f t="shared" si="682"/>
        <v>Tower Hamlets Local History Library and Archives</v>
      </c>
      <c r="JT92" s="59">
        <f t="shared" si="889"/>
        <v>0</v>
      </c>
      <c r="JU92" s="59">
        <f t="shared" si="890"/>
        <v>0</v>
      </c>
      <c r="JV92" s="59">
        <f t="shared" si="891"/>
        <v>0</v>
      </c>
      <c r="JW92" s="59">
        <f t="shared" si="892"/>
        <v>0</v>
      </c>
      <c r="JX92" s="59">
        <f t="shared" si="893"/>
        <v>0</v>
      </c>
      <c r="JY92" s="58">
        <f t="shared" si="894"/>
        <v>0</v>
      </c>
      <c r="JZ92" s="45">
        <f t="shared" si="895"/>
        <v>73</v>
      </c>
      <c r="KA92" s="45">
        <f t="shared" si="683"/>
        <v>2.7989999999999999</v>
      </c>
      <c r="KB92" s="45">
        <f t="shared" si="896"/>
        <v>1</v>
      </c>
      <c r="KC92" s="45">
        <f t="shared" si="897"/>
        <v>2</v>
      </c>
      <c r="KD92" s="45">
        <f t="shared" si="898"/>
        <v>0</v>
      </c>
      <c r="KE92" s="46" cm="1">
        <f t="array" ref="KE92">ROUND(IFERROR(INDEX(ArchiveResults!$F$5:$IX$116,ComparisonData!A92,ComparisonData!$KE$1),0),5)</f>
        <v>0</v>
      </c>
      <c r="KF92" s="46" cm="1">
        <f t="array" ref="KF92">ROUND(IFERROR(INDEX(ArchiveResults!$F$5:$IX$116,ComparisonData!A92,ComparisonData!$KF$1),0),5)</f>
        <v>0</v>
      </c>
      <c r="KG92" s="46" cm="1">
        <f t="array" ref="KG92">ROUND(IFERROR(INDEX(ArchiveResults!$F$5:$IX$116,ComparisonData!A92,ComparisonData!$KG$1),0),5)</f>
        <v>0</v>
      </c>
      <c r="KH92" s="46" cm="1">
        <f t="array" ref="KH92">ROUND(IFERROR(INDEX(ArchiveResults!$F$5:$IX$116,ComparisonData!A92,ComparisonData!$KH$1),0),5)</f>
        <v>0</v>
      </c>
      <c r="KI92" s="45" cm="1">
        <f t="array" ref="KI92">IFERROR(INDEX(ArchiveResults!$F$5:$IX$116,ComparisonData!A92,ComparisonData!$KI$1),0)</f>
        <v>0</v>
      </c>
      <c r="KJ92" s="56">
        <v>87</v>
      </c>
      <c r="KK92" s="53" t="str">
        <f t="shared" si="684"/>
        <v>Tower Hamlets Local History Library and Archives</v>
      </c>
      <c r="KL92" s="59">
        <f t="shared" si="899"/>
        <v>0</v>
      </c>
      <c r="KM92" s="59">
        <f t="shared" si="900"/>
        <v>0</v>
      </c>
      <c r="KN92" s="59">
        <f t="shared" si="901"/>
        <v>0</v>
      </c>
      <c r="KO92" s="59">
        <f t="shared" si="902"/>
        <v>0</v>
      </c>
      <c r="KP92" s="59">
        <f t="shared" si="903"/>
        <v>0</v>
      </c>
      <c r="KQ92" s="58">
        <f t="shared" si="904"/>
        <v>0</v>
      </c>
      <c r="KR92" s="45">
        <f t="shared" si="905"/>
        <v>73</v>
      </c>
      <c r="KS92" s="45">
        <f t="shared" si="685"/>
        <v>2.7989999999999999</v>
      </c>
      <c r="KT92" s="45">
        <f t="shared" si="906"/>
        <v>1</v>
      </c>
      <c r="KU92" s="45">
        <f t="shared" si="907"/>
        <v>2</v>
      </c>
      <c r="KV92" s="45">
        <f t="shared" si="908"/>
        <v>0</v>
      </c>
      <c r="KW92" s="46" cm="1">
        <f t="array" ref="KW92">ROUND(IFERROR(INDEX(ArchiveResults!$F$5:$IX$116,ComparisonData!A92,ComparisonData!$KW$1),0),5)</f>
        <v>0</v>
      </c>
      <c r="KX92" s="46" cm="1">
        <f t="array" ref="KX92">ROUND(IFERROR(INDEX(ArchiveResults!$F$5:$IX$116,ComparisonData!A92,ComparisonData!$KX$1),0),5)</f>
        <v>0</v>
      </c>
      <c r="KY92" s="46" cm="1">
        <f t="array" ref="KY92">ROUND(IFERROR(INDEX(ArchiveResults!$F$5:$IX$116,ComparisonData!A92,ComparisonData!$KY$1),0),5)</f>
        <v>0</v>
      </c>
      <c r="KZ92" s="46" cm="1">
        <f t="array" ref="KZ92">ROUND(IFERROR(INDEX(ArchiveResults!$F$5:$IX$116,ComparisonData!A92,ComparisonData!$KZ$1),0),5)</f>
        <v>0</v>
      </c>
      <c r="LA92" s="45" cm="1">
        <f t="array" ref="LA92">IFERROR(INDEX(ArchiveResults!$F$5:$IX$116,ComparisonData!A92,ComparisonData!$LA$1),0)</f>
        <v>0</v>
      </c>
      <c r="LB92" s="56">
        <v>87</v>
      </c>
      <c r="LC92" s="53" t="str">
        <f t="shared" si="686"/>
        <v>Tower Hamlets Local History Library and Archives</v>
      </c>
      <c r="LD92" s="59">
        <f t="shared" si="909"/>
        <v>0</v>
      </c>
      <c r="LE92" s="59">
        <f t="shared" si="910"/>
        <v>0</v>
      </c>
      <c r="LF92" s="59">
        <f t="shared" si="911"/>
        <v>0</v>
      </c>
      <c r="LG92" s="59">
        <f t="shared" si="912"/>
        <v>0</v>
      </c>
      <c r="LH92" s="59">
        <f t="shared" si="913"/>
        <v>0</v>
      </c>
      <c r="LI92" s="58">
        <f t="shared" si="914"/>
        <v>0</v>
      </c>
      <c r="LJ92" s="45">
        <f t="shared" si="915"/>
        <v>73</v>
      </c>
      <c r="LK92" s="45">
        <f t="shared" si="687"/>
        <v>2.7989999999999999</v>
      </c>
      <c r="LL92" s="45">
        <f t="shared" si="916"/>
        <v>1</v>
      </c>
      <c r="LM92" s="45">
        <f t="shared" si="917"/>
        <v>2</v>
      </c>
      <c r="LN92" s="45">
        <f t="shared" si="918"/>
        <v>0</v>
      </c>
      <c r="LO92" s="46" cm="1">
        <f t="array" ref="LO92">ROUND(IFERROR(INDEX(ArchiveResults!$F$5:$IX$116,ComparisonData!A92,ComparisonData!$LO$1),0),5)</f>
        <v>0</v>
      </c>
      <c r="LP92" s="46" cm="1">
        <f t="array" ref="LP92">ROUND(IFERROR(INDEX(ArchiveResults!$F$5:$IX$116,ComparisonData!A92,ComparisonData!$LP$1),0),5)</f>
        <v>0</v>
      </c>
      <c r="LQ92" s="46" cm="1">
        <f t="array" ref="LQ92">ROUND(IFERROR(INDEX(ArchiveResults!$F$5:$IX$116,ComparisonData!A92,ComparisonData!$LQ$1),0),5)</f>
        <v>0</v>
      </c>
      <c r="LR92" s="46" cm="1">
        <f t="array" ref="LR92">ROUND(IFERROR(INDEX(ArchiveResults!$F$5:$IX$116,ComparisonData!A92,ComparisonData!$LR$1),0),5)</f>
        <v>0</v>
      </c>
      <c r="LS92" s="45" cm="1">
        <f t="array" ref="LS92">IFERROR(INDEX(ArchiveResults!$F$5:$IX$116,ComparisonData!A92,ComparisonData!$LS$1),0)</f>
        <v>0</v>
      </c>
      <c r="LT92" s="56">
        <v>87</v>
      </c>
      <c r="LU92" s="53" t="str">
        <f t="shared" si="688"/>
        <v>Tower Hamlets Local History Library and Archives</v>
      </c>
      <c r="LV92" s="59">
        <f t="shared" si="919"/>
        <v>0</v>
      </c>
      <c r="LW92" s="59">
        <f t="shared" si="920"/>
        <v>0</v>
      </c>
      <c r="LX92" s="59">
        <f t="shared" si="921"/>
        <v>0</v>
      </c>
      <c r="LY92" s="59">
        <f t="shared" si="922"/>
        <v>0</v>
      </c>
      <c r="LZ92" s="59">
        <f t="shared" si="923"/>
        <v>0</v>
      </c>
      <c r="MA92" s="58">
        <f t="shared" si="924"/>
        <v>0</v>
      </c>
      <c r="MB92" s="45">
        <f t="shared" si="925"/>
        <v>73</v>
      </c>
      <c r="MC92" s="45">
        <f t="shared" si="689"/>
        <v>2.7989999999999999</v>
      </c>
      <c r="MD92" s="45">
        <f t="shared" si="926"/>
        <v>1</v>
      </c>
      <c r="ME92" s="45">
        <f t="shared" si="927"/>
        <v>2</v>
      </c>
      <c r="MF92" s="45">
        <f t="shared" si="928"/>
        <v>0</v>
      </c>
      <c r="MG92" s="46" cm="1">
        <f t="array" ref="MG92">ROUND(IFERROR(INDEX(ArchiveResults!$F$5:$IX$116,ComparisonData!A92,ComparisonData!$MG$1),0),5)</f>
        <v>0</v>
      </c>
      <c r="MH92" s="46" cm="1">
        <f t="array" ref="MH92">ROUND(IFERROR(INDEX(ArchiveResults!$F$5:$IX$116,ComparisonData!A92,ComparisonData!$MH$1),0),5)</f>
        <v>0</v>
      </c>
      <c r="MI92" s="46" cm="1">
        <f t="array" ref="MI92">ROUND(IFERROR(INDEX(ArchiveResults!$F$5:$IX$116,ComparisonData!A92,ComparisonData!$MI$1),0),5)</f>
        <v>0</v>
      </c>
      <c r="MJ92" s="46" cm="1">
        <f t="array" ref="MJ92">ROUND(IFERROR(INDEX(ArchiveResults!$F$5:$IX$116,ComparisonData!A92,ComparisonData!$MJ$1),0),5)</f>
        <v>0</v>
      </c>
      <c r="MK92" s="45" cm="1">
        <f t="array" ref="MK92">IFERROR(INDEX(ArchiveResults!$F$5:$IX$116,ComparisonData!A92,ComparisonData!$MK$1),0)</f>
        <v>0</v>
      </c>
      <c r="ML92" s="56">
        <v>87</v>
      </c>
      <c r="MM92" s="53" t="str">
        <f t="shared" si="690"/>
        <v>Tower Hamlets Local History Library and Archives</v>
      </c>
      <c r="MN92" s="59">
        <f t="shared" si="929"/>
        <v>0</v>
      </c>
      <c r="MO92" s="59">
        <f t="shared" si="930"/>
        <v>0</v>
      </c>
      <c r="MP92" s="59">
        <f t="shared" si="931"/>
        <v>0</v>
      </c>
      <c r="MQ92" s="59">
        <f t="shared" si="932"/>
        <v>0</v>
      </c>
      <c r="MR92" s="59">
        <f t="shared" si="933"/>
        <v>0</v>
      </c>
      <c r="MS92" s="58">
        <f t="shared" si="934"/>
        <v>0</v>
      </c>
      <c r="MT92" s="45">
        <f t="shared" si="935"/>
        <v>73</v>
      </c>
      <c r="MU92" s="45">
        <f t="shared" si="691"/>
        <v>2.7989999999999999</v>
      </c>
      <c r="MV92" s="45">
        <f t="shared" si="936"/>
        <v>1</v>
      </c>
      <c r="MW92" s="45">
        <f t="shared" si="937"/>
        <v>2</v>
      </c>
      <c r="MX92" s="45">
        <f t="shared" si="938"/>
        <v>0</v>
      </c>
      <c r="MY92" s="46" cm="1">
        <f t="array" ref="MY92">ROUND(IFERROR(INDEX(ArchiveResults!$F$5:$IX$116,ComparisonData!A92,ComparisonData!$MY$1),0),5)</f>
        <v>0</v>
      </c>
      <c r="MZ92" s="46" cm="1">
        <f t="array" ref="MZ92">ROUND(IFERROR(INDEX(ArchiveResults!$F$5:$IX$116,ComparisonData!A92,ComparisonData!$MZ$1),0),5)</f>
        <v>0</v>
      </c>
      <c r="NA92" s="46" cm="1">
        <f t="array" ref="NA92">ROUND(IFERROR(INDEX(ArchiveResults!$F$5:$IX$116,ComparisonData!A92,ComparisonData!$NA$1),0),5)</f>
        <v>0</v>
      </c>
      <c r="NB92" s="46" cm="1">
        <f t="array" ref="NB92">ROUND(IFERROR(INDEX(ArchiveResults!$F$5:$IX$116,ComparisonData!A92,ComparisonData!$NB$1),0),5)</f>
        <v>0</v>
      </c>
      <c r="NC92" s="45" cm="1">
        <f t="array" ref="NC92">IFERROR(INDEX(ArchiveResults!$F$5:$IX$116,ComparisonData!A92,ComparisonData!$NC$1),0)</f>
        <v>0</v>
      </c>
      <c r="ND92" s="56">
        <v>87</v>
      </c>
      <c r="NE92" s="53" t="str">
        <f t="shared" si="692"/>
        <v>Tower Hamlets Local History Library and Archives</v>
      </c>
      <c r="NF92" s="59">
        <f t="shared" si="939"/>
        <v>0</v>
      </c>
      <c r="NG92" s="59">
        <f t="shared" si="940"/>
        <v>0</v>
      </c>
      <c r="NH92" s="59">
        <f t="shared" si="941"/>
        <v>0</v>
      </c>
      <c r="NI92" s="59">
        <f t="shared" si="942"/>
        <v>0</v>
      </c>
      <c r="NJ92" s="59">
        <f t="shared" si="943"/>
        <v>0</v>
      </c>
      <c r="NK92" s="58">
        <f t="shared" si="944"/>
        <v>0</v>
      </c>
      <c r="NL92" s="45">
        <f t="shared" si="945"/>
        <v>73</v>
      </c>
      <c r="NM92" s="45">
        <f t="shared" si="693"/>
        <v>2.7989999999999999</v>
      </c>
      <c r="NN92" s="45">
        <f t="shared" si="946"/>
        <v>1</v>
      </c>
      <c r="NO92" s="45">
        <f t="shared" si="947"/>
        <v>2</v>
      </c>
      <c r="NP92" s="46" cm="1">
        <f t="array" ref="NP92">ROUND(IFERROR(INDEX(ArchiveResults!$F$5:$IX$116,ComparisonData!A92,ComparisonData!$NP$1),0),5)</f>
        <v>0</v>
      </c>
      <c r="NQ92" s="46" cm="1">
        <f t="array" ref="NQ92">ROUND(IFERROR(INDEX(ArchiveResults!$F$5:$IX$116,ComparisonData!A92,ComparisonData!$NQ$1),0),5)</f>
        <v>0</v>
      </c>
      <c r="NR92" s="46" cm="1">
        <f t="array" ref="NR92">ROUND(IFERROR(INDEX(ArchiveResults!$F$5:$IX$116,ComparisonData!A92,ComparisonData!$NR$1),0),5)</f>
        <v>0</v>
      </c>
      <c r="NS92" s="46" cm="1">
        <f t="array" ref="NS92">ROUND(IFERROR(INDEX(ArchiveResults!$F$5:$IX$116,ComparisonData!A92,ComparisonData!$NS$1),0),5)</f>
        <v>0</v>
      </c>
      <c r="NT92" s="45" cm="1">
        <f t="array" ref="NT92">IFERROR(INDEX(ArchiveResults!$F$5:$IX$116,ComparisonData!A92,ComparisonData!$NT$1),0)</f>
        <v>0</v>
      </c>
      <c r="NU92" s="56">
        <v>87</v>
      </c>
      <c r="NV92" s="53" t="str">
        <f t="shared" si="694"/>
        <v>Tower Hamlets Local History Library and Archives</v>
      </c>
      <c r="NW92" s="59">
        <f t="shared" si="948"/>
        <v>0</v>
      </c>
      <c r="NX92" s="59">
        <f t="shared" si="949"/>
        <v>0</v>
      </c>
      <c r="NY92" s="59">
        <f t="shared" si="950"/>
        <v>0</v>
      </c>
      <c r="NZ92" s="59">
        <f t="shared" si="951"/>
        <v>0</v>
      </c>
      <c r="OA92" s="59">
        <f t="shared" si="952"/>
        <v>0</v>
      </c>
      <c r="OB92" s="58">
        <f t="shared" si="953"/>
        <v>0</v>
      </c>
      <c r="OC92" s="45">
        <f t="shared" si="954"/>
        <v>73</v>
      </c>
      <c r="OD92" s="45">
        <f t="shared" si="695"/>
        <v>2.7989999999999999</v>
      </c>
      <c r="OE92" s="45">
        <f t="shared" si="955"/>
        <v>1</v>
      </c>
      <c r="OF92" s="45">
        <f t="shared" si="956"/>
        <v>2</v>
      </c>
      <c r="OG92" s="46">
        <f t="shared" si="957"/>
        <v>0</v>
      </c>
      <c r="OH92" s="46" cm="1">
        <f t="array" ref="OH92">ROUND(IFERROR(INDEX(ArchiveResults!$F$5:$IX$116,ComparisonData!A92,ComparisonData!$OH$1),0),5)</f>
        <v>0</v>
      </c>
      <c r="OI92" s="46" cm="1">
        <f t="array" ref="OI92">ROUND(IFERROR(INDEX(ArchiveResults!$F$5:$IX$116,ComparisonData!A92,ComparisonData!$OI$1),0),5)</f>
        <v>0</v>
      </c>
      <c r="OJ92" s="46" cm="1">
        <f t="array" ref="OJ92">ROUND(IFERROR(INDEX(ArchiveResults!$F$5:$IX$116,ComparisonData!A92,ComparisonData!$OJ$1),0),5)</f>
        <v>0</v>
      </c>
      <c r="OK92" s="46" cm="1">
        <f t="array" ref="OK92">ROUND(IFERROR(INDEX(ArchiveResults!$F$5:$IX$116,ComparisonData!A92,ComparisonData!$OK$1),0),5)</f>
        <v>0</v>
      </c>
      <c r="OL92" s="45" cm="1">
        <f t="array" ref="OL92">IFERROR(INDEX(ArchiveResults!$F$5:$IX$116,ComparisonData!A92,ComparisonData!$OL$1),0)</f>
        <v>0</v>
      </c>
      <c r="OM92" s="56">
        <v>87</v>
      </c>
      <c r="ON92" s="53" t="str">
        <f t="shared" si="696"/>
        <v>Tower Hamlets Local History Library and Archives</v>
      </c>
      <c r="OO92" s="59">
        <f t="shared" si="958"/>
        <v>0</v>
      </c>
      <c r="OP92" s="59">
        <f t="shared" si="959"/>
        <v>0</v>
      </c>
      <c r="OQ92" s="59">
        <f t="shared" si="960"/>
        <v>0</v>
      </c>
      <c r="OR92" s="59">
        <f t="shared" si="961"/>
        <v>0</v>
      </c>
      <c r="OS92" s="59">
        <f t="shared" si="962"/>
        <v>0</v>
      </c>
      <c r="OT92" s="58">
        <f t="shared" si="963"/>
        <v>0</v>
      </c>
      <c r="OU92" s="45">
        <f t="shared" si="964"/>
        <v>73</v>
      </c>
      <c r="OV92" s="45">
        <f t="shared" si="697"/>
        <v>2.7989999999999999</v>
      </c>
      <c r="OW92" s="45">
        <f t="shared" si="965"/>
        <v>1</v>
      </c>
      <c r="OX92" s="45">
        <f t="shared" si="966"/>
        <v>2</v>
      </c>
      <c r="OY92" s="45">
        <f t="shared" si="967"/>
        <v>0</v>
      </c>
      <c r="OZ92" s="46" cm="1">
        <f t="array" ref="OZ92">ROUND(IFERROR(INDEX(ArchiveResults!$F$5:$IX$116,ComparisonData!A92,ComparisonData!$OZ$1),0),5)</f>
        <v>0</v>
      </c>
      <c r="PA92" s="46" cm="1">
        <f t="array" ref="PA92">ROUND(IFERROR(INDEX(ArchiveResults!$F$5:$IX$116,ComparisonData!A92,ComparisonData!$PA$1),0),5)</f>
        <v>0</v>
      </c>
      <c r="PB92" s="46" cm="1">
        <f t="array" ref="PB92">ROUND(IFERROR(INDEX(ArchiveResults!$F$5:$IX$116,ComparisonData!A92,ComparisonData!$PB$1),0),5)</f>
        <v>0</v>
      </c>
      <c r="PC92" s="46" cm="1">
        <f t="array" ref="PC92">ROUND(IFERROR(INDEX(ArchiveResults!$F$5:$IX$116,ComparisonData!A92,ComparisonData!$PC$1),0),5)</f>
        <v>0</v>
      </c>
      <c r="PD92" s="45" cm="1">
        <f t="array" ref="PD92">IFERROR(INDEX(ArchiveResults!$F$5:$IX$116,ComparisonData!A92,ComparisonData!$PD$1),0)</f>
        <v>0</v>
      </c>
      <c r="PE92" s="56">
        <v>87</v>
      </c>
      <c r="PF92" s="53" t="str">
        <f t="shared" si="698"/>
        <v>Tower Hamlets Local History Library and Archives</v>
      </c>
      <c r="PG92" s="59">
        <f t="shared" si="968"/>
        <v>0</v>
      </c>
      <c r="PH92" s="59">
        <f t="shared" si="969"/>
        <v>0</v>
      </c>
      <c r="PI92" s="59">
        <f t="shared" si="970"/>
        <v>0</v>
      </c>
      <c r="PJ92" s="59">
        <f t="shared" si="971"/>
        <v>0</v>
      </c>
      <c r="PK92" s="59">
        <f t="shared" si="972"/>
        <v>0</v>
      </c>
      <c r="PL92" s="58">
        <f t="shared" si="973"/>
        <v>0</v>
      </c>
      <c r="PM92" s="45">
        <f t="shared" si="974"/>
        <v>73</v>
      </c>
      <c r="PN92" s="45">
        <f t="shared" si="699"/>
        <v>2.7989999999999999</v>
      </c>
      <c r="PO92" s="45">
        <f t="shared" si="975"/>
        <v>1</v>
      </c>
      <c r="PP92" s="45">
        <f t="shared" si="976"/>
        <v>2</v>
      </c>
      <c r="PQ92" s="45">
        <f t="shared" si="977"/>
        <v>0</v>
      </c>
      <c r="PR92" s="46" cm="1">
        <f t="array" ref="PR92">ROUND(IFERROR(INDEX(ArchiveResults!$F$5:$IX$116,ComparisonData!A92,ComparisonData!$PR$1),0),5)</f>
        <v>0</v>
      </c>
      <c r="PS92" s="46" cm="1">
        <f t="array" ref="PS92">ROUND(IFERROR(INDEX(ArchiveResults!$F$5:$IX$116,ComparisonData!A92,ComparisonData!$PS$1),0),5)</f>
        <v>0</v>
      </c>
      <c r="PT92" s="46" cm="1">
        <f t="array" ref="PT92">ROUND(IFERROR(INDEX(ArchiveResults!$F$5:$IX$116,ComparisonData!A92,ComparisonData!$PT$1),0),5)</f>
        <v>0</v>
      </c>
      <c r="PU92" s="46" cm="1">
        <f t="array" ref="PU92">ROUND(IFERROR(INDEX(ArchiveResults!$F$5:$IX$116,ComparisonData!A92,ComparisonData!$PU$1),0),5)</f>
        <v>0</v>
      </c>
      <c r="PV92" s="45" cm="1">
        <f t="array" ref="PV92">IFERROR(INDEX(ArchiveResults!$F$5:$IX$116,ComparisonData!A92,ComparisonData!$PV$1),0)</f>
        <v>0</v>
      </c>
      <c r="PW92" s="56">
        <v>87</v>
      </c>
      <c r="PX92" s="53" t="str">
        <f t="shared" si="700"/>
        <v>Tower Hamlets Local History Library and Archives</v>
      </c>
      <c r="PY92" s="59">
        <f t="shared" si="978"/>
        <v>0</v>
      </c>
      <c r="PZ92" s="59">
        <f t="shared" si="979"/>
        <v>0</v>
      </c>
      <c r="QA92" s="59">
        <f t="shared" si="980"/>
        <v>0</v>
      </c>
      <c r="QB92" s="59">
        <f t="shared" si="981"/>
        <v>0</v>
      </c>
      <c r="QC92" s="59">
        <f t="shared" si="982"/>
        <v>0</v>
      </c>
      <c r="QD92" s="58">
        <f t="shared" si="983"/>
        <v>0</v>
      </c>
      <c r="QE92" s="45">
        <f t="shared" si="984"/>
        <v>73</v>
      </c>
      <c r="QF92" s="45">
        <f t="shared" si="701"/>
        <v>2.7989999999999999</v>
      </c>
      <c r="QG92" s="45">
        <f t="shared" si="985"/>
        <v>1</v>
      </c>
      <c r="QH92" s="45">
        <f t="shared" si="986"/>
        <v>2</v>
      </c>
      <c r="QI92" s="45">
        <f t="shared" si="987"/>
        <v>0</v>
      </c>
      <c r="QJ92" s="46" cm="1">
        <f t="array" ref="QJ92">ROUND(IFERROR(INDEX(ArchiveResults!$F$5:$IX$116,ComparisonData!A92,ComparisonData!$QJ$1),0),5)</f>
        <v>0</v>
      </c>
      <c r="QK92" s="46" cm="1">
        <f t="array" ref="QK92">ROUND(IFERROR(INDEX(ArchiveResults!$F$5:$IX$116,ComparisonData!A92,ComparisonData!$QK$1),0),5)</f>
        <v>0</v>
      </c>
      <c r="QL92" s="46" cm="1">
        <f t="array" ref="QL92">ROUND(IFERROR(INDEX(ArchiveResults!$F$5:$IX$116,ComparisonData!A92,ComparisonData!$QL$1),0),5)</f>
        <v>0</v>
      </c>
      <c r="QM92" s="46" cm="1">
        <f t="array" ref="QM92">ROUND(IFERROR(INDEX(ArchiveResults!$F$5:$IX$116,ComparisonData!A92,ComparisonData!$QM$1),0),5)</f>
        <v>0</v>
      </c>
      <c r="QN92" s="45" cm="1">
        <f t="array" ref="QN92">IFERROR(INDEX(ArchiveResults!$F$5:$IX$116,ComparisonData!A92,ComparisonData!$QN$1),0)</f>
        <v>0</v>
      </c>
      <c r="QO92" s="56">
        <v>87</v>
      </c>
      <c r="QP92" s="53" t="str">
        <f t="shared" si="702"/>
        <v>Tower Hamlets Local History Library and Archives</v>
      </c>
      <c r="QQ92" s="59">
        <f t="shared" si="988"/>
        <v>0</v>
      </c>
      <c r="QR92" s="59">
        <f t="shared" si="989"/>
        <v>0</v>
      </c>
      <c r="QS92" s="59">
        <f t="shared" si="990"/>
        <v>0</v>
      </c>
      <c r="QT92" s="59">
        <f t="shared" si="991"/>
        <v>0</v>
      </c>
      <c r="QU92" s="59">
        <f t="shared" si="992"/>
        <v>0</v>
      </c>
      <c r="QV92" s="58">
        <f t="shared" si="993"/>
        <v>0</v>
      </c>
      <c r="QW92" s="45">
        <f t="shared" si="994"/>
        <v>73</v>
      </c>
      <c r="QX92" s="45">
        <f t="shared" si="703"/>
        <v>2.7989999999999999</v>
      </c>
      <c r="QY92" s="45">
        <f t="shared" si="995"/>
        <v>1</v>
      </c>
      <c r="QZ92" s="45">
        <f t="shared" si="996"/>
        <v>2</v>
      </c>
      <c r="RA92" s="45">
        <f t="shared" si="997"/>
        <v>0</v>
      </c>
      <c r="RB92" s="46" cm="1">
        <f t="array" ref="RB92">ROUND(IFERROR(INDEX(ArchiveResults!$F$5:$IX$116,ComparisonData!A92,ComparisonData!$RB$1),0),5)</f>
        <v>0</v>
      </c>
      <c r="RC92" s="46" cm="1">
        <f t="array" ref="RC92">ROUND(IFERROR(INDEX(ArchiveResults!$F$5:$IX$116,ComparisonData!A92,ComparisonData!$RC$1),0),5)</f>
        <v>0</v>
      </c>
      <c r="RD92" s="46" cm="1">
        <f t="array" ref="RD92">ROUND(IFERROR(INDEX(ArchiveResults!$F$5:$IX$116,ComparisonData!A92,ComparisonData!$RD$1),0),5)</f>
        <v>0</v>
      </c>
      <c r="RE92" s="46" cm="1">
        <f t="array" ref="RE92">ROUND(IFERROR(INDEX(ArchiveResults!$F$5:$IX$116,ComparisonData!A92,ComparisonData!$RE$1),0),5)</f>
        <v>0</v>
      </c>
      <c r="RF92" s="45" cm="1">
        <f t="array" ref="RF92">IFERROR(INDEX(ArchiveResults!$F$5:$IX$116,ComparisonData!A92,ComparisonData!$RF$1),0)</f>
        <v>0</v>
      </c>
      <c r="RG92" s="56">
        <v>87</v>
      </c>
      <c r="RH92" s="53" t="str">
        <f t="shared" si="704"/>
        <v>Tower Hamlets Local History Library and Archives</v>
      </c>
      <c r="RI92" s="59">
        <f t="shared" si="998"/>
        <v>0</v>
      </c>
      <c r="RJ92" s="59">
        <f t="shared" si="999"/>
        <v>0</v>
      </c>
      <c r="RK92" s="59">
        <f t="shared" si="1000"/>
        <v>0</v>
      </c>
      <c r="RL92" s="59">
        <f t="shared" si="1001"/>
        <v>0</v>
      </c>
      <c r="RM92" s="59">
        <f t="shared" si="1002"/>
        <v>0</v>
      </c>
      <c r="RN92" s="58">
        <f t="shared" si="1003"/>
        <v>0</v>
      </c>
      <c r="RO92" s="45">
        <f t="shared" si="1004"/>
        <v>73</v>
      </c>
      <c r="RP92" s="45">
        <f t="shared" si="705"/>
        <v>2.7989999999999999</v>
      </c>
      <c r="RQ92" s="45">
        <f t="shared" si="1005"/>
        <v>1</v>
      </c>
      <c r="RR92" s="45">
        <f t="shared" si="1006"/>
        <v>2</v>
      </c>
      <c r="RS92" s="45">
        <f t="shared" si="1007"/>
        <v>0</v>
      </c>
      <c r="RT92" s="46" cm="1">
        <f t="array" ref="RT92">ROUND(IFERROR(INDEX(ArchiveResults!$F$5:$IX$116,ComparisonData!A92,ComparisonData!$RT$1),0),5)</f>
        <v>0</v>
      </c>
      <c r="RU92" s="46" cm="1">
        <f t="array" ref="RU92">ROUND(IFERROR(INDEX(ArchiveResults!$F$5:$IX$116,ComparisonData!A92,ComparisonData!$RU$1),0),5)</f>
        <v>0</v>
      </c>
      <c r="RV92" s="46" cm="1">
        <f t="array" ref="RV92">ROUND(IFERROR(INDEX(ArchiveResults!$F$5:$IX$116,ComparisonData!A92,ComparisonData!$RV$1),0),5)</f>
        <v>0</v>
      </c>
      <c r="RW92" s="46" cm="1">
        <f t="array" ref="RW92">ROUND(IFERROR(INDEX(ArchiveResults!$F$5:$IX$116,ComparisonData!A92,ComparisonData!$RW$1),0),5)</f>
        <v>0</v>
      </c>
      <c r="RX92" s="45" cm="1">
        <f t="array" ref="RX92">IFERROR(INDEX(ArchiveResults!$F$5:$IX$116,ComparisonData!A92,ComparisonData!$RX$1),0)</f>
        <v>0</v>
      </c>
      <c r="RY92" s="56">
        <v>87</v>
      </c>
      <c r="RZ92" s="53" t="str">
        <f t="shared" si="706"/>
        <v>Tower Hamlets Local History Library and Archives</v>
      </c>
      <c r="SA92" s="59">
        <f t="shared" si="1008"/>
        <v>0</v>
      </c>
      <c r="SB92" s="59">
        <f t="shared" si="1009"/>
        <v>0</v>
      </c>
      <c r="SC92" s="59">
        <f t="shared" si="1010"/>
        <v>0</v>
      </c>
      <c r="SD92" s="59">
        <f t="shared" si="1011"/>
        <v>0</v>
      </c>
      <c r="SE92" s="59">
        <f t="shared" si="1012"/>
        <v>0</v>
      </c>
      <c r="SF92" s="58">
        <f t="shared" si="1013"/>
        <v>0</v>
      </c>
      <c r="SG92" s="45">
        <f t="shared" si="1014"/>
        <v>73</v>
      </c>
      <c r="SH92" s="45">
        <f t="shared" si="707"/>
        <v>2.7989999999999999</v>
      </c>
      <c r="SI92" s="45">
        <f t="shared" si="1015"/>
        <v>1</v>
      </c>
      <c r="SJ92" s="45">
        <f t="shared" si="1016"/>
        <v>2</v>
      </c>
      <c r="SK92" s="45">
        <f t="shared" si="1017"/>
        <v>0</v>
      </c>
      <c r="SL92" s="46" cm="1">
        <f t="array" ref="SL92">ROUND(IFERROR(INDEX(ArchiveResults!$F$5:$IX$116,ComparisonData!A92,ComparisonData!$SL$1),0),5)</f>
        <v>0</v>
      </c>
      <c r="SM92" s="46" cm="1">
        <f t="array" ref="SM92">ROUND(IFERROR(INDEX(ArchiveResults!$F$5:$IX$116,ComparisonData!A92,ComparisonData!$SM$1),0),5)</f>
        <v>0</v>
      </c>
      <c r="SN92" s="46" cm="1">
        <f t="array" ref="SN92">ROUND(IFERROR(INDEX(ArchiveResults!$F$5:$IX$116,ComparisonData!A92,ComparisonData!$SN$1),0),5)</f>
        <v>0</v>
      </c>
      <c r="SO92" s="46" cm="1">
        <f t="array" ref="SO92">ROUND(IFERROR(INDEX(ArchiveResults!$F$5:$IX$116,ComparisonData!A92,ComparisonData!$SO$1),0),5)</f>
        <v>0</v>
      </c>
      <c r="SP92" s="45" cm="1">
        <f t="array" ref="SP92">IFERROR(INDEX(ArchiveResults!$F$5:$IX$116,ComparisonData!A92,ComparisonData!$SP$1),0)</f>
        <v>0</v>
      </c>
      <c r="SQ92" s="56">
        <v>87</v>
      </c>
      <c r="SR92" s="53" t="str">
        <f t="shared" si="708"/>
        <v>Tower Hamlets Local History Library and Archives</v>
      </c>
      <c r="SS92" s="59">
        <f t="shared" si="1018"/>
        <v>0</v>
      </c>
      <c r="ST92" s="59">
        <f t="shared" si="1019"/>
        <v>0</v>
      </c>
      <c r="SU92" s="59">
        <f t="shared" si="1020"/>
        <v>0</v>
      </c>
      <c r="SV92" s="59">
        <f t="shared" si="1021"/>
        <v>0</v>
      </c>
      <c r="SW92" s="59">
        <f t="shared" si="1022"/>
        <v>0</v>
      </c>
      <c r="SX92" s="58">
        <f t="shared" si="1023"/>
        <v>0</v>
      </c>
      <c r="SY92" s="45">
        <f t="shared" si="1024"/>
        <v>73</v>
      </c>
      <c r="SZ92" s="45">
        <f t="shared" si="709"/>
        <v>2.7989999999999999</v>
      </c>
      <c r="TA92" s="45">
        <f t="shared" si="1025"/>
        <v>1</v>
      </c>
      <c r="TB92" s="45">
        <f t="shared" si="1026"/>
        <v>2</v>
      </c>
      <c r="TC92" s="45">
        <f t="shared" si="1027"/>
        <v>0</v>
      </c>
      <c r="TD92" s="46" cm="1">
        <f t="array" ref="TD92">ROUND(IFERROR(INDEX(ArchiveResults!$F$5:$IX$116,ComparisonData!A92,ComparisonData!$TD$1),0),5)</f>
        <v>0</v>
      </c>
      <c r="TE92" s="46" cm="1">
        <f t="array" ref="TE92">ROUND(IFERROR(INDEX(ArchiveResults!$F$5:$IX$116,ComparisonData!A92,ComparisonData!$TE$1),0),5)</f>
        <v>0</v>
      </c>
      <c r="TF92" s="46" cm="1">
        <f t="array" ref="TF92">ROUND(IFERROR(INDEX(ArchiveResults!$F$5:$IX$116,ComparisonData!A92,ComparisonData!$TF$1),0),5)</f>
        <v>0</v>
      </c>
      <c r="TG92" s="46" cm="1">
        <f t="array" ref="TG92">ROUND(IFERROR(INDEX(ArchiveResults!$F$5:$IX$116,ComparisonData!A92,ComparisonData!$TG$1),0),5)</f>
        <v>0</v>
      </c>
      <c r="TH92" s="45" cm="1">
        <f t="array" ref="TH92">IFERROR(INDEX(ArchiveResults!$F$5:$IX$116,ComparisonData!A92,ComparisonData!$TH$1),0)</f>
        <v>0</v>
      </c>
      <c r="TI92" s="56">
        <v>87</v>
      </c>
      <c r="TJ92" s="53" t="str">
        <f t="shared" si="710"/>
        <v>Tower Hamlets Local History Library and Archives</v>
      </c>
      <c r="TK92" s="59">
        <f t="shared" si="1028"/>
        <v>0</v>
      </c>
      <c r="TL92" s="59">
        <f t="shared" si="1029"/>
        <v>0</v>
      </c>
      <c r="TM92" s="59">
        <f t="shared" si="1030"/>
        <v>0</v>
      </c>
      <c r="TN92" s="59">
        <f t="shared" si="1031"/>
        <v>0</v>
      </c>
      <c r="TO92" s="59">
        <f t="shared" si="1032"/>
        <v>0</v>
      </c>
      <c r="TP92" s="58">
        <f t="shared" si="1033"/>
        <v>0</v>
      </c>
      <c r="TQ92" s="45">
        <f t="shared" si="1034"/>
        <v>73</v>
      </c>
      <c r="TR92" s="45">
        <f t="shared" si="711"/>
        <v>2.7989999999999999</v>
      </c>
      <c r="TS92" s="45">
        <f t="shared" si="1035"/>
        <v>1</v>
      </c>
      <c r="TT92" s="45">
        <f t="shared" si="1036"/>
        <v>2</v>
      </c>
      <c r="TU92" s="45">
        <f t="shared" si="1037"/>
        <v>0</v>
      </c>
      <c r="TV92" s="46" cm="1">
        <f t="array" ref="TV92">ROUND(IFERROR(INDEX(ArchiveResults!$F$5:$IX$116,ComparisonData!A92,ComparisonData!$TV$1),0),5)</f>
        <v>0</v>
      </c>
      <c r="TW92" s="46" cm="1">
        <f t="array" ref="TW92">ROUND(IFERROR(INDEX(ArchiveResults!$F$5:$IX$116,ComparisonData!A92,ComparisonData!$TW$1),0),5)</f>
        <v>0</v>
      </c>
      <c r="TX92" s="46" cm="1">
        <f t="array" ref="TX92">ROUND(IFERROR(INDEX(ArchiveResults!$F$5:$IX$116,ComparisonData!A92,ComparisonData!$TX$1),0),5)</f>
        <v>0</v>
      </c>
      <c r="TY92" s="46" cm="1">
        <f t="array" ref="TY92">ROUND(IFERROR(INDEX(ArchiveResults!$F$5:$IX$116,ComparisonData!A92,ComparisonData!$TY$1),0),5)</f>
        <v>0</v>
      </c>
      <c r="TZ92" s="45" cm="1">
        <f t="array" ref="TZ92">IFERROR(INDEX(ArchiveResults!$F$5:$IX$116,ComparisonData!A92,ComparisonData!$TZ$1),0)</f>
        <v>0</v>
      </c>
      <c r="UA92" s="56">
        <v>87</v>
      </c>
      <c r="UB92" s="53" t="str">
        <f t="shared" si="712"/>
        <v>Tower Hamlets Local History Library and Archives</v>
      </c>
      <c r="UC92" s="60">
        <f t="shared" si="1038"/>
        <v>0</v>
      </c>
      <c r="UD92" s="60">
        <f t="shared" si="1039"/>
        <v>0</v>
      </c>
      <c r="UE92" s="60">
        <f t="shared" si="1040"/>
        <v>0</v>
      </c>
      <c r="UF92" s="60">
        <f t="shared" si="1041"/>
        <v>0</v>
      </c>
      <c r="UG92" s="60">
        <f t="shared" si="1042"/>
        <v>0</v>
      </c>
      <c r="UH92" s="58">
        <f t="shared" si="1043"/>
        <v>0</v>
      </c>
      <c r="UI92" s="46">
        <f t="shared" si="1044"/>
        <v>73</v>
      </c>
      <c r="UJ92" s="46">
        <f t="shared" si="713"/>
        <v>2.7989999999999999</v>
      </c>
      <c r="UK92" s="46">
        <f t="shared" si="1045"/>
        <v>1</v>
      </c>
      <c r="UL92" s="46">
        <f t="shared" si="1046"/>
        <v>2</v>
      </c>
      <c r="UM92" s="46" cm="1">
        <f t="array" ref="UM92">ROUND(IFERROR(INDEX(ArchiveResults!$F$5:$IX$116,ComparisonData!A92,ComparisonData!$UM$1),0),5)</f>
        <v>0</v>
      </c>
      <c r="UN92" s="56">
        <v>87</v>
      </c>
      <c r="UO92" s="53" t="str">
        <f t="shared" si="714"/>
        <v>Tower Hamlets Local History Library and Archives</v>
      </c>
      <c r="UP92" s="46">
        <f t="shared" si="1047"/>
        <v>0</v>
      </c>
      <c r="UQ92" s="76">
        <f t="shared" si="1048"/>
        <v>0</v>
      </c>
      <c r="UR92" s="46">
        <f t="shared" si="1049"/>
        <v>73</v>
      </c>
      <c r="US92" s="46">
        <f t="shared" si="715"/>
        <v>2.7989999999999999</v>
      </c>
      <c r="UT92" s="46">
        <f t="shared" si="1050"/>
        <v>1</v>
      </c>
      <c r="UU92" s="46">
        <f t="shared" si="1051"/>
        <v>2</v>
      </c>
      <c r="UV92" s="46">
        <f t="shared" si="1052"/>
        <v>0</v>
      </c>
      <c r="UW92" s="46" cm="1">
        <f t="array" ref="UW92">ROUND(IFERROR(INDEX(ArchiveResults!$F$5:$IX$116,ComparisonData!A92,ComparisonData!$UW$1),0),5)</f>
        <v>0</v>
      </c>
      <c r="UX92" s="46" cm="1">
        <f t="array" ref="UX92">ROUND(IFERROR(INDEX(ArchiveResults!$F$5:$IX$116,ComparisonData!A92,ComparisonData!$UX$1),0),5)</f>
        <v>0</v>
      </c>
      <c r="UY92" s="46" cm="1">
        <f t="array" ref="UY92">ROUND(IFERROR(INDEX(ArchiveResults!$F$5:$IX$116,ComparisonData!A92,ComparisonData!$UY$1),0),5)</f>
        <v>0</v>
      </c>
      <c r="UZ92" s="46" cm="1">
        <f t="array" ref="UZ92">ROUND(IFERROR(INDEX(ArchiveResults!$F$5:$IX$116,ComparisonData!A92,ComparisonData!$UZ$1),0),5)</f>
        <v>0</v>
      </c>
      <c r="VA92" s="46" cm="1">
        <f t="array" ref="VA92">ROUND(IFERROR(INDEX(ArchiveResults!$F$5:$IX$116,ComparisonData!A92,ComparisonData!$VA$1),0),5)</f>
        <v>0</v>
      </c>
      <c r="VB92" s="56">
        <v>87</v>
      </c>
      <c r="VC92" s="53" t="str">
        <f t="shared" si="716"/>
        <v>Tower Hamlets Local History Library and Archives</v>
      </c>
      <c r="VD92" s="60">
        <f t="shared" si="1053"/>
        <v>0</v>
      </c>
      <c r="VE92" s="60">
        <f t="shared" si="1054"/>
        <v>0</v>
      </c>
      <c r="VF92" s="60">
        <f t="shared" si="1055"/>
        <v>0</v>
      </c>
      <c r="VG92" s="60">
        <f t="shared" si="1056"/>
        <v>0</v>
      </c>
      <c r="VH92" s="60">
        <f t="shared" si="1057"/>
        <v>0</v>
      </c>
      <c r="VI92" s="76">
        <f t="shared" si="1058"/>
        <v>0</v>
      </c>
      <c r="VJ92" s="46">
        <f t="shared" si="1059"/>
        <v>73</v>
      </c>
      <c r="VK92" s="46">
        <f t="shared" si="717"/>
        <v>2.7989999999999999</v>
      </c>
      <c r="VL92" s="46">
        <f t="shared" si="1060"/>
        <v>1</v>
      </c>
      <c r="VM92" s="46">
        <f t="shared" si="1061"/>
        <v>2</v>
      </c>
      <c r="VN92" s="46" cm="1">
        <f t="array" ref="VN92">ROUND(IFERROR(INDEX(ArchiveResults!$F$5:$IX$116,ComparisonData!A92,ComparisonData!$VN$1),0),5)</f>
        <v>0</v>
      </c>
      <c r="VO92" s="46" cm="1">
        <f t="array" ref="VO92">ROUND(IFERROR(INDEX(ArchiveResults!$F$5:$IX$116,ComparisonData!A92,ComparisonData!$VO$1),0),5)</f>
        <v>0</v>
      </c>
      <c r="VP92" s="46" cm="1">
        <f t="array" ref="VP92">ROUND(IFERROR(INDEX(ArchiveResults!$F$5:$IX$116,ComparisonData!A92,ComparisonData!$VP$1),0),5)</f>
        <v>0</v>
      </c>
      <c r="VQ92" s="46" cm="1">
        <f t="array" ref="VQ92">ROUND(IFERROR(INDEX(ArchiveResults!$F$5:$IX$116,ComparisonData!A92,ComparisonData!$VQ$1),0),5)</f>
        <v>0</v>
      </c>
      <c r="VR92" s="56">
        <v>87</v>
      </c>
      <c r="VS92" s="53" t="str">
        <f t="shared" si="718"/>
        <v>Tower Hamlets Local History Library and Archives</v>
      </c>
      <c r="VT92" s="60">
        <f t="shared" si="1062"/>
        <v>0</v>
      </c>
      <c r="VU92" s="60">
        <f t="shared" si="1063"/>
        <v>0</v>
      </c>
      <c r="VV92" s="60">
        <f t="shared" si="1064"/>
        <v>0</v>
      </c>
      <c r="VW92" s="60">
        <f t="shared" si="1065"/>
        <v>0</v>
      </c>
      <c r="VX92" s="76">
        <f t="shared" si="1066"/>
        <v>0</v>
      </c>
      <c r="VY92" s="46">
        <f t="shared" si="1067"/>
        <v>73</v>
      </c>
      <c r="VZ92" s="46">
        <f t="shared" si="719"/>
        <v>2.7989999999999999</v>
      </c>
      <c r="WA92" s="46">
        <f t="shared" si="1068"/>
        <v>1</v>
      </c>
      <c r="WB92" s="46">
        <f t="shared" si="1069"/>
        <v>2</v>
      </c>
      <c r="WC92" s="46" cm="1">
        <f t="array" ref="WC92">ROUND(IFERROR(INDEX(ArchiveResults!$F$5:$IX$116,ComparisonData!A92,ComparisonData!$WC$1),0),5)</f>
        <v>0</v>
      </c>
      <c r="WD92" s="56">
        <v>87</v>
      </c>
      <c r="WE92" s="53" t="str">
        <f t="shared" si="720"/>
        <v>Tower Hamlets Local History Library and Archives</v>
      </c>
      <c r="WF92" s="46">
        <f t="shared" si="1070"/>
        <v>0</v>
      </c>
      <c r="WG92" s="76">
        <f t="shared" si="1071"/>
        <v>0</v>
      </c>
      <c r="WH92" s="46">
        <f t="shared" si="1072"/>
        <v>73</v>
      </c>
      <c r="WI92" s="46">
        <f t="shared" si="721"/>
        <v>2.7989999999999999</v>
      </c>
      <c r="WJ92" s="46">
        <f t="shared" si="1073"/>
        <v>1</v>
      </c>
      <c r="WK92" s="46">
        <f t="shared" si="1074"/>
        <v>2</v>
      </c>
      <c r="WL92" s="46" cm="1">
        <f t="array" ref="WL92">ROUND(IFERROR(INDEX(ArchiveResults!$F$5:$IX$116,ComparisonData!A92,ComparisonData!$WL$1),0),5)</f>
        <v>0</v>
      </c>
      <c r="WM92" s="46" cm="1">
        <f t="array" ref="WM92">IFERROR(INDEX(ArchiveResults!$F$5:$IX$116,ComparisonData!A92,ComparisonData!$WM$1),0)</f>
        <v>0</v>
      </c>
      <c r="WN92" s="56">
        <v>87</v>
      </c>
      <c r="WO92" s="53" t="str">
        <f t="shared" si="722"/>
        <v>Tower Hamlets Local History Library and Archives</v>
      </c>
      <c r="WP92" s="60">
        <f t="shared" si="1075"/>
        <v>0</v>
      </c>
      <c r="WQ92" s="60">
        <f t="shared" si="1076"/>
        <v>0</v>
      </c>
      <c r="WR92" s="76">
        <f t="shared" si="1077"/>
        <v>0</v>
      </c>
      <c r="WS92" s="46">
        <f t="shared" si="1078"/>
        <v>73</v>
      </c>
      <c r="WT92" s="46">
        <f t="shared" si="723"/>
        <v>2.7989999999999999</v>
      </c>
      <c r="WU92" s="46">
        <f t="shared" si="1079"/>
        <v>1</v>
      </c>
      <c r="WV92" s="46">
        <f t="shared" si="1080"/>
        <v>2</v>
      </c>
      <c r="WW92" s="46" cm="1">
        <f t="array" ref="WW92">ROUND(VALUE(IFERROR(INDEX(ArchiveResults!$F$5:$IX$116,ComparisonData!A92,ComparisonData!$WW$1),0)),5)</f>
        <v>0</v>
      </c>
      <c r="WX92" s="46" cm="1">
        <f t="array" ref="WX92">ROUND(IFERROR(INDEX(ArchiveResults!$F$5:$IX$116,ComparisonData!A92,ComparisonData!$WX$1),0),5)</f>
        <v>0</v>
      </c>
      <c r="WY92" s="56">
        <v>87</v>
      </c>
      <c r="WZ92" s="53" t="str">
        <f t="shared" si="724"/>
        <v>Tower Hamlets Local History Library and Archives</v>
      </c>
      <c r="XA92" s="60">
        <f t="shared" si="725"/>
        <v>0</v>
      </c>
      <c r="XB92" s="60">
        <f t="shared" si="726"/>
        <v>0</v>
      </c>
      <c r="XC92" s="76">
        <f t="shared" si="1081"/>
        <v>0</v>
      </c>
      <c r="XD92" s="46">
        <f t="shared" si="1082"/>
        <v>73</v>
      </c>
      <c r="XE92" s="46">
        <f t="shared" si="727"/>
        <v>2.7989999999999999</v>
      </c>
      <c r="XF92" s="46">
        <f t="shared" si="1083"/>
        <v>1</v>
      </c>
      <c r="XG92" s="46">
        <f t="shared" si="1084"/>
        <v>2</v>
      </c>
      <c r="XH92" s="46" cm="1">
        <f t="array" ref="XH92">ROUND(VALUE(IFERROR(INDEX(ArchiveResults!$F$5:$IX$116,ComparisonData!A92,ComparisonData!$XH$1),0)),5)</f>
        <v>0</v>
      </c>
      <c r="XI92" s="46" cm="1">
        <f t="array" ref="XI92">ROUND(VALUE(IFERROR(INDEX(ArchiveResults!$F$5:$IX$116,ComparisonData!A92,ComparisonData!$XI$1),0)),5)</f>
        <v>0</v>
      </c>
      <c r="XJ92" s="56">
        <v>87</v>
      </c>
      <c r="XK92" s="53" t="str">
        <f t="shared" si="728"/>
        <v>Tower Hamlets Local History Library and Archives</v>
      </c>
      <c r="XL92" s="60">
        <f t="shared" si="1085"/>
        <v>0</v>
      </c>
      <c r="XM92" s="60">
        <f t="shared" si="1086"/>
        <v>0</v>
      </c>
      <c r="XN92" s="76">
        <f t="shared" si="1087"/>
        <v>0</v>
      </c>
      <c r="XO92" s="46">
        <f t="shared" si="1088"/>
        <v>73</v>
      </c>
      <c r="XP92" s="46">
        <f t="shared" si="729"/>
        <v>2.7989999999999999</v>
      </c>
      <c r="XQ92" s="46">
        <f t="shared" si="1089"/>
        <v>1</v>
      </c>
      <c r="XR92" s="46">
        <f t="shared" si="1090"/>
        <v>2</v>
      </c>
      <c r="XS92" s="46" cm="1">
        <f t="array" ref="XS92">ROUND(VALUE(IFERROR(INDEX(ArchiveResults!$F$5:$IX$116,ComparisonData!A92,ComparisonData!$XS$1),0)),5)</f>
        <v>0</v>
      </c>
      <c r="XT92" s="46" cm="1">
        <f t="array" ref="XT92">ROUND(VALUE(IFERROR(INDEX(ArchiveResults!$F$5:$IX$116,ComparisonData!A92,ComparisonData!$XT$1),0)),5)</f>
        <v>0</v>
      </c>
      <c r="XU92" s="56">
        <v>87</v>
      </c>
      <c r="XV92" s="53" t="str">
        <f t="shared" si="730"/>
        <v>Tower Hamlets Local History Library and Archives</v>
      </c>
      <c r="XW92" s="60">
        <f t="shared" si="1091"/>
        <v>0</v>
      </c>
      <c r="XX92" s="60">
        <f t="shared" si="1092"/>
        <v>0</v>
      </c>
      <c r="XY92" s="76">
        <f t="shared" si="1093"/>
        <v>0</v>
      </c>
      <c r="XZ92" s="46">
        <f t="shared" si="1094"/>
        <v>73</v>
      </c>
      <c r="YA92" s="46">
        <f t="shared" si="731"/>
        <v>2.7989999999999999</v>
      </c>
      <c r="YB92" s="46">
        <f t="shared" si="1095"/>
        <v>1</v>
      </c>
      <c r="YC92" s="46">
        <f t="shared" si="1096"/>
        <v>2</v>
      </c>
      <c r="YD92" s="46" cm="1">
        <f t="array" ref="YD92">ROUND(VALUE(IFERROR(INDEX(ArchiveResults!$F$5:$IX$116,ComparisonData!A92,ComparisonData!$YD$1),0)),5)</f>
        <v>0</v>
      </c>
      <c r="YE92" s="46" cm="1">
        <f t="array" ref="YE92">ROUND(VALUE(IFERROR(INDEX(ArchiveResults!$F$5:$IX$116,ComparisonData!A92,ComparisonData!$YE$1),0)),5)</f>
        <v>0</v>
      </c>
      <c r="YF92" s="56">
        <v>87</v>
      </c>
      <c r="YG92" s="53" t="str">
        <f t="shared" si="732"/>
        <v>Tower Hamlets Local History Library and Archives</v>
      </c>
      <c r="YH92" s="60">
        <f t="shared" si="1097"/>
        <v>0</v>
      </c>
      <c r="YI92" s="60">
        <f t="shared" si="1098"/>
        <v>0</v>
      </c>
      <c r="YJ92" s="76">
        <f t="shared" si="1099"/>
        <v>0</v>
      </c>
      <c r="YK92" s="46">
        <f t="shared" si="1100"/>
        <v>73</v>
      </c>
      <c r="YL92" s="46">
        <f t="shared" si="733"/>
        <v>2.7989999999999999</v>
      </c>
      <c r="YM92" s="46">
        <f t="shared" si="1101"/>
        <v>1</v>
      </c>
      <c r="YN92" s="46">
        <f t="shared" si="1102"/>
        <v>2</v>
      </c>
      <c r="YO92" s="46" cm="1">
        <f t="array" ref="YO92">ROUND(VALUE(IFERROR(INDEX(ArchiveResults!$F$5:$IX$116,ComparisonData!A92,ComparisonData!$YO$1),0)),5)</f>
        <v>0</v>
      </c>
      <c r="YP92" s="46" cm="1">
        <f t="array" ref="YP92">ROUND(VALUE(IFERROR(INDEX(ArchiveResults!$F$5:$IX$116,ComparisonData!A92,ComparisonData!$YP$1),0)),5)</f>
        <v>0</v>
      </c>
      <c r="YQ92" s="56">
        <v>87</v>
      </c>
      <c r="YR92" s="53" t="str">
        <f t="shared" si="734"/>
        <v>Tower Hamlets Local History Library and Archives</v>
      </c>
      <c r="YS92" s="60">
        <f t="shared" si="1103"/>
        <v>0</v>
      </c>
      <c r="YT92" s="60">
        <f t="shared" si="1104"/>
        <v>0</v>
      </c>
      <c r="YU92" s="76">
        <f t="shared" si="1105"/>
        <v>0</v>
      </c>
      <c r="YV92" s="46">
        <f t="shared" si="1106"/>
        <v>73</v>
      </c>
      <c r="YW92" s="46">
        <f t="shared" si="735"/>
        <v>2.7989999999999999</v>
      </c>
      <c r="YX92" s="46">
        <f t="shared" si="1107"/>
        <v>1</v>
      </c>
      <c r="YY92" s="46">
        <f t="shared" si="1108"/>
        <v>2</v>
      </c>
      <c r="YZ92" s="46">
        <f t="shared" si="1109"/>
        <v>0</v>
      </c>
      <c r="ZA92" s="46" cm="1">
        <f t="array" ref="ZA92">ROUNDDOWN(VALUE(IFERROR(INDEX(ArchiveResults!$F$5:$IX$116,ComparisonData!A92,ComparisonData!$ZA$1),0)),5)</f>
        <v>0</v>
      </c>
      <c r="ZB92" s="46" cm="1">
        <f t="array" ref="ZB92">ROUNDDOWN(VALUE(IFERROR(INDEX(ArchiveResults!$F$5:$IX$116,ComparisonData!A92,ComparisonData!$ZB$1),0)),5)</f>
        <v>0</v>
      </c>
      <c r="ZC92" s="46" cm="1">
        <f t="array" ref="ZC92">ROUNDDOWN(VALUE(IFERROR(INDEX(ArchiveResults!$F$5:$IX$116,ComparisonData!A92,ComparisonData!$ZC$1),0)),5)</f>
        <v>0</v>
      </c>
      <c r="ZD92" s="46" cm="1">
        <f t="array" ref="ZD92">ROUNDDOWN(VALUE(IFERROR(INDEX(ArchiveResults!$F$5:$IX$116,ComparisonData!A92,ComparisonData!$ZD$1),0)),5)</f>
        <v>0</v>
      </c>
      <c r="ZE92" s="46" cm="1">
        <f t="array" ref="ZE92">ROUNDDOWN(VALUE(IFERROR(INDEX(ArchiveResults!$F$5:$IX$116,ComparisonData!A92,ComparisonData!$ZE$1),0)),5)</f>
        <v>0</v>
      </c>
      <c r="ZF92" s="56">
        <v>87</v>
      </c>
      <c r="ZG92" s="53" t="str">
        <f t="shared" si="736"/>
        <v>Tower Hamlets Local History Library and Archives</v>
      </c>
      <c r="ZH92" s="60">
        <f t="shared" si="1110"/>
        <v>0</v>
      </c>
      <c r="ZI92" s="60">
        <f t="shared" si="1111"/>
        <v>0</v>
      </c>
      <c r="ZJ92" s="60">
        <f t="shared" si="1112"/>
        <v>0</v>
      </c>
      <c r="ZK92" s="60">
        <f t="shared" si="1113"/>
        <v>0</v>
      </c>
      <c r="ZL92" s="60">
        <f t="shared" si="1114"/>
        <v>0</v>
      </c>
      <c r="ZM92" s="76">
        <f t="shared" si="1115"/>
        <v>0</v>
      </c>
      <c r="ZN92" s="46">
        <f t="shared" si="1116"/>
        <v>73</v>
      </c>
      <c r="ZO92" s="46">
        <f t="shared" si="737"/>
        <v>2.7989999999999999</v>
      </c>
      <c r="ZP92" s="46">
        <f t="shared" si="1117"/>
        <v>1</v>
      </c>
      <c r="ZQ92" s="46">
        <f t="shared" si="1118"/>
        <v>2</v>
      </c>
      <c r="ZR92" s="46" cm="1">
        <f t="array" ref="ZR92">ROUND(VALUE(IFERROR(INDEX(ArchiveResults!$F$5:$IX$116,ComparisonData!A92,ComparisonData!$ZR$1),0)),5)</f>
        <v>0</v>
      </c>
      <c r="ZS92" s="56">
        <v>87</v>
      </c>
      <c r="ZT92" s="53" t="str">
        <f t="shared" si="738"/>
        <v>Tower Hamlets Local History Library and Archives</v>
      </c>
      <c r="ZU92" s="46">
        <f t="shared" si="1119"/>
        <v>0</v>
      </c>
      <c r="ZV92" s="76">
        <f t="shared" si="1120"/>
        <v>0</v>
      </c>
      <c r="ZW92" s="81" cm="1">
        <f t="array" ref="ZW92">ROUND((IFERROR(INDEX(ArchiveResults!$F$5:$IX$116,ComparisonData!A92,ComparisonData!$ZW$1),0)),5)</f>
        <v>0</v>
      </c>
      <c r="ZX92" s="81" cm="1">
        <f t="array" ref="ZX92">ROUND((IFERROR(INDEX(ArchiveResults!$F$5:$IX$116,ComparisonData!A92,ComparisonData!$ZX$1),0)),5)</f>
        <v>0</v>
      </c>
      <c r="ZY92" s="81" cm="1">
        <f t="array" ref="ZY92">ROUND((IFERROR(INDEX(ArchiveResults!$F$5:$IX$116,ComparisonData!A92,ComparisonData!$ZY$1),0)),5)</f>
        <v>0</v>
      </c>
      <c r="ZZ92" s="81" cm="1">
        <f t="array" ref="ZZ92">ROUND((IFERROR(INDEX(ArchiveResults!$F$5:$IX$116,ComparisonData!A92,ComparisonData!$ZZ$1),0)),5)</f>
        <v>0</v>
      </c>
      <c r="AAA92" s="81" cm="1">
        <f t="array" ref="AAA92">ROUND((IFERROR(INDEX(ArchiveResults!$F$5:$IX$116,ComparisonData!A92,ComparisonData!$AAA$1),0)),5)</f>
        <v>0</v>
      </c>
      <c r="AAB92" s="81" cm="1">
        <f t="array" ref="AAB92">ROUND((IFERROR(INDEX(ArchiveResults!$F$5:$IX$116,ComparisonData!A92,ComparisonData!$AAB$1),0)),5)</f>
        <v>0</v>
      </c>
      <c r="AAC92" s="81" cm="1">
        <f t="array" ref="AAC92">ROUND((IFERROR(INDEX(ArchiveResults!$F$5:$IX$116,ComparisonData!A92,ComparisonData!$AAC$1),0)),5)</f>
        <v>0</v>
      </c>
      <c r="AAD92" s="81" cm="1">
        <f t="array" ref="AAD92">ROUND((IFERROR(INDEX(ArchiveResults!$F$5:$IX$116,ComparisonData!A92,ComparisonData!$AAD$1),0)),5)</f>
        <v>0</v>
      </c>
      <c r="AAE92" s="81" cm="1">
        <f t="array" ref="AAE92">ROUND((IFERROR(INDEX(ArchiveResults!$F$5:$IX$116,ComparisonData!A92,ComparisonData!$AAE$1),0)),5)</f>
        <v>0</v>
      </c>
      <c r="AAF92" s="81" cm="1">
        <f t="array" ref="AAF92">ROUND((IFERROR(INDEX(ArchiveResults!$F$5:$IX$116,ComparisonData!A92,ComparisonData!$AAF$1),0)),5)</f>
        <v>0</v>
      </c>
      <c r="AAG92" s="46">
        <f t="shared" si="1121"/>
        <v>73</v>
      </c>
      <c r="AAH92" s="46">
        <f t="shared" si="739"/>
        <v>2.7989999999999999</v>
      </c>
      <c r="AAI92" s="46">
        <f t="shared" si="1122"/>
        <v>1</v>
      </c>
      <c r="AAJ92" s="46">
        <f t="shared" si="1123"/>
        <v>2</v>
      </c>
      <c r="AAK92" s="46">
        <f t="shared" si="1124"/>
        <v>0</v>
      </c>
      <c r="AAL92" s="46">
        <f t="shared" si="1125"/>
        <v>0</v>
      </c>
      <c r="AAM92" s="46">
        <f t="shared" si="1126"/>
        <v>0</v>
      </c>
      <c r="AAN92" s="46">
        <f t="shared" si="1127"/>
        <v>0</v>
      </c>
      <c r="AAO92" s="46">
        <f t="shared" si="1128"/>
        <v>0</v>
      </c>
      <c r="AAP92" s="46">
        <f t="shared" si="1129"/>
        <v>0</v>
      </c>
      <c r="AAQ92" s="56">
        <v>87</v>
      </c>
      <c r="AAR92" s="53" t="str">
        <f t="shared" si="740"/>
        <v>Tower Hamlets Local History Library and Archives</v>
      </c>
      <c r="AAS92" s="60">
        <f t="shared" si="1130"/>
        <v>0</v>
      </c>
      <c r="AAT92" s="60">
        <f t="shared" si="1131"/>
        <v>0</v>
      </c>
      <c r="AAU92" s="60">
        <f t="shared" si="1132"/>
        <v>0</v>
      </c>
      <c r="AAV92" s="60">
        <f t="shared" si="1133"/>
        <v>0</v>
      </c>
      <c r="AAW92" s="60">
        <f t="shared" si="1134"/>
        <v>0</v>
      </c>
      <c r="AAX92" s="76">
        <f t="shared" si="1135"/>
        <v>0</v>
      </c>
      <c r="AAY92" s="46">
        <f t="shared" si="1136"/>
        <v>73</v>
      </c>
      <c r="AAZ92" s="46">
        <f t="shared" si="741"/>
        <v>2.7989999999999999</v>
      </c>
      <c r="ABA92" s="46">
        <f t="shared" si="1137"/>
        <v>1</v>
      </c>
      <c r="ABB92" s="46">
        <f t="shared" si="1138"/>
        <v>2</v>
      </c>
      <c r="ABC92" s="46">
        <f t="shared" si="742"/>
        <v>0</v>
      </c>
      <c r="ABD92" s="46" cm="1">
        <f t="array" ref="ABD92">ROUND(VALUE(IFERROR(INDEX(ArchiveResults!$F$5:$IX$116,ComparisonData!A92,ComparisonData!$ABD$1),0)),5)</f>
        <v>0</v>
      </c>
      <c r="ABE92" s="46" cm="1">
        <f t="array" ref="ABE92">ROUND(VALUE(IFERROR(INDEX(ArchiveResults!$F$5:$IX$116,ComparisonData!A92,ComparisonData!$ABE$1),0)),5)</f>
        <v>0</v>
      </c>
      <c r="ABF92" s="46" cm="1">
        <f t="array" ref="ABF92">ROUND(VALUE(IFERROR(INDEX(ArchiveResults!$F$5:$IX$116,ComparisonData!A92,ComparisonData!$ABF$1),0)),5)</f>
        <v>0</v>
      </c>
      <c r="ABG92" s="46" cm="1">
        <f t="array" ref="ABG92">ROUND(VALUE(IFERROR(INDEX(ArchiveResults!$F$5:$IX$116,ComparisonData!A92,ComparisonData!$ABG$1),0)),5)</f>
        <v>0</v>
      </c>
      <c r="ABH92" s="46" cm="1">
        <f t="array" ref="ABH92">ROUND(VALUE(IFERROR(INDEX(ArchiveResults!$F$5:$IX$116,ComparisonData!A92,ComparisonData!$ABH$1),0)),5)</f>
        <v>0</v>
      </c>
      <c r="ABI92" s="56">
        <v>87</v>
      </c>
      <c r="ABJ92" s="53" t="str">
        <f t="shared" si="743"/>
        <v>Tower Hamlets Local History Library and Archives</v>
      </c>
      <c r="ABK92" s="60">
        <f t="shared" si="1139"/>
        <v>0</v>
      </c>
      <c r="ABL92" s="60">
        <f t="shared" si="1140"/>
        <v>0</v>
      </c>
      <c r="ABM92" s="60">
        <f t="shared" si="1141"/>
        <v>0</v>
      </c>
      <c r="ABN92" s="60">
        <f t="shared" si="1142"/>
        <v>0</v>
      </c>
      <c r="ABO92" s="60">
        <f t="shared" si="1143"/>
        <v>0</v>
      </c>
      <c r="ABP92" s="76">
        <f t="shared" si="1144"/>
        <v>0</v>
      </c>
      <c r="ABQ92" s="46">
        <f t="shared" si="1145"/>
        <v>73</v>
      </c>
      <c r="ABR92" s="46">
        <f t="shared" si="744"/>
        <v>2.7989999999999999</v>
      </c>
      <c r="ABS92" s="46">
        <f t="shared" si="1146"/>
        <v>1</v>
      </c>
      <c r="ABT92" s="46">
        <f t="shared" si="1147"/>
        <v>2</v>
      </c>
      <c r="ABU92" s="46" cm="1">
        <f t="array" ref="ABU92">ROUND(VALUE(IFERROR(INDEX(ArchiveResults!$F$5:$IX$116,ComparisonData!A92,ComparisonData!$ABU$1),0)),5)</f>
        <v>0</v>
      </c>
      <c r="ABV92" s="46" cm="1">
        <f t="array" ref="ABV92">ROUND(VALUE(IFERROR(INDEX(ArchiveResults!$F$5:$IX$116,ComparisonData!A92,ComparisonData!$ABV$1),0)),5)</f>
        <v>0</v>
      </c>
      <c r="ABW92" s="46" cm="1">
        <f t="array" ref="ABW92">ROUND(VALUE(IFERROR(INDEX(ArchiveResults!$F$5:$IX$116,ComparisonData!A92,ComparisonData!$ABW$1),0)),5)</f>
        <v>0</v>
      </c>
      <c r="ABX92" s="46" cm="1">
        <f t="array" ref="ABX92">ROUND(VALUE(IFERROR(INDEX(ArchiveResults!$F$5:$IX$116,ComparisonData!A92,ComparisonData!$ABX$1),0)),5)</f>
        <v>0</v>
      </c>
      <c r="ABY92" s="46" cm="1">
        <f t="array" ref="ABY92">ROUND(VALUE(IFERROR(INDEX(ArchiveResults!$F$5:$IX$116,ComparisonData!A92,ComparisonData!$ABY$1),0)),5)</f>
        <v>0</v>
      </c>
      <c r="ABZ92" s="56">
        <v>87</v>
      </c>
      <c r="ACA92" s="53" t="str">
        <f t="shared" si="745"/>
        <v>Tower Hamlets Local History Library and Archives</v>
      </c>
      <c r="ACB92" s="60">
        <f t="shared" si="1148"/>
        <v>0</v>
      </c>
      <c r="ACC92" s="60">
        <f t="shared" si="1149"/>
        <v>0</v>
      </c>
      <c r="ACD92" s="60">
        <f t="shared" si="1150"/>
        <v>0</v>
      </c>
      <c r="ACE92" s="60">
        <f t="shared" si="1151"/>
        <v>0</v>
      </c>
      <c r="ACF92" s="60">
        <f t="shared" si="1152"/>
        <v>0</v>
      </c>
      <c r="ACG92" s="76">
        <f t="shared" si="1153"/>
        <v>0</v>
      </c>
      <c r="ACH92" s="46">
        <f t="shared" si="1154"/>
        <v>73</v>
      </c>
      <c r="ACI92" s="46">
        <f t="shared" si="746"/>
        <v>2.7989999999999999</v>
      </c>
      <c r="ACJ92" s="46">
        <f t="shared" si="1155"/>
        <v>1</v>
      </c>
      <c r="ACK92" s="46">
        <f t="shared" si="1156"/>
        <v>2</v>
      </c>
      <c r="ACL92" s="46">
        <f t="shared" si="1157"/>
        <v>0</v>
      </c>
      <c r="ACM92" s="46" cm="1">
        <f t="array" ref="ACM92">ROUND(IFERROR(INDEX(ArchiveResults!$F$5:$IX$116,ComparisonData!A92,ComparisonData!$ACM$1),0),5)</f>
        <v>0</v>
      </c>
      <c r="ACN92" s="46" cm="1">
        <f t="array" ref="ACN92">ROUND(IFERROR(INDEX(ArchiveResults!$F$5:$IX$116,ComparisonData!A92,ComparisonData!$ACN$1),0),5)</f>
        <v>0</v>
      </c>
      <c r="ACO92" s="56">
        <v>87</v>
      </c>
      <c r="ACP92" s="53" t="str">
        <f t="shared" si="747"/>
        <v>Tower Hamlets Local History Library and Archives</v>
      </c>
      <c r="ACQ92" s="60">
        <f t="shared" si="1158"/>
        <v>0</v>
      </c>
      <c r="ACR92" s="60">
        <f t="shared" si="1159"/>
        <v>0</v>
      </c>
      <c r="ACS92" s="76">
        <f t="shared" si="1160"/>
        <v>0</v>
      </c>
      <c r="ACT92" s="46">
        <f t="shared" si="1161"/>
        <v>73</v>
      </c>
      <c r="ACU92" s="46">
        <f t="shared" si="748"/>
        <v>2.7989999999999999</v>
      </c>
      <c r="ACV92" s="46">
        <f t="shared" si="1162"/>
        <v>1</v>
      </c>
      <c r="ACW92" s="46">
        <f t="shared" si="1163"/>
        <v>2</v>
      </c>
      <c r="ACX92" s="46">
        <f t="shared" si="1164"/>
        <v>0</v>
      </c>
      <c r="ACY92" s="46" cm="1">
        <f t="array" ref="ACY92">ROUNDDOWN(IFERROR(INDEX(ArchiveResults!$F$5:$IX$116,ComparisonData!A92,ComparisonData!$ACY$1),0),5)</f>
        <v>0</v>
      </c>
      <c r="ACZ92" s="46" cm="1">
        <f t="array" ref="ACZ92">ROUNDDOWN(IFERROR(INDEX(ArchiveResults!$F$5:$IX$116,ComparisonData!A92,ComparisonData!$ACZ$1),0),5)</f>
        <v>0</v>
      </c>
      <c r="ADA92" s="46" cm="1">
        <f t="array" ref="ADA92">ROUNDDOWN(IFERROR(INDEX(ArchiveResults!$F$5:$IX$116,ComparisonData!A92,ComparisonData!$ADA$1),0),5)</f>
        <v>0</v>
      </c>
      <c r="ADB92" s="56">
        <v>87</v>
      </c>
      <c r="ADC92" s="53" t="str">
        <f t="shared" si="749"/>
        <v>Tower Hamlets Local History Library and Archives</v>
      </c>
      <c r="ADD92" s="60">
        <f t="shared" si="1165"/>
        <v>0</v>
      </c>
      <c r="ADE92" s="60">
        <f t="shared" si="1166"/>
        <v>0</v>
      </c>
      <c r="ADF92" s="60">
        <f t="shared" si="1167"/>
        <v>0</v>
      </c>
      <c r="ADG92" s="76">
        <f t="shared" si="1168"/>
        <v>0</v>
      </c>
    </row>
    <row r="93" spans="1:787" x14ac:dyDescent="0.25">
      <c r="A93" s="46" t="str">
        <f>IF(ISBLANK(ComparisonSelection!F89),"",ROW()-5)</f>
        <v/>
      </c>
      <c r="B93" s="53" t="s">
        <v>543</v>
      </c>
      <c r="C93" s="72">
        <v>0.63899999999999968</v>
      </c>
      <c r="D93" s="55">
        <f t="shared" si="750"/>
        <v>41</v>
      </c>
      <c r="E93" s="54">
        <f t="shared" si="751"/>
        <v>2.6389999999999998</v>
      </c>
      <c r="F93" s="54">
        <f t="shared" si="752"/>
        <v>1</v>
      </c>
      <c r="G93" s="72">
        <f t="shared" si="753"/>
        <v>2</v>
      </c>
      <c r="H93" s="72">
        <f t="shared" si="754"/>
        <v>0</v>
      </c>
      <c r="I93" s="46" cm="1">
        <f t="array" ref="I93">ROUND(IFERROR(INDEX(ArchiveResults!$F$5:$IX$116,ComparisonData!A93,ComparisonData!$I$1),0),5)</f>
        <v>0</v>
      </c>
      <c r="J93" s="46" cm="1">
        <f t="array" ref="J93">ROUND(IFERROR(INDEX(ArchiveResults!$F$5:$IX$116,ComparisonData!A93,ComparisonData!$J$1),0),5)</f>
        <v>0</v>
      </c>
      <c r="K93" s="56">
        <v>88</v>
      </c>
      <c r="L93" s="53" t="str">
        <f t="shared" si="755"/>
        <v>Tyne and Wear Archives</v>
      </c>
      <c r="M93" s="57">
        <f t="shared" si="640"/>
        <v>0</v>
      </c>
      <c r="N93" s="57">
        <f t="shared" si="641"/>
        <v>0</v>
      </c>
      <c r="O93" s="58">
        <f t="shared" si="756"/>
        <v>0</v>
      </c>
      <c r="P93" s="48">
        <f t="shared" si="757"/>
        <v>41</v>
      </c>
      <c r="Q93" s="54">
        <f t="shared" si="642"/>
        <v>2.6389999999999998</v>
      </c>
      <c r="R93" s="45">
        <f t="shared" si="758"/>
        <v>1</v>
      </c>
      <c r="S93" s="46">
        <f t="shared" si="759"/>
        <v>2</v>
      </c>
      <c r="T93" s="72">
        <f t="shared" si="760"/>
        <v>0</v>
      </c>
      <c r="U93" s="46" cm="1">
        <f t="array" ref="U93">ROUND(IFERROR(INDEX(ArchiveResults!$F$5:$IX$116,ComparisonData!A93,ComparisonData!$U$1),0),5)</f>
        <v>0</v>
      </c>
      <c r="V93" s="46" cm="1">
        <f t="array" ref="V93">ROUND(IFERROR(INDEX(ArchiveResults!$F$5:$IX$116,ComparisonData!A93,ComparisonData!$V$1),0),5)</f>
        <v>0</v>
      </c>
      <c r="W93" s="56">
        <v>88</v>
      </c>
      <c r="X93" s="53" t="str">
        <f t="shared" si="643"/>
        <v>Tyne and Wear Archives</v>
      </c>
      <c r="Y93" s="57">
        <f t="shared" si="761"/>
        <v>0</v>
      </c>
      <c r="Z93" s="57">
        <f t="shared" si="762"/>
        <v>0</v>
      </c>
      <c r="AA93" s="58">
        <f t="shared" si="763"/>
        <v>0</v>
      </c>
      <c r="AB93" s="45">
        <f t="shared" si="764"/>
        <v>41</v>
      </c>
      <c r="AC93" s="54">
        <f t="shared" si="644"/>
        <v>2.6389999999999998</v>
      </c>
      <c r="AD93" s="45">
        <f t="shared" si="765"/>
        <v>1</v>
      </c>
      <c r="AE93" s="45">
        <f t="shared" si="766"/>
        <v>2</v>
      </c>
      <c r="AF93" s="45">
        <f t="shared" si="639"/>
        <v>0</v>
      </c>
      <c r="AG93" s="46" cm="1">
        <f t="array" ref="AG93">ROUND(IFERROR(INDEX(ArchiveResults!$F$5:$IX$116,ComparisonData!A93,ComparisonData!$AG$1),0),5)</f>
        <v>0</v>
      </c>
      <c r="AH93" s="46" cm="1">
        <f t="array" ref="AH93">ROUND(IFERROR(INDEX(ArchiveResults!$F$5:$IX$116,ComparisonData!A93,ComparisonData!$AH$1),0),5)</f>
        <v>0</v>
      </c>
      <c r="AI93" s="56">
        <v>88</v>
      </c>
      <c r="AJ93" s="53" t="str">
        <f t="shared" si="645"/>
        <v>Tyne and Wear Archives</v>
      </c>
      <c r="AK93" s="59">
        <f t="shared" si="646"/>
        <v>0</v>
      </c>
      <c r="AL93" s="59">
        <f t="shared" si="647"/>
        <v>0</v>
      </c>
      <c r="AM93" s="58">
        <f t="shared" si="767"/>
        <v>0</v>
      </c>
      <c r="AN93" s="45">
        <f t="shared" si="768"/>
        <v>41</v>
      </c>
      <c r="AO93" s="54">
        <f t="shared" si="648"/>
        <v>2.6389999999999998</v>
      </c>
      <c r="AP93" s="45">
        <f t="shared" si="769"/>
        <v>1</v>
      </c>
      <c r="AQ93" s="45">
        <f t="shared" si="770"/>
        <v>2</v>
      </c>
      <c r="AR93" s="46" cm="1">
        <f t="array" ref="AR93">ROUND(IFERROR(INDEX(ArchiveResults!$F$5:$IX$116,ComparisonData!A93,ComparisonData!$AR$1),0),5)</f>
        <v>0</v>
      </c>
      <c r="AS93" s="46" cm="1">
        <f t="array" ref="AS93">ROUND(IFERROR(INDEX(ArchiveResults!$F$5:$IX$116,ComparisonData!A93,ComparisonData!$AS$1),0),5)</f>
        <v>0</v>
      </c>
      <c r="AT93" s="46" cm="1">
        <f t="array" ref="AT93">ROUND(IFERROR(INDEX(ArchiveResults!$F$5:$IX$116,ComparisonData!A93,ComparisonData!$AT$1),0),5)</f>
        <v>0</v>
      </c>
      <c r="AU93" s="46" cm="1">
        <f t="array" ref="AU93">ROUND(IFERROR(INDEX(ArchiveResults!$F$5:$IX$116,ComparisonData!A93,ComparisonData!$AU$1),0),5)</f>
        <v>0</v>
      </c>
      <c r="AV93" s="46" cm="1">
        <f t="array" ref="AV93">ROUND(IFERROR(INDEX(ArchiveResults!$F$5:$IX$116,ComparisonData!A93,ComparisonData!$AV$1),0),5)</f>
        <v>0</v>
      </c>
      <c r="AW93" s="46" cm="1">
        <f t="array" ref="AW93">ROUND(IFERROR(INDEX(ArchiveResults!$F$5:$IX$116,ComparisonData!A93,ComparisonData!$AW$1),0),5)</f>
        <v>0</v>
      </c>
      <c r="AX93" s="46" cm="1">
        <f t="array" ref="AX93">ROUND(IFERROR(INDEX(ArchiveResults!$F$5:$IX$116,ComparisonData!A93,ComparisonData!$AX$1),0),5)</f>
        <v>0</v>
      </c>
      <c r="AY93" s="46" cm="1">
        <f t="array" ref="AY93">ROUND(IFERROR(INDEX(ArchiveResults!$F$5:$IX$116,ComparisonData!A93,ComparisonData!$AY$1),0),5)</f>
        <v>0</v>
      </c>
      <c r="AZ93" s="46" cm="1">
        <f t="array" ref="AZ93">ROUND(IFERROR(INDEX(ArchiveResults!$F$5:$IX$116,ComparisonData!A93,ComparisonData!$AZ$1),0),5)</f>
        <v>0</v>
      </c>
      <c r="BA93" s="46" cm="1">
        <f t="array" ref="BA93">ROUND(IFERROR(INDEX(ArchiveResults!$F$5:$IX$116,ComparisonData!A93,ComparisonData!$BA$1),0),5)</f>
        <v>0</v>
      </c>
      <c r="BB93" s="56">
        <v>88</v>
      </c>
      <c r="BC93" s="53" t="str">
        <f t="shared" si="649"/>
        <v>Tyne and Wear Archives</v>
      </c>
      <c r="BD93" s="60">
        <f t="shared" si="771"/>
        <v>0</v>
      </c>
      <c r="BE93" s="60">
        <f t="shared" si="772"/>
        <v>0</v>
      </c>
      <c r="BF93" s="60">
        <f t="shared" si="773"/>
        <v>0</v>
      </c>
      <c r="BG93" s="60">
        <f t="shared" si="774"/>
        <v>0</v>
      </c>
      <c r="BH93" s="60">
        <f t="shared" si="775"/>
        <v>0</v>
      </c>
      <c r="BI93" s="60">
        <f t="shared" si="776"/>
        <v>0</v>
      </c>
      <c r="BJ93" s="60">
        <f t="shared" si="777"/>
        <v>0</v>
      </c>
      <c r="BK93" s="60">
        <f t="shared" si="778"/>
        <v>0</v>
      </c>
      <c r="BL93" s="60">
        <f t="shared" si="779"/>
        <v>0</v>
      </c>
      <c r="BM93" s="59">
        <f t="shared" si="780"/>
        <v>0</v>
      </c>
      <c r="BN93" s="58">
        <f t="shared" si="781"/>
        <v>0</v>
      </c>
      <c r="BO93" s="45">
        <f t="shared" si="782"/>
        <v>41</v>
      </c>
      <c r="BP93" s="54">
        <f t="shared" si="650"/>
        <v>2.6389999999999998</v>
      </c>
      <c r="BQ93" s="45">
        <f t="shared" si="783"/>
        <v>1</v>
      </c>
      <c r="BR93" s="45">
        <f t="shared" si="784"/>
        <v>2</v>
      </c>
      <c r="BS93" s="46" cm="1">
        <f t="array" ref="BS93">ROUND(IFERROR(INDEX(ArchiveResults!$F$5:$IX$116,ComparisonData!A93,ComparisonData!$BS$1),0),5)</f>
        <v>0</v>
      </c>
      <c r="BT93" s="46" cm="1">
        <f t="array" ref="BT93">ROUND(IFERROR(INDEX(ArchiveResults!$F$5:$IX$116,ComparisonData!A93,ComparisonData!$BT$1),0),5)</f>
        <v>0</v>
      </c>
      <c r="BU93" s="46" cm="1">
        <f t="array" ref="BU93">ROUND(IFERROR(INDEX(ArchiveResults!$F$5:$IX$116,ComparisonData!A93,ComparisonData!$BU$1),0),5)</f>
        <v>0</v>
      </c>
      <c r="BV93" s="46" cm="1">
        <f t="array" ref="BV93">ROUND(IFERROR(INDEX(ArchiveResults!$F$5:$IX$116,ComparisonData!A93,ComparisonData!$BV$1),0),5)</f>
        <v>0</v>
      </c>
      <c r="BW93" s="46" cm="1">
        <f t="array" ref="BW93">ROUND(IFERROR(INDEX(ArchiveResults!$F$5:$IX$116,ComparisonData!A93,ComparisonData!$BW$1),0),5)</f>
        <v>0</v>
      </c>
      <c r="BX93" s="46" cm="1">
        <f t="array" ref="BX93">ROUND(IFERROR(INDEX(ArchiveResults!$F$5:$IX$116,ComparisonData!A93,ComparisonData!$BX$1),0),5)</f>
        <v>0</v>
      </c>
      <c r="BY93" s="56">
        <v>88</v>
      </c>
      <c r="BZ93" s="53" t="str">
        <f t="shared" si="651"/>
        <v>Tyne and Wear Archives</v>
      </c>
      <c r="CA93" s="59">
        <f t="shared" si="785"/>
        <v>0</v>
      </c>
      <c r="CB93" s="59">
        <f t="shared" si="786"/>
        <v>0</v>
      </c>
      <c r="CC93" s="59">
        <f t="shared" si="787"/>
        <v>0</v>
      </c>
      <c r="CD93" s="59">
        <f t="shared" si="788"/>
        <v>0</v>
      </c>
      <c r="CE93" s="59">
        <f t="shared" si="789"/>
        <v>0</v>
      </c>
      <c r="CF93" s="59">
        <f t="shared" si="790"/>
        <v>0</v>
      </c>
      <c r="CG93" s="58">
        <f t="shared" si="791"/>
        <v>0</v>
      </c>
      <c r="CH93" s="45">
        <f t="shared" si="792"/>
        <v>41</v>
      </c>
      <c r="CI93" s="54">
        <f t="shared" si="652"/>
        <v>2.6389999999999998</v>
      </c>
      <c r="CJ93" s="45">
        <f t="shared" si="793"/>
        <v>1</v>
      </c>
      <c r="CK93" s="45">
        <f t="shared" si="794"/>
        <v>2</v>
      </c>
      <c r="CL93" s="46" cm="1">
        <f t="array" ref="CL93">ROUND(IFERROR(INDEX(ArchiveResults!$F$5:$IX$116,ComparisonData!A93,ComparisonData!$CL$1),0),5)</f>
        <v>0</v>
      </c>
      <c r="CM93" s="56">
        <v>88</v>
      </c>
      <c r="CN93" s="53" t="str">
        <f t="shared" si="653"/>
        <v>Tyne and Wear Archives</v>
      </c>
      <c r="CO93" s="45">
        <f t="shared" si="795"/>
        <v>0</v>
      </c>
      <c r="CP93" s="58">
        <f t="shared" si="796"/>
        <v>0</v>
      </c>
      <c r="CQ93" s="45">
        <f t="shared" si="797"/>
        <v>41</v>
      </c>
      <c r="CR93" s="54">
        <f t="shared" si="654"/>
        <v>2.6389999999999998</v>
      </c>
      <c r="CS93" s="45">
        <f t="shared" si="798"/>
        <v>1</v>
      </c>
      <c r="CT93" s="45">
        <f t="shared" si="799"/>
        <v>2</v>
      </c>
      <c r="CU93" s="46" cm="1">
        <f t="array" ref="CU93">ROUND(IFERROR(INDEX(ArchiveResults!$F$5:$IX$116,ComparisonData!A93,ComparisonData!$CU$1),0),5)</f>
        <v>0</v>
      </c>
      <c r="CV93" s="56">
        <v>88</v>
      </c>
      <c r="CW93" s="53" t="str">
        <f t="shared" si="655"/>
        <v>Tyne and Wear Archives</v>
      </c>
      <c r="CX93" s="45">
        <f t="shared" si="800"/>
        <v>0</v>
      </c>
      <c r="CY93" s="58">
        <f t="shared" si="801"/>
        <v>0</v>
      </c>
      <c r="CZ93" s="45">
        <f t="shared" si="802"/>
        <v>41</v>
      </c>
      <c r="DA93" s="54">
        <f t="shared" si="656"/>
        <v>2.6389999999999998</v>
      </c>
      <c r="DB93" s="45">
        <f t="shared" si="803"/>
        <v>1</v>
      </c>
      <c r="DC93" s="45">
        <f t="shared" si="804"/>
        <v>2</v>
      </c>
      <c r="DD93" s="46" cm="1">
        <f t="array" ref="DD93">ROUND(IFERROR(INDEX(ArchiveResults!$F$5:$IX$116,ComparisonData!A93,ComparisonData!$DD$1),0),5)</f>
        <v>0</v>
      </c>
      <c r="DE93" s="56">
        <v>88</v>
      </c>
      <c r="DF93" s="53" t="str">
        <f t="shared" si="657"/>
        <v>Tyne and Wear Archives</v>
      </c>
      <c r="DG93" s="45">
        <f t="shared" si="805"/>
        <v>0</v>
      </c>
      <c r="DH93" s="58">
        <f t="shared" si="806"/>
        <v>0</v>
      </c>
      <c r="DI93" s="45">
        <f t="shared" si="807"/>
        <v>41</v>
      </c>
      <c r="DJ93" s="54">
        <f t="shared" si="658"/>
        <v>2.6389999999999998</v>
      </c>
      <c r="DK93" s="45">
        <f t="shared" si="808"/>
        <v>1</v>
      </c>
      <c r="DL93" s="45">
        <f t="shared" si="809"/>
        <v>2</v>
      </c>
      <c r="DM93" s="46" cm="1">
        <f t="array" ref="DM93">ROUND(IFERROR(INDEX(ArchiveResults!$F$5:$IX$116,ComparisonData!A93,ComparisonData!$DM$1),0),5)</f>
        <v>0</v>
      </c>
      <c r="DN93" s="46" cm="1">
        <f t="array" ref="DN93">ROUND(IFERROR(INDEX(ArchiveResults!$F$5:$IX$116,ComparisonData!A93,ComparisonData!$DN$1),0),5)</f>
        <v>0</v>
      </c>
      <c r="DO93" s="46" cm="1">
        <f t="array" ref="DO93">ROUND(IFERROR(INDEX(ArchiveResults!$F$5:$IX$116,ComparisonData!A93,ComparisonData!$DO$1),0),5)</f>
        <v>0</v>
      </c>
      <c r="DP93" s="46" cm="1">
        <f t="array" ref="DP93">ROUND(IFERROR(INDEX(ArchiveResults!$F$5:$IX$116,ComparisonData!A93,ComparisonData!$DP$1),0),5)</f>
        <v>0</v>
      </c>
      <c r="DQ93" s="45" cm="1">
        <f t="array" ref="DQ93">IFERROR(INDEX(ArchiveResults!$F$5:$IX$116,ComparisonData!A93,ComparisonData!$DQ$1),0)</f>
        <v>0</v>
      </c>
      <c r="DR93" s="56">
        <v>88</v>
      </c>
      <c r="DS93" s="53" t="str">
        <f t="shared" si="659"/>
        <v>Tyne and Wear Archives</v>
      </c>
      <c r="DT93" s="59">
        <f t="shared" si="810"/>
        <v>0</v>
      </c>
      <c r="DU93" s="59">
        <f t="shared" si="811"/>
        <v>0</v>
      </c>
      <c r="DV93" s="59">
        <f t="shared" si="812"/>
        <v>0</v>
      </c>
      <c r="DW93" s="59">
        <f t="shared" si="813"/>
        <v>0</v>
      </c>
      <c r="DX93" s="59">
        <f t="shared" si="814"/>
        <v>0</v>
      </c>
      <c r="DY93" s="58">
        <f t="shared" si="815"/>
        <v>0</v>
      </c>
      <c r="DZ93" s="45">
        <f t="shared" si="816"/>
        <v>41</v>
      </c>
      <c r="EA93" s="54">
        <f t="shared" si="660"/>
        <v>2.6389999999999998</v>
      </c>
      <c r="EB93" s="45">
        <f t="shared" si="817"/>
        <v>1</v>
      </c>
      <c r="EC93" s="45">
        <f t="shared" si="818"/>
        <v>2</v>
      </c>
      <c r="ED93" s="46" cm="1">
        <f t="array" ref="ED93">ROUND(IFERROR(INDEX(ArchiveResults!$F$5:$IX$116,ComparisonData!A93,ComparisonData!$ED$1),0),5)</f>
        <v>0</v>
      </c>
      <c r="EE93" s="46" cm="1">
        <f t="array" ref="EE93">ROUND(IFERROR(INDEX(ArchiveResults!$F$5:$IX$116,ComparisonData!A93,ComparisonData!$EE$1),0),5)</f>
        <v>0</v>
      </c>
      <c r="EF93" s="46" cm="1">
        <f t="array" ref="EF93">ROUND(IFERROR(INDEX(ArchiveResults!$F$5:$IX$116,ComparisonData!A93,ComparisonData!$EF$1),0),5)</f>
        <v>0</v>
      </c>
      <c r="EG93" s="46" cm="1">
        <f t="array" ref="EG93">ROUND(IFERROR(INDEX(ArchiveResults!$F$5:$IX$116,ComparisonData!A93,ComparisonData!$EG$1),0),5)</f>
        <v>0</v>
      </c>
      <c r="EH93" s="45" cm="1">
        <f t="array" ref="EH93">IFERROR(INDEX(ArchiveResults!$F$5:$IX$116,ComparisonData!A93,ComparisonData!$EH$1),0)</f>
        <v>0</v>
      </c>
      <c r="EI93" s="56">
        <v>88</v>
      </c>
      <c r="EJ93" s="53" t="str">
        <f t="shared" si="661"/>
        <v>Tyne and Wear Archives</v>
      </c>
      <c r="EK93" s="59">
        <f t="shared" si="819"/>
        <v>0</v>
      </c>
      <c r="EL93" s="59">
        <f t="shared" si="820"/>
        <v>0</v>
      </c>
      <c r="EM93" s="59">
        <f t="shared" si="821"/>
        <v>0</v>
      </c>
      <c r="EN93" s="59">
        <f t="shared" si="822"/>
        <v>0</v>
      </c>
      <c r="EO93" s="59">
        <f t="shared" si="823"/>
        <v>0</v>
      </c>
      <c r="EP93" s="58">
        <f t="shared" si="824"/>
        <v>0</v>
      </c>
      <c r="EQ93" s="45">
        <f t="shared" si="825"/>
        <v>41</v>
      </c>
      <c r="ER93" s="54">
        <f t="shared" si="662"/>
        <v>2.6389999999999998</v>
      </c>
      <c r="ES93" s="45">
        <f t="shared" si="826"/>
        <v>1</v>
      </c>
      <c r="ET93" s="45">
        <f t="shared" si="827"/>
        <v>2</v>
      </c>
      <c r="EU93" s="46" cm="1">
        <f t="array" ref="EU93">ROUND(IFERROR(INDEX(ArchiveResults!$F$5:$IX$116,ComparisonData!A93,ComparisonData!$EU$1),0),5)</f>
        <v>0</v>
      </c>
      <c r="EV93" s="46" cm="1">
        <f t="array" ref="EV93">ROUND(IFERROR(INDEX(ArchiveResults!$F$5:$IX$116,ComparisonData!A93,ComparisonData!$EV$1),0),5)</f>
        <v>0</v>
      </c>
      <c r="EW93" s="46" cm="1">
        <f t="array" ref="EW93">ROUND(IFERROR(INDEX(ArchiveResults!$F$5:$IX$116,ComparisonData!A93,ComparisonData!$EW$1),0),5)</f>
        <v>0</v>
      </c>
      <c r="EX93" s="46" cm="1">
        <f t="array" ref="EX93">ROUND(IFERROR(INDEX(ArchiveResults!$F$5:$IX$116,ComparisonData!A93,ComparisonData!$EX$1),0),5)</f>
        <v>0</v>
      </c>
      <c r="EY93" s="45" cm="1">
        <f t="array" ref="EY93">IFERROR(INDEX(ArchiveResults!$F$5:$IX$116,ComparisonData!A93,ComparisonData!$EY$1),0)</f>
        <v>0</v>
      </c>
      <c r="EZ93" s="56">
        <v>88</v>
      </c>
      <c r="FA93" s="53" t="str">
        <f t="shared" si="663"/>
        <v>Tyne and Wear Archives</v>
      </c>
      <c r="FB93" s="59">
        <f t="shared" si="828"/>
        <v>0</v>
      </c>
      <c r="FC93" s="59">
        <f t="shared" si="829"/>
        <v>0</v>
      </c>
      <c r="FD93" s="59">
        <f t="shared" si="830"/>
        <v>0</v>
      </c>
      <c r="FE93" s="59">
        <f t="shared" si="831"/>
        <v>0</v>
      </c>
      <c r="FF93" s="59">
        <f t="shared" si="832"/>
        <v>0</v>
      </c>
      <c r="FG93" s="58">
        <f t="shared" si="833"/>
        <v>0</v>
      </c>
      <c r="FH93" s="45">
        <f t="shared" si="834"/>
        <v>41</v>
      </c>
      <c r="FI93" s="54">
        <f t="shared" si="664"/>
        <v>2.6389999999999998</v>
      </c>
      <c r="FJ93" s="45">
        <f t="shared" si="835"/>
        <v>1</v>
      </c>
      <c r="FK93" s="45">
        <f t="shared" si="836"/>
        <v>2</v>
      </c>
      <c r="FL93" s="46" cm="1">
        <f t="array" ref="FL93">ROUND(IFERROR(INDEX(ArchiveResults!$F$5:$IX$116,ComparisonData!A93,ComparisonData!$FL$1),0),5)</f>
        <v>0</v>
      </c>
      <c r="FM93" s="46" cm="1">
        <f t="array" ref="FM93">ROUND(IFERROR(INDEX(ArchiveResults!$F$5:$IX$116,ComparisonData!A93,ComparisonData!$FM$1),0),5)</f>
        <v>0</v>
      </c>
      <c r="FN93" s="46" cm="1">
        <f t="array" ref="FN93">ROUND(IFERROR(INDEX(ArchiveResults!$F$5:$IX$116,ComparisonData!A93,ComparisonData!$FN$1),0),5)</f>
        <v>0</v>
      </c>
      <c r="FO93" s="46" cm="1">
        <f t="array" ref="FO93">ROUND(IFERROR(INDEX(ArchiveResults!$F$5:$IX$116,ComparisonData!A93,ComparisonData!$FO$1),0),5)</f>
        <v>0</v>
      </c>
      <c r="FP93" s="45" cm="1">
        <f t="array" ref="FP93">IFERROR(INDEX(ArchiveResults!$F$5:$IX$116,ComparisonData!A93,ComparisonData!$FP$1),0)</f>
        <v>0</v>
      </c>
      <c r="FQ93" s="56">
        <v>88</v>
      </c>
      <c r="FR93" s="53" t="str">
        <f t="shared" si="665"/>
        <v>Tyne and Wear Archives</v>
      </c>
      <c r="FS93" s="59">
        <f t="shared" si="837"/>
        <v>0</v>
      </c>
      <c r="FT93" s="59">
        <f t="shared" si="838"/>
        <v>0</v>
      </c>
      <c r="FU93" s="59">
        <f t="shared" si="839"/>
        <v>0</v>
      </c>
      <c r="FV93" s="59">
        <f t="shared" si="840"/>
        <v>0</v>
      </c>
      <c r="FW93" s="59">
        <f t="shared" si="841"/>
        <v>0</v>
      </c>
      <c r="FX93" s="58">
        <f t="shared" si="842"/>
        <v>0</v>
      </c>
      <c r="FY93" s="45">
        <f t="shared" si="843"/>
        <v>41</v>
      </c>
      <c r="FZ93" s="45">
        <f t="shared" si="666"/>
        <v>2.6389999999999998</v>
      </c>
      <c r="GA93" s="45">
        <f t="shared" si="844"/>
        <v>1</v>
      </c>
      <c r="GB93" s="45">
        <f t="shared" si="845"/>
        <v>2</v>
      </c>
      <c r="GC93" s="46" cm="1">
        <f t="array" ref="GC93">ROUND(IFERROR(INDEX(ArchiveResults!$F$5:$IX$116,ComparisonData!A93,ComparisonData!$GC$1),0),5)</f>
        <v>0</v>
      </c>
      <c r="GD93" s="46" cm="1">
        <f t="array" ref="GD93">ROUND(IFERROR(INDEX(ArchiveResults!$F$5:$IX$116,ComparisonData!A93,ComparisonData!$GD$1),0),5)</f>
        <v>0</v>
      </c>
      <c r="GE93" s="46" cm="1">
        <f t="array" ref="GE93">ROUND(IFERROR(INDEX(ArchiveResults!$F$5:$IX$116,ComparisonData!A93,ComparisonData!$GE$1),0),5)</f>
        <v>0</v>
      </c>
      <c r="GF93" s="46" cm="1">
        <f t="array" ref="GF93">ROUND(IFERROR(INDEX(ArchiveResults!$F$5:$IX$116,ComparisonData!A93,ComparisonData!$GF$1),0),5)</f>
        <v>0</v>
      </c>
      <c r="GG93" s="45" cm="1">
        <f t="array" ref="GG93">IFERROR(INDEX(ArchiveResults!$F$5:$IX$116,ComparisonData!A93,ComparisonData!$GG$1),0)</f>
        <v>0</v>
      </c>
      <c r="GH93" s="56">
        <v>88</v>
      </c>
      <c r="GI93" s="53" t="str">
        <f t="shared" si="667"/>
        <v>Tyne and Wear Archives</v>
      </c>
      <c r="GJ93" s="59">
        <f t="shared" si="846"/>
        <v>0</v>
      </c>
      <c r="GK93" s="59">
        <f t="shared" si="847"/>
        <v>0</v>
      </c>
      <c r="GL93" s="59">
        <f t="shared" si="848"/>
        <v>0</v>
      </c>
      <c r="GM93" s="59">
        <f t="shared" si="849"/>
        <v>0</v>
      </c>
      <c r="GN93" s="59">
        <f t="shared" si="850"/>
        <v>0</v>
      </c>
      <c r="GO93" s="58">
        <f t="shared" si="851"/>
        <v>0</v>
      </c>
      <c r="GP93" s="45">
        <f t="shared" si="852"/>
        <v>41</v>
      </c>
      <c r="GQ93" s="45">
        <f t="shared" si="668"/>
        <v>2.6389999999999998</v>
      </c>
      <c r="GR93" s="45">
        <f t="shared" si="853"/>
        <v>1</v>
      </c>
      <c r="GS93" s="45">
        <f t="shared" si="854"/>
        <v>2</v>
      </c>
      <c r="GT93" s="46" cm="1">
        <f t="array" ref="GT93">ROUND(IFERROR(INDEX(ArchiveResults!$F$5:$IX$116,ComparisonData!A93,ComparisonData!$GT$1),0),5)</f>
        <v>0</v>
      </c>
      <c r="GU93" s="46" cm="1">
        <f t="array" ref="GU93">ROUND(IFERROR(INDEX(ArchiveResults!$F$5:$IX$116,ComparisonData!A93,ComparisonData!$GU$1),0),5)</f>
        <v>0</v>
      </c>
      <c r="GV93" s="46" cm="1">
        <f t="array" ref="GV93">ROUND(IFERROR(INDEX(ArchiveResults!$F$5:$IX$116,ComparisonData!A93,ComparisonData!$GV$1),0),5)</f>
        <v>0</v>
      </c>
      <c r="GW93" s="46" cm="1">
        <f t="array" ref="GW93">ROUND(IFERROR(INDEX(ArchiveResults!$F$5:$IX$116,ComparisonData!A93,ComparisonData!$GW$1),0),5)</f>
        <v>0</v>
      </c>
      <c r="GX93" s="45" cm="1">
        <f t="array" ref="GX93">IFERROR(INDEX(ArchiveResults!$F$5:$IX$116,ComparisonData!A93,ComparisonData!$GX$1),0)</f>
        <v>0</v>
      </c>
      <c r="GY93" s="56">
        <v>88</v>
      </c>
      <c r="GZ93" s="53" t="str">
        <f t="shared" si="669"/>
        <v>Tyne and Wear Archives</v>
      </c>
      <c r="HA93" s="59">
        <f t="shared" si="855"/>
        <v>0</v>
      </c>
      <c r="HB93" s="59">
        <f t="shared" si="856"/>
        <v>0</v>
      </c>
      <c r="HC93" s="59">
        <f t="shared" si="857"/>
        <v>0</v>
      </c>
      <c r="HD93" s="59">
        <f t="shared" si="858"/>
        <v>0</v>
      </c>
      <c r="HE93" s="59">
        <f t="shared" si="859"/>
        <v>0</v>
      </c>
      <c r="HF93" s="58">
        <f t="shared" si="860"/>
        <v>0</v>
      </c>
      <c r="HG93" s="45">
        <f t="shared" si="861"/>
        <v>41</v>
      </c>
      <c r="HH93" s="45">
        <f t="shared" si="670"/>
        <v>2.6389999999999998</v>
      </c>
      <c r="HI93" s="45">
        <f t="shared" si="862"/>
        <v>1</v>
      </c>
      <c r="HJ93" s="45">
        <f t="shared" si="863"/>
        <v>2</v>
      </c>
      <c r="HK93" s="46" cm="1">
        <f t="array" ref="HK93">ROUND(IFERROR(INDEX(ArchiveResults!$F$5:$IX$116,ComparisonData!A93,ComparisonData!$HK$1),0),5)</f>
        <v>0</v>
      </c>
      <c r="HL93" s="46" cm="1">
        <f t="array" ref="HL93">ROUND(IFERROR(INDEX(ArchiveResults!$F$5:$IX$116,ComparisonData!A93,ComparisonData!$HL$1),0),5)</f>
        <v>0</v>
      </c>
      <c r="HM93" s="46" cm="1">
        <f t="array" ref="HM93">ROUND(IFERROR(INDEX(ArchiveResults!$F$5:$IX$116,ComparisonData!A93,ComparisonData!$HM$1),0),5)</f>
        <v>0</v>
      </c>
      <c r="HN93" s="46" cm="1">
        <f t="array" ref="HN93">ROUND(IFERROR(INDEX(ArchiveResults!$F$5:$IX$116,ComparisonData!A93,ComparisonData!$HN$1),0),5)</f>
        <v>0</v>
      </c>
      <c r="HO93" s="45" cm="1">
        <f t="array" ref="HO93">IFERROR(INDEX(ArchiveResults!$F$5:$IX$116,ComparisonData!A93,ComparisonData!$HO$1),0)</f>
        <v>0</v>
      </c>
      <c r="HP93" s="56">
        <v>88</v>
      </c>
      <c r="HQ93" s="53" t="str">
        <f t="shared" si="671"/>
        <v>Tyne and Wear Archives</v>
      </c>
      <c r="HR93" s="59">
        <f t="shared" si="672"/>
        <v>0</v>
      </c>
      <c r="HS93" s="59">
        <f t="shared" si="673"/>
        <v>0</v>
      </c>
      <c r="HT93" s="59">
        <f t="shared" si="674"/>
        <v>0</v>
      </c>
      <c r="HU93" s="59">
        <f t="shared" si="675"/>
        <v>0</v>
      </c>
      <c r="HV93" s="59">
        <f t="shared" si="676"/>
        <v>0</v>
      </c>
      <c r="HW93" s="58">
        <f t="shared" si="864"/>
        <v>0</v>
      </c>
      <c r="HX93" s="45">
        <f t="shared" si="865"/>
        <v>41</v>
      </c>
      <c r="HY93" s="45">
        <f t="shared" si="677"/>
        <v>2.6389999999999998</v>
      </c>
      <c r="HZ93" s="45">
        <f t="shared" si="866"/>
        <v>1</v>
      </c>
      <c r="IA93" s="45">
        <f t="shared" si="867"/>
        <v>2</v>
      </c>
      <c r="IB93" s="45">
        <f t="shared" si="868"/>
        <v>0</v>
      </c>
      <c r="IC93" s="46" cm="1">
        <f t="array" ref="IC93">ROUND(IFERROR(INDEX(ArchiveResults!$F$5:$IX$116,ComparisonData!A93,ComparisonData!$IC$1),0),5)</f>
        <v>0</v>
      </c>
      <c r="ID93" s="46" cm="1">
        <f t="array" ref="ID93">ROUND(IFERROR(INDEX(ArchiveResults!$F$5:$IX$116,ComparisonData!A93,ComparisonData!$ID$1),0),5)</f>
        <v>0</v>
      </c>
      <c r="IE93" s="46" cm="1">
        <f t="array" ref="IE93">ROUND(IFERROR(INDEX(ArchiveResults!$F$5:$IX$116,ComparisonData!A93,ComparisonData!$IE$1),0),5)</f>
        <v>0</v>
      </c>
      <c r="IF93" s="46" cm="1">
        <f t="array" ref="IF93">ROUND(IFERROR(INDEX(ArchiveResults!$F$5:$IX$116,ComparisonData!A93,ComparisonData!$IF$1),0),5)</f>
        <v>0</v>
      </c>
      <c r="IG93" s="45" cm="1">
        <f t="array" ref="IG93">IFERROR(INDEX(ArchiveResults!$F$5:$IX$116,ComparisonData!A93,ComparisonData!$IG$1),0)</f>
        <v>0</v>
      </c>
      <c r="IH93" s="56">
        <v>88</v>
      </c>
      <c r="II93" s="53" t="str">
        <f t="shared" si="678"/>
        <v>Tyne and Wear Archives</v>
      </c>
      <c r="IJ93" s="59">
        <f t="shared" si="869"/>
        <v>0</v>
      </c>
      <c r="IK93" s="59">
        <f t="shared" si="870"/>
        <v>0</v>
      </c>
      <c r="IL93" s="59">
        <f t="shared" si="871"/>
        <v>0</v>
      </c>
      <c r="IM93" s="59">
        <f t="shared" si="872"/>
        <v>0</v>
      </c>
      <c r="IN93" s="59">
        <f t="shared" si="873"/>
        <v>0</v>
      </c>
      <c r="IO93" s="58">
        <f t="shared" si="874"/>
        <v>0</v>
      </c>
      <c r="IP93" s="45">
        <f t="shared" si="875"/>
        <v>41</v>
      </c>
      <c r="IQ93" s="45">
        <f t="shared" si="679"/>
        <v>2.6389999999999998</v>
      </c>
      <c r="IR93" s="45">
        <f t="shared" si="876"/>
        <v>1</v>
      </c>
      <c r="IS93" s="45">
        <f t="shared" si="877"/>
        <v>2</v>
      </c>
      <c r="IT93" s="46">
        <f t="shared" si="878"/>
        <v>0</v>
      </c>
      <c r="IU93" s="46" cm="1">
        <f t="array" ref="IU93">ROUND(IFERROR(INDEX(ArchiveResults!$F$5:$IX$116,ComparisonData!A93,ComparisonData!$IU$1),0),5)</f>
        <v>0</v>
      </c>
      <c r="IV93" s="46" cm="1">
        <f t="array" ref="IV93">ROUND(IFERROR(INDEX(ArchiveResults!$F$5:$IX$116,ComparisonData!A93,ComparisonData!$IV$1),0),5)</f>
        <v>0</v>
      </c>
      <c r="IW93" s="46" cm="1">
        <f t="array" ref="IW93">ROUND(IFERROR(INDEX(ArchiveResults!$F$5:$IX$116,ComparisonData!A93,ComparisonData!$IW$1),0),5)</f>
        <v>0</v>
      </c>
      <c r="IX93" s="46" cm="1">
        <f t="array" ref="IX93">ROUND(IFERROR(INDEX(ArchiveResults!$F$5:$IX$116,ComparisonData!A93,ComparisonData!$IX$1),0),5)</f>
        <v>0</v>
      </c>
      <c r="IY93" s="45" cm="1">
        <f t="array" ref="IY93">IFERROR(INDEX(ArchiveResults!$F$5:$IX$116,ComparisonData!A93,ComparisonData!$IY$1),0)</f>
        <v>0</v>
      </c>
      <c r="IZ93" s="56">
        <v>88</v>
      </c>
      <c r="JA93" s="53" t="str">
        <f t="shared" si="680"/>
        <v>Tyne and Wear Archives</v>
      </c>
      <c r="JB93" s="59">
        <f t="shared" si="879"/>
        <v>0</v>
      </c>
      <c r="JC93" s="59">
        <f t="shared" si="880"/>
        <v>0</v>
      </c>
      <c r="JD93" s="59">
        <f t="shared" si="881"/>
        <v>0</v>
      </c>
      <c r="JE93" s="59">
        <f t="shared" si="882"/>
        <v>0</v>
      </c>
      <c r="JF93" s="59">
        <f t="shared" si="883"/>
        <v>0</v>
      </c>
      <c r="JG93" s="58">
        <f t="shared" si="884"/>
        <v>0</v>
      </c>
      <c r="JH93" s="45">
        <f t="shared" si="885"/>
        <v>41</v>
      </c>
      <c r="JI93" s="45">
        <f t="shared" si="681"/>
        <v>2.6389999999999998</v>
      </c>
      <c r="JJ93" s="45">
        <f t="shared" si="886"/>
        <v>1</v>
      </c>
      <c r="JK93" s="45">
        <f t="shared" si="887"/>
        <v>2</v>
      </c>
      <c r="JL93" s="45">
        <f t="shared" si="888"/>
        <v>0</v>
      </c>
      <c r="JM93" s="46" cm="1">
        <f t="array" ref="JM93">ROUND(IFERROR(INDEX(ArchiveResults!$F$5:$IX$116,ComparisonData!A93,ComparisonData!$JM$1),0),5)</f>
        <v>0</v>
      </c>
      <c r="JN93" s="46" cm="1">
        <f t="array" ref="JN93">ROUND(IFERROR(INDEX(ArchiveResults!$F$5:$IX$116,ComparisonData!A93,ComparisonData!$JN$1),0),5)</f>
        <v>0</v>
      </c>
      <c r="JO93" s="46" cm="1">
        <f t="array" ref="JO93">ROUND(IFERROR(INDEX(ArchiveResults!$F$5:$IX$116,ComparisonData!A93,ComparisonData!$JO$1),0),5)</f>
        <v>0</v>
      </c>
      <c r="JP93" s="46" cm="1">
        <f t="array" ref="JP93">ROUND(IFERROR(INDEX(ArchiveResults!$F$5:$IX$116,ComparisonData!A93,ComparisonData!$JP$1),0),5)</f>
        <v>0</v>
      </c>
      <c r="JQ93" s="45" cm="1">
        <f t="array" ref="JQ93">IFERROR(INDEX(ArchiveResults!$F$5:$IX$116,ComparisonData!A93,ComparisonData!$JQ$1),0)</f>
        <v>0</v>
      </c>
      <c r="JR93" s="56">
        <v>88</v>
      </c>
      <c r="JS93" s="53" t="str">
        <f t="shared" si="682"/>
        <v>Tyne and Wear Archives</v>
      </c>
      <c r="JT93" s="59">
        <f t="shared" si="889"/>
        <v>0</v>
      </c>
      <c r="JU93" s="59">
        <f t="shared" si="890"/>
        <v>0</v>
      </c>
      <c r="JV93" s="59">
        <f t="shared" si="891"/>
        <v>0</v>
      </c>
      <c r="JW93" s="59">
        <f t="shared" si="892"/>
        <v>0</v>
      </c>
      <c r="JX93" s="59">
        <f t="shared" si="893"/>
        <v>0</v>
      </c>
      <c r="JY93" s="58">
        <f t="shared" si="894"/>
        <v>0</v>
      </c>
      <c r="JZ93" s="45">
        <f t="shared" si="895"/>
        <v>41</v>
      </c>
      <c r="KA93" s="45">
        <f t="shared" si="683"/>
        <v>2.6389999999999998</v>
      </c>
      <c r="KB93" s="45">
        <f t="shared" si="896"/>
        <v>1</v>
      </c>
      <c r="KC93" s="45">
        <f t="shared" si="897"/>
        <v>2</v>
      </c>
      <c r="KD93" s="45">
        <f t="shared" si="898"/>
        <v>0</v>
      </c>
      <c r="KE93" s="46" cm="1">
        <f t="array" ref="KE93">ROUND(IFERROR(INDEX(ArchiveResults!$F$5:$IX$116,ComparisonData!A93,ComparisonData!$KE$1),0),5)</f>
        <v>0</v>
      </c>
      <c r="KF93" s="46" cm="1">
        <f t="array" ref="KF93">ROUND(IFERROR(INDEX(ArchiveResults!$F$5:$IX$116,ComparisonData!A93,ComparisonData!$KF$1),0),5)</f>
        <v>0</v>
      </c>
      <c r="KG93" s="46" cm="1">
        <f t="array" ref="KG93">ROUND(IFERROR(INDEX(ArchiveResults!$F$5:$IX$116,ComparisonData!A93,ComparisonData!$KG$1),0),5)</f>
        <v>0</v>
      </c>
      <c r="KH93" s="46" cm="1">
        <f t="array" ref="KH93">ROUND(IFERROR(INDEX(ArchiveResults!$F$5:$IX$116,ComparisonData!A93,ComparisonData!$KH$1),0),5)</f>
        <v>0</v>
      </c>
      <c r="KI93" s="45" cm="1">
        <f t="array" ref="KI93">IFERROR(INDEX(ArchiveResults!$F$5:$IX$116,ComparisonData!A93,ComparisonData!$KI$1),0)</f>
        <v>0</v>
      </c>
      <c r="KJ93" s="56">
        <v>88</v>
      </c>
      <c r="KK93" s="53" t="str">
        <f t="shared" si="684"/>
        <v>Tyne and Wear Archives</v>
      </c>
      <c r="KL93" s="59">
        <f t="shared" si="899"/>
        <v>0</v>
      </c>
      <c r="KM93" s="59">
        <f t="shared" si="900"/>
        <v>0</v>
      </c>
      <c r="KN93" s="59">
        <f t="shared" si="901"/>
        <v>0</v>
      </c>
      <c r="KO93" s="59">
        <f t="shared" si="902"/>
        <v>0</v>
      </c>
      <c r="KP93" s="59">
        <f t="shared" si="903"/>
        <v>0</v>
      </c>
      <c r="KQ93" s="58">
        <f t="shared" si="904"/>
        <v>0</v>
      </c>
      <c r="KR93" s="45">
        <f t="shared" si="905"/>
        <v>41</v>
      </c>
      <c r="KS93" s="45">
        <f t="shared" si="685"/>
        <v>2.6389999999999998</v>
      </c>
      <c r="KT93" s="45">
        <f t="shared" si="906"/>
        <v>1</v>
      </c>
      <c r="KU93" s="45">
        <f t="shared" si="907"/>
        <v>2</v>
      </c>
      <c r="KV93" s="45">
        <f t="shared" si="908"/>
        <v>0</v>
      </c>
      <c r="KW93" s="46" cm="1">
        <f t="array" ref="KW93">ROUND(IFERROR(INDEX(ArchiveResults!$F$5:$IX$116,ComparisonData!A93,ComparisonData!$KW$1),0),5)</f>
        <v>0</v>
      </c>
      <c r="KX93" s="46" cm="1">
        <f t="array" ref="KX93">ROUND(IFERROR(INDEX(ArchiveResults!$F$5:$IX$116,ComparisonData!A93,ComparisonData!$KX$1),0),5)</f>
        <v>0</v>
      </c>
      <c r="KY93" s="46" cm="1">
        <f t="array" ref="KY93">ROUND(IFERROR(INDEX(ArchiveResults!$F$5:$IX$116,ComparisonData!A93,ComparisonData!$KY$1),0),5)</f>
        <v>0</v>
      </c>
      <c r="KZ93" s="46" cm="1">
        <f t="array" ref="KZ93">ROUND(IFERROR(INDEX(ArchiveResults!$F$5:$IX$116,ComparisonData!A93,ComparisonData!$KZ$1),0),5)</f>
        <v>0</v>
      </c>
      <c r="LA93" s="45" cm="1">
        <f t="array" ref="LA93">IFERROR(INDEX(ArchiveResults!$F$5:$IX$116,ComparisonData!A93,ComparisonData!$LA$1),0)</f>
        <v>0</v>
      </c>
      <c r="LB93" s="56">
        <v>88</v>
      </c>
      <c r="LC93" s="53" t="str">
        <f t="shared" si="686"/>
        <v>Tyne and Wear Archives</v>
      </c>
      <c r="LD93" s="59">
        <f t="shared" si="909"/>
        <v>0</v>
      </c>
      <c r="LE93" s="59">
        <f t="shared" si="910"/>
        <v>0</v>
      </c>
      <c r="LF93" s="59">
        <f t="shared" si="911"/>
        <v>0</v>
      </c>
      <c r="LG93" s="59">
        <f t="shared" si="912"/>
        <v>0</v>
      </c>
      <c r="LH93" s="59">
        <f t="shared" si="913"/>
        <v>0</v>
      </c>
      <c r="LI93" s="58">
        <f t="shared" si="914"/>
        <v>0</v>
      </c>
      <c r="LJ93" s="45">
        <f t="shared" si="915"/>
        <v>41</v>
      </c>
      <c r="LK93" s="45">
        <f t="shared" si="687"/>
        <v>2.6389999999999998</v>
      </c>
      <c r="LL93" s="45">
        <f t="shared" si="916"/>
        <v>1</v>
      </c>
      <c r="LM93" s="45">
        <f t="shared" si="917"/>
        <v>2</v>
      </c>
      <c r="LN93" s="45">
        <f t="shared" si="918"/>
        <v>0</v>
      </c>
      <c r="LO93" s="46" cm="1">
        <f t="array" ref="LO93">ROUND(IFERROR(INDEX(ArchiveResults!$F$5:$IX$116,ComparisonData!A93,ComparisonData!$LO$1),0),5)</f>
        <v>0</v>
      </c>
      <c r="LP93" s="46" cm="1">
        <f t="array" ref="LP93">ROUND(IFERROR(INDEX(ArchiveResults!$F$5:$IX$116,ComparisonData!A93,ComparisonData!$LP$1),0),5)</f>
        <v>0</v>
      </c>
      <c r="LQ93" s="46" cm="1">
        <f t="array" ref="LQ93">ROUND(IFERROR(INDEX(ArchiveResults!$F$5:$IX$116,ComparisonData!A93,ComparisonData!$LQ$1),0),5)</f>
        <v>0</v>
      </c>
      <c r="LR93" s="46" cm="1">
        <f t="array" ref="LR93">ROUND(IFERROR(INDEX(ArchiveResults!$F$5:$IX$116,ComparisonData!A93,ComparisonData!$LR$1),0),5)</f>
        <v>0</v>
      </c>
      <c r="LS93" s="45" cm="1">
        <f t="array" ref="LS93">IFERROR(INDEX(ArchiveResults!$F$5:$IX$116,ComparisonData!A93,ComparisonData!$LS$1),0)</f>
        <v>0</v>
      </c>
      <c r="LT93" s="56">
        <v>88</v>
      </c>
      <c r="LU93" s="53" t="str">
        <f t="shared" si="688"/>
        <v>Tyne and Wear Archives</v>
      </c>
      <c r="LV93" s="59">
        <f t="shared" si="919"/>
        <v>0</v>
      </c>
      <c r="LW93" s="59">
        <f t="shared" si="920"/>
        <v>0</v>
      </c>
      <c r="LX93" s="59">
        <f t="shared" si="921"/>
        <v>0</v>
      </c>
      <c r="LY93" s="59">
        <f t="shared" si="922"/>
        <v>0</v>
      </c>
      <c r="LZ93" s="59">
        <f t="shared" si="923"/>
        <v>0</v>
      </c>
      <c r="MA93" s="58">
        <f t="shared" si="924"/>
        <v>0</v>
      </c>
      <c r="MB93" s="45">
        <f t="shared" si="925"/>
        <v>41</v>
      </c>
      <c r="MC93" s="45">
        <f t="shared" si="689"/>
        <v>2.6389999999999998</v>
      </c>
      <c r="MD93" s="45">
        <f t="shared" si="926"/>
        <v>1</v>
      </c>
      <c r="ME93" s="45">
        <f t="shared" si="927"/>
        <v>2</v>
      </c>
      <c r="MF93" s="45">
        <f t="shared" si="928"/>
        <v>0</v>
      </c>
      <c r="MG93" s="46" cm="1">
        <f t="array" ref="MG93">ROUND(IFERROR(INDEX(ArchiveResults!$F$5:$IX$116,ComparisonData!A93,ComparisonData!$MG$1),0),5)</f>
        <v>0</v>
      </c>
      <c r="MH93" s="46" cm="1">
        <f t="array" ref="MH93">ROUND(IFERROR(INDEX(ArchiveResults!$F$5:$IX$116,ComparisonData!A93,ComparisonData!$MH$1),0),5)</f>
        <v>0</v>
      </c>
      <c r="MI93" s="46" cm="1">
        <f t="array" ref="MI93">ROUND(IFERROR(INDEX(ArchiveResults!$F$5:$IX$116,ComparisonData!A93,ComparisonData!$MI$1),0),5)</f>
        <v>0</v>
      </c>
      <c r="MJ93" s="46" cm="1">
        <f t="array" ref="MJ93">ROUND(IFERROR(INDEX(ArchiveResults!$F$5:$IX$116,ComparisonData!A93,ComparisonData!$MJ$1),0),5)</f>
        <v>0</v>
      </c>
      <c r="MK93" s="45" cm="1">
        <f t="array" ref="MK93">IFERROR(INDEX(ArchiveResults!$F$5:$IX$116,ComparisonData!A93,ComparisonData!$MK$1),0)</f>
        <v>0</v>
      </c>
      <c r="ML93" s="56">
        <v>88</v>
      </c>
      <c r="MM93" s="53" t="str">
        <f t="shared" si="690"/>
        <v>Tyne and Wear Archives</v>
      </c>
      <c r="MN93" s="59">
        <f t="shared" si="929"/>
        <v>0</v>
      </c>
      <c r="MO93" s="59">
        <f t="shared" si="930"/>
        <v>0</v>
      </c>
      <c r="MP93" s="59">
        <f t="shared" si="931"/>
        <v>0</v>
      </c>
      <c r="MQ93" s="59">
        <f t="shared" si="932"/>
        <v>0</v>
      </c>
      <c r="MR93" s="59">
        <f t="shared" si="933"/>
        <v>0</v>
      </c>
      <c r="MS93" s="58">
        <f t="shared" si="934"/>
        <v>0</v>
      </c>
      <c r="MT93" s="45">
        <f t="shared" si="935"/>
        <v>41</v>
      </c>
      <c r="MU93" s="45">
        <f t="shared" si="691"/>
        <v>2.6389999999999998</v>
      </c>
      <c r="MV93" s="45">
        <f t="shared" si="936"/>
        <v>1</v>
      </c>
      <c r="MW93" s="45">
        <f t="shared" si="937"/>
        <v>2</v>
      </c>
      <c r="MX93" s="45">
        <f t="shared" si="938"/>
        <v>0</v>
      </c>
      <c r="MY93" s="46" cm="1">
        <f t="array" ref="MY93">ROUND(IFERROR(INDEX(ArchiveResults!$F$5:$IX$116,ComparisonData!A93,ComparisonData!$MY$1),0),5)</f>
        <v>0</v>
      </c>
      <c r="MZ93" s="46" cm="1">
        <f t="array" ref="MZ93">ROUND(IFERROR(INDEX(ArchiveResults!$F$5:$IX$116,ComparisonData!A93,ComparisonData!$MZ$1),0),5)</f>
        <v>0</v>
      </c>
      <c r="NA93" s="46" cm="1">
        <f t="array" ref="NA93">ROUND(IFERROR(INDEX(ArchiveResults!$F$5:$IX$116,ComparisonData!A93,ComparisonData!$NA$1),0),5)</f>
        <v>0</v>
      </c>
      <c r="NB93" s="46" cm="1">
        <f t="array" ref="NB93">ROUND(IFERROR(INDEX(ArchiveResults!$F$5:$IX$116,ComparisonData!A93,ComparisonData!$NB$1),0),5)</f>
        <v>0</v>
      </c>
      <c r="NC93" s="45" cm="1">
        <f t="array" ref="NC93">IFERROR(INDEX(ArchiveResults!$F$5:$IX$116,ComparisonData!A93,ComparisonData!$NC$1),0)</f>
        <v>0</v>
      </c>
      <c r="ND93" s="56">
        <v>88</v>
      </c>
      <c r="NE93" s="53" t="str">
        <f t="shared" si="692"/>
        <v>Tyne and Wear Archives</v>
      </c>
      <c r="NF93" s="59">
        <f t="shared" si="939"/>
        <v>0</v>
      </c>
      <c r="NG93" s="59">
        <f t="shared" si="940"/>
        <v>0</v>
      </c>
      <c r="NH93" s="59">
        <f t="shared" si="941"/>
        <v>0</v>
      </c>
      <c r="NI93" s="59">
        <f t="shared" si="942"/>
        <v>0</v>
      </c>
      <c r="NJ93" s="59">
        <f t="shared" si="943"/>
        <v>0</v>
      </c>
      <c r="NK93" s="58">
        <f t="shared" si="944"/>
        <v>0</v>
      </c>
      <c r="NL93" s="45">
        <f t="shared" si="945"/>
        <v>41</v>
      </c>
      <c r="NM93" s="45">
        <f t="shared" si="693"/>
        <v>2.6389999999999998</v>
      </c>
      <c r="NN93" s="45">
        <f t="shared" si="946"/>
        <v>1</v>
      </c>
      <c r="NO93" s="45">
        <f t="shared" si="947"/>
        <v>2</v>
      </c>
      <c r="NP93" s="46" cm="1">
        <f t="array" ref="NP93">ROUND(IFERROR(INDEX(ArchiveResults!$F$5:$IX$116,ComparisonData!A93,ComparisonData!$NP$1),0),5)</f>
        <v>0</v>
      </c>
      <c r="NQ93" s="46" cm="1">
        <f t="array" ref="NQ93">ROUND(IFERROR(INDEX(ArchiveResults!$F$5:$IX$116,ComparisonData!A93,ComparisonData!$NQ$1),0),5)</f>
        <v>0</v>
      </c>
      <c r="NR93" s="46" cm="1">
        <f t="array" ref="NR93">ROUND(IFERROR(INDEX(ArchiveResults!$F$5:$IX$116,ComparisonData!A93,ComparisonData!$NR$1),0),5)</f>
        <v>0</v>
      </c>
      <c r="NS93" s="46" cm="1">
        <f t="array" ref="NS93">ROUND(IFERROR(INDEX(ArchiveResults!$F$5:$IX$116,ComparisonData!A93,ComparisonData!$NS$1),0),5)</f>
        <v>0</v>
      </c>
      <c r="NT93" s="45" cm="1">
        <f t="array" ref="NT93">IFERROR(INDEX(ArchiveResults!$F$5:$IX$116,ComparisonData!A93,ComparisonData!$NT$1),0)</f>
        <v>0</v>
      </c>
      <c r="NU93" s="56">
        <v>88</v>
      </c>
      <c r="NV93" s="53" t="str">
        <f t="shared" si="694"/>
        <v>Tyne and Wear Archives</v>
      </c>
      <c r="NW93" s="59">
        <f t="shared" si="948"/>
        <v>0</v>
      </c>
      <c r="NX93" s="59">
        <f t="shared" si="949"/>
        <v>0</v>
      </c>
      <c r="NY93" s="59">
        <f t="shared" si="950"/>
        <v>0</v>
      </c>
      <c r="NZ93" s="59">
        <f t="shared" si="951"/>
        <v>0</v>
      </c>
      <c r="OA93" s="59">
        <f t="shared" si="952"/>
        <v>0</v>
      </c>
      <c r="OB93" s="58">
        <f t="shared" si="953"/>
        <v>0</v>
      </c>
      <c r="OC93" s="45">
        <f t="shared" si="954"/>
        <v>41</v>
      </c>
      <c r="OD93" s="45">
        <f t="shared" si="695"/>
        <v>2.6389999999999998</v>
      </c>
      <c r="OE93" s="45">
        <f t="shared" si="955"/>
        <v>1</v>
      </c>
      <c r="OF93" s="45">
        <f t="shared" si="956"/>
        <v>2</v>
      </c>
      <c r="OG93" s="46">
        <f t="shared" si="957"/>
        <v>0</v>
      </c>
      <c r="OH93" s="46" cm="1">
        <f t="array" ref="OH93">ROUND(IFERROR(INDEX(ArchiveResults!$F$5:$IX$116,ComparisonData!A93,ComparisonData!$OH$1),0),5)</f>
        <v>0</v>
      </c>
      <c r="OI93" s="46" cm="1">
        <f t="array" ref="OI93">ROUND(IFERROR(INDEX(ArchiveResults!$F$5:$IX$116,ComparisonData!A93,ComparisonData!$OI$1),0),5)</f>
        <v>0</v>
      </c>
      <c r="OJ93" s="46" cm="1">
        <f t="array" ref="OJ93">ROUND(IFERROR(INDEX(ArchiveResults!$F$5:$IX$116,ComparisonData!A93,ComparisonData!$OJ$1),0),5)</f>
        <v>0</v>
      </c>
      <c r="OK93" s="46" cm="1">
        <f t="array" ref="OK93">ROUND(IFERROR(INDEX(ArchiveResults!$F$5:$IX$116,ComparisonData!A93,ComparisonData!$OK$1),0),5)</f>
        <v>0</v>
      </c>
      <c r="OL93" s="45" cm="1">
        <f t="array" ref="OL93">IFERROR(INDEX(ArchiveResults!$F$5:$IX$116,ComparisonData!A93,ComparisonData!$OL$1),0)</f>
        <v>0</v>
      </c>
      <c r="OM93" s="56">
        <v>88</v>
      </c>
      <c r="ON93" s="53" t="str">
        <f t="shared" si="696"/>
        <v>Tyne and Wear Archives</v>
      </c>
      <c r="OO93" s="59">
        <f t="shared" si="958"/>
        <v>0</v>
      </c>
      <c r="OP93" s="59">
        <f t="shared" si="959"/>
        <v>0</v>
      </c>
      <c r="OQ93" s="59">
        <f t="shared" si="960"/>
        <v>0</v>
      </c>
      <c r="OR93" s="59">
        <f t="shared" si="961"/>
        <v>0</v>
      </c>
      <c r="OS93" s="59">
        <f t="shared" si="962"/>
        <v>0</v>
      </c>
      <c r="OT93" s="58">
        <f t="shared" si="963"/>
        <v>0</v>
      </c>
      <c r="OU93" s="45">
        <f t="shared" si="964"/>
        <v>41</v>
      </c>
      <c r="OV93" s="45">
        <f t="shared" si="697"/>
        <v>2.6389999999999998</v>
      </c>
      <c r="OW93" s="45">
        <f t="shared" si="965"/>
        <v>1</v>
      </c>
      <c r="OX93" s="45">
        <f t="shared" si="966"/>
        <v>2</v>
      </c>
      <c r="OY93" s="45">
        <f t="shared" si="967"/>
        <v>0</v>
      </c>
      <c r="OZ93" s="46" cm="1">
        <f t="array" ref="OZ93">ROUND(IFERROR(INDEX(ArchiveResults!$F$5:$IX$116,ComparisonData!A93,ComparisonData!$OZ$1),0),5)</f>
        <v>0</v>
      </c>
      <c r="PA93" s="46" cm="1">
        <f t="array" ref="PA93">ROUND(IFERROR(INDEX(ArchiveResults!$F$5:$IX$116,ComparisonData!A93,ComparisonData!$PA$1),0),5)</f>
        <v>0</v>
      </c>
      <c r="PB93" s="46" cm="1">
        <f t="array" ref="PB93">ROUND(IFERROR(INDEX(ArchiveResults!$F$5:$IX$116,ComparisonData!A93,ComparisonData!$PB$1),0),5)</f>
        <v>0</v>
      </c>
      <c r="PC93" s="46" cm="1">
        <f t="array" ref="PC93">ROUND(IFERROR(INDEX(ArchiveResults!$F$5:$IX$116,ComparisonData!A93,ComparisonData!$PC$1),0),5)</f>
        <v>0</v>
      </c>
      <c r="PD93" s="45" cm="1">
        <f t="array" ref="PD93">IFERROR(INDEX(ArchiveResults!$F$5:$IX$116,ComparisonData!A93,ComparisonData!$PD$1),0)</f>
        <v>0</v>
      </c>
      <c r="PE93" s="56">
        <v>88</v>
      </c>
      <c r="PF93" s="53" t="str">
        <f t="shared" si="698"/>
        <v>Tyne and Wear Archives</v>
      </c>
      <c r="PG93" s="59">
        <f t="shared" si="968"/>
        <v>0</v>
      </c>
      <c r="PH93" s="59">
        <f t="shared" si="969"/>
        <v>0</v>
      </c>
      <c r="PI93" s="59">
        <f t="shared" si="970"/>
        <v>0</v>
      </c>
      <c r="PJ93" s="59">
        <f t="shared" si="971"/>
        <v>0</v>
      </c>
      <c r="PK93" s="59">
        <f t="shared" si="972"/>
        <v>0</v>
      </c>
      <c r="PL93" s="58">
        <f t="shared" si="973"/>
        <v>0</v>
      </c>
      <c r="PM93" s="45">
        <f t="shared" si="974"/>
        <v>41</v>
      </c>
      <c r="PN93" s="45">
        <f t="shared" si="699"/>
        <v>2.6389999999999998</v>
      </c>
      <c r="PO93" s="45">
        <f t="shared" si="975"/>
        <v>1</v>
      </c>
      <c r="PP93" s="45">
        <f t="shared" si="976"/>
        <v>2</v>
      </c>
      <c r="PQ93" s="45">
        <f t="shared" si="977"/>
        <v>0</v>
      </c>
      <c r="PR93" s="46" cm="1">
        <f t="array" ref="PR93">ROUND(IFERROR(INDEX(ArchiveResults!$F$5:$IX$116,ComparisonData!A93,ComparisonData!$PR$1),0),5)</f>
        <v>0</v>
      </c>
      <c r="PS93" s="46" cm="1">
        <f t="array" ref="PS93">ROUND(IFERROR(INDEX(ArchiveResults!$F$5:$IX$116,ComparisonData!A93,ComparisonData!$PS$1),0),5)</f>
        <v>0</v>
      </c>
      <c r="PT93" s="46" cm="1">
        <f t="array" ref="PT93">ROUND(IFERROR(INDEX(ArchiveResults!$F$5:$IX$116,ComparisonData!A93,ComparisonData!$PT$1),0),5)</f>
        <v>0</v>
      </c>
      <c r="PU93" s="46" cm="1">
        <f t="array" ref="PU93">ROUND(IFERROR(INDEX(ArchiveResults!$F$5:$IX$116,ComparisonData!A93,ComparisonData!$PU$1),0),5)</f>
        <v>0</v>
      </c>
      <c r="PV93" s="45" cm="1">
        <f t="array" ref="PV93">IFERROR(INDEX(ArchiveResults!$F$5:$IX$116,ComparisonData!A93,ComparisonData!$PV$1),0)</f>
        <v>0</v>
      </c>
      <c r="PW93" s="56">
        <v>88</v>
      </c>
      <c r="PX93" s="53" t="str">
        <f t="shared" si="700"/>
        <v>Tyne and Wear Archives</v>
      </c>
      <c r="PY93" s="59">
        <f t="shared" si="978"/>
        <v>0</v>
      </c>
      <c r="PZ93" s="59">
        <f t="shared" si="979"/>
        <v>0</v>
      </c>
      <c r="QA93" s="59">
        <f t="shared" si="980"/>
        <v>0</v>
      </c>
      <c r="QB93" s="59">
        <f t="shared" si="981"/>
        <v>0</v>
      </c>
      <c r="QC93" s="59">
        <f t="shared" si="982"/>
        <v>0</v>
      </c>
      <c r="QD93" s="58">
        <f t="shared" si="983"/>
        <v>0</v>
      </c>
      <c r="QE93" s="45">
        <f t="shared" si="984"/>
        <v>41</v>
      </c>
      <c r="QF93" s="45">
        <f t="shared" si="701"/>
        <v>2.6389999999999998</v>
      </c>
      <c r="QG93" s="45">
        <f t="shared" si="985"/>
        <v>1</v>
      </c>
      <c r="QH93" s="45">
        <f t="shared" si="986"/>
        <v>2</v>
      </c>
      <c r="QI93" s="45">
        <f t="shared" si="987"/>
        <v>0</v>
      </c>
      <c r="QJ93" s="46" cm="1">
        <f t="array" ref="QJ93">ROUND(IFERROR(INDEX(ArchiveResults!$F$5:$IX$116,ComparisonData!A93,ComparisonData!$QJ$1),0),5)</f>
        <v>0</v>
      </c>
      <c r="QK93" s="46" cm="1">
        <f t="array" ref="QK93">ROUND(IFERROR(INDEX(ArchiveResults!$F$5:$IX$116,ComparisonData!A93,ComparisonData!$QK$1),0),5)</f>
        <v>0</v>
      </c>
      <c r="QL93" s="46" cm="1">
        <f t="array" ref="QL93">ROUND(IFERROR(INDEX(ArchiveResults!$F$5:$IX$116,ComparisonData!A93,ComparisonData!$QL$1),0),5)</f>
        <v>0</v>
      </c>
      <c r="QM93" s="46" cm="1">
        <f t="array" ref="QM93">ROUND(IFERROR(INDEX(ArchiveResults!$F$5:$IX$116,ComparisonData!A93,ComparisonData!$QM$1),0),5)</f>
        <v>0</v>
      </c>
      <c r="QN93" s="45" cm="1">
        <f t="array" ref="QN93">IFERROR(INDEX(ArchiveResults!$F$5:$IX$116,ComparisonData!A93,ComparisonData!$QN$1),0)</f>
        <v>0</v>
      </c>
      <c r="QO93" s="56">
        <v>88</v>
      </c>
      <c r="QP93" s="53" t="str">
        <f t="shared" si="702"/>
        <v>Tyne and Wear Archives</v>
      </c>
      <c r="QQ93" s="59">
        <f t="shared" si="988"/>
        <v>0</v>
      </c>
      <c r="QR93" s="59">
        <f t="shared" si="989"/>
        <v>0</v>
      </c>
      <c r="QS93" s="59">
        <f t="shared" si="990"/>
        <v>0</v>
      </c>
      <c r="QT93" s="59">
        <f t="shared" si="991"/>
        <v>0</v>
      </c>
      <c r="QU93" s="59">
        <f t="shared" si="992"/>
        <v>0</v>
      </c>
      <c r="QV93" s="58">
        <f t="shared" si="993"/>
        <v>0</v>
      </c>
      <c r="QW93" s="45">
        <f t="shared" si="994"/>
        <v>41</v>
      </c>
      <c r="QX93" s="45">
        <f t="shared" si="703"/>
        <v>2.6389999999999998</v>
      </c>
      <c r="QY93" s="45">
        <f t="shared" si="995"/>
        <v>1</v>
      </c>
      <c r="QZ93" s="45">
        <f t="shared" si="996"/>
        <v>2</v>
      </c>
      <c r="RA93" s="45">
        <f t="shared" si="997"/>
        <v>0</v>
      </c>
      <c r="RB93" s="46" cm="1">
        <f t="array" ref="RB93">ROUND(IFERROR(INDEX(ArchiveResults!$F$5:$IX$116,ComparisonData!A93,ComparisonData!$RB$1),0),5)</f>
        <v>0</v>
      </c>
      <c r="RC93" s="46" cm="1">
        <f t="array" ref="RC93">ROUND(IFERROR(INDEX(ArchiveResults!$F$5:$IX$116,ComparisonData!A93,ComparisonData!$RC$1),0),5)</f>
        <v>0</v>
      </c>
      <c r="RD93" s="46" cm="1">
        <f t="array" ref="RD93">ROUND(IFERROR(INDEX(ArchiveResults!$F$5:$IX$116,ComparisonData!A93,ComparisonData!$RD$1),0),5)</f>
        <v>0</v>
      </c>
      <c r="RE93" s="46" cm="1">
        <f t="array" ref="RE93">ROUND(IFERROR(INDEX(ArchiveResults!$F$5:$IX$116,ComparisonData!A93,ComparisonData!$RE$1),0),5)</f>
        <v>0</v>
      </c>
      <c r="RF93" s="45" cm="1">
        <f t="array" ref="RF93">IFERROR(INDEX(ArchiveResults!$F$5:$IX$116,ComparisonData!A93,ComparisonData!$RF$1),0)</f>
        <v>0</v>
      </c>
      <c r="RG93" s="56">
        <v>88</v>
      </c>
      <c r="RH93" s="53" t="str">
        <f t="shared" si="704"/>
        <v>Tyne and Wear Archives</v>
      </c>
      <c r="RI93" s="59">
        <f t="shared" si="998"/>
        <v>0</v>
      </c>
      <c r="RJ93" s="59">
        <f t="shared" si="999"/>
        <v>0</v>
      </c>
      <c r="RK93" s="59">
        <f t="shared" si="1000"/>
        <v>0</v>
      </c>
      <c r="RL93" s="59">
        <f t="shared" si="1001"/>
        <v>0</v>
      </c>
      <c r="RM93" s="59">
        <f t="shared" si="1002"/>
        <v>0</v>
      </c>
      <c r="RN93" s="58">
        <f t="shared" si="1003"/>
        <v>0</v>
      </c>
      <c r="RO93" s="45">
        <f t="shared" si="1004"/>
        <v>41</v>
      </c>
      <c r="RP93" s="45">
        <f t="shared" si="705"/>
        <v>2.6389999999999998</v>
      </c>
      <c r="RQ93" s="45">
        <f t="shared" si="1005"/>
        <v>1</v>
      </c>
      <c r="RR93" s="45">
        <f t="shared" si="1006"/>
        <v>2</v>
      </c>
      <c r="RS93" s="45">
        <f t="shared" si="1007"/>
        <v>0</v>
      </c>
      <c r="RT93" s="46" cm="1">
        <f t="array" ref="RT93">ROUND(IFERROR(INDEX(ArchiveResults!$F$5:$IX$116,ComparisonData!A93,ComparisonData!$RT$1),0),5)</f>
        <v>0</v>
      </c>
      <c r="RU93" s="46" cm="1">
        <f t="array" ref="RU93">ROUND(IFERROR(INDEX(ArchiveResults!$F$5:$IX$116,ComparisonData!A93,ComparisonData!$RU$1),0),5)</f>
        <v>0</v>
      </c>
      <c r="RV93" s="46" cm="1">
        <f t="array" ref="RV93">ROUND(IFERROR(INDEX(ArchiveResults!$F$5:$IX$116,ComparisonData!A93,ComparisonData!$RV$1),0),5)</f>
        <v>0</v>
      </c>
      <c r="RW93" s="46" cm="1">
        <f t="array" ref="RW93">ROUND(IFERROR(INDEX(ArchiveResults!$F$5:$IX$116,ComparisonData!A93,ComparisonData!$RW$1),0),5)</f>
        <v>0</v>
      </c>
      <c r="RX93" s="45" cm="1">
        <f t="array" ref="RX93">IFERROR(INDEX(ArchiveResults!$F$5:$IX$116,ComparisonData!A93,ComparisonData!$RX$1),0)</f>
        <v>0</v>
      </c>
      <c r="RY93" s="56">
        <v>88</v>
      </c>
      <c r="RZ93" s="53" t="str">
        <f t="shared" si="706"/>
        <v>Tyne and Wear Archives</v>
      </c>
      <c r="SA93" s="59">
        <f t="shared" si="1008"/>
        <v>0</v>
      </c>
      <c r="SB93" s="59">
        <f t="shared" si="1009"/>
        <v>0</v>
      </c>
      <c r="SC93" s="59">
        <f t="shared" si="1010"/>
        <v>0</v>
      </c>
      <c r="SD93" s="59">
        <f t="shared" si="1011"/>
        <v>0</v>
      </c>
      <c r="SE93" s="59">
        <f t="shared" si="1012"/>
        <v>0</v>
      </c>
      <c r="SF93" s="58">
        <f t="shared" si="1013"/>
        <v>0</v>
      </c>
      <c r="SG93" s="45">
        <f t="shared" si="1014"/>
        <v>41</v>
      </c>
      <c r="SH93" s="45">
        <f t="shared" si="707"/>
        <v>2.6389999999999998</v>
      </c>
      <c r="SI93" s="45">
        <f t="shared" si="1015"/>
        <v>1</v>
      </c>
      <c r="SJ93" s="45">
        <f t="shared" si="1016"/>
        <v>2</v>
      </c>
      <c r="SK93" s="45">
        <f t="shared" si="1017"/>
        <v>0</v>
      </c>
      <c r="SL93" s="46" cm="1">
        <f t="array" ref="SL93">ROUND(IFERROR(INDEX(ArchiveResults!$F$5:$IX$116,ComparisonData!A93,ComparisonData!$SL$1),0),5)</f>
        <v>0</v>
      </c>
      <c r="SM93" s="46" cm="1">
        <f t="array" ref="SM93">ROUND(IFERROR(INDEX(ArchiveResults!$F$5:$IX$116,ComparisonData!A93,ComparisonData!$SM$1),0),5)</f>
        <v>0</v>
      </c>
      <c r="SN93" s="46" cm="1">
        <f t="array" ref="SN93">ROUND(IFERROR(INDEX(ArchiveResults!$F$5:$IX$116,ComparisonData!A93,ComparisonData!$SN$1),0),5)</f>
        <v>0</v>
      </c>
      <c r="SO93" s="46" cm="1">
        <f t="array" ref="SO93">ROUND(IFERROR(INDEX(ArchiveResults!$F$5:$IX$116,ComparisonData!A93,ComparisonData!$SO$1),0),5)</f>
        <v>0</v>
      </c>
      <c r="SP93" s="45" cm="1">
        <f t="array" ref="SP93">IFERROR(INDEX(ArchiveResults!$F$5:$IX$116,ComparisonData!A93,ComparisonData!$SP$1),0)</f>
        <v>0</v>
      </c>
      <c r="SQ93" s="56">
        <v>88</v>
      </c>
      <c r="SR93" s="53" t="str">
        <f t="shared" si="708"/>
        <v>Tyne and Wear Archives</v>
      </c>
      <c r="SS93" s="59">
        <f t="shared" si="1018"/>
        <v>0</v>
      </c>
      <c r="ST93" s="59">
        <f t="shared" si="1019"/>
        <v>0</v>
      </c>
      <c r="SU93" s="59">
        <f t="shared" si="1020"/>
        <v>0</v>
      </c>
      <c r="SV93" s="59">
        <f t="shared" si="1021"/>
        <v>0</v>
      </c>
      <c r="SW93" s="59">
        <f t="shared" si="1022"/>
        <v>0</v>
      </c>
      <c r="SX93" s="58">
        <f t="shared" si="1023"/>
        <v>0</v>
      </c>
      <c r="SY93" s="45">
        <f t="shared" si="1024"/>
        <v>41</v>
      </c>
      <c r="SZ93" s="45">
        <f t="shared" si="709"/>
        <v>2.6389999999999998</v>
      </c>
      <c r="TA93" s="45">
        <f t="shared" si="1025"/>
        <v>1</v>
      </c>
      <c r="TB93" s="45">
        <f t="shared" si="1026"/>
        <v>2</v>
      </c>
      <c r="TC93" s="45">
        <f t="shared" si="1027"/>
        <v>0</v>
      </c>
      <c r="TD93" s="46" cm="1">
        <f t="array" ref="TD93">ROUND(IFERROR(INDEX(ArchiveResults!$F$5:$IX$116,ComparisonData!A93,ComparisonData!$TD$1),0),5)</f>
        <v>0</v>
      </c>
      <c r="TE93" s="46" cm="1">
        <f t="array" ref="TE93">ROUND(IFERROR(INDEX(ArchiveResults!$F$5:$IX$116,ComparisonData!A93,ComparisonData!$TE$1),0),5)</f>
        <v>0</v>
      </c>
      <c r="TF93" s="46" cm="1">
        <f t="array" ref="TF93">ROUND(IFERROR(INDEX(ArchiveResults!$F$5:$IX$116,ComparisonData!A93,ComparisonData!$TF$1),0),5)</f>
        <v>0</v>
      </c>
      <c r="TG93" s="46" cm="1">
        <f t="array" ref="TG93">ROUND(IFERROR(INDEX(ArchiveResults!$F$5:$IX$116,ComparisonData!A93,ComparisonData!$TG$1),0),5)</f>
        <v>0</v>
      </c>
      <c r="TH93" s="45" cm="1">
        <f t="array" ref="TH93">IFERROR(INDEX(ArchiveResults!$F$5:$IX$116,ComparisonData!A93,ComparisonData!$TH$1),0)</f>
        <v>0</v>
      </c>
      <c r="TI93" s="56">
        <v>88</v>
      </c>
      <c r="TJ93" s="53" t="str">
        <f t="shared" si="710"/>
        <v>Tyne and Wear Archives</v>
      </c>
      <c r="TK93" s="59">
        <f t="shared" si="1028"/>
        <v>0</v>
      </c>
      <c r="TL93" s="59">
        <f t="shared" si="1029"/>
        <v>0</v>
      </c>
      <c r="TM93" s="59">
        <f t="shared" si="1030"/>
        <v>0</v>
      </c>
      <c r="TN93" s="59">
        <f t="shared" si="1031"/>
        <v>0</v>
      </c>
      <c r="TO93" s="59">
        <f t="shared" si="1032"/>
        <v>0</v>
      </c>
      <c r="TP93" s="58">
        <f t="shared" si="1033"/>
        <v>0</v>
      </c>
      <c r="TQ93" s="45">
        <f t="shared" si="1034"/>
        <v>41</v>
      </c>
      <c r="TR93" s="45">
        <f t="shared" si="711"/>
        <v>2.6389999999999998</v>
      </c>
      <c r="TS93" s="45">
        <f t="shared" si="1035"/>
        <v>1</v>
      </c>
      <c r="TT93" s="45">
        <f t="shared" si="1036"/>
        <v>2</v>
      </c>
      <c r="TU93" s="45">
        <f t="shared" si="1037"/>
        <v>0</v>
      </c>
      <c r="TV93" s="46" cm="1">
        <f t="array" ref="TV93">ROUND(IFERROR(INDEX(ArchiveResults!$F$5:$IX$116,ComparisonData!A93,ComparisonData!$TV$1),0),5)</f>
        <v>0</v>
      </c>
      <c r="TW93" s="46" cm="1">
        <f t="array" ref="TW93">ROUND(IFERROR(INDEX(ArchiveResults!$F$5:$IX$116,ComparisonData!A93,ComparisonData!$TW$1),0),5)</f>
        <v>0</v>
      </c>
      <c r="TX93" s="46" cm="1">
        <f t="array" ref="TX93">ROUND(IFERROR(INDEX(ArchiveResults!$F$5:$IX$116,ComparisonData!A93,ComparisonData!$TX$1),0),5)</f>
        <v>0</v>
      </c>
      <c r="TY93" s="46" cm="1">
        <f t="array" ref="TY93">ROUND(IFERROR(INDEX(ArchiveResults!$F$5:$IX$116,ComparisonData!A93,ComparisonData!$TY$1),0),5)</f>
        <v>0</v>
      </c>
      <c r="TZ93" s="45" cm="1">
        <f t="array" ref="TZ93">IFERROR(INDEX(ArchiveResults!$F$5:$IX$116,ComparisonData!A93,ComparisonData!$TZ$1),0)</f>
        <v>0</v>
      </c>
      <c r="UA93" s="56">
        <v>88</v>
      </c>
      <c r="UB93" s="53" t="str">
        <f t="shared" si="712"/>
        <v>Tyne and Wear Archives</v>
      </c>
      <c r="UC93" s="60">
        <f t="shared" si="1038"/>
        <v>0</v>
      </c>
      <c r="UD93" s="60">
        <f t="shared" si="1039"/>
        <v>0</v>
      </c>
      <c r="UE93" s="60">
        <f t="shared" si="1040"/>
        <v>0</v>
      </c>
      <c r="UF93" s="60">
        <f t="shared" si="1041"/>
        <v>0</v>
      </c>
      <c r="UG93" s="60">
        <f t="shared" si="1042"/>
        <v>0</v>
      </c>
      <c r="UH93" s="58">
        <f t="shared" si="1043"/>
        <v>0</v>
      </c>
      <c r="UI93" s="46">
        <f t="shared" si="1044"/>
        <v>41</v>
      </c>
      <c r="UJ93" s="46">
        <f t="shared" si="713"/>
        <v>2.6389999999999998</v>
      </c>
      <c r="UK93" s="46">
        <f t="shared" si="1045"/>
        <v>1</v>
      </c>
      <c r="UL93" s="46">
        <f t="shared" si="1046"/>
        <v>2</v>
      </c>
      <c r="UM93" s="46" cm="1">
        <f t="array" ref="UM93">ROUND(IFERROR(INDEX(ArchiveResults!$F$5:$IX$116,ComparisonData!A93,ComparisonData!$UM$1),0),5)</f>
        <v>0</v>
      </c>
      <c r="UN93" s="56">
        <v>88</v>
      </c>
      <c r="UO93" s="53" t="str">
        <f t="shared" si="714"/>
        <v>Tyne and Wear Archives</v>
      </c>
      <c r="UP93" s="46">
        <f t="shared" si="1047"/>
        <v>0</v>
      </c>
      <c r="UQ93" s="76">
        <f t="shared" si="1048"/>
        <v>0</v>
      </c>
      <c r="UR93" s="46">
        <f t="shared" si="1049"/>
        <v>41</v>
      </c>
      <c r="US93" s="46">
        <f t="shared" si="715"/>
        <v>2.6389999999999998</v>
      </c>
      <c r="UT93" s="46">
        <f t="shared" si="1050"/>
        <v>1</v>
      </c>
      <c r="UU93" s="46">
        <f t="shared" si="1051"/>
        <v>2</v>
      </c>
      <c r="UV93" s="46">
        <f t="shared" si="1052"/>
        <v>0</v>
      </c>
      <c r="UW93" s="46" cm="1">
        <f t="array" ref="UW93">ROUND(IFERROR(INDEX(ArchiveResults!$F$5:$IX$116,ComparisonData!A93,ComparisonData!$UW$1),0),5)</f>
        <v>0</v>
      </c>
      <c r="UX93" s="46" cm="1">
        <f t="array" ref="UX93">ROUND(IFERROR(INDEX(ArchiveResults!$F$5:$IX$116,ComparisonData!A93,ComparisonData!$UX$1),0),5)</f>
        <v>0</v>
      </c>
      <c r="UY93" s="46" cm="1">
        <f t="array" ref="UY93">ROUND(IFERROR(INDEX(ArchiveResults!$F$5:$IX$116,ComparisonData!A93,ComparisonData!$UY$1),0),5)</f>
        <v>0</v>
      </c>
      <c r="UZ93" s="46" cm="1">
        <f t="array" ref="UZ93">ROUND(IFERROR(INDEX(ArchiveResults!$F$5:$IX$116,ComparisonData!A93,ComparisonData!$UZ$1),0),5)</f>
        <v>0</v>
      </c>
      <c r="VA93" s="46" cm="1">
        <f t="array" ref="VA93">ROUND(IFERROR(INDEX(ArchiveResults!$F$5:$IX$116,ComparisonData!A93,ComparisonData!$VA$1),0),5)</f>
        <v>0</v>
      </c>
      <c r="VB93" s="56">
        <v>88</v>
      </c>
      <c r="VC93" s="53" t="str">
        <f t="shared" si="716"/>
        <v>Tyne and Wear Archives</v>
      </c>
      <c r="VD93" s="60">
        <f t="shared" si="1053"/>
        <v>0</v>
      </c>
      <c r="VE93" s="60">
        <f t="shared" si="1054"/>
        <v>0</v>
      </c>
      <c r="VF93" s="60">
        <f t="shared" si="1055"/>
        <v>0</v>
      </c>
      <c r="VG93" s="60">
        <f t="shared" si="1056"/>
        <v>0</v>
      </c>
      <c r="VH93" s="60">
        <f t="shared" si="1057"/>
        <v>0</v>
      </c>
      <c r="VI93" s="76">
        <f t="shared" si="1058"/>
        <v>0</v>
      </c>
      <c r="VJ93" s="46">
        <f t="shared" si="1059"/>
        <v>41</v>
      </c>
      <c r="VK93" s="46">
        <f t="shared" si="717"/>
        <v>2.6389999999999998</v>
      </c>
      <c r="VL93" s="46">
        <f t="shared" si="1060"/>
        <v>1</v>
      </c>
      <c r="VM93" s="46">
        <f t="shared" si="1061"/>
        <v>2</v>
      </c>
      <c r="VN93" s="46" cm="1">
        <f t="array" ref="VN93">ROUND(IFERROR(INDEX(ArchiveResults!$F$5:$IX$116,ComparisonData!A93,ComparisonData!$VN$1),0),5)</f>
        <v>0</v>
      </c>
      <c r="VO93" s="46" cm="1">
        <f t="array" ref="VO93">ROUND(IFERROR(INDEX(ArchiveResults!$F$5:$IX$116,ComparisonData!A93,ComparisonData!$VO$1),0),5)</f>
        <v>0</v>
      </c>
      <c r="VP93" s="46" cm="1">
        <f t="array" ref="VP93">ROUND(IFERROR(INDEX(ArchiveResults!$F$5:$IX$116,ComparisonData!A93,ComparisonData!$VP$1),0),5)</f>
        <v>0</v>
      </c>
      <c r="VQ93" s="46" cm="1">
        <f t="array" ref="VQ93">ROUND(IFERROR(INDEX(ArchiveResults!$F$5:$IX$116,ComparisonData!A93,ComparisonData!$VQ$1),0),5)</f>
        <v>0</v>
      </c>
      <c r="VR93" s="56">
        <v>88</v>
      </c>
      <c r="VS93" s="53" t="str">
        <f t="shared" si="718"/>
        <v>Tyne and Wear Archives</v>
      </c>
      <c r="VT93" s="60">
        <f t="shared" si="1062"/>
        <v>0</v>
      </c>
      <c r="VU93" s="60">
        <f t="shared" si="1063"/>
        <v>0</v>
      </c>
      <c r="VV93" s="60">
        <f t="shared" si="1064"/>
        <v>0</v>
      </c>
      <c r="VW93" s="60">
        <f t="shared" si="1065"/>
        <v>0</v>
      </c>
      <c r="VX93" s="76">
        <f t="shared" si="1066"/>
        <v>0</v>
      </c>
      <c r="VY93" s="46">
        <f t="shared" si="1067"/>
        <v>41</v>
      </c>
      <c r="VZ93" s="46">
        <f t="shared" si="719"/>
        <v>2.6389999999999998</v>
      </c>
      <c r="WA93" s="46">
        <f t="shared" si="1068"/>
        <v>1</v>
      </c>
      <c r="WB93" s="46">
        <f t="shared" si="1069"/>
        <v>2</v>
      </c>
      <c r="WC93" s="46" cm="1">
        <f t="array" ref="WC93">ROUND(IFERROR(INDEX(ArchiveResults!$F$5:$IX$116,ComparisonData!A93,ComparisonData!$WC$1),0),5)</f>
        <v>0</v>
      </c>
      <c r="WD93" s="56">
        <v>88</v>
      </c>
      <c r="WE93" s="53" t="str">
        <f t="shared" si="720"/>
        <v>Tyne and Wear Archives</v>
      </c>
      <c r="WF93" s="46">
        <f t="shared" si="1070"/>
        <v>0</v>
      </c>
      <c r="WG93" s="76">
        <f t="shared" si="1071"/>
        <v>0</v>
      </c>
      <c r="WH93" s="46">
        <f t="shared" si="1072"/>
        <v>41</v>
      </c>
      <c r="WI93" s="46">
        <f t="shared" si="721"/>
        <v>2.6389999999999998</v>
      </c>
      <c r="WJ93" s="46">
        <f t="shared" si="1073"/>
        <v>1</v>
      </c>
      <c r="WK93" s="46">
        <f t="shared" si="1074"/>
        <v>2</v>
      </c>
      <c r="WL93" s="46" cm="1">
        <f t="array" ref="WL93">ROUND(IFERROR(INDEX(ArchiveResults!$F$5:$IX$116,ComparisonData!A93,ComparisonData!$WL$1),0),5)</f>
        <v>0</v>
      </c>
      <c r="WM93" s="46" cm="1">
        <f t="array" ref="WM93">IFERROR(INDEX(ArchiveResults!$F$5:$IX$116,ComparisonData!A93,ComparisonData!$WM$1),0)</f>
        <v>0</v>
      </c>
      <c r="WN93" s="56">
        <v>88</v>
      </c>
      <c r="WO93" s="53" t="str">
        <f t="shared" si="722"/>
        <v>Tyne and Wear Archives</v>
      </c>
      <c r="WP93" s="60">
        <f t="shared" si="1075"/>
        <v>0</v>
      </c>
      <c r="WQ93" s="60">
        <f t="shared" si="1076"/>
        <v>0</v>
      </c>
      <c r="WR93" s="76">
        <f t="shared" si="1077"/>
        <v>0</v>
      </c>
      <c r="WS93" s="46">
        <f t="shared" si="1078"/>
        <v>41</v>
      </c>
      <c r="WT93" s="46">
        <f t="shared" si="723"/>
        <v>2.6389999999999998</v>
      </c>
      <c r="WU93" s="46">
        <f t="shared" si="1079"/>
        <v>1</v>
      </c>
      <c r="WV93" s="46">
        <f t="shared" si="1080"/>
        <v>2</v>
      </c>
      <c r="WW93" s="46" cm="1">
        <f t="array" ref="WW93">ROUND(VALUE(IFERROR(INDEX(ArchiveResults!$F$5:$IX$116,ComparisonData!A93,ComparisonData!$WW$1),0)),5)</f>
        <v>0</v>
      </c>
      <c r="WX93" s="46" cm="1">
        <f t="array" ref="WX93">ROUND(IFERROR(INDEX(ArchiveResults!$F$5:$IX$116,ComparisonData!A93,ComparisonData!$WX$1),0),5)</f>
        <v>0</v>
      </c>
      <c r="WY93" s="56">
        <v>88</v>
      </c>
      <c r="WZ93" s="53" t="str">
        <f t="shared" si="724"/>
        <v>Tyne and Wear Archives</v>
      </c>
      <c r="XA93" s="60">
        <f t="shared" si="725"/>
        <v>0</v>
      </c>
      <c r="XB93" s="60">
        <f t="shared" si="726"/>
        <v>0</v>
      </c>
      <c r="XC93" s="76">
        <f t="shared" si="1081"/>
        <v>0</v>
      </c>
      <c r="XD93" s="46">
        <f t="shared" si="1082"/>
        <v>41</v>
      </c>
      <c r="XE93" s="46">
        <f t="shared" si="727"/>
        <v>2.6389999999999998</v>
      </c>
      <c r="XF93" s="46">
        <f t="shared" si="1083"/>
        <v>1</v>
      </c>
      <c r="XG93" s="46">
        <f t="shared" si="1084"/>
        <v>2</v>
      </c>
      <c r="XH93" s="46" cm="1">
        <f t="array" ref="XH93">ROUND(VALUE(IFERROR(INDEX(ArchiveResults!$F$5:$IX$116,ComparisonData!A93,ComparisonData!$XH$1),0)),5)</f>
        <v>0</v>
      </c>
      <c r="XI93" s="46" cm="1">
        <f t="array" ref="XI93">ROUND(VALUE(IFERROR(INDEX(ArchiveResults!$F$5:$IX$116,ComparisonData!A93,ComparisonData!$XI$1),0)),5)</f>
        <v>0</v>
      </c>
      <c r="XJ93" s="56">
        <v>88</v>
      </c>
      <c r="XK93" s="53" t="str">
        <f t="shared" si="728"/>
        <v>Tyne and Wear Archives</v>
      </c>
      <c r="XL93" s="60">
        <f t="shared" si="1085"/>
        <v>0</v>
      </c>
      <c r="XM93" s="60">
        <f t="shared" si="1086"/>
        <v>0</v>
      </c>
      <c r="XN93" s="76">
        <f t="shared" si="1087"/>
        <v>0</v>
      </c>
      <c r="XO93" s="46">
        <f t="shared" si="1088"/>
        <v>41</v>
      </c>
      <c r="XP93" s="46">
        <f t="shared" si="729"/>
        <v>2.6389999999999998</v>
      </c>
      <c r="XQ93" s="46">
        <f t="shared" si="1089"/>
        <v>1</v>
      </c>
      <c r="XR93" s="46">
        <f t="shared" si="1090"/>
        <v>2</v>
      </c>
      <c r="XS93" s="46" cm="1">
        <f t="array" ref="XS93">ROUND(VALUE(IFERROR(INDEX(ArchiveResults!$F$5:$IX$116,ComparisonData!A93,ComparisonData!$XS$1),0)),5)</f>
        <v>0</v>
      </c>
      <c r="XT93" s="46" cm="1">
        <f t="array" ref="XT93">ROUND(VALUE(IFERROR(INDEX(ArchiveResults!$F$5:$IX$116,ComparisonData!A93,ComparisonData!$XT$1),0)),5)</f>
        <v>0</v>
      </c>
      <c r="XU93" s="56">
        <v>88</v>
      </c>
      <c r="XV93" s="53" t="str">
        <f t="shared" si="730"/>
        <v>Tyne and Wear Archives</v>
      </c>
      <c r="XW93" s="60">
        <f t="shared" si="1091"/>
        <v>0</v>
      </c>
      <c r="XX93" s="60">
        <f t="shared" si="1092"/>
        <v>0</v>
      </c>
      <c r="XY93" s="76">
        <f t="shared" si="1093"/>
        <v>0</v>
      </c>
      <c r="XZ93" s="46">
        <f t="shared" si="1094"/>
        <v>41</v>
      </c>
      <c r="YA93" s="46">
        <f t="shared" si="731"/>
        <v>2.6389999999999998</v>
      </c>
      <c r="YB93" s="46">
        <f t="shared" si="1095"/>
        <v>1</v>
      </c>
      <c r="YC93" s="46">
        <f t="shared" si="1096"/>
        <v>2</v>
      </c>
      <c r="YD93" s="46" cm="1">
        <f t="array" ref="YD93">ROUND(VALUE(IFERROR(INDEX(ArchiveResults!$F$5:$IX$116,ComparisonData!A93,ComparisonData!$YD$1),0)),5)</f>
        <v>0</v>
      </c>
      <c r="YE93" s="46" cm="1">
        <f t="array" ref="YE93">ROUND(VALUE(IFERROR(INDEX(ArchiveResults!$F$5:$IX$116,ComparisonData!A93,ComparisonData!$YE$1),0)),5)</f>
        <v>0</v>
      </c>
      <c r="YF93" s="56">
        <v>88</v>
      </c>
      <c r="YG93" s="53" t="str">
        <f t="shared" si="732"/>
        <v>Tyne and Wear Archives</v>
      </c>
      <c r="YH93" s="60">
        <f t="shared" si="1097"/>
        <v>0</v>
      </c>
      <c r="YI93" s="60">
        <f t="shared" si="1098"/>
        <v>0</v>
      </c>
      <c r="YJ93" s="76">
        <f t="shared" si="1099"/>
        <v>0</v>
      </c>
      <c r="YK93" s="46">
        <f t="shared" si="1100"/>
        <v>41</v>
      </c>
      <c r="YL93" s="46">
        <f t="shared" si="733"/>
        <v>2.6389999999999998</v>
      </c>
      <c r="YM93" s="46">
        <f t="shared" si="1101"/>
        <v>1</v>
      </c>
      <c r="YN93" s="46">
        <f t="shared" si="1102"/>
        <v>2</v>
      </c>
      <c r="YO93" s="46" cm="1">
        <f t="array" ref="YO93">ROUND(VALUE(IFERROR(INDEX(ArchiveResults!$F$5:$IX$116,ComparisonData!A93,ComparisonData!$YO$1),0)),5)</f>
        <v>0</v>
      </c>
      <c r="YP93" s="46" cm="1">
        <f t="array" ref="YP93">ROUND(VALUE(IFERROR(INDEX(ArchiveResults!$F$5:$IX$116,ComparisonData!A93,ComparisonData!$YP$1),0)),5)</f>
        <v>0</v>
      </c>
      <c r="YQ93" s="56">
        <v>88</v>
      </c>
      <c r="YR93" s="53" t="str">
        <f t="shared" si="734"/>
        <v>Tyne and Wear Archives</v>
      </c>
      <c r="YS93" s="60">
        <f t="shared" si="1103"/>
        <v>0</v>
      </c>
      <c r="YT93" s="60">
        <f t="shared" si="1104"/>
        <v>0</v>
      </c>
      <c r="YU93" s="76">
        <f t="shared" si="1105"/>
        <v>0</v>
      </c>
      <c r="YV93" s="46">
        <f t="shared" si="1106"/>
        <v>41</v>
      </c>
      <c r="YW93" s="46">
        <f t="shared" si="735"/>
        <v>2.6389999999999998</v>
      </c>
      <c r="YX93" s="46">
        <f t="shared" si="1107"/>
        <v>1</v>
      </c>
      <c r="YY93" s="46">
        <f t="shared" si="1108"/>
        <v>2</v>
      </c>
      <c r="YZ93" s="46">
        <f t="shared" si="1109"/>
        <v>0</v>
      </c>
      <c r="ZA93" s="46" cm="1">
        <f t="array" ref="ZA93">ROUNDDOWN(VALUE(IFERROR(INDEX(ArchiveResults!$F$5:$IX$116,ComparisonData!A93,ComparisonData!$ZA$1),0)),5)</f>
        <v>0</v>
      </c>
      <c r="ZB93" s="46" cm="1">
        <f t="array" ref="ZB93">ROUNDDOWN(VALUE(IFERROR(INDEX(ArchiveResults!$F$5:$IX$116,ComparisonData!A93,ComparisonData!$ZB$1),0)),5)</f>
        <v>0</v>
      </c>
      <c r="ZC93" s="46" cm="1">
        <f t="array" ref="ZC93">ROUNDDOWN(VALUE(IFERROR(INDEX(ArchiveResults!$F$5:$IX$116,ComparisonData!A93,ComparisonData!$ZC$1),0)),5)</f>
        <v>0</v>
      </c>
      <c r="ZD93" s="46" cm="1">
        <f t="array" ref="ZD93">ROUNDDOWN(VALUE(IFERROR(INDEX(ArchiveResults!$F$5:$IX$116,ComparisonData!A93,ComparisonData!$ZD$1),0)),5)</f>
        <v>0</v>
      </c>
      <c r="ZE93" s="46" cm="1">
        <f t="array" ref="ZE93">ROUNDDOWN(VALUE(IFERROR(INDEX(ArchiveResults!$F$5:$IX$116,ComparisonData!A93,ComparisonData!$ZE$1),0)),5)</f>
        <v>0</v>
      </c>
      <c r="ZF93" s="56">
        <v>88</v>
      </c>
      <c r="ZG93" s="53" t="str">
        <f t="shared" si="736"/>
        <v>Tyne and Wear Archives</v>
      </c>
      <c r="ZH93" s="60">
        <f t="shared" si="1110"/>
        <v>0</v>
      </c>
      <c r="ZI93" s="60">
        <f t="shared" si="1111"/>
        <v>0</v>
      </c>
      <c r="ZJ93" s="60">
        <f t="shared" si="1112"/>
        <v>0</v>
      </c>
      <c r="ZK93" s="60">
        <f t="shared" si="1113"/>
        <v>0</v>
      </c>
      <c r="ZL93" s="60">
        <f t="shared" si="1114"/>
        <v>0</v>
      </c>
      <c r="ZM93" s="76">
        <f t="shared" si="1115"/>
        <v>0</v>
      </c>
      <c r="ZN93" s="46">
        <f t="shared" si="1116"/>
        <v>41</v>
      </c>
      <c r="ZO93" s="46">
        <f t="shared" si="737"/>
        <v>2.6389999999999998</v>
      </c>
      <c r="ZP93" s="46">
        <f t="shared" si="1117"/>
        <v>1</v>
      </c>
      <c r="ZQ93" s="46">
        <f t="shared" si="1118"/>
        <v>2</v>
      </c>
      <c r="ZR93" s="46" cm="1">
        <f t="array" ref="ZR93">ROUND(VALUE(IFERROR(INDEX(ArchiveResults!$F$5:$IX$116,ComparisonData!A93,ComparisonData!$ZR$1),0)),5)</f>
        <v>0</v>
      </c>
      <c r="ZS93" s="56">
        <v>88</v>
      </c>
      <c r="ZT93" s="53" t="str">
        <f t="shared" si="738"/>
        <v>Tyne and Wear Archives</v>
      </c>
      <c r="ZU93" s="46">
        <f t="shared" si="1119"/>
        <v>0</v>
      </c>
      <c r="ZV93" s="76">
        <f t="shared" si="1120"/>
        <v>0</v>
      </c>
      <c r="ZW93" s="81" cm="1">
        <f t="array" ref="ZW93">ROUND((IFERROR(INDEX(ArchiveResults!$F$5:$IX$116,ComparisonData!A93,ComparisonData!$ZW$1),0)),5)</f>
        <v>0</v>
      </c>
      <c r="ZX93" s="81" cm="1">
        <f t="array" ref="ZX93">ROUND((IFERROR(INDEX(ArchiveResults!$F$5:$IX$116,ComparisonData!A93,ComparisonData!$ZX$1),0)),5)</f>
        <v>0</v>
      </c>
      <c r="ZY93" s="81" cm="1">
        <f t="array" ref="ZY93">ROUND((IFERROR(INDEX(ArchiveResults!$F$5:$IX$116,ComparisonData!A93,ComparisonData!$ZY$1),0)),5)</f>
        <v>0</v>
      </c>
      <c r="ZZ93" s="81" cm="1">
        <f t="array" ref="ZZ93">ROUND((IFERROR(INDEX(ArchiveResults!$F$5:$IX$116,ComparisonData!A93,ComparisonData!$ZZ$1),0)),5)</f>
        <v>0</v>
      </c>
      <c r="AAA93" s="81" cm="1">
        <f t="array" ref="AAA93">ROUND((IFERROR(INDEX(ArchiveResults!$F$5:$IX$116,ComparisonData!A93,ComparisonData!$AAA$1),0)),5)</f>
        <v>0</v>
      </c>
      <c r="AAB93" s="81" cm="1">
        <f t="array" ref="AAB93">ROUND((IFERROR(INDEX(ArchiveResults!$F$5:$IX$116,ComparisonData!A93,ComparisonData!$AAB$1),0)),5)</f>
        <v>0</v>
      </c>
      <c r="AAC93" s="81" cm="1">
        <f t="array" ref="AAC93">ROUND((IFERROR(INDEX(ArchiveResults!$F$5:$IX$116,ComparisonData!A93,ComparisonData!$AAC$1),0)),5)</f>
        <v>0</v>
      </c>
      <c r="AAD93" s="81" cm="1">
        <f t="array" ref="AAD93">ROUND((IFERROR(INDEX(ArchiveResults!$F$5:$IX$116,ComparisonData!A93,ComparisonData!$AAD$1),0)),5)</f>
        <v>0</v>
      </c>
      <c r="AAE93" s="81" cm="1">
        <f t="array" ref="AAE93">ROUND((IFERROR(INDEX(ArchiveResults!$F$5:$IX$116,ComparisonData!A93,ComparisonData!$AAE$1),0)),5)</f>
        <v>0</v>
      </c>
      <c r="AAF93" s="81" cm="1">
        <f t="array" ref="AAF93">ROUND((IFERROR(INDEX(ArchiveResults!$F$5:$IX$116,ComparisonData!A93,ComparisonData!$AAF$1),0)),5)</f>
        <v>0</v>
      </c>
      <c r="AAG93" s="46">
        <f t="shared" si="1121"/>
        <v>41</v>
      </c>
      <c r="AAH93" s="46">
        <f t="shared" si="739"/>
        <v>2.6389999999999998</v>
      </c>
      <c r="AAI93" s="46">
        <f t="shared" si="1122"/>
        <v>1</v>
      </c>
      <c r="AAJ93" s="46">
        <f t="shared" si="1123"/>
        <v>2</v>
      </c>
      <c r="AAK93" s="46">
        <f t="shared" si="1124"/>
        <v>0</v>
      </c>
      <c r="AAL93" s="46">
        <f t="shared" si="1125"/>
        <v>0</v>
      </c>
      <c r="AAM93" s="46">
        <f t="shared" si="1126"/>
        <v>0</v>
      </c>
      <c r="AAN93" s="46">
        <f t="shared" si="1127"/>
        <v>0</v>
      </c>
      <c r="AAO93" s="46">
        <f t="shared" si="1128"/>
        <v>0</v>
      </c>
      <c r="AAP93" s="46">
        <f t="shared" si="1129"/>
        <v>0</v>
      </c>
      <c r="AAQ93" s="56">
        <v>88</v>
      </c>
      <c r="AAR93" s="53" t="str">
        <f t="shared" si="740"/>
        <v>Tyne and Wear Archives</v>
      </c>
      <c r="AAS93" s="60">
        <f t="shared" si="1130"/>
        <v>0</v>
      </c>
      <c r="AAT93" s="60">
        <f t="shared" si="1131"/>
        <v>0</v>
      </c>
      <c r="AAU93" s="60">
        <f t="shared" si="1132"/>
        <v>0</v>
      </c>
      <c r="AAV93" s="60">
        <f t="shared" si="1133"/>
        <v>0</v>
      </c>
      <c r="AAW93" s="60">
        <f t="shared" si="1134"/>
        <v>0</v>
      </c>
      <c r="AAX93" s="76">
        <f t="shared" si="1135"/>
        <v>0</v>
      </c>
      <c r="AAY93" s="46">
        <f t="shared" si="1136"/>
        <v>41</v>
      </c>
      <c r="AAZ93" s="46">
        <f t="shared" si="741"/>
        <v>2.6389999999999998</v>
      </c>
      <c r="ABA93" s="46">
        <f t="shared" si="1137"/>
        <v>1</v>
      </c>
      <c r="ABB93" s="46">
        <f t="shared" si="1138"/>
        <v>2</v>
      </c>
      <c r="ABC93" s="46">
        <f t="shared" si="742"/>
        <v>0</v>
      </c>
      <c r="ABD93" s="46" cm="1">
        <f t="array" ref="ABD93">ROUND(VALUE(IFERROR(INDEX(ArchiveResults!$F$5:$IX$116,ComparisonData!A93,ComparisonData!$ABD$1),0)),5)</f>
        <v>0</v>
      </c>
      <c r="ABE93" s="46" cm="1">
        <f t="array" ref="ABE93">ROUND(VALUE(IFERROR(INDEX(ArchiveResults!$F$5:$IX$116,ComparisonData!A93,ComparisonData!$ABE$1),0)),5)</f>
        <v>0</v>
      </c>
      <c r="ABF93" s="46" cm="1">
        <f t="array" ref="ABF93">ROUND(VALUE(IFERROR(INDEX(ArchiveResults!$F$5:$IX$116,ComparisonData!A93,ComparisonData!$ABF$1),0)),5)</f>
        <v>0</v>
      </c>
      <c r="ABG93" s="46" cm="1">
        <f t="array" ref="ABG93">ROUND(VALUE(IFERROR(INDEX(ArchiveResults!$F$5:$IX$116,ComparisonData!A93,ComparisonData!$ABG$1),0)),5)</f>
        <v>0</v>
      </c>
      <c r="ABH93" s="46" cm="1">
        <f t="array" ref="ABH93">ROUND(VALUE(IFERROR(INDEX(ArchiveResults!$F$5:$IX$116,ComparisonData!A93,ComparisonData!$ABH$1),0)),5)</f>
        <v>0</v>
      </c>
      <c r="ABI93" s="56">
        <v>88</v>
      </c>
      <c r="ABJ93" s="53" t="str">
        <f t="shared" si="743"/>
        <v>Tyne and Wear Archives</v>
      </c>
      <c r="ABK93" s="60">
        <f t="shared" si="1139"/>
        <v>0</v>
      </c>
      <c r="ABL93" s="60">
        <f t="shared" si="1140"/>
        <v>0</v>
      </c>
      <c r="ABM93" s="60">
        <f t="shared" si="1141"/>
        <v>0</v>
      </c>
      <c r="ABN93" s="60">
        <f t="shared" si="1142"/>
        <v>0</v>
      </c>
      <c r="ABO93" s="60">
        <f t="shared" si="1143"/>
        <v>0</v>
      </c>
      <c r="ABP93" s="76">
        <f t="shared" si="1144"/>
        <v>0</v>
      </c>
      <c r="ABQ93" s="46">
        <f t="shared" si="1145"/>
        <v>41</v>
      </c>
      <c r="ABR93" s="46">
        <f t="shared" si="744"/>
        <v>2.6389999999999998</v>
      </c>
      <c r="ABS93" s="46">
        <f t="shared" si="1146"/>
        <v>1</v>
      </c>
      <c r="ABT93" s="46">
        <f t="shared" si="1147"/>
        <v>2</v>
      </c>
      <c r="ABU93" s="46" cm="1">
        <f t="array" ref="ABU93">ROUND(VALUE(IFERROR(INDEX(ArchiveResults!$F$5:$IX$116,ComparisonData!A93,ComparisonData!$ABU$1),0)),5)</f>
        <v>0</v>
      </c>
      <c r="ABV93" s="46" cm="1">
        <f t="array" ref="ABV93">ROUND(VALUE(IFERROR(INDEX(ArchiveResults!$F$5:$IX$116,ComparisonData!A93,ComparisonData!$ABV$1),0)),5)</f>
        <v>0</v>
      </c>
      <c r="ABW93" s="46" cm="1">
        <f t="array" ref="ABW93">ROUND(VALUE(IFERROR(INDEX(ArchiveResults!$F$5:$IX$116,ComparisonData!A93,ComparisonData!$ABW$1),0)),5)</f>
        <v>0</v>
      </c>
      <c r="ABX93" s="46" cm="1">
        <f t="array" ref="ABX93">ROUND(VALUE(IFERROR(INDEX(ArchiveResults!$F$5:$IX$116,ComparisonData!A93,ComparisonData!$ABX$1),0)),5)</f>
        <v>0</v>
      </c>
      <c r="ABY93" s="46" cm="1">
        <f t="array" ref="ABY93">ROUND(VALUE(IFERROR(INDEX(ArchiveResults!$F$5:$IX$116,ComparisonData!A93,ComparisonData!$ABY$1),0)),5)</f>
        <v>0</v>
      </c>
      <c r="ABZ93" s="56">
        <v>88</v>
      </c>
      <c r="ACA93" s="53" t="str">
        <f t="shared" si="745"/>
        <v>Tyne and Wear Archives</v>
      </c>
      <c r="ACB93" s="60">
        <f t="shared" si="1148"/>
        <v>0</v>
      </c>
      <c r="ACC93" s="60">
        <f t="shared" si="1149"/>
        <v>0</v>
      </c>
      <c r="ACD93" s="60">
        <f t="shared" si="1150"/>
        <v>0</v>
      </c>
      <c r="ACE93" s="60">
        <f t="shared" si="1151"/>
        <v>0</v>
      </c>
      <c r="ACF93" s="60">
        <f t="shared" si="1152"/>
        <v>0</v>
      </c>
      <c r="ACG93" s="76">
        <f t="shared" si="1153"/>
        <v>0</v>
      </c>
      <c r="ACH93" s="46">
        <f t="shared" si="1154"/>
        <v>41</v>
      </c>
      <c r="ACI93" s="46">
        <f t="shared" si="746"/>
        <v>2.6389999999999998</v>
      </c>
      <c r="ACJ93" s="46">
        <f t="shared" si="1155"/>
        <v>1</v>
      </c>
      <c r="ACK93" s="46">
        <f t="shared" si="1156"/>
        <v>2</v>
      </c>
      <c r="ACL93" s="46">
        <f t="shared" si="1157"/>
        <v>0</v>
      </c>
      <c r="ACM93" s="46" cm="1">
        <f t="array" ref="ACM93">ROUND(IFERROR(INDEX(ArchiveResults!$F$5:$IX$116,ComparisonData!A93,ComparisonData!$ACM$1),0),5)</f>
        <v>0</v>
      </c>
      <c r="ACN93" s="46" cm="1">
        <f t="array" ref="ACN93">ROUND(IFERROR(INDEX(ArchiveResults!$F$5:$IX$116,ComparisonData!A93,ComparisonData!$ACN$1),0),5)</f>
        <v>0</v>
      </c>
      <c r="ACO93" s="56">
        <v>88</v>
      </c>
      <c r="ACP93" s="53" t="str">
        <f t="shared" si="747"/>
        <v>Tyne and Wear Archives</v>
      </c>
      <c r="ACQ93" s="60">
        <f t="shared" si="1158"/>
        <v>0</v>
      </c>
      <c r="ACR93" s="60">
        <f t="shared" si="1159"/>
        <v>0</v>
      </c>
      <c r="ACS93" s="76">
        <f t="shared" si="1160"/>
        <v>0</v>
      </c>
      <c r="ACT93" s="46">
        <f t="shared" si="1161"/>
        <v>41</v>
      </c>
      <c r="ACU93" s="46">
        <f t="shared" si="748"/>
        <v>2.6389999999999998</v>
      </c>
      <c r="ACV93" s="46">
        <f t="shared" si="1162"/>
        <v>1</v>
      </c>
      <c r="ACW93" s="46">
        <f t="shared" si="1163"/>
        <v>2</v>
      </c>
      <c r="ACX93" s="46">
        <f t="shared" si="1164"/>
        <v>0</v>
      </c>
      <c r="ACY93" s="46" cm="1">
        <f t="array" ref="ACY93">ROUNDDOWN(IFERROR(INDEX(ArchiveResults!$F$5:$IX$116,ComparisonData!A93,ComparisonData!$ACY$1),0),5)</f>
        <v>0</v>
      </c>
      <c r="ACZ93" s="46" cm="1">
        <f t="array" ref="ACZ93">ROUNDDOWN(IFERROR(INDEX(ArchiveResults!$F$5:$IX$116,ComparisonData!A93,ComparisonData!$ACZ$1),0),5)</f>
        <v>0</v>
      </c>
      <c r="ADA93" s="46" cm="1">
        <f t="array" ref="ADA93">ROUNDDOWN(IFERROR(INDEX(ArchiveResults!$F$5:$IX$116,ComparisonData!A93,ComparisonData!$ADA$1),0),5)</f>
        <v>0</v>
      </c>
      <c r="ADB93" s="56">
        <v>88</v>
      </c>
      <c r="ADC93" s="53" t="str">
        <f t="shared" si="749"/>
        <v>Tyne and Wear Archives</v>
      </c>
      <c r="ADD93" s="60">
        <f t="shared" si="1165"/>
        <v>0</v>
      </c>
      <c r="ADE93" s="60">
        <f t="shared" si="1166"/>
        <v>0</v>
      </c>
      <c r="ADF93" s="60">
        <f t="shared" si="1167"/>
        <v>0</v>
      </c>
      <c r="ADG93" s="76">
        <f t="shared" si="1168"/>
        <v>0</v>
      </c>
    </row>
    <row r="94" spans="1:787" x14ac:dyDescent="0.25">
      <c r="A94" s="46" t="str">
        <f>IF(ISBLANK(ComparisonSelection!F90),"",ROW()-5)</f>
        <v/>
      </c>
      <c r="B94" s="53" t="s">
        <v>544</v>
      </c>
      <c r="C94" s="72">
        <v>0.79399999999999982</v>
      </c>
      <c r="D94" s="55">
        <f t="shared" si="750"/>
        <v>72</v>
      </c>
      <c r="E94" s="54">
        <f t="shared" si="751"/>
        <v>2.7939999999999996</v>
      </c>
      <c r="F94" s="54">
        <f t="shared" si="752"/>
        <v>1</v>
      </c>
      <c r="G94" s="72">
        <f t="shared" si="753"/>
        <v>2</v>
      </c>
      <c r="H94" s="72">
        <f t="shared" si="754"/>
        <v>0</v>
      </c>
      <c r="I94" s="46" cm="1">
        <f t="array" ref="I94">ROUND(IFERROR(INDEX(ArchiveResults!$F$5:$IX$116,ComparisonData!A94,ComparisonData!$I$1),0),5)</f>
        <v>0</v>
      </c>
      <c r="J94" s="46" cm="1">
        <f t="array" ref="J94">ROUND(IFERROR(INDEX(ArchiveResults!$F$5:$IX$116,ComparisonData!A94,ComparisonData!$J$1),0),5)</f>
        <v>0</v>
      </c>
      <c r="K94" s="56">
        <v>89</v>
      </c>
      <c r="L94" s="53" t="str">
        <f t="shared" si="755"/>
        <v>UCL, Institute of Education</v>
      </c>
      <c r="M94" s="57">
        <f t="shared" si="640"/>
        <v>0</v>
      </c>
      <c r="N94" s="57">
        <f t="shared" si="641"/>
        <v>0</v>
      </c>
      <c r="O94" s="58">
        <f t="shared" si="756"/>
        <v>0</v>
      </c>
      <c r="P94" s="48">
        <f t="shared" si="757"/>
        <v>72</v>
      </c>
      <c r="Q94" s="54">
        <f t="shared" si="642"/>
        <v>2.7939999999999996</v>
      </c>
      <c r="R94" s="45">
        <f t="shared" si="758"/>
        <v>1</v>
      </c>
      <c r="S94" s="46">
        <f t="shared" si="759"/>
        <v>2</v>
      </c>
      <c r="T94" s="72">
        <f t="shared" si="760"/>
        <v>0</v>
      </c>
      <c r="U94" s="46" cm="1">
        <f t="array" ref="U94">ROUND(IFERROR(INDEX(ArchiveResults!$F$5:$IX$116,ComparisonData!A94,ComparisonData!$U$1),0),5)</f>
        <v>0</v>
      </c>
      <c r="V94" s="46" cm="1">
        <f t="array" ref="V94">ROUND(IFERROR(INDEX(ArchiveResults!$F$5:$IX$116,ComparisonData!A94,ComparisonData!$V$1),0),5)</f>
        <v>0</v>
      </c>
      <c r="W94" s="56">
        <v>89</v>
      </c>
      <c r="X94" s="53" t="str">
        <f t="shared" si="643"/>
        <v>UCL, Institute of Education</v>
      </c>
      <c r="Y94" s="57">
        <f t="shared" si="761"/>
        <v>0</v>
      </c>
      <c r="Z94" s="57">
        <f t="shared" si="762"/>
        <v>0</v>
      </c>
      <c r="AA94" s="58">
        <f t="shared" si="763"/>
        <v>0</v>
      </c>
      <c r="AB94" s="45">
        <f t="shared" si="764"/>
        <v>72</v>
      </c>
      <c r="AC94" s="54">
        <f t="shared" si="644"/>
        <v>2.7939999999999996</v>
      </c>
      <c r="AD94" s="45">
        <f t="shared" si="765"/>
        <v>1</v>
      </c>
      <c r="AE94" s="45">
        <f t="shared" si="766"/>
        <v>2</v>
      </c>
      <c r="AF94" s="45">
        <f t="shared" si="639"/>
        <v>0</v>
      </c>
      <c r="AG94" s="46" cm="1">
        <f t="array" ref="AG94">ROUND(IFERROR(INDEX(ArchiveResults!$F$5:$IX$116,ComparisonData!A94,ComparisonData!$AG$1),0),5)</f>
        <v>0</v>
      </c>
      <c r="AH94" s="46" cm="1">
        <f t="array" ref="AH94">ROUND(IFERROR(INDEX(ArchiveResults!$F$5:$IX$116,ComparisonData!A94,ComparisonData!$AH$1),0),5)</f>
        <v>0</v>
      </c>
      <c r="AI94" s="56">
        <v>89</v>
      </c>
      <c r="AJ94" s="53" t="str">
        <f t="shared" si="645"/>
        <v>UCL, Institute of Education</v>
      </c>
      <c r="AK94" s="59">
        <f t="shared" si="646"/>
        <v>0</v>
      </c>
      <c r="AL94" s="59">
        <f t="shared" si="647"/>
        <v>0</v>
      </c>
      <c r="AM94" s="58">
        <f t="shared" si="767"/>
        <v>0</v>
      </c>
      <c r="AN94" s="45">
        <f t="shared" si="768"/>
        <v>72</v>
      </c>
      <c r="AO94" s="54">
        <f t="shared" si="648"/>
        <v>2.7939999999999996</v>
      </c>
      <c r="AP94" s="45">
        <f t="shared" si="769"/>
        <v>1</v>
      </c>
      <c r="AQ94" s="45">
        <f t="shared" si="770"/>
        <v>2</v>
      </c>
      <c r="AR94" s="46" cm="1">
        <f t="array" ref="AR94">ROUND(IFERROR(INDEX(ArchiveResults!$F$5:$IX$116,ComparisonData!A94,ComparisonData!$AR$1),0),5)</f>
        <v>0</v>
      </c>
      <c r="AS94" s="46" cm="1">
        <f t="array" ref="AS94">ROUND(IFERROR(INDEX(ArchiveResults!$F$5:$IX$116,ComparisonData!A94,ComparisonData!$AS$1),0),5)</f>
        <v>0</v>
      </c>
      <c r="AT94" s="46" cm="1">
        <f t="array" ref="AT94">ROUND(IFERROR(INDEX(ArchiveResults!$F$5:$IX$116,ComparisonData!A94,ComparisonData!$AT$1),0),5)</f>
        <v>0</v>
      </c>
      <c r="AU94" s="46" cm="1">
        <f t="array" ref="AU94">ROUND(IFERROR(INDEX(ArchiveResults!$F$5:$IX$116,ComparisonData!A94,ComparisonData!$AU$1),0),5)</f>
        <v>0</v>
      </c>
      <c r="AV94" s="46" cm="1">
        <f t="array" ref="AV94">ROUND(IFERROR(INDEX(ArchiveResults!$F$5:$IX$116,ComparisonData!A94,ComparisonData!$AV$1),0),5)</f>
        <v>0</v>
      </c>
      <c r="AW94" s="46" cm="1">
        <f t="array" ref="AW94">ROUND(IFERROR(INDEX(ArchiveResults!$F$5:$IX$116,ComparisonData!A94,ComparisonData!$AW$1),0),5)</f>
        <v>0</v>
      </c>
      <c r="AX94" s="46" cm="1">
        <f t="array" ref="AX94">ROUND(IFERROR(INDEX(ArchiveResults!$F$5:$IX$116,ComparisonData!A94,ComparisonData!$AX$1),0),5)</f>
        <v>0</v>
      </c>
      <c r="AY94" s="46" cm="1">
        <f t="array" ref="AY94">ROUND(IFERROR(INDEX(ArchiveResults!$F$5:$IX$116,ComparisonData!A94,ComparisonData!$AY$1),0),5)</f>
        <v>0</v>
      </c>
      <c r="AZ94" s="46" cm="1">
        <f t="array" ref="AZ94">ROUND(IFERROR(INDEX(ArchiveResults!$F$5:$IX$116,ComparisonData!A94,ComparisonData!$AZ$1),0),5)</f>
        <v>0</v>
      </c>
      <c r="BA94" s="46" cm="1">
        <f t="array" ref="BA94">ROUND(IFERROR(INDEX(ArchiveResults!$F$5:$IX$116,ComparisonData!A94,ComparisonData!$BA$1),0),5)</f>
        <v>0</v>
      </c>
      <c r="BB94" s="56">
        <v>89</v>
      </c>
      <c r="BC94" s="53" t="str">
        <f t="shared" si="649"/>
        <v>UCL, Institute of Education</v>
      </c>
      <c r="BD94" s="60">
        <f t="shared" si="771"/>
        <v>0</v>
      </c>
      <c r="BE94" s="60">
        <f t="shared" si="772"/>
        <v>0</v>
      </c>
      <c r="BF94" s="60">
        <f t="shared" si="773"/>
        <v>0</v>
      </c>
      <c r="BG94" s="60">
        <f t="shared" si="774"/>
        <v>0</v>
      </c>
      <c r="BH94" s="60">
        <f t="shared" si="775"/>
        <v>0</v>
      </c>
      <c r="BI94" s="60">
        <f t="shared" si="776"/>
        <v>0</v>
      </c>
      <c r="BJ94" s="60">
        <f t="shared" si="777"/>
        <v>0</v>
      </c>
      <c r="BK94" s="60">
        <f t="shared" si="778"/>
        <v>0</v>
      </c>
      <c r="BL94" s="60">
        <f t="shared" si="779"/>
        <v>0</v>
      </c>
      <c r="BM94" s="59">
        <f t="shared" si="780"/>
        <v>0</v>
      </c>
      <c r="BN94" s="58">
        <f t="shared" si="781"/>
        <v>0</v>
      </c>
      <c r="BO94" s="45">
        <f t="shared" si="782"/>
        <v>72</v>
      </c>
      <c r="BP94" s="54">
        <f t="shared" si="650"/>
        <v>2.7939999999999996</v>
      </c>
      <c r="BQ94" s="45">
        <f t="shared" si="783"/>
        <v>1</v>
      </c>
      <c r="BR94" s="45">
        <f t="shared" si="784"/>
        <v>2</v>
      </c>
      <c r="BS94" s="46" cm="1">
        <f t="array" ref="BS94">ROUND(IFERROR(INDEX(ArchiveResults!$F$5:$IX$116,ComparisonData!A94,ComparisonData!$BS$1),0),5)</f>
        <v>0</v>
      </c>
      <c r="BT94" s="46" cm="1">
        <f t="array" ref="BT94">ROUND(IFERROR(INDEX(ArchiveResults!$F$5:$IX$116,ComparisonData!A94,ComparisonData!$BT$1),0),5)</f>
        <v>0</v>
      </c>
      <c r="BU94" s="46" cm="1">
        <f t="array" ref="BU94">ROUND(IFERROR(INDEX(ArchiveResults!$F$5:$IX$116,ComparisonData!A94,ComparisonData!$BU$1),0),5)</f>
        <v>0</v>
      </c>
      <c r="BV94" s="46" cm="1">
        <f t="array" ref="BV94">ROUND(IFERROR(INDEX(ArchiveResults!$F$5:$IX$116,ComparisonData!A94,ComparisonData!$BV$1),0),5)</f>
        <v>0</v>
      </c>
      <c r="BW94" s="46" cm="1">
        <f t="array" ref="BW94">ROUND(IFERROR(INDEX(ArchiveResults!$F$5:$IX$116,ComparisonData!A94,ComparisonData!$BW$1),0),5)</f>
        <v>0</v>
      </c>
      <c r="BX94" s="46" cm="1">
        <f t="array" ref="BX94">ROUND(IFERROR(INDEX(ArchiveResults!$F$5:$IX$116,ComparisonData!A94,ComparisonData!$BX$1),0),5)</f>
        <v>0</v>
      </c>
      <c r="BY94" s="56">
        <v>89</v>
      </c>
      <c r="BZ94" s="53" t="str">
        <f t="shared" si="651"/>
        <v>UCL, Institute of Education</v>
      </c>
      <c r="CA94" s="59">
        <f t="shared" si="785"/>
        <v>0</v>
      </c>
      <c r="CB94" s="59">
        <f t="shared" si="786"/>
        <v>0</v>
      </c>
      <c r="CC94" s="59">
        <f t="shared" si="787"/>
        <v>0</v>
      </c>
      <c r="CD94" s="59">
        <f t="shared" si="788"/>
        <v>0</v>
      </c>
      <c r="CE94" s="59">
        <f t="shared" si="789"/>
        <v>0</v>
      </c>
      <c r="CF94" s="59">
        <f t="shared" si="790"/>
        <v>0</v>
      </c>
      <c r="CG94" s="58">
        <f t="shared" si="791"/>
        <v>0</v>
      </c>
      <c r="CH94" s="45">
        <f t="shared" si="792"/>
        <v>72</v>
      </c>
      <c r="CI94" s="54">
        <f t="shared" si="652"/>
        <v>2.7939999999999996</v>
      </c>
      <c r="CJ94" s="45">
        <f t="shared" si="793"/>
        <v>1</v>
      </c>
      <c r="CK94" s="45">
        <f t="shared" si="794"/>
        <v>2</v>
      </c>
      <c r="CL94" s="46" cm="1">
        <f t="array" ref="CL94">ROUND(IFERROR(INDEX(ArchiveResults!$F$5:$IX$116,ComparisonData!A94,ComparisonData!$CL$1),0),5)</f>
        <v>0</v>
      </c>
      <c r="CM94" s="56">
        <v>89</v>
      </c>
      <c r="CN94" s="53" t="str">
        <f t="shared" si="653"/>
        <v>UCL, Institute of Education</v>
      </c>
      <c r="CO94" s="45">
        <f t="shared" si="795"/>
        <v>0</v>
      </c>
      <c r="CP94" s="58">
        <f t="shared" si="796"/>
        <v>0</v>
      </c>
      <c r="CQ94" s="45">
        <f t="shared" si="797"/>
        <v>72</v>
      </c>
      <c r="CR94" s="54">
        <f t="shared" si="654"/>
        <v>2.7939999999999996</v>
      </c>
      <c r="CS94" s="45">
        <f t="shared" si="798"/>
        <v>1</v>
      </c>
      <c r="CT94" s="45">
        <f t="shared" si="799"/>
        <v>2</v>
      </c>
      <c r="CU94" s="46" cm="1">
        <f t="array" ref="CU94">ROUND(IFERROR(INDEX(ArchiveResults!$F$5:$IX$116,ComparisonData!A94,ComparisonData!$CU$1),0),5)</f>
        <v>0</v>
      </c>
      <c r="CV94" s="56">
        <v>89</v>
      </c>
      <c r="CW94" s="53" t="str">
        <f t="shared" si="655"/>
        <v>UCL, Institute of Education</v>
      </c>
      <c r="CX94" s="45">
        <f t="shared" si="800"/>
        <v>0</v>
      </c>
      <c r="CY94" s="58">
        <f t="shared" si="801"/>
        <v>0</v>
      </c>
      <c r="CZ94" s="45">
        <f t="shared" si="802"/>
        <v>72</v>
      </c>
      <c r="DA94" s="54">
        <f t="shared" si="656"/>
        <v>2.7939999999999996</v>
      </c>
      <c r="DB94" s="45">
        <f t="shared" si="803"/>
        <v>1</v>
      </c>
      <c r="DC94" s="45">
        <f t="shared" si="804"/>
        <v>2</v>
      </c>
      <c r="DD94" s="46" cm="1">
        <f t="array" ref="DD94">ROUND(IFERROR(INDEX(ArchiveResults!$F$5:$IX$116,ComparisonData!A94,ComparisonData!$DD$1),0),5)</f>
        <v>0</v>
      </c>
      <c r="DE94" s="56">
        <v>89</v>
      </c>
      <c r="DF94" s="53" t="str">
        <f t="shared" si="657"/>
        <v>UCL, Institute of Education</v>
      </c>
      <c r="DG94" s="45">
        <f t="shared" si="805"/>
        <v>0</v>
      </c>
      <c r="DH94" s="58">
        <f t="shared" si="806"/>
        <v>0</v>
      </c>
      <c r="DI94" s="45">
        <f t="shared" si="807"/>
        <v>72</v>
      </c>
      <c r="DJ94" s="54">
        <f t="shared" si="658"/>
        <v>2.7939999999999996</v>
      </c>
      <c r="DK94" s="45">
        <f t="shared" si="808"/>
        <v>1</v>
      </c>
      <c r="DL94" s="45">
        <f t="shared" si="809"/>
        <v>2</v>
      </c>
      <c r="DM94" s="46" cm="1">
        <f t="array" ref="DM94">ROUND(IFERROR(INDEX(ArchiveResults!$F$5:$IX$116,ComparisonData!A94,ComparisonData!$DM$1),0),5)</f>
        <v>0</v>
      </c>
      <c r="DN94" s="46" cm="1">
        <f t="array" ref="DN94">ROUND(IFERROR(INDEX(ArchiveResults!$F$5:$IX$116,ComparisonData!A94,ComparisonData!$DN$1),0),5)</f>
        <v>0</v>
      </c>
      <c r="DO94" s="46" cm="1">
        <f t="array" ref="DO94">ROUND(IFERROR(INDEX(ArchiveResults!$F$5:$IX$116,ComparisonData!A94,ComparisonData!$DO$1),0),5)</f>
        <v>0</v>
      </c>
      <c r="DP94" s="46" cm="1">
        <f t="array" ref="DP94">ROUND(IFERROR(INDEX(ArchiveResults!$F$5:$IX$116,ComparisonData!A94,ComparisonData!$DP$1),0),5)</f>
        <v>0</v>
      </c>
      <c r="DQ94" s="45" cm="1">
        <f t="array" ref="DQ94">IFERROR(INDEX(ArchiveResults!$F$5:$IX$116,ComparisonData!A94,ComparisonData!$DQ$1),0)</f>
        <v>0</v>
      </c>
      <c r="DR94" s="56">
        <v>89</v>
      </c>
      <c r="DS94" s="53" t="str">
        <f t="shared" si="659"/>
        <v>UCL, Institute of Education</v>
      </c>
      <c r="DT94" s="59">
        <f t="shared" si="810"/>
        <v>0</v>
      </c>
      <c r="DU94" s="59">
        <f t="shared" si="811"/>
        <v>0</v>
      </c>
      <c r="DV94" s="59">
        <f t="shared" si="812"/>
        <v>0</v>
      </c>
      <c r="DW94" s="59">
        <f t="shared" si="813"/>
        <v>0</v>
      </c>
      <c r="DX94" s="59">
        <f t="shared" si="814"/>
        <v>0</v>
      </c>
      <c r="DY94" s="58">
        <f t="shared" si="815"/>
        <v>0</v>
      </c>
      <c r="DZ94" s="45">
        <f t="shared" si="816"/>
        <v>72</v>
      </c>
      <c r="EA94" s="54">
        <f t="shared" si="660"/>
        <v>2.7939999999999996</v>
      </c>
      <c r="EB94" s="45">
        <f t="shared" si="817"/>
        <v>1</v>
      </c>
      <c r="EC94" s="45">
        <f t="shared" si="818"/>
        <v>2</v>
      </c>
      <c r="ED94" s="46" cm="1">
        <f t="array" ref="ED94">ROUND(IFERROR(INDEX(ArchiveResults!$F$5:$IX$116,ComparisonData!A94,ComparisonData!$ED$1),0),5)</f>
        <v>0</v>
      </c>
      <c r="EE94" s="46" cm="1">
        <f t="array" ref="EE94">ROUND(IFERROR(INDEX(ArchiveResults!$F$5:$IX$116,ComparisonData!A94,ComparisonData!$EE$1),0),5)</f>
        <v>0</v>
      </c>
      <c r="EF94" s="46" cm="1">
        <f t="array" ref="EF94">ROUND(IFERROR(INDEX(ArchiveResults!$F$5:$IX$116,ComparisonData!A94,ComparisonData!$EF$1),0),5)</f>
        <v>0</v>
      </c>
      <c r="EG94" s="46" cm="1">
        <f t="array" ref="EG94">ROUND(IFERROR(INDEX(ArchiveResults!$F$5:$IX$116,ComparisonData!A94,ComparisonData!$EG$1),0),5)</f>
        <v>0</v>
      </c>
      <c r="EH94" s="45" cm="1">
        <f t="array" ref="EH94">IFERROR(INDEX(ArchiveResults!$F$5:$IX$116,ComparisonData!A94,ComparisonData!$EH$1),0)</f>
        <v>0</v>
      </c>
      <c r="EI94" s="56">
        <v>89</v>
      </c>
      <c r="EJ94" s="53" t="str">
        <f t="shared" si="661"/>
        <v>UCL, Institute of Education</v>
      </c>
      <c r="EK94" s="59">
        <f t="shared" si="819"/>
        <v>0</v>
      </c>
      <c r="EL94" s="59">
        <f t="shared" si="820"/>
        <v>0</v>
      </c>
      <c r="EM94" s="59">
        <f t="shared" si="821"/>
        <v>0</v>
      </c>
      <c r="EN94" s="59">
        <f t="shared" si="822"/>
        <v>0</v>
      </c>
      <c r="EO94" s="59">
        <f t="shared" si="823"/>
        <v>0</v>
      </c>
      <c r="EP94" s="58">
        <f t="shared" si="824"/>
        <v>0</v>
      </c>
      <c r="EQ94" s="45">
        <f t="shared" si="825"/>
        <v>72</v>
      </c>
      <c r="ER94" s="54">
        <f t="shared" si="662"/>
        <v>2.7939999999999996</v>
      </c>
      <c r="ES94" s="45">
        <f t="shared" si="826"/>
        <v>1</v>
      </c>
      <c r="ET94" s="45">
        <f t="shared" si="827"/>
        <v>2</v>
      </c>
      <c r="EU94" s="46" cm="1">
        <f t="array" ref="EU94">ROUND(IFERROR(INDEX(ArchiveResults!$F$5:$IX$116,ComparisonData!A94,ComparisonData!$EU$1),0),5)</f>
        <v>0</v>
      </c>
      <c r="EV94" s="46" cm="1">
        <f t="array" ref="EV94">ROUND(IFERROR(INDEX(ArchiveResults!$F$5:$IX$116,ComparisonData!A94,ComparisonData!$EV$1),0),5)</f>
        <v>0</v>
      </c>
      <c r="EW94" s="46" cm="1">
        <f t="array" ref="EW94">ROUND(IFERROR(INDEX(ArchiveResults!$F$5:$IX$116,ComparisonData!A94,ComparisonData!$EW$1),0),5)</f>
        <v>0</v>
      </c>
      <c r="EX94" s="46" cm="1">
        <f t="array" ref="EX94">ROUND(IFERROR(INDEX(ArchiveResults!$F$5:$IX$116,ComparisonData!A94,ComparisonData!$EX$1),0),5)</f>
        <v>0</v>
      </c>
      <c r="EY94" s="45" cm="1">
        <f t="array" ref="EY94">IFERROR(INDEX(ArchiveResults!$F$5:$IX$116,ComparisonData!A94,ComparisonData!$EY$1),0)</f>
        <v>0</v>
      </c>
      <c r="EZ94" s="56">
        <v>89</v>
      </c>
      <c r="FA94" s="53" t="str">
        <f t="shared" si="663"/>
        <v>UCL, Institute of Education</v>
      </c>
      <c r="FB94" s="59">
        <f t="shared" si="828"/>
        <v>0</v>
      </c>
      <c r="FC94" s="59">
        <f t="shared" si="829"/>
        <v>0</v>
      </c>
      <c r="FD94" s="59">
        <f t="shared" si="830"/>
        <v>0</v>
      </c>
      <c r="FE94" s="59">
        <f t="shared" si="831"/>
        <v>0</v>
      </c>
      <c r="FF94" s="59">
        <f t="shared" si="832"/>
        <v>0</v>
      </c>
      <c r="FG94" s="58">
        <f t="shared" si="833"/>
        <v>0</v>
      </c>
      <c r="FH94" s="45">
        <f t="shared" si="834"/>
        <v>72</v>
      </c>
      <c r="FI94" s="54">
        <f t="shared" si="664"/>
        <v>2.7939999999999996</v>
      </c>
      <c r="FJ94" s="45">
        <f t="shared" si="835"/>
        <v>1</v>
      </c>
      <c r="FK94" s="45">
        <f t="shared" si="836"/>
        <v>2</v>
      </c>
      <c r="FL94" s="46" cm="1">
        <f t="array" ref="FL94">ROUND(IFERROR(INDEX(ArchiveResults!$F$5:$IX$116,ComparisonData!A94,ComparisonData!$FL$1),0),5)</f>
        <v>0</v>
      </c>
      <c r="FM94" s="46" cm="1">
        <f t="array" ref="FM94">ROUND(IFERROR(INDEX(ArchiveResults!$F$5:$IX$116,ComparisonData!A94,ComparisonData!$FM$1),0),5)</f>
        <v>0</v>
      </c>
      <c r="FN94" s="46" cm="1">
        <f t="array" ref="FN94">ROUND(IFERROR(INDEX(ArchiveResults!$F$5:$IX$116,ComparisonData!A94,ComparisonData!$FN$1),0),5)</f>
        <v>0</v>
      </c>
      <c r="FO94" s="46" cm="1">
        <f t="array" ref="FO94">ROUND(IFERROR(INDEX(ArchiveResults!$F$5:$IX$116,ComparisonData!A94,ComparisonData!$FO$1),0),5)</f>
        <v>0</v>
      </c>
      <c r="FP94" s="45" cm="1">
        <f t="array" ref="FP94">IFERROR(INDEX(ArchiveResults!$F$5:$IX$116,ComparisonData!A94,ComparisonData!$FP$1),0)</f>
        <v>0</v>
      </c>
      <c r="FQ94" s="56">
        <v>89</v>
      </c>
      <c r="FR94" s="53" t="str">
        <f t="shared" si="665"/>
        <v>UCL, Institute of Education</v>
      </c>
      <c r="FS94" s="59">
        <f t="shared" si="837"/>
        <v>0</v>
      </c>
      <c r="FT94" s="59">
        <f t="shared" si="838"/>
        <v>0</v>
      </c>
      <c r="FU94" s="59">
        <f t="shared" si="839"/>
        <v>0</v>
      </c>
      <c r="FV94" s="59">
        <f t="shared" si="840"/>
        <v>0</v>
      </c>
      <c r="FW94" s="59">
        <f t="shared" si="841"/>
        <v>0</v>
      </c>
      <c r="FX94" s="58">
        <f t="shared" si="842"/>
        <v>0</v>
      </c>
      <c r="FY94" s="45">
        <f t="shared" si="843"/>
        <v>72</v>
      </c>
      <c r="FZ94" s="45">
        <f t="shared" si="666"/>
        <v>2.7939999999999996</v>
      </c>
      <c r="GA94" s="45">
        <f t="shared" si="844"/>
        <v>1</v>
      </c>
      <c r="GB94" s="45">
        <f t="shared" si="845"/>
        <v>2</v>
      </c>
      <c r="GC94" s="46" cm="1">
        <f t="array" ref="GC94">ROUND(IFERROR(INDEX(ArchiveResults!$F$5:$IX$116,ComparisonData!A94,ComparisonData!$GC$1),0),5)</f>
        <v>0</v>
      </c>
      <c r="GD94" s="46" cm="1">
        <f t="array" ref="GD94">ROUND(IFERROR(INDEX(ArchiveResults!$F$5:$IX$116,ComparisonData!A94,ComparisonData!$GD$1),0),5)</f>
        <v>0</v>
      </c>
      <c r="GE94" s="46" cm="1">
        <f t="array" ref="GE94">ROUND(IFERROR(INDEX(ArchiveResults!$F$5:$IX$116,ComparisonData!A94,ComparisonData!$GE$1),0),5)</f>
        <v>0</v>
      </c>
      <c r="GF94" s="46" cm="1">
        <f t="array" ref="GF94">ROUND(IFERROR(INDEX(ArchiveResults!$F$5:$IX$116,ComparisonData!A94,ComparisonData!$GF$1),0),5)</f>
        <v>0</v>
      </c>
      <c r="GG94" s="45" cm="1">
        <f t="array" ref="GG94">IFERROR(INDEX(ArchiveResults!$F$5:$IX$116,ComparisonData!A94,ComparisonData!$GG$1),0)</f>
        <v>0</v>
      </c>
      <c r="GH94" s="56">
        <v>89</v>
      </c>
      <c r="GI94" s="53" t="str">
        <f t="shared" si="667"/>
        <v>UCL, Institute of Education</v>
      </c>
      <c r="GJ94" s="59">
        <f t="shared" si="846"/>
        <v>0</v>
      </c>
      <c r="GK94" s="59">
        <f t="shared" si="847"/>
        <v>0</v>
      </c>
      <c r="GL94" s="59">
        <f t="shared" si="848"/>
        <v>0</v>
      </c>
      <c r="GM94" s="59">
        <f t="shared" si="849"/>
        <v>0</v>
      </c>
      <c r="GN94" s="59">
        <f t="shared" si="850"/>
        <v>0</v>
      </c>
      <c r="GO94" s="58">
        <f t="shared" si="851"/>
        <v>0</v>
      </c>
      <c r="GP94" s="45">
        <f t="shared" si="852"/>
        <v>72</v>
      </c>
      <c r="GQ94" s="45">
        <f t="shared" si="668"/>
        <v>2.7939999999999996</v>
      </c>
      <c r="GR94" s="45">
        <f t="shared" si="853"/>
        <v>1</v>
      </c>
      <c r="GS94" s="45">
        <f t="shared" si="854"/>
        <v>2</v>
      </c>
      <c r="GT94" s="46" cm="1">
        <f t="array" ref="GT94">ROUND(IFERROR(INDEX(ArchiveResults!$F$5:$IX$116,ComparisonData!A94,ComparisonData!$GT$1),0),5)</f>
        <v>0</v>
      </c>
      <c r="GU94" s="46" cm="1">
        <f t="array" ref="GU94">ROUND(IFERROR(INDEX(ArchiveResults!$F$5:$IX$116,ComparisonData!A94,ComparisonData!$GU$1),0),5)</f>
        <v>0</v>
      </c>
      <c r="GV94" s="46" cm="1">
        <f t="array" ref="GV94">ROUND(IFERROR(INDEX(ArchiveResults!$F$5:$IX$116,ComparisonData!A94,ComparisonData!$GV$1),0),5)</f>
        <v>0</v>
      </c>
      <c r="GW94" s="46" cm="1">
        <f t="array" ref="GW94">ROUND(IFERROR(INDEX(ArchiveResults!$F$5:$IX$116,ComparisonData!A94,ComparisonData!$GW$1),0),5)</f>
        <v>0</v>
      </c>
      <c r="GX94" s="45" cm="1">
        <f t="array" ref="GX94">IFERROR(INDEX(ArchiveResults!$F$5:$IX$116,ComparisonData!A94,ComparisonData!$GX$1),0)</f>
        <v>0</v>
      </c>
      <c r="GY94" s="56">
        <v>89</v>
      </c>
      <c r="GZ94" s="53" t="str">
        <f t="shared" si="669"/>
        <v>UCL, Institute of Education</v>
      </c>
      <c r="HA94" s="59">
        <f t="shared" si="855"/>
        <v>0</v>
      </c>
      <c r="HB94" s="59">
        <f t="shared" si="856"/>
        <v>0</v>
      </c>
      <c r="HC94" s="59">
        <f t="shared" si="857"/>
        <v>0</v>
      </c>
      <c r="HD94" s="59">
        <f t="shared" si="858"/>
        <v>0</v>
      </c>
      <c r="HE94" s="59">
        <f t="shared" si="859"/>
        <v>0</v>
      </c>
      <c r="HF94" s="58">
        <f t="shared" si="860"/>
        <v>0</v>
      </c>
      <c r="HG94" s="45">
        <f t="shared" si="861"/>
        <v>72</v>
      </c>
      <c r="HH94" s="45">
        <f t="shared" si="670"/>
        <v>2.7939999999999996</v>
      </c>
      <c r="HI94" s="45">
        <f t="shared" si="862"/>
        <v>1</v>
      </c>
      <c r="HJ94" s="45">
        <f t="shared" si="863"/>
        <v>2</v>
      </c>
      <c r="HK94" s="46" cm="1">
        <f t="array" ref="HK94">ROUND(IFERROR(INDEX(ArchiveResults!$F$5:$IX$116,ComparisonData!A94,ComparisonData!$HK$1),0),5)</f>
        <v>0</v>
      </c>
      <c r="HL94" s="46" cm="1">
        <f t="array" ref="HL94">ROUND(IFERROR(INDEX(ArchiveResults!$F$5:$IX$116,ComparisonData!A94,ComparisonData!$HL$1),0),5)</f>
        <v>0</v>
      </c>
      <c r="HM94" s="46" cm="1">
        <f t="array" ref="HM94">ROUND(IFERROR(INDEX(ArchiveResults!$F$5:$IX$116,ComparisonData!A94,ComparisonData!$HM$1),0),5)</f>
        <v>0</v>
      </c>
      <c r="HN94" s="46" cm="1">
        <f t="array" ref="HN94">ROUND(IFERROR(INDEX(ArchiveResults!$F$5:$IX$116,ComparisonData!A94,ComparisonData!$HN$1),0),5)</f>
        <v>0</v>
      </c>
      <c r="HO94" s="45" cm="1">
        <f t="array" ref="HO94">IFERROR(INDEX(ArchiveResults!$F$5:$IX$116,ComparisonData!A94,ComparisonData!$HO$1),0)</f>
        <v>0</v>
      </c>
      <c r="HP94" s="56">
        <v>89</v>
      </c>
      <c r="HQ94" s="53" t="str">
        <f t="shared" si="671"/>
        <v>UCL, Institute of Education</v>
      </c>
      <c r="HR94" s="59">
        <f t="shared" si="672"/>
        <v>0</v>
      </c>
      <c r="HS94" s="59">
        <f t="shared" si="673"/>
        <v>0</v>
      </c>
      <c r="HT94" s="59">
        <f t="shared" si="674"/>
        <v>0</v>
      </c>
      <c r="HU94" s="59">
        <f t="shared" si="675"/>
        <v>0</v>
      </c>
      <c r="HV94" s="59">
        <f t="shared" si="676"/>
        <v>0</v>
      </c>
      <c r="HW94" s="58">
        <f t="shared" si="864"/>
        <v>0</v>
      </c>
      <c r="HX94" s="45">
        <f t="shared" si="865"/>
        <v>72</v>
      </c>
      <c r="HY94" s="45">
        <f t="shared" si="677"/>
        <v>2.7939999999999996</v>
      </c>
      <c r="HZ94" s="45">
        <f t="shared" si="866"/>
        <v>1</v>
      </c>
      <c r="IA94" s="45">
        <f t="shared" si="867"/>
        <v>2</v>
      </c>
      <c r="IB94" s="45">
        <f t="shared" si="868"/>
        <v>0</v>
      </c>
      <c r="IC94" s="46" cm="1">
        <f t="array" ref="IC94">ROUND(IFERROR(INDEX(ArchiveResults!$F$5:$IX$116,ComparisonData!A94,ComparisonData!$IC$1),0),5)</f>
        <v>0</v>
      </c>
      <c r="ID94" s="46" cm="1">
        <f t="array" ref="ID94">ROUND(IFERROR(INDEX(ArchiveResults!$F$5:$IX$116,ComparisonData!A94,ComparisonData!$ID$1),0),5)</f>
        <v>0</v>
      </c>
      <c r="IE94" s="46" cm="1">
        <f t="array" ref="IE94">ROUND(IFERROR(INDEX(ArchiveResults!$F$5:$IX$116,ComparisonData!A94,ComparisonData!$IE$1),0),5)</f>
        <v>0</v>
      </c>
      <c r="IF94" s="46" cm="1">
        <f t="array" ref="IF94">ROUND(IFERROR(INDEX(ArchiveResults!$F$5:$IX$116,ComparisonData!A94,ComparisonData!$IF$1),0),5)</f>
        <v>0</v>
      </c>
      <c r="IG94" s="45" cm="1">
        <f t="array" ref="IG94">IFERROR(INDEX(ArchiveResults!$F$5:$IX$116,ComparisonData!A94,ComparisonData!$IG$1),0)</f>
        <v>0</v>
      </c>
      <c r="IH94" s="56">
        <v>89</v>
      </c>
      <c r="II94" s="53" t="str">
        <f t="shared" si="678"/>
        <v>UCL, Institute of Education</v>
      </c>
      <c r="IJ94" s="59">
        <f t="shared" si="869"/>
        <v>0</v>
      </c>
      <c r="IK94" s="59">
        <f t="shared" si="870"/>
        <v>0</v>
      </c>
      <c r="IL94" s="59">
        <f t="shared" si="871"/>
        <v>0</v>
      </c>
      <c r="IM94" s="59">
        <f t="shared" si="872"/>
        <v>0</v>
      </c>
      <c r="IN94" s="59">
        <f t="shared" si="873"/>
        <v>0</v>
      </c>
      <c r="IO94" s="58">
        <f t="shared" si="874"/>
        <v>0</v>
      </c>
      <c r="IP94" s="45">
        <f t="shared" si="875"/>
        <v>72</v>
      </c>
      <c r="IQ94" s="45">
        <f t="shared" si="679"/>
        <v>2.7939999999999996</v>
      </c>
      <c r="IR94" s="45">
        <f t="shared" si="876"/>
        <v>1</v>
      </c>
      <c r="IS94" s="45">
        <f t="shared" si="877"/>
        <v>2</v>
      </c>
      <c r="IT94" s="46">
        <f t="shared" si="878"/>
        <v>0</v>
      </c>
      <c r="IU94" s="46" cm="1">
        <f t="array" ref="IU94">ROUND(IFERROR(INDEX(ArchiveResults!$F$5:$IX$116,ComparisonData!A94,ComparisonData!$IU$1),0),5)</f>
        <v>0</v>
      </c>
      <c r="IV94" s="46" cm="1">
        <f t="array" ref="IV94">ROUND(IFERROR(INDEX(ArchiveResults!$F$5:$IX$116,ComparisonData!A94,ComparisonData!$IV$1),0),5)</f>
        <v>0</v>
      </c>
      <c r="IW94" s="46" cm="1">
        <f t="array" ref="IW94">ROUND(IFERROR(INDEX(ArchiveResults!$F$5:$IX$116,ComparisonData!A94,ComparisonData!$IW$1),0),5)</f>
        <v>0</v>
      </c>
      <c r="IX94" s="46" cm="1">
        <f t="array" ref="IX94">ROUND(IFERROR(INDEX(ArchiveResults!$F$5:$IX$116,ComparisonData!A94,ComparisonData!$IX$1),0),5)</f>
        <v>0</v>
      </c>
      <c r="IY94" s="45" cm="1">
        <f t="array" ref="IY94">IFERROR(INDEX(ArchiveResults!$F$5:$IX$116,ComparisonData!A94,ComparisonData!$IY$1),0)</f>
        <v>0</v>
      </c>
      <c r="IZ94" s="56">
        <v>89</v>
      </c>
      <c r="JA94" s="53" t="str">
        <f t="shared" si="680"/>
        <v>UCL, Institute of Education</v>
      </c>
      <c r="JB94" s="59">
        <f t="shared" si="879"/>
        <v>0</v>
      </c>
      <c r="JC94" s="59">
        <f t="shared" si="880"/>
        <v>0</v>
      </c>
      <c r="JD94" s="59">
        <f t="shared" si="881"/>
        <v>0</v>
      </c>
      <c r="JE94" s="59">
        <f t="shared" si="882"/>
        <v>0</v>
      </c>
      <c r="JF94" s="59">
        <f t="shared" si="883"/>
        <v>0</v>
      </c>
      <c r="JG94" s="58">
        <f t="shared" si="884"/>
        <v>0</v>
      </c>
      <c r="JH94" s="45">
        <f t="shared" si="885"/>
        <v>72</v>
      </c>
      <c r="JI94" s="45">
        <f t="shared" si="681"/>
        <v>2.7939999999999996</v>
      </c>
      <c r="JJ94" s="45">
        <f t="shared" si="886"/>
        <v>1</v>
      </c>
      <c r="JK94" s="45">
        <f t="shared" si="887"/>
        <v>2</v>
      </c>
      <c r="JL94" s="45">
        <f t="shared" si="888"/>
        <v>0</v>
      </c>
      <c r="JM94" s="46" cm="1">
        <f t="array" ref="JM94">ROUND(IFERROR(INDEX(ArchiveResults!$F$5:$IX$116,ComparisonData!A94,ComparisonData!$JM$1),0),5)</f>
        <v>0</v>
      </c>
      <c r="JN94" s="46" cm="1">
        <f t="array" ref="JN94">ROUND(IFERROR(INDEX(ArchiveResults!$F$5:$IX$116,ComparisonData!A94,ComparisonData!$JN$1),0),5)</f>
        <v>0</v>
      </c>
      <c r="JO94" s="46" cm="1">
        <f t="array" ref="JO94">ROUND(IFERROR(INDEX(ArchiveResults!$F$5:$IX$116,ComparisonData!A94,ComparisonData!$JO$1),0),5)</f>
        <v>0</v>
      </c>
      <c r="JP94" s="46" cm="1">
        <f t="array" ref="JP94">ROUND(IFERROR(INDEX(ArchiveResults!$F$5:$IX$116,ComparisonData!A94,ComparisonData!$JP$1),0),5)</f>
        <v>0</v>
      </c>
      <c r="JQ94" s="45" cm="1">
        <f t="array" ref="JQ94">IFERROR(INDEX(ArchiveResults!$F$5:$IX$116,ComparisonData!A94,ComparisonData!$JQ$1),0)</f>
        <v>0</v>
      </c>
      <c r="JR94" s="56">
        <v>89</v>
      </c>
      <c r="JS94" s="53" t="str">
        <f t="shared" si="682"/>
        <v>UCL, Institute of Education</v>
      </c>
      <c r="JT94" s="59">
        <f t="shared" si="889"/>
        <v>0</v>
      </c>
      <c r="JU94" s="59">
        <f t="shared" si="890"/>
        <v>0</v>
      </c>
      <c r="JV94" s="59">
        <f t="shared" si="891"/>
        <v>0</v>
      </c>
      <c r="JW94" s="59">
        <f t="shared" si="892"/>
        <v>0</v>
      </c>
      <c r="JX94" s="59">
        <f t="shared" si="893"/>
        <v>0</v>
      </c>
      <c r="JY94" s="58">
        <f t="shared" si="894"/>
        <v>0</v>
      </c>
      <c r="JZ94" s="45">
        <f t="shared" si="895"/>
        <v>72</v>
      </c>
      <c r="KA94" s="45">
        <f t="shared" si="683"/>
        <v>2.7939999999999996</v>
      </c>
      <c r="KB94" s="45">
        <f t="shared" si="896"/>
        <v>1</v>
      </c>
      <c r="KC94" s="45">
        <f t="shared" si="897"/>
        <v>2</v>
      </c>
      <c r="KD94" s="45">
        <f t="shared" si="898"/>
        <v>0</v>
      </c>
      <c r="KE94" s="46" cm="1">
        <f t="array" ref="KE94">ROUND(IFERROR(INDEX(ArchiveResults!$F$5:$IX$116,ComparisonData!A94,ComparisonData!$KE$1),0),5)</f>
        <v>0</v>
      </c>
      <c r="KF94" s="46" cm="1">
        <f t="array" ref="KF94">ROUND(IFERROR(INDEX(ArchiveResults!$F$5:$IX$116,ComparisonData!A94,ComparisonData!$KF$1),0),5)</f>
        <v>0</v>
      </c>
      <c r="KG94" s="46" cm="1">
        <f t="array" ref="KG94">ROUND(IFERROR(INDEX(ArchiveResults!$F$5:$IX$116,ComparisonData!A94,ComparisonData!$KG$1),0),5)</f>
        <v>0</v>
      </c>
      <c r="KH94" s="46" cm="1">
        <f t="array" ref="KH94">ROUND(IFERROR(INDEX(ArchiveResults!$F$5:$IX$116,ComparisonData!A94,ComparisonData!$KH$1),0),5)</f>
        <v>0</v>
      </c>
      <c r="KI94" s="45" cm="1">
        <f t="array" ref="KI94">IFERROR(INDEX(ArchiveResults!$F$5:$IX$116,ComparisonData!A94,ComparisonData!$KI$1),0)</f>
        <v>0</v>
      </c>
      <c r="KJ94" s="56">
        <v>89</v>
      </c>
      <c r="KK94" s="53" t="str">
        <f t="shared" si="684"/>
        <v>UCL, Institute of Education</v>
      </c>
      <c r="KL94" s="59">
        <f t="shared" si="899"/>
        <v>0</v>
      </c>
      <c r="KM94" s="59">
        <f t="shared" si="900"/>
        <v>0</v>
      </c>
      <c r="KN94" s="59">
        <f t="shared" si="901"/>
        <v>0</v>
      </c>
      <c r="KO94" s="59">
        <f t="shared" si="902"/>
        <v>0</v>
      </c>
      <c r="KP94" s="59">
        <f t="shared" si="903"/>
        <v>0</v>
      </c>
      <c r="KQ94" s="58">
        <f t="shared" si="904"/>
        <v>0</v>
      </c>
      <c r="KR94" s="45">
        <f t="shared" si="905"/>
        <v>72</v>
      </c>
      <c r="KS94" s="45">
        <f t="shared" si="685"/>
        <v>2.7939999999999996</v>
      </c>
      <c r="KT94" s="45">
        <f t="shared" si="906"/>
        <v>1</v>
      </c>
      <c r="KU94" s="45">
        <f t="shared" si="907"/>
        <v>2</v>
      </c>
      <c r="KV94" s="45">
        <f t="shared" si="908"/>
        <v>0</v>
      </c>
      <c r="KW94" s="46" cm="1">
        <f t="array" ref="KW94">ROUND(IFERROR(INDEX(ArchiveResults!$F$5:$IX$116,ComparisonData!A94,ComparisonData!$KW$1),0),5)</f>
        <v>0</v>
      </c>
      <c r="KX94" s="46" cm="1">
        <f t="array" ref="KX94">ROUND(IFERROR(INDEX(ArchiveResults!$F$5:$IX$116,ComparisonData!A94,ComparisonData!$KX$1),0),5)</f>
        <v>0</v>
      </c>
      <c r="KY94" s="46" cm="1">
        <f t="array" ref="KY94">ROUND(IFERROR(INDEX(ArchiveResults!$F$5:$IX$116,ComparisonData!A94,ComparisonData!$KY$1),0),5)</f>
        <v>0</v>
      </c>
      <c r="KZ94" s="46" cm="1">
        <f t="array" ref="KZ94">ROUND(IFERROR(INDEX(ArchiveResults!$F$5:$IX$116,ComparisonData!A94,ComparisonData!$KZ$1),0),5)</f>
        <v>0</v>
      </c>
      <c r="LA94" s="45" cm="1">
        <f t="array" ref="LA94">IFERROR(INDEX(ArchiveResults!$F$5:$IX$116,ComparisonData!A94,ComparisonData!$LA$1),0)</f>
        <v>0</v>
      </c>
      <c r="LB94" s="56">
        <v>89</v>
      </c>
      <c r="LC94" s="53" t="str">
        <f t="shared" si="686"/>
        <v>UCL, Institute of Education</v>
      </c>
      <c r="LD94" s="59">
        <f t="shared" si="909"/>
        <v>0</v>
      </c>
      <c r="LE94" s="59">
        <f t="shared" si="910"/>
        <v>0</v>
      </c>
      <c r="LF94" s="59">
        <f t="shared" si="911"/>
        <v>0</v>
      </c>
      <c r="LG94" s="59">
        <f t="shared" si="912"/>
        <v>0</v>
      </c>
      <c r="LH94" s="59">
        <f t="shared" si="913"/>
        <v>0</v>
      </c>
      <c r="LI94" s="58">
        <f t="shared" si="914"/>
        <v>0</v>
      </c>
      <c r="LJ94" s="45">
        <f t="shared" si="915"/>
        <v>72</v>
      </c>
      <c r="LK94" s="45">
        <f t="shared" si="687"/>
        <v>2.7939999999999996</v>
      </c>
      <c r="LL94" s="45">
        <f t="shared" si="916"/>
        <v>1</v>
      </c>
      <c r="LM94" s="45">
        <f t="shared" si="917"/>
        <v>2</v>
      </c>
      <c r="LN94" s="45">
        <f t="shared" si="918"/>
        <v>0</v>
      </c>
      <c r="LO94" s="46" cm="1">
        <f t="array" ref="LO94">ROUND(IFERROR(INDEX(ArchiveResults!$F$5:$IX$116,ComparisonData!A94,ComparisonData!$LO$1),0),5)</f>
        <v>0</v>
      </c>
      <c r="LP94" s="46" cm="1">
        <f t="array" ref="LP94">ROUND(IFERROR(INDEX(ArchiveResults!$F$5:$IX$116,ComparisonData!A94,ComparisonData!$LP$1),0),5)</f>
        <v>0</v>
      </c>
      <c r="LQ94" s="46" cm="1">
        <f t="array" ref="LQ94">ROUND(IFERROR(INDEX(ArchiveResults!$F$5:$IX$116,ComparisonData!A94,ComparisonData!$LQ$1),0),5)</f>
        <v>0</v>
      </c>
      <c r="LR94" s="46" cm="1">
        <f t="array" ref="LR94">ROUND(IFERROR(INDEX(ArchiveResults!$F$5:$IX$116,ComparisonData!A94,ComparisonData!$LR$1),0),5)</f>
        <v>0</v>
      </c>
      <c r="LS94" s="45" cm="1">
        <f t="array" ref="LS94">IFERROR(INDEX(ArchiveResults!$F$5:$IX$116,ComparisonData!A94,ComparisonData!$LS$1),0)</f>
        <v>0</v>
      </c>
      <c r="LT94" s="56">
        <v>89</v>
      </c>
      <c r="LU94" s="53" t="str">
        <f t="shared" si="688"/>
        <v>UCL, Institute of Education</v>
      </c>
      <c r="LV94" s="59">
        <f t="shared" si="919"/>
        <v>0</v>
      </c>
      <c r="LW94" s="59">
        <f t="shared" si="920"/>
        <v>0</v>
      </c>
      <c r="LX94" s="59">
        <f t="shared" si="921"/>
        <v>0</v>
      </c>
      <c r="LY94" s="59">
        <f t="shared" si="922"/>
        <v>0</v>
      </c>
      <c r="LZ94" s="59">
        <f t="shared" si="923"/>
        <v>0</v>
      </c>
      <c r="MA94" s="58">
        <f t="shared" si="924"/>
        <v>0</v>
      </c>
      <c r="MB94" s="45">
        <f t="shared" si="925"/>
        <v>72</v>
      </c>
      <c r="MC94" s="45">
        <f t="shared" si="689"/>
        <v>2.7939999999999996</v>
      </c>
      <c r="MD94" s="45">
        <f t="shared" si="926"/>
        <v>1</v>
      </c>
      <c r="ME94" s="45">
        <f t="shared" si="927"/>
        <v>2</v>
      </c>
      <c r="MF94" s="45">
        <f t="shared" si="928"/>
        <v>0</v>
      </c>
      <c r="MG94" s="46" cm="1">
        <f t="array" ref="MG94">ROUND(IFERROR(INDEX(ArchiveResults!$F$5:$IX$116,ComparisonData!A94,ComparisonData!$MG$1),0),5)</f>
        <v>0</v>
      </c>
      <c r="MH94" s="46" cm="1">
        <f t="array" ref="MH94">ROUND(IFERROR(INDEX(ArchiveResults!$F$5:$IX$116,ComparisonData!A94,ComparisonData!$MH$1),0),5)</f>
        <v>0</v>
      </c>
      <c r="MI94" s="46" cm="1">
        <f t="array" ref="MI94">ROUND(IFERROR(INDEX(ArchiveResults!$F$5:$IX$116,ComparisonData!A94,ComparisonData!$MI$1),0),5)</f>
        <v>0</v>
      </c>
      <c r="MJ94" s="46" cm="1">
        <f t="array" ref="MJ94">ROUND(IFERROR(INDEX(ArchiveResults!$F$5:$IX$116,ComparisonData!A94,ComparisonData!$MJ$1),0),5)</f>
        <v>0</v>
      </c>
      <c r="MK94" s="45" cm="1">
        <f t="array" ref="MK94">IFERROR(INDEX(ArchiveResults!$F$5:$IX$116,ComparisonData!A94,ComparisonData!$MK$1),0)</f>
        <v>0</v>
      </c>
      <c r="ML94" s="56">
        <v>89</v>
      </c>
      <c r="MM94" s="53" t="str">
        <f t="shared" si="690"/>
        <v>UCL, Institute of Education</v>
      </c>
      <c r="MN94" s="59">
        <f t="shared" si="929"/>
        <v>0</v>
      </c>
      <c r="MO94" s="59">
        <f t="shared" si="930"/>
        <v>0</v>
      </c>
      <c r="MP94" s="59">
        <f t="shared" si="931"/>
        <v>0</v>
      </c>
      <c r="MQ94" s="59">
        <f t="shared" si="932"/>
        <v>0</v>
      </c>
      <c r="MR94" s="59">
        <f t="shared" si="933"/>
        <v>0</v>
      </c>
      <c r="MS94" s="58">
        <f t="shared" si="934"/>
        <v>0</v>
      </c>
      <c r="MT94" s="45">
        <f t="shared" si="935"/>
        <v>72</v>
      </c>
      <c r="MU94" s="45">
        <f t="shared" si="691"/>
        <v>2.7939999999999996</v>
      </c>
      <c r="MV94" s="45">
        <f t="shared" si="936"/>
        <v>1</v>
      </c>
      <c r="MW94" s="45">
        <f t="shared" si="937"/>
        <v>2</v>
      </c>
      <c r="MX94" s="45">
        <f t="shared" si="938"/>
        <v>0</v>
      </c>
      <c r="MY94" s="46" cm="1">
        <f t="array" ref="MY94">ROUND(IFERROR(INDEX(ArchiveResults!$F$5:$IX$116,ComparisonData!A94,ComparisonData!$MY$1),0),5)</f>
        <v>0</v>
      </c>
      <c r="MZ94" s="46" cm="1">
        <f t="array" ref="MZ94">ROUND(IFERROR(INDEX(ArchiveResults!$F$5:$IX$116,ComparisonData!A94,ComparisonData!$MZ$1),0),5)</f>
        <v>0</v>
      </c>
      <c r="NA94" s="46" cm="1">
        <f t="array" ref="NA94">ROUND(IFERROR(INDEX(ArchiveResults!$F$5:$IX$116,ComparisonData!A94,ComparisonData!$NA$1),0),5)</f>
        <v>0</v>
      </c>
      <c r="NB94" s="46" cm="1">
        <f t="array" ref="NB94">ROUND(IFERROR(INDEX(ArchiveResults!$F$5:$IX$116,ComparisonData!A94,ComparisonData!$NB$1),0),5)</f>
        <v>0</v>
      </c>
      <c r="NC94" s="45" cm="1">
        <f t="array" ref="NC94">IFERROR(INDEX(ArchiveResults!$F$5:$IX$116,ComparisonData!A94,ComparisonData!$NC$1),0)</f>
        <v>0</v>
      </c>
      <c r="ND94" s="56">
        <v>89</v>
      </c>
      <c r="NE94" s="53" t="str">
        <f t="shared" si="692"/>
        <v>UCL, Institute of Education</v>
      </c>
      <c r="NF94" s="59">
        <f t="shared" si="939"/>
        <v>0</v>
      </c>
      <c r="NG94" s="59">
        <f t="shared" si="940"/>
        <v>0</v>
      </c>
      <c r="NH94" s="59">
        <f t="shared" si="941"/>
        <v>0</v>
      </c>
      <c r="NI94" s="59">
        <f t="shared" si="942"/>
        <v>0</v>
      </c>
      <c r="NJ94" s="59">
        <f t="shared" si="943"/>
        <v>0</v>
      </c>
      <c r="NK94" s="58">
        <f t="shared" si="944"/>
        <v>0</v>
      </c>
      <c r="NL94" s="45">
        <f t="shared" si="945"/>
        <v>72</v>
      </c>
      <c r="NM94" s="45">
        <f t="shared" si="693"/>
        <v>2.7939999999999996</v>
      </c>
      <c r="NN94" s="45">
        <f t="shared" si="946"/>
        <v>1</v>
      </c>
      <c r="NO94" s="45">
        <f t="shared" si="947"/>
        <v>2</v>
      </c>
      <c r="NP94" s="46" cm="1">
        <f t="array" ref="NP94">ROUND(IFERROR(INDEX(ArchiveResults!$F$5:$IX$116,ComparisonData!A94,ComparisonData!$NP$1),0),5)</f>
        <v>0</v>
      </c>
      <c r="NQ94" s="46" cm="1">
        <f t="array" ref="NQ94">ROUND(IFERROR(INDEX(ArchiveResults!$F$5:$IX$116,ComparisonData!A94,ComparisonData!$NQ$1),0),5)</f>
        <v>0</v>
      </c>
      <c r="NR94" s="46" cm="1">
        <f t="array" ref="NR94">ROUND(IFERROR(INDEX(ArchiveResults!$F$5:$IX$116,ComparisonData!A94,ComparisonData!$NR$1),0),5)</f>
        <v>0</v>
      </c>
      <c r="NS94" s="46" cm="1">
        <f t="array" ref="NS94">ROUND(IFERROR(INDEX(ArchiveResults!$F$5:$IX$116,ComparisonData!A94,ComparisonData!$NS$1),0),5)</f>
        <v>0</v>
      </c>
      <c r="NT94" s="45" cm="1">
        <f t="array" ref="NT94">IFERROR(INDEX(ArchiveResults!$F$5:$IX$116,ComparisonData!A94,ComparisonData!$NT$1),0)</f>
        <v>0</v>
      </c>
      <c r="NU94" s="56">
        <v>89</v>
      </c>
      <c r="NV94" s="53" t="str">
        <f t="shared" si="694"/>
        <v>UCL, Institute of Education</v>
      </c>
      <c r="NW94" s="59">
        <f t="shared" si="948"/>
        <v>0</v>
      </c>
      <c r="NX94" s="59">
        <f t="shared" si="949"/>
        <v>0</v>
      </c>
      <c r="NY94" s="59">
        <f t="shared" si="950"/>
        <v>0</v>
      </c>
      <c r="NZ94" s="59">
        <f t="shared" si="951"/>
        <v>0</v>
      </c>
      <c r="OA94" s="59">
        <f t="shared" si="952"/>
        <v>0</v>
      </c>
      <c r="OB94" s="58">
        <f t="shared" si="953"/>
        <v>0</v>
      </c>
      <c r="OC94" s="45">
        <f t="shared" si="954"/>
        <v>72</v>
      </c>
      <c r="OD94" s="45">
        <f t="shared" si="695"/>
        <v>2.7939999999999996</v>
      </c>
      <c r="OE94" s="45">
        <f t="shared" si="955"/>
        <v>1</v>
      </c>
      <c r="OF94" s="45">
        <f t="shared" si="956"/>
        <v>2</v>
      </c>
      <c r="OG94" s="46">
        <f t="shared" si="957"/>
        <v>0</v>
      </c>
      <c r="OH94" s="46" cm="1">
        <f t="array" ref="OH94">ROUND(IFERROR(INDEX(ArchiveResults!$F$5:$IX$116,ComparisonData!A94,ComparisonData!$OH$1),0),5)</f>
        <v>0</v>
      </c>
      <c r="OI94" s="46" cm="1">
        <f t="array" ref="OI94">ROUND(IFERROR(INDEX(ArchiveResults!$F$5:$IX$116,ComparisonData!A94,ComparisonData!$OI$1),0),5)</f>
        <v>0</v>
      </c>
      <c r="OJ94" s="46" cm="1">
        <f t="array" ref="OJ94">ROUND(IFERROR(INDEX(ArchiveResults!$F$5:$IX$116,ComparisonData!A94,ComparisonData!$OJ$1),0),5)</f>
        <v>0</v>
      </c>
      <c r="OK94" s="46" cm="1">
        <f t="array" ref="OK94">ROUND(IFERROR(INDEX(ArchiveResults!$F$5:$IX$116,ComparisonData!A94,ComparisonData!$OK$1),0),5)</f>
        <v>0</v>
      </c>
      <c r="OL94" s="45" cm="1">
        <f t="array" ref="OL94">IFERROR(INDEX(ArchiveResults!$F$5:$IX$116,ComparisonData!A94,ComparisonData!$OL$1),0)</f>
        <v>0</v>
      </c>
      <c r="OM94" s="56">
        <v>89</v>
      </c>
      <c r="ON94" s="53" t="str">
        <f t="shared" si="696"/>
        <v>UCL, Institute of Education</v>
      </c>
      <c r="OO94" s="59">
        <f t="shared" si="958"/>
        <v>0</v>
      </c>
      <c r="OP94" s="59">
        <f t="shared" si="959"/>
        <v>0</v>
      </c>
      <c r="OQ94" s="59">
        <f t="shared" si="960"/>
        <v>0</v>
      </c>
      <c r="OR94" s="59">
        <f t="shared" si="961"/>
        <v>0</v>
      </c>
      <c r="OS94" s="59">
        <f t="shared" si="962"/>
        <v>0</v>
      </c>
      <c r="OT94" s="58">
        <f t="shared" si="963"/>
        <v>0</v>
      </c>
      <c r="OU94" s="45">
        <f t="shared" si="964"/>
        <v>72</v>
      </c>
      <c r="OV94" s="45">
        <f t="shared" si="697"/>
        <v>2.7939999999999996</v>
      </c>
      <c r="OW94" s="45">
        <f t="shared" si="965"/>
        <v>1</v>
      </c>
      <c r="OX94" s="45">
        <f t="shared" si="966"/>
        <v>2</v>
      </c>
      <c r="OY94" s="45">
        <f t="shared" si="967"/>
        <v>0</v>
      </c>
      <c r="OZ94" s="46" cm="1">
        <f t="array" ref="OZ94">ROUND(IFERROR(INDEX(ArchiveResults!$F$5:$IX$116,ComparisonData!A94,ComparisonData!$OZ$1),0),5)</f>
        <v>0</v>
      </c>
      <c r="PA94" s="46" cm="1">
        <f t="array" ref="PA94">ROUND(IFERROR(INDEX(ArchiveResults!$F$5:$IX$116,ComparisonData!A94,ComparisonData!$PA$1),0),5)</f>
        <v>0</v>
      </c>
      <c r="PB94" s="46" cm="1">
        <f t="array" ref="PB94">ROUND(IFERROR(INDEX(ArchiveResults!$F$5:$IX$116,ComparisonData!A94,ComparisonData!$PB$1),0),5)</f>
        <v>0</v>
      </c>
      <c r="PC94" s="46" cm="1">
        <f t="array" ref="PC94">ROUND(IFERROR(INDEX(ArchiveResults!$F$5:$IX$116,ComparisonData!A94,ComparisonData!$PC$1),0),5)</f>
        <v>0</v>
      </c>
      <c r="PD94" s="45" cm="1">
        <f t="array" ref="PD94">IFERROR(INDEX(ArchiveResults!$F$5:$IX$116,ComparisonData!A94,ComparisonData!$PD$1),0)</f>
        <v>0</v>
      </c>
      <c r="PE94" s="56">
        <v>89</v>
      </c>
      <c r="PF94" s="53" t="str">
        <f t="shared" si="698"/>
        <v>UCL, Institute of Education</v>
      </c>
      <c r="PG94" s="59">
        <f t="shared" si="968"/>
        <v>0</v>
      </c>
      <c r="PH94" s="59">
        <f t="shared" si="969"/>
        <v>0</v>
      </c>
      <c r="PI94" s="59">
        <f t="shared" si="970"/>
        <v>0</v>
      </c>
      <c r="PJ94" s="59">
        <f t="shared" si="971"/>
        <v>0</v>
      </c>
      <c r="PK94" s="59">
        <f t="shared" si="972"/>
        <v>0</v>
      </c>
      <c r="PL94" s="58">
        <f t="shared" si="973"/>
        <v>0</v>
      </c>
      <c r="PM94" s="45">
        <f t="shared" si="974"/>
        <v>72</v>
      </c>
      <c r="PN94" s="45">
        <f t="shared" si="699"/>
        <v>2.7939999999999996</v>
      </c>
      <c r="PO94" s="45">
        <f t="shared" si="975"/>
        <v>1</v>
      </c>
      <c r="PP94" s="45">
        <f t="shared" si="976"/>
        <v>2</v>
      </c>
      <c r="PQ94" s="45">
        <f t="shared" si="977"/>
        <v>0</v>
      </c>
      <c r="PR94" s="46" cm="1">
        <f t="array" ref="PR94">ROUND(IFERROR(INDEX(ArchiveResults!$F$5:$IX$116,ComparisonData!A94,ComparisonData!$PR$1),0),5)</f>
        <v>0</v>
      </c>
      <c r="PS94" s="46" cm="1">
        <f t="array" ref="PS94">ROUND(IFERROR(INDEX(ArchiveResults!$F$5:$IX$116,ComparisonData!A94,ComparisonData!$PS$1),0),5)</f>
        <v>0</v>
      </c>
      <c r="PT94" s="46" cm="1">
        <f t="array" ref="PT94">ROUND(IFERROR(INDEX(ArchiveResults!$F$5:$IX$116,ComparisonData!A94,ComparisonData!$PT$1),0),5)</f>
        <v>0</v>
      </c>
      <c r="PU94" s="46" cm="1">
        <f t="array" ref="PU94">ROUND(IFERROR(INDEX(ArchiveResults!$F$5:$IX$116,ComparisonData!A94,ComparisonData!$PU$1),0),5)</f>
        <v>0</v>
      </c>
      <c r="PV94" s="45" cm="1">
        <f t="array" ref="PV94">IFERROR(INDEX(ArchiveResults!$F$5:$IX$116,ComparisonData!A94,ComparisonData!$PV$1),0)</f>
        <v>0</v>
      </c>
      <c r="PW94" s="56">
        <v>89</v>
      </c>
      <c r="PX94" s="53" t="str">
        <f t="shared" si="700"/>
        <v>UCL, Institute of Education</v>
      </c>
      <c r="PY94" s="59">
        <f t="shared" si="978"/>
        <v>0</v>
      </c>
      <c r="PZ94" s="59">
        <f t="shared" si="979"/>
        <v>0</v>
      </c>
      <c r="QA94" s="59">
        <f t="shared" si="980"/>
        <v>0</v>
      </c>
      <c r="QB94" s="59">
        <f t="shared" si="981"/>
        <v>0</v>
      </c>
      <c r="QC94" s="59">
        <f t="shared" si="982"/>
        <v>0</v>
      </c>
      <c r="QD94" s="58">
        <f t="shared" si="983"/>
        <v>0</v>
      </c>
      <c r="QE94" s="45">
        <f t="shared" si="984"/>
        <v>72</v>
      </c>
      <c r="QF94" s="45">
        <f t="shared" si="701"/>
        <v>2.7939999999999996</v>
      </c>
      <c r="QG94" s="45">
        <f t="shared" si="985"/>
        <v>1</v>
      </c>
      <c r="QH94" s="45">
        <f t="shared" si="986"/>
        <v>2</v>
      </c>
      <c r="QI94" s="45">
        <f t="shared" si="987"/>
        <v>0</v>
      </c>
      <c r="QJ94" s="46" cm="1">
        <f t="array" ref="QJ94">ROUND(IFERROR(INDEX(ArchiveResults!$F$5:$IX$116,ComparisonData!A94,ComparisonData!$QJ$1),0),5)</f>
        <v>0</v>
      </c>
      <c r="QK94" s="46" cm="1">
        <f t="array" ref="QK94">ROUND(IFERROR(INDEX(ArchiveResults!$F$5:$IX$116,ComparisonData!A94,ComparisonData!$QK$1),0),5)</f>
        <v>0</v>
      </c>
      <c r="QL94" s="46" cm="1">
        <f t="array" ref="QL94">ROUND(IFERROR(INDEX(ArchiveResults!$F$5:$IX$116,ComparisonData!A94,ComparisonData!$QL$1),0),5)</f>
        <v>0</v>
      </c>
      <c r="QM94" s="46" cm="1">
        <f t="array" ref="QM94">ROUND(IFERROR(INDEX(ArchiveResults!$F$5:$IX$116,ComparisonData!A94,ComparisonData!$QM$1),0),5)</f>
        <v>0</v>
      </c>
      <c r="QN94" s="45" cm="1">
        <f t="array" ref="QN94">IFERROR(INDEX(ArchiveResults!$F$5:$IX$116,ComparisonData!A94,ComparisonData!$QN$1),0)</f>
        <v>0</v>
      </c>
      <c r="QO94" s="56">
        <v>89</v>
      </c>
      <c r="QP94" s="53" t="str">
        <f t="shared" si="702"/>
        <v>UCL, Institute of Education</v>
      </c>
      <c r="QQ94" s="59">
        <f t="shared" si="988"/>
        <v>0</v>
      </c>
      <c r="QR94" s="59">
        <f t="shared" si="989"/>
        <v>0</v>
      </c>
      <c r="QS94" s="59">
        <f t="shared" si="990"/>
        <v>0</v>
      </c>
      <c r="QT94" s="59">
        <f t="shared" si="991"/>
        <v>0</v>
      </c>
      <c r="QU94" s="59">
        <f t="shared" si="992"/>
        <v>0</v>
      </c>
      <c r="QV94" s="58">
        <f t="shared" si="993"/>
        <v>0</v>
      </c>
      <c r="QW94" s="45">
        <f t="shared" si="994"/>
        <v>72</v>
      </c>
      <c r="QX94" s="45">
        <f t="shared" si="703"/>
        <v>2.7939999999999996</v>
      </c>
      <c r="QY94" s="45">
        <f t="shared" si="995"/>
        <v>1</v>
      </c>
      <c r="QZ94" s="45">
        <f t="shared" si="996"/>
        <v>2</v>
      </c>
      <c r="RA94" s="45">
        <f t="shared" si="997"/>
        <v>0</v>
      </c>
      <c r="RB94" s="46" cm="1">
        <f t="array" ref="RB94">ROUND(IFERROR(INDEX(ArchiveResults!$F$5:$IX$116,ComparisonData!A94,ComparisonData!$RB$1),0),5)</f>
        <v>0</v>
      </c>
      <c r="RC94" s="46" cm="1">
        <f t="array" ref="RC94">ROUND(IFERROR(INDEX(ArchiveResults!$F$5:$IX$116,ComparisonData!A94,ComparisonData!$RC$1),0),5)</f>
        <v>0</v>
      </c>
      <c r="RD94" s="46" cm="1">
        <f t="array" ref="RD94">ROUND(IFERROR(INDEX(ArchiveResults!$F$5:$IX$116,ComparisonData!A94,ComparisonData!$RD$1),0),5)</f>
        <v>0</v>
      </c>
      <c r="RE94" s="46" cm="1">
        <f t="array" ref="RE94">ROUND(IFERROR(INDEX(ArchiveResults!$F$5:$IX$116,ComparisonData!A94,ComparisonData!$RE$1),0),5)</f>
        <v>0</v>
      </c>
      <c r="RF94" s="45" cm="1">
        <f t="array" ref="RF94">IFERROR(INDEX(ArchiveResults!$F$5:$IX$116,ComparisonData!A94,ComparisonData!$RF$1),0)</f>
        <v>0</v>
      </c>
      <c r="RG94" s="56">
        <v>89</v>
      </c>
      <c r="RH94" s="53" t="str">
        <f t="shared" si="704"/>
        <v>UCL, Institute of Education</v>
      </c>
      <c r="RI94" s="59">
        <f t="shared" si="998"/>
        <v>0</v>
      </c>
      <c r="RJ94" s="59">
        <f t="shared" si="999"/>
        <v>0</v>
      </c>
      <c r="RK94" s="59">
        <f t="shared" si="1000"/>
        <v>0</v>
      </c>
      <c r="RL94" s="59">
        <f t="shared" si="1001"/>
        <v>0</v>
      </c>
      <c r="RM94" s="59">
        <f t="shared" si="1002"/>
        <v>0</v>
      </c>
      <c r="RN94" s="58">
        <f t="shared" si="1003"/>
        <v>0</v>
      </c>
      <c r="RO94" s="45">
        <f t="shared" si="1004"/>
        <v>72</v>
      </c>
      <c r="RP94" s="45">
        <f t="shared" si="705"/>
        <v>2.7939999999999996</v>
      </c>
      <c r="RQ94" s="45">
        <f t="shared" si="1005"/>
        <v>1</v>
      </c>
      <c r="RR94" s="45">
        <f t="shared" si="1006"/>
        <v>2</v>
      </c>
      <c r="RS94" s="45">
        <f t="shared" si="1007"/>
        <v>0</v>
      </c>
      <c r="RT94" s="46" cm="1">
        <f t="array" ref="RT94">ROUND(IFERROR(INDEX(ArchiveResults!$F$5:$IX$116,ComparisonData!A94,ComparisonData!$RT$1),0),5)</f>
        <v>0</v>
      </c>
      <c r="RU94" s="46" cm="1">
        <f t="array" ref="RU94">ROUND(IFERROR(INDEX(ArchiveResults!$F$5:$IX$116,ComparisonData!A94,ComparisonData!$RU$1),0),5)</f>
        <v>0</v>
      </c>
      <c r="RV94" s="46" cm="1">
        <f t="array" ref="RV94">ROUND(IFERROR(INDEX(ArchiveResults!$F$5:$IX$116,ComparisonData!A94,ComparisonData!$RV$1),0),5)</f>
        <v>0</v>
      </c>
      <c r="RW94" s="46" cm="1">
        <f t="array" ref="RW94">ROUND(IFERROR(INDEX(ArchiveResults!$F$5:$IX$116,ComparisonData!A94,ComparisonData!$RW$1),0),5)</f>
        <v>0</v>
      </c>
      <c r="RX94" s="45" cm="1">
        <f t="array" ref="RX94">IFERROR(INDEX(ArchiveResults!$F$5:$IX$116,ComparisonData!A94,ComparisonData!$RX$1),0)</f>
        <v>0</v>
      </c>
      <c r="RY94" s="56">
        <v>89</v>
      </c>
      <c r="RZ94" s="53" t="str">
        <f t="shared" si="706"/>
        <v>UCL, Institute of Education</v>
      </c>
      <c r="SA94" s="59">
        <f t="shared" si="1008"/>
        <v>0</v>
      </c>
      <c r="SB94" s="59">
        <f t="shared" si="1009"/>
        <v>0</v>
      </c>
      <c r="SC94" s="59">
        <f t="shared" si="1010"/>
        <v>0</v>
      </c>
      <c r="SD94" s="59">
        <f t="shared" si="1011"/>
        <v>0</v>
      </c>
      <c r="SE94" s="59">
        <f t="shared" si="1012"/>
        <v>0</v>
      </c>
      <c r="SF94" s="58">
        <f t="shared" si="1013"/>
        <v>0</v>
      </c>
      <c r="SG94" s="45">
        <f t="shared" si="1014"/>
        <v>72</v>
      </c>
      <c r="SH94" s="45">
        <f t="shared" si="707"/>
        <v>2.7939999999999996</v>
      </c>
      <c r="SI94" s="45">
        <f t="shared" si="1015"/>
        <v>1</v>
      </c>
      <c r="SJ94" s="45">
        <f t="shared" si="1016"/>
        <v>2</v>
      </c>
      <c r="SK94" s="45">
        <f t="shared" si="1017"/>
        <v>0</v>
      </c>
      <c r="SL94" s="46" cm="1">
        <f t="array" ref="SL94">ROUND(IFERROR(INDEX(ArchiveResults!$F$5:$IX$116,ComparisonData!A94,ComparisonData!$SL$1),0),5)</f>
        <v>0</v>
      </c>
      <c r="SM94" s="46" cm="1">
        <f t="array" ref="SM94">ROUND(IFERROR(INDEX(ArchiveResults!$F$5:$IX$116,ComparisonData!A94,ComparisonData!$SM$1),0),5)</f>
        <v>0</v>
      </c>
      <c r="SN94" s="46" cm="1">
        <f t="array" ref="SN94">ROUND(IFERROR(INDEX(ArchiveResults!$F$5:$IX$116,ComparisonData!A94,ComparisonData!$SN$1),0),5)</f>
        <v>0</v>
      </c>
      <c r="SO94" s="46" cm="1">
        <f t="array" ref="SO94">ROUND(IFERROR(INDEX(ArchiveResults!$F$5:$IX$116,ComparisonData!A94,ComparisonData!$SO$1),0),5)</f>
        <v>0</v>
      </c>
      <c r="SP94" s="45" cm="1">
        <f t="array" ref="SP94">IFERROR(INDEX(ArchiveResults!$F$5:$IX$116,ComparisonData!A94,ComparisonData!$SP$1),0)</f>
        <v>0</v>
      </c>
      <c r="SQ94" s="56">
        <v>89</v>
      </c>
      <c r="SR94" s="53" t="str">
        <f t="shared" si="708"/>
        <v>UCL, Institute of Education</v>
      </c>
      <c r="SS94" s="59">
        <f t="shared" si="1018"/>
        <v>0</v>
      </c>
      <c r="ST94" s="59">
        <f t="shared" si="1019"/>
        <v>0</v>
      </c>
      <c r="SU94" s="59">
        <f t="shared" si="1020"/>
        <v>0</v>
      </c>
      <c r="SV94" s="59">
        <f t="shared" si="1021"/>
        <v>0</v>
      </c>
      <c r="SW94" s="59">
        <f t="shared" si="1022"/>
        <v>0</v>
      </c>
      <c r="SX94" s="58">
        <f t="shared" si="1023"/>
        <v>0</v>
      </c>
      <c r="SY94" s="45">
        <f t="shared" si="1024"/>
        <v>72</v>
      </c>
      <c r="SZ94" s="45">
        <f t="shared" si="709"/>
        <v>2.7939999999999996</v>
      </c>
      <c r="TA94" s="45">
        <f t="shared" si="1025"/>
        <v>1</v>
      </c>
      <c r="TB94" s="45">
        <f t="shared" si="1026"/>
        <v>2</v>
      </c>
      <c r="TC94" s="45">
        <f t="shared" si="1027"/>
        <v>0</v>
      </c>
      <c r="TD94" s="46" cm="1">
        <f t="array" ref="TD94">ROUND(IFERROR(INDEX(ArchiveResults!$F$5:$IX$116,ComparisonData!A94,ComparisonData!$TD$1),0),5)</f>
        <v>0</v>
      </c>
      <c r="TE94" s="46" cm="1">
        <f t="array" ref="TE94">ROUND(IFERROR(INDEX(ArchiveResults!$F$5:$IX$116,ComparisonData!A94,ComparisonData!$TE$1),0),5)</f>
        <v>0</v>
      </c>
      <c r="TF94" s="46" cm="1">
        <f t="array" ref="TF94">ROUND(IFERROR(INDEX(ArchiveResults!$F$5:$IX$116,ComparisonData!A94,ComparisonData!$TF$1),0),5)</f>
        <v>0</v>
      </c>
      <c r="TG94" s="46" cm="1">
        <f t="array" ref="TG94">ROUND(IFERROR(INDEX(ArchiveResults!$F$5:$IX$116,ComparisonData!A94,ComparisonData!$TG$1),0),5)</f>
        <v>0</v>
      </c>
      <c r="TH94" s="45" cm="1">
        <f t="array" ref="TH94">IFERROR(INDEX(ArchiveResults!$F$5:$IX$116,ComparisonData!A94,ComparisonData!$TH$1),0)</f>
        <v>0</v>
      </c>
      <c r="TI94" s="56">
        <v>89</v>
      </c>
      <c r="TJ94" s="53" t="str">
        <f t="shared" si="710"/>
        <v>UCL, Institute of Education</v>
      </c>
      <c r="TK94" s="59">
        <f t="shared" si="1028"/>
        <v>0</v>
      </c>
      <c r="TL94" s="59">
        <f t="shared" si="1029"/>
        <v>0</v>
      </c>
      <c r="TM94" s="59">
        <f t="shared" si="1030"/>
        <v>0</v>
      </c>
      <c r="TN94" s="59">
        <f t="shared" si="1031"/>
        <v>0</v>
      </c>
      <c r="TO94" s="59">
        <f t="shared" si="1032"/>
        <v>0</v>
      </c>
      <c r="TP94" s="58">
        <f t="shared" si="1033"/>
        <v>0</v>
      </c>
      <c r="TQ94" s="45">
        <f t="shared" si="1034"/>
        <v>72</v>
      </c>
      <c r="TR94" s="45">
        <f t="shared" si="711"/>
        <v>2.7939999999999996</v>
      </c>
      <c r="TS94" s="45">
        <f t="shared" si="1035"/>
        <v>1</v>
      </c>
      <c r="TT94" s="45">
        <f t="shared" si="1036"/>
        <v>2</v>
      </c>
      <c r="TU94" s="45">
        <f t="shared" si="1037"/>
        <v>0</v>
      </c>
      <c r="TV94" s="46" cm="1">
        <f t="array" ref="TV94">ROUND(IFERROR(INDEX(ArchiveResults!$F$5:$IX$116,ComparisonData!A94,ComparisonData!$TV$1),0),5)</f>
        <v>0</v>
      </c>
      <c r="TW94" s="46" cm="1">
        <f t="array" ref="TW94">ROUND(IFERROR(INDEX(ArchiveResults!$F$5:$IX$116,ComparisonData!A94,ComparisonData!$TW$1),0),5)</f>
        <v>0</v>
      </c>
      <c r="TX94" s="46" cm="1">
        <f t="array" ref="TX94">ROUND(IFERROR(INDEX(ArchiveResults!$F$5:$IX$116,ComparisonData!A94,ComparisonData!$TX$1),0),5)</f>
        <v>0</v>
      </c>
      <c r="TY94" s="46" cm="1">
        <f t="array" ref="TY94">ROUND(IFERROR(INDEX(ArchiveResults!$F$5:$IX$116,ComparisonData!A94,ComparisonData!$TY$1),0),5)</f>
        <v>0</v>
      </c>
      <c r="TZ94" s="45" cm="1">
        <f t="array" ref="TZ94">IFERROR(INDEX(ArchiveResults!$F$5:$IX$116,ComparisonData!A94,ComparisonData!$TZ$1),0)</f>
        <v>0</v>
      </c>
      <c r="UA94" s="56">
        <v>89</v>
      </c>
      <c r="UB94" s="53" t="str">
        <f t="shared" si="712"/>
        <v>UCL, Institute of Education</v>
      </c>
      <c r="UC94" s="60">
        <f t="shared" si="1038"/>
        <v>0</v>
      </c>
      <c r="UD94" s="60">
        <f t="shared" si="1039"/>
        <v>0</v>
      </c>
      <c r="UE94" s="60">
        <f t="shared" si="1040"/>
        <v>0</v>
      </c>
      <c r="UF94" s="60">
        <f t="shared" si="1041"/>
        <v>0</v>
      </c>
      <c r="UG94" s="60">
        <f t="shared" si="1042"/>
        <v>0</v>
      </c>
      <c r="UH94" s="58">
        <f t="shared" si="1043"/>
        <v>0</v>
      </c>
      <c r="UI94" s="46">
        <f t="shared" si="1044"/>
        <v>72</v>
      </c>
      <c r="UJ94" s="46">
        <f t="shared" si="713"/>
        <v>2.7939999999999996</v>
      </c>
      <c r="UK94" s="46">
        <f t="shared" si="1045"/>
        <v>1</v>
      </c>
      <c r="UL94" s="46">
        <f t="shared" si="1046"/>
        <v>2</v>
      </c>
      <c r="UM94" s="46" cm="1">
        <f t="array" ref="UM94">ROUND(IFERROR(INDEX(ArchiveResults!$F$5:$IX$116,ComparisonData!A94,ComparisonData!$UM$1),0),5)</f>
        <v>0</v>
      </c>
      <c r="UN94" s="56">
        <v>89</v>
      </c>
      <c r="UO94" s="53" t="str">
        <f t="shared" si="714"/>
        <v>UCL, Institute of Education</v>
      </c>
      <c r="UP94" s="46">
        <f t="shared" si="1047"/>
        <v>0</v>
      </c>
      <c r="UQ94" s="76">
        <f t="shared" si="1048"/>
        <v>0</v>
      </c>
      <c r="UR94" s="46">
        <f t="shared" si="1049"/>
        <v>72</v>
      </c>
      <c r="US94" s="46">
        <f t="shared" si="715"/>
        <v>2.7939999999999996</v>
      </c>
      <c r="UT94" s="46">
        <f t="shared" si="1050"/>
        <v>1</v>
      </c>
      <c r="UU94" s="46">
        <f t="shared" si="1051"/>
        <v>2</v>
      </c>
      <c r="UV94" s="46">
        <f t="shared" si="1052"/>
        <v>0</v>
      </c>
      <c r="UW94" s="46" cm="1">
        <f t="array" ref="UW94">ROUND(IFERROR(INDEX(ArchiveResults!$F$5:$IX$116,ComparisonData!A94,ComparisonData!$UW$1),0),5)</f>
        <v>0</v>
      </c>
      <c r="UX94" s="46" cm="1">
        <f t="array" ref="UX94">ROUND(IFERROR(INDEX(ArchiveResults!$F$5:$IX$116,ComparisonData!A94,ComparisonData!$UX$1),0),5)</f>
        <v>0</v>
      </c>
      <c r="UY94" s="46" cm="1">
        <f t="array" ref="UY94">ROUND(IFERROR(INDEX(ArchiveResults!$F$5:$IX$116,ComparisonData!A94,ComparisonData!$UY$1),0),5)</f>
        <v>0</v>
      </c>
      <c r="UZ94" s="46" cm="1">
        <f t="array" ref="UZ94">ROUND(IFERROR(INDEX(ArchiveResults!$F$5:$IX$116,ComparisonData!A94,ComparisonData!$UZ$1),0),5)</f>
        <v>0</v>
      </c>
      <c r="VA94" s="46" cm="1">
        <f t="array" ref="VA94">ROUND(IFERROR(INDEX(ArchiveResults!$F$5:$IX$116,ComparisonData!A94,ComparisonData!$VA$1),0),5)</f>
        <v>0</v>
      </c>
      <c r="VB94" s="56">
        <v>89</v>
      </c>
      <c r="VC94" s="53" t="str">
        <f t="shared" si="716"/>
        <v>UCL, Institute of Education</v>
      </c>
      <c r="VD94" s="60">
        <f t="shared" si="1053"/>
        <v>0</v>
      </c>
      <c r="VE94" s="60">
        <f t="shared" si="1054"/>
        <v>0</v>
      </c>
      <c r="VF94" s="60">
        <f t="shared" si="1055"/>
        <v>0</v>
      </c>
      <c r="VG94" s="60">
        <f t="shared" si="1056"/>
        <v>0</v>
      </c>
      <c r="VH94" s="60">
        <f t="shared" si="1057"/>
        <v>0</v>
      </c>
      <c r="VI94" s="76">
        <f t="shared" si="1058"/>
        <v>0</v>
      </c>
      <c r="VJ94" s="46">
        <f t="shared" si="1059"/>
        <v>72</v>
      </c>
      <c r="VK94" s="46">
        <f t="shared" si="717"/>
        <v>2.7939999999999996</v>
      </c>
      <c r="VL94" s="46">
        <f t="shared" si="1060"/>
        <v>1</v>
      </c>
      <c r="VM94" s="46">
        <f t="shared" si="1061"/>
        <v>2</v>
      </c>
      <c r="VN94" s="46" cm="1">
        <f t="array" ref="VN94">ROUND(IFERROR(INDEX(ArchiveResults!$F$5:$IX$116,ComparisonData!A94,ComparisonData!$VN$1),0),5)</f>
        <v>0</v>
      </c>
      <c r="VO94" s="46" cm="1">
        <f t="array" ref="VO94">ROUND(IFERROR(INDEX(ArchiveResults!$F$5:$IX$116,ComparisonData!A94,ComparisonData!$VO$1),0),5)</f>
        <v>0</v>
      </c>
      <c r="VP94" s="46" cm="1">
        <f t="array" ref="VP94">ROUND(IFERROR(INDEX(ArchiveResults!$F$5:$IX$116,ComparisonData!A94,ComparisonData!$VP$1),0),5)</f>
        <v>0</v>
      </c>
      <c r="VQ94" s="46" cm="1">
        <f t="array" ref="VQ94">ROUND(IFERROR(INDEX(ArchiveResults!$F$5:$IX$116,ComparisonData!A94,ComparisonData!$VQ$1),0),5)</f>
        <v>0</v>
      </c>
      <c r="VR94" s="56">
        <v>89</v>
      </c>
      <c r="VS94" s="53" t="str">
        <f t="shared" si="718"/>
        <v>UCL, Institute of Education</v>
      </c>
      <c r="VT94" s="60">
        <f t="shared" si="1062"/>
        <v>0</v>
      </c>
      <c r="VU94" s="60">
        <f t="shared" si="1063"/>
        <v>0</v>
      </c>
      <c r="VV94" s="60">
        <f t="shared" si="1064"/>
        <v>0</v>
      </c>
      <c r="VW94" s="60">
        <f t="shared" si="1065"/>
        <v>0</v>
      </c>
      <c r="VX94" s="76">
        <f t="shared" si="1066"/>
        <v>0</v>
      </c>
      <c r="VY94" s="46">
        <f t="shared" si="1067"/>
        <v>72</v>
      </c>
      <c r="VZ94" s="46">
        <f t="shared" si="719"/>
        <v>2.7939999999999996</v>
      </c>
      <c r="WA94" s="46">
        <f t="shared" si="1068"/>
        <v>1</v>
      </c>
      <c r="WB94" s="46">
        <f t="shared" si="1069"/>
        <v>2</v>
      </c>
      <c r="WC94" s="46" cm="1">
        <f t="array" ref="WC94">ROUND(IFERROR(INDEX(ArchiveResults!$F$5:$IX$116,ComparisonData!A94,ComparisonData!$WC$1),0),5)</f>
        <v>0</v>
      </c>
      <c r="WD94" s="56">
        <v>89</v>
      </c>
      <c r="WE94" s="53" t="str">
        <f t="shared" si="720"/>
        <v>UCL, Institute of Education</v>
      </c>
      <c r="WF94" s="46">
        <f t="shared" si="1070"/>
        <v>0</v>
      </c>
      <c r="WG94" s="76">
        <f t="shared" si="1071"/>
        <v>0</v>
      </c>
      <c r="WH94" s="46">
        <f t="shared" si="1072"/>
        <v>72</v>
      </c>
      <c r="WI94" s="46">
        <f t="shared" si="721"/>
        <v>2.7939999999999996</v>
      </c>
      <c r="WJ94" s="46">
        <f t="shared" si="1073"/>
        <v>1</v>
      </c>
      <c r="WK94" s="46">
        <f t="shared" si="1074"/>
        <v>2</v>
      </c>
      <c r="WL94" s="46" cm="1">
        <f t="array" ref="WL94">ROUND(IFERROR(INDEX(ArchiveResults!$F$5:$IX$116,ComparisonData!A94,ComparisonData!$WL$1),0),5)</f>
        <v>0</v>
      </c>
      <c r="WM94" s="46" cm="1">
        <f t="array" ref="WM94">IFERROR(INDEX(ArchiveResults!$F$5:$IX$116,ComparisonData!A94,ComparisonData!$WM$1),0)</f>
        <v>0</v>
      </c>
      <c r="WN94" s="56">
        <v>89</v>
      </c>
      <c r="WO94" s="53" t="str">
        <f t="shared" si="722"/>
        <v>UCL, Institute of Education</v>
      </c>
      <c r="WP94" s="60">
        <f t="shared" si="1075"/>
        <v>0</v>
      </c>
      <c r="WQ94" s="60">
        <f t="shared" si="1076"/>
        <v>0</v>
      </c>
      <c r="WR94" s="76">
        <f t="shared" si="1077"/>
        <v>0</v>
      </c>
      <c r="WS94" s="46">
        <f t="shared" si="1078"/>
        <v>72</v>
      </c>
      <c r="WT94" s="46">
        <f t="shared" si="723"/>
        <v>2.7939999999999996</v>
      </c>
      <c r="WU94" s="46">
        <f t="shared" si="1079"/>
        <v>1</v>
      </c>
      <c r="WV94" s="46">
        <f t="shared" si="1080"/>
        <v>2</v>
      </c>
      <c r="WW94" s="46" cm="1">
        <f t="array" ref="WW94">ROUND(VALUE(IFERROR(INDEX(ArchiveResults!$F$5:$IX$116,ComparisonData!A94,ComparisonData!$WW$1),0)),5)</f>
        <v>0</v>
      </c>
      <c r="WX94" s="46" cm="1">
        <f t="array" ref="WX94">ROUND(IFERROR(INDEX(ArchiveResults!$F$5:$IX$116,ComparisonData!A94,ComparisonData!$WX$1),0),5)</f>
        <v>0</v>
      </c>
      <c r="WY94" s="56">
        <v>89</v>
      </c>
      <c r="WZ94" s="53" t="str">
        <f t="shared" si="724"/>
        <v>UCL, Institute of Education</v>
      </c>
      <c r="XA94" s="60">
        <f t="shared" si="725"/>
        <v>0</v>
      </c>
      <c r="XB94" s="60">
        <f t="shared" si="726"/>
        <v>0</v>
      </c>
      <c r="XC94" s="76">
        <f t="shared" si="1081"/>
        <v>0</v>
      </c>
      <c r="XD94" s="46">
        <f t="shared" si="1082"/>
        <v>72</v>
      </c>
      <c r="XE94" s="46">
        <f t="shared" si="727"/>
        <v>2.7939999999999996</v>
      </c>
      <c r="XF94" s="46">
        <f t="shared" si="1083"/>
        <v>1</v>
      </c>
      <c r="XG94" s="46">
        <f t="shared" si="1084"/>
        <v>2</v>
      </c>
      <c r="XH94" s="46" cm="1">
        <f t="array" ref="XH94">ROUND(VALUE(IFERROR(INDEX(ArchiveResults!$F$5:$IX$116,ComparisonData!A94,ComparisonData!$XH$1),0)),5)</f>
        <v>0</v>
      </c>
      <c r="XI94" s="46" cm="1">
        <f t="array" ref="XI94">ROUND(VALUE(IFERROR(INDEX(ArchiveResults!$F$5:$IX$116,ComparisonData!A94,ComparisonData!$XI$1),0)),5)</f>
        <v>0</v>
      </c>
      <c r="XJ94" s="56">
        <v>89</v>
      </c>
      <c r="XK94" s="53" t="str">
        <f t="shared" si="728"/>
        <v>UCL, Institute of Education</v>
      </c>
      <c r="XL94" s="60">
        <f t="shared" si="1085"/>
        <v>0</v>
      </c>
      <c r="XM94" s="60">
        <f t="shared" si="1086"/>
        <v>0</v>
      </c>
      <c r="XN94" s="76">
        <f t="shared" si="1087"/>
        <v>0</v>
      </c>
      <c r="XO94" s="46">
        <f t="shared" si="1088"/>
        <v>72</v>
      </c>
      <c r="XP94" s="46">
        <f t="shared" si="729"/>
        <v>2.7939999999999996</v>
      </c>
      <c r="XQ94" s="46">
        <f t="shared" si="1089"/>
        <v>1</v>
      </c>
      <c r="XR94" s="46">
        <f t="shared" si="1090"/>
        <v>2</v>
      </c>
      <c r="XS94" s="46" cm="1">
        <f t="array" ref="XS94">ROUND(VALUE(IFERROR(INDEX(ArchiveResults!$F$5:$IX$116,ComparisonData!A94,ComparisonData!$XS$1),0)),5)</f>
        <v>0</v>
      </c>
      <c r="XT94" s="46" cm="1">
        <f t="array" ref="XT94">ROUND(VALUE(IFERROR(INDEX(ArchiveResults!$F$5:$IX$116,ComparisonData!A94,ComparisonData!$XT$1),0)),5)</f>
        <v>0</v>
      </c>
      <c r="XU94" s="56">
        <v>89</v>
      </c>
      <c r="XV94" s="53" t="str">
        <f t="shared" si="730"/>
        <v>UCL, Institute of Education</v>
      </c>
      <c r="XW94" s="60">
        <f t="shared" si="1091"/>
        <v>0</v>
      </c>
      <c r="XX94" s="60">
        <f t="shared" si="1092"/>
        <v>0</v>
      </c>
      <c r="XY94" s="76">
        <f t="shared" si="1093"/>
        <v>0</v>
      </c>
      <c r="XZ94" s="46">
        <f t="shared" si="1094"/>
        <v>72</v>
      </c>
      <c r="YA94" s="46">
        <f t="shared" si="731"/>
        <v>2.7939999999999996</v>
      </c>
      <c r="YB94" s="46">
        <f t="shared" si="1095"/>
        <v>1</v>
      </c>
      <c r="YC94" s="46">
        <f t="shared" si="1096"/>
        <v>2</v>
      </c>
      <c r="YD94" s="46" cm="1">
        <f t="array" ref="YD94">ROUND(VALUE(IFERROR(INDEX(ArchiveResults!$F$5:$IX$116,ComparisonData!A94,ComparisonData!$YD$1),0)),5)</f>
        <v>0</v>
      </c>
      <c r="YE94" s="46" cm="1">
        <f t="array" ref="YE94">ROUND(VALUE(IFERROR(INDEX(ArchiveResults!$F$5:$IX$116,ComparisonData!A94,ComparisonData!$YE$1),0)),5)</f>
        <v>0</v>
      </c>
      <c r="YF94" s="56">
        <v>89</v>
      </c>
      <c r="YG94" s="53" t="str">
        <f t="shared" si="732"/>
        <v>UCL, Institute of Education</v>
      </c>
      <c r="YH94" s="60">
        <f t="shared" si="1097"/>
        <v>0</v>
      </c>
      <c r="YI94" s="60">
        <f t="shared" si="1098"/>
        <v>0</v>
      </c>
      <c r="YJ94" s="76">
        <f t="shared" si="1099"/>
        <v>0</v>
      </c>
      <c r="YK94" s="46">
        <f t="shared" si="1100"/>
        <v>72</v>
      </c>
      <c r="YL94" s="46">
        <f t="shared" si="733"/>
        <v>2.7939999999999996</v>
      </c>
      <c r="YM94" s="46">
        <f t="shared" si="1101"/>
        <v>1</v>
      </c>
      <c r="YN94" s="46">
        <f t="shared" si="1102"/>
        <v>2</v>
      </c>
      <c r="YO94" s="46" cm="1">
        <f t="array" ref="YO94">ROUND(VALUE(IFERROR(INDEX(ArchiveResults!$F$5:$IX$116,ComparisonData!A94,ComparisonData!$YO$1),0)),5)</f>
        <v>0</v>
      </c>
      <c r="YP94" s="46" cm="1">
        <f t="array" ref="YP94">ROUND(VALUE(IFERROR(INDEX(ArchiveResults!$F$5:$IX$116,ComparisonData!A94,ComparisonData!$YP$1),0)),5)</f>
        <v>0</v>
      </c>
      <c r="YQ94" s="56">
        <v>89</v>
      </c>
      <c r="YR94" s="53" t="str">
        <f t="shared" si="734"/>
        <v>UCL, Institute of Education</v>
      </c>
      <c r="YS94" s="60">
        <f t="shared" si="1103"/>
        <v>0</v>
      </c>
      <c r="YT94" s="60">
        <f t="shared" si="1104"/>
        <v>0</v>
      </c>
      <c r="YU94" s="76">
        <f t="shared" si="1105"/>
        <v>0</v>
      </c>
      <c r="YV94" s="46">
        <f t="shared" si="1106"/>
        <v>72</v>
      </c>
      <c r="YW94" s="46">
        <f t="shared" si="735"/>
        <v>2.7939999999999996</v>
      </c>
      <c r="YX94" s="46">
        <f t="shared" si="1107"/>
        <v>1</v>
      </c>
      <c r="YY94" s="46">
        <f t="shared" si="1108"/>
        <v>2</v>
      </c>
      <c r="YZ94" s="46">
        <f t="shared" si="1109"/>
        <v>0</v>
      </c>
      <c r="ZA94" s="46" cm="1">
        <f t="array" ref="ZA94">ROUNDDOWN(VALUE(IFERROR(INDEX(ArchiveResults!$F$5:$IX$116,ComparisonData!A94,ComparisonData!$ZA$1),0)),5)</f>
        <v>0</v>
      </c>
      <c r="ZB94" s="46" cm="1">
        <f t="array" ref="ZB94">ROUNDDOWN(VALUE(IFERROR(INDEX(ArchiveResults!$F$5:$IX$116,ComparisonData!A94,ComparisonData!$ZB$1),0)),5)</f>
        <v>0</v>
      </c>
      <c r="ZC94" s="46" cm="1">
        <f t="array" ref="ZC94">ROUNDDOWN(VALUE(IFERROR(INDEX(ArchiveResults!$F$5:$IX$116,ComparisonData!A94,ComparisonData!$ZC$1),0)),5)</f>
        <v>0</v>
      </c>
      <c r="ZD94" s="46" cm="1">
        <f t="array" ref="ZD94">ROUNDDOWN(VALUE(IFERROR(INDEX(ArchiveResults!$F$5:$IX$116,ComparisonData!A94,ComparisonData!$ZD$1),0)),5)</f>
        <v>0</v>
      </c>
      <c r="ZE94" s="46" cm="1">
        <f t="array" ref="ZE94">ROUNDDOWN(VALUE(IFERROR(INDEX(ArchiveResults!$F$5:$IX$116,ComparisonData!A94,ComparisonData!$ZE$1),0)),5)</f>
        <v>0</v>
      </c>
      <c r="ZF94" s="56">
        <v>89</v>
      </c>
      <c r="ZG94" s="53" t="str">
        <f t="shared" si="736"/>
        <v>UCL, Institute of Education</v>
      </c>
      <c r="ZH94" s="60">
        <f t="shared" si="1110"/>
        <v>0</v>
      </c>
      <c r="ZI94" s="60">
        <f t="shared" si="1111"/>
        <v>0</v>
      </c>
      <c r="ZJ94" s="60">
        <f t="shared" si="1112"/>
        <v>0</v>
      </c>
      <c r="ZK94" s="60">
        <f t="shared" si="1113"/>
        <v>0</v>
      </c>
      <c r="ZL94" s="60">
        <f t="shared" si="1114"/>
        <v>0</v>
      </c>
      <c r="ZM94" s="76">
        <f t="shared" si="1115"/>
        <v>0</v>
      </c>
      <c r="ZN94" s="46">
        <f t="shared" si="1116"/>
        <v>72</v>
      </c>
      <c r="ZO94" s="46">
        <f t="shared" si="737"/>
        <v>2.7939999999999996</v>
      </c>
      <c r="ZP94" s="46">
        <f t="shared" si="1117"/>
        <v>1</v>
      </c>
      <c r="ZQ94" s="46">
        <f t="shared" si="1118"/>
        <v>2</v>
      </c>
      <c r="ZR94" s="46" cm="1">
        <f t="array" ref="ZR94">ROUND(VALUE(IFERROR(INDEX(ArchiveResults!$F$5:$IX$116,ComparisonData!A94,ComparisonData!$ZR$1),0)),5)</f>
        <v>0</v>
      </c>
      <c r="ZS94" s="56">
        <v>89</v>
      </c>
      <c r="ZT94" s="53" t="str">
        <f t="shared" si="738"/>
        <v>UCL, Institute of Education</v>
      </c>
      <c r="ZU94" s="46">
        <f t="shared" si="1119"/>
        <v>0</v>
      </c>
      <c r="ZV94" s="76">
        <f t="shared" si="1120"/>
        <v>0</v>
      </c>
      <c r="ZW94" s="88" t="s">
        <v>608</v>
      </c>
      <c r="ZX94" s="88" t="s">
        <v>608</v>
      </c>
      <c r="ZY94" s="88" t="s">
        <v>608</v>
      </c>
      <c r="ZZ94" s="88" t="s">
        <v>608</v>
      </c>
      <c r="AAA94" s="88" t="s">
        <v>608</v>
      </c>
      <c r="AAB94" s="88" t="s">
        <v>608</v>
      </c>
      <c r="AAC94" s="88" t="s">
        <v>608</v>
      </c>
      <c r="AAD94" s="88" t="s">
        <v>608</v>
      </c>
      <c r="AAE94" s="88" t="s">
        <v>608</v>
      </c>
      <c r="AAF94" s="88" t="s">
        <v>608</v>
      </c>
      <c r="AAG94" s="46">
        <f t="shared" si="1121"/>
        <v>72</v>
      </c>
      <c r="AAH94" s="46">
        <f t="shared" si="739"/>
        <v>2.7939999999999996</v>
      </c>
      <c r="AAI94" s="46">
        <f t="shared" si="1122"/>
        <v>1</v>
      </c>
      <c r="AAJ94" s="46">
        <f t="shared" si="1123"/>
        <v>2</v>
      </c>
      <c r="AAK94" s="46">
        <f t="shared" si="1124"/>
        <v>0</v>
      </c>
      <c r="AAL94" s="46">
        <f t="shared" si="1125"/>
        <v>0</v>
      </c>
      <c r="AAM94" s="46">
        <f t="shared" si="1126"/>
        <v>0</v>
      </c>
      <c r="AAN94" s="46">
        <f t="shared" si="1127"/>
        <v>0</v>
      </c>
      <c r="AAO94" s="46">
        <f t="shared" si="1128"/>
        <v>0</v>
      </c>
      <c r="AAP94" s="46">
        <f t="shared" si="1129"/>
        <v>0</v>
      </c>
      <c r="AAQ94" s="56">
        <v>89</v>
      </c>
      <c r="AAR94" s="53" t="str">
        <f t="shared" si="740"/>
        <v>UCL, Institute of Education</v>
      </c>
      <c r="AAS94" s="60">
        <f t="shared" si="1130"/>
        <v>0</v>
      </c>
      <c r="AAT94" s="60">
        <f t="shared" si="1131"/>
        <v>0</v>
      </c>
      <c r="AAU94" s="60">
        <f t="shared" si="1132"/>
        <v>0</v>
      </c>
      <c r="AAV94" s="60">
        <f t="shared" si="1133"/>
        <v>0</v>
      </c>
      <c r="AAW94" s="60">
        <f t="shared" si="1134"/>
        <v>0</v>
      </c>
      <c r="AAX94" s="76">
        <f t="shared" si="1135"/>
        <v>0</v>
      </c>
      <c r="AAY94" s="46">
        <f t="shared" si="1136"/>
        <v>72</v>
      </c>
      <c r="AAZ94" s="46">
        <f t="shared" si="741"/>
        <v>2.7939999999999996</v>
      </c>
      <c r="ABA94" s="46">
        <f t="shared" si="1137"/>
        <v>1</v>
      </c>
      <c r="ABB94" s="46">
        <f t="shared" si="1138"/>
        <v>2</v>
      </c>
      <c r="ABC94" s="46">
        <f t="shared" si="742"/>
        <v>0</v>
      </c>
      <c r="ABD94" s="46" cm="1">
        <f t="array" ref="ABD94">ROUND(VALUE(IFERROR(INDEX(ArchiveResults!$F$5:$IX$116,ComparisonData!A94,ComparisonData!$ABD$1),0)),5)</f>
        <v>0</v>
      </c>
      <c r="ABE94" s="46" cm="1">
        <f t="array" ref="ABE94">ROUND(VALUE(IFERROR(INDEX(ArchiveResults!$F$5:$IX$116,ComparisonData!A94,ComparisonData!$ABE$1),0)),5)</f>
        <v>0</v>
      </c>
      <c r="ABF94" s="46" cm="1">
        <f t="array" ref="ABF94">ROUND(VALUE(IFERROR(INDEX(ArchiveResults!$F$5:$IX$116,ComparisonData!A94,ComparisonData!$ABF$1),0)),5)</f>
        <v>0</v>
      </c>
      <c r="ABG94" s="46" cm="1">
        <f t="array" ref="ABG94">ROUND(VALUE(IFERROR(INDEX(ArchiveResults!$F$5:$IX$116,ComparisonData!A94,ComparisonData!$ABG$1),0)),5)</f>
        <v>0</v>
      </c>
      <c r="ABH94" s="46" cm="1">
        <f t="array" ref="ABH94">ROUND(VALUE(IFERROR(INDEX(ArchiveResults!$F$5:$IX$116,ComparisonData!A94,ComparisonData!$ABH$1),0)),5)</f>
        <v>0</v>
      </c>
      <c r="ABI94" s="56">
        <v>89</v>
      </c>
      <c r="ABJ94" s="53" t="str">
        <f t="shared" si="743"/>
        <v>UCL, Institute of Education</v>
      </c>
      <c r="ABK94" s="60">
        <f t="shared" si="1139"/>
        <v>0</v>
      </c>
      <c r="ABL94" s="60">
        <f t="shared" si="1140"/>
        <v>0</v>
      </c>
      <c r="ABM94" s="60">
        <f t="shared" si="1141"/>
        <v>0</v>
      </c>
      <c r="ABN94" s="60">
        <f t="shared" si="1142"/>
        <v>0</v>
      </c>
      <c r="ABO94" s="60">
        <f t="shared" si="1143"/>
        <v>0</v>
      </c>
      <c r="ABP94" s="76">
        <f t="shared" si="1144"/>
        <v>0</v>
      </c>
      <c r="ABQ94" s="46">
        <f t="shared" si="1145"/>
        <v>72</v>
      </c>
      <c r="ABR94" s="46">
        <f t="shared" si="744"/>
        <v>2.7939999999999996</v>
      </c>
      <c r="ABS94" s="46">
        <f t="shared" si="1146"/>
        <v>1</v>
      </c>
      <c r="ABT94" s="46">
        <f t="shared" si="1147"/>
        <v>2</v>
      </c>
      <c r="ABU94" s="46" cm="1">
        <f t="array" ref="ABU94">ROUND(VALUE(IFERROR(INDEX(ArchiveResults!$F$5:$IX$116,ComparisonData!A94,ComparisonData!$ABU$1),0)),5)</f>
        <v>0</v>
      </c>
      <c r="ABV94" s="46" cm="1">
        <f t="array" ref="ABV94">ROUND(VALUE(IFERROR(INDEX(ArchiveResults!$F$5:$IX$116,ComparisonData!A94,ComparisonData!$ABV$1),0)),5)</f>
        <v>0</v>
      </c>
      <c r="ABW94" s="46" cm="1">
        <f t="array" ref="ABW94">ROUND(VALUE(IFERROR(INDEX(ArchiveResults!$F$5:$IX$116,ComparisonData!A94,ComparisonData!$ABW$1),0)),5)</f>
        <v>0</v>
      </c>
      <c r="ABX94" s="46" cm="1">
        <f t="array" ref="ABX94">ROUND(VALUE(IFERROR(INDEX(ArchiveResults!$F$5:$IX$116,ComparisonData!A94,ComparisonData!$ABX$1),0)),5)</f>
        <v>0</v>
      </c>
      <c r="ABY94" s="46" cm="1">
        <f t="array" ref="ABY94">ROUND(VALUE(IFERROR(INDEX(ArchiveResults!$F$5:$IX$116,ComparisonData!A94,ComparisonData!$ABY$1),0)),5)</f>
        <v>0</v>
      </c>
      <c r="ABZ94" s="56">
        <v>89</v>
      </c>
      <c r="ACA94" s="53" t="str">
        <f t="shared" si="745"/>
        <v>UCL, Institute of Education</v>
      </c>
      <c r="ACB94" s="60">
        <f t="shared" si="1148"/>
        <v>0</v>
      </c>
      <c r="ACC94" s="60">
        <f t="shared" si="1149"/>
        <v>0</v>
      </c>
      <c r="ACD94" s="60">
        <f t="shared" si="1150"/>
        <v>0</v>
      </c>
      <c r="ACE94" s="60">
        <f t="shared" si="1151"/>
        <v>0</v>
      </c>
      <c r="ACF94" s="60">
        <f t="shared" si="1152"/>
        <v>0</v>
      </c>
      <c r="ACG94" s="76">
        <f t="shared" si="1153"/>
        <v>0</v>
      </c>
      <c r="ACH94" s="46">
        <f t="shared" si="1154"/>
        <v>72</v>
      </c>
      <c r="ACI94" s="46">
        <f t="shared" si="746"/>
        <v>2.7939999999999996</v>
      </c>
      <c r="ACJ94" s="46">
        <f t="shared" si="1155"/>
        <v>1</v>
      </c>
      <c r="ACK94" s="46">
        <f t="shared" si="1156"/>
        <v>2</v>
      </c>
      <c r="ACL94" s="46">
        <f t="shared" si="1157"/>
        <v>0</v>
      </c>
      <c r="ACM94" s="46" cm="1">
        <f t="array" ref="ACM94">ROUND(IFERROR(INDEX(ArchiveResults!$F$5:$IX$116,ComparisonData!A94,ComparisonData!$ACM$1),0),5)</f>
        <v>0</v>
      </c>
      <c r="ACN94" s="46" cm="1">
        <f t="array" ref="ACN94">ROUND(IFERROR(INDEX(ArchiveResults!$F$5:$IX$116,ComparisonData!A94,ComparisonData!$ACN$1),0),5)</f>
        <v>0</v>
      </c>
      <c r="ACO94" s="56">
        <v>89</v>
      </c>
      <c r="ACP94" s="53" t="str">
        <f t="shared" si="747"/>
        <v>UCL, Institute of Education</v>
      </c>
      <c r="ACQ94" s="60">
        <f t="shared" si="1158"/>
        <v>0</v>
      </c>
      <c r="ACR94" s="60">
        <f t="shared" si="1159"/>
        <v>0</v>
      </c>
      <c r="ACS94" s="76">
        <f t="shared" si="1160"/>
        <v>0</v>
      </c>
      <c r="ACT94" s="46">
        <f t="shared" si="1161"/>
        <v>72</v>
      </c>
      <c r="ACU94" s="46">
        <f t="shared" si="748"/>
        <v>2.7939999999999996</v>
      </c>
      <c r="ACV94" s="46">
        <f t="shared" si="1162"/>
        <v>1</v>
      </c>
      <c r="ACW94" s="46">
        <f t="shared" si="1163"/>
        <v>2</v>
      </c>
      <c r="ACX94" s="46">
        <f t="shared" si="1164"/>
        <v>0</v>
      </c>
      <c r="ACY94" s="46" cm="1">
        <f t="array" ref="ACY94">ROUNDDOWN(IFERROR(INDEX(ArchiveResults!$F$5:$IX$116,ComparisonData!A94,ComparisonData!$ACY$1),0),5)</f>
        <v>0</v>
      </c>
      <c r="ACZ94" s="46" cm="1">
        <f t="array" ref="ACZ94">ROUNDDOWN(IFERROR(INDEX(ArchiveResults!$F$5:$IX$116,ComparisonData!A94,ComparisonData!$ACZ$1),0),5)</f>
        <v>0</v>
      </c>
      <c r="ADA94" s="46" cm="1">
        <f t="array" ref="ADA94">ROUNDDOWN(IFERROR(INDEX(ArchiveResults!$F$5:$IX$116,ComparisonData!A94,ComparisonData!$ADA$1),0),5)</f>
        <v>0</v>
      </c>
      <c r="ADB94" s="56">
        <v>89</v>
      </c>
      <c r="ADC94" s="53" t="str">
        <f t="shared" si="749"/>
        <v>UCL, Institute of Education</v>
      </c>
      <c r="ADD94" s="60">
        <f t="shared" si="1165"/>
        <v>0</v>
      </c>
      <c r="ADE94" s="60">
        <f t="shared" si="1166"/>
        <v>0</v>
      </c>
      <c r="ADF94" s="60">
        <f t="shared" si="1167"/>
        <v>0</v>
      </c>
      <c r="ADG94" s="76">
        <f t="shared" si="1168"/>
        <v>0</v>
      </c>
    </row>
    <row r="95" spans="1:787" x14ac:dyDescent="0.25">
      <c r="A95" s="46" t="str">
        <f>IF(ISBLANK(ComparisonSelection!F91),"",ROW()-5)</f>
        <v/>
      </c>
      <c r="B95" s="53" t="s">
        <v>545</v>
      </c>
      <c r="C95" s="72">
        <v>0.73899999999999977</v>
      </c>
      <c r="D95" s="55">
        <f t="shared" si="750"/>
        <v>61</v>
      </c>
      <c r="E95" s="54">
        <f t="shared" si="751"/>
        <v>2.7389999999999999</v>
      </c>
      <c r="F95" s="54">
        <f t="shared" si="752"/>
        <v>1</v>
      </c>
      <c r="G95" s="72">
        <f t="shared" si="753"/>
        <v>2</v>
      </c>
      <c r="H95" s="72">
        <f t="shared" si="754"/>
        <v>0</v>
      </c>
      <c r="I95" s="46" cm="1">
        <f t="array" ref="I95">ROUND(IFERROR(INDEX(ArchiveResults!$F$5:$IX$116,ComparisonData!A95,ComparisonData!$I$1),0),5)</f>
        <v>0</v>
      </c>
      <c r="J95" s="46" cm="1">
        <f t="array" ref="J95">ROUND(IFERROR(INDEX(ArchiveResults!$F$5:$IX$116,ComparisonData!A95,ComparisonData!$J$1),0),5)</f>
        <v>0</v>
      </c>
      <c r="K95" s="56">
        <v>90</v>
      </c>
      <c r="L95" s="53" t="str">
        <f t="shared" si="755"/>
        <v>UCL, Senate House Library</v>
      </c>
      <c r="M95" s="57">
        <f t="shared" si="640"/>
        <v>0</v>
      </c>
      <c r="N95" s="57">
        <f t="shared" si="641"/>
        <v>0</v>
      </c>
      <c r="O95" s="58">
        <f t="shared" si="756"/>
        <v>0</v>
      </c>
      <c r="P95" s="48">
        <f t="shared" si="757"/>
        <v>61</v>
      </c>
      <c r="Q95" s="54">
        <f t="shared" si="642"/>
        <v>2.7389999999999999</v>
      </c>
      <c r="R95" s="45">
        <f t="shared" si="758"/>
        <v>1</v>
      </c>
      <c r="S95" s="46">
        <f t="shared" si="759"/>
        <v>2</v>
      </c>
      <c r="T95" s="72">
        <f t="shared" si="760"/>
        <v>0</v>
      </c>
      <c r="U95" s="46" cm="1">
        <f t="array" ref="U95">ROUND(IFERROR(INDEX(ArchiveResults!$F$5:$IX$116,ComparisonData!A95,ComparisonData!$U$1),0),5)</f>
        <v>0</v>
      </c>
      <c r="V95" s="46" cm="1">
        <f t="array" ref="V95">ROUND(IFERROR(INDEX(ArchiveResults!$F$5:$IX$116,ComparisonData!A95,ComparisonData!$V$1),0),5)</f>
        <v>0</v>
      </c>
      <c r="W95" s="56">
        <v>90</v>
      </c>
      <c r="X95" s="53" t="str">
        <f t="shared" si="643"/>
        <v>UCL, Senate House Library</v>
      </c>
      <c r="Y95" s="57">
        <f t="shared" si="761"/>
        <v>0</v>
      </c>
      <c r="Z95" s="57">
        <f t="shared" si="762"/>
        <v>0</v>
      </c>
      <c r="AA95" s="58">
        <f t="shared" si="763"/>
        <v>0</v>
      </c>
      <c r="AB95" s="45">
        <f t="shared" si="764"/>
        <v>61</v>
      </c>
      <c r="AC95" s="54">
        <f t="shared" si="644"/>
        <v>2.7389999999999999</v>
      </c>
      <c r="AD95" s="45">
        <f t="shared" si="765"/>
        <v>1</v>
      </c>
      <c r="AE95" s="45">
        <f t="shared" si="766"/>
        <v>2</v>
      </c>
      <c r="AF95" s="45">
        <f t="shared" si="639"/>
        <v>0</v>
      </c>
      <c r="AG95" s="46" cm="1">
        <f t="array" ref="AG95">ROUND(IFERROR(INDEX(ArchiveResults!$F$5:$IX$116,ComparisonData!A95,ComparisonData!$AG$1),0),5)</f>
        <v>0</v>
      </c>
      <c r="AH95" s="46" cm="1">
        <f t="array" ref="AH95">ROUND(IFERROR(INDEX(ArchiveResults!$F$5:$IX$116,ComparisonData!A95,ComparisonData!$AH$1),0),5)</f>
        <v>0</v>
      </c>
      <c r="AI95" s="56">
        <v>90</v>
      </c>
      <c r="AJ95" s="53" t="str">
        <f t="shared" si="645"/>
        <v>UCL, Senate House Library</v>
      </c>
      <c r="AK95" s="59">
        <f t="shared" si="646"/>
        <v>0</v>
      </c>
      <c r="AL95" s="59">
        <f t="shared" si="647"/>
        <v>0</v>
      </c>
      <c r="AM95" s="58">
        <f t="shared" si="767"/>
        <v>0</v>
      </c>
      <c r="AN95" s="45">
        <f t="shared" si="768"/>
        <v>61</v>
      </c>
      <c r="AO95" s="54">
        <f t="shared" si="648"/>
        <v>2.7389999999999999</v>
      </c>
      <c r="AP95" s="45">
        <f t="shared" si="769"/>
        <v>1</v>
      </c>
      <c r="AQ95" s="45">
        <f t="shared" si="770"/>
        <v>2</v>
      </c>
      <c r="AR95" s="46" cm="1">
        <f t="array" ref="AR95">ROUND(IFERROR(INDEX(ArchiveResults!$F$5:$IX$116,ComparisonData!A95,ComparisonData!$AR$1),0),5)</f>
        <v>0</v>
      </c>
      <c r="AS95" s="46" cm="1">
        <f t="array" ref="AS95">ROUND(IFERROR(INDEX(ArchiveResults!$F$5:$IX$116,ComparisonData!A95,ComparisonData!$AS$1),0),5)</f>
        <v>0</v>
      </c>
      <c r="AT95" s="46" cm="1">
        <f t="array" ref="AT95">ROUND(IFERROR(INDEX(ArchiveResults!$F$5:$IX$116,ComparisonData!A95,ComparisonData!$AT$1),0),5)</f>
        <v>0</v>
      </c>
      <c r="AU95" s="46" cm="1">
        <f t="array" ref="AU95">ROUND(IFERROR(INDEX(ArchiveResults!$F$5:$IX$116,ComparisonData!A95,ComparisonData!$AU$1),0),5)</f>
        <v>0</v>
      </c>
      <c r="AV95" s="46" cm="1">
        <f t="array" ref="AV95">ROUND(IFERROR(INDEX(ArchiveResults!$F$5:$IX$116,ComparisonData!A95,ComparisonData!$AV$1),0),5)</f>
        <v>0</v>
      </c>
      <c r="AW95" s="46" cm="1">
        <f t="array" ref="AW95">ROUND(IFERROR(INDEX(ArchiveResults!$F$5:$IX$116,ComparisonData!A95,ComparisonData!$AW$1),0),5)</f>
        <v>0</v>
      </c>
      <c r="AX95" s="46" cm="1">
        <f t="array" ref="AX95">ROUND(IFERROR(INDEX(ArchiveResults!$F$5:$IX$116,ComparisonData!A95,ComparisonData!$AX$1),0),5)</f>
        <v>0</v>
      </c>
      <c r="AY95" s="46" cm="1">
        <f t="array" ref="AY95">ROUND(IFERROR(INDEX(ArchiveResults!$F$5:$IX$116,ComparisonData!A95,ComparisonData!$AY$1),0),5)</f>
        <v>0</v>
      </c>
      <c r="AZ95" s="46" cm="1">
        <f t="array" ref="AZ95">ROUND(IFERROR(INDEX(ArchiveResults!$F$5:$IX$116,ComparisonData!A95,ComparisonData!$AZ$1),0),5)</f>
        <v>0</v>
      </c>
      <c r="BA95" s="46" cm="1">
        <f t="array" ref="BA95">ROUND(IFERROR(INDEX(ArchiveResults!$F$5:$IX$116,ComparisonData!A95,ComparisonData!$BA$1),0),5)</f>
        <v>0</v>
      </c>
      <c r="BB95" s="56">
        <v>90</v>
      </c>
      <c r="BC95" s="53" t="str">
        <f t="shared" si="649"/>
        <v>UCL, Senate House Library</v>
      </c>
      <c r="BD95" s="60">
        <f t="shared" si="771"/>
        <v>0</v>
      </c>
      <c r="BE95" s="60">
        <f t="shared" si="772"/>
        <v>0</v>
      </c>
      <c r="BF95" s="60">
        <f t="shared" si="773"/>
        <v>0</v>
      </c>
      <c r="BG95" s="60">
        <f t="shared" si="774"/>
        <v>0</v>
      </c>
      <c r="BH95" s="60">
        <f t="shared" si="775"/>
        <v>0</v>
      </c>
      <c r="BI95" s="60">
        <f t="shared" si="776"/>
        <v>0</v>
      </c>
      <c r="BJ95" s="60">
        <f t="shared" si="777"/>
        <v>0</v>
      </c>
      <c r="BK95" s="60">
        <f t="shared" si="778"/>
        <v>0</v>
      </c>
      <c r="BL95" s="60">
        <f t="shared" si="779"/>
        <v>0</v>
      </c>
      <c r="BM95" s="59">
        <f t="shared" si="780"/>
        <v>0</v>
      </c>
      <c r="BN95" s="58">
        <f t="shared" si="781"/>
        <v>0</v>
      </c>
      <c r="BO95" s="45">
        <f t="shared" si="782"/>
        <v>61</v>
      </c>
      <c r="BP95" s="54">
        <f t="shared" si="650"/>
        <v>2.7389999999999999</v>
      </c>
      <c r="BQ95" s="45">
        <f t="shared" si="783"/>
        <v>1</v>
      </c>
      <c r="BR95" s="45">
        <f t="shared" si="784"/>
        <v>2</v>
      </c>
      <c r="BS95" s="46" cm="1">
        <f t="array" ref="BS95">ROUND(IFERROR(INDEX(ArchiveResults!$F$5:$IX$116,ComparisonData!A95,ComparisonData!$BS$1),0),5)</f>
        <v>0</v>
      </c>
      <c r="BT95" s="46" cm="1">
        <f t="array" ref="BT95">ROUND(IFERROR(INDEX(ArchiveResults!$F$5:$IX$116,ComparisonData!A95,ComparisonData!$BT$1),0),5)</f>
        <v>0</v>
      </c>
      <c r="BU95" s="46" cm="1">
        <f t="array" ref="BU95">ROUND(IFERROR(INDEX(ArchiveResults!$F$5:$IX$116,ComparisonData!A95,ComparisonData!$BU$1),0),5)</f>
        <v>0</v>
      </c>
      <c r="BV95" s="46" cm="1">
        <f t="array" ref="BV95">ROUND(IFERROR(INDEX(ArchiveResults!$F$5:$IX$116,ComparisonData!A95,ComparisonData!$BV$1),0),5)</f>
        <v>0</v>
      </c>
      <c r="BW95" s="46" cm="1">
        <f t="array" ref="BW95">ROUND(IFERROR(INDEX(ArchiveResults!$F$5:$IX$116,ComparisonData!A95,ComparisonData!$BW$1),0),5)</f>
        <v>0</v>
      </c>
      <c r="BX95" s="46" cm="1">
        <f t="array" ref="BX95">ROUND(IFERROR(INDEX(ArchiveResults!$F$5:$IX$116,ComparisonData!A95,ComparisonData!$BX$1),0),5)</f>
        <v>0</v>
      </c>
      <c r="BY95" s="56">
        <v>90</v>
      </c>
      <c r="BZ95" s="53" t="str">
        <f t="shared" si="651"/>
        <v>UCL, Senate House Library</v>
      </c>
      <c r="CA95" s="59">
        <f t="shared" si="785"/>
        <v>0</v>
      </c>
      <c r="CB95" s="59">
        <f t="shared" si="786"/>
        <v>0</v>
      </c>
      <c r="CC95" s="59">
        <f t="shared" si="787"/>
        <v>0</v>
      </c>
      <c r="CD95" s="59">
        <f t="shared" si="788"/>
        <v>0</v>
      </c>
      <c r="CE95" s="59">
        <f t="shared" si="789"/>
        <v>0</v>
      </c>
      <c r="CF95" s="59">
        <f t="shared" si="790"/>
        <v>0</v>
      </c>
      <c r="CG95" s="58">
        <f t="shared" si="791"/>
        <v>0</v>
      </c>
      <c r="CH95" s="45">
        <f t="shared" si="792"/>
        <v>61</v>
      </c>
      <c r="CI95" s="54">
        <f t="shared" si="652"/>
        <v>2.7389999999999999</v>
      </c>
      <c r="CJ95" s="45">
        <f t="shared" si="793"/>
        <v>1</v>
      </c>
      <c r="CK95" s="45">
        <f t="shared" si="794"/>
        <v>2</v>
      </c>
      <c r="CL95" s="46" cm="1">
        <f t="array" ref="CL95">ROUND(IFERROR(INDEX(ArchiveResults!$F$5:$IX$116,ComparisonData!A95,ComparisonData!$CL$1),0),5)</f>
        <v>0</v>
      </c>
      <c r="CM95" s="56">
        <v>90</v>
      </c>
      <c r="CN95" s="53" t="str">
        <f t="shared" si="653"/>
        <v>UCL, Senate House Library</v>
      </c>
      <c r="CO95" s="45">
        <f t="shared" si="795"/>
        <v>0</v>
      </c>
      <c r="CP95" s="58">
        <f t="shared" si="796"/>
        <v>0</v>
      </c>
      <c r="CQ95" s="45">
        <f t="shared" si="797"/>
        <v>61</v>
      </c>
      <c r="CR95" s="54">
        <f t="shared" si="654"/>
        <v>2.7389999999999999</v>
      </c>
      <c r="CS95" s="45">
        <f t="shared" si="798"/>
        <v>1</v>
      </c>
      <c r="CT95" s="45">
        <f t="shared" si="799"/>
        <v>2</v>
      </c>
      <c r="CU95" s="46" cm="1">
        <f t="array" ref="CU95">ROUND(IFERROR(INDEX(ArchiveResults!$F$5:$IX$116,ComparisonData!A95,ComparisonData!$CU$1),0),5)</f>
        <v>0</v>
      </c>
      <c r="CV95" s="56">
        <v>90</v>
      </c>
      <c r="CW95" s="53" t="str">
        <f t="shared" si="655"/>
        <v>UCL, Senate House Library</v>
      </c>
      <c r="CX95" s="45">
        <f t="shared" si="800"/>
        <v>0</v>
      </c>
      <c r="CY95" s="58">
        <f t="shared" si="801"/>
        <v>0</v>
      </c>
      <c r="CZ95" s="45">
        <f t="shared" si="802"/>
        <v>61</v>
      </c>
      <c r="DA95" s="54">
        <f t="shared" si="656"/>
        <v>2.7389999999999999</v>
      </c>
      <c r="DB95" s="45">
        <f t="shared" si="803"/>
        <v>1</v>
      </c>
      <c r="DC95" s="45">
        <f t="shared" si="804"/>
        <v>2</v>
      </c>
      <c r="DD95" s="46" cm="1">
        <f t="array" ref="DD95">ROUND(IFERROR(INDEX(ArchiveResults!$F$5:$IX$116,ComparisonData!A95,ComparisonData!$DD$1),0),5)</f>
        <v>0</v>
      </c>
      <c r="DE95" s="56">
        <v>90</v>
      </c>
      <c r="DF95" s="53" t="str">
        <f t="shared" si="657"/>
        <v>UCL, Senate House Library</v>
      </c>
      <c r="DG95" s="45">
        <f t="shared" si="805"/>
        <v>0</v>
      </c>
      <c r="DH95" s="58">
        <f t="shared" si="806"/>
        <v>0</v>
      </c>
      <c r="DI95" s="45">
        <f t="shared" si="807"/>
        <v>61</v>
      </c>
      <c r="DJ95" s="54">
        <f t="shared" si="658"/>
        <v>2.7389999999999999</v>
      </c>
      <c r="DK95" s="45">
        <f t="shared" si="808"/>
        <v>1</v>
      </c>
      <c r="DL95" s="45">
        <f t="shared" si="809"/>
        <v>2</v>
      </c>
      <c r="DM95" s="46" cm="1">
        <f t="array" ref="DM95">ROUND(IFERROR(INDEX(ArchiveResults!$F$5:$IX$116,ComparisonData!A95,ComparisonData!$DM$1),0),5)</f>
        <v>0</v>
      </c>
      <c r="DN95" s="46" cm="1">
        <f t="array" ref="DN95">ROUND(IFERROR(INDEX(ArchiveResults!$F$5:$IX$116,ComparisonData!A95,ComparisonData!$DN$1),0),5)</f>
        <v>0</v>
      </c>
      <c r="DO95" s="46" cm="1">
        <f t="array" ref="DO95">ROUND(IFERROR(INDEX(ArchiveResults!$F$5:$IX$116,ComparisonData!A95,ComparisonData!$DO$1),0),5)</f>
        <v>0</v>
      </c>
      <c r="DP95" s="46" cm="1">
        <f t="array" ref="DP95">ROUND(IFERROR(INDEX(ArchiveResults!$F$5:$IX$116,ComparisonData!A95,ComparisonData!$DP$1),0),5)</f>
        <v>0</v>
      </c>
      <c r="DQ95" s="45" cm="1">
        <f t="array" ref="DQ95">IFERROR(INDEX(ArchiveResults!$F$5:$IX$116,ComparisonData!A95,ComparisonData!$DQ$1),0)</f>
        <v>0</v>
      </c>
      <c r="DR95" s="56">
        <v>90</v>
      </c>
      <c r="DS95" s="53" t="str">
        <f t="shared" si="659"/>
        <v>UCL, Senate House Library</v>
      </c>
      <c r="DT95" s="59">
        <f t="shared" si="810"/>
        <v>0</v>
      </c>
      <c r="DU95" s="59">
        <f t="shared" si="811"/>
        <v>0</v>
      </c>
      <c r="DV95" s="59">
        <f t="shared" si="812"/>
        <v>0</v>
      </c>
      <c r="DW95" s="59">
        <f t="shared" si="813"/>
        <v>0</v>
      </c>
      <c r="DX95" s="59">
        <f t="shared" si="814"/>
        <v>0</v>
      </c>
      <c r="DY95" s="58">
        <f t="shared" si="815"/>
        <v>0</v>
      </c>
      <c r="DZ95" s="45">
        <f t="shared" si="816"/>
        <v>61</v>
      </c>
      <c r="EA95" s="54">
        <f t="shared" si="660"/>
        <v>2.7389999999999999</v>
      </c>
      <c r="EB95" s="45">
        <f t="shared" si="817"/>
        <v>1</v>
      </c>
      <c r="EC95" s="45">
        <f t="shared" si="818"/>
        <v>2</v>
      </c>
      <c r="ED95" s="46" cm="1">
        <f t="array" ref="ED95">ROUND(IFERROR(INDEX(ArchiveResults!$F$5:$IX$116,ComparisonData!A95,ComparisonData!$ED$1),0),5)</f>
        <v>0</v>
      </c>
      <c r="EE95" s="46" cm="1">
        <f t="array" ref="EE95">ROUND(IFERROR(INDEX(ArchiveResults!$F$5:$IX$116,ComparisonData!A95,ComparisonData!$EE$1),0),5)</f>
        <v>0</v>
      </c>
      <c r="EF95" s="46" cm="1">
        <f t="array" ref="EF95">ROUND(IFERROR(INDEX(ArchiveResults!$F$5:$IX$116,ComparisonData!A95,ComparisonData!$EF$1),0),5)</f>
        <v>0</v>
      </c>
      <c r="EG95" s="46" cm="1">
        <f t="array" ref="EG95">ROUND(IFERROR(INDEX(ArchiveResults!$F$5:$IX$116,ComparisonData!A95,ComparisonData!$EG$1),0),5)</f>
        <v>0</v>
      </c>
      <c r="EH95" s="45" cm="1">
        <f t="array" ref="EH95">IFERROR(INDEX(ArchiveResults!$F$5:$IX$116,ComparisonData!A95,ComparisonData!$EH$1),0)</f>
        <v>0</v>
      </c>
      <c r="EI95" s="56">
        <v>90</v>
      </c>
      <c r="EJ95" s="53" t="str">
        <f t="shared" si="661"/>
        <v>UCL, Senate House Library</v>
      </c>
      <c r="EK95" s="59">
        <f t="shared" si="819"/>
        <v>0</v>
      </c>
      <c r="EL95" s="59">
        <f t="shared" si="820"/>
        <v>0</v>
      </c>
      <c r="EM95" s="59">
        <f t="shared" si="821"/>
        <v>0</v>
      </c>
      <c r="EN95" s="59">
        <f t="shared" si="822"/>
        <v>0</v>
      </c>
      <c r="EO95" s="59">
        <f t="shared" si="823"/>
        <v>0</v>
      </c>
      <c r="EP95" s="58">
        <f t="shared" si="824"/>
        <v>0</v>
      </c>
      <c r="EQ95" s="45">
        <f t="shared" si="825"/>
        <v>61</v>
      </c>
      <c r="ER95" s="54">
        <f t="shared" si="662"/>
        <v>2.7389999999999999</v>
      </c>
      <c r="ES95" s="45">
        <f t="shared" si="826"/>
        <v>1</v>
      </c>
      <c r="ET95" s="45">
        <f t="shared" si="827"/>
        <v>2</v>
      </c>
      <c r="EU95" s="46" cm="1">
        <f t="array" ref="EU95">ROUND(IFERROR(INDEX(ArchiveResults!$F$5:$IX$116,ComparisonData!A95,ComparisonData!$EU$1),0),5)</f>
        <v>0</v>
      </c>
      <c r="EV95" s="46" cm="1">
        <f t="array" ref="EV95">ROUND(IFERROR(INDEX(ArchiveResults!$F$5:$IX$116,ComparisonData!A95,ComparisonData!$EV$1),0),5)</f>
        <v>0</v>
      </c>
      <c r="EW95" s="46" cm="1">
        <f t="array" ref="EW95">ROUND(IFERROR(INDEX(ArchiveResults!$F$5:$IX$116,ComparisonData!A95,ComparisonData!$EW$1),0),5)</f>
        <v>0</v>
      </c>
      <c r="EX95" s="46" cm="1">
        <f t="array" ref="EX95">ROUND(IFERROR(INDEX(ArchiveResults!$F$5:$IX$116,ComparisonData!A95,ComparisonData!$EX$1),0),5)</f>
        <v>0</v>
      </c>
      <c r="EY95" s="45" cm="1">
        <f t="array" ref="EY95">IFERROR(INDEX(ArchiveResults!$F$5:$IX$116,ComparisonData!A95,ComparisonData!$EY$1),0)</f>
        <v>0</v>
      </c>
      <c r="EZ95" s="56">
        <v>90</v>
      </c>
      <c r="FA95" s="53" t="str">
        <f t="shared" si="663"/>
        <v>UCL, Senate House Library</v>
      </c>
      <c r="FB95" s="59">
        <f t="shared" si="828"/>
        <v>0</v>
      </c>
      <c r="FC95" s="59">
        <f t="shared" si="829"/>
        <v>0</v>
      </c>
      <c r="FD95" s="59">
        <f t="shared" si="830"/>
        <v>0</v>
      </c>
      <c r="FE95" s="59">
        <f t="shared" si="831"/>
        <v>0</v>
      </c>
      <c r="FF95" s="59">
        <f t="shared" si="832"/>
        <v>0</v>
      </c>
      <c r="FG95" s="58">
        <f t="shared" si="833"/>
        <v>0</v>
      </c>
      <c r="FH95" s="45">
        <f t="shared" si="834"/>
        <v>61</v>
      </c>
      <c r="FI95" s="54">
        <f t="shared" si="664"/>
        <v>2.7389999999999999</v>
      </c>
      <c r="FJ95" s="45">
        <f t="shared" si="835"/>
        <v>1</v>
      </c>
      <c r="FK95" s="45">
        <f t="shared" si="836"/>
        <v>2</v>
      </c>
      <c r="FL95" s="46" cm="1">
        <f t="array" ref="FL95">ROUND(IFERROR(INDEX(ArchiveResults!$F$5:$IX$116,ComparisonData!A95,ComparisonData!$FL$1),0),5)</f>
        <v>0</v>
      </c>
      <c r="FM95" s="46" cm="1">
        <f t="array" ref="FM95">ROUND(IFERROR(INDEX(ArchiveResults!$F$5:$IX$116,ComparisonData!A95,ComparisonData!$FM$1),0),5)</f>
        <v>0</v>
      </c>
      <c r="FN95" s="46" cm="1">
        <f t="array" ref="FN95">ROUND(IFERROR(INDEX(ArchiveResults!$F$5:$IX$116,ComparisonData!A95,ComparisonData!$FN$1),0),5)</f>
        <v>0</v>
      </c>
      <c r="FO95" s="46" cm="1">
        <f t="array" ref="FO95">ROUND(IFERROR(INDEX(ArchiveResults!$F$5:$IX$116,ComparisonData!A95,ComparisonData!$FO$1),0),5)</f>
        <v>0</v>
      </c>
      <c r="FP95" s="45" cm="1">
        <f t="array" ref="FP95">IFERROR(INDEX(ArchiveResults!$F$5:$IX$116,ComparisonData!A95,ComparisonData!$FP$1),0)</f>
        <v>0</v>
      </c>
      <c r="FQ95" s="56">
        <v>90</v>
      </c>
      <c r="FR95" s="53" t="str">
        <f t="shared" si="665"/>
        <v>UCL, Senate House Library</v>
      </c>
      <c r="FS95" s="59">
        <f t="shared" si="837"/>
        <v>0</v>
      </c>
      <c r="FT95" s="59">
        <f t="shared" si="838"/>
        <v>0</v>
      </c>
      <c r="FU95" s="59">
        <f t="shared" si="839"/>
        <v>0</v>
      </c>
      <c r="FV95" s="59">
        <f t="shared" si="840"/>
        <v>0</v>
      </c>
      <c r="FW95" s="59">
        <f t="shared" si="841"/>
        <v>0</v>
      </c>
      <c r="FX95" s="58">
        <f t="shared" si="842"/>
        <v>0</v>
      </c>
      <c r="FY95" s="45">
        <f t="shared" si="843"/>
        <v>61</v>
      </c>
      <c r="FZ95" s="45">
        <f t="shared" si="666"/>
        <v>2.7389999999999999</v>
      </c>
      <c r="GA95" s="45">
        <f t="shared" si="844"/>
        <v>1</v>
      </c>
      <c r="GB95" s="45">
        <f t="shared" si="845"/>
        <v>2</v>
      </c>
      <c r="GC95" s="46" cm="1">
        <f t="array" ref="GC95">ROUND(IFERROR(INDEX(ArchiveResults!$F$5:$IX$116,ComparisonData!A95,ComparisonData!$GC$1),0),5)</f>
        <v>0</v>
      </c>
      <c r="GD95" s="46" cm="1">
        <f t="array" ref="GD95">ROUND(IFERROR(INDEX(ArchiveResults!$F$5:$IX$116,ComparisonData!A95,ComparisonData!$GD$1),0),5)</f>
        <v>0</v>
      </c>
      <c r="GE95" s="46" cm="1">
        <f t="array" ref="GE95">ROUND(IFERROR(INDEX(ArchiveResults!$F$5:$IX$116,ComparisonData!A95,ComparisonData!$GE$1),0),5)</f>
        <v>0</v>
      </c>
      <c r="GF95" s="46" cm="1">
        <f t="array" ref="GF95">ROUND(IFERROR(INDEX(ArchiveResults!$F$5:$IX$116,ComparisonData!A95,ComparisonData!$GF$1),0),5)</f>
        <v>0</v>
      </c>
      <c r="GG95" s="45" cm="1">
        <f t="array" ref="GG95">IFERROR(INDEX(ArchiveResults!$F$5:$IX$116,ComparisonData!A95,ComparisonData!$GG$1),0)</f>
        <v>0</v>
      </c>
      <c r="GH95" s="56">
        <v>90</v>
      </c>
      <c r="GI95" s="53" t="str">
        <f t="shared" si="667"/>
        <v>UCL, Senate House Library</v>
      </c>
      <c r="GJ95" s="59">
        <f t="shared" si="846"/>
        <v>0</v>
      </c>
      <c r="GK95" s="59">
        <f t="shared" si="847"/>
        <v>0</v>
      </c>
      <c r="GL95" s="59">
        <f t="shared" si="848"/>
        <v>0</v>
      </c>
      <c r="GM95" s="59">
        <f t="shared" si="849"/>
        <v>0</v>
      </c>
      <c r="GN95" s="59">
        <f t="shared" si="850"/>
        <v>0</v>
      </c>
      <c r="GO95" s="58">
        <f t="shared" si="851"/>
        <v>0</v>
      </c>
      <c r="GP95" s="45">
        <f t="shared" si="852"/>
        <v>61</v>
      </c>
      <c r="GQ95" s="45">
        <f t="shared" si="668"/>
        <v>2.7389999999999999</v>
      </c>
      <c r="GR95" s="45">
        <f t="shared" si="853"/>
        <v>1</v>
      </c>
      <c r="GS95" s="45">
        <f t="shared" si="854"/>
        <v>2</v>
      </c>
      <c r="GT95" s="46" cm="1">
        <f t="array" ref="GT95">ROUND(IFERROR(INDEX(ArchiveResults!$F$5:$IX$116,ComparisonData!A95,ComparisonData!$GT$1),0),5)</f>
        <v>0</v>
      </c>
      <c r="GU95" s="46" cm="1">
        <f t="array" ref="GU95">ROUND(IFERROR(INDEX(ArchiveResults!$F$5:$IX$116,ComparisonData!A95,ComparisonData!$GU$1),0),5)</f>
        <v>0</v>
      </c>
      <c r="GV95" s="46" cm="1">
        <f t="array" ref="GV95">ROUND(IFERROR(INDEX(ArchiveResults!$F$5:$IX$116,ComparisonData!A95,ComparisonData!$GV$1),0),5)</f>
        <v>0</v>
      </c>
      <c r="GW95" s="46" cm="1">
        <f t="array" ref="GW95">ROUND(IFERROR(INDEX(ArchiveResults!$F$5:$IX$116,ComparisonData!A95,ComparisonData!$GW$1),0),5)</f>
        <v>0</v>
      </c>
      <c r="GX95" s="45" cm="1">
        <f t="array" ref="GX95">IFERROR(INDEX(ArchiveResults!$F$5:$IX$116,ComparisonData!A95,ComparisonData!$GX$1),0)</f>
        <v>0</v>
      </c>
      <c r="GY95" s="56">
        <v>90</v>
      </c>
      <c r="GZ95" s="53" t="str">
        <f t="shared" si="669"/>
        <v>UCL, Senate House Library</v>
      </c>
      <c r="HA95" s="59">
        <f t="shared" si="855"/>
        <v>0</v>
      </c>
      <c r="HB95" s="59">
        <f t="shared" si="856"/>
        <v>0</v>
      </c>
      <c r="HC95" s="59">
        <f t="shared" si="857"/>
        <v>0</v>
      </c>
      <c r="HD95" s="59">
        <f t="shared" si="858"/>
        <v>0</v>
      </c>
      <c r="HE95" s="59">
        <f t="shared" si="859"/>
        <v>0</v>
      </c>
      <c r="HF95" s="58">
        <f t="shared" si="860"/>
        <v>0</v>
      </c>
      <c r="HG95" s="45">
        <f t="shared" si="861"/>
        <v>61</v>
      </c>
      <c r="HH95" s="45">
        <f t="shared" si="670"/>
        <v>2.7389999999999999</v>
      </c>
      <c r="HI95" s="45">
        <f t="shared" si="862"/>
        <v>1</v>
      </c>
      <c r="HJ95" s="45">
        <f t="shared" si="863"/>
        <v>2</v>
      </c>
      <c r="HK95" s="46" cm="1">
        <f t="array" ref="HK95">ROUND(IFERROR(INDEX(ArchiveResults!$F$5:$IX$116,ComparisonData!A95,ComparisonData!$HK$1),0),5)</f>
        <v>0</v>
      </c>
      <c r="HL95" s="46" cm="1">
        <f t="array" ref="HL95">ROUND(IFERROR(INDEX(ArchiveResults!$F$5:$IX$116,ComparisonData!A95,ComparisonData!$HL$1),0),5)</f>
        <v>0</v>
      </c>
      <c r="HM95" s="46" cm="1">
        <f t="array" ref="HM95">ROUND(IFERROR(INDEX(ArchiveResults!$F$5:$IX$116,ComparisonData!A95,ComparisonData!$HM$1),0),5)</f>
        <v>0</v>
      </c>
      <c r="HN95" s="46" cm="1">
        <f t="array" ref="HN95">ROUND(IFERROR(INDEX(ArchiveResults!$F$5:$IX$116,ComparisonData!A95,ComparisonData!$HN$1),0),5)</f>
        <v>0</v>
      </c>
      <c r="HO95" s="45" cm="1">
        <f t="array" ref="HO95">IFERROR(INDEX(ArchiveResults!$F$5:$IX$116,ComparisonData!A95,ComparisonData!$HO$1),0)</f>
        <v>0</v>
      </c>
      <c r="HP95" s="56">
        <v>90</v>
      </c>
      <c r="HQ95" s="53" t="str">
        <f t="shared" si="671"/>
        <v>UCL, Senate House Library</v>
      </c>
      <c r="HR95" s="59">
        <f t="shared" si="672"/>
        <v>0</v>
      </c>
      <c r="HS95" s="59">
        <f t="shared" si="673"/>
        <v>0</v>
      </c>
      <c r="HT95" s="59">
        <f t="shared" si="674"/>
        <v>0</v>
      </c>
      <c r="HU95" s="59">
        <f t="shared" si="675"/>
        <v>0</v>
      </c>
      <c r="HV95" s="59">
        <f t="shared" si="676"/>
        <v>0</v>
      </c>
      <c r="HW95" s="58">
        <f t="shared" si="864"/>
        <v>0</v>
      </c>
      <c r="HX95" s="45">
        <f t="shared" si="865"/>
        <v>61</v>
      </c>
      <c r="HY95" s="45">
        <f t="shared" si="677"/>
        <v>2.7389999999999999</v>
      </c>
      <c r="HZ95" s="45">
        <f t="shared" si="866"/>
        <v>1</v>
      </c>
      <c r="IA95" s="45">
        <f t="shared" si="867"/>
        <v>2</v>
      </c>
      <c r="IB95" s="45">
        <f t="shared" si="868"/>
        <v>0</v>
      </c>
      <c r="IC95" s="46" cm="1">
        <f t="array" ref="IC95">ROUND(IFERROR(INDEX(ArchiveResults!$F$5:$IX$116,ComparisonData!A95,ComparisonData!$IC$1),0),5)</f>
        <v>0</v>
      </c>
      <c r="ID95" s="46" cm="1">
        <f t="array" ref="ID95">ROUND(IFERROR(INDEX(ArchiveResults!$F$5:$IX$116,ComparisonData!A95,ComparisonData!$ID$1),0),5)</f>
        <v>0</v>
      </c>
      <c r="IE95" s="46" cm="1">
        <f t="array" ref="IE95">ROUND(IFERROR(INDEX(ArchiveResults!$F$5:$IX$116,ComparisonData!A95,ComparisonData!$IE$1),0),5)</f>
        <v>0</v>
      </c>
      <c r="IF95" s="46" cm="1">
        <f t="array" ref="IF95">ROUND(IFERROR(INDEX(ArchiveResults!$F$5:$IX$116,ComparisonData!A95,ComparisonData!$IF$1),0),5)</f>
        <v>0</v>
      </c>
      <c r="IG95" s="45" cm="1">
        <f t="array" ref="IG95">IFERROR(INDEX(ArchiveResults!$F$5:$IX$116,ComparisonData!A95,ComparisonData!$IG$1),0)</f>
        <v>0</v>
      </c>
      <c r="IH95" s="56">
        <v>90</v>
      </c>
      <c r="II95" s="53" t="str">
        <f t="shared" si="678"/>
        <v>UCL, Senate House Library</v>
      </c>
      <c r="IJ95" s="59">
        <f t="shared" si="869"/>
        <v>0</v>
      </c>
      <c r="IK95" s="59">
        <f t="shared" si="870"/>
        <v>0</v>
      </c>
      <c r="IL95" s="59">
        <f t="shared" si="871"/>
        <v>0</v>
      </c>
      <c r="IM95" s="59">
        <f t="shared" si="872"/>
        <v>0</v>
      </c>
      <c r="IN95" s="59">
        <f t="shared" si="873"/>
        <v>0</v>
      </c>
      <c r="IO95" s="58">
        <f t="shared" si="874"/>
        <v>0</v>
      </c>
      <c r="IP95" s="45">
        <f t="shared" si="875"/>
        <v>61</v>
      </c>
      <c r="IQ95" s="45">
        <f t="shared" si="679"/>
        <v>2.7389999999999999</v>
      </c>
      <c r="IR95" s="45">
        <f t="shared" si="876"/>
        <v>1</v>
      </c>
      <c r="IS95" s="45">
        <f t="shared" si="877"/>
        <v>2</v>
      </c>
      <c r="IT95" s="46">
        <f t="shared" si="878"/>
        <v>0</v>
      </c>
      <c r="IU95" s="46" cm="1">
        <f t="array" ref="IU95">ROUND(IFERROR(INDEX(ArchiveResults!$F$5:$IX$116,ComparisonData!A95,ComparisonData!$IU$1),0),5)</f>
        <v>0</v>
      </c>
      <c r="IV95" s="46" cm="1">
        <f t="array" ref="IV95">ROUND(IFERROR(INDEX(ArchiveResults!$F$5:$IX$116,ComparisonData!A95,ComparisonData!$IV$1),0),5)</f>
        <v>0</v>
      </c>
      <c r="IW95" s="46" cm="1">
        <f t="array" ref="IW95">ROUND(IFERROR(INDEX(ArchiveResults!$F$5:$IX$116,ComparisonData!A95,ComparisonData!$IW$1),0),5)</f>
        <v>0</v>
      </c>
      <c r="IX95" s="46" cm="1">
        <f t="array" ref="IX95">ROUND(IFERROR(INDEX(ArchiveResults!$F$5:$IX$116,ComparisonData!A95,ComparisonData!$IX$1),0),5)</f>
        <v>0</v>
      </c>
      <c r="IY95" s="45" cm="1">
        <f t="array" ref="IY95">IFERROR(INDEX(ArchiveResults!$F$5:$IX$116,ComparisonData!A95,ComparisonData!$IY$1),0)</f>
        <v>0</v>
      </c>
      <c r="IZ95" s="56">
        <v>90</v>
      </c>
      <c r="JA95" s="53" t="str">
        <f t="shared" si="680"/>
        <v>UCL, Senate House Library</v>
      </c>
      <c r="JB95" s="59">
        <f t="shared" si="879"/>
        <v>0</v>
      </c>
      <c r="JC95" s="59">
        <f t="shared" si="880"/>
        <v>0</v>
      </c>
      <c r="JD95" s="59">
        <f t="shared" si="881"/>
        <v>0</v>
      </c>
      <c r="JE95" s="59">
        <f t="shared" si="882"/>
        <v>0</v>
      </c>
      <c r="JF95" s="59">
        <f t="shared" si="883"/>
        <v>0</v>
      </c>
      <c r="JG95" s="58">
        <f t="shared" si="884"/>
        <v>0</v>
      </c>
      <c r="JH95" s="45">
        <f t="shared" si="885"/>
        <v>61</v>
      </c>
      <c r="JI95" s="45">
        <f t="shared" si="681"/>
        <v>2.7389999999999999</v>
      </c>
      <c r="JJ95" s="45">
        <f t="shared" si="886"/>
        <v>1</v>
      </c>
      <c r="JK95" s="45">
        <f t="shared" si="887"/>
        <v>2</v>
      </c>
      <c r="JL95" s="45">
        <f t="shared" si="888"/>
        <v>0</v>
      </c>
      <c r="JM95" s="46" cm="1">
        <f t="array" ref="JM95">ROUND(IFERROR(INDEX(ArchiveResults!$F$5:$IX$116,ComparisonData!A95,ComparisonData!$JM$1),0),5)</f>
        <v>0</v>
      </c>
      <c r="JN95" s="46" cm="1">
        <f t="array" ref="JN95">ROUND(IFERROR(INDEX(ArchiveResults!$F$5:$IX$116,ComparisonData!A95,ComparisonData!$JN$1),0),5)</f>
        <v>0</v>
      </c>
      <c r="JO95" s="46" cm="1">
        <f t="array" ref="JO95">ROUND(IFERROR(INDEX(ArchiveResults!$F$5:$IX$116,ComparisonData!A95,ComparisonData!$JO$1),0),5)</f>
        <v>0</v>
      </c>
      <c r="JP95" s="46" cm="1">
        <f t="array" ref="JP95">ROUND(IFERROR(INDEX(ArchiveResults!$F$5:$IX$116,ComparisonData!A95,ComparisonData!$JP$1),0),5)</f>
        <v>0</v>
      </c>
      <c r="JQ95" s="45" cm="1">
        <f t="array" ref="JQ95">IFERROR(INDEX(ArchiveResults!$F$5:$IX$116,ComparisonData!A95,ComparisonData!$JQ$1),0)</f>
        <v>0</v>
      </c>
      <c r="JR95" s="56">
        <v>90</v>
      </c>
      <c r="JS95" s="53" t="str">
        <f t="shared" si="682"/>
        <v>UCL, Senate House Library</v>
      </c>
      <c r="JT95" s="59">
        <f t="shared" si="889"/>
        <v>0</v>
      </c>
      <c r="JU95" s="59">
        <f t="shared" si="890"/>
        <v>0</v>
      </c>
      <c r="JV95" s="59">
        <f t="shared" si="891"/>
        <v>0</v>
      </c>
      <c r="JW95" s="59">
        <f t="shared" si="892"/>
        <v>0</v>
      </c>
      <c r="JX95" s="59">
        <f t="shared" si="893"/>
        <v>0</v>
      </c>
      <c r="JY95" s="58">
        <f t="shared" si="894"/>
        <v>0</v>
      </c>
      <c r="JZ95" s="45">
        <f t="shared" si="895"/>
        <v>61</v>
      </c>
      <c r="KA95" s="45">
        <f t="shared" si="683"/>
        <v>2.7389999999999999</v>
      </c>
      <c r="KB95" s="45">
        <f t="shared" si="896"/>
        <v>1</v>
      </c>
      <c r="KC95" s="45">
        <f t="shared" si="897"/>
        <v>2</v>
      </c>
      <c r="KD95" s="45">
        <f t="shared" si="898"/>
        <v>0</v>
      </c>
      <c r="KE95" s="46" cm="1">
        <f t="array" ref="KE95">ROUND(IFERROR(INDEX(ArchiveResults!$F$5:$IX$116,ComparisonData!A95,ComparisonData!$KE$1),0),5)</f>
        <v>0</v>
      </c>
      <c r="KF95" s="46" cm="1">
        <f t="array" ref="KF95">ROUND(IFERROR(INDEX(ArchiveResults!$F$5:$IX$116,ComparisonData!A95,ComparisonData!$KF$1),0),5)</f>
        <v>0</v>
      </c>
      <c r="KG95" s="46" cm="1">
        <f t="array" ref="KG95">ROUND(IFERROR(INDEX(ArchiveResults!$F$5:$IX$116,ComparisonData!A95,ComparisonData!$KG$1),0),5)</f>
        <v>0</v>
      </c>
      <c r="KH95" s="46" cm="1">
        <f t="array" ref="KH95">ROUND(IFERROR(INDEX(ArchiveResults!$F$5:$IX$116,ComparisonData!A95,ComparisonData!$KH$1),0),5)</f>
        <v>0</v>
      </c>
      <c r="KI95" s="45" cm="1">
        <f t="array" ref="KI95">IFERROR(INDEX(ArchiveResults!$F$5:$IX$116,ComparisonData!A95,ComparisonData!$KI$1),0)</f>
        <v>0</v>
      </c>
      <c r="KJ95" s="56">
        <v>90</v>
      </c>
      <c r="KK95" s="53" t="str">
        <f t="shared" si="684"/>
        <v>UCL, Senate House Library</v>
      </c>
      <c r="KL95" s="59">
        <f t="shared" si="899"/>
        <v>0</v>
      </c>
      <c r="KM95" s="59">
        <f t="shared" si="900"/>
        <v>0</v>
      </c>
      <c r="KN95" s="59">
        <f t="shared" si="901"/>
        <v>0</v>
      </c>
      <c r="KO95" s="59">
        <f t="shared" si="902"/>
        <v>0</v>
      </c>
      <c r="KP95" s="59">
        <f t="shared" si="903"/>
        <v>0</v>
      </c>
      <c r="KQ95" s="58">
        <f t="shared" si="904"/>
        <v>0</v>
      </c>
      <c r="KR95" s="45">
        <f t="shared" si="905"/>
        <v>61</v>
      </c>
      <c r="KS95" s="45">
        <f t="shared" si="685"/>
        <v>2.7389999999999999</v>
      </c>
      <c r="KT95" s="45">
        <f t="shared" si="906"/>
        <v>1</v>
      </c>
      <c r="KU95" s="45">
        <f t="shared" si="907"/>
        <v>2</v>
      </c>
      <c r="KV95" s="45">
        <f t="shared" si="908"/>
        <v>0</v>
      </c>
      <c r="KW95" s="46" cm="1">
        <f t="array" ref="KW95">ROUND(IFERROR(INDEX(ArchiveResults!$F$5:$IX$116,ComparisonData!A95,ComparisonData!$KW$1),0),5)</f>
        <v>0</v>
      </c>
      <c r="KX95" s="46" cm="1">
        <f t="array" ref="KX95">ROUND(IFERROR(INDEX(ArchiveResults!$F$5:$IX$116,ComparisonData!A95,ComparisonData!$KX$1),0),5)</f>
        <v>0</v>
      </c>
      <c r="KY95" s="46" cm="1">
        <f t="array" ref="KY95">ROUND(IFERROR(INDEX(ArchiveResults!$F$5:$IX$116,ComparisonData!A95,ComparisonData!$KY$1),0),5)</f>
        <v>0</v>
      </c>
      <c r="KZ95" s="46" cm="1">
        <f t="array" ref="KZ95">ROUND(IFERROR(INDEX(ArchiveResults!$F$5:$IX$116,ComparisonData!A95,ComparisonData!$KZ$1),0),5)</f>
        <v>0</v>
      </c>
      <c r="LA95" s="45" cm="1">
        <f t="array" ref="LA95">IFERROR(INDEX(ArchiveResults!$F$5:$IX$116,ComparisonData!A95,ComparisonData!$LA$1),0)</f>
        <v>0</v>
      </c>
      <c r="LB95" s="56">
        <v>90</v>
      </c>
      <c r="LC95" s="53" t="str">
        <f t="shared" si="686"/>
        <v>UCL, Senate House Library</v>
      </c>
      <c r="LD95" s="59">
        <f t="shared" si="909"/>
        <v>0</v>
      </c>
      <c r="LE95" s="59">
        <f t="shared" si="910"/>
        <v>0</v>
      </c>
      <c r="LF95" s="59">
        <f t="shared" si="911"/>
        <v>0</v>
      </c>
      <c r="LG95" s="59">
        <f t="shared" si="912"/>
        <v>0</v>
      </c>
      <c r="LH95" s="59">
        <f t="shared" si="913"/>
        <v>0</v>
      </c>
      <c r="LI95" s="58">
        <f t="shared" si="914"/>
        <v>0</v>
      </c>
      <c r="LJ95" s="45">
        <f t="shared" si="915"/>
        <v>61</v>
      </c>
      <c r="LK95" s="45">
        <f t="shared" si="687"/>
        <v>2.7389999999999999</v>
      </c>
      <c r="LL95" s="45">
        <f t="shared" si="916"/>
        <v>1</v>
      </c>
      <c r="LM95" s="45">
        <f t="shared" si="917"/>
        <v>2</v>
      </c>
      <c r="LN95" s="45">
        <f t="shared" si="918"/>
        <v>0</v>
      </c>
      <c r="LO95" s="46" cm="1">
        <f t="array" ref="LO95">ROUND(IFERROR(INDEX(ArchiveResults!$F$5:$IX$116,ComparisonData!A95,ComparisonData!$LO$1),0),5)</f>
        <v>0</v>
      </c>
      <c r="LP95" s="46" cm="1">
        <f t="array" ref="LP95">ROUND(IFERROR(INDEX(ArchiveResults!$F$5:$IX$116,ComparisonData!A95,ComparisonData!$LP$1),0),5)</f>
        <v>0</v>
      </c>
      <c r="LQ95" s="46" cm="1">
        <f t="array" ref="LQ95">ROUND(IFERROR(INDEX(ArchiveResults!$F$5:$IX$116,ComparisonData!A95,ComparisonData!$LQ$1),0),5)</f>
        <v>0</v>
      </c>
      <c r="LR95" s="46" cm="1">
        <f t="array" ref="LR95">ROUND(IFERROR(INDEX(ArchiveResults!$F$5:$IX$116,ComparisonData!A95,ComparisonData!$LR$1),0),5)</f>
        <v>0</v>
      </c>
      <c r="LS95" s="45" cm="1">
        <f t="array" ref="LS95">IFERROR(INDEX(ArchiveResults!$F$5:$IX$116,ComparisonData!A95,ComparisonData!$LS$1),0)</f>
        <v>0</v>
      </c>
      <c r="LT95" s="56">
        <v>90</v>
      </c>
      <c r="LU95" s="53" t="str">
        <f t="shared" si="688"/>
        <v>UCL, Senate House Library</v>
      </c>
      <c r="LV95" s="59">
        <f t="shared" si="919"/>
        <v>0</v>
      </c>
      <c r="LW95" s="59">
        <f t="shared" si="920"/>
        <v>0</v>
      </c>
      <c r="LX95" s="59">
        <f t="shared" si="921"/>
        <v>0</v>
      </c>
      <c r="LY95" s="59">
        <f t="shared" si="922"/>
        <v>0</v>
      </c>
      <c r="LZ95" s="59">
        <f t="shared" si="923"/>
        <v>0</v>
      </c>
      <c r="MA95" s="58">
        <f t="shared" si="924"/>
        <v>0</v>
      </c>
      <c r="MB95" s="45">
        <f t="shared" si="925"/>
        <v>61</v>
      </c>
      <c r="MC95" s="45">
        <f t="shared" si="689"/>
        <v>2.7389999999999999</v>
      </c>
      <c r="MD95" s="45">
        <f t="shared" si="926"/>
        <v>1</v>
      </c>
      <c r="ME95" s="45">
        <f t="shared" si="927"/>
        <v>2</v>
      </c>
      <c r="MF95" s="45">
        <f t="shared" si="928"/>
        <v>0</v>
      </c>
      <c r="MG95" s="46" cm="1">
        <f t="array" ref="MG95">ROUND(IFERROR(INDEX(ArchiveResults!$F$5:$IX$116,ComparisonData!A95,ComparisonData!$MG$1),0),5)</f>
        <v>0</v>
      </c>
      <c r="MH95" s="46" cm="1">
        <f t="array" ref="MH95">ROUND(IFERROR(INDEX(ArchiveResults!$F$5:$IX$116,ComparisonData!A95,ComparisonData!$MH$1),0),5)</f>
        <v>0</v>
      </c>
      <c r="MI95" s="46" cm="1">
        <f t="array" ref="MI95">ROUND(IFERROR(INDEX(ArchiveResults!$F$5:$IX$116,ComparisonData!A95,ComparisonData!$MI$1),0),5)</f>
        <v>0</v>
      </c>
      <c r="MJ95" s="46" cm="1">
        <f t="array" ref="MJ95">ROUND(IFERROR(INDEX(ArchiveResults!$F$5:$IX$116,ComparisonData!A95,ComparisonData!$MJ$1),0),5)</f>
        <v>0</v>
      </c>
      <c r="MK95" s="45" cm="1">
        <f t="array" ref="MK95">IFERROR(INDEX(ArchiveResults!$F$5:$IX$116,ComparisonData!A95,ComparisonData!$MK$1),0)</f>
        <v>0</v>
      </c>
      <c r="ML95" s="56">
        <v>90</v>
      </c>
      <c r="MM95" s="53" t="str">
        <f t="shared" si="690"/>
        <v>UCL, Senate House Library</v>
      </c>
      <c r="MN95" s="59">
        <f t="shared" si="929"/>
        <v>0</v>
      </c>
      <c r="MO95" s="59">
        <f t="shared" si="930"/>
        <v>0</v>
      </c>
      <c r="MP95" s="59">
        <f t="shared" si="931"/>
        <v>0</v>
      </c>
      <c r="MQ95" s="59">
        <f t="shared" si="932"/>
        <v>0</v>
      </c>
      <c r="MR95" s="59">
        <f t="shared" si="933"/>
        <v>0</v>
      </c>
      <c r="MS95" s="58">
        <f t="shared" si="934"/>
        <v>0</v>
      </c>
      <c r="MT95" s="45">
        <f t="shared" si="935"/>
        <v>61</v>
      </c>
      <c r="MU95" s="45">
        <f t="shared" si="691"/>
        <v>2.7389999999999999</v>
      </c>
      <c r="MV95" s="45">
        <f t="shared" si="936"/>
        <v>1</v>
      </c>
      <c r="MW95" s="45">
        <f t="shared" si="937"/>
        <v>2</v>
      </c>
      <c r="MX95" s="45">
        <f t="shared" si="938"/>
        <v>0</v>
      </c>
      <c r="MY95" s="46" cm="1">
        <f t="array" ref="MY95">ROUND(IFERROR(INDEX(ArchiveResults!$F$5:$IX$116,ComparisonData!A95,ComparisonData!$MY$1),0),5)</f>
        <v>0</v>
      </c>
      <c r="MZ95" s="46" cm="1">
        <f t="array" ref="MZ95">ROUND(IFERROR(INDEX(ArchiveResults!$F$5:$IX$116,ComparisonData!A95,ComparisonData!$MZ$1),0),5)</f>
        <v>0</v>
      </c>
      <c r="NA95" s="46" cm="1">
        <f t="array" ref="NA95">ROUND(IFERROR(INDEX(ArchiveResults!$F$5:$IX$116,ComparisonData!A95,ComparisonData!$NA$1),0),5)</f>
        <v>0</v>
      </c>
      <c r="NB95" s="46" cm="1">
        <f t="array" ref="NB95">ROUND(IFERROR(INDEX(ArchiveResults!$F$5:$IX$116,ComparisonData!A95,ComparisonData!$NB$1),0),5)</f>
        <v>0</v>
      </c>
      <c r="NC95" s="45" cm="1">
        <f t="array" ref="NC95">IFERROR(INDEX(ArchiveResults!$F$5:$IX$116,ComparisonData!A95,ComparisonData!$NC$1),0)</f>
        <v>0</v>
      </c>
      <c r="ND95" s="56">
        <v>90</v>
      </c>
      <c r="NE95" s="53" t="str">
        <f t="shared" si="692"/>
        <v>UCL, Senate House Library</v>
      </c>
      <c r="NF95" s="59">
        <f t="shared" si="939"/>
        <v>0</v>
      </c>
      <c r="NG95" s="59">
        <f t="shared" si="940"/>
        <v>0</v>
      </c>
      <c r="NH95" s="59">
        <f t="shared" si="941"/>
        <v>0</v>
      </c>
      <c r="NI95" s="59">
        <f t="shared" si="942"/>
        <v>0</v>
      </c>
      <c r="NJ95" s="59">
        <f t="shared" si="943"/>
        <v>0</v>
      </c>
      <c r="NK95" s="58">
        <f t="shared" si="944"/>
        <v>0</v>
      </c>
      <c r="NL95" s="45">
        <f t="shared" si="945"/>
        <v>61</v>
      </c>
      <c r="NM95" s="45">
        <f t="shared" si="693"/>
        <v>2.7389999999999999</v>
      </c>
      <c r="NN95" s="45">
        <f t="shared" si="946"/>
        <v>1</v>
      </c>
      <c r="NO95" s="45">
        <f t="shared" si="947"/>
        <v>2</v>
      </c>
      <c r="NP95" s="46" cm="1">
        <f t="array" ref="NP95">ROUND(IFERROR(INDEX(ArchiveResults!$F$5:$IX$116,ComparisonData!A95,ComparisonData!$NP$1),0),5)</f>
        <v>0</v>
      </c>
      <c r="NQ95" s="46" cm="1">
        <f t="array" ref="NQ95">ROUND(IFERROR(INDEX(ArchiveResults!$F$5:$IX$116,ComparisonData!A95,ComparisonData!$NQ$1),0),5)</f>
        <v>0</v>
      </c>
      <c r="NR95" s="46" cm="1">
        <f t="array" ref="NR95">ROUND(IFERROR(INDEX(ArchiveResults!$F$5:$IX$116,ComparisonData!A95,ComparisonData!$NR$1),0),5)</f>
        <v>0</v>
      </c>
      <c r="NS95" s="46" cm="1">
        <f t="array" ref="NS95">ROUND(IFERROR(INDEX(ArchiveResults!$F$5:$IX$116,ComparisonData!A95,ComparisonData!$NS$1),0),5)</f>
        <v>0</v>
      </c>
      <c r="NT95" s="45" cm="1">
        <f t="array" ref="NT95">IFERROR(INDEX(ArchiveResults!$F$5:$IX$116,ComparisonData!A95,ComparisonData!$NT$1),0)</f>
        <v>0</v>
      </c>
      <c r="NU95" s="56">
        <v>90</v>
      </c>
      <c r="NV95" s="53" t="str">
        <f t="shared" si="694"/>
        <v>UCL, Senate House Library</v>
      </c>
      <c r="NW95" s="59">
        <f t="shared" si="948"/>
        <v>0</v>
      </c>
      <c r="NX95" s="59">
        <f t="shared" si="949"/>
        <v>0</v>
      </c>
      <c r="NY95" s="59">
        <f t="shared" si="950"/>
        <v>0</v>
      </c>
      <c r="NZ95" s="59">
        <f t="shared" si="951"/>
        <v>0</v>
      </c>
      <c r="OA95" s="59">
        <f t="shared" si="952"/>
        <v>0</v>
      </c>
      <c r="OB95" s="58">
        <f t="shared" si="953"/>
        <v>0</v>
      </c>
      <c r="OC95" s="45">
        <f t="shared" si="954"/>
        <v>61</v>
      </c>
      <c r="OD95" s="45">
        <f t="shared" si="695"/>
        <v>2.7389999999999999</v>
      </c>
      <c r="OE95" s="45">
        <f t="shared" si="955"/>
        <v>1</v>
      </c>
      <c r="OF95" s="45">
        <f t="shared" si="956"/>
        <v>2</v>
      </c>
      <c r="OG95" s="46">
        <f t="shared" si="957"/>
        <v>0</v>
      </c>
      <c r="OH95" s="46" cm="1">
        <f t="array" ref="OH95">ROUND(IFERROR(INDEX(ArchiveResults!$F$5:$IX$116,ComparisonData!A95,ComparisonData!$OH$1),0),5)</f>
        <v>0</v>
      </c>
      <c r="OI95" s="46" cm="1">
        <f t="array" ref="OI95">ROUND(IFERROR(INDEX(ArchiveResults!$F$5:$IX$116,ComparisonData!A95,ComparisonData!$OI$1),0),5)</f>
        <v>0</v>
      </c>
      <c r="OJ95" s="46" cm="1">
        <f t="array" ref="OJ95">ROUND(IFERROR(INDEX(ArchiveResults!$F$5:$IX$116,ComparisonData!A95,ComparisonData!$OJ$1),0),5)</f>
        <v>0</v>
      </c>
      <c r="OK95" s="46" cm="1">
        <f t="array" ref="OK95">ROUND(IFERROR(INDEX(ArchiveResults!$F$5:$IX$116,ComparisonData!A95,ComparisonData!$OK$1),0),5)</f>
        <v>0</v>
      </c>
      <c r="OL95" s="45" cm="1">
        <f t="array" ref="OL95">IFERROR(INDEX(ArchiveResults!$F$5:$IX$116,ComparisonData!A95,ComparisonData!$OL$1),0)</f>
        <v>0</v>
      </c>
      <c r="OM95" s="56">
        <v>90</v>
      </c>
      <c r="ON95" s="53" t="str">
        <f t="shared" si="696"/>
        <v>UCL, Senate House Library</v>
      </c>
      <c r="OO95" s="59">
        <f t="shared" si="958"/>
        <v>0</v>
      </c>
      <c r="OP95" s="59">
        <f t="shared" si="959"/>
        <v>0</v>
      </c>
      <c r="OQ95" s="59">
        <f t="shared" si="960"/>
        <v>0</v>
      </c>
      <c r="OR95" s="59">
        <f t="shared" si="961"/>
        <v>0</v>
      </c>
      <c r="OS95" s="59">
        <f t="shared" si="962"/>
        <v>0</v>
      </c>
      <c r="OT95" s="58">
        <f t="shared" si="963"/>
        <v>0</v>
      </c>
      <c r="OU95" s="45">
        <f t="shared" si="964"/>
        <v>61</v>
      </c>
      <c r="OV95" s="45">
        <f t="shared" si="697"/>
        <v>2.7389999999999999</v>
      </c>
      <c r="OW95" s="45">
        <f t="shared" si="965"/>
        <v>1</v>
      </c>
      <c r="OX95" s="45">
        <f t="shared" si="966"/>
        <v>2</v>
      </c>
      <c r="OY95" s="45">
        <f t="shared" si="967"/>
        <v>0</v>
      </c>
      <c r="OZ95" s="46" cm="1">
        <f t="array" ref="OZ95">ROUND(IFERROR(INDEX(ArchiveResults!$F$5:$IX$116,ComparisonData!A95,ComparisonData!$OZ$1),0),5)</f>
        <v>0</v>
      </c>
      <c r="PA95" s="46" cm="1">
        <f t="array" ref="PA95">ROUND(IFERROR(INDEX(ArchiveResults!$F$5:$IX$116,ComparisonData!A95,ComparisonData!$PA$1),0),5)</f>
        <v>0</v>
      </c>
      <c r="PB95" s="46" cm="1">
        <f t="array" ref="PB95">ROUND(IFERROR(INDEX(ArchiveResults!$F$5:$IX$116,ComparisonData!A95,ComparisonData!$PB$1),0),5)</f>
        <v>0</v>
      </c>
      <c r="PC95" s="46" cm="1">
        <f t="array" ref="PC95">ROUND(IFERROR(INDEX(ArchiveResults!$F$5:$IX$116,ComparisonData!A95,ComparisonData!$PC$1),0),5)</f>
        <v>0</v>
      </c>
      <c r="PD95" s="45" cm="1">
        <f t="array" ref="PD95">IFERROR(INDEX(ArchiveResults!$F$5:$IX$116,ComparisonData!A95,ComparisonData!$PD$1),0)</f>
        <v>0</v>
      </c>
      <c r="PE95" s="56">
        <v>90</v>
      </c>
      <c r="PF95" s="53" t="str">
        <f t="shared" si="698"/>
        <v>UCL, Senate House Library</v>
      </c>
      <c r="PG95" s="59">
        <f t="shared" si="968"/>
        <v>0</v>
      </c>
      <c r="PH95" s="59">
        <f t="shared" si="969"/>
        <v>0</v>
      </c>
      <c r="PI95" s="59">
        <f t="shared" si="970"/>
        <v>0</v>
      </c>
      <c r="PJ95" s="59">
        <f t="shared" si="971"/>
        <v>0</v>
      </c>
      <c r="PK95" s="59">
        <f t="shared" si="972"/>
        <v>0</v>
      </c>
      <c r="PL95" s="58">
        <f t="shared" si="973"/>
        <v>0</v>
      </c>
      <c r="PM95" s="45">
        <f t="shared" si="974"/>
        <v>61</v>
      </c>
      <c r="PN95" s="45">
        <f t="shared" si="699"/>
        <v>2.7389999999999999</v>
      </c>
      <c r="PO95" s="45">
        <f t="shared" si="975"/>
        <v>1</v>
      </c>
      <c r="PP95" s="45">
        <f t="shared" si="976"/>
        <v>2</v>
      </c>
      <c r="PQ95" s="45">
        <f t="shared" si="977"/>
        <v>0</v>
      </c>
      <c r="PR95" s="46" cm="1">
        <f t="array" ref="PR95">ROUND(IFERROR(INDEX(ArchiveResults!$F$5:$IX$116,ComparisonData!A95,ComparisonData!$PR$1),0),5)</f>
        <v>0</v>
      </c>
      <c r="PS95" s="46" cm="1">
        <f t="array" ref="PS95">ROUND(IFERROR(INDEX(ArchiveResults!$F$5:$IX$116,ComparisonData!A95,ComparisonData!$PS$1),0),5)</f>
        <v>0</v>
      </c>
      <c r="PT95" s="46" cm="1">
        <f t="array" ref="PT95">ROUND(IFERROR(INDEX(ArchiveResults!$F$5:$IX$116,ComparisonData!A95,ComparisonData!$PT$1),0),5)</f>
        <v>0</v>
      </c>
      <c r="PU95" s="46" cm="1">
        <f t="array" ref="PU95">ROUND(IFERROR(INDEX(ArchiveResults!$F$5:$IX$116,ComparisonData!A95,ComparisonData!$PU$1),0),5)</f>
        <v>0</v>
      </c>
      <c r="PV95" s="45" cm="1">
        <f t="array" ref="PV95">IFERROR(INDEX(ArchiveResults!$F$5:$IX$116,ComparisonData!A95,ComparisonData!$PV$1),0)</f>
        <v>0</v>
      </c>
      <c r="PW95" s="56">
        <v>90</v>
      </c>
      <c r="PX95" s="53" t="str">
        <f t="shared" si="700"/>
        <v>UCL, Senate House Library</v>
      </c>
      <c r="PY95" s="59">
        <f t="shared" si="978"/>
        <v>0</v>
      </c>
      <c r="PZ95" s="59">
        <f t="shared" si="979"/>
        <v>0</v>
      </c>
      <c r="QA95" s="59">
        <f t="shared" si="980"/>
        <v>0</v>
      </c>
      <c r="QB95" s="59">
        <f t="shared" si="981"/>
        <v>0</v>
      </c>
      <c r="QC95" s="59">
        <f t="shared" si="982"/>
        <v>0</v>
      </c>
      <c r="QD95" s="58">
        <f t="shared" si="983"/>
        <v>0</v>
      </c>
      <c r="QE95" s="45">
        <f t="shared" si="984"/>
        <v>61</v>
      </c>
      <c r="QF95" s="45">
        <f t="shared" si="701"/>
        <v>2.7389999999999999</v>
      </c>
      <c r="QG95" s="45">
        <f t="shared" si="985"/>
        <v>1</v>
      </c>
      <c r="QH95" s="45">
        <f t="shared" si="986"/>
        <v>2</v>
      </c>
      <c r="QI95" s="45">
        <f t="shared" si="987"/>
        <v>0</v>
      </c>
      <c r="QJ95" s="46" cm="1">
        <f t="array" ref="QJ95">ROUND(IFERROR(INDEX(ArchiveResults!$F$5:$IX$116,ComparisonData!A95,ComparisonData!$QJ$1),0),5)</f>
        <v>0</v>
      </c>
      <c r="QK95" s="46" cm="1">
        <f t="array" ref="QK95">ROUND(IFERROR(INDEX(ArchiveResults!$F$5:$IX$116,ComparisonData!A95,ComparisonData!$QK$1),0),5)</f>
        <v>0</v>
      </c>
      <c r="QL95" s="46" cm="1">
        <f t="array" ref="QL95">ROUND(IFERROR(INDEX(ArchiveResults!$F$5:$IX$116,ComparisonData!A95,ComparisonData!$QL$1),0),5)</f>
        <v>0</v>
      </c>
      <c r="QM95" s="46" cm="1">
        <f t="array" ref="QM95">ROUND(IFERROR(INDEX(ArchiveResults!$F$5:$IX$116,ComparisonData!A95,ComparisonData!$QM$1),0),5)</f>
        <v>0</v>
      </c>
      <c r="QN95" s="45" cm="1">
        <f t="array" ref="QN95">IFERROR(INDEX(ArchiveResults!$F$5:$IX$116,ComparisonData!A95,ComparisonData!$QN$1),0)</f>
        <v>0</v>
      </c>
      <c r="QO95" s="56">
        <v>90</v>
      </c>
      <c r="QP95" s="53" t="str">
        <f t="shared" si="702"/>
        <v>UCL, Senate House Library</v>
      </c>
      <c r="QQ95" s="59">
        <f t="shared" si="988"/>
        <v>0</v>
      </c>
      <c r="QR95" s="59">
        <f t="shared" si="989"/>
        <v>0</v>
      </c>
      <c r="QS95" s="59">
        <f t="shared" si="990"/>
        <v>0</v>
      </c>
      <c r="QT95" s="59">
        <f t="shared" si="991"/>
        <v>0</v>
      </c>
      <c r="QU95" s="59">
        <f t="shared" si="992"/>
        <v>0</v>
      </c>
      <c r="QV95" s="58">
        <f t="shared" si="993"/>
        <v>0</v>
      </c>
      <c r="QW95" s="45">
        <f t="shared" si="994"/>
        <v>61</v>
      </c>
      <c r="QX95" s="45">
        <f t="shared" si="703"/>
        <v>2.7389999999999999</v>
      </c>
      <c r="QY95" s="45">
        <f t="shared" si="995"/>
        <v>1</v>
      </c>
      <c r="QZ95" s="45">
        <f t="shared" si="996"/>
        <v>2</v>
      </c>
      <c r="RA95" s="45">
        <f t="shared" si="997"/>
        <v>0</v>
      </c>
      <c r="RB95" s="46" cm="1">
        <f t="array" ref="RB95">ROUND(IFERROR(INDEX(ArchiveResults!$F$5:$IX$116,ComparisonData!A95,ComparisonData!$RB$1),0),5)</f>
        <v>0</v>
      </c>
      <c r="RC95" s="46" cm="1">
        <f t="array" ref="RC95">ROUND(IFERROR(INDEX(ArchiveResults!$F$5:$IX$116,ComparisonData!A95,ComparisonData!$RC$1),0),5)</f>
        <v>0</v>
      </c>
      <c r="RD95" s="46" cm="1">
        <f t="array" ref="RD95">ROUND(IFERROR(INDEX(ArchiveResults!$F$5:$IX$116,ComparisonData!A95,ComparisonData!$RD$1),0),5)</f>
        <v>0</v>
      </c>
      <c r="RE95" s="46" cm="1">
        <f t="array" ref="RE95">ROUND(IFERROR(INDEX(ArchiveResults!$F$5:$IX$116,ComparisonData!A95,ComparisonData!$RE$1),0),5)</f>
        <v>0</v>
      </c>
      <c r="RF95" s="45" cm="1">
        <f t="array" ref="RF95">IFERROR(INDEX(ArchiveResults!$F$5:$IX$116,ComparisonData!A95,ComparisonData!$RF$1),0)</f>
        <v>0</v>
      </c>
      <c r="RG95" s="56">
        <v>90</v>
      </c>
      <c r="RH95" s="53" t="str">
        <f t="shared" si="704"/>
        <v>UCL, Senate House Library</v>
      </c>
      <c r="RI95" s="59">
        <f t="shared" si="998"/>
        <v>0</v>
      </c>
      <c r="RJ95" s="59">
        <f t="shared" si="999"/>
        <v>0</v>
      </c>
      <c r="RK95" s="59">
        <f t="shared" si="1000"/>
        <v>0</v>
      </c>
      <c r="RL95" s="59">
        <f t="shared" si="1001"/>
        <v>0</v>
      </c>
      <c r="RM95" s="59">
        <f t="shared" si="1002"/>
        <v>0</v>
      </c>
      <c r="RN95" s="58">
        <f t="shared" si="1003"/>
        <v>0</v>
      </c>
      <c r="RO95" s="45">
        <f t="shared" si="1004"/>
        <v>61</v>
      </c>
      <c r="RP95" s="45">
        <f t="shared" si="705"/>
        <v>2.7389999999999999</v>
      </c>
      <c r="RQ95" s="45">
        <f t="shared" si="1005"/>
        <v>1</v>
      </c>
      <c r="RR95" s="45">
        <f t="shared" si="1006"/>
        <v>2</v>
      </c>
      <c r="RS95" s="45">
        <f t="shared" si="1007"/>
        <v>0</v>
      </c>
      <c r="RT95" s="46" cm="1">
        <f t="array" ref="RT95">ROUND(IFERROR(INDEX(ArchiveResults!$F$5:$IX$116,ComparisonData!A95,ComparisonData!$RT$1),0),5)</f>
        <v>0</v>
      </c>
      <c r="RU95" s="46" cm="1">
        <f t="array" ref="RU95">ROUND(IFERROR(INDEX(ArchiveResults!$F$5:$IX$116,ComparisonData!A95,ComparisonData!$RU$1),0),5)</f>
        <v>0</v>
      </c>
      <c r="RV95" s="46" cm="1">
        <f t="array" ref="RV95">ROUND(IFERROR(INDEX(ArchiveResults!$F$5:$IX$116,ComparisonData!A95,ComparisonData!$RV$1),0),5)</f>
        <v>0</v>
      </c>
      <c r="RW95" s="46" cm="1">
        <f t="array" ref="RW95">ROUND(IFERROR(INDEX(ArchiveResults!$F$5:$IX$116,ComparisonData!A95,ComparisonData!$RW$1),0),5)</f>
        <v>0</v>
      </c>
      <c r="RX95" s="45" cm="1">
        <f t="array" ref="RX95">IFERROR(INDEX(ArchiveResults!$F$5:$IX$116,ComparisonData!A95,ComparisonData!$RX$1),0)</f>
        <v>0</v>
      </c>
      <c r="RY95" s="56">
        <v>90</v>
      </c>
      <c r="RZ95" s="53" t="str">
        <f t="shared" si="706"/>
        <v>UCL, Senate House Library</v>
      </c>
      <c r="SA95" s="59">
        <f t="shared" si="1008"/>
        <v>0</v>
      </c>
      <c r="SB95" s="59">
        <f t="shared" si="1009"/>
        <v>0</v>
      </c>
      <c r="SC95" s="59">
        <f t="shared" si="1010"/>
        <v>0</v>
      </c>
      <c r="SD95" s="59">
        <f t="shared" si="1011"/>
        <v>0</v>
      </c>
      <c r="SE95" s="59">
        <f t="shared" si="1012"/>
        <v>0</v>
      </c>
      <c r="SF95" s="58">
        <f t="shared" si="1013"/>
        <v>0</v>
      </c>
      <c r="SG95" s="45">
        <f t="shared" si="1014"/>
        <v>61</v>
      </c>
      <c r="SH95" s="45">
        <f t="shared" si="707"/>
        <v>2.7389999999999999</v>
      </c>
      <c r="SI95" s="45">
        <f t="shared" si="1015"/>
        <v>1</v>
      </c>
      <c r="SJ95" s="45">
        <f t="shared" si="1016"/>
        <v>2</v>
      </c>
      <c r="SK95" s="45">
        <f t="shared" si="1017"/>
        <v>0</v>
      </c>
      <c r="SL95" s="46" cm="1">
        <f t="array" ref="SL95">ROUND(IFERROR(INDEX(ArchiveResults!$F$5:$IX$116,ComparisonData!A95,ComparisonData!$SL$1),0),5)</f>
        <v>0</v>
      </c>
      <c r="SM95" s="46" cm="1">
        <f t="array" ref="SM95">ROUND(IFERROR(INDEX(ArchiveResults!$F$5:$IX$116,ComparisonData!A95,ComparisonData!$SM$1),0),5)</f>
        <v>0</v>
      </c>
      <c r="SN95" s="46" cm="1">
        <f t="array" ref="SN95">ROUND(IFERROR(INDEX(ArchiveResults!$F$5:$IX$116,ComparisonData!A95,ComparisonData!$SN$1),0),5)</f>
        <v>0</v>
      </c>
      <c r="SO95" s="46" cm="1">
        <f t="array" ref="SO95">ROUND(IFERROR(INDEX(ArchiveResults!$F$5:$IX$116,ComparisonData!A95,ComparisonData!$SO$1),0),5)</f>
        <v>0</v>
      </c>
      <c r="SP95" s="45" cm="1">
        <f t="array" ref="SP95">IFERROR(INDEX(ArchiveResults!$F$5:$IX$116,ComparisonData!A95,ComparisonData!$SP$1),0)</f>
        <v>0</v>
      </c>
      <c r="SQ95" s="56">
        <v>90</v>
      </c>
      <c r="SR95" s="53" t="str">
        <f t="shared" si="708"/>
        <v>UCL, Senate House Library</v>
      </c>
      <c r="SS95" s="59">
        <f t="shared" si="1018"/>
        <v>0</v>
      </c>
      <c r="ST95" s="59">
        <f t="shared" si="1019"/>
        <v>0</v>
      </c>
      <c r="SU95" s="59">
        <f t="shared" si="1020"/>
        <v>0</v>
      </c>
      <c r="SV95" s="59">
        <f t="shared" si="1021"/>
        <v>0</v>
      </c>
      <c r="SW95" s="59">
        <f t="shared" si="1022"/>
        <v>0</v>
      </c>
      <c r="SX95" s="58">
        <f t="shared" si="1023"/>
        <v>0</v>
      </c>
      <c r="SY95" s="45">
        <f t="shared" si="1024"/>
        <v>61</v>
      </c>
      <c r="SZ95" s="45">
        <f t="shared" si="709"/>
        <v>2.7389999999999999</v>
      </c>
      <c r="TA95" s="45">
        <f t="shared" si="1025"/>
        <v>1</v>
      </c>
      <c r="TB95" s="45">
        <f t="shared" si="1026"/>
        <v>2</v>
      </c>
      <c r="TC95" s="45">
        <f t="shared" si="1027"/>
        <v>0</v>
      </c>
      <c r="TD95" s="46" cm="1">
        <f t="array" ref="TD95">ROUND(IFERROR(INDEX(ArchiveResults!$F$5:$IX$116,ComparisonData!A95,ComparisonData!$TD$1),0),5)</f>
        <v>0</v>
      </c>
      <c r="TE95" s="46" cm="1">
        <f t="array" ref="TE95">ROUND(IFERROR(INDEX(ArchiveResults!$F$5:$IX$116,ComparisonData!A95,ComparisonData!$TE$1),0),5)</f>
        <v>0</v>
      </c>
      <c r="TF95" s="46" cm="1">
        <f t="array" ref="TF95">ROUND(IFERROR(INDEX(ArchiveResults!$F$5:$IX$116,ComparisonData!A95,ComparisonData!$TF$1),0),5)</f>
        <v>0</v>
      </c>
      <c r="TG95" s="46" cm="1">
        <f t="array" ref="TG95">ROUND(IFERROR(INDEX(ArchiveResults!$F$5:$IX$116,ComparisonData!A95,ComparisonData!$TG$1),0),5)</f>
        <v>0</v>
      </c>
      <c r="TH95" s="45" cm="1">
        <f t="array" ref="TH95">IFERROR(INDEX(ArchiveResults!$F$5:$IX$116,ComparisonData!A95,ComparisonData!$TH$1),0)</f>
        <v>0</v>
      </c>
      <c r="TI95" s="56">
        <v>90</v>
      </c>
      <c r="TJ95" s="53" t="str">
        <f t="shared" si="710"/>
        <v>UCL, Senate House Library</v>
      </c>
      <c r="TK95" s="59">
        <f t="shared" si="1028"/>
        <v>0</v>
      </c>
      <c r="TL95" s="59">
        <f t="shared" si="1029"/>
        <v>0</v>
      </c>
      <c r="TM95" s="59">
        <f t="shared" si="1030"/>
        <v>0</v>
      </c>
      <c r="TN95" s="59">
        <f t="shared" si="1031"/>
        <v>0</v>
      </c>
      <c r="TO95" s="59">
        <f t="shared" si="1032"/>
        <v>0</v>
      </c>
      <c r="TP95" s="58">
        <f t="shared" si="1033"/>
        <v>0</v>
      </c>
      <c r="TQ95" s="45">
        <f t="shared" si="1034"/>
        <v>61</v>
      </c>
      <c r="TR95" s="45">
        <f t="shared" si="711"/>
        <v>2.7389999999999999</v>
      </c>
      <c r="TS95" s="45">
        <f t="shared" si="1035"/>
        <v>1</v>
      </c>
      <c r="TT95" s="45">
        <f t="shared" si="1036"/>
        <v>2</v>
      </c>
      <c r="TU95" s="45">
        <f t="shared" si="1037"/>
        <v>0</v>
      </c>
      <c r="TV95" s="46" cm="1">
        <f t="array" ref="TV95">ROUND(IFERROR(INDEX(ArchiveResults!$F$5:$IX$116,ComparisonData!A95,ComparisonData!$TV$1),0),5)</f>
        <v>0</v>
      </c>
      <c r="TW95" s="46" cm="1">
        <f t="array" ref="TW95">ROUND(IFERROR(INDEX(ArchiveResults!$F$5:$IX$116,ComparisonData!A95,ComparisonData!$TW$1),0),5)</f>
        <v>0</v>
      </c>
      <c r="TX95" s="46" cm="1">
        <f t="array" ref="TX95">ROUND(IFERROR(INDEX(ArchiveResults!$F$5:$IX$116,ComparisonData!A95,ComparisonData!$TX$1),0),5)</f>
        <v>0</v>
      </c>
      <c r="TY95" s="46" cm="1">
        <f t="array" ref="TY95">ROUND(IFERROR(INDEX(ArchiveResults!$F$5:$IX$116,ComparisonData!A95,ComparisonData!$TY$1),0),5)</f>
        <v>0</v>
      </c>
      <c r="TZ95" s="45" cm="1">
        <f t="array" ref="TZ95">IFERROR(INDEX(ArchiveResults!$F$5:$IX$116,ComparisonData!A95,ComparisonData!$TZ$1),0)</f>
        <v>0</v>
      </c>
      <c r="UA95" s="56">
        <v>90</v>
      </c>
      <c r="UB95" s="53" t="str">
        <f t="shared" si="712"/>
        <v>UCL, Senate House Library</v>
      </c>
      <c r="UC95" s="60">
        <f t="shared" si="1038"/>
        <v>0</v>
      </c>
      <c r="UD95" s="60">
        <f t="shared" si="1039"/>
        <v>0</v>
      </c>
      <c r="UE95" s="60">
        <f t="shared" si="1040"/>
        <v>0</v>
      </c>
      <c r="UF95" s="60">
        <f t="shared" si="1041"/>
        <v>0</v>
      </c>
      <c r="UG95" s="60">
        <f t="shared" si="1042"/>
        <v>0</v>
      </c>
      <c r="UH95" s="58">
        <f t="shared" si="1043"/>
        <v>0</v>
      </c>
      <c r="UI95" s="46">
        <f t="shared" si="1044"/>
        <v>61</v>
      </c>
      <c r="UJ95" s="46">
        <f t="shared" si="713"/>
        <v>2.7389999999999999</v>
      </c>
      <c r="UK95" s="46">
        <f t="shared" si="1045"/>
        <v>1</v>
      </c>
      <c r="UL95" s="46">
        <f t="shared" si="1046"/>
        <v>2</v>
      </c>
      <c r="UM95" s="46" cm="1">
        <f t="array" ref="UM95">ROUND(IFERROR(INDEX(ArchiveResults!$F$5:$IX$116,ComparisonData!A95,ComparisonData!$UM$1),0),5)</f>
        <v>0</v>
      </c>
      <c r="UN95" s="56">
        <v>90</v>
      </c>
      <c r="UO95" s="53" t="str">
        <f t="shared" si="714"/>
        <v>UCL, Senate House Library</v>
      </c>
      <c r="UP95" s="46">
        <f t="shared" si="1047"/>
        <v>0</v>
      </c>
      <c r="UQ95" s="76">
        <f t="shared" si="1048"/>
        <v>0</v>
      </c>
      <c r="UR95" s="46">
        <f t="shared" si="1049"/>
        <v>61</v>
      </c>
      <c r="US95" s="46">
        <f t="shared" si="715"/>
        <v>2.7389999999999999</v>
      </c>
      <c r="UT95" s="46">
        <f t="shared" si="1050"/>
        <v>1</v>
      </c>
      <c r="UU95" s="46">
        <f t="shared" si="1051"/>
        <v>2</v>
      </c>
      <c r="UV95" s="46">
        <f t="shared" si="1052"/>
        <v>0</v>
      </c>
      <c r="UW95" s="46" cm="1">
        <f t="array" ref="UW95">ROUND(IFERROR(INDEX(ArchiveResults!$F$5:$IX$116,ComparisonData!A95,ComparisonData!$UW$1),0),5)</f>
        <v>0</v>
      </c>
      <c r="UX95" s="46" cm="1">
        <f t="array" ref="UX95">ROUND(IFERROR(INDEX(ArchiveResults!$F$5:$IX$116,ComparisonData!A95,ComparisonData!$UX$1),0),5)</f>
        <v>0</v>
      </c>
      <c r="UY95" s="46" cm="1">
        <f t="array" ref="UY95">ROUND(IFERROR(INDEX(ArchiveResults!$F$5:$IX$116,ComparisonData!A95,ComparisonData!$UY$1),0),5)</f>
        <v>0</v>
      </c>
      <c r="UZ95" s="46" cm="1">
        <f t="array" ref="UZ95">ROUND(IFERROR(INDEX(ArchiveResults!$F$5:$IX$116,ComparisonData!A95,ComparisonData!$UZ$1),0),5)</f>
        <v>0</v>
      </c>
      <c r="VA95" s="46" cm="1">
        <f t="array" ref="VA95">ROUND(IFERROR(INDEX(ArchiveResults!$F$5:$IX$116,ComparisonData!A95,ComparisonData!$VA$1),0),5)</f>
        <v>0</v>
      </c>
      <c r="VB95" s="56">
        <v>90</v>
      </c>
      <c r="VC95" s="53" t="str">
        <f t="shared" si="716"/>
        <v>UCL, Senate House Library</v>
      </c>
      <c r="VD95" s="60">
        <f t="shared" si="1053"/>
        <v>0</v>
      </c>
      <c r="VE95" s="60">
        <f t="shared" si="1054"/>
        <v>0</v>
      </c>
      <c r="VF95" s="60">
        <f t="shared" si="1055"/>
        <v>0</v>
      </c>
      <c r="VG95" s="60">
        <f t="shared" si="1056"/>
        <v>0</v>
      </c>
      <c r="VH95" s="60">
        <f t="shared" si="1057"/>
        <v>0</v>
      </c>
      <c r="VI95" s="76">
        <f t="shared" si="1058"/>
        <v>0</v>
      </c>
      <c r="VJ95" s="46">
        <f t="shared" si="1059"/>
        <v>61</v>
      </c>
      <c r="VK95" s="46">
        <f t="shared" si="717"/>
        <v>2.7389999999999999</v>
      </c>
      <c r="VL95" s="46">
        <f t="shared" si="1060"/>
        <v>1</v>
      </c>
      <c r="VM95" s="46">
        <f t="shared" si="1061"/>
        <v>2</v>
      </c>
      <c r="VN95" s="46" cm="1">
        <f t="array" ref="VN95">ROUND(IFERROR(INDEX(ArchiveResults!$F$5:$IX$116,ComparisonData!A95,ComparisonData!$VN$1),0),5)</f>
        <v>0</v>
      </c>
      <c r="VO95" s="46" cm="1">
        <f t="array" ref="VO95">ROUND(IFERROR(INDEX(ArchiveResults!$F$5:$IX$116,ComparisonData!A95,ComparisonData!$VO$1),0),5)</f>
        <v>0</v>
      </c>
      <c r="VP95" s="46" cm="1">
        <f t="array" ref="VP95">ROUND(IFERROR(INDEX(ArchiveResults!$F$5:$IX$116,ComparisonData!A95,ComparisonData!$VP$1),0),5)</f>
        <v>0</v>
      </c>
      <c r="VQ95" s="46" cm="1">
        <f t="array" ref="VQ95">ROUND(IFERROR(INDEX(ArchiveResults!$F$5:$IX$116,ComparisonData!A95,ComparisonData!$VQ$1),0),5)</f>
        <v>0</v>
      </c>
      <c r="VR95" s="56">
        <v>90</v>
      </c>
      <c r="VS95" s="53" t="str">
        <f t="shared" si="718"/>
        <v>UCL, Senate House Library</v>
      </c>
      <c r="VT95" s="60">
        <f t="shared" si="1062"/>
        <v>0</v>
      </c>
      <c r="VU95" s="60">
        <f t="shared" si="1063"/>
        <v>0</v>
      </c>
      <c r="VV95" s="60">
        <f t="shared" si="1064"/>
        <v>0</v>
      </c>
      <c r="VW95" s="60">
        <f t="shared" si="1065"/>
        <v>0</v>
      </c>
      <c r="VX95" s="76">
        <f t="shared" si="1066"/>
        <v>0</v>
      </c>
      <c r="VY95" s="46">
        <f t="shared" si="1067"/>
        <v>61</v>
      </c>
      <c r="VZ95" s="46">
        <f t="shared" si="719"/>
        <v>2.7389999999999999</v>
      </c>
      <c r="WA95" s="46">
        <f t="shared" si="1068"/>
        <v>1</v>
      </c>
      <c r="WB95" s="46">
        <f t="shared" si="1069"/>
        <v>2</v>
      </c>
      <c r="WC95" s="46" cm="1">
        <f t="array" ref="WC95">ROUND(IFERROR(INDEX(ArchiveResults!$F$5:$IX$116,ComparisonData!A95,ComparisonData!$WC$1),0),5)</f>
        <v>0</v>
      </c>
      <c r="WD95" s="56">
        <v>90</v>
      </c>
      <c r="WE95" s="53" t="str">
        <f t="shared" si="720"/>
        <v>UCL, Senate House Library</v>
      </c>
      <c r="WF95" s="46">
        <f t="shared" si="1070"/>
        <v>0</v>
      </c>
      <c r="WG95" s="76">
        <f t="shared" si="1071"/>
        <v>0</v>
      </c>
      <c r="WH95" s="46">
        <f t="shared" si="1072"/>
        <v>61</v>
      </c>
      <c r="WI95" s="46">
        <f t="shared" si="721"/>
        <v>2.7389999999999999</v>
      </c>
      <c r="WJ95" s="46">
        <f t="shared" si="1073"/>
        <v>1</v>
      </c>
      <c r="WK95" s="46">
        <f t="shared" si="1074"/>
        <v>2</v>
      </c>
      <c r="WL95" s="46" cm="1">
        <f t="array" ref="WL95">ROUND(IFERROR(INDEX(ArchiveResults!$F$5:$IX$116,ComparisonData!A95,ComparisonData!$WL$1),0),5)</f>
        <v>0</v>
      </c>
      <c r="WM95" s="46" cm="1">
        <f t="array" ref="WM95">IFERROR(INDEX(ArchiveResults!$F$5:$IX$116,ComparisonData!A95,ComparisonData!$WM$1),0)</f>
        <v>0</v>
      </c>
      <c r="WN95" s="56">
        <v>90</v>
      </c>
      <c r="WO95" s="53" t="str">
        <f t="shared" si="722"/>
        <v>UCL, Senate House Library</v>
      </c>
      <c r="WP95" s="60">
        <f t="shared" si="1075"/>
        <v>0</v>
      </c>
      <c r="WQ95" s="60">
        <f t="shared" si="1076"/>
        <v>0</v>
      </c>
      <c r="WR95" s="76">
        <f t="shared" si="1077"/>
        <v>0</v>
      </c>
      <c r="WS95" s="46">
        <f t="shared" si="1078"/>
        <v>61</v>
      </c>
      <c r="WT95" s="46">
        <f t="shared" si="723"/>
        <v>2.7389999999999999</v>
      </c>
      <c r="WU95" s="46">
        <f t="shared" si="1079"/>
        <v>1</v>
      </c>
      <c r="WV95" s="46">
        <f t="shared" si="1080"/>
        <v>2</v>
      </c>
      <c r="WW95" s="46" cm="1">
        <f t="array" ref="WW95">ROUND(VALUE(IFERROR(INDEX(ArchiveResults!$F$5:$IX$116,ComparisonData!A95,ComparisonData!$WW$1),0)),5)</f>
        <v>0</v>
      </c>
      <c r="WX95" s="46" cm="1">
        <f t="array" ref="WX95">ROUND(IFERROR(INDEX(ArchiveResults!$F$5:$IX$116,ComparisonData!A95,ComparisonData!$WX$1),0),5)</f>
        <v>0</v>
      </c>
      <c r="WY95" s="56">
        <v>90</v>
      </c>
      <c r="WZ95" s="53" t="str">
        <f t="shared" si="724"/>
        <v>UCL, Senate House Library</v>
      </c>
      <c r="XA95" s="60">
        <f t="shared" si="725"/>
        <v>0</v>
      </c>
      <c r="XB95" s="60">
        <f t="shared" si="726"/>
        <v>0</v>
      </c>
      <c r="XC95" s="76">
        <f t="shared" si="1081"/>
        <v>0</v>
      </c>
      <c r="XD95" s="46">
        <f t="shared" si="1082"/>
        <v>61</v>
      </c>
      <c r="XE95" s="46">
        <f t="shared" si="727"/>
        <v>2.7389999999999999</v>
      </c>
      <c r="XF95" s="46">
        <f t="shared" si="1083"/>
        <v>1</v>
      </c>
      <c r="XG95" s="46">
        <f t="shared" si="1084"/>
        <v>2</v>
      </c>
      <c r="XH95" s="46" cm="1">
        <f t="array" ref="XH95">ROUND(VALUE(IFERROR(INDEX(ArchiveResults!$F$5:$IX$116,ComparisonData!A95,ComparisonData!$XH$1),0)),5)</f>
        <v>0</v>
      </c>
      <c r="XI95" s="46" cm="1">
        <f t="array" ref="XI95">ROUND(VALUE(IFERROR(INDEX(ArchiveResults!$F$5:$IX$116,ComparisonData!A95,ComparisonData!$XI$1),0)),5)</f>
        <v>0</v>
      </c>
      <c r="XJ95" s="56">
        <v>90</v>
      </c>
      <c r="XK95" s="53" t="str">
        <f t="shared" si="728"/>
        <v>UCL, Senate House Library</v>
      </c>
      <c r="XL95" s="60">
        <f t="shared" si="1085"/>
        <v>0</v>
      </c>
      <c r="XM95" s="60">
        <f t="shared" si="1086"/>
        <v>0</v>
      </c>
      <c r="XN95" s="76">
        <f t="shared" si="1087"/>
        <v>0</v>
      </c>
      <c r="XO95" s="46">
        <f t="shared" si="1088"/>
        <v>61</v>
      </c>
      <c r="XP95" s="46">
        <f t="shared" si="729"/>
        <v>2.7389999999999999</v>
      </c>
      <c r="XQ95" s="46">
        <f t="shared" si="1089"/>
        <v>1</v>
      </c>
      <c r="XR95" s="46">
        <f t="shared" si="1090"/>
        <v>2</v>
      </c>
      <c r="XS95" s="46" cm="1">
        <f t="array" ref="XS95">ROUND(VALUE(IFERROR(INDEX(ArchiveResults!$F$5:$IX$116,ComparisonData!A95,ComparisonData!$XS$1),0)),5)</f>
        <v>0</v>
      </c>
      <c r="XT95" s="46" cm="1">
        <f t="array" ref="XT95">ROUND(VALUE(IFERROR(INDEX(ArchiveResults!$F$5:$IX$116,ComparisonData!A95,ComparisonData!$XT$1),0)),5)</f>
        <v>0</v>
      </c>
      <c r="XU95" s="56">
        <v>90</v>
      </c>
      <c r="XV95" s="53" t="str">
        <f t="shared" si="730"/>
        <v>UCL, Senate House Library</v>
      </c>
      <c r="XW95" s="60">
        <f t="shared" si="1091"/>
        <v>0</v>
      </c>
      <c r="XX95" s="60">
        <f t="shared" si="1092"/>
        <v>0</v>
      </c>
      <c r="XY95" s="76">
        <f t="shared" si="1093"/>
        <v>0</v>
      </c>
      <c r="XZ95" s="46">
        <f t="shared" si="1094"/>
        <v>61</v>
      </c>
      <c r="YA95" s="46">
        <f t="shared" si="731"/>
        <v>2.7389999999999999</v>
      </c>
      <c r="YB95" s="46">
        <f t="shared" si="1095"/>
        <v>1</v>
      </c>
      <c r="YC95" s="46">
        <f t="shared" si="1096"/>
        <v>2</v>
      </c>
      <c r="YD95" s="46" cm="1">
        <f t="array" ref="YD95">ROUND(VALUE(IFERROR(INDEX(ArchiveResults!$F$5:$IX$116,ComparisonData!A95,ComparisonData!$YD$1),0)),5)</f>
        <v>0</v>
      </c>
      <c r="YE95" s="46" cm="1">
        <f t="array" ref="YE95">ROUND(VALUE(IFERROR(INDEX(ArchiveResults!$F$5:$IX$116,ComparisonData!A95,ComparisonData!$YE$1),0)),5)</f>
        <v>0</v>
      </c>
      <c r="YF95" s="56">
        <v>90</v>
      </c>
      <c r="YG95" s="53" t="str">
        <f t="shared" si="732"/>
        <v>UCL, Senate House Library</v>
      </c>
      <c r="YH95" s="60">
        <f t="shared" si="1097"/>
        <v>0</v>
      </c>
      <c r="YI95" s="60">
        <f t="shared" si="1098"/>
        <v>0</v>
      </c>
      <c r="YJ95" s="76">
        <f t="shared" si="1099"/>
        <v>0</v>
      </c>
      <c r="YK95" s="46">
        <f t="shared" si="1100"/>
        <v>61</v>
      </c>
      <c r="YL95" s="46">
        <f t="shared" si="733"/>
        <v>2.7389999999999999</v>
      </c>
      <c r="YM95" s="46">
        <f t="shared" si="1101"/>
        <v>1</v>
      </c>
      <c r="YN95" s="46">
        <f t="shared" si="1102"/>
        <v>2</v>
      </c>
      <c r="YO95" s="46" cm="1">
        <f t="array" ref="YO95">ROUND(VALUE(IFERROR(INDEX(ArchiveResults!$F$5:$IX$116,ComparisonData!A95,ComparisonData!$YO$1),0)),5)</f>
        <v>0</v>
      </c>
      <c r="YP95" s="46" cm="1">
        <f t="array" ref="YP95">ROUND(VALUE(IFERROR(INDEX(ArchiveResults!$F$5:$IX$116,ComparisonData!A95,ComparisonData!$YP$1),0)),5)</f>
        <v>0</v>
      </c>
      <c r="YQ95" s="56">
        <v>90</v>
      </c>
      <c r="YR95" s="53" t="str">
        <f t="shared" si="734"/>
        <v>UCL, Senate House Library</v>
      </c>
      <c r="YS95" s="60">
        <f t="shared" si="1103"/>
        <v>0</v>
      </c>
      <c r="YT95" s="60">
        <f t="shared" si="1104"/>
        <v>0</v>
      </c>
      <c r="YU95" s="76">
        <f t="shared" si="1105"/>
        <v>0</v>
      </c>
      <c r="YV95" s="46">
        <f t="shared" si="1106"/>
        <v>61</v>
      </c>
      <c r="YW95" s="46">
        <f t="shared" si="735"/>
        <v>2.7389999999999999</v>
      </c>
      <c r="YX95" s="46">
        <f t="shared" si="1107"/>
        <v>1</v>
      </c>
      <c r="YY95" s="46">
        <f t="shared" si="1108"/>
        <v>2</v>
      </c>
      <c r="YZ95" s="46">
        <f t="shared" si="1109"/>
        <v>0</v>
      </c>
      <c r="ZA95" s="46" cm="1">
        <f t="array" ref="ZA95">ROUNDDOWN(VALUE(IFERROR(INDEX(ArchiveResults!$F$5:$IX$116,ComparisonData!A95,ComparisonData!$ZA$1),0)),5)</f>
        <v>0</v>
      </c>
      <c r="ZB95" s="46" cm="1">
        <f t="array" ref="ZB95">ROUNDDOWN(VALUE(IFERROR(INDEX(ArchiveResults!$F$5:$IX$116,ComparisonData!A95,ComparisonData!$ZB$1),0)),5)</f>
        <v>0</v>
      </c>
      <c r="ZC95" s="46" cm="1">
        <f t="array" ref="ZC95">ROUNDDOWN(VALUE(IFERROR(INDEX(ArchiveResults!$F$5:$IX$116,ComparisonData!A95,ComparisonData!$ZC$1),0)),5)</f>
        <v>0</v>
      </c>
      <c r="ZD95" s="46" cm="1">
        <f t="array" ref="ZD95">ROUNDDOWN(VALUE(IFERROR(INDEX(ArchiveResults!$F$5:$IX$116,ComparisonData!A95,ComparisonData!$ZD$1),0)),5)</f>
        <v>0</v>
      </c>
      <c r="ZE95" s="46" cm="1">
        <f t="array" ref="ZE95">ROUNDDOWN(VALUE(IFERROR(INDEX(ArchiveResults!$F$5:$IX$116,ComparisonData!A95,ComparisonData!$ZE$1),0)),5)</f>
        <v>0</v>
      </c>
      <c r="ZF95" s="56">
        <v>90</v>
      </c>
      <c r="ZG95" s="53" t="str">
        <f t="shared" si="736"/>
        <v>UCL, Senate House Library</v>
      </c>
      <c r="ZH95" s="60">
        <f t="shared" si="1110"/>
        <v>0</v>
      </c>
      <c r="ZI95" s="60">
        <f t="shared" si="1111"/>
        <v>0</v>
      </c>
      <c r="ZJ95" s="60">
        <f t="shared" si="1112"/>
        <v>0</v>
      </c>
      <c r="ZK95" s="60">
        <f t="shared" si="1113"/>
        <v>0</v>
      </c>
      <c r="ZL95" s="60">
        <f t="shared" si="1114"/>
        <v>0</v>
      </c>
      <c r="ZM95" s="76">
        <f t="shared" si="1115"/>
        <v>0</v>
      </c>
      <c r="ZN95" s="46">
        <f t="shared" si="1116"/>
        <v>61</v>
      </c>
      <c r="ZO95" s="46">
        <f t="shared" si="737"/>
        <v>2.7389999999999999</v>
      </c>
      <c r="ZP95" s="46">
        <f t="shared" si="1117"/>
        <v>1</v>
      </c>
      <c r="ZQ95" s="46">
        <f t="shared" si="1118"/>
        <v>2</v>
      </c>
      <c r="ZR95" s="46" cm="1">
        <f t="array" ref="ZR95">ROUND(VALUE(IFERROR(INDEX(ArchiveResults!$F$5:$IX$116,ComparisonData!A95,ComparisonData!$ZR$1),0)),5)</f>
        <v>0</v>
      </c>
      <c r="ZS95" s="56">
        <v>90</v>
      </c>
      <c r="ZT95" s="53" t="str">
        <f t="shared" si="738"/>
        <v>UCL, Senate House Library</v>
      </c>
      <c r="ZU95" s="46">
        <f t="shared" si="1119"/>
        <v>0</v>
      </c>
      <c r="ZV95" s="76">
        <f t="shared" si="1120"/>
        <v>0</v>
      </c>
      <c r="ZW95" s="81" cm="1">
        <f t="array" ref="ZW95">ROUND((IFERROR(INDEX(ArchiveResults!$F$5:$IX$116,ComparisonData!A95,ComparisonData!$ZW$1),0)),5)</f>
        <v>0</v>
      </c>
      <c r="ZX95" s="81" cm="1">
        <f t="array" ref="ZX95">ROUND((IFERROR(INDEX(ArchiveResults!$F$5:$IX$116,ComparisonData!A95,ComparisonData!$ZX$1),0)),5)</f>
        <v>0</v>
      </c>
      <c r="ZY95" s="81" cm="1">
        <f t="array" ref="ZY95">ROUND((IFERROR(INDEX(ArchiveResults!$F$5:$IX$116,ComparisonData!A95,ComparisonData!$ZY$1),0)),5)</f>
        <v>0</v>
      </c>
      <c r="ZZ95" s="81" cm="1">
        <f t="array" ref="ZZ95">ROUND((IFERROR(INDEX(ArchiveResults!$F$5:$IX$116,ComparisonData!A95,ComparisonData!$ZZ$1),0)),5)</f>
        <v>0</v>
      </c>
      <c r="AAA95" s="81" cm="1">
        <f t="array" ref="AAA95">ROUND((IFERROR(INDEX(ArchiveResults!$F$5:$IX$116,ComparisonData!A95,ComparisonData!$AAA$1),0)),5)</f>
        <v>0</v>
      </c>
      <c r="AAB95" s="81" cm="1">
        <f t="array" ref="AAB95">ROUND((IFERROR(INDEX(ArchiveResults!$F$5:$IX$116,ComparisonData!A95,ComparisonData!$AAB$1),0)),5)</f>
        <v>0</v>
      </c>
      <c r="AAC95" s="81" cm="1">
        <f t="array" ref="AAC95">ROUND((IFERROR(INDEX(ArchiveResults!$F$5:$IX$116,ComparisonData!A95,ComparisonData!$AAC$1),0)),5)</f>
        <v>0</v>
      </c>
      <c r="AAD95" s="81" cm="1">
        <f t="array" ref="AAD95">ROUND((IFERROR(INDEX(ArchiveResults!$F$5:$IX$116,ComparisonData!A95,ComparisonData!$AAD$1),0)),5)</f>
        <v>0</v>
      </c>
      <c r="AAE95" s="81" cm="1">
        <f t="array" ref="AAE95">ROUND((IFERROR(INDEX(ArchiveResults!$F$5:$IX$116,ComparisonData!A95,ComparisonData!$AAE$1),0)),5)</f>
        <v>0</v>
      </c>
      <c r="AAF95" s="81" cm="1">
        <f t="array" ref="AAF95">ROUND((IFERROR(INDEX(ArchiveResults!$F$5:$IX$116,ComparisonData!A95,ComparisonData!$AAF$1),0)),5)</f>
        <v>0</v>
      </c>
      <c r="AAG95" s="46">
        <f t="shared" si="1121"/>
        <v>61</v>
      </c>
      <c r="AAH95" s="46">
        <f t="shared" si="739"/>
        <v>2.7389999999999999</v>
      </c>
      <c r="AAI95" s="46">
        <f t="shared" si="1122"/>
        <v>1</v>
      </c>
      <c r="AAJ95" s="46">
        <f t="shared" si="1123"/>
        <v>2</v>
      </c>
      <c r="AAK95" s="46">
        <f t="shared" si="1124"/>
        <v>0</v>
      </c>
      <c r="AAL95" s="46">
        <f t="shared" si="1125"/>
        <v>0</v>
      </c>
      <c r="AAM95" s="46">
        <f t="shared" si="1126"/>
        <v>0</v>
      </c>
      <c r="AAN95" s="46">
        <f t="shared" si="1127"/>
        <v>0</v>
      </c>
      <c r="AAO95" s="46">
        <f t="shared" si="1128"/>
        <v>0</v>
      </c>
      <c r="AAP95" s="46">
        <f t="shared" si="1129"/>
        <v>0</v>
      </c>
      <c r="AAQ95" s="56">
        <v>90</v>
      </c>
      <c r="AAR95" s="53" t="str">
        <f t="shared" si="740"/>
        <v>UCL, Senate House Library</v>
      </c>
      <c r="AAS95" s="60">
        <f t="shared" si="1130"/>
        <v>0</v>
      </c>
      <c r="AAT95" s="60">
        <f t="shared" si="1131"/>
        <v>0</v>
      </c>
      <c r="AAU95" s="60">
        <f t="shared" si="1132"/>
        <v>0</v>
      </c>
      <c r="AAV95" s="60">
        <f t="shared" si="1133"/>
        <v>0</v>
      </c>
      <c r="AAW95" s="60">
        <f t="shared" si="1134"/>
        <v>0</v>
      </c>
      <c r="AAX95" s="76">
        <f t="shared" si="1135"/>
        <v>0</v>
      </c>
      <c r="AAY95" s="46">
        <f t="shared" si="1136"/>
        <v>61</v>
      </c>
      <c r="AAZ95" s="46">
        <f t="shared" si="741"/>
        <v>2.7389999999999999</v>
      </c>
      <c r="ABA95" s="46">
        <f t="shared" si="1137"/>
        <v>1</v>
      </c>
      <c r="ABB95" s="46">
        <f t="shared" si="1138"/>
        <v>2</v>
      </c>
      <c r="ABC95" s="46">
        <f t="shared" si="742"/>
        <v>0</v>
      </c>
      <c r="ABD95" s="46" cm="1">
        <f t="array" ref="ABD95">ROUND(VALUE(IFERROR(INDEX(ArchiveResults!$F$5:$IX$116,ComparisonData!A95,ComparisonData!$ABD$1),0)),5)</f>
        <v>0</v>
      </c>
      <c r="ABE95" s="46" cm="1">
        <f t="array" ref="ABE95">ROUND(VALUE(IFERROR(INDEX(ArchiveResults!$F$5:$IX$116,ComparisonData!A95,ComparisonData!$ABE$1),0)),5)</f>
        <v>0</v>
      </c>
      <c r="ABF95" s="46" cm="1">
        <f t="array" ref="ABF95">ROUND(VALUE(IFERROR(INDEX(ArchiveResults!$F$5:$IX$116,ComparisonData!A95,ComparisonData!$ABF$1),0)),5)</f>
        <v>0</v>
      </c>
      <c r="ABG95" s="46" cm="1">
        <f t="array" ref="ABG95">ROUND(VALUE(IFERROR(INDEX(ArchiveResults!$F$5:$IX$116,ComparisonData!A95,ComparisonData!$ABG$1),0)),5)</f>
        <v>0</v>
      </c>
      <c r="ABH95" s="46" cm="1">
        <f t="array" ref="ABH95">ROUND(VALUE(IFERROR(INDEX(ArchiveResults!$F$5:$IX$116,ComparisonData!A95,ComparisonData!$ABH$1),0)),5)</f>
        <v>0</v>
      </c>
      <c r="ABI95" s="56">
        <v>90</v>
      </c>
      <c r="ABJ95" s="53" t="str">
        <f t="shared" si="743"/>
        <v>UCL, Senate House Library</v>
      </c>
      <c r="ABK95" s="60">
        <f t="shared" si="1139"/>
        <v>0</v>
      </c>
      <c r="ABL95" s="60">
        <f t="shared" si="1140"/>
        <v>0</v>
      </c>
      <c r="ABM95" s="60">
        <f t="shared" si="1141"/>
        <v>0</v>
      </c>
      <c r="ABN95" s="60">
        <f t="shared" si="1142"/>
        <v>0</v>
      </c>
      <c r="ABO95" s="60">
        <f t="shared" si="1143"/>
        <v>0</v>
      </c>
      <c r="ABP95" s="76">
        <f t="shared" si="1144"/>
        <v>0</v>
      </c>
      <c r="ABQ95" s="46">
        <f t="shared" si="1145"/>
        <v>61</v>
      </c>
      <c r="ABR95" s="46">
        <f t="shared" si="744"/>
        <v>2.7389999999999999</v>
      </c>
      <c r="ABS95" s="46">
        <f t="shared" si="1146"/>
        <v>1</v>
      </c>
      <c r="ABT95" s="46">
        <f t="shared" si="1147"/>
        <v>2</v>
      </c>
      <c r="ABU95" s="46" cm="1">
        <f t="array" ref="ABU95">ROUND(VALUE(IFERROR(INDEX(ArchiveResults!$F$5:$IX$116,ComparisonData!A95,ComparisonData!$ABU$1),0)),5)</f>
        <v>0</v>
      </c>
      <c r="ABV95" s="46" cm="1">
        <f t="array" ref="ABV95">ROUND(VALUE(IFERROR(INDEX(ArchiveResults!$F$5:$IX$116,ComparisonData!A95,ComparisonData!$ABV$1),0)),5)</f>
        <v>0</v>
      </c>
      <c r="ABW95" s="46" cm="1">
        <f t="array" ref="ABW95">ROUND(VALUE(IFERROR(INDEX(ArchiveResults!$F$5:$IX$116,ComparisonData!A95,ComparisonData!$ABW$1),0)),5)</f>
        <v>0</v>
      </c>
      <c r="ABX95" s="46" cm="1">
        <f t="array" ref="ABX95">ROUND(VALUE(IFERROR(INDEX(ArchiveResults!$F$5:$IX$116,ComparisonData!A95,ComparisonData!$ABX$1),0)),5)</f>
        <v>0</v>
      </c>
      <c r="ABY95" s="46" cm="1">
        <f t="array" ref="ABY95">ROUND(VALUE(IFERROR(INDEX(ArchiveResults!$F$5:$IX$116,ComparisonData!A95,ComparisonData!$ABY$1),0)),5)</f>
        <v>0</v>
      </c>
      <c r="ABZ95" s="56">
        <v>90</v>
      </c>
      <c r="ACA95" s="53" t="str">
        <f t="shared" si="745"/>
        <v>UCL, Senate House Library</v>
      </c>
      <c r="ACB95" s="60">
        <f t="shared" si="1148"/>
        <v>0</v>
      </c>
      <c r="ACC95" s="60">
        <f t="shared" si="1149"/>
        <v>0</v>
      </c>
      <c r="ACD95" s="60">
        <f t="shared" si="1150"/>
        <v>0</v>
      </c>
      <c r="ACE95" s="60">
        <f t="shared" si="1151"/>
        <v>0</v>
      </c>
      <c r="ACF95" s="60">
        <f t="shared" si="1152"/>
        <v>0</v>
      </c>
      <c r="ACG95" s="76">
        <f t="shared" si="1153"/>
        <v>0</v>
      </c>
      <c r="ACH95" s="46">
        <f t="shared" si="1154"/>
        <v>61</v>
      </c>
      <c r="ACI95" s="46">
        <f t="shared" si="746"/>
        <v>2.7389999999999999</v>
      </c>
      <c r="ACJ95" s="46">
        <f t="shared" si="1155"/>
        <v>1</v>
      </c>
      <c r="ACK95" s="46">
        <f t="shared" si="1156"/>
        <v>2</v>
      </c>
      <c r="ACL95" s="46">
        <f t="shared" si="1157"/>
        <v>0</v>
      </c>
      <c r="ACM95" s="46" cm="1">
        <f t="array" ref="ACM95">ROUND(IFERROR(INDEX(ArchiveResults!$F$5:$IX$116,ComparisonData!A95,ComparisonData!$ACM$1),0),5)</f>
        <v>0</v>
      </c>
      <c r="ACN95" s="46" cm="1">
        <f t="array" ref="ACN95">ROUND(IFERROR(INDEX(ArchiveResults!$F$5:$IX$116,ComparisonData!A95,ComparisonData!$ACN$1),0),5)</f>
        <v>0</v>
      </c>
      <c r="ACO95" s="56">
        <v>90</v>
      </c>
      <c r="ACP95" s="53" t="str">
        <f t="shared" si="747"/>
        <v>UCL, Senate House Library</v>
      </c>
      <c r="ACQ95" s="60">
        <f t="shared" si="1158"/>
        <v>0</v>
      </c>
      <c r="ACR95" s="60">
        <f t="shared" si="1159"/>
        <v>0</v>
      </c>
      <c r="ACS95" s="76">
        <f t="shared" si="1160"/>
        <v>0</v>
      </c>
      <c r="ACT95" s="46">
        <f t="shared" si="1161"/>
        <v>61</v>
      </c>
      <c r="ACU95" s="46">
        <f t="shared" si="748"/>
        <v>2.7389999999999999</v>
      </c>
      <c r="ACV95" s="46">
        <f t="shared" si="1162"/>
        <v>1</v>
      </c>
      <c r="ACW95" s="46">
        <f t="shared" si="1163"/>
        <v>2</v>
      </c>
      <c r="ACX95" s="46">
        <f t="shared" si="1164"/>
        <v>0</v>
      </c>
      <c r="ACY95" s="46" cm="1">
        <f t="array" ref="ACY95">ROUNDDOWN(IFERROR(INDEX(ArchiveResults!$F$5:$IX$116,ComparisonData!A95,ComparisonData!$ACY$1),0),5)</f>
        <v>0</v>
      </c>
      <c r="ACZ95" s="46" cm="1">
        <f t="array" ref="ACZ95">ROUNDDOWN(IFERROR(INDEX(ArchiveResults!$F$5:$IX$116,ComparisonData!A95,ComparisonData!$ACZ$1),0),5)</f>
        <v>0</v>
      </c>
      <c r="ADA95" s="46" cm="1">
        <f t="array" ref="ADA95">ROUNDDOWN(IFERROR(INDEX(ArchiveResults!$F$5:$IX$116,ComparisonData!A95,ComparisonData!$ADA$1),0),5)</f>
        <v>0</v>
      </c>
      <c r="ADB95" s="56">
        <v>90</v>
      </c>
      <c r="ADC95" s="53" t="str">
        <f t="shared" si="749"/>
        <v>UCL, Senate House Library</v>
      </c>
      <c r="ADD95" s="60">
        <f t="shared" si="1165"/>
        <v>0</v>
      </c>
      <c r="ADE95" s="60">
        <f t="shared" si="1166"/>
        <v>0</v>
      </c>
      <c r="ADF95" s="60">
        <f t="shared" si="1167"/>
        <v>0</v>
      </c>
      <c r="ADG95" s="76">
        <f t="shared" si="1168"/>
        <v>0</v>
      </c>
    </row>
    <row r="96" spans="1:787" x14ac:dyDescent="0.25">
      <c r="A96" s="46" t="str">
        <f>IF(ISBLANK(ComparisonSelection!F92),"",ROW()-5)</f>
        <v/>
      </c>
      <c r="B96" s="53" t="s">
        <v>546</v>
      </c>
      <c r="C96" s="72">
        <v>0.85899999999999987</v>
      </c>
      <c r="D96" s="55">
        <f t="shared" si="750"/>
        <v>85</v>
      </c>
      <c r="E96" s="54">
        <f t="shared" si="751"/>
        <v>2.859</v>
      </c>
      <c r="F96" s="54">
        <f t="shared" si="752"/>
        <v>1</v>
      </c>
      <c r="G96" s="72">
        <f t="shared" si="753"/>
        <v>2</v>
      </c>
      <c r="H96" s="72">
        <f t="shared" si="754"/>
        <v>0</v>
      </c>
      <c r="I96" s="46" cm="1">
        <f t="array" ref="I96">ROUND(IFERROR(INDEX(ArchiveResults!$F$5:$IX$116,ComparisonData!A96,ComparisonData!$I$1),0),5)</f>
        <v>0</v>
      </c>
      <c r="J96" s="46" cm="1">
        <f t="array" ref="J96">ROUND(IFERROR(INDEX(ArchiveResults!$F$5:$IX$116,ComparisonData!A96,ComparisonData!$J$1),0),5)</f>
        <v>0</v>
      </c>
      <c r="K96" s="56">
        <v>91</v>
      </c>
      <c r="L96" s="53" t="str">
        <f t="shared" si="755"/>
        <v>UCL, Special Collections, South Junction Reading Room</v>
      </c>
      <c r="M96" s="57">
        <f t="shared" si="640"/>
        <v>0</v>
      </c>
      <c r="N96" s="57">
        <f t="shared" si="641"/>
        <v>0</v>
      </c>
      <c r="O96" s="58">
        <f t="shared" si="756"/>
        <v>0</v>
      </c>
      <c r="P96" s="48">
        <f t="shared" si="757"/>
        <v>85</v>
      </c>
      <c r="Q96" s="54">
        <f t="shared" si="642"/>
        <v>2.859</v>
      </c>
      <c r="R96" s="45">
        <f t="shared" si="758"/>
        <v>1</v>
      </c>
      <c r="S96" s="46">
        <f t="shared" si="759"/>
        <v>2</v>
      </c>
      <c r="T96" s="72">
        <f t="shared" si="760"/>
        <v>0</v>
      </c>
      <c r="U96" s="46" cm="1">
        <f t="array" ref="U96">ROUND(IFERROR(INDEX(ArchiveResults!$F$5:$IX$116,ComparisonData!A96,ComparisonData!$U$1),0),5)</f>
        <v>0</v>
      </c>
      <c r="V96" s="46" cm="1">
        <f t="array" ref="V96">ROUND(IFERROR(INDEX(ArchiveResults!$F$5:$IX$116,ComparisonData!A96,ComparisonData!$V$1),0),5)</f>
        <v>0</v>
      </c>
      <c r="W96" s="56">
        <v>91</v>
      </c>
      <c r="X96" s="53" t="str">
        <f t="shared" si="643"/>
        <v>UCL, Special Collections, South Junction Reading Room</v>
      </c>
      <c r="Y96" s="57">
        <f t="shared" si="761"/>
        <v>0</v>
      </c>
      <c r="Z96" s="57">
        <f t="shared" si="762"/>
        <v>0</v>
      </c>
      <c r="AA96" s="58">
        <f t="shared" si="763"/>
        <v>0</v>
      </c>
      <c r="AB96" s="45">
        <f t="shared" si="764"/>
        <v>85</v>
      </c>
      <c r="AC96" s="54">
        <f t="shared" si="644"/>
        <v>2.859</v>
      </c>
      <c r="AD96" s="45">
        <f t="shared" si="765"/>
        <v>1</v>
      </c>
      <c r="AE96" s="45">
        <f t="shared" si="766"/>
        <v>2</v>
      </c>
      <c r="AF96" s="45">
        <f t="shared" si="639"/>
        <v>0</v>
      </c>
      <c r="AG96" s="46" cm="1">
        <f t="array" ref="AG96">ROUND(IFERROR(INDEX(ArchiveResults!$F$5:$IX$116,ComparisonData!A96,ComparisonData!$AG$1),0),5)</f>
        <v>0</v>
      </c>
      <c r="AH96" s="46" cm="1">
        <f t="array" ref="AH96">ROUND(IFERROR(INDEX(ArchiveResults!$F$5:$IX$116,ComparisonData!A96,ComparisonData!$AH$1),0),5)</f>
        <v>0</v>
      </c>
      <c r="AI96" s="56">
        <v>91</v>
      </c>
      <c r="AJ96" s="53" t="str">
        <f t="shared" si="645"/>
        <v>UCL, Special Collections, South Junction Reading Room</v>
      </c>
      <c r="AK96" s="59">
        <f t="shared" si="646"/>
        <v>0</v>
      </c>
      <c r="AL96" s="59">
        <f t="shared" si="647"/>
        <v>0</v>
      </c>
      <c r="AM96" s="58">
        <f t="shared" si="767"/>
        <v>0</v>
      </c>
      <c r="AN96" s="45">
        <f t="shared" si="768"/>
        <v>85</v>
      </c>
      <c r="AO96" s="54">
        <f t="shared" si="648"/>
        <v>2.859</v>
      </c>
      <c r="AP96" s="45">
        <f t="shared" si="769"/>
        <v>1</v>
      </c>
      <c r="AQ96" s="45">
        <f t="shared" si="770"/>
        <v>2</v>
      </c>
      <c r="AR96" s="46" cm="1">
        <f t="array" ref="AR96">ROUND(IFERROR(INDEX(ArchiveResults!$F$5:$IX$116,ComparisonData!A96,ComparisonData!$AR$1),0),5)</f>
        <v>0</v>
      </c>
      <c r="AS96" s="46" cm="1">
        <f t="array" ref="AS96">ROUND(IFERROR(INDEX(ArchiveResults!$F$5:$IX$116,ComparisonData!A96,ComparisonData!$AS$1),0),5)</f>
        <v>0</v>
      </c>
      <c r="AT96" s="46" cm="1">
        <f t="array" ref="AT96">ROUND(IFERROR(INDEX(ArchiveResults!$F$5:$IX$116,ComparisonData!A96,ComparisonData!$AT$1),0),5)</f>
        <v>0</v>
      </c>
      <c r="AU96" s="46" cm="1">
        <f t="array" ref="AU96">ROUND(IFERROR(INDEX(ArchiveResults!$F$5:$IX$116,ComparisonData!A96,ComparisonData!$AU$1),0),5)</f>
        <v>0</v>
      </c>
      <c r="AV96" s="46" cm="1">
        <f t="array" ref="AV96">ROUND(IFERROR(INDEX(ArchiveResults!$F$5:$IX$116,ComparisonData!A96,ComparisonData!$AV$1),0),5)</f>
        <v>0</v>
      </c>
      <c r="AW96" s="46" cm="1">
        <f t="array" ref="AW96">ROUND(IFERROR(INDEX(ArchiveResults!$F$5:$IX$116,ComparisonData!A96,ComparisonData!$AW$1),0),5)</f>
        <v>0</v>
      </c>
      <c r="AX96" s="46" cm="1">
        <f t="array" ref="AX96">ROUND(IFERROR(INDEX(ArchiveResults!$F$5:$IX$116,ComparisonData!A96,ComparisonData!$AX$1),0),5)</f>
        <v>0</v>
      </c>
      <c r="AY96" s="46" cm="1">
        <f t="array" ref="AY96">ROUND(IFERROR(INDEX(ArchiveResults!$F$5:$IX$116,ComparisonData!A96,ComparisonData!$AY$1),0),5)</f>
        <v>0</v>
      </c>
      <c r="AZ96" s="46" cm="1">
        <f t="array" ref="AZ96">ROUND(IFERROR(INDEX(ArchiveResults!$F$5:$IX$116,ComparisonData!A96,ComparisonData!$AZ$1),0),5)</f>
        <v>0</v>
      </c>
      <c r="BA96" s="46" cm="1">
        <f t="array" ref="BA96">ROUND(IFERROR(INDEX(ArchiveResults!$F$5:$IX$116,ComparisonData!A96,ComparisonData!$BA$1),0),5)</f>
        <v>0</v>
      </c>
      <c r="BB96" s="56">
        <v>91</v>
      </c>
      <c r="BC96" s="53" t="str">
        <f t="shared" si="649"/>
        <v>UCL, Special Collections, South Junction Reading Room</v>
      </c>
      <c r="BD96" s="60">
        <f t="shared" si="771"/>
        <v>0</v>
      </c>
      <c r="BE96" s="60">
        <f t="shared" si="772"/>
        <v>0</v>
      </c>
      <c r="BF96" s="60">
        <f t="shared" si="773"/>
        <v>0</v>
      </c>
      <c r="BG96" s="60">
        <f t="shared" si="774"/>
        <v>0</v>
      </c>
      <c r="BH96" s="60">
        <f t="shared" si="775"/>
        <v>0</v>
      </c>
      <c r="BI96" s="60">
        <f t="shared" si="776"/>
        <v>0</v>
      </c>
      <c r="BJ96" s="60">
        <f t="shared" si="777"/>
        <v>0</v>
      </c>
      <c r="BK96" s="60">
        <f t="shared" si="778"/>
        <v>0</v>
      </c>
      <c r="BL96" s="60">
        <f t="shared" si="779"/>
        <v>0</v>
      </c>
      <c r="BM96" s="59">
        <f t="shared" si="780"/>
        <v>0</v>
      </c>
      <c r="BN96" s="58">
        <f t="shared" si="781"/>
        <v>0</v>
      </c>
      <c r="BO96" s="45">
        <f t="shared" si="782"/>
        <v>85</v>
      </c>
      <c r="BP96" s="54">
        <f t="shared" si="650"/>
        <v>2.859</v>
      </c>
      <c r="BQ96" s="45">
        <f t="shared" si="783"/>
        <v>1</v>
      </c>
      <c r="BR96" s="45">
        <f t="shared" si="784"/>
        <v>2</v>
      </c>
      <c r="BS96" s="46" cm="1">
        <f t="array" ref="BS96">ROUND(IFERROR(INDEX(ArchiveResults!$F$5:$IX$116,ComparisonData!A96,ComparisonData!$BS$1),0),5)</f>
        <v>0</v>
      </c>
      <c r="BT96" s="46" cm="1">
        <f t="array" ref="BT96">ROUND(IFERROR(INDEX(ArchiveResults!$F$5:$IX$116,ComparisonData!A96,ComparisonData!$BT$1),0),5)</f>
        <v>0</v>
      </c>
      <c r="BU96" s="46" cm="1">
        <f t="array" ref="BU96">ROUND(IFERROR(INDEX(ArchiveResults!$F$5:$IX$116,ComparisonData!A96,ComparisonData!$BU$1),0),5)</f>
        <v>0</v>
      </c>
      <c r="BV96" s="46" cm="1">
        <f t="array" ref="BV96">ROUND(IFERROR(INDEX(ArchiveResults!$F$5:$IX$116,ComparisonData!A96,ComparisonData!$BV$1),0),5)</f>
        <v>0</v>
      </c>
      <c r="BW96" s="46" cm="1">
        <f t="array" ref="BW96">ROUND(IFERROR(INDEX(ArchiveResults!$F$5:$IX$116,ComparisonData!A96,ComparisonData!$BW$1),0),5)</f>
        <v>0</v>
      </c>
      <c r="BX96" s="46" cm="1">
        <f t="array" ref="BX96">ROUND(IFERROR(INDEX(ArchiveResults!$F$5:$IX$116,ComparisonData!A96,ComparisonData!$BX$1),0),5)</f>
        <v>0</v>
      </c>
      <c r="BY96" s="56">
        <v>91</v>
      </c>
      <c r="BZ96" s="53" t="str">
        <f t="shared" si="651"/>
        <v>UCL, Special Collections, South Junction Reading Room</v>
      </c>
      <c r="CA96" s="59">
        <f t="shared" si="785"/>
        <v>0</v>
      </c>
      <c r="CB96" s="59">
        <f t="shared" si="786"/>
        <v>0</v>
      </c>
      <c r="CC96" s="59">
        <f t="shared" si="787"/>
        <v>0</v>
      </c>
      <c r="CD96" s="59">
        <f t="shared" si="788"/>
        <v>0</v>
      </c>
      <c r="CE96" s="59">
        <f t="shared" si="789"/>
        <v>0</v>
      </c>
      <c r="CF96" s="59">
        <f t="shared" si="790"/>
        <v>0</v>
      </c>
      <c r="CG96" s="58">
        <f t="shared" si="791"/>
        <v>0</v>
      </c>
      <c r="CH96" s="45">
        <f t="shared" si="792"/>
        <v>85</v>
      </c>
      <c r="CI96" s="54">
        <f t="shared" si="652"/>
        <v>2.859</v>
      </c>
      <c r="CJ96" s="45">
        <f t="shared" si="793"/>
        <v>1</v>
      </c>
      <c r="CK96" s="45">
        <f t="shared" si="794"/>
        <v>2</v>
      </c>
      <c r="CL96" s="46" cm="1">
        <f t="array" ref="CL96">ROUND(IFERROR(INDEX(ArchiveResults!$F$5:$IX$116,ComparisonData!A96,ComparisonData!$CL$1),0),5)</f>
        <v>0</v>
      </c>
      <c r="CM96" s="56">
        <v>91</v>
      </c>
      <c r="CN96" s="53" t="str">
        <f t="shared" si="653"/>
        <v>UCL, Special Collections, South Junction Reading Room</v>
      </c>
      <c r="CO96" s="45">
        <f t="shared" si="795"/>
        <v>0</v>
      </c>
      <c r="CP96" s="58">
        <f t="shared" si="796"/>
        <v>0</v>
      </c>
      <c r="CQ96" s="45">
        <f t="shared" si="797"/>
        <v>85</v>
      </c>
      <c r="CR96" s="54">
        <f t="shared" si="654"/>
        <v>2.859</v>
      </c>
      <c r="CS96" s="45">
        <f t="shared" si="798"/>
        <v>1</v>
      </c>
      <c r="CT96" s="45">
        <f t="shared" si="799"/>
        <v>2</v>
      </c>
      <c r="CU96" s="46" cm="1">
        <f t="array" ref="CU96">ROUND(IFERROR(INDEX(ArchiveResults!$F$5:$IX$116,ComparisonData!A96,ComparisonData!$CU$1),0),5)</f>
        <v>0</v>
      </c>
      <c r="CV96" s="56">
        <v>91</v>
      </c>
      <c r="CW96" s="53" t="str">
        <f t="shared" si="655"/>
        <v>UCL, Special Collections, South Junction Reading Room</v>
      </c>
      <c r="CX96" s="45">
        <f t="shared" si="800"/>
        <v>0</v>
      </c>
      <c r="CY96" s="58">
        <f t="shared" si="801"/>
        <v>0</v>
      </c>
      <c r="CZ96" s="45">
        <f t="shared" si="802"/>
        <v>85</v>
      </c>
      <c r="DA96" s="54">
        <f t="shared" si="656"/>
        <v>2.859</v>
      </c>
      <c r="DB96" s="45">
        <f t="shared" si="803"/>
        <v>1</v>
      </c>
      <c r="DC96" s="45">
        <f t="shared" si="804"/>
        <v>2</v>
      </c>
      <c r="DD96" s="46" cm="1">
        <f t="array" ref="DD96">ROUND(IFERROR(INDEX(ArchiveResults!$F$5:$IX$116,ComparisonData!A96,ComparisonData!$DD$1),0),5)</f>
        <v>0</v>
      </c>
      <c r="DE96" s="56">
        <v>91</v>
      </c>
      <c r="DF96" s="53" t="str">
        <f t="shared" si="657"/>
        <v>UCL, Special Collections, South Junction Reading Room</v>
      </c>
      <c r="DG96" s="45">
        <f t="shared" si="805"/>
        <v>0</v>
      </c>
      <c r="DH96" s="58">
        <f t="shared" si="806"/>
        <v>0</v>
      </c>
      <c r="DI96" s="45">
        <f t="shared" si="807"/>
        <v>85</v>
      </c>
      <c r="DJ96" s="54">
        <f t="shared" si="658"/>
        <v>2.859</v>
      </c>
      <c r="DK96" s="45">
        <f t="shared" si="808"/>
        <v>1</v>
      </c>
      <c r="DL96" s="45">
        <f t="shared" si="809"/>
        <v>2</v>
      </c>
      <c r="DM96" s="46" cm="1">
        <f t="array" ref="DM96">ROUND(IFERROR(INDEX(ArchiveResults!$F$5:$IX$116,ComparisonData!A96,ComparisonData!$DM$1),0),5)</f>
        <v>0</v>
      </c>
      <c r="DN96" s="46" cm="1">
        <f t="array" ref="DN96">ROUND(IFERROR(INDEX(ArchiveResults!$F$5:$IX$116,ComparisonData!A96,ComparisonData!$DN$1),0),5)</f>
        <v>0</v>
      </c>
      <c r="DO96" s="46" cm="1">
        <f t="array" ref="DO96">ROUND(IFERROR(INDEX(ArchiveResults!$F$5:$IX$116,ComparisonData!A96,ComparisonData!$DO$1),0),5)</f>
        <v>0</v>
      </c>
      <c r="DP96" s="46" cm="1">
        <f t="array" ref="DP96">ROUND(IFERROR(INDEX(ArchiveResults!$F$5:$IX$116,ComparisonData!A96,ComparisonData!$DP$1),0),5)</f>
        <v>0</v>
      </c>
      <c r="DQ96" s="45" cm="1">
        <f t="array" ref="DQ96">IFERROR(INDEX(ArchiveResults!$F$5:$IX$116,ComparisonData!A96,ComparisonData!$DQ$1),0)</f>
        <v>0</v>
      </c>
      <c r="DR96" s="56">
        <v>91</v>
      </c>
      <c r="DS96" s="53" t="str">
        <f t="shared" si="659"/>
        <v>UCL, Special Collections, South Junction Reading Room</v>
      </c>
      <c r="DT96" s="59">
        <f t="shared" si="810"/>
        <v>0</v>
      </c>
      <c r="DU96" s="59">
        <f t="shared" si="811"/>
        <v>0</v>
      </c>
      <c r="DV96" s="59">
        <f t="shared" si="812"/>
        <v>0</v>
      </c>
      <c r="DW96" s="59">
        <f t="shared" si="813"/>
        <v>0</v>
      </c>
      <c r="DX96" s="59">
        <f t="shared" si="814"/>
        <v>0</v>
      </c>
      <c r="DY96" s="58">
        <f t="shared" si="815"/>
        <v>0</v>
      </c>
      <c r="DZ96" s="45">
        <f t="shared" si="816"/>
        <v>85</v>
      </c>
      <c r="EA96" s="54">
        <f t="shared" si="660"/>
        <v>2.859</v>
      </c>
      <c r="EB96" s="45">
        <f t="shared" si="817"/>
        <v>1</v>
      </c>
      <c r="EC96" s="45">
        <f t="shared" si="818"/>
        <v>2</v>
      </c>
      <c r="ED96" s="46" cm="1">
        <f t="array" ref="ED96">ROUND(IFERROR(INDEX(ArchiveResults!$F$5:$IX$116,ComparisonData!A96,ComparisonData!$ED$1),0),5)</f>
        <v>0</v>
      </c>
      <c r="EE96" s="46" cm="1">
        <f t="array" ref="EE96">ROUND(IFERROR(INDEX(ArchiveResults!$F$5:$IX$116,ComparisonData!A96,ComparisonData!$EE$1),0),5)</f>
        <v>0</v>
      </c>
      <c r="EF96" s="46" cm="1">
        <f t="array" ref="EF96">ROUND(IFERROR(INDEX(ArchiveResults!$F$5:$IX$116,ComparisonData!A96,ComparisonData!$EF$1),0),5)</f>
        <v>0</v>
      </c>
      <c r="EG96" s="46" cm="1">
        <f t="array" ref="EG96">ROUND(IFERROR(INDEX(ArchiveResults!$F$5:$IX$116,ComparisonData!A96,ComparisonData!$EG$1),0),5)</f>
        <v>0</v>
      </c>
      <c r="EH96" s="45" cm="1">
        <f t="array" ref="EH96">IFERROR(INDEX(ArchiveResults!$F$5:$IX$116,ComparisonData!A96,ComparisonData!$EH$1),0)</f>
        <v>0</v>
      </c>
      <c r="EI96" s="56">
        <v>91</v>
      </c>
      <c r="EJ96" s="53" t="str">
        <f t="shared" si="661"/>
        <v>UCL, Special Collections, South Junction Reading Room</v>
      </c>
      <c r="EK96" s="59">
        <f t="shared" si="819"/>
        <v>0</v>
      </c>
      <c r="EL96" s="59">
        <f t="shared" si="820"/>
        <v>0</v>
      </c>
      <c r="EM96" s="59">
        <f t="shared" si="821"/>
        <v>0</v>
      </c>
      <c r="EN96" s="59">
        <f t="shared" si="822"/>
        <v>0</v>
      </c>
      <c r="EO96" s="59">
        <f t="shared" si="823"/>
        <v>0</v>
      </c>
      <c r="EP96" s="58">
        <f t="shared" si="824"/>
        <v>0</v>
      </c>
      <c r="EQ96" s="45">
        <f t="shared" si="825"/>
        <v>85</v>
      </c>
      <c r="ER96" s="54">
        <f t="shared" si="662"/>
        <v>2.859</v>
      </c>
      <c r="ES96" s="45">
        <f t="shared" si="826"/>
        <v>1</v>
      </c>
      <c r="ET96" s="45">
        <f t="shared" si="827"/>
        <v>2</v>
      </c>
      <c r="EU96" s="46" cm="1">
        <f t="array" ref="EU96">ROUND(IFERROR(INDEX(ArchiveResults!$F$5:$IX$116,ComparisonData!A96,ComparisonData!$EU$1),0),5)</f>
        <v>0</v>
      </c>
      <c r="EV96" s="46" cm="1">
        <f t="array" ref="EV96">ROUND(IFERROR(INDEX(ArchiveResults!$F$5:$IX$116,ComparisonData!A96,ComparisonData!$EV$1),0),5)</f>
        <v>0</v>
      </c>
      <c r="EW96" s="46" cm="1">
        <f t="array" ref="EW96">ROUND(IFERROR(INDEX(ArchiveResults!$F$5:$IX$116,ComparisonData!A96,ComparisonData!$EW$1),0),5)</f>
        <v>0</v>
      </c>
      <c r="EX96" s="46" cm="1">
        <f t="array" ref="EX96">ROUND(IFERROR(INDEX(ArchiveResults!$F$5:$IX$116,ComparisonData!A96,ComparisonData!$EX$1),0),5)</f>
        <v>0</v>
      </c>
      <c r="EY96" s="45" cm="1">
        <f t="array" ref="EY96">IFERROR(INDEX(ArchiveResults!$F$5:$IX$116,ComparisonData!A96,ComparisonData!$EY$1),0)</f>
        <v>0</v>
      </c>
      <c r="EZ96" s="56">
        <v>91</v>
      </c>
      <c r="FA96" s="53" t="str">
        <f t="shared" si="663"/>
        <v>UCL, Special Collections, South Junction Reading Room</v>
      </c>
      <c r="FB96" s="59">
        <f t="shared" si="828"/>
        <v>0</v>
      </c>
      <c r="FC96" s="59">
        <f t="shared" si="829"/>
        <v>0</v>
      </c>
      <c r="FD96" s="59">
        <f t="shared" si="830"/>
        <v>0</v>
      </c>
      <c r="FE96" s="59">
        <f t="shared" si="831"/>
        <v>0</v>
      </c>
      <c r="FF96" s="59">
        <f t="shared" si="832"/>
        <v>0</v>
      </c>
      <c r="FG96" s="58">
        <f t="shared" si="833"/>
        <v>0</v>
      </c>
      <c r="FH96" s="45">
        <f t="shared" si="834"/>
        <v>85</v>
      </c>
      <c r="FI96" s="54">
        <f t="shared" si="664"/>
        <v>2.859</v>
      </c>
      <c r="FJ96" s="45">
        <f t="shared" si="835"/>
        <v>1</v>
      </c>
      <c r="FK96" s="45">
        <f t="shared" si="836"/>
        <v>2</v>
      </c>
      <c r="FL96" s="46" cm="1">
        <f t="array" ref="FL96">ROUND(IFERROR(INDEX(ArchiveResults!$F$5:$IX$116,ComparisonData!A96,ComparisonData!$FL$1),0),5)</f>
        <v>0</v>
      </c>
      <c r="FM96" s="46" cm="1">
        <f t="array" ref="FM96">ROUND(IFERROR(INDEX(ArchiveResults!$F$5:$IX$116,ComparisonData!A96,ComparisonData!$FM$1),0),5)</f>
        <v>0</v>
      </c>
      <c r="FN96" s="46" cm="1">
        <f t="array" ref="FN96">ROUND(IFERROR(INDEX(ArchiveResults!$F$5:$IX$116,ComparisonData!A96,ComparisonData!$FN$1),0),5)</f>
        <v>0</v>
      </c>
      <c r="FO96" s="46" cm="1">
        <f t="array" ref="FO96">ROUND(IFERROR(INDEX(ArchiveResults!$F$5:$IX$116,ComparisonData!A96,ComparisonData!$FO$1),0),5)</f>
        <v>0</v>
      </c>
      <c r="FP96" s="45" cm="1">
        <f t="array" ref="FP96">IFERROR(INDEX(ArchiveResults!$F$5:$IX$116,ComparisonData!A96,ComparisonData!$FP$1),0)</f>
        <v>0</v>
      </c>
      <c r="FQ96" s="56">
        <v>91</v>
      </c>
      <c r="FR96" s="53" t="str">
        <f t="shared" si="665"/>
        <v>UCL, Special Collections, South Junction Reading Room</v>
      </c>
      <c r="FS96" s="59">
        <f t="shared" si="837"/>
        <v>0</v>
      </c>
      <c r="FT96" s="59">
        <f t="shared" si="838"/>
        <v>0</v>
      </c>
      <c r="FU96" s="59">
        <f t="shared" si="839"/>
        <v>0</v>
      </c>
      <c r="FV96" s="59">
        <f t="shared" si="840"/>
        <v>0</v>
      </c>
      <c r="FW96" s="59">
        <f t="shared" si="841"/>
        <v>0</v>
      </c>
      <c r="FX96" s="58">
        <f t="shared" si="842"/>
        <v>0</v>
      </c>
      <c r="FY96" s="45">
        <f t="shared" si="843"/>
        <v>85</v>
      </c>
      <c r="FZ96" s="45">
        <f t="shared" si="666"/>
        <v>2.859</v>
      </c>
      <c r="GA96" s="45">
        <f t="shared" si="844"/>
        <v>1</v>
      </c>
      <c r="GB96" s="45">
        <f t="shared" si="845"/>
        <v>2</v>
      </c>
      <c r="GC96" s="46" cm="1">
        <f t="array" ref="GC96">ROUND(IFERROR(INDEX(ArchiveResults!$F$5:$IX$116,ComparisonData!A96,ComparisonData!$GC$1),0),5)</f>
        <v>0</v>
      </c>
      <c r="GD96" s="46" cm="1">
        <f t="array" ref="GD96">ROUND(IFERROR(INDEX(ArchiveResults!$F$5:$IX$116,ComparisonData!A96,ComparisonData!$GD$1),0),5)</f>
        <v>0</v>
      </c>
      <c r="GE96" s="46" cm="1">
        <f t="array" ref="GE96">ROUND(IFERROR(INDEX(ArchiveResults!$F$5:$IX$116,ComparisonData!A96,ComparisonData!$GE$1),0),5)</f>
        <v>0</v>
      </c>
      <c r="GF96" s="46" cm="1">
        <f t="array" ref="GF96">ROUND(IFERROR(INDEX(ArchiveResults!$F$5:$IX$116,ComparisonData!A96,ComparisonData!$GF$1),0),5)</f>
        <v>0</v>
      </c>
      <c r="GG96" s="45" cm="1">
        <f t="array" ref="GG96">IFERROR(INDEX(ArchiveResults!$F$5:$IX$116,ComparisonData!A96,ComparisonData!$GG$1),0)</f>
        <v>0</v>
      </c>
      <c r="GH96" s="56">
        <v>91</v>
      </c>
      <c r="GI96" s="53" t="str">
        <f t="shared" si="667"/>
        <v>UCL, Special Collections, South Junction Reading Room</v>
      </c>
      <c r="GJ96" s="59">
        <f t="shared" si="846"/>
        <v>0</v>
      </c>
      <c r="GK96" s="59">
        <f t="shared" si="847"/>
        <v>0</v>
      </c>
      <c r="GL96" s="59">
        <f t="shared" si="848"/>
        <v>0</v>
      </c>
      <c r="GM96" s="59">
        <f t="shared" si="849"/>
        <v>0</v>
      </c>
      <c r="GN96" s="59">
        <f t="shared" si="850"/>
        <v>0</v>
      </c>
      <c r="GO96" s="58">
        <f t="shared" si="851"/>
        <v>0</v>
      </c>
      <c r="GP96" s="45">
        <f t="shared" si="852"/>
        <v>85</v>
      </c>
      <c r="GQ96" s="45">
        <f t="shared" si="668"/>
        <v>2.859</v>
      </c>
      <c r="GR96" s="45">
        <f t="shared" si="853"/>
        <v>1</v>
      </c>
      <c r="GS96" s="45">
        <f t="shared" si="854"/>
        <v>2</v>
      </c>
      <c r="GT96" s="46" cm="1">
        <f t="array" ref="GT96">ROUND(IFERROR(INDEX(ArchiveResults!$F$5:$IX$116,ComparisonData!A96,ComparisonData!$GT$1),0),5)</f>
        <v>0</v>
      </c>
      <c r="GU96" s="46" cm="1">
        <f t="array" ref="GU96">ROUND(IFERROR(INDEX(ArchiveResults!$F$5:$IX$116,ComparisonData!A96,ComparisonData!$GU$1),0),5)</f>
        <v>0</v>
      </c>
      <c r="GV96" s="46" cm="1">
        <f t="array" ref="GV96">ROUND(IFERROR(INDEX(ArchiveResults!$F$5:$IX$116,ComparisonData!A96,ComparisonData!$GV$1),0),5)</f>
        <v>0</v>
      </c>
      <c r="GW96" s="46" cm="1">
        <f t="array" ref="GW96">ROUND(IFERROR(INDEX(ArchiveResults!$F$5:$IX$116,ComparisonData!A96,ComparisonData!$GW$1),0),5)</f>
        <v>0</v>
      </c>
      <c r="GX96" s="45" cm="1">
        <f t="array" ref="GX96">IFERROR(INDEX(ArchiveResults!$F$5:$IX$116,ComparisonData!A96,ComparisonData!$GX$1),0)</f>
        <v>0</v>
      </c>
      <c r="GY96" s="56">
        <v>91</v>
      </c>
      <c r="GZ96" s="53" t="str">
        <f t="shared" si="669"/>
        <v>UCL, Special Collections, South Junction Reading Room</v>
      </c>
      <c r="HA96" s="59">
        <f t="shared" si="855"/>
        <v>0</v>
      </c>
      <c r="HB96" s="59">
        <f t="shared" si="856"/>
        <v>0</v>
      </c>
      <c r="HC96" s="59">
        <f t="shared" si="857"/>
        <v>0</v>
      </c>
      <c r="HD96" s="59">
        <f t="shared" si="858"/>
        <v>0</v>
      </c>
      <c r="HE96" s="59">
        <f t="shared" si="859"/>
        <v>0</v>
      </c>
      <c r="HF96" s="58">
        <f t="shared" si="860"/>
        <v>0</v>
      </c>
      <c r="HG96" s="45">
        <f t="shared" si="861"/>
        <v>85</v>
      </c>
      <c r="HH96" s="45">
        <f t="shared" si="670"/>
        <v>2.859</v>
      </c>
      <c r="HI96" s="45">
        <f t="shared" si="862"/>
        <v>1</v>
      </c>
      <c r="HJ96" s="45">
        <f t="shared" si="863"/>
        <v>2</v>
      </c>
      <c r="HK96" s="46" cm="1">
        <f t="array" ref="HK96">ROUND(IFERROR(INDEX(ArchiveResults!$F$5:$IX$116,ComparisonData!A96,ComparisonData!$HK$1),0),5)</f>
        <v>0</v>
      </c>
      <c r="HL96" s="46" cm="1">
        <f t="array" ref="HL96">ROUND(IFERROR(INDEX(ArchiveResults!$F$5:$IX$116,ComparisonData!A96,ComparisonData!$HL$1),0),5)</f>
        <v>0</v>
      </c>
      <c r="HM96" s="46" cm="1">
        <f t="array" ref="HM96">ROUND(IFERROR(INDEX(ArchiveResults!$F$5:$IX$116,ComparisonData!A96,ComparisonData!$HM$1),0),5)</f>
        <v>0</v>
      </c>
      <c r="HN96" s="46" cm="1">
        <f t="array" ref="HN96">ROUND(IFERROR(INDEX(ArchiveResults!$F$5:$IX$116,ComparisonData!A96,ComparisonData!$HN$1),0),5)</f>
        <v>0</v>
      </c>
      <c r="HO96" s="45" cm="1">
        <f t="array" ref="HO96">IFERROR(INDEX(ArchiveResults!$F$5:$IX$116,ComparisonData!A96,ComparisonData!$HO$1),0)</f>
        <v>0</v>
      </c>
      <c r="HP96" s="56">
        <v>91</v>
      </c>
      <c r="HQ96" s="53" t="str">
        <f t="shared" si="671"/>
        <v>UCL, Special Collections, South Junction Reading Room</v>
      </c>
      <c r="HR96" s="59">
        <f t="shared" si="672"/>
        <v>0</v>
      </c>
      <c r="HS96" s="59">
        <f t="shared" si="673"/>
        <v>0</v>
      </c>
      <c r="HT96" s="59">
        <f t="shared" si="674"/>
        <v>0</v>
      </c>
      <c r="HU96" s="59">
        <f t="shared" si="675"/>
        <v>0</v>
      </c>
      <c r="HV96" s="59">
        <f t="shared" si="676"/>
        <v>0</v>
      </c>
      <c r="HW96" s="58">
        <f t="shared" si="864"/>
        <v>0</v>
      </c>
      <c r="HX96" s="45">
        <f t="shared" si="865"/>
        <v>85</v>
      </c>
      <c r="HY96" s="45">
        <f t="shared" si="677"/>
        <v>2.859</v>
      </c>
      <c r="HZ96" s="45">
        <f t="shared" si="866"/>
        <v>1</v>
      </c>
      <c r="IA96" s="45">
        <f t="shared" si="867"/>
        <v>2</v>
      </c>
      <c r="IB96" s="45">
        <f t="shared" si="868"/>
        <v>0</v>
      </c>
      <c r="IC96" s="46" cm="1">
        <f t="array" ref="IC96">ROUND(IFERROR(INDEX(ArchiveResults!$F$5:$IX$116,ComparisonData!A96,ComparisonData!$IC$1),0),5)</f>
        <v>0</v>
      </c>
      <c r="ID96" s="46" cm="1">
        <f t="array" ref="ID96">ROUND(IFERROR(INDEX(ArchiveResults!$F$5:$IX$116,ComparisonData!A96,ComparisonData!$ID$1),0),5)</f>
        <v>0</v>
      </c>
      <c r="IE96" s="46" cm="1">
        <f t="array" ref="IE96">ROUND(IFERROR(INDEX(ArchiveResults!$F$5:$IX$116,ComparisonData!A96,ComparisonData!$IE$1),0),5)</f>
        <v>0</v>
      </c>
      <c r="IF96" s="46" cm="1">
        <f t="array" ref="IF96">ROUND(IFERROR(INDEX(ArchiveResults!$F$5:$IX$116,ComparisonData!A96,ComparisonData!$IF$1),0),5)</f>
        <v>0</v>
      </c>
      <c r="IG96" s="45" cm="1">
        <f t="array" ref="IG96">IFERROR(INDEX(ArchiveResults!$F$5:$IX$116,ComparisonData!A96,ComparisonData!$IG$1),0)</f>
        <v>0</v>
      </c>
      <c r="IH96" s="56">
        <v>91</v>
      </c>
      <c r="II96" s="53" t="str">
        <f t="shared" si="678"/>
        <v>UCL, Special Collections, South Junction Reading Room</v>
      </c>
      <c r="IJ96" s="59">
        <f t="shared" si="869"/>
        <v>0</v>
      </c>
      <c r="IK96" s="59">
        <f t="shared" si="870"/>
        <v>0</v>
      </c>
      <c r="IL96" s="59">
        <f t="shared" si="871"/>
        <v>0</v>
      </c>
      <c r="IM96" s="59">
        <f t="shared" si="872"/>
        <v>0</v>
      </c>
      <c r="IN96" s="59">
        <f t="shared" si="873"/>
        <v>0</v>
      </c>
      <c r="IO96" s="58">
        <f t="shared" si="874"/>
        <v>0</v>
      </c>
      <c r="IP96" s="45">
        <f t="shared" si="875"/>
        <v>85</v>
      </c>
      <c r="IQ96" s="45">
        <f t="shared" si="679"/>
        <v>2.859</v>
      </c>
      <c r="IR96" s="45">
        <f t="shared" si="876"/>
        <v>1</v>
      </c>
      <c r="IS96" s="45">
        <f t="shared" si="877"/>
        <v>2</v>
      </c>
      <c r="IT96" s="46">
        <f t="shared" si="878"/>
        <v>0</v>
      </c>
      <c r="IU96" s="46" cm="1">
        <f t="array" ref="IU96">ROUND(IFERROR(INDEX(ArchiveResults!$F$5:$IX$116,ComparisonData!A96,ComparisonData!$IU$1),0),5)</f>
        <v>0</v>
      </c>
      <c r="IV96" s="46" cm="1">
        <f t="array" ref="IV96">ROUND(IFERROR(INDEX(ArchiveResults!$F$5:$IX$116,ComparisonData!A96,ComparisonData!$IV$1),0),5)</f>
        <v>0</v>
      </c>
      <c r="IW96" s="46" cm="1">
        <f t="array" ref="IW96">ROUND(IFERROR(INDEX(ArchiveResults!$F$5:$IX$116,ComparisonData!A96,ComparisonData!$IW$1),0),5)</f>
        <v>0</v>
      </c>
      <c r="IX96" s="46" cm="1">
        <f t="array" ref="IX96">ROUND(IFERROR(INDEX(ArchiveResults!$F$5:$IX$116,ComparisonData!A96,ComparisonData!$IX$1),0),5)</f>
        <v>0</v>
      </c>
      <c r="IY96" s="45" cm="1">
        <f t="array" ref="IY96">IFERROR(INDEX(ArchiveResults!$F$5:$IX$116,ComparisonData!A96,ComparisonData!$IY$1),0)</f>
        <v>0</v>
      </c>
      <c r="IZ96" s="56">
        <v>91</v>
      </c>
      <c r="JA96" s="53" t="str">
        <f t="shared" si="680"/>
        <v>UCL, Special Collections, South Junction Reading Room</v>
      </c>
      <c r="JB96" s="59">
        <f t="shared" si="879"/>
        <v>0</v>
      </c>
      <c r="JC96" s="59">
        <f t="shared" si="880"/>
        <v>0</v>
      </c>
      <c r="JD96" s="59">
        <f t="shared" si="881"/>
        <v>0</v>
      </c>
      <c r="JE96" s="59">
        <f t="shared" si="882"/>
        <v>0</v>
      </c>
      <c r="JF96" s="59">
        <f t="shared" si="883"/>
        <v>0</v>
      </c>
      <c r="JG96" s="58">
        <f t="shared" si="884"/>
        <v>0</v>
      </c>
      <c r="JH96" s="45">
        <f t="shared" si="885"/>
        <v>85</v>
      </c>
      <c r="JI96" s="45">
        <f t="shared" si="681"/>
        <v>2.859</v>
      </c>
      <c r="JJ96" s="45">
        <f t="shared" si="886"/>
        <v>1</v>
      </c>
      <c r="JK96" s="45">
        <f t="shared" si="887"/>
        <v>2</v>
      </c>
      <c r="JL96" s="45">
        <f t="shared" si="888"/>
        <v>0</v>
      </c>
      <c r="JM96" s="46" cm="1">
        <f t="array" ref="JM96">ROUND(IFERROR(INDEX(ArchiveResults!$F$5:$IX$116,ComparisonData!A96,ComparisonData!$JM$1),0),5)</f>
        <v>0</v>
      </c>
      <c r="JN96" s="46" cm="1">
        <f t="array" ref="JN96">ROUND(IFERROR(INDEX(ArchiveResults!$F$5:$IX$116,ComparisonData!A96,ComparisonData!$JN$1),0),5)</f>
        <v>0</v>
      </c>
      <c r="JO96" s="46" cm="1">
        <f t="array" ref="JO96">ROUND(IFERROR(INDEX(ArchiveResults!$F$5:$IX$116,ComparisonData!A96,ComparisonData!$JO$1),0),5)</f>
        <v>0</v>
      </c>
      <c r="JP96" s="46" cm="1">
        <f t="array" ref="JP96">ROUND(IFERROR(INDEX(ArchiveResults!$F$5:$IX$116,ComparisonData!A96,ComparisonData!$JP$1),0),5)</f>
        <v>0</v>
      </c>
      <c r="JQ96" s="45" cm="1">
        <f t="array" ref="JQ96">IFERROR(INDEX(ArchiveResults!$F$5:$IX$116,ComparisonData!A96,ComparisonData!$JQ$1),0)</f>
        <v>0</v>
      </c>
      <c r="JR96" s="56">
        <v>91</v>
      </c>
      <c r="JS96" s="53" t="str">
        <f t="shared" si="682"/>
        <v>UCL, Special Collections, South Junction Reading Room</v>
      </c>
      <c r="JT96" s="59">
        <f t="shared" si="889"/>
        <v>0</v>
      </c>
      <c r="JU96" s="59">
        <f t="shared" si="890"/>
        <v>0</v>
      </c>
      <c r="JV96" s="59">
        <f t="shared" si="891"/>
        <v>0</v>
      </c>
      <c r="JW96" s="59">
        <f t="shared" si="892"/>
        <v>0</v>
      </c>
      <c r="JX96" s="59">
        <f t="shared" si="893"/>
        <v>0</v>
      </c>
      <c r="JY96" s="58">
        <f t="shared" si="894"/>
        <v>0</v>
      </c>
      <c r="JZ96" s="45">
        <f t="shared" si="895"/>
        <v>85</v>
      </c>
      <c r="KA96" s="45">
        <f t="shared" si="683"/>
        <v>2.859</v>
      </c>
      <c r="KB96" s="45">
        <f t="shared" si="896"/>
        <v>1</v>
      </c>
      <c r="KC96" s="45">
        <f t="shared" si="897"/>
        <v>2</v>
      </c>
      <c r="KD96" s="45">
        <f t="shared" si="898"/>
        <v>0</v>
      </c>
      <c r="KE96" s="46" cm="1">
        <f t="array" ref="KE96">ROUND(IFERROR(INDEX(ArchiveResults!$F$5:$IX$116,ComparisonData!A96,ComparisonData!$KE$1),0),5)</f>
        <v>0</v>
      </c>
      <c r="KF96" s="46" cm="1">
        <f t="array" ref="KF96">ROUND(IFERROR(INDEX(ArchiveResults!$F$5:$IX$116,ComparisonData!A96,ComparisonData!$KF$1),0),5)</f>
        <v>0</v>
      </c>
      <c r="KG96" s="46" cm="1">
        <f t="array" ref="KG96">ROUND(IFERROR(INDEX(ArchiveResults!$F$5:$IX$116,ComparisonData!A96,ComparisonData!$KG$1),0),5)</f>
        <v>0</v>
      </c>
      <c r="KH96" s="46" cm="1">
        <f t="array" ref="KH96">ROUND(IFERROR(INDEX(ArchiveResults!$F$5:$IX$116,ComparisonData!A96,ComparisonData!$KH$1),0),5)</f>
        <v>0</v>
      </c>
      <c r="KI96" s="45" cm="1">
        <f t="array" ref="KI96">IFERROR(INDEX(ArchiveResults!$F$5:$IX$116,ComparisonData!A96,ComparisonData!$KI$1),0)</f>
        <v>0</v>
      </c>
      <c r="KJ96" s="56">
        <v>91</v>
      </c>
      <c r="KK96" s="53" t="str">
        <f t="shared" si="684"/>
        <v>UCL, Special Collections, South Junction Reading Room</v>
      </c>
      <c r="KL96" s="59">
        <f t="shared" si="899"/>
        <v>0</v>
      </c>
      <c r="KM96" s="59">
        <f t="shared" si="900"/>
        <v>0</v>
      </c>
      <c r="KN96" s="59">
        <f t="shared" si="901"/>
        <v>0</v>
      </c>
      <c r="KO96" s="59">
        <f t="shared" si="902"/>
        <v>0</v>
      </c>
      <c r="KP96" s="59">
        <f t="shared" si="903"/>
        <v>0</v>
      </c>
      <c r="KQ96" s="58">
        <f t="shared" si="904"/>
        <v>0</v>
      </c>
      <c r="KR96" s="45">
        <f t="shared" si="905"/>
        <v>85</v>
      </c>
      <c r="KS96" s="45">
        <f t="shared" si="685"/>
        <v>2.859</v>
      </c>
      <c r="KT96" s="45">
        <f t="shared" si="906"/>
        <v>1</v>
      </c>
      <c r="KU96" s="45">
        <f t="shared" si="907"/>
        <v>2</v>
      </c>
      <c r="KV96" s="45">
        <f t="shared" si="908"/>
        <v>0</v>
      </c>
      <c r="KW96" s="46" cm="1">
        <f t="array" ref="KW96">ROUND(IFERROR(INDEX(ArchiveResults!$F$5:$IX$116,ComparisonData!A96,ComparisonData!$KW$1),0),5)</f>
        <v>0</v>
      </c>
      <c r="KX96" s="46" cm="1">
        <f t="array" ref="KX96">ROUND(IFERROR(INDEX(ArchiveResults!$F$5:$IX$116,ComparisonData!A96,ComparisonData!$KX$1),0),5)</f>
        <v>0</v>
      </c>
      <c r="KY96" s="46" cm="1">
        <f t="array" ref="KY96">ROUND(IFERROR(INDEX(ArchiveResults!$F$5:$IX$116,ComparisonData!A96,ComparisonData!$KY$1),0),5)</f>
        <v>0</v>
      </c>
      <c r="KZ96" s="46" cm="1">
        <f t="array" ref="KZ96">ROUND(IFERROR(INDEX(ArchiveResults!$F$5:$IX$116,ComparisonData!A96,ComparisonData!$KZ$1),0),5)</f>
        <v>0</v>
      </c>
      <c r="LA96" s="45" cm="1">
        <f t="array" ref="LA96">IFERROR(INDEX(ArchiveResults!$F$5:$IX$116,ComparisonData!A96,ComparisonData!$LA$1),0)</f>
        <v>0</v>
      </c>
      <c r="LB96" s="56">
        <v>91</v>
      </c>
      <c r="LC96" s="53" t="str">
        <f t="shared" si="686"/>
        <v>UCL, Special Collections, South Junction Reading Room</v>
      </c>
      <c r="LD96" s="59">
        <f t="shared" si="909"/>
        <v>0</v>
      </c>
      <c r="LE96" s="59">
        <f t="shared" si="910"/>
        <v>0</v>
      </c>
      <c r="LF96" s="59">
        <f t="shared" si="911"/>
        <v>0</v>
      </c>
      <c r="LG96" s="59">
        <f t="shared" si="912"/>
        <v>0</v>
      </c>
      <c r="LH96" s="59">
        <f t="shared" si="913"/>
        <v>0</v>
      </c>
      <c r="LI96" s="58">
        <f t="shared" si="914"/>
        <v>0</v>
      </c>
      <c r="LJ96" s="45">
        <f t="shared" si="915"/>
        <v>85</v>
      </c>
      <c r="LK96" s="45">
        <f t="shared" si="687"/>
        <v>2.859</v>
      </c>
      <c r="LL96" s="45">
        <f t="shared" si="916"/>
        <v>1</v>
      </c>
      <c r="LM96" s="45">
        <f t="shared" si="917"/>
        <v>2</v>
      </c>
      <c r="LN96" s="45">
        <f t="shared" si="918"/>
        <v>0</v>
      </c>
      <c r="LO96" s="46" cm="1">
        <f t="array" ref="LO96">ROUND(IFERROR(INDEX(ArchiveResults!$F$5:$IX$116,ComparisonData!A96,ComparisonData!$LO$1),0),5)</f>
        <v>0</v>
      </c>
      <c r="LP96" s="46" cm="1">
        <f t="array" ref="LP96">ROUND(IFERROR(INDEX(ArchiveResults!$F$5:$IX$116,ComparisonData!A96,ComparisonData!$LP$1),0),5)</f>
        <v>0</v>
      </c>
      <c r="LQ96" s="46" cm="1">
        <f t="array" ref="LQ96">ROUND(IFERROR(INDEX(ArchiveResults!$F$5:$IX$116,ComparisonData!A96,ComparisonData!$LQ$1),0),5)</f>
        <v>0</v>
      </c>
      <c r="LR96" s="46" cm="1">
        <f t="array" ref="LR96">ROUND(IFERROR(INDEX(ArchiveResults!$F$5:$IX$116,ComparisonData!A96,ComparisonData!$LR$1),0),5)</f>
        <v>0</v>
      </c>
      <c r="LS96" s="45" cm="1">
        <f t="array" ref="LS96">IFERROR(INDEX(ArchiveResults!$F$5:$IX$116,ComparisonData!A96,ComparisonData!$LS$1),0)</f>
        <v>0</v>
      </c>
      <c r="LT96" s="56">
        <v>91</v>
      </c>
      <c r="LU96" s="53" t="str">
        <f t="shared" si="688"/>
        <v>UCL, Special Collections, South Junction Reading Room</v>
      </c>
      <c r="LV96" s="59">
        <f t="shared" si="919"/>
        <v>0</v>
      </c>
      <c r="LW96" s="59">
        <f t="shared" si="920"/>
        <v>0</v>
      </c>
      <c r="LX96" s="59">
        <f t="shared" si="921"/>
        <v>0</v>
      </c>
      <c r="LY96" s="59">
        <f t="shared" si="922"/>
        <v>0</v>
      </c>
      <c r="LZ96" s="59">
        <f t="shared" si="923"/>
        <v>0</v>
      </c>
      <c r="MA96" s="58">
        <f t="shared" si="924"/>
        <v>0</v>
      </c>
      <c r="MB96" s="45">
        <f t="shared" si="925"/>
        <v>85</v>
      </c>
      <c r="MC96" s="45">
        <f t="shared" si="689"/>
        <v>2.859</v>
      </c>
      <c r="MD96" s="45">
        <f t="shared" si="926"/>
        <v>1</v>
      </c>
      <c r="ME96" s="45">
        <f t="shared" si="927"/>
        <v>2</v>
      </c>
      <c r="MF96" s="45">
        <f t="shared" si="928"/>
        <v>0</v>
      </c>
      <c r="MG96" s="46" cm="1">
        <f t="array" ref="MG96">ROUND(IFERROR(INDEX(ArchiveResults!$F$5:$IX$116,ComparisonData!A96,ComparisonData!$MG$1),0),5)</f>
        <v>0</v>
      </c>
      <c r="MH96" s="46" cm="1">
        <f t="array" ref="MH96">ROUND(IFERROR(INDEX(ArchiveResults!$F$5:$IX$116,ComparisonData!A96,ComparisonData!$MH$1),0),5)</f>
        <v>0</v>
      </c>
      <c r="MI96" s="46" cm="1">
        <f t="array" ref="MI96">ROUND(IFERROR(INDEX(ArchiveResults!$F$5:$IX$116,ComparisonData!A96,ComparisonData!$MI$1),0),5)</f>
        <v>0</v>
      </c>
      <c r="MJ96" s="46" cm="1">
        <f t="array" ref="MJ96">ROUND(IFERROR(INDEX(ArchiveResults!$F$5:$IX$116,ComparisonData!A96,ComparisonData!$MJ$1),0),5)</f>
        <v>0</v>
      </c>
      <c r="MK96" s="45" cm="1">
        <f t="array" ref="MK96">IFERROR(INDEX(ArchiveResults!$F$5:$IX$116,ComparisonData!A96,ComparisonData!$MK$1),0)</f>
        <v>0</v>
      </c>
      <c r="ML96" s="56">
        <v>91</v>
      </c>
      <c r="MM96" s="53" t="str">
        <f t="shared" si="690"/>
        <v>UCL, Special Collections, South Junction Reading Room</v>
      </c>
      <c r="MN96" s="59">
        <f t="shared" si="929"/>
        <v>0</v>
      </c>
      <c r="MO96" s="59">
        <f t="shared" si="930"/>
        <v>0</v>
      </c>
      <c r="MP96" s="59">
        <f t="shared" si="931"/>
        <v>0</v>
      </c>
      <c r="MQ96" s="59">
        <f t="shared" si="932"/>
        <v>0</v>
      </c>
      <c r="MR96" s="59">
        <f t="shared" si="933"/>
        <v>0</v>
      </c>
      <c r="MS96" s="58">
        <f t="shared" si="934"/>
        <v>0</v>
      </c>
      <c r="MT96" s="45">
        <f t="shared" si="935"/>
        <v>85</v>
      </c>
      <c r="MU96" s="45">
        <f t="shared" si="691"/>
        <v>2.859</v>
      </c>
      <c r="MV96" s="45">
        <f t="shared" si="936"/>
        <v>1</v>
      </c>
      <c r="MW96" s="45">
        <f t="shared" si="937"/>
        <v>2</v>
      </c>
      <c r="MX96" s="45">
        <f t="shared" si="938"/>
        <v>0</v>
      </c>
      <c r="MY96" s="46" cm="1">
        <f t="array" ref="MY96">ROUND(IFERROR(INDEX(ArchiveResults!$F$5:$IX$116,ComparisonData!A96,ComparisonData!$MY$1),0),5)</f>
        <v>0</v>
      </c>
      <c r="MZ96" s="46" cm="1">
        <f t="array" ref="MZ96">ROUND(IFERROR(INDEX(ArchiveResults!$F$5:$IX$116,ComparisonData!A96,ComparisonData!$MZ$1),0),5)</f>
        <v>0</v>
      </c>
      <c r="NA96" s="46" cm="1">
        <f t="array" ref="NA96">ROUND(IFERROR(INDEX(ArchiveResults!$F$5:$IX$116,ComparisonData!A96,ComparisonData!$NA$1),0),5)</f>
        <v>0</v>
      </c>
      <c r="NB96" s="46" cm="1">
        <f t="array" ref="NB96">ROUND(IFERROR(INDEX(ArchiveResults!$F$5:$IX$116,ComparisonData!A96,ComparisonData!$NB$1),0),5)</f>
        <v>0</v>
      </c>
      <c r="NC96" s="45" cm="1">
        <f t="array" ref="NC96">IFERROR(INDEX(ArchiveResults!$F$5:$IX$116,ComparisonData!A96,ComparisonData!$NC$1),0)</f>
        <v>0</v>
      </c>
      <c r="ND96" s="56">
        <v>91</v>
      </c>
      <c r="NE96" s="53" t="str">
        <f t="shared" si="692"/>
        <v>UCL, Special Collections, South Junction Reading Room</v>
      </c>
      <c r="NF96" s="59">
        <f t="shared" si="939"/>
        <v>0</v>
      </c>
      <c r="NG96" s="59">
        <f t="shared" si="940"/>
        <v>0</v>
      </c>
      <c r="NH96" s="59">
        <f t="shared" si="941"/>
        <v>0</v>
      </c>
      <c r="NI96" s="59">
        <f t="shared" si="942"/>
        <v>0</v>
      </c>
      <c r="NJ96" s="59">
        <f t="shared" si="943"/>
        <v>0</v>
      </c>
      <c r="NK96" s="58">
        <f t="shared" si="944"/>
        <v>0</v>
      </c>
      <c r="NL96" s="45">
        <f t="shared" si="945"/>
        <v>85</v>
      </c>
      <c r="NM96" s="45">
        <f t="shared" si="693"/>
        <v>2.859</v>
      </c>
      <c r="NN96" s="45">
        <f t="shared" si="946"/>
        <v>1</v>
      </c>
      <c r="NO96" s="45">
        <f t="shared" si="947"/>
        <v>2</v>
      </c>
      <c r="NP96" s="46" cm="1">
        <f t="array" ref="NP96">ROUND(IFERROR(INDEX(ArchiveResults!$F$5:$IX$116,ComparisonData!A96,ComparisonData!$NP$1),0),5)</f>
        <v>0</v>
      </c>
      <c r="NQ96" s="46" cm="1">
        <f t="array" ref="NQ96">ROUND(IFERROR(INDEX(ArchiveResults!$F$5:$IX$116,ComparisonData!A96,ComparisonData!$NQ$1),0),5)</f>
        <v>0</v>
      </c>
      <c r="NR96" s="46" cm="1">
        <f t="array" ref="NR96">ROUND(IFERROR(INDEX(ArchiveResults!$F$5:$IX$116,ComparisonData!A96,ComparisonData!$NR$1),0),5)</f>
        <v>0</v>
      </c>
      <c r="NS96" s="46" cm="1">
        <f t="array" ref="NS96">ROUND(IFERROR(INDEX(ArchiveResults!$F$5:$IX$116,ComparisonData!A96,ComparisonData!$NS$1),0),5)</f>
        <v>0</v>
      </c>
      <c r="NT96" s="45" cm="1">
        <f t="array" ref="NT96">IFERROR(INDEX(ArchiveResults!$F$5:$IX$116,ComparisonData!A96,ComparisonData!$NT$1),0)</f>
        <v>0</v>
      </c>
      <c r="NU96" s="56">
        <v>91</v>
      </c>
      <c r="NV96" s="53" t="str">
        <f t="shared" si="694"/>
        <v>UCL, Special Collections, South Junction Reading Room</v>
      </c>
      <c r="NW96" s="59">
        <f t="shared" si="948"/>
        <v>0</v>
      </c>
      <c r="NX96" s="59">
        <f t="shared" si="949"/>
        <v>0</v>
      </c>
      <c r="NY96" s="59">
        <f t="shared" si="950"/>
        <v>0</v>
      </c>
      <c r="NZ96" s="59">
        <f t="shared" si="951"/>
        <v>0</v>
      </c>
      <c r="OA96" s="59">
        <f t="shared" si="952"/>
        <v>0</v>
      </c>
      <c r="OB96" s="58">
        <f t="shared" si="953"/>
        <v>0</v>
      </c>
      <c r="OC96" s="45">
        <f t="shared" si="954"/>
        <v>85</v>
      </c>
      <c r="OD96" s="45">
        <f t="shared" si="695"/>
        <v>2.859</v>
      </c>
      <c r="OE96" s="45">
        <f t="shared" si="955"/>
        <v>1</v>
      </c>
      <c r="OF96" s="45">
        <f t="shared" si="956"/>
        <v>2</v>
      </c>
      <c r="OG96" s="46">
        <f t="shared" si="957"/>
        <v>0</v>
      </c>
      <c r="OH96" s="46" cm="1">
        <f t="array" ref="OH96">ROUND(IFERROR(INDEX(ArchiveResults!$F$5:$IX$116,ComparisonData!A96,ComparisonData!$OH$1),0),5)</f>
        <v>0</v>
      </c>
      <c r="OI96" s="46" cm="1">
        <f t="array" ref="OI96">ROUND(IFERROR(INDEX(ArchiveResults!$F$5:$IX$116,ComparisonData!A96,ComparisonData!$OI$1),0),5)</f>
        <v>0</v>
      </c>
      <c r="OJ96" s="46" cm="1">
        <f t="array" ref="OJ96">ROUND(IFERROR(INDEX(ArchiveResults!$F$5:$IX$116,ComparisonData!A96,ComparisonData!$OJ$1),0),5)</f>
        <v>0</v>
      </c>
      <c r="OK96" s="46" cm="1">
        <f t="array" ref="OK96">ROUND(IFERROR(INDEX(ArchiveResults!$F$5:$IX$116,ComparisonData!A96,ComparisonData!$OK$1),0),5)</f>
        <v>0</v>
      </c>
      <c r="OL96" s="45" cm="1">
        <f t="array" ref="OL96">IFERROR(INDEX(ArchiveResults!$F$5:$IX$116,ComparisonData!A96,ComparisonData!$OL$1),0)</f>
        <v>0</v>
      </c>
      <c r="OM96" s="56">
        <v>91</v>
      </c>
      <c r="ON96" s="53" t="str">
        <f t="shared" si="696"/>
        <v>UCL, Special Collections, South Junction Reading Room</v>
      </c>
      <c r="OO96" s="59">
        <f t="shared" si="958"/>
        <v>0</v>
      </c>
      <c r="OP96" s="59">
        <f t="shared" si="959"/>
        <v>0</v>
      </c>
      <c r="OQ96" s="59">
        <f t="shared" si="960"/>
        <v>0</v>
      </c>
      <c r="OR96" s="59">
        <f t="shared" si="961"/>
        <v>0</v>
      </c>
      <c r="OS96" s="59">
        <f t="shared" si="962"/>
        <v>0</v>
      </c>
      <c r="OT96" s="58">
        <f t="shared" si="963"/>
        <v>0</v>
      </c>
      <c r="OU96" s="45">
        <f t="shared" si="964"/>
        <v>85</v>
      </c>
      <c r="OV96" s="45">
        <f t="shared" si="697"/>
        <v>2.859</v>
      </c>
      <c r="OW96" s="45">
        <f t="shared" si="965"/>
        <v>1</v>
      </c>
      <c r="OX96" s="45">
        <f t="shared" si="966"/>
        <v>2</v>
      </c>
      <c r="OY96" s="45">
        <f t="shared" si="967"/>
        <v>0</v>
      </c>
      <c r="OZ96" s="46" cm="1">
        <f t="array" ref="OZ96">ROUND(IFERROR(INDEX(ArchiveResults!$F$5:$IX$116,ComparisonData!A96,ComparisonData!$OZ$1),0),5)</f>
        <v>0</v>
      </c>
      <c r="PA96" s="46" cm="1">
        <f t="array" ref="PA96">ROUND(IFERROR(INDEX(ArchiveResults!$F$5:$IX$116,ComparisonData!A96,ComparisonData!$PA$1),0),5)</f>
        <v>0</v>
      </c>
      <c r="PB96" s="46" cm="1">
        <f t="array" ref="PB96">ROUND(IFERROR(INDEX(ArchiveResults!$F$5:$IX$116,ComparisonData!A96,ComparisonData!$PB$1),0),5)</f>
        <v>0</v>
      </c>
      <c r="PC96" s="46" cm="1">
        <f t="array" ref="PC96">ROUND(IFERROR(INDEX(ArchiveResults!$F$5:$IX$116,ComparisonData!A96,ComparisonData!$PC$1),0),5)</f>
        <v>0</v>
      </c>
      <c r="PD96" s="45" cm="1">
        <f t="array" ref="PD96">IFERROR(INDEX(ArchiveResults!$F$5:$IX$116,ComparisonData!A96,ComparisonData!$PD$1),0)</f>
        <v>0</v>
      </c>
      <c r="PE96" s="56">
        <v>91</v>
      </c>
      <c r="PF96" s="53" t="str">
        <f t="shared" si="698"/>
        <v>UCL, Special Collections, South Junction Reading Room</v>
      </c>
      <c r="PG96" s="59">
        <f t="shared" si="968"/>
        <v>0</v>
      </c>
      <c r="PH96" s="59">
        <f t="shared" si="969"/>
        <v>0</v>
      </c>
      <c r="PI96" s="59">
        <f t="shared" si="970"/>
        <v>0</v>
      </c>
      <c r="PJ96" s="59">
        <f t="shared" si="971"/>
        <v>0</v>
      </c>
      <c r="PK96" s="59">
        <f t="shared" si="972"/>
        <v>0</v>
      </c>
      <c r="PL96" s="58">
        <f t="shared" si="973"/>
        <v>0</v>
      </c>
      <c r="PM96" s="45">
        <f t="shared" si="974"/>
        <v>85</v>
      </c>
      <c r="PN96" s="45">
        <f t="shared" si="699"/>
        <v>2.859</v>
      </c>
      <c r="PO96" s="45">
        <f t="shared" si="975"/>
        <v>1</v>
      </c>
      <c r="PP96" s="45">
        <f t="shared" si="976"/>
        <v>2</v>
      </c>
      <c r="PQ96" s="45">
        <f t="shared" si="977"/>
        <v>0</v>
      </c>
      <c r="PR96" s="46" cm="1">
        <f t="array" ref="PR96">ROUND(IFERROR(INDEX(ArchiveResults!$F$5:$IX$116,ComparisonData!A96,ComparisonData!$PR$1),0),5)</f>
        <v>0</v>
      </c>
      <c r="PS96" s="46" cm="1">
        <f t="array" ref="PS96">ROUND(IFERROR(INDEX(ArchiveResults!$F$5:$IX$116,ComparisonData!A96,ComparisonData!$PS$1),0),5)</f>
        <v>0</v>
      </c>
      <c r="PT96" s="46" cm="1">
        <f t="array" ref="PT96">ROUND(IFERROR(INDEX(ArchiveResults!$F$5:$IX$116,ComparisonData!A96,ComparisonData!$PT$1),0),5)</f>
        <v>0</v>
      </c>
      <c r="PU96" s="46" cm="1">
        <f t="array" ref="PU96">ROUND(IFERROR(INDEX(ArchiveResults!$F$5:$IX$116,ComparisonData!A96,ComparisonData!$PU$1),0),5)</f>
        <v>0</v>
      </c>
      <c r="PV96" s="45" cm="1">
        <f t="array" ref="PV96">IFERROR(INDEX(ArchiveResults!$F$5:$IX$116,ComparisonData!A96,ComparisonData!$PV$1),0)</f>
        <v>0</v>
      </c>
      <c r="PW96" s="56">
        <v>91</v>
      </c>
      <c r="PX96" s="53" t="str">
        <f t="shared" si="700"/>
        <v>UCL, Special Collections, South Junction Reading Room</v>
      </c>
      <c r="PY96" s="59">
        <f t="shared" si="978"/>
        <v>0</v>
      </c>
      <c r="PZ96" s="59">
        <f t="shared" si="979"/>
        <v>0</v>
      </c>
      <c r="QA96" s="59">
        <f t="shared" si="980"/>
        <v>0</v>
      </c>
      <c r="QB96" s="59">
        <f t="shared" si="981"/>
        <v>0</v>
      </c>
      <c r="QC96" s="59">
        <f t="shared" si="982"/>
        <v>0</v>
      </c>
      <c r="QD96" s="58">
        <f t="shared" si="983"/>
        <v>0</v>
      </c>
      <c r="QE96" s="45">
        <f t="shared" si="984"/>
        <v>85</v>
      </c>
      <c r="QF96" s="45">
        <f t="shared" si="701"/>
        <v>2.859</v>
      </c>
      <c r="QG96" s="45">
        <f t="shared" si="985"/>
        <v>1</v>
      </c>
      <c r="QH96" s="45">
        <f t="shared" si="986"/>
        <v>2</v>
      </c>
      <c r="QI96" s="45">
        <f t="shared" si="987"/>
        <v>0</v>
      </c>
      <c r="QJ96" s="46" cm="1">
        <f t="array" ref="QJ96">ROUND(IFERROR(INDEX(ArchiveResults!$F$5:$IX$116,ComparisonData!A96,ComparisonData!$QJ$1),0),5)</f>
        <v>0</v>
      </c>
      <c r="QK96" s="46" cm="1">
        <f t="array" ref="QK96">ROUND(IFERROR(INDEX(ArchiveResults!$F$5:$IX$116,ComparisonData!A96,ComparisonData!$QK$1),0),5)</f>
        <v>0</v>
      </c>
      <c r="QL96" s="46" cm="1">
        <f t="array" ref="QL96">ROUND(IFERROR(INDEX(ArchiveResults!$F$5:$IX$116,ComparisonData!A96,ComparisonData!$QL$1),0),5)</f>
        <v>0</v>
      </c>
      <c r="QM96" s="46" cm="1">
        <f t="array" ref="QM96">ROUND(IFERROR(INDEX(ArchiveResults!$F$5:$IX$116,ComparisonData!A96,ComparisonData!$QM$1),0),5)</f>
        <v>0</v>
      </c>
      <c r="QN96" s="45" cm="1">
        <f t="array" ref="QN96">IFERROR(INDEX(ArchiveResults!$F$5:$IX$116,ComparisonData!A96,ComparisonData!$QN$1),0)</f>
        <v>0</v>
      </c>
      <c r="QO96" s="56">
        <v>91</v>
      </c>
      <c r="QP96" s="53" t="str">
        <f t="shared" si="702"/>
        <v>UCL, Special Collections, South Junction Reading Room</v>
      </c>
      <c r="QQ96" s="59">
        <f t="shared" si="988"/>
        <v>0</v>
      </c>
      <c r="QR96" s="59">
        <f t="shared" si="989"/>
        <v>0</v>
      </c>
      <c r="QS96" s="59">
        <f t="shared" si="990"/>
        <v>0</v>
      </c>
      <c r="QT96" s="59">
        <f t="shared" si="991"/>
        <v>0</v>
      </c>
      <c r="QU96" s="59">
        <f t="shared" si="992"/>
        <v>0</v>
      </c>
      <c r="QV96" s="58">
        <f t="shared" si="993"/>
        <v>0</v>
      </c>
      <c r="QW96" s="45">
        <f t="shared" si="994"/>
        <v>85</v>
      </c>
      <c r="QX96" s="45">
        <f t="shared" si="703"/>
        <v>2.859</v>
      </c>
      <c r="QY96" s="45">
        <f t="shared" si="995"/>
        <v>1</v>
      </c>
      <c r="QZ96" s="45">
        <f t="shared" si="996"/>
        <v>2</v>
      </c>
      <c r="RA96" s="45">
        <f t="shared" si="997"/>
        <v>0</v>
      </c>
      <c r="RB96" s="46" cm="1">
        <f t="array" ref="RB96">ROUND(IFERROR(INDEX(ArchiveResults!$F$5:$IX$116,ComparisonData!A96,ComparisonData!$RB$1),0),5)</f>
        <v>0</v>
      </c>
      <c r="RC96" s="46" cm="1">
        <f t="array" ref="RC96">ROUND(IFERROR(INDEX(ArchiveResults!$F$5:$IX$116,ComparisonData!A96,ComparisonData!$RC$1),0),5)</f>
        <v>0</v>
      </c>
      <c r="RD96" s="46" cm="1">
        <f t="array" ref="RD96">ROUND(IFERROR(INDEX(ArchiveResults!$F$5:$IX$116,ComparisonData!A96,ComparisonData!$RD$1),0),5)</f>
        <v>0</v>
      </c>
      <c r="RE96" s="46" cm="1">
        <f t="array" ref="RE96">ROUND(IFERROR(INDEX(ArchiveResults!$F$5:$IX$116,ComparisonData!A96,ComparisonData!$RE$1),0),5)</f>
        <v>0</v>
      </c>
      <c r="RF96" s="45" cm="1">
        <f t="array" ref="RF96">IFERROR(INDEX(ArchiveResults!$F$5:$IX$116,ComparisonData!A96,ComparisonData!$RF$1),0)</f>
        <v>0</v>
      </c>
      <c r="RG96" s="56">
        <v>91</v>
      </c>
      <c r="RH96" s="53" t="str">
        <f t="shared" si="704"/>
        <v>UCL, Special Collections, South Junction Reading Room</v>
      </c>
      <c r="RI96" s="59">
        <f t="shared" si="998"/>
        <v>0</v>
      </c>
      <c r="RJ96" s="59">
        <f t="shared" si="999"/>
        <v>0</v>
      </c>
      <c r="RK96" s="59">
        <f t="shared" si="1000"/>
        <v>0</v>
      </c>
      <c r="RL96" s="59">
        <f t="shared" si="1001"/>
        <v>0</v>
      </c>
      <c r="RM96" s="59">
        <f t="shared" si="1002"/>
        <v>0</v>
      </c>
      <c r="RN96" s="58">
        <f t="shared" si="1003"/>
        <v>0</v>
      </c>
      <c r="RO96" s="45">
        <f t="shared" si="1004"/>
        <v>85</v>
      </c>
      <c r="RP96" s="45">
        <f t="shared" si="705"/>
        <v>2.859</v>
      </c>
      <c r="RQ96" s="45">
        <f t="shared" si="1005"/>
        <v>1</v>
      </c>
      <c r="RR96" s="45">
        <f t="shared" si="1006"/>
        <v>2</v>
      </c>
      <c r="RS96" s="45">
        <f t="shared" si="1007"/>
        <v>0</v>
      </c>
      <c r="RT96" s="46" cm="1">
        <f t="array" ref="RT96">ROUND(IFERROR(INDEX(ArchiveResults!$F$5:$IX$116,ComparisonData!A96,ComparisonData!$RT$1),0),5)</f>
        <v>0</v>
      </c>
      <c r="RU96" s="46" cm="1">
        <f t="array" ref="RU96">ROUND(IFERROR(INDEX(ArchiveResults!$F$5:$IX$116,ComparisonData!A96,ComparisonData!$RU$1),0),5)</f>
        <v>0</v>
      </c>
      <c r="RV96" s="46" cm="1">
        <f t="array" ref="RV96">ROUND(IFERROR(INDEX(ArchiveResults!$F$5:$IX$116,ComparisonData!A96,ComparisonData!$RV$1),0),5)</f>
        <v>0</v>
      </c>
      <c r="RW96" s="46" cm="1">
        <f t="array" ref="RW96">ROUND(IFERROR(INDEX(ArchiveResults!$F$5:$IX$116,ComparisonData!A96,ComparisonData!$RW$1),0),5)</f>
        <v>0</v>
      </c>
      <c r="RX96" s="45" cm="1">
        <f t="array" ref="RX96">IFERROR(INDEX(ArchiveResults!$F$5:$IX$116,ComparisonData!A96,ComparisonData!$RX$1),0)</f>
        <v>0</v>
      </c>
      <c r="RY96" s="56">
        <v>91</v>
      </c>
      <c r="RZ96" s="53" t="str">
        <f t="shared" si="706"/>
        <v>UCL, Special Collections, South Junction Reading Room</v>
      </c>
      <c r="SA96" s="59">
        <f t="shared" si="1008"/>
        <v>0</v>
      </c>
      <c r="SB96" s="59">
        <f t="shared" si="1009"/>
        <v>0</v>
      </c>
      <c r="SC96" s="59">
        <f t="shared" si="1010"/>
        <v>0</v>
      </c>
      <c r="SD96" s="59">
        <f t="shared" si="1011"/>
        <v>0</v>
      </c>
      <c r="SE96" s="59">
        <f t="shared" si="1012"/>
        <v>0</v>
      </c>
      <c r="SF96" s="58">
        <f t="shared" si="1013"/>
        <v>0</v>
      </c>
      <c r="SG96" s="45">
        <f t="shared" si="1014"/>
        <v>85</v>
      </c>
      <c r="SH96" s="45">
        <f t="shared" si="707"/>
        <v>2.859</v>
      </c>
      <c r="SI96" s="45">
        <f t="shared" si="1015"/>
        <v>1</v>
      </c>
      <c r="SJ96" s="45">
        <f t="shared" si="1016"/>
        <v>2</v>
      </c>
      <c r="SK96" s="45">
        <f t="shared" si="1017"/>
        <v>0</v>
      </c>
      <c r="SL96" s="46" cm="1">
        <f t="array" ref="SL96">ROUND(IFERROR(INDEX(ArchiveResults!$F$5:$IX$116,ComparisonData!A96,ComparisonData!$SL$1),0),5)</f>
        <v>0</v>
      </c>
      <c r="SM96" s="46" cm="1">
        <f t="array" ref="SM96">ROUND(IFERROR(INDEX(ArchiveResults!$F$5:$IX$116,ComparisonData!A96,ComparisonData!$SM$1),0),5)</f>
        <v>0</v>
      </c>
      <c r="SN96" s="46" cm="1">
        <f t="array" ref="SN96">ROUND(IFERROR(INDEX(ArchiveResults!$F$5:$IX$116,ComparisonData!A96,ComparisonData!$SN$1),0),5)</f>
        <v>0</v>
      </c>
      <c r="SO96" s="46" cm="1">
        <f t="array" ref="SO96">ROUND(IFERROR(INDEX(ArchiveResults!$F$5:$IX$116,ComparisonData!A96,ComparisonData!$SO$1),0),5)</f>
        <v>0</v>
      </c>
      <c r="SP96" s="45" cm="1">
        <f t="array" ref="SP96">IFERROR(INDEX(ArchiveResults!$F$5:$IX$116,ComparisonData!A96,ComparisonData!$SP$1),0)</f>
        <v>0</v>
      </c>
      <c r="SQ96" s="56">
        <v>91</v>
      </c>
      <c r="SR96" s="53" t="str">
        <f t="shared" si="708"/>
        <v>UCL, Special Collections, South Junction Reading Room</v>
      </c>
      <c r="SS96" s="59">
        <f t="shared" si="1018"/>
        <v>0</v>
      </c>
      <c r="ST96" s="59">
        <f t="shared" si="1019"/>
        <v>0</v>
      </c>
      <c r="SU96" s="59">
        <f t="shared" si="1020"/>
        <v>0</v>
      </c>
      <c r="SV96" s="59">
        <f t="shared" si="1021"/>
        <v>0</v>
      </c>
      <c r="SW96" s="59">
        <f t="shared" si="1022"/>
        <v>0</v>
      </c>
      <c r="SX96" s="58">
        <f t="shared" si="1023"/>
        <v>0</v>
      </c>
      <c r="SY96" s="45">
        <f t="shared" si="1024"/>
        <v>85</v>
      </c>
      <c r="SZ96" s="45">
        <f t="shared" si="709"/>
        <v>2.859</v>
      </c>
      <c r="TA96" s="45">
        <f t="shared" si="1025"/>
        <v>1</v>
      </c>
      <c r="TB96" s="45">
        <f t="shared" si="1026"/>
        <v>2</v>
      </c>
      <c r="TC96" s="45">
        <f t="shared" si="1027"/>
        <v>0</v>
      </c>
      <c r="TD96" s="46" cm="1">
        <f t="array" ref="TD96">ROUND(IFERROR(INDEX(ArchiveResults!$F$5:$IX$116,ComparisonData!A96,ComparisonData!$TD$1),0),5)</f>
        <v>0</v>
      </c>
      <c r="TE96" s="46" cm="1">
        <f t="array" ref="TE96">ROUND(IFERROR(INDEX(ArchiveResults!$F$5:$IX$116,ComparisonData!A96,ComparisonData!$TE$1),0),5)</f>
        <v>0</v>
      </c>
      <c r="TF96" s="46" cm="1">
        <f t="array" ref="TF96">ROUND(IFERROR(INDEX(ArchiveResults!$F$5:$IX$116,ComparisonData!A96,ComparisonData!$TF$1),0),5)</f>
        <v>0</v>
      </c>
      <c r="TG96" s="46" cm="1">
        <f t="array" ref="TG96">ROUND(IFERROR(INDEX(ArchiveResults!$F$5:$IX$116,ComparisonData!A96,ComparisonData!$TG$1),0),5)</f>
        <v>0</v>
      </c>
      <c r="TH96" s="45" cm="1">
        <f t="array" ref="TH96">IFERROR(INDEX(ArchiveResults!$F$5:$IX$116,ComparisonData!A96,ComparisonData!$TH$1),0)</f>
        <v>0</v>
      </c>
      <c r="TI96" s="56">
        <v>91</v>
      </c>
      <c r="TJ96" s="53" t="str">
        <f t="shared" si="710"/>
        <v>UCL, Special Collections, South Junction Reading Room</v>
      </c>
      <c r="TK96" s="59">
        <f t="shared" si="1028"/>
        <v>0</v>
      </c>
      <c r="TL96" s="59">
        <f t="shared" si="1029"/>
        <v>0</v>
      </c>
      <c r="TM96" s="59">
        <f t="shared" si="1030"/>
        <v>0</v>
      </c>
      <c r="TN96" s="59">
        <f t="shared" si="1031"/>
        <v>0</v>
      </c>
      <c r="TO96" s="59">
        <f t="shared" si="1032"/>
        <v>0</v>
      </c>
      <c r="TP96" s="58">
        <f t="shared" si="1033"/>
        <v>0</v>
      </c>
      <c r="TQ96" s="45">
        <f t="shared" si="1034"/>
        <v>85</v>
      </c>
      <c r="TR96" s="45">
        <f t="shared" si="711"/>
        <v>2.859</v>
      </c>
      <c r="TS96" s="45">
        <f t="shared" si="1035"/>
        <v>1</v>
      </c>
      <c r="TT96" s="45">
        <f t="shared" si="1036"/>
        <v>2</v>
      </c>
      <c r="TU96" s="45">
        <f t="shared" si="1037"/>
        <v>0</v>
      </c>
      <c r="TV96" s="46" cm="1">
        <f t="array" ref="TV96">ROUND(IFERROR(INDEX(ArchiveResults!$F$5:$IX$116,ComparisonData!A96,ComparisonData!$TV$1),0),5)</f>
        <v>0</v>
      </c>
      <c r="TW96" s="46" cm="1">
        <f t="array" ref="TW96">ROUND(IFERROR(INDEX(ArchiveResults!$F$5:$IX$116,ComparisonData!A96,ComparisonData!$TW$1),0),5)</f>
        <v>0</v>
      </c>
      <c r="TX96" s="46" cm="1">
        <f t="array" ref="TX96">ROUND(IFERROR(INDEX(ArchiveResults!$F$5:$IX$116,ComparisonData!A96,ComparisonData!$TX$1),0),5)</f>
        <v>0</v>
      </c>
      <c r="TY96" s="46" cm="1">
        <f t="array" ref="TY96">ROUND(IFERROR(INDEX(ArchiveResults!$F$5:$IX$116,ComparisonData!A96,ComparisonData!$TY$1),0),5)</f>
        <v>0</v>
      </c>
      <c r="TZ96" s="45" cm="1">
        <f t="array" ref="TZ96">IFERROR(INDEX(ArchiveResults!$F$5:$IX$116,ComparisonData!A96,ComparisonData!$TZ$1),0)</f>
        <v>0</v>
      </c>
      <c r="UA96" s="56">
        <v>91</v>
      </c>
      <c r="UB96" s="53" t="str">
        <f t="shared" si="712"/>
        <v>UCL, Special Collections, South Junction Reading Room</v>
      </c>
      <c r="UC96" s="60">
        <f t="shared" si="1038"/>
        <v>0</v>
      </c>
      <c r="UD96" s="60">
        <f t="shared" si="1039"/>
        <v>0</v>
      </c>
      <c r="UE96" s="60">
        <f t="shared" si="1040"/>
        <v>0</v>
      </c>
      <c r="UF96" s="60">
        <f t="shared" si="1041"/>
        <v>0</v>
      </c>
      <c r="UG96" s="60">
        <f t="shared" si="1042"/>
        <v>0</v>
      </c>
      <c r="UH96" s="58">
        <f t="shared" si="1043"/>
        <v>0</v>
      </c>
      <c r="UI96" s="46">
        <f t="shared" si="1044"/>
        <v>85</v>
      </c>
      <c r="UJ96" s="46">
        <f t="shared" si="713"/>
        <v>2.859</v>
      </c>
      <c r="UK96" s="46">
        <f t="shared" si="1045"/>
        <v>1</v>
      </c>
      <c r="UL96" s="46">
        <f t="shared" si="1046"/>
        <v>2</v>
      </c>
      <c r="UM96" s="46" cm="1">
        <f t="array" ref="UM96">ROUND(IFERROR(INDEX(ArchiveResults!$F$5:$IX$116,ComparisonData!A96,ComparisonData!$UM$1),0),5)</f>
        <v>0</v>
      </c>
      <c r="UN96" s="56">
        <v>91</v>
      </c>
      <c r="UO96" s="53" t="str">
        <f t="shared" si="714"/>
        <v>UCL, Special Collections, South Junction Reading Room</v>
      </c>
      <c r="UP96" s="46">
        <f t="shared" si="1047"/>
        <v>0</v>
      </c>
      <c r="UQ96" s="76">
        <f t="shared" si="1048"/>
        <v>0</v>
      </c>
      <c r="UR96" s="46">
        <f t="shared" si="1049"/>
        <v>85</v>
      </c>
      <c r="US96" s="46">
        <f t="shared" si="715"/>
        <v>2.859</v>
      </c>
      <c r="UT96" s="46">
        <f t="shared" si="1050"/>
        <v>1</v>
      </c>
      <c r="UU96" s="46">
        <f t="shared" si="1051"/>
        <v>2</v>
      </c>
      <c r="UV96" s="46">
        <f t="shared" si="1052"/>
        <v>0</v>
      </c>
      <c r="UW96" s="46" cm="1">
        <f t="array" ref="UW96">ROUND(IFERROR(INDEX(ArchiveResults!$F$5:$IX$116,ComparisonData!A96,ComparisonData!$UW$1),0),5)</f>
        <v>0</v>
      </c>
      <c r="UX96" s="46" cm="1">
        <f t="array" ref="UX96">ROUND(IFERROR(INDEX(ArchiveResults!$F$5:$IX$116,ComparisonData!A96,ComparisonData!$UX$1),0),5)</f>
        <v>0</v>
      </c>
      <c r="UY96" s="46" cm="1">
        <f t="array" ref="UY96">ROUND(IFERROR(INDEX(ArchiveResults!$F$5:$IX$116,ComparisonData!A96,ComparisonData!$UY$1),0),5)</f>
        <v>0</v>
      </c>
      <c r="UZ96" s="46" cm="1">
        <f t="array" ref="UZ96">ROUND(IFERROR(INDEX(ArchiveResults!$F$5:$IX$116,ComparisonData!A96,ComparisonData!$UZ$1),0),5)</f>
        <v>0</v>
      </c>
      <c r="VA96" s="46" cm="1">
        <f t="array" ref="VA96">ROUND(IFERROR(INDEX(ArchiveResults!$F$5:$IX$116,ComparisonData!A96,ComparisonData!$VA$1),0),5)</f>
        <v>0</v>
      </c>
      <c r="VB96" s="56">
        <v>91</v>
      </c>
      <c r="VC96" s="53" t="str">
        <f t="shared" si="716"/>
        <v>UCL, Special Collections, South Junction Reading Room</v>
      </c>
      <c r="VD96" s="60">
        <f t="shared" si="1053"/>
        <v>0</v>
      </c>
      <c r="VE96" s="60">
        <f t="shared" si="1054"/>
        <v>0</v>
      </c>
      <c r="VF96" s="60">
        <f t="shared" si="1055"/>
        <v>0</v>
      </c>
      <c r="VG96" s="60">
        <f t="shared" si="1056"/>
        <v>0</v>
      </c>
      <c r="VH96" s="60">
        <f t="shared" si="1057"/>
        <v>0</v>
      </c>
      <c r="VI96" s="76">
        <f t="shared" si="1058"/>
        <v>0</v>
      </c>
      <c r="VJ96" s="46">
        <f t="shared" si="1059"/>
        <v>85</v>
      </c>
      <c r="VK96" s="46">
        <f t="shared" si="717"/>
        <v>2.859</v>
      </c>
      <c r="VL96" s="46">
        <f t="shared" si="1060"/>
        <v>1</v>
      </c>
      <c r="VM96" s="46">
        <f t="shared" si="1061"/>
        <v>2</v>
      </c>
      <c r="VN96" s="46" cm="1">
        <f t="array" ref="VN96">ROUND(IFERROR(INDEX(ArchiveResults!$F$5:$IX$116,ComparisonData!A96,ComparisonData!$VN$1),0),5)</f>
        <v>0</v>
      </c>
      <c r="VO96" s="46" cm="1">
        <f t="array" ref="VO96">ROUND(IFERROR(INDEX(ArchiveResults!$F$5:$IX$116,ComparisonData!A96,ComparisonData!$VO$1),0),5)</f>
        <v>0</v>
      </c>
      <c r="VP96" s="46" cm="1">
        <f t="array" ref="VP96">ROUND(IFERROR(INDEX(ArchiveResults!$F$5:$IX$116,ComparisonData!A96,ComparisonData!$VP$1),0),5)</f>
        <v>0</v>
      </c>
      <c r="VQ96" s="46" cm="1">
        <f t="array" ref="VQ96">ROUND(IFERROR(INDEX(ArchiveResults!$F$5:$IX$116,ComparisonData!A96,ComparisonData!$VQ$1),0),5)</f>
        <v>0</v>
      </c>
      <c r="VR96" s="56">
        <v>91</v>
      </c>
      <c r="VS96" s="53" t="str">
        <f t="shared" si="718"/>
        <v>UCL, Special Collections, South Junction Reading Room</v>
      </c>
      <c r="VT96" s="60">
        <f t="shared" si="1062"/>
        <v>0</v>
      </c>
      <c r="VU96" s="60">
        <f t="shared" si="1063"/>
        <v>0</v>
      </c>
      <c r="VV96" s="60">
        <f t="shared" si="1064"/>
        <v>0</v>
      </c>
      <c r="VW96" s="60">
        <f t="shared" si="1065"/>
        <v>0</v>
      </c>
      <c r="VX96" s="76">
        <f t="shared" si="1066"/>
        <v>0</v>
      </c>
      <c r="VY96" s="46">
        <f t="shared" si="1067"/>
        <v>85</v>
      </c>
      <c r="VZ96" s="46">
        <f t="shared" si="719"/>
        <v>2.859</v>
      </c>
      <c r="WA96" s="46">
        <f t="shared" si="1068"/>
        <v>1</v>
      </c>
      <c r="WB96" s="46">
        <f t="shared" si="1069"/>
        <v>2</v>
      </c>
      <c r="WC96" s="46" cm="1">
        <f t="array" ref="WC96">ROUND(IFERROR(INDEX(ArchiveResults!$F$5:$IX$116,ComparisonData!A96,ComparisonData!$WC$1),0),5)</f>
        <v>0</v>
      </c>
      <c r="WD96" s="56">
        <v>91</v>
      </c>
      <c r="WE96" s="53" t="str">
        <f t="shared" si="720"/>
        <v>UCL, Special Collections, South Junction Reading Room</v>
      </c>
      <c r="WF96" s="46">
        <f t="shared" si="1070"/>
        <v>0</v>
      </c>
      <c r="WG96" s="76">
        <f t="shared" si="1071"/>
        <v>0</v>
      </c>
      <c r="WH96" s="46">
        <f t="shared" si="1072"/>
        <v>85</v>
      </c>
      <c r="WI96" s="46">
        <f t="shared" si="721"/>
        <v>2.859</v>
      </c>
      <c r="WJ96" s="46">
        <f t="shared" si="1073"/>
        <v>1</v>
      </c>
      <c r="WK96" s="46">
        <f t="shared" si="1074"/>
        <v>2</v>
      </c>
      <c r="WL96" s="46" cm="1">
        <f t="array" ref="WL96">ROUND(IFERROR(INDEX(ArchiveResults!$F$5:$IX$116,ComparisonData!A96,ComparisonData!$WL$1),0),5)</f>
        <v>0</v>
      </c>
      <c r="WM96" s="46" cm="1">
        <f t="array" ref="WM96">IFERROR(INDEX(ArchiveResults!$F$5:$IX$116,ComparisonData!A96,ComparisonData!$WM$1),0)</f>
        <v>0</v>
      </c>
      <c r="WN96" s="56">
        <v>91</v>
      </c>
      <c r="WO96" s="53" t="str">
        <f t="shared" si="722"/>
        <v>UCL, Special Collections, South Junction Reading Room</v>
      </c>
      <c r="WP96" s="60">
        <f t="shared" si="1075"/>
        <v>0</v>
      </c>
      <c r="WQ96" s="60">
        <f t="shared" si="1076"/>
        <v>0</v>
      </c>
      <c r="WR96" s="76">
        <f t="shared" si="1077"/>
        <v>0</v>
      </c>
      <c r="WS96" s="46">
        <f t="shared" si="1078"/>
        <v>85</v>
      </c>
      <c r="WT96" s="46">
        <f t="shared" si="723"/>
        <v>2.859</v>
      </c>
      <c r="WU96" s="46">
        <f t="shared" si="1079"/>
        <v>1</v>
      </c>
      <c r="WV96" s="46">
        <f t="shared" si="1080"/>
        <v>2</v>
      </c>
      <c r="WW96" s="46" cm="1">
        <f t="array" ref="WW96">ROUND(VALUE(IFERROR(INDEX(ArchiveResults!$F$5:$IX$116,ComparisonData!A96,ComparisonData!$WW$1),0)),5)</f>
        <v>0</v>
      </c>
      <c r="WX96" s="46" cm="1">
        <f t="array" ref="WX96">ROUND(IFERROR(INDEX(ArchiveResults!$F$5:$IX$116,ComparisonData!A96,ComparisonData!$WX$1),0),5)</f>
        <v>0</v>
      </c>
      <c r="WY96" s="56">
        <v>91</v>
      </c>
      <c r="WZ96" s="53" t="str">
        <f t="shared" si="724"/>
        <v>UCL, Special Collections, South Junction Reading Room</v>
      </c>
      <c r="XA96" s="60">
        <f t="shared" si="725"/>
        <v>0</v>
      </c>
      <c r="XB96" s="60">
        <f t="shared" si="726"/>
        <v>0</v>
      </c>
      <c r="XC96" s="76">
        <f t="shared" si="1081"/>
        <v>0</v>
      </c>
      <c r="XD96" s="46">
        <f t="shared" si="1082"/>
        <v>85</v>
      </c>
      <c r="XE96" s="46">
        <f t="shared" si="727"/>
        <v>2.859</v>
      </c>
      <c r="XF96" s="46">
        <f t="shared" si="1083"/>
        <v>1</v>
      </c>
      <c r="XG96" s="46">
        <f t="shared" si="1084"/>
        <v>2</v>
      </c>
      <c r="XH96" s="46" cm="1">
        <f t="array" ref="XH96">ROUND(VALUE(IFERROR(INDEX(ArchiveResults!$F$5:$IX$116,ComparisonData!A96,ComparisonData!$XH$1),0)),5)</f>
        <v>0</v>
      </c>
      <c r="XI96" s="46" cm="1">
        <f t="array" ref="XI96">ROUND(VALUE(IFERROR(INDEX(ArchiveResults!$F$5:$IX$116,ComparisonData!A96,ComparisonData!$XI$1),0)),5)</f>
        <v>0</v>
      </c>
      <c r="XJ96" s="56">
        <v>91</v>
      </c>
      <c r="XK96" s="53" t="str">
        <f t="shared" si="728"/>
        <v>UCL, Special Collections, South Junction Reading Room</v>
      </c>
      <c r="XL96" s="60">
        <f t="shared" si="1085"/>
        <v>0</v>
      </c>
      <c r="XM96" s="60">
        <f t="shared" si="1086"/>
        <v>0</v>
      </c>
      <c r="XN96" s="76">
        <f t="shared" si="1087"/>
        <v>0</v>
      </c>
      <c r="XO96" s="46">
        <f t="shared" si="1088"/>
        <v>85</v>
      </c>
      <c r="XP96" s="46">
        <f t="shared" si="729"/>
        <v>2.859</v>
      </c>
      <c r="XQ96" s="46">
        <f t="shared" si="1089"/>
        <v>1</v>
      </c>
      <c r="XR96" s="46">
        <f t="shared" si="1090"/>
        <v>2</v>
      </c>
      <c r="XS96" s="46" cm="1">
        <f t="array" ref="XS96">ROUND(VALUE(IFERROR(INDEX(ArchiveResults!$F$5:$IX$116,ComparisonData!A96,ComparisonData!$XS$1),0)),5)</f>
        <v>0</v>
      </c>
      <c r="XT96" s="46" cm="1">
        <f t="array" ref="XT96">ROUND(VALUE(IFERROR(INDEX(ArchiveResults!$F$5:$IX$116,ComparisonData!A96,ComparisonData!$XT$1),0)),5)</f>
        <v>0</v>
      </c>
      <c r="XU96" s="56">
        <v>91</v>
      </c>
      <c r="XV96" s="53" t="str">
        <f t="shared" si="730"/>
        <v>UCL, Special Collections, South Junction Reading Room</v>
      </c>
      <c r="XW96" s="60">
        <f t="shared" si="1091"/>
        <v>0</v>
      </c>
      <c r="XX96" s="60">
        <f t="shared" si="1092"/>
        <v>0</v>
      </c>
      <c r="XY96" s="76">
        <f t="shared" si="1093"/>
        <v>0</v>
      </c>
      <c r="XZ96" s="46">
        <f t="shared" si="1094"/>
        <v>85</v>
      </c>
      <c r="YA96" s="46">
        <f t="shared" si="731"/>
        <v>2.859</v>
      </c>
      <c r="YB96" s="46">
        <f t="shared" si="1095"/>
        <v>1</v>
      </c>
      <c r="YC96" s="46">
        <f t="shared" si="1096"/>
        <v>2</v>
      </c>
      <c r="YD96" s="46" cm="1">
        <f t="array" ref="YD96">ROUND(VALUE(IFERROR(INDEX(ArchiveResults!$F$5:$IX$116,ComparisonData!A96,ComparisonData!$YD$1),0)),5)</f>
        <v>0</v>
      </c>
      <c r="YE96" s="46" cm="1">
        <f t="array" ref="YE96">ROUND(VALUE(IFERROR(INDEX(ArchiveResults!$F$5:$IX$116,ComparisonData!A96,ComparisonData!$YE$1),0)),5)</f>
        <v>0</v>
      </c>
      <c r="YF96" s="56">
        <v>91</v>
      </c>
      <c r="YG96" s="53" t="str">
        <f t="shared" si="732"/>
        <v>UCL, Special Collections, South Junction Reading Room</v>
      </c>
      <c r="YH96" s="60">
        <f t="shared" si="1097"/>
        <v>0</v>
      </c>
      <c r="YI96" s="60">
        <f t="shared" si="1098"/>
        <v>0</v>
      </c>
      <c r="YJ96" s="76">
        <f t="shared" si="1099"/>
        <v>0</v>
      </c>
      <c r="YK96" s="46">
        <f t="shared" si="1100"/>
        <v>85</v>
      </c>
      <c r="YL96" s="46">
        <f t="shared" si="733"/>
        <v>2.859</v>
      </c>
      <c r="YM96" s="46">
        <f t="shared" si="1101"/>
        <v>1</v>
      </c>
      <c r="YN96" s="46">
        <f t="shared" si="1102"/>
        <v>2</v>
      </c>
      <c r="YO96" s="46" cm="1">
        <f t="array" ref="YO96">ROUND(VALUE(IFERROR(INDEX(ArchiveResults!$F$5:$IX$116,ComparisonData!A96,ComparisonData!$YO$1),0)),5)</f>
        <v>0</v>
      </c>
      <c r="YP96" s="46" cm="1">
        <f t="array" ref="YP96">ROUND(VALUE(IFERROR(INDEX(ArchiveResults!$F$5:$IX$116,ComparisonData!A96,ComparisonData!$YP$1),0)),5)</f>
        <v>0</v>
      </c>
      <c r="YQ96" s="56">
        <v>91</v>
      </c>
      <c r="YR96" s="53" t="str">
        <f t="shared" si="734"/>
        <v>UCL, Special Collections, South Junction Reading Room</v>
      </c>
      <c r="YS96" s="60">
        <f t="shared" si="1103"/>
        <v>0</v>
      </c>
      <c r="YT96" s="60">
        <f t="shared" si="1104"/>
        <v>0</v>
      </c>
      <c r="YU96" s="76">
        <f t="shared" si="1105"/>
        <v>0</v>
      </c>
      <c r="YV96" s="46">
        <f t="shared" si="1106"/>
        <v>85</v>
      </c>
      <c r="YW96" s="46">
        <f t="shared" si="735"/>
        <v>2.859</v>
      </c>
      <c r="YX96" s="46">
        <f t="shared" si="1107"/>
        <v>1</v>
      </c>
      <c r="YY96" s="46">
        <f t="shared" si="1108"/>
        <v>2</v>
      </c>
      <c r="YZ96" s="46">
        <f t="shared" si="1109"/>
        <v>0</v>
      </c>
      <c r="ZA96" s="46" cm="1">
        <f t="array" ref="ZA96">ROUNDDOWN(VALUE(IFERROR(INDEX(ArchiveResults!$F$5:$IX$116,ComparisonData!A96,ComparisonData!$ZA$1),0)),5)</f>
        <v>0</v>
      </c>
      <c r="ZB96" s="46" cm="1">
        <f t="array" ref="ZB96">ROUNDDOWN(VALUE(IFERROR(INDEX(ArchiveResults!$F$5:$IX$116,ComparisonData!A96,ComparisonData!$ZB$1),0)),5)</f>
        <v>0</v>
      </c>
      <c r="ZC96" s="46" cm="1">
        <f t="array" ref="ZC96">ROUNDDOWN(VALUE(IFERROR(INDEX(ArchiveResults!$F$5:$IX$116,ComparisonData!A96,ComparisonData!$ZC$1),0)),5)</f>
        <v>0</v>
      </c>
      <c r="ZD96" s="46" cm="1">
        <f t="array" ref="ZD96">ROUNDDOWN(VALUE(IFERROR(INDEX(ArchiveResults!$F$5:$IX$116,ComparisonData!A96,ComparisonData!$ZD$1),0)),5)</f>
        <v>0</v>
      </c>
      <c r="ZE96" s="46" cm="1">
        <f t="array" ref="ZE96">ROUNDDOWN(VALUE(IFERROR(INDEX(ArchiveResults!$F$5:$IX$116,ComparisonData!A96,ComparisonData!$ZE$1),0)),5)</f>
        <v>0</v>
      </c>
      <c r="ZF96" s="56">
        <v>91</v>
      </c>
      <c r="ZG96" s="53" t="str">
        <f t="shared" si="736"/>
        <v>UCL, Special Collections, South Junction Reading Room</v>
      </c>
      <c r="ZH96" s="60">
        <f t="shared" si="1110"/>
        <v>0</v>
      </c>
      <c r="ZI96" s="60">
        <f t="shared" si="1111"/>
        <v>0</v>
      </c>
      <c r="ZJ96" s="60">
        <f t="shared" si="1112"/>
        <v>0</v>
      </c>
      <c r="ZK96" s="60">
        <f t="shared" si="1113"/>
        <v>0</v>
      </c>
      <c r="ZL96" s="60">
        <f t="shared" si="1114"/>
        <v>0</v>
      </c>
      <c r="ZM96" s="76">
        <f t="shared" si="1115"/>
        <v>0</v>
      </c>
      <c r="ZN96" s="46">
        <f t="shared" si="1116"/>
        <v>85</v>
      </c>
      <c r="ZO96" s="46">
        <f t="shared" si="737"/>
        <v>2.859</v>
      </c>
      <c r="ZP96" s="46">
        <f t="shared" si="1117"/>
        <v>1</v>
      </c>
      <c r="ZQ96" s="46">
        <f t="shared" si="1118"/>
        <v>2</v>
      </c>
      <c r="ZR96" s="46" cm="1">
        <f t="array" ref="ZR96">ROUND(VALUE(IFERROR(INDEX(ArchiveResults!$F$5:$IX$116,ComparisonData!A96,ComparisonData!$ZR$1),0)),5)</f>
        <v>0</v>
      </c>
      <c r="ZS96" s="56">
        <v>91</v>
      </c>
      <c r="ZT96" s="53" t="str">
        <f t="shared" si="738"/>
        <v>UCL, Special Collections, South Junction Reading Room</v>
      </c>
      <c r="ZU96" s="46">
        <f t="shared" si="1119"/>
        <v>0</v>
      </c>
      <c r="ZV96" s="76">
        <f t="shared" si="1120"/>
        <v>0</v>
      </c>
      <c r="ZW96" s="81" cm="1">
        <f t="array" ref="ZW96">ROUND((IFERROR(INDEX(ArchiveResults!$F$5:$IX$116,ComparisonData!A96,ComparisonData!$ZW$1),0)),5)</f>
        <v>0</v>
      </c>
      <c r="ZX96" s="81" cm="1">
        <f t="array" ref="ZX96">ROUND((IFERROR(INDEX(ArchiveResults!$F$5:$IX$116,ComparisonData!A96,ComparisonData!$ZX$1),0)),5)</f>
        <v>0</v>
      </c>
      <c r="ZY96" s="81" cm="1">
        <f t="array" ref="ZY96">ROUND((IFERROR(INDEX(ArchiveResults!$F$5:$IX$116,ComparisonData!A96,ComparisonData!$ZY$1),0)),5)</f>
        <v>0</v>
      </c>
      <c r="ZZ96" s="81" cm="1">
        <f t="array" ref="ZZ96">ROUND((IFERROR(INDEX(ArchiveResults!$F$5:$IX$116,ComparisonData!A96,ComparisonData!$ZZ$1),0)),5)</f>
        <v>0</v>
      </c>
      <c r="AAA96" s="81" cm="1">
        <f t="array" ref="AAA96">ROUND((IFERROR(INDEX(ArchiveResults!$F$5:$IX$116,ComparisonData!A96,ComparisonData!$AAA$1),0)),5)</f>
        <v>0</v>
      </c>
      <c r="AAB96" s="81" cm="1">
        <f t="array" ref="AAB96">ROUND((IFERROR(INDEX(ArchiveResults!$F$5:$IX$116,ComparisonData!A96,ComparisonData!$AAB$1),0)),5)</f>
        <v>0</v>
      </c>
      <c r="AAC96" s="81" cm="1">
        <f t="array" ref="AAC96">ROUND((IFERROR(INDEX(ArchiveResults!$F$5:$IX$116,ComparisonData!A96,ComparisonData!$AAC$1),0)),5)</f>
        <v>0</v>
      </c>
      <c r="AAD96" s="81" cm="1">
        <f t="array" ref="AAD96">ROUND((IFERROR(INDEX(ArchiveResults!$F$5:$IX$116,ComparisonData!A96,ComparisonData!$AAD$1),0)),5)</f>
        <v>0</v>
      </c>
      <c r="AAE96" s="81" cm="1">
        <f t="array" ref="AAE96">ROUND((IFERROR(INDEX(ArchiveResults!$F$5:$IX$116,ComparisonData!A96,ComparisonData!$AAE$1),0)),5)</f>
        <v>0</v>
      </c>
      <c r="AAF96" s="81" cm="1">
        <f t="array" ref="AAF96">ROUND((IFERROR(INDEX(ArchiveResults!$F$5:$IX$116,ComparisonData!A96,ComparisonData!$AAF$1),0)),5)</f>
        <v>0</v>
      </c>
      <c r="AAG96" s="46">
        <f t="shared" si="1121"/>
        <v>85</v>
      </c>
      <c r="AAH96" s="46">
        <f t="shared" si="739"/>
        <v>2.859</v>
      </c>
      <c r="AAI96" s="46">
        <f t="shared" si="1122"/>
        <v>1</v>
      </c>
      <c r="AAJ96" s="46">
        <f t="shared" si="1123"/>
        <v>2</v>
      </c>
      <c r="AAK96" s="46">
        <f t="shared" si="1124"/>
        <v>0</v>
      </c>
      <c r="AAL96" s="46">
        <f t="shared" si="1125"/>
        <v>0</v>
      </c>
      <c r="AAM96" s="46">
        <f t="shared" si="1126"/>
        <v>0</v>
      </c>
      <c r="AAN96" s="46">
        <f t="shared" si="1127"/>
        <v>0</v>
      </c>
      <c r="AAO96" s="46">
        <f t="shared" si="1128"/>
        <v>0</v>
      </c>
      <c r="AAP96" s="46">
        <f t="shared" si="1129"/>
        <v>0</v>
      </c>
      <c r="AAQ96" s="56">
        <v>91</v>
      </c>
      <c r="AAR96" s="53" t="str">
        <f t="shared" si="740"/>
        <v>UCL, Special Collections, South Junction Reading Room</v>
      </c>
      <c r="AAS96" s="60">
        <f t="shared" si="1130"/>
        <v>0</v>
      </c>
      <c r="AAT96" s="60">
        <f t="shared" si="1131"/>
        <v>0</v>
      </c>
      <c r="AAU96" s="60">
        <f t="shared" si="1132"/>
        <v>0</v>
      </c>
      <c r="AAV96" s="60">
        <f t="shared" si="1133"/>
        <v>0</v>
      </c>
      <c r="AAW96" s="60">
        <f t="shared" si="1134"/>
        <v>0</v>
      </c>
      <c r="AAX96" s="76">
        <f t="shared" si="1135"/>
        <v>0</v>
      </c>
      <c r="AAY96" s="46">
        <f t="shared" si="1136"/>
        <v>85</v>
      </c>
      <c r="AAZ96" s="46">
        <f t="shared" si="741"/>
        <v>2.859</v>
      </c>
      <c r="ABA96" s="46">
        <f t="shared" si="1137"/>
        <v>1</v>
      </c>
      <c r="ABB96" s="46">
        <f t="shared" si="1138"/>
        <v>2</v>
      </c>
      <c r="ABC96" s="46">
        <f t="shared" si="742"/>
        <v>0</v>
      </c>
      <c r="ABD96" s="46" cm="1">
        <f t="array" ref="ABD96">ROUND(VALUE(IFERROR(INDEX(ArchiveResults!$F$5:$IX$116,ComparisonData!A96,ComparisonData!$ABD$1),0)),5)</f>
        <v>0</v>
      </c>
      <c r="ABE96" s="46" cm="1">
        <f t="array" ref="ABE96">ROUND(VALUE(IFERROR(INDEX(ArchiveResults!$F$5:$IX$116,ComparisonData!A96,ComparisonData!$ABE$1),0)),5)</f>
        <v>0</v>
      </c>
      <c r="ABF96" s="46" cm="1">
        <f t="array" ref="ABF96">ROUND(VALUE(IFERROR(INDEX(ArchiveResults!$F$5:$IX$116,ComparisonData!A96,ComparisonData!$ABF$1),0)),5)</f>
        <v>0</v>
      </c>
      <c r="ABG96" s="46" cm="1">
        <f t="array" ref="ABG96">ROUND(VALUE(IFERROR(INDEX(ArchiveResults!$F$5:$IX$116,ComparisonData!A96,ComparisonData!$ABG$1),0)),5)</f>
        <v>0</v>
      </c>
      <c r="ABH96" s="46" cm="1">
        <f t="array" ref="ABH96">ROUND(VALUE(IFERROR(INDEX(ArchiveResults!$F$5:$IX$116,ComparisonData!A96,ComparisonData!$ABH$1),0)),5)</f>
        <v>0</v>
      </c>
      <c r="ABI96" s="56">
        <v>91</v>
      </c>
      <c r="ABJ96" s="53" t="str">
        <f t="shared" si="743"/>
        <v>UCL, Special Collections, South Junction Reading Room</v>
      </c>
      <c r="ABK96" s="60">
        <f t="shared" si="1139"/>
        <v>0</v>
      </c>
      <c r="ABL96" s="60">
        <f t="shared" si="1140"/>
        <v>0</v>
      </c>
      <c r="ABM96" s="60">
        <f t="shared" si="1141"/>
        <v>0</v>
      </c>
      <c r="ABN96" s="60">
        <f t="shared" si="1142"/>
        <v>0</v>
      </c>
      <c r="ABO96" s="60">
        <f t="shared" si="1143"/>
        <v>0</v>
      </c>
      <c r="ABP96" s="76">
        <f t="shared" si="1144"/>
        <v>0</v>
      </c>
      <c r="ABQ96" s="46">
        <f t="shared" si="1145"/>
        <v>85</v>
      </c>
      <c r="ABR96" s="46">
        <f t="shared" si="744"/>
        <v>2.859</v>
      </c>
      <c r="ABS96" s="46">
        <f t="shared" si="1146"/>
        <v>1</v>
      </c>
      <c r="ABT96" s="46">
        <f t="shared" si="1147"/>
        <v>2</v>
      </c>
      <c r="ABU96" s="46" cm="1">
        <f t="array" ref="ABU96">ROUND(VALUE(IFERROR(INDEX(ArchiveResults!$F$5:$IX$116,ComparisonData!A96,ComparisonData!$ABU$1),0)),5)</f>
        <v>0</v>
      </c>
      <c r="ABV96" s="46" cm="1">
        <f t="array" ref="ABV96">ROUND(VALUE(IFERROR(INDEX(ArchiveResults!$F$5:$IX$116,ComparisonData!A96,ComparisonData!$ABV$1),0)),5)</f>
        <v>0</v>
      </c>
      <c r="ABW96" s="46" cm="1">
        <f t="array" ref="ABW96">ROUND(VALUE(IFERROR(INDEX(ArchiveResults!$F$5:$IX$116,ComparisonData!A96,ComparisonData!$ABW$1),0)),5)</f>
        <v>0</v>
      </c>
      <c r="ABX96" s="46" cm="1">
        <f t="array" ref="ABX96">ROUND(VALUE(IFERROR(INDEX(ArchiveResults!$F$5:$IX$116,ComparisonData!A96,ComparisonData!$ABX$1),0)),5)</f>
        <v>0</v>
      </c>
      <c r="ABY96" s="46" cm="1">
        <f t="array" ref="ABY96">ROUND(VALUE(IFERROR(INDEX(ArchiveResults!$F$5:$IX$116,ComparisonData!A96,ComparisonData!$ABY$1),0)),5)</f>
        <v>0</v>
      </c>
      <c r="ABZ96" s="56">
        <v>91</v>
      </c>
      <c r="ACA96" s="53" t="str">
        <f t="shared" si="745"/>
        <v>UCL, Special Collections, South Junction Reading Room</v>
      </c>
      <c r="ACB96" s="60">
        <f t="shared" si="1148"/>
        <v>0</v>
      </c>
      <c r="ACC96" s="60">
        <f t="shared" si="1149"/>
        <v>0</v>
      </c>
      <c r="ACD96" s="60">
        <f t="shared" si="1150"/>
        <v>0</v>
      </c>
      <c r="ACE96" s="60">
        <f t="shared" si="1151"/>
        <v>0</v>
      </c>
      <c r="ACF96" s="60">
        <f t="shared" si="1152"/>
        <v>0</v>
      </c>
      <c r="ACG96" s="76">
        <f t="shared" si="1153"/>
        <v>0</v>
      </c>
      <c r="ACH96" s="46">
        <f t="shared" si="1154"/>
        <v>85</v>
      </c>
      <c r="ACI96" s="46">
        <f t="shared" si="746"/>
        <v>2.859</v>
      </c>
      <c r="ACJ96" s="46">
        <f t="shared" si="1155"/>
        <v>1</v>
      </c>
      <c r="ACK96" s="46">
        <f t="shared" si="1156"/>
        <v>2</v>
      </c>
      <c r="ACL96" s="46">
        <f t="shared" si="1157"/>
        <v>0</v>
      </c>
      <c r="ACM96" s="46" cm="1">
        <f t="array" ref="ACM96">ROUND(IFERROR(INDEX(ArchiveResults!$F$5:$IX$116,ComparisonData!A96,ComparisonData!$ACM$1),0),5)</f>
        <v>0</v>
      </c>
      <c r="ACN96" s="46" cm="1">
        <f t="array" ref="ACN96">ROUND(IFERROR(INDEX(ArchiveResults!$F$5:$IX$116,ComparisonData!A96,ComparisonData!$ACN$1),0),5)</f>
        <v>0</v>
      </c>
      <c r="ACO96" s="56">
        <v>91</v>
      </c>
      <c r="ACP96" s="53" t="str">
        <f t="shared" si="747"/>
        <v>UCL, Special Collections, South Junction Reading Room</v>
      </c>
      <c r="ACQ96" s="60">
        <f t="shared" si="1158"/>
        <v>0</v>
      </c>
      <c r="ACR96" s="60">
        <f t="shared" si="1159"/>
        <v>0</v>
      </c>
      <c r="ACS96" s="76">
        <f t="shared" si="1160"/>
        <v>0</v>
      </c>
      <c r="ACT96" s="46">
        <f t="shared" si="1161"/>
        <v>85</v>
      </c>
      <c r="ACU96" s="46">
        <f t="shared" si="748"/>
        <v>2.859</v>
      </c>
      <c r="ACV96" s="46">
        <f t="shared" si="1162"/>
        <v>1</v>
      </c>
      <c r="ACW96" s="46">
        <f t="shared" si="1163"/>
        <v>2</v>
      </c>
      <c r="ACX96" s="46">
        <f t="shared" si="1164"/>
        <v>0</v>
      </c>
      <c r="ACY96" s="46" cm="1">
        <f t="array" ref="ACY96">ROUNDDOWN(IFERROR(INDEX(ArchiveResults!$F$5:$IX$116,ComparisonData!A96,ComparisonData!$ACY$1),0),5)</f>
        <v>0</v>
      </c>
      <c r="ACZ96" s="46" cm="1">
        <f t="array" ref="ACZ96">ROUNDDOWN(IFERROR(INDEX(ArchiveResults!$F$5:$IX$116,ComparisonData!A96,ComparisonData!$ACZ$1),0),5)</f>
        <v>0</v>
      </c>
      <c r="ADA96" s="46" cm="1">
        <f t="array" ref="ADA96">ROUNDDOWN(IFERROR(INDEX(ArchiveResults!$F$5:$IX$116,ComparisonData!A96,ComparisonData!$ADA$1),0),5)</f>
        <v>0</v>
      </c>
      <c r="ADB96" s="56">
        <v>91</v>
      </c>
      <c r="ADC96" s="53" t="str">
        <f t="shared" si="749"/>
        <v>UCL, Special Collections, South Junction Reading Room</v>
      </c>
      <c r="ADD96" s="60">
        <f t="shared" si="1165"/>
        <v>0</v>
      </c>
      <c r="ADE96" s="60">
        <f t="shared" si="1166"/>
        <v>0</v>
      </c>
      <c r="ADF96" s="60">
        <f t="shared" si="1167"/>
        <v>0</v>
      </c>
      <c r="ADG96" s="76">
        <f t="shared" si="1168"/>
        <v>0</v>
      </c>
    </row>
    <row r="97" spans="1:787" x14ac:dyDescent="0.25">
      <c r="A97" s="46" t="str">
        <f>IF(ISBLANK(ComparisonSelection!F93),"",ROW()-5)</f>
        <v/>
      </c>
      <c r="B97" s="53" t="s">
        <v>547</v>
      </c>
      <c r="C97" s="72">
        <v>0.71399999999999975</v>
      </c>
      <c r="D97" s="55">
        <f t="shared" si="750"/>
        <v>56</v>
      </c>
      <c r="E97" s="54">
        <f t="shared" si="751"/>
        <v>2.7139999999999995</v>
      </c>
      <c r="F97" s="54">
        <f t="shared" si="752"/>
        <v>1</v>
      </c>
      <c r="G97" s="72">
        <f t="shared" si="753"/>
        <v>2</v>
      </c>
      <c r="H97" s="72">
        <f t="shared" si="754"/>
        <v>0</v>
      </c>
      <c r="I97" s="46" cm="1">
        <f t="array" ref="I97">ROUND(IFERROR(INDEX(ArchiveResults!$F$5:$IX$116,ComparisonData!A97,ComparisonData!$I$1),0),5)</f>
        <v>0</v>
      </c>
      <c r="J97" s="46" cm="1">
        <f t="array" ref="J97">ROUND(IFERROR(INDEX(ArchiveResults!$F$5:$IX$116,ComparisonData!A97,ComparisonData!$J$1),0),5)</f>
        <v>0</v>
      </c>
      <c r="K97" s="56">
        <v>92</v>
      </c>
      <c r="L97" s="53" t="str">
        <f t="shared" si="755"/>
        <v>University of Aberdeen, Special Collections Centre</v>
      </c>
      <c r="M97" s="57">
        <f t="shared" si="640"/>
        <v>0</v>
      </c>
      <c r="N97" s="57">
        <f t="shared" si="641"/>
        <v>0</v>
      </c>
      <c r="O97" s="58">
        <f t="shared" si="756"/>
        <v>0</v>
      </c>
      <c r="P97" s="48">
        <f t="shared" si="757"/>
        <v>56</v>
      </c>
      <c r="Q97" s="54">
        <f t="shared" si="642"/>
        <v>2.7139999999999995</v>
      </c>
      <c r="R97" s="45">
        <f t="shared" si="758"/>
        <v>1</v>
      </c>
      <c r="S97" s="46">
        <f t="shared" si="759"/>
        <v>2</v>
      </c>
      <c r="T97" s="72">
        <f t="shared" si="760"/>
        <v>0</v>
      </c>
      <c r="U97" s="46" cm="1">
        <f t="array" ref="U97">ROUND(IFERROR(INDEX(ArchiveResults!$F$5:$IX$116,ComparisonData!A97,ComparisonData!$U$1),0),5)</f>
        <v>0</v>
      </c>
      <c r="V97" s="46" cm="1">
        <f t="array" ref="V97">ROUND(IFERROR(INDEX(ArchiveResults!$F$5:$IX$116,ComparisonData!A97,ComparisonData!$V$1),0),5)</f>
        <v>0</v>
      </c>
      <c r="W97" s="56">
        <v>92</v>
      </c>
      <c r="X97" s="53" t="str">
        <f t="shared" si="643"/>
        <v>University of Aberdeen, Special Collections Centre</v>
      </c>
      <c r="Y97" s="57">
        <f t="shared" si="761"/>
        <v>0</v>
      </c>
      <c r="Z97" s="57">
        <f t="shared" si="762"/>
        <v>0</v>
      </c>
      <c r="AA97" s="58">
        <f t="shared" si="763"/>
        <v>0</v>
      </c>
      <c r="AB97" s="45">
        <f t="shared" si="764"/>
        <v>56</v>
      </c>
      <c r="AC97" s="54">
        <f t="shared" si="644"/>
        <v>2.7139999999999995</v>
      </c>
      <c r="AD97" s="45">
        <f t="shared" si="765"/>
        <v>1</v>
      </c>
      <c r="AE97" s="45">
        <f t="shared" si="766"/>
        <v>2</v>
      </c>
      <c r="AF97" s="45">
        <f t="shared" si="639"/>
        <v>0</v>
      </c>
      <c r="AG97" s="46" cm="1">
        <f t="array" ref="AG97">ROUND(IFERROR(INDEX(ArchiveResults!$F$5:$IX$116,ComparisonData!A97,ComparisonData!$AG$1),0),5)</f>
        <v>0</v>
      </c>
      <c r="AH97" s="46" cm="1">
        <f t="array" ref="AH97">ROUND(IFERROR(INDEX(ArchiveResults!$F$5:$IX$116,ComparisonData!A97,ComparisonData!$AH$1),0),5)</f>
        <v>0</v>
      </c>
      <c r="AI97" s="56">
        <v>92</v>
      </c>
      <c r="AJ97" s="53" t="str">
        <f t="shared" si="645"/>
        <v>University of Aberdeen, Special Collections Centre</v>
      </c>
      <c r="AK97" s="59">
        <f t="shared" si="646"/>
        <v>0</v>
      </c>
      <c r="AL97" s="59">
        <f t="shared" si="647"/>
        <v>0</v>
      </c>
      <c r="AM97" s="58">
        <f t="shared" si="767"/>
        <v>0</v>
      </c>
      <c r="AN97" s="45">
        <f t="shared" si="768"/>
        <v>56</v>
      </c>
      <c r="AO97" s="54">
        <f t="shared" si="648"/>
        <v>2.7139999999999995</v>
      </c>
      <c r="AP97" s="45">
        <f t="shared" si="769"/>
        <v>1</v>
      </c>
      <c r="AQ97" s="45">
        <f t="shared" si="770"/>
        <v>2</v>
      </c>
      <c r="AR97" s="46" cm="1">
        <f t="array" ref="AR97">ROUND(IFERROR(INDEX(ArchiveResults!$F$5:$IX$116,ComparisonData!A97,ComparisonData!$AR$1),0),5)</f>
        <v>0</v>
      </c>
      <c r="AS97" s="46" cm="1">
        <f t="array" ref="AS97">ROUND(IFERROR(INDEX(ArchiveResults!$F$5:$IX$116,ComparisonData!A97,ComparisonData!$AS$1),0),5)</f>
        <v>0</v>
      </c>
      <c r="AT97" s="46" cm="1">
        <f t="array" ref="AT97">ROUND(IFERROR(INDEX(ArchiveResults!$F$5:$IX$116,ComparisonData!A97,ComparisonData!$AT$1),0),5)</f>
        <v>0</v>
      </c>
      <c r="AU97" s="46" cm="1">
        <f t="array" ref="AU97">ROUND(IFERROR(INDEX(ArchiveResults!$F$5:$IX$116,ComparisonData!A97,ComparisonData!$AU$1),0),5)</f>
        <v>0</v>
      </c>
      <c r="AV97" s="46" cm="1">
        <f t="array" ref="AV97">ROUND(IFERROR(INDEX(ArchiveResults!$F$5:$IX$116,ComparisonData!A97,ComparisonData!$AV$1),0),5)</f>
        <v>0</v>
      </c>
      <c r="AW97" s="46" cm="1">
        <f t="array" ref="AW97">ROUND(IFERROR(INDEX(ArchiveResults!$F$5:$IX$116,ComparisonData!A97,ComparisonData!$AW$1),0),5)</f>
        <v>0</v>
      </c>
      <c r="AX97" s="46" cm="1">
        <f t="array" ref="AX97">ROUND(IFERROR(INDEX(ArchiveResults!$F$5:$IX$116,ComparisonData!A97,ComparisonData!$AX$1),0),5)</f>
        <v>0</v>
      </c>
      <c r="AY97" s="46" cm="1">
        <f t="array" ref="AY97">ROUND(IFERROR(INDEX(ArchiveResults!$F$5:$IX$116,ComparisonData!A97,ComparisonData!$AY$1),0),5)</f>
        <v>0</v>
      </c>
      <c r="AZ97" s="46" cm="1">
        <f t="array" ref="AZ97">ROUND(IFERROR(INDEX(ArchiveResults!$F$5:$IX$116,ComparisonData!A97,ComparisonData!$AZ$1),0),5)</f>
        <v>0</v>
      </c>
      <c r="BA97" s="46" cm="1">
        <f t="array" ref="BA97">ROUND(IFERROR(INDEX(ArchiveResults!$F$5:$IX$116,ComparisonData!A97,ComparisonData!$BA$1),0),5)</f>
        <v>0</v>
      </c>
      <c r="BB97" s="56">
        <v>92</v>
      </c>
      <c r="BC97" s="53" t="str">
        <f t="shared" si="649"/>
        <v>University of Aberdeen, Special Collections Centre</v>
      </c>
      <c r="BD97" s="60">
        <f t="shared" si="771"/>
        <v>0</v>
      </c>
      <c r="BE97" s="60">
        <f t="shared" si="772"/>
        <v>0</v>
      </c>
      <c r="BF97" s="60">
        <f t="shared" si="773"/>
        <v>0</v>
      </c>
      <c r="BG97" s="60">
        <f t="shared" si="774"/>
        <v>0</v>
      </c>
      <c r="BH97" s="60">
        <f t="shared" si="775"/>
        <v>0</v>
      </c>
      <c r="BI97" s="60">
        <f t="shared" si="776"/>
        <v>0</v>
      </c>
      <c r="BJ97" s="60">
        <f t="shared" si="777"/>
        <v>0</v>
      </c>
      <c r="BK97" s="60">
        <f t="shared" si="778"/>
        <v>0</v>
      </c>
      <c r="BL97" s="60">
        <f t="shared" si="779"/>
        <v>0</v>
      </c>
      <c r="BM97" s="59">
        <f t="shared" si="780"/>
        <v>0</v>
      </c>
      <c r="BN97" s="58">
        <f t="shared" si="781"/>
        <v>0</v>
      </c>
      <c r="BO97" s="45">
        <f t="shared" si="782"/>
        <v>56</v>
      </c>
      <c r="BP97" s="54">
        <f t="shared" si="650"/>
        <v>2.7139999999999995</v>
      </c>
      <c r="BQ97" s="45">
        <f t="shared" si="783"/>
        <v>1</v>
      </c>
      <c r="BR97" s="45">
        <f t="shared" si="784"/>
        <v>2</v>
      </c>
      <c r="BS97" s="46" cm="1">
        <f t="array" ref="BS97">ROUND(IFERROR(INDEX(ArchiveResults!$F$5:$IX$116,ComparisonData!A97,ComparisonData!$BS$1),0),5)</f>
        <v>0</v>
      </c>
      <c r="BT97" s="46" cm="1">
        <f t="array" ref="BT97">ROUND(IFERROR(INDEX(ArchiveResults!$F$5:$IX$116,ComparisonData!A97,ComparisonData!$BT$1),0),5)</f>
        <v>0</v>
      </c>
      <c r="BU97" s="46" cm="1">
        <f t="array" ref="BU97">ROUND(IFERROR(INDEX(ArchiveResults!$F$5:$IX$116,ComparisonData!A97,ComparisonData!$BU$1),0),5)</f>
        <v>0</v>
      </c>
      <c r="BV97" s="46" cm="1">
        <f t="array" ref="BV97">ROUND(IFERROR(INDEX(ArchiveResults!$F$5:$IX$116,ComparisonData!A97,ComparisonData!$BV$1),0),5)</f>
        <v>0</v>
      </c>
      <c r="BW97" s="46" cm="1">
        <f t="array" ref="BW97">ROUND(IFERROR(INDEX(ArchiveResults!$F$5:$IX$116,ComparisonData!A97,ComparisonData!$BW$1),0),5)</f>
        <v>0</v>
      </c>
      <c r="BX97" s="46" cm="1">
        <f t="array" ref="BX97">ROUND(IFERROR(INDEX(ArchiveResults!$F$5:$IX$116,ComparisonData!A97,ComparisonData!$BX$1),0),5)</f>
        <v>0</v>
      </c>
      <c r="BY97" s="56">
        <v>92</v>
      </c>
      <c r="BZ97" s="53" t="str">
        <f t="shared" si="651"/>
        <v>University of Aberdeen, Special Collections Centre</v>
      </c>
      <c r="CA97" s="59">
        <f t="shared" si="785"/>
        <v>0</v>
      </c>
      <c r="CB97" s="59">
        <f t="shared" si="786"/>
        <v>0</v>
      </c>
      <c r="CC97" s="59">
        <f t="shared" si="787"/>
        <v>0</v>
      </c>
      <c r="CD97" s="59">
        <f t="shared" si="788"/>
        <v>0</v>
      </c>
      <c r="CE97" s="59">
        <f t="shared" si="789"/>
        <v>0</v>
      </c>
      <c r="CF97" s="59">
        <f t="shared" si="790"/>
        <v>0</v>
      </c>
      <c r="CG97" s="58">
        <f t="shared" si="791"/>
        <v>0</v>
      </c>
      <c r="CH97" s="45">
        <f t="shared" si="792"/>
        <v>56</v>
      </c>
      <c r="CI97" s="54">
        <f t="shared" si="652"/>
        <v>2.7139999999999995</v>
      </c>
      <c r="CJ97" s="45">
        <f t="shared" si="793"/>
        <v>1</v>
      </c>
      <c r="CK97" s="45">
        <f t="shared" si="794"/>
        <v>2</v>
      </c>
      <c r="CL97" s="46" cm="1">
        <f t="array" ref="CL97">ROUND(IFERROR(INDEX(ArchiveResults!$F$5:$IX$116,ComparisonData!A97,ComparisonData!$CL$1),0),5)</f>
        <v>0</v>
      </c>
      <c r="CM97" s="56">
        <v>92</v>
      </c>
      <c r="CN97" s="53" t="str">
        <f t="shared" si="653"/>
        <v>University of Aberdeen, Special Collections Centre</v>
      </c>
      <c r="CO97" s="45">
        <f t="shared" si="795"/>
        <v>0</v>
      </c>
      <c r="CP97" s="58">
        <f t="shared" si="796"/>
        <v>0</v>
      </c>
      <c r="CQ97" s="45">
        <f t="shared" si="797"/>
        <v>56</v>
      </c>
      <c r="CR97" s="54">
        <f t="shared" si="654"/>
        <v>2.7139999999999995</v>
      </c>
      <c r="CS97" s="45">
        <f t="shared" si="798"/>
        <v>1</v>
      </c>
      <c r="CT97" s="45">
        <f t="shared" si="799"/>
        <v>2</v>
      </c>
      <c r="CU97" s="46" cm="1">
        <f t="array" ref="CU97">ROUND(IFERROR(INDEX(ArchiveResults!$F$5:$IX$116,ComparisonData!A97,ComparisonData!$CU$1),0),5)</f>
        <v>0</v>
      </c>
      <c r="CV97" s="56">
        <v>92</v>
      </c>
      <c r="CW97" s="53" t="str">
        <f t="shared" si="655"/>
        <v>University of Aberdeen, Special Collections Centre</v>
      </c>
      <c r="CX97" s="45">
        <f t="shared" si="800"/>
        <v>0</v>
      </c>
      <c r="CY97" s="58">
        <f t="shared" si="801"/>
        <v>0</v>
      </c>
      <c r="CZ97" s="45">
        <f t="shared" si="802"/>
        <v>56</v>
      </c>
      <c r="DA97" s="54">
        <f t="shared" si="656"/>
        <v>2.7139999999999995</v>
      </c>
      <c r="DB97" s="45">
        <f t="shared" si="803"/>
        <v>1</v>
      </c>
      <c r="DC97" s="45">
        <f t="shared" si="804"/>
        <v>2</v>
      </c>
      <c r="DD97" s="46" cm="1">
        <f t="array" ref="DD97">ROUND(IFERROR(INDEX(ArchiveResults!$F$5:$IX$116,ComparisonData!A97,ComparisonData!$DD$1),0),5)</f>
        <v>0</v>
      </c>
      <c r="DE97" s="56">
        <v>92</v>
      </c>
      <c r="DF97" s="53" t="str">
        <f t="shared" si="657"/>
        <v>University of Aberdeen, Special Collections Centre</v>
      </c>
      <c r="DG97" s="45">
        <f t="shared" si="805"/>
        <v>0</v>
      </c>
      <c r="DH97" s="58">
        <f t="shared" si="806"/>
        <v>0</v>
      </c>
      <c r="DI97" s="45">
        <f t="shared" si="807"/>
        <v>56</v>
      </c>
      <c r="DJ97" s="54">
        <f t="shared" si="658"/>
        <v>2.7139999999999995</v>
      </c>
      <c r="DK97" s="45">
        <f t="shared" si="808"/>
        <v>1</v>
      </c>
      <c r="DL97" s="45">
        <f t="shared" si="809"/>
        <v>2</v>
      </c>
      <c r="DM97" s="46" cm="1">
        <f t="array" ref="DM97">ROUND(IFERROR(INDEX(ArchiveResults!$F$5:$IX$116,ComparisonData!A97,ComparisonData!$DM$1),0),5)</f>
        <v>0</v>
      </c>
      <c r="DN97" s="46" cm="1">
        <f t="array" ref="DN97">ROUND(IFERROR(INDEX(ArchiveResults!$F$5:$IX$116,ComparisonData!A97,ComparisonData!$DN$1),0),5)</f>
        <v>0</v>
      </c>
      <c r="DO97" s="46" cm="1">
        <f t="array" ref="DO97">ROUND(IFERROR(INDEX(ArchiveResults!$F$5:$IX$116,ComparisonData!A97,ComparisonData!$DO$1),0),5)</f>
        <v>0</v>
      </c>
      <c r="DP97" s="46" cm="1">
        <f t="array" ref="DP97">ROUND(IFERROR(INDEX(ArchiveResults!$F$5:$IX$116,ComparisonData!A97,ComparisonData!$DP$1),0),5)</f>
        <v>0</v>
      </c>
      <c r="DQ97" s="45" cm="1">
        <f t="array" ref="DQ97">IFERROR(INDEX(ArchiveResults!$F$5:$IX$116,ComparisonData!A97,ComparisonData!$DQ$1),0)</f>
        <v>0</v>
      </c>
      <c r="DR97" s="56">
        <v>92</v>
      </c>
      <c r="DS97" s="53" t="str">
        <f t="shared" si="659"/>
        <v>University of Aberdeen, Special Collections Centre</v>
      </c>
      <c r="DT97" s="59">
        <f t="shared" si="810"/>
        <v>0</v>
      </c>
      <c r="DU97" s="59">
        <f t="shared" si="811"/>
        <v>0</v>
      </c>
      <c r="DV97" s="59">
        <f t="shared" si="812"/>
        <v>0</v>
      </c>
      <c r="DW97" s="59">
        <f t="shared" si="813"/>
        <v>0</v>
      </c>
      <c r="DX97" s="59">
        <f t="shared" si="814"/>
        <v>0</v>
      </c>
      <c r="DY97" s="58">
        <f t="shared" si="815"/>
        <v>0</v>
      </c>
      <c r="DZ97" s="45">
        <f t="shared" si="816"/>
        <v>56</v>
      </c>
      <c r="EA97" s="54">
        <f t="shared" si="660"/>
        <v>2.7139999999999995</v>
      </c>
      <c r="EB97" s="45">
        <f t="shared" si="817"/>
        <v>1</v>
      </c>
      <c r="EC97" s="45">
        <f t="shared" si="818"/>
        <v>2</v>
      </c>
      <c r="ED97" s="46" cm="1">
        <f t="array" ref="ED97">ROUND(IFERROR(INDEX(ArchiveResults!$F$5:$IX$116,ComparisonData!A97,ComparisonData!$ED$1),0),5)</f>
        <v>0</v>
      </c>
      <c r="EE97" s="46" cm="1">
        <f t="array" ref="EE97">ROUND(IFERROR(INDEX(ArchiveResults!$F$5:$IX$116,ComparisonData!A97,ComparisonData!$EE$1),0),5)</f>
        <v>0</v>
      </c>
      <c r="EF97" s="46" cm="1">
        <f t="array" ref="EF97">ROUND(IFERROR(INDEX(ArchiveResults!$F$5:$IX$116,ComparisonData!A97,ComparisonData!$EF$1),0),5)</f>
        <v>0</v>
      </c>
      <c r="EG97" s="46" cm="1">
        <f t="array" ref="EG97">ROUND(IFERROR(INDEX(ArchiveResults!$F$5:$IX$116,ComparisonData!A97,ComparisonData!$EG$1),0),5)</f>
        <v>0</v>
      </c>
      <c r="EH97" s="45" cm="1">
        <f t="array" ref="EH97">IFERROR(INDEX(ArchiveResults!$F$5:$IX$116,ComparisonData!A97,ComparisonData!$EH$1),0)</f>
        <v>0</v>
      </c>
      <c r="EI97" s="56">
        <v>92</v>
      </c>
      <c r="EJ97" s="53" t="str">
        <f t="shared" si="661"/>
        <v>University of Aberdeen, Special Collections Centre</v>
      </c>
      <c r="EK97" s="59">
        <f t="shared" si="819"/>
        <v>0</v>
      </c>
      <c r="EL97" s="59">
        <f t="shared" si="820"/>
        <v>0</v>
      </c>
      <c r="EM97" s="59">
        <f t="shared" si="821"/>
        <v>0</v>
      </c>
      <c r="EN97" s="59">
        <f t="shared" si="822"/>
        <v>0</v>
      </c>
      <c r="EO97" s="59">
        <f t="shared" si="823"/>
        <v>0</v>
      </c>
      <c r="EP97" s="58">
        <f t="shared" si="824"/>
        <v>0</v>
      </c>
      <c r="EQ97" s="45">
        <f t="shared" si="825"/>
        <v>56</v>
      </c>
      <c r="ER97" s="54">
        <f t="shared" si="662"/>
        <v>2.7139999999999995</v>
      </c>
      <c r="ES97" s="45">
        <f t="shared" si="826"/>
        <v>1</v>
      </c>
      <c r="ET97" s="45">
        <f t="shared" si="827"/>
        <v>2</v>
      </c>
      <c r="EU97" s="46" cm="1">
        <f t="array" ref="EU97">ROUND(IFERROR(INDEX(ArchiveResults!$F$5:$IX$116,ComparisonData!A97,ComparisonData!$EU$1),0),5)</f>
        <v>0</v>
      </c>
      <c r="EV97" s="46" cm="1">
        <f t="array" ref="EV97">ROUND(IFERROR(INDEX(ArchiveResults!$F$5:$IX$116,ComparisonData!A97,ComparisonData!$EV$1),0),5)</f>
        <v>0</v>
      </c>
      <c r="EW97" s="46" cm="1">
        <f t="array" ref="EW97">ROUND(IFERROR(INDEX(ArchiveResults!$F$5:$IX$116,ComparisonData!A97,ComparisonData!$EW$1),0),5)</f>
        <v>0</v>
      </c>
      <c r="EX97" s="46" cm="1">
        <f t="array" ref="EX97">ROUND(IFERROR(INDEX(ArchiveResults!$F$5:$IX$116,ComparisonData!A97,ComparisonData!$EX$1),0),5)</f>
        <v>0</v>
      </c>
      <c r="EY97" s="45" cm="1">
        <f t="array" ref="EY97">IFERROR(INDEX(ArchiveResults!$F$5:$IX$116,ComparisonData!A97,ComparisonData!$EY$1),0)</f>
        <v>0</v>
      </c>
      <c r="EZ97" s="56">
        <v>92</v>
      </c>
      <c r="FA97" s="53" t="str">
        <f t="shared" si="663"/>
        <v>University of Aberdeen, Special Collections Centre</v>
      </c>
      <c r="FB97" s="59">
        <f t="shared" si="828"/>
        <v>0</v>
      </c>
      <c r="FC97" s="59">
        <f t="shared" si="829"/>
        <v>0</v>
      </c>
      <c r="FD97" s="59">
        <f t="shared" si="830"/>
        <v>0</v>
      </c>
      <c r="FE97" s="59">
        <f t="shared" si="831"/>
        <v>0</v>
      </c>
      <c r="FF97" s="59">
        <f t="shared" si="832"/>
        <v>0</v>
      </c>
      <c r="FG97" s="58">
        <f t="shared" si="833"/>
        <v>0</v>
      </c>
      <c r="FH97" s="45">
        <f t="shared" si="834"/>
        <v>56</v>
      </c>
      <c r="FI97" s="54">
        <f t="shared" si="664"/>
        <v>2.7139999999999995</v>
      </c>
      <c r="FJ97" s="45">
        <f t="shared" si="835"/>
        <v>1</v>
      </c>
      <c r="FK97" s="45">
        <f t="shared" si="836"/>
        <v>2</v>
      </c>
      <c r="FL97" s="46" cm="1">
        <f t="array" ref="FL97">ROUND(IFERROR(INDEX(ArchiveResults!$F$5:$IX$116,ComparisonData!A97,ComparisonData!$FL$1),0),5)</f>
        <v>0</v>
      </c>
      <c r="FM97" s="46" cm="1">
        <f t="array" ref="FM97">ROUND(IFERROR(INDEX(ArchiveResults!$F$5:$IX$116,ComparisonData!A97,ComparisonData!$FM$1),0),5)</f>
        <v>0</v>
      </c>
      <c r="FN97" s="46" cm="1">
        <f t="array" ref="FN97">ROUND(IFERROR(INDEX(ArchiveResults!$F$5:$IX$116,ComparisonData!A97,ComparisonData!$FN$1),0),5)</f>
        <v>0</v>
      </c>
      <c r="FO97" s="46" cm="1">
        <f t="array" ref="FO97">ROUND(IFERROR(INDEX(ArchiveResults!$F$5:$IX$116,ComparisonData!A97,ComparisonData!$FO$1),0),5)</f>
        <v>0</v>
      </c>
      <c r="FP97" s="45" cm="1">
        <f t="array" ref="FP97">IFERROR(INDEX(ArchiveResults!$F$5:$IX$116,ComparisonData!A97,ComparisonData!$FP$1),0)</f>
        <v>0</v>
      </c>
      <c r="FQ97" s="56">
        <v>92</v>
      </c>
      <c r="FR97" s="53" t="str">
        <f t="shared" si="665"/>
        <v>University of Aberdeen, Special Collections Centre</v>
      </c>
      <c r="FS97" s="59">
        <f t="shared" si="837"/>
        <v>0</v>
      </c>
      <c r="FT97" s="59">
        <f t="shared" si="838"/>
        <v>0</v>
      </c>
      <c r="FU97" s="59">
        <f t="shared" si="839"/>
        <v>0</v>
      </c>
      <c r="FV97" s="59">
        <f t="shared" si="840"/>
        <v>0</v>
      </c>
      <c r="FW97" s="59">
        <f t="shared" si="841"/>
        <v>0</v>
      </c>
      <c r="FX97" s="58">
        <f t="shared" si="842"/>
        <v>0</v>
      </c>
      <c r="FY97" s="45">
        <f t="shared" si="843"/>
        <v>56</v>
      </c>
      <c r="FZ97" s="45">
        <f t="shared" si="666"/>
        <v>2.7139999999999995</v>
      </c>
      <c r="GA97" s="45">
        <f t="shared" si="844"/>
        <v>1</v>
      </c>
      <c r="GB97" s="45">
        <f t="shared" si="845"/>
        <v>2</v>
      </c>
      <c r="GC97" s="46" cm="1">
        <f t="array" ref="GC97">ROUND(IFERROR(INDEX(ArchiveResults!$F$5:$IX$116,ComparisonData!A97,ComparisonData!$GC$1),0),5)</f>
        <v>0</v>
      </c>
      <c r="GD97" s="46" cm="1">
        <f t="array" ref="GD97">ROUND(IFERROR(INDEX(ArchiveResults!$F$5:$IX$116,ComparisonData!A97,ComparisonData!$GD$1),0),5)</f>
        <v>0</v>
      </c>
      <c r="GE97" s="46" cm="1">
        <f t="array" ref="GE97">ROUND(IFERROR(INDEX(ArchiveResults!$F$5:$IX$116,ComparisonData!A97,ComparisonData!$GE$1),0),5)</f>
        <v>0</v>
      </c>
      <c r="GF97" s="46" cm="1">
        <f t="array" ref="GF97">ROUND(IFERROR(INDEX(ArchiveResults!$F$5:$IX$116,ComparisonData!A97,ComparisonData!$GF$1),0),5)</f>
        <v>0</v>
      </c>
      <c r="GG97" s="45" cm="1">
        <f t="array" ref="GG97">IFERROR(INDEX(ArchiveResults!$F$5:$IX$116,ComparisonData!A97,ComparisonData!$GG$1),0)</f>
        <v>0</v>
      </c>
      <c r="GH97" s="56">
        <v>92</v>
      </c>
      <c r="GI97" s="53" t="str">
        <f t="shared" si="667"/>
        <v>University of Aberdeen, Special Collections Centre</v>
      </c>
      <c r="GJ97" s="59">
        <f t="shared" si="846"/>
        <v>0</v>
      </c>
      <c r="GK97" s="59">
        <f t="shared" si="847"/>
        <v>0</v>
      </c>
      <c r="GL97" s="59">
        <f t="shared" si="848"/>
        <v>0</v>
      </c>
      <c r="GM97" s="59">
        <f t="shared" si="849"/>
        <v>0</v>
      </c>
      <c r="GN97" s="59">
        <f t="shared" si="850"/>
        <v>0</v>
      </c>
      <c r="GO97" s="58">
        <f t="shared" si="851"/>
        <v>0</v>
      </c>
      <c r="GP97" s="45">
        <f t="shared" si="852"/>
        <v>56</v>
      </c>
      <c r="GQ97" s="45">
        <f t="shared" si="668"/>
        <v>2.7139999999999995</v>
      </c>
      <c r="GR97" s="45">
        <f t="shared" si="853"/>
        <v>1</v>
      </c>
      <c r="GS97" s="45">
        <f t="shared" si="854"/>
        <v>2</v>
      </c>
      <c r="GT97" s="46" cm="1">
        <f t="array" ref="GT97">ROUND(IFERROR(INDEX(ArchiveResults!$F$5:$IX$116,ComparisonData!A97,ComparisonData!$GT$1),0),5)</f>
        <v>0</v>
      </c>
      <c r="GU97" s="46" cm="1">
        <f t="array" ref="GU97">ROUND(IFERROR(INDEX(ArchiveResults!$F$5:$IX$116,ComparisonData!A97,ComparisonData!$GU$1),0),5)</f>
        <v>0</v>
      </c>
      <c r="GV97" s="46" cm="1">
        <f t="array" ref="GV97">ROUND(IFERROR(INDEX(ArchiveResults!$F$5:$IX$116,ComparisonData!A97,ComparisonData!$GV$1),0),5)</f>
        <v>0</v>
      </c>
      <c r="GW97" s="46" cm="1">
        <f t="array" ref="GW97">ROUND(IFERROR(INDEX(ArchiveResults!$F$5:$IX$116,ComparisonData!A97,ComparisonData!$GW$1),0),5)</f>
        <v>0</v>
      </c>
      <c r="GX97" s="45" cm="1">
        <f t="array" ref="GX97">IFERROR(INDEX(ArchiveResults!$F$5:$IX$116,ComparisonData!A97,ComparisonData!$GX$1),0)</f>
        <v>0</v>
      </c>
      <c r="GY97" s="56">
        <v>92</v>
      </c>
      <c r="GZ97" s="53" t="str">
        <f t="shared" si="669"/>
        <v>University of Aberdeen, Special Collections Centre</v>
      </c>
      <c r="HA97" s="59">
        <f t="shared" si="855"/>
        <v>0</v>
      </c>
      <c r="HB97" s="59">
        <f t="shared" si="856"/>
        <v>0</v>
      </c>
      <c r="HC97" s="59">
        <f t="shared" si="857"/>
        <v>0</v>
      </c>
      <c r="HD97" s="59">
        <f t="shared" si="858"/>
        <v>0</v>
      </c>
      <c r="HE97" s="59">
        <f t="shared" si="859"/>
        <v>0</v>
      </c>
      <c r="HF97" s="58">
        <f t="shared" si="860"/>
        <v>0</v>
      </c>
      <c r="HG97" s="45">
        <f t="shared" si="861"/>
        <v>56</v>
      </c>
      <c r="HH97" s="45">
        <f t="shared" si="670"/>
        <v>2.7139999999999995</v>
      </c>
      <c r="HI97" s="45">
        <f t="shared" si="862"/>
        <v>1</v>
      </c>
      <c r="HJ97" s="45">
        <f t="shared" si="863"/>
        <v>2</v>
      </c>
      <c r="HK97" s="46" cm="1">
        <f t="array" ref="HK97">ROUND(IFERROR(INDEX(ArchiveResults!$F$5:$IX$116,ComparisonData!A97,ComparisonData!$HK$1),0),5)</f>
        <v>0</v>
      </c>
      <c r="HL97" s="46" cm="1">
        <f t="array" ref="HL97">ROUND(IFERROR(INDEX(ArchiveResults!$F$5:$IX$116,ComparisonData!A97,ComparisonData!$HL$1),0),5)</f>
        <v>0</v>
      </c>
      <c r="HM97" s="46" cm="1">
        <f t="array" ref="HM97">ROUND(IFERROR(INDEX(ArchiveResults!$F$5:$IX$116,ComparisonData!A97,ComparisonData!$HM$1),0),5)</f>
        <v>0</v>
      </c>
      <c r="HN97" s="46" cm="1">
        <f t="array" ref="HN97">ROUND(IFERROR(INDEX(ArchiveResults!$F$5:$IX$116,ComparisonData!A97,ComparisonData!$HN$1),0),5)</f>
        <v>0</v>
      </c>
      <c r="HO97" s="45" cm="1">
        <f t="array" ref="HO97">IFERROR(INDEX(ArchiveResults!$F$5:$IX$116,ComparisonData!A97,ComparisonData!$HO$1),0)</f>
        <v>0</v>
      </c>
      <c r="HP97" s="56">
        <v>92</v>
      </c>
      <c r="HQ97" s="53" t="str">
        <f t="shared" si="671"/>
        <v>University of Aberdeen, Special Collections Centre</v>
      </c>
      <c r="HR97" s="59">
        <f t="shared" si="672"/>
        <v>0</v>
      </c>
      <c r="HS97" s="59">
        <f t="shared" si="673"/>
        <v>0</v>
      </c>
      <c r="HT97" s="59">
        <f t="shared" si="674"/>
        <v>0</v>
      </c>
      <c r="HU97" s="59">
        <f t="shared" si="675"/>
        <v>0</v>
      </c>
      <c r="HV97" s="59">
        <f t="shared" si="676"/>
        <v>0</v>
      </c>
      <c r="HW97" s="58">
        <f t="shared" si="864"/>
        <v>0</v>
      </c>
      <c r="HX97" s="45">
        <f t="shared" si="865"/>
        <v>56</v>
      </c>
      <c r="HY97" s="45">
        <f t="shared" si="677"/>
        <v>2.7139999999999995</v>
      </c>
      <c r="HZ97" s="45">
        <f t="shared" si="866"/>
        <v>1</v>
      </c>
      <c r="IA97" s="45">
        <f t="shared" si="867"/>
        <v>2</v>
      </c>
      <c r="IB97" s="45">
        <f t="shared" si="868"/>
        <v>0</v>
      </c>
      <c r="IC97" s="46" cm="1">
        <f t="array" ref="IC97">ROUND(IFERROR(INDEX(ArchiveResults!$F$5:$IX$116,ComparisonData!A97,ComparisonData!$IC$1),0),5)</f>
        <v>0</v>
      </c>
      <c r="ID97" s="46" cm="1">
        <f t="array" ref="ID97">ROUND(IFERROR(INDEX(ArchiveResults!$F$5:$IX$116,ComparisonData!A97,ComparisonData!$ID$1),0),5)</f>
        <v>0</v>
      </c>
      <c r="IE97" s="46" cm="1">
        <f t="array" ref="IE97">ROUND(IFERROR(INDEX(ArchiveResults!$F$5:$IX$116,ComparisonData!A97,ComparisonData!$IE$1),0),5)</f>
        <v>0</v>
      </c>
      <c r="IF97" s="46" cm="1">
        <f t="array" ref="IF97">ROUND(IFERROR(INDEX(ArchiveResults!$F$5:$IX$116,ComparisonData!A97,ComparisonData!$IF$1),0),5)</f>
        <v>0</v>
      </c>
      <c r="IG97" s="45" cm="1">
        <f t="array" ref="IG97">IFERROR(INDEX(ArchiveResults!$F$5:$IX$116,ComparisonData!A97,ComparisonData!$IG$1),0)</f>
        <v>0</v>
      </c>
      <c r="IH97" s="56">
        <v>92</v>
      </c>
      <c r="II97" s="53" t="str">
        <f t="shared" si="678"/>
        <v>University of Aberdeen, Special Collections Centre</v>
      </c>
      <c r="IJ97" s="59">
        <f t="shared" si="869"/>
        <v>0</v>
      </c>
      <c r="IK97" s="59">
        <f t="shared" si="870"/>
        <v>0</v>
      </c>
      <c r="IL97" s="59">
        <f t="shared" si="871"/>
        <v>0</v>
      </c>
      <c r="IM97" s="59">
        <f t="shared" si="872"/>
        <v>0</v>
      </c>
      <c r="IN97" s="59">
        <f t="shared" si="873"/>
        <v>0</v>
      </c>
      <c r="IO97" s="58">
        <f t="shared" si="874"/>
        <v>0</v>
      </c>
      <c r="IP97" s="45">
        <f t="shared" si="875"/>
        <v>56</v>
      </c>
      <c r="IQ97" s="45">
        <f t="shared" si="679"/>
        <v>2.7139999999999995</v>
      </c>
      <c r="IR97" s="45">
        <f t="shared" si="876"/>
        <v>1</v>
      </c>
      <c r="IS97" s="45">
        <f t="shared" si="877"/>
        <v>2</v>
      </c>
      <c r="IT97" s="46">
        <f t="shared" si="878"/>
        <v>0</v>
      </c>
      <c r="IU97" s="46" cm="1">
        <f t="array" ref="IU97">ROUND(IFERROR(INDEX(ArchiveResults!$F$5:$IX$116,ComparisonData!A97,ComparisonData!$IU$1),0),5)</f>
        <v>0</v>
      </c>
      <c r="IV97" s="46" cm="1">
        <f t="array" ref="IV97">ROUND(IFERROR(INDEX(ArchiveResults!$F$5:$IX$116,ComparisonData!A97,ComparisonData!$IV$1),0),5)</f>
        <v>0</v>
      </c>
      <c r="IW97" s="46" cm="1">
        <f t="array" ref="IW97">ROUND(IFERROR(INDEX(ArchiveResults!$F$5:$IX$116,ComparisonData!A97,ComparisonData!$IW$1),0),5)</f>
        <v>0</v>
      </c>
      <c r="IX97" s="46" cm="1">
        <f t="array" ref="IX97">ROUND(IFERROR(INDEX(ArchiveResults!$F$5:$IX$116,ComparisonData!A97,ComparisonData!$IX$1),0),5)</f>
        <v>0</v>
      </c>
      <c r="IY97" s="45" cm="1">
        <f t="array" ref="IY97">IFERROR(INDEX(ArchiveResults!$F$5:$IX$116,ComparisonData!A97,ComparisonData!$IY$1),0)</f>
        <v>0</v>
      </c>
      <c r="IZ97" s="56">
        <v>92</v>
      </c>
      <c r="JA97" s="53" t="str">
        <f t="shared" si="680"/>
        <v>University of Aberdeen, Special Collections Centre</v>
      </c>
      <c r="JB97" s="59">
        <f t="shared" si="879"/>
        <v>0</v>
      </c>
      <c r="JC97" s="59">
        <f t="shared" si="880"/>
        <v>0</v>
      </c>
      <c r="JD97" s="59">
        <f t="shared" si="881"/>
        <v>0</v>
      </c>
      <c r="JE97" s="59">
        <f t="shared" si="882"/>
        <v>0</v>
      </c>
      <c r="JF97" s="59">
        <f t="shared" si="883"/>
        <v>0</v>
      </c>
      <c r="JG97" s="58">
        <f t="shared" si="884"/>
        <v>0</v>
      </c>
      <c r="JH97" s="45">
        <f t="shared" si="885"/>
        <v>56</v>
      </c>
      <c r="JI97" s="45">
        <f t="shared" si="681"/>
        <v>2.7139999999999995</v>
      </c>
      <c r="JJ97" s="45">
        <f t="shared" si="886"/>
        <v>1</v>
      </c>
      <c r="JK97" s="45">
        <f t="shared" si="887"/>
        <v>2</v>
      </c>
      <c r="JL97" s="45">
        <f t="shared" si="888"/>
        <v>0</v>
      </c>
      <c r="JM97" s="46" cm="1">
        <f t="array" ref="JM97">ROUND(IFERROR(INDEX(ArchiveResults!$F$5:$IX$116,ComparisonData!A97,ComparisonData!$JM$1),0),5)</f>
        <v>0</v>
      </c>
      <c r="JN97" s="46" cm="1">
        <f t="array" ref="JN97">ROUND(IFERROR(INDEX(ArchiveResults!$F$5:$IX$116,ComparisonData!A97,ComparisonData!$JN$1),0),5)</f>
        <v>0</v>
      </c>
      <c r="JO97" s="46" cm="1">
        <f t="array" ref="JO97">ROUND(IFERROR(INDEX(ArchiveResults!$F$5:$IX$116,ComparisonData!A97,ComparisonData!$JO$1),0),5)</f>
        <v>0</v>
      </c>
      <c r="JP97" s="46" cm="1">
        <f t="array" ref="JP97">ROUND(IFERROR(INDEX(ArchiveResults!$F$5:$IX$116,ComparisonData!A97,ComparisonData!$JP$1),0),5)</f>
        <v>0</v>
      </c>
      <c r="JQ97" s="45" cm="1">
        <f t="array" ref="JQ97">IFERROR(INDEX(ArchiveResults!$F$5:$IX$116,ComparisonData!A97,ComparisonData!$JQ$1),0)</f>
        <v>0</v>
      </c>
      <c r="JR97" s="56">
        <v>92</v>
      </c>
      <c r="JS97" s="53" t="str">
        <f t="shared" si="682"/>
        <v>University of Aberdeen, Special Collections Centre</v>
      </c>
      <c r="JT97" s="59">
        <f t="shared" si="889"/>
        <v>0</v>
      </c>
      <c r="JU97" s="59">
        <f t="shared" si="890"/>
        <v>0</v>
      </c>
      <c r="JV97" s="59">
        <f t="shared" si="891"/>
        <v>0</v>
      </c>
      <c r="JW97" s="59">
        <f t="shared" si="892"/>
        <v>0</v>
      </c>
      <c r="JX97" s="59">
        <f t="shared" si="893"/>
        <v>0</v>
      </c>
      <c r="JY97" s="58">
        <f t="shared" si="894"/>
        <v>0</v>
      </c>
      <c r="JZ97" s="45">
        <f t="shared" si="895"/>
        <v>56</v>
      </c>
      <c r="KA97" s="45">
        <f t="shared" si="683"/>
        <v>2.7139999999999995</v>
      </c>
      <c r="KB97" s="45">
        <f t="shared" si="896"/>
        <v>1</v>
      </c>
      <c r="KC97" s="45">
        <f t="shared" si="897"/>
        <v>2</v>
      </c>
      <c r="KD97" s="45">
        <f t="shared" si="898"/>
        <v>0</v>
      </c>
      <c r="KE97" s="46" cm="1">
        <f t="array" ref="KE97">ROUND(IFERROR(INDEX(ArchiveResults!$F$5:$IX$116,ComparisonData!A97,ComparisonData!$KE$1),0),5)</f>
        <v>0</v>
      </c>
      <c r="KF97" s="46" cm="1">
        <f t="array" ref="KF97">ROUND(IFERROR(INDEX(ArchiveResults!$F$5:$IX$116,ComparisonData!A97,ComparisonData!$KF$1),0),5)</f>
        <v>0</v>
      </c>
      <c r="KG97" s="46" cm="1">
        <f t="array" ref="KG97">ROUND(IFERROR(INDEX(ArchiveResults!$F$5:$IX$116,ComparisonData!A97,ComparisonData!$KG$1),0),5)</f>
        <v>0</v>
      </c>
      <c r="KH97" s="46" cm="1">
        <f t="array" ref="KH97">ROUND(IFERROR(INDEX(ArchiveResults!$F$5:$IX$116,ComparisonData!A97,ComparisonData!$KH$1),0),5)</f>
        <v>0</v>
      </c>
      <c r="KI97" s="45" cm="1">
        <f t="array" ref="KI97">IFERROR(INDEX(ArchiveResults!$F$5:$IX$116,ComparisonData!A97,ComparisonData!$KI$1),0)</f>
        <v>0</v>
      </c>
      <c r="KJ97" s="56">
        <v>92</v>
      </c>
      <c r="KK97" s="53" t="str">
        <f t="shared" si="684"/>
        <v>University of Aberdeen, Special Collections Centre</v>
      </c>
      <c r="KL97" s="59">
        <f t="shared" si="899"/>
        <v>0</v>
      </c>
      <c r="KM97" s="59">
        <f t="shared" si="900"/>
        <v>0</v>
      </c>
      <c r="KN97" s="59">
        <f t="shared" si="901"/>
        <v>0</v>
      </c>
      <c r="KO97" s="59">
        <f t="shared" si="902"/>
        <v>0</v>
      </c>
      <c r="KP97" s="59">
        <f t="shared" si="903"/>
        <v>0</v>
      </c>
      <c r="KQ97" s="58">
        <f t="shared" si="904"/>
        <v>0</v>
      </c>
      <c r="KR97" s="45">
        <f t="shared" si="905"/>
        <v>56</v>
      </c>
      <c r="KS97" s="45">
        <f t="shared" si="685"/>
        <v>2.7139999999999995</v>
      </c>
      <c r="KT97" s="45">
        <f t="shared" si="906"/>
        <v>1</v>
      </c>
      <c r="KU97" s="45">
        <f t="shared" si="907"/>
        <v>2</v>
      </c>
      <c r="KV97" s="45">
        <f t="shared" si="908"/>
        <v>0</v>
      </c>
      <c r="KW97" s="46" cm="1">
        <f t="array" ref="KW97">ROUND(IFERROR(INDEX(ArchiveResults!$F$5:$IX$116,ComparisonData!A97,ComparisonData!$KW$1),0),5)</f>
        <v>0</v>
      </c>
      <c r="KX97" s="46" cm="1">
        <f t="array" ref="KX97">ROUND(IFERROR(INDEX(ArchiveResults!$F$5:$IX$116,ComparisonData!A97,ComparisonData!$KX$1),0),5)</f>
        <v>0</v>
      </c>
      <c r="KY97" s="46" cm="1">
        <f t="array" ref="KY97">ROUND(IFERROR(INDEX(ArchiveResults!$F$5:$IX$116,ComparisonData!A97,ComparisonData!$KY$1),0),5)</f>
        <v>0</v>
      </c>
      <c r="KZ97" s="46" cm="1">
        <f t="array" ref="KZ97">ROUND(IFERROR(INDEX(ArchiveResults!$F$5:$IX$116,ComparisonData!A97,ComparisonData!$KZ$1),0),5)</f>
        <v>0</v>
      </c>
      <c r="LA97" s="45" cm="1">
        <f t="array" ref="LA97">IFERROR(INDEX(ArchiveResults!$F$5:$IX$116,ComparisonData!A97,ComparisonData!$LA$1),0)</f>
        <v>0</v>
      </c>
      <c r="LB97" s="56">
        <v>92</v>
      </c>
      <c r="LC97" s="53" t="str">
        <f t="shared" si="686"/>
        <v>University of Aberdeen, Special Collections Centre</v>
      </c>
      <c r="LD97" s="59">
        <f t="shared" si="909"/>
        <v>0</v>
      </c>
      <c r="LE97" s="59">
        <f t="shared" si="910"/>
        <v>0</v>
      </c>
      <c r="LF97" s="59">
        <f t="shared" si="911"/>
        <v>0</v>
      </c>
      <c r="LG97" s="59">
        <f t="shared" si="912"/>
        <v>0</v>
      </c>
      <c r="LH97" s="59">
        <f t="shared" si="913"/>
        <v>0</v>
      </c>
      <c r="LI97" s="58">
        <f t="shared" si="914"/>
        <v>0</v>
      </c>
      <c r="LJ97" s="45">
        <f t="shared" si="915"/>
        <v>56</v>
      </c>
      <c r="LK97" s="45">
        <f t="shared" si="687"/>
        <v>2.7139999999999995</v>
      </c>
      <c r="LL97" s="45">
        <f t="shared" si="916"/>
        <v>1</v>
      </c>
      <c r="LM97" s="45">
        <f t="shared" si="917"/>
        <v>2</v>
      </c>
      <c r="LN97" s="45">
        <f t="shared" si="918"/>
        <v>0</v>
      </c>
      <c r="LO97" s="46" cm="1">
        <f t="array" ref="LO97">ROUND(IFERROR(INDEX(ArchiveResults!$F$5:$IX$116,ComparisonData!A97,ComparisonData!$LO$1),0),5)</f>
        <v>0</v>
      </c>
      <c r="LP97" s="46" cm="1">
        <f t="array" ref="LP97">ROUND(IFERROR(INDEX(ArchiveResults!$F$5:$IX$116,ComparisonData!A97,ComparisonData!$LP$1),0),5)</f>
        <v>0</v>
      </c>
      <c r="LQ97" s="46" cm="1">
        <f t="array" ref="LQ97">ROUND(IFERROR(INDEX(ArchiveResults!$F$5:$IX$116,ComparisonData!A97,ComparisonData!$LQ$1),0),5)</f>
        <v>0</v>
      </c>
      <c r="LR97" s="46" cm="1">
        <f t="array" ref="LR97">ROUND(IFERROR(INDEX(ArchiveResults!$F$5:$IX$116,ComparisonData!A97,ComparisonData!$LR$1),0),5)</f>
        <v>0</v>
      </c>
      <c r="LS97" s="45" cm="1">
        <f t="array" ref="LS97">IFERROR(INDEX(ArchiveResults!$F$5:$IX$116,ComparisonData!A97,ComparisonData!$LS$1),0)</f>
        <v>0</v>
      </c>
      <c r="LT97" s="56">
        <v>92</v>
      </c>
      <c r="LU97" s="53" t="str">
        <f t="shared" si="688"/>
        <v>University of Aberdeen, Special Collections Centre</v>
      </c>
      <c r="LV97" s="59">
        <f t="shared" si="919"/>
        <v>0</v>
      </c>
      <c r="LW97" s="59">
        <f t="shared" si="920"/>
        <v>0</v>
      </c>
      <c r="LX97" s="59">
        <f t="shared" si="921"/>
        <v>0</v>
      </c>
      <c r="LY97" s="59">
        <f t="shared" si="922"/>
        <v>0</v>
      </c>
      <c r="LZ97" s="59">
        <f t="shared" si="923"/>
        <v>0</v>
      </c>
      <c r="MA97" s="58">
        <f t="shared" si="924"/>
        <v>0</v>
      </c>
      <c r="MB97" s="45">
        <f t="shared" si="925"/>
        <v>56</v>
      </c>
      <c r="MC97" s="45">
        <f t="shared" si="689"/>
        <v>2.7139999999999995</v>
      </c>
      <c r="MD97" s="45">
        <f t="shared" si="926"/>
        <v>1</v>
      </c>
      <c r="ME97" s="45">
        <f t="shared" si="927"/>
        <v>2</v>
      </c>
      <c r="MF97" s="45">
        <f t="shared" si="928"/>
        <v>0</v>
      </c>
      <c r="MG97" s="46" cm="1">
        <f t="array" ref="MG97">ROUND(IFERROR(INDEX(ArchiveResults!$F$5:$IX$116,ComparisonData!A97,ComparisonData!$MG$1),0),5)</f>
        <v>0</v>
      </c>
      <c r="MH97" s="46" cm="1">
        <f t="array" ref="MH97">ROUND(IFERROR(INDEX(ArchiveResults!$F$5:$IX$116,ComparisonData!A97,ComparisonData!$MH$1),0),5)</f>
        <v>0</v>
      </c>
      <c r="MI97" s="46" cm="1">
        <f t="array" ref="MI97">ROUND(IFERROR(INDEX(ArchiveResults!$F$5:$IX$116,ComparisonData!A97,ComparisonData!$MI$1),0),5)</f>
        <v>0</v>
      </c>
      <c r="MJ97" s="46" cm="1">
        <f t="array" ref="MJ97">ROUND(IFERROR(INDEX(ArchiveResults!$F$5:$IX$116,ComparisonData!A97,ComparisonData!$MJ$1),0),5)</f>
        <v>0</v>
      </c>
      <c r="MK97" s="45" cm="1">
        <f t="array" ref="MK97">IFERROR(INDEX(ArchiveResults!$F$5:$IX$116,ComparisonData!A97,ComparisonData!$MK$1),0)</f>
        <v>0</v>
      </c>
      <c r="ML97" s="56">
        <v>92</v>
      </c>
      <c r="MM97" s="53" t="str">
        <f t="shared" si="690"/>
        <v>University of Aberdeen, Special Collections Centre</v>
      </c>
      <c r="MN97" s="59">
        <f t="shared" si="929"/>
        <v>0</v>
      </c>
      <c r="MO97" s="59">
        <f t="shared" si="930"/>
        <v>0</v>
      </c>
      <c r="MP97" s="59">
        <f t="shared" si="931"/>
        <v>0</v>
      </c>
      <c r="MQ97" s="59">
        <f t="shared" si="932"/>
        <v>0</v>
      </c>
      <c r="MR97" s="59">
        <f t="shared" si="933"/>
        <v>0</v>
      </c>
      <c r="MS97" s="58">
        <f t="shared" si="934"/>
        <v>0</v>
      </c>
      <c r="MT97" s="45">
        <f t="shared" si="935"/>
        <v>56</v>
      </c>
      <c r="MU97" s="45">
        <f t="shared" si="691"/>
        <v>2.7139999999999995</v>
      </c>
      <c r="MV97" s="45">
        <f t="shared" si="936"/>
        <v>1</v>
      </c>
      <c r="MW97" s="45">
        <f t="shared" si="937"/>
        <v>2</v>
      </c>
      <c r="MX97" s="45">
        <f t="shared" si="938"/>
        <v>0</v>
      </c>
      <c r="MY97" s="46" cm="1">
        <f t="array" ref="MY97">ROUND(IFERROR(INDEX(ArchiveResults!$F$5:$IX$116,ComparisonData!A97,ComparisonData!$MY$1),0),5)</f>
        <v>0</v>
      </c>
      <c r="MZ97" s="46" cm="1">
        <f t="array" ref="MZ97">ROUND(IFERROR(INDEX(ArchiveResults!$F$5:$IX$116,ComparisonData!A97,ComparisonData!$MZ$1),0),5)</f>
        <v>0</v>
      </c>
      <c r="NA97" s="46" cm="1">
        <f t="array" ref="NA97">ROUND(IFERROR(INDEX(ArchiveResults!$F$5:$IX$116,ComparisonData!A97,ComparisonData!$NA$1),0),5)</f>
        <v>0</v>
      </c>
      <c r="NB97" s="46" cm="1">
        <f t="array" ref="NB97">ROUND(IFERROR(INDEX(ArchiveResults!$F$5:$IX$116,ComparisonData!A97,ComparisonData!$NB$1),0),5)</f>
        <v>0</v>
      </c>
      <c r="NC97" s="45" cm="1">
        <f t="array" ref="NC97">IFERROR(INDEX(ArchiveResults!$F$5:$IX$116,ComparisonData!A97,ComparisonData!$NC$1),0)</f>
        <v>0</v>
      </c>
      <c r="ND97" s="56">
        <v>92</v>
      </c>
      <c r="NE97" s="53" t="str">
        <f t="shared" si="692"/>
        <v>University of Aberdeen, Special Collections Centre</v>
      </c>
      <c r="NF97" s="59">
        <f t="shared" si="939"/>
        <v>0</v>
      </c>
      <c r="NG97" s="59">
        <f t="shared" si="940"/>
        <v>0</v>
      </c>
      <c r="NH97" s="59">
        <f t="shared" si="941"/>
        <v>0</v>
      </c>
      <c r="NI97" s="59">
        <f t="shared" si="942"/>
        <v>0</v>
      </c>
      <c r="NJ97" s="59">
        <f t="shared" si="943"/>
        <v>0</v>
      </c>
      <c r="NK97" s="58">
        <f t="shared" si="944"/>
        <v>0</v>
      </c>
      <c r="NL97" s="45">
        <f t="shared" si="945"/>
        <v>56</v>
      </c>
      <c r="NM97" s="45">
        <f t="shared" si="693"/>
        <v>2.7139999999999995</v>
      </c>
      <c r="NN97" s="45">
        <f t="shared" si="946"/>
        <v>1</v>
      </c>
      <c r="NO97" s="45">
        <f t="shared" si="947"/>
        <v>2</v>
      </c>
      <c r="NP97" s="46" cm="1">
        <f t="array" ref="NP97">ROUND(IFERROR(INDEX(ArchiveResults!$F$5:$IX$116,ComparisonData!A97,ComparisonData!$NP$1),0),5)</f>
        <v>0</v>
      </c>
      <c r="NQ97" s="46" cm="1">
        <f t="array" ref="NQ97">ROUND(IFERROR(INDEX(ArchiveResults!$F$5:$IX$116,ComparisonData!A97,ComparisonData!$NQ$1),0),5)</f>
        <v>0</v>
      </c>
      <c r="NR97" s="46" cm="1">
        <f t="array" ref="NR97">ROUND(IFERROR(INDEX(ArchiveResults!$F$5:$IX$116,ComparisonData!A97,ComparisonData!$NR$1),0),5)</f>
        <v>0</v>
      </c>
      <c r="NS97" s="46" cm="1">
        <f t="array" ref="NS97">ROUND(IFERROR(INDEX(ArchiveResults!$F$5:$IX$116,ComparisonData!A97,ComparisonData!$NS$1),0),5)</f>
        <v>0</v>
      </c>
      <c r="NT97" s="45" cm="1">
        <f t="array" ref="NT97">IFERROR(INDEX(ArchiveResults!$F$5:$IX$116,ComparisonData!A97,ComparisonData!$NT$1),0)</f>
        <v>0</v>
      </c>
      <c r="NU97" s="56">
        <v>92</v>
      </c>
      <c r="NV97" s="53" t="str">
        <f t="shared" si="694"/>
        <v>University of Aberdeen, Special Collections Centre</v>
      </c>
      <c r="NW97" s="59">
        <f t="shared" si="948"/>
        <v>0</v>
      </c>
      <c r="NX97" s="59">
        <f t="shared" si="949"/>
        <v>0</v>
      </c>
      <c r="NY97" s="59">
        <f t="shared" si="950"/>
        <v>0</v>
      </c>
      <c r="NZ97" s="59">
        <f t="shared" si="951"/>
        <v>0</v>
      </c>
      <c r="OA97" s="59">
        <f t="shared" si="952"/>
        <v>0</v>
      </c>
      <c r="OB97" s="58">
        <f t="shared" si="953"/>
        <v>0</v>
      </c>
      <c r="OC97" s="45">
        <f t="shared" si="954"/>
        <v>56</v>
      </c>
      <c r="OD97" s="45">
        <f t="shared" si="695"/>
        <v>2.7139999999999995</v>
      </c>
      <c r="OE97" s="45">
        <f t="shared" si="955"/>
        <v>1</v>
      </c>
      <c r="OF97" s="45">
        <f t="shared" si="956"/>
        <v>2</v>
      </c>
      <c r="OG97" s="46">
        <f t="shared" si="957"/>
        <v>0</v>
      </c>
      <c r="OH97" s="46" cm="1">
        <f t="array" ref="OH97">ROUND(IFERROR(INDEX(ArchiveResults!$F$5:$IX$116,ComparisonData!A97,ComparisonData!$OH$1),0),5)</f>
        <v>0</v>
      </c>
      <c r="OI97" s="46" cm="1">
        <f t="array" ref="OI97">ROUND(IFERROR(INDEX(ArchiveResults!$F$5:$IX$116,ComparisonData!A97,ComparisonData!$OI$1),0),5)</f>
        <v>0</v>
      </c>
      <c r="OJ97" s="46" cm="1">
        <f t="array" ref="OJ97">ROUND(IFERROR(INDEX(ArchiveResults!$F$5:$IX$116,ComparisonData!A97,ComparisonData!$OJ$1),0),5)</f>
        <v>0</v>
      </c>
      <c r="OK97" s="46" cm="1">
        <f t="array" ref="OK97">ROUND(IFERROR(INDEX(ArchiveResults!$F$5:$IX$116,ComparisonData!A97,ComparisonData!$OK$1),0),5)</f>
        <v>0</v>
      </c>
      <c r="OL97" s="45" cm="1">
        <f t="array" ref="OL97">IFERROR(INDEX(ArchiveResults!$F$5:$IX$116,ComparisonData!A97,ComparisonData!$OL$1),0)</f>
        <v>0</v>
      </c>
      <c r="OM97" s="56">
        <v>92</v>
      </c>
      <c r="ON97" s="53" t="str">
        <f t="shared" si="696"/>
        <v>University of Aberdeen, Special Collections Centre</v>
      </c>
      <c r="OO97" s="59">
        <f t="shared" si="958"/>
        <v>0</v>
      </c>
      <c r="OP97" s="59">
        <f t="shared" si="959"/>
        <v>0</v>
      </c>
      <c r="OQ97" s="59">
        <f t="shared" si="960"/>
        <v>0</v>
      </c>
      <c r="OR97" s="59">
        <f t="shared" si="961"/>
        <v>0</v>
      </c>
      <c r="OS97" s="59">
        <f t="shared" si="962"/>
        <v>0</v>
      </c>
      <c r="OT97" s="58">
        <f t="shared" si="963"/>
        <v>0</v>
      </c>
      <c r="OU97" s="45">
        <f t="shared" si="964"/>
        <v>56</v>
      </c>
      <c r="OV97" s="45">
        <f t="shared" si="697"/>
        <v>2.7139999999999995</v>
      </c>
      <c r="OW97" s="45">
        <f t="shared" si="965"/>
        <v>1</v>
      </c>
      <c r="OX97" s="45">
        <f t="shared" si="966"/>
        <v>2</v>
      </c>
      <c r="OY97" s="45">
        <f t="shared" si="967"/>
        <v>0</v>
      </c>
      <c r="OZ97" s="46" cm="1">
        <f t="array" ref="OZ97">ROUND(IFERROR(INDEX(ArchiveResults!$F$5:$IX$116,ComparisonData!A97,ComparisonData!$OZ$1),0),5)</f>
        <v>0</v>
      </c>
      <c r="PA97" s="46" cm="1">
        <f t="array" ref="PA97">ROUND(IFERROR(INDEX(ArchiveResults!$F$5:$IX$116,ComparisonData!A97,ComparisonData!$PA$1),0),5)</f>
        <v>0</v>
      </c>
      <c r="PB97" s="46" cm="1">
        <f t="array" ref="PB97">ROUND(IFERROR(INDEX(ArchiveResults!$F$5:$IX$116,ComparisonData!A97,ComparisonData!$PB$1),0),5)</f>
        <v>0</v>
      </c>
      <c r="PC97" s="46" cm="1">
        <f t="array" ref="PC97">ROUND(IFERROR(INDEX(ArchiveResults!$F$5:$IX$116,ComparisonData!A97,ComparisonData!$PC$1),0),5)</f>
        <v>0</v>
      </c>
      <c r="PD97" s="45" cm="1">
        <f t="array" ref="PD97">IFERROR(INDEX(ArchiveResults!$F$5:$IX$116,ComparisonData!A97,ComparisonData!$PD$1),0)</f>
        <v>0</v>
      </c>
      <c r="PE97" s="56">
        <v>92</v>
      </c>
      <c r="PF97" s="53" t="str">
        <f t="shared" si="698"/>
        <v>University of Aberdeen, Special Collections Centre</v>
      </c>
      <c r="PG97" s="59">
        <f t="shared" si="968"/>
        <v>0</v>
      </c>
      <c r="PH97" s="59">
        <f t="shared" si="969"/>
        <v>0</v>
      </c>
      <c r="PI97" s="59">
        <f t="shared" si="970"/>
        <v>0</v>
      </c>
      <c r="PJ97" s="59">
        <f t="shared" si="971"/>
        <v>0</v>
      </c>
      <c r="PK97" s="59">
        <f t="shared" si="972"/>
        <v>0</v>
      </c>
      <c r="PL97" s="58">
        <f t="shared" si="973"/>
        <v>0</v>
      </c>
      <c r="PM97" s="45">
        <f t="shared" si="974"/>
        <v>56</v>
      </c>
      <c r="PN97" s="45">
        <f t="shared" si="699"/>
        <v>2.7139999999999995</v>
      </c>
      <c r="PO97" s="45">
        <f t="shared" si="975"/>
        <v>1</v>
      </c>
      <c r="PP97" s="45">
        <f t="shared" si="976"/>
        <v>2</v>
      </c>
      <c r="PQ97" s="45">
        <f t="shared" si="977"/>
        <v>0</v>
      </c>
      <c r="PR97" s="46" cm="1">
        <f t="array" ref="PR97">ROUND(IFERROR(INDEX(ArchiveResults!$F$5:$IX$116,ComparisonData!A97,ComparisonData!$PR$1),0),5)</f>
        <v>0</v>
      </c>
      <c r="PS97" s="46" cm="1">
        <f t="array" ref="PS97">ROUND(IFERROR(INDEX(ArchiveResults!$F$5:$IX$116,ComparisonData!A97,ComparisonData!$PS$1),0),5)</f>
        <v>0</v>
      </c>
      <c r="PT97" s="46" cm="1">
        <f t="array" ref="PT97">ROUND(IFERROR(INDEX(ArchiveResults!$F$5:$IX$116,ComparisonData!A97,ComparisonData!$PT$1),0),5)</f>
        <v>0</v>
      </c>
      <c r="PU97" s="46" cm="1">
        <f t="array" ref="PU97">ROUND(IFERROR(INDEX(ArchiveResults!$F$5:$IX$116,ComparisonData!A97,ComparisonData!$PU$1),0),5)</f>
        <v>0</v>
      </c>
      <c r="PV97" s="45" cm="1">
        <f t="array" ref="PV97">IFERROR(INDEX(ArchiveResults!$F$5:$IX$116,ComparisonData!A97,ComparisonData!$PV$1),0)</f>
        <v>0</v>
      </c>
      <c r="PW97" s="56">
        <v>92</v>
      </c>
      <c r="PX97" s="53" t="str">
        <f t="shared" si="700"/>
        <v>University of Aberdeen, Special Collections Centre</v>
      </c>
      <c r="PY97" s="59">
        <f t="shared" si="978"/>
        <v>0</v>
      </c>
      <c r="PZ97" s="59">
        <f t="shared" si="979"/>
        <v>0</v>
      </c>
      <c r="QA97" s="59">
        <f t="shared" si="980"/>
        <v>0</v>
      </c>
      <c r="QB97" s="59">
        <f t="shared" si="981"/>
        <v>0</v>
      </c>
      <c r="QC97" s="59">
        <f t="shared" si="982"/>
        <v>0</v>
      </c>
      <c r="QD97" s="58">
        <f t="shared" si="983"/>
        <v>0</v>
      </c>
      <c r="QE97" s="45">
        <f t="shared" si="984"/>
        <v>56</v>
      </c>
      <c r="QF97" s="45">
        <f t="shared" si="701"/>
        <v>2.7139999999999995</v>
      </c>
      <c r="QG97" s="45">
        <f t="shared" si="985"/>
        <v>1</v>
      </c>
      <c r="QH97" s="45">
        <f t="shared" si="986"/>
        <v>2</v>
      </c>
      <c r="QI97" s="45">
        <f t="shared" si="987"/>
        <v>0</v>
      </c>
      <c r="QJ97" s="46" cm="1">
        <f t="array" ref="QJ97">ROUND(IFERROR(INDEX(ArchiveResults!$F$5:$IX$116,ComparisonData!A97,ComparisonData!$QJ$1),0),5)</f>
        <v>0</v>
      </c>
      <c r="QK97" s="46" cm="1">
        <f t="array" ref="QK97">ROUND(IFERROR(INDEX(ArchiveResults!$F$5:$IX$116,ComparisonData!A97,ComparisonData!$QK$1),0),5)</f>
        <v>0</v>
      </c>
      <c r="QL97" s="46" cm="1">
        <f t="array" ref="QL97">ROUND(IFERROR(INDEX(ArchiveResults!$F$5:$IX$116,ComparisonData!A97,ComparisonData!$QL$1),0),5)</f>
        <v>0</v>
      </c>
      <c r="QM97" s="46" cm="1">
        <f t="array" ref="QM97">ROUND(IFERROR(INDEX(ArchiveResults!$F$5:$IX$116,ComparisonData!A97,ComparisonData!$QM$1),0),5)</f>
        <v>0</v>
      </c>
      <c r="QN97" s="45" cm="1">
        <f t="array" ref="QN97">IFERROR(INDEX(ArchiveResults!$F$5:$IX$116,ComparisonData!A97,ComparisonData!$QN$1),0)</f>
        <v>0</v>
      </c>
      <c r="QO97" s="56">
        <v>92</v>
      </c>
      <c r="QP97" s="53" t="str">
        <f t="shared" si="702"/>
        <v>University of Aberdeen, Special Collections Centre</v>
      </c>
      <c r="QQ97" s="59">
        <f t="shared" si="988"/>
        <v>0</v>
      </c>
      <c r="QR97" s="59">
        <f t="shared" si="989"/>
        <v>0</v>
      </c>
      <c r="QS97" s="59">
        <f t="shared" si="990"/>
        <v>0</v>
      </c>
      <c r="QT97" s="59">
        <f t="shared" si="991"/>
        <v>0</v>
      </c>
      <c r="QU97" s="59">
        <f t="shared" si="992"/>
        <v>0</v>
      </c>
      <c r="QV97" s="58">
        <f t="shared" si="993"/>
        <v>0</v>
      </c>
      <c r="QW97" s="45">
        <f t="shared" si="994"/>
        <v>56</v>
      </c>
      <c r="QX97" s="45">
        <f t="shared" si="703"/>
        <v>2.7139999999999995</v>
      </c>
      <c r="QY97" s="45">
        <f t="shared" si="995"/>
        <v>1</v>
      </c>
      <c r="QZ97" s="45">
        <f t="shared" si="996"/>
        <v>2</v>
      </c>
      <c r="RA97" s="45">
        <f t="shared" si="997"/>
        <v>0</v>
      </c>
      <c r="RB97" s="46" cm="1">
        <f t="array" ref="RB97">ROUND(IFERROR(INDEX(ArchiveResults!$F$5:$IX$116,ComparisonData!A97,ComparisonData!$RB$1),0),5)</f>
        <v>0</v>
      </c>
      <c r="RC97" s="46" cm="1">
        <f t="array" ref="RC97">ROUND(IFERROR(INDEX(ArchiveResults!$F$5:$IX$116,ComparisonData!A97,ComparisonData!$RC$1),0),5)</f>
        <v>0</v>
      </c>
      <c r="RD97" s="46" cm="1">
        <f t="array" ref="RD97">ROUND(IFERROR(INDEX(ArchiveResults!$F$5:$IX$116,ComparisonData!A97,ComparisonData!$RD$1),0),5)</f>
        <v>0</v>
      </c>
      <c r="RE97" s="46" cm="1">
        <f t="array" ref="RE97">ROUND(IFERROR(INDEX(ArchiveResults!$F$5:$IX$116,ComparisonData!A97,ComparisonData!$RE$1),0),5)</f>
        <v>0</v>
      </c>
      <c r="RF97" s="45" cm="1">
        <f t="array" ref="RF97">IFERROR(INDEX(ArchiveResults!$F$5:$IX$116,ComparisonData!A97,ComparisonData!$RF$1),0)</f>
        <v>0</v>
      </c>
      <c r="RG97" s="56">
        <v>92</v>
      </c>
      <c r="RH97" s="53" t="str">
        <f t="shared" si="704"/>
        <v>University of Aberdeen, Special Collections Centre</v>
      </c>
      <c r="RI97" s="59">
        <f t="shared" si="998"/>
        <v>0</v>
      </c>
      <c r="RJ97" s="59">
        <f t="shared" si="999"/>
        <v>0</v>
      </c>
      <c r="RK97" s="59">
        <f t="shared" si="1000"/>
        <v>0</v>
      </c>
      <c r="RL97" s="59">
        <f t="shared" si="1001"/>
        <v>0</v>
      </c>
      <c r="RM97" s="59">
        <f t="shared" si="1002"/>
        <v>0</v>
      </c>
      <c r="RN97" s="58">
        <f t="shared" si="1003"/>
        <v>0</v>
      </c>
      <c r="RO97" s="45">
        <f t="shared" si="1004"/>
        <v>56</v>
      </c>
      <c r="RP97" s="45">
        <f t="shared" si="705"/>
        <v>2.7139999999999995</v>
      </c>
      <c r="RQ97" s="45">
        <f t="shared" si="1005"/>
        <v>1</v>
      </c>
      <c r="RR97" s="45">
        <f t="shared" si="1006"/>
        <v>2</v>
      </c>
      <c r="RS97" s="45">
        <f t="shared" si="1007"/>
        <v>0</v>
      </c>
      <c r="RT97" s="46" cm="1">
        <f t="array" ref="RT97">ROUND(IFERROR(INDEX(ArchiveResults!$F$5:$IX$116,ComparisonData!A97,ComparisonData!$RT$1),0),5)</f>
        <v>0</v>
      </c>
      <c r="RU97" s="46" cm="1">
        <f t="array" ref="RU97">ROUND(IFERROR(INDEX(ArchiveResults!$F$5:$IX$116,ComparisonData!A97,ComparisonData!$RU$1),0),5)</f>
        <v>0</v>
      </c>
      <c r="RV97" s="46" cm="1">
        <f t="array" ref="RV97">ROUND(IFERROR(INDEX(ArchiveResults!$F$5:$IX$116,ComparisonData!A97,ComparisonData!$RV$1),0),5)</f>
        <v>0</v>
      </c>
      <c r="RW97" s="46" cm="1">
        <f t="array" ref="RW97">ROUND(IFERROR(INDEX(ArchiveResults!$F$5:$IX$116,ComparisonData!A97,ComparisonData!$RW$1),0),5)</f>
        <v>0</v>
      </c>
      <c r="RX97" s="45" cm="1">
        <f t="array" ref="RX97">IFERROR(INDEX(ArchiveResults!$F$5:$IX$116,ComparisonData!A97,ComparisonData!$RX$1),0)</f>
        <v>0</v>
      </c>
      <c r="RY97" s="56">
        <v>92</v>
      </c>
      <c r="RZ97" s="53" t="str">
        <f t="shared" si="706"/>
        <v>University of Aberdeen, Special Collections Centre</v>
      </c>
      <c r="SA97" s="59">
        <f t="shared" si="1008"/>
        <v>0</v>
      </c>
      <c r="SB97" s="59">
        <f t="shared" si="1009"/>
        <v>0</v>
      </c>
      <c r="SC97" s="59">
        <f t="shared" si="1010"/>
        <v>0</v>
      </c>
      <c r="SD97" s="59">
        <f t="shared" si="1011"/>
        <v>0</v>
      </c>
      <c r="SE97" s="59">
        <f t="shared" si="1012"/>
        <v>0</v>
      </c>
      <c r="SF97" s="58">
        <f t="shared" si="1013"/>
        <v>0</v>
      </c>
      <c r="SG97" s="45">
        <f t="shared" si="1014"/>
        <v>56</v>
      </c>
      <c r="SH97" s="45">
        <f t="shared" si="707"/>
        <v>2.7139999999999995</v>
      </c>
      <c r="SI97" s="45">
        <f t="shared" si="1015"/>
        <v>1</v>
      </c>
      <c r="SJ97" s="45">
        <f t="shared" si="1016"/>
        <v>2</v>
      </c>
      <c r="SK97" s="45">
        <f t="shared" si="1017"/>
        <v>0</v>
      </c>
      <c r="SL97" s="46" cm="1">
        <f t="array" ref="SL97">ROUND(IFERROR(INDEX(ArchiveResults!$F$5:$IX$116,ComparisonData!A97,ComparisonData!$SL$1),0),5)</f>
        <v>0</v>
      </c>
      <c r="SM97" s="46" cm="1">
        <f t="array" ref="SM97">ROUND(IFERROR(INDEX(ArchiveResults!$F$5:$IX$116,ComparisonData!A97,ComparisonData!$SM$1),0),5)</f>
        <v>0</v>
      </c>
      <c r="SN97" s="46" cm="1">
        <f t="array" ref="SN97">ROUND(IFERROR(INDEX(ArchiveResults!$F$5:$IX$116,ComparisonData!A97,ComparisonData!$SN$1),0),5)</f>
        <v>0</v>
      </c>
      <c r="SO97" s="46" cm="1">
        <f t="array" ref="SO97">ROUND(IFERROR(INDEX(ArchiveResults!$F$5:$IX$116,ComparisonData!A97,ComparisonData!$SO$1),0),5)</f>
        <v>0</v>
      </c>
      <c r="SP97" s="45" cm="1">
        <f t="array" ref="SP97">IFERROR(INDEX(ArchiveResults!$F$5:$IX$116,ComparisonData!A97,ComparisonData!$SP$1),0)</f>
        <v>0</v>
      </c>
      <c r="SQ97" s="56">
        <v>92</v>
      </c>
      <c r="SR97" s="53" t="str">
        <f t="shared" si="708"/>
        <v>University of Aberdeen, Special Collections Centre</v>
      </c>
      <c r="SS97" s="59">
        <f t="shared" si="1018"/>
        <v>0</v>
      </c>
      <c r="ST97" s="59">
        <f t="shared" si="1019"/>
        <v>0</v>
      </c>
      <c r="SU97" s="59">
        <f t="shared" si="1020"/>
        <v>0</v>
      </c>
      <c r="SV97" s="59">
        <f t="shared" si="1021"/>
        <v>0</v>
      </c>
      <c r="SW97" s="59">
        <f t="shared" si="1022"/>
        <v>0</v>
      </c>
      <c r="SX97" s="58">
        <f t="shared" si="1023"/>
        <v>0</v>
      </c>
      <c r="SY97" s="45">
        <f t="shared" si="1024"/>
        <v>56</v>
      </c>
      <c r="SZ97" s="45">
        <f t="shared" si="709"/>
        <v>2.7139999999999995</v>
      </c>
      <c r="TA97" s="45">
        <f t="shared" si="1025"/>
        <v>1</v>
      </c>
      <c r="TB97" s="45">
        <f t="shared" si="1026"/>
        <v>2</v>
      </c>
      <c r="TC97" s="45">
        <f t="shared" si="1027"/>
        <v>0</v>
      </c>
      <c r="TD97" s="46" cm="1">
        <f t="array" ref="TD97">ROUND(IFERROR(INDEX(ArchiveResults!$F$5:$IX$116,ComparisonData!A97,ComparisonData!$TD$1),0),5)</f>
        <v>0</v>
      </c>
      <c r="TE97" s="46" cm="1">
        <f t="array" ref="TE97">ROUND(IFERROR(INDEX(ArchiveResults!$F$5:$IX$116,ComparisonData!A97,ComparisonData!$TE$1),0),5)</f>
        <v>0</v>
      </c>
      <c r="TF97" s="46" cm="1">
        <f t="array" ref="TF97">ROUND(IFERROR(INDEX(ArchiveResults!$F$5:$IX$116,ComparisonData!A97,ComparisonData!$TF$1),0),5)</f>
        <v>0</v>
      </c>
      <c r="TG97" s="46" cm="1">
        <f t="array" ref="TG97">ROUND(IFERROR(INDEX(ArchiveResults!$F$5:$IX$116,ComparisonData!A97,ComparisonData!$TG$1),0),5)</f>
        <v>0</v>
      </c>
      <c r="TH97" s="45" cm="1">
        <f t="array" ref="TH97">IFERROR(INDEX(ArchiveResults!$F$5:$IX$116,ComparisonData!A97,ComparisonData!$TH$1),0)</f>
        <v>0</v>
      </c>
      <c r="TI97" s="56">
        <v>92</v>
      </c>
      <c r="TJ97" s="53" t="str">
        <f t="shared" si="710"/>
        <v>University of Aberdeen, Special Collections Centre</v>
      </c>
      <c r="TK97" s="59">
        <f t="shared" si="1028"/>
        <v>0</v>
      </c>
      <c r="TL97" s="59">
        <f t="shared" si="1029"/>
        <v>0</v>
      </c>
      <c r="TM97" s="59">
        <f t="shared" si="1030"/>
        <v>0</v>
      </c>
      <c r="TN97" s="59">
        <f t="shared" si="1031"/>
        <v>0</v>
      </c>
      <c r="TO97" s="59">
        <f t="shared" si="1032"/>
        <v>0</v>
      </c>
      <c r="TP97" s="58">
        <f t="shared" si="1033"/>
        <v>0</v>
      </c>
      <c r="TQ97" s="45">
        <f t="shared" si="1034"/>
        <v>56</v>
      </c>
      <c r="TR97" s="45">
        <f t="shared" si="711"/>
        <v>2.7139999999999995</v>
      </c>
      <c r="TS97" s="45">
        <f t="shared" si="1035"/>
        <v>1</v>
      </c>
      <c r="TT97" s="45">
        <f t="shared" si="1036"/>
        <v>2</v>
      </c>
      <c r="TU97" s="45">
        <f t="shared" si="1037"/>
        <v>0</v>
      </c>
      <c r="TV97" s="46" cm="1">
        <f t="array" ref="TV97">ROUND(IFERROR(INDEX(ArchiveResults!$F$5:$IX$116,ComparisonData!A97,ComparisonData!$TV$1),0),5)</f>
        <v>0</v>
      </c>
      <c r="TW97" s="46" cm="1">
        <f t="array" ref="TW97">ROUND(IFERROR(INDEX(ArchiveResults!$F$5:$IX$116,ComparisonData!A97,ComparisonData!$TW$1),0),5)</f>
        <v>0</v>
      </c>
      <c r="TX97" s="46" cm="1">
        <f t="array" ref="TX97">ROUND(IFERROR(INDEX(ArchiveResults!$F$5:$IX$116,ComparisonData!A97,ComparisonData!$TX$1),0),5)</f>
        <v>0</v>
      </c>
      <c r="TY97" s="46" cm="1">
        <f t="array" ref="TY97">ROUND(IFERROR(INDEX(ArchiveResults!$F$5:$IX$116,ComparisonData!A97,ComparisonData!$TY$1),0),5)</f>
        <v>0</v>
      </c>
      <c r="TZ97" s="45" cm="1">
        <f t="array" ref="TZ97">IFERROR(INDEX(ArchiveResults!$F$5:$IX$116,ComparisonData!A97,ComparisonData!$TZ$1),0)</f>
        <v>0</v>
      </c>
      <c r="UA97" s="56">
        <v>92</v>
      </c>
      <c r="UB97" s="53" t="str">
        <f t="shared" si="712"/>
        <v>University of Aberdeen, Special Collections Centre</v>
      </c>
      <c r="UC97" s="60">
        <f t="shared" si="1038"/>
        <v>0</v>
      </c>
      <c r="UD97" s="60">
        <f t="shared" si="1039"/>
        <v>0</v>
      </c>
      <c r="UE97" s="60">
        <f t="shared" si="1040"/>
        <v>0</v>
      </c>
      <c r="UF97" s="60">
        <f t="shared" si="1041"/>
        <v>0</v>
      </c>
      <c r="UG97" s="60">
        <f t="shared" si="1042"/>
        <v>0</v>
      </c>
      <c r="UH97" s="58">
        <f t="shared" si="1043"/>
        <v>0</v>
      </c>
      <c r="UI97" s="46">
        <f t="shared" si="1044"/>
        <v>56</v>
      </c>
      <c r="UJ97" s="46">
        <f t="shared" si="713"/>
        <v>2.7139999999999995</v>
      </c>
      <c r="UK97" s="46">
        <f t="shared" si="1045"/>
        <v>1</v>
      </c>
      <c r="UL97" s="46">
        <f t="shared" si="1046"/>
        <v>2</v>
      </c>
      <c r="UM97" s="46" cm="1">
        <f t="array" ref="UM97">ROUND(IFERROR(INDEX(ArchiveResults!$F$5:$IX$116,ComparisonData!A97,ComparisonData!$UM$1),0),5)</f>
        <v>0</v>
      </c>
      <c r="UN97" s="56">
        <v>92</v>
      </c>
      <c r="UO97" s="53" t="str">
        <f t="shared" si="714"/>
        <v>University of Aberdeen, Special Collections Centre</v>
      </c>
      <c r="UP97" s="46">
        <f t="shared" si="1047"/>
        <v>0</v>
      </c>
      <c r="UQ97" s="76">
        <f t="shared" si="1048"/>
        <v>0</v>
      </c>
      <c r="UR97" s="46">
        <f t="shared" si="1049"/>
        <v>56</v>
      </c>
      <c r="US97" s="46">
        <f t="shared" si="715"/>
        <v>2.7139999999999995</v>
      </c>
      <c r="UT97" s="46">
        <f t="shared" si="1050"/>
        <v>1</v>
      </c>
      <c r="UU97" s="46">
        <f t="shared" si="1051"/>
        <v>2</v>
      </c>
      <c r="UV97" s="46">
        <f t="shared" si="1052"/>
        <v>0</v>
      </c>
      <c r="UW97" s="46" cm="1">
        <f t="array" ref="UW97">ROUND(IFERROR(INDEX(ArchiveResults!$F$5:$IX$116,ComparisonData!A97,ComparisonData!$UW$1),0),5)</f>
        <v>0</v>
      </c>
      <c r="UX97" s="46" cm="1">
        <f t="array" ref="UX97">ROUND(IFERROR(INDEX(ArchiveResults!$F$5:$IX$116,ComparisonData!A97,ComparisonData!$UX$1),0),5)</f>
        <v>0</v>
      </c>
      <c r="UY97" s="46" cm="1">
        <f t="array" ref="UY97">ROUND(IFERROR(INDEX(ArchiveResults!$F$5:$IX$116,ComparisonData!A97,ComparisonData!$UY$1),0),5)</f>
        <v>0</v>
      </c>
      <c r="UZ97" s="46" cm="1">
        <f t="array" ref="UZ97">ROUND(IFERROR(INDEX(ArchiveResults!$F$5:$IX$116,ComparisonData!A97,ComparisonData!$UZ$1),0),5)</f>
        <v>0</v>
      </c>
      <c r="VA97" s="46" cm="1">
        <f t="array" ref="VA97">ROUND(IFERROR(INDEX(ArchiveResults!$F$5:$IX$116,ComparisonData!A97,ComparisonData!$VA$1),0),5)</f>
        <v>0</v>
      </c>
      <c r="VB97" s="56">
        <v>92</v>
      </c>
      <c r="VC97" s="53" t="str">
        <f t="shared" si="716"/>
        <v>University of Aberdeen, Special Collections Centre</v>
      </c>
      <c r="VD97" s="60">
        <f t="shared" si="1053"/>
        <v>0</v>
      </c>
      <c r="VE97" s="60">
        <f t="shared" si="1054"/>
        <v>0</v>
      </c>
      <c r="VF97" s="60">
        <f t="shared" si="1055"/>
        <v>0</v>
      </c>
      <c r="VG97" s="60">
        <f t="shared" si="1056"/>
        <v>0</v>
      </c>
      <c r="VH97" s="60">
        <f t="shared" si="1057"/>
        <v>0</v>
      </c>
      <c r="VI97" s="76">
        <f t="shared" si="1058"/>
        <v>0</v>
      </c>
      <c r="VJ97" s="46">
        <f t="shared" si="1059"/>
        <v>56</v>
      </c>
      <c r="VK97" s="46">
        <f t="shared" si="717"/>
        <v>2.7139999999999995</v>
      </c>
      <c r="VL97" s="46">
        <f t="shared" si="1060"/>
        <v>1</v>
      </c>
      <c r="VM97" s="46">
        <f t="shared" si="1061"/>
        <v>2</v>
      </c>
      <c r="VN97" s="46" cm="1">
        <f t="array" ref="VN97">ROUND(IFERROR(INDEX(ArchiveResults!$F$5:$IX$116,ComparisonData!A97,ComparisonData!$VN$1),0),5)</f>
        <v>0</v>
      </c>
      <c r="VO97" s="46" cm="1">
        <f t="array" ref="VO97">ROUND(IFERROR(INDEX(ArchiveResults!$F$5:$IX$116,ComparisonData!A97,ComparisonData!$VO$1),0),5)</f>
        <v>0</v>
      </c>
      <c r="VP97" s="46" cm="1">
        <f t="array" ref="VP97">ROUND(IFERROR(INDEX(ArchiveResults!$F$5:$IX$116,ComparisonData!A97,ComparisonData!$VP$1),0),5)</f>
        <v>0</v>
      </c>
      <c r="VQ97" s="46" cm="1">
        <f t="array" ref="VQ97">ROUND(IFERROR(INDEX(ArchiveResults!$F$5:$IX$116,ComparisonData!A97,ComparisonData!$VQ$1),0),5)</f>
        <v>0</v>
      </c>
      <c r="VR97" s="56">
        <v>92</v>
      </c>
      <c r="VS97" s="53" t="str">
        <f t="shared" si="718"/>
        <v>University of Aberdeen, Special Collections Centre</v>
      </c>
      <c r="VT97" s="60">
        <f t="shared" si="1062"/>
        <v>0</v>
      </c>
      <c r="VU97" s="60">
        <f t="shared" si="1063"/>
        <v>0</v>
      </c>
      <c r="VV97" s="60">
        <f t="shared" si="1064"/>
        <v>0</v>
      </c>
      <c r="VW97" s="60">
        <f t="shared" si="1065"/>
        <v>0</v>
      </c>
      <c r="VX97" s="76">
        <f t="shared" si="1066"/>
        <v>0</v>
      </c>
      <c r="VY97" s="46">
        <f t="shared" si="1067"/>
        <v>56</v>
      </c>
      <c r="VZ97" s="46">
        <f t="shared" si="719"/>
        <v>2.7139999999999995</v>
      </c>
      <c r="WA97" s="46">
        <f t="shared" si="1068"/>
        <v>1</v>
      </c>
      <c r="WB97" s="46">
        <f t="shared" si="1069"/>
        <v>2</v>
      </c>
      <c r="WC97" s="46" cm="1">
        <f t="array" ref="WC97">ROUND(IFERROR(INDEX(ArchiveResults!$F$5:$IX$116,ComparisonData!A97,ComparisonData!$WC$1),0),5)</f>
        <v>0</v>
      </c>
      <c r="WD97" s="56">
        <v>92</v>
      </c>
      <c r="WE97" s="53" t="str">
        <f t="shared" si="720"/>
        <v>University of Aberdeen, Special Collections Centre</v>
      </c>
      <c r="WF97" s="46">
        <f t="shared" si="1070"/>
        <v>0</v>
      </c>
      <c r="WG97" s="76">
        <f t="shared" si="1071"/>
        <v>0</v>
      </c>
      <c r="WH97" s="46">
        <f t="shared" si="1072"/>
        <v>56</v>
      </c>
      <c r="WI97" s="46">
        <f t="shared" si="721"/>
        <v>2.7139999999999995</v>
      </c>
      <c r="WJ97" s="46">
        <f t="shared" si="1073"/>
        <v>1</v>
      </c>
      <c r="WK97" s="46">
        <f t="shared" si="1074"/>
        <v>2</v>
      </c>
      <c r="WL97" s="46" cm="1">
        <f t="array" ref="WL97">ROUND(IFERROR(INDEX(ArchiveResults!$F$5:$IX$116,ComparisonData!A97,ComparisonData!$WL$1),0),5)</f>
        <v>0</v>
      </c>
      <c r="WM97" s="46" cm="1">
        <f t="array" ref="WM97">IFERROR(INDEX(ArchiveResults!$F$5:$IX$116,ComparisonData!A97,ComparisonData!$WM$1),0)</f>
        <v>0</v>
      </c>
      <c r="WN97" s="56">
        <v>92</v>
      </c>
      <c r="WO97" s="53" t="str">
        <f t="shared" si="722"/>
        <v>University of Aberdeen, Special Collections Centre</v>
      </c>
      <c r="WP97" s="60">
        <f t="shared" si="1075"/>
        <v>0</v>
      </c>
      <c r="WQ97" s="60">
        <f t="shared" si="1076"/>
        <v>0</v>
      </c>
      <c r="WR97" s="76">
        <f t="shared" si="1077"/>
        <v>0</v>
      </c>
      <c r="WS97" s="46">
        <f t="shared" si="1078"/>
        <v>56</v>
      </c>
      <c r="WT97" s="46">
        <f t="shared" si="723"/>
        <v>2.7139999999999995</v>
      </c>
      <c r="WU97" s="46">
        <f t="shared" si="1079"/>
        <v>1</v>
      </c>
      <c r="WV97" s="46">
        <f t="shared" si="1080"/>
        <v>2</v>
      </c>
      <c r="WW97" s="46" cm="1">
        <f t="array" ref="WW97">ROUND(VALUE(IFERROR(INDEX(ArchiveResults!$F$5:$IX$116,ComparisonData!A97,ComparisonData!$WW$1),0)),5)</f>
        <v>0</v>
      </c>
      <c r="WX97" s="46" cm="1">
        <f t="array" ref="WX97">ROUND(IFERROR(INDEX(ArchiveResults!$F$5:$IX$116,ComparisonData!A97,ComparisonData!$WX$1),0),5)</f>
        <v>0</v>
      </c>
      <c r="WY97" s="56">
        <v>92</v>
      </c>
      <c r="WZ97" s="53" t="str">
        <f t="shared" si="724"/>
        <v>University of Aberdeen, Special Collections Centre</v>
      </c>
      <c r="XA97" s="60">
        <f t="shared" si="725"/>
        <v>0</v>
      </c>
      <c r="XB97" s="60">
        <f t="shared" si="726"/>
        <v>0</v>
      </c>
      <c r="XC97" s="76">
        <f t="shared" si="1081"/>
        <v>0</v>
      </c>
      <c r="XD97" s="46">
        <f t="shared" si="1082"/>
        <v>56</v>
      </c>
      <c r="XE97" s="46">
        <f t="shared" si="727"/>
        <v>2.7139999999999995</v>
      </c>
      <c r="XF97" s="46">
        <f t="shared" si="1083"/>
        <v>1</v>
      </c>
      <c r="XG97" s="46">
        <f t="shared" si="1084"/>
        <v>2</v>
      </c>
      <c r="XH97" s="46" cm="1">
        <f t="array" ref="XH97">ROUND(VALUE(IFERROR(INDEX(ArchiveResults!$F$5:$IX$116,ComparisonData!A97,ComparisonData!$XH$1),0)),5)</f>
        <v>0</v>
      </c>
      <c r="XI97" s="46" cm="1">
        <f t="array" ref="XI97">ROUND(VALUE(IFERROR(INDEX(ArchiveResults!$F$5:$IX$116,ComparisonData!A97,ComparisonData!$XI$1),0)),5)</f>
        <v>0</v>
      </c>
      <c r="XJ97" s="56">
        <v>92</v>
      </c>
      <c r="XK97" s="53" t="str">
        <f t="shared" si="728"/>
        <v>University of Aberdeen, Special Collections Centre</v>
      </c>
      <c r="XL97" s="60">
        <f t="shared" si="1085"/>
        <v>0</v>
      </c>
      <c r="XM97" s="60">
        <f t="shared" si="1086"/>
        <v>0</v>
      </c>
      <c r="XN97" s="76">
        <f t="shared" si="1087"/>
        <v>0</v>
      </c>
      <c r="XO97" s="46">
        <f t="shared" si="1088"/>
        <v>56</v>
      </c>
      <c r="XP97" s="46">
        <f t="shared" si="729"/>
        <v>2.7139999999999995</v>
      </c>
      <c r="XQ97" s="46">
        <f t="shared" si="1089"/>
        <v>1</v>
      </c>
      <c r="XR97" s="46">
        <f t="shared" si="1090"/>
        <v>2</v>
      </c>
      <c r="XS97" s="46" cm="1">
        <f t="array" ref="XS97">ROUND(VALUE(IFERROR(INDEX(ArchiveResults!$F$5:$IX$116,ComparisonData!A97,ComparisonData!$XS$1),0)),5)</f>
        <v>0</v>
      </c>
      <c r="XT97" s="46" cm="1">
        <f t="array" ref="XT97">ROUND(VALUE(IFERROR(INDEX(ArchiveResults!$F$5:$IX$116,ComparisonData!A97,ComparisonData!$XT$1),0)),5)</f>
        <v>0</v>
      </c>
      <c r="XU97" s="56">
        <v>92</v>
      </c>
      <c r="XV97" s="53" t="str">
        <f t="shared" si="730"/>
        <v>University of Aberdeen, Special Collections Centre</v>
      </c>
      <c r="XW97" s="60">
        <f t="shared" si="1091"/>
        <v>0</v>
      </c>
      <c r="XX97" s="60">
        <f t="shared" si="1092"/>
        <v>0</v>
      </c>
      <c r="XY97" s="76">
        <f t="shared" si="1093"/>
        <v>0</v>
      </c>
      <c r="XZ97" s="46">
        <f t="shared" si="1094"/>
        <v>56</v>
      </c>
      <c r="YA97" s="46">
        <f t="shared" si="731"/>
        <v>2.7139999999999995</v>
      </c>
      <c r="YB97" s="46">
        <f t="shared" si="1095"/>
        <v>1</v>
      </c>
      <c r="YC97" s="46">
        <f t="shared" si="1096"/>
        <v>2</v>
      </c>
      <c r="YD97" s="46" cm="1">
        <f t="array" ref="YD97">ROUND(VALUE(IFERROR(INDEX(ArchiveResults!$F$5:$IX$116,ComparisonData!A97,ComparisonData!$YD$1),0)),5)</f>
        <v>0</v>
      </c>
      <c r="YE97" s="46" cm="1">
        <f t="array" ref="YE97">ROUND(VALUE(IFERROR(INDEX(ArchiveResults!$F$5:$IX$116,ComparisonData!A97,ComparisonData!$YE$1),0)),5)</f>
        <v>0</v>
      </c>
      <c r="YF97" s="56">
        <v>92</v>
      </c>
      <c r="YG97" s="53" t="str">
        <f t="shared" si="732"/>
        <v>University of Aberdeen, Special Collections Centre</v>
      </c>
      <c r="YH97" s="60">
        <f t="shared" si="1097"/>
        <v>0</v>
      </c>
      <c r="YI97" s="60">
        <f t="shared" si="1098"/>
        <v>0</v>
      </c>
      <c r="YJ97" s="76">
        <f t="shared" si="1099"/>
        <v>0</v>
      </c>
      <c r="YK97" s="46">
        <f t="shared" si="1100"/>
        <v>56</v>
      </c>
      <c r="YL97" s="46">
        <f t="shared" si="733"/>
        <v>2.7139999999999995</v>
      </c>
      <c r="YM97" s="46">
        <f t="shared" si="1101"/>
        <v>1</v>
      </c>
      <c r="YN97" s="46">
        <f t="shared" si="1102"/>
        <v>2</v>
      </c>
      <c r="YO97" s="46" cm="1">
        <f t="array" ref="YO97">ROUND(VALUE(IFERROR(INDEX(ArchiveResults!$F$5:$IX$116,ComparisonData!A97,ComparisonData!$YO$1),0)),5)</f>
        <v>0</v>
      </c>
      <c r="YP97" s="46" cm="1">
        <f t="array" ref="YP97">ROUND(VALUE(IFERROR(INDEX(ArchiveResults!$F$5:$IX$116,ComparisonData!A97,ComparisonData!$YP$1),0)),5)</f>
        <v>0</v>
      </c>
      <c r="YQ97" s="56">
        <v>92</v>
      </c>
      <c r="YR97" s="53" t="str">
        <f t="shared" si="734"/>
        <v>University of Aberdeen, Special Collections Centre</v>
      </c>
      <c r="YS97" s="60">
        <f t="shared" si="1103"/>
        <v>0</v>
      </c>
      <c r="YT97" s="60">
        <f t="shared" si="1104"/>
        <v>0</v>
      </c>
      <c r="YU97" s="76">
        <f t="shared" si="1105"/>
        <v>0</v>
      </c>
      <c r="YV97" s="46">
        <f t="shared" si="1106"/>
        <v>56</v>
      </c>
      <c r="YW97" s="46">
        <f t="shared" si="735"/>
        <v>2.7139999999999995</v>
      </c>
      <c r="YX97" s="46">
        <f t="shared" si="1107"/>
        <v>1</v>
      </c>
      <c r="YY97" s="46">
        <f t="shared" si="1108"/>
        <v>2</v>
      </c>
      <c r="YZ97" s="46">
        <f t="shared" si="1109"/>
        <v>0</v>
      </c>
      <c r="ZA97" s="46" cm="1">
        <f t="array" ref="ZA97">ROUNDDOWN(VALUE(IFERROR(INDEX(ArchiveResults!$F$5:$IX$116,ComparisonData!A97,ComparisonData!$ZA$1),0)),5)</f>
        <v>0</v>
      </c>
      <c r="ZB97" s="46" cm="1">
        <f t="array" ref="ZB97">ROUNDDOWN(VALUE(IFERROR(INDEX(ArchiveResults!$F$5:$IX$116,ComparisonData!A97,ComparisonData!$ZB$1),0)),5)</f>
        <v>0</v>
      </c>
      <c r="ZC97" s="46" cm="1">
        <f t="array" ref="ZC97">ROUNDDOWN(VALUE(IFERROR(INDEX(ArchiveResults!$F$5:$IX$116,ComparisonData!A97,ComparisonData!$ZC$1),0)),5)</f>
        <v>0</v>
      </c>
      <c r="ZD97" s="46" cm="1">
        <f t="array" ref="ZD97">ROUNDDOWN(VALUE(IFERROR(INDEX(ArchiveResults!$F$5:$IX$116,ComparisonData!A97,ComparisonData!$ZD$1),0)),5)</f>
        <v>0</v>
      </c>
      <c r="ZE97" s="46" cm="1">
        <f t="array" ref="ZE97">ROUNDDOWN(VALUE(IFERROR(INDEX(ArchiveResults!$F$5:$IX$116,ComparisonData!A97,ComparisonData!$ZE$1),0)),5)</f>
        <v>0</v>
      </c>
      <c r="ZF97" s="56">
        <v>92</v>
      </c>
      <c r="ZG97" s="53" t="str">
        <f t="shared" si="736"/>
        <v>University of Aberdeen, Special Collections Centre</v>
      </c>
      <c r="ZH97" s="60">
        <f t="shared" si="1110"/>
        <v>0</v>
      </c>
      <c r="ZI97" s="60">
        <f t="shared" si="1111"/>
        <v>0</v>
      </c>
      <c r="ZJ97" s="60">
        <f t="shared" si="1112"/>
        <v>0</v>
      </c>
      <c r="ZK97" s="60">
        <f t="shared" si="1113"/>
        <v>0</v>
      </c>
      <c r="ZL97" s="60">
        <f t="shared" si="1114"/>
        <v>0</v>
      </c>
      <c r="ZM97" s="76">
        <f t="shared" si="1115"/>
        <v>0</v>
      </c>
      <c r="ZN97" s="46">
        <f t="shared" si="1116"/>
        <v>56</v>
      </c>
      <c r="ZO97" s="46">
        <f t="shared" si="737"/>
        <v>2.7139999999999995</v>
      </c>
      <c r="ZP97" s="46">
        <f t="shared" si="1117"/>
        <v>1</v>
      </c>
      <c r="ZQ97" s="46">
        <f t="shared" si="1118"/>
        <v>2</v>
      </c>
      <c r="ZR97" s="46" cm="1">
        <f t="array" ref="ZR97">ROUND(VALUE(IFERROR(INDEX(ArchiveResults!$F$5:$IX$116,ComparisonData!A97,ComparisonData!$ZR$1),0)),5)</f>
        <v>0</v>
      </c>
      <c r="ZS97" s="56">
        <v>92</v>
      </c>
      <c r="ZT97" s="53" t="str">
        <f t="shared" si="738"/>
        <v>University of Aberdeen, Special Collections Centre</v>
      </c>
      <c r="ZU97" s="46">
        <f t="shared" si="1119"/>
        <v>0</v>
      </c>
      <c r="ZV97" s="76">
        <f t="shared" si="1120"/>
        <v>0</v>
      </c>
      <c r="ZW97" s="81" cm="1">
        <f t="array" ref="ZW97">ROUND((IFERROR(INDEX(ArchiveResults!$F$5:$IX$116,ComparisonData!A97,ComparisonData!$ZW$1),0)),5)</f>
        <v>0</v>
      </c>
      <c r="ZX97" s="81" cm="1">
        <f t="array" ref="ZX97">ROUND((IFERROR(INDEX(ArchiveResults!$F$5:$IX$116,ComparisonData!A97,ComparisonData!$ZX$1),0)),5)</f>
        <v>0</v>
      </c>
      <c r="ZY97" s="81" cm="1">
        <f t="array" ref="ZY97">ROUND((IFERROR(INDEX(ArchiveResults!$F$5:$IX$116,ComparisonData!A97,ComparisonData!$ZY$1),0)),5)</f>
        <v>0</v>
      </c>
      <c r="ZZ97" s="81" cm="1">
        <f t="array" ref="ZZ97">ROUND((IFERROR(INDEX(ArchiveResults!$F$5:$IX$116,ComparisonData!A97,ComparisonData!$ZZ$1),0)),5)</f>
        <v>0</v>
      </c>
      <c r="AAA97" s="81" cm="1">
        <f t="array" ref="AAA97">ROUND((IFERROR(INDEX(ArchiveResults!$F$5:$IX$116,ComparisonData!A97,ComparisonData!$AAA$1),0)),5)</f>
        <v>0</v>
      </c>
      <c r="AAB97" s="81" cm="1">
        <f t="array" ref="AAB97">ROUND((IFERROR(INDEX(ArchiveResults!$F$5:$IX$116,ComparisonData!A97,ComparisonData!$AAB$1),0)),5)</f>
        <v>0</v>
      </c>
      <c r="AAC97" s="81" cm="1">
        <f t="array" ref="AAC97">ROUND((IFERROR(INDEX(ArchiveResults!$F$5:$IX$116,ComparisonData!A97,ComparisonData!$AAC$1),0)),5)</f>
        <v>0</v>
      </c>
      <c r="AAD97" s="81" cm="1">
        <f t="array" ref="AAD97">ROUND((IFERROR(INDEX(ArchiveResults!$F$5:$IX$116,ComparisonData!A97,ComparisonData!$AAD$1),0)),5)</f>
        <v>0</v>
      </c>
      <c r="AAE97" s="81" cm="1">
        <f t="array" ref="AAE97">ROUND((IFERROR(INDEX(ArchiveResults!$F$5:$IX$116,ComparisonData!A97,ComparisonData!$AAE$1),0)),5)</f>
        <v>0</v>
      </c>
      <c r="AAF97" s="81" cm="1">
        <f t="array" ref="AAF97">ROUND((IFERROR(INDEX(ArchiveResults!$F$5:$IX$116,ComparisonData!A97,ComparisonData!$AAF$1),0)),5)</f>
        <v>0</v>
      </c>
      <c r="AAG97" s="46">
        <f t="shared" si="1121"/>
        <v>56</v>
      </c>
      <c r="AAH97" s="46">
        <f t="shared" si="739"/>
        <v>2.7139999999999995</v>
      </c>
      <c r="AAI97" s="46">
        <f t="shared" si="1122"/>
        <v>1</v>
      </c>
      <c r="AAJ97" s="46">
        <f t="shared" si="1123"/>
        <v>2</v>
      </c>
      <c r="AAK97" s="46">
        <f t="shared" si="1124"/>
        <v>0</v>
      </c>
      <c r="AAL97" s="46">
        <f t="shared" si="1125"/>
        <v>0</v>
      </c>
      <c r="AAM97" s="46">
        <f t="shared" si="1126"/>
        <v>0</v>
      </c>
      <c r="AAN97" s="46">
        <f t="shared" si="1127"/>
        <v>0</v>
      </c>
      <c r="AAO97" s="46">
        <f t="shared" si="1128"/>
        <v>0</v>
      </c>
      <c r="AAP97" s="46">
        <f t="shared" si="1129"/>
        <v>0</v>
      </c>
      <c r="AAQ97" s="56">
        <v>92</v>
      </c>
      <c r="AAR97" s="53" t="str">
        <f t="shared" si="740"/>
        <v>University of Aberdeen, Special Collections Centre</v>
      </c>
      <c r="AAS97" s="60">
        <f t="shared" si="1130"/>
        <v>0</v>
      </c>
      <c r="AAT97" s="60">
        <f t="shared" si="1131"/>
        <v>0</v>
      </c>
      <c r="AAU97" s="60">
        <f t="shared" si="1132"/>
        <v>0</v>
      </c>
      <c r="AAV97" s="60">
        <f t="shared" si="1133"/>
        <v>0</v>
      </c>
      <c r="AAW97" s="60">
        <f t="shared" si="1134"/>
        <v>0</v>
      </c>
      <c r="AAX97" s="76">
        <f t="shared" si="1135"/>
        <v>0</v>
      </c>
      <c r="AAY97" s="46">
        <f t="shared" si="1136"/>
        <v>56</v>
      </c>
      <c r="AAZ97" s="46">
        <f t="shared" si="741"/>
        <v>2.7139999999999995</v>
      </c>
      <c r="ABA97" s="46">
        <f t="shared" si="1137"/>
        <v>1</v>
      </c>
      <c r="ABB97" s="46">
        <f t="shared" si="1138"/>
        <v>2</v>
      </c>
      <c r="ABC97" s="46">
        <f t="shared" si="742"/>
        <v>0</v>
      </c>
      <c r="ABD97" s="46" cm="1">
        <f t="array" ref="ABD97">ROUND(VALUE(IFERROR(INDEX(ArchiveResults!$F$5:$IX$116,ComparisonData!A97,ComparisonData!$ABD$1),0)),5)</f>
        <v>0</v>
      </c>
      <c r="ABE97" s="46" cm="1">
        <f t="array" ref="ABE97">ROUND(VALUE(IFERROR(INDEX(ArchiveResults!$F$5:$IX$116,ComparisonData!A97,ComparisonData!$ABE$1),0)),5)</f>
        <v>0</v>
      </c>
      <c r="ABF97" s="46" cm="1">
        <f t="array" ref="ABF97">ROUND(VALUE(IFERROR(INDEX(ArchiveResults!$F$5:$IX$116,ComparisonData!A97,ComparisonData!$ABF$1),0)),5)</f>
        <v>0</v>
      </c>
      <c r="ABG97" s="46" cm="1">
        <f t="array" ref="ABG97">ROUND(VALUE(IFERROR(INDEX(ArchiveResults!$F$5:$IX$116,ComparisonData!A97,ComparisonData!$ABG$1),0)),5)</f>
        <v>0</v>
      </c>
      <c r="ABH97" s="46" cm="1">
        <f t="array" ref="ABH97">ROUND(VALUE(IFERROR(INDEX(ArchiveResults!$F$5:$IX$116,ComparisonData!A97,ComparisonData!$ABH$1),0)),5)</f>
        <v>0</v>
      </c>
      <c r="ABI97" s="56">
        <v>92</v>
      </c>
      <c r="ABJ97" s="53" t="str">
        <f t="shared" si="743"/>
        <v>University of Aberdeen, Special Collections Centre</v>
      </c>
      <c r="ABK97" s="60">
        <f t="shared" si="1139"/>
        <v>0</v>
      </c>
      <c r="ABL97" s="60">
        <f t="shared" si="1140"/>
        <v>0</v>
      </c>
      <c r="ABM97" s="60">
        <f t="shared" si="1141"/>
        <v>0</v>
      </c>
      <c r="ABN97" s="60">
        <f t="shared" si="1142"/>
        <v>0</v>
      </c>
      <c r="ABO97" s="60">
        <f t="shared" si="1143"/>
        <v>0</v>
      </c>
      <c r="ABP97" s="76">
        <f t="shared" si="1144"/>
        <v>0</v>
      </c>
      <c r="ABQ97" s="46">
        <f t="shared" si="1145"/>
        <v>56</v>
      </c>
      <c r="ABR97" s="46">
        <f t="shared" si="744"/>
        <v>2.7139999999999995</v>
      </c>
      <c r="ABS97" s="46">
        <f t="shared" si="1146"/>
        <v>1</v>
      </c>
      <c r="ABT97" s="46">
        <f t="shared" si="1147"/>
        <v>2</v>
      </c>
      <c r="ABU97" s="46" cm="1">
        <f t="array" ref="ABU97">ROUND(VALUE(IFERROR(INDEX(ArchiveResults!$F$5:$IX$116,ComparisonData!A97,ComparisonData!$ABU$1),0)),5)</f>
        <v>0</v>
      </c>
      <c r="ABV97" s="46" cm="1">
        <f t="array" ref="ABV97">ROUND(VALUE(IFERROR(INDEX(ArchiveResults!$F$5:$IX$116,ComparisonData!A97,ComparisonData!$ABV$1),0)),5)</f>
        <v>0</v>
      </c>
      <c r="ABW97" s="46" cm="1">
        <f t="array" ref="ABW97">ROUND(VALUE(IFERROR(INDEX(ArchiveResults!$F$5:$IX$116,ComparisonData!A97,ComparisonData!$ABW$1),0)),5)</f>
        <v>0</v>
      </c>
      <c r="ABX97" s="46" cm="1">
        <f t="array" ref="ABX97">ROUND(VALUE(IFERROR(INDEX(ArchiveResults!$F$5:$IX$116,ComparisonData!A97,ComparisonData!$ABX$1),0)),5)</f>
        <v>0</v>
      </c>
      <c r="ABY97" s="46" cm="1">
        <f t="array" ref="ABY97">ROUND(VALUE(IFERROR(INDEX(ArchiveResults!$F$5:$IX$116,ComparisonData!A97,ComparisonData!$ABY$1),0)),5)</f>
        <v>0</v>
      </c>
      <c r="ABZ97" s="56">
        <v>92</v>
      </c>
      <c r="ACA97" s="53" t="str">
        <f t="shared" si="745"/>
        <v>University of Aberdeen, Special Collections Centre</v>
      </c>
      <c r="ACB97" s="60">
        <f t="shared" si="1148"/>
        <v>0</v>
      </c>
      <c r="ACC97" s="60">
        <f t="shared" si="1149"/>
        <v>0</v>
      </c>
      <c r="ACD97" s="60">
        <f t="shared" si="1150"/>
        <v>0</v>
      </c>
      <c r="ACE97" s="60">
        <f t="shared" si="1151"/>
        <v>0</v>
      </c>
      <c r="ACF97" s="60">
        <f t="shared" si="1152"/>
        <v>0</v>
      </c>
      <c r="ACG97" s="76">
        <f t="shared" si="1153"/>
        <v>0</v>
      </c>
      <c r="ACH97" s="46">
        <f t="shared" si="1154"/>
        <v>56</v>
      </c>
      <c r="ACI97" s="46">
        <f t="shared" si="746"/>
        <v>2.7139999999999995</v>
      </c>
      <c r="ACJ97" s="46">
        <f t="shared" si="1155"/>
        <v>1</v>
      </c>
      <c r="ACK97" s="46">
        <f t="shared" si="1156"/>
        <v>2</v>
      </c>
      <c r="ACL97" s="46">
        <f t="shared" si="1157"/>
        <v>0</v>
      </c>
      <c r="ACM97" s="46" cm="1">
        <f t="array" ref="ACM97">ROUND(IFERROR(INDEX(ArchiveResults!$F$5:$IX$116,ComparisonData!A97,ComparisonData!$ACM$1),0),5)</f>
        <v>0</v>
      </c>
      <c r="ACN97" s="46" cm="1">
        <f t="array" ref="ACN97">ROUND(IFERROR(INDEX(ArchiveResults!$F$5:$IX$116,ComparisonData!A97,ComparisonData!$ACN$1),0),5)</f>
        <v>0</v>
      </c>
      <c r="ACO97" s="56">
        <v>92</v>
      </c>
      <c r="ACP97" s="53" t="str">
        <f t="shared" si="747"/>
        <v>University of Aberdeen, Special Collections Centre</v>
      </c>
      <c r="ACQ97" s="60">
        <f t="shared" si="1158"/>
        <v>0</v>
      </c>
      <c r="ACR97" s="60">
        <f t="shared" si="1159"/>
        <v>0</v>
      </c>
      <c r="ACS97" s="76">
        <f t="shared" si="1160"/>
        <v>0</v>
      </c>
      <c r="ACT97" s="46">
        <f t="shared" si="1161"/>
        <v>56</v>
      </c>
      <c r="ACU97" s="46">
        <f t="shared" si="748"/>
        <v>2.7139999999999995</v>
      </c>
      <c r="ACV97" s="46">
        <f t="shared" si="1162"/>
        <v>1</v>
      </c>
      <c r="ACW97" s="46">
        <f t="shared" si="1163"/>
        <v>2</v>
      </c>
      <c r="ACX97" s="46">
        <f t="shared" si="1164"/>
        <v>0</v>
      </c>
      <c r="ACY97" s="46" cm="1">
        <f t="array" ref="ACY97">ROUNDDOWN(IFERROR(INDEX(ArchiveResults!$F$5:$IX$116,ComparisonData!A97,ComparisonData!$ACY$1),0),5)</f>
        <v>0</v>
      </c>
      <c r="ACZ97" s="46" cm="1">
        <f t="array" ref="ACZ97">ROUNDDOWN(IFERROR(INDEX(ArchiveResults!$F$5:$IX$116,ComparisonData!A97,ComparisonData!$ACZ$1),0),5)</f>
        <v>0</v>
      </c>
      <c r="ADA97" s="46" cm="1">
        <f t="array" ref="ADA97">ROUNDDOWN(IFERROR(INDEX(ArchiveResults!$F$5:$IX$116,ComparisonData!A97,ComparisonData!$ADA$1),0),5)</f>
        <v>0</v>
      </c>
      <c r="ADB97" s="56">
        <v>92</v>
      </c>
      <c r="ADC97" s="53" t="str">
        <f t="shared" si="749"/>
        <v>University of Aberdeen, Special Collections Centre</v>
      </c>
      <c r="ADD97" s="60">
        <f t="shared" si="1165"/>
        <v>0</v>
      </c>
      <c r="ADE97" s="60">
        <f t="shared" si="1166"/>
        <v>0</v>
      </c>
      <c r="ADF97" s="60">
        <f t="shared" si="1167"/>
        <v>0</v>
      </c>
      <c r="ADG97" s="76">
        <f t="shared" si="1168"/>
        <v>0</v>
      </c>
    </row>
    <row r="98" spans="1:787" x14ac:dyDescent="0.25">
      <c r="A98" s="46" t="str">
        <f>IF(ISBLANK(ComparisonSelection!F94),"",ROW()-5)</f>
        <v/>
      </c>
      <c r="B98" s="53" t="s">
        <v>609</v>
      </c>
      <c r="C98" s="72">
        <v>0.60399999999999965</v>
      </c>
      <c r="D98" s="55">
        <f t="shared" si="750"/>
        <v>34</v>
      </c>
      <c r="E98" s="54">
        <f t="shared" si="751"/>
        <v>2.6039999999999996</v>
      </c>
      <c r="F98" s="54">
        <f t="shared" si="752"/>
        <v>1</v>
      </c>
      <c r="G98" s="72">
        <f t="shared" si="753"/>
        <v>2</v>
      </c>
      <c r="H98" s="72">
        <f t="shared" si="754"/>
        <v>0</v>
      </c>
      <c r="I98" s="46" cm="1">
        <f t="array" ref="I98">ROUND(IFERROR(INDEX(ArchiveResults!$F$5:$IX$116,ComparisonData!A98,ComparisonData!$I$1),0),5)</f>
        <v>0</v>
      </c>
      <c r="J98" s="46" cm="1">
        <f t="array" ref="J98">ROUND(IFERROR(INDEX(ArchiveResults!$F$5:$IX$116,ComparisonData!A98,ComparisonData!$J$1),0),5)</f>
        <v>0</v>
      </c>
      <c r="K98" s="56">
        <v>93</v>
      </c>
      <c r="L98" s="53" t="str">
        <f t="shared" si="755"/>
        <v>University of Bangor</v>
      </c>
      <c r="M98" s="57">
        <f t="shared" si="640"/>
        <v>0</v>
      </c>
      <c r="N98" s="57">
        <f t="shared" si="641"/>
        <v>0</v>
      </c>
      <c r="O98" s="58">
        <f t="shared" si="756"/>
        <v>0</v>
      </c>
      <c r="P98" s="48">
        <f t="shared" si="757"/>
        <v>34</v>
      </c>
      <c r="Q98" s="54">
        <f t="shared" si="642"/>
        <v>2.6039999999999996</v>
      </c>
      <c r="R98" s="45">
        <f t="shared" si="758"/>
        <v>1</v>
      </c>
      <c r="S98" s="46">
        <f t="shared" si="759"/>
        <v>2</v>
      </c>
      <c r="T98" s="72">
        <f t="shared" si="760"/>
        <v>0</v>
      </c>
      <c r="U98" s="46" cm="1">
        <f t="array" ref="U98">ROUND(IFERROR(INDEX(ArchiveResults!$F$5:$IX$116,ComparisonData!A98,ComparisonData!$U$1),0),5)</f>
        <v>0</v>
      </c>
      <c r="V98" s="46" cm="1">
        <f t="array" ref="V98">ROUND(IFERROR(INDEX(ArchiveResults!$F$5:$IX$116,ComparisonData!A98,ComparisonData!$V$1),0),5)</f>
        <v>0</v>
      </c>
      <c r="W98" s="56">
        <v>93</v>
      </c>
      <c r="X98" s="53" t="str">
        <f t="shared" si="643"/>
        <v>University of Bangor</v>
      </c>
      <c r="Y98" s="57">
        <f t="shared" si="761"/>
        <v>0</v>
      </c>
      <c r="Z98" s="57">
        <f t="shared" si="762"/>
        <v>0</v>
      </c>
      <c r="AA98" s="58">
        <f t="shared" si="763"/>
        <v>0</v>
      </c>
      <c r="AB98" s="45">
        <f t="shared" si="764"/>
        <v>34</v>
      </c>
      <c r="AC98" s="54">
        <f t="shared" si="644"/>
        <v>2.6039999999999996</v>
      </c>
      <c r="AD98" s="45">
        <f t="shared" si="765"/>
        <v>1</v>
      </c>
      <c r="AE98" s="45">
        <f t="shared" si="766"/>
        <v>2</v>
      </c>
      <c r="AF98" s="45">
        <f t="shared" si="639"/>
        <v>0</v>
      </c>
      <c r="AG98" s="46" cm="1">
        <f t="array" ref="AG98">ROUND(IFERROR(INDEX(ArchiveResults!$F$5:$IX$116,ComparisonData!A98,ComparisonData!$AG$1),0),5)</f>
        <v>0</v>
      </c>
      <c r="AH98" s="46" cm="1">
        <f t="array" ref="AH98">ROUND(IFERROR(INDEX(ArchiveResults!$F$5:$IX$116,ComparisonData!A98,ComparisonData!$AH$1),0),5)</f>
        <v>0</v>
      </c>
      <c r="AI98" s="56">
        <v>93</v>
      </c>
      <c r="AJ98" s="53" t="str">
        <f t="shared" si="645"/>
        <v>University of Bangor</v>
      </c>
      <c r="AK98" s="59">
        <f t="shared" si="646"/>
        <v>0</v>
      </c>
      <c r="AL98" s="59">
        <f t="shared" si="647"/>
        <v>0</v>
      </c>
      <c r="AM98" s="58">
        <f t="shared" si="767"/>
        <v>0</v>
      </c>
      <c r="AN98" s="45">
        <f t="shared" si="768"/>
        <v>34</v>
      </c>
      <c r="AO98" s="54">
        <f t="shared" si="648"/>
        <v>2.6039999999999996</v>
      </c>
      <c r="AP98" s="45">
        <f t="shared" si="769"/>
        <v>1</v>
      </c>
      <c r="AQ98" s="45">
        <f t="shared" si="770"/>
        <v>2</v>
      </c>
      <c r="AR98" s="46" cm="1">
        <f t="array" ref="AR98">ROUND(IFERROR(INDEX(ArchiveResults!$F$5:$IX$116,ComparisonData!A98,ComparisonData!$AR$1),0),5)</f>
        <v>0</v>
      </c>
      <c r="AS98" s="46" cm="1">
        <f t="array" ref="AS98">ROUND(IFERROR(INDEX(ArchiveResults!$F$5:$IX$116,ComparisonData!A98,ComparisonData!$AS$1),0),5)</f>
        <v>0</v>
      </c>
      <c r="AT98" s="46" cm="1">
        <f t="array" ref="AT98">ROUND(IFERROR(INDEX(ArchiveResults!$F$5:$IX$116,ComparisonData!A98,ComparisonData!$AT$1),0),5)</f>
        <v>0</v>
      </c>
      <c r="AU98" s="46" cm="1">
        <f t="array" ref="AU98">ROUND(IFERROR(INDEX(ArchiveResults!$F$5:$IX$116,ComparisonData!A98,ComparisonData!$AU$1),0),5)</f>
        <v>0</v>
      </c>
      <c r="AV98" s="46" cm="1">
        <f t="array" ref="AV98">ROUND(IFERROR(INDEX(ArchiveResults!$F$5:$IX$116,ComparisonData!A98,ComparisonData!$AV$1),0),5)</f>
        <v>0</v>
      </c>
      <c r="AW98" s="46" cm="1">
        <f t="array" ref="AW98">ROUND(IFERROR(INDEX(ArchiveResults!$F$5:$IX$116,ComparisonData!A98,ComparisonData!$AW$1),0),5)</f>
        <v>0</v>
      </c>
      <c r="AX98" s="46" cm="1">
        <f t="array" ref="AX98">ROUND(IFERROR(INDEX(ArchiveResults!$F$5:$IX$116,ComparisonData!A98,ComparisonData!$AX$1),0),5)</f>
        <v>0</v>
      </c>
      <c r="AY98" s="46" cm="1">
        <f t="array" ref="AY98">ROUND(IFERROR(INDEX(ArchiveResults!$F$5:$IX$116,ComparisonData!A98,ComparisonData!$AY$1),0),5)</f>
        <v>0</v>
      </c>
      <c r="AZ98" s="46" cm="1">
        <f t="array" ref="AZ98">ROUND(IFERROR(INDEX(ArchiveResults!$F$5:$IX$116,ComparisonData!A98,ComparisonData!$AZ$1),0),5)</f>
        <v>0</v>
      </c>
      <c r="BA98" s="46" cm="1">
        <f t="array" ref="BA98">ROUND(IFERROR(INDEX(ArchiveResults!$F$5:$IX$116,ComparisonData!A98,ComparisonData!$BA$1),0),5)</f>
        <v>0</v>
      </c>
      <c r="BB98" s="56">
        <v>93</v>
      </c>
      <c r="BC98" s="53" t="str">
        <f t="shared" si="649"/>
        <v>University of Bangor</v>
      </c>
      <c r="BD98" s="60">
        <f t="shared" si="771"/>
        <v>0</v>
      </c>
      <c r="BE98" s="60">
        <f t="shared" si="772"/>
        <v>0</v>
      </c>
      <c r="BF98" s="60">
        <f t="shared" si="773"/>
        <v>0</v>
      </c>
      <c r="BG98" s="60">
        <f t="shared" si="774"/>
        <v>0</v>
      </c>
      <c r="BH98" s="60">
        <f t="shared" si="775"/>
        <v>0</v>
      </c>
      <c r="BI98" s="60">
        <f t="shared" si="776"/>
        <v>0</v>
      </c>
      <c r="BJ98" s="60">
        <f t="shared" si="777"/>
        <v>0</v>
      </c>
      <c r="BK98" s="60">
        <f t="shared" si="778"/>
        <v>0</v>
      </c>
      <c r="BL98" s="60">
        <f t="shared" si="779"/>
        <v>0</v>
      </c>
      <c r="BM98" s="59">
        <f t="shared" si="780"/>
        <v>0</v>
      </c>
      <c r="BN98" s="58">
        <f t="shared" si="781"/>
        <v>0</v>
      </c>
      <c r="BO98" s="45">
        <f t="shared" si="782"/>
        <v>34</v>
      </c>
      <c r="BP98" s="54">
        <f t="shared" si="650"/>
        <v>2.6039999999999996</v>
      </c>
      <c r="BQ98" s="45">
        <f t="shared" si="783"/>
        <v>1</v>
      </c>
      <c r="BR98" s="45">
        <f t="shared" si="784"/>
        <v>2</v>
      </c>
      <c r="BS98" s="46" cm="1">
        <f t="array" ref="BS98">ROUND(IFERROR(INDEX(ArchiveResults!$F$5:$IX$116,ComparisonData!A98,ComparisonData!$BS$1),0),5)</f>
        <v>0</v>
      </c>
      <c r="BT98" s="46" cm="1">
        <f t="array" ref="BT98">ROUND(IFERROR(INDEX(ArchiveResults!$F$5:$IX$116,ComparisonData!A98,ComparisonData!$BT$1),0),5)</f>
        <v>0</v>
      </c>
      <c r="BU98" s="46" cm="1">
        <f t="array" ref="BU98">ROUND(IFERROR(INDEX(ArchiveResults!$F$5:$IX$116,ComparisonData!A98,ComparisonData!$BU$1),0),5)</f>
        <v>0</v>
      </c>
      <c r="BV98" s="46" cm="1">
        <f t="array" ref="BV98">ROUND(IFERROR(INDEX(ArchiveResults!$F$5:$IX$116,ComparisonData!A98,ComparisonData!$BV$1),0),5)</f>
        <v>0</v>
      </c>
      <c r="BW98" s="46" cm="1">
        <f t="array" ref="BW98">ROUND(IFERROR(INDEX(ArchiveResults!$F$5:$IX$116,ComparisonData!A98,ComparisonData!$BW$1),0),5)</f>
        <v>0</v>
      </c>
      <c r="BX98" s="46" cm="1">
        <f t="array" ref="BX98">ROUND(IFERROR(INDEX(ArchiveResults!$F$5:$IX$116,ComparisonData!A98,ComparisonData!$BX$1),0),5)</f>
        <v>0</v>
      </c>
      <c r="BY98" s="56">
        <v>93</v>
      </c>
      <c r="BZ98" s="53" t="str">
        <f t="shared" si="651"/>
        <v>University of Bangor</v>
      </c>
      <c r="CA98" s="59">
        <f t="shared" si="785"/>
        <v>0</v>
      </c>
      <c r="CB98" s="59">
        <f t="shared" si="786"/>
        <v>0</v>
      </c>
      <c r="CC98" s="59">
        <f t="shared" si="787"/>
        <v>0</v>
      </c>
      <c r="CD98" s="59">
        <f t="shared" si="788"/>
        <v>0</v>
      </c>
      <c r="CE98" s="59">
        <f t="shared" si="789"/>
        <v>0</v>
      </c>
      <c r="CF98" s="59">
        <f t="shared" si="790"/>
        <v>0</v>
      </c>
      <c r="CG98" s="58">
        <f t="shared" si="791"/>
        <v>0</v>
      </c>
      <c r="CH98" s="45">
        <f t="shared" si="792"/>
        <v>34</v>
      </c>
      <c r="CI98" s="54">
        <f t="shared" si="652"/>
        <v>2.6039999999999996</v>
      </c>
      <c r="CJ98" s="45">
        <f t="shared" si="793"/>
        <v>1</v>
      </c>
      <c r="CK98" s="45">
        <f t="shared" si="794"/>
        <v>2</v>
      </c>
      <c r="CL98" s="46" cm="1">
        <f t="array" ref="CL98">ROUND(IFERROR(INDEX(ArchiveResults!$F$5:$IX$116,ComparisonData!A98,ComparisonData!$CL$1),0),5)</f>
        <v>0</v>
      </c>
      <c r="CM98" s="56">
        <v>93</v>
      </c>
      <c r="CN98" s="53" t="str">
        <f t="shared" si="653"/>
        <v>University of Bangor</v>
      </c>
      <c r="CO98" s="45">
        <f t="shared" si="795"/>
        <v>0</v>
      </c>
      <c r="CP98" s="58">
        <f t="shared" si="796"/>
        <v>0</v>
      </c>
      <c r="CQ98" s="45">
        <f t="shared" si="797"/>
        <v>34</v>
      </c>
      <c r="CR98" s="54">
        <f t="shared" si="654"/>
        <v>2.6039999999999996</v>
      </c>
      <c r="CS98" s="45">
        <f t="shared" si="798"/>
        <v>1</v>
      </c>
      <c r="CT98" s="45">
        <f t="shared" si="799"/>
        <v>2</v>
      </c>
      <c r="CU98" s="46" cm="1">
        <f t="array" ref="CU98">ROUND(IFERROR(INDEX(ArchiveResults!$F$5:$IX$116,ComparisonData!A98,ComparisonData!$CU$1),0),5)</f>
        <v>0</v>
      </c>
      <c r="CV98" s="56">
        <v>93</v>
      </c>
      <c r="CW98" s="53" t="str">
        <f t="shared" si="655"/>
        <v>University of Bangor</v>
      </c>
      <c r="CX98" s="45">
        <f t="shared" si="800"/>
        <v>0</v>
      </c>
      <c r="CY98" s="58">
        <f t="shared" si="801"/>
        <v>0</v>
      </c>
      <c r="CZ98" s="45">
        <f t="shared" si="802"/>
        <v>34</v>
      </c>
      <c r="DA98" s="54">
        <f t="shared" si="656"/>
        <v>2.6039999999999996</v>
      </c>
      <c r="DB98" s="45">
        <f t="shared" si="803"/>
        <v>1</v>
      </c>
      <c r="DC98" s="45">
        <f t="shared" si="804"/>
        <v>2</v>
      </c>
      <c r="DD98" s="46" cm="1">
        <f t="array" ref="DD98">ROUND(IFERROR(INDEX(ArchiveResults!$F$5:$IX$116,ComparisonData!A98,ComparisonData!$DD$1),0),5)</f>
        <v>0</v>
      </c>
      <c r="DE98" s="56">
        <v>93</v>
      </c>
      <c r="DF98" s="53" t="str">
        <f t="shared" si="657"/>
        <v>University of Bangor</v>
      </c>
      <c r="DG98" s="45">
        <f t="shared" si="805"/>
        <v>0</v>
      </c>
      <c r="DH98" s="58">
        <f t="shared" si="806"/>
        <v>0</v>
      </c>
      <c r="DI98" s="45">
        <f t="shared" si="807"/>
        <v>34</v>
      </c>
      <c r="DJ98" s="54">
        <f t="shared" si="658"/>
        <v>2.6039999999999996</v>
      </c>
      <c r="DK98" s="45">
        <f t="shared" si="808"/>
        <v>1</v>
      </c>
      <c r="DL98" s="45">
        <f t="shared" si="809"/>
        <v>2</v>
      </c>
      <c r="DM98" s="46" cm="1">
        <f t="array" ref="DM98">ROUND(IFERROR(INDEX(ArchiveResults!$F$5:$IX$116,ComparisonData!A98,ComparisonData!$DM$1),0),5)</f>
        <v>0</v>
      </c>
      <c r="DN98" s="46" cm="1">
        <f t="array" ref="DN98">ROUND(IFERROR(INDEX(ArchiveResults!$F$5:$IX$116,ComparisonData!A98,ComparisonData!$DN$1),0),5)</f>
        <v>0</v>
      </c>
      <c r="DO98" s="46" cm="1">
        <f t="array" ref="DO98">ROUND(IFERROR(INDEX(ArchiveResults!$F$5:$IX$116,ComparisonData!A98,ComparisonData!$DO$1),0),5)</f>
        <v>0</v>
      </c>
      <c r="DP98" s="46" cm="1">
        <f t="array" ref="DP98">ROUND(IFERROR(INDEX(ArchiveResults!$F$5:$IX$116,ComparisonData!A98,ComparisonData!$DP$1),0),5)</f>
        <v>0</v>
      </c>
      <c r="DQ98" s="45" cm="1">
        <f t="array" ref="DQ98">IFERROR(INDEX(ArchiveResults!$F$5:$IX$116,ComparisonData!A98,ComparisonData!$DQ$1),0)</f>
        <v>0</v>
      </c>
      <c r="DR98" s="56">
        <v>93</v>
      </c>
      <c r="DS98" s="53" t="str">
        <f t="shared" si="659"/>
        <v>University of Bangor</v>
      </c>
      <c r="DT98" s="59">
        <f t="shared" si="810"/>
        <v>0</v>
      </c>
      <c r="DU98" s="59">
        <f t="shared" si="811"/>
        <v>0</v>
      </c>
      <c r="DV98" s="59">
        <f t="shared" si="812"/>
        <v>0</v>
      </c>
      <c r="DW98" s="59">
        <f t="shared" si="813"/>
        <v>0</v>
      </c>
      <c r="DX98" s="59">
        <f t="shared" si="814"/>
        <v>0</v>
      </c>
      <c r="DY98" s="58">
        <f t="shared" si="815"/>
        <v>0</v>
      </c>
      <c r="DZ98" s="45">
        <f t="shared" si="816"/>
        <v>34</v>
      </c>
      <c r="EA98" s="54">
        <f t="shared" si="660"/>
        <v>2.6039999999999996</v>
      </c>
      <c r="EB98" s="45">
        <f t="shared" si="817"/>
        <v>1</v>
      </c>
      <c r="EC98" s="45">
        <f t="shared" si="818"/>
        <v>2</v>
      </c>
      <c r="ED98" s="46" cm="1">
        <f t="array" ref="ED98">ROUND(IFERROR(INDEX(ArchiveResults!$F$5:$IX$116,ComparisonData!A98,ComparisonData!$ED$1),0),5)</f>
        <v>0</v>
      </c>
      <c r="EE98" s="46" cm="1">
        <f t="array" ref="EE98">ROUND(IFERROR(INDEX(ArchiveResults!$F$5:$IX$116,ComparisonData!A98,ComparisonData!$EE$1),0),5)</f>
        <v>0</v>
      </c>
      <c r="EF98" s="46" cm="1">
        <f t="array" ref="EF98">ROUND(IFERROR(INDEX(ArchiveResults!$F$5:$IX$116,ComparisonData!A98,ComparisonData!$EF$1),0),5)</f>
        <v>0</v>
      </c>
      <c r="EG98" s="46" cm="1">
        <f t="array" ref="EG98">ROUND(IFERROR(INDEX(ArchiveResults!$F$5:$IX$116,ComparisonData!A98,ComparisonData!$EG$1),0),5)</f>
        <v>0</v>
      </c>
      <c r="EH98" s="45" cm="1">
        <f t="array" ref="EH98">IFERROR(INDEX(ArchiveResults!$F$5:$IX$116,ComparisonData!A98,ComparisonData!$EH$1),0)</f>
        <v>0</v>
      </c>
      <c r="EI98" s="56">
        <v>93</v>
      </c>
      <c r="EJ98" s="53" t="str">
        <f t="shared" si="661"/>
        <v>University of Bangor</v>
      </c>
      <c r="EK98" s="59">
        <f t="shared" si="819"/>
        <v>0</v>
      </c>
      <c r="EL98" s="59">
        <f t="shared" si="820"/>
        <v>0</v>
      </c>
      <c r="EM98" s="59">
        <f t="shared" si="821"/>
        <v>0</v>
      </c>
      <c r="EN98" s="59">
        <f t="shared" si="822"/>
        <v>0</v>
      </c>
      <c r="EO98" s="59">
        <f t="shared" si="823"/>
        <v>0</v>
      </c>
      <c r="EP98" s="58">
        <f t="shared" si="824"/>
        <v>0</v>
      </c>
      <c r="EQ98" s="45">
        <f t="shared" si="825"/>
        <v>34</v>
      </c>
      <c r="ER98" s="54">
        <f t="shared" si="662"/>
        <v>2.6039999999999996</v>
      </c>
      <c r="ES98" s="45">
        <f t="shared" si="826"/>
        <v>1</v>
      </c>
      <c r="ET98" s="45">
        <f t="shared" si="827"/>
        <v>2</v>
      </c>
      <c r="EU98" s="46" cm="1">
        <f t="array" ref="EU98">ROUND(IFERROR(INDEX(ArchiveResults!$F$5:$IX$116,ComparisonData!A98,ComparisonData!$EU$1),0),5)</f>
        <v>0</v>
      </c>
      <c r="EV98" s="46" cm="1">
        <f t="array" ref="EV98">ROUND(IFERROR(INDEX(ArchiveResults!$F$5:$IX$116,ComparisonData!A98,ComparisonData!$EV$1),0),5)</f>
        <v>0</v>
      </c>
      <c r="EW98" s="46" cm="1">
        <f t="array" ref="EW98">ROUND(IFERROR(INDEX(ArchiveResults!$F$5:$IX$116,ComparisonData!A98,ComparisonData!$EW$1),0),5)</f>
        <v>0</v>
      </c>
      <c r="EX98" s="46" cm="1">
        <f t="array" ref="EX98">ROUND(IFERROR(INDEX(ArchiveResults!$F$5:$IX$116,ComparisonData!A98,ComparisonData!$EX$1),0),5)</f>
        <v>0</v>
      </c>
      <c r="EY98" s="45" cm="1">
        <f t="array" ref="EY98">IFERROR(INDEX(ArchiveResults!$F$5:$IX$116,ComparisonData!A98,ComparisonData!$EY$1),0)</f>
        <v>0</v>
      </c>
      <c r="EZ98" s="56">
        <v>93</v>
      </c>
      <c r="FA98" s="53" t="str">
        <f t="shared" si="663"/>
        <v>University of Bangor</v>
      </c>
      <c r="FB98" s="59">
        <f t="shared" si="828"/>
        <v>0</v>
      </c>
      <c r="FC98" s="59">
        <f t="shared" si="829"/>
        <v>0</v>
      </c>
      <c r="FD98" s="59">
        <f t="shared" si="830"/>
        <v>0</v>
      </c>
      <c r="FE98" s="59">
        <f t="shared" si="831"/>
        <v>0</v>
      </c>
      <c r="FF98" s="59">
        <f t="shared" si="832"/>
        <v>0</v>
      </c>
      <c r="FG98" s="58">
        <f t="shared" si="833"/>
        <v>0</v>
      </c>
      <c r="FH98" s="45">
        <f t="shared" si="834"/>
        <v>34</v>
      </c>
      <c r="FI98" s="54">
        <f t="shared" si="664"/>
        <v>2.6039999999999996</v>
      </c>
      <c r="FJ98" s="45">
        <f t="shared" si="835"/>
        <v>1</v>
      </c>
      <c r="FK98" s="45">
        <f t="shared" si="836"/>
        <v>2</v>
      </c>
      <c r="FL98" s="46" cm="1">
        <f t="array" ref="FL98">ROUND(IFERROR(INDEX(ArchiveResults!$F$5:$IX$116,ComparisonData!A98,ComparisonData!$FL$1),0),5)</f>
        <v>0</v>
      </c>
      <c r="FM98" s="46" cm="1">
        <f t="array" ref="FM98">ROUND(IFERROR(INDEX(ArchiveResults!$F$5:$IX$116,ComparisonData!A98,ComparisonData!$FM$1),0),5)</f>
        <v>0</v>
      </c>
      <c r="FN98" s="46" cm="1">
        <f t="array" ref="FN98">ROUND(IFERROR(INDEX(ArchiveResults!$F$5:$IX$116,ComparisonData!A98,ComparisonData!$FN$1),0),5)</f>
        <v>0</v>
      </c>
      <c r="FO98" s="46" cm="1">
        <f t="array" ref="FO98">ROUND(IFERROR(INDEX(ArchiveResults!$F$5:$IX$116,ComparisonData!A98,ComparisonData!$FO$1),0),5)</f>
        <v>0</v>
      </c>
      <c r="FP98" s="45" cm="1">
        <f t="array" ref="FP98">IFERROR(INDEX(ArchiveResults!$F$5:$IX$116,ComparisonData!A98,ComparisonData!$FP$1),0)</f>
        <v>0</v>
      </c>
      <c r="FQ98" s="56">
        <v>93</v>
      </c>
      <c r="FR98" s="53" t="str">
        <f t="shared" si="665"/>
        <v>University of Bangor</v>
      </c>
      <c r="FS98" s="59">
        <f t="shared" si="837"/>
        <v>0</v>
      </c>
      <c r="FT98" s="59">
        <f t="shared" si="838"/>
        <v>0</v>
      </c>
      <c r="FU98" s="59">
        <f t="shared" si="839"/>
        <v>0</v>
      </c>
      <c r="FV98" s="59">
        <f t="shared" si="840"/>
        <v>0</v>
      </c>
      <c r="FW98" s="59">
        <f t="shared" si="841"/>
        <v>0</v>
      </c>
      <c r="FX98" s="58">
        <f t="shared" si="842"/>
        <v>0</v>
      </c>
      <c r="FY98" s="45">
        <f t="shared" si="843"/>
        <v>34</v>
      </c>
      <c r="FZ98" s="45">
        <f t="shared" si="666"/>
        <v>2.6039999999999996</v>
      </c>
      <c r="GA98" s="45">
        <f t="shared" si="844"/>
        <v>1</v>
      </c>
      <c r="GB98" s="45">
        <f t="shared" si="845"/>
        <v>2</v>
      </c>
      <c r="GC98" s="46" cm="1">
        <f t="array" ref="GC98">ROUND(IFERROR(INDEX(ArchiveResults!$F$5:$IX$116,ComparisonData!A98,ComparisonData!$GC$1),0),5)</f>
        <v>0</v>
      </c>
      <c r="GD98" s="46" cm="1">
        <f t="array" ref="GD98">ROUND(IFERROR(INDEX(ArchiveResults!$F$5:$IX$116,ComparisonData!A98,ComparisonData!$GD$1),0),5)</f>
        <v>0</v>
      </c>
      <c r="GE98" s="46" cm="1">
        <f t="array" ref="GE98">ROUND(IFERROR(INDEX(ArchiveResults!$F$5:$IX$116,ComparisonData!A98,ComparisonData!$GE$1),0),5)</f>
        <v>0</v>
      </c>
      <c r="GF98" s="46" cm="1">
        <f t="array" ref="GF98">ROUND(IFERROR(INDEX(ArchiveResults!$F$5:$IX$116,ComparisonData!A98,ComparisonData!$GF$1),0),5)</f>
        <v>0</v>
      </c>
      <c r="GG98" s="45" cm="1">
        <f t="array" ref="GG98">IFERROR(INDEX(ArchiveResults!$F$5:$IX$116,ComparisonData!A98,ComparisonData!$GG$1),0)</f>
        <v>0</v>
      </c>
      <c r="GH98" s="56">
        <v>93</v>
      </c>
      <c r="GI98" s="53" t="str">
        <f t="shared" si="667"/>
        <v>University of Bangor</v>
      </c>
      <c r="GJ98" s="59">
        <f t="shared" si="846"/>
        <v>0</v>
      </c>
      <c r="GK98" s="59">
        <f t="shared" si="847"/>
        <v>0</v>
      </c>
      <c r="GL98" s="59">
        <f t="shared" si="848"/>
        <v>0</v>
      </c>
      <c r="GM98" s="59">
        <f t="shared" si="849"/>
        <v>0</v>
      </c>
      <c r="GN98" s="59">
        <f t="shared" si="850"/>
        <v>0</v>
      </c>
      <c r="GO98" s="58">
        <f t="shared" si="851"/>
        <v>0</v>
      </c>
      <c r="GP98" s="45">
        <f t="shared" si="852"/>
        <v>34</v>
      </c>
      <c r="GQ98" s="45">
        <f t="shared" si="668"/>
        <v>2.6039999999999996</v>
      </c>
      <c r="GR98" s="45">
        <f t="shared" si="853"/>
        <v>1</v>
      </c>
      <c r="GS98" s="45">
        <f t="shared" si="854"/>
        <v>2</v>
      </c>
      <c r="GT98" s="46" cm="1">
        <f t="array" ref="GT98">ROUND(IFERROR(INDEX(ArchiveResults!$F$5:$IX$116,ComparisonData!A98,ComparisonData!$GT$1),0),5)</f>
        <v>0</v>
      </c>
      <c r="GU98" s="46" cm="1">
        <f t="array" ref="GU98">ROUND(IFERROR(INDEX(ArchiveResults!$F$5:$IX$116,ComparisonData!A98,ComparisonData!$GU$1),0),5)</f>
        <v>0</v>
      </c>
      <c r="GV98" s="46" cm="1">
        <f t="array" ref="GV98">ROUND(IFERROR(INDEX(ArchiveResults!$F$5:$IX$116,ComparisonData!A98,ComparisonData!$GV$1),0),5)</f>
        <v>0</v>
      </c>
      <c r="GW98" s="46" cm="1">
        <f t="array" ref="GW98">ROUND(IFERROR(INDEX(ArchiveResults!$F$5:$IX$116,ComparisonData!A98,ComparisonData!$GW$1),0),5)</f>
        <v>0</v>
      </c>
      <c r="GX98" s="45" cm="1">
        <f t="array" ref="GX98">IFERROR(INDEX(ArchiveResults!$F$5:$IX$116,ComparisonData!A98,ComparisonData!$GX$1),0)</f>
        <v>0</v>
      </c>
      <c r="GY98" s="56">
        <v>93</v>
      </c>
      <c r="GZ98" s="53" t="str">
        <f t="shared" si="669"/>
        <v>University of Bangor</v>
      </c>
      <c r="HA98" s="59">
        <f t="shared" si="855"/>
        <v>0</v>
      </c>
      <c r="HB98" s="59">
        <f t="shared" si="856"/>
        <v>0</v>
      </c>
      <c r="HC98" s="59">
        <f t="shared" si="857"/>
        <v>0</v>
      </c>
      <c r="HD98" s="59">
        <f t="shared" si="858"/>
        <v>0</v>
      </c>
      <c r="HE98" s="59">
        <f t="shared" si="859"/>
        <v>0</v>
      </c>
      <c r="HF98" s="58">
        <f t="shared" si="860"/>
        <v>0</v>
      </c>
      <c r="HG98" s="45">
        <f t="shared" si="861"/>
        <v>34</v>
      </c>
      <c r="HH98" s="45">
        <f t="shared" si="670"/>
        <v>2.6039999999999996</v>
      </c>
      <c r="HI98" s="45">
        <f t="shared" si="862"/>
        <v>1</v>
      </c>
      <c r="HJ98" s="45">
        <f t="shared" si="863"/>
        <v>2</v>
      </c>
      <c r="HK98" s="46" cm="1">
        <f t="array" ref="HK98">ROUND(IFERROR(INDEX(ArchiveResults!$F$5:$IX$116,ComparisonData!A98,ComparisonData!$HK$1),0),5)</f>
        <v>0</v>
      </c>
      <c r="HL98" s="46" cm="1">
        <f t="array" ref="HL98">ROUND(IFERROR(INDEX(ArchiveResults!$F$5:$IX$116,ComparisonData!A98,ComparisonData!$HL$1),0),5)</f>
        <v>0</v>
      </c>
      <c r="HM98" s="46" cm="1">
        <f t="array" ref="HM98">ROUND(IFERROR(INDEX(ArchiveResults!$F$5:$IX$116,ComparisonData!A98,ComparisonData!$HM$1),0),5)</f>
        <v>0</v>
      </c>
      <c r="HN98" s="46" cm="1">
        <f t="array" ref="HN98">ROUND(IFERROR(INDEX(ArchiveResults!$F$5:$IX$116,ComparisonData!A98,ComparisonData!$HN$1),0),5)</f>
        <v>0</v>
      </c>
      <c r="HO98" s="45" cm="1">
        <f t="array" ref="HO98">IFERROR(INDEX(ArchiveResults!$F$5:$IX$116,ComparisonData!A98,ComparisonData!$HO$1),0)</f>
        <v>0</v>
      </c>
      <c r="HP98" s="56">
        <v>93</v>
      </c>
      <c r="HQ98" s="53" t="str">
        <f t="shared" si="671"/>
        <v>University of Bangor</v>
      </c>
      <c r="HR98" s="59">
        <f t="shared" si="672"/>
        <v>0</v>
      </c>
      <c r="HS98" s="59">
        <f t="shared" si="673"/>
        <v>0</v>
      </c>
      <c r="HT98" s="59">
        <f t="shared" si="674"/>
        <v>0</v>
      </c>
      <c r="HU98" s="59">
        <f t="shared" si="675"/>
        <v>0</v>
      </c>
      <c r="HV98" s="59">
        <f t="shared" si="676"/>
        <v>0</v>
      </c>
      <c r="HW98" s="58">
        <f t="shared" si="864"/>
        <v>0</v>
      </c>
      <c r="HX98" s="45">
        <f t="shared" si="865"/>
        <v>34</v>
      </c>
      <c r="HY98" s="45">
        <f t="shared" si="677"/>
        <v>2.6039999999999996</v>
      </c>
      <c r="HZ98" s="45">
        <f t="shared" si="866"/>
        <v>1</v>
      </c>
      <c r="IA98" s="45">
        <f t="shared" si="867"/>
        <v>2</v>
      </c>
      <c r="IB98" s="45">
        <f t="shared" si="868"/>
        <v>0</v>
      </c>
      <c r="IC98" s="46" cm="1">
        <f t="array" ref="IC98">ROUND(IFERROR(INDEX(ArchiveResults!$F$5:$IX$116,ComparisonData!A98,ComparisonData!$IC$1),0),5)</f>
        <v>0</v>
      </c>
      <c r="ID98" s="46" cm="1">
        <f t="array" ref="ID98">ROUND(IFERROR(INDEX(ArchiveResults!$F$5:$IX$116,ComparisonData!A98,ComparisonData!$ID$1),0),5)</f>
        <v>0</v>
      </c>
      <c r="IE98" s="46" cm="1">
        <f t="array" ref="IE98">ROUND(IFERROR(INDEX(ArchiveResults!$F$5:$IX$116,ComparisonData!A98,ComparisonData!$IE$1),0),5)</f>
        <v>0</v>
      </c>
      <c r="IF98" s="46" cm="1">
        <f t="array" ref="IF98">ROUND(IFERROR(INDEX(ArchiveResults!$F$5:$IX$116,ComparisonData!A98,ComparisonData!$IF$1),0),5)</f>
        <v>0</v>
      </c>
      <c r="IG98" s="45" cm="1">
        <f t="array" ref="IG98">IFERROR(INDEX(ArchiveResults!$F$5:$IX$116,ComparisonData!A98,ComparisonData!$IG$1),0)</f>
        <v>0</v>
      </c>
      <c r="IH98" s="56">
        <v>93</v>
      </c>
      <c r="II98" s="53" t="str">
        <f t="shared" si="678"/>
        <v>University of Bangor</v>
      </c>
      <c r="IJ98" s="59">
        <f t="shared" si="869"/>
        <v>0</v>
      </c>
      <c r="IK98" s="59">
        <f t="shared" si="870"/>
        <v>0</v>
      </c>
      <c r="IL98" s="59">
        <f t="shared" si="871"/>
        <v>0</v>
      </c>
      <c r="IM98" s="59">
        <f t="shared" si="872"/>
        <v>0</v>
      </c>
      <c r="IN98" s="59">
        <f t="shared" si="873"/>
        <v>0</v>
      </c>
      <c r="IO98" s="58">
        <f t="shared" si="874"/>
        <v>0</v>
      </c>
      <c r="IP98" s="45">
        <f t="shared" si="875"/>
        <v>34</v>
      </c>
      <c r="IQ98" s="45">
        <f t="shared" si="679"/>
        <v>2.6039999999999996</v>
      </c>
      <c r="IR98" s="45">
        <f t="shared" si="876"/>
        <v>1</v>
      </c>
      <c r="IS98" s="45">
        <f t="shared" si="877"/>
        <v>2</v>
      </c>
      <c r="IT98" s="46">
        <f t="shared" si="878"/>
        <v>0</v>
      </c>
      <c r="IU98" s="46" cm="1">
        <f t="array" ref="IU98">ROUND(IFERROR(INDEX(ArchiveResults!$F$5:$IX$116,ComparisonData!A98,ComparisonData!$IU$1),0),5)</f>
        <v>0</v>
      </c>
      <c r="IV98" s="46" cm="1">
        <f t="array" ref="IV98">ROUND(IFERROR(INDEX(ArchiveResults!$F$5:$IX$116,ComparisonData!A98,ComparisonData!$IV$1),0),5)</f>
        <v>0</v>
      </c>
      <c r="IW98" s="46" cm="1">
        <f t="array" ref="IW98">ROUND(IFERROR(INDEX(ArchiveResults!$F$5:$IX$116,ComparisonData!A98,ComparisonData!$IW$1),0),5)</f>
        <v>0</v>
      </c>
      <c r="IX98" s="46" cm="1">
        <f t="array" ref="IX98">ROUND(IFERROR(INDEX(ArchiveResults!$F$5:$IX$116,ComparisonData!A98,ComparisonData!$IX$1),0),5)</f>
        <v>0</v>
      </c>
      <c r="IY98" s="45" cm="1">
        <f t="array" ref="IY98">IFERROR(INDEX(ArchiveResults!$F$5:$IX$116,ComparisonData!A98,ComparisonData!$IY$1),0)</f>
        <v>0</v>
      </c>
      <c r="IZ98" s="56">
        <v>93</v>
      </c>
      <c r="JA98" s="53" t="str">
        <f t="shared" si="680"/>
        <v>University of Bangor</v>
      </c>
      <c r="JB98" s="59">
        <f t="shared" si="879"/>
        <v>0</v>
      </c>
      <c r="JC98" s="59">
        <f t="shared" si="880"/>
        <v>0</v>
      </c>
      <c r="JD98" s="59">
        <f t="shared" si="881"/>
        <v>0</v>
      </c>
      <c r="JE98" s="59">
        <f t="shared" si="882"/>
        <v>0</v>
      </c>
      <c r="JF98" s="59">
        <f t="shared" si="883"/>
        <v>0</v>
      </c>
      <c r="JG98" s="58">
        <f t="shared" si="884"/>
        <v>0</v>
      </c>
      <c r="JH98" s="45">
        <f t="shared" si="885"/>
        <v>34</v>
      </c>
      <c r="JI98" s="45">
        <f t="shared" si="681"/>
        <v>2.6039999999999996</v>
      </c>
      <c r="JJ98" s="45">
        <f t="shared" si="886"/>
        <v>1</v>
      </c>
      <c r="JK98" s="45">
        <f t="shared" si="887"/>
        <v>2</v>
      </c>
      <c r="JL98" s="45">
        <f t="shared" si="888"/>
        <v>0</v>
      </c>
      <c r="JM98" s="46" cm="1">
        <f t="array" ref="JM98">ROUND(IFERROR(INDEX(ArchiveResults!$F$5:$IX$116,ComparisonData!A98,ComparisonData!$JM$1),0),5)</f>
        <v>0</v>
      </c>
      <c r="JN98" s="46" cm="1">
        <f t="array" ref="JN98">ROUND(IFERROR(INDEX(ArchiveResults!$F$5:$IX$116,ComparisonData!A98,ComparisonData!$JN$1),0),5)</f>
        <v>0</v>
      </c>
      <c r="JO98" s="46" cm="1">
        <f t="array" ref="JO98">ROUND(IFERROR(INDEX(ArchiveResults!$F$5:$IX$116,ComparisonData!A98,ComparisonData!$JO$1),0),5)</f>
        <v>0</v>
      </c>
      <c r="JP98" s="46" cm="1">
        <f t="array" ref="JP98">ROUND(IFERROR(INDEX(ArchiveResults!$F$5:$IX$116,ComparisonData!A98,ComparisonData!$JP$1),0),5)</f>
        <v>0</v>
      </c>
      <c r="JQ98" s="45" cm="1">
        <f t="array" ref="JQ98">IFERROR(INDEX(ArchiveResults!$F$5:$IX$116,ComparisonData!A98,ComparisonData!$JQ$1),0)</f>
        <v>0</v>
      </c>
      <c r="JR98" s="56">
        <v>93</v>
      </c>
      <c r="JS98" s="53" t="str">
        <f t="shared" si="682"/>
        <v>University of Bangor</v>
      </c>
      <c r="JT98" s="59">
        <f t="shared" si="889"/>
        <v>0</v>
      </c>
      <c r="JU98" s="59">
        <f t="shared" si="890"/>
        <v>0</v>
      </c>
      <c r="JV98" s="59">
        <f t="shared" si="891"/>
        <v>0</v>
      </c>
      <c r="JW98" s="59">
        <f t="shared" si="892"/>
        <v>0</v>
      </c>
      <c r="JX98" s="59">
        <f t="shared" si="893"/>
        <v>0</v>
      </c>
      <c r="JY98" s="58">
        <f t="shared" si="894"/>
        <v>0</v>
      </c>
      <c r="JZ98" s="45">
        <f t="shared" si="895"/>
        <v>34</v>
      </c>
      <c r="KA98" s="45">
        <f t="shared" si="683"/>
        <v>2.6039999999999996</v>
      </c>
      <c r="KB98" s="45">
        <f t="shared" si="896"/>
        <v>1</v>
      </c>
      <c r="KC98" s="45">
        <f t="shared" si="897"/>
        <v>2</v>
      </c>
      <c r="KD98" s="45">
        <f t="shared" si="898"/>
        <v>0</v>
      </c>
      <c r="KE98" s="46" cm="1">
        <f t="array" ref="KE98">ROUND(IFERROR(INDEX(ArchiveResults!$F$5:$IX$116,ComparisonData!A98,ComparisonData!$KE$1),0),5)</f>
        <v>0</v>
      </c>
      <c r="KF98" s="46" cm="1">
        <f t="array" ref="KF98">ROUND(IFERROR(INDEX(ArchiveResults!$F$5:$IX$116,ComparisonData!A98,ComparisonData!$KF$1),0),5)</f>
        <v>0</v>
      </c>
      <c r="KG98" s="46" cm="1">
        <f t="array" ref="KG98">ROUND(IFERROR(INDEX(ArchiveResults!$F$5:$IX$116,ComparisonData!A98,ComparisonData!$KG$1),0),5)</f>
        <v>0</v>
      </c>
      <c r="KH98" s="46" cm="1">
        <f t="array" ref="KH98">ROUND(IFERROR(INDEX(ArchiveResults!$F$5:$IX$116,ComparisonData!A98,ComparisonData!$KH$1),0),5)</f>
        <v>0</v>
      </c>
      <c r="KI98" s="45" cm="1">
        <f t="array" ref="KI98">IFERROR(INDEX(ArchiveResults!$F$5:$IX$116,ComparisonData!A98,ComparisonData!$KI$1),0)</f>
        <v>0</v>
      </c>
      <c r="KJ98" s="56">
        <v>93</v>
      </c>
      <c r="KK98" s="53" t="str">
        <f t="shared" si="684"/>
        <v>University of Bangor</v>
      </c>
      <c r="KL98" s="59">
        <f t="shared" si="899"/>
        <v>0</v>
      </c>
      <c r="KM98" s="59">
        <f t="shared" si="900"/>
        <v>0</v>
      </c>
      <c r="KN98" s="59">
        <f t="shared" si="901"/>
        <v>0</v>
      </c>
      <c r="KO98" s="59">
        <f t="shared" si="902"/>
        <v>0</v>
      </c>
      <c r="KP98" s="59">
        <f t="shared" si="903"/>
        <v>0</v>
      </c>
      <c r="KQ98" s="58">
        <f t="shared" si="904"/>
        <v>0</v>
      </c>
      <c r="KR98" s="45">
        <f t="shared" si="905"/>
        <v>34</v>
      </c>
      <c r="KS98" s="45">
        <f t="shared" si="685"/>
        <v>2.6039999999999996</v>
      </c>
      <c r="KT98" s="45">
        <f t="shared" si="906"/>
        <v>1</v>
      </c>
      <c r="KU98" s="45">
        <f t="shared" si="907"/>
        <v>2</v>
      </c>
      <c r="KV98" s="45">
        <f t="shared" si="908"/>
        <v>0</v>
      </c>
      <c r="KW98" s="46" cm="1">
        <f t="array" ref="KW98">ROUND(IFERROR(INDEX(ArchiveResults!$F$5:$IX$116,ComparisonData!A98,ComparisonData!$KW$1),0),5)</f>
        <v>0</v>
      </c>
      <c r="KX98" s="46" cm="1">
        <f t="array" ref="KX98">ROUND(IFERROR(INDEX(ArchiveResults!$F$5:$IX$116,ComparisonData!A98,ComparisonData!$KX$1),0),5)</f>
        <v>0</v>
      </c>
      <c r="KY98" s="46" cm="1">
        <f t="array" ref="KY98">ROUND(IFERROR(INDEX(ArchiveResults!$F$5:$IX$116,ComparisonData!A98,ComparisonData!$KY$1),0),5)</f>
        <v>0</v>
      </c>
      <c r="KZ98" s="46" cm="1">
        <f t="array" ref="KZ98">ROUND(IFERROR(INDEX(ArchiveResults!$F$5:$IX$116,ComparisonData!A98,ComparisonData!$KZ$1),0),5)</f>
        <v>0</v>
      </c>
      <c r="LA98" s="45" cm="1">
        <f t="array" ref="LA98">IFERROR(INDEX(ArchiveResults!$F$5:$IX$116,ComparisonData!A98,ComparisonData!$LA$1),0)</f>
        <v>0</v>
      </c>
      <c r="LB98" s="56">
        <v>93</v>
      </c>
      <c r="LC98" s="53" t="str">
        <f t="shared" si="686"/>
        <v>University of Bangor</v>
      </c>
      <c r="LD98" s="59">
        <f t="shared" si="909"/>
        <v>0</v>
      </c>
      <c r="LE98" s="59">
        <f t="shared" si="910"/>
        <v>0</v>
      </c>
      <c r="LF98" s="59">
        <f t="shared" si="911"/>
        <v>0</v>
      </c>
      <c r="LG98" s="59">
        <f t="shared" si="912"/>
        <v>0</v>
      </c>
      <c r="LH98" s="59">
        <f t="shared" si="913"/>
        <v>0</v>
      </c>
      <c r="LI98" s="58">
        <f t="shared" si="914"/>
        <v>0</v>
      </c>
      <c r="LJ98" s="45">
        <f t="shared" si="915"/>
        <v>34</v>
      </c>
      <c r="LK98" s="45">
        <f t="shared" si="687"/>
        <v>2.6039999999999996</v>
      </c>
      <c r="LL98" s="45">
        <f t="shared" si="916"/>
        <v>1</v>
      </c>
      <c r="LM98" s="45">
        <f t="shared" si="917"/>
        <v>2</v>
      </c>
      <c r="LN98" s="45">
        <f t="shared" si="918"/>
        <v>0</v>
      </c>
      <c r="LO98" s="46" cm="1">
        <f t="array" ref="LO98">ROUND(IFERROR(INDEX(ArchiveResults!$F$5:$IX$116,ComparisonData!A98,ComparisonData!$LO$1),0),5)</f>
        <v>0</v>
      </c>
      <c r="LP98" s="46" cm="1">
        <f t="array" ref="LP98">ROUND(IFERROR(INDEX(ArchiveResults!$F$5:$IX$116,ComparisonData!A98,ComparisonData!$LP$1),0),5)</f>
        <v>0</v>
      </c>
      <c r="LQ98" s="46" cm="1">
        <f t="array" ref="LQ98">ROUND(IFERROR(INDEX(ArchiveResults!$F$5:$IX$116,ComparisonData!A98,ComparisonData!$LQ$1),0),5)</f>
        <v>0</v>
      </c>
      <c r="LR98" s="46" cm="1">
        <f t="array" ref="LR98">ROUND(IFERROR(INDEX(ArchiveResults!$F$5:$IX$116,ComparisonData!A98,ComparisonData!$LR$1),0),5)</f>
        <v>0</v>
      </c>
      <c r="LS98" s="45" cm="1">
        <f t="array" ref="LS98">IFERROR(INDEX(ArchiveResults!$F$5:$IX$116,ComparisonData!A98,ComparisonData!$LS$1),0)</f>
        <v>0</v>
      </c>
      <c r="LT98" s="56">
        <v>93</v>
      </c>
      <c r="LU98" s="53" t="str">
        <f t="shared" si="688"/>
        <v>University of Bangor</v>
      </c>
      <c r="LV98" s="59">
        <f t="shared" si="919"/>
        <v>0</v>
      </c>
      <c r="LW98" s="59">
        <f t="shared" si="920"/>
        <v>0</v>
      </c>
      <c r="LX98" s="59">
        <f t="shared" si="921"/>
        <v>0</v>
      </c>
      <c r="LY98" s="59">
        <f t="shared" si="922"/>
        <v>0</v>
      </c>
      <c r="LZ98" s="59">
        <f t="shared" si="923"/>
        <v>0</v>
      </c>
      <c r="MA98" s="58">
        <f t="shared" si="924"/>
        <v>0</v>
      </c>
      <c r="MB98" s="45">
        <f t="shared" si="925"/>
        <v>34</v>
      </c>
      <c r="MC98" s="45">
        <f t="shared" si="689"/>
        <v>2.6039999999999996</v>
      </c>
      <c r="MD98" s="45">
        <f t="shared" si="926"/>
        <v>1</v>
      </c>
      <c r="ME98" s="45">
        <f t="shared" si="927"/>
        <v>2</v>
      </c>
      <c r="MF98" s="45">
        <f t="shared" si="928"/>
        <v>0</v>
      </c>
      <c r="MG98" s="46" cm="1">
        <f t="array" ref="MG98">ROUND(IFERROR(INDEX(ArchiveResults!$F$5:$IX$116,ComparisonData!A98,ComparisonData!$MG$1),0),5)</f>
        <v>0</v>
      </c>
      <c r="MH98" s="46" cm="1">
        <f t="array" ref="MH98">ROUND(IFERROR(INDEX(ArchiveResults!$F$5:$IX$116,ComparisonData!A98,ComparisonData!$MH$1),0),5)</f>
        <v>0</v>
      </c>
      <c r="MI98" s="46" cm="1">
        <f t="array" ref="MI98">ROUND(IFERROR(INDEX(ArchiveResults!$F$5:$IX$116,ComparisonData!A98,ComparisonData!$MI$1),0),5)</f>
        <v>0</v>
      </c>
      <c r="MJ98" s="46" cm="1">
        <f t="array" ref="MJ98">ROUND(IFERROR(INDEX(ArchiveResults!$F$5:$IX$116,ComparisonData!A98,ComparisonData!$MJ$1),0),5)</f>
        <v>0</v>
      </c>
      <c r="MK98" s="45" cm="1">
        <f t="array" ref="MK98">IFERROR(INDEX(ArchiveResults!$F$5:$IX$116,ComparisonData!A98,ComparisonData!$MK$1),0)</f>
        <v>0</v>
      </c>
      <c r="ML98" s="56">
        <v>93</v>
      </c>
      <c r="MM98" s="53" t="str">
        <f t="shared" si="690"/>
        <v>University of Bangor</v>
      </c>
      <c r="MN98" s="59">
        <f t="shared" si="929"/>
        <v>0</v>
      </c>
      <c r="MO98" s="59">
        <f t="shared" si="930"/>
        <v>0</v>
      </c>
      <c r="MP98" s="59">
        <f t="shared" si="931"/>
        <v>0</v>
      </c>
      <c r="MQ98" s="59">
        <f t="shared" si="932"/>
        <v>0</v>
      </c>
      <c r="MR98" s="59">
        <f t="shared" si="933"/>
        <v>0</v>
      </c>
      <c r="MS98" s="58">
        <f t="shared" si="934"/>
        <v>0</v>
      </c>
      <c r="MT98" s="45">
        <f t="shared" si="935"/>
        <v>34</v>
      </c>
      <c r="MU98" s="45">
        <f t="shared" si="691"/>
        <v>2.6039999999999996</v>
      </c>
      <c r="MV98" s="45">
        <f t="shared" si="936"/>
        <v>1</v>
      </c>
      <c r="MW98" s="45">
        <f t="shared" si="937"/>
        <v>2</v>
      </c>
      <c r="MX98" s="45">
        <f t="shared" si="938"/>
        <v>0</v>
      </c>
      <c r="MY98" s="46" cm="1">
        <f t="array" ref="MY98">ROUND(IFERROR(INDEX(ArchiveResults!$F$5:$IX$116,ComparisonData!A98,ComparisonData!$MY$1),0),5)</f>
        <v>0</v>
      </c>
      <c r="MZ98" s="46" cm="1">
        <f t="array" ref="MZ98">ROUND(IFERROR(INDEX(ArchiveResults!$F$5:$IX$116,ComparisonData!A98,ComparisonData!$MZ$1),0),5)</f>
        <v>0</v>
      </c>
      <c r="NA98" s="46" cm="1">
        <f t="array" ref="NA98">ROUND(IFERROR(INDEX(ArchiveResults!$F$5:$IX$116,ComparisonData!A98,ComparisonData!$NA$1),0),5)</f>
        <v>0</v>
      </c>
      <c r="NB98" s="46" cm="1">
        <f t="array" ref="NB98">ROUND(IFERROR(INDEX(ArchiveResults!$F$5:$IX$116,ComparisonData!A98,ComparisonData!$NB$1),0),5)</f>
        <v>0</v>
      </c>
      <c r="NC98" s="45" cm="1">
        <f t="array" ref="NC98">IFERROR(INDEX(ArchiveResults!$F$5:$IX$116,ComparisonData!A98,ComparisonData!$NC$1),0)</f>
        <v>0</v>
      </c>
      <c r="ND98" s="56">
        <v>93</v>
      </c>
      <c r="NE98" s="53" t="str">
        <f t="shared" si="692"/>
        <v>University of Bangor</v>
      </c>
      <c r="NF98" s="59">
        <f t="shared" si="939"/>
        <v>0</v>
      </c>
      <c r="NG98" s="59">
        <f t="shared" si="940"/>
        <v>0</v>
      </c>
      <c r="NH98" s="59">
        <f t="shared" si="941"/>
        <v>0</v>
      </c>
      <c r="NI98" s="59">
        <f t="shared" si="942"/>
        <v>0</v>
      </c>
      <c r="NJ98" s="59">
        <f t="shared" si="943"/>
        <v>0</v>
      </c>
      <c r="NK98" s="58">
        <f t="shared" si="944"/>
        <v>0</v>
      </c>
      <c r="NL98" s="45">
        <f t="shared" si="945"/>
        <v>34</v>
      </c>
      <c r="NM98" s="45">
        <f t="shared" si="693"/>
        <v>2.6039999999999996</v>
      </c>
      <c r="NN98" s="45">
        <f t="shared" si="946"/>
        <v>1</v>
      </c>
      <c r="NO98" s="45">
        <f t="shared" si="947"/>
        <v>2</v>
      </c>
      <c r="NP98" s="46" cm="1">
        <f t="array" ref="NP98">ROUND(IFERROR(INDEX(ArchiveResults!$F$5:$IX$116,ComparisonData!A98,ComparisonData!$NP$1),0),5)</f>
        <v>0</v>
      </c>
      <c r="NQ98" s="46" cm="1">
        <f t="array" ref="NQ98">ROUND(IFERROR(INDEX(ArchiveResults!$F$5:$IX$116,ComparisonData!A98,ComparisonData!$NQ$1),0),5)</f>
        <v>0</v>
      </c>
      <c r="NR98" s="46" cm="1">
        <f t="array" ref="NR98">ROUND(IFERROR(INDEX(ArchiveResults!$F$5:$IX$116,ComparisonData!A98,ComparisonData!$NR$1),0),5)</f>
        <v>0</v>
      </c>
      <c r="NS98" s="46" cm="1">
        <f t="array" ref="NS98">ROUND(IFERROR(INDEX(ArchiveResults!$F$5:$IX$116,ComparisonData!A98,ComparisonData!$NS$1),0),5)</f>
        <v>0</v>
      </c>
      <c r="NT98" s="45" cm="1">
        <f t="array" ref="NT98">IFERROR(INDEX(ArchiveResults!$F$5:$IX$116,ComparisonData!A98,ComparisonData!$NT$1),0)</f>
        <v>0</v>
      </c>
      <c r="NU98" s="56">
        <v>93</v>
      </c>
      <c r="NV98" s="53" t="str">
        <f t="shared" si="694"/>
        <v>University of Bangor</v>
      </c>
      <c r="NW98" s="59">
        <f t="shared" si="948"/>
        <v>0</v>
      </c>
      <c r="NX98" s="59">
        <f t="shared" si="949"/>
        <v>0</v>
      </c>
      <c r="NY98" s="59">
        <f t="shared" si="950"/>
        <v>0</v>
      </c>
      <c r="NZ98" s="59">
        <f t="shared" si="951"/>
        <v>0</v>
      </c>
      <c r="OA98" s="59">
        <f t="shared" si="952"/>
        <v>0</v>
      </c>
      <c r="OB98" s="58">
        <f t="shared" si="953"/>
        <v>0</v>
      </c>
      <c r="OC98" s="45">
        <f t="shared" si="954"/>
        <v>34</v>
      </c>
      <c r="OD98" s="45">
        <f t="shared" si="695"/>
        <v>2.6039999999999996</v>
      </c>
      <c r="OE98" s="45">
        <f t="shared" si="955"/>
        <v>1</v>
      </c>
      <c r="OF98" s="45">
        <f t="shared" si="956"/>
        <v>2</v>
      </c>
      <c r="OG98" s="46">
        <f t="shared" si="957"/>
        <v>0</v>
      </c>
      <c r="OH98" s="46" cm="1">
        <f t="array" ref="OH98">ROUND(IFERROR(INDEX(ArchiveResults!$F$5:$IX$116,ComparisonData!A98,ComparisonData!$OH$1),0),5)</f>
        <v>0</v>
      </c>
      <c r="OI98" s="46" cm="1">
        <f t="array" ref="OI98">ROUND(IFERROR(INDEX(ArchiveResults!$F$5:$IX$116,ComparisonData!A98,ComparisonData!$OI$1),0),5)</f>
        <v>0</v>
      </c>
      <c r="OJ98" s="46" cm="1">
        <f t="array" ref="OJ98">ROUND(IFERROR(INDEX(ArchiveResults!$F$5:$IX$116,ComparisonData!A98,ComparisonData!$OJ$1),0),5)</f>
        <v>0</v>
      </c>
      <c r="OK98" s="46" cm="1">
        <f t="array" ref="OK98">ROUND(IFERROR(INDEX(ArchiveResults!$F$5:$IX$116,ComparisonData!A98,ComparisonData!$OK$1),0),5)</f>
        <v>0</v>
      </c>
      <c r="OL98" s="45" cm="1">
        <f t="array" ref="OL98">IFERROR(INDEX(ArchiveResults!$F$5:$IX$116,ComparisonData!A98,ComparisonData!$OL$1),0)</f>
        <v>0</v>
      </c>
      <c r="OM98" s="56">
        <v>93</v>
      </c>
      <c r="ON98" s="53" t="str">
        <f t="shared" si="696"/>
        <v>University of Bangor</v>
      </c>
      <c r="OO98" s="59">
        <f t="shared" si="958"/>
        <v>0</v>
      </c>
      <c r="OP98" s="59">
        <f t="shared" si="959"/>
        <v>0</v>
      </c>
      <c r="OQ98" s="59">
        <f t="shared" si="960"/>
        <v>0</v>
      </c>
      <c r="OR98" s="59">
        <f t="shared" si="961"/>
        <v>0</v>
      </c>
      <c r="OS98" s="59">
        <f t="shared" si="962"/>
        <v>0</v>
      </c>
      <c r="OT98" s="58">
        <f t="shared" si="963"/>
        <v>0</v>
      </c>
      <c r="OU98" s="45">
        <f t="shared" si="964"/>
        <v>34</v>
      </c>
      <c r="OV98" s="45">
        <f t="shared" si="697"/>
        <v>2.6039999999999996</v>
      </c>
      <c r="OW98" s="45">
        <f t="shared" si="965"/>
        <v>1</v>
      </c>
      <c r="OX98" s="45">
        <f t="shared" si="966"/>
        <v>2</v>
      </c>
      <c r="OY98" s="45">
        <f t="shared" si="967"/>
        <v>0</v>
      </c>
      <c r="OZ98" s="46" cm="1">
        <f t="array" ref="OZ98">ROUND(IFERROR(INDEX(ArchiveResults!$F$5:$IX$116,ComparisonData!A98,ComparisonData!$OZ$1),0),5)</f>
        <v>0</v>
      </c>
      <c r="PA98" s="46" cm="1">
        <f t="array" ref="PA98">ROUND(IFERROR(INDEX(ArchiveResults!$F$5:$IX$116,ComparisonData!A98,ComparisonData!$PA$1),0),5)</f>
        <v>0</v>
      </c>
      <c r="PB98" s="46" cm="1">
        <f t="array" ref="PB98">ROUND(IFERROR(INDEX(ArchiveResults!$F$5:$IX$116,ComparisonData!A98,ComparisonData!$PB$1),0),5)</f>
        <v>0</v>
      </c>
      <c r="PC98" s="46" cm="1">
        <f t="array" ref="PC98">ROUND(IFERROR(INDEX(ArchiveResults!$F$5:$IX$116,ComparisonData!A98,ComparisonData!$PC$1),0),5)</f>
        <v>0</v>
      </c>
      <c r="PD98" s="45" cm="1">
        <f t="array" ref="PD98">IFERROR(INDEX(ArchiveResults!$F$5:$IX$116,ComparisonData!A98,ComparisonData!$PD$1),0)</f>
        <v>0</v>
      </c>
      <c r="PE98" s="56">
        <v>93</v>
      </c>
      <c r="PF98" s="53" t="str">
        <f t="shared" si="698"/>
        <v>University of Bangor</v>
      </c>
      <c r="PG98" s="59">
        <f t="shared" si="968"/>
        <v>0</v>
      </c>
      <c r="PH98" s="59">
        <f t="shared" si="969"/>
        <v>0</v>
      </c>
      <c r="PI98" s="59">
        <f t="shared" si="970"/>
        <v>0</v>
      </c>
      <c r="PJ98" s="59">
        <f t="shared" si="971"/>
        <v>0</v>
      </c>
      <c r="PK98" s="59">
        <f t="shared" si="972"/>
        <v>0</v>
      </c>
      <c r="PL98" s="58">
        <f t="shared" si="973"/>
        <v>0</v>
      </c>
      <c r="PM98" s="45">
        <f t="shared" si="974"/>
        <v>34</v>
      </c>
      <c r="PN98" s="45">
        <f t="shared" si="699"/>
        <v>2.6039999999999996</v>
      </c>
      <c r="PO98" s="45">
        <f t="shared" si="975"/>
        <v>1</v>
      </c>
      <c r="PP98" s="45">
        <f t="shared" si="976"/>
        <v>2</v>
      </c>
      <c r="PQ98" s="45">
        <f t="shared" si="977"/>
        <v>0</v>
      </c>
      <c r="PR98" s="46" cm="1">
        <f t="array" ref="PR98">ROUND(IFERROR(INDEX(ArchiveResults!$F$5:$IX$116,ComparisonData!A98,ComparisonData!$PR$1),0),5)</f>
        <v>0</v>
      </c>
      <c r="PS98" s="46" cm="1">
        <f t="array" ref="PS98">ROUND(IFERROR(INDEX(ArchiveResults!$F$5:$IX$116,ComparisonData!A98,ComparisonData!$PS$1),0),5)</f>
        <v>0</v>
      </c>
      <c r="PT98" s="46" cm="1">
        <f t="array" ref="PT98">ROUND(IFERROR(INDEX(ArchiveResults!$F$5:$IX$116,ComparisonData!A98,ComparisonData!$PT$1),0),5)</f>
        <v>0</v>
      </c>
      <c r="PU98" s="46" cm="1">
        <f t="array" ref="PU98">ROUND(IFERROR(INDEX(ArchiveResults!$F$5:$IX$116,ComparisonData!A98,ComparisonData!$PU$1),0),5)</f>
        <v>0</v>
      </c>
      <c r="PV98" s="45" cm="1">
        <f t="array" ref="PV98">IFERROR(INDEX(ArchiveResults!$F$5:$IX$116,ComparisonData!A98,ComparisonData!$PV$1),0)</f>
        <v>0</v>
      </c>
      <c r="PW98" s="56">
        <v>93</v>
      </c>
      <c r="PX98" s="53" t="str">
        <f t="shared" si="700"/>
        <v>University of Bangor</v>
      </c>
      <c r="PY98" s="59">
        <f t="shared" si="978"/>
        <v>0</v>
      </c>
      <c r="PZ98" s="59">
        <f t="shared" si="979"/>
        <v>0</v>
      </c>
      <c r="QA98" s="59">
        <f t="shared" si="980"/>
        <v>0</v>
      </c>
      <c r="QB98" s="59">
        <f t="shared" si="981"/>
        <v>0</v>
      </c>
      <c r="QC98" s="59">
        <f t="shared" si="982"/>
        <v>0</v>
      </c>
      <c r="QD98" s="58">
        <f t="shared" si="983"/>
        <v>0</v>
      </c>
      <c r="QE98" s="45">
        <f t="shared" si="984"/>
        <v>34</v>
      </c>
      <c r="QF98" s="45">
        <f t="shared" si="701"/>
        <v>2.6039999999999996</v>
      </c>
      <c r="QG98" s="45">
        <f t="shared" si="985"/>
        <v>1</v>
      </c>
      <c r="QH98" s="45">
        <f t="shared" si="986"/>
        <v>2</v>
      </c>
      <c r="QI98" s="45">
        <f t="shared" si="987"/>
        <v>0</v>
      </c>
      <c r="QJ98" s="46" cm="1">
        <f t="array" ref="QJ98">ROUND(IFERROR(INDEX(ArchiveResults!$F$5:$IX$116,ComparisonData!A98,ComparisonData!$QJ$1),0),5)</f>
        <v>0</v>
      </c>
      <c r="QK98" s="46" cm="1">
        <f t="array" ref="QK98">ROUND(IFERROR(INDEX(ArchiveResults!$F$5:$IX$116,ComparisonData!A98,ComparisonData!$QK$1),0),5)</f>
        <v>0</v>
      </c>
      <c r="QL98" s="46" cm="1">
        <f t="array" ref="QL98">ROUND(IFERROR(INDEX(ArchiveResults!$F$5:$IX$116,ComparisonData!A98,ComparisonData!$QL$1),0),5)</f>
        <v>0</v>
      </c>
      <c r="QM98" s="46" cm="1">
        <f t="array" ref="QM98">ROUND(IFERROR(INDEX(ArchiveResults!$F$5:$IX$116,ComparisonData!A98,ComparisonData!$QM$1),0),5)</f>
        <v>0</v>
      </c>
      <c r="QN98" s="45" cm="1">
        <f t="array" ref="QN98">IFERROR(INDEX(ArchiveResults!$F$5:$IX$116,ComparisonData!A98,ComparisonData!$QN$1),0)</f>
        <v>0</v>
      </c>
      <c r="QO98" s="56">
        <v>93</v>
      </c>
      <c r="QP98" s="53" t="str">
        <f t="shared" si="702"/>
        <v>University of Bangor</v>
      </c>
      <c r="QQ98" s="59">
        <f t="shared" si="988"/>
        <v>0</v>
      </c>
      <c r="QR98" s="59">
        <f t="shared" si="989"/>
        <v>0</v>
      </c>
      <c r="QS98" s="59">
        <f t="shared" si="990"/>
        <v>0</v>
      </c>
      <c r="QT98" s="59">
        <f t="shared" si="991"/>
        <v>0</v>
      </c>
      <c r="QU98" s="59">
        <f t="shared" si="992"/>
        <v>0</v>
      </c>
      <c r="QV98" s="58">
        <f t="shared" si="993"/>
        <v>0</v>
      </c>
      <c r="QW98" s="45">
        <f t="shared" si="994"/>
        <v>34</v>
      </c>
      <c r="QX98" s="45">
        <f t="shared" si="703"/>
        <v>2.6039999999999996</v>
      </c>
      <c r="QY98" s="45">
        <f t="shared" si="995"/>
        <v>1</v>
      </c>
      <c r="QZ98" s="45">
        <f t="shared" si="996"/>
        <v>2</v>
      </c>
      <c r="RA98" s="45">
        <f t="shared" si="997"/>
        <v>0</v>
      </c>
      <c r="RB98" s="46" cm="1">
        <f t="array" ref="RB98">ROUND(IFERROR(INDEX(ArchiveResults!$F$5:$IX$116,ComparisonData!A98,ComparisonData!$RB$1),0),5)</f>
        <v>0</v>
      </c>
      <c r="RC98" s="46" cm="1">
        <f t="array" ref="RC98">ROUND(IFERROR(INDEX(ArchiveResults!$F$5:$IX$116,ComparisonData!A98,ComparisonData!$RC$1),0),5)</f>
        <v>0</v>
      </c>
      <c r="RD98" s="46" cm="1">
        <f t="array" ref="RD98">ROUND(IFERROR(INDEX(ArchiveResults!$F$5:$IX$116,ComparisonData!A98,ComparisonData!$RD$1),0),5)</f>
        <v>0</v>
      </c>
      <c r="RE98" s="46" cm="1">
        <f t="array" ref="RE98">ROUND(IFERROR(INDEX(ArchiveResults!$F$5:$IX$116,ComparisonData!A98,ComparisonData!$RE$1),0),5)</f>
        <v>0</v>
      </c>
      <c r="RF98" s="45" cm="1">
        <f t="array" ref="RF98">IFERROR(INDEX(ArchiveResults!$F$5:$IX$116,ComparisonData!A98,ComparisonData!$RF$1),0)</f>
        <v>0</v>
      </c>
      <c r="RG98" s="56">
        <v>93</v>
      </c>
      <c r="RH98" s="53" t="str">
        <f t="shared" si="704"/>
        <v>University of Bangor</v>
      </c>
      <c r="RI98" s="59">
        <f t="shared" si="998"/>
        <v>0</v>
      </c>
      <c r="RJ98" s="59">
        <f t="shared" si="999"/>
        <v>0</v>
      </c>
      <c r="RK98" s="59">
        <f t="shared" si="1000"/>
        <v>0</v>
      </c>
      <c r="RL98" s="59">
        <f t="shared" si="1001"/>
        <v>0</v>
      </c>
      <c r="RM98" s="59">
        <f t="shared" si="1002"/>
        <v>0</v>
      </c>
      <c r="RN98" s="58">
        <f t="shared" si="1003"/>
        <v>0</v>
      </c>
      <c r="RO98" s="45">
        <f t="shared" si="1004"/>
        <v>34</v>
      </c>
      <c r="RP98" s="45">
        <f t="shared" si="705"/>
        <v>2.6039999999999996</v>
      </c>
      <c r="RQ98" s="45">
        <f t="shared" si="1005"/>
        <v>1</v>
      </c>
      <c r="RR98" s="45">
        <f t="shared" si="1006"/>
        <v>2</v>
      </c>
      <c r="RS98" s="45">
        <f t="shared" si="1007"/>
        <v>0</v>
      </c>
      <c r="RT98" s="46" cm="1">
        <f t="array" ref="RT98">ROUND(IFERROR(INDEX(ArchiveResults!$F$5:$IX$116,ComparisonData!A98,ComparisonData!$RT$1),0),5)</f>
        <v>0</v>
      </c>
      <c r="RU98" s="46" cm="1">
        <f t="array" ref="RU98">ROUND(IFERROR(INDEX(ArchiveResults!$F$5:$IX$116,ComparisonData!A98,ComparisonData!$RU$1),0),5)</f>
        <v>0</v>
      </c>
      <c r="RV98" s="46" cm="1">
        <f t="array" ref="RV98">ROUND(IFERROR(INDEX(ArchiveResults!$F$5:$IX$116,ComparisonData!A98,ComparisonData!$RV$1),0),5)</f>
        <v>0</v>
      </c>
      <c r="RW98" s="46" cm="1">
        <f t="array" ref="RW98">ROUND(IFERROR(INDEX(ArchiveResults!$F$5:$IX$116,ComparisonData!A98,ComparisonData!$RW$1),0),5)</f>
        <v>0</v>
      </c>
      <c r="RX98" s="45" cm="1">
        <f t="array" ref="RX98">IFERROR(INDEX(ArchiveResults!$F$5:$IX$116,ComparisonData!A98,ComparisonData!$RX$1),0)</f>
        <v>0</v>
      </c>
      <c r="RY98" s="56">
        <v>93</v>
      </c>
      <c r="RZ98" s="53" t="str">
        <f t="shared" si="706"/>
        <v>University of Bangor</v>
      </c>
      <c r="SA98" s="59">
        <f t="shared" si="1008"/>
        <v>0</v>
      </c>
      <c r="SB98" s="59">
        <f t="shared" si="1009"/>
        <v>0</v>
      </c>
      <c r="SC98" s="59">
        <f t="shared" si="1010"/>
        <v>0</v>
      </c>
      <c r="SD98" s="59">
        <f t="shared" si="1011"/>
        <v>0</v>
      </c>
      <c r="SE98" s="59">
        <f t="shared" si="1012"/>
        <v>0</v>
      </c>
      <c r="SF98" s="58">
        <f t="shared" si="1013"/>
        <v>0</v>
      </c>
      <c r="SG98" s="45">
        <f t="shared" si="1014"/>
        <v>34</v>
      </c>
      <c r="SH98" s="45">
        <f t="shared" si="707"/>
        <v>2.6039999999999996</v>
      </c>
      <c r="SI98" s="45">
        <f t="shared" si="1015"/>
        <v>1</v>
      </c>
      <c r="SJ98" s="45">
        <f t="shared" si="1016"/>
        <v>2</v>
      </c>
      <c r="SK98" s="45">
        <f t="shared" si="1017"/>
        <v>0</v>
      </c>
      <c r="SL98" s="46" cm="1">
        <f t="array" ref="SL98">ROUND(IFERROR(INDEX(ArchiveResults!$F$5:$IX$116,ComparisonData!A98,ComparisonData!$SL$1),0),5)</f>
        <v>0</v>
      </c>
      <c r="SM98" s="46" cm="1">
        <f t="array" ref="SM98">ROUND(IFERROR(INDEX(ArchiveResults!$F$5:$IX$116,ComparisonData!A98,ComparisonData!$SM$1),0),5)</f>
        <v>0</v>
      </c>
      <c r="SN98" s="46" cm="1">
        <f t="array" ref="SN98">ROUND(IFERROR(INDEX(ArchiveResults!$F$5:$IX$116,ComparisonData!A98,ComparisonData!$SN$1),0),5)</f>
        <v>0</v>
      </c>
      <c r="SO98" s="46" cm="1">
        <f t="array" ref="SO98">ROUND(IFERROR(INDEX(ArchiveResults!$F$5:$IX$116,ComparisonData!A98,ComparisonData!$SO$1),0),5)</f>
        <v>0</v>
      </c>
      <c r="SP98" s="45" cm="1">
        <f t="array" ref="SP98">IFERROR(INDEX(ArchiveResults!$F$5:$IX$116,ComparisonData!A98,ComparisonData!$SP$1),0)</f>
        <v>0</v>
      </c>
      <c r="SQ98" s="56">
        <v>93</v>
      </c>
      <c r="SR98" s="53" t="str">
        <f t="shared" si="708"/>
        <v>University of Bangor</v>
      </c>
      <c r="SS98" s="59">
        <f t="shared" si="1018"/>
        <v>0</v>
      </c>
      <c r="ST98" s="59">
        <f t="shared" si="1019"/>
        <v>0</v>
      </c>
      <c r="SU98" s="59">
        <f t="shared" si="1020"/>
        <v>0</v>
      </c>
      <c r="SV98" s="59">
        <f t="shared" si="1021"/>
        <v>0</v>
      </c>
      <c r="SW98" s="59">
        <f t="shared" si="1022"/>
        <v>0</v>
      </c>
      <c r="SX98" s="58">
        <f t="shared" si="1023"/>
        <v>0</v>
      </c>
      <c r="SY98" s="45">
        <f t="shared" si="1024"/>
        <v>34</v>
      </c>
      <c r="SZ98" s="45">
        <f t="shared" si="709"/>
        <v>2.6039999999999996</v>
      </c>
      <c r="TA98" s="45">
        <f t="shared" si="1025"/>
        <v>1</v>
      </c>
      <c r="TB98" s="45">
        <f t="shared" si="1026"/>
        <v>2</v>
      </c>
      <c r="TC98" s="45">
        <f t="shared" si="1027"/>
        <v>0</v>
      </c>
      <c r="TD98" s="46" cm="1">
        <f t="array" ref="TD98">ROUND(IFERROR(INDEX(ArchiveResults!$F$5:$IX$116,ComparisonData!A98,ComparisonData!$TD$1),0),5)</f>
        <v>0</v>
      </c>
      <c r="TE98" s="46" cm="1">
        <f t="array" ref="TE98">ROUND(IFERROR(INDEX(ArchiveResults!$F$5:$IX$116,ComparisonData!A98,ComparisonData!$TE$1),0),5)</f>
        <v>0</v>
      </c>
      <c r="TF98" s="46" cm="1">
        <f t="array" ref="TF98">ROUND(IFERROR(INDEX(ArchiveResults!$F$5:$IX$116,ComparisonData!A98,ComparisonData!$TF$1),0),5)</f>
        <v>0</v>
      </c>
      <c r="TG98" s="46" cm="1">
        <f t="array" ref="TG98">ROUND(IFERROR(INDEX(ArchiveResults!$F$5:$IX$116,ComparisonData!A98,ComparisonData!$TG$1),0),5)</f>
        <v>0</v>
      </c>
      <c r="TH98" s="45" cm="1">
        <f t="array" ref="TH98">IFERROR(INDEX(ArchiveResults!$F$5:$IX$116,ComparisonData!A98,ComparisonData!$TH$1),0)</f>
        <v>0</v>
      </c>
      <c r="TI98" s="56">
        <v>93</v>
      </c>
      <c r="TJ98" s="53" t="str">
        <f t="shared" si="710"/>
        <v>University of Bangor</v>
      </c>
      <c r="TK98" s="59">
        <f t="shared" si="1028"/>
        <v>0</v>
      </c>
      <c r="TL98" s="59">
        <f t="shared" si="1029"/>
        <v>0</v>
      </c>
      <c r="TM98" s="59">
        <f t="shared" si="1030"/>
        <v>0</v>
      </c>
      <c r="TN98" s="59">
        <f t="shared" si="1031"/>
        <v>0</v>
      </c>
      <c r="TO98" s="59">
        <f t="shared" si="1032"/>
        <v>0</v>
      </c>
      <c r="TP98" s="58">
        <f t="shared" si="1033"/>
        <v>0</v>
      </c>
      <c r="TQ98" s="45">
        <f t="shared" si="1034"/>
        <v>34</v>
      </c>
      <c r="TR98" s="45">
        <f t="shared" si="711"/>
        <v>2.6039999999999996</v>
      </c>
      <c r="TS98" s="45">
        <f t="shared" si="1035"/>
        <v>1</v>
      </c>
      <c r="TT98" s="45">
        <f t="shared" si="1036"/>
        <v>2</v>
      </c>
      <c r="TU98" s="45">
        <f t="shared" si="1037"/>
        <v>0</v>
      </c>
      <c r="TV98" s="46" cm="1">
        <f t="array" ref="TV98">ROUND(IFERROR(INDEX(ArchiveResults!$F$5:$IX$116,ComparisonData!A98,ComparisonData!$TV$1),0),5)</f>
        <v>0</v>
      </c>
      <c r="TW98" s="46" cm="1">
        <f t="array" ref="TW98">ROUND(IFERROR(INDEX(ArchiveResults!$F$5:$IX$116,ComparisonData!A98,ComparisonData!$TW$1),0),5)</f>
        <v>0</v>
      </c>
      <c r="TX98" s="46" cm="1">
        <f t="array" ref="TX98">ROUND(IFERROR(INDEX(ArchiveResults!$F$5:$IX$116,ComparisonData!A98,ComparisonData!$TX$1),0),5)</f>
        <v>0</v>
      </c>
      <c r="TY98" s="46" cm="1">
        <f t="array" ref="TY98">ROUND(IFERROR(INDEX(ArchiveResults!$F$5:$IX$116,ComparisonData!A98,ComparisonData!$TY$1),0),5)</f>
        <v>0</v>
      </c>
      <c r="TZ98" s="45" cm="1">
        <f t="array" ref="TZ98">IFERROR(INDEX(ArchiveResults!$F$5:$IX$116,ComparisonData!A98,ComparisonData!$TZ$1),0)</f>
        <v>0</v>
      </c>
      <c r="UA98" s="56">
        <v>93</v>
      </c>
      <c r="UB98" s="53" t="str">
        <f t="shared" si="712"/>
        <v>University of Bangor</v>
      </c>
      <c r="UC98" s="60">
        <f t="shared" si="1038"/>
        <v>0</v>
      </c>
      <c r="UD98" s="60">
        <f t="shared" si="1039"/>
        <v>0</v>
      </c>
      <c r="UE98" s="60">
        <f t="shared" si="1040"/>
        <v>0</v>
      </c>
      <c r="UF98" s="60">
        <f t="shared" si="1041"/>
        <v>0</v>
      </c>
      <c r="UG98" s="60">
        <f t="shared" si="1042"/>
        <v>0</v>
      </c>
      <c r="UH98" s="58">
        <f t="shared" si="1043"/>
        <v>0</v>
      </c>
      <c r="UI98" s="46">
        <f t="shared" si="1044"/>
        <v>34</v>
      </c>
      <c r="UJ98" s="46">
        <f t="shared" si="713"/>
        <v>2.6039999999999996</v>
      </c>
      <c r="UK98" s="46">
        <f t="shared" si="1045"/>
        <v>1</v>
      </c>
      <c r="UL98" s="46">
        <f t="shared" si="1046"/>
        <v>2</v>
      </c>
      <c r="UM98" s="46" cm="1">
        <f t="array" ref="UM98">ROUND(IFERROR(INDEX(ArchiveResults!$F$5:$IX$116,ComparisonData!A98,ComparisonData!$UM$1),0),5)</f>
        <v>0</v>
      </c>
      <c r="UN98" s="56">
        <v>93</v>
      </c>
      <c r="UO98" s="53" t="str">
        <f t="shared" si="714"/>
        <v>University of Bangor</v>
      </c>
      <c r="UP98" s="46">
        <f t="shared" si="1047"/>
        <v>0</v>
      </c>
      <c r="UQ98" s="76">
        <f t="shared" si="1048"/>
        <v>0</v>
      </c>
      <c r="UR98" s="46">
        <f t="shared" si="1049"/>
        <v>34</v>
      </c>
      <c r="US98" s="46">
        <f t="shared" si="715"/>
        <v>2.6039999999999996</v>
      </c>
      <c r="UT98" s="46">
        <f t="shared" si="1050"/>
        <v>1</v>
      </c>
      <c r="UU98" s="46">
        <f t="shared" si="1051"/>
        <v>2</v>
      </c>
      <c r="UV98" s="46">
        <f t="shared" si="1052"/>
        <v>0</v>
      </c>
      <c r="UW98" s="46" cm="1">
        <f t="array" ref="UW98">ROUND(IFERROR(INDEX(ArchiveResults!$F$5:$IX$116,ComparisonData!A98,ComparisonData!$UW$1),0),5)</f>
        <v>0</v>
      </c>
      <c r="UX98" s="46" cm="1">
        <f t="array" ref="UX98">ROUND(IFERROR(INDEX(ArchiveResults!$F$5:$IX$116,ComparisonData!A98,ComparisonData!$UX$1),0),5)</f>
        <v>0</v>
      </c>
      <c r="UY98" s="46" cm="1">
        <f t="array" ref="UY98">ROUND(IFERROR(INDEX(ArchiveResults!$F$5:$IX$116,ComparisonData!A98,ComparisonData!$UY$1),0),5)</f>
        <v>0</v>
      </c>
      <c r="UZ98" s="46" cm="1">
        <f t="array" ref="UZ98">ROUND(IFERROR(INDEX(ArchiveResults!$F$5:$IX$116,ComparisonData!A98,ComparisonData!$UZ$1),0),5)</f>
        <v>0</v>
      </c>
      <c r="VA98" s="46" cm="1">
        <f t="array" ref="VA98">ROUND(IFERROR(INDEX(ArchiveResults!$F$5:$IX$116,ComparisonData!A98,ComparisonData!$VA$1),0),5)</f>
        <v>0</v>
      </c>
      <c r="VB98" s="56">
        <v>93</v>
      </c>
      <c r="VC98" s="53" t="str">
        <f t="shared" si="716"/>
        <v>University of Bangor</v>
      </c>
      <c r="VD98" s="60">
        <f t="shared" si="1053"/>
        <v>0</v>
      </c>
      <c r="VE98" s="60">
        <f t="shared" si="1054"/>
        <v>0</v>
      </c>
      <c r="VF98" s="60">
        <f t="shared" si="1055"/>
        <v>0</v>
      </c>
      <c r="VG98" s="60">
        <f t="shared" si="1056"/>
        <v>0</v>
      </c>
      <c r="VH98" s="60">
        <f t="shared" si="1057"/>
        <v>0</v>
      </c>
      <c r="VI98" s="76">
        <f t="shared" si="1058"/>
        <v>0</v>
      </c>
      <c r="VJ98" s="46">
        <f t="shared" si="1059"/>
        <v>34</v>
      </c>
      <c r="VK98" s="46">
        <f t="shared" si="717"/>
        <v>2.6039999999999996</v>
      </c>
      <c r="VL98" s="46">
        <f t="shared" si="1060"/>
        <v>1</v>
      </c>
      <c r="VM98" s="46">
        <f t="shared" si="1061"/>
        <v>2</v>
      </c>
      <c r="VN98" s="46" cm="1">
        <f t="array" ref="VN98">ROUND(IFERROR(INDEX(ArchiveResults!$F$5:$IX$116,ComparisonData!A98,ComparisonData!$VN$1),0),5)</f>
        <v>0</v>
      </c>
      <c r="VO98" s="46" cm="1">
        <f t="array" ref="VO98">ROUND(IFERROR(INDEX(ArchiveResults!$F$5:$IX$116,ComparisonData!A98,ComparisonData!$VO$1),0),5)</f>
        <v>0</v>
      </c>
      <c r="VP98" s="46" cm="1">
        <f t="array" ref="VP98">ROUND(IFERROR(INDEX(ArchiveResults!$F$5:$IX$116,ComparisonData!A98,ComparisonData!$VP$1),0),5)</f>
        <v>0</v>
      </c>
      <c r="VQ98" s="46" cm="1">
        <f t="array" ref="VQ98">ROUND(IFERROR(INDEX(ArchiveResults!$F$5:$IX$116,ComparisonData!A98,ComparisonData!$VQ$1),0),5)</f>
        <v>0</v>
      </c>
      <c r="VR98" s="56">
        <v>93</v>
      </c>
      <c r="VS98" s="53" t="str">
        <f t="shared" si="718"/>
        <v>University of Bangor</v>
      </c>
      <c r="VT98" s="60">
        <f t="shared" si="1062"/>
        <v>0</v>
      </c>
      <c r="VU98" s="60">
        <f t="shared" si="1063"/>
        <v>0</v>
      </c>
      <c r="VV98" s="60">
        <f t="shared" si="1064"/>
        <v>0</v>
      </c>
      <c r="VW98" s="60">
        <f t="shared" si="1065"/>
        <v>0</v>
      </c>
      <c r="VX98" s="76">
        <f t="shared" si="1066"/>
        <v>0</v>
      </c>
      <c r="VY98" s="46">
        <f t="shared" si="1067"/>
        <v>34</v>
      </c>
      <c r="VZ98" s="46">
        <f t="shared" si="719"/>
        <v>2.6039999999999996</v>
      </c>
      <c r="WA98" s="46">
        <f t="shared" si="1068"/>
        <v>1</v>
      </c>
      <c r="WB98" s="46">
        <f t="shared" si="1069"/>
        <v>2</v>
      </c>
      <c r="WC98" s="46" cm="1">
        <f t="array" ref="WC98">ROUND(IFERROR(INDEX(ArchiveResults!$F$5:$IX$116,ComparisonData!A98,ComparisonData!$WC$1),0),5)</f>
        <v>0</v>
      </c>
      <c r="WD98" s="56">
        <v>93</v>
      </c>
      <c r="WE98" s="53" t="str">
        <f t="shared" si="720"/>
        <v>University of Bangor</v>
      </c>
      <c r="WF98" s="46">
        <f t="shared" si="1070"/>
        <v>0</v>
      </c>
      <c r="WG98" s="76">
        <f t="shared" si="1071"/>
        <v>0</v>
      </c>
      <c r="WH98" s="46">
        <f t="shared" si="1072"/>
        <v>34</v>
      </c>
      <c r="WI98" s="46">
        <f t="shared" si="721"/>
        <v>2.6039999999999996</v>
      </c>
      <c r="WJ98" s="46">
        <f t="shared" si="1073"/>
        <v>1</v>
      </c>
      <c r="WK98" s="46">
        <f t="shared" si="1074"/>
        <v>2</v>
      </c>
      <c r="WL98" s="46" cm="1">
        <f t="array" ref="WL98">ROUND(IFERROR(INDEX(ArchiveResults!$F$5:$IX$116,ComparisonData!A98,ComparisonData!$WL$1),0),5)</f>
        <v>0</v>
      </c>
      <c r="WM98" s="46" cm="1">
        <f t="array" ref="WM98">IFERROR(INDEX(ArchiveResults!$F$5:$IX$116,ComparisonData!A98,ComparisonData!$WM$1),0)</f>
        <v>0</v>
      </c>
      <c r="WN98" s="56">
        <v>93</v>
      </c>
      <c r="WO98" s="53" t="str">
        <f t="shared" si="722"/>
        <v>University of Bangor</v>
      </c>
      <c r="WP98" s="60">
        <f t="shared" si="1075"/>
        <v>0</v>
      </c>
      <c r="WQ98" s="60">
        <f t="shared" si="1076"/>
        <v>0</v>
      </c>
      <c r="WR98" s="76">
        <f t="shared" si="1077"/>
        <v>0</v>
      </c>
      <c r="WS98" s="46">
        <f t="shared" si="1078"/>
        <v>34</v>
      </c>
      <c r="WT98" s="46">
        <f t="shared" si="723"/>
        <v>2.6039999999999996</v>
      </c>
      <c r="WU98" s="46">
        <f t="shared" si="1079"/>
        <v>1</v>
      </c>
      <c r="WV98" s="46">
        <f t="shared" si="1080"/>
        <v>2</v>
      </c>
      <c r="WW98" s="46" cm="1">
        <f t="array" ref="WW98">ROUND(VALUE(IFERROR(INDEX(ArchiveResults!$F$5:$IX$116,ComparisonData!A98,ComparisonData!$WW$1),0)),5)</f>
        <v>0</v>
      </c>
      <c r="WX98" s="46" cm="1">
        <f t="array" ref="WX98">ROUND(IFERROR(INDEX(ArchiveResults!$F$5:$IX$116,ComparisonData!A98,ComparisonData!$WX$1),0),5)</f>
        <v>0</v>
      </c>
      <c r="WY98" s="56">
        <v>93</v>
      </c>
      <c r="WZ98" s="53" t="str">
        <f t="shared" si="724"/>
        <v>University of Bangor</v>
      </c>
      <c r="XA98" s="60">
        <f t="shared" si="725"/>
        <v>0</v>
      </c>
      <c r="XB98" s="60">
        <f t="shared" si="726"/>
        <v>0</v>
      </c>
      <c r="XC98" s="76">
        <f t="shared" si="1081"/>
        <v>0</v>
      </c>
      <c r="XD98" s="46">
        <f t="shared" si="1082"/>
        <v>34</v>
      </c>
      <c r="XE98" s="46">
        <f t="shared" si="727"/>
        <v>2.6039999999999996</v>
      </c>
      <c r="XF98" s="46">
        <f t="shared" si="1083"/>
        <v>1</v>
      </c>
      <c r="XG98" s="46">
        <f t="shared" si="1084"/>
        <v>2</v>
      </c>
      <c r="XH98" s="46" cm="1">
        <f t="array" ref="XH98">ROUND(VALUE(IFERROR(INDEX(ArchiveResults!$F$5:$IX$116,ComparisonData!A98,ComparisonData!$XH$1),0)),5)</f>
        <v>0</v>
      </c>
      <c r="XI98" s="46" cm="1">
        <f t="array" ref="XI98">ROUND(VALUE(IFERROR(INDEX(ArchiveResults!$F$5:$IX$116,ComparisonData!A98,ComparisonData!$XI$1),0)),5)</f>
        <v>0</v>
      </c>
      <c r="XJ98" s="56">
        <v>93</v>
      </c>
      <c r="XK98" s="53" t="str">
        <f t="shared" si="728"/>
        <v>University of Bangor</v>
      </c>
      <c r="XL98" s="60">
        <f t="shared" si="1085"/>
        <v>0</v>
      </c>
      <c r="XM98" s="60">
        <f t="shared" si="1086"/>
        <v>0</v>
      </c>
      <c r="XN98" s="76">
        <f t="shared" si="1087"/>
        <v>0</v>
      </c>
      <c r="XO98" s="46">
        <f t="shared" si="1088"/>
        <v>34</v>
      </c>
      <c r="XP98" s="46">
        <f t="shared" si="729"/>
        <v>2.6039999999999996</v>
      </c>
      <c r="XQ98" s="46">
        <f t="shared" si="1089"/>
        <v>1</v>
      </c>
      <c r="XR98" s="46">
        <f t="shared" si="1090"/>
        <v>2</v>
      </c>
      <c r="XS98" s="46" cm="1">
        <f t="array" ref="XS98">ROUND(VALUE(IFERROR(INDEX(ArchiveResults!$F$5:$IX$116,ComparisonData!A98,ComparisonData!$XS$1),0)),5)</f>
        <v>0</v>
      </c>
      <c r="XT98" s="46" cm="1">
        <f t="array" ref="XT98">ROUND(VALUE(IFERROR(INDEX(ArchiveResults!$F$5:$IX$116,ComparisonData!A98,ComparisonData!$XT$1),0)),5)</f>
        <v>0</v>
      </c>
      <c r="XU98" s="56">
        <v>93</v>
      </c>
      <c r="XV98" s="53" t="str">
        <f t="shared" si="730"/>
        <v>University of Bangor</v>
      </c>
      <c r="XW98" s="60">
        <f t="shared" si="1091"/>
        <v>0</v>
      </c>
      <c r="XX98" s="60">
        <f t="shared" si="1092"/>
        <v>0</v>
      </c>
      <c r="XY98" s="76">
        <f t="shared" si="1093"/>
        <v>0</v>
      </c>
      <c r="XZ98" s="46">
        <f t="shared" si="1094"/>
        <v>34</v>
      </c>
      <c r="YA98" s="46">
        <f t="shared" si="731"/>
        <v>2.6039999999999996</v>
      </c>
      <c r="YB98" s="46">
        <f t="shared" si="1095"/>
        <v>1</v>
      </c>
      <c r="YC98" s="46">
        <f t="shared" si="1096"/>
        <v>2</v>
      </c>
      <c r="YD98" s="46" cm="1">
        <f t="array" ref="YD98">ROUND(VALUE(IFERROR(INDEX(ArchiveResults!$F$5:$IX$116,ComparisonData!A98,ComparisonData!$YD$1),0)),5)</f>
        <v>0</v>
      </c>
      <c r="YE98" s="46" cm="1">
        <f t="array" ref="YE98">ROUND(VALUE(IFERROR(INDEX(ArchiveResults!$F$5:$IX$116,ComparisonData!A98,ComparisonData!$YE$1),0)),5)</f>
        <v>0</v>
      </c>
      <c r="YF98" s="56">
        <v>93</v>
      </c>
      <c r="YG98" s="53" t="str">
        <f t="shared" si="732"/>
        <v>University of Bangor</v>
      </c>
      <c r="YH98" s="60">
        <f t="shared" si="1097"/>
        <v>0</v>
      </c>
      <c r="YI98" s="60">
        <f t="shared" si="1098"/>
        <v>0</v>
      </c>
      <c r="YJ98" s="76">
        <f t="shared" si="1099"/>
        <v>0</v>
      </c>
      <c r="YK98" s="46">
        <f t="shared" si="1100"/>
        <v>34</v>
      </c>
      <c r="YL98" s="46">
        <f t="shared" si="733"/>
        <v>2.6039999999999996</v>
      </c>
      <c r="YM98" s="46">
        <f t="shared" si="1101"/>
        <v>1</v>
      </c>
      <c r="YN98" s="46">
        <f t="shared" si="1102"/>
        <v>2</v>
      </c>
      <c r="YO98" s="46" cm="1">
        <f t="array" ref="YO98">ROUND(VALUE(IFERROR(INDEX(ArchiveResults!$F$5:$IX$116,ComparisonData!A98,ComparisonData!$YO$1),0)),5)</f>
        <v>0</v>
      </c>
      <c r="YP98" s="46" cm="1">
        <f t="array" ref="YP98">ROUND(VALUE(IFERROR(INDEX(ArchiveResults!$F$5:$IX$116,ComparisonData!A98,ComparisonData!$YP$1),0)),5)</f>
        <v>0</v>
      </c>
      <c r="YQ98" s="56">
        <v>93</v>
      </c>
      <c r="YR98" s="53" t="str">
        <f t="shared" si="734"/>
        <v>University of Bangor</v>
      </c>
      <c r="YS98" s="60">
        <f t="shared" si="1103"/>
        <v>0</v>
      </c>
      <c r="YT98" s="60">
        <f t="shared" si="1104"/>
        <v>0</v>
      </c>
      <c r="YU98" s="76">
        <f t="shared" si="1105"/>
        <v>0</v>
      </c>
      <c r="YV98" s="46">
        <f t="shared" si="1106"/>
        <v>34</v>
      </c>
      <c r="YW98" s="46">
        <f t="shared" si="735"/>
        <v>2.6039999999999996</v>
      </c>
      <c r="YX98" s="46">
        <f t="shared" si="1107"/>
        <v>1</v>
      </c>
      <c r="YY98" s="46">
        <f t="shared" si="1108"/>
        <v>2</v>
      </c>
      <c r="YZ98" s="46">
        <f t="shared" si="1109"/>
        <v>0</v>
      </c>
      <c r="ZA98" s="46" cm="1">
        <f t="array" ref="ZA98">ROUNDDOWN(VALUE(IFERROR(INDEX(ArchiveResults!$F$5:$IX$116,ComparisonData!A98,ComparisonData!$ZA$1),0)),5)</f>
        <v>0</v>
      </c>
      <c r="ZB98" s="46" cm="1">
        <f t="array" ref="ZB98">ROUNDDOWN(VALUE(IFERROR(INDEX(ArchiveResults!$F$5:$IX$116,ComparisonData!A98,ComparisonData!$ZB$1),0)),5)</f>
        <v>0</v>
      </c>
      <c r="ZC98" s="46" cm="1">
        <f t="array" ref="ZC98">ROUNDDOWN(VALUE(IFERROR(INDEX(ArchiveResults!$F$5:$IX$116,ComparisonData!A98,ComparisonData!$ZC$1),0)),5)</f>
        <v>0</v>
      </c>
      <c r="ZD98" s="46" cm="1">
        <f t="array" ref="ZD98">ROUNDDOWN(VALUE(IFERROR(INDEX(ArchiveResults!$F$5:$IX$116,ComparisonData!A98,ComparisonData!$ZD$1),0)),5)</f>
        <v>0</v>
      </c>
      <c r="ZE98" s="46" cm="1">
        <f t="array" ref="ZE98">ROUNDDOWN(VALUE(IFERROR(INDEX(ArchiveResults!$F$5:$IX$116,ComparisonData!A98,ComparisonData!$ZE$1),0)),5)</f>
        <v>0</v>
      </c>
      <c r="ZF98" s="56">
        <v>93</v>
      </c>
      <c r="ZG98" s="53" t="str">
        <f t="shared" si="736"/>
        <v>University of Bangor</v>
      </c>
      <c r="ZH98" s="60">
        <f t="shared" si="1110"/>
        <v>0</v>
      </c>
      <c r="ZI98" s="60">
        <f t="shared" si="1111"/>
        <v>0</v>
      </c>
      <c r="ZJ98" s="60">
        <f t="shared" si="1112"/>
        <v>0</v>
      </c>
      <c r="ZK98" s="60">
        <f t="shared" si="1113"/>
        <v>0</v>
      </c>
      <c r="ZL98" s="60">
        <f t="shared" si="1114"/>
        <v>0</v>
      </c>
      <c r="ZM98" s="76">
        <f t="shared" si="1115"/>
        <v>0</v>
      </c>
      <c r="ZN98" s="46">
        <f t="shared" si="1116"/>
        <v>34</v>
      </c>
      <c r="ZO98" s="46">
        <f t="shared" si="737"/>
        <v>2.6039999999999996</v>
      </c>
      <c r="ZP98" s="46">
        <f t="shared" si="1117"/>
        <v>1</v>
      </c>
      <c r="ZQ98" s="46">
        <f t="shared" si="1118"/>
        <v>2</v>
      </c>
      <c r="ZR98" s="46" cm="1">
        <f t="array" ref="ZR98">ROUND(VALUE(IFERROR(INDEX(ArchiveResults!$F$5:$IX$116,ComparisonData!A98,ComparisonData!$ZR$1),0)),5)</f>
        <v>0</v>
      </c>
      <c r="ZS98" s="56">
        <v>93</v>
      </c>
      <c r="ZT98" s="53" t="str">
        <f t="shared" si="738"/>
        <v>University of Bangor</v>
      </c>
      <c r="ZU98" s="46">
        <f t="shared" si="1119"/>
        <v>0</v>
      </c>
      <c r="ZV98" s="76">
        <f t="shared" si="1120"/>
        <v>0</v>
      </c>
      <c r="ZW98" s="81" cm="1">
        <f t="array" ref="ZW98">ROUND((IFERROR(INDEX(ArchiveResults!$F$5:$IX$116,ComparisonData!A98,ComparisonData!$ZW$1),0)),5)</f>
        <v>0</v>
      </c>
      <c r="ZX98" s="81" cm="1">
        <f t="array" ref="ZX98">ROUND((IFERROR(INDEX(ArchiveResults!$F$5:$IX$116,ComparisonData!A98,ComparisonData!$ZX$1),0)),5)</f>
        <v>0</v>
      </c>
      <c r="ZY98" s="81" cm="1">
        <f t="array" ref="ZY98">ROUND((IFERROR(INDEX(ArchiveResults!$F$5:$IX$116,ComparisonData!A98,ComparisonData!$ZY$1),0)),5)</f>
        <v>0</v>
      </c>
      <c r="ZZ98" s="81" cm="1">
        <f t="array" ref="ZZ98">ROUND((IFERROR(INDEX(ArchiveResults!$F$5:$IX$116,ComparisonData!A98,ComparisonData!$ZZ$1),0)),5)</f>
        <v>0</v>
      </c>
      <c r="AAA98" s="81" cm="1">
        <f t="array" ref="AAA98">ROUND((IFERROR(INDEX(ArchiveResults!$F$5:$IX$116,ComparisonData!A98,ComparisonData!$AAA$1),0)),5)</f>
        <v>0</v>
      </c>
      <c r="AAB98" s="81" cm="1">
        <f t="array" ref="AAB98">ROUND((IFERROR(INDEX(ArchiveResults!$F$5:$IX$116,ComparisonData!A98,ComparisonData!$AAB$1),0)),5)</f>
        <v>0</v>
      </c>
      <c r="AAC98" s="81" cm="1">
        <f t="array" ref="AAC98">ROUND((IFERROR(INDEX(ArchiveResults!$F$5:$IX$116,ComparisonData!A98,ComparisonData!$AAC$1),0)),5)</f>
        <v>0</v>
      </c>
      <c r="AAD98" s="81" cm="1">
        <f t="array" ref="AAD98">ROUND((IFERROR(INDEX(ArchiveResults!$F$5:$IX$116,ComparisonData!A98,ComparisonData!$AAD$1),0)),5)</f>
        <v>0</v>
      </c>
      <c r="AAE98" s="81" cm="1">
        <f t="array" ref="AAE98">ROUND((IFERROR(INDEX(ArchiveResults!$F$5:$IX$116,ComparisonData!A98,ComparisonData!$AAE$1),0)),5)</f>
        <v>0</v>
      </c>
      <c r="AAF98" s="81" cm="1">
        <f t="array" ref="AAF98">ROUND((IFERROR(INDEX(ArchiveResults!$F$5:$IX$116,ComparisonData!A98,ComparisonData!$AAF$1),0)),5)</f>
        <v>0</v>
      </c>
      <c r="AAG98" s="46">
        <f t="shared" si="1121"/>
        <v>34</v>
      </c>
      <c r="AAH98" s="46">
        <f t="shared" si="739"/>
        <v>2.6039999999999996</v>
      </c>
      <c r="AAI98" s="46">
        <f t="shared" si="1122"/>
        <v>1</v>
      </c>
      <c r="AAJ98" s="46">
        <f t="shared" si="1123"/>
        <v>2</v>
      </c>
      <c r="AAK98" s="46">
        <f t="shared" si="1124"/>
        <v>0</v>
      </c>
      <c r="AAL98" s="46">
        <f t="shared" si="1125"/>
        <v>0</v>
      </c>
      <c r="AAM98" s="46">
        <f t="shared" si="1126"/>
        <v>0</v>
      </c>
      <c r="AAN98" s="46">
        <f t="shared" si="1127"/>
        <v>0</v>
      </c>
      <c r="AAO98" s="46">
        <f t="shared" si="1128"/>
        <v>0</v>
      </c>
      <c r="AAP98" s="46">
        <f t="shared" si="1129"/>
        <v>0</v>
      </c>
      <c r="AAQ98" s="56">
        <v>93</v>
      </c>
      <c r="AAR98" s="53" t="str">
        <f t="shared" si="740"/>
        <v>University of Bangor</v>
      </c>
      <c r="AAS98" s="60">
        <f t="shared" si="1130"/>
        <v>0</v>
      </c>
      <c r="AAT98" s="60">
        <f t="shared" si="1131"/>
        <v>0</v>
      </c>
      <c r="AAU98" s="60">
        <f t="shared" si="1132"/>
        <v>0</v>
      </c>
      <c r="AAV98" s="60">
        <f t="shared" si="1133"/>
        <v>0</v>
      </c>
      <c r="AAW98" s="60">
        <f t="shared" si="1134"/>
        <v>0</v>
      </c>
      <c r="AAX98" s="76">
        <f t="shared" si="1135"/>
        <v>0</v>
      </c>
      <c r="AAY98" s="46">
        <f t="shared" si="1136"/>
        <v>34</v>
      </c>
      <c r="AAZ98" s="46">
        <f t="shared" si="741"/>
        <v>2.6039999999999996</v>
      </c>
      <c r="ABA98" s="46">
        <f t="shared" si="1137"/>
        <v>1</v>
      </c>
      <c r="ABB98" s="46">
        <f t="shared" si="1138"/>
        <v>2</v>
      </c>
      <c r="ABC98" s="46">
        <f t="shared" si="742"/>
        <v>0</v>
      </c>
      <c r="ABD98" s="46" cm="1">
        <f t="array" ref="ABD98">ROUND(VALUE(IFERROR(INDEX(ArchiveResults!$F$5:$IX$116,ComparisonData!A98,ComparisonData!$ABD$1),0)),5)</f>
        <v>0</v>
      </c>
      <c r="ABE98" s="46" cm="1">
        <f t="array" ref="ABE98">ROUND(VALUE(IFERROR(INDEX(ArchiveResults!$F$5:$IX$116,ComparisonData!A98,ComparisonData!$ABE$1),0)),5)</f>
        <v>0</v>
      </c>
      <c r="ABF98" s="46" cm="1">
        <f t="array" ref="ABF98">ROUND(VALUE(IFERROR(INDEX(ArchiveResults!$F$5:$IX$116,ComparisonData!A98,ComparisonData!$ABF$1),0)),5)</f>
        <v>0</v>
      </c>
      <c r="ABG98" s="46" cm="1">
        <f t="array" ref="ABG98">ROUND(VALUE(IFERROR(INDEX(ArchiveResults!$F$5:$IX$116,ComparisonData!A98,ComparisonData!$ABG$1),0)),5)</f>
        <v>0</v>
      </c>
      <c r="ABH98" s="46" cm="1">
        <f t="array" ref="ABH98">ROUND(VALUE(IFERROR(INDEX(ArchiveResults!$F$5:$IX$116,ComparisonData!A98,ComparisonData!$ABH$1),0)),5)</f>
        <v>0</v>
      </c>
      <c r="ABI98" s="56">
        <v>93</v>
      </c>
      <c r="ABJ98" s="53" t="str">
        <f t="shared" si="743"/>
        <v>University of Bangor</v>
      </c>
      <c r="ABK98" s="60">
        <f t="shared" si="1139"/>
        <v>0</v>
      </c>
      <c r="ABL98" s="60">
        <f t="shared" si="1140"/>
        <v>0</v>
      </c>
      <c r="ABM98" s="60">
        <f t="shared" si="1141"/>
        <v>0</v>
      </c>
      <c r="ABN98" s="60">
        <f t="shared" si="1142"/>
        <v>0</v>
      </c>
      <c r="ABO98" s="60">
        <f t="shared" si="1143"/>
        <v>0</v>
      </c>
      <c r="ABP98" s="76">
        <f t="shared" si="1144"/>
        <v>0</v>
      </c>
      <c r="ABQ98" s="46">
        <f t="shared" si="1145"/>
        <v>34</v>
      </c>
      <c r="ABR98" s="46">
        <f t="shared" si="744"/>
        <v>2.6039999999999996</v>
      </c>
      <c r="ABS98" s="46">
        <f t="shared" si="1146"/>
        <v>1</v>
      </c>
      <c r="ABT98" s="46">
        <f t="shared" si="1147"/>
        <v>2</v>
      </c>
      <c r="ABU98" s="46" cm="1">
        <f t="array" ref="ABU98">ROUND(VALUE(IFERROR(INDEX(ArchiveResults!$F$5:$IX$116,ComparisonData!A98,ComparisonData!$ABU$1),0)),5)</f>
        <v>0</v>
      </c>
      <c r="ABV98" s="46" cm="1">
        <f t="array" ref="ABV98">ROUND(VALUE(IFERROR(INDEX(ArchiveResults!$F$5:$IX$116,ComparisonData!A98,ComparisonData!$ABV$1),0)),5)</f>
        <v>0</v>
      </c>
      <c r="ABW98" s="46" cm="1">
        <f t="array" ref="ABW98">ROUND(VALUE(IFERROR(INDEX(ArchiveResults!$F$5:$IX$116,ComparisonData!A98,ComparisonData!$ABW$1),0)),5)</f>
        <v>0</v>
      </c>
      <c r="ABX98" s="46" cm="1">
        <f t="array" ref="ABX98">ROUND(VALUE(IFERROR(INDEX(ArchiveResults!$F$5:$IX$116,ComparisonData!A98,ComparisonData!$ABX$1),0)),5)</f>
        <v>0</v>
      </c>
      <c r="ABY98" s="46" cm="1">
        <f t="array" ref="ABY98">ROUND(VALUE(IFERROR(INDEX(ArchiveResults!$F$5:$IX$116,ComparisonData!A98,ComparisonData!$ABY$1),0)),5)</f>
        <v>0</v>
      </c>
      <c r="ABZ98" s="56">
        <v>93</v>
      </c>
      <c r="ACA98" s="53" t="str">
        <f t="shared" si="745"/>
        <v>University of Bangor</v>
      </c>
      <c r="ACB98" s="60">
        <f t="shared" si="1148"/>
        <v>0</v>
      </c>
      <c r="ACC98" s="60">
        <f t="shared" si="1149"/>
        <v>0</v>
      </c>
      <c r="ACD98" s="60">
        <f t="shared" si="1150"/>
        <v>0</v>
      </c>
      <c r="ACE98" s="60">
        <f t="shared" si="1151"/>
        <v>0</v>
      </c>
      <c r="ACF98" s="60">
        <f t="shared" si="1152"/>
        <v>0</v>
      </c>
      <c r="ACG98" s="76">
        <f t="shared" si="1153"/>
        <v>0</v>
      </c>
      <c r="ACH98" s="46">
        <f t="shared" si="1154"/>
        <v>34</v>
      </c>
      <c r="ACI98" s="46">
        <f t="shared" si="746"/>
        <v>2.6039999999999996</v>
      </c>
      <c r="ACJ98" s="46">
        <f t="shared" si="1155"/>
        <v>1</v>
      </c>
      <c r="ACK98" s="46">
        <f t="shared" si="1156"/>
        <v>2</v>
      </c>
      <c r="ACL98" s="46">
        <f t="shared" si="1157"/>
        <v>0</v>
      </c>
      <c r="ACM98" s="46" cm="1">
        <f t="array" ref="ACM98">ROUND(IFERROR(INDEX(ArchiveResults!$F$5:$IX$116,ComparisonData!A98,ComparisonData!$ACM$1),0),5)</f>
        <v>0</v>
      </c>
      <c r="ACN98" s="46" cm="1">
        <f t="array" ref="ACN98">ROUND(IFERROR(INDEX(ArchiveResults!$F$5:$IX$116,ComparisonData!A98,ComparisonData!$ACN$1),0),5)</f>
        <v>0</v>
      </c>
      <c r="ACO98" s="56">
        <v>93</v>
      </c>
      <c r="ACP98" s="53" t="str">
        <f t="shared" si="747"/>
        <v>University of Bangor</v>
      </c>
      <c r="ACQ98" s="60">
        <f t="shared" si="1158"/>
        <v>0</v>
      </c>
      <c r="ACR98" s="60">
        <f t="shared" si="1159"/>
        <v>0</v>
      </c>
      <c r="ACS98" s="76">
        <f t="shared" si="1160"/>
        <v>0</v>
      </c>
      <c r="ACT98" s="46">
        <f t="shared" si="1161"/>
        <v>34</v>
      </c>
      <c r="ACU98" s="46">
        <f t="shared" si="748"/>
        <v>2.6039999999999996</v>
      </c>
      <c r="ACV98" s="46">
        <f t="shared" si="1162"/>
        <v>1</v>
      </c>
      <c r="ACW98" s="46">
        <f t="shared" si="1163"/>
        <v>2</v>
      </c>
      <c r="ACX98" s="46">
        <f t="shared" si="1164"/>
        <v>0</v>
      </c>
      <c r="ACY98" s="46" cm="1">
        <f t="array" ref="ACY98">ROUNDDOWN(IFERROR(INDEX(ArchiveResults!$F$5:$IX$116,ComparisonData!A98,ComparisonData!$ACY$1),0),5)</f>
        <v>0</v>
      </c>
      <c r="ACZ98" s="46" cm="1">
        <f t="array" ref="ACZ98">ROUNDDOWN(IFERROR(INDEX(ArchiveResults!$F$5:$IX$116,ComparisonData!A98,ComparisonData!$ACZ$1),0),5)</f>
        <v>0</v>
      </c>
      <c r="ADA98" s="46" cm="1">
        <f t="array" ref="ADA98">ROUNDDOWN(IFERROR(INDEX(ArchiveResults!$F$5:$IX$116,ComparisonData!A98,ComparisonData!$ADA$1),0),5)</f>
        <v>0</v>
      </c>
      <c r="ADB98" s="56">
        <v>93</v>
      </c>
      <c r="ADC98" s="53" t="str">
        <f t="shared" si="749"/>
        <v>University of Bangor</v>
      </c>
      <c r="ADD98" s="60">
        <f t="shared" si="1165"/>
        <v>0</v>
      </c>
      <c r="ADE98" s="60">
        <f t="shared" si="1166"/>
        <v>0</v>
      </c>
      <c r="ADF98" s="60">
        <f t="shared" si="1167"/>
        <v>0</v>
      </c>
      <c r="ADG98" s="76">
        <f t="shared" si="1168"/>
        <v>0</v>
      </c>
    </row>
    <row r="99" spans="1:787" x14ac:dyDescent="0.25">
      <c r="A99" s="46" t="str">
        <f>IF(ISBLANK(ComparisonSelection!F95),"",ROW()-5)</f>
        <v/>
      </c>
      <c r="B99" s="53" t="s">
        <v>549</v>
      </c>
      <c r="C99" s="72">
        <v>0.45399999999999952</v>
      </c>
      <c r="D99" s="55">
        <f t="shared" si="750"/>
        <v>4</v>
      </c>
      <c r="E99" s="54">
        <f t="shared" si="751"/>
        <v>2.4539999999999997</v>
      </c>
      <c r="F99" s="54">
        <f t="shared" si="752"/>
        <v>1</v>
      </c>
      <c r="G99" s="72">
        <f t="shared" si="753"/>
        <v>2</v>
      </c>
      <c r="H99" s="72">
        <f t="shared" si="754"/>
        <v>0</v>
      </c>
      <c r="I99" s="46" cm="1">
        <f t="array" ref="I99">ROUND(IFERROR(INDEX(ArchiveResults!$F$5:$IX$116,ComparisonData!A99,ComparisonData!$I$1),0),5)</f>
        <v>0</v>
      </c>
      <c r="J99" s="46" cm="1">
        <f t="array" ref="J99">ROUND(IFERROR(INDEX(ArchiveResults!$F$5:$IX$116,ComparisonData!A99,ComparisonData!$J$1),0),5)</f>
        <v>0</v>
      </c>
      <c r="K99" s="56">
        <v>94</v>
      </c>
      <c r="L99" s="53" t="str">
        <f t="shared" si="755"/>
        <v>University of Glasgow, Archives &amp; Special Collections, Library Level 12</v>
      </c>
      <c r="M99" s="57">
        <f t="shared" si="640"/>
        <v>0</v>
      </c>
      <c r="N99" s="57">
        <f t="shared" si="641"/>
        <v>0</v>
      </c>
      <c r="O99" s="58">
        <f t="shared" si="756"/>
        <v>0</v>
      </c>
      <c r="P99" s="48">
        <f t="shared" si="757"/>
        <v>4</v>
      </c>
      <c r="Q99" s="54">
        <f t="shared" si="642"/>
        <v>2.4539999999999997</v>
      </c>
      <c r="R99" s="45">
        <f t="shared" si="758"/>
        <v>1</v>
      </c>
      <c r="S99" s="46">
        <f t="shared" si="759"/>
        <v>2</v>
      </c>
      <c r="T99" s="72">
        <f t="shared" si="760"/>
        <v>0</v>
      </c>
      <c r="U99" s="46" cm="1">
        <f t="array" ref="U99">ROUND(IFERROR(INDEX(ArchiveResults!$F$5:$IX$116,ComparisonData!A99,ComparisonData!$U$1),0),5)</f>
        <v>0</v>
      </c>
      <c r="V99" s="46" cm="1">
        <f t="array" ref="V99">ROUND(IFERROR(INDEX(ArchiveResults!$F$5:$IX$116,ComparisonData!A99,ComparisonData!$V$1),0),5)</f>
        <v>0</v>
      </c>
      <c r="W99" s="56">
        <v>94</v>
      </c>
      <c r="X99" s="53" t="str">
        <f t="shared" si="643"/>
        <v>University of Glasgow, Archives &amp; Special Collections, Library Level 12</v>
      </c>
      <c r="Y99" s="57">
        <f t="shared" si="761"/>
        <v>0</v>
      </c>
      <c r="Z99" s="57">
        <f t="shared" si="762"/>
        <v>0</v>
      </c>
      <c r="AA99" s="58">
        <f t="shared" si="763"/>
        <v>0</v>
      </c>
      <c r="AB99" s="45">
        <f t="shared" si="764"/>
        <v>4</v>
      </c>
      <c r="AC99" s="54">
        <f t="shared" si="644"/>
        <v>2.4539999999999997</v>
      </c>
      <c r="AD99" s="45">
        <f t="shared" si="765"/>
        <v>1</v>
      </c>
      <c r="AE99" s="45">
        <f t="shared" si="766"/>
        <v>2</v>
      </c>
      <c r="AF99" s="45">
        <f t="shared" si="639"/>
        <v>0</v>
      </c>
      <c r="AG99" s="46" cm="1">
        <f t="array" ref="AG99">ROUND(IFERROR(INDEX(ArchiveResults!$F$5:$IX$116,ComparisonData!A99,ComparisonData!$AG$1),0),5)</f>
        <v>0</v>
      </c>
      <c r="AH99" s="46" cm="1">
        <f t="array" ref="AH99">ROUND(IFERROR(INDEX(ArchiveResults!$F$5:$IX$116,ComparisonData!A99,ComparisonData!$AH$1),0),5)</f>
        <v>0</v>
      </c>
      <c r="AI99" s="56">
        <v>94</v>
      </c>
      <c r="AJ99" s="53" t="str">
        <f t="shared" si="645"/>
        <v>University of Glasgow, Archives &amp; Special Collections, Library Level 12</v>
      </c>
      <c r="AK99" s="59">
        <f t="shared" si="646"/>
        <v>0</v>
      </c>
      <c r="AL99" s="59">
        <f t="shared" si="647"/>
        <v>0</v>
      </c>
      <c r="AM99" s="58">
        <f t="shared" si="767"/>
        <v>0</v>
      </c>
      <c r="AN99" s="45">
        <f t="shared" si="768"/>
        <v>4</v>
      </c>
      <c r="AO99" s="54">
        <f t="shared" si="648"/>
        <v>2.4539999999999997</v>
      </c>
      <c r="AP99" s="45">
        <f t="shared" si="769"/>
        <v>1</v>
      </c>
      <c r="AQ99" s="45">
        <f t="shared" si="770"/>
        <v>2</v>
      </c>
      <c r="AR99" s="46" cm="1">
        <f t="array" ref="AR99">ROUND(IFERROR(INDEX(ArchiveResults!$F$5:$IX$116,ComparisonData!A99,ComparisonData!$AR$1),0),5)</f>
        <v>0</v>
      </c>
      <c r="AS99" s="46" cm="1">
        <f t="array" ref="AS99">ROUND(IFERROR(INDEX(ArchiveResults!$F$5:$IX$116,ComparisonData!A99,ComparisonData!$AS$1),0),5)</f>
        <v>0</v>
      </c>
      <c r="AT99" s="46" cm="1">
        <f t="array" ref="AT99">ROUND(IFERROR(INDEX(ArchiveResults!$F$5:$IX$116,ComparisonData!A99,ComparisonData!$AT$1),0),5)</f>
        <v>0</v>
      </c>
      <c r="AU99" s="46" cm="1">
        <f t="array" ref="AU99">ROUND(IFERROR(INDEX(ArchiveResults!$F$5:$IX$116,ComparisonData!A99,ComparisonData!$AU$1),0),5)</f>
        <v>0</v>
      </c>
      <c r="AV99" s="46" cm="1">
        <f t="array" ref="AV99">ROUND(IFERROR(INDEX(ArchiveResults!$F$5:$IX$116,ComparisonData!A99,ComparisonData!$AV$1),0),5)</f>
        <v>0</v>
      </c>
      <c r="AW99" s="46" cm="1">
        <f t="array" ref="AW99">ROUND(IFERROR(INDEX(ArchiveResults!$F$5:$IX$116,ComparisonData!A99,ComparisonData!$AW$1),0),5)</f>
        <v>0</v>
      </c>
      <c r="AX99" s="46" cm="1">
        <f t="array" ref="AX99">ROUND(IFERROR(INDEX(ArchiveResults!$F$5:$IX$116,ComparisonData!A99,ComparisonData!$AX$1),0),5)</f>
        <v>0</v>
      </c>
      <c r="AY99" s="46" cm="1">
        <f t="array" ref="AY99">ROUND(IFERROR(INDEX(ArchiveResults!$F$5:$IX$116,ComparisonData!A99,ComparisonData!$AY$1),0),5)</f>
        <v>0</v>
      </c>
      <c r="AZ99" s="46" cm="1">
        <f t="array" ref="AZ99">ROUND(IFERROR(INDEX(ArchiveResults!$F$5:$IX$116,ComparisonData!A99,ComparisonData!$AZ$1),0),5)</f>
        <v>0</v>
      </c>
      <c r="BA99" s="46" cm="1">
        <f t="array" ref="BA99">ROUND(IFERROR(INDEX(ArchiveResults!$F$5:$IX$116,ComparisonData!A99,ComparisonData!$BA$1),0),5)</f>
        <v>0</v>
      </c>
      <c r="BB99" s="56">
        <v>94</v>
      </c>
      <c r="BC99" s="53" t="str">
        <f t="shared" si="649"/>
        <v>University of Glasgow, Archives &amp; Special Collections, Library Level 12</v>
      </c>
      <c r="BD99" s="60">
        <f t="shared" si="771"/>
        <v>0</v>
      </c>
      <c r="BE99" s="60">
        <f t="shared" si="772"/>
        <v>0</v>
      </c>
      <c r="BF99" s="60">
        <f t="shared" si="773"/>
        <v>0</v>
      </c>
      <c r="BG99" s="60">
        <f t="shared" si="774"/>
        <v>0</v>
      </c>
      <c r="BH99" s="60">
        <f t="shared" si="775"/>
        <v>0</v>
      </c>
      <c r="BI99" s="60">
        <f t="shared" si="776"/>
        <v>0</v>
      </c>
      <c r="BJ99" s="60">
        <f t="shared" si="777"/>
        <v>0</v>
      </c>
      <c r="BK99" s="60">
        <f t="shared" si="778"/>
        <v>0</v>
      </c>
      <c r="BL99" s="60">
        <f t="shared" si="779"/>
        <v>0</v>
      </c>
      <c r="BM99" s="59">
        <f t="shared" si="780"/>
        <v>0</v>
      </c>
      <c r="BN99" s="58">
        <f t="shared" si="781"/>
        <v>0</v>
      </c>
      <c r="BO99" s="45">
        <f t="shared" si="782"/>
        <v>4</v>
      </c>
      <c r="BP99" s="54">
        <f t="shared" si="650"/>
        <v>2.4539999999999997</v>
      </c>
      <c r="BQ99" s="45">
        <f t="shared" si="783"/>
        <v>1</v>
      </c>
      <c r="BR99" s="45">
        <f t="shared" si="784"/>
        <v>2</v>
      </c>
      <c r="BS99" s="46" cm="1">
        <f t="array" ref="BS99">ROUND(IFERROR(INDEX(ArchiveResults!$F$5:$IX$116,ComparisonData!A99,ComparisonData!$BS$1),0),5)</f>
        <v>0</v>
      </c>
      <c r="BT99" s="46" cm="1">
        <f t="array" ref="BT99">ROUND(IFERROR(INDEX(ArchiveResults!$F$5:$IX$116,ComparisonData!A99,ComparisonData!$BT$1),0),5)</f>
        <v>0</v>
      </c>
      <c r="BU99" s="46" cm="1">
        <f t="array" ref="BU99">ROUND(IFERROR(INDEX(ArchiveResults!$F$5:$IX$116,ComparisonData!A99,ComparisonData!$BU$1),0),5)</f>
        <v>0</v>
      </c>
      <c r="BV99" s="46" cm="1">
        <f t="array" ref="BV99">ROUND(IFERROR(INDEX(ArchiveResults!$F$5:$IX$116,ComparisonData!A99,ComparisonData!$BV$1),0),5)</f>
        <v>0</v>
      </c>
      <c r="BW99" s="46" cm="1">
        <f t="array" ref="BW99">ROUND(IFERROR(INDEX(ArchiveResults!$F$5:$IX$116,ComparisonData!A99,ComparisonData!$BW$1),0),5)</f>
        <v>0</v>
      </c>
      <c r="BX99" s="46" cm="1">
        <f t="array" ref="BX99">ROUND(IFERROR(INDEX(ArchiveResults!$F$5:$IX$116,ComparisonData!A99,ComparisonData!$BX$1),0),5)</f>
        <v>0</v>
      </c>
      <c r="BY99" s="56">
        <v>94</v>
      </c>
      <c r="BZ99" s="53" t="str">
        <f t="shared" si="651"/>
        <v>University of Glasgow, Archives &amp; Special Collections, Library Level 12</v>
      </c>
      <c r="CA99" s="59">
        <f t="shared" si="785"/>
        <v>0</v>
      </c>
      <c r="CB99" s="59">
        <f t="shared" si="786"/>
        <v>0</v>
      </c>
      <c r="CC99" s="59">
        <f t="shared" si="787"/>
        <v>0</v>
      </c>
      <c r="CD99" s="59">
        <f t="shared" si="788"/>
        <v>0</v>
      </c>
      <c r="CE99" s="59">
        <f t="shared" si="789"/>
        <v>0</v>
      </c>
      <c r="CF99" s="59">
        <f t="shared" si="790"/>
        <v>0</v>
      </c>
      <c r="CG99" s="58">
        <f t="shared" si="791"/>
        <v>0</v>
      </c>
      <c r="CH99" s="45">
        <f t="shared" si="792"/>
        <v>4</v>
      </c>
      <c r="CI99" s="54">
        <f t="shared" si="652"/>
        <v>2.4539999999999997</v>
      </c>
      <c r="CJ99" s="45">
        <f t="shared" si="793"/>
        <v>1</v>
      </c>
      <c r="CK99" s="45">
        <f t="shared" si="794"/>
        <v>2</v>
      </c>
      <c r="CL99" s="46" cm="1">
        <f t="array" ref="CL99">ROUND(IFERROR(INDEX(ArchiveResults!$F$5:$IX$116,ComparisonData!A99,ComparisonData!$CL$1),0),5)</f>
        <v>0</v>
      </c>
      <c r="CM99" s="56">
        <v>94</v>
      </c>
      <c r="CN99" s="53" t="str">
        <f t="shared" si="653"/>
        <v>University of Glasgow, Archives &amp; Special Collections, Library Level 12</v>
      </c>
      <c r="CO99" s="45">
        <f t="shared" si="795"/>
        <v>0</v>
      </c>
      <c r="CP99" s="58">
        <f t="shared" si="796"/>
        <v>0</v>
      </c>
      <c r="CQ99" s="45">
        <f t="shared" si="797"/>
        <v>4</v>
      </c>
      <c r="CR99" s="54">
        <f t="shared" si="654"/>
        <v>2.4539999999999997</v>
      </c>
      <c r="CS99" s="45">
        <f t="shared" si="798"/>
        <v>1</v>
      </c>
      <c r="CT99" s="45">
        <f t="shared" si="799"/>
        <v>2</v>
      </c>
      <c r="CU99" s="46" cm="1">
        <f t="array" ref="CU99">ROUND(IFERROR(INDEX(ArchiveResults!$F$5:$IX$116,ComparisonData!A99,ComparisonData!$CU$1),0),5)</f>
        <v>0</v>
      </c>
      <c r="CV99" s="56">
        <v>94</v>
      </c>
      <c r="CW99" s="53" t="str">
        <f t="shared" si="655"/>
        <v>University of Glasgow, Archives &amp; Special Collections, Library Level 12</v>
      </c>
      <c r="CX99" s="45">
        <f t="shared" si="800"/>
        <v>0</v>
      </c>
      <c r="CY99" s="58">
        <f t="shared" si="801"/>
        <v>0</v>
      </c>
      <c r="CZ99" s="45">
        <f t="shared" si="802"/>
        <v>4</v>
      </c>
      <c r="DA99" s="54">
        <f t="shared" si="656"/>
        <v>2.4539999999999997</v>
      </c>
      <c r="DB99" s="45">
        <f t="shared" si="803"/>
        <v>1</v>
      </c>
      <c r="DC99" s="45">
        <f t="shared" si="804"/>
        <v>2</v>
      </c>
      <c r="DD99" s="46" cm="1">
        <f t="array" ref="DD99">ROUND(IFERROR(INDEX(ArchiveResults!$F$5:$IX$116,ComparisonData!A99,ComparisonData!$DD$1),0),5)</f>
        <v>0</v>
      </c>
      <c r="DE99" s="56">
        <v>94</v>
      </c>
      <c r="DF99" s="53" t="str">
        <f t="shared" si="657"/>
        <v>University of Glasgow, Archives &amp; Special Collections, Library Level 12</v>
      </c>
      <c r="DG99" s="45">
        <f t="shared" si="805"/>
        <v>0</v>
      </c>
      <c r="DH99" s="58">
        <f t="shared" si="806"/>
        <v>0</v>
      </c>
      <c r="DI99" s="45">
        <f t="shared" si="807"/>
        <v>4</v>
      </c>
      <c r="DJ99" s="54">
        <f t="shared" si="658"/>
        <v>2.4539999999999997</v>
      </c>
      <c r="DK99" s="45">
        <f t="shared" si="808"/>
        <v>1</v>
      </c>
      <c r="DL99" s="45">
        <f t="shared" si="809"/>
        <v>2</v>
      </c>
      <c r="DM99" s="46" cm="1">
        <f t="array" ref="DM99">ROUND(IFERROR(INDEX(ArchiveResults!$F$5:$IX$116,ComparisonData!A99,ComparisonData!$DM$1),0),5)</f>
        <v>0</v>
      </c>
      <c r="DN99" s="46" cm="1">
        <f t="array" ref="DN99">ROUND(IFERROR(INDEX(ArchiveResults!$F$5:$IX$116,ComparisonData!A99,ComparisonData!$DN$1),0),5)</f>
        <v>0</v>
      </c>
      <c r="DO99" s="46" cm="1">
        <f t="array" ref="DO99">ROUND(IFERROR(INDEX(ArchiveResults!$F$5:$IX$116,ComparisonData!A99,ComparisonData!$DO$1),0),5)</f>
        <v>0</v>
      </c>
      <c r="DP99" s="46" cm="1">
        <f t="array" ref="DP99">ROUND(IFERROR(INDEX(ArchiveResults!$F$5:$IX$116,ComparisonData!A99,ComparisonData!$DP$1),0),5)</f>
        <v>0</v>
      </c>
      <c r="DQ99" s="45" cm="1">
        <f t="array" ref="DQ99">IFERROR(INDEX(ArchiveResults!$F$5:$IX$116,ComparisonData!A99,ComparisonData!$DQ$1),0)</f>
        <v>0</v>
      </c>
      <c r="DR99" s="56">
        <v>94</v>
      </c>
      <c r="DS99" s="53" t="str">
        <f t="shared" si="659"/>
        <v>University of Glasgow, Archives &amp; Special Collections, Library Level 12</v>
      </c>
      <c r="DT99" s="59">
        <f t="shared" si="810"/>
        <v>0</v>
      </c>
      <c r="DU99" s="59">
        <f t="shared" si="811"/>
        <v>0</v>
      </c>
      <c r="DV99" s="59">
        <f t="shared" si="812"/>
        <v>0</v>
      </c>
      <c r="DW99" s="59">
        <f t="shared" si="813"/>
        <v>0</v>
      </c>
      <c r="DX99" s="59">
        <f t="shared" si="814"/>
        <v>0</v>
      </c>
      <c r="DY99" s="58">
        <f t="shared" si="815"/>
        <v>0</v>
      </c>
      <c r="DZ99" s="45">
        <f t="shared" si="816"/>
        <v>4</v>
      </c>
      <c r="EA99" s="54">
        <f t="shared" si="660"/>
        <v>2.4539999999999997</v>
      </c>
      <c r="EB99" s="45">
        <f t="shared" si="817"/>
        <v>1</v>
      </c>
      <c r="EC99" s="45">
        <f t="shared" si="818"/>
        <v>2</v>
      </c>
      <c r="ED99" s="46" cm="1">
        <f t="array" ref="ED99">ROUND(IFERROR(INDEX(ArchiveResults!$F$5:$IX$116,ComparisonData!A99,ComparisonData!$ED$1),0),5)</f>
        <v>0</v>
      </c>
      <c r="EE99" s="46" cm="1">
        <f t="array" ref="EE99">ROUND(IFERROR(INDEX(ArchiveResults!$F$5:$IX$116,ComparisonData!A99,ComparisonData!$EE$1),0),5)</f>
        <v>0</v>
      </c>
      <c r="EF99" s="46" cm="1">
        <f t="array" ref="EF99">ROUND(IFERROR(INDEX(ArchiveResults!$F$5:$IX$116,ComparisonData!A99,ComparisonData!$EF$1),0),5)</f>
        <v>0</v>
      </c>
      <c r="EG99" s="46" cm="1">
        <f t="array" ref="EG99">ROUND(IFERROR(INDEX(ArchiveResults!$F$5:$IX$116,ComparisonData!A99,ComparisonData!$EG$1),0),5)</f>
        <v>0</v>
      </c>
      <c r="EH99" s="45" cm="1">
        <f t="array" ref="EH99">IFERROR(INDEX(ArchiveResults!$F$5:$IX$116,ComparisonData!A99,ComparisonData!$EH$1),0)</f>
        <v>0</v>
      </c>
      <c r="EI99" s="56">
        <v>94</v>
      </c>
      <c r="EJ99" s="53" t="str">
        <f t="shared" si="661"/>
        <v>University of Glasgow, Archives &amp; Special Collections, Library Level 12</v>
      </c>
      <c r="EK99" s="59">
        <f t="shared" si="819"/>
        <v>0</v>
      </c>
      <c r="EL99" s="59">
        <f t="shared" si="820"/>
        <v>0</v>
      </c>
      <c r="EM99" s="59">
        <f t="shared" si="821"/>
        <v>0</v>
      </c>
      <c r="EN99" s="59">
        <f t="shared" si="822"/>
        <v>0</v>
      </c>
      <c r="EO99" s="59">
        <f t="shared" si="823"/>
        <v>0</v>
      </c>
      <c r="EP99" s="58">
        <f t="shared" si="824"/>
        <v>0</v>
      </c>
      <c r="EQ99" s="45">
        <f t="shared" si="825"/>
        <v>4</v>
      </c>
      <c r="ER99" s="54">
        <f t="shared" si="662"/>
        <v>2.4539999999999997</v>
      </c>
      <c r="ES99" s="45">
        <f t="shared" si="826"/>
        <v>1</v>
      </c>
      <c r="ET99" s="45">
        <f t="shared" si="827"/>
        <v>2</v>
      </c>
      <c r="EU99" s="46" cm="1">
        <f t="array" ref="EU99">ROUND(IFERROR(INDEX(ArchiveResults!$F$5:$IX$116,ComparisonData!A99,ComparisonData!$EU$1),0),5)</f>
        <v>0</v>
      </c>
      <c r="EV99" s="46" cm="1">
        <f t="array" ref="EV99">ROUND(IFERROR(INDEX(ArchiveResults!$F$5:$IX$116,ComparisonData!A99,ComparisonData!$EV$1),0),5)</f>
        <v>0</v>
      </c>
      <c r="EW99" s="46" cm="1">
        <f t="array" ref="EW99">ROUND(IFERROR(INDEX(ArchiveResults!$F$5:$IX$116,ComparisonData!A99,ComparisonData!$EW$1),0),5)</f>
        <v>0</v>
      </c>
      <c r="EX99" s="46" cm="1">
        <f t="array" ref="EX99">ROUND(IFERROR(INDEX(ArchiveResults!$F$5:$IX$116,ComparisonData!A99,ComparisonData!$EX$1),0),5)</f>
        <v>0</v>
      </c>
      <c r="EY99" s="45" cm="1">
        <f t="array" ref="EY99">IFERROR(INDEX(ArchiveResults!$F$5:$IX$116,ComparisonData!A99,ComparisonData!$EY$1),0)</f>
        <v>0</v>
      </c>
      <c r="EZ99" s="56">
        <v>94</v>
      </c>
      <c r="FA99" s="53" t="str">
        <f t="shared" si="663"/>
        <v>University of Glasgow, Archives &amp; Special Collections, Library Level 12</v>
      </c>
      <c r="FB99" s="59">
        <f t="shared" si="828"/>
        <v>0</v>
      </c>
      <c r="FC99" s="59">
        <f t="shared" si="829"/>
        <v>0</v>
      </c>
      <c r="FD99" s="59">
        <f t="shared" si="830"/>
        <v>0</v>
      </c>
      <c r="FE99" s="59">
        <f t="shared" si="831"/>
        <v>0</v>
      </c>
      <c r="FF99" s="59">
        <f t="shared" si="832"/>
        <v>0</v>
      </c>
      <c r="FG99" s="58">
        <f t="shared" si="833"/>
        <v>0</v>
      </c>
      <c r="FH99" s="45">
        <f t="shared" si="834"/>
        <v>4</v>
      </c>
      <c r="FI99" s="54">
        <f t="shared" si="664"/>
        <v>2.4539999999999997</v>
      </c>
      <c r="FJ99" s="45">
        <f t="shared" si="835"/>
        <v>1</v>
      </c>
      <c r="FK99" s="45">
        <f t="shared" si="836"/>
        <v>2</v>
      </c>
      <c r="FL99" s="46" cm="1">
        <f t="array" ref="FL99">ROUND(IFERROR(INDEX(ArchiveResults!$F$5:$IX$116,ComparisonData!A99,ComparisonData!$FL$1),0),5)</f>
        <v>0</v>
      </c>
      <c r="FM99" s="46" cm="1">
        <f t="array" ref="FM99">ROUND(IFERROR(INDEX(ArchiveResults!$F$5:$IX$116,ComparisonData!A99,ComparisonData!$FM$1),0),5)</f>
        <v>0</v>
      </c>
      <c r="FN99" s="46" cm="1">
        <f t="array" ref="FN99">ROUND(IFERROR(INDEX(ArchiveResults!$F$5:$IX$116,ComparisonData!A99,ComparisonData!$FN$1),0),5)</f>
        <v>0</v>
      </c>
      <c r="FO99" s="46" cm="1">
        <f t="array" ref="FO99">ROUND(IFERROR(INDEX(ArchiveResults!$F$5:$IX$116,ComparisonData!A99,ComparisonData!$FO$1),0),5)</f>
        <v>0</v>
      </c>
      <c r="FP99" s="45" cm="1">
        <f t="array" ref="FP99">IFERROR(INDEX(ArchiveResults!$F$5:$IX$116,ComparisonData!A99,ComparisonData!$FP$1),0)</f>
        <v>0</v>
      </c>
      <c r="FQ99" s="56">
        <v>94</v>
      </c>
      <c r="FR99" s="53" t="str">
        <f t="shared" si="665"/>
        <v>University of Glasgow, Archives &amp; Special Collections, Library Level 12</v>
      </c>
      <c r="FS99" s="59">
        <f t="shared" si="837"/>
        <v>0</v>
      </c>
      <c r="FT99" s="59">
        <f t="shared" si="838"/>
        <v>0</v>
      </c>
      <c r="FU99" s="59">
        <f t="shared" si="839"/>
        <v>0</v>
      </c>
      <c r="FV99" s="59">
        <f t="shared" si="840"/>
        <v>0</v>
      </c>
      <c r="FW99" s="59">
        <f t="shared" si="841"/>
        <v>0</v>
      </c>
      <c r="FX99" s="58">
        <f t="shared" si="842"/>
        <v>0</v>
      </c>
      <c r="FY99" s="45">
        <f t="shared" si="843"/>
        <v>4</v>
      </c>
      <c r="FZ99" s="45">
        <f t="shared" si="666"/>
        <v>2.4539999999999997</v>
      </c>
      <c r="GA99" s="45">
        <f t="shared" si="844"/>
        <v>1</v>
      </c>
      <c r="GB99" s="45">
        <f t="shared" si="845"/>
        <v>2</v>
      </c>
      <c r="GC99" s="46" cm="1">
        <f t="array" ref="GC99">ROUND(IFERROR(INDEX(ArchiveResults!$F$5:$IX$116,ComparisonData!A99,ComparisonData!$GC$1),0),5)</f>
        <v>0</v>
      </c>
      <c r="GD99" s="46" cm="1">
        <f t="array" ref="GD99">ROUND(IFERROR(INDEX(ArchiveResults!$F$5:$IX$116,ComparisonData!A99,ComparisonData!$GD$1),0),5)</f>
        <v>0</v>
      </c>
      <c r="GE99" s="46" cm="1">
        <f t="array" ref="GE99">ROUND(IFERROR(INDEX(ArchiveResults!$F$5:$IX$116,ComparisonData!A99,ComparisonData!$GE$1),0),5)</f>
        <v>0</v>
      </c>
      <c r="GF99" s="46" cm="1">
        <f t="array" ref="GF99">ROUND(IFERROR(INDEX(ArchiveResults!$F$5:$IX$116,ComparisonData!A99,ComparisonData!$GF$1),0),5)</f>
        <v>0</v>
      </c>
      <c r="GG99" s="45" cm="1">
        <f t="array" ref="GG99">IFERROR(INDEX(ArchiveResults!$F$5:$IX$116,ComparisonData!A99,ComparisonData!$GG$1),0)</f>
        <v>0</v>
      </c>
      <c r="GH99" s="56">
        <v>94</v>
      </c>
      <c r="GI99" s="53" t="str">
        <f t="shared" si="667"/>
        <v>University of Glasgow, Archives &amp; Special Collections, Library Level 12</v>
      </c>
      <c r="GJ99" s="59">
        <f t="shared" si="846"/>
        <v>0</v>
      </c>
      <c r="GK99" s="59">
        <f t="shared" si="847"/>
        <v>0</v>
      </c>
      <c r="GL99" s="59">
        <f t="shared" si="848"/>
        <v>0</v>
      </c>
      <c r="GM99" s="59">
        <f t="shared" si="849"/>
        <v>0</v>
      </c>
      <c r="GN99" s="59">
        <f t="shared" si="850"/>
        <v>0</v>
      </c>
      <c r="GO99" s="58">
        <f t="shared" si="851"/>
        <v>0</v>
      </c>
      <c r="GP99" s="45">
        <f t="shared" si="852"/>
        <v>4</v>
      </c>
      <c r="GQ99" s="45">
        <f t="shared" si="668"/>
        <v>2.4539999999999997</v>
      </c>
      <c r="GR99" s="45">
        <f t="shared" si="853"/>
        <v>1</v>
      </c>
      <c r="GS99" s="45">
        <f t="shared" si="854"/>
        <v>2</v>
      </c>
      <c r="GT99" s="46" cm="1">
        <f t="array" ref="GT99">ROUND(IFERROR(INDEX(ArchiveResults!$F$5:$IX$116,ComparisonData!A99,ComparisonData!$GT$1),0),5)</f>
        <v>0</v>
      </c>
      <c r="GU99" s="46" cm="1">
        <f t="array" ref="GU99">ROUND(IFERROR(INDEX(ArchiveResults!$F$5:$IX$116,ComparisonData!A99,ComparisonData!$GU$1),0),5)</f>
        <v>0</v>
      </c>
      <c r="GV99" s="46" cm="1">
        <f t="array" ref="GV99">ROUND(IFERROR(INDEX(ArchiveResults!$F$5:$IX$116,ComparisonData!A99,ComparisonData!$GV$1),0),5)</f>
        <v>0</v>
      </c>
      <c r="GW99" s="46" cm="1">
        <f t="array" ref="GW99">ROUND(IFERROR(INDEX(ArchiveResults!$F$5:$IX$116,ComparisonData!A99,ComparisonData!$GW$1),0),5)</f>
        <v>0</v>
      </c>
      <c r="GX99" s="45" cm="1">
        <f t="array" ref="GX99">IFERROR(INDEX(ArchiveResults!$F$5:$IX$116,ComparisonData!A99,ComparisonData!$GX$1),0)</f>
        <v>0</v>
      </c>
      <c r="GY99" s="56">
        <v>94</v>
      </c>
      <c r="GZ99" s="53" t="str">
        <f t="shared" si="669"/>
        <v>University of Glasgow, Archives &amp; Special Collections, Library Level 12</v>
      </c>
      <c r="HA99" s="59">
        <f t="shared" si="855"/>
        <v>0</v>
      </c>
      <c r="HB99" s="59">
        <f t="shared" si="856"/>
        <v>0</v>
      </c>
      <c r="HC99" s="59">
        <f t="shared" si="857"/>
        <v>0</v>
      </c>
      <c r="HD99" s="59">
        <f t="shared" si="858"/>
        <v>0</v>
      </c>
      <c r="HE99" s="59">
        <f t="shared" si="859"/>
        <v>0</v>
      </c>
      <c r="HF99" s="58">
        <f t="shared" si="860"/>
        <v>0</v>
      </c>
      <c r="HG99" s="45">
        <f t="shared" si="861"/>
        <v>4</v>
      </c>
      <c r="HH99" s="45">
        <f t="shared" si="670"/>
        <v>2.4539999999999997</v>
      </c>
      <c r="HI99" s="45">
        <f t="shared" si="862"/>
        <v>1</v>
      </c>
      <c r="HJ99" s="45">
        <f t="shared" si="863"/>
        <v>2</v>
      </c>
      <c r="HK99" s="46" cm="1">
        <f t="array" ref="HK99">ROUND(IFERROR(INDEX(ArchiveResults!$F$5:$IX$116,ComparisonData!A99,ComparisonData!$HK$1),0),5)</f>
        <v>0</v>
      </c>
      <c r="HL99" s="46" cm="1">
        <f t="array" ref="HL99">ROUND(IFERROR(INDEX(ArchiveResults!$F$5:$IX$116,ComparisonData!A99,ComparisonData!$HL$1),0),5)</f>
        <v>0</v>
      </c>
      <c r="HM99" s="46" cm="1">
        <f t="array" ref="HM99">ROUND(IFERROR(INDEX(ArchiveResults!$F$5:$IX$116,ComparisonData!A99,ComparisonData!$HM$1),0),5)</f>
        <v>0</v>
      </c>
      <c r="HN99" s="46" cm="1">
        <f t="array" ref="HN99">ROUND(IFERROR(INDEX(ArchiveResults!$F$5:$IX$116,ComparisonData!A99,ComparisonData!$HN$1),0),5)</f>
        <v>0</v>
      </c>
      <c r="HO99" s="45" cm="1">
        <f t="array" ref="HO99">IFERROR(INDEX(ArchiveResults!$F$5:$IX$116,ComparisonData!A99,ComparisonData!$HO$1),0)</f>
        <v>0</v>
      </c>
      <c r="HP99" s="56">
        <v>94</v>
      </c>
      <c r="HQ99" s="53" t="str">
        <f t="shared" si="671"/>
        <v>University of Glasgow, Archives &amp; Special Collections, Library Level 12</v>
      </c>
      <c r="HR99" s="59">
        <f t="shared" si="672"/>
        <v>0</v>
      </c>
      <c r="HS99" s="59">
        <f t="shared" si="673"/>
        <v>0</v>
      </c>
      <c r="HT99" s="59">
        <f t="shared" si="674"/>
        <v>0</v>
      </c>
      <c r="HU99" s="59">
        <f t="shared" si="675"/>
        <v>0</v>
      </c>
      <c r="HV99" s="59">
        <f t="shared" si="676"/>
        <v>0</v>
      </c>
      <c r="HW99" s="58">
        <f t="shared" si="864"/>
        <v>0</v>
      </c>
      <c r="HX99" s="45">
        <f t="shared" si="865"/>
        <v>4</v>
      </c>
      <c r="HY99" s="45">
        <f t="shared" si="677"/>
        <v>2.4539999999999997</v>
      </c>
      <c r="HZ99" s="45">
        <f t="shared" si="866"/>
        <v>1</v>
      </c>
      <c r="IA99" s="45">
        <f t="shared" si="867"/>
        <v>2</v>
      </c>
      <c r="IB99" s="45">
        <f t="shared" si="868"/>
        <v>0</v>
      </c>
      <c r="IC99" s="46" cm="1">
        <f t="array" ref="IC99">ROUND(IFERROR(INDEX(ArchiveResults!$F$5:$IX$116,ComparisonData!A99,ComparisonData!$IC$1),0),5)</f>
        <v>0</v>
      </c>
      <c r="ID99" s="46" cm="1">
        <f t="array" ref="ID99">ROUND(IFERROR(INDEX(ArchiveResults!$F$5:$IX$116,ComparisonData!A99,ComparisonData!$ID$1),0),5)</f>
        <v>0</v>
      </c>
      <c r="IE99" s="46" cm="1">
        <f t="array" ref="IE99">ROUND(IFERROR(INDEX(ArchiveResults!$F$5:$IX$116,ComparisonData!A99,ComparisonData!$IE$1),0),5)</f>
        <v>0</v>
      </c>
      <c r="IF99" s="46" cm="1">
        <f t="array" ref="IF99">ROUND(IFERROR(INDEX(ArchiveResults!$F$5:$IX$116,ComparisonData!A99,ComparisonData!$IF$1),0),5)</f>
        <v>0</v>
      </c>
      <c r="IG99" s="45" cm="1">
        <f t="array" ref="IG99">IFERROR(INDEX(ArchiveResults!$F$5:$IX$116,ComparisonData!A99,ComparisonData!$IG$1),0)</f>
        <v>0</v>
      </c>
      <c r="IH99" s="56">
        <v>94</v>
      </c>
      <c r="II99" s="53" t="str">
        <f t="shared" si="678"/>
        <v>University of Glasgow, Archives &amp; Special Collections, Library Level 12</v>
      </c>
      <c r="IJ99" s="59">
        <f t="shared" si="869"/>
        <v>0</v>
      </c>
      <c r="IK99" s="59">
        <f t="shared" si="870"/>
        <v>0</v>
      </c>
      <c r="IL99" s="59">
        <f t="shared" si="871"/>
        <v>0</v>
      </c>
      <c r="IM99" s="59">
        <f t="shared" si="872"/>
        <v>0</v>
      </c>
      <c r="IN99" s="59">
        <f t="shared" si="873"/>
        <v>0</v>
      </c>
      <c r="IO99" s="58">
        <f t="shared" si="874"/>
        <v>0</v>
      </c>
      <c r="IP99" s="45">
        <f t="shared" si="875"/>
        <v>4</v>
      </c>
      <c r="IQ99" s="45">
        <f t="shared" si="679"/>
        <v>2.4539999999999997</v>
      </c>
      <c r="IR99" s="45">
        <f t="shared" si="876"/>
        <v>1</v>
      </c>
      <c r="IS99" s="45">
        <f t="shared" si="877"/>
        <v>2</v>
      </c>
      <c r="IT99" s="46">
        <f t="shared" si="878"/>
        <v>0</v>
      </c>
      <c r="IU99" s="46" cm="1">
        <f t="array" ref="IU99">ROUND(IFERROR(INDEX(ArchiveResults!$F$5:$IX$116,ComparisonData!A99,ComparisonData!$IU$1),0),5)</f>
        <v>0</v>
      </c>
      <c r="IV99" s="46" cm="1">
        <f t="array" ref="IV99">ROUND(IFERROR(INDEX(ArchiveResults!$F$5:$IX$116,ComparisonData!A99,ComparisonData!$IV$1),0),5)</f>
        <v>0</v>
      </c>
      <c r="IW99" s="46" cm="1">
        <f t="array" ref="IW99">ROUND(IFERROR(INDEX(ArchiveResults!$F$5:$IX$116,ComparisonData!A99,ComparisonData!$IW$1),0),5)</f>
        <v>0</v>
      </c>
      <c r="IX99" s="46" cm="1">
        <f t="array" ref="IX99">ROUND(IFERROR(INDEX(ArchiveResults!$F$5:$IX$116,ComparisonData!A99,ComparisonData!$IX$1),0),5)</f>
        <v>0</v>
      </c>
      <c r="IY99" s="45" cm="1">
        <f t="array" ref="IY99">IFERROR(INDEX(ArchiveResults!$F$5:$IX$116,ComparisonData!A99,ComparisonData!$IY$1),0)</f>
        <v>0</v>
      </c>
      <c r="IZ99" s="56">
        <v>94</v>
      </c>
      <c r="JA99" s="53" t="str">
        <f t="shared" si="680"/>
        <v>University of Glasgow, Archives &amp; Special Collections, Library Level 12</v>
      </c>
      <c r="JB99" s="59">
        <f t="shared" si="879"/>
        <v>0</v>
      </c>
      <c r="JC99" s="59">
        <f t="shared" si="880"/>
        <v>0</v>
      </c>
      <c r="JD99" s="59">
        <f t="shared" si="881"/>
        <v>0</v>
      </c>
      <c r="JE99" s="59">
        <f t="shared" si="882"/>
        <v>0</v>
      </c>
      <c r="JF99" s="59">
        <f t="shared" si="883"/>
        <v>0</v>
      </c>
      <c r="JG99" s="58">
        <f t="shared" si="884"/>
        <v>0</v>
      </c>
      <c r="JH99" s="45">
        <f t="shared" si="885"/>
        <v>4</v>
      </c>
      <c r="JI99" s="45">
        <f t="shared" si="681"/>
        <v>2.4539999999999997</v>
      </c>
      <c r="JJ99" s="45">
        <f t="shared" si="886"/>
        <v>1</v>
      </c>
      <c r="JK99" s="45">
        <f t="shared" si="887"/>
        <v>2</v>
      </c>
      <c r="JL99" s="45">
        <f t="shared" si="888"/>
        <v>0</v>
      </c>
      <c r="JM99" s="46" cm="1">
        <f t="array" ref="JM99">ROUND(IFERROR(INDEX(ArchiveResults!$F$5:$IX$116,ComparisonData!A99,ComparisonData!$JM$1),0),5)</f>
        <v>0</v>
      </c>
      <c r="JN99" s="46" cm="1">
        <f t="array" ref="JN99">ROUND(IFERROR(INDEX(ArchiveResults!$F$5:$IX$116,ComparisonData!A99,ComparisonData!$JN$1),0),5)</f>
        <v>0</v>
      </c>
      <c r="JO99" s="46" cm="1">
        <f t="array" ref="JO99">ROUND(IFERROR(INDEX(ArchiveResults!$F$5:$IX$116,ComparisonData!A99,ComparisonData!$JO$1),0),5)</f>
        <v>0</v>
      </c>
      <c r="JP99" s="46" cm="1">
        <f t="array" ref="JP99">ROUND(IFERROR(INDEX(ArchiveResults!$F$5:$IX$116,ComparisonData!A99,ComparisonData!$JP$1),0),5)</f>
        <v>0</v>
      </c>
      <c r="JQ99" s="45" cm="1">
        <f t="array" ref="JQ99">IFERROR(INDEX(ArchiveResults!$F$5:$IX$116,ComparisonData!A99,ComparisonData!$JQ$1),0)</f>
        <v>0</v>
      </c>
      <c r="JR99" s="56">
        <v>94</v>
      </c>
      <c r="JS99" s="53" t="str">
        <f t="shared" si="682"/>
        <v>University of Glasgow, Archives &amp; Special Collections, Library Level 12</v>
      </c>
      <c r="JT99" s="59">
        <f t="shared" si="889"/>
        <v>0</v>
      </c>
      <c r="JU99" s="59">
        <f t="shared" si="890"/>
        <v>0</v>
      </c>
      <c r="JV99" s="59">
        <f t="shared" si="891"/>
        <v>0</v>
      </c>
      <c r="JW99" s="59">
        <f t="shared" si="892"/>
        <v>0</v>
      </c>
      <c r="JX99" s="59">
        <f t="shared" si="893"/>
        <v>0</v>
      </c>
      <c r="JY99" s="58">
        <f t="shared" si="894"/>
        <v>0</v>
      </c>
      <c r="JZ99" s="45">
        <f t="shared" si="895"/>
        <v>4</v>
      </c>
      <c r="KA99" s="45">
        <f t="shared" si="683"/>
        <v>2.4539999999999997</v>
      </c>
      <c r="KB99" s="45">
        <f t="shared" si="896"/>
        <v>1</v>
      </c>
      <c r="KC99" s="45">
        <f t="shared" si="897"/>
        <v>2</v>
      </c>
      <c r="KD99" s="45">
        <f t="shared" si="898"/>
        <v>0</v>
      </c>
      <c r="KE99" s="46" cm="1">
        <f t="array" ref="KE99">ROUND(IFERROR(INDEX(ArchiveResults!$F$5:$IX$116,ComparisonData!A99,ComparisonData!$KE$1),0),5)</f>
        <v>0</v>
      </c>
      <c r="KF99" s="46" cm="1">
        <f t="array" ref="KF99">ROUND(IFERROR(INDEX(ArchiveResults!$F$5:$IX$116,ComparisonData!A99,ComparisonData!$KF$1),0),5)</f>
        <v>0</v>
      </c>
      <c r="KG99" s="46" cm="1">
        <f t="array" ref="KG99">ROUND(IFERROR(INDEX(ArchiveResults!$F$5:$IX$116,ComparisonData!A99,ComparisonData!$KG$1),0),5)</f>
        <v>0</v>
      </c>
      <c r="KH99" s="46" cm="1">
        <f t="array" ref="KH99">ROUND(IFERROR(INDEX(ArchiveResults!$F$5:$IX$116,ComparisonData!A99,ComparisonData!$KH$1),0),5)</f>
        <v>0</v>
      </c>
      <c r="KI99" s="45" cm="1">
        <f t="array" ref="KI99">IFERROR(INDEX(ArchiveResults!$F$5:$IX$116,ComparisonData!A99,ComparisonData!$KI$1),0)</f>
        <v>0</v>
      </c>
      <c r="KJ99" s="56">
        <v>94</v>
      </c>
      <c r="KK99" s="53" t="str">
        <f t="shared" si="684"/>
        <v>University of Glasgow, Archives &amp; Special Collections, Library Level 12</v>
      </c>
      <c r="KL99" s="59">
        <f t="shared" si="899"/>
        <v>0</v>
      </c>
      <c r="KM99" s="59">
        <f t="shared" si="900"/>
        <v>0</v>
      </c>
      <c r="KN99" s="59">
        <f t="shared" si="901"/>
        <v>0</v>
      </c>
      <c r="KO99" s="59">
        <f t="shared" si="902"/>
        <v>0</v>
      </c>
      <c r="KP99" s="59">
        <f t="shared" si="903"/>
        <v>0</v>
      </c>
      <c r="KQ99" s="58">
        <f t="shared" si="904"/>
        <v>0</v>
      </c>
      <c r="KR99" s="45">
        <f t="shared" si="905"/>
        <v>4</v>
      </c>
      <c r="KS99" s="45">
        <f t="shared" si="685"/>
        <v>2.4539999999999997</v>
      </c>
      <c r="KT99" s="45">
        <f t="shared" si="906"/>
        <v>1</v>
      </c>
      <c r="KU99" s="45">
        <f t="shared" si="907"/>
        <v>2</v>
      </c>
      <c r="KV99" s="45">
        <f t="shared" si="908"/>
        <v>0</v>
      </c>
      <c r="KW99" s="46" cm="1">
        <f t="array" ref="KW99">ROUND(IFERROR(INDEX(ArchiveResults!$F$5:$IX$116,ComparisonData!A99,ComparisonData!$KW$1),0),5)</f>
        <v>0</v>
      </c>
      <c r="KX99" s="46" cm="1">
        <f t="array" ref="KX99">ROUND(IFERROR(INDEX(ArchiveResults!$F$5:$IX$116,ComparisonData!A99,ComparisonData!$KX$1),0),5)</f>
        <v>0</v>
      </c>
      <c r="KY99" s="46" cm="1">
        <f t="array" ref="KY99">ROUND(IFERROR(INDEX(ArchiveResults!$F$5:$IX$116,ComparisonData!A99,ComparisonData!$KY$1),0),5)</f>
        <v>0</v>
      </c>
      <c r="KZ99" s="46" cm="1">
        <f t="array" ref="KZ99">ROUND(IFERROR(INDEX(ArchiveResults!$F$5:$IX$116,ComparisonData!A99,ComparisonData!$KZ$1),0),5)</f>
        <v>0</v>
      </c>
      <c r="LA99" s="45" cm="1">
        <f t="array" ref="LA99">IFERROR(INDEX(ArchiveResults!$F$5:$IX$116,ComparisonData!A99,ComparisonData!$LA$1),0)</f>
        <v>0</v>
      </c>
      <c r="LB99" s="56">
        <v>94</v>
      </c>
      <c r="LC99" s="53" t="str">
        <f t="shared" si="686"/>
        <v>University of Glasgow, Archives &amp; Special Collections, Library Level 12</v>
      </c>
      <c r="LD99" s="59">
        <f t="shared" si="909"/>
        <v>0</v>
      </c>
      <c r="LE99" s="59">
        <f t="shared" si="910"/>
        <v>0</v>
      </c>
      <c r="LF99" s="59">
        <f t="shared" si="911"/>
        <v>0</v>
      </c>
      <c r="LG99" s="59">
        <f t="shared" si="912"/>
        <v>0</v>
      </c>
      <c r="LH99" s="59">
        <f t="shared" si="913"/>
        <v>0</v>
      </c>
      <c r="LI99" s="58">
        <f t="shared" si="914"/>
        <v>0</v>
      </c>
      <c r="LJ99" s="45">
        <f t="shared" si="915"/>
        <v>4</v>
      </c>
      <c r="LK99" s="45">
        <f t="shared" si="687"/>
        <v>2.4539999999999997</v>
      </c>
      <c r="LL99" s="45">
        <f t="shared" si="916"/>
        <v>1</v>
      </c>
      <c r="LM99" s="45">
        <f t="shared" si="917"/>
        <v>2</v>
      </c>
      <c r="LN99" s="45">
        <f t="shared" si="918"/>
        <v>0</v>
      </c>
      <c r="LO99" s="46" cm="1">
        <f t="array" ref="LO99">ROUND(IFERROR(INDEX(ArchiveResults!$F$5:$IX$116,ComparisonData!A99,ComparisonData!$LO$1),0),5)</f>
        <v>0</v>
      </c>
      <c r="LP99" s="46" cm="1">
        <f t="array" ref="LP99">ROUND(IFERROR(INDEX(ArchiveResults!$F$5:$IX$116,ComparisonData!A99,ComparisonData!$LP$1),0),5)</f>
        <v>0</v>
      </c>
      <c r="LQ99" s="46" cm="1">
        <f t="array" ref="LQ99">ROUND(IFERROR(INDEX(ArchiveResults!$F$5:$IX$116,ComparisonData!A99,ComparisonData!$LQ$1),0),5)</f>
        <v>0</v>
      </c>
      <c r="LR99" s="46" cm="1">
        <f t="array" ref="LR99">ROUND(IFERROR(INDEX(ArchiveResults!$F$5:$IX$116,ComparisonData!A99,ComparisonData!$LR$1),0),5)</f>
        <v>0</v>
      </c>
      <c r="LS99" s="45" cm="1">
        <f t="array" ref="LS99">IFERROR(INDEX(ArchiveResults!$F$5:$IX$116,ComparisonData!A99,ComparisonData!$LS$1),0)</f>
        <v>0</v>
      </c>
      <c r="LT99" s="56">
        <v>94</v>
      </c>
      <c r="LU99" s="53" t="str">
        <f t="shared" si="688"/>
        <v>University of Glasgow, Archives &amp; Special Collections, Library Level 12</v>
      </c>
      <c r="LV99" s="59">
        <f t="shared" si="919"/>
        <v>0</v>
      </c>
      <c r="LW99" s="59">
        <f t="shared" si="920"/>
        <v>0</v>
      </c>
      <c r="LX99" s="59">
        <f t="shared" si="921"/>
        <v>0</v>
      </c>
      <c r="LY99" s="59">
        <f t="shared" si="922"/>
        <v>0</v>
      </c>
      <c r="LZ99" s="59">
        <f t="shared" si="923"/>
        <v>0</v>
      </c>
      <c r="MA99" s="58">
        <f t="shared" si="924"/>
        <v>0</v>
      </c>
      <c r="MB99" s="45">
        <f t="shared" si="925"/>
        <v>4</v>
      </c>
      <c r="MC99" s="45">
        <f t="shared" si="689"/>
        <v>2.4539999999999997</v>
      </c>
      <c r="MD99" s="45">
        <f t="shared" si="926"/>
        <v>1</v>
      </c>
      <c r="ME99" s="45">
        <f t="shared" si="927"/>
        <v>2</v>
      </c>
      <c r="MF99" s="45">
        <f t="shared" si="928"/>
        <v>0</v>
      </c>
      <c r="MG99" s="46" cm="1">
        <f t="array" ref="MG99">ROUND(IFERROR(INDEX(ArchiveResults!$F$5:$IX$116,ComparisonData!A99,ComparisonData!$MG$1),0),5)</f>
        <v>0</v>
      </c>
      <c r="MH99" s="46" cm="1">
        <f t="array" ref="MH99">ROUND(IFERROR(INDEX(ArchiveResults!$F$5:$IX$116,ComparisonData!A99,ComparisonData!$MH$1),0),5)</f>
        <v>0</v>
      </c>
      <c r="MI99" s="46" cm="1">
        <f t="array" ref="MI99">ROUND(IFERROR(INDEX(ArchiveResults!$F$5:$IX$116,ComparisonData!A99,ComparisonData!$MI$1),0),5)</f>
        <v>0</v>
      </c>
      <c r="MJ99" s="46" cm="1">
        <f t="array" ref="MJ99">ROUND(IFERROR(INDEX(ArchiveResults!$F$5:$IX$116,ComparisonData!A99,ComparisonData!$MJ$1),0),5)</f>
        <v>0</v>
      </c>
      <c r="MK99" s="45" cm="1">
        <f t="array" ref="MK99">IFERROR(INDEX(ArchiveResults!$F$5:$IX$116,ComparisonData!A99,ComparisonData!$MK$1),0)</f>
        <v>0</v>
      </c>
      <c r="ML99" s="56">
        <v>94</v>
      </c>
      <c r="MM99" s="53" t="str">
        <f t="shared" si="690"/>
        <v>University of Glasgow, Archives &amp; Special Collections, Library Level 12</v>
      </c>
      <c r="MN99" s="59">
        <f t="shared" si="929"/>
        <v>0</v>
      </c>
      <c r="MO99" s="59">
        <f t="shared" si="930"/>
        <v>0</v>
      </c>
      <c r="MP99" s="59">
        <f t="shared" si="931"/>
        <v>0</v>
      </c>
      <c r="MQ99" s="59">
        <f t="shared" si="932"/>
        <v>0</v>
      </c>
      <c r="MR99" s="59">
        <f t="shared" si="933"/>
        <v>0</v>
      </c>
      <c r="MS99" s="58">
        <f t="shared" si="934"/>
        <v>0</v>
      </c>
      <c r="MT99" s="45">
        <f t="shared" si="935"/>
        <v>4</v>
      </c>
      <c r="MU99" s="45">
        <f t="shared" si="691"/>
        <v>2.4539999999999997</v>
      </c>
      <c r="MV99" s="45">
        <f t="shared" si="936"/>
        <v>1</v>
      </c>
      <c r="MW99" s="45">
        <f t="shared" si="937"/>
        <v>2</v>
      </c>
      <c r="MX99" s="45">
        <f t="shared" si="938"/>
        <v>0</v>
      </c>
      <c r="MY99" s="46" cm="1">
        <f t="array" ref="MY99">ROUND(IFERROR(INDEX(ArchiveResults!$F$5:$IX$116,ComparisonData!A99,ComparisonData!$MY$1),0),5)</f>
        <v>0</v>
      </c>
      <c r="MZ99" s="46" cm="1">
        <f t="array" ref="MZ99">ROUND(IFERROR(INDEX(ArchiveResults!$F$5:$IX$116,ComparisonData!A99,ComparisonData!$MZ$1),0),5)</f>
        <v>0</v>
      </c>
      <c r="NA99" s="46" cm="1">
        <f t="array" ref="NA99">ROUND(IFERROR(INDEX(ArchiveResults!$F$5:$IX$116,ComparisonData!A99,ComparisonData!$NA$1),0),5)</f>
        <v>0</v>
      </c>
      <c r="NB99" s="46" cm="1">
        <f t="array" ref="NB99">ROUND(IFERROR(INDEX(ArchiveResults!$F$5:$IX$116,ComparisonData!A99,ComparisonData!$NB$1),0),5)</f>
        <v>0</v>
      </c>
      <c r="NC99" s="45" cm="1">
        <f t="array" ref="NC99">IFERROR(INDEX(ArchiveResults!$F$5:$IX$116,ComparisonData!A99,ComparisonData!$NC$1),0)</f>
        <v>0</v>
      </c>
      <c r="ND99" s="56">
        <v>94</v>
      </c>
      <c r="NE99" s="53" t="str">
        <f t="shared" si="692"/>
        <v>University of Glasgow, Archives &amp; Special Collections, Library Level 12</v>
      </c>
      <c r="NF99" s="59">
        <f t="shared" si="939"/>
        <v>0</v>
      </c>
      <c r="NG99" s="59">
        <f t="shared" si="940"/>
        <v>0</v>
      </c>
      <c r="NH99" s="59">
        <f t="shared" si="941"/>
        <v>0</v>
      </c>
      <c r="NI99" s="59">
        <f t="shared" si="942"/>
        <v>0</v>
      </c>
      <c r="NJ99" s="59">
        <f t="shared" si="943"/>
        <v>0</v>
      </c>
      <c r="NK99" s="58">
        <f t="shared" si="944"/>
        <v>0</v>
      </c>
      <c r="NL99" s="45">
        <f t="shared" si="945"/>
        <v>4</v>
      </c>
      <c r="NM99" s="45">
        <f t="shared" si="693"/>
        <v>2.4539999999999997</v>
      </c>
      <c r="NN99" s="45">
        <f t="shared" si="946"/>
        <v>1</v>
      </c>
      <c r="NO99" s="45">
        <f t="shared" si="947"/>
        <v>2</v>
      </c>
      <c r="NP99" s="46" cm="1">
        <f t="array" ref="NP99">ROUND(IFERROR(INDEX(ArchiveResults!$F$5:$IX$116,ComparisonData!A99,ComparisonData!$NP$1),0),5)</f>
        <v>0</v>
      </c>
      <c r="NQ99" s="46" cm="1">
        <f t="array" ref="NQ99">ROUND(IFERROR(INDEX(ArchiveResults!$F$5:$IX$116,ComparisonData!A99,ComparisonData!$NQ$1),0),5)</f>
        <v>0</v>
      </c>
      <c r="NR99" s="46" cm="1">
        <f t="array" ref="NR99">ROUND(IFERROR(INDEX(ArchiveResults!$F$5:$IX$116,ComparisonData!A99,ComparisonData!$NR$1),0),5)</f>
        <v>0</v>
      </c>
      <c r="NS99" s="46" cm="1">
        <f t="array" ref="NS99">ROUND(IFERROR(INDEX(ArchiveResults!$F$5:$IX$116,ComparisonData!A99,ComparisonData!$NS$1),0),5)</f>
        <v>0</v>
      </c>
      <c r="NT99" s="45" cm="1">
        <f t="array" ref="NT99">IFERROR(INDEX(ArchiveResults!$F$5:$IX$116,ComparisonData!A99,ComparisonData!$NT$1),0)</f>
        <v>0</v>
      </c>
      <c r="NU99" s="56">
        <v>94</v>
      </c>
      <c r="NV99" s="53" t="str">
        <f t="shared" si="694"/>
        <v>University of Glasgow, Archives &amp; Special Collections, Library Level 12</v>
      </c>
      <c r="NW99" s="59">
        <f t="shared" si="948"/>
        <v>0</v>
      </c>
      <c r="NX99" s="59">
        <f t="shared" si="949"/>
        <v>0</v>
      </c>
      <c r="NY99" s="59">
        <f t="shared" si="950"/>
        <v>0</v>
      </c>
      <c r="NZ99" s="59">
        <f t="shared" si="951"/>
        <v>0</v>
      </c>
      <c r="OA99" s="59">
        <f t="shared" si="952"/>
        <v>0</v>
      </c>
      <c r="OB99" s="58">
        <f t="shared" si="953"/>
        <v>0</v>
      </c>
      <c r="OC99" s="45">
        <f t="shared" si="954"/>
        <v>4</v>
      </c>
      <c r="OD99" s="45">
        <f t="shared" si="695"/>
        <v>2.4539999999999997</v>
      </c>
      <c r="OE99" s="45">
        <f t="shared" si="955"/>
        <v>1</v>
      </c>
      <c r="OF99" s="45">
        <f t="shared" si="956"/>
        <v>2</v>
      </c>
      <c r="OG99" s="46">
        <f t="shared" si="957"/>
        <v>0</v>
      </c>
      <c r="OH99" s="46" cm="1">
        <f t="array" ref="OH99">ROUND(IFERROR(INDEX(ArchiveResults!$F$5:$IX$116,ComparisonData!A99,ComparisonData!$OH$1),0),5)</f>
        <v>0</v>
      </c>
      <c r="OI99" s="46" cm="1">
        <f t="array" ref="OI99">ROUND(IFERROR(INDEX(ArchiveResults!$F$5:$IX$116,ComparisonData!A99,ComparisonData!$OI$1),0),5)</f>
        <v>0</v>
      </c>
      <c r="OJ99" s="46" cm="1">
        <f t="array" ref="OJ99">ROUND(IFERROR(INDEX(ArchiveResults!$F$5:$IX$116,ComparisonData!A99,ComparisonData!$OJ$1),0),5)</f>
        <v>0</v>
      </c>
      <c r="OK99" s="46" cm="1">
        <f t="array" ref="OK99">ROUND(IFERROR(INDEX(ArchiveResults!$F$5:$IX$116,ComparisonData!A99,ComparisonData!$OK$1),0),5)</f>
        <v>0</v>
      </c>
      <c r="OL99" s="45" cm="1">
        <f t="array" ref="OL99">IFERROR(INDEX(ArchiveResults!$F$5:$IX$116,ComparisonData!A99,ComparisonData!$OL$1),0)</f>
        <v>0</v>
      </c>
      <c r="OM99" s="56">
        <v>94</v>
      </c>
      <c r="ON99" s="53" t="str">
        <f t="shared" si="696"/>
        <v>University of Glasgow, Archives &amp; Special Collections, Library Level 12</v>
      </c>
      <c r="OO99" s="59">
        <f t="shared" si="958"/>
        <v>0</v>
      </c>
      <c r="OP99" s="59">
        <f t="shared" si="959"/>
        <v>0</v>
      </c>
      <c r="OQ99" s="59">
        <f t="shared" si="960"/>
        <v>0</v>
      </c>
      <c r="OR99" s="59">
        <f t="shared" si="961"/>
        <v>0</v>
      </c>
      <c r="OS99" s="59">
        <f t="shared" si="962"/>
        <v>0</v>
      </c>
      <c r="OT99" s="58">
        <f t="shared" si="963"/>
        <v>0</v>
      </c>
      <c r="OU99" s="45">
        <f t="shared" si="964"/>
        <v>4</v>
      </c>
      <c r="OV99" s="45">
        <f t="shared" si="697"/>
        <v>2.4539999999999997</v>
      </c>
      <c r="OW99" s="45">
        <f t="shared" si="965"/>
        <v>1</v>
      </c>
      <c r="OX99" s="45">
        <f t="shared" si="966"/>
        <v>2</v>
      </c>
      <c r="OY99" s="45">
        <f t="shared" si="967"/>
        <v>0</v>
      </c>
      <c r="OZ99" s="46" cm="1">
        <f t="array" ref="OZ99">ROUND(IFERROR(INDEX(ArchiveResults!$F$5:$IX$116,ComparisonData!A99,ComparisonData!$OZ$1),0),5)</f>
        <v>0</v>
      </c>
      <c r="PA99" s="46" cm="1">
        <f t="array" ref="PA99">ROUND(IFERROR(INDEX(ArchiveResults!$F$5:$IX$116,ComparisonData!A99,ComparisonData!$PA$1),0),5)</f>
        <v>0</v>
      </c>
      <c r="PB99" s="46" cm="1">
        <f t="array" ref="PB99">ROUND(IFERROR(INDEX(ArchiveResults!$F$5:$IX$116,ComparisonData!A99,ComparisonData!$PB$1),0),5)</f>
        <v>0</v>
      </c>
      <c r="PC99" s="46" cm="1">
        <f t="array" ref="PC99">ROUND(IFERROR(INDEX(ArchiveResults!$F$5:$IX$116,ComparisonData!A99,ComparisonData!$PC$1),0),5)</f>
        <v>0</v>
      </c>
      <c r="PD99" s="45" cm="1">
        <f t="array" ref="PD99">IFERROR(INDEX(ArchiveResults!$F$5:$IX$116,ComparisonData!A99,ComparisonData!$PD$1),0)</f>
        <v>0</v>
      </c>
      <c r="PE99" s="56">
        <v>94</v>
      </c>
      <c r="PF99" s="53" t="str">
        <f t="shared" si="698"/>
        <v>University of Glasgow, Archives &amp; Special Collections, Library Level 12</v>
      </c>
      <c r="PG99" s="59">
        <f t="shared" si="968"/>
        <v>0</v>
      </c>
      <c r="PH99" s="59">
        <f t="shared" si="969"/>
        <v>0</v>
      </c>
      <c r="PI99" s="59">
        <f t="shared" si="970"/>
        <v>0</v>
      </c>
      <c r="PJ99" s="59">
        <f t="shared" si="971"/>
        <v>0</v>
      </c>
      <c r="PK99" s="59">
        <f t="shared" si="972"/>
        <v>0</v>
      </c>
      <c r="PL99" s="58">
        <f t="shared" si="973"/>
        <v>0</v>
      </c>
      <c r="PM99" s="45">
        <f t="shared" si="974"/>
        <v>4</v>
      </c>
      <c r="PN99" s="45">
        <f t="shared" si="699"/>
        <v>2.4539999999999997</v>
      </c>
      <c r="PO99" s="45">
        <f t="shared" si="975"/>
        <v>1</v>
      </c>
      <c r="PP99" s="45">
        <f t="shared" si="976"/>
        <v>2</v>
      </c>
      <c r="PQ99" s="45">
        <f t="shared" si="977"/>
        <v>0</v>
      </c>
      <c r="PR99" s="46" cm="1">
        <f t="array" ref="PR99">ROUND(IFERROR(INDEX(ArchiveResults!$F$5:$IX$116,ComparisonData!A99,ComparisonData!$PR$1),0),5)</f>
        <v>0</v>
      </c>
      <c r="PS99" s="46" cm="1">
        <f t="array" ref="PS99">ROUND(IFERROR(INDEX(ArchiveResults!$F$5:$IX$116,ComparisonData!A99,ComparisonData!$PS$1),0),5)</f>
        <v>0</v>
      </c>
      <c r="PT99" s="46" cm="1">
        <f t="array" ref="PT99">ROUND(IFERROR(INDEX(ArchiveResults!$F$5:$IX$116,ComparisonData!A99,ComparisonData!$PT$1),0),5)</f>
        <v>0</v>
      </c>
      <c r="PU99" s="46" cm="1">
        <f t="array" ref="PU99">ROUND(IFERROR(INDEX(ArchiveResults!$F$5:$IX$116,ComparisonData!A99,ComparisonData!$PU$1),0),5)</f>
        <v>0</v>
      </c>
      <c r="PV99" s="45" cm="1">
        <f t="array" ref="PV99">IFERROR(INDEX(ArchiveResults!$F$5:$IX$116,ComparisonData!A99,ComparisonData!$PV$1),0)</f>
        <v>0</v>
      </c>
      <c r="PW99" s="56">
        <v>94</v>
      </c>
      <c r="PX99" s="53" t="str">
        <f t="shared" si="700"/>
        <v>University of Glasgow, Archives &amp; Special Collections, Library Level 12</v>
      </c>
      <c r="PY99" s="59">
        <f t="shared" si="978"/>
        <v>0</v>
      </c>
      <c r="PZ99" s="59">
        <f t="shared" si="979"/>
        <v>0</v>
      </c>
      <c r="QA99" s="59">
        <f t="shared" si="980"/>
        <v>0</v>
      </c>
      <c r="QB99" s="59">
        <f t="shared" si="981"/>
        <v>0</v>
      </c>
      <c r="QC99" s="59">
        <f t="shared" si="982"/>
        <v>0</v>
      </c>
      <c r="QD99" s="58">
        <f t="shared" si="983"/>
        <v>0</v>
      </c>
      <c r="QE99" s="45">
        <f t="shared" si="984"/>
        <v>4</v>
      </c>
      <c r="QF99" s="45">
        <f t="shared" si="701"/>
        <v>2.4539999999999997</v>
      </c>
      <c r="QG99" s="45">
        <f t="shared" si="985"/>
        <v>1</v>
      </c>
      <c r="QH99" s="45">
        <f t="shared" si="986"/>
        <v>2</v>
      </c>
      <c r="QI99" s="45">
        <f t="shared" si="987"/>
        <v>0</v>
      </c>
      <c r="QJ99" s="46" cm="1">
        <f t="array" ref="QJ99">ROUND(IFERROR(INDEX(ArchiveResults!$F$5:$IX$116,ComparisonData!A99,ComparisonData!$QJ$1),0),5)</f>
        <v>0</v>
      </c>
      <c r="QK99" s="46" cm="1">
        <f t="array" ref="QK99">ROUND(IFERROR(INDEX(ArchiveResults!$F$5:$IX$116,ComparisonData!A99,ComparisonData!$QK$1),0),5)</f>
        <v>0</v>
      </c>
      <c r="QL99" s="46" cm="1">
        <f t="array" ref="QL99">ROUND(IFERROR(INDEX(ArchiveResults!$F$5:$IX$116,ComparisonData!A99,ComparisonData!$QL$1),0),5)</f>
        <v>0</v>
      </c>
      <c r="QM99" s="46" cm="1">
        <f t="array" ref="QM99">ROUND(IFERROR(INDEX(ArchiveResults!$F$5:$IX$116,ComparisonData!A99,ComparisonData!$QM$1),0),5)</f>
        <v>0</v>
      </c>
      <c r="QN99" s="45" cm="1">
        <f t="array" ref="QN99">IFERROR(INDEX(ArchiveResults!$F$5:$IX$116,ComparisonData!A99,ComparisonData!$QN$1),0)</f>
        <v>0</v>
      </c>
      <c r="QO99" s="56">
        <v>94</v>
      </c>
      <c r="QP99" s="53" t="str">
        <f t="shared" si="702"/>
        <v>University of Glasgow, Archives &amp; Special Collections, Library Level 12</v>
      </c>
      <c r="QQ99" s="59">
        <f t="shared" si="988"/>
        <v>0</v>
      </c>
      <c r="QR99" s="59">
        <f t="shared" si="989"/>
        <v>0</v>
      </c>
      <c r="QS99" s="59">
        <f t="shared" si="990"/>
        <v>0</v>
      </c>
      <c r="QT99" s="59">
        <f t="shared" si="991"/>
        <v>0</v>
      </c>
      <c r="QU99" s="59">
        <f t="shared" si="992"/>
        <v>0</v>
      </c>
      <c r="QV99" s="58">
        <f t="shared" si="993"/>
        <v>0</v>
      </c>
      <c r="QW99" s="45">
        <f t="shared" si="994"/>
        <v>4</v>
      </c>
      <c r="QX99" s="45">
        <f t="shared" si="703"/>
        <v>2.4539999999999997</v>
      </c>
      <c r="QY99" s="45">
        <f t="shared" si="995"/>
        <v>1</v>
      </c>
      <c r="QZ99" s="45">
        <f t="shared" si="996"/>
        <v>2</v>
      </c>
      <c r="RA99" s="45">
        <f t="shared" si="997"/>
        <v>0</v>
      </c>
      <c r="RB99" s="46" cm="1">
        <f t="array" ref="RB99">ROUND(IFERROR(INDEX(ArchiveResults!$F$5:$IX$116,ComparisonData!A99,ComparisonData!$RB$1),0),5)</f>
        <v>0</v>
      </c>
      <c r="RC99" s="46" cm="1">
        <f t="array" ref="RC99">ROUND(IFERROR(INDEX(ArchiveResults!$F$5:$IX$116,ComparisonData!A99,ComparisonData!$RC$1),0),5)</f>
        <v>0</v>
      </c>
      <c r="RD99" s="46" cm="1">
        <f t="array" ref="RD99">ROUND(IFERROR(INDEX(ArchiveResults!$F$5:$IX$116,ComparisonData!A99,ComparisonData!$RD$1),0),5)</f>
        <v>0</v>
      </c>
      <c r="RE99" s="46" cm="1">
        <f t="array" ref="RE99">ROUND(IFERROR(INDEX(ArchiveResults!$F$5:$IX$116,ComparisonData!A99,ComparisonData!$RE$1),0),5)</f>
        <v>0</v>
      </c>
      <c r="RF99" s="45" cm="1">
        <f t="array" ref="RF99">IFERROR(INDEX(ArchiveResults!$F$5:$IX$116,ComparisonData!A99,ComparisonData!$RF$1),0)</f>
        <v>0</v>
      </c>
      <c r="RG99" s="56">
        <v>94</v>
      </c>
      <c r="RH99" s="53" t="str">
        <f t="shared" si="704"/>
        <v>University of Glasgow, Archives &amp; Special Collections, Library Level 12</v>
      </c>
      <c r="RI99" s="59">
        <f t="shared" si="998"/>
        <v>0</v>
      </c>
      <c r="RJ99" s="59">
        <f t="shared" si="999"/>
        <v>0</v>
      </c>
      <c r="RK99" s="59">
        <f t="shared" si="1000"/>
        <v>0</v>
      </c>
      <c r="RL99" s="59">
        <f t="shared" si="1001"/>
        <v>0</v>
      </c>
      <c r="RM99" s="59">
        <f t="shared" si="1002"/>
        <v>0</v>
      </c>
      <c r="RN99" s="58">
        <f t="shared" si="1003"/>
        <v>0</v>
      </c>
      <c r="RO99" s="45">
        <f t="shared" si="1004"/>
        <v>4</v>
      </c>
      <c r="RP99" s="45">
        <f t="shared" si="705"/>
        <v>2.4539999999999997</v>
      </c>
      <c r="RQ99" s="45">
        <f t="shared" si="1005"/>
        <v>1</v>
      </c>
      <c r="RR99" s="45">
        <f t="shared" si="1006"/>
        <v>2</v>
      </c>
      <c r="RS99" s="45">
        <f t="shared" si="1007"/>
        <v>0</v>
      </c>
      <c r="RT99" s="46" cm="1">
        <f t="array" ref="RT99">ROUND(IFERROR(INDEX(ArchiveResults!$F$5:$IX$116,ComparisonData!A99,ComparisonData!$RT$1),0),5)</f>
        <v>0</v>
      </c>
      <c r="RU99" s="46" cm="1">
        <f t="array" ref="RU99">ROUND(IFERROR(INDEX(ArchiveResults!$F$5:$IX$116,ComparisonData!A99,ComparisonData!$RU$1),0),5)</f>
        <v>0</v>
      </c>
      <c r="RV99" s="46" cm="1">
        <f t="array" ref="RV99">ROUND(IFERROR(INDEX(ArchiveResults!$F$5:$IX$116,ComparisonData!A99,ComparisonData!$RV$1),0),5)</f>
        <v>0</v>
      </c>
      <c r="RW99" s="46" cm="1">
        <f t="array" ref="RW99">ROUND(IFERROR(INDEX(ArchiveResults!$F$5:$IX$116,ComparisonData!A99,ComparisonData!$RW$1),0),5)</f>
        <v>0</v>
      </c>
      <c r="RX99" s="45" cm="1">
        <f t="array" ref="RX99">IFERROR(INDEX(ArchiveResults!$F$5:$IX$116,ComparisonData!A99,ComparisonData!$RX$1),0)</f>
        <v>0</v>
      </c>
      <c r="RY99" s="56">
        <v>94</v>
      </c>
      <c r="RZ99" s="53" t="str">
        <f t="shared" si="706"/>
        <v>University of Glasgow, Archives &amp; Special Collections, Library Level 12</v>
      </c>
      <c r="SA99" s="59">
        <f t="shared" si="1008"/>
        <v>0</v>
      </c>
      <c r="SB99" s="59">
        <f t="shared" si="1009"/>
        <v>0</v>
      </c>
      <c r="SC99" s="59">
        <f t="shared" si="1010"/>
        <v>0</v>
      </c>
      <c r="SD99" s="59">
        <f t="shared" si="1011"/>
        <v>0</v>
      </c>
      <c r="SE99" s="59">
        <f t="shared" si="1012"/>
        <v>0</v>
      </c>
      <c r="SF99" s="58">
        <f t="shared" si="1013"/>
        <v>0</v>
      </c>
      <c r="SG99" s="45">
        <f t="shared" si="1014"/>
        <v>4</v>
      </c>
      <c r="SH99" s="45">
        <f t="shared" si="707"/>
        <v>2.4539999999999997</v>
      </c>
      <c r="SI99" s="45">
        <f t="shared" si="1015"/>
        <v>1</v>
      </c>
      <c r="SJ99" s="45">
        <f t="shared" si="1016"/>
        <v>2</v>
      </c>
      <c r="SK99" s="45">
        <f t="shared" si="1017"/>
        <v>0</v>
      </c>
      <c r="SL99" s="46" cm="1">
        <f t="array" ref="SL99">ROUND(IFERROR(INDEX(ArchiveResults!$F$5:$IX$116,ComparisonData!A99,ComparisonData!$SL$1),0),5)</f>
        <v>0</v>
      </c>
      <c r="SM99" s="46" cm="1">
        <f t="array" ref="SM99">ROUND(IFERROR(INDEX(ArchiveResults!$F$5:$IX$116,ComparisonData!A99,ComparisonData!$SM$1),0),5)</f>
        <v>0</v>
      </c>
      <c r="SN99" s="46" cm="1">
        <f t="array" ref="SN99">ROUND(IFERROR(INDEX(ArchiveResults!$F$5:$IX$116,ComparisonData!A99,ComparisonData!$SN$1),0),5)</f>
        <v>0</v>
      </c>
      <c r="SO99" s="46" cm="1">
        <f t="array" ref="SO99">ROUND(IFERROR(INDEX(ArchiveResults!$F$5:$IX$116,ComparisonData!A99,ComparisonData!$SO$1),0),5)</f>
        <v>0</v>
      </c>
      <c r="SP99" s="45" cm="1">
        <f t="array" ref="SP99">IFERROR(INDEX(ArchiveResults!$F$5:$IX$116,ComparisonData!A99,ComparisonData!$SP$1),0)</f>
        <v>0</v>
      </c>
      <c r="SQ99" s="56">
        <v>94</v>
      </c>
      <c r="SR99" s="53" t="str">
        <f t="shared" si="708"/>
        <v>University of Glasgow, Archives &amp; Special Collections, Library Level 12</v>
      </c>
      <c r="SS99" s="59">
        <f t="shared" si="1018"/>
        <v>0</v>
      </c>
      <c r="ST99" s="59">
        <f t="shared" si="1019"/>
        <v>0</v>
      </c>
      <c r="SU99" s="59">
        <f t="shared" si="1020"/>
        <v>0</v>
      </c>
      <c r="SV99" s="59">
        <f t="shared" si="1021"/>
        <v>0</v>
      </c>
      <c r="SW99" s="59">
        <f t="shared" si="1022"/>
        <v>0</v>
      </c>
      <c r="SX99" s="58">
        <f t="shared" si="1023"/>
        <v>0</v>
      </c>
      <c r="SY99" s="45">
        <f t="shared" si="1024"/>
        <v>4</v>
      </c>
      <c r="SZ99" s="45">
        <f t="shared" si="709"/>
        <v>2.4539999999999997</v>
      </c>
      <c r="TA99" s="45">
        <f t="shared" si="1025"/>
        <v>1</v>
      </c>
      <c r="TB99" s="45">
        <f t="shared" si="1026"/>
        <v>2</v>
      </c>
      <c r="TC99" s="45">
        <f t="shared" si="1027"/>
        <v>0</v>
      </c>
      <c r="TD99" s="46" cm="1">
        <f t="array" ref="TD99">ROUND(IFERROR(INDEX(ArchiveResults!$F$5:$IX$116,ComparisonData!A99,ComparisonData!$TD$1),0),5)</f>
        <v>0</v>
      </c>
      <c r="TE99" s="46" cm="1">
        <f t="array" ref="TE99">ROUND(IFERROR(INDEX(ArchiveResults!$F$5:$IX$116,ComparisonData!A99,ComparisonData!$TE$1),0),5)</f>
        <v>0</v>
      </c>
      <c r="TF99" s="46" cm="1">
        <f t="array" ref="TF99">ROUND(IFERROR(INDEX(ArchiveResults!$F$5:$IX$116,ComparisonData!A99,ComparisonData!$TF$1),0),5)</f>
        <v>0</v>
      </c>
      <c r="TG99" s="46" cm="1">
        <f t="array" ref="TG99">ROUND(IFERROR(INDEX(ArchiveResults!$F$5:$IX$116,ComparisonData!A99,ComparisonData!$TG$1),0),5)</f>
        <v>0</v>
      </c>
      <c r="TH99" s="45" cm="1">
        <f t="array" ref="TH99">IFERROR(INDEX(ArchiveResults!$F$5:$IX$116,ComparisonData!A99,ComparisonData!$TH$1),0)</f>
        <v>0</v>
      </c>
      <c r="TI99" s="56">
        <v>94</v>
      </c>
      <c r="TJ99" s="53" t="str">
        <f t="shared" si="710"/>
        <v>University of Glasgow, Archives &amp; Special Collections, Library Level 12</v>
      </c>
      <c r="TK99" s="59">
        <f t="shared" si="1028"/>
        <v>0</v>
      </c>
      <c r="TL99" s="59">
        <f t="shared" si="1029"/>
        <v>0</v>
      </c>
      <c r="TM99" s="59">
        <f t="shared" si="1030"/>
        <v>0</v>
      </c>
      <c r="TN99" s="59">
        <f t="shared" si="1031"/>
        <v>0</v>
      </c>
      <c r="TO99" s="59">
        <f t="shared" si="1032"/>
        <v>0</v>
      </c>
      <c r="TP99" s="58">
        <f t="shared" si="1033"/>
        <v>0</v>
      </c>
      <c r="TQ99" s="45">
        <f t="shared" si="1034"/>
        <v>4</v>
      </c>
      <c r="TR99" s="45">
        <f t="shared" si="711"/>
        <v>2.4539999999999997</v>
      </c>
      <c r="TS99" s="45">
        <f t="shared" si="1035"/>
        <v>1</v>
      </c>
      <c r="TT99" s="45">
        <f t="shared" si="1036"/>
        <v>2</v>
      </c>
      <c r="TU99" s="45">
        <f t="shared" si="1037"/>
        <v>0</v>
      </c>
      <c r="TV99" s="46" cm="1">
        <f t="array" ref="TV99">ROUND(IFERROR(INDEX(ArchiveResults!$F$5:$IX$116,ComparisonData!A99,ComparisonData!$TV$1),0),5)</f>
        <v>0</v>
      </c>
      <c r="TW99" s="46" cm="1">
        <f t="array" ref="TW99">ROUND(IFERROR(INDEX(ArchiveResults!$F$5:$IX$116,ComparisonData!A99,ComparisonData!$TW$1),0),5)</f>
        <v>0</v>
      </c>
      <c r="TX99" s="46" cm="1">
        <f t="array" ref="TX99">ROUND(IFERROR(INDEX(ArchiveResults!$F$5:$IX$116,ComparisonData!A99,ComparisonData!$TX$1),0),5)</f>
        <v>0</v>
      </c>
      <c r="TY99" s="46" cm="1">
        <f t="array" ref="TY99">ROUND(IFERROR(INDEX(ArchiveResults!$F$5:$IX$116,ComparisonData!A99,ComparisonData!$TY$1),0),5)</f>
        <v>0</v>
      </c>
      <c r="TZ99" s="45" cm="1">
        <f t="array" ref="TZ99">IFERROR(INDEX(ArchiveResults!$F$5:$IX$116,ComparisonData!A99,ComparisonData!$TZ$1),0)</f>
        <v>0</v>
      </c>
      <c r="UA99" s="56">
        <v>94</v>
      </c>
      <c r="UB99" s="53" t="str">
        <f t="shared" si="712"/>
        <v>University of Glasgow, Archives &amp; Special Collections, Library Level 12</v>
      </c>
      <c r="UC99" s="60">
        <f t="shared" si="1038"/>
        <v>0</v>
      </c>
      <c r="UD99" s="60">
        <f t="shared" si="1039"/>
        <v>0</v>
      </c>
      <c r="UE99" s="60">
        <f t="shared" si="1040"/>
        <v>0</v>
      </c>
      <c r="UF99" s="60">
        <f t="shared" si="1041"/>
        <v>0</v>
      </c>
      <c r="UG99" s="60">
        <f t="shared" si="1042"/>
        <v>0</v>
      </c>
      <c r="UH99" s="58">
        <f t="shared" si="1043"/>
        <v>0</v>
      </c>
      <c r="UI99" s="46">
        <f t="shared" si="1044"/>
        <v>4</v>
      </c>
      <c r="UJ99" s="46">
        <f t="shared" si="713"/>
        <v>2.4539999999999997</v>
      </c>
      <c r="UK99" s="46">
        <f t="shared" si="1045"/>
        <v>1</v>
      </c>
      <c r="UL99" s="46">
        <f t="shared" si="1046"/>
        <v>2</v>
      </c>
      <c r="UM99" s="46" cm="1">
        <f t="array" ref="UM99">ROUND(IFERROR(INDEX(ArchiveResults!$F$5:$IX$116,ComparisonData!A99,ComparisonData!$UM$1),0),5)</f>
        <v>0</v>
      </c>
      <c r="UN99" s="56">
        <v>94</v>
      </c>
      <c r="UO99" s="53" t="str">
        <f t="shared" si="714"/>
        <v>University of Glasgow, Archives &amp; Special Collections, Library Level 12</v>
      </c>
      <c r="UP99" s="46">
        <f t="shared" si="1047"/>
        <v>0</v>
      </c>
      <c r="UQ99" s="76">
        <f t="shared" si="1048"/>
        <v>0</v>
      </c>
      <c r="UR99" s="46">
        <f t="shared" si="1049"/>
        <v>4</v>
      </c>
      <c r="US99" s="46">
        <f t="shared" si="715"/>
        <v>2.4539999999999997</v>
      </c>
      <c r="UT99" s="46">
        <f t="shared" si="1050"/>
        <v>1</v>
      </c>
      <c r="UU99" s="46">
        <f t="shared" si="1051"/>
        <v>2</v>
      </c>
      <c r="UV99" s="46">
        <f t="shared" si="1052"/>
        <v>0</v>
      </c>
      <c r="UW99" s="46" cm="1">
        <f t="array" ref="UW99">ROUND(IFERROR(INDEX(ArchiveResults!$F$5:$IX$116,ComparisonData!A99,ComparisonData!$UW$1),0),5)</f>
        <v>0</v>
      </c>
      <c r="UX99" s="46" cm="1">
        <f t="array" ref="UX99">ROUND(IFERROR(INDEX(ArchiveResults!$F$5:$IX$116,ComparisonData!A99,ComparisonData!$UX$1),0),5)</f>
        <v>0</v>
      </c>
      <c r="UY99" s="46" cm="1">
        <f t="array" ref="UY99">ROUND(IFERROR(INDEX(ArchiveResults!$F$5:$IX$116,ComparisonData!A99,ComparisonData!$UY$1),0),5)</f>
        <v>0</v>
      </c>
      <c r="UZ99" s="46" cm="1">
        <f t="array" ref="UZ99">ROUND(IFERROR(INDEX(ArchiveResults!$F$5:$IX$116,ComparisonData!A99,ComparisonData!$UZ$1),0),5)</f>
        <v>0</v>
      </c>
      <c r="VA99" s="46" cm="1">
        <f t="array" ref="VA99">ROUND(IFERROR(INDEX(ArchiveResults!$F$5:$IX$116,ComparisonData!A99,ComparisonData!$VA$1),0),5)</f>
        <v>0</v>
      </c>
      <c r="VB99" s="56">
        <v>94</v>
      </c>
      <c r="VC99" s="53" t="str">
        <f t="shared" si="716"/>
        <v>University of Glasgow, Archives &amp; Special Collections, Library Level 12</v>
      </c>
      <c r="VD99" s="60">
        <f t="shared" si="1053"/>
        <v>0</v>
      </c>
      <c r="VE99" s="60">
        <f t="shared" si="1054"/>
        <v>0</v>
      </c>
      <c r="VF99" s="60">
        <f t="shared" si="1055"/>
        <v>0</v>
      </c>
      <c r="VG99" s="60">
        <f t="shared" si="1056"/>
        <v>0</v>
      </c>
      <c r="VH99" s="60">
        <f t="shared" si="1057"/>
        <v>0</v>
      </c>
      <c r="VI99" s="76">
        <f t="shared" si="1058"/>
        <v>0</v>
      </c>
      <c r="VJ99" s="46">
        <f t="shared" si="1059"/>
        <v>4</v>
      </c>
      <c r="VK99" s="46">
        <f t="shared" si="717"/>
        <v>2.4539999999999997</v>
      </c>
      <c r="VL99" s="46">
        <f t="shared" si="1060"/>
        <v>1</v>
      </c>
      <c r="VM99" s="46">
        <f t="shared" si="1061"/>
        <v>2</v>
      </c>
      <c r="VN99" s="46" cm="1">
        <f t="array" ref="VN99">ROUND(IFERROR(INDEX(ArchiveResults!$F$5:$IX$116,ComparisonData!A99,ComparisonData!$VN$1),0),5)</f>
        <v>0</v>
      </c>
      <c r="VO99" s="46" cm="1">
        <f t="array" ref="VO99">ROUND(IFERROR(INDEX(ArchiveResults!$F$5:$IX$116,ComparisonData!A99,ComparisonData!$VO$1),0),5)</f>
        <v>0</v>
      </c>
      <c r="VP99" s="46" cm="1">
        <f t="array" ref="VP99">ROUND(IFERROR(INDEX(ArchiveResults!$F$5:$IX$116,ComparisonData!A99,ComparisonData!$VP$1),0),5)</f>
        <v>0</v>
      </c>
      <c r="VQ99" s="46" cm="1">
        <f t="array" ref="VQ99">ROUND(IFERROR(INDEX(ArchiveResults!$F$5:$IX$116,ComparisonData!A99,ComparisonData!$VQ$1),0),5)</f>
        <v>0</v>
      </c>
      <c r="VR99" s="56">
        <v>94</v>
      </c>
      <c r="VS99" s="53" t="str">
        <f t="shared" si="718"/>
        <v>University of Glasgow, Archives &amp; Special Collections, Library Level 12</v>
      </c>
      <c r="VT99" s="60">
        <f t="shared" si="1062"/>
        <v>0</v>
      </c>
      <c r="VU99" s="60">
        <f t="shared" si="1063"/>
        <v>0</v>
      </c>
      <c r="VV99" s="60">
        <f t="shared" si="1064"/>
        <v>0</v>
      </c>
      <c r="VW99" s="60">
        <f t="shared" si="1065"/>
        <v>0</v>
      </c>
      <c r="VX99" s="76">
        <f t="shared" si="1066"/>
        <v>0</v>
      </c>
      <c r="VY99" s="46">
        <f t="shared" si="1067"/>
        <v>4</v>
      </c>
      <c r="VZ99" s="46">
        <f t="shared" si="719"/>
        <v>2.4539999999999997</v>
      </c>
      <c r="WA99" s="46">
        <f t="shared" si="1068"/>
        <v>1</v>
      </c>
      <c r="WB99" s="46">
        <f t="shared" si="1069"/>
        <v>2</v>
      </c>
      <c r="WC99" s="46" cm="1">
        <f t="array" ref="WC99">ROUND(IFERROR(INDEX(ArchiveResults!$F$5:$IX$116,ComparisonData!A99,ComparisonData!$WC$1),0),5)</f>
        <v>0</v>
      </c>
      <c r="WD99" s="56">
        <v>94</v>
      </c>
      <c r="WE99" s="53" t="str">
        <f t="shared" si="720"/>
        <v>University of Glasgow, Archives &amp; Special Collections, Library Level 12</v>
      </c>
      <c r="WF99" s="46">
        <f t="shared" si="1070"/>
        <v>0</v>
      </c>
      <c r="WG99" s="76">
        <f t="shared" si="1071"/>
        <v>0</v>
      </c>
      <c r="WH99" s="46">
        <f t="shared" si="1072"/>
        <v>4</v>
      </c>
      <c r="WI99" s="46">
        <f t="shared" si="721"/>
        <v>2.4539999999999997</v>
      </c>
      <c r="WJ99" s="46">
        <f t="shared" si="1073"/>
        <v>1</v>
      </c>
      <c r="WK99" s="46">
        <f t="shared" si="1074"/>
        <v>2</v>
      </c>
      <c r="WL99" s="46" cm="1">
        <f t="array" ref="WL99">ROUND(IFERROR(INDEX(ArchiveResults!$F$5:$IX$116,ComparisonData!A99,ComparisonData!$WL$1),0),5)</f>
        <v>0</v>
      </c>
      <c r="WM99" s="46" cm="1">
        <f t="array" ref="WM99">IFERROR(INDEX(ArchiveResults!$F$5:$IX$116,ComparisonData!A99,ComparisonData!$WM$1),0)</f>
        <v>0</v>
      </c>
      <c r="WN99" s="56">
        <v>94</v>
      </c>
      <c r="WO99" s="53" t="str">
        <f t="shared" si="722"/>
        <v>University of Glasgow, Archives &amp; Special Collections, Library Level 12</v>
      </c>
      <c r="WP99" s="60">
        <f t="shared" si="1075"/>
        <v>0</v>
      </c>
      <c r="WQ99" s="60">
        <f t="shared" si="1076"/>
        <v>0</v>
      </c>
      <c r="WR99" s="76">
        <f t="shared" si="1077"/>
        <v>0</v>
      </c>
      <c r="WS99" s="46">
        <f t="shared" si="1078"/>
        <v>4</v>
      </c>
      <c r="WT99" s="46">
        <f t="shared" si="723"/>
        <v>2.4539999999999997</v>
      </c>
      <c r="WU99" s="46">
        <f t="shared" si="1079"/>
        <v>1</v>
      </c>
      <c r="WV99" s="46">
        <f t="shared" si="1080"/>
        <v>2</v>
      </c>
      <c r="WW99" s="46" cm="1">
        <f t="array" ref="WW99">ROUND(VALUE(IFERROR(INDEX(ArchiveResults!$F$5:$IX$116,ComparisonData!A99,ComparisonData!$WW$1),0)),5)</f>
        <v>0</v>
      </c>
      <c r="WX99" s="46" cm="1">
        <f t="array" ref="WX99">ROUND(IFERROR(INDEX(ArchiveResults!$F$5:$IX$116,ComparisonData!A99,ComparisonData!$WX$1),0),5)</f>
        <v>0</v>
      </c>
      <c r="WY99" s="56">
        <v>94</v>
      </c>
      <c r="WZ99" s="53" t="str">
        <f t="shared" si="724"/>
        <v>University of Glasgow, Archives &amp; Special Collections, Library Level 12</v>
      </c>
      <c r="XA99" s="60">
        <f t="shared" si="725"/>
        <v>0</v>
      </c>
      <c r="XB99" s="60">
        <f t="shared" si="726"/>
        <v>0</v>
      </c>
      <c r="XC99" s="76">
        <f t="shared" si="1081"/>
        <v>0</v>
      </c>
      <c r="XD99" s="46">
        <f t="shared" si="1082"/>
        <v>4</v>
      </c>
      <c r="XE99" s="46">
        <f t="shared" si="727"/>
        <v>2.4539999999999997</v>
      </c>
      <c r="XF99" s="46">
        <f t="shared" si="1083"/>
        <v>1</v>
      </c>
      <c r="XG99" s="46">
        <f t="shared" si="1084"/>
        <v>2</v>
      </c>
      <c r="XH99" s="46" cm="1">
        <f t="array" ref="XH99">ROUND(VALUE(IFERROR(INDEX(ArchiveResults!$F$5:$IX$116,ComparisonData!A99,ComparisonData!$XH$1),0)),5)</f>
        <v>0</v>
      </c>
      <c r="XI99" s="46" cm="1">
        <f t="array" ref="XI99">ROUND(VALUE(IFERROR(INDEX(ArchiveResults!$F$5:$IX$116,ComparisonData!A99,ComparisonData!$XI$1),0)),5)</f>
        <v>0</v>
      </c>
      <c r="XJ99" s="56">
        <v>94</v>
      </c>
      <c r="XK99" s="53" t="str">
        <f t="shared" si="728"/>
        <v>University of Glasgow, Archives &amp; Special Collections, Library Level 12</v>
      </c>
      <c r="XL99" s="60">
        <f t="shared" si="1085"/>
        <v>0</v>
      </c>
      <c r="XM99" s="60">
        <f t="shared" si="1086"/>
        <v>0</v>
      </c>
      <c r="XN99" s="76">
        <f t="shared" si="1087"/>
        <v>0</v>
      </c>
      <c r="XO99" s="46">
        <f t="shared" si="1088"/>
        <v>4</v>
      </c>
      <c r="XP99" s="46">
        <f t="shared" si="729"/>
        <v>2.4539999999999997</v>
      </c>
      <c r="XQ99" s="46">
        <f t="shared" si="1089"/>
        <v>1</v>
      </c>
      <c r="XR99" s="46">
        <f t="shared" si="1090"/>
        <v>2</v>
      </c>
      <c r="XS99" s="46" cm="1">
        <f t="array" ref="XS99">ROUND(VALUE(IFERROR(INDEX(ArchiveResults!$F$5:$IX$116,ComparisonData!A99,ComparisonData!$XS$1),0)),5)</f>
        <v>0</v>
      </c>
      <c r="XT99" s="46" cm="1">
        <f t="array" ref="XT99">ROUND(VALUE(IFERROR(INDEX(ArchiveResults!$F$5:$IX$116,ComparisonData!A99,ComparisonData!$XT$1),0)),5)</f>
        <v>0</v>
      </c>
      <c r="XU99" s="56">
        <v>94</v>
      </c>
      <c r="XV99" s="53" t="str">
        <f t="shared" si="730"/>
        <v>University of Glasgow, Archives &amp; Special Collections, Library Level 12</v>
      </c>
      <c r="XW99" s="60">
        <f t="shared" si="1091"/>
        <v>0</v>
      </c>
      <c r="XX99" s="60">
        <f t="shared" si="1092"/>
        <v>0</v>
      </c>
      <c r="XY99" s="76">
        <f t="shared" si="1093"/>
        <v>0</v>
      </c>
      <c r="XZ99" s="46">
        <f t="shared" si="1094"/>
        <v>4</v>
      </c>
      <c r="YA99" s="46">
        <f t="shared" si="731"/>
        <v>2.4539999999999997</v>
      </c>
      <c r="YB99" s="46">
        <f t="shared" si="1095"/>
        <v>1</v>
      </c>
      <c r="YC99" s="46">
        <f t="shared" si="1096"/>
        <v>2</v>
      </c>
      <c r="YD99" s="46" cm="1">
        <f t="array" ref="YD99">ROUND(VALUE(IFERROR(INDEX(ArchiveResults!$F$5:$IX$116,ComparisonData!A99,ComparisonData!$YD$1),0)),5)</f>
        <v>0</v>
      </c>
      <c r="YE99" s="46" cm="1">
        <f t="array" ref="YE99">ROUND(VALUE(IFERROR(INDEX(ArchiveResults!$F$5:$IX$116,ComparisonData!A99,ComparisonData!$YE$1),0)),5)</f>
        <v>0</v>
      </c>
      <c r="YF99" s="56">
        <v>94</v>
      </c>
      <c r="YG99" s="53" t="str">
        <f t="shared" si="732"/>
        <v>University of Glasgow, Archives &amp; Special Collections, Library Level 12</v>
      </c>
      <c r="YH99" s="60">
        <f t="shared" si="1097"/>
        <v>0</v>
      </c>
      <c r="YI99" s="60">
        <f t="shared" si="1098"/>
        <v>0</v>
      </c>
      <c r="YJ99" s="76">
        <f t="shared" si="1099"/>
        <v>0</v>
      </c>
      <c r="YK99" s="46">
        <f t="shared" si="1100"/>
        <v>4</v>
      </c>
      <c r="YL99" s="46">
        <f t="shared" si="733"/>
        <v>2.4539999999999997</v>
      </c>
      <c r="YM99" s="46">
        <f t="shared" si="1101"/>
        <v>1</v>
      </c>
      <c r="YN99" s="46">
        <f t="shared" si="1102"/>
        <v>2</v>
      </c>
      <c r="YO99" s="46" cm="1">
        <f t="array" ref="YO99">ROUND(VALUE(IFERROR(INDEX(ArchiveResults!$F$5:$IX$116,ComparisonData!A99,ComparisonData!$YO$1),0)),5)</f>
        <v>0</v>
      </c>
      <c r="YP99" s="46" cm="1">
        <f t="array" ref="YP99">ROUND(VALUE(IFERROR(INDEX(ArchiveResults!$F$5:$IX$116,ComparisonData!A99,ComparisonData!$YP$1),0)),5)</f>
        <v>0</v>
      </c>
      <c r="YQ99" s="56">
        <v>94</v>
      </c>
      <c r="YR99" s="53" t="str">
        <f t="shared" si="734"/>
        <v>University of Glasgow, Archives &amp; Special Collections, Library Level 12</v>
      </c>
      <c r="YS99" s="60">
        <f t="shared" si="1103"/>
        <v>0</v>
      </c>
      <c r="YT99" s="60">
        <f t="shared" si="1104"/>
        <v>0</v>
      </c>
      <c r="YU99" s="76">
        <f t="shared" si="1105"/>
        <v>0</v>
      </c>
      <c r="YV99" s="46">
        <f t="shared" si="1106"/>
        <v>4</v>
      </c>
      <c r="YW99" s="46">
        <f t="shared" si="735"/>
        <v>2.4539999999999997</v>
      </c>
      <c r="YX99" s="46">
        <f t="shared" si="1107"/>
        <v>1</v>
      </c>
      <c r="YY99" s="46">
        <f t="shared" si="1108"/>
        <v>2</v>
      </c>
      <c r="YZ99" s="46">
        <f t="shared" si="1109"/>
        <v>0</v>
      </c>
      <c r="ZA99" s="46" cm="1">
        <f t="array" ref="ZA99">ROUNDDOWN(VALUE(IFERROR(INDEX(ArchiveResults!$F$5:$IX$116,ComparisonData!A99,ComparisonData!$ZA$1),0)),5)</f>
        <v>0</v>
      </c>
      <c r="ZB99" s="46" cm="1">
        <f t="array" ref="ZB99">ROUNDDOWN(VALUE(IFERROR(INDEX(ArchiveResults!$F$5:$IX$116,ComparisonData!A99,ComparisonData!$ZB$1),0)),5)</f>
        <v>0</v>
      </c>
      <c r="ZC99" s="46" cm="1">
        <f t="array" ref="ZC99">ROUNDDOWN(VALUE(IFERROR(INDEX(ArchiveResults!$F$5:$IX$116,ComparisonData!A99,ComparisonData!$ZC$1),0)),5)</f>
        <v>0</v>
      </c>
      <c r="ZD99" s="46" cm="1">
        <f t="array" ref="ZD99">ROUNDDOWN(VALUE(IFERROR(INDEX(ArchiveResults!$F$5:$IX$116,ComparisonData!A99,ComparisonData!$ZD$1),0)),5)</f>
        <v>0</v>
      </c>
      <c r="ZE99" s="46" cm="1">
        <f t="array" ref="ZE99">ROUNDDOWN(VALUE(IFERROR(INDEX(ArchiveResults!$F$5:$IX$116,ComparisonData!A99,ComparisonData!$ZE$1),0)),5)</f>
        <v>0</v>
      </c>
      <c r="ZF99" s="56">
        <v>94</v>
      </c>
      <c r="ZG99" s="53" t="str">
        <f t="shared" si="736"/>
        <v>University of Glasgow, Archives &amp; Special Collections, Library Level 12</v>
      </c>
      <c r="ZH99" s="60">
        <f t="shared" si="1110"/>
        <v>0</v>
      </c>
      <c r="ZI99" s="60">
        <f t="shared" si="1111"/>
        <v>0</v>
      </c>
      <c r="ZJ99" s="60">
        <f t="shared" si="1112"/>
        <v>0</v>
      </c>
      <c r="ZK99" s="60">
        <f t="shared" si="1113"/>
        <v>0</v>
      </c>
      <c r="ZL99" s="60">
        <f t="shared" si="1114"/>
        <v>0</v>
      </c>
      <c r="ZM99" s="76">
        <f t="shared" si="1115"/>
        <v>0</v>
      </c>
      <c r="ZN99" s="46">
        <f t="shared" si="1116"/>
        <v>4</v>
      </c>
      <c r="ZO99" s="46">
        <f t="shared" si="737"/>
        <v>2.4539999999999997</v>
      </c>
      <c r="ZP99" s="46">
        <f t="shared" si="1117"/>
        <v>1</v>
      </c>
      <c r="ZQ99" s="46">
        <f t="shared" si="1118"/>
        <v>2</v>
      </c>
      <c r="ZR99" s="46" cm="1">
        <f t="array" ref="ZR99">ROUND(VALUE(IFERROR(INDEX(ArchiveResults!$F$5:$IX$116,ComparisonData!A99,ComparisonData!$ZR$1),0)),5)</f>
        <v>0</v>
      </c>
      <c r="ZS99" s="56">
        <v>94</v>
      </c>
      <c r="ZT99" s="53" t="str">
        <f t="shared" si="738"/>
        <v>University of Glasgow, Archives &amp; Special Collections, Library Level 12</v>
      </c>
      <c r="ZU99" s="46">
        <f t="shared" si="1119"/>
        <v>0</v>
      </c>
      <c r="ZV99" s="76">
        <f t="shared" si="1120"/>
        <v>0</v>
      </c>
      <c r="ZW99" s="81" cm="1">
        <f t="array" ref="ZW99">ROUND((IFERROR(INDEX(ArchiveResults!$F$5:$IX$116,ComparisonData!A99,ComparisonData!$ZW$1),0)),5)</f>
        <v>0</v>
      </c>
      <c r="ZX99" s="81" cm="1">
        <f t="array" ref="ZX99">ROUND((IFERROR(INDEX(ArchiveResults!$F$5:$IX$116,ComparisonData!A99,ComparisonData!$ZX$1),0)),5)</f>
        <v>0</v>
      </c>
      <c r="ZY99" s="81" cm="1">
        <f t="array" ref="ZY99">ROUND((IFERROR(INDEX(ArchiveResults!$F$5:$IX$116,ComparisonData!A99,ComparisonData!$ZY$1),0)),5)</f>
        <v>0</v>
      </c>
      <c r="ZZ99" s="81" cm="1">
        <f t="array" ref="ZZ99">ROUND((IFERROR(INDEX(ArchiveResults!$F$5:$IX$116,ComparisonData!A99,ComparisonData!$ZZ$1),0)),5)</f>
        <v>0</v>
      </c>
      <c r="AAA99" s="81" cm="1">
        <f t="array" ref="AAA99">ROUND((IFERROR(INDEX(ArchiveResults!$F$5:$IX$116,ComparisonData!A99,ComparisonData!$AAA$1),0)),5)</f>
        <v>0</v>
      </c>
      <c r="AAB99" s="81" cm="1">
        <f t="array" ref="AAB99">ROUND((IFERROR(INDEX(ArchiveResults!$F$5:$IX$116,ComparisonData!A99,ComparisonData!$AAB$1),0)),5)</f>
        <v>0</v>
      </c>
      <c r="AAC99" s="81" cm="1">
        <f t="array" ref="AAC99">ROUND((IFERROR(INDEX(ArchiveResults!$F$5:$IX$116,ComparisonData!A99,ComparisonData!$AAC$1),0)),5)</f>
        <v>0</v>
      </c>
      <c r="AAD99" s="81" cm="1">
        <f t="array" ref="AAD99">ROUND((IFERROR(INDEX(ArchiveResults!$F$5:$IX$116,ComparisonData!A99,ComparisonData!$AAD$1),0)),5)</f>
        <v>0</v>
      </c>
      <c r="AAE99" s="81" cm="1">
        <f t="array" ref="AAE99">ROUND((IFERROR(INDEX(ArchiveResults!$F$5:$IX$116,ComparisonData!A99,ComparisonData!$AAE$1),0)),5)</f>
        <v>0</v>
      </c>
      <c r="AAF99" s="81" cm="1">
        <f t="array" ref="AAF99">ROUND((IFERROR(INDEX(ArchiveResults!$F$5:$IX$116,ComparisonData!A99,ComparisonData!$AAF$1),0)),5)</f>
        <v>0</v>
      </c>
      <c r="AAG99" s="46">
        <f t="shared" si="1121"/>
        <v>4</v>
      </c>
      <c r="AAH99" s="46">
        <f t="shared" si="739"/>
        <v>2.4539999999999997</v>
      </c>
      <c r="AAI99" s="46">
        <f t="shared" si="1122"/>
        <v>1</v>
      </c>
      <c r="AAJ99" s="46">
        <f t="shared" si="1123"/>
        <v>2</v>
      </c>
      <c r="AAK99" s="46">
        <f t="shared" si="1124"/>
        <v>0</v>
      </c>
      <c r="AAL99" s="46">
        <f t="shared" si="1125"/>
        <v>0</v>
      </c>
      <c r="AAM99" s="46">
        <f t="shared" si="1126"/>
        <v>0</v>
      </c>
      <c r="AAN99" s="46">
        <f t="shared" si="1127"/>
        <v>0</v>
      </c>
      <c r="AAO99" s="46">
        <f t="shared" si="1128"/>
        <v>0</v>
      </c>
      <c r="AAP99" s="46">
        <f t="shared" si="1129"/>
        <v>0</v>
      </c>
      <c r="AAQ99" s="56">
        <v>94</v>
      </c>
      <c r="AAR99" s="53" t="str">
        <f t="shared" si="740"/>
        <v>University of Glasgow, Archives &amp; Special Collections, Library Level 12</v>
      </c>
      <c r="AAS99" s="60">
        <f t="shared" si="1130"/>
        <v>0</v>
      </c>
      <c r="AAT99" s="60">
        <f t="shared" si="1131"/>
        <v>0</v>
      </c>
      <c r="AAU99" s="60">
        <f t="shared" si="1132"/>
        <v>0</v>
      </c>
      <c r="AAV99" s="60">
        <f t="shared" si="1133"/>
        <v>0</v>
      </c>
      <c r="AAW99" s="60">
        <f t="shared" si="1134"/>
        <v>0</v>
      </c>
      <c r="AAX99" s="76">
        <f t="shared" si="1135"/>
        <v>0</v>
      </c>
      <c r="AAY99" s="46">
        <f t="shared" si="1136"/>
        <v>4</v>
      </c>
      <c r="AAZ99" s="46">
        <f t="shared" si="741"/>
        <v>2.4539999999999997</v>
      </c>
      <c r="ABA99" s="46">
        <f t="shared" si="1137"/>
        <v>1</v>
      </c>
      <c r="ABB99" s="46">
        <f t="shared" si="1138"/>
        <v>2</v>
      </c>
      <c r="ABC99" s="46">
        <f t="shared" si="742"/>
        <v>0</v>
      </c>
      <c r="ABD99" s="46" cm="1">
        <f t="array" ref="ABD99">ROUND(VALUE(IFERROR(INDEX(ArchiveResults!$F$5:$IX$116,ComparisonData!A99,ComparisonData!$ABD$1),0)),5)</f>
        <v>0</v>
      </c>
      <c r="ABE99" s="46" cm="1">
        <f t="array" ref="ABE99">ROUND(VALUE(IFERROR(INDEX(ArchiveResults!$F$5:$IX$116,ComparisonData!A99,ComparisonData!$ABE$1),0)),5)</f>
        <v>0</v>
      </c>
      <c r="ABF99" s="46" cm="1">
        <f t="array" ref="ABF99">ROUND(VALUE(IFERROR(INDEX(ArchiveResults!$F$5:$IX$116,ComparisonData!A99,ComparisonData!$ABF$1),0)),5)</f>
        <v>0</v>
      </c>
      <c r="ABG99" s="46" cm="1">
        <f t="array" ref="ABG99">ROUND(VALUE(IFERROR(INDEX(ArchiveResults!$F$5:$IX$116,ComparisonData!A99,ComparisonData!$ABG$1),0)),5)</f>
        <v>0</v>
      </c>
      <c r="ABH99" s="46" cm="1">
        <f t="array" ref="ABH99">ROUND(VALUE(IFERROR(INDEX(ArchiveResults!$F$5:$IX$116,ComparisonData!A99,ComparisonData!$ABH$1),0)),5)</f>
        <v>0</v>
      </c>
      <c r="ABI99" s="56">
        <v>94</v>
      </c>
      <c r="ABJ99" s="53" t="str">
        <f t="shared" si="743"/>
        <v>University of Glasgow, Archives &amp; Special Collections, Library Level 12</v>
      </c>
      <c r="ABK99" s="60">
        <f t="shared" si="1139"/>
        <v>0</v>
      </c>
      <c r="ABL99" s="60">
        <f t="shared" si="1140"/>
        <v>0</v>
      </c>
      <c r="ABM99" s="60">
        <f t="shared" si="1141"/>
        <v>0</v>
      </c>
      <c r="ABN99" s="60">
        <f t="shared" si="1142"/>
        <v>0</v>
      </c>
      <c r="ABO99" s="60">
        <f t="shared" si="1143"/>
        <v>0</v>
      </c>
      <c r="ABP99" s="76">
        <f t="shared" si="1144"/>
        <v>0</v>
      </c>
      <c r="ABQ99" s="46">
        <f t="shared" si="1145"/>
        <v>4</v>
      </c>
      <c r="ABR99" s="46">
        <f t="shared" si="744"/>
        <v>2.4539999999999997</v>
      </c>
      <c r="ABS99" s="46">
        <f t="shared" si="1146"/>
        <v>1</v>
      </c>
      <c r="ABT99" s="46">
        <f t="shared" si="1147"/>
        <v>2</v>
      </c>
      <c r="ABU99" s="46" cm="1">
        <f t="array" ref="ABU99">ROUND(VALUE(IFERROR(INDEX(ArchiveResults!$F$5:$IX$116,ComparisonData!A99,ComparisonData!$ABU$1),0)),5)</f>
        <v>0</v>
      </c>
      <c r="ABV99" s="46" cm="1">
        <f t="array" ref="ABV99">ROUND(VALUE(IFERROR(INDEX(ArchiveResults!$F$5:$IX$116,ComparisonData!A99,ComparisonData!$ABV$1),0)),5)</f>
        <v>0</v>
      </c>
      <c r="ABW99" s="46" cm="1">
        <f t="array" ref="ABW99">ROUND(VALUE(IFERROR(INDEX(ArchiveResults!$F$5:$IX$116,ComparisonData!A99,ComparisonData!$ABW$1),0)),5)</f>
        <v>0</v>
      </c>
      <c r="ABX99" s="46" cm="1">
        <f t="array" ref="ABX99">ROUND(VALUE(IFERROR(INDEX(ArchiveResults!$F$5:$IX$116,ComparisonData!A99,ComparisonData!$ABX$1),0)),5)</f>
        <v>0</v>
      </c>
      <c r="ABY99" s="46" cm="1">
        <f t="array" ref="ABY99">ROUND(VALUE(IFERROR(INDEX(ArchiveResults!$F$5:$IX$116,ComparisonData!A99,ComparisonData!$ABY$1),0)),5)</f>
        <v>0</v>
      </c>
      <c r="ABZ99" s="56">
        <v>94</v>
      </c>
      <c r="ACA99" s="53" t="str">
        <f t="shared" si="745"/>
        <v>University of Glasgow, Archives &amp; Special Collections, Library Level 12</v>
      </c>
      <c r="ACB99" s="60">
        <f t="shared" si="1148"/>
        <v>0</v>
      </c>
      <c r="ACC99" s="60">
        <f t="shared" si="1149"/>
        <v>0</v>
      </c>
      <c r="ACD99" s="60">
        <f t="shared" si="1150"/>
        <v>0</v>
      </c>
      <c r="ACE99" s="60">
        <f t="shared" si="1151"/>
        <v>0</v>
      </c>
      <c r="ACF99" s="60">
        <f t="shared" si="1152"/>
        <v>0</v>
      </c>
      <c r="ACG99" s="76">
        <f t="shared" si="1153"/>
        <v>0</v>
      </c>
      <c r="ACH99" s="46">
        <f t="shared" si="1154"/>
        <v>4</v>
      </c>
      <c r="ACI99" s="46">
        <f t="shared" si="746"/>
        <v>2.4539999999999997</v>
      </c>
      <c r="ACJ99" s="46">
        <f t="shared" si="1155"/>
        <v>1</v>
      </c>
      <c r="ACK99" s="46">
        <f t="shared" si="1156"/>
        <v>2</v>
      </c>
      <c r="ACL99" s="46">
        <f t="shared" si="1157"/>
        <v>0</v>
      </c>
      <c r="ACM99" s="46" cm="1">
        <f t="array" ref="ACM99">ROUND(IFERROR(INDEX(ArchiveResults!$F$5:$IX$116,ComparisonData!A99,ComparisonData!$ACM$1),0),5)</f>
        <v>0</v>
      </c>
      <c r="ACN99" s="46" cm="1">
        <f t="array" ref="ACN99">ROUND(IFERROR(INDEX(ArchiveResults!$F$5:$IX$116,ComparisonData!A99,ComparisonData!$ACN$1),0),5)</f>
        <v>0</v>
      </c>
      <c r="ACO99" s="56">
        <v>94</v>
      </c>
      <c r="ACP99" s="53" t="str">
        <f t="shared" si="747"/>
        <v>University of Glasgow, Archives &amp; Special Collections, Library Level 12</v>
      </c>
      <c r="ACQ99" s="60">
        <f t="shared" si="1158"/>
        <v>0</v>
      </c>
      <c r="ACR99" s="60">
        <f t="shared" si="1159"/>
        <v>0</v>
      </c>
      <c r="ACS99" s="76">
        <f t="shared" si="1160"/>
        <v>0</v>
      </c>
      <c r="ACT99" s="46">
        <f t="shared" si="1161"/>
        <v>4</v>
      </c>
      <c r="ACU99" s="46">
        <f t="shared" si="748"/>
        <v>2.4539999999999997</v>
      </c>
      <c r="ACV99" s="46">
        <f t="shared" si="1162"/>
        <v>1</v>
      </c>
      <c r="ACW99" s="46">
        <f t="shared" si="1163"/>
        <v>2</v>
      </c>
      <c r="ACX99" s="46">
        <f t="shared" si="1164"/>
        <v>0</v>
      </c>
      <c r="ACY99" s="46" cm="1">
        <f t="array" ref="ACY99">ROUNDDOWN(IFERROR(INDEX(ArchiveResults!$F$5:$IX$116,ComparisonData!A99,ComparisonData!$ACY$1),0),5)</f>
        <v>0</v>
      </c>
      <c r="ACZ99" s="46" cm="1">
        <f t="array" ref="ACZ99">ROUNDDOWN(IFERROR(INDEX(ArchiveResults!$F$5:$IX$116,ComparisonData!A99,ComparisonData!$ACZ$1),0),5)</f>
        <v>0</v>
      </c>
      <c r="ADA99" s="46" cm="1">
        <f t="array" ref="ADA99">ROUNDDOWN(IFERROR(INDEX(ArchiveResults!$F$5:$IX$116,ComparisonData!A99,ComparisonData!$ADA$1),0),5)</f>
        <v>0</v>
      </c>
      <c r="ADB99" s="56">
        <v>94</v>
      </c>
      <c r="ADC99" s="53" t="str">
        <f t="shared" si="749"/>
        <v>University of Glasgow, Archives &amp; Special Collections, Library Level 12</v>
      </c>
      <c r="ADD99" s="60">
        <f t="shared" si="1165"/>
        <v>0</v>
      </c>
      <c r="ADE99" s="60">
        <f t="shared" si="1166"/>
        <v>0</v>
      </c>
      <c r="ADF99" s="60">
        <f t="shared" si="1167"/>
        <v>0</v>
      </c>
      <c r="ADG99" s="76">
        <f t="shared" si="1168"/>
        <v>0</v>
      </c>
    </row>
    <row r="100" spans="1:787" x14ac:dyDescent="0.25">
      <c r="A100" s="46" t="str">
        <f>IF(ISBLANK(ComparisonSelection!F96),"",ROW()-5)</f>
        <v/>
      </c>
      <c r="B100" s="53" t="s">
        <v>550</v>
      </c>
      <c r="C100" s="72">
        <v>0.49899999999999956</v>
      </c>
      <c r="D100" s="55">
        <f t="shared" si="750"/>
        <v>13</v>
      </c>
      <c r="E100" s="54">
        <f t="shared" si="751"/>
        <v>2.4989999999999997</v>
      </c>
      <c r="F100" s="54">
        <f t="shared" si="752"/>
        <v>1</v>
      </c>
      <c r="G100" s="72">
        <f t="shared" si="753"/>
        <v>2</v>
      </c>
      <c r="H100" s="72">
        <f t="shared" si="754"/>
        <v>0</v>
      </c>
      <c r="I100" s="46" cm="1">
        <f t="array" ref="I100">ROUND(IFERROR(INDEX(ArchiveResults!$F$5:$IX$116,ComparisonData!A100,ComparisonData!$I$1),0),5)</f>
        <v>0</v>
      </c>
      <c r="J100" s="46" cm="1">
        <f t="array" ref="J100">ROUND(IFERROR(INDEX(ArchiveResults!$F$5:$IX$116,ComparisonData!A100,ComparisonData!$J$1),0),5)</f>
        <v>0</v>
      </c>
      <c r="K100" s="56">
        <v>95</v>
      </c>
      <c r="L100" s="53" t="str">
        <f t="shared" si="755"/>
        <v>University of Glasgow, Archives &amp; Special Collections, Thurso St</v>
      </c>
      <c r="M100" s="57">
        <f t="shared" si="640"/>
        <v>0</v>
      </c>
      <c r="N100" s="57">
        <f t="shared" si="641"/>
        <v>0</v>
      </c>
      <c r="O100" s="58">
        <f t="shared" si="756"/>
        <v>0</v>
      </c>
      <c r="P100" s="48">
        <f t="shared" si="757"/>
        <v>13</v>
      </c>
      <c r="Q100" s="54">
        <f t="shared" si="642"/>
        <v>2.4989999999999997</v>
      </c>
      <c r="R100" s="45">
        <f t="shared" si="758"/>
        <v>1</v>
      </c>
      <c r="S100" s="46">
        <f t="shared" si="759"/>
        <v>2</v>
      </c>
      <c r="T100" s="72">
        <f t="shared" si="760"/>
        <v>0</v>
      </c>
      <c r="U100" s="46" cm="1">
        <f t="array" ref="U100">ROUND(IFERROR(INDEX(ArchiveResults!$F$5:$IX$116,ComparisonData!A100,ComparisonData!$U$1),0),5)</f>
        <v>0</v>
      </c>
      <c r="V100" s="46" cm="1">
        <f t="array" ref="V100">ROUND(IFERROR(INDEX(ArchiveResults!$F$5:$IX$116,ComparisonData!A100,ComparisonData!$V$1),0),5)</f>
        <v>0</v>
      </c>
      <c r="W100" s="56">
        <v>95</v>
      </c>
      <c r="X100" s="53" t="str">
        <f t="shared" si="643"/>
        <v>University of Glasgow, Archives &amp; Special Collections, Thurso St</v>
      </c>
      <c r="Y100" s="57">
        <f t="shared" si="761"/>
        <v>0</v>
      </c>
      <c r="Z100" s="57">
        <f t="shared" si="762"/>
        <v>0</v>
      </c>
      <c r="AA100" s="58">
        <f t="shared" si="763"/>
        <v>0</v>
      </c>
      <c r="AB100" s="45">
        <f t="shared" si="764"/>
        <v>13</v>
      </c>
      <c r="AC100" s="54">
        <f t="shared" si="644"/>
        <v>2.4989999999999997</v>
      </c>
      <c r="AD100" s="45">
        <f t="shared" si="765"/>
        <v>1</v>
      </c>
      <c r="AE100" s="45">
        <f t="shared" si="766"/>
        <v>2</v>
      </c>
      <c r="AF100" s="45">
        <f t="shared" si="639"/>
        <v>0</v>
      </c>
      <c r="AG100" s="46" cm="1">
        <f t="array" ref="AG100">ROUND(IFERROR(INDEX(ArchiveResults!$F$5:$IX$116,ComparisonData!A100,ComparisonData!$AG$1),0),5)</f>
        <v>0</v>
      </c>
      <c r="AH100" s="46" cm="1">
        <f t="array" ref="AH100">ROUND(IFERROR(INDEX(ArchiveResults!$F$5:$IX$116,ComparisonData!A100,ComparisonData!$AH$1),0),5)</f>
        <v>0</v>
      </c>
      <c r="AI100" s="56">
        <v>95</v>
      </c>
      <c r="AJ100" s="53" t="str">
        <f t="shared" si="645"/>
        <v>University of Glasgow, Archives &amp; Special Collections, Thurso St</v>
      </c>
      <c r="AK100" s="59">
        <f t="shared" si="646"/>
        <v>0</v>
      </c>
      <c r="AL100" s="59">
        <f t="shared" si="647"/>
        <v>0</v>
      </c>
      <c r="AM100" s="58">
        <f t="shared" si="767"/>
        <v>0</v>
      </c>
      <c r="AN100" s="45">
        <f t="shared" si="768"/>
        <v>13</v>
      </c>
      <c r="AO100" s="54">
        <f t="shared" si="648"/>
        <v>2.4989999999999997</v>
      </c>
      <c r="AP100" s="45">
        <f t="shared" si="769"/>
        <v>1</v>
      </c>
      <c r="AQ100" s="45">
        <f t="shared" si="770"/>
        <v>2</v>
      </c>
      <c r="AR100" s="46" cm="1">
        <f t="array" ref="AR100">ROUND(IFERROR(INDEX(ArchiveResults!$F$5:$IX$116,ComparisonData!A100,ComparisonData!$AR$1),0),5)</f>
        <v>0</v>
      </c>
      <c r="AS100" s="46" cm="1">
        <f t="array" ref="AS100">ROUND(IFERROR(INDEX(ArchiveResults!$F$5:$IX$116,ComparisonData!A100,ComparisonData!$AS$1),0),5)</f>
        <v>0</v>
      </c>
      <c r="AT100" s="46" cm="1">
        <f t="array" ref="AT100">ROUND(IFERROR(INDEX(ArchiveResults!$F$5:$IX$116,ComparisonData!A100,ComparisonData!$AT$1),0),5)</f>
        <v>0</v>
      </c>
      <c r="AU100" s="46" cm="1">
        <f t="array" ref="AU100">ROUND(IFERROR(INDEX(ArchiveResults!$F$5:$IX$116,ComparisonData!A100,ComparisonData!$AU$1),0),5)</f>
        <v>0</v>
      </c>
      <c r="AV100" s="46" cm="1">
        <f t="array" ref="AV100">ROUND(IFERROR(INDEX(ArchiveResults!$F$5:$IX$116,ComparisonData!A100,ComparisonData!$AV$1),0),5)</f>
        <v>0</v>
      </c>
      <c r="AW100" s="46" cm="1">
        <f t="array" ref="AW100">ROUND(IFERROR(INDEX(ArchiveResults!$F$5:$IX$116,ComparisonData!A100,ComparisonData!$AW$1),0),5)</f>
        <v>0</v>
      </c>
      <c r="AX100" s="46" cm="1">
        <f t="array" ref="AX100">ROUND(IFERROR(INDEX(ArchiveResults!$F$5:$IX$116,ComparisonData!A100,ComparisonData!$AX$1),0),5)</f>
        <v>0</v>
      </c>
      <c r="AY100" s="46" cm="1">
        <f t="array" ref="AY100">ROUND(IFERROR(INDEX(ArchiveResults!$F$5:$IX$116,ComparisonData!A100,ComparisonData!$AY$1),0),5)</f>
        <v>0</v>
      </c>
      <c r="AZ100" s="46" cm="1">
        <f t="array" ref="AZ100">ROUND(IFERROR(INDEX(ArchiveResults!$F$5:$IX$116,ComparisonData!A100,ComparisonData!$AZ$1),0),5)</f>
        <v>0</v>
      </c>
      <c r="BA100" s="46" cm="1">
        <f t="array" ref="BA100">ROUND(IFERROR(INDEX(ArchiveResults!$F$5:$IX$116,ComparisonData!A100,ComparisonData!$BA$1),0),5)</f>
        <v>0</v>
      </c>
      <c r="BB100" s="56">
        <v>95</v>
      </c>
      <c r="BC100" s="53" t="str">
        <f t="shared" si="649"/>
        <v>University of Glasgow, Archives &amp; Special Collections, Thurso St</v>
      </c>
      <c r="BD100" s="60">
        <f t="shared" si="771"/>
        <v>0</v>
      </c>
      <c r="BE100" s="60">
        <f t="shared" si="772"/>
        <v>0</v>
      </c>
      <c r="BF100" s="60">
        <f t="shared" si="773"/>
        <v>0</v>
      </c>
      <c r="BG100" s="60">
        <f t="shared" si="774"/>
        <v>0</v>
      </c>
      <c r="BH100" s="60">
        <f t="shared" si="775"/>
        <v>0</v>
      </c>
      <c r="BI100" s="60">
        <f t="shared" si="776"/>
        <v>0</v>
      </c>
      <c r="BJ100" s="60">
        <f t="shared" si="777"/>
        <v>0</v>
      </c>
      <c r="BK100" s="60">
        <f t="shared" si="778"/>
        <v>0</v>
      </c>
      <c r="BL100" s="60">
        <f t="shared" si="779"/>
        <v>0</v>
      </c>
      <c r="BM100" s="59">
        <f t="shared" si="780"/>
        <v>0</v>
      </c>
      <c r="BN100" s="58">
        <f t="shared" si="781"/>
        <v>0</v>
      </c>
      <c r="BO100" s="45">
        <f t="shared" si="782"/>
        <v>13</v>
      </c>
      <c r="BP100" s="54">
        <f t="shared" si="650"/>
        <v>2.4989999999999997</v>
      </c>
      <c r="BQ100" s="45">
        <f t="shared" si="783"/>
        <v>1</v>
      </c>
      <c r="BR100" s="45">
        <f t="shared" si="784"/>
        <v>2</v>
      </c>
      <c r="BS100" s="46" cm="1">
        <f t="array" ref="BS100">ROUND(IFERROR(INDEX(ArchiveResults!$F$5:$IX$116,ComparisonData!A100,ComparisonData!$BS$1),0),5)</f>
        <v>0</v>
      </c>
      <c r="BT100" s="46" cm="1">
        <f t="array" ref="BT100">ROUND(IFERROR(INDEX(ArchiveResults!$F$5:$IX$116,ComparisonData!A100,ComparisonData!$BT$1),0),5)</f>
        <v>0</v>
      </c>
      <c r="BU100" s="46" cm="1">
        <f t="array" ref="BU100">ROUND(IFERROR(INDEX(ArchiveResults!$F$5:$IX$116,ComparisonData!A100,ComparisonData!$BU$1),0),5)</f>
        <v>0</v>
      </c>
      <c r="BV100" s="46" cm="1">
        <f t="array" ref="BV100">ROUND(IFERROR(INDEX(ArchiveResults!$F$5:$IX$116,ComparisonData!A100,ComparisonData!$BV$1),0),5)</f>
        <v>0</v>
      </c>
      <c r="BW100" s="46" cm="1">
        <f t="array" ref="BW100">ROUND(IFERROR(INDEX(ArchiveResults!$F$5:$IX$116,ComparisonData!A100,ComparisonData!$BW$1),0),5)</f>
        <v>0</v>
      </c>
      <c r="BX100" s="46" cm="1">
        <f t="array" ref="BX100">ROUND(IFERROR(INDEX(ArchiveResults!$F$5:$IX$116,ComparisonData!A100,ComparisonData!$BX$1),0),5)</f>
        <v>0</v>
      </c>
      <c r="BY100" s="56">
        <v>95</v>
      </c>
      <c r="BZ100" s="53" t="str">
        <f t="shared" si="651"/>
        <v>University of Glasgow, Archives &amp; Special Collections, Thurso St</v>
      </c>
      <c r="CA100" s="59">
        <f t="shared" si="785"/>
        <v>0</v>
      </c>
      <c r="CB100" s="59">
        <f t="shared" si="786"/>
        <v>0</v>
      </c>
      <c r="CC100" s="59">
        <f t="shared" si="787"/>
        <v>0</v>
      </c>
      <c r="CD100" s="59">
        <f t="shared" si="788"/>
        <v>0</v>
      </c>
      <c r="CE100" s="59">
        <f t="shared" si="789"/>
        <v>0</v>
      </c>
      <c r="CF100" s="59">
        <f t="shared" si="790"/>
        <v>0</v>
      </c>
      <c r="CG100" s="58">
        <f t="shared" si="791"/>
        <v>0</v>
      </c>
      <c r="CH100" s="45">
        <f t="shared" si="792"/>
        <v>13</v>
      </c>
      <c r="CI100" s="54">
        <f t="shared" si="652"/>
        <v>2.4989999999999997</v>
      </c>
      <c r="CJ100" s="45">
        <f t="shared" si="793"/>
        <v>1</v>
      </c>
      <c r="CK100" s="45">
        <f t="shared" si="794"/>
        <v>2</v>
      </c>
      <c r="CL100" s="46" cm="1">
        <f t="array" ref="CL100">ROUND(IFERROR(INDEX(ArchiveResults!$F$5:$IX$116,ComparisonData!A100,ComparisonData!$CL$1),0),5)</f>
        <v>0</v>
      </c>
      <c r="CM100" s="56">
        <v>95</v>
      </c>
      <c r="CN100" s="53" t="str">
        <f t="shared" si="653"/>
        <v>University of Glasgow, Archives &amp; Special Collections, Thurso St</v>
      </c>
      <c r="CO100" s="45">
        <f t="shared" si="795"/>
        <v>0</v>
      </c>
      <c r="CP100" s="58">
        <f t="shared" si="796"/>
        <v>0</v>
      </c>
      <c r="CQ100" s="45">
        <f t="shared" si="797"/>
        <v>13</v>
      </c>
      <c r="CR100" s="54">
        <f t="shared" si="654"/>
        <v>2.4989999999999997</v>
      </c>
      <c r="CS100" s="45">
        <f t="shared" si="798"/>
        <v>1</v>
      </c>
      <c r="CT100" s="45">
        <f t="shared" si="799"/>
        <v>2</v>
      </c>
      <c r="CU100" s="46" cm="1">
        <f t="array" ref="CU100">ROUND(IFERROR(INDEX(ArchiveResults!$F$5:$IX$116,ComparisonData!A100,ComparisonData!$CU$1),0),5)</f>
        <v>0</v>
      </c>
      <c r="CV100" s="56">
        <v>95</v>
      </c>
      <c r="CW100" s="53" t="str">
        <f t="shared" si="655"/>
        <v>University of Glasgow, Archives &amp; Special Collections, Thurso St</v>
      </c>
      <c r="CX100" s="45">
        <f t="shared" si="800"/>
        <v>0</v>
      </c>
      <c r="CY100" s="58">
        <f t="shared" si="801"/>
        <v>0</v>
      </c>
      <c r="CZ100" s="45">
        <f t="shared" si="802"/>
        <v>13</v>
      </c>
      <c r="DA100" s="54">
        <f t="shared" si="656"/>
        <v>2.4989999999999997</v>
      </c>
      <c r="DB100" s="45">
        <f t="shared" si="803"/>
        <v>1</v>
      </c>
      <c r="DC100" s="45">
        <f t="shared" si="804"/>
        <v>2</v>
      </c>
      <c r="DD100" s="46" cm="1">
        <f t="array" ref="DD100">ROUND(IFERROR(INDEX(ArchiveResults!$F$5:$IX$116,ComparisonData!A100,ComparisonData!$DD$1),0),5)</f>
        <v>0</v>
      </c>
      <c r="DE100" s="56">
        <v>95</v>
      </c>
      <c r="DF100" s="53" t="str">
        <f t="shared" si="657"/>
        <v>University of Glasgow, Archives &amp; Special Collections, Thurso St</v>
      </c>
      <c r="DG100" s="45">
        <f t="shared" si="805"/>
        <v>0</v>
      </c>
      <c r="DH100" s="58">
        <f t="shared" si="806"/>
        <v>0</v>
      </c>
      <c r="DI100" s="45">
        <f t="shared" si="807"/>
        <v>13</v>
      </c>
      <c r="DJ100" s="54">
        <f t="shared" si="658"/>
        <v>2.4989999999999997</v>
      </c>
      <c r="DK100" s="45">
        <f t="shared" si="808"/>
        <v>1</v>
      </c>
      <c r="DL100" s="45">
        <f t="shared" si="809"/>
        <v>2</v>
      </c>
      <c r="DM100" s="46" cm="1">
        <f t="array" ref="DM100">ROUND(IFERROR(INDEX(ArchiveResults!$F$5:$IX$116,ComparisonData!A100,ComparisonData!$DM$1),0),5)</f>
        <v>0</v>
      </c>
      <c r="DN100" s="46" cm="1">
        <f t="array" ref="DN100">ROUND(IFERROR(INDEX(ArchiveResults!$F$5:$IX$116,ComparisonData!A100,ComparisonData!$DN$1),0),5)</f>
        <v>0</v>
      </c>
      <c r="DO100" s="46" cm="1">
        <f t="array" ref="DO100">ROUND(IFERROR(INDEX(ArchiveResults!$F$5:$IX$116,ComparisonData!A100,ComparisonData!$DO$1),0),5)</f>
        <v>0</v>
      </c>
      <c r="DP100" s="46" cm="1">
        <f t="array" ref="DP100">ROUND(IFERROR(INDEX(ArchiveResults!$F$5:$IX$116,ComparisonData!A100,ComparisonData!$DP$1),0),5)</f>
        <v>0</v>
      </c>
      <c r="DQ100" s="45" cm="1">
        <f t="array" ref="DQ100">IFERROR(INDEX(ArchiveResults!$F$5:$IX$116,ComparisonData!A100,ComparisonData!$DQ$1),0)</f>
        <v>0</v>
      </c>
      <c r="DR100" s="56">
        <v>95</v>
      </c>
      <c r="DS100" s="53" t="str">
        <f t="shared" si="659"/>
        <v>University of Glasgow, Archives &amp; Special Collections, Thurso St</v>
      </c>
      <c r="DT100" s="59">
        <f t="shared" si="810"/>
        <v>0</v>
      </c>
      <c r="DU100" s="59">
        <f t="shared" si="811"/>
        <v>0</v>
      </c>
      <c r="DV100" s="59">
        <f t="shared" si="812"/>
        <v>0</v>
      </c>
      <c r="DW100" s="59">
        <f t="shared" si="813"/>
        <v>0</v>
      </c>
      <c r="DX100" s="59">
        <f t="shared" si="814"/>
        <v>0</v>
      </c>
      <c r="DY100" s="58">
        <f t="shared" si="815"/>
        <v>0</v>
      </c>
      <c r="DZ100" s="45">
        <f t="shared" si="816"/>
        <v>13</v>
      </c>
      <c r="EA100" s="54">
        <f t="shared" si="660"/>
        <v>2.4989999999999997</v>
      </c>
      <c r="EB100" s="45">
        <f t="shared" si="817"/>
        <v>1</v>
      </c>
      <c r="EC100" s="45">
        <f t="shared" si="818"/>
        <v>2</v>
      </c>
      <c r="ED100" s="46" cm="1">
        <f t="array" ref="ED100">ROUND(IFERROR(INDEX(ArchiveResults!$F$5:$IX$116,ComparisonData!A100,ComparisonData!$ED$1),0),5)</f>
        <v>0</v>
      </c>
      <c r="EE100" s="46" cm="1">
        <f t="array" ref="EE100">ROUND(IFERROR(INDEX(ArchiveResults!$F$5:$IX$116,ComparisonData!A100,ComparisonData!$EE$1),0),5)</f>
        <v>0</v>
      </c>
      <c r="EF100" s="46" cm="1">
        <f t="array" ref="EF100">ROUND(IFERROR(INDEX(ArchiveResults!$F$5:$IX$116,ComparisonData!A100,ComparisonData!$EF$1),0),5)</f>
        <v>0</v>
      </c>
      <c r="EG100" s="46" cm="1">
        <f t="array" ref="EG100">ROUND(IFERROR(INDEX(ArchiveResults!$F$5:$IX$116,ComparisonData!A100,ComparisonData!$EG$1),0),5)</f>
        <v>0</v>
      </c>
      <c r="EH100" s="45" cm="1">
        <f t="array" ref="EH100">IFERROR(INDEX(ArchiveResults!$F$5:$IX$116,ComparisonData!A100,ComparisonData!$EH$1),0)</f>
        <v>0</v>
      </c>
      <c r="EI100" s="56">
        <v>95</v>
      </c>
      <c r="EJ100" s="53" t="str">
        <f t="shared" si="661"/>
        <v>University of Glasgow, Archives &amp; Special Collections, Thurso St</v>
      </c>
      <c r="EK100" s="59">
        <f t="shared" si="819"/>
        <v>0</v>
      </c>
      <c r="EL100" s="59">
        <f t="shared" si="820"/>
        <v>0</v>
      </c>
      <c r="EM100" s="59">
        <f t="shared" si="821"/>
        <v>0</v>
      </c>
      <c r="EN100" s="59">
        <f t="shared" si="822"/>
        <v>0</v>
      </c>
      <c r="EO100" s="59">
        <f t="shared" si="823"/>
        <v>0</v>
      </c>
      <c r="EP100" s="58">
        <f t="shared" si="824"/>
        <v>0</v>
      </c>
      <c r="EQ100" s="45">
        <f t="shared" si="825"/>
        <v>13</v>
      </c>
      <c r="ER100" s="54">
        <f t="shared" si="662"/>
        <v>2.4989999999999997</v>
      </c>
      <c r="ES100" s="45">
        <f t="shared" si="826"/>
        <v>1</v>
      </c>
      <c r="ET100" s="45">
        <f t="shared" si="827"/>
        <v>2</v>
      </c>
      <c r="EU100" s="46" cm="1">
        <f t="array" ref="EU100">ROUND(IFERROR(INDEX(ArchiveResults!$F$5:$IX$116,ComparisonData!A100,ComparisonData!$EU$1),0),5)</f>
        <v>0</v>
      </c>
      <c r="EV100" s="46" cm="1">
        <f t="array" ref="EV100">ROUND(IFERROR(INDEX(ArchiveResults!$F$5:$IX$116,ComparisonData!A100,ComparisonData!$EV$1),0),5)</f>
        <v>0</v>
      </c>
      <c r="EW100" s="46" cm="1">
        <f t="array" ref="EW100">ROUND(IFERROR(INDEX(ArchiveResults!$F$5:$IX$116,ComparisonData!A100,ComparisonData!$EW$1),0),5)</f>
        <v>0</v>
      </c>
      <c r="EX100" s="46" cm="1">
        <f t="array" ref="EX100">ROUND(IFERROR(INDEX(ArchiveResults!$F$5:$IX$116,ComparisonData!A100,ComparisonData!$EX$1),0),5)</f>
        <v>0</v>
      </c>
      <c r="EY100" s="45" cm="1">
        <f t="array" ref="EY100">IFERROR(INDEX(ArchiveResults!$F$5:$IX$116,ComparisonData!A100,ComparisonData!$EY$1),0)</f>
        <v>0</v>
      </c>
      <c r="EZ100" s="56">
        <v>95</v>
      </c>
      <c r="FA100" s="53" t="str">
        <f t="shared" si="663"/>
        <v>University of Glasgow, Archives &amp; Special Collections, Thurso St</v>
      </c>
      <c r="FB100" s="59">
        <f t="shared" si="828"/>
        <v>0</v>
      </c>
      <c r="FC100" s="59">
        <f t="shared" si="829"/>
        <v>0</v>
      </c>
      <c r="FD100" s="59">
        <f t="shared" si="830"/>
        <v>0</v>
      </c>
      <c r="FE100" s="59">
        <f t="shared" si="831"/>
        <v>0</v>
      </c>
      <c r="FF100" s="59">
        <f t="shared" si="832"/>
        <v>0</v>
      </c>
      <c r="FG100" s="58">
        <f t="shared" si="833"/>
        <v>0</v>
      </c>
      <c r="FH100" s="45">
        <f t="shared" si="834"/>
        <v>13</v>
      </c>
      <c r="FI100" s="54">
        <f t="shared" si="664"/>
        <v>2.4989999999999997</v>
      </c>
      <c r="FJ100" s="45">
        <f t="shared" si="835"/>
        <v>1</v>
      </c>
      <c r="FK100" s="45">
        <f t="shared" si="836"/>
        <v>2</v>
      </c>
      <c r="FL100" s="46" cm="1">
        <f t="array" ref="FL100">ROUND(IFERROR(INDEX(ArchiveResults!$F$5:$IX$116,ComparisonData!A100,ComparisonData!$FL$1),0),5)</f>
        <v>0</v>
      </c>
      <c r="FM100" s="46" cm="1">
        <f t="array" ref="FM100">ROUND(IFERROR(INDEX(ArchiveResults!$F$5:$IX$116,ComparisonData!A100,ComparisonData!$FM$1),0),5)</f>
        <v>0</v>
      </c>
      <c r="FN100" s="46" cm="1">
        <f t="array" ref="FN100">ROUND(IFERROR(INDEX(ArchiveResults!$F$5:$IX$116,ComparisonData!A100,ComparisonData!$FN$1),0),5)</f>
        <v>0</v>
      </c>
      <c r="FO100" s="46" cm="1">
        <f t="array" ref="FO100">ROUND(IFERROR(INDEX(ArchiveResults!$F$5:$IX$116,ComparisonData!A100,ComparisonData!$FO$1),0),5)</f>
        <v>0</v>
      </c>
      <c r="FP100" s="45" cm="1">
        <f t="array" ref="FP100">IFERROR(INDEX(ArchiveResults!$F$5:$IX$116,ComparisonData!A100,ComparisonData!$FP$1),0)</f>
        <v>0</v>
      </c>
      <c r="FQ100" s="56">
        <v>95</v>
      </c>
      <c r="FR100" s="53" t="str">
        <f t="shared" si="665"/>
        <v>University of Glasgow, Archives &amp; Special Collections, Thurso St</v>
      </c>
      <c r="FS100" s="59">
        <f t="shared" si="837"/>
        <v>0</v>
      </c>
      <c r="FT100" s="59">
        <f t="shared" si="838"/>
        <v>0</v>
      </c>
      <c r="FU100" s="59">
        <f t="shared" si="839"/>
        <v>0</v>
      </c>
      <c r="FV100" s="59">
        <f t="shared" si="840"/>
        <v>0</v>
      </c>
      <c r="FW100" s="59">
        <f t="shared" si="841"/>
        <v>0</v>
      </c>
      <c r="FX100" s="58">
        <f t="shared" si="842"/>
        <v>0</v>
      </c>
      <c r="FY100" s="45">
        <f t="shared" si="843"/>
        <v>13</v>
      </c>
      <c r="FZ100" s="45">
        <f t="shared" si="666"/>
        <v>2.4989999999999997</v>
      </c>
      <c r="GA100" s="45">
        <f t="shared" si="844"/>
        <v>1</v>
      </c>
      <c r="GB100" s="45">
        <f t="shared" si="845"/>
        <v>2</v>
      </c>
      <c r="GC100" s="46" cm="1">
        <f t="array" ref="GC100">ROUND(IFERROR(INDEX(ArchiveResults!$F$5:$IX$116,ComparisonData!A100,ComparisonData!$GC$1),0),5)</f>
        <v>0</v>
      </c>
      <c r="GD100" s="46" cm="1">
        <f t="array" ref="GD100">ROUND(IFERROR(INDEX(ArchiveResults!$F$5:$IX$116,ComparisonData!A100,ComparisonData!$GD$1),0),5)</f>
        <v>0</v>
      </c>
      <c r="GE100" s="46" cm="1">
        <f t="array" ref="GE100">ROUND(IFERROR(INDEX(ArchiveResults!$F$5:$IX$116,ComparisonData!A100,ComparisonData!$GE$1),0),5)</f>
        <v>0</v>
      </c>
      <c r="GF100" s="46" cm="1">
        <f t="array" ref="GF100">ROUND(IFERROR(INDEX(ArchiveResults!$F$5:$IX$116,ComparisonData!A100,ComparisonData!$GF$1),0),5)</f>
        <v>0</v>
      </c>
      <c r="GG100" s="45" cm="1">
        <f t="array" ref="GG100">IFERROR(INDEX(ArchiveResults!$F$5:$IX$116,ComparisonData!A100,ComparisonData!$GG$1),0)</f>
        <v>0</v>
      </c>
      <c r="GH100" s="56">
        <v>95</v>
      </c>
      <c r="GI100" s="53" t="str">
        <f t="shared" si="667"/>
        <v>University of Glasgow, Archives &amp; Special Collections, Thurso St</v>
      </c>
      <c r="GJ100" s="59">
        <f t="shared" si="846"/>
        <v>0</v>
      </c>
      <c r="GK100" s="59">
        <f t="shared" si="847"/>
        <v>0</v>
      </c>
      <c r="GL100" s="59">
        <f t="shared" si="848"/>
        <v>0</v>
      </c>
      <c r="GM100" s="59">
        <f t="shared" si="849"/>
        <v>0</v>
      </c>
      <c r="GN100" s="59">
        <f t="shared" si="850"/>
        <v>0</v>
      </c>
      <c r="GO100" s="58">
        <f t="shared" si="851"/>
        <v>0</v>
      </c>
      <c r="GP100" s="45">
        <f t="shared" si="852"/>
        <v>13</v>
      </c>
      <c r="GQ100" s="45">
        <f t="shared" si="668"/>
        <v>2.4989999999999997</v>
      </c>
      <c r="GR100" s="45">
        <f t="shared" si="853"/>
        <v>1</v>
      </c>
      <c r="GS100" s="45">
        <f t="shared" si="854"/>
        <v>2</v>
      </c>
      <c r="GT100" s="46" cm="1">
        <f t="array" ref="GT100">ROUND(IFERROR(INDEX(ArchiveResults!$F$5:$IX$116,ComparisonData!A100,ComparisonData!$GT$1),0),5)</f>
        <v>0</v>
      </c>
      <c r="GU100" s="46" cm="1">
        <f t="array" ref="GU100">ROUND(IFERROR(INDEX(ArchiveResults!$F$5:$IX$116,ComparisonData!A100,ComparisonData!$GU$1),0),5)</f>
        <v>0</v>
      </c>
      <c r="GV100" s="46" cm="1">
        <f t="array" ref="GV100">ROUND(IFERROR(INDEX(ArchiveResults!$F$5:$IX$116,ComparisonData!A100,ComparisonData!$GV$1),0),5)</f>
        <v>0</v>
      </c>
      <c r="GW100" s="46" cm="1">
        <f t="array" ref="GW100">ROUND(IFERROR(INDEX(ArchiveResults!$F$5:$IX$116,ComparisonData!A100,ComparisonData!$GW$1),0),5)</f>
        <v>0</v>
      </c>
      <c r="GX100" s="45" cm="1">
        <f t="array" ref="GX100">IFERROR(INDEX(ArchiveResults!$F$5:$IX$116,ComparisonData!A100,ComparisonData!$GX$1),0)</f>
        <v>0</v>
      </c>
      <c r="GY100" s="56">
        <v>95</v>
      </c>
      <c r="GZ100" s="53" t="str">
        <f t="shared" si="669"/>
        <v>University of Glasgow, Archives &amp; Special Collections, Thurso St</v>
      </c>
      <c r="HA100" s="59">
        <f t="shared" si="855"/>
        <v>0</v>
      </c>
      <c r="HB100" s="59">
        <f t="shared" si="856"/>
        <v>0</v>
      </c>
      <c r="HC100" s="59">
        <f t="shared" si="857"/>
        <v>0</v>
      </c>
      <c r="HD100" s="59">
        <f t="shared" si="858"/>
        <v>0</v>
      </c>
      <c r="HE100" s="59">
        <f t="shared" si="859"/>
        <v>0</v>
      </c>
      <c r="HF100" s="58">
        <f t="shared" si="860"/>
        <v>0</v>
      </c>
      <c r="HG100" s="45">
        <f t="shared" si="861"/>
        <v>13</v>
      </c>
      <c r="HH100" s="45">
        <f t="shared" si="670"/>
        <v>2.4989999999999997</v>
      </c>
      <c r="HI100" s="45">
        <f t="shared" si="862"/>
        <v>1</v>
      </c>
      <c r="HJ100" s="45">
        <f t="shared" si="863"/>
        <v>2</v>
      </c>
      <c r="HK100" s="46" cm="1">
        <f t="array" ref="HK100">ROUND(IFERROR(INDEX(ArchiveResults!$F$5:$IX$116,ComparisonData!A100,ComparisonData!$HK$1),0),5)</f>
        <v>0</v>
      </c>
      <c r="HL100" s="46" cm="1">
        <f t="array" ref="HL100">ROUND(IFERROR(INDEX(ArchiveResults!$F$5:$IX$116,ComparisonData!A100,ComparisonData!$HL$1),0),5)</f>
        <v>0</v>
      </c>
      <c r="HM100" s="46" cm="1">
        <f t="array" ref="HM100">ROUND(IFERROR(INDEX(ArchiveResults!$F$5:$IX$116,ComparisonData!A100,ComparisonData!$HM$1),0),5)</f>
        <v>0</v>
      </c>
      <c r="HN100" s="46" cm="1">
        <f t="array" ref="HN100">ROUND(IFERROR(INDEX(ArchiveResults!$F$5:$IX$116,ComparisonData!A100,ComparisonData!$HN$1),0),5)</f>
        <v>0</v>
      </c>
      <c r="HO100" s="45" cm="1">
        <f t="array" ref="HO100">IFERROR(INDEX(ArchiveResults!$F$5:$IX$116,ComparisonData!A100,ComparisonData!$HO$1),0)</f>
        <v>0</v>
      </c>
      <c r="HP100" s="56">
        <v>95</v>
      </c>
      <c r="HQ100" s="53" t="str">
        <f t="shared" si="671"/>
        <v>University of Glasgow, Archives &amp; Special Collections, Thurso St</v>
      </c>
      <c r="HR100" s="59">
        <f t="shared" si="672"/>
        <v>0</v>
      </c>
      <c r="HS100" s="59">
        <f t="shared" si="673"/>
        <v>0</v>
      </c>
      <c r="HT100" s="59">
        <f t="shared" si="674"/>
        <v>0</v>
      </c>
      <c r="HU100" s="59">
        <f t="shared" si="675"/>
        <v>0</v>
      </c>
      <c r="HV100" s="59">
        <f t="shared" si="676"/>
        <v>0</v>
      </c>
      <c r="HW100" s="58">
        <f t="shared" si="864"/>
        <v>0</v>
      </c>
      <c r="HX100" s="45">
        <f t="shared" si="865"/>
        <v>13</v>
      </c>
      <c r="HY100" s="45">
        <f t="shared" si="677"/>
        <v>2.4989999999999997</v>
      </c>
      <c r="HZ100" s="45">
        <f t="shared" si="866"/>
        <v>1</v>
      </c>
      <c r="IA100" s="45">
        <f t="shared" si="867"/>
        <v>2</v>
      </c>
      <c r="IB100" s="45">
        <f t="shared" si="868"/>
        <v>0</v>
      </c>
      <c r="IC100" s="46" cm="1">
        <f t="array" ref="IC100">ROUND(IFERROR(INDEX(ArchiveResults!$F$5:$IX$116,ComparisonData!A100,ComparisonData!$IC$1),0),5)</f>
        <v>0</v>
      </c>
      <c r="ID100" s="46" cm="1">
        <f t="array" ref="ID100">ROUND(IFERROR(INDEX(ArchiveResults!$F$5:$IX$116,ComparisonData!A100,ComparisonData!$ID$1),0),5)</f>
        <v>0</v>
      </c>
      <c r="IE100" s="46" cm="1">
        <f t="array" ref="IE100">ROUND(IFERROR(INDEX(ArchiveResults!$F$5:$IX$116,ComparisonData!A100,ComparisonData!$IE$1),0),5)</f>
        <v>0</v>
      </c>
      <c r="IF100" s="46" cm="1">
        <f t="array" ref="IF100">ROUND(IFERROR(INDEX(ArchiveResults!$F$5:$IX$116,ComparisonData!A100,ComparisonData!$IF$1),0),5)</f>
        <v>0</v>
      </c>
      <c r="IG100" s="45" cm="1">
        <f t="array" ref="IG100">IFERROR(INDEX(ArchiveResults!$F$5:$IX$116,ComparisonData!A100,ComparisonData!$IG$1),0)</f>
        <v>0</v>
      </c>
      <c r="IH100" s="56">
        <v>95</v>
      </c>
      <c r="II100" s="53" t="str">
        <f t="shared" si="678"/>
        <v>University of Glasgow, Archives &amp; Special Collections, Thurso St</v>
      </c>
      <c r="IJ100" s="59">
        <f t="shared" si="869"/>
        <v>0</v>
      </c>
      <c r="IK100" s="59">
        <f t="shared" si="870"/>
        <v>0</v>
      </c>
      <c r="IL100" s="59">
        <f t="shared" si="871"/>
        <v>0</v>
      </c>
      <c r="IM100" s="59">
        <f t="shared" si="872"/>
        <v>0</v>
      </c>
      <c r="IN100" s="59">
        <f t="shared" si="873"/>
        <v>0</v>
      </c>
      <c r="IO100" s="58">
        <f t="shared" si="874"/>
        <v>0</v>
      </c>
      <c r="IP100" s="45">
        <f t="shared" si="875"/>
        <v>13</v>
      </c>
      <c r="IQ100" s="45">
        <f t="shared" si="679"/>
        <v>2.4989999999999997</v>
      </c>
      <c r="IR100" s="45">
        <f t="shared" si="876"/>
        <v>1</v>
      </c>
      <c r="IS100" s="45">
        <f t="shared" si="877"/>
        <v>2</v>
      </c>
      <c r="IT100" s="46">
        <f t="shared" si="878"/>
        <v>0</v>
      </c>
      <c r="IU100" s="46" cm="1">
        <f t="array" ref="IU100">ROUND(IFERROR(INDEX(ArchiveResults!$F$5:$IX$116,ComparisonData!A100,ComparisonData!$IU$1),0),5)</f>
        <v>0</v>
      </c>
      <c r="IV100" s="46" cm="1">
        <f t="array" ref="IV100">ROUND(IFERROR(INDEX(ArchiveResults!$F$5:$IX$116,ComparisonData!A100,ComparisonData!$IV$1),0),5)</f>
        <v>0</v>
      </c>
      <c r="IW100" s="46" cm="1">
        <f t="array" ref="IW100">ROUND(IFERROR(INDEX(ArchiveResults!$F$5:$IX$116,ComparisonData!A100,ComparisonData!$IW$1),0),5)</f>
        <v>0</v>
      </c>
      <c r="IX100" s="46" cm="1">
        <f t="array" ref="IX100">ROUND(IFERROR(INDEX(ArchiveResults!$F$5:$IX$116,ComparisonData!A100,ComparisonData!$IX$1),0),5)</f>
        <v>0</v>
      </c>
      <c r="IY100" s="45" cm="1">
        <f t="array" ref="IY100">IFERROR(INDEX(ArchiveResults!$F$5:$IX$116,ComparisonData!A100,ComparisonData!$IY$1),0)</f>
        <v>0</v>
      </c>
      <c r="IZ100" s="56">
        <v>95</v>
      </c>
      <c r="JA100" s="53" t="str">
        <f t="shared" si="680"/>
        <v>University of Glasgow, Archives &amp; Special Collections, Thurso St</v>
      </c>
      <c r="JB100" s="59">
        <f t="shared" si="879"/>
        <v>0</v>
      </c>
      <c r="JC100" s="59">
        <f t="shared" si="880"/>
        <v>0</v>
      </c>
      <c r="JD100" s="59">
        <f t="shared" si="881"/>
        <v>0</v>
      </c>
      <c r="JE100" s="59">
        <f t="shared" si="882"/>
        <v>0</v>
      </c>
      <c r="JF100" s="59">
        <f t="shared" si="883"/>
        <v>0</v>
      </c>
      <c r="JG100" s="58">
        <f t="shared" si="884"/>
        <v>0</v>
      </c>
      <c r="JH100" s="45">
        <f t="shared" si="885"/>
        <v>13</v>
      </c>
      <c r="JI100" s="45">
        <f t="shared" si="681"/>
        <v>2.4989999999999997</v>
      </c>
      <c r="JJ100" s="45">
        <f t="shared" si="886"/>
        <v>1</v>
      </c>
      <c r="JK100" s="45">
        <f t="shared" si="887"/>
        <v>2</v>
      </c>
      <c r="JL100" s="45">
        <f t="shared" si="888"/>
        <v>0</v>
      </c>
      <c r="JM100" s="46" cm="1">
        <f t="array" ref="JM100">ROUND(IFERROR(INDEX(ArchiveResults!$F$5:$IX$116,ComparisonData!A100,ComparisonData!$JM$1),0),5)</f>
        <v>0</v>
      </c>
      <c r="JN100" s="46" cm="1">
        <f t="array" ref="JN100">ROUND(IFERROR(INDEX(ArchiveResults!$F$5:$IX$116,ComparisonData!A100,ComparisonData!$JN$1),0),5)</f>
        <v>0</v>
      </c>
      <c r="JO100" s="46" cm="1">
        <f t="array" ref="JO100">ROUND(IFERROR(INDEX(ArchiveResults!$F$5:$IX$116,ComparisonData!A100,ComparisonData!$JO$1),0),5)</f>
        <v>0</v>
      </c>
      <c r="JP100" s="46" cm="1">
        <f t="array" ref="JP100">ROUND(IFERROR(INDEX(ArchiveResults!$F$5:$IX$116,ComparisonData!A100,ComparisonData!$JP$1),0),5)</f>
        <v>0</v>
      </c>
      <c r="JQ100" s="45" cm="1">
        <f t="array" ref="JQ100">IFERROR(INDEX(ArchiveResults!$F$5:$IX$116,ComparisonData!A100,ComparisonData!$JQ$1),0)</f>
        <v>0</v>
      </c>
      <c r="JR100" s="56">
        <v>95</v>
      </c>
      <c r="JS100" s="53" t="str">
        <f t="shared" si="682"/>
        <v>University of Glasgow, Archives &amp; Special Collections, Thurso St</v>
      </c>
      <c r="JT100" s="59">
        <f t="shared" si="889"/>
        <v>0</v>
      </c>
      <c r="JU100" s="59">
        <f t="shared" si="890"/>
        <v>0</v>
      </c>
      <c r="JV100" s="59">
        <f t="shared" si="891"/>
        <v>0</v>
      </c>
      <c r="JW100" s="59">
        <f t="shared" si="892"/>
        <v>0</v>
      </c>
      <c r="JX100" s="59">
        <f t="shared" si="893"/>
        <v>0</v>
      </c>
      <c r="JY100" s="58">
        <f t="shared" si="894"/>
        <v>0</v>
      </c>
      <c r="JZ100" s="45">
        <f t="shared" si="895"/>
        <v>13</v>
      </c>
      <c r="KA100" s="45">
        <f t="shared" si="683"/>
        <v>2.4989999999999997</v>
      </c>
      <c r="KB100" s="45">
        <f t="shared" si="896"/>
        <v>1</v>
      </c>
      <c r="KC100" s="45">
        <f t="shared" si="897"/>
        <v>2</v>
      </c>
      <c r="KD100" s="45">
        <f t="shared" si="898"/>
        <v>0</v>
      </c>
      <c r="KE100" s="46" cm="1">
        <f t="array" ref="KE100">ROUND(IFERROR(INDEX(ArchiveResults!$F$5:$IX$116,ComparisonData!A100,ComparisonData!$KE$1),0),5)</f>
        <v>0</v>
      </c>
      <c r="KF100" s="46" cm="1">
        <f t="array" ref="KF100">ROUND(IFERROR(INDEX(ArchiveResults!$F$5:$IX$116,ComparisonData!A100,ComparisonData!$KF$1),0),5)</f>
        <v>0</v>
      </c>
      <c r="KG100" s="46" cm="1">
        <f t="array" ref="KG100">ROUND(IFERROR(INDEX(ArchiveResults!$F$5:$IX$116,ComparisonData!A100,ComparisonData!$KG$1),0),5)</f>
        <v>0</v>
      </c>
      <c r="KH100" s="46" cm="1">
        <f t="array" ref="KH100">ROUND(IFERROR(INDEX(ArchiveResults!$F$5:$IX$116,ComparisonData!A100,ComparisonData!$KH$1),0),5)</f>
        <v>0</v>
      </c>
      <c r="KI100" s="45" cm="1">
        <f t="array" ref="KI100">IFERROR(INDEX(ArchiveResults!$F$5:$IX$116,ComparisonData!A100,ComparisonData!$KI$1),0)</f>
        <v>0</v>
      </c>
      <c r="KJ100" s="56">
        <v>95</v>
      </c>
      <c r="KK100" s="53" t="str">
        <f t="shared" si="684"/>
        <v>University of Glasgow, Archives &amp; Special Collections, Thurso St</v>
      </c>
      <c r="KL100" s="59">
        <f t="shared" si="899"/>
        <v>0</v>
      </c>
      <c r="KM100" s="59">
        <f t="shared" si="900"/>
        <v>0</v>
      </c>
      <c r="KN100" s="59">
        <f t="shared" si="901"/>
        <v>0</v>
      </c>
      <c r="KO100" s="59">
        <f t="shared" si="902"/>
        <v>0</v>
      </c>
      <c r="KP100" s="59">
        <f t="shared" si="903"/>
        <v>0</v>
      </c>
      <c r="KQ100" s="58">
        <f t="shared" si="904"/>
        <v>0</v>
      </c>
      <c r="KR100" s="45">
        <f t="shared" si="905"/>
        <v>13</v>
      </c>
      <c r="KS100" s="45">
        <f t="shared" si="685"/>
        <v>2.4989999999999997</v>
      </c>
      <c r="KT100" s="45">
        <f t="shared" si="906"/>
        <v>1</v>
      </c>
      <c r="KU100" s="45">
        <f t="shared" si="907"/>
        <v>2</v>
      </c>
      <c r="KV100" s="45">
        <f t="shared" si="908"/>
        <v>0</v>
      </c>
      <c r="KW100" s="46" cm="1">
        <f t="array" ref="KW100">ROUND(IFERROR(INDEX(ArchiveResults!$F$5:$IX$116,ComparisonData!A100,ComparisonData!$KW$1),0),5)</f>
        <v>0</v>
      </c>
      <c r="KX100" s="46" cm="1">
        <f t="array" ref="KX100">ROUND(IFERROR(INDEX(ArchiveResults!$F$5:$IX$116,ComparisonData!A100,ComparisonData!$KX$1),0),5)</f>
        <v>0</v>
      </c>
      <c r="KY100" s="46" cm="1">
        <f t="array" ref="KY100">ROUND(IFERROR(INDEX(ArchiveResults!$F$5:$IX$116,ComparisonData!A100,ComparisonData!$KY$1),0),5)</f>
        <v>0</v>
      </c>
      <c r="KZ100" s="46" cm="1">
        <f t="array" ref="KZ100">ROUND(IFERROR(INDEX(ArchiveResults!$F$5:$IX$116,ComparisonData!A100,ComparisonData!$KZ$1),0),5)</f>
        <v>0</v>
      </c>
      <c r="LA100" s="45" cm="1">
        <f t="array" ref="LA100">IFERROR(INDEX(ArchiveResults!$F$5:$IX$116,ComparisonData!A100,ComparisonData!$LA$1),0)</f>
        <v>0</v>
      </c>
      <c r="LB100" s="56">
        <v>95</v>
      </c>
      <c r="LC100" s="53" t="str">
        <f t="shared" si="686"/>
        <v>University of Glasgow, Archives &amp; Special Collections, Thurso St</v>
      </c>
      <c r="LD100" s="59">
        <f t="shared" si="909"/>
        <v>0</v>
      </c>
      <c r="LE100" s="59">
        <f t="shared" si="910"/>
        <v>0</v>
      </c>
      <c r="LF100" s="59">
        <f t="shared" si="911"/>
        <v>0</v>
      </c>
      <c r="LG100" s="59">
        <f t="shared" si="912"/>
        <v>0</v>
      </c>
      <c r="LH100" s="59">
        <f t="shared" si="913"/>
        <v>0</v>
      </c>
      <c r="LI100" s="58">
        <f t="shared" si="914"/>
        <v>0</v>
      </c>
      <c r="LJ100" s="45">
        <f t="shared" si="915"/>
        <v>13</v>
      </c>
      <c r="LK100" s="45">
        <f t="shared" si="687"/>
        <v>2.4989999999999997</v>
      </c>
      <c r="LL100" s="45">
        <f t="shared" si="916"/>
        <v>1</v>
      </c>
      <c r="LM100" s="45">
        <f t="shared" si="917"/>
        <v>2</v>
      </c>
      <c r="LN100" s="45">
        <f t="shared" si="918"/>
        <v>0</v>
      </c>
      <c r="LO100" s="46" cm="1">
        <f t="array" ref="LO100">ROUND(IFERROR(INDEX(ArchiveResults!$F$5:$IX$116,ComparisonData!A100,ComparisonData!$LO$1),0),5)</f>
        <v>0</v>
      </c>
      <c r="LP100" s="46" cm="1">
        <f t="array" ref="LP100">ROUND(IFERROR(INDEX(ArchiveResults!$F$5:$IX$116,ComparisonData!A100,ComparisonData!$LP$1),0),5)</f>
        <v>0</v>
      </c>
      <c r="LQ100" s="46" cm="1">
        <f t="array" ref="LQ100">ROUND(IFERROR(INDEX(ArchiveResults!$F$5:$IX$116,ComparisonData!A100,ComparisonData!$LQ$1),0),5)</f>
        <v>0</v>
      </c>
      <c r="LR100" s="46" cm="1">
        <f t="array" ref="LR100">ROUND(IFERROR(INDEX(ArchiveResults!$F$5:$IX$116,ComparisonData!A100,ComparisonData!$LR$1),0),5)</f>
        <v>0</v>
      </c>
      <c r="LS100" s="45" cm="1">
        <f t="array" ref="LS100">IFERROR(INDEX(ArchiveResults!$F$5:$IX$116,ComparisonData!A100,ComparisonData!$LS$1),0)</f>
        <v>0</v>
      </c>
      <c r="LT100" s="56">
        <v>95</v>
      </c>
      <c r="LU100" s="53" t="str">
        <f t="shared" si="688"/>
        <v>University of Glasgow, Archives &amp; Special Collections, Thurso St</v>
      </c>
      <c r="LV100" s="59">
        <f t="shared" si="919"/>
        <v>0</v>
      </c>
      <c r="LW100" s="59">
        <f t="shared" si="920"/>
        <v>0</v>
      </c>
      <c r="LX100" s="59">
        <f t="shared" si="921"/>
        <v>0</v>
      </c>
      <c r="LY100" s="59">
        <f t="shared" si="922"/>
        <v>0</v>
      </c>
      <c r="LZ100" s="59">
        <f t="shared" si="923"/>
        <v>0</v>
      </c>
      <c r="MA100" s="58">
        <f t="shared" si="924"/>
        <v>0</v>
      </c>
      <c r="MB100" s="45">
        <f t="shared" si="925"/>
        <v>13</v>
      </c>
      <c r="MC100" s="45">
        <f t="shared" si="689"/>
        <v>2.4989999999999997</v>
      </c>
      <c r="MD100" s="45">
        <f t="shared" si="926"/>
        <v>1</v>
      </c>
      <c r="ME100" s="45">
        <f t="shared" si="927"/>
        <v>2</v>
      </c>
      <c r="MF100" s="45">
        <f t="shared" si="928"/>
        <v>0</v>
      </c>
      <c r="MG100" s="46" cm="1">
        <f t="array" ref="MG100">ROUND(IFERROR(INDEX(ArchiveResults!$F$5:$IX$116,ComparisonData!A100,ComparisonData!$MG$1),0),5)</f>
        <v>0</v>
      </c>
      <c r="MH100" s="46" cm="1">
        <f t="array" ref="MH100">ROUND(IFERROR(INDEX(ArchiveResults!$F$5:$IX$116,ComparisonData!A100,ComparisonData!$MH$1),0),5)</f>
        <v>0</v>
      </c>
      <c r="MI100" s="46" cm="1">
        <f t="array" ref="MI100">ROUND(IFERROR(INDEX(ArchiveResults!$F$5:$IX$116,ComparisonData!A100,ComparisonData!$MI$1),0),5)</f>
        <v>0</v>
      </c>
      <c r="MJ100" s="46" cm="1">
        <f t="array" ref="MJ100">ROUND(IFERROR(INDEX(ArchiveResults!$F$5:$IX$116,ComparisonData!A100,ComparisonData!$MJ$1),0),5)</f>
        <v>0</v>
      </c>
      <c r="MK100" s="45" cm="1">
        <f t="array" ref="MK100">IFERROR(INDEX(ArchiveResults!$F$5:$IX$116,ComparisonData!A100,ComparisonData!$MK$1),0)</f>
        <v>0</v>
      </c>
      <c r="ML100" s="56">
        <v>95</v>
      </c>
      <c r="MM100" s="53" t="str">
        <f t="shared" si="690"/>
        <v>University of Glasgow, Archives &amp; Special Collections, Thurso St</v>
      </c>
      <c r="MN100" s="59">
        <f t="shared" si="929"/>
        <v>0</v>
      </c>
      <c r="MO100" s="59">
        <f t="shared" si="930"/>
        <v>0</v>
      </c>
      <c r="MP100" s="59">
        <f t="shared" si="931"/>
        <v>0</v>
      </c>
      <c r="MQ100" s="59">
        <f t="shared" si="932"/>
        <v>0</v>
      </c>
      <c r="MR100" s="59">
        <f t="shared" si="933"/>
        <v>0</v>
      </c>
      <c r="MS100" s="58">
        <f t="shared" si="934"/>
        <v>0</v>
      </c>
      <c r="MT100" s="45">
        <f t="shared" si="935"/>
        <v>13</v>
      </c>
      <c r="MU100" s="45">
        <f t="shared" si="691"/>
        <v>2.4989999999999997</v>
      </c>
      <c r="MV100" s="45">
        <f t="shared" si="936"/>
        <v>1</v>
      </c>
      <c r="MW100" s="45">
        <f t="shared" si="937"/>
        <v>2</v>
      </c>
      <c r="MX100" s="45">
        <f t="shared" si="938"/>
        <v>0</v>
      </c>
      <c r="MY100" s="46" cm="1">
        <f t="array" ref="MY100">ROUND(IFERROR(INDEX(ArchiveResults!$F$5:$IX$116,ComparisonData!A100,ComparisonData!$MY$1),0),5)</f>
        <v>0</v>
      </c>
      <c r="MZ100" s="46" cm="1">
        <f t="array" ref="MZ100">ROUND(IFERROR(INDEX(ArchiveResults!$F$5:$IX$116,ComparisonData!A100,ComparisonData!$MZ$1),0),5)</f>
        <v>0</v>
      </c>
      <c r="NA100" s="46" cm="1">
        <f t="array" ref="NA100">ROUND(IFERROR(INDEX(ArchiveResults!$F$5:$IX$116,ComparisonData!A100,ComparisonData!$NA$1),0),5)</f>
        <v>0</v>
      </c>
      <c r="NB100" s="46" cm="1">
        <f t="array" ref="NB100">ROUND(IFERROR(INDEX(ArchiveResults!$F$5:$IX$116,ComparisonData!A100,ComparisonData!$NB$1),0),5)</f>
        <v>0</v>
      </c>
      <c r="NC100" s="45" cm="1">
        <f t="array" ref="NC100">IFERROR(INDEX(ArchiveResults!$F$5:$IX$116,ComparisonData!A100,ComparisonData!$NC$1),0)</f>
        <v>0</v>
      </c>
      <c r="ND100" s="56">
        <v>95</v>
      </c>
      <c r="NE100" s="53" t="str">
        <f t="shared" si="692"/>
        <v>University of Glasgow, Archives &amp; Special Collections, Thurso St</v>
      </c>
      <c r="NF100" s="59">
        <f t="shared" si="939"/>
        <v>0</v>
      </c>
      <c r="NG100" s="59">
        <f t="shared" si="940"/>
        <v>0</v>
      </c>
      <c r="NH100" s="59">
        <f t="shared" si="941"/>
        <v>0</v>
      </c>
      <c r="NI100" s="59">
        <f t="shared" si="942"/>
        <v>0</v>
      </c>
      <c r="NJ100" s="59">
        <f t="shared" si="943"/>
        <v>0</v>
      </c>
      <c r="NK100" s="58">
        <f t="shared" si="944"/>
        <v>0</v>
      </c>
      <c r="NL100" s="45">
        <f t="shared" si="945"/>
        <v>13</v>
      </c>
      <c r="NM100" s="45">
        <f t="shared" si="693"/>
        <v>2.4989999999999997</v>
      </c>
      <c r="NN100" s="45">
        <f t="shared" si="946"/>
        <v>1</v>
      </c>
      <c r="NO100" s="45">
        <f t="shared" si="947"/>
        <v>2</v>
      </c>
      <c r="NP100" s="46" cm="1">
        <f t="array" ref="NP100">ROUND(IFERROR(INDEX(ArchiveResults!$F$5:$IX$116,ComparisonData!A100,ComparisonData!$NP$1),0),5)</f>
        <v>0</v>
      </c>
      <c r="NQ100" s="46" cm="1">
        <f t="array" ref="NQ100">ROUND(IFERROR(INDEX(ArchiveResults!$F$5:$IX$116,ComparisonData!A100,ComparisonData!$NQ$1),0),5)</f>
        <v>0</v>
      </c>
      <c r="NR100" s="46" cm="1">
        <f t="array" ref="NR100">ROUND(IFERROR(INDEX(ArchiveResults!$F$5:$IX$116,ComparisonData!A100,ComparisonData!$NR$1),0),5)</f>
        <v>0</v>
      </c>
      <c r="NS100" s="46" cm="1">
        <f t="array" ref="NS100">ROUND(IFERROR(INDEX(ArchiveResults!$F$5:$IX$116,ComparisonData!A100,ComparisonData!$NS$1),0),5)</f>
        <v>0</v>
      </c>
      <c r="NT100" s="45" cm="1">
        <f t="array" ref="NT100">IFERROR(INDEX(ArchiveResults!$F$5:$IX$116,ComparisonData!A100,ComparisonData!$NT$1),0)</f>
        <v>0</v>
      </c>
      <c r="NU100" s="56">
        <v>95</v>
      </c>
      <c r="NV100" s="53" t="str">
        <f t="shared" si="694"/>
        <v>University of Glasgow, Archives &amp; Special Collections, Thurso St</v>
      </c>
      <c r="NW100" s="59">
        <f t="shared" si="948"/>
        <v>0</v>
      </c>
      <c r="NX100" s="59">
        <f t="shared" si="949"/>
        <v>0</v>
      </c>
      <c r="NY100" s="59">
        <f t="shared" si="950"/>
        <v>0</v>
      </c>
      <c r="NZ100" s="59">
        <f t="shared" si="951"/>
        <v>0</v>
      </c>
      <c r="OA100" s="59">
        <f t="shared" si="952"/>
        <v>0</v>
      </c>
      <c r="OB100" s="58">
        <f t="shared" si="953"/>
        <v>0</v>
      </c>
      <c r="OC100" s="45">
        <f t="shared" si="954"/>
        <v>13</v>
      </c>
      <c r="OD100" s="45">
        <f t="shared" si="695"/>
        <v>2.4989999999999997</v>
      </c>
      <c r="OE100" s="45">
        <f t="shared" si="955"/>
        <v>1</v>
      </c>
      <c r="OF100" s="45">
        <f t="shared" si="956"/>
        <v>2</v>
      </c>
      <c r="OG100" s="46">
        <f t="shared" si="957"/>
        <v>0</v>
      </c>
      <c r="OH100" s="46" cm="1">
        <f t="array" ref="OH100">ROUND(IFERROR(INDEX(ArchiveResults!$F$5:$IX$116,ComparisonData!A100,ComparisonData!$OH$1),0),5)</f>
        <v>0</v>
      </c>
      <c r="OI100" s="46" cm="1">
        <f t="array" ref="OI100">ROUND(IFERROR(INDEX(ArchiveResults!$F$5:$IX$116,ComparisonData!A100,ComparisonData!$OI$1),0),5)</f>
        <v>0</v>
      </c>
      <c r="OJ100" s="46" cm="1">
        <f t="array" ref="OJ100">ROUND(IFERROR(INDEX(ArchiveResults!$F$5:$IX$116,ComparisonData!A100,ComparisonData!$OJ$1),0),5)</f>
        <v>0</v>
      </c>
      <c r="OK100" s="46" cm="1">
        <f t="array" ref="OK100">ROUND(IFERROR(INDEX(ArchiveResults!$F$5:$IX$116,ComparisonData!A100,ComparisonData!$OK$1),0),5)</f>
        <v>0</v>
      </c>
      <c r="OL100" s="45" cm="1">
        <f t="array" ref="OL100">IFERROR(INDEX(ArchiveResults!$F$5:$IX$116,ComparisonData!A100,ComparisonData!$OL$1),0)</f>
        <v>0</v>
      </c>
      <c r="OM100" s="56">
        <v>95</v>
      </c>
      <c r="ON100" s="53" t="str">
        <f t="shared" si="696"/>
        <v>University of Glasgow, Archives &amp; Special Collections, Thurso St</v>
      </c>
      <c r="OO100" s="59">
        <f t="shared" si="958"/>
        <v>0</v>
      </c>
      <c r="OP100" s="59">
        <f t="shared" si="959"/>
        <v>0</v>
      </c>
      <c r="OQ100" s="59">
        <f t="shared" si="960"/>
        <v>0</v>
      </c>
      <c r="OR100" s="59">
        <f t="shared" si="961"/>
        <v>0</v>
      </c>
      <c r="OS100" s="59">
        <f t="shared" si="962"/>
        <v>0</v>
      </c>
      <c r="OT100" s="58">
        <f t="shared" si="963"/>
        <v>0</v>
      </c>
      <c r="OU100" s="45">
        <f t="shared" si="964"/>
        <v>13</v>
      </c>
      <c r="OV100" s="45">
        <f t="shared" si="697"/>
        <v>2.4989999999999997</v>
      </c>
      <c r="OW100" s="45">
        <f t="shared" si="965"/>
        <v>1</v>
      </c>
      <c r="OX100" s="45">
        <f t="shared" si="966"/>
        <v>2</v>
      </c>
      <c r="OY100" s="45">
        <f t="shared" si="967"/>
        <v>0</v>
      </c>
      <c r="OZ100" s="46" cm="1">
        <f t="array" ref="OZ100">ROUND(IFERROR(INDEX(ArchiveResults!$F$5:$IX$116,ComparisonData!A100,ComparisonData!$OZ$1),0),5)</f>
        <v>0</v>
      </c>
      <c r="PA100" s="46" cm="1">
        <f t="array" ref="PA100">ROUND(IFERROR(INDEX(ArchiveResults!$F$5:$IX$116,ComparisonData!A100,ComparisonData!$PA$1),0),5)</f>
        <v>0</v>
      </c>
      <c r="PB100" s="46" cm="1">
        <f t="array" ref="PB100">ROUND(IFERROR(INDEX(ArchiveResults!$F$5:$IX$116,ComparisonData!A100,ComparisonData!$PB$1),0),5)</f>
        <v>0</v>
      </c>
      <c r="PC100" s="46" cm="1">
        <f t="array" ref="PC100">ROUND(IFERROR(INDEX(ArchiveResults!$F$5:$IX$116,ComparisonData!A100,ComparisonData!$PC$1),0),5)</f>
        <v>0</v>
      </c>
      <c r="PD100" s="45" cm="1">
        <f t="array" ref="PD100">IFERROR(INDEX(ArchiveResults!$F$5:$IX$116,ComparisonData!A100,ComparisonData!$PD$1),0)</f>
        <v>0</v>
      </c>
      <c r="PE100" s="56">
        <v>95</v>
      </c>
      <c r="PF100" s="53" t="str">
        <f t="shared" si="698"/>
        <v>University of Glasgow, Archives &amp; Special Collections, Thurso St</v>
      </c>
      <c r="PG100" s="59">
        <f t="shared" si="968"/>
        <v>0</v>
      </c>
      <c r="PH100" s="59">
        <f t="shared" si="969"/>
        <v>0</v>
      </c>
      <c r="PI100" s="59">
        <f t="shared" si="970"/>
        <v>0</v>
      </c>
      <c r="PJ100" s="59">
        <f t="shared" si="971"/>
        <v>0</v>
      </c>
      <c r="PK100" s="59">
        <f t="shared" si="972"/>
        <v>0</v>
      </c>
      <c r="PL100" s="58">
        <f t="shared" si="973"/>
        <v>0</v>
      </c>
      <c r="PM100" s="45">
        <f t="shared" si="974"/>
        <v>13</v>
      </c>
      <c r="PN100" s="45">
        <f t="shared" si="699"/>
        <v>2.4989999999999997</v>
      </c>
      <c r="PO100" s="45">
        <f t="shared" si="975"/>
        <v>1</v>
      </c>
      <c r="PP100" s="45">
        <f t="shared" si="976"/>
        <v>2</v>
      </c>
      <c r="PQ100" s="45">
        <f t="shared" si="977"/>
        <v>0</v>
      </c>
      <c r="PR100" s="46" cm="1">
        <f t="array" ref="PR100">ROUND(IFERROR(INDEX(ArchiveResults!$F$5:$IX$116,ComparisonData!A100,ComparisonData!$PR$1),0),5)</f>
        <v>0</v>
      </c>
      <c r="PS100" s="46" cm="1">
        <f t="array" ref="PS100">ROUND(IFERROR(INDEX(ArchiveResults!$F$5:$IX$116,ComparisonData!A100,ComparisonData!$PS$1),0),5)</f>
        <v>0</v>
      </c>
      <c r="PT100" s="46" cm="1">
        <f t="array" ref="PT100">ROUND(IFERROR(INDEX(ArchiveResults!$F$5:$IX$116,ComparisonData!A100,ComparisonData!$PT$1),0),5)</f>
        <v>0</v>
      </c>
      <c r="PU100" s="46" cm="1">
        <f t="array" ref="PU100">ROUND(IFERROR(INDEX(ArchiveResults!$F$5:$IX$116,ComparisonData!A100,ComparisonData!$PU$1),0),5)</f>
        <v>0</v>
      </c>
      <c r="PV100" s="45" cm="1">
        <f t="array" ref="PV100">IFERROR(INDEX(ArchiveResults!$F$5:$IX$116,ComparisonData!A100,ComparisonData!$PV$1),0)</f>
        <v>0</v>
      </c>
      <c r="PW100" s="56">
        <v>95</v>
      </c>
      <c r="PX100" s="53" t="str">
        <f t="shared" si="700"/>
        <v>University of Glasgow, Archives &amp; Special Collections, Thurso St</v>
      </c>
      <c r="PY100" s="59">
        <f t="shared" si="978"/>
        <v>0</v>
      </c>
      <c r="PZ100" s="59">
        <f t="shared" si="979"/>
        <v>0</v>
      </c>
      <c r="QA100" s="59">
        <f t="shared" si="980"/>
        <v>0</v>
      </c>
      <c r="QB100" s="59">
        <f t="shared" si="981"/>
        <v>0</v>
      </c>
      <c r="QC100" s="59">
        <f t="shared" si="982"/>
        <v>0</v>
      </c>
      <c r="QD100" s="58">
        <f t="shared" si="983"/>
        <v>0</v>
      </c>
      <c r="QE100" s="45">
        <f t="shared" si="984"/>
        <v>13</v>
      </c>
      <c r="QF100" s="45">
        <f t="shared" si="701"/>
        <v>2.4989999999999997</v>
      </c>
      <c r="QG100" s="45">
        <f t="shared" si="985"/>
        <v>1</v>
      </c>
      <c r="QH100" s="45">
        <f t="shared" si="986"/>
        <v>2</v>
      </c>
      <c r="QI100" s="45">
        <f t="shared" si="987"/>
        <v>0</v>
      </c>
      <c r="QJ100" s="46" cm="1">
        <f t="array" ref="QJ100">ROUND(IFERROR(INDEX(ArchiveResults!$F$5:$IX$116,ComparisonData!A100,ComparisonData!$QJ$1),0),5)</f>
        <v>0</v>
      </c>
      <c r="QK100" s="46" cm="1">
        <f t="array" ref="QK100">ROUND(IFERROR(INDEX(ArchiveResults!$F$5:$IX$116,ComparisonData!A100,ComparisonData!$QK$1),0),5)</f>
        <v>0</v>
      </c>
      <c r="QL100" s="46" cm="1">
        <f t="array" ref="QL100">ROUND(IFERROR(INDEX(ArchiveResults!$F$5:$IX$116,ComparisonData!A100,ComparisonData!$QL$1),0),5)</f>
        <v>0</v>
      </c>
      <c r="QM100" s="46" cm="1">
        <f t="array" ref="QM100">ROUND(IFERROR(INDEX(ArchiveResults!$F$5:$IX$116,ComparisonData!A100,ComparisonData!$QM$1),0),5)</f>
        <v>0</v>
      </c>
      <c r="QN100" s="45" cm="1">
        <f t="array" ref="QN100">IFERROR(INDEX(ArchiveResults!$F$5:$IX$116,ComparisonData!A100,ComparisonData!$QN$1),0)</f>
        <v>0</v>
      </c>
      <c r="QO100" s="56">
        <v>95</v>
      </c>
      <c r="QP100" s="53" t="str">
        <f t="shared" si="702"/>
        <v>University of Glasgow, Archives &amp; Special Collections, Thurso St</v>
      </c>
      <c r="QQ100" s="59">
        <f t="shared" si="988"/>
        <v>0</v>
      </c>
      <c r="QR100" s="59">
        <f t="shared" si="989"/>
        <v>0</v>
      </c>
      <c r="QS100" s="59">
        <f t="shared" si="990"/>
        <v>0</v>
      </c>
      <c r="QT100" s="59">
        <f t="shared" si="991"/>
        <v>0</v>
      </c>
      <c r="QU100" s="59">
        <f t="shared" si="992"/>
        <v>0</v>
      </c>
      <c r="QV100" s="58">
        <f t="shared" si="993"/>
        <v>0</v>
      </c>
      <c r="QW100" s="45">
        <f t="shared" si="994"/>
        <v>13</v>
      </c>
      <c r="QX100" s="45">
        <f t="shared" si="703"/>
        <v>2.4989999999999997</v>
      </c>
      <c r="QY100" s="45">
        <f t="shared" si="995"/>
        <v>1</v>
      </c>
      <c r="QZ100" s="45">
        <f t="shared" si="996"/>
        <v>2</v>
      </c>
      <c r="RA100" s="45">
        <f t="shared" si="997"/>
        <v>0</v>
      </c>
      <c r="RB100" s="46" cm="1">
        <f t="array" ref="RB100">ROUND(IFERROR(INDEX(ArchiveResults!$F$5:$IX$116,ComparisonData!A100,ComparisonData!$RB$1),0),5)</f>
        <v>0</v>
      </c>
      <c r="RC100" s="46" cm="1">
        <f t="array" ref="RC100">ROUND(IFERROR(INDEX(ArchiveResults!$F$5:$IX$116,ComparisonData!A100,ComparisonData!$RC$1),0),5)</f>
        <v>0</v>
      </c>
      <c r="RD100" s="46" cm="1">
        <f t="array" ref="RD100">ROUND(IFERROR(INDEX(ArchiveResults!$F$5:$IX$116,ComparisonData!A100,ComparisonData!$RD$1),0),5)</f>
        <v>0</v>
      </c>
      <c r="RE100" s="46" cm="1">
        <f t="array" ref="RE100">ROUND(IFERROR(INDEX(ArchiveResults!$F$5:$IX$116,ComparisonData!A100,ComparisonData!$RE$1),0),5)</f>
        <v>0</v>
      </c>
      <c r="RF100" s="45" cm="1">
        <f t="array" ref="RF100">IFERROR(INDEX(ArchiveResults!$F$5:$IX$116,ComparisonData!A100,ComparisonData!$RF$1),0)</f>
        <v>0</v>
      </c>
      <c r="RG100" s="56">
        <v>95</v>
      </c>
      <c r="RH100" s="53" t="str">
        <f t="shared" si="704"/>
        <v>University of Glasgow, Archives &amp; Special Collections, Thurso St</v>
      </c>
      <c r="RI100" s="59">
        <f t="shared" si="998"/>
        <v>0</v>
      </c>
      <c r="RJ100" s="59">
        <f t="shared" si="999"/>
        <v>0</v>
      </c>
      <c r="RK100" s="59">
        <f t="shared" si="1000"/>
        <v>0</v>
      </c>
      <c r="RL100" s="59">
        <f t="shared" si="1001"/>
        <v>0</v>
      </c>
      <c r="RM100" s="59">
        <f t="shared" si="1002"/>
        <v>0</v>
      </c>
      <c r="RN100" s="58">
        <f t="shared" si="1003"/>
        <v>0</v>
      </c>
      <c r="RO100" s="45">
        <f t="shared" si="1004"/>
        <v>13</v>
      </c>
      <c r="RP100" s="45">
        <f t="shared" si="705"/>
        <v>2.4989999999999997</v>
      </c>
      <c r="RQ100" s="45">
        <f t="shared" si="1005"/>
        <v>1</v>
      </c>
      <c r="RR100" s="45">
        <f t="shared" si="1006"/>
        <v>2</v>
      </c>
      <c r="RS100" s="45">
        <f t="shared" si="1007"/>
        <v>0</v>
      </c>
      <c r="RT100" s="46" cm="1">
        <f t="array" ref="RT100">ROUND(IFERROR(INDEX(ArchiveResults!$F$5:$IX$116,ComparisonData!A100,ComparisonData!$RT$1),0),5)</f>
        <v>0</v>
      </c>
      <c r="RU100" s="46" cm="1">
        <f t="array" ref="RU100">ROUND(IFERROR(INDEX(ArchiveResults!$F$5:$IX$116,ComparisonData!A100,ComparisonData!$RU$1),0),5)</f>
        <v>0</v>
      </c>
      <c r="RV100" s="46" cm="1">
        <f t="array" ref="RV100">ROUND(IFERROR(INDEX(ArchiveResults!$F$5:$IX$116,ComparisonData!A100,ComparisonData!$RV$1),0),5)</f>
        <v>0</v>
      </c>
      <c r="RW100" s="46" cm="1">
        <f t="array" ref="RW100">ROUND(IFERROR(INDEX(ArchiveResults!$F$5:$IX$116,ComparisonData!A100,ComparisonData!$RW$1),0),5)</f>
        <v>0</v>
      </c>
      <c r="RX100" s="45" cm="1">
        <f t="array" ref="RX100">IFERROR(INDEX(ArchiveResults!$F$5:$IX$116,ComparisonData!A100,ComparisonData!$RX$1),0)</f>
        <v>0</v>
      </c>
      <c r="RY100" s="56">
        <v>95</v>
      </c>
      <c r="RZ100" s="53" t="str">
        <f t="shared" si="706"/>
        <v>University of Glasgow, Archives &amp; Special Collections, Thurso St</v>
      </c>
      <c r="SA100" s="59">
        <f t="shared" si="1008"/>
        <v>0</v>
      </c>
      <c r="SB100" s="59">
        <f t="shared" si="1009"/>
        <v>0</v>
      </c>
      <c r="SC100" s="59">
        <f t="shared" si="1010"/>
        <v>0</v>
      </c>
      <c r="SD100" s="59">
        <f t="shared" si="1011"/>
        <v>0</v>
      </c>
      <c r="SE100" s="59">
        <f t="shared" si="1012"/>
        <v>0</v>
      </c>
      <c r="SF100" s="58">
        <f t="shared" si="1013"/>
        <v>0</v>
      </c>
      <c r="SG100" s="45">
        <f t="shared" si="1014"/>
        <v>13</v>
      </c>
      <c r="SH100" s="45">
        <f t="shared" si="707"/>
        <v>2.4989999999999997</v>
      </c>
      <c r="SI100" s="45">
        <f t="shared" si="1015"/>
        <v>1</v>
      </c>
      <c r="SJ100" s="45">
        <f t="shared" si="1016"/>
        <v>2</v>
      </c>
      <c r="SK100" s="45">
        <f t="shared" si="1017"/>
        <v>0</v>
      </c>
      <c r="SL100" s="46" cm="1">
        <f t="array" ref="SL100">ROUND(IFERROR(INDEX(ArchiveResults!$F$5:$IX$116,ComparisonData!A100,ComparisonData!$SL$1),0),5)</f>
        <v>0</v>
      </c>
      <c r="SM100" s="46" cm="1">
        <f t="array" ref="SM100">ROUND(IFERROR(INDEX(ArchiveResults!$F$5:$IX$116,ComparisonData!A100,ComparisonData!$SM$1),0),5)</f>
        <v>0</v>
      </c>
      <c r="SN100" s="46" cm="1">
        <f t="array" ref="SN100">ROUND(IFERROR(INDEX(ArchiveResults!$F$5:$IX$116,ComparisonData!A100,ComparisonData!$SN$1),0),5)</f>
        <v>0</v>
      </c>
      <c r="SO100" s="46" cm="1">
        <f t="array" ref="SO100">ROUND(IFERROR(INDEX(ArchiveResults!$F$5:$IX$116,ComparisonData!A100,ComparisonData!$SO$1),0),5)</f>
        <v>0</v>
      </c>
      <c r="SP100" s="45" cm="1">
        <f t="array" ref="SP100">IFERROR(INDEX(ArchiveResults!$F$5:$IX$116,ComparisonData!A100,ComparisonData!$SP$1),0)</f>
        <v>0</v>
      </c>
      <c r="SQ100" s="56">
        <v>95</v>
      </c>
      <c r="SR100" s="53" t="str">
        <f t="shared" si="708"/>
        <v>University of Glasgow, Archives &amp; Special Collections, Thurso St</v>
      </c>
      <c r="SS100" s="59">
        <f t="shared" si="1018"/>
        <v>0</v>
      </c>
      <c r="ST100" s="59">
        <f t="shared" si="1019"/>
        <v>0</v>
      </c>
      <c r="SU100" s="59">
        <f t="shared" si="1020"/>
        <v>0</v>
      </c>
      <c r="SV100" s="59">
        <f t="shared" si="1021"/>
        <v>0</v>
      </c>
      <c r="SW100" s="59">
        <f t="shared" si="1022"/>
        <v>0</v>
      </c>
      <c r="SX100" s="58">
        <f t="shared" si="1023"/>
        <v>0</v>
      </c>
      <c r="SY100" s="45">
        <f t="shared" si="1024"/>
        <v>13</v>
      </c>
      <c r="SZ100" s="45">
        <f t="shared" si="709"/>
        <v>2.4989999999999997</v>
      </c>
      <c r="TA100" s="45">
        <f t="shared" si="1025"/>
        <v>1</v>
      </c>
      <c r="TB100" s="45">
        <f t="shared" si="1026"/>
        <v>2</v>
      </c>
      <c r="TC100" s="45">
        <f t="shared" si="1027"/>
        <v>0</v>
      </c>
      <c r="TD100" s="46" cm="1">
        <f t="array" ref="TD100">ROUND(IFERROR(INDEX(ArchiveResults!$F$5:$IX$116,ComparisonData!A100,ComparisonData!$TD$1),0),5)</f>
        <v>0</v>
      </c>
      <c r="TE100" s="46" cm="1">
        <f t="array" ref="TE100">ROUND(IFERROR(INDEX(ArchiveResults!$F$5:$IX$116,ComparisonData!A100,ComparisonData!$TE$1),0),5)</f>
        <v>0</v>
      </c>
      <c r="TF100" s="46" cm="1">
        <f t="array" ref="TF100">ROUND(IFERROR(INDEX(ArchiveResults!$F$5:$IX$116,ComparisonData!A100,ComparisonData!$TF$1),0),5)</f>
        <v>0</v>
      </c>
      <c r="TG100" s="46" cm="1">
        <f t="array" ref="TG100">ROUND(IFERROR(INDEX(ArchiveResults!$F$5:$IX$116,ComparisonData!A100,ComparisonData!$TG$1),0),5)</f>
        <v>0</v>
      </c>
      <c r="TH100" s="45" cm="1">
        <f t="array" ref="TH100">IFERROR(INDEX(ArchiveResults!$F$5:$IX$116,ComparisonData!A100,ComparisonData!$TH$1),0)</f>
        <v>0</v>
      </c>
      <c r="TI100" s="56">
        <v>95</v>
      </c>
      <c r="TJ100" s="53" t="str">
        <f t="shared" si="710"/>
        <v>University of Glasgow, Archives &amp; Special Collections, Thurso St</v>
      </c>
      <c r="TK100" s="59">
        <f t="shared" si="1028"/>
        <v>0</v>
      </c>
      <c r="TL100" s="59">
        <f t="shared" si="1029"/>
        <v>0</v>
      </c>
      <c r="TM100" s="59">
        <f t="shared" si="1030"/>
        <v>0</v>
      </c>
      <c r="TN100" s="59">
        <f t="shared" si="1031"/>
        <v>0</v>
      </c>
      <c r="TO100" s="59">
        <f t="shared" si="1032"/>
        <v>0</v>
      </c>
      <c r="TP100" s="58">
        <f t="shared" si="1033"/>
        <v>0</v>
      </c>
      <c r="TQ100" s="45">
        <f t="shared" si="1034"/>
        <v>13</v>
      </c>
      <c r="TR100" s="45">
        <f t="shared" si="711"/>
        <v>2.4989999999999997</v>
      </c>
      <c r="TS100" s="45">
        <f t="shared" si="1035"/>
        <v>1</v>
      </c>
      <c r="TT100" s="45">
        <f t="shared" si="1036"/>
        <v>2</v>
      </c>
      <c r="TU100" s="45">
        <f t="shared" si="1037"/>
        <v>0</v>
      </c>
      <c r="TV100" s="46" cm="1">
        <f t="array" ref="TV100">ROUND(IFERROR(INDEX(ArchiveResults!$F$5:$IX$116,ComparisonData!A100,ComparisonData!$TV$1),0),5)</f>
        <v>0</v>
      </c>
      <c r="TW100" s="46" cm="1">
        <f t="array" ref="TW100">ROUND(IFERROR(INDEX(ArchiveResults!$F$5:$IX$116,ComparisonData!A100,ComparisonData!$TW$1),0),5)</f>
        <v>0</v>
      </c>
      <c r="TX100" s="46" cm="1">
        <f t="array" ref="TX100">ROUND(IFERROR(INDEX(ArchiveResults!$F$5:$IX$116,ComparisonData!A100,ComparisonData!$TX$1),0),5)</f>
        <v>0</v>
      </c>
      <c r="TY100" s="46" cm="1">
        <f t="array" ref="TY100">ROUND(IFERROR(INDEX(ArchiveResults!$F$5:$IX$116,ComparisonData!A100,ComparisonData!$TY$1),0),5)</f>
        <v>0</v>
      </c>
      <c r="TZ100" s="45" cm="1">
        <f t="array" ref="TZ100">IFERROR(INDEX(ArchiveResults!$F$5:$IX$116,ComparisonData!A100,ComparisonData!$TZ$1),0)</f>
        <v>0</v>
      </c>
      <c r="UA100" s="56">
        <v>95</v>
      </c>
      <c r="UB100" s="53" t="str">
        <f t="shared" si="712"/>
        <v>University of Glasgow, Archives &amp; Special Collections, Thurso St</v>
      </c>
      <c r="UC100" s="60">
        <f t="shared" si="1038"/>
        <v>0</v>
      </c>
      <c r="UD100" s="60">
        <f t="shared" si="1039"/>
        <v>0</v>
      </c>
      <c r="UE100" s="60">
        <f t="shared" si="1040"/>
        <v>0</v>
      </c>
      <c r="UF100" s="60">
        <f t="shared" si="1041"/>
        <v>0</v>
      </c>
      <c r="UG100" s="60">
        <f t="shared" si="1042"/>
        <v>0</v>
      </c>
      <c r="UH100" s="58">
        <f t="shared" si="1043"/>
        <v>0</v>
      </c>
      <c r="UI100" s="46">
        <f t="shared" si="1044"/>
        <v>13</v>
      </c>
      <c r="UJ100" s="46">
        <f t="shared" si="713"/>
        <v>2.4989999999999997</v>
      </c>
      <c r="UK100" s="46">
        <f t="shared" si="1045"/>
        <v>1</v>
      </c>
      <c r="UL100" s="46">
        <f t="shared" si="1046"/>
        <v>2</v>
      </c>
      <c r="UM100" s="46" cm="1">
        <f t="array" ref="UM100">ROUND(IFERROR(INDEX(ArchiveResults!$F$5:$IX$116,ComparisonData!A100,ComparisonData!$UM$1),0),5)</f>
        <v>0</v>
      </c>
      <c r="UN100" s="56">
        <v>95</v>
      </c>
      <c r="UO100" s="53" t="str">
        <f t="shared" si="714"/>
        <v>University of Glasgow, Archives &amp; Special Collections, Thurso St</v>
      </c>
      <c r="UP100" s="46">
        <f t="shared" si="1047"/>
        <v>0</v>
      </c>
      <c r="UQ100" s="76">
        <f t="shared" si="1048"/>
        <v>0</v>
      </c>
      <c r="UR100" s="46">
        <f t="shared" si="1049"/>
        <v>13</v>
      </c>
      <c r="US100" s="46">
        <f t="shared" si="715"/>
        <v>2.4989999999999997</v>
      </c>
      <c r="UT100" s="46">
        <f t="shared" si="1050"/>
        <v>1</v>
      </c>
      <c r="UU100" s="46">
        <f t="shared" si="1051"/>
        <v>2</v>
      </c>
      <c r="UV100" s="46">
        <f t="shared" si="1052"/>
        <v>0</v>
      </c>
      <c r="UW100" s="46" cm="1">
        <f t="array" ref="UW100">ROUND(IFERROR(INDEX(ArchiveResults!$F$5:$IX$116,ComparisonData!A100,ComparisonData!$UW$1),0),5)</f>
        <v>0</v>
      </c>
      <c r="UX100" s="46" cm="1">
        <f t="array" ref="UX100">ROUND(IFERROR(INDEX(ArchiveResults!$F$5:$IX$116,ComparisonData!A100,ComparisonData!$UX$1),0),5)</f>
        <v>0</v>
      </c>
      <c r="UY100" s="46" cm="1">
        <f t="array" ref="UY100">ROUND(IFERROR(INDEX(ArchiveResults!$F$5:$IX$116,ComparisonData!A100,ComparisonData!$UY$1),0),5)</f>
        <v>0</v>
      </c>
      <c r="UZ100" s="46" cm="1">
        <f t="array" ref="UZ100">ROUND(IFERROR(INDEX(ArchiveResults!$F$5:$IX$116,ComparisonData!A100,ComparisonData!$UZ$1),0),5)</f>
        <v>0</v>
      </c>
      <c r="VA100" s="46" cm="1">
        <f t="array" ref="VA100">ROUND(IFERROR(INDEX(ArchiveResults!$F$5:$IX$116,ComparisonData!A100,ComparisonData!$VA$1),0),5)</f>
        <v>0</v>
      </c>
      <c r="VB100" s="56">
        <v>95</v>
      </c>
      <c r="VC100" s="53" t="str">
        <f t="shared" si="716"/>
        <v>University of Glasgow, Archives &amp; Special Collections, Thurso St</v>
      </c>
      <c r="VD100" s="60">
        <f t="shared" si="1053"/>
        <v>0</v>
      </c>
      <c r="VE100" s="60">
        <f t="shared" si="1054"/>
        <v>0</v>
      </c>
      <c r="VF100" s="60">
        <f t="shared" si="1055"/>
        <v>0</v>
      </c>
      <c r="VG100" s="60">
        <f t="shared" si="1056"/>
        <v>0</v>
      </c>
      <c r="VH100" s="60">
        <f t="shared" si="1057"/>
        <v>0</v>
      </c>
      <c r="VI100" s="76">
        <f t="shared" si="1058"/>
        <v>0</v>
      </c>
      <c r="VJ100" s="46">
        <f t="shared" si="1059"/>
        <v>13</v>
      </c>
      <c r="VK100" s="46">
        <f t="shared" si="717"/>
        <v>2.4989999999999997</v>
      </c>
      <c r="VL100" s="46">
        <f t="shared" si="1060"/>
        <v>1</v>
      </c>
      <c r="VM100" s="46">
        <f t="shared" si="1061"/>
        <v>2</v>
      </c>
      <c r="VN100" s="46" cm="1">
        <f t="array" ref="VN100">ROUND(IFERROR(INDEX(ArchiveResults!$F$5:$IX$116,ComparisonData!A100,ComparisonData!$VN$1),0),5)</f>
        <v>0</v>
      </c>
      <c r="VO100" s="46" cm="1">
        <f t="array" ref="VO100">ROUND(IFERROR(INDEX(ArchiveResults!$F$5:$IX$116,ComparisonData!A100,ComparisonData!$VO$1),0),5)</f>
        <v>0</v>
      </c>
      <c r="VP100" s="46" cm="1">
        <f t="array" ref="VP100">ROUND(IFERROR(INDEX(ArchiveResults!$F$5:$IX$116,ComparisonData!A100,ComparisonData!$VP$1),0),5)</f>
        <v>0</v>
      </c>
      <c r="VQ100" s="46" cm="1">
        <f t="array" ref="VQ100">ROUND(IFERROR(INDEX(ArchiveResults!$F$5:$IX$116,ComparisonData!A100,ComparisonData!$VQ$1),0),5)</f>
        <v>0</v>
      </c>
      <c r="VR100" s="56">
        <v>95</v>
      </c>
      <c r="VS100" s="53" t="str">
        <f t="shared" si="718"/>
        <v>University of Glasgow, Archives &amp; Special Collections, Thurso St</v>
      </c>
      <c r="VT100" s="60">
        <f t="shared" si="1062"/>
        <v>0</v>
      </c>
      <c r="VU100" s="60">
        <f t="shared" si="1063"/>
        <v>0</v>
      </c>
      <c r="VV100" s="60">
        <f t="shared" si="1064"/>
        <v>0</v>
      </c>
      <c r="VW100" s="60">
        <f t="shared" si="1065"/>
        <v>0</v>
      </c>
      <c r="VX100" s="76">
        <f t="shared" si="1066"/>
        <v>0</v>
      </c>
      <c r="VY100" s="46">
        <f t="shared" si="1067"/>
        <v>13</v>
      </c>
      <c r="VZ100" s="46">
        <f t="shared" si="719"/>
        <v>2.4989999999999997</v>
      </c>
      <c r="WA100" s="46">
        <f t="shared" si="1068"/>
        <v>1</v>
      </c>
      <c r="WB100" s="46">
        <f t="shared" si="1069"/>
        <v>2</v>
      </c>
      <c r="WC100" s="46" cm="1">
        <f t="array" ref="WC100">ROUND(IFERROR(INDEX(ArchiveResults!$F$5:$IX$116,ComparisonData!A100,ComparisonData!$WC$1),0),5)</f>
        <v>0</v>
      </c>
      <c r="WD100" s="56">
        <v>95</v>
      </c>
      <c r="WE100" s="53" t="str">
        <f t="shared" si="720"/>
        <v>University of Glasgow, Archives &amp; Special Collections, Thurso St</v>
      </c>
      <c r="WF100" s="46">
        <f t="shared" si="1070"/>
        <v>0</v>
      </c>
      <c r="WG100" s="76">
        <f t="shared" si="1071"/>
        <v>0</v>
      </c>
      <c r="WH100" s="46">
        <f t="shared" si="1072"/>
        <v>13</v>
      </c>
      <c r="WI100" s="46">
        <f t="shared" si="721"/>
        <v>2.4989999999999997</v>
      </c>
      <c r="WJ100" s="46">
        <f t="shared" si="1073"/>
        <v>1</v>
      </c>
      <c r="WK100" s="46">
        <f t="shared" si="1074"/>
        <v>2</v>
      </c>
      <c r="WL100" s="46" cm="1">
        <f t="array" ref="WL100">ROUND(IFERROR(INDEX(ArchiveResults!$F$5:$IX$116,ComparisonData!A100,ComparisonData!$WL$1),0),5)</f>
        <v>0</v>
      </c>
      <c r="WM100" s="46" cm="1">
        <f t="array" ref="WM100">IFERROR(INDEX(ArchiveResults!$F$5:$IX$116,ComparisonData!A100,ComparisonData!$WM$1),0)</f>
        <v>0</v>
      </c>
      <c r="WN100" s="56">
        <v>95</v>
      </c>
      <c r="WO100" s="53" t="str">
        <f t="shared" si="722"/>
        <v>University of Glasgow, Archives &amp; Special Collections, Thurso St</v>
      </c>
      <c r="WP100" s="60">
        <f t="shared" si="1075"/>
        <v>0</v>
      </c>
      <c r="WQ100" s="60">
        <f t="shared" si="1076"/>
        <v>0</v>
      </c>
      <c r="WR100" s="76">
        <f t="shared" si="1077"/>
        <v>0</v>
      </c>
      <c r="WS100" s="46">
        <f t="shared" si="1078"/>
        <v>13</v>
      </c>
      <c r="WT100" s="46">
        <f t="shared" si="723"/>
        <v>2.4989999999999997</v>
      </c>
      <c r="WU100" s="46">
        <f t="shared" si="1079"/>
        <v>1</v>
      </c>
      <c r="WV100" s="46">
        <f t="shared" si="1080"/>
        <v>2</v>
      </c>
      <c r="WW100" s="46" cm="1">
        <f t="array" ref="WW100">ROUND(VALUE(IFERROR(INDEX(ArchiveResults!$F$5:$IX$116,ComparisonData!A100,ComparisonData!$WW$1),0)),5)</f>
        <v>0</v>
      </c>
      <c r="WX100" s="46" cm="1">
        <f t="array" ref="WX100">ROUND(IFERROR(INDEX(ArchiveResults!$F$5:$IX$116,ComparisonData!A100,ComparisonData!$WX$1),0),5)</f>
        <v>0</v>
      </c>
      <c r="WY100" s="56">
        <v>95</v>
      </c>
      <c r="WZ100" s="53" t="str">
        <f t="shared" si="724"/>
        <v>University of Glasgow, Archives &amp; Special Collections, Thurso St</v>
      </c>
      <c r="XA100" s="60">
        <f t="shared" si="725"/>
        <v>0</v>
      </c>
      <c r="XB100" s="60">
        <f t="shared" si="726"/>
        <v>0</v>
      </c>
      <c r="XC100" s="76">
        <f t="shared" si="1081"/>
        <v>0</v>
      </c>
      <c r="XD100" s="46">
        <f t="shared" si="1082"/>
        <v>13</v>
      </c>
      <c r="XE100" s="46">
        <f t="shared" si="727"/>
        <v>2.4989999999999997</v>
      </c>
      <c r="XF100" s="46">
        <f t="shared" si="1083"/>
        <v>1</v>
      </c>
      <c r="XG100" s="46">
        <f t="shared" si="1084"/>
        <v>2</v>
      </c>
      <c r="XH100" s="46" cm="1">
        <f t="array" ref="XH100">ROUND(VALUE(IFERROR(INDEX(ArchiveResults!$F$5:$IX$116,ComparisonData!A100,ComparisonData!$XH$1),0)),5)</f>
        <v>0</v>
      </c>
      <c r="XI100" s="46" cm="1">
        <f t="array" ref="XI100">ROUND(VALUE(IFERROR(INDEX(ArchiveResults!$F$5:$IX$116,ComparisonData!A100,ComparisonData!$XI$1),0)),5)</f>
        <v>0</v>
      </c>
      <c r="XJ100" s="56">
        <v>95</v>
      </c>
      <c r="XK100" s="53" t="str">
        <f t="shared" si="728"/>
        <v>University of Glasgow, Archives &amp; Special Collections, Thurso St</v>
      </c>
      <c r="XL100" s="60">
        <f t="shared" si="1085"/>
        <v>0</v>
      </c>
      <c r="XM100" s="60">
        <f t="shared" si="1086"/>
        <v>0</v>
      </c>
      <c r="XN100" s="76">
        <f t="shared" si="1087"/>
        <v>0</v>
      </c>
      <c r="XO100" s="46">
        <f t="shared" si="1088"/>
        <v>13</v>
      </c>
      <c r="XP100" s="46">
        <f t="shared" si="729"/>
        <v>2.4989999999999997</v>
      </c>
      <c r="XQ100" s="46">
        <f t="shared" si="1089"/>
        <v>1</v>
      </c>
      <c r="XR100" s="46">
        <f t="shared" si="1090"/>
        <v>2</v>
      </c>
      <c r="XS100" s="46" cm="1">
        <f t="array" ref="XS100">ROUND(VALUE(IFERROR(INDEX(ArchiveResults!$F$5:$IX$116,ComparisonData!A100,ComparisonData!$XS$1),0)),5)</f>
        <v>0</v>
      </c>
      <c r="XT100" s="46" cm="1">
        <f t="array" ref="XT100">ROUND(VALUE(IFERROR(INDEX(ArchiveResults!$F$5:$IX$116,ComparisonData!A100,ComparisonData!$XT$1),0)),5)</f>
        <v>0</v>
      </c>
      <c r="XU100" s="56">
        <v>95</v>
      </c>
      <c r="XV100" s="53" t="str">
        <f t="shared" si="730"/>
        <v>University of Glasgow, Archives &amp; Special Collections, Thurso St</v>
      </c>
      <c r="XW100" s="60">
        <f t="shared" si="1091"/>
        <v>0</v>
      </c>
      <c r="XX100" s="60">
        <f t="shared" si="1092"/>
        <v>0</v>
      </c>
      <c r="XY100" s="76">
        <f t="shared" si="1093"/>
        <v>0</v>
      </c>
      <c r="XZ100" s="46">
        <f t="shared" si="1094"/>
        <v>13</v>
      </c>
      <c r="YA100" s="46">
        <f t="shared" si="731"/>
        <v>2.4989999999999997</v>
      </c>
      <c r="YB100" s="46">
        <f t="shared" si="1095"/>
        <v>1</v>
      </c>
      <c r="YC100" s="46">
        <f t="shared" si="1096"/>
        <v>2</v>
      </c>
      <c r="YD100" s="46" cm="1">
        <f t="array" ref="YD100">ROUND(VALUE(IFERROR(INDEX(ArchiveResults!$F$5:$IX$116,ComparisonData!A100,ComparisonData!$YD$1),0)),5)</f>
        <v>0</v>
      </c>
      <c r="YE100" s="46" cm="1">
        <f t="array" ref="YE100">ROUND(VALUE(IFERROR(INDEX(ArchiveResults!$F$5:$IX$116,ComparisonData!A100,ComparisonData!$YE$1),0)),5)</f>
        <v>0</v>
      </c>
      <c r="YF100" s="56">
        <v>95</v>
      </c>
      <c r="YG100" s="53" t="str">
        <f t="shared" si="732"/>
        <v>University of Glasgow, Archives &amp; Special Collections, Thurso St</v>
      </c>
      <c r="YH100" s="60">
        <f t="shared" si="1097"/>
        <v>0</v>
      </c>
      <c r="YI100" s="60">
        <f t="shared" si="1098"/>
        <v>0</v>
      </c>
      <c r="YJ100" s="76">
        <f t="shared" si="1099"/>
        <v>0</v>
      </c>
      <c r="YK100" s="46">
        <f t="shared" si="1100"/>
        <v>13</v>
      </c>
      <c r="YL100" s="46">
        <f t="shared" si="733"/>
        <v>2.4989999999999997</v>
      </c>
      <c r="YM100" s="46">
        <f t="shared" si="1101"/>
        <v>1</v>
      </c>
      <c r="YN100" s="46">
        <f t="shared" si="1102"/>
        <v>2</v>
      </c>
      <c r="YO100" s="46" cm="1">
        <f t="array" ref="YO100">ROUND(VALUE(IFERROR(INDEX(ArchiveResults!$F$5:$IX$116,ComparisonData!A100,ComparisonData!$YO$1),0)),5)</f>
        <v>0</v>
      </c>
      <c r="YP100" s="46" cm="1">
        <f t="array" ref="YP100">ROUND(VALUE(IFERROR(INDEX(ArchiveResults!$F$5:$IX$116,ComparisonData!A100,ComparisonData!$YP$1),0)),5)</f>
        <v>0</v>
      </c>
      <c r="YQ100" s="56">
        <v>95</v>
      </c>
      <c r="YR100" s="53" t="str">
        <f t="shared" si="734"/>
        <v>University of Glasgow, Archives &amp; Special Collections, Thurso St</v>
      </c>
      <c r="YS100" s="60">
        <f t="shared" si="1103"/>
        <v>0</v>
      </c>
      <c r="YT100" s="60">
        <f t="shared" si="1104"/>
        <v>0</v>
      </c>
      <c r="YU100" s="76">
        <f t="shared" si="1105"/>
        <v>0</v>
      </c>
      <c r="YV100" s="46">
        <f t="shared" si="1106"/>
        <v>13</v>
      </c>
      <c r="YW100" s="46">
        <f t="shared" si="735"/>
        <v>2.4989999999999997</v>
      </c>
      <c r="YX100" s="46">
        <f t="shared" si="1107"/>
        <v>1</v>
      </c>
      <c r="YY100" s="46">
        <f t="shared" si="1108"/>
        <v>2</v>
      </c>
      <c r="YZ100" s="46">
        <f t="shared" si="1109"/>
        <v>0</v>
      </c>
      <c r="ZA100" s="46" cm="1">
        <f t="array" ref="ZA100">ROUNDDOWN(VALUE(IFERROR(INDEX(ArchiveResults!$F$5:$IX$116,ComparisonData!A100,ComparisonData!$ZA$1),0)),5)</f>
        <v>0</v>
      </c>
      <c r="ZB100" s="46" cm="1">
        <f t="array" ref="ZB100">ROUNDDOWN(VALUE(IFERROR(INDEX(ArchiveResults!$F$5:$IX$116,ComparisonData!A100,ComparisonData!$ZB$1),0)),5)</f>
        <v>0</v>
      </c>
      <c r="ZC100" s="46" cm="1">
        <f t="array" ref="ZC100">ROUNDDOWN(VALUE(IFERROR(INDEX(ArchiveResults!$F$5:$IX$116,ComparisonData!A100,ComparisonData!$ZC$1),0)),5)</f>
        <v>0</v>
      </c>
      <c r="ZD100" s="46" cm="1">
        <f t="array" ref="ZD100">ROUNDDOWN(VALUE(IFERROR(INDEX(ArchiveResults!$F$5:$IX$116,ComparisonData!A100,ComparisonData!$ZD$1),0)),5)</f>
        <v>0</v>
      </c>
      <c r="ZE100" s="46" cm="1">
        <f t="array" ref="ZE100">ROUNDDOWN(VALUE(IFERROR(INDEX(ArchiveResults!$F$5:$IX$116,ComparisonData!A100,ComparisonData!$ZE$1),0)),5)</f>
        <v>0</v>
      </c>
      <c r="ZF100" s="56">
        <v>95</v>
      </c>
      <c r="ZG100" s="53" t="str">
        <f t="shared" si="736"/>
        <v>University of Glasgow, Archives &amp; Special Collections, Thurso St</v>
      </c>
      <c r="ZH100" s="60">
        <f t="shared" si="1110"/>
        <v>0</v>
      </c>
      <c r="ZI100" s="60">
        <f t="shared" si="1111"/>
        <v>0</v>
      </c>
      <c r="ZJ100" s="60">
        <f t="shared" si="1112"/>
        <v>0</v>
      </c>
      <c r="ZK100" s="60">
        <f t="shared" si="1113"/>
        <v>0</v>
      </c>
      <c r="ZL100" s="60">
        <f t="shared" si="1114"/>
        <v>0</v>
      </c>
      <c r="ZM100" s="76">
        <f t="shared" si="1115"/>
        <v>0</v>
      </c>
      <c r="ZN100" s="46">
        <f t="shared" si="1116"/>
        <v>13</v>
      </c>
      <c r="ZO100" s="46">
        <f t="shared" si="737"/>
        <v>2.4989999999999997</v>
      </c>
      <c r="ZP100" s="46">
        <f t="shared" si="1117"/>
        <v>1</v>
      </c>
      <c r="ZQ100" s="46">
        <f t="shared" si="1118"/>
        <v>2</v>
      </c>
      <c r="ZR100" s="46" cm="1">
        <f t="array" ref="ZR100">ROUND(VALUE(IFERROR(INDEX(ArchiveResults!$F$5:$IX$116,ComparisonData!A100,ComparisonData!$ZR$1),0)),5)</f>
        <v>0</v>
      </c>
      <c r="ZS100" s="56">
        <v>95</v>
      </c>
      <c r="ZT100" s="53" t="str">
        <f t="shared" si="738"/>
        <v>University of Glasgow, Archives &amp; Special Collections, Thurso St</v>
      </c>
      <c r="ZU100" s="46">
        <f t="shared" si="1119"/>
        <v>0</v>
      </c>
      <c r="ZV100" s="76">
        <f t="shared" si="1120"/>
        <v>0</v>
      </c>
      <c r="ZW100" s="81" cm="1">
        <f t="array" ref="ZW100">ROUND((IFERROR(INDEX(ArchiveResults!$F$5:$IX$116,ComparisonData!A100,ComparisonData!$ZW$1),0)),5)</f>
        <v>0</v>
      </c>
      <c r="ZX100" s="81" cm="1">
        <f t="array" ref="ZX100">ROUND((IFERROR(INDEX(ArchiveResults!$F$5:$IX$116,ComparisonData!A100,ComparisonData!$ZX$1),0)),5)</f>
        <v>0</v>
      </c>
      <c r="ZY100" s="81" cm="1">
        <f t="array" ref="ZY100">ROUND((IFERROR(INDEX(ArchiveResults!$F$5:$IX$116,ComparisonData!A100,ComparisonData!$ZY$1),0)),5)</f>
        <v>0</v>
      </c>
      <c r="ZZ100" s="81" cm="1">
        <f t="array" ref="ZZ100">ROUND((IFERROR(INDEX(ArchiveResults!$F$5:$IX$116,ComparisonData!A100,ComparisonData!$ZZ$1),0)),5)</f>
        <v>0</v>
      </c>
      <c r="AAA100" s="81" cm="1">
        <f t="array" ref="AAA100">ROUND((IFERROR(INDEX(ArchiveResults!$F$5:$IX$116,ComparisonData!A100,ComparisonData!$AAA$1),0)),5)</f>
        <v>0</v>
      </c>
      <c r="AAB100" s="81" cm="1">
        <f t="array" ref="AAB100">ROUND((IFERROR(INDEX(ArchiveResults!$F$5:$IX$116,ComparisonData!A100,ComparisonData!$AAB$1),0)),5)</f>
        <v>0</v>
      </c>
      <c r="AAC100" s="81" cm="1">
        <f t="array" ref="AAC100">ROUND((IFERROR(INDEX(ArchiveResults!$F$5:$IX$116,ComparisonData!A100,ComparisonData!$AAC$1),0)),5)</f>
        <v>0</v>
      </c>
      <c r="AAD100" s="81" cm="1">
        <f t="array" ref="AAD100">ROUND((IFERROR(INDEX(ArchiveResults!$F$5:$IX$116,ComparisonData!A100,ComparisonData!$AAD$1),0)),5)</f>
        <v>0</v>
      </c>
      <c r="AAE100" s="81" cm="1">
        <f t="array" ref="AAE100">ROUND((IFERROR(INDEX(ArchiveResults!$F$5:$IX$116,ComparisonData!A100,ComparisonData!$AAE$1),0)),5)</f>
        <v>0</v>
      </c>
      <c r="AAF100" s="81" cm="1">
        <f t="array" ref="AAF100">ROUND((IFERROR(INDEX(ArchiveResults!$F$5:$IX$116,ComparisonData!A100,ComparisonData!$AAF$1),0)),5)</f>
        <v>0</v>
      </c>
      <c r="AAG100" s="46">
        <f t="shared" si="1121"/>
        <v>13</v>
      </c>
      <c r="AAH100" s="46">
        <f t="shared" si="739"/>
        <v>2.4989999999999997</v>
      </c>
      <c r="AAI100" s="46">
        <f t="shared" si="1122"/>
        <v>1</v>
      </c>
      <c r="AAJ100" s="46">
        <f t="shared" si="1123"/>
        <v>2</v>
      </c>
      <c r="AAK100" s="46">
        <f t="shared" si="1124"/>
        <v>0</v>
      </c>
      <c r="AAL100" s="46">
        <f t="shared" si="1125"/>
        <v>0</v>
      </c>
      <c r="AAM100" s="46">
        <f t="shared" si="1126"/>
        <v>0</v>
      </c>
      <c r="AAN100" s="46">
        <f t="shared" si="1127"/>
        <v>0</v>
      </c>
      <c r="AAO100" s="46">
        <f t="shared" si="1128"/>
        <v>0</v>
      </c>
      <c r="AAP100" s="46">
        <f t="shared" si="1129"/>
        <v>0</v>
      </c>
      <c r="AAQ100" s="56">
        <v>95</v>
      </c>
      <c r="AAR100" s="53" t="str">
        <f t="shared" si="740"/>
        <v>University of Glasgow, Archives &amp; Special Collections, Thurso St</v>
      </c>
      <c r="AAS100" s="60">
        <f t="shared" si="1130"/>
        <v>0</v>
      </c>
      <c r="AAT100" s="60">
        <f t="shared" si="1131"/>
        <v>0</v>
      </c>
      <c r="AAU100" s="60">
        <f t="shared" si="1132"/>
        <v>0</v>
      </c>
      <c r="AAV100" s="60">
        <f t="shared" si="1133"/>
        <v>0</v>
      </c>
      <c r="AAW100" s="60">
        <f t="shared" si="1134"/>
        <v>0</v>
      </c>
      <c r="AAX100" s="76">
        <f t="shared" si="1135"/>
        <v>0</v>
      </c>
      <c r="AAY100" s="46">
        <f t="shared" si="1136"/>
        <v>13</v>
      </c>
      <c r="AAZ100" s="46">
        <f t="shared" si="741"/>
        <v>2.4989999999999997</v>
      </c>
      <c r="ABA100" s="46">
        <f t="shared" si="1137"/>
        <v>1</v>
      </c>
      <c r="ABB100" s="46">
        <f t="shared" si="1138"/>
        <v>2</v>
      </c>
      <c r="ABC100" s="46">
        <f t="shared" si="742"/>
        <v>0</v>
      </c>
      <c r="ABD100" s="46" cm="1">
        <f t="array" ref="ABD100">ROUND(VALUE(IFERROR(INDEX(ArchiveResults!$F$5:$IX$116,ComparisonData!A100,ComparisonData!$ABD$1),0)),5)</f>
        <v>0</v>
      </c>
      <c r="ABE100" s="46" cm="1">
        <f t="array" ref="ABE100">ROUND(VALUE(IFERROR(INDEX(ArchiveResults!$F$5:$IX$116,ComparisonData!A100,ComparisonData!$ABE$1),0)),5)</f>
        <v>0</v>
      </c>
      <c r="ABF100" s="46" cm="1">
        <f t="array" ref="ABF100">ROUND(VALUE(IFERROR(INDEX(ArchiveResults!$F$5:$IX$116,ComparisonData!A100,ComparisonData!$ABF$1),0)),5)</f>
        <v>0</v>
      </c>
      <c r="ABG100" s="46" cm="1">
        <f t="array" ref="ABG100">ROUND(VALUE(IFERROR(INDEX(ArchiveResults!$F$5:$IX$116,ComparisonData!A100,ComparisonData!$ABG$1),0)),5)</f>
        <v>0</v>
      </c>
      <c r="ABH100" s="46" cm="1">
        <f t="array" ref="ABH100">ROUND(VALUE(IFERROR(INDEX(ArchiveResults!$F$5:$IX$116,ComparisonData!A100,ComparisonData!$ABH$1),0)),5)</f>
        <v>0</v>
      </c>
      <c r="ABI100" s="56">
        <v>95</v>
      </c>
      <c r="ABJ100" s="53" t="str">
        <f t="shared" si="743"/>
        <v>University of Glasgow, Archives &amp; Special Collections, Thurso St</v>
      </c>
      <c r="ABK100" s="60">
        <f t="shared" si="1139"/>
        <v>0</v>
      </c>
      <c r="ABL100" s="60">
        <f t="shared" si="1140"/>
        <v>0</v>
      </c>
      <c r="ABM100" s="60">
        <f t="shared" si="1141"/>
        <v>0</v>
      </c>
      <c r="ABN100" s="60">
        <f t="shared" si="1142"/>
        <v>0</v>
      </c>
      <c r="ABO100" s="60">
        <f t="shared" si="1143"/>
        <v>0</v>
      </c>
      <c r="ABP100" s="76">
        <f t="shared" si="1144"/>
        <v>0</v>
      </c>
      <c r="ABQ100" s="46">
        <f t="shared" si="1145"/>
        <v>13</v>
      </c>
      <c r="ABR100" s="46">
        <f t="shared" si="744"/>
        <v>2.4989999999999997</v>
      </c>
      <c r="ABS100" s="46">
        <f t="shared" si="1146"/>
        <v>1</v>
      </c>
      <c r="ABT100" s="46">
        <f t="shared" si="1147"/>
        <v>2</v>
      </c>
      <c r="ABU100" s="46" cm="1">
        <f t="array" ref="ABU100">ROUND(VALUE(IFERROR(INDEX(ArchiveResults!$F$5:$IX$116,ComparisonData!A100,ComparisonData!$ABU$1),0)),5)</f>
        <v>0</v>
      </c>
      <c r="ABV100" s="46" cm="1">
        <f t="array" ref="ABV100">ROUND(VALUE(IFERROR(INDEX(ArchiveResults!$F$5:$IX$116,ComparisonData!A100,ComparisonData!$ABV$1),0)),5)</f>
        <v>0</v>
      </c>
      <c r="ABW100" s="46" cm="1">
        <f t="array" ref="ABW100">ROUND(VALUE(IFERROR(INDEX(ArchiveResults!$F$5:$IX$116,ComparisonData!A100,ComparisonData!$ABW$1),0)),5)</f>
        <v>0</v>
      </c>
      <c r="ABX100" s="46" cm="1">
        <f t="array" ref="ABX100">ROUND(VALUE(IFERROR(INDEX(ArchiveResults!$F$5:$IX$116,ComparisonData!A100,ComparisonData!$ABX$1),0)),5)</f>
        <v>0</v>
      </c>
      <c r="ABY100" s="46" cm="1">
        <f t="array" ref="ABY100">ROUND(VALUE(IFERROR(INDEX(ArchiveResults!$F$5:$IX$116,ComparisonData!A100,ComparisonData!$ABY$1),0)),5)</f>
        <v>0</v>
      </c>
      <c r="ABZ100" s="56">
        <v>95</v>
      </c>
      <c r="ACA100" s="53" t="str">
        <f t="shared" si="745"/>
        <v>University of Glasgow, Archives &amp; Special Collections, Thurso St</v>
      </c>
      <c r="ACB100" s="60">
        <f t="shared" si="1148"/>
        <v>0</v>
      </c>
      <c r="ACC100" s="60">
        <f t="shared" si="1149"/>
        <v>0</v>
      </c>
      <c r="ACD100" s="60">
        <f t="shared" si="1150"/>
        <v>0</v>
      </c>
      <c r="ACE100" s="60">
        <f t="shared" si="1151"/>
        <v>0</v>
      </c>
      <c r="ACF100" s="60">
        <f t="shared" si="1152"/>
        <v>0</v>
      </c>
      <c r="ACG100" s="76">
        <f t="shared" si="1153"/>
        <v>0</v>
      </c>
      <c r="ACH100" s="46">
        <f t="shared" si="1154"/>
        <v>13</v>
      </c>
      <c r="ACI100" s="46">
        <f t="shared" si="746"/>
        <v>2.4989999999999997</v>
      </c>
      <c r="ACJ100" s="46">
        <f t="shared" si="1155"/>
        <v>1</v>
      </c>
      <c r="ACK100" s="46">
        <f t="shared" si="1156"/>
        <v>2</v>
      </c>
      <c r="ACL100" s="46">
        <f t="shared" si="1157"/>
        <v>0</v>
      </c>
      <c r="ACM100" s="46" cm="1">
        <f t="array" ref="ACM100">ROUND(IFERROR(INDEX(ArchiveResults!$F$5:$IX$116,ComparisonData!A100,ComparisonData!$ACM$1),0),5)</f>
        <v>0</v>
      </c>
      <c r="ACN100" s="46" cm="1">
        <f t="array" ref="ACN100">ROUND(IFERROR(INDEX(ArchiveResults!$F$5:$IX$116,ComparisonData!A100,ComparisonData!$ACN$1),0),5)</f>
        <v>0</v>
      </c>
      <c r="ACO100" s="56">
        <v>95</v>
      </c>
      <c r="ACP100" s="53" t="str">
        <f t="shared" si="747"/>
        <v>University of Glasgow, Archives &amp; Special Collections, Thurso St</v>
      </c>
      <c r="ACQ100" s="60">
        <f t="shared" si="1158"/>
        <v>0</v>
      </c>
      <c r="ACR100" s="60">
        <f t="shared" si="1159"/>
        <v>0</v>
      </c>
      <c r="ACS100" s="76">
        <f t="shared" si="1160"/>
        <v>0</v>
      </c>
      <c r="ACT100" s="46">
        <f t="shared" si="1161"/>
        <v>13</v>
      </c>
      <c r="ACU100" s="46">
        <f t="shared" si="748"/>
        <v>2.4989999999999997</v>
      </c>
      <c r="ACV100" s="46">
        <f t="shared" si="1162"/>
        <v>1</v>
      </c>
      <c r="ACW100" s="46">
        <f t="shared" si="1163"/>
        <v>2</v>
      </c>
      <c r="ACX100" s="46">
        <f t="shared" si="1164"/>
        <v>0</v>
      </c>
      <c r="ACY100" s="46" cm="1">
        <f t="array" ref="ACY100">ROUNDDOWN(IFERROR(INDEX(ArchiveResults!$F$5:$IX$116,ComparisonData!A100,ComparisonData!$ACY$1),0),5)</f>
        <v>0</v>
      </c>
      <c r="ACZ100" s="46" cm="1">
        <f t="array" ref="ACZ100">ROUNDDOWN(IFERROR(INDEX(ArchiveResults!$F$5:$IX$116,ComparisonData!A100,ComparisonData!$ACZ$1),0),5)</f>
        <v>0</v>
      </c>
      <c r="ADA100" s="46" cm="1">
        <f t="array" ref="ADA100">ROUNDDOWN(IFERROR(INDEX(ArchiveResults!$F$5:$IX$116,ComparisonData!A100,ComparisonData!$ADA$1),0),5)</f>
        <v>0</v>
      </c>
      <c r="ADB100" s="56">
        <v>95</v>
      </c>
      <c r="ADC100" s="53" t="str">
        <f t="shared" si="749"/>
        <v>University of Glasgow, Archives &amp; Special Collections, Thurso St</v>
      </c>
      <c r="ADD100" s="60">
        <f t="shared" si="1165"/>
        <v>0</v>
      </c>
      <c r="ADE100" s="60">
        <f t="shared" si="1166"/>
        <v>0</v>
      </c>
      <c r="ADF100" s="60">
        <f t="shared" si="1167"/>
        <v>0</v>
      </c>
      <c r="ADG100" s="76">
        <f t="shared" si="1168"/>
        <v>0</v>
      </c>
    </row>
    <row r="101" spans="1:787" x14ac:dyDescent="0.25">
      <c r="A101" s="46" t="str">
        <f>IF(ISBLANK(ComparisonSelection!F97),"",ROW()-5)</f>
        <v/>
      </c>
      <c r="B101" s="53" t="s">
        <v>552</v>
      </c>
      <c r="C101" s="72">
        <v>0.64899999999999969</v>
      </c>
      <c r="D101" s="55">
        <f t="shared" si="750"/>
        <v>43</v>
      </c>
      <c r="E101" s="54">
        <f t="shared" si="751"/>
        <v>2.6489999999999996</v>
      </c>
      <c r="F101" s="54">
        <f t="shared" si="752"/>
        <v>1</v>
      </c>
      <c r="G101" s="72">
        <f t="shared" si="753"/>
        <v>2</v>
      </c>
      <c r="H101" s="72">
        <f t="shared" si="754"/>
        <v>0</v>
      </c>
      <c r="I101" s="46" cm="1">
        <f t="array" ref="I101">ROUND(IFERROR(INDEX(ArchiveResults!$F$5:$IX$116,ComparisonData!A101,ComparisonData!$I$1),0),5)</f>
        <v>0</v>
      </c>
      <c r="J101" s="46" cm="1">
        <f t="array" ref="J101">ROUND(IFERROR(INDEX(ArchiveResults!$F$5:$IX$116,ComparisonData!A101,ComparisonData!$J$1),0),5)</f>
        <v>0</v>
      </c>
      <c r="K101" s="56">
        <v>96</v>
      </c>
      <c r="L101" s="53" t="str">
        <f t="shared" si="755"/>
        <v>University of Glasgow, Library Research Annexe</v>
      </c>
      <c r="M101" s="57">
        <f t="shared" si="640"/>
        <v>0</v>
      </c>
      <c r="N101" s="57">
        <f t="shared" si="641"/>
        <v>0</v>
      </c>
      <c r="O101" s="58">
        <f t="shared" si="756"/>
        <v>0</v>
      </c>
      <c r="P101" s="48">
        <f t="shared" si="757"/>
        <v>43</v>
      </c>
      <c r="Q101" s="54">
        <f t="shared" si="642"/>
        <v>2.6489999999999996</v>
      </c>
      <c r="R101" s="45">
        <f t="shared" si="758"/>
        <v>1</v>
      </c>
      <c r="S101" s="46">
        <f t="shared" si="759"/>
        <v>2</v>
      </c>
      <c r="T101" s="72">
        <f t="shared" si="760"/>
        <v>0</v>
      </c>
      <c r="U101" s="46" cm="1">
        <f t="array" ref="U101">ROUND(IFERROR(INDEX(ArchiveResults!$F$5:$IX$116,ComparisonData!A101,ComparisonData!$U$1),0),5)</f>
        <v>0</v>
      </c>
      <c r="V101" s="46" cm="1">
        <f t="array" ref="V101">ROUND(IFERROR(INDEX(ArchiveResults!$F$5:$IX$116,ComparisonData!A101,ComparisonData!$V$1),0),5)</f>
        <v>0</v>
      </c>
      <c r="W101" s="56">
        <v>96</v>
      </c>
      <c r="X101" s="53" t="str">
        <f t="shared" si="643"/>
        <v>University of Glasgow, Library Research Annexe</v>
      </c>
      <c r="Y101" s="57">
        <f t="shared" si="761"/>
        <v>0</v>
      </c>
      <c r="Z101" s="57">
        <f t="shared" si="762"/>
        <v>0</v>
      </c>
      <c r="AA101" s="58">
        <f t="shared" si="763"/>
        <v>0</v>
      </c>
      <c r="AB101" s="45">
        <f t="shared" si="764"/>
        <v>43</v>
      </c>
      <c r="AC101" s="54">
        <f t="shared" si="644"/>
        <v>2.6489999999999996</v>
      </c>
      <c r="AD101" s="45">
        <f t="shared" si="765"/>
        <v>1</v>
      </c>
      <c r="AE101" s="45">
        <f t="shared" si="766"/>
        <v>2</v>
      </c>
      <c r="AF101" s="45">
        <f t="shared" si="639"/>
        <v>0</v>
      </c>
      <c r="AG101" s="46" cm="1">
        <f t="array" ref="AG101">ROUND(IFERROR(INDEX(ArchiveResults!$F$5:$IX$116,ComparisonData!A101,ComparisonData!$AG$1),0),5)</f>
        <v>0</v>
      </c>
      <c r="AH101" s="46" cm="1">
        <f t="array" ref="AH101">ROUND(IFERROR(INDEX(ArchiveResults!$F$5:$IX$116,ComparisonData!A101,ComparisonData!$AH$1),0),5)</f>
        <v>0</v>
      </c>
      <c r="AI101" s="56">
        <v>96</v>
      </c>
      <c r="AJ101" s="53" t="str">
        <f t="shared" si="645"/>
        <v>University of Glasgow, Library Research Annexe</v>
      </c>
      <c r="AK101" s="59">
        <f t="shared" si="646"/>
        <v>0</v>
      </c>
      <c r="AL101" s="59">
        <f t="shared" si="647"/>
        <v>0</v>
      </c>
      <c r="AM101" s="58">
        <f t="shared" si="767"/>
        <v>0</v>
      </c>
      <c r="AN101" s="45">
        <f t="shared" si="768"/>
        <v>43</v>
      </c>
      <c r="AO101" s="54">
        <f t="shared" si="648"/>
        <v>2.6489999999999996</v>
      </c>
      <c r="AP101" s="45">
        <f t="shared" si="769"/>
        <v>1</v>
      </c>
      <c r="AQ101" s="45">
        <f t="shared" si="770"/>
        <v>2</v>
      </c>
      <c r="AR101" s="46" cm="1">
        <f t="array" ref="AR101">ROUND(IFERROR(INDEX(ArchiveResults!$F$5:$IX$116,ComparisonData!A101,ComparisonData!$AR$1),0),5)</f>
        <v>0</v>
      </c>
      <c r="AS101" s="46" cm="1">
        <f t="array" ref="AS101">ROUND(IFERROR(INDEX(ArchiveResults!$F$5:$IX$116,ComparisonData!A101,ComparisonData!$AS$1),0),5)</f>
        <v>0</v>
      </c>
      <c r="AT101" s="46" cm="1">
        <f t="array" ref="AT101">ROUND(IFERROR(INDEX(ArchiveResults!$F$5:$IX$116,ComparisonData!A101,ComparisonData!$AT$1),0),5)</f>
        <v>0</v>
      </c>
      <c r="AU101" s="46" cm="1">
        <f t="array" ref="AU101">ROUND(IFERROR(INDEX(ArchiveResults!$F$5:$IX$116,ComparisonData!A101,ComparisonData!$AU$1),0),5)</f>
        <v>0</v>
      </c>
      <c r="AV101" s="46" cm="1">
        <f t="array" ref="AV101">ROUND(IFERROR(INDEX(ArchiveResults!$F$5:$IX$116,ComparisonData!A101,ComparisonData!$AV$1),0),5)</f>
        <v>0</v>
      </c>
      <c r="AW101" s="46" cm="1">
        <f t="array" ref="AW101">ROUND(IFERROR(INDEX(ArchiveResults!$F$5:$IX$116,ComparisonData!A101,ComparisonData!$AW$1),0),5)</f>
        <v>0</v>
      </c>
      <c r="AX101" s="46" cm="1">
        <f t="array" ref="AX101">ROUND(IFERROR(INDEX(ArchiveResults!$F$5:$IX$116,ComparisonData!A101,ComparisonData!$AX$1),0),5)</f>
        <v>0</v>
      </c>
      <c r="AY101" s="46" cm="1">
        <f t="array" ref="AY101">ROUND(IFERROR(INDEX(ArchiveResults!$F$5:$IX$116,ComparisonData!A101,ComparisonData!$AY$1),0),5)</f>
        <v>0</v>
      </c>
      <c r="AZ101" s="46" cm="1">
        <f t="array" ref="AZ101">ROUND(IFERROR(INDEX(ArchiveResults!$F$5:$IX$116,ComparisonData!A101,ComparisonData!$AZ$1),0),5)</f>
        <v>0</v>
      </c>
      <c r="BA101" s="46" cm="1">
        <f t="array" ref="BA101">ROUND(IFERROR(INDEX(ArchiveResults!$F$5:$IX$116,ComparisonData!A101,ComparisonData!$BA$1),0),5)</f>
        <v>0</v>
      </c>
      <c r="BB101" s="56">
        <v>96</v>
      </c>
      <c r="BC101" s="53" t="str">
        <f t="shared" si="649"/>
        <v>University of Glasgow, Library Research Annexe</v>
      </c>
      <c r="BD101" s="60">
        <f t="shared" si="771"/>
        <v>0</v>
      </c>
      <c r="BE101" s="60">
        <f t="shared" si="772"/>
        <v>0</v>
      </c>
      <c r="BF101" s="60">
        <f t="shared" si="773"/>
        <v>0</v>
      </c>
      <c r="BG101" s="60">
        <f t="shared" si="774"/>
        <v>0</v>
      </c>
      <c r="BH101" s="60">
        <f t="shared" si="775"/>
        <v>0</v>
      </c>
      <c r="BI101" s="60">
        <f t="shared" si="776"/>
        <v>0</v>
      </c>
      <c r="BJ101" s="60">
        <f t="shared" si="777"/>
        <v>0</v>
      </c>
      <c r="BK101" s="60">
        <f t="shared" si="778"/>
        <v>0</v>
      </c>
      <c r="BL101" s="60">
        <f t="shared" si="779"/>
        <v>0</v>
      </c>
      <c r="BM101" s="59">
        <f t="shared" si="780"/>
        <v>0</v>
      </c>
      <c r="BN101" s="58">
        <f t="shared" si="781"/>
        <v>0</v>
      </c>
      <c r="BO101" s="45">
        <f t="shared" si="782"/>
        <v>43</v>
      </c>
      <c r="BP101" s="54">
        <f t="shared" si="650"/>
        <v>2.6489999999999996</v>
      </c>
      <c r="BQ101" s="45">
        <f t="shared" si="783"/>
        <v>1</v>
      </c>
      <c r="BR101" s="45">
        <f t="shared" si="784"/>
        <v>2</v>
      </c>
      <c r="BS101" s="46" cm="1">
        <f t="array" ref="BS101">ROUND(IFERROR(INDEX(ArchiveResults!$F$5:$IX$116,ComparisonData!A101,ComparisonData!$BS$1),0),5)</f>
        <v>0</v>
      </c>
      <c r="BT101" s="46" cm="1">
        <f t="array" ref="BT101">ROUND(IFERROR(INDEX(ArchiveResults!$F$5:$IX$116,ComparisonData!A101,ComparisonData!$BT$1),0),5)</f>
        <v>0</v>
      </c>
      <c r="BU101" s="46" cm="1">
        <f t="array" ref="BU101">ROUND(IFERROR(INDEX(ArchiveResults!$F$5:$IX$116,ComparisonData!A101,ComparisonData!$BU$1),0),5)</f>
        <v>0</v>
      </c>
      <c r="BV101" s="46" cm="1">
        <f t="array" ref="BV101">ROUND(IFERROR(INDEX(ArchiveResults!$F$5:$IX$116,ComparisonData!A101,ComparisonData!$BV$1),0),5)</f>
        <v>0</v>
      </c>
      <c r="BW101" s="46" cm="1">
        <f t="array" ref="BW101">ROUND(IFERROR(INDEX(ArchiveResults!$F$5:$IX$116,ComparisonData!A101,ComparisonData!$BW$1),0),5)</f>
        <v>0</v>
      </c>
      <c r="BX101" s="46" cm="1">
        <f t="array" ref="BX101">ROUND(IFERROR(INDEX(ArchiveResults!$F$5:$IX$116,ComparisonData!A101,ComparisonData!$BX$1),0),5)</f>
        <v>0</v>
      </c>
      <c r="BY101" s="56">
        <v>96</v>
      </c>
      <c r="BZ101" s="53" t="str">
        <f t="shared" si="651"/>
        <v>University of Glasgow, Library Research Annexe</v>
      </c>
      <c r="CA101" s="59">
        <f t="shared" si="785"/>
        <v>0</v>
      </c>
      <c r="CB101" s="59">
        <f t="shared" si="786"/>
        <v>0</v>
      </c>
      <c r="CC101" s="59">
        <f t="shared" si="787"/>
        <v>0</v>
      </c>
      <c r="CD101" s="59">
        <f t="shared" si="788"/>
        <v>0</v>
      </c>
      <c r="CE101" s="59">
        <f t="shared" si="789"/>
        <v>0</v>
      </c>
      <c r="CF101" s="59">
        <f t="shared" si="790"/>
        <v>0</v>
      </c>
      <c r="CG101" s="58">
        <f t="shared" si="791"/>
        <v>0</v>
      </c>
      <c r="CH101" s="45">
        <f t="shared" si="792"/>
        <v>43</v>
      </c>
      <c r="CI101" s="54">
        <f t="shared" si="652"/>
        <v>2.6489999999999996</v>
      </c>
      <c r="CJ101" s="45">
        <f t="shared" si="793"/>
        <v>1</v>
      </c>
      <c r="CK101" s="45">
        <f t="shared" si="794"/>
        <v>2</v>
      </c>
      <c r="CL101" s="46" cm="1">
        <f t="array" ref="CL101">ROUND(IFERROR(INDEX(ArchiveResults!$F$5:$IX$116,ComparisonData!A101,ComparisonData!$CL$1),0),5)</f>
        <v>0</v>
      </c>
      <c r="CM101" s="56">
        <v>96</v>
      </c>
      <c r="CN101" s="53" t="str">
        <f t="shared" si="653"/>
        <v>University of Glasgow, Library Research Annexe</v>
      </c>
      <c r="CO101" s="45">
        <f t="shared" si="795"/>
        <v>0</v>
      </c>
      <c r="CP101" s="58">
        <f t="shared" si="796"/>
        <v>0</v>
      </c>
      <c r="CQ101" s="45">
        <f t="shared" si="797"/>
        <v>43</v>
      </c>
      <c r="CR101" s="54">
        <f t="shared" si="654"/>
        <v>2.6489999999999996</v>
      </c>
      <c r="CS101" s="45">
        <f t="shared" si="798"/>
        <v>1</v>
      </c>
      <c r="CT101" s="45">
        <f t="shared" si="799"/>
        <v>2</v>
      </c>
      <c r="CU101" s="46" cm="1">
        <f t="array" ref="CU101">ROUND(IFERROR(INDEX(ArchiveResults!$F$5:$IX$116,ComparisonData!A101,ComparisonData!$CU$1),0),5)</f>
        <v>0</v>
      </c>
      <c r="CV101" s="56">
        <v>96</v>
      </c>
      <c r="CW101" s="53" t="str">
        <f t="shared" si="655"/>
        <v>University of Glasgow, Library Research Annexe</v>
      </c>
      <c r="CX101" s="45">
        <f t="shared" si="800"/>
        <v>0</v>
      </c>
      <c r="CY101" s="58">
        <f t="shared" si="801"/>
        <v>0</v>
      </c>
      <c r="CZ101" s="45">
        <f t="shared" si="802"/>
        <v>43</v>
      </c>
      <c r="DA101" s="54">
        <f t="shared" si="656"/>
        <v>2.6489999999999996</v>
      </c>
      <c r="DB101" s="45">
        <f t="shared" si="803"/>
        <v>1</v>
      </c>
      <c r="DC101" s="45">
        <f t="shared" si="804"/>
        <v>2</v>
      </c>
      <c r="DD101" s="46" cm="1">
        <f t="array" ref="DD101">ROUND(IFERROR(INDEX(ArchiveResults!$F$5:$IX$116,ComparisonData!A101,ComparisonData!$DD$1),0),5)</f>
        <v>0</v>
      </c>
      <c r="DE101" s="56">
        <v>96</v>
      </c>
      <c r="DF101" s="53" t="str">
        <f t="shared" si="657"/>
        <v>University of Glasgow, Library Research Annexe</v>
      </c>
      <c r="DG101" s="45">
        <f t="shared" si="805"/>
        <v>0</v>
      </c>
      <c r="DH101" s="58">
        <f t="shared" si="806"/>
        <v>0</v>
      </c>
      <c r="DI101" s="45">
        <f t="shared" si="807"/>
        <v>43</v>
      </c>
      <c r="DJ101" s="54">
        <f t="shared" si="658"/>
        <v>2.6489999999999996</v>
      </c>
      <c r="DK101" s="45">
        <f t="shared" si="808"/>
        <v>1</v>
      </c>
      <c r="DL101" s="45">
        <f t="shared" si="809"/>
        <v>2</v>
      </c>
      <c r="DM101" s="46" cm="1">
        <f t="array" ref="DM101">ROUND(IFERROR(INDEX(ArchiveResults!$F$5:$IX$116,ComparisonData!A101,ComparisonData!$DM$1),0),5)</f>
        <v>0</v>
      </c>
      <c r="DN101" s="46" cm="1">
        <f t="array" ref="DN101">ROUND(IFERROR(INDEX(ArchiveResults!$F$5:$IX$116,ComparisonData!A101,ComparisonData!$DN$1),0),5)</f>
        <v>0</v>
      </c>
      <c r="DO101" s="46" cm="1">
        <f t="array" ref="DO101">ROUND(IFERROR(INDEX(ArchiveResults!$F$5:$IX$116,ComparisonData!A101,ComparisonData!$DO$1),0),5)</f>
        <v>0</v>
      </c>
      <c r="DP101" s="46" cm="1">
        <f t="array" ref="DP101">ROUND(IFERROR(INDEX(ArchiveResults!$F$5:$IX$116,ComparisonData!A101,ComparisonData!$DP$1),0),5)</f>
        <v>0</v>
      </c>
      <c r="DQ101" s="45" cm="1">
        <f t="array" ref="DQ101">IFERROR(INDEX(ArchiveResults!$F$5:$IX$116,ComparisonData!A101,ComparisonData!$DQ$1),0)</f>
        <v>0</v>
      </c>
      <c r="DR101" s="56">
        <v>96</v>
      </c>
      <c r="DS101" s="53" t="str">
        <f t="shared" si="659"/>
        <v>University of Glasgow, Library Research Annexe</v>
      </c>
      <c r="DT101" s="59">
        <f t="shared" si="810"/>
        <v>0</v>
      </c>
      <c r="DU101" s="59">
        <f t="shared" si="811"/>
        <v>0</v>
      </c>
      <c r="DV101" s="59">
        <f t="shared" si="812"/>
        <v>0</v>
      </c>
      <c r="DW101" s="59">
        <f t="shared" si="813"/>
        <v>0</v>
      </c>
      <c r="DX101" s="59">
        <f t="shared" si="814"/>
        <v>0</v>
      </c>
      <c r="DY101" s="58">
        <f t="shared" si="815"/>
        <v>0</v>
      </c>
      <c r="DZ101" s="45">
        <f t="shared" si="816"/>
        <v>43</v>
      </c>
      <c r="EA101" s="54">
        <f t="shared" si="660"/>
        <v>2.6489999999999996</v>
      </c>
      <c r="EB101" s="45">
        <f t="shared" si="817"/>
        <v>1</v>
      </c>
      <c r="EC101" s="45">
        <f t="shared" si="818"/>
        <v>2</v>
      </c>
      <c r="ED101" s="46" cm="1">
        <f t="array" ref="ED101">ROUND(IFERROR(INDEX(ArchiveResults!$F$5:$IX$116,ComparisonData!A101,ComparisonData!$ED$1),0),5)</f>
        <v>0</v>
      </c>
      <c r="EE101" s="46" cm="1">
        <f t="array" ref="EE101">ROUND(IFERROR(INDEX(ArchiveResults!$F$5:$IX$116,ComparisonData!A101,ComparisonData!$EE$1),0),5)</f>
        <v>0</v>
      </c>
      <c r="EF101" s="46" cm="1">
        <f t="array" ref="EF101">ROUND(IFERROR(INDEX(ArchiveResults!$F$5:$IX$116,ComparisonData!A101,ComparisonData!$EF$1),0),5)</f>
        <v>0</v>
      </c>
      <c r="EG101" s="46" cm="1">
        <f t="array" ref="EG101">ROUND(IFERROR(INDEX(ArchiveResults!$F$5:$IX$116,ComparisonData!A101,ComparisonData!$EG$1),0),5)</f>
        <v>0</v>
      </c>
      <c r="EH101" s="45" cm="1">
        <f t="array" ref="EH101">IFERROR(INDEX(ArchiveResults!$F$5:$IX$116,ComparisonData!A101,ComparisonData!$EH$1),0)</f>
        <v>0</v>
      </c>
      <c r="EI101" s="56">
        <v>96</v>
      </c>
      <c r="EJ101" s="53" t="str">
        <f t="shared" si="661"/>
        <v>University of Glasgow, Library Research Annexe</v>
      </c>
      <c r="EK101" s="59">
        <f t="shared" si="819"/>
        <v>0</v>
      </c>
      <c r="EL101" s="59">
        <f t="shared" si="820"/>
        <v>0</v>
      </c>
      <c r="EM101" s="59">
        <f t="shared" si="821"/>
        <v>0</v>
      </c>
      <c r="EN101" s="59">
        <f t="shared" si="822"/>
        <v>0</v>
      </c>
      <c r="EO101" s="59">
        <f t="shared" si="823"/>
        <v>0</v>
      </c>
      <c r="EP101" s="58">
        <f t="shared" si="824"/>
        <v>0</v>
      </c>
      <c r="EQ101" s="45">
        <f t="shared" si="825"/>
        <v>43</v>
      </c>
      <c r="ER101" s="54">
        <f t="shared" si="662"/>
        <v>2.6489999999999996</v>
      </c>
      <c r="ES101" s="45">
        <f t="shared" si="826"/>
        <v>1</v>
      </c>
      <c r="ET101" s="45">
        <f t="shared" si="827"/>
        <v>2</v>
      </c>
      <c r="EU101" s="46" cm="1">
        <f t="array" ref="EU101">ROUND(IFERROR(INDEX(ArchiveResults!$F$5:$IX$116,ComparisonData!A101,ComparisonData!$EU$1),0),5)</f>
        <v>0</v>
      </c>
      <c r="EV101" s="46" cm="1">
        <f t="array" ref="EV101">ROUND(IFERROR(INDEX(ArchiveResults!$F$5:$IX$116,ComparisonData!A101,ComparisonData!$EV$1),0),5)</f>
        <v>0</v>
      </c>
      <c r="EW101" s="46" cm="1">
        <f t="array" ref="EW101">ROUND(IFERROR(INDEX(ArchiveResults!$F$5:$IX$116,ComparisonData!A101,ComparisonData!$EW$1),0),5)</f>
        <v>0</v>
      </c>
      <c r="EX101" s="46" cm="1">
        <f t="array" ref="EX101">ROUND(IFERROR(INDEX(ArchiveResults!$F$5:$IX$116,ComparisonData!A101,ComparisonData!$EX$1),0),5)</f>
        <v>0</v>
      </c>
      <c r="EY101" s="45" cm="1">
        <f t="array" ref="EY101">IFERROR(INDEX(ArchiveResults!$F$5:$IX$116,ComparisonData!A101,ComparisonData!$EY$1),0)</f>
        <v>0</v>
      </c>
      <c r="EZ101" s="56">
        <v>96</v>
      </c>
      <c r="FA101" s="53" t="str">
        <f t="shared" si="663"/>
        <v>University of Glasgow, Library Research Annexe</v>
      </c>
      <c r="FB101" s="59">
        <f t="shared" si="828"/>
        <v>0</v>
      </c>
      <c r="FC101" s="59">
        <f t="shared" si="829"/>
        <v>0</v>
      </c>
      <c r="FD101" s="59">
        <f t="shared" si="830"/>
        <v>0</v>
      </c>
      <c r="FE101" s="59">
        <f t="shared" si="831"/>
        <v>0</v>
      </c>
      <c r="FF101" s="59">
        <f t="shared" si="832"/>
        <v>0</v>
      </c>
      <c r="FG101" s="58">
        <f t="shared" si="833"/>
        <v>0</v>
      </c>
      <c r="FH101" s="45">
        <f t="shared" si="834"/>
        <v>43</v>
      </c>
      <c r="FI101" s="54">
        <f t="shared" si="664"/>
        <v>2.6489999999999996</v>
      </c>
      <c r="FJ101" s="45">
        <f t="shared" si="835"/>
        <v>1</v>
      </c>
      <c r="FK101" s="45">
        <f t="shared" si="836"/>
        <v>2</v>
      </c>
      <c r="FL101" s="46" cm="1">
        <f t="array" ref="FL101">ROUND(IFERROR(INDEX(ArchiveResults!$F$5:$IX$116,ComparisonData!A101,ComparisonData!$FL$1),0),5)</f>
        <v>0</v>
      </c>
      <c r="FM101" s="46" cm="1">
        <f t="array" ref="FM101">ROUND(IFERROR(INDEX(ArchiveResults!$F$5:$IX$116,ComparisonData!A101,ComparisonData!$FM$1),0),5)</f>
        <v>0</v>
      </c>
      <c r="FN101" s="46" cm="1">
        <f t="array" ref="FN101">ROUND(IFERROR(INDEX(ArchiveResults!$F$5:$IX$116,ComparisonData!A101,ComparisonData!$FN$1),0),5)</f>
        <v>0</v>
      </c>
      <c r="FO101" s="46" cm="1">
        <f t="array" ref="FO101">ROUND(IFERROR(INDEX(ArchiveResults!$F$5:$IX$116,ComparisonData!A101,ComparisonData!$FO$1),0),5)</f>
        <v>0</v>
      </c>
      <c r="FP101" s="45" cm="1">
        <f t="array" ref="FP101">IFERROR(INDEX(ArchiveResults!$F$5:$IX$116,ComparisonData!A101,ComparisonData!$FP$1),0)</f>
        <v>0</v>
      </c>
      <c r="FQ101" s="56">
        <v>96</v>
      </c>
      <c r="FR101" s="53" t="str">
        <f t="shared" si="665"/>
        <v>University of Glasgow, Library Research Annexe</v>
      </c>
      <c r="FS101" s="59">
        <f t="shared" si="837"/>
        <v>0</v>
      </c>
      <c r="FT101" s="59">
        <f t="shared" si="838"/>
        <v>0</v>
      </c>
      <c r="FU101" s="59">
        <f t="shared" si="839"/>
        <v>0</v>
      </c>
      <c r="FV101" s="59">
        <f t="shared" si="840"/>
        <v>0</v>
      </c>
      <c r="FW101" s="59">
        <f t="shared" si="841"/>
        <v>0</v>
      </c>
      <c r="FX101" s="58">
        <f t="shared" si="842"/>
        <v>0</v>
      </c>
      <c r="FY101" s="45">
        <f t="shared" si="843"/>
        <v>43</v>
      </c>
      <c r="FZ101" s="45">
        <f t="shared" si="666"/>
        <v>2.6489999999999996</v>
      </c>
      <c r="GA101" s="45">
        <f t="shared" si="844"/>
        <v>1</v>
      </c>
      <c r="GB101" s="45">
        <f t="shared" si="845"/>
        <v>2</v>
      </c>
      <c r="GC101" s="46" cm="1">
        <f t="array" ref="GC101">ROUND(IFERROR(INDEX(ArchiveResults!$F$5:$IX$116,ComparisonData!A101,ComparisonData!$GC$1),0),5)</f>
        <v>0</v>
      </c>
      <c r="GD101" s="46" cm="1">
        <f t="array" ref="GD101">ROUND(IFERROR(INDEX(ArchiveResults!$F$5:$IX$116,ComparisonData!A101,ComparisonData!$GD$1),0),5)</f>
        <v>0</v>
      </c>
      <c r="GE101" s="46" cm="1">
        <f t="array" ref="GE101">ROUND(IFERROR(INDEX(ArchiveResults!$F$5:$IX$116,ComparisonData!A101,ComparisonData!$GE$1),0),5)</f>
        <v>0</v>
      </c>
      <c r="GF101" s="46" cm="1">
        <f t="array" ref="GF101">ROUND(IFERROR(INDEX(ArchiveResults!$F$5:$IX$116,ComparisonData!A101,ComparisonData!$GF$1),0),5)</f>
        <v>0</v>
      </c>
      <c r="GG101" s="45" cm="1">
        <f t="array" ref="GG101">IFERROR(INDEX(ArchiveResults!$F$5:$IX$116,ComparisonData!A101,ComparisonData!$GG$1),0)</f>
        <v>0</v>
      </c>
      <c r="GH101" s="56">
        <v>96</v>
      </c>
      <c r="GI101" s="53" t="str">
        <f t="shared" si="667"/>
        <v>University of Glasgow, Library Research Annexe</v>
      </c>
      <c r="GJ101" s="59">
        <f t="shared" si="846"/>
        <v>0</v>
      </c>
      <c r="GK101" s="59">
        <f t="shared" si="847"/>
        <v>0</v>
      </c>
      <c r="GL101" s="59">
        <f t="shared" si="848"/>
        <v>0</v>
      </c>
      <c r="GM101" s="59">
        <f t="shared" si="849"/>
        <v>0</v>
      </c>
      <c r="GN101" s="59">
        <f t="shared" si="850"/>
        <v>0</v>
      </c>
      <c r="GO101" s="58">
        <f t="shared" si="851"/>
        <v>0</v>
      </c>
      <c r="GP101" s="45">
        <f t="shared" si="852"/>
        <v>43</v>
      </c>
      <c r="GQ101" s="45">
        <f t="shared" si="668"/>
        <v>2.6489999999999996</v>
      </c>
      <c r="GR101" s="45">
        <f t="shared" si="853"/>
        <v>1</v>
      </c>
      <c r="GS101" s="45">
        <f t="shared" si="854"/>
        <v>2</v>
      </c>
      <c r="GT101" s="46" cm="1">
        <f t="array" ref="GT101">ROUND(IFERROR(INDEX(ArchiveResults!$F$5:$IX$116,ComparisonData!A101,ComparisonData!$GT$1),0),5)</f>
        <v>0</v>
      </c>
      <c r="GU101" s="46" cm="1">
        <f t="array" ref="GU101">ROUND(IFERROR(INDEX(ArchiveResults!$F$5:$IX$116,ComparisonData!A101,ComparisonData!$GU$1),0),5)</f>
        <v>0</v>
      </c>
      <c r="GV101" s="46" cm="1">
        <f t="array" ref="GV101">ROUND(IFERROR(INDEX(ArchiveResults!$F$5:$IX$116,ComparisonData!A101,ComparisonData!$GV$1),0),5)</f>
        <v>0</v>
      </c>
      <c r="GW101" s="46" cm="1">
        <f t="array" ref="GW101">ROUND(IFERROR(INDEX(ArchiveResults!$F$5:$IX$116,ComparisonData!A101,ComparisonData!$GW$1),0),5)</f>
        <v>0</v>
      </c>
      <c r="GX101" s="45" cm="1">
        <f t="array" ref="GX101">IFERROR(INDEX(ArchiveResults!$F$5:$IX$116,ComparisonData!A101,ComparisonData!$GX$1),0)</f>
        <v>0</v>
      </c>
      <c r="GY101" s="56">
        <v>96</v>
      </c>
      <c r="GZ101" s="53" t="str">
        <f t="shared" si="669"/>
        <v>University of Glasgow, Library Research Annexe</v>
      </c>
      <c r="HA101" s="59">
        <f t="shared" si="855"/>
        <v>0</v>
      </c>
      <c r="HB101" s="59">
        <f t="shared" si="856"/>
        <v>0</v>
      </c>
      <c r="HC101" s="59">
        <f t="shared" si="857"/>
        <v>0</v>
      </c>
      <c r="HD101" s="59">
        <f t="shared" si="858"/>
        <v>0</v>
      </c>
      <c r="HE101" s="59">
        <f t="shared" si="859"/>
        <v>0</v>
      </c>
      <c r="HF101" s="58">
        <f t="shared" si="860"/>
        <v>0</v>
      </c>
      <c r="HG101" s="45">
        <f t="shared" si="861"/>
        <v>43</v>
      </c>
      <c r="HH101" s="45">
        <f t="shared" si="670"/>
        <v>2.6489999999999996</v>
      </c>
      <c r="HI101" s="45">
        <f t="shared" si="862"/>
        <v>1</v>
      </c>
      <c r="HJ101" s="45">
        <f t="shared" si="863"/>
        <v>2</v>
      </c>
      <c r="HK101" s="46" cm="1">
        <f t="array" ref="HK101">ROUND(IFERROR(INDEX(ArchiveResults!$F$5:$IX$116,ComparisonData!A101,ComparisonData!$HK$1),0),5)</f>
        <v>0</v>
      </c>
      <c r="HL101" s="46" cm="1">
        <f t="array" ref="HL101">ROUND(IFERROR(INDEX(ArchiveResults!$F$5:$IX$116,ComparisonData!A101,ComparisonData!$HL$1),0),5)</f>
        <v>0</v>
      </c>
      <c r="HM101" s="46" cm="1">
        <f t="array" ref="HM101">ROUND(IFERROR(INDEX(ArchiveResults!$F$5:$IX$116,ComparisonData!A101,ComparisonData!$HM$1),0),5)</f>
        <v>0</v>
      </c>
      <c r="HN101" s="46" cm="1">
        <f t="array" ref="HN101">ROUND(IFERROR(INDEX(ArchiveResults!$F$5:$IX$116,ComparisonData!A101,ComparisonData!$HN$1),0),5)</f>
        <v>0</v>
      </c>
      <c r="HO101" s="45" cm="1">
        <f t="array" ref="HO101">IFERROR(INDEX(ArchiveResults!$F$5:$IX$116,ComparisonData!A101,ComparisonData!$HO$1),0)</f>
        <v>0</v>
      </c>
      <c r="HP101" s="56">
        <v>96</v>
      </c>
      <c r="HQ101" s="53" t="str">
        <f t="shared" si="671"/>
        <v>University of Glasgow, Library Research Annexe</v>
      </c>
      <c r="HR101" s="59">
        <f t="shared" si="672"/>
        <v>0</v>
      </c>
      <c r="HS101" s="59">
        <f t="shared" si="673"/>
        <v>0</v>
      </c>
      <c r="HT101" s="59">
        <f t="shared" si="674"/>
        <v>0</v>
      </c>
      <c r="HU101" s="59">
        <f t="shared" si="675"/>
        <v>0</v>
      </c>
      <c r="HV101" s="59">
        <f t="shared" si="676"/>
        <v>0</v>
      </c>
      <c r="HW101" s="58">
        <f t="shared" si="864"/>
        <v>0</v>
      </c>
      <c r="HX101" s="45">
        <f t="shared" si="865"/>
        <v>43</v>
      </c>
      <c r="HY101" s="45">
        <f t="shared" si="677"/>
        <v>2.6489999999999996</v>
      </c>
      <c r="HZ101" s="45">
        <f t="shared" si="866"/>
        <v>1</v>
      </c>
      <c r="IA101" s="45">
        <f t="shared" si="867"/>
        <v>2</v>
      </c>
      <c r="IB101" s="45">
        <f t="shared" si="868"/>
        <v>0</v>
      </c>
      <c r="IC101" s="46" cm="1">
        <f t="array" ref="IC101">ROUND(IFERROR(INDEX(ArchiveResults!$F$5:$IX$116,ComparisonData!A101,ComparisonData!$IC$1),0),5)</f>
        <v>0</v>
      </c>
      <c r="ID101" s="46" cm="1">
        <f t="array" ref="ID101">ROUND(IFERROR(INDEX(ArchiveResults!$F$5:$IX$116,ComparisonData!A101,ComparisonData!$ID$1),0),5)</f>
        <v>0</v>
      </c>
      <c r="IE101" s="46" cm="1">
        <f t="array" ref="IE101">ROUND(IFERROR(INDEX(ArchiveResults!$F$5:$IX$116,ComparisonData!A101,ComparisonData!$IE$1),0),5)</f>
        <v>0</v>
      </c>
      <c r="IF101" s="46" cm="1">
        <f t="array" ref="IF101">ROUND(IFERROR(INDEX(ArchiveResults!$F$5:$IX$116,ComparisonData!A101,ComparisonData!$IF$1),0),5)</f>
        <v>0</v>
      </c>
      <c r="IG101" s="45" cm="1">
        <f t="array" ref="IG101">IFERROR(INDEX(ArchiveResults!$F$5:$IX$116,ComparisonData!A101,ComparisonData!$IG$1),0)</f>
        <v>0</v>
      </c>
      <c r="IH101" s="56">
        <v>96</v>
      </c>
      <c r="II101" s="53" t="str">
        <f t="shared" si="678"/>
        <v>University of Glasgow, Library Research Annexe</v>
      </c>
      <c r="IJ101" s="59">
        <f t="shared" si="869"/>
        <v>0</v>
      </c>
      <c r="IK101" s="59">
        <f t="shared" si="870"/>
        <v>0</v>
      </c>
      <c r="IL101" s="59">
        <f t="shared" si="871"/>
        <v>0</v>
      </c>
      <c r="IM101" s="59">
        <f t="shared" si="872"/>
        <v>0</v>
      </c>
      <c r="IN101" s="59">
        <f t="shared" si="873"/>
        <v>0</v>
      </c>
      <c r="IO101" s="58">
        <f t="shared" si="874"/>
        <v>0</v>
      </c>
      <c r="IP101" s="45">
        <f t="shared" si="875"/>
        <v>43</v>
      </c>
      <c r="IQ101" s="45">
        <f t="shared" si="679"/>
        <v>2.6489999999999996</v>
      </c>
      <c r="IR101" s="45">
        <f t="shared" si="876"/>
        <v>1</v>
      </c>
      <c r="IS101" s="45">
        <f t="shared" si="877"/>
        <v>2</v>
      </c>
      <c r="IT101" s="46">
        <f t="shared" si="878"/>
        <v>0</v>
      </c>
      <c r="IU101" s="46" cm="1">
        <f t="array" ref="IU101">ROUND(IFERROR(INDEX(ArchiveResults!$F$5:$IX$116,ComparisonData!A101,ComparisonData!$IU$1),0),5)</f>
        <v>0</v>
      </c>
      <c r="IV101" s="46" cm="1">
        <f t="array" ref="IV101">ROUND(IFERROR(INDEX(ArchiveResults!$F$5:$IX$116,ComparisonData!A101,ComparisonData!$IV$1),0),5)</f>
        <v>0</v>
      </c>
      <c r="IW101" s="46" cm="1">
        <f t="array" ref="IW101">ROUND(IFERROR(INDEX(ArchiveResults!$F$5:$IX$116,ComparisonData!A101,ComparisonData!$IW$1),0),5)</f>
        <v>0</v>
      </c>
      <c r="IX101" s="46" cm="1">
        <f t="array" ref="IX101">ROUND(IFERROR(INDEX(ArchiveResults!$F$5:$IX$116,ComparisonData!A101,ComparisonData!$IX$1),0),5)</f>
        <v>0</v>
      </c>
      <c r="IY101" s="45" cm="1">
        <f t="array" ref="IY101">IFERROR(INDEX(ArchiveResults!$F$5:$IX$116,ComparisonData!A101,ComparisonData!$IY$1),0)</f>
        <v>0</v>
      </c>
      <c r="IZ101" s="56">
        <v>96</v>
      </c>
      <c r="JA101" s="53" t="str">
        <f t="shared" si="680"/>
        <v>University of Glasgow, Library Research Annexe</v>
      </c>
      <c r="JB101" s="59">
        <f t="shared" si="879"/>
        <v>0</v>
      </c>
      <c r="JC101" s="59">
        <f t="shared" si="880"/>
        <v>0</v>
      </c>
      <c r="JD101" s="59">
        <f t="shared" si="881"/>
        <v>0</v>
      </c>
      <c r="JE101" s="59">
        <f t="shared" si="882"/>
        <v>0</v>
      </c>
      <c r="JF101" s="59">
        <f t="shared" si="883"/>
        <v>0</v>
      </c>
      <c r="JG101" s="58">
        <f t="shared" si="884"/>
        <v>0</v>
      </c>
      <c r="JH101" s="45">
        <f t="shared" si="885"/>
        <v>43</v>
      </c>
      <c r="JI101" s="45">
        <f t="shared" si="681"/>
        <v>2.6489999999999996</v>
      </c>
      <c r="JJ101" s="45">
        <f t="shared" si="886"/>
        <v>1</v>
      </c>
      <c r="JK101" s="45">
        <f t="shared" si="887"/>
        <v>2</v>
      </c>
      <c r="JL101" s="45">
        <f t="shared" si="888"/>
        <v>0</v>
      </c>
      <c r="JM101" s="46" cm="1">
        <f t="array" ref="JM101">ROUND(IFERROR(INDEX(ArchiveResults!$F$5:$IX$116,ComparisonData!A101,ComparisonData!$JM$1),0),5)</f>
        <v>0</v>
      </c>
      <c r="JN101" s="46" cm="1">
        <f t="array" ref="JN101">ROUND(IFERROR(INDEX(ArchiveResults!$F$5:$IX$116,ComparisonData!A101,ComparisonData!$JN$1),0),5)</f>
        <v>0</v>
      </c>
      <c r="JO101" s="46" cm="1">
        <f t="array" ref="JO101">ROUND(IFERROR(INDEX(ArchiveResults!$F$5:$IX$116,ComparisonData!A101,ComparisonData!$JO$1),0),5)</f>
        <v>0</v>
      </c>
      <c r="JP101" s="46" cm="1">
        <f t="array" ref="JP101">ROUND(IFERROR(INDEX(ArchiveResults!$F$5:$IX$116,ComparisonData!A101,ComparisonData!$JP$1),0),5)</f>
        <v>0</v>
      </c>
      <c r="JQ101" s="45" cm="1">
        <f t="array" ref="JQ101">IFERROR(INDEX(ArchiveResults!$F$5:$IX$116,ComparisonData!A101,ComparisonData!$JQ$1),0)</f>
        <v>0</v>
      </c>
      <c r="JR101" s="56">
        <v>96</v>
      </c>
      <c r="JS101" s="53" t="str">
        <f t="shared" si="682"/>
        <v>University of Glasgow, Library Research Annexe</v>
      </c>
      <c r="JT101" s="59">
        <f t="shared" si="889"/>
        <v>0</v>
      </c>
      <c r="JU101" s="59">
        <f t="shared" si="890"/>
        <v>0</v>
      </c>
      <c r="JV101" s="59">
        <f t="shared" si="891"/>
        <v>0</v>
      </c>
      <c r="JW101" s="59">
        <f t="shared" si="892"/>
        <v>0</v>
      </c>
      <c r="JX101" s="59">
        <f t="shared" si="893"/>
        <v>0</v>
      </c>
      <c r="JY101" s="58">
        <f t="shared" si="894"/>
        <v>0</v>
      </c>
      <c r="JZ101" s="45">
        <f t="shared" si="895"/>
        <v>43</v>
      </c>
      <c r="KA101" s="45">
        <f t="shared" si="683"/>
        <v>2.6489999999999996</v>
      </c>
      <c r="KB101" s="45">
        <f t="shared" si="896"/>
        <v>1</v>
      </c>
      <c r="KC101" s="45">
        <f t="shared" si="897"/>
        <v>2</v>
      </c>
      <c r="KD101" s="45">
        <f t="shared" si="898"/>
        <v>0</v>
      </c>
      <c r="KE101" s="46" cm="1">
        <f t="array" ref="KE101">ROUND(IFERROR(INDEX(ArchiveResults!$F$5:$IX$116,ComparisonData!A101,ComparisonData!$KE$1),0),5)</f>
        <v>0</v>
      </c>
      <c r="KF101" s="46" cm="1">
        <f t="array" ref="KF101">ROUND(IFERROR(INDEX(ArchiveResults!$F$5:$IX$116,ComparisonData!A101,ComparisonData!$KF$1),0),5)</f>
        <v>0</v>
      </c>
      <c r="KG101" s="46" cm="1">
        <f t="array" ref="KG101">ROUND(IFERROR(INDEX(ArchiveResults!$F$5:$IX$116,ComparisonData!A101,ComparisonData!$KG$1),0),5)</f>
        <v>0</v>
      </c>
      <c r="KH101" s="46" cm="1">
        <f t="array" ref="KH101">ROUND(IFERROR(INDEX(ArchiveResults!$F$5:$IX$116,ComparisonData!A101,ComparisonData!$KH$1),0),5)</f>
        <v>0</v>
      </c>
      <c r="KI101" s="45" cm="1">
        <f t="array" ref="KI101">IFERROR(INDEX(ArchiveResults!$F$5:$IX$116,ComparisonData!A101,ComparisonData!$KI$1),0)</f>
        <v>0</v>
      </c>
      <c r="KJ101" s="56">
        <v>96</v>
      </c>
      <c r="KK101" s="53" t="str">
        <f t="shared" si="684"/>
        <v>University of Glasgow, Library Research Annexe</v>
      </c>
      <c r="KL101" s="59">
        <f t="shared" si="899"/>
        <v>0</v>
      </c>
      <c r="KM101" s="59">
        <f t="shared" si="900"/>
        <v>0</v>
      </c>
      <c r="KN101" s="59">
        <f t="shared" si="901"/>
        <v>0</v>
      </c>
      <c r="KO101" s="59">
        <f t="shared" si="902"/>
        <v>0</v>
      </c>
      <c r="KP101" s="59">
        <f t="shared" si="903"/>
        <v>0</v>
      </c>
      <c r="KQ101" s="58">
        <f t="shared" si="904"/>
        <v>0</v>
      </c>
      <c r="KR101" s="45">
        <f t="shared" si="905"/>
        <v>43</v>
      </c>
      <c r="KS101" s="45">
        <f t="shared" si="685"/>
        <v>2.6489999999999996</v>
      </c>
      <c r="KT101" s="45">
        <f t="shared" si="906"/>
        <v>1</v>
      </c>
      <c r="KU101" s="45">
        <f t="shared" si="907"/>
        <v>2</v>
      </c>
      <c r="KV101" s="45">
        <f t="shared" si="908"/>
        <v>0</v>
      </c>
      <c r="KW101" s="46" cm="1">
        <f t="array" ref="KW101">ROUND(IFERROR(INDEX(ArchiveResults!$F$5:$IX$116,ComparisonData!A101,ComparisonData!$KW$1),0),5)</f>
        <v>0</v>
      </c>
      <c r="KX101" s="46" cm="1">
        <f t="array" ref="KX101">ROUND(IFERROR(INDEX(ArchiveResults!$F$5:$IX$116,ComparisonData!A101,ComparisonData!$KX$1),0),5)</f>
        <v>0</v>
      </c>
      <c r="KY101" s="46" cm="1">
        <f t="array" ref="KY101">ROUND(IFERROR(INDEX(ArchiveResults!$F$5:$IX$116,ComparisonData!A101,ComparisonData!$KY$1),0),5)</f>
        <v>0</v>
      </c>
      <c r="KZ101" s="46" cm="1">
        <f t="array" ref="KZ101">ROUND(IFERROR(INDEX(ArchiveResults!$F$5:$IX$116,ComparisonData!A101,ComparisonData!$KZ$1),0),5)</f>
        <v>0</v>
      </c>
      <c r="LA101" s="45" cm="1">
        <f t="array" ref="LA101">IFERROR(INDEX(ArchiveResults!$F$5:$IX$116,ComparisonData!A101,ComparisonData!$LA$1),0)</f>
        <v>0</v>
      </c>
      <c r="LB101" s="56">
        <v>96</v>
      </c>
      <c r="LC101" s="53" t="str">
        <f t="shared" si="686"/>
        <v>University of Glasgow, Library Research Annexe</v>
      </c>
      <c r="LD101" s="59">
        <f t="shared" si="909"/>
        <v>0</v>
      </c>
      <c r="LE101" s="59">
        <f t="shared" si="910"/>
        <v>0</v>
      </c>
      <c r="LF101" s="59">
        <f t="shared" si="911"/>
        <v>0</v>
      </c>
      <c r="LG101" s="59">
        <f t="shared" si="912"/>
        <v>0</v>
      </c>
      <c r="LH101" s="59">
        <f t="shared" si="913"/>
        <v>0</v>
      </c>
      <c r="LI101" s="58">
        <f t="shared" si="914"/>
        <v>0</v>
      </c>
      <c r="LJ101" s="45">
        <f t="shared" si="915"/>
        <v>43</v>
      </c>
      <c r="LK101" s="45">
        <f t="shared" si="687"/>
        <v>2.6489999999999996</v>
      </c>
      <c r="LL101" s="45">
        <f t="shared" si="916"/>
        <v>1</v>
      </c>
      <c r="LM101" s="45">
        <f t="shared" si="917"/>
        <v>2</v>
      </c>
      <c r="LN101" s="45">
        <f t="shared" si="918"/>
        <v>0</v>
      </c>
      <c r="LO101" s="46" cm="1">
        <f t="array" ref="LO101">ROUND(IFERROR(INDEX(ArchiveResults!$F$5:$IX$116,ComparisonData!A101,ComparisonData!$LO$1),0),5)</f>
        <v>0</v>
      </c>
      <c r="LP101" s="46" cm="1">
        <f t="array" ref="LP101">ROUND(IFERROR(INDEX(ArchiveResults!$F$5:$IX$116,ComparisonData!A101,ComparisonData!$LP$1),0),5)</f>
        <v>0</v>
      </c>
      <c r="LQ101" s="46" cm="1">
        <f t="array" ref="LQ101">ROUND(IFERROR(INDEX(ArchiveResults!$F$5:$IX$116,ComparisonData!A101,ComparisonData!$LQ$1),0),5)</f>
        <v>0</v>
      </c>
      <c r="LR101" s="46" cm="1">
        <f t="array" ref="LR101">ROUND(IFERROR(INDEX(ArchiveResults!$F$5:$IX$116,ComparisonData!A101,ComparisonData!$LR$1),0),5)</f>
        <v>0</v>
      </c>
      <c r="LS101" s="45" cm="1">
        <f t="array" ref="LS101">IFERROR(INDEX(ArchiveResults!$F$5:$IX$116,ComparisonData!A101,ComparisonData!$LS$1),0)</f>
        <v>0</v>
      </c>
      <c r="LT101" s="56">
        <v>96</v>
      </c>
      <c r="LU101" s="53" t="str">
        <f t="shared" si="688"/>
        <v>University of Glasgow, Library Research Annexe</v>
      </c>
      <c r="LV101" s="59">
        <f t="shared" si="919"/>
        <v>0</v>
      </c>
      <c r="LW101" s="59">
        <f t="shared" si="920"/>
        <v>0</v>
      </c>
      <c r="LX101" s="59">
        <f t="shared" si="921"/>
        <v>0</v>
      </c>
      <c r="LY101" s="59">
        <f t="shared" si="922"/>
        <v>0</v>
      </c>
      <c r="LZ101" s="59">
        <f t="shared" si="923"/>
        <v>0</v>
      </c>
      <c r="MA101" s="58">
        <f t="shared" si="924"/>
        <v>0</v>
      </c>
      <c r="MB101" s="45">
        <f t="shared" si="925"/>
        <v>43</v>
      </c>
      <c r="MC101" s="45">
        <f t="shared" si="689"/>
        <v>2.6489999999999996</v>
      </c>
      <c r="MD101" s="45">
        <f t="shared" si="926"/>
        <v>1</v>
      </c>
      <c r="ME101" s="45">
        <f t="shared" si="927"/>
        <v>2</v>
      </c>
      <c r="MF101" s="45">
        <f t="shared" si="928"/>
        <v>0</v>
      </c>
      <c r="MG101" s="46" cm="1">
        <f t="array" ref="MG101">ROUND(IFERROR(INDEX(ArchiveResults!$F$5:$IX$116,ComparisonData!A101,ComparisonData!$MG$1),0),5)</f>
        <v>0</v>
      </c>
      <c r="MH101" s="46" cm="1">
        <f t="array" ref="MH101">ROUND(IFERROR(INDEX(ArchiveResults!$F$5:$IX$116,ComparisonData!A101,ComparisonData!$MH$1),0),5)</f>
        <v>0</v>
      </c>
      <c r="MI101" s="46" cm="1">
        <f t="array" ref="MI101">ROUND(IFERROR(INDEX(ArchiveResults!$F$5:$IX$116,ComparisonData!A101,ComparisonData!$MI$1),0),5)</f>
        <v>0</v>
      </c>
      <c r="MJ101" s="46" cm="1">
        <f t="array" ref="MJ101">ROUND(IFERROR(INDEX(ArchiveResults!$F$5:$IX$116,ComparisonData!A101,ComparisonData!$MJ$1),0),5)</f>
        <v>0</v>
      </c>
      <c r="MK101" s="45" cm="1">
        <f t="array" ref="MK101">IFERROR(INDEX(ArchiveResults!$F$5:$IX$116,ComparisonData!A101,ComparisonData!$MK$1),0)</f>
        <v>0</v>
      </c>
      <c r="ML101" s="56">
        <v>96</v>
      </c>
      <c r="MM101" s="53" t="str">
        <f t="shared" si="690"/>
        <v>University of Glasgow, Library Research Annexe</v>
      </c>
      <c r="MN101" s="59">
        <f t="shared" si="929"/>
        <v>0</v>
      </c>
      <c r="MO101" s="59">
        <f t="shared" si="930"/>
        <v>0</v>
      </c>
      <c r="MP101" s="59">
        <f t="shared" si="931"/>
        <v>0</v>
      </c>
      <c r="MQ101" s="59">
        <f t="shared" si="932"/>
        <v>0</v>
      </c>
      <c r="MR101" s="59">
        <f t="shared" si="933"/>
        <v>0</v>
      </c>
      <c r="MS101" s="58">
        <f t="shared" si="934"/>
        <v>0</v>
      </c>
      <c r="MT101" s="45">
        <f t="shared" si="935"/>
        <v>43</v>
      </c>
      <c r="MU101" s="45">
        <f t="shared" si="691"/>
        <v>2.6489999999999996</v>
      </c>
      <c r="MV101" s="45">
        <f t="shared" si="936"/>
        <v>1</v>
      </c>
      <c r="MW101" s="45">
        <f t="shared" si="937"/>
        <v>2</v>
      </c>
      <c r="MX101" s="45">
        <f t="shared" si="938"/>
        <v>0</v>
      </c>
      <c r="MY101" s="46" cm="1">
        <f t="array" ref="MY101">ROUND(IFERROR(INDEX(ArchiveResults!$F$5:$IX$116,ComparisonData!A101,ComparisonData!$MY$1),0),5)</f>
        <v>0</v>
      </c>
      <c r="MZ101" s="46" cm="1">
        <f t="array" ref="MZ101">ROUND(IFERROR(INDEX(ArchiveResults!$F$5:$IX$116,ComparisonData!A101,ComparisonData!$MZ$1),0),5)</f>
        <v>0</v>
      </c>
      <c r="NA101" s="46" cm="1">
        <f t="array" ref="NA101">ROUND(IFERROR(INDEX(ArchiveResults!$F$5:$IX$116,ComparisonData!A101,ComparisonData!$NA$1),0),5)</f>
        <v>0</v>
      </c>
      <c r="NB101" s="46" cm="1">
        <f t="array" ref="NB101">ROUND(IFERROR(INDEX(ArchiveResults!$F$5:$IX$116,ComparisonData!A101,ComparisonData!$NB$1),0),5)</f>
        <v>0</v>
      </c>
      <c r="NC101" s="45" cm="1">
        <f t="array" ref="NC101">IFERROR(INDEX(ArchiveResults!$F$5:$IX$116,ComparisonData!A101,ComparisonData!$NC$1),0)</f>
        <v>0</v>
      </c>
      <c r="ND101" s="56">
        <v>96</v>
      </c>
      <c r="NE101" s="53" t="str">
        <f t="shared" si="692"/>
        <v>University of Glasgow, Library Research Annexe</v>
      </c>
      <c r="NF101" s="59">
        <f t="shared" si="939"/>
        <v>0</v>
      </c>
      <c r="NG101" s="59">
        <f t="shared" si="940"/>
        <v>0</v>
      </c>
      <c r="NH101" s="59">
        <f t="shared" si="941"/>
        <v>0</v>
      </c>
      <c r="NI101" s="59">
        <f t="shared" si="942"/>
        <v>0</v>
      </c>
      <c r="NJ101" s="59">
        <f t="shared" si="943"/>
        <v>0</v>
      </c>
      <c r="NK101" s="58">
        <f t="shared" si="944"/>
        <v>0</v>
      </c>
      <c r="NL101" s="45">
        <f t="shared" si="945"/>
        <v>43</v>
      </c>
      <c r="NM101" s="45">
        <f t="shared" si="693"/>
        <v>2.6489999999999996</v>
      </c>
      <c r="NN101" s="45">
        <f t="shared" si="946"/>
        <v>1</v>
      </c>
      <c r="NO101" s="45">
        <f t="shared" si="947"/>
        <v>2</v>
      </c>
      <c r="NP101" s="46" cm="1">
        <f t="array" ref="NP101">ROUND(IFERROR(INDEX(ArchiveResults!$F$5:$IX$116,ComparisonData!A101,ComparisonData!$NP$1),0),5)</f>
        <v>0</v>
      </c>
      <c r="NQ101" s="46" cm="1">
        <f t="array" ref="NQ101">ROUND(IFERROR(INDEX(ArchiveResults!$F$5:$IX$116,ComparisonData!A101,ComparisonData!$NQ$1),0),5)</f>
        <v>0</v>
      </c>
      <c r="NR101" s="46" cm="1">
        <f t="array" ref="NR101">ROUND(IFERROR(INDEX(ArchiveResults!$F$5:$IX$116,ComparisonData!A101,ComparisonData!$NR$1),0),5)</f>
        <v>0</v>
      </c>
      <c r="NS101" s="46" cm="1">
        <f t="array" ref="NS101">ROUND(IFERROR(INDEX(ArchiveResults!$F$5:$IX$116,ComparisonData!A101,ComparisonData!$NS$1),0),5)</f>
        <v>0</v>
      </c>
      <c r="NT101" s="45" cm="1">
        <f t="array" ref="NT101">IFERROR(INDEX(ArchiveResults!$F$5:$IX$116,ComparisonData!A101,ComparisonData!$NT$1),0)</f>
        <v>0</v>
      </c>
      <c r="NU101" s="56">
        <v>96</v>
      </c>
      <c r="NV101" s="53" t="str">
        <f t="shared" si="694"/>
        <v>University of Glasgow, Library Research Annexe</v>
      </c>
      <c r="NW101" s="59">
        <f t="shared" si="948"/>
        <v>0</v>
      </c>
      <c r="NX101" s="59">
        <f t="shared" si="949"/>
        <v>0</v>
      </c>
      <c r="NY101" s="59">
        <f t="shared" si="950"/>
        <v>0</v>
      </c>
      <c r="NZ101" s="59">
        <f t="shared" si="951"/>
        <v>0</v>
      </c>
      <c r="OA101" s="59">
        <f t="shared" si="952"/>
        <v>0</v>
      </c>
      <c r="OB101" s="58">
        <f t="shared" si="953"/>
        <v>0</v>
      </c>
      <c r="OC101" s="45">
        <f t="shared" si="954"/>
        <v>43</v>
      </c>
      <c r="OD101" s="45">
        <f t="shared" si="695"/>
        <v>2.6489999999999996</v>
      </c>
      <c r="OE101" s="45">
        <f t="shared" si="955"/>
        <v>1</v>
      </c>
      <c r="OF101" s="45">
        <f t="shared" si="956"/>
        <v>2</v>
      </c>
      <c r="OG101" s="46">
        <f t="shared" si="957"/>
        <v>0</v>
      </c>
      <c r="OH101" s="46" cm="1">
        <f t="array" ref="OH101">ROUND(IFERROR(INDEX(ArchiveResults!$F$5:$IX$116,ComparisonData!A101,ComparisonData!$OH$1),0),5)</f>
        <v>0</v>
      </c>
      <c r="OI101" s="46" cm="1">
        <f t="array" ref="OI101">ROUND(IFERROR(INDEX(ArchiveResults!$F$5:$IX$116,ComparisonData!A101,ComparisonData!$OI$1),0),5)</f>
        <v>0</v>
      </c>
      <c r="OJ101" s="46" cm="1">
        <f t="array" ref="OJ101">ROUND(IFERROR(INDEX(ArchiveResults!$F$5:$IX$116,ComparisonData!A101,ComparisonData!$OJ$1),0),5)</f>
        <v>0</v>
      </c>
      <c r="OK101" s="46" cm="1">
        <f t="array" ref="OK101">ROUND(IFERROR(INDEX(ArchiveResults!$F$5:$IX$116,ComparisonData!A101,ComparisonData!$OK$1),0),5)</f>
        <v>0</v>
      </c>
      <c r="OL101" s="45" cm="1">
        <f t="array" ref="OL101">IFERROR(INDEX(ArchiveResults!$F$5:$IX$116,ComparisonData!A101,ComparisonData!$OL$1),0)</f>
        <v>0</v>
      </c>
      <c r="OM101" s="56">
        <v>96</v>
      </c>
      <c r="ON101" s="53" t="str">
        <f t="shared" si="696"/>
        <v>University of Glasgow, Library Research Annexe</v>
      </c>
      <c r="OO101" s="59">
        <f t="shared" si="958"/>
        <v>0</v>
      </c>
      <c r="OP101" s="59">
        <f t="shared" si="959"/>
        <v>0</v>
      </c>
      <c r="OQ101" s="59">
        <f t="shared" si="960"/>
        <v>0</v>
      </c>
      <c r="OR101" s="59">
        <f t="shared" si="961"/>
        <v>0</v>
      </c>
      <c r="OS101" s="59">
        <f t="shared" si="962"/>
        <v>0</v>
      </c>
      <c r="OT101" s="58">
        <f t="shared" si="963"/>
        <v>0</v>
      </c>
      <c r="OU101" s="45">
        <f t="shared" si="964"/>
        <v>43</v>
      </c>
      <c r="OV101" s="45">
        <f t="shared" si="697"/>
        <v>2.6489999999999996</v>
      </c>
      <c r="OW101" s="45">
        <f t="shared" si="965"/>
        <v>1</v>
      </c>
      <c r="OX101" s="45">
        <f t="shared" si="966"/>
        <v>2</v>
      </c>
      <c r="OY101" s="45">
        <f t="shared" si="967"/>
        <v>0</v>
      </c>
      <c r="OZ101" s="46" cm="1">
        <f t="array" ref="OZ101">ROUND(IFERROR(INDEX(ArchiveResults!$F$5:$IX$116,ComparisonData!A101,ComparisonData!$OZ$1),0),5)</f>
        <v>0</v>
      </c>
      <c r="PA101" s="46" cm="1">
        <f t="array" ref="PA101">ROUND(IFERROR(INDEX(ArchiveResults!$F$5:$IX$116,ComparisonData!A101,ComparisonData!$PA$1),0),5)</f>
        <v>0</v>
      </c>
      <c r="PB101" s="46" cm="1">
        <f t="array" ref="PB101">ROUND(IFERROR(INDEX(ArchiveResults!$F$5:$IX$116,ComparisonData!A101,ComparisonData!$PB$1),0),5)</f>
        <v>0</v>
      </c>
      <c r="PC101" s="46" cm="1">
        <f t="array" ref="PC101">ROUND(IFERROR(INDEX(ArchiveResults!$F$5:$IX$116,ComparisonData!A101,ComparisonData!$PC$1),0),5)</f>
        <v>0</v>
      </c>
      <c r="PD101" s="45" cm="1">
        <f t="array" ref="PD101">IFERROR(INDEX(ArchiveResults!$F$5:$IX$116,ComparisonData!A101,ComparisonData!$PD$1),0)</f>
        <v>0</v>
      </c>
      <c r="PE101" s="56">
        <v>96</v>
      </c>
      <c r="PF101" s="53" t="str">
        <f t="shared" si="698"/>
        <v>University of Glasgow, Library Research Annexe</v>
      </c>
      <c r="PG101" s="59">
        <f t="shared" si="968"/>
        <v>0</v>
      </c>
      <c r="PH101" s="59">
        <f t="shared" si="969"/>
        <v>0</v>
      </c>
      <c r="PI101" s="59">
        <f t="shared" si="970"/>
        <v>0</v>
      </c>
      <c r="PJ101" s="59">
        <f t="shared" si="971"/>
        <v>0</v>
      </c>
      <c r="PK101" s="59">
        <f t="shared" si="972"/>
        <v>0</v>
      </c>
      <c r="PL101" s="58">
        <f t="shared" si="973"/>
        <v>0</v>
      </c>
      <c r="PM101" s="45">
        <f t="shared" si="974"/>
        <v>43</v>
      </c>
      <c r="PN101" s="45">
        <f t="shared" si="699"/>
        <v>2.6489999999999996</v>
      </c>
      <c r="PO101" s="45">
        <f t="shared" si="975"/>
        <v>1</v>
      </c>
      <c r="PP101" s="45">
        <f t="shared" si="976"/>
        <v>2</v>
      </c>
      <c r="PQ101" s="45">
        <f t="shared" si="977"/>
        <v>0</v>
      </c>
      <c r="PR101" s="46" cm="1">
        <f t="array" ref="PR101">ROUND(IFERROR(INDEX(ArchiveResults!$F$5:$IX$116,ComparisonData!A101,ComparisonData!$PR$1),0),5)</f>
        <v>0</v>
      </c>
      <c r="PS101" s="46" cm="1">
        <f t="array" ref="PS101">ROUND(IFERROR(INDEX(ArchiveResults!$F$5:$IX$116,ComparisonData!A101,ComparisonData!$PS$1),0),5)</f>
        <v>0</v>
      </c>
      <c r="PT101" s="46" cm="1">
        <f t="array" ref="PT101">ROUND(IFERROR(INDEX(ArchiveResults!$F$5:$IX$116,ComparisonData!A101,ComparisonData!$PT$1),0),5)</f>
        <v>0</v>
      </c>
      <c r="PU101" s="46" cm="1">
        <f t="array" ref="PU101">ROUND(IFERROR(INDEX(ArchiveResults!$F$5:$IX$116,ComparisonData!A101,ComparisonData!$PU$1),0),5)</f>
        <v>0</v>
      </c>
      <c r="PV101" s="45" cm="1">
        <f t="array" ref="PV101">IFERROR(INDEX(ArchiveResults!$F$5:$IX$116,ComparisonData!A101,ComparisonData!$PV$1),0)</f>
        <v>0</v>
      </c>
      <c r="PW101" s="56">
        <v>96</v>
      </c>
      <c r="PX101" s="53" t="str">
        <f t="shared" si="700"/>
        <v>University of Glasgow, Library Research Annexe</v>
      </c>
      <c r="PY101" s="59">
        <f t="shared" si="978"/>
        <v>0</v>
      </c>
      <c r="PZ101" s="59">
        <f t="shared" si="979"/>
        <v>0</v>
      </c>
      <c r="QA101" s="59">
        <f t="shared" si="980"/>
        <v>0</v>
      </c>
      <c r="QB101" s="59">
        <f t="shared" si="981"/>
        <v>0</v>
      </c>
      <c r="QC101" s="59">
        <f t="shared" si="982"/>
        <v>0</v>
      </c>
      <c r="QD101" s="58">
        <f t="shared" si="983"/>
        <v>0</v>
      </c>
      <c r="QE101" s="45">
        <f t="shared" si="984"/>
        <v>43</v>
      </c>
      <c r="QF101" s="45">
        <f t="shared" si="701"/>
        <v>2.6489999999999996</v>
      </c>
      <c r="QG101" s="45">
        <f t="shared" si="985"/>
        <v>1</v>
      </c>
      <c r="QH101" s="45">
        <f t="shared" si="986"/>
        <v>2</v>
      </c>
      <c r="QI101" s="45">
        <f t="shared" si="987"/>
        <v>0</v>
      </c>
      <c r="QJ101" s="46" cm="1">
        <f t="array" ref="QJ101">ROUND(IFERROR(INDEX(ArchiveResults!$F$5:$IX$116,ComparisonData!A101,ComparisonData!$QJ$1),0),5)</f>
        <v>0</v>
      </c>
      <c r="QK101" s="46" cm="1">
        <f t="array" ref="QK101">ROUND(IFERROR(INDEX(ArchiveResults!$F$5:$IX$116,ComparisonData!A101,ComparisonData!$QK$1),0),5)</f>
        <v>0</v>
      </c>
      <c r="QL101" s="46" cm="1">
        <f t="array" ref="QL101">ROUND(IFERROR(INDEX(ArchiveResults!$F$5:$IX$116,ComparisonData!A101,ComparisonData!$QL$1),0),5)</f>
        <v>0</v>
      </c>
      <c r="QM101" s="46" cm="1">
        <f t="array" ref="QM101">ROUND(IFERROR(INDEX(ArchiveResults!$F$5:$IX$116,ComparisonData!A101,ComparisonData!$QM$1),0),5)</f>
        <v>0</v>
      </c>
      <c r="QN101" s="45" cm="1">
        <f t="array" ref="QN101">IFERROR(INDEX(ArchiveResults!$F$5:$IX$116,ComparisonData!A101,ComparisonData!$QN$1),0)</f>
        <v>0</v>
      </c>
      <c r="QO101" s="56">
        <v>96</v>
      </c>
      <c r="QP101" s="53" t="str">
        <f t="shared" si="702"/>
        <v>University of Glasgow, Library Research Annexe</v>
      </c>
      <c r="QQ101" s="59">
        <f t="shared" si="988"/>
        <v>0</v>
      </c>
      <c r="QR101" s="59">
        <f t="shared" si="989"/>
        <v>0</v>
      </c>
      <c r="QS101" s="59">
        <f t="shared" si="990"/>
        <v>0</v>
      </c>
      <c r="QT101" s="59">
        <f t="shared" si="991"/>
        <v>0</v>
      </c>
      <c r="QU101" s="59">
        <f t="shared" si="992"/>
        <v>0</v>
      </c>
      <c r="QV101" s="58">
        <f t="shared" si="993"/>
        <v>0</v>
      </c>
      <c r="QW101" s="45">
        <f t="shared" si="994"/>
        <v>43</v>
      </c>
      <c r="QX101" s="45">
        <f t="shared" si="703"/>
        <v>2.6489999999999996</v>
      </c>
      <c r="QY101" s="45">
        <f t="shared" si="995"/>
        <v>1</v>
      </c>
      <c r="QZ101" s="45">
        <f t="shared" si="996"/>
        <v>2</v>
      </c>
      <c r="RA101" s="45">
        <f t="shared" si="997"/>
        <v>0</v>
      </c>
      <c r="RB101" s="46" cm="1">
        <f t="array" ref="RB101">ROUND(IFERROR(INDEX(ArchiveResults!$F$5:$IX$116,ComparisonData!A101,ComparisonData!$RB$1),0),5)</f>
        <v>0</v>
      </c>
      <c r="RC101" s="46" cm="1">
        <f t="array" ref="RC101">ROUND(IFERROR(INDEX(ArchiveResults!$F$5:$IX$116,ComparisonData!A101,ComparisonData!$RC$1),0),5)</f>
        <v>0</v>
      </c>
      <c r="RD101" s="46" cm="1">
        <f t="array" ref="RD101">ROUND(IFERROR(INDEX(ArchiveResults!$F$5:$IX$116,ComparisonData!A101,ComparisonData!$RD$1),0),5)</f>
        <v>0</v>
      </c>
      <c r="RE101" s="46" cm="1">
        <f t="array" ref="RE101">ROUND(IFERROR(INDEX(ArchiveResults!$F$5:$IX$116,ComparisonData!A101,ComparisonData!$RE$1),0),5)</f>
        <v>0</v>
      </c>
      <c r="RF101" s="45" cm="1">
        <f t="array" ref="RF101">IFERROR(INDEX(ArchiveResults!$F$5:$IX$116,ComparisonData!A101,ComparisonData!$RF$1),0)</f>
        <v>0</v>
      </c>
      <c r="RG101" s="56">
        <v>96</v>
      </c>
      <c r="RH101" s="53" t="str">
        <f t="shared" si="704"/>
        <v>University of Glasgow, Library Research Annexe</v>
      </c>
      <c r="RI101" s="59">
        <f t="shared" si="998"/>
        <v>0</v>
      </c>
      <c r="RJ101" s="59">
        <f t="shared" si="999"/>
        <v>0</v>
      </c>
      <c r="RK101" s="59">
        <f t="shared" si="1000"/>
        <v>0</v>
      </c>
      <c r="RL101" s="59">
        <f t="shared" si="1001"/>
        <v>0</v>
      </c>
      <c r="RM101" s="59">
        <f t="shared" si="1002"/>
        <v>0</v>
      </c>
      <c r="RN101" s="58">
        <f t="shared" si="1003"/>
        <v>0</v>
      </c>
      <c r="RO101" s="45">
        <f t="shared" si="1004"/>
        <v>43</v>
      </c>
      <c r="RP101" s="45">
        <f t="shared" si="705"/>
        <v>2.6489999999999996</v>
      </c>
      <c r="RQ101" s="45">
        <f t="shared" si="1005"/>
        <v>1</v>
      </c>
      <c r="RR101" s="45">
        <f t="shared" si="1006"/>
        <v>2</v>
      </c>
      <c r="RS101" s="45">
        <f t="shared" si="1007"/>
        <v>0</v>
      </c>
      <c r="RT101" s="46" cm="1">
        <f t="array" ref="RT101">ROUND(IFERROR(INDEX(ArchiveResults!$F$5:$IX$116,ComparisonData!A101,ComparisonData!$RT$1),0),5)</f>
        <v>0</v>
      </c>
      <c r="RU101" s="46" cm="1">
        <f t="array" ref="RU101">ROUND(IFERROR(INDEX(ArchiveResults!$F$5:$IX$116,ComparisonData!A101,ComparisonData!$RU$1),0),5)</f>
        <v>0</v>
      </c>
      <c r="RV101" s="46" cm="1">
        <f t="array" ref="RV101">ROUND(IFERROR(INDEX(ArchiveResults!$F$5:$IX$116,ComparisonData!A101,ComparisonData!$RV$1),0),5)</f>
        <v>0</v>
      </c>
      <c r="RW101" s="46" cm="1">
        <f t="array" ref="RW101">ROUND(IFERROR(INDEX(ArchiveResults!$F$5:$IX$116,ComparisonData!A101,ComparisonData!$RW$1),0),5)</f>
        <v>0</v>
      </c>
      <c r="RX101" s="45" cm="1">
        <f t="array" ref="RX101">IFERROR(INDEX(ArchiveResults!$F$5:$IX$116,ComparisonData!A101,ComparisonData!$RX$1),0)</f>
        <v>0</v>
      </c>
      <c r="RY101" s="56">
        <v>96</v>
      </c>
      <c r="RZ101" s="53" t="str">
        <f t="shared" si="706"/>
        <v>University of Glasgow, Library Research Annexe</v>
      </c>
      <c r="SA101" s="59">
        <f t="shared" si="1008"/>
        <v>0</v>
      </c>
      <c r="SB101" s="59">
        <f t="shared" si="1009"/>
        <v>0</v>
      </c>
      <c r="SC101" s="59">
        <f t="shared" si="1010"/>
        <v>0</v>
      </c>
      <c r="SD101" s="59">
        <f t="shared" si="1011"/>
        <v>0</v>
      </c>
      <c r="SE101" s="59">
        <f t="shared" si="1012"/>
        <v>0</v>
      </c>
      <c r="SF101" s="58">
        <f t="shared" si="1013"/>
        <v>0</v>
      </c>
      <c r="SG101" s="45">
        <f t="shared" si="1014"/>
        <v>43</v>
      </c>
      <c r="SH101" s="45">
        <f t="shared" si="707"/>
        <v>2.6489999999999996</v>
      </c>
      <c r="SI101" s="45">
        <f t="shared" si="1015"/>
        <v>1</v>
      </c>
      <c r="SJ101" s="45">
        <f t="shared" si="1016"/>
        <v>2</v>
      </c>
      <c r="SK101" s="45">
        <f t="shared" si="1017"/>
        <v>0</v>
      </c>
      <c r="SL101" s="46" cm="1">
        <f t="array" ref="SL101">ROUND(IFERROR(INDEX(ArchiveResults!$F$5:$IX$116,ComparisonData!A101,ComparisonData!$SL$1),0),5)</f>
        <v>0</v>
      </c>
      <c r="SM101" s="46" cm="1">
        <f t="array" ref="SM101">ROUND(IFERROR(INDEX(ArchiveResults!$F$5:$IX$116,ComparisonData!A101,ComparisonData!$SM$1),0),5)</f>
        <v>0</v>
      </c>
      <c r="SN101" s="46" cm="1">
        <f t="array" ref="SN101">ROUND(IFERROR(INDEX(ArchiveResults!$F$5:$IX$116,ComparisonData!A101,ComparisonData!$SN$1),0),5)</f>
        <v>0</v>
      </c>
      <c r="SO101" s="46" cm="1">
        <f t="array" ref="SO101">ROUND(IFERROR(INDEX(ArchiveResults!$F$5:$IX$116,ComparisonData!A101,ComparisonData!$SO$1),0),5)</f>
        <v>0</v>
      </c>
      <c r="SP101" s="45" cm="1">
        <f t="array" ref="SP101">IFERROR(INDEX(ArchiveResults!$F$5:$IX$116,ComparisonData!A101,ComparisonData!$SP$1),0)</f>
        <v>0</v>
      </c>
      <c r="SQ101" s="56">
        <v>96</v>
      </c>
      <c r="SR101" s="53" t="str">
        <f t="shared" si="708"/>
        <v>University of Glasgow, Library Research Annexe</v>
      </c>
      <c r="SS101" s="59">
        <f t="shared" si="1018"/>
        <v>0</v>
      </c>
      <c r="ST101" s="59">
        <f t="shared" si="1019"/>
        <v>0</v>
      </c>
      <c r="SU101" s="59">
        <f t="shared" si="1020"/>
        <v>0</v>
      </c>
      <c r="SV101" s="59">
        <f t="shared" si="1021"/>
        <v>0</v>
      </c>
      <c r="SW101" s="59">
        <f t="shared" si="1022"/>
        <v>0</v>
      </c>
      <c r="SX101" s="58">
        <f t="shared" si="1023"/>
        <v>0</v>
      </c>
      <c r="SY101" s="45">
        <f t="shared" si="1024"/>
        <v>43</v>
      </c>
      <c r="SZ101" s="45">
        <f t="shared" si="709"/>
        <v>2.6489999999999996</v>
      </c>
      <c r="TA101" s="45">
        <f t="shared" si="1025"/>
        <v>1</v>
      </c>
      <c r="TB101" s="45">
        <f t="shared" si="1026"/>
        <v>2</v>
      </c>
      <c r="TC101" s="45">
        <f t="shared" si="1027"/>
        <v>0</v>
      </c>
      <c r="TD101" s="46" cm="1">
        <f t="array" ref="TD101">ROUND(IFERROR(INDEX(ArchiveResults!$F$5:$IX$116,ComparisonData!A101,ComparisonData!$TD$1),0),5)</f>
        <v>0</v>
      </c>
      <c r="TE101" s="46" cm="1">
        <f t="array" ref="TE101">ROUND(IFERROR(INDEX(ArchiveResults!$F$5:$IX$116,ComparisonData!A101,ComparisonData!$TE$1),0),5)</f>
        <v>0</v>
      </c>
      <c r="TF101" s="46" cm="1">
        <f t="array" ref="TF101">ROUND(IFERROR(INDEX(ArchiveResults!$F$5:$IX$116,ComparisonData!A101,ComparisonData!$TF$1),0),5)</f>
        <v>0</v>
      </c>
      <c r="TG101" s="46" cm="1">
        <f t="array" ref="TG101">ROUND(IFERROR(INDEX(ArchiveResults!$F$5:$IX$116,ComparisonData!A101,ComparisonData!$TG$1),0),5)</f>
        <v>0</v>
      </c>
      <c r="TH101" s="45" cm="1">
        <f t="array" ref="TH101">IFERROR(INDEX(ArchiveResults!$F$5:$IX$116,ComparisonData!A101,ComparisonData!$TH$1),0)</f>
        <v>0</v>
      </c>
      <c r="TI101" s="56">
        <v>96</v>
      </c>
      <c r="TJ101" s="53" t="str">
        <f t="shared" si="710"/>
        <v>University of Glasgow, Library Research Annexe</v>
      </c>
      <c r="TK101" s="59">
        <f t="shared" si="1028"/>
        <v>0</v>
      </c>
      <c r="TL101" s="59">
        <f t="shared" si="1029"/>
        <v>0</v>
      </c>
      <c r="TM101" s="59">
        <f t="shared" si="1030"/>
        <v>0</v>
      </c>
      <c r="TN101" s="59">
        <f t="shared" si="1031"/>
        <v>0</v>
      </c>
      <c r="TO101" s="59">
        <f t="shared" si="1032"/>
        <v>0</v>
      </c>
      <c r="TP101" s="58">
        <f t="shared" si="1033"/>
        <v>0</v>
      </c>
      <c r="TQ101" s="45">
        <f t="shared" si="1034"/>
        <v>43</v>
      </c>
      <c r="TR101" s="45">
        <f t="shared" si="711"/>
        <v>2.6489999999999996</v>
      </c>
      <c r="TS101" s="45">
        <f t="shared" si="1035"/>
        <v>1</v>
      </c>
      <c r="TT101" s="45">
        <f t="shared" si="1036"/>
        <v>2</v>
      </c>
      <c r="TU101" s="45">
        <f t="shared" si="1037"/>
        <v>0</v>
      </c>
      <c r="TV101" s="46" cm="1">
        <f t="array" ref="TV101">ROUND(IFERROR(INDEX(ArchiveResults!$F$5:$IX$116,ComparisonData!A101,ComparisonData!$TV$1),0),5)</f>
        <v>0</v>
      </c>
      <c r="TW101" s="46" cm="1">
        <f t="array" ref="TW101">ROUND(IFERROR(INDEX(ArchiveResults!$F$5:$IX$116,ComparisonData!A101,ComparisonData!$TW$1),0),5)</f>
        <v>0</v>
      </c>
      <c r="TX101" s="46" cm="1">
        <f t="array" ref="TX101">ROUND(IFERROR(INDEX(ArchiveResults!$F$5:$IX$116,ComparisonData!A101,ComparisonData!$TX$1),0),5)</f>
        <v>0</v>
      </c>
      <c r="TY101" s="46" cm="1">
        <f t="array" ref="TY101">ROUND(IFERROR(INDEX(ArchiveResults!$F$5:$IX$116,ComparisonData!A101,ComparisonData!$TY$1),0),5)</f>
        <v>0</v>
      </c>
      <c r="TZ101" s="45" cm="1">
        <f t="array" ref="TZ101">IFERROR(INDEX(ArchiveResults!$F$5:$IX$116,ComparisonData!A101,ComparisonData!$TZ$1),0)</f>
        <v>0</v>
      </c>
      <c r="UA101" s="56">
        <v>96</v>
      </c>
      <c r="UB101" s="53" t="str">
        <f t="shared" si="712"/>
        <v>University of Glasgow, Library Research Annexe</v>
      </c>
      <c r="UC101" s="60">
        <f t="shared" si="1038"/>
        <v>0</v>
      </c>
      <c r="UD101" s="60">
        <f t="shared" si="1039"/>
        <v>0</v>
      </c>
      <c r="UE101" s="60">
        <f t="shared" si="1040"/>
        <v>0</v>
      </c>
      <c r="UF101" s="60">
        <f t="shared" si="1041"/>
        <v>0</v>
      </c>
      <c r="UG101" s="60">
        <f t="shared" si="1042"/>
        <v>0</v>
      </c>
      <c r="UH101" s="58">
        <f t="shared" si="1043"/>
        <v>0</v>
      </c>
      <c r="UI101" s="46">
        <f t="shared" si="1044"/>
        <v>43</v>
      </c>
      <c r="UJ101" s="46">
        <f t="shared" si="713"/>
        <v>2.6489999999999996</v>
      </c>
      <c r="UK101" s="46">
        <f t="shared" si="1045"/>
        <v>1</v>
      </c>
      <c r="UL101" s="46">
        <f t="shared" si="1046"/>
        <v>2</v>
      </c>
      <c r="UM101" s="46" cm="1">
        <f t="array" ref="UM101">ROUND(IFERROR(INDEX(ArchiveResults!$F$5:$IX$116,ComparisonData!A101,ComparisonData!$UM$1),0),5)</f>
        <v>0</v>
      </c>
      <c r="UN101" s="56">
        <v>96</v>
      </c>
      <c r="UO101" s="53" t="str">
        <f t="shared" si="714"/>
        <v>University of Glasgow, Library Research Annexe</v>
      </c>
      <c r="UP101" s="46">
        <f t="shared" si="1047"/>
        <v>0</v>
      </c>
      <c r="UQ101" s="76">
        <f t="shared" si="1048"/>
        <v>0</v>
      </c>
      <c r="UR101" s="46">
        <f t="shared" si="1049"/>
        <v>43</v>
      </c>
      <c r="US101" s="46">
        <f t="shared" si="715"/>
        <v>2.6489999999999996</v>
      </c>
      <c r="UT101" s="46">
        <f t="shared" si="1050"/>
        <v>1</v>
      </c>
      <c r="UU101" s="46">
        <f t="shared" si="1051"/>
        <v>2</v>
      </c>
      <c r="UV101" s="46">
        <f t="shared" si="1052"/>
        <v>0</v>
      </c>
      <c r="UW101" s="46" cm="1">
        <f t="array" ref="UW101">ROUND(IFERROR(INDEX(ArchiveResults!$F$5:$IX$116,ComparisonData!A101,ComparisonData!$UW$1),0),5)</f>
        <v>0</v>
      </c>
      <c r="UX101" s="46" cm="1">
        <f t="array" ref="UX101">ROUND(IFERROR(INDEX(ArchiveResults!$F$5:$IX$116,ComparisonData!A101,ComparisonData!$UX$1),0),5)</f>
        <v>0</v>
      </c>
      <c r="UY101" s="46" cm="1">
        <f t="array" ref="UY101">ROUND(IFERROR(INDEX(ArchiveResults!$F$5:$IX$116,ComparisonData!A101,ComparisonData!$UY$1),0),5)</f>
        <v>0</v>
      </c>
      <c r="UZ101" s="46" cm="1">
        <f t="array" ref="UZ101">ROUND(IFERROR(INDEX(ArchiveResults!$F$5:$IX$116,ComparisonData!A101,ComparisonData!$UZ$1),0),5)</f>
        <v>0</v>
      </c>
      <c r="VA101" s="46" cm="1">
        <f t="array" ref="VA101">ROUND(IFERROR(INDEX(ArchiveResults!$F$5:$IX$116,ComparisonData!A101,ComparisonData!$VA$1),0),5)</f>
        <v>0</v>
      </c>
      <c r="VB101" s="56">
        <v>96</v>
      </c>
      <c r="VC101" s="53" t="str">
        <f t="shared" si="716"/>
        <v>University of Glasgow, Library Research Annexe</v>
      </c>
      <c r="VD101" s="60">
        <f t="shared" si="1053"/>
        <v>0</v>
      </c>
      <c r="VE101" s="60">
        <f t="shared" si="1054"/>
        <v>0</v>
      </c>
      <c r="VF101" s="60">
        <f t="shared" si="1055"/>
        <v>0</v>
      </c>
      <c r="VG101" s="60">
        <f t="shared" si="1056"/>
        <v>0</v>
      </c>
      <c r="VH101" s="60">
        <f t="shared" si="1057"/>
        <v>0</v>
      </c>
      <c r="VI101" s="76">
        <f t="shared" si="1058"/>
        <v>0</v>
      </c>
      <c r="VJ101" s="46">
        <f t="shared" si="1059"/>
        <v>43</v>
      </c>
      <c r="VK101" s="46">
        <f t="shared" si="717"/>
        <v>2.6489999999999996</v>
      </c>
      <c r="VL101" s="46">
        <f t="shared" si="1060"/>
        <v>1</v>
      </c>
      <c r="VM101" s="46">
        <f t="shared" si="1061"/>
        <v>2</v>
      </c>
      <c r="VN101" s="46" cm="1">
        <f t="array" ref="VN101">ROUND(IFERROR(INDEX(ArchiveResults!$F$5:$IX$116,ComparisonData!A101,ComparisonData!$VN$1),0),5)</f>
        <v>0</v>
      </c>
      <c r="VO101" s="46" cm="1">
        <f t="array" ref="VO101">ROUND(IFERROR(INDEX(ArchiveResults!$F$5:$IX$116,ComparisonData!A101,ComparisonData!$VO$1),0),5)</f>
        <v>0</v>
      </c>
      <c r="VP101" s="46" cm="1">
        <f t="array" ref="VP101">ROUND(IFERROR(INDEX(ArchiveResults!$F$5:$IX$116,ComparisonData!A101,ComparisonData!$VP$1),0),5)</f>
        <v>0</v>
      </c>
      <c r="VQ101" s="46" cm="1">
        <f t="array" ref="VQ101">ROUND(IFERROR(INDEX(ArchiveResults!$F$5:$IX$116,ComparisonData!A101,ComparisonData!$VQ$1),0),5)</f>
        <v>0</v>
      </c>
      <c r="VR101" s="56">
        <v>96</v>
      </c>
      <c r="VS101" s="53" t="str">
        <f t="shared" si="718"/>
        <v>University of Glasgow, Library Research Annexe</v>
      </c>
      <c r="VT101" s="60">
        <f t="shared" si="1062"/>
        <v>0</v>
      </c>
      <c r="VU101" s="60">
        <f t="shared" si="1063"/>
        <v>0</v>
      </c>
      <c r="VV101" s="60">
        <f t="shared" si="1064"/>
        <v>0</v>
      </c>
      <c r="VW101" s="60">
        <f t="shared" si="1065"/>
        <v>0</v>
      </c>
      <c r="VX101" s="76">
        <f t="shared" si="1066"/>
        <v>0</v>
      </c>
      <c r="VY101" s="46">
        <f t="shared" si="1067"/>
        <v>43</v>
      </c>
      <c r="VZ101" s="46">
        <f t="shared" si="719"/>
        <v>2.6489999999999996</v>
      </c>
      <c r="WA101" s="46">
        <f t="shared" si="1068"/>
        <v>1</v>
      </c>
      <c r="WB101" s="46">
        <f t="shared" si="1069"/>
        <v>2</v>
      </c>
      <c r="WC101" s="46" cm="1">
        <f t="array" ref="WC101">ROUND(IFERROR(INDEX(ArchiveResults!$F$5:$IX$116,ComparisonData!A101,ComparisonData!$WC$1),0),5)</f>
        <v>0</v>
      </c>
      <c r="WD101" s="56">
        <v>96</v>
      </c>
      <c r="WE101" s="53" t="str">
        <f t="shared" si="720"/>
        <v>University of Glasgow, Library Research Annexe</v>
      </c>
      <c r="WF101" s="46">
        <f t="shared" si="1070"/>
        <v>0</v>
      </c>
      <c r="WG101" s="76">
        <f t="shared" si="1071"/>
        <v>0</v>
      </c>
      <c r="WH101" s="46">
        <f t="shared" si="1072"/>
        <v>43</v>
      </c>
      <c r="WI101" s="46">
        <f t="shared" si="721"/>
        <v>2.6489999999999996</v>
      </c>
      <c r="WJ101" s="46">
        <f t="shared" si="1073"/>
        <v>1</v>
      </c>
      <c r="WK101" s="46">
        <f t="shared" si="1074"/>
        <v>2</v>
      </c>
      <c r="WL101" s="46" cm="1">
        <f t="array" ref="WL101">ROUND(IFERROR(INDEX(ArchiveResults!$F$5:$IX$116,ComparisonData!A101,ComparisonData!$WL$1),0),5)</f>
        <v>0</v>
      </c>
      <c r="WM101" s="46" cm="1">
        <f t="array" ref="WM101">IFERROR(INDEX(ArchiveResults!$F$5:$IX$116,ComparisonData!A101,ComparisonData!$WM$1),0)</f>
        <v>0</v>
      </c>
      <c r="WN101" s="56">
        <v>96</v>
      </c>
      <c r="WO101" s="53" t="str">
        <f t="shared" si="722"/>
        <v>University of Glasgow, Library Research Annexe</v>
      </c>
      <c r="WP101" s="60">
        <f t="shared" si="1075"/>
        <v>0</v>
      </c>
      <c r="WQ101" s="60">
        <f t="shared" si="1076"/>
        <v>0</v>
      </c>
      <c r="WR101" s="76">
        <f t="shared" si="1077"/>
        <v>0</v>
      </c>
      <c r="WS101" s="46">
        <f t="shared" si="1078"/>
        <v>43</v>
      </c>
      <c r="WT101" s="46">
        <f t="shared" si="723"/>
        <v>2.6489999999999996</v>
      </c>
      <c r="WU101" s="46">
        <f t="shared" si="1079"/>
        <v>1</v>
      </c>
      <c r="WV101" s="46">
        <f t="shared" si="1080"/>
        <v>2</v>
      </c>
      <c r="WW101" s="46" cm="1">
        <f t="array" ref="WW101">ROUND(VALUE(IFERROR(INDEX(ArchiveResults!$F$5:$IX$116,ComparisonData!A101,ComparisonData!$WW$1),0)),5)</f>
        <v>0</v>
      </c>
      <c r="WX101" s="46" cm="1">
        <f t="array" ref="WX101">ROUND(IFERROR(INDEX(ArchiveResults!$F$5:$IX$116,ComparisonData!A101,ComparisonData!$WX$1),0),5)</f>
        <v>0</v>
      </c>
      <c r="WY101" s="56">
        <v>96</v>
      </c>
      <c r="WZ101" s="53" t="str">
        <f t="shared" si="724"/>
        <v>University of Glasgow, Library Research Annexe</v>
      </c>
      <c r="XA101" s="60">
        <f t="shared" si="725"/>
        <v>0</v>
      </c>
      <c r="XB101" s="60">
        <f t="shared" si="726"/>
        <v>0</v>
      </c>
      <c r="XC101" s="76">
        <f t="shared" si="1081"/>
        <v>0</v>
      </c>
      <c r="XD101" s="46">
        <f t="shared" si="1082"/>
        <v>43</v>
      </c>
      <c r="XE101" s="46">
        <f t="shared" si="727"/>
        <v>2.6489999999999996</v>
      </c>
      <c r="XF101" s="46">
        <f t="shared" si="1083"/>
        <v>1</v>
      </c>
      <c r="XG101" s="46">
        <f t="shared" si="1084"/>
        <v>2</v>
      </c>
      <c r="XH101" s="46" cm="1">
        <f t="array" ref="XH101">ROUND(VALUE(IFERROR(INDEX(ArchiveResults!$F$5:$IX$116,ComparisonData!A101,ComparisonData!$XH$1),0)),5)</f>
        <v>0</v>
      </c>
      <c r="XI101" s="46" cm="1">
        <f t="array" ref="XI101">ROUND(VALUE(IFERROR(INDEX(ArchiveResults!$F$5:$IX$116,ComparisonData!A101,ComparisonData!$XI$1),0)),5)</f>
        <v>0</v>
      </c>
      <c r="XJ101" s="56">
        <v>96</v>
      </c>
      <c r="XK101" s="53" t="str">
        <f t="shared" si="728"/>
        <v>University of Glasgow, Library Research Annexe</v>
      </c>
      <c r="XL101" s="60">
        <f t="shared" si="1085"/>
        <v>0</v>
      </c>
      <c r="XM101" s="60">
        <f t="shared" si="1086"/>
        <v>0</v>
      </c>
      <c r="XN101" s="76">
        <f t="shared" si="1087"/>
        <v>0</v>
      </c>
      <c r="XO101" s="46">
        <f t="shared" si="1088"/>
        <v>43</v>
      </c>
      <c r="XP101" s="46">
        <f t="shared" si="729"/>
        <v>2.6489999999999996</v>
      </c>
      <c r="XQ101" s="46">
        <f t="shared" si="1089"/>
        <v>1</v>
      </c>
      <c r="XR101" s="46">
        <f t="shared" si="1090"/>
        <v>2</v>
      </c>
      <c r="XS101" s="46" cm="1">
        <f t="array" ref="XS101">ROUND(VALUE(IFERROR(INDEX(ArchiveResults!$F$5:$IX$116,ComparisonData!A101,ComparisonData!$XS$1),0)),5)</f>
        <v>0</v>
      </c>
      <c r="XT101" s="46" cm="1">
        <f t="array" ref="XT101">ROUND(VALUE(IFERROR(INDEX(ArchiveResults!$F$5:$IX$116,ComparisonData!A101,ComparisonData!$XT$1),0)),5)</f>
        <v>0</v>
      </c>
      <c r="XU101" s="56">
        <v>96</v>
      </c>
      <c r="XV101" s="53" t="str">
        <f t="shared" si="730"/>
        <v>University of Glasgow, Library Research Annexe</v>
      </c>
      <c r="XW101" s="60">
        <f t="shared" si="1091"/>
        <v>0</v>
      </c>
      <c r="XX101" s="60">
        <f t="shared" si="1092"/>
        <v>0</v>
      </c>
      <c r="XY101" s="76">
        <f t="shared" si="1093"/>
        <v>0</v>
      </c>
      <c r="XZ101" s="46">
        <f t="shared" si="1094"/>
        <v>43</v>
      </c>
      <c r="YA101" s="46">
        <f t="shared" si="731"/>
        <v>2.6489999999999996</v>
      </c>
      <c r="YB101" s="46">
        <f t="shared" si="1095"/>
        <v>1</v>
      </c>
      <c r="YC101" s="46">
        <f t="shared" si="1096"/>
        <v>2</v>
      </c>
      <c r="YD101" s="46" cm="1">
        <f t="array" ref="YD101">ROUND(VALUE(IFERROR(INDEX(ArchiveResults!$F$5:$IX$116,ComparisonData!A101,ComparisonData!$YD$1),0)),5)</f>
        <v>0</v>
      </c>
      <c r="YE101" s="46" cm="1">
        <f t="array" ref="YE101">ROUND(VALUE(IFERROR(INDEX(ArchiveResults!$F$5:$IX$116,ComparisonData!A101,ComparisonData!$YE$1),0)),5)</f>
        <v>0</v>
      </c>
      <c r="YF101" s="56">
        <v>96</v>
      </c>
      <c r="YG101" s="53" t="str">
        <f t="shared" si="732"/>
        <v>University of Glasgow, Library Research Annexe</v>
      </c>
      <c r="YH101" s="60">
        <f t="shared" si="1097"/>
        <v>0</v>
      </c>
      <c r="YI101" s="60">
        <f t="shared" si="1098"/>
        <v>0</v>
      </c>
      <c r="YJ101" s="76">
        <f t="shared" si="1099"/>
        <v>0</v>
      </c>
      <c r="YK101" s="46">
        <f t="shared" si="1100"/>
        <v>43</v>
      </c>
      <c r="YL101" s="46">
        <f t="shared" si="733"/>
        <v>2.6489999999999996</v>
      </c>
      <c r="YM101" s="46">
        <f t="shared" si="1101"/>
        <v>1</v>
      </c>
      <c r="YN101" s="46">
        <f t="shared" si="1102"/>
        <v>2</v>
      </c>
      <c r="YO101" s="46" cm="1">
        <f t="array" ref="YO101">ROUND(VALUE(IFERROR(INDEX(ArchiveResults!$F$5:$IX$116,ComparisonData!A101,ComparisonData!$YO$1),0)),5)</f>
        <v>0</v>
      </c>
      <c r="YP101" s="46" cm="1">
        <f t="array" ref="YP101">ROUND(VALUE(IFERROR(INDEX(ArchiveResults!$F$5:$IX$116,ComparisonData!A101,ComparisonData!$YP$1),0)),5)</f>
        <v>0</v>
      </c>
      <c r="YQ101" s="56">
        <v>96</v>
      </c>
      <c r="YR101" s="53" t="str">
        <f t="shared" si="734"/>
        <v>University of Glasgow, Library Research Annexe</v>
      </c>
      <c r="YS101" s="60">
        <f t="shared" si="1103"/>
        <v>0</v>
      </c>
      <c r="YT101" s="60">
        <f t="shared" si="1104"/>
        <v>0</v>
      </c>
      <c r="YU101" s="76">
        <f t="shared" si="1105"/>
        <v>0</v>
      </c>
      <c r="YV101" s="46">
        <f t="shared" si="1106"/>
        <v>43</v>
      </c>
      <c r="YW101" s="46">
        <f t="shared" si="735"/>
        <v>2.6489999999999996</v>
      </c>
      <c r="YX101" s="46">
        <f t="shared" si="1107"/>
        <v>1</v>
      </c>
      <c r="YY101" s="46">
        <f t="shared" si="1108"/>
        <v>2</v>
      </c>
      <c r="YZ101" s="46">
        <f t="shared" si="1109"/>
        <v>0</v>
      </c>
      <c r="ZA101" s="46" cm="1">
        <f t="array" ref="ZA101">ROUNDDOWN(VALUE(IFERROR(INDEX(ArchiveResults!$F$5:$IX$116,ComparisonData!A101,ComparisonData!$ZA$1),0)),5)</f>
        <v>0</v>
      </c>
      <c r="ZB101" s="46" cm="1">
        <f t="array" ref="ZB101">ROUNDDOWN(VALUE(IFERROR(INDEX(ArchiveResults!$F$5:$IX$116,ComparisonData!A101,ComparisonData!$ZB$1),0)),5)</f>
        <v>0</v>
      </c>
      <c r="ZC101" s="46" cm="1">
        <f t="array" ref="ZC101">ROUNDDOWN(VALUE(IFERROR(INDEX(ArchiveResults!$F$5:$IX$116,ComparisonData!A101,ComparisonData!$ZC$1),0)),5)</f>
        <v>0</v>
      </c>
      <c r="ZD101" s="46" cm="1">
        <f t="array" ref="ZD101">ROUNDDOWN(VALUE(IFERROR(INDEX(ArchiveResults!$F$5:$IX$116,ComparisonData!A101,ComparisonData!$ZD$1),0)),5)</f>
        <v>0</v>
      </c>
      <c r="ZE101" s="46" cm="1">
        <f t="array" ref="ZE101">ROUNDDOWN(VALUE(IFERROR(INDEX(ArchiveResults!$F$5:$IX$116,ComparisonData!A101,ComparisonData!$ZE$1),0)),5)</f>
        <v>0</v>
      </c>
      <c r="ZF101" s="56">
        <v>96</v>
      </c>
      <c r="ZG101" s="53" t="str">
        <f t="shared" si="736"/>
        <v>University of Glasgow, Library Research Annexe</v>
      </c>
      <c r="ZH101" s="60">
        <f t="shared" si="1110"/>
        <v>0</v>
      </c>
      <c r="ZI101" s="60">
        <f t="shared" si="1111"/>
        <v>0</v>
      </c>
      <c r="ZJ101" s="60">
        <f t="shared" si="1112"/>
        <v>0</v>
      </c>
      <c r="ZK101" s="60">
        <f t="shared" si="1113"/>
        <v>0</v>
      </c>
      <c r="ZL101" s="60">
        <f t="shared" si="1114"/>
        <v>0</v>
      </c>
      <c r="ZM101" s="76">
        <f t="shared" si="1115"/>
        <v>0</v>
      </c>
      <c r="ZN101" s="46">
        <f t="shared" si="1116"/>
        <v>43</v>
      </c>
      <c r="ZO101" s="46">
        <f t="shared" si="737"/>
        <v>2.6489999999999996</v>
      </c>
      <c r="ZP101" s="46">
        <f t="shared" si="1117"/>
        <v>1</v>
      </c>
      <c r="ZQ101" s="46">
        <f t="shared" si="1118"/>
        <v>2</v>
      </c>
      <c r="ZR101" s="46" cm="1">
        <f t="array" ref="ZR101">ROUND(VALUE(IFERROR(INDEX(ArchiveResults!$F$5:$IX$116,ComparisonData!A101,ComparisonData!$ZR$1),0)),5)</f>
        <v>0</v>
      </c>
      <c r="ZS101" s="56">
        <v>96</v>
      </c>
      <c r="ZT101" s="53" t="str">
        <f t="shared" si="738"/>
        <v>University of Glasgow, Library Research Annexe</v>
      </c>
      <c r="ZU101" s="46">
        <f t="shared" si="1119"/>
        <v>0</v>
      </c>
      <c r="ZV101" s="76">
        <f t="shared" si="1120"/>
        <v>0</v>
      </c>
      <c r="ZW101" s="81" cm="1">
        <f t="array" ref="ZW101">ROUND((IFERROR(INDEX(ArchiveResults!$F$5:$IX$116,ComparisonData!A101,ComparisonData!$ZW$1),0)),5)</f>
        <v>0</v>
      </c>
      <c r="ZX101" s="81" cm="1">
        <f t="array" ref="ZX101">ROUND((IFERROR(INDEX(ArchiveResults!$F$5:$IX$116,ComparisonData!A101,ComparisonData!$ZX$1),0)),5)</f>
        <v>0</v>
      </c>
      <c r="ZY101" s="81" cm="1">
        <f t="array" ref="ZY101">ROUND((IFERROR(INDEX(ArchiveResults!$F$5:$IX$116,ComparisonData!A101,ComparisonData!$ZY$1),0)),5)</f>
        <v>0</v>
      </c>
      <c r="ZZ101" s="81" cm="1">
        <f t="array" ref="ZZ101">ROUND((IFERROR(INDEX(ArchiveResults!$F$5:$IX$116,ComparisonData!A101,ComparisonData!$ZZ$1),0)),5)</f>
        <v>0</v>
      </c>
      <c r="AAA101" s="81" cm="1">
        <f t="array" ref="AAA101">ROUND((IFERROR(INDEX(ArchiveResults!$F$5:$IX$116,ComparisonData!A101,ComparisonData!$AAA$1),0)),5)</f>
        <v>0</v>
      </c>
      <c r="AAB101" s="81" cm="1">
        <f t="array" ref="AAB101">ROUND((IFERROR(INDEX(ArchiveResults!$F$5:$IX$116,ComparisonData!A101,ComparisonData!$AAB$1),0)),5)</f>
        <v>0</v>
      </c>
      <c r="AAC101" s="81" cm="1">
        <f t="array" ref="AAC101">ROUND((IFERROR(INDEX(ArchiveResults!$F$5:$IX$116,ComparisonData!A101,ComparisonData!$AAC$1),0)),5)</f>
        <v>0</v>
      </c>
      <c r="AAD101" s="81" cm="1">
        <f t="array" ref="AAD101">ROUND((IFERROR(INDEX(ArchiveResults!$F$5:$IX$116,ComparisonData!A101,ComparisonData!$AAD$1),0)),5)</f>
        <v>0</v>
      </c>
      <c r="AAE101" s="81" cm="1">
        <f t="array" ref="AAE101">ROUND((IFERROR(INDEX(ArchiveResults!$F$5:$IX$116,ComparisonData!A101,ComparisonData!$AAE$1),0)),5)</f>
        <v>0</v>
      </c>
      <c r="AAF101" s="81" cm="1">
        <f t="array" ref="AAF101">ROUND((IFERROR(INDEX(ArchiveResults!$F$5:$IX$116,ComparisonData!A101,ComparisonData!$AAF$1),0)),5)</f>
        <v>0</v>
      </c>
      <c r="AAG101" s="46">
        <f t="shared" si="1121"/>
        <v>43</v>
      </c>
      <c r="AAH101" s="46">
        <f t="shared" si="739"/>
        <v>2.6489999999999996</v>
      </c>
      <c r="AAI101" s="46">
        <f t="shared" si="1122"/>
        <v>1</v>
      </c>
      <c r="AAJ101" s="46">
        <f t="shared" si="1123"/>
        <v>2</v>
      </c>
      <c r="AAK101" s="46">
        <f t="shared" si="1124"/>
        <v>0</v>
      </c>
      <c r="AAL101" s="46">
        <f t="shared" si="1125"/>
        <v>0</v>
      </c>
      <c r="AAM101" s="46">
        <f t="shared" si="1126"/>
        <v>0</v>
      </c>
      <c r="AAN101" s="46">
        <f t="shared" si="1127"/>
        <v>0</v>
      </c>
      <c r="AAO101" s="46">
        <f t="shared" si="1128"/>
        <v>0</v>
      </c>
      <c r="AAP101" s="46">
        <f t="shared" si="1129"/>
        <v>0</v>
      </c>
      <c r="AAQ101" s="56">
        <v>96</v>
      </c>
      <c r="AAR101" s="53" t="str">
        <f t="shared" si="740"/>
        <v>University of Glasgow, Library Research Annexe</v>
      </c>
      <c r="AAS101" s="60">
        <f t="shared" si="1130"/>
        <v>0</v>
      </c>
      <c r="AAT101" s="60">
        <f t="shared" si="1131"/>
        <v>0</v>
      </c>
      <c r="AAU101" s="60">
        <f t="shared" si="1132"/>
        <v>0</v>
      </c>
      <c r="AAV101" s="60">
        <f t="shared" si="1133"/>
        <v>0</v>
      </c>
      <c r="AAW101" s="60">
        <f t="shared" si="1134"/>
        <v>0</v>
      </c>
      <c r="AAX101" s="76">
        <f t="shared" si="1135"/>
        <v>0</v>
      </c>
      <c r="AAY101" s="46">
        <f t="shared" si="1136"/>
        <v>43</v>
      </c>
      <c r="AAZ101" s="46">
        <f t="shared" si="741"/>
        <v>2.6489999999999996</v>
      </c>
      <c r="ABA101" s="46">
        <f t="shared" si="1137"/>
        <v>1</v>
      </c>
      <c r="ABB101" s="46">
        <f t="shared" si="1138"/>
        <v>2</v>
      </c>
      <c r="ABC101" s="46">
        <f t="shared" si="742"/>
        <v>0</v>
      </c>
      <c r="ABD101" s="46" cm="1">
        <f t="array" ref="ABD101">ROUND(VALUE(IFERROR(INDEX(ArchiveResults!$F$5:$IX$116,ComparisonData!A101,ComparisonData!$ABD$1),0)),5)</f>
        <v>0</v>
      </c>
      <c r="ABE101" s="46" cm="1">
        <f t="array" ref="ABE101">ROUND(VALUE(IFERROR(INDEX(ArchiveResults!$F$5:$IX$116,ComparisonData!A101,ComparisonData!$ABE$1),0)),5)</f>
        <v>0</v>
      </c>
      <c r="ABF101" s="46" cm="1">
        <f t="array" ref="ABF101">ROUND(VALUE(IFERROR(INDEX(ArchiveResults!$F$5:$IX$116,ComparisonData!A101,ComparisonData!$ABF$1),0)),5)</f>
        <v>0</v>
      </c>
      <c r="ABG101" s="46" cm="1">
        <f t="array" ref="ABG101">ROUND(VALUE(IFERROR(INDEX(ArchiveResults!$F$5:$IX$116,ComparisonData!A101,ComparisonData!$ABG$1),0)),5)</f>
        <v>0</v>
      </c>
      <c r="ABH101" s="46" cm="1">
        <f t="array" ref="ABH101">ROUND(VALUE(IFERROR(INDEX(ArchiveResults!$F$5:$IX$116,ComparisonData!A101,ComparisonData!$ABH$1),0)),5)</f>
        <v>0</v>
      </c>
      <c r="ABI101" s="56">
        <v>96</v>
      </c>
      <c r="ABJ101" s="53" t="str">
        <f t="shared" si="743"/>
        <v>University of Glasgow, Library Research Annexe</v>
      </c>
      <c r="ABK101" s="60">
        <f t="shared" si="1139"/>
        <v>0</v>
      </c>
      <c r="ABL101" s="60">
        <f t="shared" si="1140"/>
        <v>0</v>
      </c>
      <c r="ABM101" s="60">
        <f t="shared" si="1141"/>
        <v>0</v>
      </c>
      <c r="ABN101" s="60">
        <f t="shared" si="1142"/>
        <v>0</v>
      </c>
      <c r="ABO101" s="60">
        <f t="shared" si="1143"/>
        <v>0</v>
      </c>
      <c r="ABP101" s="76">
        <f t="shared" si="1144"/>
        <v>0</v>
      </c>
      <c r="ABQ101" s="46">
        <f t="shared" si="1145"/>
        <v>43</v>
      </c>
      <c r="ABR101" s="46">
        <f t="shared" si="744"/>
        <v>2.6489999999999996</v>
      </c>
      <c r="ABS101" s="46">
        <f t="shared" si="1146"/>
        <v>1</v>
      </c>
      <c r="ABT101" s="46">
        <f t="shared" si="1147"/>
        <v>2</v>
      </c>
      <c r="ABU101" s="46" cm="1">
        <f t="array" ref="ABU101">ROUND(VALUE(IFERROR(INDEX(ArchiveResults!$F$5:$IX$116,ComparisonData!A101,ComparisonData!$ABU$1),0)),5)</f>
        <v>0</v>
      </c>
      <c r="ABV101" s="46" cm="1">
        <f t="array" ref="ABV101">ROUND(VALUE(IFERROR(INDEX(ArchiveResults!$F$5:$IX$116,ComparisonData!A101,ComparisonData!$ABV$1),0)),5)</f>
        <v>0</v>
      </c>
      <c r="ABW101" s="46" cm="1">
        <f t="array" ref="ABW101">ROUND(VALUE(IFERROR(INDEX(ArchiveResults!$F$5:$IX$116,ComparisonData!A101,ComparisonData!$ABW$1),0)),5)</f>
        <v>0</v>
      </c>
      <c r="ABX101" s="46" cm="1">
        <f t="array" ref="ABX101">ROUND(VALUE(IFERROR(INDEX(ArchiveResults!$F$5:$IX$116,ComparisonData!A101,ComparisonData!$ABX$1),0)),5)</f>
        <v>0</v>
      </c>
      <c r="ABY101" s="46" cm="1">
        <f t="array" ref="ABY101">ROUND(VALUE(IFERROR(INDEX(ArchiveResults!$F$5:$IX$116,ComparisonData!A101,ComparisonData!$ABY$1),0)),5)</f>
        <v>0</v>
      </c>
      <c r="ABZ101" s="56">
        <v>96</v>
      </c>
      <c r="ACA101" s="53" t="str">
        <f t="shared" si="745"/>
        <v>University of Glasgow, Library Research Annexe</v>
      </c>
      <c r="ACB101" s="60">
        <f t="shared" si="1148"/>
        <v>0</v>
      </c>
      <c r="ACC101" s="60">
        <f t="shared" si="1149"/>
        <v>0</v>
      </c>
      <c r="ACD101" s="60">
        <f t="shared" si="1150"/>
        <v>0</v>
      </c>
      <c r="ACE101" s="60">
        <f t="shared" si="1151"/>
        <v>0</v>
      </c>
      <c r="ACF101" s="60">
        <f t="shared" si="1152"/>
        <v>0</v>
      </c>
      <c r="ACG101" s="76">
        <f t="shared" si="1153"/>
        <v>0</v>
      </c>
      <c r="ACH101" s="46">
        <f t="shared" si="1154"/>
        <v>43</v>
      </c>
      <c r="ACI101" s="46">
        <f t="shared" si="746"/>
        <v>2.6489999999999996</v>
      </c>
      <c r="ACJ101" s="46">
        <f t="shared" si="1155"/>
        <v>1</v>
      </c>
      <c r="ACK101" s="46">
        <f t="shared" si="1156"/>
        <v>2</v>
      </c>
      <c r="ACL101" s="46">
        <f t="shared" si="1157"/>
        <v>0</v>
      </c>
      <c r="ACM101" s="46" cm="1">
        <f t="array" ref="ACM101">ROUND(IFERROR(INDEX(ArchiveResults!$F$5:$IX$116,ComparisonData!A101,ComparisonData!$ACM$1),0),5)</f>
        <v>0</v>
      </c>
      <c r="ACN101" s="46" cm="1">
        <f t="array" ref="ACN101">ROUND(IFERROR(INDEX(ArchiveResults!$F$5:$IX$116,ComparisonData!A101,ComparisonData!$ACN$1),0),5)</f>
        <v>0</v>
      </c>
      <c r="ACO101" s="56">
        <v>96</v>
      </c>
      <c r="ACP101" s="53" t="str">
        <f t="shared" si="747"/>
        <v>University of Glasgow, Library Research Annexe</v>
      </c>
      <c r="ACQ101" s="60">
        <f t="shared" si="1158"/>
        <v>0</v>
      </c>
      <c r="ACR101" s="60">
        <f t="shared" si="1159"/>
        <v>0</v>
      </c>
      <c r="ACS101" s="76">
        <f t="shared" si="1160"/>
        <v>0</v>
      </c>
      <c r="ACT101" s="46">
        <f t="shared" si="1161"/>
        <v>43</v>
      </c>
      <c r="ACU101" s="46">
        <f t="shared" si="748"/>
        <v>2.6489999999999996</v>
      </c>
      <c r="ACV101" s="46">
        <f t="shared" si="1162"/>
        <v>1</v>
      </c>
      <c r="ACW101" s="46">
        <f t="shared" si="1163"/>
        <v>2</v>
      </c>
      <c r="ACX101" s="46">
        <f t="shared" si="1164"/>
        <v>0</v>
      </c>
      <c r="ACY101" s="46" cm="1">
        <f t="array" ref="ACY101">ROUNDDOWN(IFERROR(INDEX(ArchiveResults!$F$5:$IX$116,ComparisonData!A101,ComparisonData!$ACY$1),0),5)</f>
        <v>0</v>
      </c>
      <c r="ACZ101" s="46" cm="1">
        <f t="array" ref="ACZ101">ROUNDDOWN(IFERROR(INDEX(ArchiveResults!$F$5:$IX$116,ComparisonData!A101,ComparisonData!$ACZ$1),0),5)</f>
        <v>0</v>
      </c>
      <c r="ADA101" s="46" cm="1">
        <f t="array" ref="ADA101">ROUNDDOWN(IFERROR(INDEX(ArchiveResults!$F$5:$IX$116,ComparisonData!A101,ComparisonData!$ADA$1),0),5)</f>
        <v>0</v>
      </c>
      <c r="ADB101" s="56">
        <v>96</v>
      </c>
      <c r="ADC101" s="53" t="str">
        <f t="shared" si="749"/>
        <v>University of Glasgow, Library Research Annexe</v>
      </c>
      <c r="ADD101" s="60">
        <f t="shared" si="1165"/>
        <v>0</v>
      </c>
      <c r="ADE101" s="60">
        <f t="shared" si="1166"/>
        <v>0</v>
      </c>
      <c r="ADF101" s="60">
        <f t="shared" si="1167"/>
        <v>0</v>
      </c>
      <c r="ADG101" s="76">
        <f t="shared" si="1168"/>
        <v>0</v>
      </c>
    </row>
    <row r="102" spans="1:787" x14ac:dyDescent="0.25">
      <c r="A102" s="46" t="str">
        <f>IF(ISBLANK(ComparisonSelection!F98),"",ROW()-5)</f>
        <v/>
      </c>
      <c r="B102" s="53" t="s">
        <v>553</v>
      </c>
      <c r="C102" s="72">
        <v>0.63399999999999967</v>
      </c>
      <c r="D102" s="55">
        <f t="shared" si="750"/>
        <v>40</v>
      </c>
      <c r="E102" s="54">
        <f t="shared" si="751"/>
        <v>2.6339999999999995</v>
      </c>
      <c r="F102" s="54">
        <f t="shared" si="752"/>
        <v>1</v>
      </c>
      <c r="G102" s="72">
        <f t="shared" si="753"/>
        <v>2</v>
      </c>
      <c r="H102" s="72">
        <f t="shared" si="754"/>
        <v>0</v>
      </c>
      <c r="I102" s="46" cm="1">
        <f t="array" ref="I102">ROUND(IFERROR(INDEX(ArchiveResults!$F$5:$IX$116,ComparisonData!A102,ComparisonData!$I$1),0),5)</f>
        <v>0</v>
      </c>
      <c r="J102" s="46" cm="1">
        <f t="array" ref="J102">ROUND(IFERROR(INDEX(ArchiveResults!$F$5:$IX$116,ComparisonData!A102,ComparisonData!$J$1),0),5)</f>
        <v>0</v>
      </c>
      <c r="K102" s="56">
        <v>97</v>
      </c>
      <c r="L102" s="53" t="str">
        <f t="shared" si="755"/>
        <v>University of Leeds, Special Collections</v>
      </c>
      <c r="M102" s="57">
        <f t="shared" ref="M102:M117" si="1169">INDEX($I$6:$I$117,MATCH(K102,$D$6:$D$117,0))</f>
        <v>0</v>
      </c>
      <c r="N102" s="57">
        <f t="shared" ref="N102:N117" si="1170">INDEX($J$6:$J$117,MATCH(K102,$D$6:$D$117,0))</f>
        <v>0</v>
      </c>
      <c r="O102" s="58">
        <f t="shared" si="756"/>
        <v>0</v>
      </c>
      <c r="P102" s="48">
        <f t="shared" si="757"/>
        <v>40</v>
      </c>
      <c r="Q102" s="54">
        <f t="shared" ref="Q102:Q117" si="1171">(C102*R102)+S102</f>
        <v>2.6339999999999995</v>
      </c>
      <c r="R102" s="45">
        <f t="shared" si="758"/>
        <v>1</v>
      </c>
      <c r="S102" s="46">
        <f t="shared" si="759"/>
        <v>2</v>
      </c>
      <c r="T102" s="72">
        <f t="shared" si="760"/>
        <v>0</v>
      </c>
      <c r="U102" s="46" cm="1">
        <f t="array" ref="U102">ROUND(IFERROR(INDEX(ArchiveResults!$F$5:$IX$116,ComparisonData!A102,ComparisonData!$U$1),0),5)</f>
        <v>0</v>
      </c>
      <c r="V102" s="46" cm="1">
        <f t="array" ref="V102">ROUND(IFERROR(INDEX(ArchiveResults!$F$5:$IX$116,ComparisonData!A102,ComparisonData!$V$1),0),5)</f>
        <v>0</v>
      </c>
      <c r="W102" s="56">
        <v>97</v>
      </c>
      <c r="X102" s="53" t="str">
        <f t="shared" ref="X102:X117" si="1172">INDEX($B$6:$B$117,MATCH(W102,$P$6:$P$117,0))</f>
        <v>University of Leeds, Special Collections</v>
      </c>
      <c r="Y102" s="57">
        <f t="shared" si="761"/>
        <v>0</v>
      </c>
      <c r="Z102" s="57">
        <f t="shared" si="762"/>
        <v>0</v>
      </c>
      <c r="AA102" s="58">
        <f t="shared" si="763"/>
        <v>0</v>
      </c>
      <c r="AB102" s="45">
        <f t="shared" si="764"/>
        <v>40</v>
      </c>
      <c r="AC102" s="54">
        <f t="shared" ref="AC102:AC117" si="1173">(C102*AD102)+AE102</f>
        <v>2.6339999999999995</v>
      </c>
      <c r="AD102" s="45">
        <f t="shared" si="765"/>
        <v>1</v>
      </c>
      <c r="AE102" s="45">
        <f t="shared" si="766"/>
        <v>2</v>
      </c>
      <c r="AF102" s="45">
        <f t="shared" si="639"/>
        <v>0</v>
      </c>
      <c r="AG102" s="46" cm="1">
        <f t="array" ref="AG102">ROUND(IFERROR(INDEX(ArchiveResults!$F$5:$IX$116,ComparisonData!A102,ComparisonData!$AG$1),0),5)</f>
        <v>0</v>
      </c>
      <c r="AH102" s="46" cm="1">
        <f t="array" ref="AH102">ROUND(IFERROR(INDEX(ArchiveResults!$F$5:$IX$116,ComparisonData!A102,ComparisonData!$AH$1),0),5)</f>
        <v>0</v>
      </c>
      <c r="AI102" s="56">
        <v>97</v>
      </c>
      <c r="AJ102" s="53" t="str">
        <f t="shared" ref="AJ102:AJ117" si="1174">INDEX($B$6:$B$117,MATCH(AI102,$AB$6:$AB$117,0))</f>
        <v>University of Leeds, Special Collections</v>
      </c>
      <c r="AK102" s="59">
        <f t="shared" ref="AK102:AK117" si="1175">INDEX($AG$6:$AG$117,MATCH(AI102,$AB$6:$AB$117,0))</f>
        <v>0</v>
      </c>
      <c r="AL102" s="59">
        <f t="shared" ref="AL102:AL117" si="1176">INDEX($AH$6:$AH$117,MATCH(AI102,$AB$6:$AB$117,0))</f>
        <v>0</v>
      </c>
      <c r="AM102" s="58">
        <f t="shared" si="767"/>
        <v>0</v>
      </c>
      <c r="AN102" s="45">
        <f t="shared" si="768"/>
        <v>40</v>
      </c>
      <c r="AO102" s="54">
        <f t="shared" ref="AO102:AO133" si="1177">(C102*AP102)+AQ102</f>
        <v>2.6339999999999995</v>
      </c>
      <c r="AP102" s="45">
        <f t="shared" si="769"/>
        <v>1</v>
      </c>
      <c r="AQ102" s="45">
        <f t="shared" si="770"/>
        <v>2</v>
      </c>
      <c r="AR102" s="46" cm="1">
        <f t="array" ref="AR102">ROUND(IFERROR(INDEX(ArchiveResults!$F$5:$IX$116,ComparisonData!A102,ComparisonData!$AR$1),0),5)</f>
        <v>0</v>
      </c>
      <c r="AS102" s="46" cm="1">
        <f t="array" ref="AS102">ROUND(IFERROR(INDEX(ArchiveResults!$F$5:$IX$116,ComparisonData!A102,ComparisonData!$AS$1),0),5)</f>
        <v>0</v>
      </c>
      <c r="AT102" s="46" cm="1">
        <f t="array" ref="AT102">ROUND(IFERROR(INDEX(ArchiveResults!$F$5:$IX$116,ComparisonData!A102,ComparisonData!$AT$1),0),5)</f>
        <v>0</v>
      </c>
      <c r="AU102" s="46" cm="1">
        <f t="array" ref="AU102">ROUND(IFERROR(INDEX(ArchiveResults!$F$5:$IX$116,ComparisonData!A102,ComparisonData!$AU$1),0),5)</f>
        <v>0</v>
      </c>
      <c r="AV102" s="46" cm="1">
        <f t="array" ref="AV102">ROUND(IFERROR(INDEX(ArchiveResults!$F$5:$IX$116,ComparisonData!A102,ComparisonData!$AV$1),0),5)</f>
        <v>0</v>
      </c>
      <c r="AW102" s="46" cm="1">
        <f t="array" ref="AW102">ROUND(IFERROR(INDEX(ArchiveResults!$F$5:$IX$116,ComparisonData!A102,ComparisonData!$AW$1),0),5)</f>
        <v>0</v>
      </c>
      <c r="AX102" s="46" cm="1">
        <f t="array" ref="AX102">ROUND(IFERROR(INDEX(ArchiveResults!$F$5:$IX$116,ComparisonData!A102,ComparisonData!$AX$1),0),5)</f>
        <v>0</v>
      </c>
      <c r="AY102" s="46" cm="1">
        <f t="array" ref="AY102">ROUND(IFERROR(INDEX(ArchiveResults!$F$5:$IX$116,ComparisonData!A102,ComparisonData!$AY$1),0),5)</f>
        <v>0</v>
      </c>
      <c r="AZ102" s="46" cm="1">
        <f t="array" ref="AZ102">ROUND(IFERROR(INDEX(ArchiveResults!$F$5:$IX$116,ComparisonData!A102,ComparisonData!$AZ$1),0),5)</f>
        <v>0</v>
      </c>
      <c r="BA102" s="46" cm="1">
        <f t="array" ref="BA102">ROUND(IFERROR(INDEX(ArchiveResults!$F$5:$IX$116,ComparisonData!A102,ComparisonData!$BA$1),0),5)</f>
        <v>0</v>
      </c>
      <c r="BB102" s="56">
        <v>97</v>
      </c>
      <c r="BC102" s="53" t="str">
        <f t="shared" ref="BC102:BC133" si="1178">INDEX($B$6:$B$117,MATCH(BB102,$AN$6:$AN$117,0))</f>
        <v>University of Leeds, Special Collections</v>
      </c>
      <c r="BD102" s="60">
        <f t="shared" si="771"/>
        <v>0</v>
      </c>
      <c r="BE102" s="60">
        <f t="shared" si="772"/>
        <v>0</v>
      </c>
      <c r="BF102" s="60">
        <f t="shared" si="773"/>
        <v>0</v>
      </c>
      <c r="BG102" s="60">
        <f t="shared" si="774"/>
        <v>0</v>
      </c>
      <c r="BH102" s="60">
        <f t="shared" si="775"/>
        <v>0</v>
      </c>
      <c r="BI102" s="60">
        <f t="shared" si="776"/>
        <v>0</v>
      </c>
      <c r="BJ102" s="60">
        <f t="shared" si="777"/>
        <v>0</v>
      </c>
      <c r="BK102" s="60">
        <f t="shared" si="778"/>
        <v>0</v>
      </c>
      <c r="BL102" s="60">
        <f t="shared" si="779"/>
        <v>0</v>
      </c>
      <c r="BM102" s="59">
        <f t="shared" si="780"/>
        <v>0</v>
      </c>
      <c r="BN102" s="58">
        <f t="shared" si="781"/>
        <v>0</v>
      </c>
      <c r="BO102" s="45">
        <f t="shared" si="782"/>
        <v>40</v>
      </c>
      <c r="BP102" s="54">
        <f t="shared" ref="BP102:BP133" si="1179">(C102*BQ102)+BR102</f>
        <v>2.6339999999999995</v>
      </c>
      <c r="BQ102" s="45">
        <f t="shared" si="783"/>
        <v>1</v>
      </c>
      <c r="BR102" s="45">
        <f t="shared" si="784"/>
        <v>2</v>
      </c>
      <c r="BS102" s="46" cm="1">
        <f t="array" ref="BS102">ROUND(IFERROR(INDEX(ArchiveResults!$F$5:$IX$116,ComparisonData!A102,ComparisonData!$BS$1),0),5)</f>
        <v>0</v>
      </c>
      <c r="BT102" s="46" cm="1">
        <f t="array" ref="BT102">ROUND(IFERROR(INDEX(ArchiveResults!$F$5:$IX$116,ComparisonData!A102,ComparisonData!$BT$1),0),5)</f>
        <v>0</v>
      </c>
      <c r="BU102" s="46" cm="1">
        <f t="array" ref="BU102">ROUND(IFERROR(INDEX(ArchiveResults!$F$5:$IX$116,ComparisonData!A102,ComparisonData!$BU$1),0),5)</f>
        <v>0</v>
      </c>
      <c r="BV102" s="46" cm="1">
        <f t="array" ref="BV102">ROUND(IFERROR(INDEX(ArchiveResults!$F$5:$IX$116,ComparisonData!A102,ComparisonData!$BV$1),0),5)</f>
        <v>0</v>
      </c>
      <c r="BW102" s="46" cm="1">
        <f t="array" ref="BW102">ROUND(IFERROR(INDEX(ArchiveResults!$F$5:$IX$116,ComparisonData!A102,ComparisonData!$BW$1),0),5)</f>
        <v>0</v>
      </c>
      <c r="BX102" s="46" cm="1">
        <f t="array" ref="BX102">ROUND(IFERROR(INDEX(ArchiveResults!$F$5:$IX$116,ComparisonData!A102,ComparisonData!$BX$1),0),5)</f>
        <v>0</v>
      </c>
      <c r="BY102" s="56">
        <v>97</v>
      </c>
      <c r="BZ102" s="53" t="str">
        <f t="shared" ref="BZ102:BZ133" si="1180">INDEX($B$6:$B$117,MATCH(BY102,$BO$6:$BO$117,0))</f>
        <v>University of Leeds, Special Collections</v>
      </c>
      <c r="CA102" s="59">
        <f t="shared" si="785"/>
        <v>0</v>
      </c>
      <c r="CB102" s="59">
        <f t="shared" si="786"/>
        <v>0</v>
      </c>
      <c r="CC102" s="59">
        <f t="shared" si="787"/>
        <v>0</v>
      </c>
      <c r="CD102" s="59">
        <f t="shared" si="788"/>
        <v>0</v>
      </c>
      <c r="CE102" s="59">
        <f t="shared" si="789"/>
        <v>0</v>
      </c>
      <c r="CF102" s="59">
        <f t="shared" si="790"/>
        <v>0</v>
      </c>
      <c r="CG102" s="58">
        <f t="shared" si="791"/>
        <v>0</v>
      </c>
      <c r="CH102" s="45">
        <f t="shared" si="792"/>
        <v>40</v>
      </c>
      <c r="CI102" s="54">
        <f t="shared" ref="CI102:CI133" si="1181">(C102*CJ102)+CK102</f>
        <v>2.6339999999999995</v>
      </c>
      <c r="CJ102" s="45">
        <f t="shared" si="793"/>
        <v>1</v>
      </c>
      <c r="CK102" s="45">
        <f t="shared" si="794"/>
        <v>2</v>
      </c>
      <c r="CL102" s="46" cm="1">
        <f t="array" ref="CL102">ROUND(IFERROR(INDEX(ArchiveResults!$F$5:$IX$116,ComparisonData!A102,ComparisonData!$CL$1),0),5)</f>
        <v>0</v>
      </c>
      <c r="CM102" s="56">
        <v>97</v>
      </c>
      <c r="CN102" s="53" t="str">
        <f t="shared" ref="CN102:CN133" si="1182">INDEX($B$6:$B$117,MATCH(CM102,$CH$6:$CH$117,0))</f>
        <v>University of Leeds, Special Collections</v>
      </c>
      <c r="CO102" s="45">
        <f t="shared" si="795"/>
        <v>0</v>
      </c>
      <c r="CP102" s="58">
        <f t="shared" si="796"/>
        <v>0</v>
      </c>
      <c r="CQ102" s="45">
        <f t="shared" si="797"/>
        <v>40</v>
      </c>
      <c r="CR102" s="54">
        <f t="shared" ref="CR102:CR133" si="1183">(C102*CS102)+CT102</f>
        <v>2.6339999999999995</v>
      </c>
      <c r="CS102" s="45">
        <f t="shared" si="798"/>
        <v>1</v>
      </c>
      <c r="CT102" s="45">
        <f t="shared" si="799"/>
        <v>2</v>
      </c>
      <c r="CU102" s="46" cm="1">
        <f t="array" ref="CU102">ROUND(IFERROR(INDEX(ArchiveResults!$F$5:$IX$116,ComparisonData!A102,ComparisonData!$CU$1),0),5)</f>
        <v>0</v>
      </c>
      <c r="CV102" s="56">
        <v>97</v>
      </c>
      <c r="CW102" s="53" t="str">
        <f t="shared" ref="CW102:CW133" si="1184">INDEX($B$6:$B$117,MATCH(CV102,$CQ$6:$CQ$117,0))</f>
        <v>University of Leeds, Special Collections</v>
      </c>
      <c r="CX102" s="45">
        <f t="shared" si="800"/>
        <v>0</v>
      </c>
      <c r="CY102" s="58">
        <f t="shared" si="801"/>
        <v>0</v>
      </c>
      <c r="CZ102" s="45">
        <f t="shared" si="802"/>
        <v>40</v>
      </c>
      <c r="DA102" s="54">
        <f t="shared" ref="DA102:DA133" si="1185">(C102*DB102)+DC102</f>
        <v>2.6339999999999995</v>
      </c>
      <c r="DB102" s="45">
        <f t="shared" si="803"/>
        <v>1</v>
      </c>
      <c r="DC102" s="45">
        <f t="shared" si="804"/>
        <v>2</v>
      </c>
      <c r="DD102" s="46" cm="1">
        <f t="array" ref="DD102">ROUND(IFERROR(INDEX(ArchiveResults!$F$5:$IX$116,ComparisonData!A102,ComparisonData!$DD$1),0),5)</f>
        <v>0</v>
      </c>
      <c r="DE102" s="56">
        <v>97</v>
      </c>
      <c r="DF102" s="53" t="str">
        <f t="shared" ref="DF102:DF133" si="1186">INDEX($B$6:$B$117,MATCH(DE102,$CZ$6:$CZ$117,0))</f>
        <v>University of Leeds, Special Collections</v>
      </c>
      <c r="DG102" s="45">
        <f t="shared" si="805"/>
        <v>0</v>
      </c>
      <c r="DH102" s="58">
        <f t="shared" si="806"/>
        <v>0</v>
      </c>
      <c r="DI102" s="45">
        <f t="shared" si="807"/>
        <v>40</v>
      </c>
      <c r="DJ102" s="54">
        <f t="shared" ref="DJ102:DJ133" si="1187">(C102*DK102)+DL102</f>
        <v>2.6339999999999995</v>
      </c>
      <c r="DK102" s="45">
        <f t="shared" si="808"/>
        <v>1</v>
      </c>
      <c r="DL102" s="45">
        <f t="shared" si="809"/>
        <v>2</v>
      </c>
      <c r="DM102" s="46" cm="1">
        <f t="array" ref="DM102">ROUND(IFERROR(INDEX(ArchiveResults!$F$5:$IX$116,ComparisonData!A102,ComparisonData!$DM$1),0),5)</f>
        <v>0</v>
      </c>
      <c r="DN102" s="46" cm="1">
        <f t="array" ref="DN102">ROUND(IFERROR(INDEX(ArchiveResults!$F$5:$IX$116,ComparisonData!A102,ComparisonData!$DN$1),0),5)</f>
        <v>0</v>
      </c>
      <c r="DO102" s="46" cm="1">
        <f t="array" ref="DO102">ROUND(IFERROR(INDEX(ArchiveResults!$F$5:$IX$116,ComparisonData!A102,ComparisonData!$DO$1),0),5)</f>
        <v>0</v>
      </c>
      <c r="DP102" s="46" cm="1">
        <f t="array" ref="DP102">ROUND(IFERROR(INDEX(ArchiveResults!$F$5:$IX$116,ComparisonData!A102,ComparisonData!$DP$1),0),5)</f>
        <v>0</v>
      </c>
      <c r="DQ102" s="45" cm="1">
        <f t="array" ref="DQ102">IFERROR(INDEX(ArchiveResults!$F$5:$IX$116,ComparisonData!A102,ComparisonData!$DQ$1),0)</f>
        <v>0</v>
      </c>
      <c r="DR102" s="56">
        <v>97</v>
      </c>
      <c r="DS102" s="53" t="str">
        <f t="shared" ref="DS102:DS133" si="1188">INDEX($B$6:$B$117,MATCH(DR102,$DI$6:$DI$117,0))</f>
        <v>University of Leeds, Special Collections</v>
      </c>
      <c r="DT102" s="59">
        <f t="shared" si="810"/>
        <v>0</v>
      </c>
      <c r="DU102" s="59">
        <f t="shared" si="811"/>
        <v>0</v>
      </c>
      <c r="DV102" s="59">
        <f t="shared" si="812"/>
        <v>0</v>
      </c>
      <c r="DW102" s="59">
        <f t="shared" si="813"/>
        <v>0</v>
      </c>
      <c r="DX102" s="59">
        <f t="shared" si="814"/>
        <v>0</v>
      </c>
      <c r="DY102" s="58">
        <f t="shared" si="815"/>
        <v>0</v>
      </c>
      <c r="DZ102" s="45">
        <f t="shared" si="816"/>
        <v>40</v>
      </c>
      <c r="EA102" s="54">
        <f t="shared" ref="EA102:EA133" si="1189">(C102*EB102)+EC102</f>
        <v>2.6339999999999995</v>
      </c>
      <c r="EB102" s="45">
        <f t="shared" si="817"/>
        <v>1</v>
      </c>
      <c r="EC102" s="45">
        <f t="shared" si="818"/>
        <v>2</v>
      </c>
      <c r="ED102" s="46" cm="1">
        <f t="array" ref="ED102">ROUND(IFERROR(INDEX(ArchiveResults!$F$5:$IX$116,ComparisonData!A102,ComparisonData!$ED$1),0),5)</f>
        <v>0</v>
      </c>
      <c r="EE102" s="46" cm="1">
        <f t="array" ref="EE102">ROUND(IFERROR(INDEX(ArchiveResults!$F$5:$IX$116,ComparisonData!A102,ComparisonData!$EE$1),0),5)</f>
        <v>0</v>
      </c>
      <c r="EF102" s="46" cm="1">
        <f t="array" ref="EF102">ROUND(IFERROR(INDEX(ArchiveResults!$F$5:$IX$116,ComparisonData!A102,ComparisonData!$EF$1),0),5)</f>
        <v>0</v>
      </c>
      <c r="EG102" s="46" cm="1">
        <f t="array" ref="EG102">ROUND(IFERROR(INDEX(ArchiveResults!$F$5:$IX$116,ComparisonData!A102,ComparisonData!$EG$1),0),5)</f>
        <v>0</v>
      </c>
      <c r="EH102" s="45" cm="1">
        <f t="array" ref="EH102">IFERROR(INDEX(ArchiveResults!$F$5:$IX$116,ComparisonData!A102,ComparisonData!$EH$1),0)</f>
        <v>0</v>
      </c>
      <c r="EI102" s="56">
        <v>97</v>
      </c>
      <c r="EJ102" s="53" t="str">
        <f t="shared" ref="EJ102:EJ133" si="1190">INDEX($B$6:$B$117,MATCH(EI102,$DZ$6:$DZ$117,0))</f>
        <v>University of Leeds, Special Collections</v>
      </c>
      <c r="EK102" s="59">
        <f t="shared" si="819"/>
        <v>0</v>
      </c>
      <c r="EL102" s="59">
        <f t="shared" si="820"/>
        <v>0</v>
      </c>
      <c r="EM102" s="59">
        <f t="shared" si="821"/>
        <v>0</v>
      </c>
      <c r="EN102" s="59">
        <f t="shared" si="822"/>
        <v>0</v>
      </c>
      <c r="EO102" s="59">
        <f t="shared" si="823"/>
        <v>0</v>
      </c>
      <c r="EP102" s="58">
        <f t="shared" si="824"/>
        <v>0</v>
      </c>
      <c r="EQ102" s="45">
        <f t="shared" si="825"/>
        <v>40</v>
      </c>
      <c r="ER102" s="54">
        <f t="shared" ref="ER102:ER133" si="1191">(C102*ES102)+ET102</f>
        <v>2.6339999999999995</v>
      </c>
      <c r="ES102" s="45">
        <f t="shared" si="826"/>
        <v>1</v>
      </c>
      <c r="ET102" s="45">
        <f t="shared" si="827"/>
        <v>2</v>
      </c>
      <c r="EU102" s="46" cm="1">
        <f t="array" ref="EU102">ROUND(IFERROR(INDEX(ArchiveResults!$F$5:$IX$116,ComparisonData!A102,ComparisonData!$EU$1),0),5)</f>
        <v>0</v>
      </c>
      <c r="EV102" s="46" cm="1">
        <f t="array" ref="EV102">ROUND(IFERROR(INDEX(ArchiveResults!$F$5:$IX$116,ComparisonData!A102,ComparisonData!$EV$1),0),5)</f>
        <v>0</v>
      </c>
      <c r="EW102" s="46" cm="1">
        <f t="array" ref="EW102">ROUND(IFERROR(INDEX(ArchiveResults!$F$5:$IX$116,ComparisonData!A102,ComparisonData!$EW$1),0),5)</f>
        <v>0</v>
      </c>
      <c r="EX102" s="46" cm="1">
        <f t="array" ref="EX102">ROUND(IFERROR(INDEX(ArchiveResults!$F$5:$IX$116,ComparisonData!A102,ComparisonData!$EX$1),0),5)</f>
        <v>0</v>
      </c>
      <c r="EY102" s="45" cm="1">
        <f t="array" ref="EY102">IFERROR(INDEX(ArchiveResults!$F$5:$IX$116,ComparisonData!A102,ComparisonData!$EY$1),0)</f>
        <v>0</v>
      </c>
      <c r="EZ102" s="56">
        <v>97</v>
      </c>
      <c r="FA102" s="53" t="str">
        <f t="shared" ref="FA102:FA133" si="1192">INDEX($B$6:$B$117,MATCH(EZ102,$EQ$6:$EQ$117,0))</f>
        <v>University of Leeds, Special Collections</v>
      </c>
      <c r="FB102" s="59">
        <f t="shared" si="828"/>
        <v>0</v>
      </c>
      <c r="FC102" s="59">
        <f t="shared" si="829"/>
        <v>0</v>
      </c>
      <c r="FD102" s="59">
        <f t="shared" si="830"/>
        <v>0</v>
      </c>
      <c r="FE102" s="59">
        <f t="shared" si="831"/>
        <v>0</v>
      </c>
      <c r="FF102" s="59">
        <f t="shared" si="832"/>
        <v>0</v>
      </c>
      <c r="FG102" s="58">
        <f t="shared" si="833"/>
        <v>0</v>
      </c>
      <c r="FH102" s="45">
        <f t="shared" si="834"/>
        <v>40</v>
      </c>
      <c r="FI102" s="54">
        <f t="shared" ref="FI102:FI133" si="1193">(C102*FJ102)+FK102</f>
        <v>2.6339999999999995</v>
      </c>
      <c r="FJ102" s="45">
        <f t="shared" si="835"/>
        <v>1</v>
      </c>
      <c r="FK102" s="45">
        <f t="shared" si="836"/>
        <v>2</v>
      </c>
      <c r="FL102" s="46" cm="1">
        <f t="array" ref="FL102">ROUND(IFERROR(INDEX(ArchiveResults!$F$5:$IX$116,ComparisonData!A102,ComparisonData!$FL$1),0),5)</f>
        <v>0</v>
      </c>
      <c r="FM102" s="46" cm="1">
        <f t="array" ref="FM102">ROUND(IFERROR(INDEX(ArchiveResults!$F$5:$IX$116,ComparisonData!A102,ComparisonData!$FM$1),0),5)</f>
        <v>0</v>
      </c>
      <c r="FN102" s="46" cm="1">
        <f t="array" ref="FN102">ROUND(IFERROR(INDEX(ArchiveResults!$F$5:$IX$116,ComparisonData!A102,ComparisonData!$FN$1),0),5)</f>
        <v>0</v>
      </c>
      <c r="FO102" s="46" cm="1">
        <f t="array" ref="FO102">ROUND(IFERROR(INDEX(ArchiveResults!$F$5:$IX$116,ComparisonData!A102,ComparisonData!$FO$1),0),5)</f>
        <v>0</v>
      </c>
      <c r="FP102" s="45" cm="1">
        <f t="array" ref="FP102">IFERROR(INDEX(ArchiveResults!$F$5:$IX$116,ComparisonData!A102,ComparisonData!$FP$1),0)</f>
        <v>0</v>
      </c>
      <c r="FQ102" s="56">
        <v>97</v>
      </c>
      <c r="FR102" s="53" t="str">
        <f t="shared" ref="FR102:FR133" si="1194">INDEX($B$6:$B$117,MATCH(FQ102,$FH$6:$FH$117,0))</f>
        <v>University of Leeds, Special Collections</v>
      </c>
      <c r="FS102" s="59">
        <f t="shared" si="837"/>
        <v>0</v>
      </c>
      <c r="FT102" s="59">
        <f t="shared" si="838"/>
        <v>0</v>
      </c>
      <c r="FU102" s="59">
        <f t="shared" si="839"/>
        <v>0</v>
      </c>
      <c r="FV102" s="59">
        <f t="shared" si="840"/>
        <v>0</v>
      </c>
      <c r="FW102" s="59">
        <f t="shared" si="841"/>
        <v>0</v>
      </c>
      <c r="FX102" s="58">
        <f t="shared" si="842"/>
        <v>0</v>
      </c>
      <c r="FY102" s="45">
        <f t="shared" si="843"/>
        <v>40</v>
      </c>
      <c r="FZ102" s="45">
        <f t="shared" ref="FZ102:FZ133" si="1195">(C102*GA102)+GB102</f>
        <v>2.6339999999999995</v>
      </c>
      <c r="GA102" s="45">
        <f t="shared" si="844"/>
        <v>1</v>
      </c>
      <c r="GB102" s="45">
        <f t="shared" si="845"/>
        <v>2</v>
      </c>
      <c r="GC102" s="46" cm="1">
        <f t="array" ref="GC102">ROUND(IFERROR(INDEX(ArchiveResults!$F$5:$IX$116,ComparisonData!A102,ComparisonData!$GC$1),0),5)</f>
        <v>0</v>
      </c>
      <c r="GD102" s="46" cm="1">
        <f t="array" ref="GD102">ROUND(IFERROR(INDEX(ArchiveResults!$F$5:$IX$116,ComparisonData!A102,ComparisonData!$GD$1),0),5)</f>
        <v>0</v>
      </c>
      <c r="GE102" s="46" cm="1">
        <f t="array" ref="GE102">ROUND(IFERROR(INDEX(ArchiveResults!$F$5:$IX$116,ComparisonData!A102,ComparisonData!$GE$1),0),5)</f>
        <v>0</v>
      </c>
      <c r="GF102" s="46" cm="1">
        <f t="array" ref="GF102">ROUND(IFERROR(INDEX(ArchiveResults!$F$5:$IX$116,ComparisonData!A102,ComparisonData!$GF$1),0),5)</f>
        <v>0</v>
      </c>
      <c r="GG102" s="45" cm="1">
        <f t="array" ref="GG102">IFERROR(INDEX(ArchiveResults!$F$5:$IX$116,ComparisonData!A102,ComparisonData!$GG$1),0)</f>
        <v>0</v>
      </c>
      <c r="GH102" s="56">
        <v>97</v>
      </c>
      <c r="GI102" s="53" t="str">
        <f t="shared" ref="GI102:GI133" si="1196">INDEX($B$6:$B$117,MATCH(GH102,$FY$6:$FY$117,0))</f>
        <v>University of Leeds, Special Collections</v>
      </c>
      <c r="GJ102" s="59">
        <f t="shared" si="846"/>
        <v>0</v>
      </c>
      <c r="GK102" s="59">
        <f t="shared" si="847"/>
        <v>0</v>
      </c>
      <c r="GL102" s="59">
        <f t="shared" si="848"/>
        <v>0</v>
      </c>
      <c r="GM102" s="59">
        <f t="shared" si="849"/>
        <v>0</v>
      </c>
      <c r="GN102" s="59">
        <f t="shared" si="850"/>
        <v>0</v>
      </c>
      <c r="GO102" s="58">
        <f t="shared" si="851"/>
        <v>0</v>
      </c>
      <c r="GP102" s="45">
        <f t="shared" si="852"/>
        <v>40</v>
      </c>
      <c r="GQ102" s="45">
        <f t="shared" ref="GQ102:GQ133" si="1197">(C102*GR102)+GS102</f>
        <v>2.6339999999999995</v>
      </c>
      <c r="GR102" s="45">
        <f t="shared" si="853"/>
        <v>1</v>
      </c>
      <c r="GS102" s="45">
        <f t="shared" si="854"/>
        <v>2</v>
      </c>
      <c r="GT102" s="46" cm="1">
        <f t="array" ref="GT102">ROUND(IFERROR(INDEX(ArchiveResults!$F$5:$IX$116,ComparisonData!A102,ComparisonData!$GT$1),0),5)</f>
        <v>0</v>
      </c>
      <c r="GU102" s="46" cm="1">
        <f t="array" ref="GU102">ROUND(IFERROR(INDEX(ArchiveResults!$F$5:$IX$116,ComparisonData!A102,ComparisonData!$GU$1),0),5)</f>
        <v>0</v>
      </c>
      <c r="GV102" s="46" cm="1">
        <f t="array" ref="GV102">ROUND(IFERROR(INDEX(ArchiveResults!$F$5:$IX$116,ComparisonData!A102,ComparisonData!$GV$1),0),5)</f>
        <v>0</v>
      </c>
      <c r="GW102" s="46" cm="1">
        <f t="array" ref="GW102">ROUND(IFERROR(INDEX(ArchiveResults!$F$5:$IX$116,ComparisonData!A102,ComparisonData!$GW$1),0),5)</f>
        <v>0</v>
      </c>
      <c r="GX102" s="45" cm="1">
        <f t="array" ref="GX102">IFERROR(INDEX(ArchiveResults!$F$5:$IX$116,ComparisonData!A102,ComparisonData!$GX$1),0)</f>
        <v>0</v>
      </c>
      <c r="GY102" s="56">
        <v>97</v>
      </c>
      <c r="GZ102" s="53" t="str">
        <f t="shared" ref="GZ102:GZ133" si="1198">INDEX($B$6:$B$117,MATCH(GY102,$GP$6:$GP$117,0))</f>
        <v>University of Leeds, Special Collections</v>
      </c>
      <c r="HA102" s="59">
        <f t="shared" si="855"/>
        <v>0</v>
      </c>
      <c r="HB102" s="59">
        <f t="shared" si="856"/>
        <v>0</v>
      </c>
      <c r="HC102" s="59">
        <f t="shared" si="857"/>
        <v>0</v>
      </c>
      <c r="HD102" s="59">
        <f t="shared" si="858"/>
        <v>0</v>
      </c>
      <c r="HE102" s="59">
        <f t="shared" si="859"/>
        <v>0</v>
      </c>
      <c r="HF102" s="58">
        <f t="shared" si="860"/>
        <v>0</v>
      </c>
      <c r="HG102" s="45">
        <f t="shared" si="861"/>
        <v>40</v>
      </c>
      <c r="HH102" s="45">
        <f t="shared" ref="HH102:HH133" si="1199">(C102*HI102)+HJ102</f>
        <v>2.6339999999999995</v>
      </c>
      <c r="HI102" s="45">
        <f t="shared" si="862"/>
        <v>1</v>
      </c>
      <c r="HJ102" s="45">
        <f t="shared" si="863"/>
        <v>2</v>
      </c>
      <c r="HK102" s="46" cm="1">
        <f t="array" ref="HK102">ROUND(IFERROR(INDEX(ArchiveResults!$F$5:$IX$116,ComparisonData!A102,ComparisonData!$HK$1),0),5)</f>
        <v>0</v>
      </c>
      <c r="HL102" s="46" cm="1">
        <f t="array" ref="HL102">ROUND(IFERROR(INDEX(ArchiveResults!$F$5:$IX$116,ComparisonData!A102,ComparisonData!$HL$1),0),5)</f>
        <v>0</v>
      </c>
      <c r="HM102" s="46" cm="1">
        <f t="array" ref="HM102">ROUND(IFERROR(INDEX(ArchiveResults!$F$5:$IX$116,ComparisonData!A102,ComparisonData!$HM$1),0),5)</f>
        <v>0</v>
      </c>
      <c r="HN102" s="46" cm="1">
        <f t="array" ref="HN102">ROUND(IFERROR(INDEX(ArchiveResults!$F$5:$IX$116,ComparisonData!A102,ComparisonData!$HN$1),0),5)</f>
        <v>0</v>
      </c>
      <c r="HO102" s="45" cm="1">
        <f t="array" ref="HO102">IFERROR(INDEX(ArchiveResults!$F$5:$IX$116,ComparisonData!A102,ComparisonData!$HO$1),0)</f>
        <v>0</v>
      </c>
      <c r="HP102" s="56">
        <v>97</v>
      </c>
      <c r="HQ102" s="53" t="str">
        <f t="shared" ref="HQ102:HQ133" si="1200">INDEX($B$6:$B$117,MATCH(HP102,$HG$6:$HG$117,0))</f>
        <v>University of Leeds, Special Collections</v>
      </c>
      <c r="HR102" s="59">
        <f t="shared" ref="HR102:HR117" si="1201">INDEX($HK$6:$HK$117,MATCH(HP102,$HG$6:$HG$117,0))</f>
        <v>0</v>
      </c>
      <c r="HS102" s="59">
        <f t="shared" ref="HS102:HS117" si="1202">INDEX($HL$6:$HL$117,MATCH(HP102,$HG$6:$HG$117,0))</f>
        <v>0</v>
      </c>
      <c r="HT102" s="59">
        <f t="shared" ref="HT102:HT117" si="1203">INDEX($HM$6:$HM$117,MATCH(HP102,$HG$6:$HG$117,0))</f>
        <v>0</v>
      </c>
      <c r="HU102" s="59">
        <f t="shared" ref="HU102:HU117" si="1204">INDEX($HN$6:$HN$117,MATCH(HP102,$HG$6:$HG$117,0))</f>
        <v>0</v>
      </c>
      <c r="HV102" s="59">
        <f t="shared" ref="HV102:HV117" si="1205">INDEX($HO$6:$HO$117,MATCH(HP102,$HG$6:$HG$117,0))</f>
        <v>0</v>
      </c>
      <c r="HW102" s="58">
        <f t="shared" si="864"/>
        <v>0</v>
      </c>
      <c r="HX102" s="45">
        <f t="shared" si="865"/>
        <v>40</v>
      </c>
      <c r="HY102" s="45">
        <f t="shared" ref="HY102:HY133" si="1206">(C102*HZ102)+IA102</f>
        <v>2.6339999999999995</v>
      </c>
      <c r="HZ102" s="45">
        <f t="shared" si="866"/>
        <v>1</v>
      </c>
      <c r="IA102" s="45">
        <f t="shared" si="867"/>
        <v>2</v>
      </c>
      <c r="IB102" s="45">
        <f t="shared" si="868"/>
        <v>0</v>
      </c>
      <c r="IC102" s="46" cm="1">
        <f t="array" ref="IC102">ROUND(IFERROR(INDEX(ArchiveResults!$F$5:$IX$116,ComparisonData!A102,ComparisonData!$IC$1),0),5)</f>
        <v>0</v>
      </c>
      <c r="ID102" s="46" cm="1">
        <f t="array" ref="ID102">ROUND(IFERROR(INDEX(ArchiveResults!$F$5:$IX$116,ComparisonData!A102,ComparisonData!$ID$1),0),5)</f>
        <v>0</v>
      </c>
      <c r="IE102" s="46" cm="1">
        <f t="array" ref="IE102">ROUND(IFERROR(INDEX(ArchiveResults!$F$5:$IX$116,ComparisonData!A102,ComparisonData!$IE$1),0),5)</f>
        <v>0</v>
      </c>
      <c r="IF102" s="46" cm="1">
        <f t="array" ref="IF102">ROUND(IFERROR(INDEX(ArchiveResults!$F$5:$IX$116,ComparisonData!A102,ComparisonData!$IF$1),0),5)</f>
        <v>0</v>
      </c>
      <c r="IG102" s="45" cm="1">
        <f t="array" ref="IG102">IFERROR(INDEX(ArchiveResults!$F$5:$IX$116,ComparisonData!A102,ComparisonData!$IG$1),0)</f>
        <v>0</v>
      </c>
      <c r="IH102" s="56">
        <v>97</v>
      </c>
      <c r="II102" s="53" t="str">
        <f t="shared" ref="II102:II133" si="1207">INDEX($B$6:$B$117,MATCH(IH102,$HX$6:$HX$117,0))</f>
        <v>University of Leeds, Special Collections</v>
      </c>
      <c r="IJ102" s="59">
        <f t="shared" si="869"/>
        <v>0</v>
      </c>
      <c r="IK102" s="59">
        <f t="shared" si="870"/>
        <v>0</v>
      </c>
      <c r="IL102" s="59">
        <f t="shared" si="871"/>
        <v>0</v>
      </c>
      <c r="IM102" s="59">
        <f t="shared" si="872"/>
        <v>0</v>
      </c>
      <c r="IN102" s="59">
        <f t="shared" si="873"/>
        <v>0</v>
      </c>
      <c r="IO102" s="58">
        <f t="shared" si="874"/>
        <v>0</v>
      </c>
      <c r="IP102" s="45">
        <f t="shared" si="875"/>
        <v>40</v>
      </c>
      <c r="IQ102" s="45">
        <f t="shared" ref="IQ102:IQ133" si="1208">(C102*IR102)+IS102</f>
        <v>2.6339999999999995</v>
      </c>
      <c r="IR102" s="45">
        <f t="shared" si="876"/>
        <v>1</v>
      </c>
      <c r="IS102" s="45">
        <f t="shared" si="877"/>
        <v>2</v>
      </c>
      <c r="IT102" s="46">
        <f t="shared" si="878"/>
        <v>0</v>
      </c>
      <c r="IU102" s="46" cm="1">
        <f t="array" ref="IU102">ROUND(IFERROR(INDEX(ArchiveResults!$F$5:$IX$116,ComparisonData!A102,ComparisonData!$IU$1),0),5)</f>
        <v>0</v>
      </c>
      <c r="IV102" s="46" cm="1">
        <f t="array" ref="IV102">ROUND(IFERROR(INDEX(ArchiveResults!$F$5:$IX$116,ComparisonData!A102,ComparisonData!$IV$1),0),5)</f>
        <v>0</v>
      </c>
      <c r="IW102" s="46" cm="1">
        <f t="array" ref="IW102">ROUND(IFERROR(INDEX(ArchiveResults!$F$5:$IX$116,ComparisonData!A102,ComparisonData!$IW$1),0),5)</f>
        <v>0</v>
      </c>
      <c r="IX102" s="46" cm="1">
        <f t="array" ref="IX102">ROUND(IFERROR(INDEX(ArchiveResults!$F$5:$IX$116,ComparisonData!A102,ComparisonData!$IX$1),0),5)</f>
        <v>0</v>
      </c>
      <c r="IY102" s="45" cm="1">
        <f t="array" ref="IY102">IFERROR(INDEX(ArchiveResults!$F$5:$IX$116,ComparisonData!A102,ComparisonData!$IY$1),0)</f>
        <v>0</v>
      </c>
      <c r="IZ102" s="56">
        <v>97</v>
      </c>
      <c r="JA102" s="53" t="str">
        <f t="shared" ref="JA102:JA133" si="1209">INDEX($B$6:$B$117,MATCH(IZ102,$IP$6:$IP$117,0))</f>
        <v>University of Leeds, Special Collections</v>
      </c>
      <c r="JB102" s="59">
        <f t="shared" si="879"/>
        <v>0</v>
      </c>
      <c r="JC102" s="59">
        <f t="shared" si="880"/>
        <v>0</v>
      </c>
      <c r="JD102" s="59">
        <f t="shared" si="881"/>
        <v>0</v>
      </c>
      <c r="JE102" s="59">
        <f t="shared" si="882"/>
        <v>0</v>
      </c>
      <c r="JF102" s="59">
        <f t="shared" si="883"/>
        <v>0</v>
      </c>
      <c r="JG102" s="58">
        <f t="shared" si="884"/>
        <v>0</v>
      </c>
      <c r="JH102" s="45">
        <f t="shared" si="885"/>
        <v>40</v>
      </c>
      <c r="JI102" s="45">
        <f t="shared" ref="JI102:JI133" si="1210">(C102*JJ102)+JK102</f>
        <v>2.6339999999999995</v>
      </c>
      <c r="JJ102" s="45">
        <f t="shared" si="886"/>
        <v>1</v>
      </c>
      <c r="JK102" s="45">
        <f t="shared" si="887"/>
        <v>2</v>
      </c>
      <c r="JL102" s="45">
        <f t="shared" si="888"/>
        <v>0</v>
      </c>
      <c r="JM102" s="46" cm="1">
        <f t="array" ref="JM102">ROUND(IFERROR(INDEX(ArchiveResults!$F$5:$IX$116,ComparisonData!A102,ComparisonData!$JM$1),0),5)</f>
        <v>0</v>
      </c>
      <c r="JN102" s="46" cm="1">
        <f t="array" ref="JN102">ROUND(IFERROR(INDEX(ArchiveResults!$F$5:$IX$116,ComparisonData!A102,ComparisonData!$JN$1),0),5)</f>
        <v>0</v>
      </c>
      <c r="JO102" s="46" cm="1">
        <f t="array" ref="JO102">ROUND(IFERROR(INDEX(ArchiveResults!$F$5:$IX$116,ComparisonData!A102,ComparisonData!$JO$1),0),5)</f>
        <v>0</v>
      </c>
      <c r="JP102" s="46" cm="1">
        <f t="array" ref="JP102">ROUND(IFERROR(INDEX(ArchiveResults!$F$5:$IX$116,ComparisonData!A102,ComparisonData!$JP$1),0),5)</f>
        <v>0</v>
      </c>
      <c r="JQ102" s="45" cm="1">
        <f t="array" ref="JQ102">IFERROR(INDEX(ArchiveResults!$F$5:$IX$116,ComparisonData!A102,ComparisonData!$JQ$1),0)</f>
        <v>0</v>
      </c>
      <c r="JR102" s="56">
        <v>97</v>
      </c>
      <c r="JS102" s="53" t="str">
        <f t="shared" ref="JS102:JS133" si="1211">INDEX($B$6:$B$117,MATCH(JR102,$JH$6:$JH$117,0))</f>
        <v>University of Leeds, Special Collections</v>
      </c>
      <c r="JT102" s="59">
        <f t="shared" si="889"/>
        <v>0</v>
      </c>
      <c r="JU102" s="59">
        <f t="shared" si="890"/>
        <v>0</v>
      </c>
      <c r="JV102" s="59">
        <f t="shared" si="891"/>
        <v>0</v>
      </c>
      <c r="JW102" s="59">
        <f t="shared" si="892"/>
        <v>0</v>
      </c>
      <c r="JX102" s="59">
        <f t="shared" si="893"/>
        <v>0</v>
      </c>
      <c r="JY102" s="58">
        <f t="shared" si="894"/>
        <v>0</v>
      </c>
      <c r="JZ102" s="45">
        <f t="shared" si="895"/>
        <v>40</v>
      </c>
      <c r="KA102" s="45">
        <f t="shared" ref="KA102:KA133" si="1212">(C102*KB102)+KC102</f>
        <v>2.6339999999999995</v>
      </c>
      <c r="KB102" s="45">
        <f t="shared" si="896"/>
        <v>1</v>
      </c>
      <c r="KC102" s="45">
        <f t="shared" si="897"/>
        <v>2</v>
      </c>
      <c r="KD102" s="45">
        <f t="shared" si="898"/>
        <v>0</v>
      </c>
      <c r="KE102" s="46" cm="1">
        <f t="array" ref="KE102">ROUND(IFERROR(INDEX(ArchiveResults!$F$5:$IX$116,ComparisonData!A102,ComparisonData!$KE$1),0),5)</f>
        <v>0</v>
      </c>
      <c r="KF102" s="46" cm="1">
        <f t="array" ref="KF102">ROUND(IFERROR(INDEX(ArchiveResults!$F$5:$IX$116,ComparisonData!A102,ComparisonData!$KF$1),0),5)</f>
        <v>0</v>
      </c>
      <c r="KG102" s="46" cm="1">
        <f t="array" ref="KG102">ROUND(IFERROR(INDEX(ArchiveResults!$F$5:$IX$116,ComparisonData!A102,ComparisonData!$KG$1),0),5)</f>
        <v>0</v>
      </c>
      <c r="KH102" s="46" cm="1">
        <f t="array" ref="KH102">ROUND(IFERROR(INDEX(ArchiveResults!$F$5:$IX$116,ComparisonData!A102,ComparisonData!$KH$1),0),5)</f>
        <v>0</v>
      </c>
      <c r="KI102" s="45" cm="1">
        <f t="array" ref="KI102">IFERROR(INDEX(ArchiveResults!$F$5:$IX$116,ComparisonData!A102,ComparisonData!$KI$1),0)</f>
        <v>0</v>
      </c>
      <c r="KJ102" s="56">
        <v>97</v>
      </c>
      <c r="KK102" s="53" t="str">
        <f t="shared" ref="KK102:KK133" si="1213">INDEX($B$6:$B$117,MATCH(KJ102,$JZ$6:$JZ$117,0))</f>
        <v>University of Leeds, Special Collections</v>
      </c>
      <c r="KL102" s="59">
        <f t="shared" si="899"/>
        <v>0</v>
      </c>
      <c r="KM102" s="59">
        <f t="shared" si="900"/>
        <v>0</v>
      </c>
      <c r="KN102" s="59">
        <f t="shared" si="901"/>
        <v>0</v>
      </c>
      <c r="KO102" s="59">
        <f t="shared" si="902"/>
        <v>0</v>
      </c>
      <c r="KP102" s="59">
        <f t="shared" si="903"/>
        <v>0</v>
      </c>
      <c r="KQ102" s="58">
        <f t="shared" si="904"/>
        <v>0</v>
      </c>
      <c r="KR102" s="45">
        <f t="shared" si="905"/>
        <v>40</v>
      </c>
      <c r="KS102" s="45">
        <f t="shared" ref="KS102:KS133" si="1214">(C102*KT102)+KU102</f>
        <v>2.6339999999999995</v>
      </c>
      <c r="KT102" s="45">
        <f t="shared" si="906"/>
        <v>1</v>
      </c>
      <c r="KU102" s="45">
        <f t="shared" si="907"/>
        <v>2</v>
      </c>
      <c r="KV102" s="45">
        <f t="shared" si="908"/>
        <v>0</v>
      </c>
      <c r="KW102" s="46" cm="1">
        <f t="array" ref="KW102">ROUND(IFERROR(INDEX(ArchiveResults!$F$5:$IX$116,ComparisonData!A102,ComparisonData!$KW$1),0),5)</f>
        <v>0</v>
      </c>
      <c r="KX102" s="46" cm="1">
        <f t="array" ref="KX102">ROUND(IFERROR(INDEX(ArchiveResults!$F$5:$IX$116,ComparisonData!A102,ComparisonData!$KX$1),0),5)</f>
        <v>0</v>
      </c>
      <c r="KY102" s="46" cm="1">
        <f t="array" ref="KY102">ROUND(IFERROR(INDEX(ArchiveResults!$F$5:$IX$116,ComparisonData!A102,ComparisonData!$KY$1),0),5)</f>
        <v>0</v>
      </c>
      <c r="KZ102" s="46" cm="1">
        <f t="array" ref="KZ102">ROUND(IFERROR(INDEX(ArchiveResults!$F$5:$IX$116,ComparisonData!A102,ComparisonData!$KZ$1),0),5)</f>
        <v>0</v>
      </c>
      <c r="LA102" s="45" cm="1">
        <f t="array" ref="LA102">IFERROR(INDEX(ArchiveResults!$F$5:$IX$116,ComparisonData!A102,ComparisonData!$LA$1),0)</f>
        <v>0</v>
      </c>
      <c r="LB102" s="56">
        <v>97</v>
      </c>
      <c r="LC102" s="53" t="str">
        <f t="shared" ref="LC102:LC133" si="1215">INDEX($B$6:$B$117,MATCH(LB102,$KR$6:$KR$117,0))</f>
        <v>University of Leeds, Special Collections</v>
      </c>
      <c r="LD102" s="59">
        <f t="shared" si="909"/>
        <v>0</v>
      </c>
      <c r="LE102" s="59">
        <f t="shared" si="910"/>
        <v>0</v>
      </c>
      <c r="LF102" s="59">
        <f t="shared" si="911"/>
        <v>0</v>
      </c>
      <c r="LG102" s="59">
        <f t="shared" si="912"/>
        <v>0</v>
      </c>
      <c r="LH102" s="59">
        <f t="shared" si="913"/>
        <v>0</v>
      </c>
      <c r="LI102" s="58">
        <f t="shared" si="914"/>
        <v>0</v>
      </c>
      <c r="LJ102" s="45">
        <f t="shared" si="915"/>
        <v>40</v>
      </c>
      <c r="LK102" s="45">
        <f t="shared" ref="LK102:LK133" si="1216">(C102*LL102)+LM102</f>
        <v>2.6339999999999995</v>
      </c>
      <c r="LL102" s="45">
        <f t="shared" si="916"/>
        <v>1</v>
      </c>
      <c r="LM102" s="45">
        <f t="shared" si="917"/>
        <v>2</v>
      </c>
      <c r="LN102" s="45">
        <f t="shared" si="918"/>
        <v>0</v>
      </c>
      <c r="LO102" s="46" cm="1">
        <f t="array" ref="LO102">ROUND(IFERROR(INDEX(ArchiveResults!$F$5:$IX$116,ComparisonData!A102,ComparisonData!$LO$1),0),5)</f>
        <v>0</v>
      </c>
      <c r="LP102" s="46" cm="1">
        <f t="array" ref="LP102">ROUND(IFERROR(INDEX(ArchiveResults!$F$5:$IX$116,ComparisonData!A102,ComparisonData!$LP$1),0),5)</f>
        <v>0</v>
      </c>
      <c r="LQ102" s="46" cm="1">
        <f t="array" ref="LQ102">ROUND(IFERROR(INDEX(ArchiveResults!$F$5:$IX$116,ComparisonData!A102,ComparisonData!$LQ$1),0),5)</f>
        <v>0</v>
      </c>
      <c r="LR102" s="46" cm="1">
        <f t="array" ref="LR102">ROUND(IFERROR(INDEX(ArchiveResults!$F$5:$IX$116,ComparisonData!A102,ComparisonData!$LR$1),0),5)</f>
        <v>0</v>
      </c>
      <c r="LS102" s="45" cm="1">
        <f t="array" ref="LS102">IFERROR(INDEX(ArchiveResults!$F$5:$IX$116,ComparisonData!A102,ComparisonData!$LS$1),0)</f>
        <v>0</v>
      </c>
      <c r="LT102" s="56">
        <v>97</v>
      </c>
      <c r="LU102" s="53" t="str">
        <f t="shared" ref="LU102:LU133" si="1217">INDEX($B$6:$B$117,MATCH(LT102,$LJ$6:$LJ$117,0))</f>
        <v>University of Leeds, Special Collections</v>
      </c>
      <c r="LV102" s="59">
        <f t="shared" si="919"/>
        <v>0</v>
      </c>
      <c r="LW102" s="59">
        <f t="shared" si="920"/>
        <v>0</v>
      </c>
      <c r="LX102" s="59">
        <f t="shared" si="921"/>
        <v>0</v>
      </c>
      <c r="LY102" s="59">
        <f t="shared" si="922"/>
        <v>0</v>
      </c>
      <c r="LZ102" s="59">
        <f t="shared" si="923"/>
        <v>0</v>
      </c>
      <c r="MA102" s="58">
        <f t="shared" si="924"/>
        <v>0</v>
      </c>
      <c r="MB102" s="45">
        <f t="shared" si="925"/>
        <v>40</v>
      </c>
      <c r="MC102" s="45">
        <f t="shared" ref="MC102:MC133" si="1218">(C102*MD102)+ME102</f>
        <v>2.6339999999999995</v>
      </c>
      <c r="MD102" s="45">
        <f t="shared" si="926"/>
        <v>1</v>
      </c>
      <c r="ME102" s="45">
        <f t="shared" si="927"/>
        <v>2</v>
      </c>
      <c r="MF102" s="45">
        <f t="shared" si="928"/>
        <v>0</v>
      </c>
      <c r="MG102" s="46" cm="1">
        <f t="array" ref="MG102">ROUND(IFERROR(INDEX(ArchiveResults!$F$5:$IX$116,ComparisonData!A102,ComparisonData!$MG$1),0),5)</f>
        <v>0</v>
      </c>
      <c r="MH102" s="46" cm="1">
        <f t="array" ref="MH102">ROUND(IFERROR(INDEX(ArchiveResults!$F$5:$IX$116,ComparisonData!A102,ComparisonData!$MH$1),0),5)</f>
        <v>0</v>
      </c>
      <c r="MI102" s="46" cm="1">
        <f t="array" ref="MI102">ROUND(IFERROR(INDEX(ArchiveResults!$F$5:$IX$116,ComparisonData!A102,ComparisonData!$MI$1),0),5)</f>
        <v>0</v>
      </c>
      <c r="MJ102" s="46" cm="1">
        <f t="array" ref="MJ102">ROUND(IFERROR(INDEX(ArchiveResults!$F$5:$IX$116,ComparisonData!A102,ComparisonData!$MJ$1),0),5)</f>
        <v>0</v>
      </c>
      <c r="MK102" s="45" cm="1">
        <f t="array" ref="MK102">IFERROR(INDEX(ArchiveResults!$F$5:$IX$116,ComparisonData!A102,ComparisonData!$MK$1),0)</f>
        <v>0</v>
      </c>
      <c r="ML102" s="56">
        <v>97</v>
      </c>
      <c r="MM102" s="53" t="str">
        <f t="shared" ref="MM102:MM133" si="1219">INDEX($B$6:$B$117,MATCH(ML102,$MB$6:$MB$117,0))</f>
        <v>University of Leeds, Special Collections</v>
      </c>
      <c r="MN102" s="59">
        <f t="shared" si="929"/>
        <v>0</v>
      </c>
      <c r="MO102" s="59">
        <f t="shared" si="930"/>
        <v>0</v>
      </c>
      <c r="MP102" s="59">
        <f t="shared" si="931"/>
        <v>0</v>
      </c>
      <c r="MQ102" s="59">
        <f t="shared" si="932"/>
        <v>0</v>
      </c>
      <c r="MR102" s="59">
        <f t="shared" si="933"/>
        <v>0</v>
      </c>
      <c r="MS102" s="58">
        <f t="shared" si="934"/>
        <v>0</v>
      </c>
      <c r="MT102" s="45">
        <f t="shared" si="935"/>
        <v>40</v>
      </c>
      <c r="MU102" s="45">
        <f t="shared" ref="MU102:MU133" si="1220">(C102*MV102)+MW102</f>
        <v>2.6339999999999995</v>
      </c>
      <c r="MV102" s="45">
        <f t="shared" si="936"/>
        <v>1</v>
      </c>
      <c r="MW102" s="45">
        <f t="shared" si="937"/>
        <v>2</v>
      </c>
      <c r="MX102" s="45">
        <f t="shared" si="938"/>
        <v>0</v>
      </c>
      <c r="MY102" s="46" cm="1">
        <f t="array" ref="MY102">ROUND(IFERROR(INDEX(ArchiveResults!$F$5:$IX$116,ComparisonData!A102,ComparisonData!$MY$1),0),5)</f>
        <v>0</v>
      </c>
      <c r="MZ102" s="46" cm="1">
        <f t="array" ref="MZ102">ROUND(IFERROR(INDEX(ArchiveResults!$F$5:$IX$116,ComparisonData!A102,ComparisonData!$MZ$1),0),5)</f>
        <v>0</v>
      </c>
      <c r="NA102" s="46" cm="1">
        <f t="array" ref="NA102">ROUND(IFERROR(INDEX(ArchiveResults!$F$5:$IX$116,ComparisonData!A102,ComparisonData!$NA$1),0),5)</f>
        <v>0</v>
      </c>
      <c r="NB102" s="46" cm="1">
        <f t="array" ref="NB102">ROUND(IFERROR(INDEX(ArchiveResults!$F$5:$IX$116,ComparisonData!A102,ComparisonData!$NB$1),0),5)</f>
        <v>0</v>
      </c>
      <c r="NC102" s="45" cm="1">
        <f t="array" ref="NC102">IFERROR(INDEX(ArchiveResults!$F$5:$IX$116,ComparisonData!A102,ComparisonData!$NC$1),0)</f>
        <v>0</v>
      </c>
      <c r="ND102" s="56">
        <v>97</v>
      </c>
      <c r="NE102" s="53" t="str">
        <f t="shared" ref="NE102:NE133" si="1221">INDEX($B$6:$B$117,MATCH(ND102,$MT$6:$MT$117,0))</f>
        <v>University of Leeds, Special Collections</v>
      </c>
      <c r="NF102" s="59">
        <f t="shared" si="939"/>
        <v>0</v>
      </c>
      <c r="NG102" s="59">
        <f t="shared" si="940"/>
        <v>0</v>
      </c>
      <c r="NH102" s="59">
        <f t="shared" si="941"/>
        <v>0</v>
      </c>
      <c r="NI102" s="59">
        <f t="shared" si="942"/>
        <v>0</v>
      </c>
      <c r="NJ102" s="59">
        <f t="shared" si="943"/>
        <v>0</v>
      </c>
      <c r="NK102" s="58">
        <f t="shared" si="944"/>
        <v>0</v>
      </c>
      <c r="NL102" s="45">
        <f t="shared" si="945"/>
        <v>40</v>
      </c>
      <c r="NM102" s="45">
        <f t="shared" ref="NM102:NM133" si="1222">(C102*NN102)+NO102</f>
        <v>2.6339999999999995</v>
      </c>
      <c r="NN102" s="45">
        <f t="shared" si="946"/>
        <v>1</v>
      </c>
      <c r="NO102" s="45">
        <f t="shared" si="947"/>
        <v>2</v>
      </c>
      <c r="NP102" s="46" cm="1">
        <f t="array" ref="NP102">ROUND(IFERROR(INDEX(ArchiveResults!$F$5:$IX$116,ComparisonData!A102,ComparisonData!$NP$1),0),5)</f>
        <v>0</v>
      </c>
      <c r="NQ102" s="46" cm="1">
        <f t="array" ref="NQ102">ROUND(IFERROR(INDEX(ArchiveResults!$F$5:$IX$116,ComparisonData!A102,ComparisonData!$NQ$1),0),5)</f>
        <v>0</v>
      </c>
      <c r="NR102" s="46" cm="1">
        <f t="array" ref="NR102">ROUND(IFERROR(INDEX(ArchiveResults!$F$5:$IX$116,ComparisonData!A102,ComparisonData!$NR$1),0),5)</f>
        <v>0</v>
      </c>
      <c r="NS102" s="46" cm="1">
        <f t="array" ref="NS102">ROUND(IFERROR(INDEX(ArchiveResults!$F$5:$IX$116,ComparisonData!A102,ComparisonData!$NS$1),0),5)</f>
        <v>0</v>
      </c>
      <c r="NT102" s="45" cm="1">
        <f t="array" ref="NT102">IFERROR(INDEX(ArchiveResults!$F$5:$IX$116,ComparisonData!A102,ComparisonData!$NT$1),0)</f>
        <v>0</v>
      </c>
      <c r="NU102" s="56">
        <v>97</v>
      </c>
      <c r="NV102" s="53" t="str">
        <f t="shared" ref="NV102:NV133" si="1223">INDEX($B$6:$B$117,MATCH(NU102,$NL$6:$NL$117,0))</f>
        <v>University of Leeds, Special Collections</v>
      </c>
      <c r="NW102" s="59">
        <f t="shared" si="948"/>
        <v>0</v>
      </c>
      <c r="NX102" s="59">
        <f t="shared" si="949"/>
        <v>0</v>
      </c>
      <c r="NY102" s="59">
        <f t="shared" si="950"/>
        <v>0</v>
      </c>
      <c r="NZ102" s="59">
        <f t="shared" si="951"/>
        <v>0</v>
      </c>
      <c r="OA102" s="59">
        <f t="shared" si="952"/>
        <v>0</v>
      </c>
      <c r="OB102" s="58">
        <f t="shared" si="953"/>
        <v>0</v>
      </c>
      <c r="OC102" s="45">
        <f t="shared" si="954"/>
        <v>40</v>
      </c>
      <c r="OD102" s="45">
        <f t="shared" ref="OD102:OD133" si="1224">(C102*OE102)+OF102</f>
        <v>2.6339999999999995</v>
      </c>
      <c r="OE102" s="45">
        <f t="shared" si="955"/>
        <v>1</v>
      </c>
      <c r="OF102" s="45">
        <f t="shared" si="956"/>
        <v>2</v>
      </c>
      <c r="OG102" s="46">
        <f t="shared" si="957"/>
        <v>0</v>
      </c>
      <c r="OH102" s="46" cm="1">
        <f t="array" ref="OH102">ROUND(IFERROR(INDEX(ArchiveResults!$F$5:$IX$116,ComparisonData!A102,ComparisonData!$OH$1),0),5)</f>
        <v>0</v>
      </c>
      <c r="OI102" s="46" cm="1">
        <f t="array" ref="OI102">ROUND(IFERROR(INDEX(ArchiveResults!$F$5:$IX$116,ComparisonData!A102,ComparisonData!$OI$1),0),5)</f>
        <v>0</v>
      </c>
      <c r="OJ102" s="46" cm="1">
        <f t="array" ref="OJ102">ROUND(IFERROR(INDEX(ArchiveResults!$F$5:$IX$116,ComparisonData!A102,ComparisonData!$OJ$1),0),5)</f>
        <v>0</v>
      </c>
      <c r="OK102" s="46" cm="1">
        <f t="array" ref="OK102">ROUND(IFERROR(INDEX(ArchiveResults!$F$5:$IX$116,ComparisonData!A102,ComparisonData!$OK$1),0),5)</f>
        <v>0</v>
      </c>
      <c r="OL102" s="45" cm="1">
        <f t="array" ref="OL102">IFERROR(INDEX(ArchiveResults!$F$5:$IX$116,ComparisonData!A102,ComparisonData!$OL$1),0)</f>
        <v>0</v>
      </c>
      <c r="OM102" s="56">
        <v>97</v>
      </c>
      <c r="ON102" s="53" t="str">
        <f t="shared" ref="ON102:ON133" si="1225">INDEX($B$6:$B$117,MATCH(OM102,$OC$6:$OC$117,0))</f>
        <v>University of Leeds, Special Collections</v>
      </c>
      <c r="OO102" s="59">
        <f t="shared" si="958"/>
        <v>0</v>
      </c>
      <c r="OP102" s="59">
        <f t="shared" si="959"/>
        <v>0</v>
      </c>
      <c r="OQ102" s="59">
        <f t="shared" si="960"/>
        <v>0</v>
      </c>
      <c r="OR102" s="59">
        <f t="shared" si="961"/>
        <v>0</v>
      </c>
      <c r="OS102" s="59">
        <f t="shared" si="962"/>
        <v>0</v>
      </c>
      <c r="OT102" s="58">
        <f t="shared" si="963"/>
        <v>0</v>
      </c>
      <c r="OU102" s="45">
        <f t="shared" si="964"/>
        <v>40</v>
      </c>
      <c r="OV102" s="45">
        <f t="shared" ref="OV102:OV133" si="1226">(C102*OW102)+OX102</f>
        <v>2.6339999999999995</v>
      </c>
      <c r="OW102" s="45">
        <f t="shared" si="965"/>
        <v>1</v>
      </c>
      <c r="OX102" s="45">
        <f t="shared" si="966"/>
        <v>2</v>
      </c>
      <c r="OY102" s="45">
        <f t="shared" si="967"/>
        <v>0</v>
      </c>
      <c r="OZ102" s="46" cm="1">
        <f t="array" ref="OZ102">ROUND(IFERROR(INDEX(ArchiveResults!$F$5:$IX$116,ComparisonData!A102,ComparisonData!$OZ$1),0),5)</f>
        <v>0</v>
      </c>
      <c r="PA102" s="46" cm="1">
        <f t="array" ref="PA102">ROUND(IFERROR(INDEX(ArchiveResults!$F$5:$IX$116,ComparisonData!A102,ComparisonData!$PA$1),0),5)</f>
        <v>0</v>
      </c>
      <c r="PB102" s="46" cm="1">
        <f t="array" ref="PB102">ROUND(IFERROR(INDEX(ArchiveResults!$F$5:$IX$116,ComparisonData!A102,ComparisonData!$PB$1),0),5)</f>
        <v>0</v>
      </c>
      <c r="PC102" s="46" cm="1">
        <f t="array" ref="PC102">ROUND(IFERROR(INDEX(ArchiveResults!$F$5:$IX$116,ComparisonData!A102,ComparisonData!$PC$1),0),5)</f>
        <v>0</v>
      </c>
      <c r="PD102" s="45" cm="1">
        <f t="array" ref="PD102">IFERROR(INDEX(ArchiveResults!$F$5:$IX$116,ComparisonData!A102,ComparisonData!$PD$1),0)</f>
        <v>0</v>
      </c>
      <c r="PE102" s="56">
        <v>97</v>
      </c>
      <c r="PF102" s="53" t="str">
        <f t="shared" ref="PF102:PF133" si="1227">INDEX($B$6:$B$117,MATCH(PE102,$OU$6:$OU$117,0))</f>
        <v>University of Leeds, Special Collections</v>
      </c>
      <c r="PG102" s="59">
        <f t="shared" si="968"/>
        <v>0</v>
      </c>
      <c r="PH102" s="59">
        <f t="shared" si="969"/>
        <v>0</v>
      </c>
      <c r="PI102" s="59">
        <f t="shared" si="970"/>
        <v>0</v>
      </c>
      <c r="PJ102" s="59">
        <f t="shared" si="971"/>
        <v>0</v>
      </c>
      <c r="PK102" s="59">
        <f t="shared" si="972"/>
        <v>0</v>
      </c>
      <c r="PL102" s="58">
        <f t="shared" si="973"/>
        <v>0</v>
      </c>
      <c r="PM102" s="45">
        <f t="shared" si="974"/>
        <v>40</v>
      </c>
      <c r="PN102" s="45">
        <f t="shared" ref="PN102:PN133" si="1228">(C102*PO102)+PP102</f>
        <v>2.6339999999999995</v>
      </c>
      <c r="PO102" s="45">
        <f t="shared" si="975"/>
        <v>1</v>
      </c>
      <c r="PP102" s="45">
        <f t="shared" si="976"/>
        <v>2</v>
      </c>
      <c r="PQ102" s="45">
        <f t="shared" si="977"/>
        <v>0</v>
      </c>
      <c r="PR102" s="46" cm="1">
        <f t="array" ref="PR102">ROUND(IFERROR(INDEX(ArchiveResults!$F$5:$IX$116,ComparisonData!A102,ComparisonData!$PR$1),0),5)</f>
        <v>0</v>
      </c>
      <c r="PS102" s="46" cm="1">
        <f t="array" ref="PS102">ROUND(IFERROR(INDEX(ArchiveResults!$F$5:$IX$116,ComparisonData!A102,ComparisonData!$PS$1),0),5)</f>
        <v>0</v>
      </c>
      <c r="PT102" s="46" cm="1">
        <f t="array" ref="PT102">ROUND(IFERROR(INDEX(ArchiveResults!$F$5:$IX$116,ComparisonData!A102,ComparisonData!$PT$1),0),5)</f>
        <v>0</v>
      </c>
      <c r="PU102" s="46" cm="1">
        <f t="array" ref="PU102">ROUND(IFERROR(INDEX(ArchiveResults!$F$5:$IX$116,ComparisonData!A102,ComparisonData!$PU$1),0),5)</f>
        <v>0</v>
      </c>
      <c r="PV102" s="45" cm="1">
        <f t="array" ref="PV102">IFERROR(INDEX(ArchiveResults!$F$5:$IX$116,ComparisonData!A102,ComparisonData!$PV$1),0)</f>
        <v>0</v>
      </c>
      <c r="PW102" s="56">
        <v>97</v>
      </c>
      <c r="PX102" s="53" t="str">
        <f t="shared" ref="PX102:PX133" si="1229">INDEX($B$6:$B$117,MATCH(PW102,$PM$6:$PM$117,0))</f>
        <v>University of Leeds, Special Collections</v>
      </c>
      <c r="PY102" s="59">
        <f t="shared" si="978"/>
        <v>0</v>
      </c>
      <c r="PZ102" s="59">
        <f t="shared" si="979"/>
        <v>0</v>
      </c>
      <c r="QA102" s="59">
        <f t="shared" si="980"/>
        <v>0</v>
      </c>
      <c r="QB102" s="59">
        <f t="shared" si="981"/>
        <v>0</v>
      </c>
      <c r="QC102" s="59">
        <f t="shared" si="982"/>
        <v>0</v>
      </c>
      <c r="QD102" s="58">
        <f t="shared" si="983"/>
        <v>0</v>
      </c>
      <c r="QE102" s="45">
        <f t="shared" si="984"/>
        <v>40</v>
      </c>
      <c r="QF102" s="45">
        <f t="shared" ref="QF102:QF133" si="1230">(C102*QG102)+QH102</f>
        <v>2.6339999999999995</v>
      </c>
      <c r="QG102" s="45">
        <f t="shared" si="985"/>
        <v>1</v>
      </c>
      <c r="QH102" s="45">
        <f t="shared" si="986"/>
        <v>2</v>
      </c>
      <c r="QI102" s="45">
        <f t="shared" si="987"/>
        <v>0</v>
      </c>
      <c r="QJ102" s="46" cm="1">
        <f t="array" ref="QJ102">ROUND(IFERROR(INDEX(ArchiveResults!$F$5:$IX$116,ComparisonData!A102,ComparisonData!$QJ$1),0),5)</f>
        <v>0</v>
      </c>
      <c r="QK102" s="46" cm="1">
        <f t="array" ref="QK102">ROUND(IFERROR(INDEX(ArchiveResults!$F$5:$IX$116,ComparisonData!A102,ComparisonData!$QK$1),0),5)</f>
        <v>0</v>
      </c>
      <c r="QL102" s="46" cm="1">
        <f t="array" ref="QL102">ROUND(IFERROR(INDEX(ArchiveResults!$F$5:$IX$116,ComparisonData!A102,ComparisonData!$QL$1),0),5)</f>
        <v>0</v>
      </c>
      <c r="QM102" s="46" cm="1">
        <f t="array" ref="QM102">ROUND(IFERROR(INDEX(ArchiveResults!$F$5:$IX$116,ComparisonData!A102,ComparisonData!$QM$1),0),5)</f>
        <v>0</v>
      </c>
      <c r="QN102" s="45" cm="1">
        <f t="array" ref="QN102">IFERROR(INDEX(ArchiveResults!$F$5:$IX$116,ComparisonData!A102,ComparisonData!$QN$1),0)</f>
        <v>0</v>
      </c>
      <c r="QO102" s="56">
        <v>97</v>
      </c>
      <c r="QP102" s="53" t="str">
        <f t="shared" ref="QP102:QP133" si="1231">INDEX($B$6:$B$117,MATCH(QO102,$QE$6:$QE$117,0))</f>
        <v>University of Leeds, Special Collections</v>
      </c>
      <c r="QQ102" s="59">
        <f t="shared" si="988"/>
        <v>0</v>
      </c>
      <c r="QR102" s="59">
        <f t="shared" si="989"/>
        <v>0</v>
      </c>
      <c r="QS102" s="59">
        <f t="shared" si="990"/>
        <v>0</v>
      </c>
      <c r="QT102" s="59">
        <f t="shared" si="991"/>
        <v>0</v>
      </c>
      <c r="QU102" s="59">
        <f t="shared" si="992"/>
        <v>0</v>
      </c>
      <c r="QV102" s="58">
        <f t="shared" si="993"/>
        <v>0</v>
      </c>
      <c r="QW102" s="45">
        <f t="shared" si="994"/>
        <v>40</v>
      </c>
      <c r="QX102" s="45">
        <f t="shared" ref="QX102:QX133" si="1232">(C102*QY102)+QZ102</f>
        <v>2.6339999999999995</v>
      </c>
      <c r="QY102" s="45">
        <f t="shared" si="995"/>
        <v>1</v>
      </c>
      <c r="QZ102" s="45">
        <f t="shared" si="996"/>
        <v>2</v>
      </c>
      <c r="RA102" s="45">
        <f t="shared" si="997"/>
        <v>0</v>
      </c>
      <c r="RB102" s="46" cm="1">
        <f t="array" ref="RB102">ROUND(IFERROR(INDEX(ArchiveResults!$F$5:$IX$116,ComparisonData!A102,ComparisonData!$RB$1),0),5)</f>
        <v>0</v>
      </c>
      <c r="RC102" s="46" cm="1">
        <f t="array" ref="RC102">ROUND(IFERROR(INDEX(ArchiveResults!$F$5:$IX$116,ComparisonData!A102,ComparisonData!$RC$1),0),5)</f>
        <v>0</v>
      </c>
      <c r="RD102" s="46" cm="1">
        <f t="array" ref="RD102">ROUND(IFERROR(INDEX(ArchiveResults!$F$5:$IX$116,ComparisonData!A102,ComparisonData!$RD$1),0),5)</f>
        <v>0</v>
      </c>
      <c r="RE102" s="46" cm="1">
        <f t="array" ref="RE102">ROUND(IFERROR(INDEX(ArchiveResults!$F$5:$IX$116,ComparisonData!A102,ComparisonData!$RE$1),0),5)</f>
        <v>0</v>
      </c>
      <c r="RF102" s="45" cm="1">
        <f t="array" ref="RF102">IFERROR(INDEX(ArchiveResults!$F$5:$IX$116,ComparisonData!A102,ComparisonData!$RF$1),0)</f>
        <v>0</v>
      </c>
      <c r="RG102" s="56">
        <v>97</v>
      </c>
      <c r="RH102" s="53" t="str">
        <f t="shared" ref="RH102:RH133" si="1233">INDEX($B$6:$B$117,MATCH(RG102,$QW$6:$QW$117,0))</f>
        <v>University of Leeds, Special Collections</v>
      </c>
      <c r="RI102" s="59">
        <f t="shared" si="998"/>
        <v>0</v>
      </c>
      <c r="RJ102" s="59">
        <f t="shared" si="999"/>
        <v>0</v>
      </c>
      <c r="RK102" s="59">
        <f t="shared" si="1000"/>
        <v>0</v>
      </c>
      <c r="RL102" s="59">
        <f t="shared" si="1001"/>
        <v>0</v>
      </c>
      <c r="RM102" s="59">
        <f t="shared" si="1002"/>
        <v>0</v>
      </c>
      <c r="RN102" s="58">
        <f t="shared" si="1003"/>
        <v>0</v>
      </c>
      <c r="RO102" s="45">
        <f t="shared" si="1004"/>
        <v>40</v>
      </c>
      <c r="RP102" s="45">
        <f t="shared" ref="RP102:RP133" si="1234">(C102*RQ102)+RR102</f>
        <v>2.6339999999999995</v>
      </c>
      <c r="RQ102" s="45">
        <f t="shared" si="1005"/>
        <v>1</v>
      </c>
      <c r="RR102" s="45">
        <f t="shared" si="1006"/>
        <v>2</v>
      </c>
      <c r="RS102" s="45">
        <f t="shared" si="1007"/>
        <v>0</v>
      </c>
      <c r="RT102" s="46" cm="1">
        <f t="array" ref="RT102">ROUND(IFERROR(INDEX(ArchiveResults!$F$5:$IX$116,ComparisonData!A102,ComparisonData!$RT$1),0),5)</f>
        <v>0</v>
      </c>
      <c r="RU102" s="46" cm="1">
        <f t="array" ref="RU102">ROUND(IFERROR(INDEX(ArchiveResults!$F$5:$IX$116,ComparisonData!A102,ComparisonData!$RU$1),0),5)</f>
        <v>0</v>
      </c>
      <c r="RV102" s="46" cm="1">
        <f t="array" ref="RV102">ROUND(IFERROR(INDEX(ArchiveResults!$F$5:$IX$116,ComparisonData!A102,ComparisonData!$RV$1),0),5)</f>
        <v>0</v>
      </c>
      <c r="RW102" s="46" cm="1">
        <f t="array" ref="RW102">ROUND(IFERROR(INDEX(ArchiveResults!$F$5:$IX$116,ComparisonData!A102,ComparisonData!$RW$1),0),5)</f>
        <v>0</v>
      </c>
      <c r="RX102" s="45" cm="1">
        <f t="array" ref="RX102">IFERROR(INDEX(ArchiveResults!$F$5:$IX$116,ComparisonData!A102,ComparisonData!$RX$1),0)</f>
        <v>0</v>
      </c>
      <c r="RY102" s="56">
        <v>97</v>
      </c>
      <c r="RZ102" s="53" t="str">
        <f t="shared" ref="RZ102:RZ133" si="1235">INDEX($B$6:$B$117,MATCH(RY102,$RO$6:$RO$117,0))</f>
        <v>University of Leeds, Special Collections</v>
      </c>
      <c r="SA102" s="59">
        <f t="shared" si="1008"/>
        <v>0</v>
      </c>
      <c r="SB102" s="59">
        <f t="shared" si="1009"/>
        <v>0</v>
      </c>
      <c r="SC102" s="59">
        <f t="shared" si="1010"/>
        <v>0</v>
      </c>
      <c r="SD102" s="59">
        <f t="shared" si="1011"/>
        <v>0</v>
      </c>
      <c r="SE102" s="59">
        <f t="shared" si="1012"/>
        <v>0</v>
      </c>
      <c r="SF102" s="58">
        <f t="shared" si="1013"/>
        <v>0</v>
      </c>
      <c r="SG102" s="45">
        <f t="shared" si="1014"/>
        <v>40</v>
      </c>
      <c r="SH102" s="45">
        <f t="shared" ref="SH102:SH133" si="1236">(C102*SI102)+SJ102</f>
        <v>2.6339999999999995</v>
      </c>
      <c r="SI102" s="45">
        <f t="shared" si="1015"/>
        <v>1</v>
      </c>
      <c r="SJ102" s="45">
        <f t="shared" si="1016"/>
        <v>2</v>
      </c>
      <c r="SK102" s="45">
        <f t="shared" si="1017"/>
        <v>0</v>
      </c>
      <c r="SL102" s="46" cm="1">
        <f t="array" ref="SL102">ROUND(IFERROR(INDEX(ArchiveResults!$F$5:$IX$116,ComparisonData!A102,ComparisonData!$SL$1),0),5)</f>
        <v>0</v>
      </c>
      <c r="SM102" s="46" cm="1">
        <f t="array" ref="SM102">ROUND(IFERROR(INDEX(ArchiveResults!$F$5:$IX$116,ComparisonData!A102,ComparisonData!$SM$1),0),5)</f>
        <v>0</v>
      </c>
      <c r="SN102" s="46" cm="1">
        <f t="array" ref="SN102">ROUND(IFERROR(INDEX(ArchiveResults!$F$5:$IX$116,ComparisonData!A102,ComparisonData!$SN$1),0),5)</f>
        <v>0</v>
      </c>
      <c r="SO102" s="46" cm="1">
        <f t="array" ref="SO102">ROUND(IFERROR(INDEX(ArchiveResults!$F$5:$IX$116,ComparisonData!A102,ComparisonData!$SO$1),0),5)</f>
        <v>0</v>
      </c>
      <c r="SP102" s="45" cm="1">
        <f t="array" ref="SP102">IFERROR(INDEX(ArchiveResults!$F$5:$IX$116,ComparisonData!A102,ComparisonData!$SP$1),0)</f>
        <v>0</v>
      </c>
      <c r="SQ102" s="56">
        <v>97</v>
      </c>
      <c r="SR102" s="53" t="str">
        <f t="shared" ref="SR102:SR133" si="1237">INDEX($B$6:$B$117,MATCH(SQ102,$SG$6:$SG$117,0))</f>
        <v>University of Leeds, Special Collections</v>
      </c>
      <c r="SS102" s="59">
        <f t="shared" si="1018"/>
        <v>0</v>
      </c>
      <c r="ST102" s="59">
        <f t="shared" si="1019"/>
        <v>0</v>
      </c>
      <c r="SU102" s="59">
        <f t="shared" si="1020"/>
        <v>0</v>
      </c>
      <c r="SV102" s="59">
        <f t="shared" si="1021"/>
        <v>0</v>
      </c>
      <c r="SW102" s="59">
        <f t="shared" si="1022"/>
        <v>0</v>
      </c>
      <c r="SX102" s="58">
        <f t="shared" si="1023"/>
        <v>0</v>
      </c>
      <c r="SY102" s="45">
        <f t="shared" si="1024"/>
        <v>40</v>
      </c>
      <c r="SZ102" s="45">
        <f t="shared" ref="SZ102:SZ133" si="1238">(C102*TA102)+TB102</f>
        <v>2.6339999999999995</v>
      </c>
      <c r="TA102" s="45">
        <f t="shared" si="1025"/>
        <v>1</v>
      </c>
      <c r="TB102" s="45">
        <f t="shared" si="1026"/>
        <v>2</v>
      </c>
      <c r="TC102" s="45">
        <f t="shared" si="1027"/>
        <v>0</v>
      </c>
      <c r="TD102" s="46" cm="1">
        <f t="array" ref="TD102">ROUND(IFERROR(INDEX(ArchiveResults!$F$5:$IX$116,ComparisonData!A102,ComparisonData!$TD$1),0),5)</f>
        <v>0</v>
      </c>
      <c r="TE102" s="46" cm="1">
        <f t="array" ref="TE102">ROUND(IFERROR(INDEX(ArchiveResults!$F$5:$IX$116,ComparisonData!A102,ComparisonData!$TE$1),0),5)</f>
        <v>0</v>
      </c>
      <c r="TF102" s="46" cm="1">
        <f t="array" ref="TF102">ROUND(IFERROR(INDEX(ArchiveResults!$F$5:$IX$116,ComparisonData!A102,ComparisonData!$TF$1),0),5)</f>
        <v>0</v>
      </c>
      <c r="TG102" s="46" cm="1">
        <f t="array" ref="TG102">ROUND(IFERROR(INDEX(ArchiveResults!$F$5:$IX$116,ComparisonData!A102,ComparisonData!$TG$1),0),5)</f>
        <v>0</v>
      </c>
      <c r="TH102" s="45" cm="1">
        <f t="array" ref="TH102">IFERROR(INDEX(ArchiveResults!$F$5:$IX$116,ComparisonData!A102,ComparisonData!$TH$1),0)</f>
        <v>0</v>
      </c>
      <c r="TI102" s="56">
        <v>97</v>
      </c>
      <c r="TJ102" s="53" t="str">
        <f t="shared" ref="TJ102:TJ133" si="1239">INDEX($B$6:$B$117,MATCH(TI102,$SY$6:$SY$117,0))</f>
        <v>University of Leeds, Special Collections</v>
      </c>
      <c r="TK102" s="59">
        <f t="shared" si="1028"/>
        <v>0</v>
      </c>
      <c r="TL102" s="59">
        <f t="shared" si="1029"/>
        <v>0</v>
      </c>
      <c r="TM102" s="59">
        <f t="shared" si="1030"/>
        <v>0</v>
      </c>
      <c r="TN102" s="59">
        <f t="shared" si="1031"/>
        <v>0</v>
      </c>
      <c r="TO102" s="59">
        <f t="shared" si="1032"/>
        <v>0</v>
      </c>
      <c r="TP102" s="58">
        <f t="shared" si="1033"/>
        <v>0</v>
      </c>
      <c r="TQ102" s="45">
        <f t="shared" si="1034"/>
        <v>40</v>
      </c>
      <c r="TR102" s="45">
        <f t="shared" ref="TR102:TR133" si="1240">(C102*TS102)+TT102</f>
        <v>2.6339999999999995</v>
      </c>
      <c r="TS102" s="45">
        <f t="shared" si="1035"/>
        <v>1</v>
      </c>
      <c r="TT102" s="45">
        <f t="shared" si="1036"/>
        <v>2</v>
      </c>
      <c r="TU102" s="45">
        <f t="shared" si="1037"/>
        <v>0</v>
      </c>
      <c r="TV102" s="46" cm="1">
        <f t="array" ref="TV102">ROUND(IFERROR(INDEX(ArchiveResults!$F$5:$IX$116,ComparisonData!A102,ComparisonData!$TV$1),0),5)</f>
        <v>0</v>
      </c>
      <c r="TW102" s="46" cm="1">
        <f t="array" ref="TW102">ROUND(IFERROR(INDEX(ArchiveResults!$F$5:$IX$116,ComparisonData!A102,ComparisonData!$TW$1),0),5)</f>
        <v>0</v>
      </c>
      <c r="TX102" s="46" cm="1">
        <f t="array" ref="TX102">ROUND(IFERROR(INDEX(ArchiveResults!$F$5:$IX$116,ComparisonData!A102,ComparisonData!$TX$1),0),5)</f>
        <v>0</v>
      </c>
      <c r="TY102" s="46" cm="1">
        <f t="array" ref="TY102">ROUND(IFERROR(INDEX(ArchiveResults!$F$5:$IX$116,ComparisonData!A102,ComparisonData!$TY$1),0),5)</f>
        <v>0</v>
      </c>
      <c r="TZ102" s="45" cm="1">
        <f t="array" ref="TZ102">IFERROR(INDEX(ArchiveResults!$F$5:$IX$116,ComparisonData!A102,ComparisonData!$TZ$1),0)</f>
        <v>0</v>
      </c>
      <c r="UA102" s="56">
        <v>97</v>
      </c>
      <c r="UB102" s="53" t="str">
        <f t="shared" ref="UB102:UB133" si="1241">INDEX($B$6:$B$117,MATCH(UA102,$TQ$6:$TQ$117,0))</f>
        <v>University of Leeds, Special Collections</v>
      </c>
      <c r="UC102" s="60">
        <f t="shared" si="1038"/>
        <v>0</v>
      </c>
      <c r="UD102" s="60">
        <f t="shared" si="1039"/>
        <v>0</v>
      </c>
      <c r="UE102" s="60">
        <f t="shared" si="1040"/>
        <v>0</v>
      </c>
      <c r="UF102" s="60">
        <f t="shared" si="1041"/>
        <v>0</v>
      </c>
      <c r="UG102" s="60">
        <f t="shared" si="1042"/>
        <v>0</v>
      </c>
      <c r="UH102" s="58">
        <f t="shared" si="1043"/>
        <v>0</v>
      </c>
      <c r="UI102" s="46">
        <f t="shared" si="1044"/>
        <v>40</v>
      </c>
      <c r="UJ102" s="46">
        <f t="shared" ref="UJ102:UJ133" si="1242">(C102*UK102)+UL102</f>
        <v>2.6339999999999995</v>
      </c>
      <c r="UK102" s="46">
        <f t="shared" si="1045"/>
        <v>1</v>
      </c>
      <c r="UL102" s="46">
        <f t="shared" si="1046"/>
        <v>2</v>
      </c>
      <c r="UM102" s="46" cm="1">
        <f t="array" ref="UM102">ROUND(IFERROR(INDEX(ArchiveResults!$F$5:$IX$116,ComparisonData!A102,ComparisonData!$UM$1),0),5)</f>
        <v>0</v>
      </c>
      <c r="UN102" s="56">
        <v>97</v>
      </c>
      <c r="UO102" s="53" t="str">
        <f t="shared" ref="UO102:UO133" si="1243">INDEX($B$6:$B$117,MATCH(UN102,$UI$6:$UI$117,0))</f>
        <v>University of Leeds, Special Collections</v>
      </c>
      <c r="UP102" s="46">
        <f t="shared" si="1047"/>
        <v>0</v>
      </c>
      <c r="UQ102" s="76">
        <f t="shared" si="1048"/>
        <v>0</v>
      </c>
      <c r="UR102" s="46">
        <f t="shared" si="1049"/>
        <v>40</v>
      </c>
      <c r="US102" s="46">
        <f t="shared" ref="US102:US133" si="1244">(C102*UT102)+UU102</f>
        <v>2.6339999999999995</v>
      </c>
      <c r="UT102" s="46">
        <f t="shared" si="1050"/>
        <v>1</v>
      </c>
      <c r="UU102" s="46">
        <f t="shared" si="1051"/>
        <v>2</v>
      </c>
      <c r="UV102" s="46">
        <f t="shared" si="1052"/>
        <v>0</v>
      </c>
      <c r="UW102" s="46" cm="1">
        <f t="array" ref="UW102">ROUND(IFERROR(INDEX(ArchiveResults!$F$5:$IX$116,ComparisonData!A102,ComparisonData!$UW$1),0),5)</f>
        <v>0</v>
      </c>
      <c r="UX102" s="46" cm="1">
        <f t="array" ref="UX102">ROUND(IFERROR(INDEX(ArchiveResults!$F$5:$IX$116,ComparisonData!A102,ComparisonData!$UX$1),0),5)</f>
        <v>0</v>
      </c>
      <c r="UY102" s="46" cm="1">
        <f t="array" ref="UY102">ROUND(IFERROR(INDEX(ArchiveResults!$F$5:$IX$116,ComparisonData!A102,ComparisonData!$UY$1),0),5)</f>
        <v>0</v>
      </c>
      <c r="UZ102" s="46" cm="1">
        <f t="array" ref="UZ102">ROUND(IFERROR(INDEX(ArchiveResults!$F$5:$IX$116,ComparisonData!A102,ComparisonData!$UZ$1),0),5)</f>
        <v>0</v>
      </c>
      <c r="VA102" s="46" cm="1">
        <f t="array" ref="VA102">ROUND(IFERROR(INDEX(ArchiveResults!$F$5:$IX$116,ComparisonData!A102,ComparisonData!$VA$1),0),5)</f>
        <v>0</v>
      </c>
      <c r="VB102" s="56">
        <v>97</v>
      </c>
      <c r="VC102" s="53" t="str">
        <f t="shared" ref="VC102:VC133" si="1245">INDEX($B$6:$B$117,MATCH(VB102,$UR$6:$UR$117,0))</f>
        <v>University of Leeds, Special Collections</v>
      </c>
      <c r="VD102" s="60">
        <f t="shared" si="1053"/>
        <v>0</v>
      </c>
      <c r="VE102" s="60">
        <f t="shared" si="1054"/>
        <v>0</v>
      </c>
      <c r="VF102" s="60">
        <f t="shared" si="1055"/>
        <v>0</v>
      </c>
      <c r="VG102" s="60">
        <f t="shared" si="1056"/>
        <v>0</v>
      </c>
      <c r="VH102" s="60">
        <f t="shared" si="1057"/>
        <v>0</v>
      </c>
      <c r="VI102" s="76">
        <f t="shared" si="1058"/>
        <v>0</v>
      </c>
      <c r="VJ102" s="46">
        <f t="shared" si="1059"/>
        <v>40</v>
      </c>
      <c r="VK102" s="46">
        <f t="shared" ref="VK102:VK133" si="1246">(C102*VL102)+VM102</f>
        <v>2.6339999999999995</v>
      </c>
      <c r="VL102" s="46">
        <f t="shared" si="1060"/>
        <v>1</v>
      </c>
      <c r="VM102" s="46">
        <f t="shared" si="1061"/>
        <v>2</v>
      </c>
      <c r="VN102" s="46" cm="1">
        <f t="array" ref="VN102">ROUND(IFERROR(INDEX(ArchiveResults!$F$5:$IX$116,ComparisonData!A102,ComparisonData!$VN$1),0),5)</f>
        <v>0</v>
      </c>
      <c r="VO102" s="46" cm="1">
        <f t="array" ref="VO102">ROUND(IFERROR(INDEX(ArchiveResults!$F$5:$IX$116,ComparisonData!A102,ComparisonData!$VO$1),0),5)</f>
        <v>0</v>
      </c>
      <c r="VP102" s="46" cm="1">
        <f t="array" ref="VP102">ROUND(IFERROR(INDEX(ArchiveResults!$F$5:$IX$116,ComparisonData!A102,ComparisonData!$VP$1),0),5)</f>
        <v>0</v>
      </c>
      <c r="VQ102" s="46" cm="1">
        <f t="array" ref="VQ102">ROUND(IFERROR(INDEX(ArchiveResults!$F$5:$IX$116,ComparisonData!A102,ComparisonData!$VQ$1),0),5)</f>
        <v>0</v>
      </c>
      <c r="VR102" s="56">
        <v>97</v>
      </c>
      <c r="VS102" s="53" t="str">
        <f t="shared" ref="VS102:VS133" si="1247">INDEX($B$6:$B$117,MATCH(VR102,$VJ$6:$VJ$117,0))</f>
        <v>University of Leeds, Special Collections</v>
      </c>
      <c r="VT102" s="60">
        <f t="shared" si="1062"/>
        <v>0</v>
      </c>
      <c r="VU102" s="60">
        <f t="shared" si="1063"/>
        <v>0</v>
      </c>
      <c r="VV102" s="60">
        <f t="shared" si="1064"/>
        <v>0</v>
      </c>
      <c r="VW102" s="60">
        <f t="shared" si="1065"/>
        <v>0</v>
      </c>
      <c r="VX102" s="76">
        <f t="shared" si="1066"/>
        <v>0</v>
      </c>
      <c r="VY102" s="46">
        <f t="shared" si="1067"/>
        <v>40</v>
      </c>
      <c r="VZ102" s="46">
        <f t="shared" ref="VZ102:VZ133" si="1248">(C102*WA102)+WB102</f>
        <v>2.6339999999999995</v>
      </c>
      <c r="WA102" s="46">
        <f t="shared" si="1068"/>
        <v>1</v>
      </c>
      <c r="WB102" s="46">
        <f t="shared" si="1069"/>
        <v>2</v>
      </c>
      <c r="WC102" s="46" cm="1">
        <f t="array" ref="WC102">ROUND(IFERROR(INDEX(ArchiveResults!$F$5:$IX$116,ComparisonData!A102,ComparisonData!$WC$1),0),5)</f>
        <v>0</v>
      </c>
      <c r="WD102" s="56">
        <v>97</v>
      </c>
      <c r="WE102" s="53" t="str">
        <f t="shared" ref="WE102:WE133" si="1249">INDEX($B$6:$B$117,MATCH(WD102,$VY$6:$VY$117,0))</f>
        <v>University of Leeds, Special Collections</v>
      </c>
      <c r="WF102" s="46">
        <f t="shared" si="1070"/>
        <v>0</v>
      </c>
      <c r="WG102" s="76">
        <f t="shared" si="1071"/>
        <v>0</v>
      </c>
      <c r="WH102" s="46">
        <f t="shared" si="1072"/>
        <v>40</v>
      </c>
      <c r="WI102" s="46">
        <f t="shared" ref="WI102:WI133" si="1250">(C102*WJ102)+WK102</f>
        <v>2.6339999999999995</v>
      </c>
      <c r="WJ102" s="46">
        <f t="shared" si="1073"/>
        <v>1</v>
      </c>
      <c r="WK102" s="46">
        <f t="shared" si="1074"/>
        <v>2</v>
      </c>
      <c r="WL102" s="46" cm="1">
        <f t="array" ref="WL102">ROUND(IFERROR(INDEX(ArchiveResults!$F$5:$IX$116,ComparisonData!A102,ComparisonData!$WL$1),0),5)</f>
        <v>0</v>
      </c>
      <c r="WM102" s="46" cm="1">
        <f t="array" ref="WM102">IFERROR(INDEX(ArchiveResults!$F$5:$IX$116,ComparisonData!A102,ComparisonData!$WM$1),0)</f>
        <v>0</v>
      </c>
      <c r="WN102" s="56">
        <v>97</v>
      </c>
      <c r="WO102" s="53" t="str">
        <f t="shared" ref="WO102:WO133" si="1251">INDEX($B$6:$B$117,MATCH(WN102,$WH$6:$WH$117,0))</f>
        <v>University of Leeds, Special Collections</v>
      </c>
      <c r="WP102" s="60">
        <f t="shared" si="1075"/>
        <v>0</v>
      </c>
      <c r="WQ102" s="60">
        <f t="shared" si="1076"/>
        <v>0</v>
      </c>
      <c r="WR102" s="76">
        <f t="shared" si="1077"/>
        <v>0</v>
      </c>
      <c r="WS102" s="46">
        <f t="shared" si="1078"/>
        <v>40</v>
      </c>
      <c r="WT102" s="46">
        <f t="shared" ref="WT102:WT133" si="1252">(C102*WU102)+WV102</f>
        <v>2.6339999999999995</v>
      </c>
      <c r="WU102" s="46">
        <f t="shared" si="1079"/>
        <v>1</v>
      </c>
      <c r="WV102" s="46">
        <f t="shared" si="1080"/>
        <v>2</v>
      </c>
      <c r="WW102" s="46" cm="1">
        <f t="array" ref="WW102">ROUND(VALUE(IFERROR(INDEX(ArchiveResults!$F$5:$IX$116,ComparisonData!A102,ComparisonData!$WW$1),0)),5)</f>
        <v>0</v>
      </c>
      <c r="WX102" s="46" cm="1">
        <f t="array" ref="WX102">ROUND(IFERROR(INDEX(ArchiveResults!$F$5:$IX$116,ComparisonData!A102,ComparisonData!$WX$1),0),5)</f>
        <v>0</v>
      </c>
      <c r="WY102" s="56">
        <v>97</v>
      </c>
      <c r="WZ102" s="53" t="str">
        <f t="shared" ref="WZ102:WZ133" si="1253">INDEX($B$6:$B$117,MATCH(WY102,$WS$6:$WS$117,0))</f>
        <v>University of Leeds, Special Collections</v>
      </c>
      <c r="XA102" s="60">
        <f t="shared" ref="XA102:XA117" si="1254">INDEX($WW$6:$WW$117,MATCH(WY102,$WS$6:$WS$117,0))</f>
        <v>0</v>
      </c>
      <c r="XB102" s="60">
        <f t="shared" ref="XB102:XB117" si="1255">INDEX($WX$6:$WX$117,MATCH(WY102,$WS$6:$WS$117,0))</f>
        <v>0</v>
      </c>
      <c r="XC102" s="76">
        <f t="shared" si="1081"/>
        <v>0</v>
      </c>
      <c r="XD102" s="46">
        <f t="shared" si="1082"/>
        <v>40</v>
      </c>
      <c r="XE102" s="46">
        <f t="shared" ref="XE102:XE133" si="1256">(C102*XF102)+XG102</f>
        <v>2.6339999999999995</v>
      </c>
      <c r="XF102" s="46">
        <f t="shared" si="1083"/>
        <v>1</v>
      </c>
      <c r="XG102" s="46">
        <f t="shared" si="1084"/>
        <v>2</v>
      </c>
      <c r="XH102" s="46" cm="1">
        <f t="array" ref="XH102">ROUND(VALUE(IFERROR(INDEX(ArchiveResults!$F$5:$IX$116,ComparisonData!A102,ComparisonData!$XH$1),0)),5)</f>
        <v>0</v>
      </c>
      <c r="XI102" s="46" cm="1">
        <f t="array" ref="XI102">ROUND(VALUE(IFERROR(INDEX(ArchiveResults!$F$5:$IX$116,ComparisonData!A102,ComparisonData!$XI$1),0)),5)</f>
        <v>0</v>
      </c>
      <c r="XJ102" s="56">
        <v>97</v>
      </c>
      <c r="XK102" s="53" t="str">
        <f t="shared" ref="XK102:XK133" si="1257">INDEX($B$6:$B$117,MATCH(XJ102,$XD$6:$XD$117,0))</f>
        <v>University of Leeds, Special Collections</v>
      </c>
      <c r="XL102" s="60">
        <f t="shared" si="1085"/>
        <v>0</v>
      </c>
      <c r="XM102" s="60">
        <f t="shared" si="1086"/>
        <v>0</v>
      </c>
      <c r="XN102" s="76">
        <f t="shared" si="1087"/>
        <v>0</v>
      </c>
      <c r="XO102" s="46">
        <f t="shared" si="1088"/>
        <v>40</v>
      </c>
      <c r="XP102" s="46">
        <f t="shared" ref="XP102:XP133" si="1258">(C102*XQ102)+XR102</f>
        <v>2.6339999999999995</v>
      </c>
      <c r="XQ102" s="46">
        <f t="shared" si="1089"/>
        <v>1</v>
      </c>
      <c r="XR102" s="46">
        <f t="shared" si="1090"/>
        <v>2</v>
      </c>
      <c r="XS102" s="46" cm="1">
        <f t="array" ref="XS102">ROUND(VALUE(IFERROR(INDEX(ArchiveResults!$F$5:$IX$116,ComparisonData!A102,ComparisonData!$XS$1),0)),5)</f>
        <v>0</v>
      </c>
      <c r="XT102" s="46" cm="1">
        <f t="array" ref="XT102">ROUND(VALUE(IFERROR(INDEX(ArchiveResults!$F$5:$IX$116,ComparisonData!A102,ComparisonData!$XT$1),0)),5)</f>
        <v>0</v>
      </c>
      <c r="XU102" s="56">
        <v>97</v>
      </c>
      <c r="XV102" s="53" t="str">
        <f t="shared" ref="XV102:XV133" si="1259">INDEX($B$6:$B$117,MATCH(XU102,$XO$6:$XO$117,0))</f>
        <v>University of Leeds, Special Collections</v>
      </c>
      <c r="XW102" s="60">
        <f t="shared" si="1091"/>
        <v>0</v>
      </c>
      <c r="XX102" s="60">
        <f t="shared" si="1092"/>
        <v>0</v>
      </c>
      <c r="XY102" s="76">
        <f t="shared" si="1093"/>
        <v>0</v>
      </c>
      <c r="XZ102" s="46">
        <f t="shared" si="1094"/>
        <v>40</v>
      </c>
      <c r="YA102" s="46">
        <f t="shared" ref="YA102:YA133" si="1260">(C102*YB102)+YC102</f>
        <v>2.6339999999999995</v>
      </c>
      <c r="YB102" s="46">
        <f t="shared" si="1095"/>
        <v>1</v>
      </c>
      <c r="YC102" s="46">
        <f t="shared" si="1096"/>
        <v>2</v>
      </c>
      <c r="YD102" s="46" cm="1">
        <f t="array" ref="YD102">ROUND(VALUE(IFERROR(INDEX(ArchiveResults!$F$5:$IX$116,ComparisonData!A102,ComparisonData!$YD$1),0)),5)</f>
        <v>0</v>
      </c>
      <c r="YE102" s="46" cm="1">
        <f t="array" ref="YE102">ROUND(VALUE(IFERROR(INDEX(ArchiveResults!$F$5:$IX$116,ComparisonData!A102,ComparisonData!$YE$1),0)),5)</f>
        <v>0</v>
      </c>
      <c r="YF102" s="56">
        <v>97</v>
      </c>
      <c r="YG102" s="53" t="str">
        <f t="shared" ref="YG102:YG133" si="1261">INDEX($B$6:$B$117,MATCH(YF102,$XZ$6:$XZ$117,0))</f>
        <v>University of Leeds, Special Collections</v>
      </c>
      <c r="YH102" s="60">
        <f t="shared" si="1097"/>
        <v>0</v>
      </c>
      <c r="YI102" s="60">
        <f t="shared" si="1098"/>
        <v>0</v>
      </c>
      <c r="YJ102" s="76">
        <f t="shared" si="1099"/>
        <v>0</v>
      </c>
      <c r="YK102" s="46">
        <f t="shared" si="1100"/>
        <v>40</v>
      </c>
      <c r="YL102" s="46">
        <f t="shared" ref="YL102:YL133" si="1262">(C102*YM102)+YN102</f>
        <v>2.6339999999999995</v>
      </c>
      <c r="YM102" s="46">
        <f t="shared" si="1101"/>
        <v>1</v>
      </c>
      <c r="YN102" s="46">
        <f t="shared" si="1102"/>
        <v>2</v>
      </c>
      <c r="YO102" s="46" cm="1">
        <f t="array" ref="YO102">ROUND(VALUE(IFERROR(INDEX(ArchiveResults!$F$5:$IX$116,ComparisonData!A102,ComparisonData!$YO$1),0)),5)</f>
        <v>0</v>
      </c>
      <c r="YP102" s="46" cm="1">
        <f t="array" ref="YP102">ROUND(VALUE(IFERROR(INDEX(ArchiveResults!$F$5:$IX$116,ComparisonData!A102,ComparisonData!$YP$1),0)),5)</f>
        <v>0</v>
      </c>
      <c r="YQ102" s="56">
        <v>97</v>
      </c>
      <c r="YR102" s="53" t="str">
        <f t="shared" ref="YR102:YR133" si="1263">INDEX($B$6:$B$117,MATCH(YQ102,$YK$6:$YK$117,0))</f>
        <v>University of Leeds, Special Collections</v>
      </c>
      <c r="YS102" s="60">
        <f t="shared" si="1103"/>
        <v>0</v>
      </c>
      <c r="YT102" s="60">
        <f t="shared" si="1104"/>
        <v>0</v>
      </c>
      <c r="YU102" s="76">
        <f t="shared" si="1105"/>
        <v>0</v>
      </c>
      <c r="YV102" s="46">
        <f t="shared" si="1106"/>
        <v>40</v>
      </c>
      <c r="YW102" s="46">
        <f t="shared" ref="YW102:YW133" si="1264">(C102*YX102)+YY102</f>
        <v>2.6339999999999995</v>
      </c>
      <c r="YX102" s="46">
        <f t="shared" si="1107"/>
        <v>1</v>
      </c>
      <c r="YY102" s="46">
        <f t="shared" si="1108"/>
        <v>2</v>
      </c>
      <c r="YZ102" s="46">
        <f t="shared" si="1109"/>
        <v>0</v>
      </c>
      <c r="ZA102" s="46" cm="1">
        <f t="array" ref="ZA102">ROUNDDOWN(VALUE(IFERROR(INDEX(ArchiveResults!$F$5:$IX$116,ComparisonData!A102,ComparisonData!$ZA$1),0)),5)</f>
        <v>0</v>
      </c>
      <c r="ZB102" s="46" cm="1">
        <f t="array" ref="ZB102">ROUNDDOWN(VALUE(IFERROR(INDEX(ArchiveResults!$F$5:$IX$116,ComparisonData!A102,ComparisonData!$ZB$1),0)),5)</f>
        <v>0</v>
      </c>
      <c r="ZC102" s="46" cm="1">
        <f t="array" ref="ZC102">ROUNDDOWN(VALUE(IFERROR(INDEX(ArchiveResults!$F$5:$IX$116,ComparisonData!A102,ComparisonData!$ZC$1),0)),5)</f>
        <v>0</v>
      </c>
      <c r="ZD102" s="46" cm="1">
        <f t="array" ref="ZD102">ROUNDDOWN(VALUE(IFERROR(INDEX(ArchiveResults!$F$5:$IX$116,ComparisonData!A102,ComparisonData!$ZD$1),0)),5)</f>
        <v>0</v>
      </c>
      <c r="ZE102" s="46" cm="1">
        <f t="array" ref="ZE102">ROUNDDOWN(VALUE(IFERROR(INDEX(ArchiveResults!$F$5:$IX$116,ComparisonData!A102,ComparisonData!$ZE$1),0)),5)</f>
        <v>0</v>
      </c>
      <c r="ZF102" s="56">
        <v>97</v>
      </c>
      <c r="ZG102" s="53" t="str">
        <f t="shared" ref="ZG102:ZG133" si="1265">INDEX($B$6:$B$117,MATCH(ZF102,$YV$6:$YV$117,0))</f>
        <v>University of Leeds, Special Collections</v>
      </c>
      <c r="ZH102" s="60">
        <f t="shared" si="1110"/>
        <v>0</v>
      </c>
      <c r="ZI102" s="60">
        <f t="shared" si="1111"/>
        <v>0</v>
      </c>
      <c r="ZJ102" s="60">
        <f t="shared" si="1112"/>
        <v>0</v>
      </c>
      <c r="ZK102" s="60">
        <f t="shared" si="1113"/>
        <v>0</v>
      </c>
      <c r="ZL102" s="60">
        <f t="shared" si="1114"/>
        <v>0</v>
      </c>
      <c r="ZM102" s="76">
        <f t="shared" si="1115"/>
        <v>0</v>
      </c>
      <c r="ZN102" s="46">
        <f t="shared" si="1116"/>
        <v>40</v>
      </c>
      <c r="ZO102" s="46">
        <f t="shared" ref="ZO102:ZO133" si="1266">(C102*ZP102)+ZQ102</f>
        <v>2.6339999999999995</v>
      </c>
      <c r="ZP102" s="46">
        <f t="shared" si="1117"/>
        <v>1</v>
      </c>
      <c r="ZQ102" s="46">
        <f t="shared" si="1118"/>
        <v>2</v>
      </c>
      <c r="ZR102" s="46" cm="1">
        <f t="array" ref="ZR102">ROUND(VALUE(IFERROR(INDEX(ArchiveResults!$F$5:$IX$116,ComparisonData!A102,ComparisonData!$ZR$1),0)),5)</f>
        <v>0</v>
      </c>
      <c r="ZS102" s="56">
        <v>97</v>
      </c>
      <c r="ZT102" s="53" t="str">
        <f t="shared" ref="ZT102:ZT133" si="1267">INDEX($B$6:$B$117,MATCH(ZS102,$ZN$6:$ZN$117,0))</f>
        <v>University of Leeds, Special Collections</v>
      </c>
      <c r="ZU102" s="46">
        <f t="shared" si="1119"/>
        <v>0</v>
      </c>
      <c r="ZV102" s="76">
        <f t="shared" si="1120"/>
        <v>0</v>
      </c>
      <c r="ZW102" s="81" cm="1">
        <f t="array" ref="ZW102">ROUND((IFERROR(INDEX(ArchiveResults!$F$5:$IX$116,ComparisonData!A102,ComparisonData!$ZW$1),0)),5)</f>
        <v>0</v>
      </c>
      <c r="ZX102" s="81" cm="1">
        <f t="array" ref="ZX102">ROUND((IFERROR(INDEX(ArchiveResults!$F$5:$IX$116,ComparisonData!A102,ComparisonData!$ZX$1),0)),5)</f>
        <v>0</v>
      </c>
      <c r="ZY102" s="81" cm="1">
        <f t="array" ref="ZY102">ROUND((IFERROR(INDEX(ArchiveResults!$F$5:$IX$116,ComparisonData!A102,ComparisonData!$ZY$1),0)),5)</f>
        <v>0</v>
      </c>
      <c r="ZZ102" s="81" cm="1">
        <f t="array" ref="ZZ102">ROUND((IFERROR(INDEX(ArchiveResults!$F$5:$IX$116,ComparisonData!A102,ComparisonData!$ZZ$1),0)),5)</f>
        <v>0</v>
      </c>
      <c r="AAA102" s="81" cm="1">
        <f t="array" ref="AAA102">ROUND((IFERROR(INDEX(ArchiveResults!$F$5:$IX$116,ComparisonData!A102,ComparisonData!$AAA$1),0)),5)</f>
        <v>0</v>
      </c>
      <c r="AAB102" s="81" cm="1">
        <f t="array" ref="AAB102">ROUND((IFERROR(INDEX(ArchiveResults!$F$5:$IX$116,ComparisonData!A102,ComparisonData!$AAB$1),0)),5)</f>
        <v>0</v>
      </c>
      <c r="AAC102" s="81" cm="1">
        <f t="array" ref="AAC102">ROUND((IFERROR(INDEX(ArchiveResults!$F$5:$IX$116,ComparisonData!A102,ComparisonData!$AAC$1),0)),5)</f>
        <v>0</v>
      </c>
      <c r="AAD102" s="81" cm="1">
        <f t="array" ref="AAD102">ROUND((IFERROR(INDEX(ArchiveResults!$F$5:$IX$116,ComparisonData!A102,ComparisonData!$AAD$1),0)),5)</f>
        <v>0</v>
      </c>
      <c r="AAE102" s="81" cm="1">
        <f t="array" ref="AAE102">ROUND((IFERROR(INDEX(ArchiveResults!$F$5:$IX$116,ComparisonData!A102,ComparisonData!$AAE$1),0)),5)</f>
        <v>0</v>
      </c>
      <c r="AAF102" s="81" cm="1">
        <f t="array" ref="AAF102">ROUND((IFERROR(INDEX(ArchiveResults!$F$5:$IX$116,ComparisonData!A102,ComparisonData!$AAF$1),0)),5)</f>
        <v>0</v>
      </c>
      <c r="AAG102" s="46">
        <f t="shared" si="1121"/>
        <v>40</v>
      </c>
      <c r="AAH102" s="46">
        <f t="shared" ref="AAH102:AAH133" si="1268">(C102*AAI102)+AAJ102</f>
        <v>2.6339999999999995</v>
      </c>
      <c r="AAI102" s="46">
        <f t="shared" si="1122"/>
        <v>1</v>
      </c>
      <c r="AAJ102" s="46">
        <f t="shared" si="1123"/>
        <v>2</v>
      </c>
      <c r="AAK102" s="46">
        <f t="shared" si="1124"/>
        <v>0</v>
      </c>
      <c r="AAL102" s="46">
        <f t="shared" si="1125"/>
        <v>0</v>
      </c>
      <c r="AAM102" s="46">
        <f t="shared" si="1126"/>
        <v>0</v>
      </c>
      <c r="AAN102" s="46">
        <f t="shared" si="1127"/>
        <v>0</v>
      </c>
      <c r="AAO102" s="46">
        <f t="shared" si="1128"/>
        <v>0</v>
      </c>
      <c r="AAP102" s="46">
        <f t="shared" si="1129"/>
        <v>0</v>
      </c>
      <c r="AAQ102" s="56">
        <v>97</v>
      </c>
      <c r="AAR102" s="53" t="str">
        <f t="shared" ref="AAR102:AAR133" si="1269">INDEX($B$6:$B$117,MATCH(AAQ102,$AAG$6:$AAG$117,0))</f>
        <v>University of Leeds, Special Collections</v>
      </c>
      <c r="AAS102" s="60">
        <f t="shared" si="1130"/>
        <v>0</v>
      </c>
      <c r="AAT102" s="60">
        <f t="shared" si="1131"/>
        <v>0</v>
      </c>
      <c r="AAU102" s="60">
        <f t="shared" si="1132"/>
        <v>0</v>
      </c>
      <c r="AAV102" s="60">
        <f t="shared" si="1133"/>
        <v>0</v>
      </c>
      <c r="AAW102" s="60">
        <f t="shared" si="1134"/>
        <v>0</v>
      </c>
      <c r="AAX102" s="76">
        <f t="shared" si="1135"/>
        <v>0</v>
      </c>
      <c r="AAY102" s="46">
        <f t="shared" si="1136"/>
        <v>40</v>
      </c>
      <c r="AAZ102" s="46">
        <f t="shared" ref="AAZ102:AAZ133" si="1270">(C102*ABA102)+ABB102</f>
        <v>2.6339999999999995</v>
      </c>
      <c r="ABA102" s="46">
        <f t="shared" si="1137"/>
        <v>1</v>
      </c>
      <c r="ABB102" s="46">
        <f t="shared" si="1138"/>
        <v>2</v>
      </c>
      <c r="ABC102" s="46">
        <f t="shared" si="742"/>
        <v>0</v>
      </c>
      <c r="ABD102" s="46" cm="1">
        <f t="array" ref="ABD102">ROUND(VALUE(IFERROR(INDEX(ArchiveResults!$F$5:$IX$116,ComparisonData!A102,ComparisonData!$ABD$1),0)),5)</f>
        <v>0</v>
      </c>
      <c r="ABE102" s="46" cm="1">
        <f t="array" ref="ABE102">ROUND(VALUE(IFERROR(INDEX(ArchiveResults!$F$5:$IX$116,ComparisonData!A102,ComparisonData!$ABE$1),0)),5)</f>
        <v>0</v>
      </c>
      <c r="ABF102" s="46" cm="1">
        <f t="array" ref="ABF102">ROUND(VALUE(IFERROR(INDEX(ArchiveResults!$F$5:$IX$116,ComparisonData!A102,ComparisonData!$ABF$1),0)),5)</f>
        <v>0</v>
      </c>
      <c r="ABG102" s="46" cm="1">
        <f t="array" ref="ABG102">ROUND(VALUE(IFERROR(INDEX(ArchiveResults!$F$5:$IX$116,ComparisonData!A102,ComparisonData!$ABG$1),0)),5)</f>
        <v>0</v>
      </c>
      <c r="ABH102" s="46" cm="1">
        <f t="array" ref="ABH102">ROUND(VALUE(IFERROR(INDEX(ArchiveResults!$F$5:$IX$116,ComparisonData!A102,ComparisonData!$ABH$1),0)),5)</f>
        <v>0</v>
      </c>
      <c r="ABI102" s="56">
        <v>97</v>
      </c>
      <c r="ABJ102" s="53" t="str">
        <f t="shared" ref="ABJ102:ABJ133" si="1271">INDEX($B$6:$B$117,MATCH(ABI102,$AAY$6:$AAY$117,0))</f>
        <v>University of Leeds, Special Collections</v>
      </c>
      <c r="ABK102" s="60">
        <f t="shared" si="1139"/>
        <v>0</v>
      </c>
      <c r="ABL102" s="60">
        <f t="shared" si="1140"/>
        <v>0</v>
      </c>
      <c r="ABM102" s="60">
        <f t="shared" si="1141"/>
        <v>0</v>
      </c>
      <c r="ABN102" s="60">
        <f t="shared" si="1142"/>
        <v>0</v>
      </c>
      <c r="ABO102" s="60">
        <f t="shared" si="1143"/>
        <v>0</v>
      </c>
      <c r="ABP102" s="76">
        <f t="shared" si="1144"/>
        <v>0</v>
      </c>
      <c r="ABQ102" s="46">
        <f t="shared" si="1145"/>
        <v>40</v>
      </c>
      <c r="ABR102" s="46">
        <f t="shared" ref="ABR102:ABR133" si="1272">(C102*ABS102)+ABT102</f>
        <v>2.6339999999999995</v>
      </c>
      <c r="ABS102" s="46">
        <f t="shared" si="1146"/>
        <v>1</v>
      </c>
      <c r="ABT102" s="46">
        <f t="shared" si="1147"/>
        <v>2</v>
      </c>
      <c r="ABU102" s="46" cm="1">
        <f t="array" ref="ABU102">ROUND(VALUE(IFERROR(INDEX(ArchiveResults!$F$5:$IX$116,ComparisonData!A102,ComparisonData!$ABU$1),0)),5)</f>
        <v>0</v>
      </c>
      <c r="ABV102" s="46" cm="1">
        <f t="array" ref="ABV102">ROUND(VALUE(IFERROR(INDEX(ArchiveResults!$F$5:$IX$116,ComparisonData!A102,ComparisonData!$ABV$1),0)),5)</f>
        <v>0</v>
      </c>
      <c r="ABW102" s="46" cm="1">
        <f t="array" ref="ABW102">ROUND(VALUE(IFERROR(INDEX(ArchiveResults!$F$5:$IX$116,ComparisonData!A102,ComparisonData!$ABW$1),0)),5)</f>
        <v>0</v>
      </c>
      <c r="ABX102" s="46" cm="1">
        <f t="array" ref="ABX102">ROUND(VALUE(IFERROR(INDEX(ArchiveResults!$F$5:$IX$116,ComparisonData!A102,ComparisonData!$ABX$1),0)),5)</f>
        <v>0</v>
      </c>
      <c r="ABY102" s="46" cm="1">
        <f t="array" ref="ABY102">ROUND(VALUE(IFERROR(INDEX(ArchiveResults!$F$5:$IX$116,ComparisonData!A102,ComparisonData!$ABY$1),0)),5)</f>
        <v>0</v>
      </c>
      <c r="ABZ102" s="56">
        <v>97</v>
      </c>
      <c r="ACA102" s="53" t="str">
        <f t="shared" ref="ACA102:ACA133" si="1273">INDEX($B$6:$B$117,MATCH(ABZ102,$ABQ$6:$ABQ$117,0))</f>
        <v>University of Leeds, Special Collections</v>
      </c>
      <c r="ACB102" s="60">
        <f t="shared" si="1148"/>
        <v>0</v>
      </c>
      <c r="ACC102" s="60">
        <f t="shared" si="1149"/>
        <v>0</v>
      </c>
      <c r="ACD102" s="60">
        <f t="shared" si="1150"/>
        <v>0</v>
      </c>
      <c r="ACE102" s="60">
        <f t="shared" si="1151"/>
        <v>0</v>
      </c>
      <c r="ACF102" s="60">
        <f t="shared" si="1152"/>
        <v>0</v>
      </c>
      <c r="ACG102" s="76">
        <f t="shared" si="1153"/>
        <v>0</v>
      </c>
      <c r="ACH102" s="46">
        <f t="shared" si="1154"/>
        <v>40</v>
      </c>
      <c r="ACI102" s="46">
        <f t="shared" ref="ACI102:ACI133" si="1274">(C102*ACJ102)+ACK102</f>
        <v>2.6339999999999995</v>
      </c>
      <c r="ACJ102" s="46">
        <f t="shared" si="1155"/>
        <v>1</v>
      </c>
      <c r="ACK102" s="46">
        <f t="shared" si="1156"/>
        <v>2</v>
      </c>
      <c r="ACL102" s="46">
        <f t="shared" si="1157"/>
        <v>0</v>
      </c>
      <c r="ACM102" s="46" cm="1">
        <f t="array" ref="ACM102">ROUND(IFERROR(INDEX(ArchiveResults!$F$5:$IX$116,ComparisonData!A102,ComparisonData!$ACM$1),0),5)</f>
        <v>0</v>
      </c>
      <c r="ACN102" s="46" cm="1">
        <f t="array" ref="ACN102">ROUND(IFERROR(INDEX(ArchiveResults!$F$5:$IX$116,ComparisonData!A102,ComparisonData!$ACN$1),0),5)</f>
        <v>0</v>
      </c>
      <c r="ACO102" s="56">
        <v>97</v>
      </c>
      <c r="ACP102" s="53" t="str">
        <f t="shared" ref="ACP102:ACP133" si="1275">INDEX($B$6:$B$117,MATCH(ACO102,$ACH$6:$ACH$117,0))</f>
        <v>University of Leeds, Special Collections</v>
      </c>
      <c r="ACQ102" s="60">
        <f t="shared" si="1158"/>
        <v>0</v>
      </c>
      <c r="ACR102" s="60">
        <f t="shared" si="1159"/>
        <v>0</v>
      </c>
      <c r="ACS102" s="76">
        <f t="shared" si="1160"/>
        <v>0</v>
      </c>
      <c r="ACT102" s="46">
        <f t="shared" si="1161"/>
        <v>40</v>
      </c>
      <c r="ACU102" s="46">
        <f t="shared" ref="ACU102:ACU133" si="1276">(C102*ACV102)+ACW102</f>
        <v>2.6339999999999995</v>
      </c>
      <c r="ACV102" s="46">
        <f t="shared" si="1162"/>
        <v>1</v>
      </c>
      <c r="ACW102" s="46">
        <f t="shared" si="1163"/>
        <v>2</v>
      </c>
      <c r="ACX102" s="46">
        <f t="shared" si="1164"/>
        <v>0</v>
      </c>
      <c r="ACY102" s="46" cm="1">
        <f t="array" ref="ACY102">ROUNDDOWN(IFERROR(INDEX(ArchiveResults!$F$5:$IX$116,ComparisonData!A102,ComparisonData!$ACY$1),0),5)</f>
        <v>0</v>
      </c>
      <c r="ACZ102" s="46" cm="1">
        <f t="array" ref="ACZ102">ROUNDDOWN(IFERROR(INDEX(ArchiveResults!$F$5:$IX$116,ComparisonData!A102,ComparisonData!$ACZ$1),0),5)</f>
        <v>0</v>
      </c>
      <c r="ADA102" s="46" cm="1">
        <f t="array" ref="ADA102">ROUNDDOWN(IFERROR(INDEX(ArchiveResults!$F$5:$IX$116,ComparisonData!A102,ComparisonData!$ADA$1),0),5)</f>
        <v>0</v>
      </c>
      <c r="ADB102" s="56">
        <v>97</v>
      </c>
      <c r="ADC102" s="53" t="str">
        <f t="shared" ref="ADC102:ADC133" si="1277">INDEX($B$6:$B$117,MATCH(ADB102,$ACT$6:$ACT$117,0))</f>
        <v>University of Leeds, Special Collections</v>
      </c>
      <c r="ADD102" s="60">
        <f t="shared" si="1165"/>
        <v>0</v>
      </c>
      <c r="ADE102" s="60">
        <f t="shared" si="1166"/>
        <v>0</v>
      </c>
      <c r="ADF102" s="60">
        <f t="shared" si="1167"/>
        <v>0</v>
      </c>
      <c r="ADG102" s="76">
        <f t="shared" si="1168"/>
        <v>0</v>
      </c>
    </row>
    <row r="103" spans="1:787" x14ac:dyDescent="0.25">
      <c r="A103" s="46" t="str">
        <f>IF(ISBLANK(ComparisonSelection!F99),"",ROW()-5)</f>
        <v/>
      </c>
      <c r="B103" s="53" t="s">
        <v>554</v>
      </c>
      <c r="C103" s="72">
        <v>0.67899999999999971</v>
      </c>
      <c r="D103" s="55">
        <f t="shared" si="750"/>
        <v>49</v>
      </c>
      <c r="E103" s="54">
        <f t="shared" si="751"/>
        <v>2.6789999999999998</v>
      </c>
      <c r="F103" s="54">
        <f t="shared" si="752"/>
        <v>1</v>
      </c>
      <c r="G103" s="72">
        <f t="shared" si="753"/>
        <v>2</v>
      </c>
      <c r="H103" s="72">
        <f t="shared" si="754"/>
        <v>0</v>
      </c>
      <c r="I103" s="46" cm="1">
        <f t="array" ref="I103">ROUND(IFERROR(INDEX(ArchiveResults!$F$5:$IX$116,ComparisonData!A103,ComparisonData!$I$1),0),5)</f>
        <v>0</v>
      </c>
      <c r="J103" s="46" cm="1">
        <f t="array" ref="J103">ROUND(IFERROR(INDEX(ArchiveResults!$F$5:$IX$116,ComparisonData!A103,ComparisonData!$J$1),0),5)</f>
        <v>0</v>
      </c>
      <c r="K103" s="56">
        <v>98</v>
      </c>
      <c r="L103" s="53" t="str">
        <f t="shared" si="755"/>
        <v>University of Nottingham, Manuscripts and Special Collections</v>
      </c>
      <c r="M103" s="57">
        <f t="shared" si="1169"/>
        <v>0</v>
      </c>
      <c r="N103" s="57">
        <f t="shared" si="1170"/>
        <v>0</v>
      </c>
      <c r="O103" s="58">
        <f t="shared" si="756"/>
        <v>0</v>
      </c>
      <c r="P103" s="48">
        <f t="shared" si="757"/>
        <v>49</v>
      </c>
      <c r="Q103" s="54">
        <f t="shared" si="1171"/>
        <v>2.6789999999999998</v>
      </c>
      <c r="R103" s="45">
        <f t="shared" si="758"/>
        <v>1</v>
      </c>
      <c r="S103" s="46">
        <f t="shared" si="759"/>
        <v>2</v>
      </c>
      <c r="T103" s="72">
        <f t="shared" si="760"/>
        <v>0</v>
      </c>
      <c r="U103" s="46" cm="1">
        <f t="array" ref="U103">ROUND(IFERROR(INDEX(ArchiveResults!$F$5:$IX$116,ComparisonData!A103,ComparisonData!$U$1),0),5)</f>
        <v>0</v>
      </c>
      <c r="V103" s="46" cm="1">
        <f t="array" ref="V103">ROUND(IFERROR(INDEX(ArchiveResults!$F$5:$IX$116,ComparisonData!A103,ComparisonData!$V$1),0),5)</f>
        <v>0</v>
      </c>
      <c r="W103" s="56">
        <v>98</v>
      </c>
      <c r="X103" s="53" t="str">
        <f t="shared" si="1172"/>
        <v>University of Nottingham, Manuscripts and Special Collections</v>
      </c>
      <c r="Y103" s="57">
        <f t="shared" si="761"/>
        <v>0</v>
      </c>
      <c r="Z103" s="57">
        <f t="shared" si="762"/>
        <v>0</v>
      </c>
      <c r="AA103" s="58">
        <f t="shared" si="763"/>
        <v>0</v>
      </c>
      <c r="AB103" s="45">
        <f t="shared" si="764"/>
        <v>49</v>
      </c>
      <c r="AC103" s="54">
        <f t="shared" si="1173"/>
        <v>2.6789999999999998</v>
      </c>
      <c r="AD103" s="45">
        <f t="shared" si="765"/>
        <v>1</v>
      </c>
      <c r="AE103" s="45">
        <f t="shared" si="766"/>
        <v>2</v>
      </c>
      <c r="AF103" s="45">
        <f t="shared" si="639"/>
        <v>0</v>
      </c>
      <c r="AG103" s="46" cm="1">
        <f t="array" ref="AG103">ROUND(IFERROR(INDEX(ArchiveResults!$F$5:$IX$116,ComparisonData!A103,ComparisonData!$AG$1),0),5)</f>
        <v>0</v>
      </c>
      <c r="AH103" s="46" cm="1">
        <f t="array" ref="AH103">ROUND(IFERROR(INDEX(ArchiveResults!$F$5:$IX$116,ComparisonData!A103,ComparisonData!$AH$1),0),5)</f>
        <v>0</v>
      </c>
      <c r="AI103" s="56">
        <v>98</v>
      </c>
      <c r="AJ103" s="53" t="str">
        <f t="shared" si="1174"/>
        <v>University of Nottingham, Manuscripts and Special Collections</v>
      </c>
      <c r="AK103" s="59">
        <f t="shared" si="1175"/>
        <v>0</v>
      </c>
      <c r="AL103" s="59">
        <f t="shared" si="1176"/>
        <v>0</v>
      </c>
      <c r="AM103" s="58">
        <f t="shared" si="767"/>
        <v>0</v>
      </c>
      <c r="AN103" s="45">
        <f t="shared" si="768"/>
        <v>49</v>
      </c>
      <c r="AO103" s="54">
        <f t="shared" si="1177"/>
        <v>2.6789999999999998</v>
      </c>
      <c r="AP103" s="45">
        <f t="shared" si="769"/>
        <v>1</v>
      </c>
      <c r="AQ103" s="45">
        <f t="shared" si="770"/>
        <v>2</v>
      </c>
      <c r="AR103" s="46" cm="1">
        <f t="array" ref="AR103">ROUND(IFERROR(INDEX(ArchiveResults!$F$5:$IX$116,ComparisonData!A103,ComparisonData!$AR$1),0),5)</f>
        <v>0</v>
      </c>
      <c r="AS103" s="46" cm="1">
        <f t="array" ref="AS103">ROUND(IFERROR(INDEX(ArchiveResults!$F$5:$IX$116,ComparisonData!A103,ComparisonData!$AS$1),0),5)</f>
        <v>0</v>
      </c>
      <c r="AT103" s="46" cm="1">
        <f t="array" ref="AT103">ROUND(IFERROR(INDEX(ArchiveResults!$F$5:$IX$116,ComparisonData!A103,ComparisonData!$AT$1),0),5)</f>
        <v>0</v>
      </c>
      <c r="AU103" s="46" cm="1">
        <f t="array" ref="AU103">ROUND(IFERROR(INDEX(ArchiveResults!$F$5:$IX$116,ComparisonData!A103,ComparisonData!$AU$1),0),5)</f>
        <v>0</v>
      </c>
      <c r="AV103" s="46" cm="1">
        <f t="array" ref="AV103">ROUND(IFERROR(INDEX(ArchiveResults!$F$5:$IX$116,ComparisonData!A103,ComparisonData!$AV$1),0),5)</f>
        <v>0</v>
      </c>
      <c r="AW103" s="46" cm="1">
        <f t="array" ref="AW103">ROUND(IFERROR(INDEX(ArchiveResults!$F$5:$IX$116,ComparisonData!A103,ComparisonData!$AW$1),0),5)</f>
        <v>0</v>
      </c>
      <c r="AX103" s="46" cm="1">
        <f t="array" ref="AX103">ROUND(IFERROR(INDEX(ArchiveResults!$F$5:$IX$116,ComparisonData!A103,ComparisonData!$AX$1),0),5)</f>
        <v>0</v>
      </c>
      <c r="AY103" s="46" cm="1">
        <f t="array" ref="AY103">ROUND(IFERROR(INDEX(ArchiveResults!$F$5:$IX$116,ComparisonData!A103,ComparisonData!$AY$1),0),5)</f>
        <v>0</v>
      </c>
      <c r="AZ103" s="46" cm="1">
        <f t="array" ref="AZ103">ROUND(IFERROR(INDEX(ArchiveResults!$F$5:$IX$116,ComparisonData!A103,ComparisonData!$AZ$1),0),5)</f>
        <v>0</v>
      </c>
      <c r="BA103" s="46" cm="1">
        <f t="array" ref="BA103">ROUND(IFERROR(INDEX(ArchiveResults!$F$5:$IX$116,ComparisonData!A103,ComparisonData!$BA$1),0),5)</f>
        <v>0</v>
      </c>
      <c r="BB103" s="56">
        <v>98</v>
      </c>
      <c r="BC103" s="53" t="str">
        <f t="shared" si="1178"/>
        <v>University of Nottingham, Manuscripts and Special Collections</v>
      </c>
      <c r="BD103" s="60">
        <f t="shared" si="771"/>
        <v>0</v>
      </c>
      <c r="BE103" s="60">
        <f t="shared" si="772"/>
        <v>0</v>
      </c>
      <c r="BF103" s="60">
        <f t="shared" si="773"/>
        <v>0</v>
      </c>
      <c r="BG103" s="60">
        <f t="shared" si="774"/>
        <v>0</v>
      </c>
      <c r="BH103" s="60">
        <f t="shared" si="775"/>
        <v>0</v>
      </c>
      <c r="BI103" s="60">
        <f t="shared" si="776"/>
        <v>0</v>
      </c>
      <c r="BJ103" s="60">
        <f t="shared" si="777"/>
        <v>0</v>
      </c>
      <c r="BK103" s="60">
        <f t="shared" si="778"/>
        <v>0</v>
      </c>
      <c r="BL103" s="60">
        <f t="shared" si="779"/>
        <v>0</v>
      </c>
      <c r="BM103" s="59">
        <f t="shared" si="780"/>
        <v>0</v>
      </c>
      <c r="BN103" s="58">
        <f t="shared" si="781"/>
        <v>0</v>
      </c>
      <c r="BO103" s="45">
        <f t="shared" si="782"/>
        <v>49</v>
      </c>
      <c r="BP103" s="54">
        <f t="shared" si="1179"/>
        <v>2.6789999999999998</v>
      </c>
      <c r="BQ103" s="45">
        <f t="shared" si="783"/>
        <v>1</v>
      </c>
      <c r="BR103" s="45">
        <f t="shared" si="784"/>
        <v>2</v>
      </c>
      <c r="BS103" s="46" cm="1">
        <f t="array" ref="BS103">ROUND(IFERROR(INDEX(ArchiveResults!$F$5:$IX$116,ComparisonData!A103,ComparisonData!$BS$1),0),5)</f>
        <v>0</v>
      </c>
      <c r="BT103" s="46" cm="1">
        <f t="array" ref="BT103">ROUND(IFERROR(INDEX(ArchiveResults!$F$5:$IX$116,ComparisonData!A103,ComparisonData!$BT$1),0),5)</f>
        <v>0</v>
      </c>
      <c r="BU103" s="46" cm="1">
        <f t="array" ref="BU103">ROUND(IFERROR(INDEX(ArchiveResults!$F$5:$IX$116,ComparisonData!A103,ComparisonData!$BU$1),0),5)</f>
        <v>0</v>
      </c>
      <c r="BV103" s="46" cm="1">
        <f t="array" ref="BV103">ROUND(IFERROR(INDEX(ArchiveResults!$F$5:$IX$116,ComparisonData!A103,ComparisonData!$BV$1),0),5)</f>
        <v>0</v>
      </c>
      <c r="BW103" s="46" cm="1">
        <f t="array" ref="BW103">ROUND(IFERROR(INDEX(ArchiveResults!$F$5:$IX$116,ComparisonData!A103,ComparisonData!$BW$1),0),5)</f>
        <v>0</v>
      </c>
      <c r="BX103" s="46" cm="1">
        <f t="array" ref="BX103">ROUND(IFERROR(INDEX(ArchiveResults!$F$5:$IX$116,ComparisonData!A103,ComparisonData!$BX$1),0),5)</f>
        <v>0</v>
      </c>
      <c r="BY103" s="56">
        <v>98</v>
      </c>
      <c r="BZ103" s="53" t="str">
        <f t="shared" si="1180"/>
        <v>University of Nottingham, Manuscripts and Special Collections</v>
      </c>
      <c r="CA103" s="59">
        <f t="shared" si="785"/>
        <v>0</v>
      </c>
      <c r="CB103" s="59">
        <f t="shared" si="786"/>
        <v>0</v>
      </c>
      <c r="CC103" s="59">
        <f t="shared" si="787"/>
        <v>0</v>
      </c>
      <c r="CD103" s="59">
        <f t="shared" si="788"/>
        <v>0</v>
      </c>
      <c r="CE103" s="59">
        <f t="shared" si="789"/>
        <v>0</v>
      </c>
      <c r="CF103" s="59">
        <f t="shared" si="790"/>
        <v>0</v>
      </c>
      <c r="CG103" s="58">
        <f t="shared" si="791"/>
        <v>0</v>
      </c>
      <c r="CH103" s="45">
        <f t="shared" si="792"/>
        <v>49</v>
      </c>
      <c r="CI103" s="54">
        <f t="shared" si="1181"/>
        <v>2.6789999999999998</v>
      </c>
      <c r="CJ103" s="45">
        <f t="shared" si="793"/>
        <v>1</v>
      </c>
      <c r="CK103" s="45">
        <f t="shared" si="794"/>
        <v>2</v>
      </c>
      <c r="CL103" s="46" cm="1">
        <f t="array" ref="CL103">ROUND(IFERROR(INDEX(ArchiveResults!$F$5:$IX$116,ComparisonData!A103,ComparisonData!$CL$1),0),5)</f>
        <v>0</v>
      </c>
      <c r="CM103" s="56">
        <v>98</v>
      </c>
      <c r="CN103" s="53" t="str">
        <f t="shared" si="1182"/>
        <v>University of Nottingham, Manuscripts and Special Collections</v>
      </c>
      <c r="CO103" s="45">
        <f t="shared" si="795"/>
        <v>0</v>
      </c>
      <c r="CP103" s="58">
        <f t="shared" si="796"/>
        <v>0</v>
      </c>
      <c r="CQ103" s="45">
        <f t="shared" si="797"/>
        <v>49</v>
      </c>
      <c r="CR103" s="54">
        <f t="shared" si="1183"/>
        <v>2.6789999999999998</v>
      </c>
      <c r="CS103" s="45">
        <f t="shared" si="798"/>
        <v>1</v>
      </c>
      <c r="CT103" s="45">
        <f t="shared" si="799"/>
        <v>2</v>
      </c>
      <c r="CU103" s="46" cm="1">
        <f t="array" ref="CU103">ROUND(IFERROR(INDEX(ArchiveResults!$F$5:$IX$116,ComparisonData!A103,ComparisonData!$CU$1),0),5)</f>
        <v>0</v>
      </c>
      <c r="CV103" s="56">
        <v>98</v>
      </c>
      <c r="CW103" s="53" t="str">
        <f t="shared" si="1184"/>
        <v>University of Nottingham, Manuscripts and Special Collections</v>
      </c>
      <c r="CX103" s="45">
        <f t="shared" si="800"/>
        <v>0</v>
      </c>
      <c r="CY103" s="58">
        <f t="shared" si="801"/>
        <v>0</v>
      </c>
      <c r="CZ103" s="45">
        <f t="shared" si="802"/>
        <v>49</v>
      </c>
      <c r="DA103" s="54">
        <f t="shared" si="1185"/>
        <v>2.6789999999999998</v>
      </c>
      <c r="DB103" s="45">
        <f t="shared" si="803"/>
        <v>1</v>
      </c>
      <c r="DC103" s="45">
        <f t="shared" si="804"/>
        <v>2</v>
      </c>
      <c r="DD103" s="46" cm="1">
        <f t="array" ref="DD103">ROUND(IFERROR(INDEX(ArchiveResults!$F$5:$IX$116,ComparisonData!A103,ComparisonData!$DD$1),0),5)</f>
        <v>0</v>
      </c>
      <c r="DE103" s="56">
        <v>98</v>
      </c>
      <c r="DF103" s="53" t="str">
        <f t="shared" si="1186"/>
        <v>University of Nottingham, Manuscripts and Special Collections</v>
      </c>
      <c r="DG103" s="45">
        <f t="shared" si="805"/>
        <v>0</v>
      </c>
      <c r="DH103" s="58">
        <f t="shared" si="806"/>
        <v>0</v>
      </c>
      <c r="DI103" s="45">
        <f t="shared" si="807"/>
        <v>49</v>
      </c>
      <c r="DJ103" s="54">
        <f t="shared" si="1187"/>
        <v>2.6789999999999998</v>
      </c>
      <c r="DK103" s="45">
        <f t="shared" si="808"/>
        <v>1</v>
      </c>
      <c r="DL103" s="45">
        <f t="shared" si="809"/>
        <v>2</v>
      </c>
      <c r="DM103" s="46" cm="1">
        <f t="array" ref="DM103">ROUND(IFERROR(INDEX(ArchiveResults!$F$5:$IX$116,ComparisonData!A103,ComparisonData!$DM$1),0),5)</f>
        <v>0</v>
      </c>
      <c r="DN103" s="46" cm="1">
        <f t="array" ref="DN103">ROUND(IFERROR(INDEX(ArchiveResults!$F$5:$IX$116,ComparisonData!A103,ComparisonData!$DN$1),0),5)</f>
        <v>0</v>
      </c>
      <c r="DO103" s="46" cm="1">
        <f t="array" ref="DO103">ROUND(IFERROR(INDEX(ArchiveResults!$F$5:$IX$116,ComparisonData!A103,ComparisonData!$DO$1),0),5)</f>
        <v>0</v>
      </c>
      <c r="DP103" s="46" cm="1">
        <f t="array" ref="DP103">ROUND(IFERROR(INDEX(ArchiveResults!$F$5:$IX$116,ComparisonData!A103,ComparisonData!$DP$1),0),5)</f>
        <v>0</v>
      </c>
      <c r="DQ103" s="45" cm="1">
        <f t="array" ref="DQ103">IFERROR(INDEX(ArchiveResults!$F$5:$IX$116,ComparisonData!A103,ComparisonData!$DQ$1),0)</f>
        <v>0</v>
      </c>
      <c r="DR103" s="56">
        <v>98</v>
      </c>
      <c r="DS103" s="53" t="str">
        <f t="shared" si="1188"/>
        <v>University of Nottingham, Manuscripts and Special Collections</v>
      </c>
      <c r="DT103" s="59">
        <f t="shared" si="810"/>
        <v>0</v>
      </c>
      <c r="DU103" s="59">
        <f t="shared" si="811"/>
        <v>0</v>
      </c>
      <c r="DV103" s="59">
        <f t="shared" si="812"/>
        <v>0</v>
      </c>
      <c r="DW103" s="59">
        <f t="shared" si="813"/>
        <v>0</v>
      </c>
      <c r="DX103" s="59">
        <f t="shared" si="814"/>
        <v>0</v>
      </c>
      <c r="DY103" s="58">
        <f t="shared" si="815"/>
        <v>0</v>
      </c>
      <c r="DZ103" s="45">
        <f t="shared" si="816"/>
        <v>49</v>
      </c>
      <c r="EA103" s="54">
        <f t="shared" si="1189"/>
        <v>2.6789999999999998</v>
      </c>
      <c r="EB103" s="45">
        <f t="shared" si="817"/>
        <v>1</v>
      </c>
      <c r="EC103" s="45">
        <f t="shared" si="818"/>
        <v>2</v>
      </c>
      <c r="ED103" s="46" cm="1">
        <f t="array" ref="ED103">ROUND(IFERROR(INDEX(ArchiveResults!$F$5:$IX$116,ComparisonData!A103,ComparisonData!$ED$1),0),5)</f>
        <v>0</v>
      </c>
      <c r="EE103" s="46" cm="1">
        <f t="array" ref="EE103">ROUND(IFERROR(INDEX(ArchiveResults!$F$5:$IX$116,ComparisonData!A103,ComparisonData!$EE$1),0),5)</f>
        <v>0</v>
      </c>
      <c r="EF103" s="46" cm="1">
        <f t="array" ref="EF103">ROUND(IFERROR(INDEX(ArchiveResults!$F$5:$IX$116,ComparisonData!A103,ComparisonData!$EF$1),0),5)</f>
        <v>0</v>
      </c>
      <c r="EG103" s="46" cm="1">
        <f t="array" ref="EG103">ROUND(IFERROR(INDEX(ArchiveResults!$F$5:$IX$116,ComparisonData!A103,ComparisonData!$EG$1),0),5)</f>
        <v>0</v>
      </c>
      <c r="EH103" s="45" cm="1">
        <f t="array" ref="EH103">IFERROR(INDEX(ArchiveResults!$F$5:$IX$116,ComparisonData!A103,ComparisonData!$EH$1),0)</f>
        <v>0</v>
      </c>
      <c r="EI103" s="56">
        <v>98</v>
      </c>
      <c r="EJ103" s="53" t="str">
        <f t="shared" si="1190"/>
        <v>University of Nottingham, Manuscripts and Special Collections</v>
      </c>
      <c r="EK103" s="59">
        <f t="shared" si="819"/>
        <v>0</v>
      </c>
      <c r="EL103" s="59">
        <f t="shared" si="820"/>
        <v>0</v>
      </c>
      <c r="EM103" s="59">
        <f t="shared" si="821"/>
        <v>0</v>
      </c>
      <c r="EN103" s="59">
        <f t="shared" si="822"/>
        <v>0</v>
      </c>
      <c r="EO103" s="59">
        <f t="shared" si="823"/>
        <v>0</v>
      </c>
      <c r="EP103" s="58">
        <f t="shared" si="824"/>
        <v>0</v>
      </c>
      <c r="EQ103" s="45">
        <f t="shared" si="825"/>
        <v>49</v>
      </c>
      <c r="ER103" s="54">
        <f t="shared" si="1191"/>
        <v>2.6789999999999998</v>
      </c>
      <c r="ES103" s="45">
        <f t="shared" si="826"/>
        <v>1</v>
      </c>
      <c r="ET103" s="45">
        <f t="shared" si="827"/>
        <v>2</v>
      </c>
      <c r="EU103" s="46" cm="1">
        <f t="array" ref="EU103">ROUND(IFERROR(INDEX(ArchiveResults!$F$5:$IX$116,ComparisonData!A103,ComparisonData!$EU$1),0),5)</f>
        <v>0</v>
      </c>
      <c r="EV103" s="46" cm="1">
        <f t="array" ref="EV103">ROUND(IFERROR(INDEX(ArchiveResults!$F$5:$IX$116,ComparisonData!A103,ComparisonData!$EV$1),0),5)</f>
        <v>0</v>
      </c>
      <c r="EW103" s="46" cm="1">
        <f t="array" ref="EW103">ROUND(IFERROR(INDEX(ArchiveResults!$F$5:$IX$116,ComparisonData!A103,ComparisonData!$EW$1),0),5)</f>
        <v>0</v>
      </c>
      <c r="EX103" s="46" cm="1">
        <f t="array" ref="EX103">ROUND(IFERROR(INDEX(ArchiveResults!$F$5:$IX$116,ComparisonData!A103,ComparisonData!$EX$1),0),5)</f>
        <v>0</v>
      </c>
      <c r="EY103" s="45" cm="1">
        <f t="array" ref="EY103">IFERROR(INDEX(ArchiveResults!$F$5:$IX$116,ComparisonData!A103,ComparisonData!$EY$1),0)</f>
        <v>0</v>
      </c>
      <c r="EZ103" s="56">
        <v>98</v>
      </c>
      <c r="FA103" s="53" t="str">
        <f t="shared" si="1192"/>
        <v>University of Nottingham, Manuscripts and Special Collections</v>
      </c>
      <c r="FB103" s="59">
        <f t="shared" si="828"/>
        <v>0</v>
      </c>
      <c r="FC103" s="59">
        <f t="shared" si="829"/>
        <v>0</v>
      </c>
      <c r="FD103" s="59">
        <f t="shared" si="830"/>
        <v>0</v>
      </c>
      <c r="FE103" s="59">
        <f t="shared" si="831"/>
        <v>0</v>
      </c>
      <c r="FF103" s="59">
        <f t="shared" si="832"/>
        <v>0</v>
      </c>
      <c r="FG103" s="58">
        <f t="shared" si="833"/>
        <v>0</v>
      </c>
      <c r="FH103" s="45">
        <f t="shared" si="834"/>
        <v>49</v>
      </c>
      <c r="FI103" s="54">
        <f t="shared" si="1193"/>
        <v>2.6789999999999998</v>
      </c>
      <c r="FJ103" s="45">
        <f t="shared" si="835"/>
        <v>1</v>
      </c>
      <c r="FK103" s="45">
        <f t="shared" si="836"/>
        <v>2</v>
      </c>
      <c r="FL103" s="46" cm="1">
        <f t="array" ref="FL103">ROUND(IFERROR(INDEX(ArchiveResults!$F$5:$IX$116,ComparisonData!A103,ComparisonData!$FL$1),0),5)</f>
        <v>0</v>
      </c>
      <c r="FM103" s="46" cm="1">
        <f t="array" ref="FM103">ROUND(IFERROR(INDEX(ArchiveResults!$F$5:$IX$116,ComparisonData!A103,ComparisonData!$FM$1),0),5)</f>
        <v>0</v>
      </c>
      <c r="FN103" s="46" cm="1">
        <f t="array" ref="FN103">ROUND(IFERROR(INDEX(ArchiveResults!$F$5:$IX$116,ComparisonData!A103,ComparisonData!$FN$1),0),5)</f>
        <v>0</v>
      </c>
      <c r="FO103" s="46" cm="1">
        <f t="array" ref="FO103">ROUND(IFERROR(INDEX(ArchiveResults!$F$5:$IX$116,ComparisonData!A103,ComparisonData!$FO$1),0),5)</f>
        <v>0</v>
      </c>
      <c r="FP103" s="45" cm="1">
        <f t="array" ref="FP103">IFERROR(INDEX(ArchiveResults!$F$5:$IX$116,ComparisonData!A103,ComparisonData!$FP$1),0)</f>
        <v>0</v>
      </c>
      <c r="FQ103" s="56">
        <v>98</v>
      </c>
      <c r="FR103" s="53" t="str">
        <f t="shared" si="1194"/>
        <v>University of Nottingham, Manuscripts and Special Collections</v>
      </c>
      <c r="FS103" s="59">
        <f t="shared" si="837"/>
        <v>0</v>
      </c>
      <c r="FT103" s="59">
        <f t="shared" si="838"/>
        <v>0</v>
      </c>
      <c r="FU103" s="59">
        <f t="shared" si="839"/>
        <v>0</v>
      </c>
      <c r="FV103" s="59">
        <f t="shared" si="840"/>
        <v>0</v>
      </c>
      <c r="FW103" s="59">
        <f t="shared" si="841"/>
        <v>0</v>
      </c>
      <c r="FX103" s="58">
        <f t="shared" si="842"/>
        <v>0</v>
      </c>
      <c r="FY103" s="45">
        <f t="shared" si="843"/>
        <v>49</v>
      </c>
      <c r="FZ103" s="45">
        <f t="shared" si="1195"/>
        <v>2.6789999999999998</v>
      </c>
      <c r="GA103" s="45">
        <f t="shared" si="844"/>
        <v>1</v>
      </c>
      <c r="GB103" s="45">
        <f t="shared" si="845"/>
        <v>2</v>
      </c>
      <c r="GC103" s="46" cm="1">
        <f t="array" ref="GC103">ROUND(IFERROR(INDEX(ArchiveResults!$F$5:$IX$116,ComparisonData!A103,ComparisonData!$GC$1),0),5)</f>
        <v>0</v>
      </c>
      <c r="GD103" s="46" cm="1">
        <f t="array" ref="GD103">ROUND(IFERROR(INDEX(ArchiveResults!$F$5:$IX$116,ComparisonData!A103,ComparisonData!$GD$1),0),5)</f>
        <v>0</v>
      </c>
      <c r="GE103" s="46" cm="1">
        <f t="array" ref="GE103">ROUND(IFERROR(INDEX(ArchiveResults!$F$5:$IX$116,ComparisonData!A103,ComparisonData!$GE$1),0),5)</f>
        <v>0</v>
      </c>
      <c r="GF103" s="46" cm="1">
        <f t="array" ref="GF103">ROUND(IFERROR(INDEX(ArchiveResults!$F$5:$IX$116,ComparisonData!A103,ComparisonData!$GF$1),0),5)</f>
        <v>0</v>
      </c>
      <c r="GG103" s="45" cm="1">
        <f t="array" ref="GG103">IFERROR(INDEX(ArchiveResults!$F$5:$IX$116,ComparisonData!A103,ComparisonData!$GG$1),0)</f>
        <v>0</v>
      </c>
      <c r="GH103" s="56">
        <v>98</v>
      </c>
      <c r="GI103" s="53" t="str">
        <f t="shared" si="1196"/>
        <v>University of Nottingham, Manuscripts and Special Collections</v>
      </c>
      <c r="GJ103" s="59">
        <f t="shared" si="846"/>
        <v>0</v>
      </c>
      <c r="GK103" s="59">
        <f t="shared" si="847"/>
        <v>0</v>
      </c>
      <c r="GL103" s="59">
        <f t="shared" si="848"/>
        <v>0</v>
      </c>
      <c r="GM103" s="59">
        <f t="shared" si="849"/>
        <v>0</v>
      </c>
      <c r="GN103" s="59">
        <f t="shared" si="850"/>
        <v>0</v>
      </c>
      <c r="GO103" s="58">
        <f t="shared" si="851"/>
        <v>0</v>
      </c>
      <c r="GP103" s="45">
        <f t="shared" si="852"/>
        <v>49</v>
      </c>
      <c r="GQ103" s="45">
        <f t="shared" si="1197"/>
        <v>2.6789999999999998</v>
      </c>
      <c r="GR103" s="45">
        <f t="shared" si="853"/>
        <v>1</v>
      </c>
      <c r="GS103" s="45">
        <f t="shared" si="854"/>
        <v>2</v>
      </c>
      <c r="GT103" s="46" cm="1">
        <f t="array" ref="GT103">ROUND(IFERROR(INDEX(ArchiveResults!$F$5:$IX$116,ComparisonData!A103,ComparisonData!$GT$1),0),5)</f>
        <v>0</v>
      </c>
      <c r="GU103" s="46" cm="1">
        <f t="array" ref="GU103">ROUND(IFERROR(INDEX(ArchiveResults!$F$5:$IX$116,ComparisonData!A103,ComparisonData!$GU$1),0),5)</f>
        <v>0</v>
      </c>
      <c r="GV103" s="46" cm="1">
        <f t="array" ref="GV103">ROUND(IFERROR(INDEX(ArchiveResults!$F$5:$IX$116,ComparisonData!A103,ComparisonData!$GV$1),0),5)</f>
        <v>0</v>
      </c>
      <c r="GW103" s="46" cm="1">
        <f t="array" ref="GW103">ROUND(IFERROR(INDEX(ArchiveResults!$F$5:$IX$116,ComparisonData!A103,ComparisonData!$GW$1),0),5)</f>
        <v>0</v>
      </c>
      <c r="GX103" s="45" cm="1">
        <f t="array" ref="GX103">IFERROR(INDEX(ArchiveResults!$F$5:$IX$116,ComparisonData!A103,ComparisonData!$GX$1),0)</f>
        <v>0</v>
      </c>
      <c r="GY103" s="56">
        <v>98</v>
      </c>
      <c r="GZ103" s="53" t="str">
        <f t="shared" si="1198"/>
        <v>University of Nottingham, Manuscripts and Special Collections</v>
      </c>
      <c r="HA103" s="59">
        <f t="shared" si="855"/>
        <v>0</v>
      </c>
      <c r="HB103" s="59">
        <f t="shared" si="856"/>
        <v>0</v>
      </c>
      <c r="HC103" s="59">
        <f t="shared" si="857"/>
        <v>0</v>
      </c>
      <c r="HD103" s="59">
        <f t="shared" si="858"/>
        <v>0</v>
      </c>
      <c r="HE103" s="59">
        <f t="shared" si="859"/>
        <v>0</v>
      </c>
      <c r="HF103" s="58">
        <f t="shared" si="860"/>
        <v>0</v>
      </c>
      <c r="HG103" s="45">
        <f t="shared" si="861"/>
        <v>49</v>
      </c>
      <c r="HH103" s="45">
        <f t="shared" si="1199"/>
        <v>2.6789999999999998</v>
      </c>
      <c r="HI103" s="45">
        <f t="shared" si="862"/>
        <v>1</v>
      </c>
      <c r="HJ103" s="45">
        <f t="shared" si="863"/>
        <v>2</v>
      </c>
      <c r="HK103" s="46" cm="1">
        <f t="array" ref="HK103">ROUND(IFERROR(INDEX(ArchiveResults!$F$5:$IX$116,ComparisonData!A103,ComparisonData!$HK$1),0),5)</f>
        <v>0</v>
      </c>
      <c r="HL103" s="46" cm="1">
        <f t="array" ref="HL103">ROUND(IFERROR(INDEX(ArchiveResults!$F$5:$IX$116,ComparisonData!A103,ComparisonData!$HL$1),0),5)</f>
        <v>0</v>
      </c>
      <c r="HM103" s="46" cm="1">
        <f t="array" ref="HM103">ROUND(IFERROR(INDEX(ArchiveResults!$F$5:$IX$116,ComparisonData!A103,ComparisonData!$HM$1),0),5)</f>
        <v>0</v>
      </c>
      <c r="HN103" s="46" cm="1">
        <f t="array" ref="HN103">ROUND(IFERROR(INDEX(ArchiveResults!$F$5:$IX$116,ComparisonData!A103,ComparisonData!$HN$1),0),5)</f>
        <v>0</v>
      </c>
      <c r="HO103" s="45" cm="1">
        <f t="array" ref="HO103">IFERROR(INDEX(ArchiveResults!$F$5:$IX$116,ComparisonData!A103,ComparisonData!$HO$1),0)</f>
        <v>0</v>
      </c>
      <c r="HP103" s="56">
        <v>98</v>
      </c>
      <c r="HQ103" s="53" t="str">
        <f t="shared" si="1200"/>
        <v>University of Nottingham, Manuscripts and Special Collections</v>
      </c>
      <c r="HR103" s="59">
        <f t="shared" si="1201"/>
        <v>0</v>
      </c>
      <c r="HS103" s="59">
        <f t="shared" si="1202"/>
        <v>0</v>
      </c>
      <c r="HT103" s="59">
        <f t="shared" si="1203"/>
        <v>0</v>
      </c>
      <c r="HU103" s="59">
        <f t="shared" si="1204"/>
        <v>0</v>
      </c>
      <c r="HV103" s="59">
        <f t="shared" si="1205"/>
        <v>0</v>
      </c>
      <c r="HW103" s="58">
        <f t="shared" si="864"/>
        <v>0</v>
      </c>
      <c r="HX103" s="45">
        <f t="shared" si="865"/>
        <v>49</v>
      </c>
      <c r="HY103" s="45">
        <f t="shared" si="1206"/>
        <v>2.6789999999999998</v>
      </c>
      <c r="HZ103" s="45">
        <f t="shared" si="866"/>
        <v>1</v>
      </c>
      <c r="IA103" s="45">
        <f t="shared" si="867"/>
        <v>2</v>
      </c>
      <c r="IB103" s="45">
        <f t="shared" si="868"/>
        <v>0</v>
      </c>
      <c r="IC103" s="46" cm="1">
        <f t="array" ref="IC103">ROUND(IFERROR(INDEX(ArchiveResults!$F$5:$IX$116,ComparisonData!A103,ComparisonData!$IC$1),0),5)</f>
        <v>0</v>
      </c>
      <c r="ID103" s="46" cm="1">
        <f t="array" ref="ID103">ROUND(IFERROR(INDEX(ArchiveResults!$F$5:$IX$116,ComparisonData!A103,ComparisonData!$ID$1),0),5)</f>
        <v>0</v>
      </c>
      <c r="IE103" s="46" cm="1">
        <f t="array" ref="IE103">ROUND(IFERROR(INDEX(ArchiveResults!$F$5:$IX$116,ComparisonData!A103,ComparisonData!$IE$1),0),5)</f>
        <v>0</v>
      </c>
      <c r="IF103" s="46" cm="1">
        <f t="array" ref="IF103">ROUND(IFERROR(INDEX(ArchiveResults!$F$5:$IX$116,ComparisonData!A103,ComparisonData!$IF$1),0),5)</f>
        <v>0</v>
      </c>
      <c r="IG103" s="45" cm="1">
        <f t="array" ref="IG103">IFERROR(INDEX(ArchiveResults!$F$5:$IX$116,ComparisonData!A103,ComparisonData!$IG$1),0)</f>
        <v>0</v>
      </c>
      <c r="IH103" s="56">
        <v>98</v>
      </c>
      <c r="II103" s="53" t="str">
        <f t="shared" si="1207"/>
        <v>University of Nottingham, Manuscripts and Special Collections</v>
      </c>
      <c r="IJ103" s="59">
        <f t="shared" si="869"/>
        <v>0</v>
      </c>
      <c r="IK103" s="59">
        <f t="shared" si="870"/>
        <v>0</v>
      </c>
      <c r="IL103" s="59">
        <f t="shared" si="871"/>
        <v>0</v>
      </c>
      <c r="IM103" s="59">
        <f t="shared" si="872"/>
        <v>0</v>
      </c>
      <c r="IN103" s="59">
        <f t="shared" si="873"/>
        <v>0</v>
      </c>
      <c r="IO103" s="58">
        <f t="shared" si="874"/>
        <v>0</v>
      </c>
      <c r="IP103" s="45">
        <f t="shared" si="875"/>
        <v>49</v>
      </c>
      <c r="IQ103" s="45">
        <f t="shared" si="1208"/>
        <v>2.6789999999999998</v>
      </c>
      <c r="IR103" s="45">
        <f t="shared" si="876"/>
        <v>1</v>
      </c>
      <c r="IS103" s="45">
        <f t="shared" si="877"/>
        <v>2</v>
      </c>
      <c r="IT103" s="46">
        <f t="shared" si="878"/>
        <v>0</v>
      </c>
      <c r="IU103" s="46" cm="1">
        <f t="array" ref="IU103">ROUND(IFERROR(INDEX(ArchiveResults!$F$5:$IX$116,ComparisonData!A103,ComparisonData!$IU$1),0),5)</f>
        <v>0</v>
      </c>
      <c r="IV103" s="46" cm="1">
        <f t="array" ref="IV103">ROUND(IFERROR(INDEX(ArchiveResults!$F$5:$IX$116,ComparisonData!A103,ComparisonData!$IV$1),0),5)</f>
        <v>0</v>
      </c>
      <c r="IW103" s="46" cm="1">
        <f t="array" ref="IW103">ROUND(IFERROR(INDEX(ArchiveResults!$F$5:$IX$116,ComparisonData!A103,ComparisonData!$IW$1),0),5)</f>
        <v>0</v>
      </c>
      <c r="IX103" s="46" cm="1">
        <f t="array" ref="IX103">ROUND(IFERROR(INDEX(ArchiveResults!$F$5:$IX$116,ComparisonData!A103,ComparisonData!$IX$1),0),5)</f>
        <v>0</v>
      </c>
      <c r="IY103" s="45" cm="1">
        <f t="array" ref="IY103">IFERROR(INDEX(ArchiveResults!$F$5:$IX$116,ComparisonData!A103,ComparisonData!$IY$1),0)</f>
        <v>0</v>
      </c>
      <c r="IZ103" s="56">
        <v>98</v>
      </c>
      <c r="JA103" s="53" t="str">
        <f t="shared" si="1209"/>
        <v>University of Nottingham, Manuscripts and Special Collections</v>
      </c>
      <c r="JB103" s="59">
        <f t="shared" si="879"/>
        <v>0</v>
      </c>
      <c r="JC103" s="59">
        <f t="shared" si="880"/>
        <v>0</v>
      </c>
      <c r="JD103" s="59">
        <f t="shared" si="881"/>
        <v>0</v>
      </c>
      <c r="JE103" s="59">
        <f t="shared" si="882"/>
        <v>0</v>
      </c>
      <c r="JF103" s="59">
        <f t="shared" si="883"/>
        <v>0</v>
      </c>
      <c r="JG103" s="58">
        <f t="shared" si="884"/>
        <v>0</v>
      </c>
      <c r="JH103" s="45">
        <f t="shared" si="885"/>
        <v>49</v>
      </c>
      <c r="JI103" s="45">
        <f t="shared" si="1210"/>
        <v>2.6789999999999998</v>
      </c>
      <c r="JJ103" s="45">
        <f t="shared" si="886"/>
        <v>1</v>
      </c>
      <c r="JK103" s="45">
        <f t="shared" si="887"/>
        <v>2</v>
      </c>
      <c r="JL103" s="45">
        <f t="shared" si="888"/>
        <v>0</v>
      </c>
      <c r="JM103" s="46" cm="1">
        <f t="array" ref="JM103">ROUND(IFERROR(INDEX(ArchiveResults!$F$5:$IX$116,ComparisonData!A103,ComparisonData!$JM$1),0),5)</f>
        <v>0</v>
      </c>
      <c r="JN103" s="46" cm="1">
        <f t="array" ref="JN103">ROUND(IFERROR(INDEX(ArchiveResults!$F$5:$IX$116,ComparisonData!A103,ComparisonData!$JN$1),0),5)</f>
        <v>0</v>
      </c>
      <c r="JO103" s="46" cm="1">
        <f t="array" ref="JO103">ROUND(IFERROR(INDEX(ArchiveResults!$F$5:$IX$116,ComparisonData!A103,ComparisonData!$JO$1),0),5)</f>
        <v>0</v>
      </c>
      <c r="JP103" s="46" cm="1">
        <f t="array" ref="JP103">ROUND(IFERROR(INDEX(ArchiveResults!$F$5:$IX$116,ComparisonData!A103,ComparisonData!$JP$1),0),5)</f>
        <v>0</v>
      </c>
      <c r="JQ103" s="45" cm="1">
        <f t="array" ref="JQ103">IFERROR(INDEX(ArchiveResults!$F$5:$IX$116,ComparisonData!A103,ComparisonData!$JQ$1),0)</f>
        <v>0</v>
      </c>
      <c r="JR103" s="56">
        <v>98</v>
      </c>
      <c r="JS103" s="53" t="str">
        <f t="shared" si="1211"/>
        <v>University of Nottingham, Manuscripts and Special Collections</v>
      </c>
      <c r="JT103" s="59">
        <f t="shared" si="889"/>
        <v>0</v>
      </c>
      <c r="JU103" s="59">
        <f t="shared" si="890"/>
        <v>0</v>
      </c>
      <c r="JV103" s="59">
        <f t="shared" si="891"/>
        <v>0</v>
      </c>
      <c r="JW103" s="59">
        <f t="shared" si="892"/>
        <v>0</v>
      </c>
      <c r="JX103" s="59">
        <f t="shared" si="893"/>
        <v>0</v>
      </c>
      <c r="JY103" s="58">
        <f t="shared" si="894"/>
        <v>0</v>
      </c>
      <c r="JZ103" s="45">
        <f t="shared" si="895"/>
        <v>49</v>
      </c>
      <c r="KA103" s="45">
        <f t="shared" si="1212"/>
        <v>2.6789999999999998</v>
      </c>
      <c r="KB103" s="45">
        <f t="shared" si="896"/>
        <v>1</v>
      </c>
      <c r="KC103" s="45">
        <f t="shared" si="897"/>
        <v>2</v>
      </c>
      <c r="KD103" s="45">
        <f t="shared" si="898"/>
        <v>0</v>
      </c>
      <c r="KE103" s="46" cm="1">
        <f t="array" ref="KE103">ROUND(IFERROR(INDEX(ArchiveResults!$F$5:$IX$116,ComparisonData!A103,ComparisonData!$KE$1),0),5)</f>
        <v>0</v>
      </c>
      <c r="KF103" s="46" cm="1">
        <f t="array" ref="KF103">ROUND(IFERROR(INDEX(ArchiveResults!$F$5:$IX$116,ComparisonData!A103,ComparisonData!$KF$1),0),5)</f>
        <v>0</v>
      </c>
      <c r="KG103" s="46" cm="1">
        <f t="array" ref="KG103">ROUND(IFERROR(INDEX(ArchiveResults!$F$5:$IX$116,ComparisonData!A103,ComparisonData!$KG$1),0),5)</f>
        <v>0</v>
      </c>
      <c r="KH103" s="46" cm="1">
        <f t="array" ref="KH103">ROUND(IFERROR(INDEX(ArchiveResults!$F$5:$IX$116,ComparisonData!A103,ComparisonData!$KH$1),0),5)</f>
        <v>0</v>
      </c>
      <c r="KI103" s="45" cm="1">
        <f t="array" ref="KI103">IFERROR(INDEX(ArchiveResults!$F$5:$IX$116,ComparisonData!A103,ComparisonData!$KI$1),0)</f>
        <v>0</v>
      </c>
      <c r="KJ103" s="56">
        <v>98</v>
      </c>
      <c r="KK103" s="53" t="str">
        <f t="shared" si="1213"/>
        <v>University of Nottingham, Manuscripts and Special Collections</v>
      </c>
      <c r="KL103" s="59">
        <f t="shared" si="899"/>
        <v>0</v>
      </c>
      <c r="KM103" s="59">
        <f t="shared" si="900"/>
        <v>0</v>
      </c>
      <c r="KN103" s="59">
        <f t="shared" si="901"/>
        <v>0</v>
      </c>
      <c r="KO103" s="59">
        <f t="shared" si="902"/>
        <v>0</v>
      </c>
      <c r="KP103" s="59">
        <f t="shared" si="903"/>
        <v>0</v>
      </c>
      <c r="KQ103" s="58">
        <f t="shared" si="904"/>
        <v>0</v>
      </c>
      <c r="KR103" s="45">
        <f t="shared" si="905"/>
        <v>49</v>
      </c>
      <c r="KS103" s="45">
        <f t="shared" si="1214"/>
        <v>2.6789999999999998</v>
      </c>
      <c r="KT103" s="45">
        <f t="shared" si="906"/>
        <v>1</v>
      </c>
      <c r="KU103" s="45">
        <f t="shared" si="907"/>
        <v>2</v>
      </c>
      <c r="KV103" s="45">
        <f t="shared" si="908"/>
        <v>0</v>
      </c>
      <c r="KW103" s="46" cm="1">
        <f t="array" ref="KW103">ROUND(IFERROR(INDEX(ArchiveResults!$F$5:$IX$116,ComparisonData!A103,ComparisonData!$KW$1),0),5)</f>
        <v>0</v>
      </c>
      <c r="KX103" s="46" cm="1">
        <f t="array" ref="KX103">ROUND(IFERROR(INDEX(ArchiveResults!$F$5:$IX$116,ComparisonData!A103,ComparisonData!$KX$1),0),5)</f>
        <v>0</v>
      </c>
      <c r="KY103" s="46" cm="1">
        <f t="array" ref="KY103">ROUND(IFERROR(INDEX(ArchiveResults!$F$5:$IX$116,ComparisonData!A103,ComparisonData!$KY$1),0),5)</f>
        <v>0</v>
      </c>
      <c r="KZ103" s="46" cm="1">
        <f t="array" ref="KZ103">ROUND(IFERROR(INDEX(ArchiveResults!$F$5:$IX$116,ComparisonData!A103,ComparisonData!$KZ$1),0),5)</f>
        <v>0</v>
      </c>
      <c r="LA103" s="45" cm="1">
        <f t="array" ref="LA103">IFERROR(INDEX(ArchiveResults!$F$5:$IX$116,ComparisonData!A103,ComparisonData!$LA$1),0)</f>
        <v>0</v>
      </c>
      <c r="LB103" s="56">
        <v>98</v>
      </c>
      <c r="LC103" s="53" t="str">
        <f t="shared" si="1215"/>
        <v>University of Nottingham, Manuscripts and Special Collections</v>
      </c>
      <c r="LD103" s="59">
        <f t="shared" si="909"/>
        <v>0</v>
      </c>
      <c r="LE103" s="59">
        <f t="shared" si="910"/>
        <v>0</v>
      </c>
      <c r="LF103" s="59">
        <f t="shared" si="911"/>
        <v>0</v>
      </c>
      <c r="LG103" s="59">
        <f t="shared" si="912"/>
        <v>0</v>
      </c>
      <c r="LH103" s="59">
        <f t="shared" si="913"/>
        <v>0</v>
      </c>
      <c r="LI103" s="58">
        <f t="shared" si="914"/>
        <v>0</v>
      </c>
      <c r="LJ103" s="45">
        <f t="shared" si="915"/>
        <v>49</v>
      </c>
      <c r="LK103" s="45">
        <f t="shared" si="1216"/>
        <v>2.6789999999999998</v>
      </c>
      <c r="LL103" s="45">
        <f t="shared" si="916"/>
        <v>1</v>
      </c>
      <c r="LM103" s="45">
        <f t="shared" si="917"/>
        <v>2</v>
      </c>
      <c r="LN103" s="45">
        <f t="shared" si="918"/>
        <v>0</v>
      </c>
      <c r="LO103" s="46" cm="1">
        <f t="array" ref="LO103">ROUND(IFERROR(INDEX(ArchiveResults!$F$5:$IX$116,ComparisonData!A103,ComparisonData!$LO$1),0),5)</f>
        <v>0</v>
      </c>
      <c r="LP103" s="46" cm="1">
        <f t="array" ref="LP103">ROUND(IFERROR(INDEX(ArchiveResults!$F$5:$IX$116,ComparisonData!A103,ComparisonData!$LP$1),0),5)</f>
        <v>0</v>
      </c>
      <c r="LQ103" s="46" cm="1">
        <f t="array" ref="LQ103">ROUND(IFERROR(INDEX(ArchiveResults!$F$5:$IX$116,ComparisonData!A103,ComparisonData!$LQ$1),0),5)</f>
        <v>0</v>
      </c>
      <c r="LR103" s="46" cm="1">
        <f t="array" ref="LR103">ROUND(IFERROR(INDEX(ArchiveResults!$F$5:$IX$116,ComparisonData!A103,ComparisonData!$LR$1),0),5)</f>
        <v>0</v>
      </c>
      <c r="LS103" s="45" cm="1">
        <f t="array" ref="LS103">IFERROR(INDEX(ArchiveResults!$F$5:$IX$116,ComparisonData!A103,ComparisonData!$LS$1),0)</f>
        <v>0</v>
      </c>
      <c r="LT103" s="56">
        <v>98</v>
      </c>
      <c r="LU103" s="53" t="str">
        <f t="shared" si="1217"/>
        <v>University of Nottingham, Manuscripts and Special Collections</v>
      </c>
      <c r="LV103" s="59">
        <f t="shared" si="919"/>
        <v>0</v>
      </c>
      <c r="LW103" s="59">
        <f t="shared" si="920"/>
        <v>0</v>
      </c>
      <c r="LX103" s="59">
        <f t="shared" si="921"/>
        <v>0</v>
      </c>
      <c r="LY103" s="59">
        <f t="shared" si="922"/>
        <v>0</v>
      </c>
      <c r="LZ103" s="59">
        <f t="shared" si="923"/>
        <v>0</v>
      </c>
      <c r="MA103" s="58">
        <f t="shared" si="924"/>
        <v>0</v>
      </c>
      <c r="MB103" s="45">
        <f t="shared" si="925"/>
        <v>49</v>
      </c>
      <c r="MC103" s="45">
        <f t="shared" si="1218"/>
        <v>2.6789999999999998</v>
      </c>
      <c r="MD103" s="45">
        <f t="shared" si="926"/>
        <v>1</v>
      </c>
      <c r="ME103" s="45">
        <f t="shared" si="927"/>
        <v>2</v>
      </c>
      <c r="MF103" s="45">
        <f t="shared" si="928"/>
        <v>0</v>
      </c>
      <c r="MG103" s="46" cm="1">
        <f t="array" ref="MG103">ROUND(IFERROR(INDEX(ArchiveResults!$F$5:$IX$116,ComparisonData!A103,ComparisonData!$MG$1),0),5)</f>
        <v>0</v>
      </c>
      <c r="MH103" s="46" cm="1">
        <f t="array" ref="MH103">ROUND(IFERROR(INDEX(ArchiveResults!$F$5:$IX$116,ComparisonData!A103,ComparisonData!$MH$1),0),5)</f>
        <v>0</v>
      </c>
      <c r="MI103" s="46" cm="1">
        <f t="array" ref="MI103">ROUND(IFERROR(INDEX(ArchiveResults!$F$5:$IX$116,ComparisonData!A103,ComparisonData!$MI$1),0),5)</f>
        <v>0</v>
      </c>
      <c r="MJ103" s="46" cm="1">
        <f t="array" ref="MJ103">ROUND(IFERROR(INDEX(ArchiveResults!$F$5:$IX$116,ComparisonData!A103,ComparisonData!$MJ$1),0),5)</f>
        <v>0</v>
      </c>
      <c r="MK103" s="45" cm="1">
        <f t="array" ref="MK103">IFERROR(INDEX(ArchiveResults!$F$5:$IX$116,ComparisonData!A103,ComparisonData!$MK$1),0)</f>
        <v>0</v>
      </c>
      <c r="ML103" s="56">
        <v>98</v>
      </c>
      <c r="MM103" s="53" t="str">
        <f t="shared" si="1219"/>
        <v>University of Nottingham, Manuscripts and Special Collections</v>
      </c>
      <c r="MN103" s="59">
        <f t="shared" si="929"/>
        <v>0</v>
      </c>
      <c r="MO103" s="59">
        <f t="shared" si="930"/>
        <v>0</v>
      </c>
      <c r="MP103" s="59">
        <f t="shared" si="931"/>
        <v>0</v>
      </c>
      <c r="MQ103" s="59">
        <f t="shared" si="932"/>
        <v>0</v>
      </c>
      <c r="MR103" s="59">
        <f t="shared" si="933"/>
        <v>0</v>
      </c>
      <c r="MS103" s="58">
        <f t="shared" si="934"/>
        <v>0</v>
      </c>
      <c r="MT103" s="45">
        <f t="shared" si="935"/>
        <v>49</v>
      </c>
      <c r="MU103" s="45">
        <f t="shared" si="1220"/>
        <v>2.6789999999999998</v>
      </c>
      <c r="MV103" s="45">
        <f t="shared" si="936"/>
        <v>1</v>
      </c>
      <c r="MW103" s="45">
        <f t="shared" si="937"/>
        <v>2</v>
      </c>
      <c r="MX103" s="45">
        <f t="shared" si="938"/>
        <v>0</v>
      </c>
      <c r="MY103" s="46" cm="1">
        <f t="array" ref="MY103">ROUND(IFERROR(INDEX(ArchiveResults!$F$5:$IX$116,ComparisonData!A103,ComparisonData!$MY$1),0),5)</f>
        <v>0</v>
      </c>
      <c r="MZ103" s="46" cm="1">
        <f t="array" ref="MZ103">ROUND(IFERROR(INDEX(ArchiveResults!$F$5:$IX$116,ComparisonData!A103,ComparisonData!$MZ$1),0),5)</f>
        <v>0</v>
      </c>
      <c r="NA103" s="46" cm="1">
        <f t="array" ref="NA103">ROUND(IFERROR(INDEX(ArchiveResults!$F$5:$IX$116,ComparisonData!A103,ComparisonData!$NA$1),0),5)</f>
        <v>0</v>
      </c>
      <c r="NB103" s="46" cm="1">
        <f t="array" ref="NB103">ROUND(IFERROR(INDEX(ArchiveResults!$F$5:$IX$116,ComparisonData!A103,ComparisonData!$NB$1),0),5)</f>
        <v>0</v>
      </c>
      <c r="NC103" s="45" cm="1">
        <f t="array" ref="NC103">IFERROR(INDEX(ArchiveResults!$F$5:$IX$116,ComparisonData!A103,ComparisonData!$NC$1),0)</f>
        <v>0</v>
      </c>
      <c r="ND103" s="56">
        <v>98</v>
      </c>
      <c r="NE103" s="53" t="str">
        <f t="shared" si="1221"/>
        <v>University of Nottingham, Manuscripts and Special Collections</v>
      </c>
      <c r="NF103" s="59">
        <f t="shared" si="939"/>
        <v>0</v>
      </c>
      <c r="NG103" s="59">
        <f t="shared" si="940"/>
        <v>0</v>
      </c>
      <c r="NH103" s="59">
        <f t="shared" si="941"/>
        <v>0</v>
      </c>
      <c r="NI103" s="59">
        <f t="shared" si="942"/>
        <v>0</v>
      </c>
      <c r="NJ103" s="59">
        <f t="shared" si="943"/>
        <v>0</v>
      </c>
      <c r="NK103" s="58">
        <f t="shared" si="944"/>
        <v>0</v>
      </c>
      <c r="NL103" s="45">
        <f t="shared" si="945"/>
        <v>49</v>
      </c>
      <c r="NM103" s="45">
        <f t="shared" si="1222"/>
        <v>2.6789999999999998</v>
      </c>
      <c r="NN103" s="45">
        <f t="shared" si="946"/>
        <v>1</v>
      </c>
      <c r="NO103" s="45">
        <f t="shared" si="947"/>
        <v>2</v>
      </c>
      <c r="NP103" s="46" cm="1">
        <f t="array" ref="NP103">ROUND(IFERROR(INDEX(ArchiveResults!$F$5:$IX$116,ComparisonData!A103,ComparisonData!$NP$1),0),5)</f>
        <v>0</v>
      </c>
      <c r="NQ103" s="46" cm="1">
        <f t="array" ref="NQ103">ROUND(IFERROR(INDEX(ArchiveResults!$F$5:$IX$116,ComparisonData!A103,ComparisonData!$NQ$1),0),5)</f>
        <v>0</v>
      </c>
      <c r="NR103" s="46" cm="1">
        <f t="array" ref="NR103">ROUND(IFERROR(INDEX(ArchiveResults!$F$5:$IX$116,ComparisonData!A103,ComparisonData!$NR$1),0),5)</f>
        <v>0</v>
      </c>
      <c r="NS103" s="46" cm="1">
        <f t="array" ref="NS103">ROUND(IFERROR(INDEX(ArchiveResults!$F$5:$IX$116,ComparisonData!A103,ComparisonData!$NS$1),0),5)</f>
        <v>0</v>
      </c>
      <c r="NT103" s="45" cm="1">
        <f t="array" ref="NT103">IFERROR(INDEX(ArchiveResults!$F$5:$IX$116,ComparisonData!A103,ComparisonData!$NT$1),0)</f>
        <v>0</v>
      </c>
      <c r="NU103" s="56">
        <v>98</v>
      </c>
      <c r="NV103" s="53" t="str">
        <f t="shared" si="1223"/>
        <v>University of Nottingham, Manuscripts and Special Collections</v>
      </c>
      <c r="NW103" s="59">
        <f t="shared" si="948"/>
        <v>0</v>
      </c>
      <c r="NX103" s="59">
        <f t="shared" si="949"/>
        <v>0</v>
      </c>
      <c r="NY103" s="59">
        <f t="shared" si="950"/>
        <v>0</v>
      </c>
      <c r="NZ103" s="59">
        <f t="shared" si="951"/>
        <v>0</v>
      </c>
      <c r="OA103" s="59">
        <f t="shared" si="952"/>
        <v>0</v>
      </c>
      <c r="OB103" s="58">
        <f t="shared" si="953"/>
        <v>0</v>
      </c>
      <c r="OC103" s="45">
        <f t="shared" si="954"/>
        <v>49</v>
      </c>
      <c r="OD103" s="45">
        <f t="shared" si="1224"/>
        <v>2.6789999999999998</v>
      </c>
      <c r="OE103" s="45">
        <f t="shared" si="955"/>
        <v>1</v>
      </c>
      <c r="OF103" s="45">
        <f t="shared" si="956"/>
        <v>2</v>
      </c>
      <c r="OG103" s="46">
        <f t="shared" si="957"/>
        <v>0</v>
      </c>
      <c r="OH103" s="46" cm="1">
        <f t="array" ref="OH103">ROUND(IFERROR(INDEX(ArchiveResults!$F$5:$IX$116,ComparisonData!A103,ComparisonData!$OH$1),0),5)</f>
        <v>0</v>
      </c>
      <c r="OI103" s="46" cm="1">
        <f t="array" ref="OI103">ROUND(IFERROR(INDEX(ArchiveResults!$F$5:$IX$116,ComparisonData!A103,ComparisonData!$OI$1),0),5)</f>
        <v>0</v>
      </c>
      <c r="OJ103" s="46" cm="1">
        <f t="array" ref="OJ103">ROUND(IFERROR(INDEX(ArchiveResults!$F$5:$IX$116,ComparisonData!A103,ComparisonData!$OJ$1),0),5)</f>
        <v>0</v>
      </c>
      <c r="OK103" s="46" cm="1">
        <f t="array" ref="OK103">ROUND(IFERROR(INDEX(ArchiveResults!$F$5:$IX$116,ComparisonData!A103,ComparisonData!$OK$1),0),5)</f>
        <v>0</v>
      </c>
      <c r="OL103" s="45" cm="1">
        <f t="array" ref="OL103">IFERROR(INDEX(ArchiveResults!$F$5:$IX$116,ComparisonData!A103,ComparisonData!$OL$1),0)</f>
        <v>0</v>
      </c>
      <c r="OM103" s="56">
        <v>98</v>
      </c>
      <c r="ON103" s="53" t="str">
        <f t="shared" si="1225"/>
        <v>University of Nottingham, Manuscripts and Special Collections</v>
      </c>
      <c r="OO103" s="59">
        <f t="shared" si="958"/>
        <v>0</v>
      </c>
      <c r="OP103" s="59">
        <f t="shared" si="959"/>
        <v>0</v>
      </c>
      <c r="OQ103" s="59">
        <f t="shared" si="960"/>
        <v>0</v>
      </c>
      <c r="OR103" s="59">
        <f t="shared" si="961"/>
        <v>0</v>
      </c>
      <c r="OS103" s="59">
        <f t="shared" si="962"/>
        <v>0</v>
      </c>
      <c r="OT103" s="58">
        <f t="shared" si="963"/>
        <v>0</v>
      </c>
      <c r="OU103" s="45">
        <f t="shared" si="964"/>
        <v>49</v>
      </c>
      <c r="OV103" s="45">
        <f t="shared" si="1226"/>
        <v>2.6789999999999998</v>
      </c>
      <c r="OW103" s="45">
        <f t="shared" si="965"/>
        <v>1</v>
      </c>
      <c r="OX103" s="45">
        <f t="shared" si="966"/>
        <v>2</v>
      </c>
      <c r="OY103" s="45">
        <f t="shared" si="967"/>
        <v>0</v>
      </c>
      <c r="OZ103" s="46" cm="1">
        <f t="array" ref="OZ103">ROUND(IFERROR(INDEX(ArchiveResults!$F$5:$IX$116,ComparisonData!A103,ComparisonData!$OZ$1),0),5)</f>
        <v>0</v>
      </c>
      <c r="PA103" s="46" cm="1">
        <f t="array" ref="PA103">ROUND(IFERROR(INDEX(ArchiveResults!$F$5:$IX$116,ComparisonData!A103,ComparisonData!$PA$1),0),5)</f>
        <v>0</v>
      </c>
      <c r="PB103" s="46" cm="1">
        <f t="array" ref="PB103">ROUND(IFERROR(INDEX(ArchiveResults!$F$5:$IX$116,ComparisonData!A103,ComparisonData!$PB$1),0),5)</f>
        <v>0</v>
      </c>
      <c r="PC103" s="46" cm="1">
        <f t="array" ref="PC103">ROUND(IFERROR(INDEX(ArchiveResults!$F$5:$IX$116,ComparisonData!A103,ComparisonData!$PC$1),0),5)</f>
        <v>0</v>
      </c>
      <c r="PD103" s="45" cm="1">
        <f t="array" ref="PD103">IFERROR(INDEX(ArchiveResults!$F$5:$IX$116,ComparisonData!A103,ComparisonData!$PD$1),0)</f>
        <v>0</v>
      </c>
      <c r="PE103" s="56">
        <v>98</v>
      </c>
      <c r="PF103" s="53" t="str">
        <f t="shared" si="1227"/>
        <v>University of Nottingham, Manuscripts and Special Collections</v>
      </c>
      <c r="PG103" s="59">
        <f t="shared" si="968"/>
        <v>0</v>
      </c>
      <c r="PH103" s="59">
        <f t="shared" si="969"/>
        <v>0</v>
      </c>
      <c r="PI103" s="59">
        <f t="shared" si="970"/>
        <v>0</v>
      </c>
      <c r="PJ103" s="59">
        <f t="shared" si="971"/>
        <v>0</v>
      </c>
      <c r="PK103" s="59">
        <f t="shared" si="972"/>
        <v>0</v>
      </c>
      <c r="PL103" s="58">
        <f t="shared" si="973"/>
        <v>0</v>
      </c>
      <c r="PM103" s="45">
        <f t="shared" si="974"/>
        <v>49</v>
      </c>
      <c r="PN103" s="45">
        <f t="shared" si="1228"/>
        <v>2.6789999999999998</v>
      </c>
      <c r="PO103" s="45">
        <f t="shared" si="975"/>
        <v>1</v>
      </c>
      <c r="PP103" s="45">
        <f t="shared" si="976"/>
        <v>2</v>
      </c>
      <c r="PQ103" s="45">
        <f t="shared" si="977"/>
        <v>0</v>
      </c>
      <c r="PR103" s="46" cm="1">
        <f t="array" ref="PR103">ROUND(IFERROR(INDEX(ArchiveResults!$F$5:$IX$116,ComparisonData!A103,ComparisonData!$PR$1),0),5)</f>
        <v>0</v>
      </c>
      <c r="PS103" s="46" cm="1">
        <f t="array" ref="PS103">ROUND(IFERROR(INDEX(ArchiveResults!$F$5:$IX$116,ComparisonData!A103,ComparisonData!$PS$1),0),5)</f>
        <v>0</v>
      </c>
      <c r="PT103" s="46" cm="1">
        <f t="array" ref="PT103">ROUND(IFERROR(INDEX(ArchiveResults!$F$5:$IX$116,ComparisonData!A103,ComparisonData!$PT$1),0),5)</f>
        <v>0</v>
      </c>
      <c r="PU103" s="46" cm="1">
        <f t="array" ref="PU103">ROUND(IFERROR(INDEX(ArchiveResults!$F$5:$IX$116,ComparisonData!A103,ComparisonData!$PU$1),0),5)</f>
        <v>0</v>
      </c>
      <c r="PV103" s="45" cm="1">
        <f t="array" ref="PV103">IFERROR(INDEX(ArchiveResults!$F$5:$IX$116,ComparisonData!A103,ComparisonData!$PV$1),0)</f>
        <v>0</v>
      </c>
      <c r="PW103" s="56">
        <v>98</v>
      </c>
      <c r="PX103" s="53" t="str">
        <f t="shared" si="1229"/>
        <v>University of Nottingham, Manuscripts and Special Collections</v>
      </c>
      <c r="PY103" s="59">
        <f t="shared" si="978"/>
        <v>0</v>
      </c>
      <c r="PZ103" s="59">
        <f t="shared" si="979"/>
        <v>0</v>
      </c>
      <c r="QA103" s="59">
        <f t="shared" si="980"/>
        <v>0</v>
      </c>
      <c r="QB103" s="59">
        <f t="shared" si="981"/>
        <v>0</v>
      </c>
      <c r="QC103" s="59">
        <f t="shared" si="982"/>
        <v>0</v>
      </c>
      <c r="QD103" s="58">
        <f t="shared" si="983"/>
        <v>0</v>
      </c>
      <c r="QE103" s="45">
        <f t="shared" si="984"/>
        <v>49</v>
      </c>
      <c r="QF103" s="45">
        <f t="shared" si="1230"/>
        <v>2.6789999999999998</v>
      </c>
      <c r="QG103" s="45">
        <f t="shared" si="985"/>
        <v>1</v>
      </c>
      <c r="QH103" s="45">
        <f t="shared" si="986"/>
        <v>2</v>
      </c>
      <c r="QI103" s="45">
        <f t="shared" si="987"/>
        <v>0</v>
      </c>
      <c r="QJ103" s="46" cm="1">
        <f t="array" ref="QJ103">ROUND(IFERROR(INDEX(ArchiveResults!$F$5:$IX$116,ComparisonData!A103,ComparisonData!$QJ$1),0),5)</f>
        <v>0</v>
      </c>
      <c r="QK103" s="46" cm="1">
        <f t="array" ref="QK103">ROUND(IFERROR(INDEX(ArchiveResults!$F$5:$IX$116,ComparisonData!A103,ComparisonData!$QK$1),0),5)</f>
        <v>0</v>
      </c>
      <c r="QL103" s="46" cm="1">
        <f t="array" ref="QL103">ROUND(IFERROR(INDEX(ArchiveResults!$F$5:$IX$116,ComparisonData!A103,ComparisonData!$QL$1),0),5)</f>
        <v>0</v>
      </c>
      <c r="QM103" s="46" cm="1">
        <f t="array" ref="QM103">ROUND(IFERROR(INDEX(ArchiveResults!$F$5:$IX$116,ComparisonData!A103,ComparisonData!$QM$1),0),5)</f>
        <v>0</v>
      </c>
      <c r="QN103" s="45" cm="1">
        <f t="array" ref="QN103">IFERROR(INDEX(ArchiveResults!$F$5:$IX$116,ComparisonData!A103,ComparisonData!$QN$1),0)</f>
        <v>0</v>
      </c>
      <c r="QO103" s="56">
        <v>98</v>
      </c>
      <c r="QP103" s="53" t="str">
        <f t="shared" si="1231"/>
        <v>University of Nottingham, Manuscripts and Special Collections</v>
      </c>
      <c r="QQ103" s="59">
        <f t="shared" si="988"/>
        <v>0</v>
      </c>
      <c r="QR103" s="59">
        <f t="shared" si="989"/>
        <v>0</v>
      </c>
      <c r="QS103" s="59">
        <f t="shared" si="990"/>
        <v>0</v>
      </c>
      <c r="QT103" s="59">
        <f t="shared" si="991"/>
        <v>0</v>
      </c>
      <c r="QU103" s="59">
        <f t="shared" si="992"/>
        <v>0</v>
      </c>
      <c r="QV103" s="58">
        <f t="shared" si="993"/>
        <v>0</v>
      </c>
      <c r="QW103" s="45">
        <f t="shared" si="994"/>
        <v>49</v>
      </c>
      <c r="QX103" s="45">
        <f t="shared" si="1232"/>
        <v>2.6789999999999998</v>
      </c>
      <c r="QY103" s="45">
        <f t="shared" si="995"/>
        <v>1</v>
      </c>
      <c r="QZ103" s="45">
        <f t="shared" si="996"/>
        <v>2</v>
      </c>
      <c r="RA103" s="45">
        <f t="shared" si="997"/>
        <v>0</v>
      </c>
      <c r="RB103" s="46" cm="1">
        <f t="array" ref="RB103">ROUND(IFERROR(INDEX(ArchiveResults!$F$5:$IX$116,ComparisonData!A103,ComparisonData!$RB$1),0),5)</f>
        <v>0</v>
      </c>
      <c r="RC103" s="46" cm="1">
        <f t="array" ref="RC103">ROUND(IFERROR(INDEX(ArchiveResults!$F$5:$IX$116,ComparisonData!A103,ComparisonData!$RC$1),0),5)</f>
        <v>0</v>
      </c>
      <c r="RD103" s="46" cm="1">
        <f t="array" ref="RD103">ROUND(IFERROR(INDEX(ArchiveResults!$F$5:$IX$116,ComparisonData!A103,ComparisonData!$RD$1),0),5)</f>
        <v>0</v>
      </c>
      <c r="RE103" s="46" cm="1">
        <f t="array" ref="RE103">ROUND(IFERROR(INDEX(ArchiveResults!$F$5:$IX$116,ComparisonData!A103,ComparisonData!$RE$1),0),5)</f>
        <v>0</v>
      </c>
      <c r="RF103" s="45" cm="1">
        <f t="array" ref="RF103">IFERROR(INDEX(ArchiveResults!$F$5:$IX$116,ComparisonData!A103,ComparisonData!$RF$1),0)</f>
        <v>0</v>
      </c>
      <c r="RG103" s="56">
        <v>98</v>
      </c>
      <c r="RH103" s="53" t="str">
        <f t="shared" si="1233"/>
        <v>University of Nottingham, Manuscripts and Special Collections</v>
      </c>
      <c r="RI103" s="59">
        <f t="shared" si="998"/>
        <v>0</v>
      </c>
      <c r="RJ103" s="59">
        <f t="shared" si="999"/>
        <v>0</v>
      </c>
      <c r="RK103" s="59">
        <f t="shared" si="1000"/>
        <v>0</v>
      </c>
      <c r="RL103" s="59">
        <f t="shared" si="1001"/>
        <v>0</v>
      </c>
      <c r="RM103" s="59">
        <f t="shared" si="1002"/>
        <v>0</v>
      </c>
      <c r="RN103" s="58">
        <f t="shared" si="1003"/>
        <v>0</v>
      </c>
      <c r="RO103" s="45">
        <f t="shared" si="1004"/>
        <v>49</v>
      </c>
      <c r="RP103" s="45">
        <f t="shared" si="1234"/>
        <v>2.6789999999999998</v>
      </c>
      <c r="RQ103" s="45">
        <f t="shared" si="1005"/>
        <v>1</v>
      </c>
      <c r="RR103" s="45">
        <f t="shared" si="1006"/>
        <v>2</v>
      </c>
      <c r="RS103" s="45">
        <f t="shared" si="1007"/>
        <v>0</v>
      </c>
      <c r="RT103" s="46" cm="1">
        <f t="array" ref="RT103">ROUND(IFERROR(INDEX(ArchiveResults!$F$5:$IX$116,ComparisonData!A103,ComparisonData!$RT$1),0),5)</f>
        <v>0</v>
      </c>
      <c r="RU103" s="46" cm="1">
        <f t="array" ref="RU103">ROUND(IFERROR(INDEX(ArchiveResults!$F$5:$IX$116,ComparisonData!A103,ComparisonData!$RU$1),0),5)</f>
        <v>0</v>
      </c>
      <c r="RV103" s="46" cm="1">
        <f t="array" ref="RV103">ROUND(IFERROR(INDEX(ArchiveResults!$F$5:$IX$116,ComparisonData!A103,ComparisonData!$RV$1),0),5)</f>
        <v>0</v>
      </c>
      <c r="RW103" s="46" cm="1">
        <f t="array" ref="RW103">ROUND(IFERROR(INDEX(ArchiveResults!$F$5:$IX$116,ComparisonData!A103,ComparisonData!$RW$1),0),5)</f>
        <v>0</v>
      </c>
      <c r="RX103" s="45" cm="1">
        <f t="array" ref="RX103">IFERROR(INDEX(ArchiveResults!$F$5:$IX$116,ComparisonData!A103,ComparisonData!$RX$1),0)</f>
        <v>0</v>
      </c>
      <c r="RY103" s="56">
        <v>98</v>
      </c>
      <c r="RZ103" s="53" t="str">
        <f t="shared" si="1235"/>
        <v>University of Nottingham, Manuscripts and Special Collections</v>
      </c>
      <c r="SA103" s="59">
        <f t="shared" si="1008"/>
        <v>0</v>
      </c>
      <c r="SB103" s="59">
        <f t="shared" si="1009"/>
        <v>0</v>
      </c>
      <c r="SC103" s="59">
        <f t="shared" si="1010"/>
        <v>0</v>
      </c>
      <c r="SD103" s="59">
        <f t="shared" si="1011"/>
        <v>0</v>
      </c>
      <c r="SE103" s="59">
        <f t="shared" si="1012"/>
        <v>0</v>
      </c>
      <c r="SF103" s="58">
        <f t="shared" si="1013"/>
        <v>0</v>
      </c>
      <c r="SG103" s="45">
        <f t="shared" si="1014"/>
        <v>49</v>
      </c>
      <c r="SH103" s="45">
        <f t="shared" si="1236"/>
        <v>2.6789999999999998</v>
      </c>
      <c r="SI103" s="45">
        <f t="shared" si="1015"/>
        <v>1</v>
      </c>
      <c r="SJ103" s="45">
        <f t="shared" si="1016"/>
        <v>2</v>
      </c>
      <c r="SK103" s="45">
        <f t="shared" si="1017"/>
        <v>0</v>
      </c>
      <c r="SL103" s="46" cm="1">
        <f t="array" ref="SL103">ROUND(IFERROR(INDEX(ArchiveResults!$F$5:$IX$116,ComparisonData!A103,ComparisonData!$SL$1),0),5)</f>
        <v>0</v>
      </c>
      <c r="SM103" s="46" cm="1">
        <f t="array" ref="SM103">ROUND(IFERROR(INDEX(ArchiveResults!$F$5:$IX$116,ComparisonData!A103,ComparisonData!$SM$1),0),5)</f>
        <v>0</v>
      </c>
      <c r="SN103" s="46" cm="1">
        <f t="array" ref="SN103">ROUND(IFERROR(INDEX(ArchiveResults!$F$5:$IX$116,ComparisonData!A103,ComparisonData!$SN$1),0),5)</f>
        <v>0</v>
      </c>
      <c r="SO103" s="46" cm="1">
        <f t="array" ref="SO103">ROUND(IFERROR(INDEX(ArchiveResults!$F$5:$IX$116,ComparisonData!A103,ComparisonData!$SO$1),0),5)</f>
        <v>0</v>
      </c>
      <c r="SP103" s="45" cm="1">
        <f t="array" ref="SP103">IFERROR(INDEX(ArchiveResults!$F$5:$IX$116,ComparisonData!A103,ComparisonData!$SP$1),0)</f>
        <v>0</v>
      </c>
      <c r="SQ103" s="56">
        <v>98</v>
      </c>
      <c r="SR103" s="53" t="str">
        <f t="shared" si="1237"/>
        <v>University of Nottingham, Manuscripts and Special Collections</v>
      </c>
      <c r="SS103" s="59">
        <f t="shared" si="1018"/>
        <v>0</v>
      </c>
      <c r="ST103" s="59">
        <f t="shared" si="1019"/>
        <v>0</v>
      </c>
      <c r="SU103" s="59">
        <f t="shared" si="1020"/>
        <v>0</v>
      </c>
      <c r="SV103" s="59">
        <f t="shared" si="1021"/>
        <v>0</v>
      </c>
      <c r="SW103" s="59">
        <f t="shared" si="1022"/>
        <v>0</v>
      </c>
      <c r="SX103" s="58">
        <f t="shared" si="1023"/>
        <v>0</v>
      </c>
      <c r="SY103" s="45">
        <f t="shared" si="1024"/>
        <v>49</v>
      </c>
      <c r="SZ103" s="45">
        <f t="shared" si="1238"/>
        <v>2.6789999999999998</v>
      </c>
      <c r="TA103" s="45">
        <f t="shared" si="1025"/>
        <v>1</v>
      </c>
      <c r="TB103" s="45">
        <f t="shared" si="1026"/>
        <v>2</v>
      </c>
      <c r="TC103" s="45">
        <f t="shared" si="1027"/>
        <v>0</v>
      </c>
      <c r="TD103" s="46" cm="1">
        <f t="array" ref="TD103">ROUND(IFERROR(INDEX(ArchiveResults!$F$5:$IX$116,ComparisonData!A103,ComparisonData!$TD$1),0),5)</f>
        <v>0</v>
      </c>
      <c r="TE103" s="46" cm="1">
        <f t="array" ref="TE103">ROUND(IFERROR(INDEX(ArchiveResults!$F$5:$IX$116,ComparisonData!A103,ComparisonData!$TE$1),0),5)</f>
        <v>0</v>
      </c>
      <c r="TF103" s="46" cm="1">
        <f t="array" ref="TF103">ROUND(IFERROR(INDEX(ArchiveResults!$F$5:$IX$116,ComparisonData!A103,ComparisonData!$TF$1),0),5)</f>
        <v>0</v>
      </c>
      <c r="TG103" s="46" cm="1">
        <f t="array" ref="TG103">ROUND(IFERROR(INDEX(ArchiveResults!$F$5:$IX$116,ComparisonData!A103,ComparisonData!$TG$1),0),5)</f>
        <v>0</v>
      </c>
      <c r="TH103" s="45" cm="1">
        <f t="array" ref="TH103">IFERROR(INDEX(ArchiveResults!$F$5:$IX$116,ComparisonData!A103,ComparisonData!$TH$1),0)</f>
        <v>0</v>
      </c>
      <c r="TI103" s="56">
        <v>98</v>
      </c>
      <c r="TJ103" s="53" t="str">
        <f t="shared" si="1239"/>
        <v>University of Nottingham, Manuscripts and Special Collections</v>
      </c>
      <c r="TK103" s="59">
        <f t="shared" si="1028"/>
        <v>0</v>
      </c>
      <c r="TL103" s="59">
        <f t="shared" si="1029"/>
        <v>0</v>
      </c>
      <c r="TM103" s="59">
        <f t="shared" si="1030"/>
        <v>0</v>
      </c>
      <c r="TN103" s="59">
        <f t="shared" si="1031"/>
        <v>0</v>
      </c>
      <c r="TO103" s="59">
        <f t="shared" si="1032"/>
        <v>0</v>
      </c>
      <c r="TP103" s="58">
        <f t="shared" si="1033"/>
        <v>0</v>
      </c>
      <c r="TQ103" s="45">
        <f t="shared" si="1034"/>
        <v>49</v>
      </c>
      <c r="TR103" s="45">
        <f t="shared" si="1240"/>
        <v>2.6789999999999998</v>
      </c>
      <c r="TS103" s="45">
        <f t="shared" si="1035"/>
        <v>1</v>
      </c>
      <c r="TT103" s="45">
        <f t="shared" si="1036"/>
        <v>2</v>
      </c>
      <c r="TU103" s="45">
        <f t="shared" si="1037"/>
        <v>0</v>
      </c>
      <c r="TV103" s="46" cm="1">
        <f t="array" ref="TV103">ROUND(IFERROR(INDEX(ArchiveResults!$F$5:$IX$116,ComparisonData!A103,ComparisonData!$TV$1),0),5)</f>
        <v>0</v>
      </c>
      <c r="TW103" s="46" cm="1">
        <f t="array" ref="TW103">ROUND(IFERROR(INDEX(ArchiveResults!$F$5:$IX$116,ComparisonData!A103,ComparisonData!$TW$1),0),5)</f>
        <v>0</v>
      </c>
      <c r="TX103" s="46" cm="1">
        <f t="array" ref="TX103">ROUND(IFERROR(INDEX(ArchiveResults!$F$5:$IX$116,ComparisonData!A103,ComparisonData!$TX$1),0),5)</f>
        <v>0</v>
      </c>
      <c r="TY103" s="46" cm="1">
        <f t="array" ref="TY103">ROUND(IFERROR(INDEX(ArchiveResults!$F$5:$IX$116,ComparisonData!A103,ComparisonData!$TY$1),0),5)</f>
        <v>0</v>
      </c>
      <c r="TZ103" s="45" cm="1">
        <f t="array" ref="TZ103">IFERROR(INDEX(ArchiveResults!$F$5:$IX$116,ComparisonData!A103,ComparisonData!$TZ$1),0)</f>
        <v>0</v>
      </c>
      <c r="UA103" s="56">
        <v>98</v>
      </c>
      <c r="UB103" s="53" t="str">
        <f t="shared" si="1241"/>
        <v>University of Nottingham, Manuscripts and Special Collections</v>
      </c>
      <c r="UC103" s="60">
        <f t="shared" si="1038"/>
        <v>0</v>
      </c>
      <c r="UD103" s="60">
        <f t="shared" si="1039"/>
        <v>0</v>
      </c>
      <c r="UE103" s="60">
        <f t="shared" si="1040"/>
        <v>0</v>
      </c>
      <c r="UF103" s="60">
        <f t="shared" si="1041"/>
        <v>0</v>
      </c>
      <c r="UG103" s="60">
        <f t="shared" si="1042"/>
        <v>0</v>
      </c>
      <c r="UH103" s="58">
        <f t="shared" si="1043"/>
        <v>0</v>
      </c>
      <c r="UI103" s="46">
        <f t="shared" si="1044"/>
        <v>49</v>
      </c>
      <c r="UJ103" s="46">
        <f t="shared" si="1242"/>
        <v>2.6789999999999998</v>
      </c>
      <c r="UK103" s="46">
        <f t="shared" si="1045"/>
        <v>1</v>
      </c>
      <c r="UL103" s="46">
        <f t="shared" si="1046"/>
        <v>2</v>
      </c>
      <c r="UM103" s="46" cm="1">
        <f t="array" ref="UM103">ROUND(IFERROR(INDEX(ArchiveResults!$F$5:$IX$116,ComparisonData!A103,ComparisonData!$UM$1),0),5)</f>
        <v>0</v>
      </c>
      <c r="UN103" s="56">
        <v>98</v>
      </c>
      <c r="UO103" s="53" t="str">
        <f t="shared" si="1243"/>
        <v>University of Nottingham, Manuscripts and Special Collections</v>
      </c>
      <c r="UP103" s="46">
        <f t="shared" si="1047"/>
        <v>0</v>
      </c>
      <c r="UQ103" s="76">
        <f t="shared" si="1048"/>
        <v>0</v>
      </c>
      <c r="UR103" s="46">
        <f t="shared" si="1049"/>
        <v>49</v>
      </c>
      <c r="US103" s="46">
        <f t="shared" si="1244"/>
        <v>2.6789999999999998</v>
      </c>
      <c r="UT103" s="46">
        <f t="shared" si="1050"/>
        <v>1</v>
      </c>
      <c r="UU103" s="46">
        <f t="shared" si="1051"/>
        <v>2</v>
      </c>
      <c r="UV103" s="46">
        <f t="shared" si="1052"/>
        <v>0</v>
      </c>
      <c r="UW103" s="46" cm="1">
        <f t="array" ref="UW103">ROUND(IFERROR(INDEX(ArchiveResults!$F$5:$IX$116,ComparisonData!A103,ComparisonData!$UW$1),0),5)</f>
        <v>0</v>
      </c>
      <c r="UX103" s="46" cm="1">
        <f t="array" ref="UX103">ROUND(IFERROR(INDEX(ArchiveResults!$F$5:$IX$116,ComparisonData!A103,ComparisonData!$UX$1),0),5)</f>
        <v>0</v>
      </c>
      <c r="UY103" s="46" cm="1">
        <f t="array" ref="UY103">ROUND(IFERROR(INDEX(ArchiveResults!$F$5:$IX$116,ComparisonData!A103,ComparisonData!$UY$1),0),5)</f>
        <v>0</v>
      </c>
      <c r="UZ103" s="46" cm="1">
        <f t="array" ref="UZ103">ROUND(IFERROR(INDEX(ArchiveResults!$F$5:$IX$116,ComparisonData!A103,ComparisonData!$UZ$1),0),5)</f>
        <v>0</v>
      </c>
      <c r="VA103" s="46" cm="1">
        <f t="array" ref="VA103">ROUND(IFERROR(INDEX(ArchiveResults!$F$5:$IX$116,ComparisonData!A103,ComparisonData!$VA$1),0),5)</f>
        <v>0</v>
      </c>
      <c r="VB103" s="56">
        <v>98</v>
      </c>
      <c r="VC103" s="53" t="str">
        <f t="shared" si="1245"/>
        <v>University of Nottingham, Manuscripts and Special Collections</v>
      </c>
      <c r="VD103" s="60">
        <f t="shared" si="1053"/>
        <v>0</v>
      </c>
      <c r="VE103" s="60">
        <f t="shared" si="1054"/>
        <v>0</v>
      </c>
      <c r="VF103" s="60">
        <f t="shared" si="1055"/>
        <v>0</v>
      </c>
      <c r="VG103" s="60">
        <f t="shared" si="1056"/>
        <v>0</v>
      </c>
      <c r="VH103" s="60">
        <f t="shared" si="1057"/>
        <v>0</v>
      </c>
      <c r="VI103" s="76">
        <f t="shared" si="1058"/>
        <v>0</v>
      </c>
      <c r="VJ103" s="46">
        <f t="shared" si="1059"/>
        <v>49</v>
      </c>
      <c r="VK103" s="46">
        <f t="shared" si="1246"/>
        <v>2.6789999999999998</v>
      </c>
      <c r="VL103" s="46">
        <f t="shared" si="1060"/>
        <v>1</v>
      </c>
      <c r="VM103" s="46">
        <f t="shared" si="1061"/>
        <v>2</v>
      </c>
      <c r="VN103" s="46" cm="1">
        <f t="array" ref="VN103">ROUND(IFERROR(INDEX(ArchiveResults!$F$5:$IX$116,ComparisonData!A103,ComparisonData!$VN$1),0),5)</f>
        <v>0</v>
      </c>
      <c r="VO103" s="46" cm="1">
        <f t="array" ref="VO103">ROUND(IFERROR(INDEX(ArchiveResults!$F$5:$IX$116,ComparisonData!A103,ComparisonData!$VO$1),0),5)</f>
        <v>0</v>
      </c>
      <c r="VP103" s="46" cm="1">
        <f t="array" ref="VP103">ROUND(IFERROR(INDEX(ArchiveResults!$F$5:$IX$116,ComparisonData!A103,ComparisonData!$VP$1),0),5)</f>
        <v>0</v>
      </c>
      <c r="VQ103" s="46" cm="1">
        <f t="array" ref="VQ103">ROUND(IFERROR(INDEX(ArchiveResults!$F$5:$IX$116,ComparisonData!A103,ComparisonData!$VQ$1),0),5)</f>
        <v>0</v>
      </c>
      <c r="VR103" s="56">
        <v>98</v>
      </c>
      <c r="VS103" s="53" t="str">
        <f t="shared" si="1247"/>
        <v>University of Nottingham, Manuscripts and Special Collections</v>
      </c>
      <c r="VT103" s="60">
        <f t="shared" si="1062"/>
        <v>0</v>
      </c>
      <c r="VU103" s="60">
        <f t="shared" si="1063"/>
        <v>0</v>
      </c>
      <c r="VV103" s="60">
        <f t="shared" si="1064"/>
        <v>0</v>
      </c>
      <c r="VW103" s="60">
        <f t="shared" si="1065"/>
        <v>0</v>
      </c>
      <c r="VX103" s="76">
        <f t="shared" si="1066"/>
        <v>0</v>
      </c>
      <c r="VY103" s="46">
        <f t="shared" si="1067"/>
        <v>49</v>
      </c>
      <c r="VZ103" s="46">
        <f t="shared" si="1248"/>
        <v>2.6789999999999998</v>
      </c>
      <c r="WA103" s="46">
        <f t="shared" si="1068"/>
        <v>1</v>
      </c>
      <c r="WB103" s="46">
        <f t="shared" si="1069"/>
        <v>2</v>
      </c>
      <c r="WC103" s="46" cm="1">
        <f t="array" ref="WC103">ROUND(IFERROR(INDEX(ArchiveResults!$F$5:$IX$116,ComparisonData!A103,ComparisonData!$WC$1),0),5)</f>
        <v>0</v>
      </c>
      <c r="WD103" s="56">
        <v>98</v>
      </c>
      <c r="WE103" s="53" t="str">
        <f t="shared" si="1249"/>
        <v>University of Nottingham, Manuscripts and Special Collections</v>
      </c>
      <c r="WF103" s="46">
        <f t="shared" si="1070"/>
        <v>0</v>
      </c>
      <c r="WG103" s="76">
        <f t="shared" si="1071"/>
        <v>0</v>
      </c>
      <c r="WH103" s="46">
        <f t="shared" si="1072"/>
        <v>49</v>
      </c>
      <c r="WI103" s="46">
        <f t="shared" si="1250"/>
        <v>2.6789999999999998</v>
      </c>
      <c r="WJ103" s="46">
        <f t="shared" si="1073"/>
        <v>1</v>
      </c>
      <c r="WK103" s="46">
        <f t="shared" si="1074"/>
        <v>2</v>
      </c>
      <c r="WL103" s="46" cm="1">
        <f t="array" ref="WL103">ROUND(IFERROR(INDEX(ArchiveResults!$F$5:$IX$116,ComparisonData!A103,ComparisonData!$WL$1),0),5)</f>
        <v>0</v>
      </c>
      <c r="WM103" s="46" cm="1">
        <f t="array" ref="WM103">IFERROR(INDEX(ArchiveResults!$F$5:$IX$116,ComparisonData!A103,ComparisonData!$WM$1),0)</f>
        <v>0</v>
      </c>
      <c r="WN103" s="56">
        <v>98</v>
      </c>
      <c r="WO103" s="53" t="str">
        <f t="shared" si="1251"/>
        <v>University of Nottingham, Manuscripts and Special Collections</v>
      </c>
      <c r="WP103" s="60">
        <f t="shared" si="1075"/>
        <v>0</v>
      </c>
      <c r="WQ103" s="60">
        <f t="shared" si="1076"/>
        <v>0</v>
      </c>
      <c r="WR103" s="76">
        <f t="shared" si="1077"/>
        <v>0</v>
      </c>
      <c r="WS103" s="46">
        <f t="shared" si="1078"/>
        <v>49</v>
      </c>
      <c r="WT103" s="46">
        <f t="shared" si="1252"/>
        <v>2.6789999999999998</v>
      </c>
      <c r="WU103" s="46">
        <f t="shared" si="1079"/>
        <v>1</v>
      </c>
      <c r="WV103" s="46">
        <f t="shared" si="1080"/>
        <v>2</v>
      </c>
      <c r="WW103" s="46" cm="1">
        <f t="array" ref="WW103">ROUND(VALUE(IFERROR(INDEX(ArchiveResults!$F$5:$IX$116,ComparisonData!A103,ComparisonData!$WW$1),0)),5)</f>
        <v>0</v>
      </c>
      <c r="WX103" s="46" cm="1">
        <f t="array" ref="WX103">ROUND(IFERROR(INDEX(ArchiveResults!$F$5:$IX$116,ComparisonData!A103,ComparisonData!$WX$1),0),5)</f>
        <v>0</v>
      </c>
      <c r="WY103" s="56">
        <v>98</v>
      </c>
      <c r="WZ103" s="53" t="str">
        <f t="shared" si="1253"/>
        <v>University of Nottingham, Manuscripts and Special Collections</v>
      </c>
      <c r="XA103" s="60">
        <f t="shared" si="1254"/>
        <v>0</v>
      </c>
      <c r="XB103" s="60">
        <f t="shared" si="1255"/>
        <v>0</v>
      </c>
      <c r="XC103" s="76">
        <f t="shared" si="1081"/>
        <v>0</v>
      </c>
      <c r="XD103" s="46">
        <f t="shared" si="1082"/>
        <v>49</v>
      </c>
      <c r="XE103" s="46">
        <f t="shared" si="1256"/>
        <v>2.6789999999999998</v>
      </c>
      <c r="XF103" s="46">
        <f t="shared" si="1083"/>
        <v>1</v>
      </c>
      <c r="XG103" s="46">
        <f t="shared" si="1084"/>
        <v>2</v>
      </c>
      <c r="XH103" s="46" cm="1">
        <f t="array" ref="XH103">ROUND(VALUE(IFERROR(INDEX(ArchiveResults!$F$5:$IX$116,ComparisonData!A103,ComparisonData!$XH$1),0)),5)</f>
        <v>0</v>
      </c>
      <c r="XI103" s="46" cm="1">
        <f t="array" ref="XI103">ROUND(VALUE(IFERROR(INDEX(ArchiveResults!$F$5:$IX$116,ComparisonData!A103,ComparisonData!$XI$1),0)),5)</f>
        <v>0</v>
      </c>
      <c r="XJ103" s="56">
        <v>98</v>
      </c>
      <c r="XK103" s="53" t="str">
        <f t="shared" si="1257"/>
        <v>University of Nottingham, Manuscripts and Special Collections</v>
      </c>
      <c r="XL103" s="60">
        <f t="shared" si="1085"/>
        <v>0</v>
      </c>
      <c r="XM103" s="60">
        <f t="shared" si="1086"/>
        <v>0</v>
      </c>
      <c r="XN103" s="76">
        <f t="shared" si="1087"/>
        <v>0</v>
      </c>
      <c r="XO103" s="46">
        <f t="shared" si="1088"/>
        <v>49</v>
      </c>
      <c r="XP103" s="46">
        <f t="shared" si="1258"/>
        <v>2.6789999999999998</v>
      </c>
      <c r="XQ103" s="46">
        <f t="shared" si="1089"/>
        <v>1</v>
      </c>
      <c r="XR103" s="46">
        <f t="shared" si="1090"/>
        <v>2</v>
      </c>
      <c r="XS103" s="46" cm="1">
        <f t="array" ref="XS103">ROUND(VALUE(IFERROR(INDEX(ArchiveResults!$F$5:$IX$116,ComparisonData!A103,ComparisonData!$XS$1),0)),5)</f>
        <v>0</v>
      </c>
      <c r="XT103" s="46" cm="1">
        <f t="array" ref="XT103">ROUND(VALUE(IFERROR(INDEX(ArchiveResults!$F$5:$IX$116,ComparisonData!A103,ComparisonData!$XT$1),0)),5)</f>
        <v>0</v>
      </c>
      <c r="XU103" s="56">
        <v>98</v>
      </c>
      <c r="XV103" s="53" t="str">
        <f t="shared" si="1259"/>
        <v>University of Nottingham, Manuscripts and Special Collections</v>
      </c>
      <c r="XW103" s="60">
        <f t="shared" si="1091"/>
        <v>0</v>
      </c>
      <c r="XX103" s="60">
        <f t="shared" si="1092"/>
        <v>0</v>
      </c>
      <c r="XY103" s="76">
        <f t="shared" si="1093"/>
        <v>0</v>
      </c>
      <c r="XZ103" s="46">
        <f t="shared" si="1094"/>
        <v>49</v>
      </c>
      <c r="YA103" s="46">
        <f t="shared" si="1260"/>
        <v>2.6789999999999998</v>
      </c>
      <c r="YB103" s="46">
        <f t="shared" si="1095"/>
        <v>1</v>
      </c>
      <c r="YC103" s="46">
        <f t="shared" si="1096"/>
        <v>2</v>
      </c>
      <c r="YD103" s="46" cm="1">
        <f t="array" ref="YD103">ROUND(VALUE(IFERROR(INDEX(ArchiveResults!$F$5:$IX$116,ComparisonData!A103,ComparisonData!$YD$1),0)),5)</f>
        <v>0</v>
      </c>
      <c r="YE103" s="46" cm="1">
        <f t="array" ref="YE103">ROUND(VALUE(IFERROR(INDEX(ArchiveResults!$F$5:$IX$116,ComparisonData!A103,ComparisonData!$YE$1),0)),5)</f>
        <v>0</v>
      </c>
      <c r="YF103" s="56">
        <v>98</v>
      </c>
      <c r="YG103" s="53" t="str">
        <f t="shared" si="1261"/>
        <v>University of Nottingham, Manuscripts and Special Collections</v>
      </c>
      <c r="YH103" s="60">
        <f t="shared" si="1097"/>
        <v>0</v>
      </c>
      <c r="YI103" s="60">
        <f t="shared" si="1098"/>
        <v>0</v>
      </c>
      <c r="YJ103" s="76">
        <f t="shared" si="1099"/>
        <v>0</v>
      </c>
      <c r="YK103" s="46">
        <f t="shared" si="1100"/>
        <v>49</v>
      </c>
      <c r="YL103" s="46">
        <f t="shared" si="1262"/>
        <v>2.6789999999999998</v>
      </c>
      <c r="YM103" s="46">
        <f t="shared" si="1101"/>
        <v>1</v>
      </c>
      <c r="YN103" s="46">
        <f t="shared" si="1102"/>
        <v>2</v>
      </c>
      <c r="YO103" s="46" cm="1">
        <f t="array" ref="YO103">ROUND(VALUE(IFERROR(INDEX(ArchiveResults!$F$5:$IX$116,ComparisonData!A103,ComparisonData!$YO$1),0)),5)</f>
        <v>0</v>
      </c>
      <c r="YP103" s="46" cm="1">
        <f t="array" ref="YP103">ROUND(VALUE(IFERROR(INDEX(ArchiveResults!$F$5:$IX$116,ComparisonData!A103,ComparisonData!$YP$1),0)),5)</f>
        <v>0</v>
      </c>
      <c r="YQ103" s="56">
        <v>98</v>
      </c>
      <c r="YR103" s="53" t="str">
        <f t="shared" si="1263"/>
        <v>University of Nottingham, Manuscripts and Special Collections</v>
      </c>
      <c r="YS103" s="60">
        <f t="shared" si="1103"/>
        <v>0</v>
      </c>
      <c r="YT103" s="60">
        <f t="shared" si="1104"/>
        <v>0</v>
      </c>
      <c r="YU103" s="76">
        <f t="shared" si="1105"/>
        <v>0</v>
      </c>
      <c r="YV103" s="46">
        <f t="shared" si="1106"/>
        <v>49</v>
      </c>
      <c r="YW103" s="46">
        <f t="shared" si="1264"/>
        <v>2.6789999999999998</v>
      </c>
      <c r="YX103" s="46">
        <f t="shared" si="1107"/>
        <v>1</v>
      </c>
      <c r="YY103" s="46">
        <f t="shared" si="1108"/>
        <v>2</v>
      </c>
      <c r="YZ103" s="46">
        <f t="shared" si="1109"/>
        <v>0</v>
      </c>
      <c r="ZA103" s="46" cm="1">
        <f t="array" ref="ZA103">ROUNDDOWN(VALUE(IFERROR(INDEX(ArchiveResults!$F$5:$IX$116,ComparisonData!A103,ComparisonData!$ZA$1),0)),5)</f>
        <v>0</v>
      </c>
      <c r="ZB103" s="46" cm="1">
        <f t="array" ref="ZB103">ROUNDDOWN(VALUE(IFERROR(INDEX(ArchiveResults!$F$5:$IX$116,ComparisonData!A103,ComparisonData!$ZB$1),0)),5)</f>
        <v>0</v>
      </c>
      <c r="ZC103" s="46" cm="1">
        <f t="array" ref="ZC103">ROUNDDOWN(VALUE(IFERROR(INDEX(ArchiveResults!$F$5:$IX$116,ComparisonData!A103,ComparisonData!$ZC$1),0)),5)</f>
        <v>0</v>
      </c>
      <c r="ZD103" s="46" cm="1">
        <f t="array" ref="ZD103">ROUNDDOWN(VALUE(IFERROR(INDEX(ArchiveResults!$F$5:$IX$116,ComparisonData!A103,ComparisonData!$ZD$1),0)),5)</f>
        <v>0</v>
      </c>
      <c r="ZE103" s="46" cm="1">
        <f t="array" ref="ZE103">ROUNDDOWN(VALUE(IFERROR(INDEX(ArchiveResults!$F$5:$IX$116,ComparisonData!A103,ComparisonData!$ZE$1),0)),5)</f>
        <v>0</v>
      </c>
      <c r="ZF103" s="56">
        <v>98</v>
      </c>
      <c r="ZG103" s="53" t="str">
        <f t="shared" si="1265"/>
        <v>University of Nottingham, Manuscripts and Special Collections</v>
      </c>
      <c r="ZH103" s="60">
        <f t="shared" si="1110"/>
        <v>0</v>
      </c>
      <c r="ZI103" s="60">
        <f t="shared" si="1111"/>
        <v>0</v>
      </c>
      <c r="ZJ103" s="60">
        <f t="shared" si="1112"/>
        <v>0</v>
      </c>
      <c r="ZK103" s="60">
        <f t="shared" si="1113"/>
        <v>0</v>
      </c>
      <c r="ZL103" s="60">
        <f t="shared" si="1114"/>
        <v>0</v>
      </c>
      <c r="ZM103" s="76">
        <f t="shared" si="1115"/>
        <v>0</v>
      </c>
      <c r="ZN103" s="46">
        <f t="shared" si="1116"/>
        <v>49</v>
      </c>
      <c r="ZO103" s="46">
        <f t="shared" si="1266"/>
        <v>2.6789999999999998</v>
      </c>
      <c r="ZP103" s="46">
        <f t="shared" si="1117"/>
        <v>1</v>
      </c>
      <c r="ZQ103" s="46">
        <f t="shared" si="1118"/>
        <v>2</v>
      </c>
      <c r="ZR103" s="46" cm="1">
        <f t="array" ref="ZR103">ROUND(VALUE(IFERROR(INDEX(ArchiveResults!$F$5:$IX$116,ComparisonData!A103,ComparisonData!$ZR$1),0)),5)</f>
        <v>0</v>
      </c>
      <c r="ZS103" s="56">
        <v>98</v>
      </c>
      <c r="ZT103" s="53" t="str">
        <f t="shared" si="1267"/>
        <v>University of Nottingham, Manuscripts and Special Collections</v>
      </c>
      <c r="ZU103" s="46">
        <f t="shared" si="1119"/>
        <v>0</v>
      </c>
      <c r="ZV103" s="76">
        <f t="shared" si="1120"/>
        <v>0</v>
      </c>
      <c r="ZW103" s="81" cm="1">
        <f t="array" ref="ZW103">ROUND((IFERROR(INDEX(ArchiveResults!$F$5:$IX$116,ComparisonData!A103,ComparisonData!$ZW$1),0)),5)</f>
        <v>0</v>
      </c>
      <c r="ZX103" s="81" cm="1">
        <f t="array" ref="ZX103">ROUND((IFERROR(INDEX(ArchiveResults!$F$5:$IX$116,ComparisonData!A103,ComparisonData!$ZX$1),0)),5)</f>
        <v>0</v>
      </c>
      <c r="ZY103" s="81" cm="1">
        <f t="array" ref="ZY103">ROUND((IFERROR(INDEX(ArchiveResults!$F$5:$IX$116,ComparisonData!A103,ComparisonData!$ZY$1),0)),5)</f>
        <v>0</v>
      </c>
      <c r="ZZ103" s="81" cm="1">
        <f t="array" ref="ZZ103">ROUND((IFERROR(INDEX(ArchiveResults!$F$5:$IX$116,ComparisonData!A103,ComparisonData!$ZZ$1),0)),5)</f>
        <v>0</v>
      </c>
      <c r="AAA103" s="81" cm="1">
        <f t="array" ref="AAA103">ROUND((IFERROR(INDEX(ArchiveResults!$F$5:$IX$116,ComparisonData!A103,ComparisonData!$AAA$1),0)),5)</f>
        <v>0</v>
      </c>
      <c r="AAB103" s="81" cm="1">
        <f t="array" ref="AAB103">ROUND((IFERROR(INDEX(ArchiveResults!$F$5:$IX$116,ComparisonData!A103,ComparisonData!$AAB$1),0)),5)</f>
        <v>0</v>
      </c>
      <c r="AAC103" s="81" cm="1">
        <f t="array" ref="AAC103">ROUND((IFERROR(INDEX(ArchiveResults!$F$5:$IX$116,ComparisonData!A103,ComparisonData!$AAC$1),0)),5)</f>
        <v>0</v>
      </c>
      <c r="AAD103" s="81" cm="1">
        <f t="array" ref="AAD103">ROUND((IFERROR(INDEX(ArchiveResults!$F$5:$IX$116,ComparisonData!A103,ComparisonData!$AAD$1),0)),5)</f>
        <v>0</v>
      </c>
      <c r="AAE103" s="81" cm="1">
        <f t="array" ref="AAE103">ROUND((IFERROR(INDEX(ArchiveResults!$F$5:$IX$116,ComparisonData!A103,ComparisonData!$AAE$1),0)),5)</f>
        <v>0</v>
      </c>
      <c r="AAF103" s="81" cm="1">
        <f t="array" ref="AAF103">ROUND((IFERROR(INDEX(ArchiveResults!$F$5:$IX$116,ComparisonData!A103,ComparisonData!$AAF$1),0)),5)</f>
        <v>0</v>
      </c>
      <c r="AAG103" s="46">
        <f t="shared" si="1121"/>
        <v>49</v>
      </c>
      <c r="AAH103" s="46">
        <f t="shared" si="1268"/>
        <v>2.6789999999999998</v>
      </c>
      <c r="AAI103" s="46">
        <f t="shared" si="1122"/>
        <v>1</v>
      </c>
      <c r="AAJ103" s="46">
        <f t="shared" si="1123"/>
        <v>2</v>
      </c>
      <c r="AAK103" s="46">
        <f t="shared" si="1124"/>
        <v>0</v>
      </c>
      <c r="AAL103" s="46">
        <f t="shared" si="1125"/>
        <v>0</v>
      </c>
      <c r="AAM103" s="46">
        <f t="shared" si="1126"/>
        <v>0</v>
      </c>
      <c r="AAN103" s="46">
        <f t="shared" si="1127"/>
        <v>0</v>
      </c>
      <c r="AAO103" s="46">
        <f t="shared" si="1128"/>
        <v>0</v>
      </c>
      <c r="AAP103" s="46">
        <f t="shared" si="1129"/>
        <v>0</v>
      </c>
      <c r="AAQ103" s="56">
        <v>98</v>
      </c>
      <c r="AAR103" s="53" t="str">
        <f t="shared" si="1269"/>
        <v>University of Nottingham, Manuscripts and Special Collections</v>
      </c>
      <c r="AAS103" s="60">
        <f t="shared" si="1130"/>
        <v>0</v>
      </c>
      <c r="AAT103" s="60">
        <f t="shared" si="1131"/>
        <v>0</v>
      </c>
      <c r="AAU103" s="60">
        <f t="shared" si="1132"/>
        <v>0</v>
      </c>
      <c r="AAV103" s="60">
        <f t="shared" si="1133"/>
        <v>0</v>
      </c>
      <c r="AAW103" s="60">
        <f t="shared" si="1134"/>
        <v>0</v>
      </c>
      <c r="AAX103" s="76">
        <f t="shared" si="1135"/>
        <v>0</v>
      </c>
      <c r="AAY103" s="46">
        <f t="shared" si="1136"/>
        <v>49</v>
      </c>
      <c r="AAZ103" s="46">
        <f t="shared" si="1270"/>
        <v>2.6789999999999998</v>
      </c>
      <c r="ABA103" s="46">
        <f t="shared" si="1137"/>
        <v>1</v>
      </c>
      <c r="ABB103" s="46">
        <f t="shared" si="1138"/>
        <v>2</v>
      </c>
      <c r="ABC103" s="46">
        <f t="shared" si="742"/>
        <v>0</v>
      </c>
      <c r="ABD103" s="46" cm="1">
        <f t="array" ref="ABD103">ROUND(VALUE(IFERROR(INDEX(ArchiveResults!$F$5:$IX$116,ComparisonData!A103,ComparisonData!$ABD$1),0)),5)</f>
        <v>0</v>
      </c>
      <c r="ABE103" s="46" cm="1">
        <f t="array" ref="ABE103">ROUND(VALUE(IFERROR(INDEX(ArchiveResults!$F$5:$IX$116,ComparisonData!A103,ComparisonData!$ABE$1),0)),5)</f>
        <v>0</v>
      </c>
      <c r="ABF103" s="46" cm="1">
        <f t="array" ref="ABF103">ROUND(VALUE(IFERROR(INDEX(ArchiveResults!$F$5:$IX$116,ComparisonData!A103,ComparisonData!$ABF$1),0)),5)</f>
        <v>0</v>
      </c>
      <c r="ABG103" s="46" cm="1">
        <f t="array" ref="ABG103">ROUND(VALUE(IFERROR(INDEX(ArchiveResults!$F$5:$IX$116,ComparisonData!A103,ComparisonData!$ABG$1),0)),5)</f>
        <v>0</v>
      </c>
      <c r="ABH103" s="46" cm="1">
        <f t="array" ref="ABH103">ROUND(VALUE(IFERROR(INDEX(ArchiveResults!$F$5:$IX$116,ComparisonData!A103,ComparisonData!$ABH$1),0)),5)</f>
        <v>0</v>
      </c>
      <c r="ABI103" s="56">
        <v>98</v>
      </c>
      <c r="ABJ103" s="53" t="str">
        <f t="shared" si="1271"/>
        <v>University of Nottingham, Manuscripts and Special Collections</v>
      </c>
      <c r="ABK103" s="60">
        <f t="shared" si="1139"/>
        <v>0</v>
      </c>
      <c r="ABL103" s="60">
        <f t="shared" si="1140"/>
        <v>0</v>
      </c>
      <c r="ABM103" s="60">
        <f t="shared" si="1141"/>
        <v>0</v>
      </c>
      <c r="ABN103" s="60">
        <f t="shared" si="1142"/>
        <v>0</v>
      </c>
      <c r="ABO103" s="60">
        <f t="shared" si="1143"/>
        <v>0</v>
      </c>
      <c r="ABP103" s="76">
        <f t="shared" si="1144"/>
        <v>0</v>
      </c>
      <c r="ABQ103" s="46">
        <f t="shared" si="1145"/>
        <v>49</v>
      </c>
      <c r="ABR103" s="46">
        <f t="shared" si="1272"/>
        <v>2.6789999999999998</v>
      </c>
      <c r="ABS103" s="46">
        <f t="shared" si="1146"/>
        <v>1</v>
      </c>
      <c r="ABT103" s="46">
        <f t="shared" si="1147"/>
        <v>2</v>
      </c>
      <c r="ABU103" s="46" cm="1">
        <f t="array" ref="ABU103">ROUND(VALUE(IFERROR(INDEX(ArchiveResults!$F$5:$IX$116,ComparisonData!A103,ComparisonData!$ABU$1),0)),5)</f>
        <v>0</v>
      </c>
      <c r="ABV103" s="46" cm="1">
        <f t="array" ref="ABV103">ROUND(VALUE(IFERROR(INDEX(ArchiveResults!$F$5:$IX$116,ComparisonData!A103,ComparisonData!$ABV$1),0)),5)</f>
        <v>0</v>
      </c>
      <c r="ABW103" s="46" cm="1">
        <f t="array" ref="ABW103">ROUND(VALUE(IFERROR(INDEX(ArchiveResults!$F$5:$IX$116,ComparisonData!A103,ComparisonData!$ABW$1),0)),5)</f>
        <v>0</v>
      </c>
      <c r="ABX103" s="46" cm="1">
        <f t="array" ref="ABX103">ROUND(VALUE(IFERROR(INDEX(ArchiveResults!$F$5:$IX$116,ComparisonData!A103,ComparisonData!$ABX$1),0)),5)</f>
        <v>0</v>
      </c>
      <c r="ABY103" s="46" cm="1">
        <f t="array" ref="ABY103">ROUND(VALUE(IFERROR(INDEX(ArchiveResults!$F$5:$IX$116,ComparisonData!A103,ComparisonData!$ABY$1),0)),5)</f>
        <v>0</v>
      </c>
      <c r="ABZ103" s="56">
        <v>98</v>
      </c>
      <c r="ACA103" s="53" t="str">
        <f t="shared" si="1273"/>
        <v>University of Nottingham, Manuscripts and Special Collections</v>
      </c>
      <c r="ACB103" s="60">
        <f t="shared" si="1148"/>
        <v>0</v>
      </c>
      <c r="ACC103" s="60">
        <f t="shared" si="1149"/>
        <v>0</v>
      </c>
      <c r="ACD103" s="60">
        <f t="shared" si="1150"/>
        <v>0</v>
      </c>
      <c r="ACE103" s="60">
        <f t="shared" si="1151"/>
        <v>0</v>
      </c>
      <c r="ACF103" s="60">
        <f t="shared" si="1152"/>
        <v>0</v>
      </c>
      <c r="ACG103" s="76">
        <f t="shared" si="1153"/>
        <v>0</v>
      </c>
      <c r="ACH103" s="46">
        <f t="shared" si="1154"/>
        <v>49</v>
      </c>
      <c r="ACI103" s="46">
        <f t="shared" si="1274"/>
        <v>2.6789999999999998</v>
      </c>
      <c r="ACJ103" s="46">
        <f t="shared" si="1155"/>
        <v>1</v>
      </c>
      <c r="ACK103" s="46">
        <f t="shared" si="1156"/>
        <v>2</v>
      </c>
      <c r="ACL103" s="46">
        <f t="shared" si="1157"/>
        <v>0</v>
      </c>
      <c r="ACM103" s="46" cm="1">
        <f t="array" ref="ACM103">ROUND(IFERROR(INDEX(ArchiveResults!$F$5:$IX$116,ComparisonData!A103,ComparisonData!$ACM$1),0),5)</f>
        <v>0</v>
      </c>
      <c r="ACN103" s="46" cm="1">
        <f t="array" ref="ACN103">ROUND(IFERROR(INDEX(ArchiveResults!$F$5:$IX$116,ComparisonData!A103,ComparisonData!$ACN$1),0),5)</f>
        <v>0</v>
      </c>
      <c r="ACO103" s="56">
        <v>98</v>
      </c>
      <c r="ACP103" s="53" t="str">
        <f t="shared" si="1275"/>
        <v>University of Nottingham, Manuscripts and Special Collections</v>
      </c>
      <c r="ACQ103" s="60">
        <f t="shared" si="1158"/>
        <v>0</v>
      </c>
      <c r="ACR103" s="60">
        <f t="shared" si="1159"/>
        <v>0</v>
      </c>
      <c r="ACS103" s="76">
        <f t="shared" si="1160"/>
        <v>0</v>
      </c>
      <c r="ACT103" s="46">
        <f t="shared" si="1161"/>
        <v>49</v>
      </c>
      <c r="ACU103" s="46">
        <f t="shared" si="1276"/>
        <v>2.6789999999999998</v>
      </c>
      <c r="ACV103" s="46">
        <f t="shared" si="1162"/>
        <v>1</v>
      </c>
      <c r="ACW103" s="46">
        <f t="shared" si="1163"/>
        <v>2</v>
      </c>
      <c r="ACX103" s="46">
        <f t="shared" si="1164"/>
        <v>0</v>
      </c>
      <c r="ACY103" s="46" cm="1">
        <f t="array" ref="ACY103">ROUNDDOWN(IFERROR(INDEX(ArchiveResults!$F$5:$IX$116,ComparisonData!A103,ComparisonData!$ACY$1),0),5)</f>
        <v>0</v>
      </c>
      <c r="ACZ103" s="46" cm="1">
        <f t="array" ref="ACZ103">ROUNDDOWN(IFERROR(INDEX(ArchiveResults!$F$5:$IX$116,ComparisonData!A103,ComparisonData!$ACZ$1),0),5)</f>
        <v>0</v>
      </c>
      <c r="ADA103" s="46" cm="1">
        <f t="array" ref="ADA103">ROUNDDOWN(IFERROR(INDEX(ArchiveResults!$F$5:$IX$116,ComparisonData!A103,ComparisonData!$ADA$1),0),5)</f>
        <v>0</v>
      </c>
      <c r="ADB103" s="56">
        <v>98</v>
      </c>
      <c r="ADC103" s="53" t="str">
        <f t="shared" si="1277"/>
        <v>University of Nottingham, Manuscripts and Special Collections</v>
      </c>
      <c r="ADD103" s="60">
        <f t="shared" si="1165"/>
        <v>0</v>
      </c>
      <c r="ADE103" s="60">
        <f t="shared" si="1166"/>
        <v>0</v>
      </c>
      <c r="ADF103" s="60">
        <f t="shared" si="1167"/>
        <v>0</v>
      </c>
      <c r="ADG103" s="76">
        <f t="shared" si="1168"/>
        <v>0</v>
      </c>
    </row>
    <row r="104" spans="1:787" x14ac:dyDescent="0.25">
      <c r="A104" s="46" t="str">
        <f>IF(ISBLANK(ComparisonSelection!F100),"",ROW()-5)</f>
        <v/>
      </c>
      <c r="B104" s="53" t="s">
        <v>555</v>
      </c>
      <c r="C104" s="72">
        <v>0.62899999999999967</v>
      </c>
      <c r="D104" s="55">
        <f t="shared" si="750"/>
        <v>39</v>
      </c>
      <c r="E104" s="54">
        <f t="shared" si="751"/>
        <v>2.6289999999999996</v>
      </c>
      <c r="F104" s="54">
        <f t="shared" si="752"/>
        <v>1</v>
      </c>
      <c r="G104" s="72">
        <f t="shared" si="753"/>
        <v>2</v>
      </c>
      <c r="H104" s="72">
        <f t="shared" si="754"/>
        <v>0</v>
      </c>
      <c r="I104" s="46" cm="1">
        <f t="array" ref="I104">ROUND(IFERROR(INDEX(ArchiveResults!$F$5:$IX$116,ComparisonData!A104,ComparisonData!$I$1),0),5)</f>
        <v>0</v>
      </c>
      <c r="J104" s="46" cm="1">
        <f t="array" ref="J104">ROUND(IFERROR(INDEX(ArchiveResults!$F$5:$IX$116,ComparisonData!A104,ComparisonData!$J$1),0),5)</f>
        <v>0</v>
      </c>
      <c r="K104" s="56">
        <v>99</v>
      </c>
      <c r="L104" s="53" t="str">
        <f t="shared" si="755"/>
        <v>University of Reading, Special Collections and The Museum of English Rural Life</v>
      </c>
      <c r="M104" s="57">
        <f t="shared" si="1169"/>
        <v>0</v>
      </c>
      <c r="N104" s="57">
        <f t="shared" si="1170"/>
        <v>0</v>
      </c>
      <c r="O104" s="58">
        <f t="shared" si="756"/>
        <v>0</v>
      </c>
      <c r="P104" s="48">
        <f t="shared" si="757"/>
        <v>39</v>
      </c>
      <c r="Q104" s="54">
        <f t="shared" si="1171"/>
        <v>2.6289999999999996</v>
      </c>
      <c r="R104" s="45">
        <f t="shared" si="758"/>
        <v>1</v>
      </c>
      <c r="S104" s="46">
        <f t="shared" si="759"/>
        <v>2</v>
      </c>
      <c r="T104" s="72">
        <f t="shared" si="760"/>
        <v>0</v>
      </c>
      <c r="U104" s="46" cm="1">
        <f t="array" ref="U104">ROUND(IFERROR(INDEX(ArchiveResults!$F$5:$IX$116,ComparisonData!A104,ComparisonData!$U$1),0),5)</f>
        <v>0</v>
      </c>
      <c r="V104" s="46" cm="1">
        <f t="array" ref="V104">ROUND(IFERROR(INDEX(ArchiveResults!$F$5:$IX$116,ComparisonData!A104,ComparisonData!$V$1),0),5)</f>
        <v>0</v>
      </c>
      <c r="W104" s="56">
        <v>99</v>
      </c>
      <c r="X104" s="53" t="str">
        <f t="shared" si="1172"/>
        <v>University of Reading, Special Collections and The Museum of English Rural Life</v>
      </c>
      <c r="Y104" s="57">
        <f t="shared" si="761"/>
        <v>0</v>
      </c>
      <c r="Z104" s="57">
        <f t="shared" si="762"/>
        <v>0</v>
      </c>
      <c r="AA104" s="58">
        <f t="shared" si="763"/>
        <v>0</v>
      </c>
      <c r="AB104" s="45">
        <f t="shared" si="764"/>
        <v>39</v>
      </c>
      <c r="AC104" s="54">
        <f t="shared" si="1173"/>
        <v>2.6289999999999996</v>
      </c>
      <c r="AD104" s="45">
        <f t="shared" si="765"/>
        <v>1</v>
      </c>
      <c r="AE104" s="45">
        <f t="shared" si="766"/>
        <v>2</v>
      </c>
      <c r="AF104" s="45">
        <f t="shared" si="639"/>
        <v>0</v>
      </c>
      <c r="AG104" s="46" cm="1">
        <f t="array" ref="AG104">ROUND(IFERROR(INDEX(ArchiveResults!$F$5:$IX$116,ComparisonData!A104,ComparisonData!$AG$1),0),5)</f>
        <v>0</v>
      </c>
      <c r="AH104" s="46" cm="1">
        <f t="array" ref="AH104">ROUND(IFERROR(INDEX(ArchiveResults!$F$5:$IX$116,ComparisonData!A104,ComparisonData!$AH$1),0),5)</f>
        <v>0</v>
      </c>
      <c r="AI104" s="56">
        <v>99</v>
      </c>
      <c r="AJ104" s="53" t="str">
        <f t="shared" si="1174"/>
        <v>University of Reading, Special Collections and The Museum of English Rural Life</v>
      </c>
      <c r="AK104" s="59">
        <f t="shared" si="1175"/>
        <v>0</v>
      </c>
      <c r="AL104" s="59">
        <f t="shared" si="1176"/>
        <v>0</v>
      </c>
      <c r="AM104" s="58">
        <f t="shared" si="767"/>
        <v>0</v>
      </c>
      <c r="AN104" s="45">
        <f t="shared" si="768"/>
        <v>39</v>
      </c>
      <c r="AO104" s="54">
        <f t="shared" si="1177"/>
        <v>2.6289999999999996</v>
      </c>
      <c r="AP104" s="45">
        <f t="shared" si="769"/>
        <v>1</v>
      </c>
      <c r="AQ104" s="45">
        <f t="shared" si="770"/>
        <v>2</v>
      </c>
      <c r="AR104" s="46" cm="1">
        <f t="array" ref="AR104">ROUND(IFERROR(INDEX(ArchiveResults!$F$5:$IX$116,ComparisonData!A104,ComparisonData!$AR$1),0),5)</f>
        <v>0</v>
      </c>
      <c r="AS104" s="46" cm="1">
        <f t="array" ref="AS104">ROUND(IFERROR(INDEX(ArchiveResults!$F$5:$IX$116,ComparisonData!A104,ComparisonData!$AS$1),0),5)</f>
        <v>0</v>
      </c>
      <c r="AT104" s="46" cm="1">
        <f t="array" ref="AT104">ROUND(IFERROR(INDEX(ArchiveResults!$F$5:$IX$116,ComparisonData!A104,ComparisonData!$AT$1),0),5)</f>
        <v>0</v>
      </c>
      <c r="AU104" s="46" cm="1">
        <f t="array" ref="AU104">ROUND(IFERROR(INDEX(ArchiveResults!$F$5:$IX$116,ComparisonData!A104,ComparisonData!$AU$1),0),5)</f>
        <v>0</v>
      </c>
      <c r="AV104" s="46" cm="1">
        <f t="array" ref="AV104">ROUND(IFERROR(INDEX(ArchiveResults!$F$5:$IX$116,ComparisonData!A104,ComparisonData!$AV$1),0),5)</f>
        <v>0</v>
      </c>
      <c r="AW104" s="46" cm="1">
        <f t="array" ref="AW104">ROUND(IFERROR(INDEX(ArchiveResults!$F$5:$IX$116,ComparisonData!A104,ComparisonData!$AW$1),0),5)</f>
        <v>0</v>
      </c>
      <c r="AX104" s="46" cm="1">
        <f t="array" ref="AX104">ROUND(IFERROR(INDEX(ArchiveResults!$F$5:$IX$116,ComparisonData!A104,ComparisonData!$AX$1),0),5)</f>
        <v>0</v>
      </c>
      <c r="AY104" s="46" cm="1">
        <f t="array" ref="AY104">ROUND(IFERROR(INDEX(ArchiveResults!$F$5:$IX$116,ComparisonData!A104,ComparisonData!$AY$1),0),5)</f>
        <v>0</v>
      </c>
      <c r="AZ104" s="46" cm="1">
        <f t="array" ref="AZ104">ROUND(IFERROR(INDEX(ArchiveResults!$F$5:$IX$116,ComparisonData!A104,ComparisonData!$AZ$1),0),5)</f>
        <v>0</v>
      </c>
      <c r="BA104" s="46" cm="1">
        <f t="array" ref="BA104">ROUND(IFERROR(INDEX(ArchiveResults!$F$5:$IX$116,ComparisonData!A104,ComparisonData!$BA$1),0),5)</f>
        <v>0</v>
      </c>
      <c r="BB104" s="56">
        <v>99</v>
      </c>
      <c r="BC104" s="53" t="str">
        <f t="shared" si="1178"/>
        <v>University of Reading, Special Collections and The Museum of English Rural Life</v>
      </c>
      <c r="BD104" s="60">
        <f t="shared" si="771"/>
        <v>0</v>
      </c>
      <c r="BE104" s="60">
        <f t="shared" si="772"/>
        <v>0</v>
      </c>
      <c r="BF104" s="60">
        <f t="shared" si="773"/>
        <v>0</v>
      </c>
      <c r="BG104" s="60">
        <f t="shared" si="774"/>
        <v>0</v>
      </c>
      <c r="BH104" s="60">
        <f t="shared" si="775"/>
        <v>0</v>
      </c>
      <c r="BI104" s="60">
        <f t="shared" si="776"/>
        <v>0</v>
      </c>
      <c r="BJ104" s="60">
        <f t="shared" si="777"/>
        <v>0</v>
      </c>
      <c r="BK104" s="60">
        <f t="shared" si="778"/>
        <v>0</v>
      </c>
      <c r="BL104" s="60">
        <f t="shared" si="779"/>
        <v>0</v>
      </c>
      <c r="BM104" s="59">
        <f t="shared" si="780"/>
        <v>0</v>
      </c>
      <c r="BN104" s="58">
        <f t="shared" si="781"/>
        <v>0</v>
      </c>
      <c r="BO104" s="45">
        <f t="shared" si="782"/>
        <v>39</v>
      </c>
      <c r="BP104" s="54">
        <f t="shared" si="1179"/>
        <v>2.6289999999999996</v>
      </c>
      <c r="BQ104" s="45">
        <f t="shared" si="783"/>
        <v>1</v>
      </c>
      <c r="BR104" s="45">
        <f t="shared" si="784"/>
        <v>2</v>
      </c>
      <c r="BS104" s="46" cm="1">
        <f t="array" ref="BS104">ROUND(IFERROR(INDEX(ArchiveResults!$F$5:$IX$116,ComparisonData!A104,ComparisonData!$BS$1),0),5)</f>
        <v>0</v>
      </c>
      <c r="BT104" s="46" cm="1">
        <f t="array" ref="BT104">ROUND(IFERROR(INDEX(ArchiveResults!$F$5:$IX$116,ComparisonData!A104,ComparisonData!$BT$1),0),5)</f>
        <v>0</v>
      </c>
      <c r="BU104" s="46" cm="1">
        <f t="array" ref="BU104">ROUND(IFERROR(INDEX(ArchiveResults!$F$5:$IX$116,ComparisonData!A104,ComparisonData!$BU$1),0),5)</f>
        <v>0</v>
      </c>
      <c r="BV104" s="46" cm="1">
        <f t="array" ref="BV104">ROUND(IFERROR(INDEX(ArchiveResults!$F$5:$IX$116,ComparisonData!A104,ComparisonData!$BV$1),0),5)</f>
        <v>0</v>
      </c>
      <c r="BW104" s="46" cm="1">
        <f t="array" ref="BW104">ROUND(IFERROR(INDEX(ArchiveResults!$F$5:$IX$116,ComparisonData!A104,ComparisonData!$BW$1),0),5)</f>
        <v>0</v>
      </c>
      <c r="BX104" s="46" cm="1">
        <f t="array" ref="BX104">ROUND(IFERROR(INDEX(ArchiveResults!$F$5:$IX$116,ComparisonData!A104,ComparisonData!$BX$1),0),5)</f>
        <v>0</v>
      </c>
      <c r="BY104" s="56">
        <v>99</v>
      </c>
      <c r="BZ104" s="53" t="str">
        <f t="shared" si="1180"/>
        <v>University of Reading, Special Collections and The Museum of English Rural Life</v>
      </c>
      <c r="CA104" s="59">
        <f t="shared" si="785"/>
        <v>0</v>
      </c>
      <c r="CB104" s="59">
        <f t="shared" si="786"/>
        <v>0</v>
      </c>
      <c r="CC104" s="59">
        <f t="shared" si="787"/>
        <v>0</v>
      </c>
      <c r="CD104" s="59">
        <f t="shared" si="788"/>
        <v>0</v>
      </c>
      <c r="CE104" s="59">
        <f t="shared" si="789"/>
        <v>0</v>
      </c>
      <c r="CF104" s="59">
        <f t="shared" si="790"/>
        <v>0</v>
      </c>
      <c r="CG104" s="58">
        <f t="shared" si="791"/>
        <v>0</v>
      </c>
      <c r="CH104" s="45">
        <f t="shared" si="792"/>
        <v>39</v>
      </c>
      <c r="CI104" s="54">
        <f t="shared" si="1181"/>
        <v>2.6289999999999996</v>
      </c>
      <c r="CJ104" s="45">
        <f t="shared" si="793"/>
        <v>1</v>
      </c>
      <c r="CK104" s="45">
        <f t="shared" si="794"/>
        <v>2</v>
      </c>
      <c r="CL104" s="46" cm="1">
        <f t="array" ref="CL104">ROUND(IFERROR(INDEX(ArchiveResults!$F$5:$IX$116,ComparisonData!A104,ComparisonData!$CL$1),0),5)</f>
        <v>0</v>
      </c>
      <c r="CM104" s="56">
        <v>99</v>
      </c>
      <c r="CN104" s="53" t="str">
        <f t="shared" si="1182"/>
        <v>University of Reading, Special Collections and The Museum of English Rural Life</v>
      </c>
      <c r="CO104" s="45">
        <f t="shared" si="795"/>
        <v>0</v>
      </c>
      <c r="CP104" s="58">
        <f t="shared" si="796"/>
        <v>0</v>
      </c>
      <c r="CQ104" s="45">
        <f t="shared" si="797"/>
        <v>39</v>
      </c>
      <c r="CR104" s="54">
        <f t="shared" si="1183"/>
        <v>2.6289999999999996</v>
      </c>
      <c r="CS104" s="45">
        <f t="shared" si="798"/>
        <v>1</v>
      </c>
      <c r="CT104" s="45">
        <f t="shared" si="799"/>
        <v>2</v>
      </c>
      <c r="CU104" s="46" cm="1">
        <f t="array" ref="CU104">ROUND(IFERROR(INDEX(ArchiveResults!$F$5:$IX$116,ComparisonData!A104,ComparisonData!$CU$1),0),5)</f>
        <v>0</v>
      </c>
      <c r="CV104" s="56">
        <v>99</v>
      </c>
      <c r="CW104" s="53" t="str">
        <f t="shared" si="1184"/>
        <v>University of Reading, Special Collections and The Museum of English Rural Life</v>
      </c>
      <c r="CX104" s="45">
        <f t="shared" si="800"/>
        <v>0</v>
      </c>
      <c r="CY104" s="58">
        <f t="shared" si="801"/>
        <v>0</v>
      </c>
      <c r="CZ104" s="45">
        <f t="shared" si="802"/>
        <v>39</v>
      </c>
      <c r="DA104" s="54">
        <f t="shared" si="1185"/>
        <v>2.6289999999999996</v>
      </c>
      <c r="DB104" s="45">
        <f t="shared" si="803"/>
        <v>1</v>
      </c>
      <c r="DC104" s="45">
        <f t="shared" si="804"/>
        <v>2</v>
      </c>
      <c r="DD104" s="46" cm="1">
        <f t="array" ref="DD104">ROUND(IFERROR(INDEX(ArchiveResults!$F$5:$IX$116,ComparisonData!A104,ComparisonData!$DD$1),0),5)</f>
        <v>0</v>
      </c>
      <c r="DE104" s="56">
        <v>99</v>
      </c>
      <c r="DF104" s="53" t="str">
        <f t="shared" si="1186"/>
        <v>University of Reading, Special Collections and The Museum of English Rural Life</v>
      </c>
      <c r="DG104" s="45">
        <f t="shared" si="805"/>
        <v>0</v>
      </c>
      <c r="DH104" s="58">
        <f t="shared" si="806"/>
        <v>0</v>
      </c>
      <c r="DI104" s="45">
        <f t="shared" si="807"/>
        <v>39</v>
      </c>
      <c r="DJ104" s="54">
        <f t="shared" si="1187"/>
        <v>2.6289999999999996</v>
      </c>
      <c r="DK104" s="45">
        <f t="shared" si="808"/>
        <v>1</v>
      </c>
      <c r="DL104" s="45">
        <f t="shared" si="809"/>
        <v>2</v>
      </c>
      <c r="DM104" s="46" cm="1">
        <f t="array" ref="DM104">ROUND(IFERROR(INDEX(ArchiveResults!$F$5:$IX$116,ComparisonData!A104,ComparisonData!$DM$1),0),5)</f>
        <v>0</v>
      </c>
      <c r="DN104" s="46" cm="1">
        <f t="array" ref="DN104">ROUND(IFERROR(INDEX(ArchiveResults!$F$5:$IX$116,ComparisonData!A104,ComparisonData!$DN$1),0),5)</f>
        <v>0</v>
      </c>
      <c r="DO104" s="46" cm="1">
        <f t="array" ref="DO104">ROUND(IFERROR(INDEX(ArchiveResults!$F$5:$IX$116,ComparisonData!A104,ComparisonData!$DO$1),0),5)</f>
        <v>0</v>
      </c>
      <c r="DP104" s="46" cm="1">
        <f t="array" ref="DP104">ROUND(IFERROR(INDEX(ArchiveResults!$F$5:$IX$116,ComparisonData!A104,ComparisonData!$DP$1),0),5)</f>
        <v>0</v>
      </c>
      <c r="DQ104" s="45" cm="1">
        <f t="array" ref="DQ104">IFERROR(INDEX(ArchiveResults!$F$5:$IX$116,ComparisonData!A104,ComparisonData!$DQ$1),0)</f>
        <v>0</v>
      </c>
      <c r="DR104" s="56">
        <v>99</v>
      </c>
      <c r="DS104" s="53" t="str">
        <f t="shared" si="1188"/>
        <v>University of Reading, Special Collections and The Museum of English Rural Life</v>
      </c>
      <c r="DT104" s="59">
        <f t="shared" si="810"/>
        <v>0</v>
      </c>
      <c r="DU104" s="59">
        <f t="shared" si="811"/>
        <v>0</v>
      </c>
      <c r="DV104" s="59">
        <f t="shared" si="812"/>
        <v>0</v>
      </c>
      <c r="DW104" s="59">
        <f t="shared" si="813"/>
        <v>0</v>
      </c>
      <c r="DX104" s="59">
        <f t="shared" si="814"/>
        <v>0</v>
      </c>
      <c r="DY104" s="58">
        <f t="shared" si="815"/>
        <v>0</v>
      </c>
      <c r="DZ104" s="45">
        <f t="shared" si="816"/>
        <v>39</v>
      </c>
      <c r="EA104" s="54">
        <f t="shared" si="1189"/>
        <v>2.6289999999999996</v>
      </c>
      <c r="EB104" s="45">
        <f t="shared" si="817"/>
        <v>1</v>
      </c>
      <c r="EC104" s="45">
        <f t="shared" si="818"/>
        <v>2</v>
      </c>
      <c r="ED104" s="46" cm="1">
        <f t="array" ref="ED104">ROUND(IFERROR(INDEX(ArchiveResults!$F$5:$IX$116,ComparisonData!A104,ComparisonData!$ED$1),0),5)</f>
        <v>0</v>
      </c>
      <c r="EE104" s="46" cm="1">
        <f t="array" ref="EE104">ROUND(IFERROR(INDEX(ArchiveResults!$F$5:$IX$116,ComparisonData!A104,ComparisonData!$EE$1),0),5)</f>
        <v>0</v>
      </c>
      <c r="EF104" s="46" cm="1">
        <f t="array" ref="EF104">ROUND(IFERROR(INDEX(ArchiveResults!$F$5:$IX$116,ComparisonData!A104,ComparisonData!$EF$1),0),5)</f>
        <v>0</v>
      </c>
      <c r="EG104" s="46" cm="1">
        <f t="array" ref="EG104">ROUND(IFERROR(INDEX(ArchiveResults!$F$5:$IX$116,ComparisonData!A104,ComparisonData!$EG$1),0),5)</f>
        <v>0</v>
      </c>
      <c r="EH104" s="45" cm="1">
        <f t="array" ref="EH104">IFERROR(INDEX(ArchiveResults!$F$5:$IX$116,ComparisonData!A104,ComparisonData!$EH$1),0)</f>
        <v>0</v>
      </c>
      <c r="EI104" s="56">
        <v>99</v>
      </c>
      <c r="EJ104" s="53" t="str">
        <f t="shared" si="1190"/>
        <v>University of Reading, Special Collections and The Museum of English Rural Life</v>
      </c>
      <c r="EK104" s="59">
        <f t="shared" si="819"/>
        <v>0</v>
      </c>
      <c r="EL104" s="59">
        <f t="shared" si="820"/>
        <v>0</v>
      </c>
      <c r="EM104" s="59">
        <f t="shared" si="821"/>
        <v>0</v>
      </c>
      <c r="EN104" s="59">
        <f t="shared" si="822"/>
        <v>0</v>
      </c>
      <c r="EO104" s="59">
        <f t="shared" si="823"/>
        <v>0</v>
      </c>
      <c r="EP104" s="58">
        <f t="shared" si="824"/>
        <v>0</v>
      </c>
      <c r="EQ104" s="45">
        <f t="shared" si="825"/>
        <v>39</v>
      </c>
      <c r="ER104" s="54">
        <f t="shared" si="1191"/>
        <v>2.6289999999999996</v>
      </c>
      <c r="ES104" s="45">
        <f t="shared" si="826"/>
        <v>1</v>
      </c>
      <c r="ET104" s="45">
        <f t="shared" si="827"/>
        <v>2</v>
      </c>
      <c r="EU104" s="46" cm="1">
        <f t="array" ref="EU104">ROUND(IFERROR(INDEX(ArchiveResults!$F$5:$IX$116,ComparisonData!A104,ComparisonData!$EU$1),0),5)</f>
        <v>0</v>
      </c>
      <c r="EV104" s="46" cm="1">
        <f t="array" ref="EV104">ROUND(IFERROR(INDEX(ArchiveResults!$F$5:$IX$116,ComparisonData!A104,ComparisonData!$EV$1),0),5)</f>
        <v>0</v>
      </c>
      <c r="EW104" s="46" cm="1">
        <f t="array" ref="EW104">ROUND(IFERROR(INDEX(ArchiveResults!$F$5:$IX$116,ComparisonData!A104,ComparisonData!$EW$1),0),5)</f>
        <v>0</v>
      </c>
      <c r="EX104" s="46" cm="1">
        <f t="array" ref="EX104">ROUND(IFERROR(INDEX(ArchiveResults!$F$5:$IX$116,ComparisonData!A104,ComparisonData!$EX$1),0),5)</f>
        <v>0</v>
      </c>
      <c r="EY104" s="45" cm="1">
        <f t="array" ref="EY104">IFERROR(INDEX(ArchiveResults!$F$5:$IX$116,ComparisonData!A104,ComparisonData!$EY$1),0)</f>
        <v>0</v>
      </c>
      <c r="EZ104" s="56">
        <v>99</v>
      </c>
      <c r="FA104" s="53" t="str">
        <f t="shared" si="1192"/>
        <v>University of Reading, Special Collections and The Museum of English Rural Life</v>
      </c>
      <c r="FB104" s="59">
        <f t="shared" si="828"/>
        <v>0</v>
      </c>
      <c r="FC104" s="59">
        <f t="shared" si="829"/>
        <v>0</v>
      </c>
      <c r="FD104" s="59">
        <f t="shared" si="830"/>
        <v>0</v>
      </c>
      <c r="FE104" s="59">
        <f t="shared" si="831"/>
        <v>0</v>
      </c>
      <c r="FF104" s="59">
        <f t="shared" si="832"/>
        <v>0</v>
      </c>
      <c r="FG104" s="58">
        <f t="shared" si="833"/>
        <v>0</v>
      </c>
      <c r="FH104" s="45">
        <f t="shared" si="834"/>
        <v>39</v>
      </c>
      <c r="FI104" s="54">
        <f t="shared" si="1193"/>
        <v>2.6289999999999996</v>
      </c>
      <c r="FJ104" s="45">
        <f t="shared" si="835"/>
        <v>1</v>
      </c>
      <c r="FK104" s="45">
        <f t="shared" si="836"/>
        <v>2</v>
      </c>
      <c r="FL104" s="46" cm="1">
        <f t="array" ref="FL104">ROUND(IFERROR(INDEX(ArchiveResults!$F$5:$IX$116,ComparisonData!A104,ComparisonData!$FL$1),0),5)</f>
        <v>0</v>
      </c>
      <c r="FM104" s="46" cm="1">
        <f t="array" ref="FM104">ROUND(IFERROR(INDEX(ArchiveResults!$F$5:$IX$116,ComparisonData!A104,ComparisonData!$FM$1),0),5)</f>
        <v>0</v>
      </c>
      <c r="FN104" s="46" cm="1">
        <f t="array" ref="FN104">ROUND(IFERROR(INDEX(ArchiveResults!$F$5:$IX$116,ComparisonData!A104,ComparisonData!$FN$1),0),5)</f>
        <v>0</v>
      </c>
      <c r="FO104" s="46" cm="1">
        <f t="array" ref="FO104">ROUND(IFERROR(INDEX(ArchiveResults!$F$5:$IX$116,ComparisonData!A104,ComparisonData!$FO$1),0),5)</f>
        <v>0</v>
      </c>
      <c r="FP104" s="45" cm="1">
        <f t="array" ref="FP104">IFERROR(INDEX(ArchiveResults!$F$5:$IX$116,ComparisonData!A104,ComparisonData!$FP$1),0)</f>
        <v>0</v>
      </c>
      <c r="FQ104" s="56">
        <v>99</v>
      </c>
      <c r="FR104" s="53" t="str">
        <f t="shared" si="1194"/>
        <v>University of Reading, Special Collections and The Museum of English Rural Life</v>
      </c>
      <c r="FS104" s="59">
        <f t="shared" si="837"/>
        <v>0</v>
      </c>
      <c r="FT104" s="59">
        <f t="shared" si="838"/>
        <v>0</v>
      </c>
      <c r="FU104" s="59">
        <f t="shared" si="839"/>
        <v>0</v>
      </c>
      <c r="FV104" s="59">
        <f t="shared" si="840"/>
        <v>0</v>
      </c>
      <c r="FW104" s="59">
        <f t="shared" si="841"/>
        <v>0</v>
      </c>
      <c r="FX104" s="58">
        <f t="shared" si="842"/>
        <v>0</v>
      </c>
      <c r="FY104" s="45">
        <f t="shared" si="843"/>
        <v>39</v>
      </c>
      <c r="FZ104" s="45">
        <f t="shared" si="1195"/>
        <v>2.6289999999999996</v>
      </c>
      <c r="GA104" s="45">
        <f t="shared" si="844"/>
        <v>1</v>
      </c>
      <c r="GB104" s="45">
        <f t="shared" si="845"/>
        <v>2</v>
      </c>
      <c r="GC104" s="46" cm="1">
        <f t="array" ref="GC104">ROUND(IFERROR(INDEX(ArchiveResults!$F$5:$IX$116,ComparisonData!A104,ComparisonData!$GC$1),0),5)</f>
        <v>0</v>
      </c>
      <c r="GD104" s="46" cm="1">
        <f t="array" ref="GD104">ROUND(IFERROR(INDEX(ArchiveResults!$F$5:$IX$116,ComparisonData!A104,ComparisonData!$GD$1),0),5)</f>
        <v>0</v>
      </c>
      <c r="GE104" s="46" cm="1">
        <f t="array" ref="GE104">ROUND(IFERROR(INDEX(ArchiveResults!$F$5:$IX$116,ComparisonData!A104,ComparisonData!$GE$1),0),5)</f>
        <v>0</v>
      </c>
      <c r="GF104" s="46" cm="1">
        <f t="array" ref="GF104">ROUND(IFERROR(INDEX(ArchiveResults!$F$5:$IX$116,ComparisonData!A104,ComparisonData!$GF$1),0),5)</f>
        <v>0</v>
      </c>
      <c r="GG104" s="45" cm="1">
        <f t="array" ref="GG104">IFERROR(INDEX(ArchiveResults!$F$5:$IX$116,ComparisonData!A104,ComparisonData!$GG$1),0)</f>
        <v>0</v>
      </c>
      <c r="GH104" s="56">
        <v>99</v>
      </c>
      <c r="GI104" s="53" t="str">
        <f t="shared" si="1196"/>
        <v>University of Reading, Special Collections and The Museum of English Rural Life</v>
      </c>
      <c r="GJ104" s="59">
        <f t="shared" si="846"/>
        <v>0</v>
      </c>
      <c r="GK104" s="59">
        <f t="shared" si="847"/>
        <v>0</v>
      </c>
      <c r="GL104" s="59">
        <f t="shared" si="848"/>
        <v>0</v>
      </c>
      <c r="GM104" s="59">
        <f t="shared" si="849"/>
        <v>0</v>
      </c>
      <c r="GN104" s="59">
        <f t="shared" si="850"/>
        <v>0</v>
      </c>
      <c r="GO104" s="58">
        <f t="shared" si="851"/>
        <v>0</v>
      </c>
      <c r="GP104" s="45">
        <f t="shared" si="852"/>
        <v>39</v>
      </c>
      <c r="GQ104" s="45">
        <f t="shared" si="1197"/>
        <v>2.6289999999999996</v>
      </c>
      <c r="GR104" s="45">
        <f t="shared" si="853"/>
        <v>1</v>
      </c>
      <c r="GS104" s="45">
        <f t="shared" si="854"/>
        <v>2</v>
      </c>
      <c r="GT104" s="46" cm="1">
        <f t="array" ref="GT104">ROUND(IFERROR(INDEX(ArchiveResults!$F$5:$IX$116,ComparisonData!A104,ComparisonData!$GT$1),0),5)</f>
        <v>0</v>
      </c>
      <c r="GU104" s="46" cm="1">
        <f t="array" ref="GU104">ROUND(IFERROR(INDEX(ArchiveResults!$F$5:$IX$116,ComparisonData!A104,ComparisonData!$GU$1),0),5)</f>
        <v>0</v>
      </c>
      <c r="GV104" s="46" cm="1">
        <f t="array" ref="GV104">ROUND(IFERROR(INDEX(ArchiveResults!$F$5:$IX$116,ComparisonData!A104,ComparisonData!$GV$1),0),5)</f>
        <v>0</v>
      </c>
      <c r="GW104" s="46" cm="1">
        <f t="array" ref="GW104">ROUND(IFERROR(INDEX(ArchiveResults!$F$5:$IX$116,ComparisonData!A104,ComparisonData!$GW$1),0),5)</f>
        <v>0</v>
      </c>
      <c r="GX104" s="45" cm="1">
        <f t="array" ref="GX104">IFERROR(INDEX(ArchiveResults!$F$5:$IX$116,ComparisonData!A104,ComparisonData!$GX$1),0)</f>
        <v>0</v>
      </c>
      <c r="GY104" s="56">
        <v>99</v>
      </c>
      <c r="GZ104" s="53" t="str">
        <f t="shared" si="1198"/>
        <v>University of Reading, Special Collections and The Museum of English Rural Life</v>
      </c>
      <c r="HA104" s="59">
        <f t="shared" si="855"/>
        <v>0</v>
      </c>
      <c r="HB104" s="59">
        <f t="shared" si="856"/>
        <v>0</v>
      </c>
      <c r="HC104" s="59">
        <f t="shared" si="857"/>
        <v>0</v>
      </c>
      <c r="HD104" s="59">
        <f t="shared" si="858"/>
        <v>0</v>
      </c>
      <c r="HE104" s="59">
        <f t="shared" si="859"/>
        <v>0</v>
      </c>
      <c r="HF104" s="58">
        <f t="shared" si="860"/>
        <v>0</v>
      </c>
      <c r="HG104" s="45">
        <f t="shared" si="861"/>
        <v>39</v>
      </c>
      <c r="HH104" s="45">
        <f t="shared" si="1199"/>
        <v>2.6289999999999996</v>
      </c>
      <c r="HI104" s="45">
        <f t="shared" si="862"/>
        <v>1</v>
      </c>
      <c r="HJ104" s="45">
        <f t="shared" si="863"/>
        <v>2</v>
      </c>
      <c r="HK104" s="46" cm="1">
        <f t="array" ref="HK104">ROUND(IFERROR(INDEX(ArchiveResults!$F$5:$IX$116,ComparisonData!A104,ComparisonData!$HK$1),0),5)</f>
        <v>0</v>
      </c>
      <c r="HL104" s="46" cm="1">
        <f t="array" ref="HL104">ROUND(IFERROR(INDEX(ArchiveResults!$F$5:$IX$116,ComparisonData!A104,ComparisonData!$HL$1),0),5)</f>
        <v>0</v>
      </c>
      <c r="HM104" s="46" cm="1">
        <f t="array" ref="HM104">ROUND(IFERROR(INDEX(ArchiveResults!$F$5:$IX$116,ComparisonData!A104,ComparisonData!$HM$1),0),5)</f>
        <v>0</v>
      </c>
      <c r="HN104" s="46" cm="1">
        <f t="array" ref="HN104">ROUND(IFERROR(INDEX(ArchiveResults!$F$5:$IX$116,ComparisonData!A104,ComparisonData!$HN$1),0),5)</f>
        <v>0</v>
      </c>
      <c r="HO104" s="45" cm="1">
        <f t="array" ref="HO104">IFERROR(INDEX(ArchiveResults!$F$5:$IX$116,ComparisonData!A104,ComparisonData!$HO$1),0)</f>
        <v>0</v>
      </c>
      <c r="HP104" s="56">
        <v>99</v>
      </c>
      <c r="HQ104" s="53" t="str">
        <f t="shared" si="1200"/>
        <v>University of Reading, Special Collections and The Museum of English Rural Life</v>
      </c>
      <c r="HR104" s="59">
        <f t="shared" si="1201"/>
        <v>0</v>
      </c>
      <c r="HS104" s="59">
        <f t="shared" si="1202"/>
        <v>0</v>
      </c>
      <c r="HT104" s="59">
        <f t="shared" si="1203"/>
        <v>0</v>
      </c>
      <c r="HU104" s="59">
        <f t="shared" si="1204"/>
        <v>0</v>
      </c>
      <c r="HV104" s="59">
        <f t="shared" si="1205"/>
        <v>0</v>
      </c>
      <c r="HW104" s="58">
        <f t="shared" si="864"/>
        <v>0</v>
      </c>
      <c r="HX104" s="45">
        <f t="shared" si="865"/>
        <v>39</v>
      </c>
      <c r="HY104" s="45">
        <f t="shared" si="1206"/>
        <v>2.6289999999999996</v>
      </c>
      <c r="HZ104" s="45">
        <f t="shared" si="866"/>
        <v>1</v>
      </c>
      <c r="IA104" s="45">
        <f t="shared" si="867"/>
        <v>2</v>
      </c>
      <c r="IB104" s="45">
        <f t="shared" si="868"/>
        <v>0</v>
      </c>
      <c r="IC104" s="46" cm="1">
        <f t="array" ref="IC104">ROUND(IFERROR(INDEX(ArchiveResults!$F$5:$IX$116,ComparisonData!A104,ComparisonData!$IC$1),0),5)</f>
        <v>0</v>
      </c>
      <c r="ID104" s="46" cm="1">
        <f t="array" ref="ID104">ROUND(IFERROR(INDEX(ArchiveResults!$F$5:$IX$116,ComparisonData!A104,ComparisonData!$ID$1),0),5)</f>
        <v>0</v>
      </c>
      <c r="IE104" s="46" cm="1">
        <f t="array" ref="IE104">ROUND(IFERROR(INDEX(ArchiveResults!$F$5:$IX$116,ComparisonData!A104,ComparisonData!$IE$1),0),5)</f>
        <v>0</v>
      </c>
      <c r="IF104" s="46" cm="1">
        <f t="array" ref="IF104">ROUND(IFERROR(INDEX(ArchiveResults!$F$5:$IX$116,ComparisonData!A104,ComparisonData!$IF$1),0),5)</f>
        <v>0</v>
      </c>
      <c r="IG104" s="45" cm="1">
        <f t="array" ref="IG104">IFERROR(INDEX(ArchiveResults!$F$5:$IX$116,ComparisonData!A104,ComparisonData!$IG$1),0)</f>
        <v>0</v>
      </c>
      <c r="IH104" s="56">
        <v>99</v>
      </c>
      <c r="II104" s="53" t="str">
        <f t="shared" si="1207"/>
        <v>University of Reading, Special Collections and The Museum of English Rural Life</v>
      </c>
      <c r="IJ104" s="59">
        <f t="shared" si="869"/>
        <v>0</v>
      </c>
      <c r="IK104" s="59">
        <f t="shared" si="870"/>
        <v>0</v>
      </c>
      <c r="IL104" s="59">
        <f t="shared" si="871"/>
        <v>0</v>
      </c>
      <c r="IM104" s="59">
        <f t="shared" si="872"/>
        <v>0</v>
      </c>
      <c r="IN104" s="59">
        <f t="shared" si="873"/>
        <v>0</v>
      </c>
      <c r="IO104" s="58">
        <f t="shared" si="874"/>
        <v>0</v>
      </c>
      <c r="IP104" s="45">
        <f t="shared" si="875"/>
        <v>39</v>
      </c>
      <c r="IQ104" s="45">
        <f t="shared" si="1208"/>
        <v>2.6289999999999996</v>
      </c>
      <c r="IR104" s="45">
        <f t="shared" si="876"/>
        <v>1</v>
      </c>
      <c r="IS104" s="45">
        <f t="shared" si="877"/>
        <v>2</v>
      </c>
      <c r="IT104" s="46">
        <f t="shared" si="878"/>
        <v>0</v>
      </c>
      <c r="IU104" s="46" cm="1">
        <f t="array" ref="IU104">ROUND(IFERROR(INDEX(ArchiveResults!$F$5:$IX$116,ComparisonData!A104,ComparisonData!$IU$1),0),5)</f>
        <v>0</v>
      </c>
      <c r="IV104" s="46" cm="1">
        <f t="array" ref="IV104">ROUND(IFERROR(INDEX(ArchiveResults!$F$5:$IX$116,ComparisonData!A104,ComparisonData!$IV$1),0),5)</f>
        <v>0</v>
      </c>
      <c r="IW104" s="46" cm="1">
        <f t="array" ref="IW104">ROUND(IFERROR(INDEX(ArchiveResults!$F$5:$IX$116,ComparisonData!A104,ComparisonData!$IW$1),0),5)</f>
        <v>0</v>
      </c>
      <c r="IX104" s="46" cm="1">
        <f t="array" ref="IX104">ROUND(IFERROR(INDEX(ArchiveResults!$F$5:$IX$116,ComparisonData!A104,ComparisonData!$IX$1),0),5)</f>
        <v>0</v>
      </c>
      <c r="IY104" s="45" cm="1">
        <f t="array" ref="IY104">IFERROR(INDEX(ArchiveResults!$F$5:$IX$116,ComparisonData!A104,ComparisonData!$IY$1),0)</f>
        <v>0</v>
      </c>
      <c r="IZ104" s="56">
        <v>99</v>
      </c>
      <c r="JA104" s="53" t="str">
        <f t="shared" si="1209"/>
        <v>University of Reading, Special Collections and The Museum of English Rural Life</v>
      </c>
      <c r="JB104" s="59">
        <f t="shared" si="879"/>
        <v>0</v>
      </c>
      <c r="JC104" s="59">
        <f t="shared" si="880"/>
        <v>0</v>
      </c>
      <c r="JD104" s="59">
        <f t="shared" si="881"/>
        <v>0</v>
      </c>
      <c r="JE104" s="59">
        <f t="shared" si="882"/>
        <v>0</v>
      </c>
      <c r="JF104" s="59">
        <f t="shared" si="883"/>
        <v>0</v>
      </c>
      <c r="JG104" s="58">
        <f t="shared" si="884"/>
        <v>0</v>
      </c>
      <c r="JH104" s="45">
        <f t="shared" si="885"/>
        <v>39</v>
      </c>
      <c r="JI104" s="45">
        <f t="shared" si="1210"/>
        <v>2.6289999999999996</v>
      </c>
      <c r="JJ104" s="45">
        <f t="shared" si="886"/>
        <v>1</v>
      </c>
      <c r="JK104" s="45">
        <f t="shared" si="887"/>
        <v>2</v>
      </c>
      <c r="JL104" s="45">
        <f t="shared" si="888"/>
        <v>0</v>
      </c>
      <c r="JM104" s="46" cm="1">
        <f t="array" ref="JM104">ROUND(IFERROR(INDEX(ArchiveResults!$F$5:$IX$116,ComparisonData!A104,ComparisonData!$JM$1),0),5)</f>
        <v>0</v>
      </c>
      <c r="JN104" s="46" cm="1">
        <f t="array" ref="JN104">ROUND(IFERROR(INDEX(ArchiveResults!$F$5:$IX$116,ComparisonData!A104,ComparisonData!$JN$1),0),5)</f>
        <v>0</v>
      </c>
      <c r="JO104" s="46" cm="1">
        <f t="array" ref="JO104">ROUND(IFERROR(INDEX(ArchiveResults!$F$5:$IX$116,ComparisonData!A104,ComparisonData!$JO$1),0),5)</f>
        <v>0</v>
      </c>
      <c r="JP104" s="46" cm="1">
        <f t="array" ref="JP104">ROUND(IFERROR(INDEX(ArchiveResults!$F$5:$IX$116,ComparisonData!A104,ComparisonData!$JP$1),0),5)</f>
        <v>0</v>
      </c>
      <c r="JQ104" s="45" cm="1">
        <f t="array" ref="JQ104">IFERROR(INDEX(ArchiveResults!$F$5:$IX$116,ComparisonData!A104,ComparisonData!$JQ$1),0)</f>
        <v>0</v>
      </c>
      <c r="JR104" s="56">
        <v>99</v>
      </c>
      <c r="JS104" s="53" t="str">
        <f t="shared" si="1211"/>
        <v>University of Reading, Special Collections and The Museum of English Rural Life</v>
      </c>
      <c r="JT104" s="59">
        <f t="shared" si="889"/>
        <v>0</v>
      </c>
      <c r="JU104" s="59">
        <f t="shared" si="890"/>
        <v>0</v>
      </c>
      <c r="JV104" s="59">
        <f t="shared" si="891"/>
        <v>0</v>
      </c>
      <c r="JW104" s="59">
        <f t="shared" si="892"/>
        <v>0</v>
      </c>
      <c r="JX104" s="59">
        <f t="shared" si="893"/>
        <v>0</v>
      </c>
      <c r="JY104" s="58">
        <f t="shared" si="894"/>
        <v>0</v>
      </c>
      <c r="JZ104" s="45">
        <f t="shared" si="895"/>
        <v>39</v>
      </c>
      <c r="KA104" s="45">
        <f t="shared" si="1212"/>
        <v>2.6289999999999996</v>
      </c>
      <c r="KB104" s="45">
        <f t="shared" si="896"/>
        <v>1</v>
      </c>
      <c r="KC104" s="45">
        <f t="shared" si="897"/>
        <v>2</v>
      </c>
      <c r="KD104" s="45">
        <f t="shared" si="898"/>
        <v>0</v>
      </c>
      <c r="KE104" s="46" cm="1">
        <f t="array" ref="KE104">ROUND(IFERROR(INDEX(ArchiveResults!$F$5:$IX$116,ComparisonData!A104,ComparisonData!$KE$1),0),5)</f>
        <v>0</v>
      </c>
      <c r="KF104" s="46" cm="1">
        <f t="array" ref="KF104">ROUND(IFERROR(INDEX(ArchiveResults!$F$5:$IX$116,ComparisonData!A104,ComparisonData!$KF$1),0),5)</f>
        <v>0</v>
      </c>
      <c r="KG104" s="46" cm="1">
        <f t="array" ref="KG104">ROUND(IFERROR(INDEX(ArchiveResults!$F$5:$IX$116,ComparisonData!A104,ComparisonData!$KG$1),0),5)</f>
        <v>0</v>
      </c>
      <c r="KH104" s="46" cm="1">
        <f t="array" ref="KH104">ROUND(IFERROR(INDEX(ArchiveResults!$F$5:$IX$116,ComparisonData!A104,ComparisonData!$KH$1),0),5)</f>
        <v>0</v>
      </c>
      <c r="KI104" s="45" cm="1">
        <f t="array" ref="KI104">IFERROR(INDEX(ArchiveResults!$F$5:$IX$116,ComparisonData!A104,ComparisonData!$KI$1),0)</f>
        <v>0</v>
      </c>
      <c r="KJ104" s="56">
        <v>99</v>
      </c>
      <c r="KK104" s="53" t="str">
        <f t="shared" si="1213"/>
        <v>University of Reading, Special Collections and The Museum of English Rural Life</v>
      </c>
      <c r="KL104" s="59">
        <f t="shared" si="899"/>
        <v>0</v>
      </c>
      <c r="KM104" s="59">
        <f t="shared" si="900"/>
        <v>0</v>
      </c>
      <c r="KN104" s="59">
        <f t="shared" si="901"/>
        <v>0</v>
      </c>
      <c r="KO104" s="59">
        <f t="shared" si="902"/>
        <v>0</v>
      </c>
      <c r="KP104" s="59">
        <f t="shared" si="903"/>
        <v>0</v>
      </c>
      <c r="KQ104" s="58">
        <f t="shared" si="904"/>
        <v>0</v>
      </c>
      <c r="KR104" s="45">
        <f t="shared" si="905"/>
        <v>39</v>
      </c>
      <c r="KS104" s="45">
        <f t="shared" si="1214"/>
        <v>2.6289999999999996</v>
      </c>
      <c r="KT104" s="45">
        <f t="shared" si="906"/>
        <v>1</v>
      </c>
      <c r="KU104" s="45">
        <f t="shared" si="907"/>
        <v>2</v>
      </c>
      <c r="KV104" s="45">
        <f t="shared" si="908"/>
        <v>0</v>
      </c>
      <c r="KW104" s="46" cm="1">
        <f t="array" ref="KW104">ROUND(IFERROR(INDEX(ArchiveResults!$F$5:$IX$116,ComparisonData!A104,ComparisonData!$KW$1),0),5)</f>
        <v>0</v>
      </c>
      <c r="KX104" s="46" cm="1">
        <f t="array" ref="KX104">ROUND(IFERROR(INDEX(ArchiveResults!$F$5:$IX$116,ComparisonData!A104,ComparisonData!$KX$1),0),5)</f>
        <v>0</v>
      </c>
      <c r="KY104" s="46" cm="1">
        <f t="array" ref="KY104">ROUND(IFERROR(INDEX(ArchiveResults!$F$5:$IX$116,ComparisonData!A104,ComparisonData!$KY$1),0),5)</f>
        <v>0</v>
      </c>
      <c r="KZ104" s="46" cm="1">
        <f t="array" ref="KZ104">ROUND(IFERROR(INDEX(ArchiveResults!$F$5:$IX$116,ComparisonData!A104,ComparisonData!$KZ$1),0),5)</f>
        <v>0</v>
      </c>
      <c r="LA104" s="45" cm="1">
        <f t="array" ref="LA104">IFERROR(INDEX(ArchiveResults!$F$5:$IX$116,ComparisonData!A104,ComparisonData!$LA$1),0)</f>
        <v>0</v>
      </c>
      <c r="LB104" s="56">
        <v>99</v>
      </c>
      <c r="LC104" s="53" t="str">
        <f t="shared" si="1215"/>
        <v>University of Reading, Special Collections and The Museum of English Rural Life</v>
      </c>
      <c r="LD104" s="59">
        <f t="shared" si="909"/>
        <v>0</v>
      </c>
      <c r="LE104" s="59">
        <f t="shared" si="910"/>
        <v>0</v>
      </c>
      <c r="LF104" s="59">
        <f t="shared" si="911"/>
        <v>0</v>
      </c>
      <c r="LG104" s="59">
        <f t="shared" si="912"/>
        <v>0</v>
      </c>
      <c r="LH104" s="59">
        <f t="shared" si="913"/>
        <v>0</v>
      </c>
      <c r="LI104" s="58">
        <f t="shared" si="914"/>
        <v>0</v>
      </c>
      <c r="LJ104" s="45">
        <f t="shared" si="915"/>
        <v>39</v>
      </c>
      <c r="LK104" s="45">
        <f t="shared" si="1216"/>
        <v>2.6289999999999996</v>
      </c>
      <c r="LL104" s="45">
        <f t="shared" si="916"/>
        <v>1</v>
      </c>
      <c r="LM104" s="45">
        <f t="shared" si="917"/>
        <v>2</v>
      </c>
      <c r="LN104" s="45">
        <f t="shared" si="918"/>
        <v>0</v>
      </c>
      <c r="LO104" s="46" cm="1">
        <f t="array" ref="LO104">ROUND(IFERROR(INDEX(ArchiveResults!$F$5:$IX$116,ComparisonData!A104,ComparisonData!$LO$1),0),5)</f>
        <v>0</v>
      </c>
      <c r="LP104" s="46" cm="1">
        <f t="array" ref="LP104">ROUND(IFERROR(INDEX(ArchiveResults!$F$5:$IX$116,ComparisonData!A104,ComparisonData!$LP$1),0),5)</f>
        <v>0</v>
      </c>
      <c r="LQ104" s="46" cm="1">
        <f t="array" ref="LQ104">ROUND(IFERROR(INDEX(ArchiveResults!$F$5:$IX$116,ComparisonData!A104,ComparisonData!$LQ$1),0),5)</f>
        <v>0</v>
      </c>
      <c r="LR104" s="46" cm="1">
        <f t="array" ref="LR104">ROUND(IFERROR(INDEX(ArchiveResults!$F$5:$IX$116,ComparisonData!A104,ComparisonData!$LR$1),0),5)</f>
        <v>0</v>
      </c>
      <c r="LS104" s="45" cm="1">
        <f t="array" ref="LS104">IFERROR(INDEX(ArchiveResults!$F$5:$IX$116,ComparisonData!A104,ComparisonData!$LS$1),0)</f>
        <v>0</v>
      </c>
      <c r="LT104" s="56">
        <v>99</v>
      </c>
      <c r="LU104" s="53" t="str">
        <f t="shared" si="1217"/>
        <v>University of Reading, Special Collections and The Museum of English Rural Life</v>
      </c>
      <c r="LV104" s="59">
        <f t="shared" si="919"/>
        <v>0</v>
      </c>
      <c r="LW104" s="59">
        <f t="shared" si="920"/>
        <v>0</v>
      </c>
      <c r="LX104" s="59">
        <f t="shared" si="921"/>
        <v>0</v>
      </c>
      <c r="LY104" s="59">
        <f t="shared" si="922"/>
        <v>0</v>
      </c>
      <c r="LZ104" s="59">
        <f t="shared" si="923"/>
        <v>0</v>
      </c>
      <c r="MA104" s="58">
        <f t="shared" si="924"/>
        <v>0</v>
      </c>
      <c r="MB104" s="45">
        <f t="shared" si="925"/>
        <v>39</v>
      </c>
      <c r="MC104" s="45">
        <f t="shared" si="1218"/>
        <v>2.6289999999999996</v>
      </c>
      <c r="MD104" s="45">
        <f t="shared" si="926"/>
        <v>1</v>
      </c>
      <c r="ME104" s="45">
        <f t="shared" si="927"/>
        <v>2</v>
      </c>
      <c r="MF104" s="45">
        <f t="shared" si="928"/>
        <v>0</v>
      </c>
      <c r="MG104" s="46" cm="1">
        <f t="array" ref="MG104">ROUND(IFERROR(INDEX(ArchiveResults!$F$5:$IX$116,ComparisonData!A104,ComparisonData!$MG$1),0),5)</f>
        <v>0</v>
      </c>
      <c r="MH104" s="46" cm="1">
        <f t="array" ref="MH104">ROUND(IFERROR(INDEX(ArchiveResults!$F$5:$IX$116,ComparisonData!A104,ComparisonData!$MH$1),0),5)</f>
        <v>0</v>
      </c>
      <c r="MI104" s="46" cm="1">
        <f t="array" ref="MI104">ROUND(IFERROR(INDEX(ArchiveResults!$F$5:$IX$116,ComparisonData!A104,ComparisonData!$MI$1),0),5)</f>
        <v>0</v>
      </c>
      <c r="MJ104" s="46" cm="1">
        <f t="array" ref="MJ104">ROUND(IFERROR(INDEX(ArchiveResults!$F$5:$IX$116,ComparisonData!A104,ComparisonData!$MJ$1),0),5)</f>
        <v>0</v>
      </c>
      <c r="MK104" s="45" cm="1">
        <f t="array" ref="MK104">IFERROR(INDEX(ArchiveResults!$F$5:$IX$116,ComparisonData!A104,ComparisonData!$MK$1),0)</f>
        <v>0</v>
      </c>
      <c r="ML104" s="56">
        <v>99</v>
      </c>
      <c r="MM104" s="53" t="str">
        <f t="shared" si="1219"/>
        <v>University of Reading, Special Collections and The Museum of English Rural Life</v>
      </c>
      <c r="MN104" s="59">
        <f t="shared" si="929"/>
        <v>0</v>
      </c>
      <c r="MO104" s="59">
        <f t="shared" si="930"/>
        <v>0</v>
      </c>
      <c r="MP104" s="59">
        <f t="shared" si="931"/>
        <v>0</v>
      </c>
      <c r="MQ104" s="59">
        <f t="shared" si="932"/>
        <v>0</v>
      </c>
      <c r="MR104" s="59">
        <f t="shared" si="933"/>
        <v>0</v>
      </c>
      <c r="MS104" s="58">
        <f t="shared" si="934"/>
        <v>0</v>
      </c>
      <c r="MT104" s="45">
        <f t="shared" si="935"/>
        <v>39</v>
      </c>
      <c r="MU104" s="45">
        <f t="shared" si="1220"/>
        <v>2.6289999999999996</v>
      </c>
      <c r="MV104" s="45">
        <f t="shared" si="936"/>
        <v>1</v>
      </c>
      <c r="MW104" s="45">
        <f t="shared" si="937"/>
        <v>2</v>
      </c>
      <c r="MX104" s="45">
        <f t="shared" si="938"/>
        <v>0</v>
      </c>
      <c r="MY104" s="46" cm="1">
        <f t="array" ref="MY104">ROUND(IFERROR(INDEX(ArchiveResults!$F$5:$IX$116,ComparisonData!A104,ComparisonData!$MY$1),0),5)</f>
        <v>0</v>
      </c>
      <c r="MZ104" s="46" cm="1">
        <f t="array" ref="MZ104">ROUND(IFERROR(INDEX(ArchiveResults!$F$5:$IX$116,ComparisonData!A104,ComparisonData!$MZ$1),0),5)</f>
        <v>0</v>
      </c>
      <c r="NA104" s="46" cm="1">
        <f t="array" ref="NA104">ROUND(IFERROR(INDEX(ArchiveResults!$F$5:$IX$116,ComparisonData!A104,ComparisonData!$NA$1),0),5)</f>
        <v>0</v>
      </c>
      <c r="NB104" s="46" cm="1">
        <f t="array" ref="NB104">ROUND(IFERROR(INDEX(ArchiveResults!$F$5:$IX$116,ComparisonData!A104,ComparisonData!$NB$1),0),5)</f>
        <v>0</v>
      </c>
      <c r="NC104" s="45" cm="1">
        <f t="array" ref="NC104">IFERROR(INDEX(ArchiveResults!$F$5:$IX$116,ComparisonData!A104,ComparisonData!$NC$1),0)</f>
        <v>0</v>
      </c>
      <c r="ND104" s="56">
        <v>99</v>
      </c>
      <c r="NE104" s="53" t="str">
        <f t="shared" si="1221"/>
        <v>University of Reading, Special Collections and The Museum of English Rural Life</v>
      </c>
      <c r="NF104" s="59">
        <f t="shared" si="939"/>
        <v>0</v>
      </c>
      <c r="NG104" s="59">
        <f t="shared" si="940"/>
        <v>0</v>
      </c>
      <c r="NH104" s="59">
        <f t="shared" si="941"/>
        <v>0</v>
      </c>
      <c r="NI104" s="59">
        <f t="shared" si="942"/>
        <v>0</v>
      </c>
      <c r="NJ104" s="59">
        <f t="shared" si="943"/>
        <v>0</v>
      </c>
      <c r="NK104" s="58">
        <f t="shared" si="944"/>
        <v>0</v>
      </c>
      <c r="NL104" s="45">
        <f t="shared" si="945"/>
        <v>39</v>
      </c>
      <c r="NM104" s="45">
        <f t="shared" si="1222"/>
        <v>2.6289999999999996</v>
      </c>
      <c r="NN104" s="45">
        <f t="shared" si="946"/>
        <v>1</v>
      </c>
      <c r="NO104" s="45">
        <f t="shared" si="947"/>
        <v>2</v>
      </c>
      <c r="NP104" s="46" cm="1">
        <f t="array" ref="NP104">ROUND(IFERROR(INDEX(ArchiveResults!$F$5:$IX$116,ComparisonData!A104,ComparisonData!$NP$1),0),5)</f>
        <v>0</v>
      </c>
      <c r="NQ104" s="46" cm="1">
        <f t="array" ref="NQ104">ROUND(IFERROR(INDEX(ArchiveResults!$F$5:$IX$116,ComparisonData!A104,ComparisonData!$NQ$1),0),5)</f>
        <v>0</v>
      </c>
      <c r="NR104" s="46" cm="1">
        <f t="array" ref="NR104">ROUND(IFERROR(INDEX(ArchiveResults!$F$5:$IX$116,ComparisonData!A104,ComparisonData!$NR$1),0),5)</f>
        <v>0</v>
      </c>
      <c r="NS104" s="46" cm="1">
        <f t="array" ref="NS104">ROUND(IFERROR(INDEX(ArchiveResults!$F$5:$IX$116,ComparisonData!A104,ComparisonData!$NS$1),0),5)</f>
        <v>0</v>
      </c>
      <c r="NT104" s="45" cm="1">
        <f t="array" ref="NT104">IFERROR(INDEX(ArchiveResults!$F$5:$IX$116,ComparisonData!A104,ComparisonData!$NT$1),0)</f>
        <v>0</v>
      </c>
      <c r="NU104" s="56">
        <v>99</v>
      </c>
      <c r="NV104" s="53" t="str">
        <f t="shared" si="1223"/>
        <v>University of Reading, Special Collections and The Museum of English Rural Life</v>
      </c>
      <c r="NW104" s="59">
        <f t="shared" si="948"/>
        <v>0</v>
      </c>
      <c r="NX104" s="59">
        <f t="shared" si="949"/>
        <v>0</v>
      </c>
      <c r="NY104" s="59">
        <f t="shared" si="950"/>
        <v>0</v>
      </c>
      <c r="NZ104" s="59">
        <f t="shared" si="951"/>
        <v>0</v>
      </c>
      <c r="OA104" s="59">
        <f t="shared" si="952"/>
        <v>0</v>
      </c>
      <c r="OB104" s="58">
        <f t="shared" si="953"/>
        <v>0</v>
      </c>
      <c r="OC104" s="45">
        <f t="shared" si="954"/>
        <v>39</v>
      </c>
      <c r="OD104" s="45">
        <f t="shared" si="1224"/>
        <v>2.6289999999999996</v>
      </c>
      <c r="OE104" s="45">
        <f t="shared" si="955"/>
        <v>1</v>
      </c>
      <c r="OF104" s="45">
        <f t="shared" si="956"/>
        <v>2</v>
      </c>
      <c r="OG104" s="46">
        <f t="shared" si="957"/>
        <v>0</v>
      </c>
      <c r="OH104" s="46" cm="1">
        <f t="array" ref="OH104">ROUND(IFERROR(INDEX(ArchiveResults!$F$5:$IX$116,ComparisonData!A104,ComparisonData!$OH$1),0),5)</f>
        <v>0</v>
      </c>
      <c r="OI104" s="46" cm="1">
        <f t="array" ref="OI104">ROUND(IFERROR(INDEX(ArchiveResults!$F$5:$IX$116,ComparisonData!A104,ComparisonData!$OI$1),0),5)</f>
        <v>0</v>
      </c>
      <c r="OJ104" s="46" cm="1">
        <f t="array" ref="OJ104">ROUND(IFERROR(INDEX(ArchiveResults!$F$5:$IX$116,ComparisonData!A104,ComparisonData!$OJ$1),0),5)</f>
        <v>0</v>
      </c>
      <c r="OK104" s="46" cm="1">
        <f t="array" ref="OK104">ROUND(IFERROR(INDEX(ArchiveResults!$F$5:$IX$116,ComparisonData!A104,ComparisonData!$OK$1),0),5)</f>
        <v>0</v>
      </c>
      <c r="OL104" s="45" cm="1">
        <f t="array" ref="OL104">IFERROR(INDEX(ArchiveResults!$F$5:$IX$116,ComparisonData!A104,ComparisonData!$OL$1),0)</f>
        <v>0</v>
      </c>
      <c r="OM104" s="56">
        <v>99</v>
      </c>
      <c r="ON104" s="53" t="str">
        <f t="shared" si="1225"/>
        <v>University of Reading, Special Collections and The Museum of English Rural Life</v>
      </c>
      <c r="OO104" s="59">
        <f t="shared" si="958"/>
        <v>0</v>
      </c>
      <c r="OP104" s="59">
        <f t="shared" si="959"/>
        <v>0</v>
      </c>
      <c r="OQ104" s="59">
        <f t="shared" si="960"/>
        <v>0</v>
      </c>
      <c r="OR104" s="59">
        <f t="shared" si="961"/>
        <v>0</v>
      </c>
      <c r="OS104" s="59">
        <f t="shared" si="962"/>
        <v>0</v>
      </c>
      <c r="OT104" s="58">
        <f t="shared" si="963"/>
        <v>0</v>
      </c>
      <c r="OU104" s="45">
        <f t="shared" si="964"/>
        <v>39</v>
      </c>
      <c r="OV104" s="45">
        <f t="shared" si="1226"/>
        <v>2.6289999999999996</v>
      </c>
      <c r="OW104" s="45">
        <f t="shared" si="965"/>
        <v>1</v>
      </c>
      <c r="OX104" s="45">
        <f t="shared" si="966"/>
        <v>2</v>
      </c>
      <c r="OY104" s="45">
        <f t="shared" si="967"/>
        <v>0</v>
      </c>
      <c r="OZ104" s="46" cm="1">
        <f t="array" ref="OZ104">ROUND(IFERROR(INDEX(ArchiveResults!$F$5:$IX$116,ComparisonData!A104,ComparisonData!$OZ$1),0),5)</f>
        <v>0</v>
      </c>
      <c r="PA104" s="46" cm="1">
        <f t="array" ref="PA104">ROUND(IFERROR(INDEX(ArchiveResults!$F$5:$IX$116,ComparisonData!A104,ComparisonData!$PA$1),0),5)</f>
        <v>0</v>
      </c>
      <c r="PB104" s="46" cm="1">
        <f t="array" ref="PB104">ROUND(IFERROR(INDEX(ArchiveResults!$F$5:$IX$116,ComparisonData!A104,ComparisonData!$PB$1),0),5)</f>
        <v>0</v>
      </c>
      <c r="PC104" s="46" cm="1">
        <f t="array" ref="PC104">ROUND(IFERROR(INDEX(ArchiveResults!$F$5:$IX$116,ComparisonData!A104,ComparisonData!$PC$1),0),5)</f>
        <v>0</v>
      </c>
      <c r="PD104" s="45" cm="1">
        <f t="array" ref="PD104">IFERROR(INDEX(ArchiveResults!$F$5:$IX$116,ComparisonData!A104,ComparisonData!$PD$1),0)</f>
        <v>0</v>
      </c>
      <c r="PE104" s="56">
        <v>99</v>
      </c>
      <c r="PF104" s="53" t="str">
        <f t="shared" si="1227"/>
        <v>University of Reading, Special Collections and The Museum of English Rural Life</v>
      </c>
      <c r="PG104" s="59">
        <f t="shared" si="968"/>
        <v>0</v>
      </c>
      <c r="PH104" s="59">
        <f t="shared" si="969"/>
        <v>0</v>
      </c>
      <c r="PI104" s="59">
        <f t="shared" si="970"/>
        <v>0</v>
      </c>
      <c r="PJ104" s="59">
        <f t="shared" si="971"/>
        <v>0</v>
      </c>
      <c r="PK104" s="59">
        <f t="shared" si="972"/>
        <v>0</v>
      </c>
      <c r="PL104" s="58">
        <f t="shared" si="973"/>
        <v>0</v>
      </c>
      <c r="PM104" s="45">
        <f t="shared" si="974"/>
        <v>39</v>
      </c>
      <c r="PN104" s="45">
        <f t="shared" si="1228"/>
        <v>2.6289999999999996</v>
      </c>
      <c r="PO104" s="45">
        <f t="shared" si="975"/>
        <v>1</v>
      </c>
      <c r="PP104" s="45">
        <f t="shared" si="976"/>
        <v>2</v>
      </c>
      <c r="PQ104" s="45">
        <f t="shared" si="977"/>
        <v>0</v>
      </c>
      <c r="PR104" s="46" cm="1">
        <f t="array" ref="PR104">ROUND(IFERROR(INDEX(ArchiveResults!$F$5:$IX$116,ComparisonData!A104,ComparisonData!$PR$1),0),5)</f>
        <v>0</v>
      </c>
      <c r="PS104" s="46" cm="1">
        <f t="array" ref="PS104">ROUND(IFERROR(INDEX(ArchiveResults!$F$5:$IX$116,ComparisonData!A104,ComparisonData!$PS$1),0),5)</f>
        <v>0</v>
      </c>
      <c r="PT104" s="46" cm="1">
        <f t="array" ref="PT104">ROUND(IFERROR(INDEX(ArchiveResults!$F$5:$IX$116,ComparisonData!A104,ComparisonData!$PT$1),0),5)</f>
        <v>0</v>
      </c>
      <c r="PU104" s="46" cm="1">
        <f t="array" ref="PU104">ROUND(IFERROR(INDEX(ArchiveResults!$F$5:$IX$116,ComparisonData!A104,ComparisonData!$PU$1),0),5)</f>
        <v>0</v>
      </c>
      <c r="PV104" s="45" cm="1">
        <f t="array" ref="PV104">IFERROR(INDEX(ArchiveResults!$F$5:$IX$116,ComparisonData!A104,ComparisonData!$PV$1),0)</f>
        <v>0</v>
      </c>
      <c r="PW104" s="56">
        <v>99</v>
      </c>
      <c r="PX104" s="53" t="str">
        <f t="shared" si="1229"/>
        <v>University of Reading, Special Collections and The Museum of English Rural Life</v>
      </c>
      <c r="PY104" s="59">
        <f t="shared" si="978"/>
        <v>0</v>
      </c>
      <c r="PZ104" s="59">
        <f t="shared" si="979"/>
        <v>0</v>
      </c>
      <c r="QA104" s="59">
        <f t="shared" si="980"/>
        <v>0</v>
      </c>
      <c r="QB104" s="59">
        <f t="shared" si="981"/>
        <v>0</v>
      </c>
      <c r="QC104" s="59">
        <f t="shared" si="982"/>
        <v>0</v>
      </c>
      <c r="QD104" s="58">
        <f t="shared" si="983"/>
        <v>0</v>
      </c>
      <c r="QE104" s="45">
        <f t="shared" si="984"/>
        <v>39</v>
      </c>
      <c r="QF104" s="45">
        <f t="shared" si="1230"/>
        <v>2.6289999999999996</v>
      </c>
      <c r="QG104" s="45">
        <f t="shared" si="985"/>
        <v>1</v>
      </c>
      <c r="QH104" s="45">
        <f t="shared" si="986"/>
        <v>2</v>
      </c>
      <c r="QI104" s="45">
        <f t="shared" si="987"/>
        <v>0</v>
      </c>
      <c r="QJ104" s="46" cm="1">
        <f t="array" ref="QJ104">ROUND(IFERROR(INDEX(ArchiveResults!$F$5:$IX$116,ComparisonData!A104,ComparisonData!$QJ$1),0),5)</f>
        <v>0</v>
      </c>
      <c r="QK104" s="46" cm="1">
        <f t="array" ref="QK104">ROUND(IFERROR(INDEX(ArchiveResults!$F$5:$IX$116,ComparisonData!A104,ComparisonData!$QK$1),0),5)</f>
        <v>0</v>
      </c>
      <c r="QL104" s="46" cm="1">
        <f t="array" ref="QL104">ROUND(IFERROR(INDEX(ArchiveResults!$F$5:$IX$116,ComparisonData!A104,ComparisonData!$QL$1),0),5)</f>
        <v>0</v>
      </c>
      <c r="QM104" s="46" cm="1">
        <f t="array" ref="QM104">ROUND(IFERROR(INDEX(ArchiveResults!$F$5:$IX$116,ComparisonData!A104,ComparisonData!$QM$1),0),5)</f>
        <v>0</v>
      </c>
      <c r="QN104" s="45" cm="1">
        <f t="array" ref="QN104">IFERROR(INDEX(ArchiveResults!$F$5:$IX$116,ComparisonData!A104,ComparisonData!$QN$1),0)</f>
        <v>0</v>
      </c>
      <c r="QO104" s="56">
        <v>99</v>
      </c>
      <c r="QP104" s="53" t="str">
        <f t="shared" si="1231"/>
        <v>University of Reading, Special Collections and The Museum of English Rural Life</v>
      </c>
      <c r="QQ104" s="59">
        <f t="shared" si="988"/>
        <v>0</v>
      </c>
      <c r="QR104" s="59">
        <f t="shared" si="989"/>
        <v>0</v>
      </c>
      <c r="QS104" s="59">
        <f t="shared" si="990"/>
        <v>0</v>
      </c>
      <c r="QT104" s="59">
        <f t="shared" si="991"/>
        <v>0</v>
      </c>
      <c r="QU104" s="59">
        <f t="shared" si="992"/>
        <v>0</v>
      </c>
      <c r="QV104" s="58">
        <f t="shared" si="993"/>
        <v>0</v>
      </c>
      <c r="QW104" s="45">
        <f t="shared" si="994"/>
        <v>39</v>
      </c>
      <c r="QX104" s="45">
        <f t="shared" si="1232"/>
        <v>2.6289999999999996</v>
      </c>
      <c r="QY104" s="45">
        <f t="shared" si="995"/>
        <v>1</v>
      </c>
      <c r="QZ104" s="45">
        <f t="shared" si="996"/>
        <v>2</v>
      </c>
      <c r="RA104" s="45">
        <f t="shared" si="997"/>
        <v>0</v>
      </c>
      <c r="RB104" s="46" cm="1">
        <f t="array" ref="RB104">ROUND(IFERROR(INDEX(ArchiveResults!$F$5:$IX$116,ComparisonData!A104,ComparisonData!$RB$1),0),5)</f>
        <v>0</v>
      </c>
      <c r="RC104" s="46" cm="1">
        <f t="array" ref="RC104">ROUND(IFERROR(INDEX(ArchiveResults!$F$5:$IX$116,ComparisonData!A104,ComparisonData!$RC$1),0),5)</f>
        <v>0</v>
      </c>
      <c r="RD104" s="46" cm="1">
        <f t="array" ref="RD104">ROUND(IFERROR(INDEX(ArchiveResults!$F$5:$IX$116,ComparisonData!A104,ComparisonData!$RD$1),0),5)</f>
        <v>0</v>
      </c>
      <c r="RE104" s="46" cm="1">
        <f t="array" ref="RE104">ROUND(IFERROR(INDEX(ArchiveResults!$F$5:$IX$116,ComparisonData!A104,ComparisonData!$RE$1),0),5)</f>
        <v>0</v>
      </c>
      <c r="RF104" s="45" cm="1">
        <f t="array" ref="RF104">IFERROR(INDEX(ArchiveResults!$F$5:$IX$116,ComparisonData!A104,ComparisonData!$RF$1),0)</f>
        <v>0</v>
      </c>
      <c r="RG104" s="56">
        <v>99</v>
      </c>
      <c r="RH104" s="53" t="str">
        <f t="shared" si="1233"/>
        <v>University of Reading, Special Collections and The Museum of English Rural Life</v>
      </c>
      <c r="RI104" s="59">
        <f t="shared" si="998"/>
        <v>0</v>
      </c>
      <c r="RJ104" s="59">
        <f t="shared" si="999"/>
        <v>0</v>
      </c>
      <c r="RK104" s="59">
        <f t="shared" si="1000"/>
        <v>0</v>
      </c>
      <c r="RL104" s="59">
        <f t="shared" si="1001"/>
        <v>0</v>
      </c>
      <c r="RM104" s="59">
        <f t="shared" si="1002"/>
        <v>0</v>
      </c>
      <c r="RN104" s="58">
        <f t="shared" si="1003"/>
        <v>0</v>
      </c>
      <c r="RO104" s="45">
        <f t="shared" si="1004"/>
        <v>39</v>
      </c>
      <c r="RP104" s="45">
        <f t="shared" si="1234"/>
        <v>2.6289999999999996</v>
      </c>
      <c r="RQ104" s="45">
        <f t="shared" si="1005"/>
        <v>1</v>
      </c>
      <c r="RR104" s="45">
        <f t="shared" si="1006"/>
        <v>2</v>
      </c>
      <c r="RS104" s="45">
        <f t="shared" si="1007"/>
        <v>0</v>
      </c>
      <c r="RT104" s="46" cm="1">
        <f t="array" ref="RT104">ROUND(IFERROR(INDEX(ArchiveResults!$F$5:$IX$116,ComparisonData!A104,ComparisonData!$RT$1),0),5)</f>
        <v>0</v>
      </c>
      <c r="RU104" s="46" cm="1">
        <f t="array" ref="RU104">ROUND(IFERROR(INDEX(ArchiveResults!$F$5:$IX$116,ComparisonData!A104,ComparisonData!$RU$1),0),5)</f>
        <v>0</v>
      </c>
      <c r="RV104" s="46" cm="1">
        <f t="array" ref="RV104">ROUND(IFERROR(INDEX(ArchiveResults!$F$5:$IX$116,ComparisonData!A104,ComparisonData!$RV$1),0),5)</f>
        <v>0</v>
      </c>
      <c r="RW104" s="46" cm="1">
        <f t="array" ref="RW104">ROUND(IFERROR(INDEX(ArchiveResults!$F$5:$IX$116,ComparisonData!A104,ComparisonData!$RW$1),0),5)</f>
        <v>0</v>
      </c>
      <c r="RX104" s="45" cm="1">
        <f t="array" ref="RX104">IFERROR(INDEX(ArchiveResults!$F$5:$IX$116,ComparisonData!A104,ComparisonData!$RX$1),0)</f>
        <v>0</v>
      </c>
      <c r="RY104" s="56">
        <v>99</v>
      </c>
      <c r="RZ104" s="53" t="str">
        <f t="shared" si="1235"/>
        <v>University of Reading, Special Collections and The Museum of English Rural Life</v>
      </c>
      <c r="SA104" s="59">
        <f t="shared" si="1008"/>
        <v>0</v>
      </c>
      <c r="SB104" s="59">
        <f t="shared" si="1009"/>
        <v>0</v>
      </c>
      <c r="SC104" s="59">
        <f t="shared" si="1010"/>
        <v>0</v>
      </c>
      <c r="SD104" s="59">
        <f t="shared" si="1011"/>
        <v>0</v>
      </c>
      <c r="SE104" s="59">
        <f t="shared" si="1012"/>
        <v>0</v>
      </c>
      <c r="SF104" s="58">
        <f t="shared" si="1013"/>
        <v>0</v>
      </c>
      <c r="SG104" s="45">
        <f t="shared" si="1014"/>
        <v>39</v>
      </c>
      <c r="SH104" s="45">
        <f t="shared" si="1236"/>
        <v>2.6289999999999996</v>
      </c>
      <c r="SI104" s="45">
        <f t="shared" si="1015"/>
        <v>1</v>
      </c>
      <c r="SJ104" s="45">
        <f t="shared" si="1016"/>
        <v>2</v>
      </c>
      <c r="SK104" s="45">
        <f t="shared" si="1017"/>
        <v>0</v>
      </c>
      <c r="SL104" s="46" cm="1">
        <f t="array" ref="SL104">ROUND(IFERROR(INDEX(ArchiveResults!$F$5:$IX$116,ComparisonData!A104,ComparisonData!$SL$1),0),5)</f>
        <v>0</v>
      </c>
      <c r="SM104" s="46" cm="1">
        <f t="array" ref="SM104">ROUND(IFERROR(INDEX(ArchiveResults!$F$5:$IX$116,ComparisonData!A104,ComparisonData!$SM$1),0),5)</f>
        <v>0</v>
      </c>
      <c r="SN104" s="46" cm="1">
        <f t="array" ref="SN104">ROUND(IFERROR(INDEX(ArchiveResults!$F$5:$IX$116,ComparisonData!A104,ComparisonData!$SN$1),0),5)</f>
        <v>0</v>
      </c>
      <c r="SO104" s="46" cm="1">
        <f t="array" ref="SO104">ROUND(IFERROR(INDEX(ArchiveResults!$F$5:$IX$116,ComparisonData!A104,ComparisonData!$SO$1),0),5)</f>
        <v>0</v>
      </c>
      <c r="SP104" s="45" cm="1">
        <f t="array" ref="SP104">IFERROR(INDEX(ArchiveResults!$F$5:$IX$116,ComparisonData!A104,ComparisonData!$SP$1),0)</f>
        <v>0</v>
      </c>
      <c r="SQ104" s="56">
        <v>99</v>
      </c>
      <c r="SR104" s="53" t="str">
        <f t="shared" si="1237"/>
        <v>University of Reading, Special Collections and The Museum of English Rural Life</v>
      </c>
      <c r="SS104" s="59">
        <f t="shared" si="1018"/>
        <v>0</v>
      </c>
      <c r="ST104" s="59">
        <f t="shared" si="1019"/>
        <v>0</v>
      </c>
      <c r="SU104" s="59">
        <f t="shared" si="1020"/>
        <v>0</v>
      </c>
      <c r="SV104" s="59">
        <f t="shared" si="1021"/>
        <v>0</v>
      </c>
      <c r="SW104" s="59">
        <f t="shared" si="1022"/>
        <v>0</v>
      </c>
      <c r="SX104" s="58">
        <f t="shared" si="1023"/>
        <v>0</v>
      </c>
      <c r="SY104" s="45">
        <f t="shared" si="1024"/>
        <v>39</v>
      </c>
      <c r="SZ104" s="45">
        <f t="shared" si="1238"/>
        <v>2.6289999999999996</v>
      </c>
      <c r="TA104" s="45">
        <f t="shared" si="1025"/>
        <v>1</v>
      </c>
      <c r="TB104" s="45">
        <f t="shared" si="1026"/>
        <v>2</v>
      </c>
      <c r="TC104" s="45">
        <f t="shared" si="1027"/>
        <v>0</v>
      </c>
      <c r="TD104" s="46" cm="1">
        <f t="array" ref="TD104">ROUND(IFERROR(INDEX(ArchiveResults!$F$5:$IX$116,ComparisonData!A104,ComparisonData!$TD$1),0),5)</f>
        <v>0</v>
      </c>
      <c r="TE104" s="46" cm="1">
        <f t="array" ref="TE104">ROUND(IFERROR(INDEX(ArchiveResults!$F$5:$IX$116,ComparisonData!A104,ComparisonData!$TE$1),0),5)</f>
        <v>0</v>
      </c>
      <c r="TF104" s="46" cm="1">
        <f t="array" ref="TF104">ROUND(IFERROR(INDEX(ArchiveResults!$F$5:$IX$116,ComparisonData!A104,ComparisonData!$TF$1),0),5)</f>
        <v>0</v>
      </c>
      <c r="TG104" s="46" cm="1">
        <f t="array" ref="TG104">ROUND(IFERROR(INDEX(ArchiveResults!$F$5:$IX$116,ComparisonData!A104,ComparisonData!$TG$1),0),5)</f>
        <v>0</v>
      </c>
      <c r="TH104" s="45" cm="1">
        <f t="array" ref="TH104">IFERROR(INDEX(ArchiveResults!$F$5:$IX$116,ComparisonData!A104,ComparisonData!$TH$1),0)</f>
        <v>0</v>
      </c>
      <c r="TI104" s="56">
        <v>99</v>
      </c>
      <c r="TJ104" s="53" t="str">
        <f t="shared" si="1239"/>
        <v>University of Reading, Special Collections and The Museum of English Rural Life</v>
      </c>
      <c r="TK104" s="59">
        <f t="shared" si="1028"/>
        <v>0</v>
      </c>
      <c r="TL104" s="59">
        <f t="shared" si="1029"/>
        <v>0</v>
      </c>
      <c r="TM104" s="59">
        <f t="shared" si="1030"/>
        <v>0</v>
      </c>
      <c r="TN104" s="59">
        <f t="shared" si="1031"/>
        <v>0</v>
      </c>
      <c r="TO104" s="59">
        <f t="shared" si="1032"/>
        <v>0</v>
      </c>
      <c r="TP104" s="58">
        <f t="shared" si="1033"/>
        <v>0</v>
      </c>
      <c r="TQ104" s="45">
        <f t="shared" si="1034"/>
        <v>39</v>
      </c>
      <c r="TR104" s="45">
        <f t="shared" si="1240"/>
        <v>2.6289999999999996</v>
      </c>
      <c r="TS104" s="45">
        <f t="shared" si="1035"/>
        <v>1</v>
      </c>
      <c r="TT104" s="45">
        <f t="shared" si="1036"/>
        <v>2</v>
      </c>
      <c r="TU104" s="45">
        <f t="shared" si="1037"/>
        <v>0</v>
      </c>
      <c r="TV104" s="46" cm="1">
        <f t="array" ref="TV104">ROUND(IFERROR(INDEX(ArchiveResults!$F$5:$IX$116,ComparisonData!A104,ComparisonData!$TV$1),0),5)</f>
        <v>0</v>
      </c>
      <c r="TW104" s="46" cm="1">
        <f t="array" ref="TW104">ROUND(IFERROR(INDEX(ArchiveResults!$F$5:$IX$116,ComparisonData!A104,ComparisonData!$TW$1),0),5)</f>
        <v>0</v>
      </c>
      <c r="TX104" s="46" cm="1">
        <f t="array" ref="TX104">ROUND(IFERROR(INDEX(ArchiveResults!$F$5:$IX$116,ComparisonData!A104,ComparisonData!$TX$1),0),5)</f>
        <v>0</v>
      </c>
      <c r="TY104" s="46" cm="1">
        <f t="array" ref="TY104">ROUND(IFERROR(INDEX(ArchiveResults!$F$5:$IX$116,ComparisonData!A104,ComparisonData!$TY$1),0),5)</f>
        <v>0</v>
      </c>
      <c r="TZ104" s="45" cm="1">
        <f t="array" ref="TZ104">IFERROR(INDEX(ArchiveResults!$F$5:$IX$116,ComparisonData!A104,ComparisonData!$TZ$1),0)</f>
        <v>0</v>
      </c>
      <c r="UA104" s="56">
        <v>99</v>
      </c>
      <c r="UB104" s="53" t="str">
        <f t="shared" si="1241"/>
        <v>University of Reading, Special Collections and The Museum of English Rural Life</v>
      </c>
      <c r="UC104" s="60">
        <f t="shared" si="1038"/>
        <v>0</v>
      </c>
      <c r="UD104" s="60">
        <f t="shared" si="1039"/>
        <v>0</v>
      </c>
      <c r="UE104" s="60">
        <f t="shared" si="1040"/>
        <v>0</v>
      </c>
      <c r="UF104" s="60">
        <f t="shared" si="1041"/>
        <v>0</v>
      </c>
      <c r="UG104" s="60">
        <f t="shared" si="1042"/>
        <v>0</v>
      </c>
      <c r="UH104" s="58">
        <f t="shared" si="1043"/>
        <v>0</v>
      </c>
      <c r="UI104" s="46">
        <f t="shared" si="1044"/>
        <v>39</v>
      </c>
      <c r="UJ104" s="46">
        <f t="shared" si="1242"/>
        <v>2.6289999999999996</v>
      </c>
      <c r="UK104" s="46">
        <f t="shared" si="1045"/>
        <v>1</v>
      </c>
      <c r="UL104" s="46">
        <f t="shared" si="1046"/>
        <v>2</v>
      </c>
      <c r="UM104" s="46" cm="1">
        <f t="array" ref="UM104">ROUND(IFERROR(INDEX(ArchiveResults!$F$5:$IX$116,ComparisonData!A104,ComparisonData!$UM$1),0),5)</f>
        <v>0</v>
      </c>
      <c r="UN104" s="56">
        <v>99</v>
      </c>
      <c r="UO104" s="53" t="str">
        <f t="shared" si="1243"/>
        <v>University of Reading, Special Collections and The Museum of English Rural Life</v>
      </c>
      <c r="UP104" s="46">
        <f t="shared" si="1047"/>
        <v>0</v>
      </c>
      <c r="UQ104" s="76">
        <f t="shared" si="1048"/>
        <v>0</v>
      </c>
      <c r="UR104" s="46">
        <f t="shared" si="1049"/>
        <v>39</v>
      </c>
      <c r="US104" s="46">
        <f t="shared" si="1244"/>
        <v>2.6289999999999996</v>
      </c>
      <c r="UT104" s="46">
        <f t="shared" si="1050"/>
        <v>1</v>
      </c>
      <c r="UU104" s="46">
        <f t="shared" si="1051"/>
        <v>2</v>
      </c>
      <c r="UV104" s="46">
        <f t="shared" si="1052"/>
        <v>0</v>
      </c>
      <c r="UW104" s="46" cm="1">
        <f t="array" ref="UW104">ROUND(IFERROR(INDEX(ArchiveResults!$F$5:$IX$116,ComparisonData!A104,ComparisonData!$UW$1),0),5)</f>
        <v>0</v>
      </c>
      <c r="UX104" s="46" cm="1">
        <f t="array" ref="UX104">ROUND(IFERROR(INDEX(ArchiveResults!$F$5:$IX$116,ComparisonData!A104,ComparisonData!$UX$1),0),5)</f>
        <v>0</v>
      </c>
      <c r="UY104" s="46" cm="1">
        <f t="array" ref="UY104">ROUND(IFERROR(INDEX(ArchiveResults!$F$5:$IX$116,ComparisonData!A104,ComparisonData!$UY$1),0),5)</f>
        <v>0</v>
      </c>
      <c r="UZ104" s="46" cm="1">
        <f t="array" ref="UZ104">ROUND(IFERROR(INDEX(ArchiveResults!$F$5:$IX$116,ComparisonData!A104,ComparisonData!$UZ$1),0),5)</f>
        <v>0</v>
      </c>
      <c r="VA104" s="46" cm="1">
        <f t="array" ref="VA104">ROUND(IFERROR(INDEX(ArchiveResults!$F$5:$IX$116,ComparisonData!A104,ComparisonData!$VA$1),0),5)</f>
        <v>0</v>
      </c>
      <c r="VB104" s="56">
        <v>99</v>
      </c>
      <c r="VC104" s="53" t="str">
        <f t="shared" si="1245"/>
        <v>University of Reading, Special Collections and The Museum of English Rural Life</v>
      </c>
      <c r="VD104" s="60">
        <f t="shared" si="1053"/>
        <v>0</v>
      </c>
      <c r="VE104" s="60">
        <f t="shared" si="1054"/>
        <v>0</v>
      </c>
      <c r="VF104" s="60">
        <f t="shared" si="1055"/>
        <v>0</v>
      </c>
      <c r="VG104" s="60">
        <f t="shared" si="1056"/>
        <v>0</v>
      </c>
      <c r="VH104" s="60">
        <f t="shared" si="1057"/>
        <v>0</v>
      </c>
      <c r="VI104" s="76">
        <f t="shared" si="1058"/>
        <v>0</v>
      </c>
      <c r="VJ104" s="46">
        <f t="shared" si="1059"/>
        <v>39</v>
      </c>
      <c r="VK104" s="46">
        <f t="shared" si="1246"/>
        <v>2.6289999999999996</v>
      </c>
      <c r="VL104" s="46">
        <f t="shared" si="1060"/>
        <v>1</v>
      </c>
      <c r="VM104" s="46">
        <f t="shared" si="1061"/>
        <v>2</v>
      </c>
      <c r="VN104" s="46" cm="1">
        <f t="array" ref="VN104">ROUND(IFERROR(INDEX(ArchiveResults!$F$5:$IX$116,ComparisonData!A104,ComparisonData!$VN$1),0),5)</f>
        <v>0</v>
      </c>
      <c r="VO104" s="46" cm="1">
        <f t="array" ref="VO104">ROUND(IFERROR(INDEX(ArchiveResults!$F$5:$IX$116,ComparisonData!A104,ComparisonData!$VO$1),0),5)</f>
        <v>0</v>
      </c>
      <c r="VP104" s="46" cm="1">
        <f t="array" ref="VP104">ROUND(IFERROR(INDEX(ArchiveResults!$F$5:$IX$116,ComparisonData!A104,ComparisonData!$VP$1),0),5)</f>
        <v>0</v>
      </c>
      <c r="VQ104" s="46" cm="1">
        <f t="array" ref="VQ104">ROUND(IFERROR(INDEX(ArchiveResults!$F$5:$IX$116,ComparisonData!A104,ComparisonData!$VQ$1),0),5)</f>
        <v>0</v>
      </c>
      <c r="VR104" s="56">
        <v>99</v>
      </c>
      <c r="VS104" s="53" t="str">
        <f t="shared" si="1247"/>
        <v>University of Reading, Special Collections and The Museum of English Rural Life</v>
      </c>
      <c r="VT104" s="60">
        <f t="shared" si="1062"/>
        <v>0</v>
      </c>
      <c r="VU104" s="60">
        <f t="shared" si="1063"/>
        <v>0</v>
      </c>
      <c r="VV104" s="60">
        <f t="shared" si="1064"/>
        <v>0</v>
      </c>
      <c r="VW104" s="60">
        <f t="shared" si="1065"/>
        <v>0</v>
      </c>
      <c r="VX104" s="76">
        <f t="shared" si="1066"/>
        <v>0</v>
      </c>
      <c r="VY104" s="46">
        <f t="shared" si="1067"/>
        <v>39</v>
      </c>
      <c r="VZ104" s="46">
        <f t="shared" si="1248"/>
        <v>2.6289999999999996</v>
      </c>
      <c r="WA104" s="46">
        <f t="shared" si="1068"/>
        <v>1</v>
      </c>
      <c r="WB104" s="46">
        <f t="shared" si="1069"/>
        <v>2</v>
      </c>
      <c r="WC104" s="46" cm="1">
        <f t="array" ref="WC104">ROUND(IFERROR(INDEX(ArchiveResults!$F$5:$IX$116,ComparisonData!A104,ComparisonData!$WC$1),0),5)</f>
        <v>0</v>
      </c>
      <c r="WD104" s="56">
        <v>99</v>
      </c>
      <c r="WE104" s="53" t="str">
        <f t="shared" si="1249"/>
        <v>University of Reading, Special Collections and The Museum of English Rural Life</v>
      </c>
      <c r="WF104" s="46">
        <f t="shared" si="1070"/>
        <v>0</v>
      </c>
      <c r="WG104" s="76">
        <f t="shared" si="1071"/>
        <v>0</v>
      </c>
      <c r="WH104" s="46">
        <f t="shared" si="1072"/>
        <v>39</v>
      </c>
      <c r="WI104" s="46">
        <f t="shared" si="1250"/>
        <v>2.6289999999999996</v>
      </c>
      <c r="WJ104" s="46">
        <f t="shared" si="1073"/>
        <v>1</v>
      </c>
      <c r="WK104" s="46">
        <f t="shared" si="1074"/>
        <v>2</v>
      </c>
      <c r="WL104" s="46" cm="1">
        <f t="array" ref="WL104">ROUND(IFERROR(INDEX(ArchiveResults!$F$5:$IX$116,ComparisonData!A104,ComparisonData!$WL$1),0),5)</f>
        <v>0</v>
      </c>
      <c r="WM104" s="46" cm="1">
        <f t="array" ref="WM104">IFERROR(INDEX(ArchiveResults!$F$5:$IX$116,ComparisonData!A104,ComparisonData!$WM$1),0)</f>
        <v>0</v>
      </c>
      <c r="WN104" s="56">
        <v>99</v>
      </c>
      <c r="WO104" s="53" t="str">
        <f t="shared" si="1251"/>
        <v>University of Reading, Special Collections and The Museum of English Rural Life</v>
      </c>
      <c r="WP104" s="60">
        <f t="shared" si="1075"/>
        <v>0</v>
      </c>
      <c r="WQ104" s="60">
        <f t="shared" si="1076"/>
        <v>0</v>
      </c>
      <c r="WR104" s="76">
        <f t="shared" si="1077"/>
        <v>0</v>
      </c>
      <c r="WS104" s="46">
        <f t="shared" si="1078"/>
        <v>39</v>
      </c>
      <c r="WT104" s="46">
        <f t="shared" si="1252"/>
        <v>2.6289999999999996</v>
      </c>
      <c r="WU104" s="46">
        <f t="shared" si="1079"/>
        <v>1</v>
      </c>
      <c r="WV104" s="46">
        <f t="shared" si="1080"/>
        <v>2</v>
      </c>
      <c r="WW104" s="46" cm="1">
        <f t="array" ref="WW104">ROUND(VALUE(IFERROR(INDEX(ArchiveResults!$F$5:$IX$116,ComparisonData!A104,ComparisonData!$WW$1),0)),5)</f>
        <v>0</v>
      </c>
      <c r="WX104" s="46" cm="1">
        <f t="array" ref="WX104">ROUND(IFERROR(INDEX(ArchiveResults!$F$5:$IX$116,ComparisonData!A104,ComparisonData!$WX$1),0),5)</f>
        <v>0</v>
      </c>
      <c r="WY104" s="56">
        <v>99</v>
      </c>
      <c r="WZ104" s="53" t="str">
        <f t="shared" si="1253"/>
        <v>University of Reading, Special Collections and The Museum of English Rural Life</v>
      </c>
      <c r="XA104" s="60">
        <f t="shared" si="1254"/>
        <v>0</v>
      </c>
      <c r="XB104" s="60">
        <f t="shared" si="1255"/>
        <v>0</v>
      </c>
      <c r="XC104" s="76">
        <f t="shared" si="1081"/>
        <v>0</v>
      </c>
      <c r="XD104" s="46">
        <f t="shared" si="1082"/>
        <v>39</v>
      </c>
      <c r="XE104" s="46">
        <f t="shared" si="1256"/>
        <v>2.6289999999999996</v>
      </c>
      <c r="XF104" s="46">
        <f t="shared" si="1083"/>
        <v>1</v>
      </c>
      <c r="XG104" s="46">
        <f t="shared" si="1084"/>
        <v>2</v>
      </c>
      <c r="XH104" s="46" cm="1">
        <f t="array" ref="XH104">ROUND(VALUE(IFERROR(INDEX(ArchiveResults!$F$5:$IX$116,ComparisonData!A104,ComparisonData!$XH$1),0)),5)</f>
        <v>0</v>
      </c>
      <c r="XI104" s="46" cm="1">
        <f t="array" ref="XI104">ROUND(VALUE(IFERROR(INDEX(ArchiveResults!$F$5:$IX$116,ComparisonData!A104,ComparisonData!$XI$1),0)),5)</f>
        <v>0</v>
      </c>
      <c r="XJ104" s="56">
        <v>99</v>
      </c>
      <c r="XK104" s="53" t="str">
        <f t="shared" si="1257"/>
        <v>University of Reading, Special Collections and The Museum of English Rural Life</v>
      </c>
      <c r="XL104" s="60">
        <f t="shared" si="1085"/>
        <v>0</v>
      </c>
      <c r="XM104" s="60">
        <f t="shared" si="1086"/>
        <v>0</v>
      </c>
      <c r="XN104" s="76">
        <f t="shared" si="1087"/>
        <v>0</v>
      </c>
      <c r="XO104" s="46">
        <f t="shared" si="1088"/>
        <v>39</v>
      </c>
      <c r="XP104" s="46">
        <f t="shared" si="1258"/>
        <v>2.6289999999999996</v>
      </c>
      <c r="XQ104" s="46">
        <f t="shared" si="1089"/>
        <v>1</v>
      </c>
      <c r="XR104" s="46">
        <f t="shared" si="1090"/>
        <v>2</v>
      </c>
      <c r="XS104" s="46" cm="1">
        <f t="array" ref="XS104">ROUND(VALUE(IFERROR(INDEX(ArchiveResults!$F$5:$IX$116,ComparisonData!A104,ComparisonData!$XS$1),0)),5)</f>
        <v>0</v>
      </c>
      <c r="XT104" s="46" cm="1">
        <f t="array" ref="XT104">ROUND(VALUE(IFERROR(INDEX(ArchiveResults!$F$5:$IX$116,ComparisonData!A104,ComparisonData!$XT$1),0)),5)</f>
        <v>0</v>
      </c>
      <c r="XU104" s="56">
        <v>99</v>
      </c>
      <c r="XV104" s="53" t="str">
        <f t="shared" si="1259"/>
        <v>University of Reading, Special Collections and The Museum of English Rural Life</v>
      </c>
      <c r="XW104" s="60">
        <f t="shared" si="1091"/>
        <v>0</v>
      </c>
      <c r="XX104" s="60">
        <f t="shared" si="1092"/>
        <v>0</v>
      </c>
      <c r="XY104" s="76">
        <f t="shared" si="1093"/>
        <v>0</v>
      </c>
      <c r="XZ104" s="46">
        <f t="shared" si="1094"/>
        <v>39</v>
      </c>
      <c r="YA104" s="46">
        <f t="shared" si="1260"/>
        <v>2.6289999999999996</v>
      </c>
      <c r="YB104" s="46">
        <f t="shared" si="1095"/>
        <v>1</v>
      </c>
      <c r="YC104" s="46">
        <f t="shared" si="1096"/>
        <v>2</v>
      </c>
      <c r="YD104" s="46" cm="1">
        <f t="array" ref="YD104">ROUND(VALUE(IFERROR(INDEX(ArchiveResults!$F$5:$IX$116,ComparisonData!A104,ComparisonData!$YD$1),0)),5)</f>
        <v>0</v>
      </c>
      <c r="YE104" s="46" cm="1">
        <f t="array" ref="YE104">ROUND(VALUE(IFERROR(INDEX(ArchiveResults!$F$5:$IX$116,ComparisonData!A104,ComparisonData!$YE$1),0)),5)</f>
        <v>0</v>
      </c>
      <c r="YF104" s="56">
        <v>99</v>
      </c>
      <c r="YG104" s="53" t="str">
        <f t="shared" si="1261"/>
        <v>University of Reading, Special Collections and The Museum of English Rural Life</v>
      </c>
      <c r="YH104" s="60">
        <f t="shared" si="1097"/>
        <v>0</v>
      </c>
      <c r="YI104" s="60">
        <f t="shared" si="1098"/>
        <v>0</v>
      </c>
      <c r="YJ104" s="76">
        <f t="shared" si="1099"/>
        <v>0</v>
      </c>
      <c r="YK104" s="46">
        <f t="shared" si="1100"/>
        <v>39</v>
      </c>
      <c r="YL104" s="46">
        <f t="shared" si="1262"/>
        <v>2.6289999999999996</v>
      </c>
      <c r="YM104" s="46">
        <f t="shared" si="1101"/>
        <v>1</v>
      </c>
      <c r="YN104" s="46">
        <f t="shared" si="1102"/>
        <v>2</v>
      </c>
      <c r="YO104" s="46" cm="1">
        <f t="array" ref="YO104">ROUND(VALUE(IFERROR(INDEX(ArchiveResults!$F$5:$IX$116,ComparisonData!A104,ComparisonData!$YO$1),0)),5)</f>
        <v>0</v>
      </c>
      <c r="YP104" s="46" cm="1">
        <f t="array" ref="YP104">ROUND(VALUE(IFERROR(INDEX(ArchiveResults!$F$5:$IX$116,ComparisonData!A104,ComparisonData!$YP$1),0)),5)</f>
        <v>0</v>
      </c>
      <c r="YQ104" s="56">
        <v>99</v>
      </c>
      <c r="YR104" s="53" t="str">
        <f t="shared" si="1263"/>
        <v>University of Reading, Special Collections and The Museum of English Rural Life</v>
      </c>
      <c r="YS104" s="60">
        <f t="shared" si="1103"/>
        <v>0</v>
      </c>
      <c r="YT104" s="60">
        <f t="shared" si="1104"/>
        <v>0</v>
      </c>
      <c r="YU104" s="76">
        <f t="shared" si="1105"/>
        <v>0</v>
      </c>
      <c r="YV104" s="46">
        <f t="shared" si="1106"/>
        <v>39</v>
      </c>
      <c r="YW104" s="46">
        <f t="shared" si="1264"/>
        <v>2.6289999999999996</v>
      </c>
      <c r="YX104" s="46">
        <f t="shared" si="1107"/>
        <v>1</v>
      </c>
      <c r="YY104" s="46">
        <f t="shared" si="1108"/>
        <v>2</v>
      </c>
      <c r="YZ104" s="46">
        <f t="shared" si="1109"/>
        <v>0</v>
      </c>
      <c r="ZA104" s="46" cm="1">
        <f t="array" ref="ZA104">ROUNDDOWN(VALUE(IFERROR(INDEX(ArchiveResults!$F$5:$IX$116,ComparisonData!A104,ComparisonData!$ZA$1),0)),5)</f>
        <v>0</v>
      </c>
      <c r="ZB104" s="46" cm="1">
        <f t="array" ref="ZB104">ROUNDDOWN(VALUE(IFERROR(INDEX(ArchiveResults!$F$5:$IX$116,ComparisonData!A104,ComparisonData!$ZB$1),0)),5)</f>
        <v>0</v>
      </c>
      <c r="ZC104" s="46" cm="1">
        <f t="array" ref="ZC104">ROUNDDOWN(VALUE(IFERROR(INDEX(ArchiveResults!$F$5:$IX$116,ComparisonData!A104,ComparisonData!$ZC$1),0)),5)</f>
        <v>0</v>
      </c>
      <c r="ZD104" s="46" cm="1">
        <f t="array" ref="ZD104">ROUNDDOWN(VALUE(IFERROR(INDEX(ArchiveResults!$F$5:$IX$116,ComparisonData!A104,ComparisonData!$ZD$1),0)),5)</f>
        <v>0</v>
      </c>
      <c r="ZE104" s="46" cm="1">
        <f t="array" ref="ZE104">ROUNDDOWN(VALUE(IFERROR(INDEX(ArchiveResults!$F$5:$IX$116,ComparisonData!A104,ComparisonData!$ZE$1),0)),5)</f>
        <v>0</v>
      </c>
      <c r="ZF104" s="56">
        <v>99</v>
      </c>
      <c r="ZG104" s="53" t="str">
        <f t="shared" si="1265"/>
        <v>University of Reading, Special Collections and The Museum of English Rural Life</v>
      </c>
      <c r="ZH104" s="60">
        <f t="shared" si="1110"/>
        <v>0</v>
      </c>
      <c r="ZI104" s="60">
        <f t="shared" si="1111"/>
        <v>0</v>
      </c>
      <c r="ZJ104" s="60">
        <f t="shared" si="1112"/>
        <v>0</v>
      </c>
      <c r="ZK104" s="60">
        <f t="shared" si="1113"/>
        <v>0</v>
      </c>
      <c r="ZL104" s="60">
        <f t="shared" si="1114"/>
        <v>0</v>
      </c>
      <c r="ZM104" s="76">
        <f t="shared" si="1115"/>
        <v>0</v>
      </c>
      <c r="ZN104" s="46">
        <f t="shared" si="1116"/>
        <v>39</v>
      </c>
      <c r="ZO104" s="46">
        <f t="shared" si="1266"/>
        <v>2.6289999999999996</v>
      </c>
      <c r="ZP104" s="46">
        <f t="shared" si="1117"/>
        <v>1</v>
      </c>
      <c r="ZQ104" s="46">
        <f t="shared" si="1118"/>
        <v>2</v>
      </c>
      <c r="ZR104" s="46" cm="1">
        <f t="array" ref="ZR104">ROUND(VALUE(IFERROR(INDEX(ArchiveResults!$F$5:$IX$116,ComparisonData!A104,ComparisonData!$ZR$1),0)),5)</f>
        <v>0</v>
      </c>
      <c r="ZS104" s="56">
        <v>99</v>
      </c>
      <c r="ZT104" s="53" t="str">
        <f t="shared" si="1267"/>
        <v>University of Reading, Special Collections and The Museum of English Rural Life</v>
      </c>
      <c r="ZU104" s="46">
        <f t="shared" si="1119"/>
        <v>0</v>
      </c>
      <c r="ZV104" s="76">
        <f t="shared" si="1120"/>
        <v>0</v>
      </c>
      <c r="ZW104" s="81" cm="1">
        <f t="array" ref="ZW104">ROUND((IFERROR(INDEX(ArchiveResults!$F$5:$IX$116,ComparisonData!A104,ComparisonData!$ZW$1),0)),5)</f>
        <v>0</v>
      </c>
      <c r="ZX104" s="81" cm="1">
        <f t="array" ref="ZX104">ROUND((IFERROR(INDEX(ArchiveResults!$F$5:$IX$116,ComparisonData!A104,ComparisonData!$ZX$1),0)),5)</f>
        <v>0</v>
      </c>
      <c r="ZY104" s="81" cm="1">
        <f t="array" ref="ZY104">ROUND((IFERROR(INDEX(ArchiveResults!$F$5:$IX$116,ComparisonData!A104,ComparisonData!$ZY$1),0)),5)</f>
        <v>0</v>
      </c>
      <c r="ZZ104" s="81" cm="1">
        <f t="array" ref="ZZ104">ROUND((IFERROR(INDEX(ArchiveResults!$F$5:$IX$116,ComparisonData!A104,ComparisonData!$ZZ$1),0)),5)</f>
        <v>0</v>
      </c>
      <c r="AAA104" s="81" cm="1">
        <f t="array" ref="AAA104">ROUND((IFERROR(INDEX(ArchiveResults!$F$5:$IX$116,ComparisonData!A104,ComparisonData!$AAA$1),0)),5)</f>
        <v>0</v>
      </c>
      <c r="AAB104" s="81" cm="1">
        <f t="array" ref="AAB104">ROUND((IFERROR(INDEX(ArchiveResults!$F$5:$IX$116,ComparisonData!A104,ComparisonData!$AAB$1),0)),5)</f>
        <v>0</v>
      </c>
      <c r="AAC104" s="81" cm="1">
        <f t="array" ref="AAC104">ROUND((IFERROR(INDEX(ArchiveResults!$F$5:$IX$116,ComparisonData!A104,ComparisonData!$AAC$1),0)),5)</f>
        <v>0</v>
      </c>
      <c r="AAD104" s="81" cm="1">
        <f t="array" ref="AAD104">ROUND((IFERROR(INDEX(ArchiveResults!$F$5:$IX$116,ComparisonData!A104,ComparisonData!$AAD$1),0)),5)</f>
        <v>0</v>
      </c>
      <c r="AAE104" s="81" cm="1">
        <f t="array" ref="AAE104">ROUND((IFERROR(INDEX(ArchiveResults!$F$5:$IX$116,ComparisonData!A104,ComparisonData!$AAE$1),0)),5)</f>
        <v>0</v>
      </c>
      <c r="AAF104" s="81" cm="1">
        <f t="array" ref="AAF104">ROUND((IFERROR(INDEX(ArchiveResults!$F$5:$IX$116,ComparisonData!A104,ComparisonData!$AAF$1),0)),5)</f>
        <v>0</v>
      </c>
      <c r="AAG104" s="46">
        <f t="shared" si="1121"/>
        <v>39</v>
      </c>
      <c r="AAH104" s="46">
        <f t="shared" si="1268"/>
        <v>2.6289999999999996</v>
      </c>
      <c r="AAI104" s="46">
        <f t="shared" si="1122"/>
        <v>1</v>
      </c>
      <c r="AAJ104" s="46">
        <f t="shared" si="1123"/>
        <v>2</v>
      </c>
      <c r="AAK104" s="46">
        <f t="shared" si="1124"/>
        <v>0</v>
      </c>
      <c r="AAL104" s="46">
        <f t="shared" si="1125"/>
        <v>0</v>
      </c>
      <c r="AAM104" s="46">
        <f t="shared" si="1126"/>
        <v>0</v>
      </c>
      <c r="AAN104" s="46">
        <f t="shared" si="1127"/>
        <v>0</v>
      </c>
      <c r="AAO104" s="46">
        <f t="shared" si="1128"/>
        <v>0</v>
      </c>
      <c r="AAP104" s="46">
        <f t="shared" si="1129"/>
        <v>0</v>
      </c>
      <c r="AAQ104" s="56">
        <v>99</v>
      </c>
      <c r="AAR104" s="53" t="str">
        <f t="shared" si="1269"/>
        <v>University of Reading, Special Collections and The Museum of English Rural Life</v>
      </c>
      <c r="AAS104" s="60">
        <f t="shared" si="1130"/>
        <v>0</v>
      </c>
      <c r="AAT104" s="60">
        <f t="shared" si="1131"/>
        <v>0</v>
      </c>
      <c r="AAU104" s="60">
        <f t="shared" si="1132"/>
        <v>0</v>
      </c>
      <c r="AAV104" s="60">
        <f t="shared" si="1133"/>
        <v>0</v>
      </c>
      <c r="AAW104" s="60">
        <f t="shared" si="1134"/>
        <v>0</v>
      </c>
      <c r="AAX104" s="76">
        <f t="shared" si="1135"/>
        <v>0</v>
      </c>
      <c r="AAY104" s="46">
        <f t="shared" si="1136"/>
        <v>39</v>
      </c>
      <c r="AAZ104" s="46">
        <f t="shared" si="1270"/>
        <v>2.6289999999999996</v>
      </c>
      <c r="ABA104" s="46">
        <f t="shared" si="1137"/>
        <v>1</v>
      </c>
      <c r="ABB104" s="46">
        <f t="shared" si="1138"/>
        <v>2</v>
      </c>
      <c r="ABC104" s="46">
        <f t="shared" si="742"/>
        <v>0</v>
      </c>
      <c r="ABD104" s="46" cm="1">
        <f t="array" ref="ABD104">ROUND(VALUE(IFERROR(INDEX(ArchiveResults!$F$5:$IX$116,ComparisonData!A104,ComparisonData!$ABD$1),0)),5)</f>
        <v>0</v>
      </c>
      <c r="ABE104" s="46" cm="1">
        <f t="array" ref="ABE104">ROUND(VALUE(IFERROR(INDEX(ArchiveResults!$F$5:$IX$116,ComparisonData!A104,ComparisonData!$ABE$1),0)),5)</f>
        <v>0</v>
      </c>
      <c r="ABF104" s="46" cm="1">
        <f t="array" ref="ABF104">ROUND(VALUE(IFERROR(INDEX(ArchiveResults!$F$5:$IX$116,ComparisonData!A104,ComparisonData!$ABF$1),0)),5)</f>
        <v>0</v>
      </c>
      <c r="ABG104" s="46" cm="1">
        <f t="array" ref="ABG104">ROUND(VALUE(IFERROR(INDEX(ArchiveResults!$F$5:$IX$116,ComparisonData!A104,ComparisonData!$ABG$1),0)),5)</f>
        <v>0</v>
      </c>
      <c r="ABH104" s="46" cm="1">
        <f t="array" ref="ABH104">ROUND(VALUE(IFERROR(INDEX(ArchiveResults!$F$5:$IX$116,ComparisonData!A104,ComparisonData!$ABH$1),0)),5)</f>
        <v>0</v>
      </c>
      <c r="ABI104" s="56">
        <v>99</v>
      </c>
      <c r="ABJ104" s="53" t="str">
        <f t="shared" si="1271"/>
        <v>University of Reading, Special Collections and The Museum of English Rural Life</v>
      </c>
      <c r="ABK104" s="60">
        <f t="shared" si="1139"/>
        <v>0</v>
      </c>
      <c r="ABL104" s="60">
        <f t="shared" si="1140"/>
        <v>0</v>
      </c>
      <c r="ABM104" s="60">
        <f t="shared" si="1141"/>
        <v>0</v>
      </c>
      <c r="ABN104" s="60">
        <f t="shared" si="1142"/>
        <v>0</v>
      </c>
      <c r="ABO104" s="60">
        <f t="shared" si="1143"/>
        <v>0</v>
      </c>
      <c r="ABP104" s="76">
        <f t="shared" si="1144"/>
        <v>0</v>
      </c>
      <c r="ABQ104" s="46">
        <f t="shared" si="1145"/>
        <v>39</v>
      </c>
      <c r="ABR104" s="46">
        <f t="shared" si="1272"/>
        <v>2.6289999999999996</v>
      </c>
      <c r="ABS104" s="46">
        <f t="shared" si="1146"/>
        <v>1</v>
      </c>
      <c r="ABT104" s="46">
        <f t="shared" si="1147"/>
        <v>2</v>
      </c>
      <c r="ABU104" s="46" cm="1">
        <f t="array" ref="ABU104">ROUND(VALUE(IFERROR(INDEX(ArchiveResults!$F$5:$IX$116,ComparisonData!A104,ComparisonData!$ABU$1),0)),5)</f>
        <v>0</v>
      </c>
      <c r="ABV104" s="46" cm="1">
        <f t="array" ref="ABV104">ROUND(VALUE(IFERROR(INDEX(ArchiveResults!$F$5:$IX$116,ComparisonData!A104,ComparisonData!$ABV$1),0)),5)</f>
        <v>0</v>
      </c>
      <c r="ABW104" s="46" cm="1">
        <f t="array" ref="ABW104">ROUND(VALUE(IFERROR(INDEX(ArchiveResults!$F$5:$IX$116,ComparisonData!A104,ComparisonData!$ABW$1),0)),5)</f>
        <v>0</v>
      </c>
      <c r="ABX104" s="46" cm="1">
        <f t="array" ref="ABX104">ROUND(VALUE(IFERROR(INDEX(ArchiveResults!$F$5:$IX$116,ComparisonData!A104,ComparisonData!$ABX$1),0)),5)</f>
        <v>0</v>
      </c>
      <c r="ABY104" s="46" cm="1">
        <f t="array" ref="ABY104">ROUND(VALUE(IFERROR(INDEX(ArchiveResults!$F$5:$IX$116,ComparisonData!A104,ComparisonData!$ABY$1),0)),5)</f>
        <v>0</v>
      </c>
      <c r="ABZ104" s="56">
        <v>99</v>
      </c>
      <c r="ACA104" s="53" t="str">
        <f t="shared" si="1273"/>
        <v>University of Reading, Special Collections and The Museum of English Rural Life</v>
      </c>
      <c r="ACB104" s="60">
        <f t="shared" si="1148"/>
        <v>0</v>
      </c>
      <c r="ACC104" s="60">
        <f t="shared" si="1149"/>
        <v>0</v>
      </c>
      <c r="ACD104" s="60">
        <f t="shared" si="1150"/>
        <v>0</v>
      </c>
      <c r="ACE104" s="60">
        <f t="shared" si="1151"/>
        <v>0</v>
      </c>
      <c r="ACF104" s="60">
        <f t="shared" si="1152"/>
        <v>0</v>
      </c>
      <c r="ACG104" s="76">
        <f t="shared" si="1153"/>
        <v>0</v>
      </c>
      <c r="ACH104" s="46">
        <f t="shared" si="1154"/>
        <v>39</v>
      </c>
      <c r="ACI104" s="46">
        <f t="shared" si="1274"/>
        <v>2.6289999999999996</v>
      </c>
      <c r="ACJ104" s="46">
        <f t="shared" si="1155"/>
        <v>1</v>
      </c>
      <c r="ACK104" s="46">
        <f t="shared" si="1156"/>
        <v>2</v>
      </c>
      <c r="ACL104" s="46">
        <f t="shared" si="1157"/>
        <v>0</v>
      </c>
      <c r="ACM104" s="46" cm="1">
        <f t="array" ref="ACM104">ROUND(IFERROR(INDEX(ArchiveResults!$F$5:$IX$116,ComparisonData!A104,ComparisonData!$ACM$1),0),5)</f>
        <v>0</v>
      </c>
      <c r="ACN104" s="46" cm="1">
        <f t="array" ref="ACN104">ROUND(IFERROR(INDEX(ArchiveResults!$F$5:$IX$116,ComparisonData!A104,ComparisonData!$ACN$1),0),5)</f>
        <v>0</v>
      </c>
      <c r="ACO104" s="56">
        <v>99</v>
      </c>
      <c r="ACP104" s="53" t="str">
        <f t="shared" si="1275"/>
        <v>University of Reading, Special Collections and The Museum of English Rural Life</v>
      </c>
      <c r="ACQ104" s="60">
        <f t="shared" si="1158"/>
        <v>0</v>
      </c>
      <c r="ACR104" s="60">
        <f t="shared" si="1159"/>
        <v>0</v>
      </c>
      <c r="ACS104" s="76">
        <f t="shared" si="1160"/>
        <v>0</v>
      </c>
      <c r="ACT104" s="46">
        <f t="shared" si="1161"/>
        <v>39</v>
      </c>
      <c r="ACU104" s="46">
        <f t="shared" si="1276"/>
        <v>2.6289999999999996</v>
      </c>
      <c r="ACV104" s="46">
        <f t="shared" si="1162"/>
        <v>1</v>
      </c>
      <c r="ACW104" s="46">
        <f t="shared" si="1163"/>
        <v>2</v>
      </c>
      <c r="ACX104" s="46">
        <f t="shared" si="1164"/>
        <v>0</v>
      </c>
      <c r="ACY104" s="46" cm="1">
        <f t="array" ref="ACY104">ROUNDDOWN(IFERROR(INDEX(ArchiveResults!$F$5:$IX$116,ComparisonData!A104,ComparisonData!$ACY$1),0),5)</f>
        <v>0</v>
      </c>
      <c r="ACZ104" s="46" cm="1">
        <f t="array" ref="ACZ104">ROUNDDOWN(IFERROR(INDEX(ArchiveResults!$F$5:$IX$116,ComparisonData!A104,ComparisonData!$ACZ$1),0),5)</f>
        <v>0</v>
      </c>
      <c r="ADA104" s="46" cm="1">
        <f t="array" ref="ADA104">ROUNDDOWN(IFERROR(INDEX(ArchiveResults!$F$5:$IX$116,ComparisonData!A104,ComparisonData!$ADA$1),0),5)</f>
        <v>0</v>
      </c>
      <c r="ADB104" s="56">
        <v>99</v>
      </c>
      <c r="ADC104" s="53" t="str">
        <f t="shared" si="1277"/>
        <v>University of Reading, Special Collections and The Museum of English Rural Life</v>
      </c>
      <c r="ADD104" s="60">
        <f t="shared" si="1165"/>
        <v>0</v>
      </c>
      <c r="ADE104" s="60">
        <f t="shared" si="1166"/>
        <v>0</v>
      </c>
      <c r="ADF104" s="60">
        <f t="shared" si="1167"/>
        <v>0</v>
      </c>
      <c r="ADG104" s="76">
        <f t="shared" si="1168"/>
        <v>0</v>
      </c>
    </row>
    <row r="105" spans="1:787" x14ac:dyDescent="0.25">
      <c r="A105" s="46" t="str">
        <f>IF(ISBLANK(ComparisonSelection!F101),"",ROW()-5)</f>
        <v/>
      </c>
      <c r="B105" s="53" t="s">
        <v>556</v>
      </c>
      <c r="C105" s="72">
        <v>0.83899999999999986</v>
      </c>
      <c r="D105" s="55">
        <f t="shared" si="750"/>
        <v>81</v>
      </c>
      <c r="E105" s="54">
        <f t="shared" si="751"/>
        <v>2.839</v>
      </c>
      <c r="F105" s="54">
        <f t="shared" si="752"/>
        <v>1</v>
      </c>
      <c r="G105" s="72">
        <f t="shared" si="753"/>
        <v>2</v>
      </c>
      <c r="H105" s="72">
        <f t="shared" si="754"/>
        <v>0</v>
      </c>
      <c r="I105" s="46" cm="1">
        <f t="array" ref="I105">ROUND(IFERROR(INDEX(ArchiveResults!$F$5:$IX$116,ComparisonData!A105,ComparisonData!$I$1),0),5)</f>
        <v>0</v>
      </c>
      <c r="J105" s="46" cm="1">
        <f t="array" ref="J105">ROUND(IFERROR(INDEX(ArchiveResults!$F$5:$IX$116,ComparisonData!A105,ComparisonData!$J$1),0),5)</f>
        <v>0</v>
      </c>
      <c r="K105" s="56">
        <v>100</v>
      </c>
      <c r="L105" s="53" t="str">
        <f t="shared" si="755"/>
        <v>University of St Andrews, University Collections</v>
      </c>
      <c r="M105" s="57">
        <f t="shared" si="1169"/>
        <v>0</v>
      </c>
      <c r="N105" s="57">
        <f t="shared" si="1170"/>
        <v>0</v>
      </c>
      <c r="O105" s="58">
        <f t="shared" si="756"/>
        <v>0</v>
      </c>
      <c r="P105" s="48">
        <f t="shared" si="757"/>
        <v>81</v>
      </c>
      <c r="Q105" s="54">
        <f t="shared" si="1171"/>
        <v>2.839</v>
      </c>
      <c r="R105" s="45">
        <f t="shared" si="758"/>
        <v>1</v>
      </c>
      <c r="S105" s="46">
        <f t="shared" si="759"/>
        <v>2</v>
      </c>
      <c r="T105" s="72">
        <f t="shared" si="760"/>
        <v>0</v>
      </c>
      <c r="U105" s="46" cm="1">
        <f t="array" ref="U105">ROUND(IFERROR(INDEX(ArchiveResults!$F$5:$IX$116,ComparisonData!A105,ComparisonData!$U$1),0),5)</f>
        <v>0</v>
      </c>
      <c r="V105" s="46" cm="1">
        <f t="array" ref="V105">ROUND(IFERROR(INDEX(ArchiveResults!$F$5:$IX$116,ComparisonData!A105,ComparisonData!$V$1),0),5)</f>
        <v>0</v>
      </c>
      <c r="W105" s="56">
        <v>100</v>
      </c>
      <c r="X105" s="53" t="str">
        <f t="shared" si="1172"/>
        <v>University of St Andrews, University Collections</v>
      </c>
      <c r="Y105" s="57">
        <f t="shared" si="761"/>
        <v>0</v>
      </c>
      <c r="Z105" s="57">
        <f t="shared" si="762"/>
        <v>0</v>
      </c>
      <c r="AA105" s="58">
        <f t="shared" si="763"/>
        <v>0</v>
      </c>
      <c r="AB105" s="45">
        <f t="shared" si="764"/>
        <v>81</v>
      </c>
      <c r="AC105" s="54">
        <f t="shared" si="1173"/>
        <v>2.839</v>
      </c>
      <c r="AD105" s="45">
        <f t="shared" si="765"/>
        <v>1</v>
      </c>
      <c r="AE105" s="45">
        <f t="shared" si="766"/>
        <v>2</v>
      </c>
      <c r="AF105" s="45">
        <f t="shared" si="639"/>
        <v>0</v>
      </c>
      <c r="AG105" s="46" cm="1">
        <f t="array" ref="AG105">ROUND(IFERROR(INDEX(ArchiveResults!$F$5:$IX$116,ComparisonData!A105,ComparisonData!$AG$1),0),5)</f>
        <v>0</v>
      </c>
      <c r="AH105" s="46" cm="1">
        <f t="array" ref="AH105">ROUND(IFERROR(INDEX(ArchiveResults!$F$5:$IX$116,ComparisonData!A105,ComparisonData!$AH$1),0),5)</f>
        <v>0</v>
      </c>
      <c r="AI105" s="56">
        <v>100</v>
      </c>
      <c r="AJ105" s="53" t="str">
        <f t="shared" si="1174"/>
        <v>University of St Andrews, University Collections</v>
      </c>
      <c r="AK105" s="59">
        <f t="shared" si="1175"/>
        <v>0</v>
      </c>
      <c r="AL105" s="59">
        <f t="shared" si="1176"/>
        <v>0</v>
      </c>
      <c r="AM105" s="58">
        <f t="shared" si="767"/>
        <v>0</v>
      </c>
      <c r="AN105" s="45">
        <f t="shared" si="768"/>
        <v>81</v>
      </c>
      <c r="AO105" s="54">
        <f t="shared" si="1177"/>
        <v>2.839</v>
      </c>
      <c r="AP105" s="45">
        <f t="shared" si="769"/>
        <v>1</v>
      </c>
      <c r="AQ105" s="45">
        <f t="shared" si="770"/>
        <v>2</v>
      </c>
      <c r="AR105" s="46" cm="1">
        <f t="array" ref="AR105">ROUND(IFERROR(INDEX(ArchiveResults!$F$5:$IX$116,ComparisonData!A105,ComparisonData!$AR$1),0),5)</f>
        <v>0</v>
      </c>
      <c r="AS105" s="46" cm="1">
        <f t="array" ref="AS105">ROUND(IFERROR(INDEX(ArchiveResults!$F$5:$IX$116,ComparisonData!A105,ComparisonData!$AS$1),0),5)</f>
        <v>0</v>
      </c>
      <c r="AT105" s="46" cm="1">
        <f t="array" ref="AT105">ROUND(IFERROR(INDEX(ArchiveResults!$F$5:$IX$116,ComparisonData!A105,ComparisonData!$AT$1),0),5)</f>
        <v>0</v>
      </c>
      <c r="AU105" s="46" cm="1">
        <f t="array" ref="AU105">ROUND(IFERROR(INDEX(ArchiveResults!$F$5:$IX$116,ComparisonData!A105,ComparisonData!$AU$1),0),5)</f>
        <v>0</v>
      </c>
      <c r="AV105" s="46" cm="1">
        <f t="array" ref="AV105">ROUND(IFERROR(INDEX(ArchiveResults!$F$5:$IX$116,ComparisonData!A105,ComparisonData!$AV$1),0),5)</f>
        <v>0</v>
      </c>
      <c r="AW105" s="46" cm="1">
        <f t="array" ref="AW105">ROUND(IFERROR(INDEX(ArchiveResults!$F$5:$IX$116,ComparisonData!A105,ComparisonData!$AW$1),0),5)</f>
        <v>0</v>
      </c>
      <c r="AX105" s="46" cm="1">
        <f t="array" ref="AX105">ROUND(IFERROR(INDEX(ArchiveResults!$F$5:$IX$116,ComparisonData!A105,ComparisonData!$AX$1),0),5)</f>
        <v>0</v>
      </c>
      <c r="AY105" s="46" cm="1">
        <f t="array" ref="AY105">ROUND(IFERROR(INDEX(ArchiveResults!$F$5:$IX$116,ComparisonData!A105,ComparisonData!$AY$1),0),5)</f>
        <v>0</v>
      </c>
      <c r="AZ105" s="46" cm="1">
        <f t="array" ref="AZ105">ROUND(IFERROR(INDEX(ArchiveResults!$F$5:$IX$116,ComparisonData!A105,ComparisonData!$AZ$1),0),5)</f>
        <v>0</v>
      </c>
      <c r="BA105" s="46" cm="1">
        <f t="array" ref="BA105">ROUND(IFERROR(INDEX(ArchiveResults!$F$5:$IX$116,ComparisonData!A105,ComparisonData!$BA$1),0),5)</f>
        <v>0</v>
      </c>
      <c r="BB105" s="56">
        <v>100</v>
      </c>
      <c r="BC105" s="53" t="str">
        <f t="shared" si="1178"/>
        <v>University of St Andrews, University Collections</v>
      </c>
      <c r="BD105" s="60">
        <f t="shared" si="771"/>
        <v>0</v>
      </c>
      <c r="BE105" s="60">
        <f t="shared" si="772"/>
        <v>0</v>
      </c>
      <c r="BF105" s="60">
        <f t="shared" si="773"/>
        <v>0</v>
      </c>
      <c r="BG105" s="60">
        <f t="shared" si="774"/>
        <v>0</v>
      </c>
      <c r="BH105" s="60">
        <f t="shared" si="775"/>
        <v>0</v>
      </c>
      <c r="BI105" s="60">
        <f t="shared" si="776"/>
        <v>0</v>
      </c>
      <c r="BJ105" s="60">
        <f t="shared" si="777"/>
        <v>0</v>
      </c>
      <c r="BK105" s="60">
        <f t="shared" si="778"/>
        <v>0</v>
      </c>
      <c r="BL105" s="60">
        <f t="shared" si="779"/>
        <v>0</v>
      </c>
      <c r="BM105" s="59">
        <f t="shared" si="780"/>
        <v>0</v>
      </c>
      <c r="BN105" s="58">
        <f t="shared" si="781"/>
        <v>0</v>
      </c>
      <c r="BO105" s="45">
        <f t="shared" si="782"/>
        <v>81</v>
      </c>
      <c r="BP105" s="54">
        <f t="shared" si="1179"/>
        <v>2.839</v>
      </c>
      <c r="BQ105" s="45">
        <f t="shared" si="783"/>
        <v>1</v>
      </c>
      <c r="BR105" s="45">
        <f t="shared" si="784"/>
        <v>2</v>
      </c>
      <c r="BS105" s="46" cm="1">
        <f t="array" ref="BS105">ROUND(IFERROR(INDEX(ArchiveResults!$F$5:$IX$116,ComparisonData!A105,ComparisonData!$BS$1),0),5)</f>
        <v>0</v>
      </c>
      <c r="BT105" s="46" cm="1">
        <f t="array" ref="BT105">ROUND(IFERROR(INDEX(ArchiveResults!$F$5:$IX$116,ComparisonData!A105,ComparisonData!$BT$1),0),5)</f>
        <v>0</v>
      </c>
      <c r="BU105" s="46" cm="1">
        <f t="array" ref="BU105">ROUND(IFERROR(INDEX(ArchiveResults!$F$5:$IX$116,ComparisonData!A105,ComparisonData!$BU$1),0),5)</f>
        <v>0</v>
      </c>
      <c r="BV105" s="46" cm="1">
        <f t="array" ref="BV105">ROUND(IFERROR(INDEX(ArchiveResults!$F$5:$IX$116,ComparisonData!A105,ComparisonData!$BV$1),0),5)</f>
        <v>0</v>
      </c>
      <c r="BW105" s="46" cm="1">
        <f t="array" ref="BW105">ROUND(IFERROR(INDEX(ArchiveResults!$F$5:$IX$116,ComparisonData!A105,ComparisonData!$BW$1),0),5)</f>
        <v>0</v>
      </c>
      <c r="BX105" s="46" cm="1">
        <f t="array" ref="BX105">ROUND(IFERROR(INDEX(ArchiveResults!$F$5:$IX$116,ComparisonData!A105,ComparisonData!$BX$1),0),5)</f>
        <v>0</v>
      </c>
      <c r="BY105" s="56">
        <v>100</v>
      </c>
      <c r="BZ105" s="53" t="str">
        <f t="shared" si="1180"/>
        <v>University of St Andrews, University Collections</v>
      </c>
      <c r="CA105" s="59">
        <f t="shared" si="785"/>
        <v>0</v>
      </c>
      <c r="CB105" s="59">
        <f t="shared" si="786"/>
        <v>0</v>
      </c>
      <c r="CC105" s="59">
        <f t="shared" si="787"/>
        <v>0</v>
      </c>
      <c r="CD105" s="59">
        <f t="shared" si="788"/>
        <v>0</v>
      </c>
      <c r="CE105" s="59">
        <f t="shared" si="789"/>
        <v>0</v>
      </c>
      <c r="CF105" s="59">
        <f t="shared" si="790"/>
        <v>0</v>
      </c>
      <c r="CG105" s="58">
        <f t="shared" si="791"/>
        <v>0</v>
      </c>
      <c r="CH105" s="45">
        <f t="shared" si="792"/>
        <v>81</v>
      </c>
      <c r="CI105" s="54">
        <f t="shared" si="1181"/>
        <v>2.839</v>
      </c>
      <c r="CJ105" s="45">
        <f t="shared" si="793"/>
        <v>1</v>
      </c>
      <c r="CK105" s="45">
        <f t="shared" si="794"/>
        <v>2</v>
      </c>
      <c r="CL105" s="46" cm="1">
        <f t="array" ref="CL105">ROUND(IFERROR(INDEX(ArchiveResults!$F$5:$IX$116,ComparisonData!A105,ComparisonData!$CL$1),0),5)</f>
        <v>0</v>
      </c>
      <c r="CM105" s="56">
        <v>100</v>
      </c>
      <c r="CN105" s="53" t="str">
        <f t="shared" si="1182"/>
        <v>University of St Andrews, University Collections</v>
      </c>
      <c r="CO105" s="45">
        <f t="shared" si="795"/>
        <v>0</v>
      </c>
      <c r="CP105" s="58">
        <f t="shared" si="796"/>
        <v>0</v>
      </c>
      <c r="CQ105" s="45">
        <f t="shared" si="797"/>
        <v>81</v>
      </c>
      <c r="CR105" s="54">
        <f t="shared" si="1183"/>
        <v>2.839</v>
      </c>
      <c r="CS105" s="45">
        <f t="shared" si="798"/>
        <v>1</v>
      </c>
      <c r="CT105" s="45">
        <f t="shared" si="799"/>
        <v>2</v>
      </c>
      <c r="CU105" s="46" cm="1">
        <f t="array" ref="CU105">ROUND(IFERROR(INDEX(ArchiveResults!$F$5:$IX$116,ComparisonData!A105,ComparisonData!$CU$1),0),5)</f>
        <v>0</v>
      </c>
      <c r="CV105" s="56">
        <v>100</v>
      </c>
      <c r="CW105" s="53" t="str">
        <f t="shared" si="1184"/>
        <v>University of St Andrews, University Collections</v>
      </c>
      <c r="CX105" s="45">
        <f t="shared" si="800"/>
        <v>0</v>
      </c>
      <c r="CY105" s="58">
        <f t="shared" si="801"/>
        <v>0</v>
      </c>
      <c r="CZ105" s="45">
        <f t="shared" si="802"/>
        <v>81</v>
      </c>
      <c r="DA105" s="54">
        <f t="shared" si="1185"/>
        <v>2.839</v>
      </c>
      <c r="DB105" s="45">
        <f t="shared" si="803"/>
        <v>1</v>
      </c>
      <c r="DC105" s="45">
        <f t="shared" si="804"/>
        <v>2</v>
      </c>
      <c r="DD105" s="46" cm="1">
        <f t="array" ref="DD105">ROUND(IFERROR(INDEX(ArchiveResults!$F$5:$IX$116,ComparisonData!A105,ComparisonData!$DD$1),0),5)</f>
        <v>0</v>
      </c>
      <c r="DE105" s="56">
        <v>100</v>
      </c>
      <c r="DF105" s="53" t="str">
        <f t="shared" si="1186"/>
        <v>University of St Andrews, University Collections</v>
      </c>
      <c r="DG105" s="45">
        <f t="shared" si="805"/>
        <v>0</v>
      </c>
      <c r="DH105" s="58">
        <f t="shared" si="806"/>
        <v>0</v>
      </c>
      <c r="DI105" s="45">
        <f t="shared" si="807"/>
        <v>81</v>
      </c>
      <c r="DJ105" s="54">
        <f t="shared" si="1187"/>
        <v>2.839</v>
      </c>
      <c r="DK105" s="45">
        <f t="shared" si="808"/>
        <v>1</v>
      </c>
      <c r="DL105" s="45">
        <f t="shared" si="809"/>
        <v>2</v>
      </c>
      <c r="DM105" s="46" cm="1">
        <f t="array" ref="DM105">ROUND(IFERROR(INDEX(ArchiveResults!$F$5:$IX$116,ComparisonData!A105,ComparisonData!$DM$1),0),5)</f>
        <v>0</v>
      </c>
      <c r="DN105" s="46" cm="1">
        <f t="array" ref="DN105">ROUND(IFERROR(INDEX(ArchiveResults!$F$5:$IX$116,ComparisonData!A105,ComparisonData!$DN$1),0),5)</f>
        <v>0</v>
      </c>
      <c r="DO105" s="46" cm="1">
        <f t="array" ref="DO105">ROUND(IFERROR(INDEX(ArchiveResults!$F$5:$IX$116,ComparisonData!A105,ComparisonData!$DO$1),0),5)</f>
        <v>0</v>
      </c>
      <c r="DP105" s="46" cm="1">
        <f t="array" ref="DP105">ROUND(IFERROR(INDEX(ArchiveResults!$F$5:$IX$116,ComparisonData!A105,ComparisonData!$DP$1),0),5)</f>
        <v>0</v>
      </c>
      <c r="DQ105" s="45" cm="1">
        <f t="array" ref="DQ105">IFERROR(INDEX(ArchiveResults!$F$5:$IX$116,ComparisonData!A105,ComparisonData!$DQ$1),0)</f>
        <v>0</v>
      </c>
      <c r="DR105" s="56">
        <v>100</v>
      </c>
      <c r="DS105" s="53" t="str">
        <f t="shared" si="1188"/>
        <v>University of St Andrews, University Collections</v>
      </c>
      <c r="DT105" s="59">
        <f t="shared" si="810"/>
        <v>0</v>
      </c>
      <c r="DU105" s="59">
        <f t="shared" si="811"/>
        <v>0</v>
      </c>
      <c r="DV105" s="59">
        <f t="shared" si="812"/>
        <v>0</v>
      </c>
      <c r="DW105" s="59">
        <f t="shared" si="813"/>
        <v>0</v>
      </c>
      <c r="DX105" s="59">
        <f t="shared" si="814"/>
        <v>0</v>
      </c>
      <c r="DY105" s="58">
        <f t="shared" si="815"/>
        <v>0</v>
      </c>
      <c r="DZ105" s="45">
        <f t="shared" si="816"/>
        <v>81</v>
      </c>
      <c r="EA105" s="54">
        <f t="shared" si="1189"/>
        <v>2.839</v>
      </c>
      <c r="EB105" s="45">
        <f t="shared" si="817"/>
        <v>1</v>
      </c>
      <c r="EC105" s="45">
        <f t="shared" si="818"/>
        <v>2</v>
      </c>
      <c r="ED105" s="46" cm="1">
        <f t="array" ref="ED105">ROUND(IFERROR(INDEX(ArchiveResults!$F$5:$IX$116,ComparisonData!A105,ComparisonData!$ED$1),0),5)</f>
        <v>0</v>
      </c>
      <c r="EE105" s="46" cm="1">
        <f t="array" ref="EE105">ROUND(IFERROR(INDEX(ArchiveResults!$F$5:$IX$116,ComparisonData!A105,ComparisonData!$EE$1),0),5)</f>
        <v>0</v>
      </c>
      <c r="EF105" s="46" cm="1">
        <f t="array" ref="EF105">ROUND(IFERROR(INDEX(ArchiveResults!$F$5:$IX$116,ComparisonData!A105,ComparisonData!$EF$1),0),5)</f>
        <v>0</v>
      </c>
      <c r="EG105" s="46" cm="1">
        <f t="array" ref="EG105">ROUND(IFERROR(INDEX(ArchiveResults!$F$5:$IX$116,ComparisonData!A105,ComparisonData!$EG$1),0),5)</f>
        <v>0</v>
      </c>
      <c r="EH105" s="45" cm="1">
        <f t="array" ref="EH105">IFERROR(INDEX(ArchiveResults!$F$5:$IX$116,ComparisonData!A105,ComparisonData!$EH$1),0)</f>
        <v>0</v>
      </c>
      <c r="EI105" s="56">
        <v>100</v>
      </c>
      <c r="EJ105" s="53" t="str">
        <f t="shared" si="1190"/>
        <v>University of St Andrews, University Collections</v>
      </c>
      <c r="EK105" s="59">
        <f t="shared" si="819"/>
        <v>0</v>
      </c>
      <c r="EL105" s="59">
        <f t="shared" si="820"/>
        <v>0</v>
      </c>
      <c r="EM105" s="59">
        <f t="shared" si="821"/>
        <v>0</v>
      </c>
      <c r="EN105" s="59">
        <f t="shared" si="822"/>
        <v>0</v>
      </c>
      <c r="EO105" s="59">
        <f t="shared" si="823"/>
        <v>0</v>
      </c>
      <c r="EP105" s="58">
        <f t="shared" si="824"/>
        <v>0</v>
      </c>
      <c r="EQ105" s="45">
        <f t="shared" si="825"/>
        <v>81</v>
      </c>
      <c r="ER105" s="54">
        <f t="shared" si="1191"/>
        <v>2.839</v>
      </c>
      <c r="ES105" s="45">
        <f t="shared" si="826"/>
        <v>1</v>
      </c>
      <c r="ET105" s="45">
        <f t="shared" si="827"/>
        <v>2</v>
      </c>
      <c r="EU105" s="46" cm="1">
        <f t="array" ref="EU105">ROUND(IFERROR(INDEX(ArchiveResults!$F$5:$IX$116,ComparisonData!A105,ComparisonData!$EU$1),0),5)</f>
        <v>0</v>
      </c>
      <c r="EV105" s="46" cm="1">
        <f t="array" ref="EV105">ROUND(IFERROR(INDEX(ArchiveResults!$F$5:$IX$116,ComparisonData!A105,ComparisonData!$EV$1),0),5)</f>
        <v>0</v>
      </c>
      <c r="EW105" s="46" cm="1">
        <f t="array" ref="EW105">ROUND(IFERROR(INDEX(ArchiveResults!$F$5:$IX$116,ComparisonData!A105,ComparisonData!$EW$1),0),5)</f>
        <v>0</v>
      </c>
      <c r="EX105" s="46" cm="1">
        <f t="array" ref="EX105">ROUND(IFERROR(INDEX(ArchiveResults!$F$5:$IX$116,ComparisonData!A105,ComparisonData!$EX$1),0),5)</f>
        <v>0</v>
      </c>
      <c r="EY105" s="45" cm="1">
        <f t="array" ref="EY105">IFERROR(INDEX(ArchiveResults!$F$5:$IX$116,ComparisonData!A105,ComparisonData!$EY$1),0)</f>
        <v>0</v>
      </c>
      <c r="EZ105" s="56">
        <v>100</v>
      </c>
      <c r="FA105" s="53" t="str">
        <f t="shared" si="1192"/>
        <v>University of St Andrews, University Collections</v>
      </c>
      <c r="FB105" s="59">
        <f t="shared" si="828"/>
        <v>0</v>
      </c>
      <c r="FC105" s="59">
        <f t="shared" si="829"/>
        <v>0</v>
      </c>
      <c r="FD105" s="59">
        <f t="shared" si="830"/>
        <v>0</v>
      </c>
      <c r="FE105" s="59">
        <f t="shared" si="831"/>
        <v>0</v>
      </c>
      <c r="FF105" s="59">
        <f t="shared" si="832"/>
        <v>0</v>
      </c>
      <c r="FG105" s="58">
        <f t="shared" si="833"/>
        <v>0</v>
      </c>
      <c r="FH105" s="45">
        <f t="shared" si="834"/>
        <v>81</v>
      </c>
      <c r="FI105" s="54">
        <f t="shared" si="1193"/>
        <v>2.839</v>
      </c>
      <c r="FJ105" s="45">
        <f t="shared" si="835"/>
        <v>1</v>
      </c>
      <c r="FK105" s="45">
        <f t="shared" si="836"/>
        <v>2</v>
      </c>
      <c r="FL105" s="46" cm="1">
        <f t="array" ref="FL105">ROUND(IFERROR(INDEX(ArchiveResults!$F$5:$IX$116,ComparisonData!A105,ComparisonData!$FL$1),0),5)</f>
        <v>0</v>
      </c>
      <c r="FM105" s="46" cm="1">
        <f t="array" ref="FM105">ROUND(IFERROR(INDEX(ArchiveResults!$F$5:$IX$116,ComparisonData!A105,ComparisonData!$FM$1),0),5)</f>
        <v>0</v>
      </c>
      <c r="FN105" s="46" cm="1">
        <f t="array" ref="FN105">ROUND(IFERROR(INDEX(ArchiveResults!$F$5:$IX$116,ComparisonData!A105,ComparisonData!$FN$1),0),5)</f>
        <v>0</v>
      </c>
      <c r="FO105" s="46" cm="1">
        <f t="array" ref="FO105">ROUND(IFERROR(INDEX(ArchiveResults!$F$5:$IX$116,ComparisonData!A105,ComparisonData!$FO$1),0),5)</f>
        <v>0</v>
      </c>
      <c r="FP105" s="45" cm="1">
        <f t="array" ref="FP105">IFERROR(INDEX(ArchiveResults!$F$5:$IX$116,ComparisonData!A105,ComparisonData!$FP$1),0)</f>
        <v>0</v>
      </c>
      <c r="FQ105" s="56">
        <v>100</v>
      </c>
      <c r="FR105" s="53" t="str">
        <f t="shared" si="1194"/>
        <v>University of St Andrews, University Collections</v>
      </c>
      <c r="FS105" s="59">
        <f t="shared" si="837"/>
        <v>0</v>
      </c>
      <c r="FT105" s="59">
        <f t="shared" si="838"/>
        <v>0</v>
      </c>
      <c r="FU105" s="59">
        <f t="shared" si="839"/>
        <v>0</v>
      </c>
      <c r="FV105" s="59">
        <f t="shared" si="840"/>
        <v>0</v>
      </c>
      <c r="FW105" s="59">
        <f t="shared" si="841"/>
        <v>0</v>
      </c>
      <c r="FX105" s="58">
        <f t="shared" si="842"/>
        <v>0</v>
      </c>
      <c r="FY105" s="45">
        <f t="shared" si="843"/>
        <v>81</v>
      </c>
      <c r="FZ105" s="45">
        <f t="shared" si="1195"/>
        <v>2.839</v>
      </c>
      <c r="GA105" s="45">
        <f t="shared" si="844"/>
        <v>1</v>
      </c>
      <c r="GB105" s="45">
        <f t="shared" si="845"/>
        <v>2</v>
      </c>
      <c r="GC105" s="46" cm="1">
        <f t="array" ref="GC105">ROUND(IFERROR(INDEX(ArchiveResults!$F$5:$IX$116,ComparisonData!A105,ComparisonData!$GC$1),0),5)</f>
        <v>0</v>
      </c>
      <c r="GD105" s="46" cm="1">
        <f t="array" ref="GD105">ROUND(IFERROR(INDEX(ArchiveResults!$F$5:$IX$116,ComparisonData!A105,ComparisonData!$GD$1),0),5)</f>
        <v>0</v>
      </c>
      <c r="GE105" s="46" cm="1">
        <f t="array" ref="GE105">ROUND(IFERROR(INDEX(ArchiveResults!$F$5:$IX$116,ComparisonData!A105,ComparisonData!$GE$1),0),5)</f>
        <v>0</v>
      </c>
      <c r="GF105" s="46" cm="1">
        <f t="array" ref="GF105">ROUND(IFERROR(INDEX(ArchiveResults!$F$5:$IX$116,ComparisonData!A105,ComparisonData!$GF$1),0),5)</f>
        <v>0</v>
      </c>
      <c r="GG105" s="45" cm="1">
        <f t="array" ref="GG105">IFERROR(INDEX(ArchiveResults!$F$5:$IX$116,ComparisonData!A105,ComparisonData!$GG$1),0)</f>
        <v>0</v>
      </c>
      <c r="GH105" s="56">
        <v>100</v>
      </c>
      <c r="GI105" s="53" t="str">
        <f t="shared" si="1196"/>
        <v>University of St Andrews, University Collections</v>
      </c>
      <c r="GJ105" s="59">
        <f t="shared" si="846"/>
        <v>0</v>
      </c>
      <c r="GK105" s="59">
        <f t="shared" si="847"/>
        <v>0</v>
      </c>
      <c r="GL105" s="59">
        <f t="shared" si="848"/>
        <v>0</v>
      </c>
      <c r="GM105" s="59">
        <f t="shared" si="849"/>
        <v>0</v>
      </c>
      <c r="GN105" s="59">
        <f t="shared" si="850"/>
        <v>0</v>
      </c>
      <c r="GO105" s="58">
        <f t="shared" si="851"/>
        <v>0</v>
      </c>
      <c r="GP105" s="45">
        <f t="shared" si="852"/>
        <v>81</v>
      </c>
      <c r="GQ105" s="45">
        <f t="shared" si="1197"/>
        <v>2.839</v>
      </c>
      <c r="GR105" s="45">
        <f t="shared" si="853"/>
        <v>1</v>
      </c>
      <c r="GS105" s="45">
        <f t="shared" si="854"/>
        <v>2</v>
      </c>
      <c r="GT105" s="46" cm="1">
        <f t="array" ref="GT105">ROUND(IFERROR(INDEX(ArchiveResults!$F$5:$IX$116,ComparisonData!A105,ComparisonData!$GT$1),0),5)</f>
        <v>0</v>
      </c>
      <c r="GU105" s="46" cm="1">
        <f t="array" ref="GU105">ROUND(IFERROR(INDEX(ArchiveResults!$F$5:$IX$116,ComparisonData!A105,ComparisonData!$GU$1),0),5)</f>
        <v>0</v>
      </c>
      <c r="GV105" s="46" cm="1">
        <f t="array" ref="GV105">ROUND(IFERROR(INDEX(ArchiveResults!$F$5:$IX$116,ComparisonData!A105,ComparisonData!$GV$1),0),5)</f>
        <v>0</v>
      </c>
      <c r="GW105" s="46" cm="1">
        <f t="array" ref="GW105">ROUND(IFERROR(INDEX(ArchiveResults!$F$5:$IX$116,ComparisonData!A105,ComparisonData!$GW$1),0),5)</f>
        <v>0</v>
      </c>
      <c r="GX105" s="45" cm="1">
        <f t="array" ref="GX105">IFERROR(INDEX(ArchiveResults!$F$5:$IX$116,ComparisonData!A105,ComparisonData!$GX$1),0)</f>
        <v>0</v>
      </c>
      <c r="GY105" s="56">
        <v>100</v>
      </c>
      <c r="GZ105" s="53" t="str">
        <f t="shared" si="1198"/>
        <v>University of St Andrews, University Collections</v>
      </c>
      <c r="HA105" s="59">
        <f t="shared" si="855"/>
        <v>0</v>
      </c>
      <c r="HB105" s="59">
        <f t="shared" si="856"/>
        <v>0</v>
      </c>
      <c r="HC105" s="59">
        <f t="shared" si="857"/>
        <v>0</v>
      </c>
      <c r="HD105" s="59">
        <f t="shared" si="858"/>
        <v>0</v>
      </c>
      <c r="HE105" s="59">
        <f t="shared" si="859"/>
        <v>0</v>
      </c>
      <c r="HF105" s="58">
        <f t="shared" si="860"/>
        <v>0</v>
      </c>
      <c r="HG105" s="45">
        <f t="shared" si="861"/>
        <v>81</v>
      </c>
      <c r="HH105" s="45">
        <f t="shared" si="1199"/>
        <v>2.839</v>
      </c>
      <c r="HI105" s="45">
        <f t="shared" si="862"/>
        <v>1</v>
      </c>
      <c r="HJ105" s="45">
        <f t="shared" si="863"/>
        <v>2</v>
      </c>
      <c r="HK105" s="46" cm="1">
        <f t="array" ref="HK105">ROUND(IFERROR(INDEX(ArchiveResults!$F$5:$IX$116,ComparisonData!A105,ComparisonData!$HK$1),0),5)</f>
        <v>0</v>
      </c>
      <c r="HL105" s="46" cm="1">
        <f t="array" ref="HL105">ROUND(IFERROR(INDEX(ArchiveResults!$F$5:$IX$116,ComparisonData!A105,ComparisonData!$HL$1),0),5)</f>
        <v>0</v>
      </c>
      <c r="HM105" s="46" cm="1">
        <f t="array" ref="HM105">ROUND(IFERROR(INDEX(ArchiveResults!$F$5:$IX$116,ComparisonData!A105,ComparisonData!$HM$1),0),5)</f>
        <v>0</v>
      </c>
      <c r="HN105" s="46" cm="1">
        <f t="array" ref="HN105">ROUND(IFERROR(INDEX(ArchiveResults!$F$5:$IX$116,ComparisonData!A105,ComparisonData!$HN$1),0),5)</f>
        <v>0</v>
      </c>
      <c r="HO105" s="45" cm="1">
        <f t="array" ref="HO105">IFERROR(INDEX(ArchiveResults!$F$5:$IX$116,ComparisonData!A105,ComparisonData!$HO$1),0)</f>
        <v>0</v>
      </c>
      <c r="HP105" s="56">
        <v>100</v>
      </c>
      <c r="HQ105" s="53" t="str">
        <f t="shared" si="1200"/>
        <v>University of St Andrews, University Collections</v>
      </c>
      <c r="HR105" s="59">
        <f t="shared" si="1201"/>
        <v>0</v>
      </c>
      <c r="HS105" s="59">
        <f t="shared" si="1202"/>
        <v>0</v>
      </c>
      <c r="HT105" s="59">
        <f t="shared" si="1203"/>
        <v>0</v>
      </c>
      <c r="HU105" s="59">
        <f t="shared" si="1204"/>
        <v>0</v>
      </c>
      <c r="HV105" s="59">
        <f t="shared" si="1205"/>
        <v>0</v>
      </c>
      <c r="HW105" s="58">
        <f t="shared" si="864"/>
        <v>0</v>
      </c>
      <c r="HX105" s="45">
        <f t="shared" si="865"/>
        <v>81</v>
      </c>
      <c r="HY105" s="45">
        <f t="shared" si="1206"/>
        <v>2.839</v>
      </c>
      <c r="HZ105" s="45">
        <f t="shared" si="866"/>
        <v>1</v>
      </c>
      <c r="IA105" s="45">
        <f t="shared" si="867"/>
        <v>2</v>
      </c>
      <c r="IB105" s="45">
        <f t="shared" si="868"/>
        <v>0</v>
      </c>
      <c r="IC105" s="46" cm="1">
        <f t="array" ref="IC105">ROUND(IFERROR(INDEX(ArchiveResults!$F$5:$IX$116,ComparisonData!A105,ComparisonData!$IC$1),0),5)</f>
        <v>0</v>
      </c>
      <c r="ID105" s="46" cm="1">
        <f t="array" ref="ID105">ROUND(IFERROR(INDEX(ArchiveResults!$F$5:$IX$116,ComparisonData!A105,ComparisonData!$ID$1),0),5)</f>
        <v>0</v>
      </c>
      <c r="IE105" s="46" cm="1">
        <f t="array" ref="IE105">ROUND(IFERROR(INDEX(ArchiveResults!$F$5:$IX$116,ComparisonData!A105,ComparisonData!$IE$1),0),5)</f>
        <v>0</v>
      </c>
      <c r="IF105" s="46" cm="1">
        <f t="array" ref="IF105">ROUND(IFERROR(INDEX(ArchiveResults!$F$5:$IX$116,ComparisonData!A105,ComparisonData!$IF$1),0),5)</f>
        <v>0</v>
      </c>
      <c r="IG105" s="45" cm="1">
        <f t="array" ref="IG105">IFERROR(INDEX(ArchiveResults!$F$5:$IX$116,ComparisonData!A105,ComparisonData!$IG$1),0)</f>
        <v>0</v>
      </c>
      <c r="IH105" s="56">
        <v>100</v>
      </c>
      <c r="II105" s="53" t="str">
        <f t="shared" si="1207"/>
        <v>University of St Andrews, University Collections</v>
      </c>
      <c r="IJ105" s="59">
        <f t="shared" si="869"/>
        <v>0</v>
      </c>
      <c r="IK105" s="59">
        <f t="shared" si="870"/>
        <v>0</v>
      </c>
      <c r="IL105" s="59">
        <f t="shared" si="871"/>
        <v>0</v>
      </c>
      <c r="IM105" s="59">
        <f t="shared" si="872"/>
        <v>0</v>
      </c>
      <c r="IN105" s="59">
        <f t="shared" si="873"/>
        <v>0</v>
      </c>
      <c r="IO105" s="58">
        <f t="shared" si="874"/>
        <v>0</v>
      </c>
      <c r="IP105" s="45">
        <f t="shared" si="875"/>
        <v>81</v>
      </c>
      <c r="IQ105" s="45">
        <f t="shared" si="1208"/>
        <v>2.839</v>
      </c>
      <c r="IR105" s="45">
        <f t="shared" si="876"/>
        <v>1</v>
      </c>
      <c r="IS105" s="45">
        <f t="shared" si="877"/>
        <v>2</v>
      </c>
      <c r="IT105" s="46">
        <f t="shared" si="878"/>
        <v>0</v>
      </c>
      <c r="IU105" s="46" cm="1">
        <f t="array" ref="IU105">ROUND(IFERROR(INDEX(ArchiveResults!$F$5:$IX$116,ComparisonData!A105,ComparisonData!$IU$1),0),5)</f>
        <v>0</v>
      </c>
      <c r="IV105" s="46" cm="1">
        <f t="array" ref="IV105">ROUND(IFERROR(INDEX(ArchiveResults!$F$5:$IX$116,ComparisonData!A105,ComparisonData!$IV$1),0),5)</f>
        <v>0</v>
      </c>
      <c r="IW105" s="46" cm="1">
        <f t="array" ref="IW105">ROUND(IFERROR(INDEX(ArchiveResults!$F$5:$IX$116,ComparisonData!A105,ComparisonData!$IW$1),0),5)</f>
        <v>0</v>
      </c>
      <c r="IX105" s="46" cm="1">
        <f t="array" ref="IX105">ROUND(IFERROR(INDEX(ArchiveResults!$F$5:$IX$116,ComparisonData!A105,ComparisonData!$IX$1),0),5)</f>
        <v>0</v>
      </c>
      <c r="IY105" s="45" cm="1">
        <f t="array" ref="IY105">IFERROR(INDEX(ArchiveResults!$F$5:$IX$116,ComparisonData!A105,ComparisonData!$IY$1),0)</f>
        <v>0</v>
      </c>
      <c r="IZ105" s="56">
        <v>100</v>
      </c>
      <c r="JA105" s="53" t="str">
        <f t="shared" si="1209"/>
        <v>University of St Andrews, University Collections</v>
      </c>
      <c r="JB105" s="59">
        <f t="shared" si="879"/>
        <v>0</v>
      </c>
      <c r="JC105" s="59">
        <f t="shared" si="880"/>
        <v>0</v>
      </c>
      <c r="JD105" s="59">
        <f t="shared" si="881"/>
        <v>0</v>
      </c>
      <c r="JE105" s="59">
        <f t="shared" si="882"/>
        <v>0</v>
      </c>
      <c r="JF105" s="59">
        <f t="shared" si="883"/>
        <v>0</v>
      </c>
      <c r="JG105" s="58">
        <f t="shared" si="884"/>
        <v>0</v>
      </c>
      <c r="JH105" s="45">
        <f t="shared" si="885"/>
        <v>81</v>
      </c>
      <c r="JI105" s="45">
        <f t="shared" si="1210"/>
        <v>2.839</v>
      </c>
      <c r="JJ105" s="45">
        <f t="shared" si="886"/>
        <v>1</v>
      </c>
      <c r="JK105" s="45">
        <f t="shared" si="887"/>
        <v>2</v>
      </c>
      <c r="JL105" s="45">
        <f t="shared" si="888"/>
        <v>0</v>
      </c>
      <c r="JM105" s="46" cm="1">
        <f t="array" ref="JM105">ROUND(IFERROR(INDEX(ArchiveResults!$F$5:$IX$116,ComparisonData!A105,ComparisonData!$JM$1),0),5)</f>
        <v>0</v>
      </c>
      <c r="JN105" s="46" cm="1">
        <f t="array" ref="JN105">ROUND(IFERROR(INDEX(ArchiveResults!$F$5:$IX$116,ComparisonData!A105,ComparisonData!$JN$1),0),5)</f>
        <v>0</v>
      </c>
      <c r="JO105" s="46" cm="1">
        <f t="array" ref="JO105">ROUND(IFERROR(INDEX(ArchiveResults!$F$5:$IX$116,ComparisonData!A105,ComparisonData!$JO$1),0),5)</f>
        <v>0</v>
      </c>
      <c r="JP105" s="46" cm="1">
        <f t="array" ref="JP105">ROUND(IFERROR(INDEX(ArchiveResults!$F$5:$IX$116,ComparisonData!A105,ComparisonData!$JP$1),0),5)</f>
        <v>0</v>
      </c>
      <c r="JQ105" s="45" cm="1">
        <f t="array" ref="JQ105">IFERROR(INDEX(ArchiveResults!$F$5:$IX$116,ComparisonData!A105,ComparisonData!$JQ$1),0)</f>
        <v>0</v>
      </c>
      <c r="JR105" s="56">
        <v>100</v>
      </c>
      <c r="JS105" s="53" t="str">
        <f t="shared" si="1211"/>
        <v>University of St Andrews, University Collections</v>
      </c>
      <c r="JT105" s="59">
        <f t="shared" si="889"/>
        <v>0</v>
      </c>
      <c r="JU105" s="59">
        <f t="shared" si="890"/>
        <v>0</v>
      </c>
      <c r="JV105" s="59">
        <f t="shared" si="891"/>
        <v>0</v>
      </c>
      <c r="JW105" s="59">
        <f t="shared" si="892"/>
        <v>0</v>
      </c>
      <c r="JX105" s="59">
        <f t="shared" si="893"/>
        <v>0</v>
      </c>
      <c r="JY105" s="58">
        <f t="shared" si="894"/>
        <v>0</v>
      </c>
      <c r="JZ105" s="45">
        <f t="shared" si="895"/>
        <v>81</v>
      </c>
      <c r="KA105" s="45">
        <f t="shared" si="1212"/>
        <v>2.839</v>
      </c>
      <c r="KB105" s="45">
        <f t="shared" si="896"/>
        <v>1</v>
      </c>
      <c r="KC105" s="45">
        <f t="shared" si="897"/>
        <v>2</v>
      </c>
      <c r="KD105" s="45">
        <f t="shared" si="898"/>
        <v>0</v>
      </c>
      <c r="KE105" s="46" cm="1">
        <f t="array" ref="KE105">ROUND(IFERROR(INDEX(ArchiveResults!$F$5:$IX$116,ComparisonData!A105,ComparisonData!$KE$1),0),5)</f>
        <v>0</v>
      </c>
      <c r="KF105" s="46" cm="1">
        <f t="array" ref="KF105">ROUND(IFERROR(INDEX(ArchiveResults!$F$5:$IX$116,ComparisonData!A105,ComparisonData!$KF$1),0),5)</f>
        <v>0</v>
      </c>
      <c r="KG105" s="46" cm="1">
        <f t="array" ref="KG105">ROUND(IFERROR(INDEX(ArchiveResults!$F$5:$IX$116,ComparisonData!A105,ComparisonData!$KG$1),0),5)</f>
        <v>0</v>
      </c>
      <c r="KH105" s="46" cm="1">
        <f t="array" ref="KH105">ROUND(IFERROR(INDEX(ArchiveResults!$F$5:$IX$116,ComparisonData!A105,ComparisonData!$KH$1),0),5)</f>
        <v>0</v>
      </c>
      <c r="KI105" s="45" cm="1">
        <f t="array" ref="KI105">IFERROR(INDEX(ArchiveResults!$F$5:$IX$116,ComparisonData!A105,ComparisonData!$KI$1),0)</f>
        <v>0</v>
      </c>
      <c r="KJ105" s="56">
        <v>100</v>
      </c>
      <c r="KK105" s="53" t="str">
        <f t="shared" si="1213"/>
        <v>University of St Andrews, University Collections</v>
      </c>
      <c r="KL105" s="59">
        <f t="shared" si="899"/>
        <v>0</v>
      </c>
      <c r="KM105" s="59">
        <f t="shared" si="900"/>
        <v>0</v>
      </c>
      <c r="KN105" s="59">
        <f t="shared" si="901"/>
        <v>0</v>
      </c>
      <c r="KO105" s="59">
        <f t="shared" si="902"/>
        <v>0</v>
      </c>
      <c r="KP105" s="59">
        <f t="shared" si="903"/>
        <v>0</v>
      </c>
      <c r="KQ105" s="58">
        <f t="shared" si="904"/>
        <v>0</v>
      </c>
      <c r="KR105" s="45">
        <f t="shared" si="905"/>
        <v>81</v>
      </c>
      <c r="KS105" s="45">
        <f t="shared" si="1214"/>
        <v>2.839</v>
      </c>
      <c r="KT105" s="45">
        <f t="shared" si="906"/>
        <v>1</v>
      </c>
      <c r="KU105" s="45">
        <f t="shared" si="907"/>
        <v>2</v>
      </c>
      <c r="KV105" s="45">
        <f t="shared" si="908"/>
        <v>0</v>
      </c>
      <c r="KW105" s="46" cm="1">
        <f t="array" ref="KW105">ROUND(IFERROR(INDEX(ArchiveResults!$F$5:$IX$116,ComparisonData!A105,ComparisonData!$KW$1),0),5)</f>
        <v>0</v>
      </c>
      <c r="KX105" s="46" cm="1">
        <f t="array" ref="KX105">ROUND(IFERROR(INDEX(ArchiveResults!$F$5:$IX$116,ComparisonData!A105,ComparisonData!$KX$1),0),5)</f>
        <v>0</v>
      </c>
      <c r="KY105" s="46" cm="1">
        <f t="array" ref="KY105">ROUND(IFERROR(INDEX(ArchiveResults!$F$5:$IX$116,ComparisonData!A105,ComparisonData!$KY$1),0),5)</f>
        <v>0</v>
      </c>
      <c r="KZ105" s="46" cm="1">
        <f t="array" ref="KZ105">ROUND(IFERROR(INDEX(ArchiveResults!$F$5:$IX$116,ComparisonData!A105,ComparisonData!$KZ$1),0),5)</f>
        <v>0</v>
      </c>
      <c r="LA105" s="45" cm="1">
        <f t="array" ref="LA105">IFERROR(INDEX(ArchiveResults!$F$5:$IX$116,ComparisonData!A105,ComparisonData!$LA$1),0)</f>
        <v>0</v>
      </c>
      <c r="LB105" s="56">
        <v>100</v>
      </c>
      <c r="LC105" s="53" t="str">
        <f t="shared" si="1215"/>
        <v>University of St Andrews, University Collections</v>
      </c>
      <c r="LD105" s="59">
        <f t="shared" si="909"/>
        <v>0</v>
      </c>
      <c r="LE105" s="59">
        <f t="shared" si="910"/>
        <v>0</v>
      </c>
      <c r="LF105" s="59">
        <f t="shared" si="911"/>
        <v>0</v>
      </c>
      <c r="LG105" s="59">
        <f t="shared" si="912"/>
        <v>0</v>
      </c>
      <c r="LH105" s="59">
        <f t="shared" si="913"/>
        <v>0</v>
      </c>
      <c r="LI105" s="58">
        <f t="shared" si="914"/>
        <v>0</v>
      </c>
      <c r="LJ105" s="45">
        <f t="shared" si="915"/>
        <v>81</v>
      </c>
      <c r="LK105" s="45">
        <f t="shared" si="1216"/>
        <v>2.839</v>
      </c>
      <c r="LL105" s="45">
        <f t="shared" si="916"/>
        <v>1</v>
      </c>
      <c r="LM105" s="45">
        <f t="shared" si="917"/>
        <v>2</v>
      </c>
      <c r="LN105" s="45">
        <f t="shared" si="918"/>
        <v>0</v>
      </c>
      <c r="LO105" s="46" cm="1">
        <f t="array" ref="LO105">ROUND(IFERROR(INDEX(ArchiveResults!$F$5:$IX$116,ComparisonData!A105,ComparisonData!$LO$1),0),5)</f>
        <v>0</v>
      </c>
      <c r="LP105" s="46" cm="1">
        <f t="array" ref="LP105">ROUND(IFERROR(INDEX(ArchiveResults!$F$5:$IX$116,ComparisonData!A105,ComparisonData!$LP$1),0),5)</f>
        <v>0</v>
      </c>
      <c r="LQ105" s="46" cm="1">
        <f t="array" ref="LQ105">ROUND(IFERROR(INDEX(ArchiveResults!$F$5:$IX$116,ComparisonData!A105,ComparisonData!$LQ$1),0),5)</f>
        <v>0</v>
      </c>
      <c r="LR105" s="46" cm="1">
        <f t="array" ref="LR105">ROUND(IFERROR(INDEX(ArchiveResults!$F$5:$IX$116,ComparisonData!A105,ComparisonData!$LR$1),0),5)</f>
        <v>0</v>
      </c>
      <c r="LS105" s="45" cm="1">
        <f t="array" ref="LS105">IFERROR(INDEX(ArchiveResults!$F$5:$IX$116,ComparisonData!A105,ComparisonData!$LS$1),0)</f>
        <v>0</v>
      </c>
      <c r="LT105" s="56">
        <v>100</v>
      </c>
      <c r="LU105" s="53" t="str">
        <f t="shared" si="1217"/>
        <v>University of St Andrews, University Collections</v>
      </c>
      <c r="LV105" s="59">
        <f t="shared" si="919"/>
        <v>0</v>
      </c>
      <c r="LW105" s="59">
        <f t="shared" si="920"/>
        <v>0</v>
      </c>
      <c r="LX105" s="59">
        <f t="shared" si="921"/>
        <v>0</v>
      </c>
      <c r="LY105" s="59">
        <f t="shared" si="922"/>
        <v>0</v>
      </c>
      <c r="LZ105" s="59">
        <f t="shared" si="923"/>
        <v>0</v>
      </c>
      <c r="MA105" s="58">
        <f t="shared" si="924"/>
        <v>0</v>
      </c>
      <c r="MB105" s="45">
        <f t="shared" si="925"/>
        <v>81</v>
      </c>
      <c r="MC105" s="45">
        <f t="shared" si="1218"/>
        <v>2.839</v>
      </c>
      <c r="MD105" s="45">
        <f t="shared" si="926"/>
        <v>1</v>
      </c>
      <c r="ME105" s="45">
        <f t="shared" si="927"/>
        <v>2</v>
      </c>
      <c r="MF105" s="45">
        <f t="shared" si="928"/>
        <v>0</v>
      </c>
      <c r="MG105" s="46" cm="1">
        <f t="array" ref="MG105">ROUND(IFERROR(INDEX(ArchiveResults!$F$5:$IX$116,ComparisonData!A105,ComparisonData!$MG$1),0),5)</f>
        <v>0</v>
      </c>
      <c r="MH105" s="46" cm="1">
        <f t="array" ref="MH105">ROUND(IFERROR(INDEX(ArchiveResults!$F$5:$IX$116,ComparisonData!A105,ComparisonData!$MH$1),0),5)</f>
        <v>0</v>
      </c>
      <c r="MI105" s="46" cm="1">
        <f t="array" ref="MI105">ROUND(IFERROR(INDEX(ArchiveResults!$F$5:$IX$116,ComparisonData!A105,ComparisonData!$MI$1),0),5)</f>
        <v>0</v>
      </c>
      <c r="MJ105" s="46" cm="1">
        <f t="array" ref="MJ105">ROUND(IFERROR(INDEX(ArchiveResults!$F$5:$IX$116,ComparisonData!A105,ComparisonData!$MJ$1),0),5)</f>
        <v>0</v>
      </c>
      <c r="MK105" s="45" cm="1">
        <f t="array" ref="MK105">IFERROR(INDEX(ArchiveResults!$F$5:$IX$116,ComparisonData!A105,ComparisonData!$MK$1),0)</f>
        <v>0</v>
      </c>
      <c r="ML105" s="56">
        <v>100</v>
      </c>
      <c r="MM105" s="53" t="str">
        <f t="shared" si="1219"/>
        <v>University of St Andrews, University Collections</v>
      </c>
      <c r="MN105" s="59">
        <f t="shared" si="929"/>
        <v>0</v>
      </c>
      <c r="MO105" s="59">
        <f t="shared" si="930"/>
        <v>0</v>
      </c>
      <c r="MP105" s="59">
        <f t="shared" si="931"/>
        <v>0</v>
      </c>
      <c r="MQ105" s="59">
        <f t="shared" si="932"/>
        <v>0</v>
      </c>
      <c r="MR105" s="59">
        <f t="shared" si="933"/>
        <v>0</v>
      </c>
      <c r="MS105" s="58">
        <f t="shared" si="934"/>
        <v>0</v>
      </c>
      <c r="MT105" s="45">
        <f t="shared" si="935"/>
        <v>81</v>
      </c>
      <c r="MU105" s="45">
        <f t="shared" si="1220"/>
        <v>2.839</v>
      </c>
      <c r="MV105" s="45">
        <f t="shared" si="936"/>
        <v>1</v>
      </c>
      <c r="MW105" s="45">
        <f t="shared" si="937"/>
        <v>2</v>
      </c>
      <c r="MX105" s="45">
        <f t="shared" si="938"/>
        <v>0</v>
      </c>
      <c r="MY105" s="46" cm="1">
        <f t="array" ref="MY105">ROUND(IFERROR(INDEX(ArchiveResults!$F$5:$IX$116,ComparisonData!A105,ComparisonData!$MY$1),0),5)</f>
        <v>0</v>
      </c>
      <c r="MZ105" s="46" cm="1">
        <f t="array" ref="MZ105">ROUND(IFERROR(INDEX(ArchiveResults!$F$5:$IX$116,ComparisonData!A105,ComparisonData!$MZ$1),0),5)</f>
        <v>0</v>
      </c>
      <c r="NA105" s="46" cm="1">
        <f t="array" ref="NA105">ROUND(IFERROR(INDEX(ArchiveResults!$F$5:$IX$116,ComparisonData!A105,ComparisonData!$NA$1),0),5)</f>
        <v>0</v>
      </c>
      <c r="NB105" s="46" cm="1">
        <f t="array" ref="NB105">ROUND(IFERROR(INDEX(ArchiveResults!$F$5:$IX$116,ComparisonData!A105,ComparisonData!$NB$1),0),5)</f>
        <v>0</v>
      </c>
      <c r="NC105" s="45" cm="1">
        <f t="array" ref="NC105">IFERROR(INDEX(ArchiveResults!$F$5:$IX$116,ComparisonData!A105,ComparisonData!$NC$1),0)</f>
        <v>0</v>
      </c>
      <c r="ND105" s="56">
        <v>100</v>
      </c>
      <c r="NE105" s="53" t="str">
        <f t="shared" si="1221"/>
        <v>University of St Andrews, University Collections</v>
      </c>
      <c r="NF105" s="59">
        <f t="shared" si="939"/>
        <v>0</v>
      </c>
      <c r="NG105" s="59">
        <f t="shared" si="940"/>
        <v>0</v>
      </c>
      <c r="NH105" s="59">
        <f t="shared" si="941"/>
        <v>0</v>
      </c>
      <c r="NI105" s="59">
        <f t="shared" si="942"/>
        <v>0</v>
      </c>
      <c r="NJ105" s="59">
        <f t="shared" si="943"/>
        <v>0</v>
      </c>
      <c r="NK105" s="58">
        <f t="shared" si="944"/>
        <v>0</v>
      </c>
      <c r="NL105" s="45">
        <f t="shared" si="945"/>
        <v>81</v>
      </c>
      <c r="NM105" s="45">
        <f t="shared" si="1222"/>
        <v>2.839</v>
      </c>
      <c r="NN105" s="45">
        <f t="shared" si="946"/>
        <v>1</v>
      </c>
      <c r="NO105" s="45">
        <f t="shared" si="947"/>
        <v>2</v>
      </c>
      <c r="NP105" s="46" cm="1">
        <f t="array" ref="NP105">ROUND(IFERROR(INDEX(ArchiveResults!$F$5:$IX$116,ComparisonData!A105,ComparisonData!$NP$1),0),5)</f>
        <v>0</v>
      </c>
      <c r="NQ105" s="46" cm="1">
        <f t="array" ref="NQ105">ROUND(IFERROR(INDEX(ArchiveResults!$F$5:$IX$116,ComparisonData!A105,ComparisonData!$NQ$1),0),5)</f>
        <v>0</v>
      </c>
      <c r="NR105" s="46" cm="1">
        <f t="array" ref="NR105">ROUND(IFERROR(INDEX(ArchiveResults!$F$5:$IX$116,ComparisonData!A105,ComparisonData!$NR$1),0),5)</f>
        <v>0</v>
      </c>
      <c r="NS105" s="46" cm="1">
        <f t="array" ref="NS105">ROUND(IFERROR(INDEX(ArchiveResults!$F$5:$IX$116,ComparisonData!A105,ComparisonData!$NS$1),0),5)</f>
        <v>0</v>
      </c>
      <c r="NT105" s="45" cm="1">
        <f t="array" ref="NT105">IFERROR(INDEX(ArchiveResults!$F$5:$IX$116,ComparisonData!A105,ComparisonData!$NT$1),0)</f>
        <v>0</v>
      </c>
      <c r="NU105" s="56">
        <v>100</v>
      </c>
      <c r="NV105" s="53" t="str">
        <f t="shared" si="1223"/>
        <v>University of St Andrews, University Collections</v>
      </c>
      <c r="NW105" s="59">
        <f t="shared" si="948"/>
        <v>0</v>
      </c>
      <c r="NX105" s="59">
        <f t="shared" si="949"/>
        <v>0</v>
      </c>
      <c r="NY105" s="59">
        <f t="shared" si="950"/>
        <v>0</v>
      </c>
      <c r="NZ105" s="59">
        <f t="shared" si="951"/>
        <v>0</v>
      </c>
      <c r="OA105" s="59">
        <f t="shared" si="952"/>
        <v>0</v>
      </c>
      <c r="OB105" s="58">
        <f t="shared" si="953"/>
        <v>0</v>
      </c>
      <c r="OC105" s="45">
        <f t="shared" si="954"/>
        <v>81</v>
      </c>
      <c r="OD105" s="45">
        <f t="shared" si="1224"/>
        <v>2.839</v>
      </c>
      <c r="OE105" s="45">
        <f t="shared" si="955"/>
        <v>1</v>
      </c>
      <c r="OF105" s="45">
        <f t="shared" si="956"/>
        <v>2</v>
      </c>
      <c r="OG105" s="46">
        <f t="shared" si="957"/>
        <v>0</v>
      </c>
      <c r="OH105" s="46" cm="1">
        <f t="array" ref="OH105">ROUND(IFERROR(INDEX(ArchiveResults!$F$5:$IX$116,ComparisonData!A105,ComparisonData!$OH$1),0),5)</f>
        <v>0</v>
      </c>
      <c r="OI105" s="46" cm="1">
        <f t="array" ref="OI105">ROUND(IFERROR(INDEX(ArchiveResults!$F$5:$IX$116,ComparisonData!A105,ComparisonData!$OI$1),0),5)</f>
        <v>0</v>
      </c>
      <c r="OJ105" s="46" cm="1">
        <f t="array" ref="OJ105">ROUND(IFERROR(INDEX(ArchiveResults!$F$5:$IX$116,ComparisonData!A105,ComparisonData!$OJ$1),0),5)</f>
        <v>0</v>
      </c>
      <c r="OK105" s="46" cm="1">
        <f t="array" ref="OK105">ROUND(IFERROR(INDEX(ArchiveResults!$F$5:$IX$116,ComparisonData!A105,ComparisonData!$OK$1),0),5)</f>
        <v>0</v>
      </c>
      <c r="OL105" s="45" cm="1">
        <f t="array" ref="OL105">IFERROR(INDEX(ArchiveResults!$F$5:$IX$116,ComparisonData!A105,ComparisonData!$OL$1),0)</f>
        <v>0</v>
      </c>
      <c r="OM105" s="56">
        <v>100</v>
      </c>
      <c r="ON105" s="53" t="str">
        <f t="shared" si="1225"/>
        <v>University of St Andrews, University Collections</v>
      </c>
      <c r="OO105" s="59">
        <f t="shared" si="958"/>
        <v>0</v>
      </c>
      <c r="OP105" s="59">
        <f t="shared" si="959"/>
        <v>0</v>
      </c>
      <c r="OQ105" s="59">
        <f t="shared" si="960"/>
        <v>0</v>
      </c>
      <c r="OR105" s="59">
        <f t="shared" si="961"/>
        <v>0</v>
      </c>
      <c r="OS105" s="59">
        <f t="shared" si="962"/>
        <v>0</v>
      </c>
      <c r="OT105" s="58">
        <f t="shared" si="963"/>
        <v>0</v>
      </c>
      <c r="OU105" s="45">
        <f t="shared" si="964"/>
        <v>81</v>
      </c>
      <c r="OV105" s="45">
        <f t="shared" si="1226"/>
        <v>2.839</v>
      </c>
      <c r="OW105" s="45">
        <f t="shared" si="965"/>
        <v>1</v>
      </c>
      <c r="OX105" s="45">
        <f t="shared" si="966"/>
        <v>2</v>
      </c>
      <c r="OY105" s="45">
        <f t="shared" si="967"/>
        <v>0</v>
      </c>
      <c r="OZ105" s="46" cm="1">
        <f t="array" ref="OZ105">ROUND(IFERROR(INDEX(ArchiveResults!$F$5:$IX$116,ComparisonData!A105,ComparisonData!$OZ$1),0),5)</f>
        <v>0</v>
      </c>
      <c r="PA105" s="46" cm="1">
        <f t="array" ref="PA105">ROUND(IFERROR(INDEX(ArchiveResults!$F$5:$IX$116,ComparisonData!A105,ComparisonData!$PA$1),0),5)</f>
        <v>0</v>
      </c>
      <c r="PB105" s="46" cm="1">
        <f t="array" ref="PB105">ROUND(IFERROR(INDEX(ArchiveResults!$F$5:$IX$116,ComparisonData!A105,ComparisonData!$PB$1),0),5)</f>
        <v>0</v>
      </c>
      <c r="PC105" s="46" cm="1">
        <f t="array" ref="PC105">ROUND(IFERROR(INDEX(ArchiveResults!$F$5:$IX$116,ComparisonData!A105,ComparisonData!$PC$1),0),5)</f>
        <v>0</v>
      </c>
      <c r="PD105" s="45" cm="1">
        <f t="array" ref="PD105">IFERROR(INDEX(ArchiveResults!$F$5:$IX$116,ComparisonData!A105,ComparisonData!$PD$1),0)</f>
        <v>0</v>
      </c>
      <c r="PE105" s="56">
        <v>100</v>
      </c>
      <c r="PF105" s="53" t="str">
        <f t="shared" si="1227"/>
        <v>University of St Andrews, University Collections</v>
      </c>
      <c r="PG105" s="59">
        <f t="shared" si="968"/>
        <v>0</v>
      </c>
      <c r="PH105" s="59">
        <f t="shared" si="969"/>
        <v>0</v>
      </c>
      <c r="PI105" s="59">
        <f t="shared" si="970"/>
        <v>0</v>
      </c>
      <c r="PJ105" s="59">
        <f t="shared" si="971"/>
        <v>0</v>
      </c>
      <c r="PK105" s="59">
        <f t="shared" si="972"/>
        <v>0</v>
      </c>
      <c r="PL105" s="58">
        <f t="shared" si="973"/>
        <v>0</v>
      </c>
      <c r="PM105" s="45">
        <f t="shared" si="974"/>
        <v>81</v>
      </c>
      <c r="PN105" s="45">
        <f t="shared" si="1228"/>
        <v>2.839</v>
      </c>
      <c r="PO105" s="45">
        <f t="shared" si="975"/>
        <v>1</v>
      </c>
      <c r="PP105" s="45">
        <f t="shared" si="976"/>
        <v>2</v>
      </c>
      <c r="PQ105" s="45">
        <f t="shared" si="977"/>
        <v>0</v>
      </c>
      <c r="PR105" s="46" cm="1">
        <f t="array" ref="PR105">ROUND(IFERROR(INDEX(ArchiveResults!$F$5:$IX$116,ComparisonData!A105,ComparisonData!$PR$1),0),5)</f>
        <v>0</v>
      </c>
      <c r="PS105" s="46" cm="1">
        <f t="array" ref="PS105">ROUND(IFERROR(INDEX(ArchiveResults!$F$5:$IX$116,ComparisonData!A105,ComparisonData!$PS$1),0),5)</f>
        <v>0</v>
      </c>
      <c r="PT105" s="46" cm="1">
        <f t="array" ref="PT105">ROUND(IFERROR(INDEX(ArchiveResults!$F$5:$IX$116,ComparisonData!A105,ComparisonData!$PT$1),0),5)</f>
        <v>0</v>
      </c>
      <c r="PU105" s="46" cm="1">
        <f t="array" ref="PU105">ROUND(IFERROR(INDEX(ArchiveResults!$F$5:$IX$116,ComparisonData!A105,ComparisonData!$PU$1),0),5)</f>
        <v>0</v>
      </c>
      <c r="PV105" s="45" cm="1">
        <f t="array" ref="PV105">IFERROR(INDEX(ArchiveResults!$F$5:$IX$116,ComparisonData!A105,ComparisonData!$PV$1),0)</f>
        <v>0</v>
      </c>
      <c r="PW105" s="56">
        <v>100</v>
      </c>
      <c r="PX105" s="53" t="str">
        <f t="shared" si="1229"/>
        <v>University of St Andrews, University Collections</v>
      </c>
      <c r="PY105" s="59">
        <f t="shared" si="978"/>
        <v>0</v>
      </c>
      <c r="PZ105" s="59">
        <f t="shared" si="979"/>
        <v>0</v>
      </c>
      <c r="QA105" s="59">
        <f t="shared" si="980"/>
        <v>0</v>
      </c>
      <c r="QB105" s="59">
        <f t="shared" si="981"/>
        <v>0</v>
      </c>
      <c r="QC105" s="59">
        <f t="shared" si="982"/>
        <v>0</v>
      </c>
      <c r="QD105" s="58">
        <f t="shared" si="983"/>
        <v>0</v>
      </c>
      <c r="QE105" s="45">
        <f t="shared" si="984"/>
        <v>81</v>
      </c>
      <c r="QF105" s="45">
        <f t="shared" si="1230"/>
        <v>2.839</v>
      </c>
      <c r="QG105" s="45">
        <f t="shared" si="985"/>
        <v>1</v>
      </c>
      <c r="QH105" s="45">
        <f t="shared" si="986"/>
        <v>2</v>
      </c>
      <c r="QI105" s="45">
        <f t="shared" si="987"/>
        <v>0</v>
      </c>
      <c r="QJ105" s="46" cm="1">
        <f t="array" ref="QJ105">ROUND(IFERROR(INDEX(ArchiveResults!$F$5:$IX$116,ComparisonData!A105,ComparisonData!$QJ$1),0),5)</f>
        <v>0</v>
      </c>
      <c r="QK105" s="46" cm="1">
        <f t="array" ref="QK105">ROUND(IFERROR(INDEX(ArchiveResults!$F$5:$IX$116,ComparisonData!A105,ComparisonData!$QK$1),0),5)</f>
        <v>0</v>
      </c>
      <c r="QL105" s="46" cm="1">
        <f t="array" ref="QL105">ROUND(IFERROR(INDEX(ArchiveResults!$F$5:$IX$116,ComparisonData!A105,ComparisonData!$QL$1),0),5)</f>
        <v>0</v>
      </c>
      <c r="QM105" s="46" cm="1">
        <f t="array" ref="QM105">ROUND(IFERROR(INDEX(ArchiveResults!$F$5:$IX$116,ComparisonData!A105,ComparisonData!$QM$1),0),5)</f>
        <v>0</v>
      </c>
      <c r="QN105" s="45" cm="1">
        <f t="array" ref="QN105">IFERROR(INDEX(ArchiveResults!$F$5:$IX$116,ComparisonData!A105,ComparisonData!$QN$1),0)</f>
        <v>0</v>
      </c>
      <c r="QO105" s="56">
        <v>100</v>
      </c>
      <c r="QP105" s="53" t="str">
        <f t="shared" si="1231"/>
        <v>University of St Andrews, University Collections</v>
      </c>
      <c r="QQ105" s="59">
        <f t="shared" si="988"/>
        <v>0</v>
      </c>
      <c r="QR105" s="59">
        <f t="shared" si="989"/>
        <v>0</v>
      </c>
      <c r="QS105" s="59">
        <f t="shared" si="990"/>
        <v>0</v>
      </c>
      <c r="QT105" s="59">
        <f t="shared" si="991"/>
        <v>0</v>
      </c>
      <c r="QU105" s="59">
        <f t="shared" si="992"/>
        <v>0</v>
      </c>
      <c r="QV105" s="58">
        <f t="shared" si="993"/>
        <v>0</v>
      </c>
      <c r="QW105" s="45">
        <f t="shared" si="994"/>
        <v>81</v>
      </c>
      <c r="QX105" s="45">
        <f t="shared" si="1232"/>
        <v>2.839</v>
      </c>
      <c r="QY105" s="45">
        <f t="shared" si="995"/>
        <v>1</v>
      </c>
      <c r="QZ105" s="45">
        <f t="shared" si="996"/>
        <v>2</v>
      </c>
      <c r="RA105" s="45">
        <f t="shared" si="997"/>
        <v>0</v>
      </c>
      <c r="RB105" s="46" cm="1">
        <f t="array" ref="RB105">ROUND(IFERROR(INDEX(ArchiveResults!$F$5:$IX$116,ComparisonData!A105,ComparisonData!$RB$1),0),5)</f>
        <v>0</v>
      </c>
      <c r="RC105" s="46" cm="1">
        <f t="array" ref="RC105">ROUND(IFERROR(INDEX(ArchiveResults!$F$5:$IX$116,ComparisonData!A105,ComparisonData!$RC$1),0),5)</f>
        <v>0</v>
      </c>
      <c r="RD105" s="46" cm="1">
        <f t="array" ref="RD105">ROUND(IFERROR(INDEX(ArchiveResults!$F$5:$IX$116,ComparisonData!A105,ComparisonData!$RD$1),0),5)</f>
        <v>0</v>
      </c>
      <c r="RE105" s="46" cm="1">
        <f t="array" ref="RE105">ROUND(IFERROR(INDEX(ArchiveResults!$F$5:$IX$116,ComparisonData!A105,ComparisonData!$RE$1),0),5)</f>
        <v>0</v>
      </c>
      <c r="RF105" s="45" cm="1">
        <f t="array" ref="RF105">IFERROR(INDEX(ArchiveResults!$F$5:$IX$116,ComparisonData!A105,ComparisonData!$RF$1),0)</f>
        <v>0</v>
      </c>
      <c r="RG105" s="56">
        <v>100</v>
      </c>
      <c r="RH105" s="53" t="str">
        <f t="shared" si="1233"/>
        <v>University of St Andrews, University Collections</v>
      </c>
      <c r="RI105" s="59">
        <f t="shared" si="998"/>
        <v>0</v>
      </c>
      <c r="RJ105" s="59">
        <f t="shared" si="999"/>
        <v>0</v>
      </c>
      <c r="RK105" s="59">
        <f t="shared" si="1000"/>
        <v>0</v>
      </c>
      <c r="RL105" s="59">
        <f t="shared" si="1001"/>
        <v>0</v>
      </c>
      <c r="RM105" s="59">
        <f t="shared" si="1002"/>
        <v>0</v>
      </c>
      <c r="RN105" s="58">
        <f t="shared" si="1003"/>
        <v>0</v>
      </c>
      <c r="RO105" s="45">
        <f t="shared" si="1004"/>
        <v>81</v>
      </c>
      <c r="RP105" s="45">
        <f t="shared" si="1234"/>
        <v>2.839</v>
      </c>
      <c r="RQ105" s="45">
        <f t="shared" si="1005"/>
        <v>1</v>
      </c>
      <c r="RR105" s="45">
        <f t="shared" si="1006"/>
        <v>2</v>
      </c>
      <c r="RS105" s="45">
        <f t="shared" si="1007"/>
        <v>0</v>
      </c>
      <c r="RT105" s="46" cm="1">
        <f t="array" ref="RT105">ROUND(IFERROR(INDEX(ArchiveResults!$F$5:$IX$116,ComparisonData!A105,ComparisonData!$RT$1),0),5)</f>
        <v>0</v>
      </c>
      <c r="RU105" s="46" cm="1">
        <f t="array" ref="RU105">ROUND(IFERROR(INDEX(ArchiveResults!$F$5:$IX$116,ComparisonData!A105,ComparisonData!$RU$1),0),5)</f>
        <v>0</v>
      </c>
      <c r="RV105" s="46" cm="1">
        <f t="array" ref="RV105">ROUND(IFERROR(INDEX(ArchiveResults!$F$5:$IX$116,ComparisonData!A105,ComparisonData!$RV$1),0),5)</f>
        <v>0</v>
      </c>
      <c r="RW105" s="46" cm="1">
        <f t="array" ref="RW105">ROUND(IFERROR(INDEX(ArchiveResults!$F$5:$IX$116,ComparisonData!A105,ComparisonData!$RW$1),0),5)</f>
        <v>0</v>
      </c>
      <c r="RX105" s="45" cm="1">
        <f t="array" ref="RX105">IFERROR(INDEX(ArchiveResults!$F$5:$IX$116,ComparisonData!A105,ComparisonData!$RX$1),0)</f>
        <v>0</v>
      </c>
      <c r="RY105" s="56">
        <v>100</v>
      </c>
      <c r="RZ105" s="53" t="str">
        <f t="shared" si="1235"/>
        <v>University of St Andrews, University Collections</v>
      </c>
      <c r="SA105" s="59">
        <f t="shared" si="1008"/>
        <v>0</v>
      </c>
      <c r="SB105" s="59">
        <f t="shared" si="1009"/>
        <v>0</v>
      </c>
      <c r="SC105" s="59">
        <f t="shared" si="1010"/>
        <v>0</v>
      </c>
      <c r="SD105" s="59">
        <f t="shared" si="1011"/>
        <v>0</v>
      </c>
      <c r="SE105" s="59">
        <f t="shared" si="1012"/>
        <v>0</v>
      </c>
      <c r="SF105" s="58">
        <f t="shared" si="1013"/>
        <v>0</v>
      </c>
      <c r="SG105" s="45">
        <f t="shared" si="1014"/>
        <v>81</v>
      </c>
      <c r="SH105" s="45">
        <f t="shared" si="1236"/>
        <v>2.839</v>
      </c>
      <c r="SI105" s="45">
        <f t="shared" si="1015"/>
        <v>1</v>
      </c>
      <c r="SJ105" s="45">
        <f t="shared" si="1016"/>
        <v>2</v>
      </c>
      <c r="SK105" s="45">
        <f t="shared" si="1017"/>
        <v>0</v>
      </c>
      <c r="SL105" s="46" cm="1">
        <f t="array" ref="SL105">ROUND(IFERROR(INDEX(ArchiveResults!$F$5:$IX$116,ComparisonData!A105,ComparisonData!$SL$1),0),5)</f>
        <v>0</v>
      </c>
      <c r="SM105" s="46" cm="1">
        <f t="array" ref="SM105">ROUND(IFERROR(INDEX(ArchiveResults!$F$5:$IX$116,ComparisonData!A105,ComparisonData!$SM$1),0),5)</f>
        <v>0</v>
      </c>
      <c r="SN105" s="46" cm="1">
        <f t="array" ref="SN105">ROUND(IFERROR(INDEX(ArchiveResults!$F$5:$IX$116,ComparisonData!A105,ComparisonData!$SN$1),0),5)</f>
        <v>0</v>
      </c>
      <c r="SO105" s="46" cm="1">
        <f t="array" ref="SO105">ROUND(IFERROR(INDEX(ArchiveResults!$F$5:$IX$116,ComparisonData!A105,ComparisonData!$SO$1),0),5)</f>
        <v>0</v>
      </c>
      <c r="SP105" s="45" cm="1">
        <f t="array" ref="SP105">IFERROR(INDEX(ArchiveResults!$F$5:$IX$116,ComparisonData!A105,ComparisonData!$SP$1),0)</f>
        <v>0</v>
      </c>
      <c r="SQ105" s="56">
        <v>100</v>
      </c>
      <c r="SR105" s="53" t="str">
        <f t="shared" si="1237"/>
        <v>University of St Andrews, University Collections</v>
      </c>
      <c r="SS105" s="59">
        <f t="shared" si="1018"/>
        <v>0</v>
      </c>
      <c r="ST105" s="59">
        <f t="shared" si="1019"/>
        <v>0</v>
      </c>
      <c r="SU105" s="59">
        <f t="shared" si="1020"/>
        <v>0</v>
      </c>
      <c r="SV105" s="59">
        <f t="shared" si="1021"/>
        <v>0</v>
      </c>
      <c r="SW105" s="59">
        <f t="shared" si="1022"/>
        <v>0</v>
      </c>
      <c r="SX105" s="58">
        <f t="shared" si="1023"/>
        <v>0</v>
      </c>
      <c r="SY105" s="45">
        <f t="shared" si="1024"/>
        <v>81</v>
      </c>
      <c r="SZ105" s="45">
        <f t="shared" si="1238"/>
        <v>2.839</v>
      </c>
      <c r="TA105" s="45">
        <f t="shared" si="1025"/>
        <v>1</v>
      </c>
      <c r="TB105" s="45">
        <f t="shared" si="1026"/>
        <v>2</v>
      </c>
      <c r="TC105" s="45">
        <f t="shared" si="1027"/>
        <v>0</v>
      </c>
      <c r="TD105" s="46" cm="1">
        <f t="array" ref="TD105">ROUND(IFERROR(INDEX(ArchiveResults!$F$5:$IX$116,ComparisonData!A105,ComparisonData!$TD$1),0),5)</f>
        <v>0</v>
      </c>
      <c r="TE105" s="46" cm="1">
        <f t="array" ref="TE105">ROUND(IFERROR(INDEX(ArchiveResults!$F$5:$IX$116,ComparisonData!A105,ComparisonData!$TE$1),0),5)</f>
        <v>0</v>
      </c>
      <c r="TF105" s="46" cm="1">
        <f t="array" ref="TF105">ROUND(IFERROR(INDEX(ArchiveResults!$F$5:$IX$116,ComparisonData!A105,ComparisonData!$TF$1),0),5)</f>
        <v>0</v>
      </c>
      <c r="TG105" s="46" cm="1">
        <f t="array" ref="TG105">ROUND(IFERROR(INDEX(ArchiveResults!$F$5:$IX$116,ComparisonData!A105,ComparisonData!$TG$1),0),5)</f>
        <v>0</v>
      </c>
      <c r="TH105" s="45" cm="1">
        <f t="array" ref="TH105">IFERROR(INDEX(ArchiveResults!$F$5:$IX$116,ComparisonData!A105,ComparisonData!$TH$1),0)</f>
        <v>0</v>
      </c>
      <c r="TI105" s="56">
        <v>100</v>
      </c>
      <c r="TJ105" s="53" t="str">
        <f t="shared" si="1239"/>
        <v>University of St Andrews, University Collections</v>
      </c>
      <c r="TK105" s="59">
        <f t="shared" si="1028"/>
        <v>0</v>
      </c>
      <c r="TL105" s="59">
        <f t="shared" si="1029"/>
        <v>0</v>
      </c>
      <c r="TM105" s="59">
        <f t="shared" si="1030"/>
        <v>0</v>
      </c>
      <c r="TN105" s="59">
        <f t="shared" si="1031"/>
        <v>0</v>
      </c>
      <c r="TO105" s="59">
        <f t="shared" si="1032"/>
        <v>0</v>
      </c>
      <c r="TP105" s="58">
        <f t="shared" si="1033"/>
        <v>0</v>
      </c>
      <c r="TQ105" s="45">
        <f t="shared" si="1034"/>
        <v>81</v>
      </c>
      <c r="TR105" s="45">
        <f t="shared" si="1240"/>
        <v>2.839</v>
      </c>
      <c r="TS105" s="45">
        <f t="shared" si="1035"/>
        <v>1</v>
      </c>
      <c r="TT105" s="45">
        <f t="shared" si="1036"/>
        <v>2</v>
      </c>
      <c r="TU105" s="45">
        <f t="shared" si="1037"/>
        <v>0</v>
      </c>
      <c r="TV105" s="46" cm="1">
        <f t="array" ref="TV105">ROUND(IFERROR(INDEX(ArchiveResults!$F$5:$IX$116,ComparisonData!A105,ComparisonData!$TV$1),0),5)</f>
        <v>0</v>
      </c>
      <c r="TW105" s="46" cm="1">
        <f t="array" ref="TW105">ROUND(IFERROR(INDEX(ArchiveResults!$F$5:$IX$116,ComparisonData!A105,ComparisonData!$TW$1),0),5)</f>
        <v>0</v>
      </c>
      <c r="TX105" s="46" cm="1">
        <f t="array" ref="TX105">ROUND(IFERROR(INDEX(ArchiveResults!$F$5:$IX$116,ComparisonData!A105,ComparisonData!$TX$1),0),5)</f>
        <v>0</v>
      </c>
      <c r="TY105" s="46" cm="1">
        <f t="array" ref="TY105">ROUND(IFERROR(INDEX(ArchiveResults!$F$5:$IX$116,ComparisonData!A105,ComparisonData!$TY$1),0),5)</f>
        <v>0</v>
      </c>
      <c r="TZ105" s="45" cm="1">
        <f t="array" ref="TZ105">IFERROR(INDEX(ArchiveResults!$F$5:$IX$116,ComparisonData!A105,ComparisonData!$TZ$1),0)</f>
        <v>0</v>
      </c>
      <c r="UA105" s="56">
        <v>100</v>
      </c>
      <c r="UB105" s="53" t="str">
        <f t="shared" si="1241"/>
        <v>University of St Andrews, University Collections</v>
      </c>
      <c r="UC105" s="60">
        <f t="shared" si="1038"/>
        <v>0</v>
      </c>
      <c r="UD105" s="60">
        <f t="shared" si="1039"/>
        <v>0</v>
      </c>
      <c r="UE105" s="60">
        <f t="shared" si="1040"/>
        <v>0</v>
      </c>
      <c r="UF105" s="60">
        <f t="shared" si="1041"/>
        <v>0</v>
      </c>
      <c r="UG105" s="60">
        <f t="shared" si="1042"/>
        <v>0</v>
      </c>
      <c r="UH105" s="58">
        <f t="shared" si="1043"/>
        <v>0</v>
      </c>
      <c r="UI105" s="46">
        <f t="shared" si="1044"/>
        <v>81</v>
      </c>
      <c r="UJ105" s="46">
        <f t="shared" si="1242"/>
        <v>2.839</v>
      </c>
      <c r="UK105" s="46">
        <f t="shared" si="1045"/>
        <v>1</v>
      </c>
      <c r="UL105" s="46">
        <f t="shared" si="1046"/>
        <v>2</v>
      </c>
      <c r="UM105" s="46" cm="1">
        <f t="array" ref="UM105">ROUND(IFERROR(INDEX(ArchiveResults!$F$5:$IX$116,ComparisonData!A105,ComparisonData!$UM$1),0),5)</f>
        <v>0</v>
      </c>
      <c r="UN105" s="56">
        <v>100</v>
      </c>
      <c r="UO105" s="53" t="str">
        <f t="shared" si="1243"/>
        <v>University of St Andrews, University Collections</v>
      </c>
      <c r="UP105" s="46">
        <f t="shared" si="1047"/>
        <v>0</v>
      </c>
      <c r="UQ105" s="76">
        <f t="shared" si="1048"/>
        <v>0</v>
      </c>
      <c r="UR105" s="46">
        <f t="shared" si="1049"/>
        <v>81</v>
      </c>
      <c r="US105" s="46">
        <f t="shared" si="1244"/>
        <v>2.839</v>
      </c>
      <c r="UT105" s="46">
        <f t="shared" si="1050"/>
        <v>1</v>
      </c>
      <c r="UU105" s="46">
        <f t="shared" si="1051"/>
        <v>2</v>
      </c>
      <c r="UV105" s="46">
        <f t="shared" si="1052"/>
        <v>0</v>
      </c>
      <c r="UW105" s="46" cm="1">
        <f t="array" ref="UW105">ROUND(IFERROR(INDEX(ArchiveResults!$F$5:$IX$116,ComparisonData!A105,ComparisonData!$UW$1),0),5)</f>
        <v>0</v>
      </c>
      <c r="UX105" s="46" cm="1">
        <f t="array" ref="UX105">ROUND(IFERROR(INDEX(ArchiveResults!$F$5:$IX$116,ComparisonData!A105,ComparisonData!$UX$1),0),5)</f>
        <v>0</v>
      </c>
      <c r="UY105" s="46" cm="1">
        <f t="array" ref="UY105">ROUND(IFERROR(INDEX(ArchiveResults!$F$5:$IX$116,ComparisonData!A105,ComparisonData!$UY$1),0),5)</f>
        <v>0</v>
      </c>
      <c r="UZ105" s="46" cm="1">
        <f t="array" ref="UZ105">ROUND(IFERROR(INDEX(ArchiveResults!$F$5:$IX$116,ComparisonData!A105,ComparisonData!$UZ$1),0),5)</f>
        <v>0</v>
      </c>
      <c r="VA105" s="46" cm="1">
        <f t="array" ref="VA105">ROUND(IFERROR(INDEX(ArchiveResults!$F$5:$IX$116,ComparisonData!A105,ComparisonData!$VA$1),0),5)</f>
        <v>0</v>
      </c>
      <c r="VB105" s="56">
        <v>100</v>
      </c>
      <c r="VC105" s="53" t="str">
        <f t="shared" si="1245"/>
        <v>University of St Andrews, University Collections</v>
      </c>
      <c r="VD105" s="60">
        <f t="shared" si="1053"/>
        <v>0</v>
      </c>
      <c r="VE105" s="60">
        <f t="shared" si="1054"/>
        <v>0</v>
      </c>
      <c r="VF105" s="60">
        <f t="shared" si="1055"/>
        <v>0</v>
      </c>
      <c r="VG105" s="60">
        <f t="shared" si="1056"/>
        <v>0</v>
      </c>
      <c r="VH105" s="60">
        <f t="shared" si="1057"/>
        <v>0</v>
      </c>
      <c r="VI105" s="76">
        <f t="shared" si="1058"/>
        <v>0</v>
      </c>
      <c r="VJ105" s="46">
        <f t="shared" si="1059"/>
        <v>81</v>
      </c>
      <c r="VK105" s="46">
        <f t="shared" si="1246"/>
        <v>2.839</v>
      </c>
      <c r="VL105" s="46">
        <f t="shared" si="1060"/>
        <v>1</v>
      </c>
      <c r="VM105" s="46">
        <f t="shared" si="1061"/>
        <v>2</v>
      </c>
      <c r="VN105" s="46" cm="1">
        <f t="array" ref="VN105">ROUND(IFERROR(INDEX(ArchiveResults!$F$5:$IX$116,ComparisonData!A105,ComparisonData!$VN$1),0),5)</f>
        <v>0</v>
      </c>
      <c r="VO105" s="46" cm="1">
        <f t="array" ref="VO105">ROUND(IFERROR(INDEX(ArchiveResults!$F$5:$IX$116,ComparisonData!A105,ComparisonData!$VO$1),0),5)</f>
        <v>0</v>
      </c>
      <c r="VP105" s="46" cm="1">
        <f t="array" ref="VP105">ROUND(IFERROR(INDEX(ArchiveResults!$F$5:$IX$116,ComparisonData!A105,ComparisonData!$VP$1),0),5)</f>
        <v>0</v>
      </c>
      <c r="VQ105" s="46" cm="1">
        <f t="array" ref="VQ105">ROUND(IFERROR(INDEX(ArchiveResults!$F$5:$IX$116,ComparisonData!A105,ComparisonData!$VQ$1),0),5)</f>
        <v>0</v>
      </c>
      <c r="VR105" s="56">
        <v>100</v>
      </c>
      <c r="VS105" s="53" t="str">
        <f t="shared" si="1247"/>
        <v>University of St Andrews, University Collections</v>
      </c>
      <c r="VT105" s="60">
        <f t="shared" si="1062"/>
        <v>0</v>
      </c>
      <c r="VU105" s="60">
        <f t="shared" si="1063"/>
        <v>0</v>
      </c>
      <c r="VV105" s="60">
        <f t="shared" si="1064"/>
        <v>0</v>
      </c>
      <c r="VW105" s="60">
        <f t="shared" si="1065"/>
        <v>0</v>
      </c>
      <c r="VX105" s="76">
        <f t="shared" si="1066"/>
        <v>0</v>
      </c>
      <c r="VY105" s="46">
        <f t="shared" si="1067"/>
        <v>81</v>
      </c>
      <c r="VZ105" s="46">
        <f t="shared" si="1248"/>
        <v>2.839</v>
      </c>
      <c r="WA105" s="46">
        <f t="shared" si="1068"/>
        <v>1</v>
      </c>
      <c r="WB105" s="46">
        <f t="shared" si="1069"/>
        <v>2</v>
      </c>
      <c r="WC105" s="46" cm="1">
        <f t="array" ref="WC105">ROUND(IFERROR(INDEX(ArchiveResults!$F$5:$IX$116,ComparisonData!A105,ComparisonData!$WC$1),0),5)</f>
        <v>0</v>
      </c>
      <c r="WD105" s="56">
        <v>100</v>
      </c>
      <c r="WE105" s="53" t="str">
        <f t="shared" si="1249"/>
        <v>University of St Andrews, University Collections</v>
      </c>
      <c r="WF105" s="46">
        <f t="shared" si="1070"/>
        <v>0</v>
      </c>
      <c r="WG105" s="76">
        <f t="shared" si="1071"/>
        <v>0</v>
      </c>
      <c r="WH105" s="46">
        <f t="shared" si="1072"/>
        <v>81</v>
      </c>
      <c r="WI105" s="46">
        <f t="shared" si="1250"/>
        <v>2.839</v>
      </c>
      <c r="WJ105" s="46">
        <f t="shared" si="1073"/>
        <v>1</v>
      </c>
      <c r="WK105" s="46">
        <f t="shared" si="1074"/>
        <v>2</v>
      </c>
      <c r="WL105" s="46" cm="1">
        <f t="array" ref="WL105">ROUND(IFERROR(INDEX(ArchiveResults!$F$5:$IX$116,ComparisonData!A105,ComparisonData!$WL$1),0),5)</f>
        <v>0</v>
      </c>
      <c r="WM105" s="46" cm="1">
        <f t="array" ref="WM105">IFERROR(INDEX(ArchiveResults!$F$5:$IX$116,ComparisonData!A105,ComparisonData!$WM$1),0)</f>
        <v>0</v>
      </c>
      <c r="WN105" s="56">
        <v>100</v>
      </c>
      <c r="WO105" s="53" t="str">
        <f t="shared" si="1251"/>
        <v>University of St Andrews, University Collections</v>
      </c>
      <c r="WP105" s="60">
        <f t="shared" si="1075"/>
        <v>0</v>
      </c>
      <c r="WQ105" s="60">
        <f t="shared" si="1076"/>
        <v>0</v>
      </c>
      <c r="WR105" s="76">
        <f t="shared" si="1077"/>
        <v>0</v>
      </c>
      <c r="WS105" s="46">
        <f t="shared" si="1078"/>
        <v>81</v>
      </c>
      <c r="WT105" s="46">
        <f t="shared" si="1252"/>
        <v>2.839</v>
      </c>
      <c r="WU105" s="46">
        <f t="shared" si="1079"/>
        <v>1</v>
      </c>
      <c r="WV105" s="46">
        <f t="shared" si="1080"/>
        <v>2</v>
      </c>
      <c r="WW105" s="46" cm="1">
        <f t="array" ref="WW105">ROUND(VALUE(IFERROR(INDEX(ArchiveResults!$F$5:$IX$116,ComparisonData!A105,ComparisonData!$WW$1),0)),5)</f>
        <v>0</v>
      </c>
      <c r="WX105" s="46" cm="1">
        <f t="array" ref="WX105">ROUND(IFERROR(INDEX(ArchiveResults!$F$5:$IX$116,ComparisonData!A105,ComparisonData!$WX$1),0),5)</f>
        <v>0</v>
      </c>
      <c r="WY105" s="56">
        <v>100</v>
      </c>
      <c r="WZ105" s="53" t="str">
        <f t="shared" si="1253"/>
        <v>University of St Andrews, University Collections</v>
      </c>
      <c r="XA105" s="60">
        <f t="shared" si="1254"/>
        <v>0</v>
      </c>
      <c r="XB105" s="60">
        <f t="shared" si="1255"/>
        <v>0</v>
      </c>
      <c r="XC105" s="76">
        <f t="shared" si="1081"/>
        <v>0</v>
      </c>
      <c r="XD105" s="46">
        <f t="shared" si="1082"/>
        <v>81</v>
      </c>
      <c r="XE105" s="46">
        <f t="shared" si="1256"/>
        <v>2.839</v>
      </c>
      <c r="XF105" s="46">
        <f t="shared" si="1083"/>
        <v>1</v>
      </c>
      <c r="XG105" s="46">
        <f t="shared" si="1084"/>
        <v>2</v>
      </c>
      <c r="XH105" s="46" cm="1">
        <f t="array" ref="XH105">ROUND(VALUE(IFERROR(INDEX(ArchiveResults!$F$5:$IX$116,ComparisonData!A105,ComparisonData!$XH$1),0)),5)</f>
        <v>0</v>
      </c>
      <c r="XI105" s="46" cm="1">
        <f t="array" ref="XI105">ROUND(VALUE(IFERROR(INDEX(ArchiveResults!$F$5:$IX$116,ComparisonData!A105,ComparisonData!$XI$1),0)),5)</f>
        <v>0</v>
      </c>
      <c r="XJ105" s="56">
        <v>100</v>
      </c>
      <c r="XK105" s="53" t="str">
        <f t="shared" si="1257"/>
        <v>University of St Andrews, University Collections</v>
      </c>
      <c r="XL105" s="60">
        <f t="shared" si="1085"/>
        <v>0</v>
      </c>
      <c r="XM105" s="60">
        <f t="shared" si="1086"/>
        <v>0</v>
      </c>
      <c r="XN105" s="76">
        <f t="shared" si="1087"/>
        <v>0</v>
      </c>
      <c r="XO105" s="46">
        <f t="shared" si="1088"/>
        <v>81</v>
      </c>
      <c r="XP105" s="46">
        <f t="shared" si="1258"/>
        <v>2.839</v>
      </c>
      <c r="XQ105" s="46">
        <f t="shared" si="1089"/>
        <v>1</v>
      </c>
      <c r="XR105" s="46">
        <f t="shared" si="1090"/>
        <v>2</v>
      </c>
      <c r="XS105" s="46" cm="1">
        <f t="array" ref="XS105">ROUND(VALUE(IFERROR(INDEX(ArchiveResults!$F$5:$IX$116,ComparisonData!A105,ComparisonData!$XS$1),0)),5)</f>
        <v>0</v>
      </c>
      <c r="XT105" s="46" cm="1">
        <f t="array" ref="XT105">ROUND(VALUE(IFERROR(INDEX(ArchiveResults!$F$5:$IX$116,ComparisonData!A105,ComparisonData!$XT$1),0)),5)</f>
        <v>0</v>
      </c>
      <c r="XU105" s="56">
        <v>100</v>
      </c>
      <c r="XV105" s="53" t="str">
        <f t="shared" si="1259"/>
        <v>University of St Andrews, University Collections</v>
      </c>
      <c r="XW105" s="60">
        <f t="shared" si="1091"/>
        <v>0</v>
      </c>
      <c r="XX105" s="60">
        <f t="shared" si="1092"/>
        <v>0</v>
      </c>
      <c r="XY105" s="76">
        <f t="shared" si="1093"/>
        <v>0</v>
      </c>
      <c r="XZ105" s="46">
        <f t="shared" si="1094"/>
        <v>81</v>
      </c>
      <c r="YA105" s="46">
        <f t="shared" si="1260"/>
        <v>2.839</v>
      </c>
      <c r="YB105" s="46">
        <f t="shared" si="1095"/>
        <v>1</v>
      </c>
      <c r="YC105" s="46">
        <f t="shared" si="1096"/>
        <v>2</v>
      </c>
      <c r="YD105" s="46" cm="1">
        <f t="array" ref="YD105">ROUND(VALUE(IFERROR(INDEX(ArchiveResults!$F$5:$IX$116,ComparisonData!A105,ComparisonData!$YD$1),0)),5)</f>
        <v>0</v>
      </c>
      <c r="YE105" s="46" cm="1">
        <f t="array" ref="YE105">ROUND(VALUE(IFERROR(INDEX(ArchiveResults!$F$5:$IX$116,ComparisonData!A105,ComparisonData!$YE$1),0)),5)</f>
        <v>0</v>
      </c>
      <c r="YF105" s="56">
        <v>100</v>
      </c>
      <c r="YG105" s="53" t="str">
        <f t="shared" si="1261"/>
        <v>University of St Andrews, University Collections</v>
      </c>
      <c r="YH105" s="60">
        <f t="shared" si="1097"/>
        <v>0</v>
      </c>
      <c r="YI105" s="60">
        <f t="shared" si="1098"/>
        <v>0</v>
      </c>
      <c r="YJ105" s="76">
        <f t="shared" si="1099"/>
        <v>0</v>
      </c>
      <c r="YK105" s="46">
        <f t="shared" si="1100"/>
        <v>81</v>
      </c>
      <c r="YL105" s="46">
        <f t="shared" si="1262"/>
        <v>2.839</v>
      </c>
      <c r="YM105" s="46">
        <f t="shared" si="1101"/>
        <v>1</v>
      </c>
      <c r="YN105" s="46">
        <f t="shared" si="1102"/>
        <v>2</v>
      </c>
      <c r="YO105" s="46" cm="1">
        <f t="array" ref="YO105">ROUND(VALUE(IFERROR(INDEX(ArchiveResults!$F$5:$IX$116,ComparisonData!A105,ComparisonData!$YO$1),0)),5)</f>
        <v>0</v>
      </c>
      <c r="YP105" s="46" cm="1">
        <f t="array" ref="YP105">ROUND(VALUE(IFERROR(INDEX(ArchiveResults!$F$5:$IX$116,ComparisonData!A105,ComparisonData!$YP$1),0)),5)</f>
        <v>0</v>
      </c>
      <c r="YQ105" s="56">
        <v>100</v>
      </c>
      <c r="YR105" s="53" t="str">
        <f t="shared" si="1263"/>
        <v>University of St Andrews, University Collections</v>
      </c>
      <c r="YS105" s="60">
        <f t="shared" si="1103"/>
        <v>0</v>
      </c>
      <c r="YT105" s="60">
        <f t="shared" si="1104"/>
        <v>0</v>
      </c>
      <c r="YU105" s="76">
        <f t="shared" si="1105"/>
        <v>0</v>
      </c>
      <c r="YV105" s="46">
        <f t="shared" si="1106"/>
        <v>81</v>
      </c>
      <c r="YW105" s="46">
        <f t="shared" si="1264"/>
        <v>2.839</v>
      </c>
      <c r="YX105" s="46">
        <f t="shared" si="1107"/>
        <v>1</v>
      </c>
      <c r="YY105" s="46">
        <f t="shared" si="1108"/>
        <v>2</v>
      </c>
      <c r="YZ105" s="46">
        <f t="shared" si="1109"/>
        <v>0</v>
      </c>
      <c r="ZA105" s="46" cm="1">
        <f t="array" ref="ZA105">ROUNDDOWN(VALUE(IFERROR(INDEX(ArchiveResults!$F$5:$IX$116,ComparisonData!A105,ComparisonData!$ZA$1),0)),5)</f>
        <v>0</v>
      </c>
      <c r="ZB105" s="46" cm="1">
        <f t="array" ref="ZB105">ROUNDDOWN(VALUE(IFERROR(INDEX(ArchiveResults!$F$5:$IX$116,ComparisonData!A105,ComparisonData!$ZB$1),0)),5)</f>
        <v>0</v>
      </c>
      <c r="ZC105" s="46" cm="1">
        <f t="array" ref="ZC105">ROUNDDOWN(VALUE(IFERROR(INDEX(ArchiveResults!$F$5:$IX$116,ComparisonData!A105,ComparisonData!$ZC$1),0)),5)</f>
        <v>0</v>
      </c>
      <c r="ZD105" s="46" cm="1">
        <f t="array" ref="ZD105">ROUNDDOWN(VALUE(IFERROR(INDEX(ArchiveResults!$F$5:$IX$116,ComparisonData!A105,ComparisonData!$ZD$1),0)),5)</f>
        <v>0</v>
      </c>
      <c r="ZE105" s="46" cm="1">
        <f t="array" ref="ZE105">ROUNDDOWN(VALUE(IFERROR(INDEX(ArchiveResults!$F$5:$IX$116,ComparisonData!A105,ComparisonData!$ZE$1),0)),5)</f>
        <v>0</v>
      </c>
      <c r="ZF105" s="56">
        <v>100</v>
      </c>
      <c r="ZG105" s="53" t="str">
        <f t="shared" si="1265"/>
        <v>University of St Andrews, University Collections</v>
      </c>
      <c r="ZH105" s="60">
        <f t="shared" si="1110"/>
        <v>0</v>
      </c>
      <c r="ZI105" s="60">
        <f t="shared" si="1111"/>
        <v>0</v>
      </c>
      <c r="ZJ105" s="60">
        <f t="shared" si="1112"/>
        <v>0</v>
      </c>
      <c r="ZK105" s="60">
        <f t="shared" si="1113"/>
        <v>0</v>
      </c>
      <c r="ZL105" s="60">
        <f t="shared" si="1114"/>
        <v>0</v>
      </c>
      <c r="ZM105" s="76">
        <f t="shared" si="1115"/>
        <v>0</v>
      </c>
      <c r="ZN105" s="46">
        <f t="shared" si="1116"/>
        <v>81</v>
      </c>
      <c r="ZO105" s="46">
        <f t="shared" si="1266"/>
        <v>2.839</v>
      </c>
      <c r="ZP105" s="46">
        <f t="shared" si="1117"/>
        <v>1</v>
      </c>
      <c r="ZQ105" s="46">
        <f t="shared" si="1118"/>
        <v>2</v>
      </c>
      <c r="ZR105" s="46" cm="1">
        <f t="array" ref="ZR105">ROUND(VALUE(IFERROR(INDEX(ArchiveResults!$F$5:$IX$116,ComparisonData!A105,ComparisonData!$ZR$1),0)),5)</f>
        <v>0</v>
      </c>
      <c r="ZS105" s="56">
        <v>100</v>
      </c>
      <c r="ZT105" s="53" t="str">
        <f t="shared" si="1267"/>
        <v>University of St Andrews, University Collections</v>
      </c>
      <c r="ZU105" s="46">
        <f t="shared" si="1119"/>
        <v>0</v>
      </c>
      <c r="ZV105" s="76">
        <f t="shared" si="1120"/>
        <v>0</v>
      </c>
      <c r="ZW105" s="81" cm="1">
        <f t="array" ref="ZW105">ROUND((IFERROR(INDEX(ArchiveResults!$F$5:$IX$116,ComparisonData!A105,ComparisonData!$ZW$1),0)),5)</f>
        <v>0</v>
      </c>
      <c r="ZX105" s="81" cm="1">
        <f t="array" ref="ZX105">ROUND((IFERROR(INDEX(ArchiveResults!$F$5:$IX$116,ComparisonData!A105,ComparisonData!$ZX$1),0)),5)</f>
        <v>0</v>
      </c>
      <c r="ZY105" s="81" cm="1">
        <f t="array" ref="ZY105">ROUND((IFERROR(INDEX(ArchiveResults!$F$5:$IX$116,ComparisonData!A105,ComparisonData!$ZY$1),0)),5)</f>
        <v>0</v>
      </c>
      <c r="ZZ105" s="81" cm="1">
        <f t="array" ref="ZZ105">ROUND((IFERROR(INDEX(ArchiveResults!$F$5:$IX$116,ComparisonData!A105,ComparisonData!$ZZ$1),0)),5)</f>
        <v>0</v>
      </c>
      <c r="AAA105" s="81" cm="1">
        <f t="array" ref="AAA105">ROUND((IFERROR(INDEX(ArchiveResults!$F$5:$IX$116,ComparisonData!A105,ComparisonData!$AAA$1),0)),5)</f>
        <v>0</v>
      </c>
      <c r="AAB105" s="81" cm="1">
        <f t="array" ref="AAB105">ROUND((IFERROR(INDEX(ArchiveResults!$F$5:$IX$116,ComparisonData!A105,ComparisonData!$AAB$1),0)),5)</f>
        <v>0</v>
      </c>
      <c r="AAC105" s="81" cm="1">
        <f t="array" ref="AAC105">ROUND((IFERROR(INDEX(ArchiveResults!$F$5:$IX$116,ComparisonData!A105,ComparisonData!$AAC$1),0)),5)</f>
        <v>0</v>
      </c>
      <c r="AAD105" s="81" cm="1">
        <f t="array" ref="AAD105">ROUND((IFERROR(INDEX(ArchiveResults!$F$5:$IX$116,ComparisonData!A105,ComparisonData!$AAD$1),0)),5)</f>
        <v>0</v>
      </c>
      <c r="AAE105" s="81" cm="1">
        <f t="array" ref="AAE105">ROUND((IFERROR(INDEX(ArchiveResults!$F$5:$IX$116,ComparisonData!A105,ComparisonData!$AAE$1),0)),5)</f>
        <v>0</v>
      </c>
      <c r="AAF105" s="81" cm="1">
        <f t="array" ref="AAF105">ROUND((IFERROR(INDEX(ArchiveResults!$F$5:$IX$116,ComparisonData!A105,ComparisonData!$AAF$1),0)),5)</f>
        <v>0</v>
      </c>
      <c r="AAG105" s="46">
        <f t="shared" si="1121"/>
        <v>81</v>
      </c>
      <c r="AAH105" s="46">
        <f t="shared" si="1268"/>
        <v>2.839</v>
      </c>
      <c r="AAI105" s="46">
        <f t="shared" si="1122"/>
        <v>1</v>
      </c>
      <c r="AAJ105" s="46">
        <f t="shared" si="1123"/>
        <v>2</v>
      </c>
      <c r="AAK105" s="46">
        <f t="shared" si="1124"/>
        <v>0</v>
      </c>
      <c r="AAL105" s="46">
        <f t="shared" si="1125"/>
        <v>0</v>
      </c>
      <c r="AAM105" s="46">
        <f t="shared" si="1126"/>
        <v>0</v>
      </c>
      <c r="AAN105" s="46">
        <f t="shared" si="1127"/>
        <v>0</v>
      </c>
      <c r="AAO105" s="46">
        <f t="shared" si="1128"/>
        <v>0</v>
      </c>
      <c r="AAP105" s="46">
        <f t="shared" si="1129"/>
        <v>0</v>
      </c>
      <c r="AAQ105" s="56">
        <v>100</v>
      </c>
      <c r="AAR105" s="53" t="str">
        <f t="shared" si="1269"/>
        <v>University of St Andrews, University Collections</v>
      </c>
      <c r="AAS105" s="60">
        <f t="shared" si="1130"/>
        <v>0</v>
      </c>
      <c r="AAT105" s="60">
        <f t="shared" si="1131"/>
        <v>0</v>
      </c>
      <c r="AAU105" s="60">
        <f t="shared" si="1132"/>
        <v>0</v>
      </c>
      <c r="AAV105" s="60">
        <f t="shared" si="1133"/>
        <v>0</v>
      </c>
      <c r="AAW105" s="60">
        <f t="shared" si="1134"/>
        <v>0</v>
      </c>
      <c r="AAX105" s="76">
        <f t="shared" si="1135"/>
        <v>0</v>
      </c>
      <c r="AAY105" s="46">
        <f t="shared" si="1136"/>
        <v>81</v>
      </c>
      <c r="AAZ105" s="46">
        <f t="shared" si="1270"/>
        <v>2.839</v>
      </c>
      <c r="ABA105" s="46">
        <f t="shared" si="1137"/>
        <v>1</v>
      </c>
      <c r="ABB105" s="46">
        <f t="shared" si="1138"/>
        <v>2</v>
      </c>
      <c r="ABC105" s="46">
        <f t="shared" si="742"/>
        <v>0</v>
      </c>
      <c r="ABD105" s="46" cm="1">
        <f t="array" ref="ABD105">ROUND(VALUE(IFERROR(INDEX(ArchiveResults!$F$5:$IX$116,ComparisonData!A105,ComparisonData!$ABD$1),0)),5)</f>
        <v>0</v>
      </c>
      <c r="ABE105" s="46" cm="1">
        <f t="array" ref="ABE105">ROUND(VALUE(IFERROR(INDEX(ArchiveResults!$F$5:$IX$116,ComparisonData!A105,ComparisonData!$ABE$1),0)),5)</f>
        <v>0</v>
      </c>
      <c r="ABF105" s="46" cm="1">
        <f t="array" ref="ABF105">ROUND(VALUE(IFERROR(INDEX(ArchiveResults!$F$5:$IX$116,ComparisonData!A105,ComparisonData!$ABF$1),0)),5)</f>
        <v>0</v>
      </c>
      <c r="ABG105" s="46" cm="1">
        <f t="array" ref="ABG105">ROUND(VALUE(IFERROR(INDEX(ArchiveResults!$F$5:$IX$116,ComparisonData!A105,ComparisonData!$ABG$1),0)),5)</f>
        <v>0</v>
      </c>
      <c r="ABH105" s="46" cm="1">
        <f t="array" ref="ABH105">ROUND(VALUE(IFERROR(INDEX(ArchiveResults!$F$5:$IX$116,ComparisonData!A105,ComparisonData!$ABH$1),0)),5)</f>
        <v>0</v>
      </c>
      <c r="ABI105" s="56">
        <v>100</v>
      </c>
      <c r="ABJ105" s="53" t="str">
        <f t="shared" si="1271"/>
        <v>University of St Andrews, University Collections</v>
      </c>
      <c r="ABK105" s="60">
        <f t="shared" si="1139"/>
        <v>0</v>
      </c>
      <c r="ABL105" s="60">
        <f t="shared" si="1140"/>
        <v>0</v>
      </c>
      <c r="ABM105" s="60">
        <f t="shared" si="1141"/>
        <v>0</v>
      </c>
      <c r="ABN105" s="60">
        <f t="shared" si="1142"/>
        <v>0</v>
      </c>
      <c r="ABO105" s="60">
        <f t="shared" si="1143"/>
        <v>0</v>
      </c>
      <c r="ABP105" s="76">
        <f t="shared" si="1144"/>
        <v>0</v>
      </c>
      <c r="ABQ105" s="46">
        <f t="shared" si="1145"/>
        <v>81</v>
      </c>
      <c r="ABR105" s="46">
        <f t="shared" si="1272"/>
        <v>2.839</v>
      </c>
      <c r="ABS105" s="46">
        <f t="shared" si="1146"/>
        <v>1</v>
      </c>
      <c r="ABT105" s="46">
        <f t="shared" si="1147"/>
        <v>2</v>
      </c>
      <c r="ABU105" s="46" cm="1">
        <f t="array" ref="ABU105">ROUND(VALUE(IFERROR(INDEX(ArchiveResults!$F$5:$IX$116,ComparisonData!A105,ComparisonData!$ABU$1),0)),5)</f>
        <v>0</v>
      </c>
      <c r="ABV105" s="46" cm="1">
        <f t="array" ref="ABV105">ROUND(VALUE(IFERROR(INDEX(ArchiveResults!$F$5:$IX$116,ComparisonData!A105,ComparisonData!$ABV$1),0)),5)</f>
        <v>0</v>
      </c>
      <c r="ABW105" s="46" cm="1">
        <f t="array" ref="ABW105">ROUND(VALUE(IFERROR(INDEX(ArchiveResults!$F$5:$IX$116,ComparisonData!A105,ComparisonData!$ABW$1),0)),5)</f>
        <v>0</v>
      </c>
      <c r="ABX105" s="46" cm="1">
        <f t="array" ref="ABX105">ROUND(VALUE(IFERROR(INDEX(ArchiveResults!$F$5:$IX$116,ComparisonData!A105,ComparisonData!$ABX$1),0)),5)</f>
        <v>0</v>
      </c>
      <c r="ABY105" s="46" cm="1">
        <f t="array" ref="ABY105">ROUND(VALUE(IFERROR(INDEX(ArchiveResults!$F$5:$IX$116,ComparisonData!A105,ComparisonData!$ABY$1),0)),5)</f>
        <v>0</v>
      </c>
      <c r="ABZ105" s="56">
        <v>100</v>
      </c>
      <c r="ACA105" s="53" t="str">
        <f t="shared" si="1273"/>
        <v>University of St Andrews, University Collections</v>
      </c>
      <c r="ACB105" s="60">
        <f t="shared" si="1148"/>
        <v>0</v>
      </c>
      <c r="ACC105" s="60">
        <f t="shared" si="1149"/>
        <v>0</v>
      </c>
      <c r="ACD105" s="60">
        <f t="shared" si="1150"/>
        <v>0</v>
      </c>
      <c r="ACE105" s="60">
        <f t="shared" si="1151"/>
        <v>0</v>
      </c>
      <c r="ACF105" s="60">
        <f t="shared" si="1152"/>
        <v>0</v>
      </c>
      <c r="ACG105" s="76">
        <f t="shared" si="1153"/>
        <v>0</v>
      </c>
      <c r="ACH105" s="46">
        <f t="shared" si="1154"/>
        <v>81</v>
      </c>
      <c r="ACI105" s="46">
        <f t="shared" si="1274"/>
        <v>2.839</v>
      </c>
      <c r="ACJ105" s="46">
        <f t="shared" si="1155"/>
        <v>1</v>
      </c>
      <c r="ACK105" s="46">
        <f t="shared" si="1156"/>
        <v>2</v>
      </c>
      <c r="ACL105" s="46">
        <f t="shared" si="1157"/>
        <v>0</v>
      </c>
      <c r="ACM105" s="46" cm="1">
        <f t="array" ref="ACM105">ROUND(IFERROR(INDEX(ArchiveResults!$F$5:$IX$116,ComparisonData!A105,ComparisonData!$ACM$1),0),5)</f>
        <v>0</v>
      </c>
      <c r="ACN105" s="46" cm="1">
        <f t="array" ref="ACN105">ROUND(IFERROR(INDEX(ArchiveResults!$F$5:$IX$116,ComparisonData!A105,ComparisonData!$ACN$1),0),5)</f>
        <v>0</v>
      </c>
      <c r="ACO105" s="56">
        <v>100</v>
      </c>
      <c r="ACP105" s="53" t="str">
        <f t="shared" si="1275"/>
        <v>University of St Andrews, University Collections</v>
      </c>
      <c r="ACQ105" s="60">
        <f t="shared" si="1158"/>
        <v>0</v>
      </c>
      <c r="ACR105" s="60">
        <f t="shared" si="1159"/>
        <v>0</v>
      </c>
      <c r="ACS105" s="76">
        <f t="shared" si="1160"/>
        <v>0</v>
      </c>
      <c r="ACT105" s="46">
        <f t="shared" si="1161"/>
        <v>81</v>
      </c>
      <c r="ACU105" s="46">
        <f t="shared" si="1276"/>
        <v>2.839</v>
      </c>
      <c r="ACV105" s="46">
        <f t="shared" si="1162"/>
        <v>1</v>
      </c>
      <c r="ACW105" s="46">
        <f t="shared" si="1163"/>
        <v>2</v>
      </c>
      <c r="ACX105" s="46">
        <f t="shared" si="1164"/>
        <v>0</v>
      </c>
      <c r="ACY105" s="46" cm="1">
        <f t="array" ref="ACY105">ROUNDDOWN(IFERROR(INDEX(ArchiveResults!$F$5:$IX$116,ComparisonData!A105,ComparisonData!$ACY$1),0),5)</f>
        <v>0</v>
      </c>
      <c r="ACZ105" s="46" cm="1">
        <f t="array" ref="ACZ105">ROUNDDOWN(IFERROR(INDEX(ArchiveResults!$F$5:$IX$116,ComparisonData!A105,ComparisonData!$ACZ$1),0),5)</f>
        <v>0</v>
      </c>
      <c r="ADA105" s="46" cm="1">
        <f t="array" ref="ADA105">ROUNDDOWN(IFERROR(INDEX(ArchiveResults!$F$5:$IX$116,ComparisonData!A105,ComparisonData!$ADA$1),0),5)</f>
        <v>0</v>
      </c>
      <c r="ADB105" s="56">
        <v>100</v>
      </c>
      <c r="ADC105" s="53" t="str">
        <f t="shared" si="1277"/>
        <v>University of St Andrews, University Collections</v>
      </c>
      <c r="ADD105" s="60">
        <f t="shared" si="1165"/>
        <v>0</v>
      </c>
      <c r="ADE105" s="60">
        <f t="shared" si="1166"/>
        <v>0</v>
      </c>
      <c r="ADF105" s="60">
        <f t="shared" si="1167"/>
        <v>0</v>
      </c>
      <c r="ADG105" s="76">
        <f t="shared" si="1168"/>
        <v>0</v>
      </c>
    </row>
    <row r="106" spans="1:787" x14ac:dyDescent="0.25">
      <c r="A106" s="46" t="str">
        <f>IF(ISBLANK(ComparisonSelection!F102),"",ROW()-5)</f>
        <v/>
      </c>
      <c r="B106" s="53" t="s">
        <v>557</v>
      </c>
      <c r="C106" s="72">
        <v>0.53899999999999959</v>
      </c>
      <c r="D106" s="55">
        <f t="shared" si="750"/>
        <v>21</v>
      </c>
      <c r="E106" s="54">
        <f t="shared" si="751"/>
        <v>2.5389999999999997</v>
      </c>
      <c r="F106" s="54">
        <f t="shared" si="752"/>
        <v>1</v>
      </c>
      <c r="G106" s="72">
        <f t="shared" si="753"/>
        <v>2</v>
      </c>
      <c r="H106" s="72">
        <f t="shared" si="754"/>
        <v>0</v>
      </c>
      <c r="I106" s="46" cm="1">
        <f t="array" ref="I106">ROUND(IFERROR(INDEX(ArchiveResults!$F$5:$IX$116,ComparisonData!A106,ComparisonData!$I$1),0),5)</f>
        <v>0</v>
      </c>
      <c r="J106" s="46" cm="1">
        <f t="array" ref="J106">ROUND(IFERROR(INDEX(ArchiveResults!$F$5:$IX$116,ComparisonData!A106,ComparisonData!$J$1),0),5)</f>
        <v>0</v>
      </c>
      <c r="K106" s="56">
        <v>101</v>
      </c>
      <c r="L106" s="53" t="str">
        <f t="shared" si="755"/>
        <v>University of Swansea, Richard Burton Archives</v>
      </c>
      <c r="M106" s="57">
        <f t="shared" si="1169"/>
        <v>0</v>
      </c>
      <c r="N106" s="57">
        <f t="shared" si="1170"/>
        <v>0</v>
      </c>
      <c r="O106" s="58">
        <f t="shared" si="756"/>
        <v>0</v>
      </c>
      <c r="P106" s="48">
        <f t="shared" si="757"/>
        <v>21</v>
      </c>
      <c r="Q106" s="54">
        <f t="shared" si="1171"/>
        <v>2.5389999999999997</v>
      </c>
      <c r="R106" s="45">
        <f t="shared" si="758"/>
        <v>1</v>
      </c>
      <c r="S106" s="46">
        <f t="shared" si="759"/>
        <v>2</v>
      </c>
      <c r="T106" s="72">
        <f t="shared" si="760"/>
        <v>0</v>
      </c>
      <c r="U106" s="46" cm="1">
        <f t="array" ref="U106">ROUND(IFERROR(INDEX(ArchiveResults!$F$5:$IX$116,ComparisonData!A106,ComparisonData!$U$1),0),5)</f>
        <v>0</v>
      </c>
      <c r="V106" s="46" cm="1">
        <f t="array" ref="V106">ROUND(IFERROR(INDEX(ArchiveResults!$F$5:$IX$116,ComparisonData!A106,ComparisonData!$V$1),0),5)</f>
        <v>0</v>
      </c>
      <c r="W106" s="56">
        <v>101</v>
      </c>
      <c r="X106" s="53" t="str">
        <f t="shared" si="1172"/>
        <v>University of Swansea, Richard Burton Archives</v>
      </c>
      <c r="Y106" s="57">
        <f t="shared" si="761"/>
        <v>0</v>
      </c>
      <c r="Z106" s="57">
        <f t="shared" si="762"/>
        <v>0</v>
      </c>
      <c r="AA106" s="58">
        <f t="shared" si="763"/>
        <v>0</v>
      </c>
      <c r="AB106" s="45">
        <f t="shared" si="764"/>
        <v>21</v>
      </c>
      <c r="AC106" s="54">
        <f t="shared" si="1173"/>
        <v>2.5389999999999997</v>
      </c>
      <c r="AD106" s="45">
        <f t="shared" si="765"/>
        <v>1</v>
      </c>
      <c r="AE106" s="45">
        <f t="shared" si="766"/>
        <v>2</v>
      </c>
      <c r="AF106" s="45">
        <f t="shared" si="639"/>
        <v>0</v>
      </c>
      <c r="AG106" s="46" cm="1">
        <f t="array" ref="AG106">ROUND(IFERROR(INDEX(ArchiveResults!$F$5:$IX$116,ComparisonData!A106,ComparisonData!$AG$1),0),5)</f>
        <v>0</v>
      </c>
      <c r="AH106" s="46" cm="1">
        <f t="array" ref="AH106">ROUND(IFERROR(INDEX(ArchiveResults!$F$5:$IX$116,ComparisonData!A106,ComparisonData!$AH$1),0),5)</f>
        <v>0</v>
      </c>
      <c r="AI106" s="56">
        <v>101</v>
      </c>
      <c r="AJ106" s="53" t="str">
        <f t="shared" si="1174"/>
        <v>University of Swansea, Richard Burton Archives</v>
      </c>
      <c r="AK106" s="59">
        <f t="shared" si="1175"/>
        <v>0</v>
      </c>
      <c r="AL106" s="59">
        <f t="shared" si="1176"/>
        <v>0</v>
      </c>
      <c r="AM106" s="58">
        <f t="shared" si="767"/>
        <v>0</v>
      </c>
      <c r="AN106" s="45">
        <f t="shared" si="768"/>
        <v>21</v>
      </c>
      <c r="AO106" s="54">
        <f t="shared" si="1177"/>
        <v>2.5389999999999997</v>
      </c>
      <c r="AP106" s="45">
        <f t="shared" si="769"/>
        <v>1</v>
      </c>
      <c r="AQ106" s="45">
        <f t="shared" si="770"/>
        <v>2</v>
      </c>
      <c r="AR106" s="46" cm="1">
        <f t="array" ref="AR106">ROUND(IFERROR(INDEX(ArchiveResults!$F$5:$IX$116,ComparisonData!A106,ComparisonData!$AR$1),0),5)</f>
        <v>0</v>
      </c>
      <c r="AS106" s="46" cm="1">
        <f t="array" ref="AS106">ROUND(IFERROR(INDEX(ArchiveResults!$F$5:$IX$116,ComparisonData!A106,ComparisonData!$AS$1),0),5)</f>
        <v>0</v>
      </c>
      <c r="AT106" s="46" cm="1">
        <f t="array" ref="AT106">ROUND(IFERROR(INDEX(ArchiveResults!$F$5:$IX$116,ComparisonData!A106,ComparisonData!$AT$1),0),5)</f>
        <v>0</v>
      </c>
      <c r="AU106" s="46" cm="1">
        <f t="array" ref="AU106">ROUND(IFERROR(INDEX(ArchiveResults!$F$5:$IX$116,ComparisonData!A106,ComparisonData!$AU$1),0),5)</f>
        <v>0</v>
      </c>
      <c r="AV106" s="46" cm="1">
        <f t="array" ref="AV106">ROUND(IFERROR(INDEX(ArchiveResults!$F$5:$IX$116,ComparisonData!A106,ComparisonData!$AV$1),0),5)</f>
        <v>0</v>
      </c>
      <c r="AW106" s="46" cm="1">
        <f t="array" ref="AW106">ROUND(IFERROR(INDEX(ArchiveResults!$F$5:$IX$116,ComparisonData!A106,ComparisonData!$AW$1),0),5)</f>
        <v>0</v>
      </c>
      <c r="AX106" s="46" cm="1">
        <f t="array" ref="AX106">ROUND(IFERROR(INDEX(ArchiveResults!$F$5:$IX$116,ComparisonData!A106,ComparisonData!$AX$1),0),5)</f>
        <v>0</v>
      </c>
      <c r="AY106" s="46" cm="1">
        <f t="array" ref="AY106">ROUND(IFERROR(INDEX(ArchiveResults!$F$5:$IX$116,ComparisonData!A106,ComparisonData!$AY$1),0),5)</f>
        <v>0</v>
      </c>
      <c r="AZ106" s="46" cm="1">
        <f t="array" ref="AZ106">ROUND(IFERROR(INDEX(ArchiveResults!$F$5:$IX$116,ComparisonData!A106,ComparisonData!$AZ$1),0),5)</f>
        <v>0</v>
      </c>
      <c r="BA106" s="46" cm="1">
        <f t="array" ref="BA106">ROUND(IFERROR(INDEX(ArchiveResults!$F$5:$IX$116,ComparisonData!A106,ComparisonData!$BA$1),0),5)</f>
        <v>0</v>
      </c>
      <c r="BB106" s="56">
        <v>101</v>
      </c>
      <c r="BC106" s="53" t="str">
        <f t="shared" si="1178"/>
        <v>University of Swansea, Richard Burton Archives</v>
      </c>
      <c r="BD106" s="60">
        <f t="shared" si="771"/>
        <v>0</v>
      </c>
      <c r="BE106" s="60">
        <f t="shared" si="772"/>
        <v>0</v>
      </c>
      <c r="BF106" s="60">
        <f t="shared" si="773"/>
        <v>0</v>
      </c>
      <c r="BG106" s="60">
        <f t="shared" si="774"/>
        <v>0</v>
      </c>
      <c r="BH106" s="60">
        <f t="shared" si="775"/>
        <v>0</v>
      </c>
      <c r="BI106" s="60">
        <f t="shared" si="776"/>
        <v>0</v>
      </c>
      <c r="BJ106" s="60">
        <f t="shared" si="777"/>
        <v>0</v>
      </c>
      <c r="BK106" s="60">
        <f t="shared" si="778"/>
        <v>0</v>
      </c>
      <c r="BL106" s="60">
        <f t="shared" si="779"/>
        <v>0</v>
      </c>
      <c r="BM106" s="59">
        <f t="shared" si="780"/>
        <v>0</v>
      </c>
      <c r="BN106" s="58">
        <f t="shared" si="781"/>
        <v>0</v>
      </c>
      <c r="BO106" s="45">
        <f t="shared" si="782"/>
        <v>21</v>
      </c>
      <c r="BP106" s="54">
        <f t="shared" si="1179"/>
        <v>2.5389999999999997</v>
      </c>
      <c r="BQ106" s="45">
        <f t="shared" si="783"/>
        <v>1</v>
      </c>
      <c r="BR106" s="45">
        <f t="shared" si="784"/>
        <v>2</v>
      </c>
      <c r="BS106" s="46" cm="1">
        <f t="array" ref="BS106">ROUND(IFERROR(INDEX(ArchiveResults!$F$5:$IX$116,ComparisonData!A106,ComparisonData!$BS$1),0),5)</f>
        <v>0</v>
      </c>
      <c r="BT106" s="46" cm="1">
        <f t="array" ref="BT106">ROUND(IFERROR(INDEX(ArchiveResults!$F$5:$IX$116,ComparisonData!A106,ComparisonData!$BT$1),0),5)</f>
        <v>0</v>
      </c>
      <c r="BU106" s="46" cm="1">
        <f t="array" ref="BU106">ROUND(IFERROR(INDEX(ArchiveResults!$F$5:$IX$116,ComparisonData!A106,ComparisonData!$BU$1),0),5)</f>
        <v>0</v>
      </c>
      <c r="BV106" s="46" cm="1">
        <f t="array" ref="BV106">ROUND(IFERROR(INDEX(ArchiveResults!$F$5:$IX$116,ComparisonData!A106,ComparisonData!$BV$1),0),5)</f>
        <v>0</v>
      </c>
      <c r="BW106" s="46" cm="1">
        <f t="array" ref="BW106">ROUND(IFERROR(INDEX(ArchiveResults!$F$5:$IX$116,ComparisonData!A106,ComparisonData!$BW$1),0),5)</f>
        <v>0</v>
      </c>
      <c r="BX106" s="46" cm="1">
        <f t="array" ref="BX106">ROUND(IFERROR(INDEX(ArchiveResults!$F$5:$IX$116,ComparisonData!A106,ComparisonData!$BX$1),0),5)</f>
        <v>0</v>
      </c>
      <c r="BY106" s="56">
        <v>101</v>
      </c>
      <c r="BZ106" s="53" t="str">
        <f t="shared" si="1180"/>
        <v>University of Swansea, Richard Burton Archives</v>
      </c>
      <c r="CA106" s="59">
        <f t="shared" si="785"/>
        <v>0</v>
      </c>
      <c r="CB106" s="59">
        <f t="shared" si="786"/>
        <v>0</v>
      </c>
      <c r="CC106" s="59">
        <f t="shared" si="787"/>
        <v>0</v>
      </c>
      <c r="CD106" s="59">
        <f t="shared" si="788"/>
        <v>0</v>
      </c>
      <c r="CE106" s="59">
        <f t="shared" si="789"/>
        <v>0</v>
      </c>
      <c r="CF106" s="59">
        <f t="shared" si="790"/>
        <v>0</v>
      </c>
      <c r="CG106" s="58">
        <f t="shared" si="791"/>
        <v>0</v>
      </c>
      <c r="CH106" s="45">
        <f t="shared" si="792"/>
        <v>21</v>
      </c>
      <c r="CI106" s="54">
        <f t="shared" si="1181"/>
        <v>2.5389999999999997</v>
      </c>
      <c r="CJ106" s="45">
        <f t="shared" si="793"/>
        <v>1</v>
      </c>
      <c r="CK106" s="45">
        <f t="shared" si="794"/>
        <v>2</v>
      </c>
      <c r="CL106" s="46" cm="1">
        <f t="array" ref="CL106">ROUND(IFERROR(INDEX(ArchiveResults!$F$5:$IX$116,ComparisonData!A106,ComparisonData!$CL$1),0),5)</f>
        <v>0</v>
      </c>
      <c r="CM106" s="56">
        <v>101</v>
      </c>
      <c r="CN106" s="53" t="str">
        <f t="shared" si="1182"/>
        <v>University of Swansea, Richard Burton Archives</v>
      </c>
      <c r="CO106" s="45">
        <f t="shared" si="795"/>
        <v>0</v>
      </c>
      <c r="CP106" s="58">
        <f t="shared" si="796"/>
        <v>0</v>
      </c>
      <c r="CQ106" s="45">
        <f t="shared" si="797"/>
        <v>21</v>
      </c>
      <c r="CR106" s="54">
        <f t="shared" si="1183"/>
        <v>2.5389999999999997</v>
      </c>
      <c r="CS106" s="45">
        <f t="shared" si="798"/>
        <v>1</v>
      </c>
      <c r="CT106" s="45">
        <f t="shared" si="799"/>
        <v>2</v>
      </c>
      <c r="CU106" s="46" cm="1">
        <f t="array" ref="CU106">ROUND(IFERROR(INDEX(ArchiveResults!$F$5:$IX$116,ComparisonData!A106,ComparisonData!$CU$1),0),5)</f>
        <v>0</v>
      </c>
      <c r="CV106" s="56">
        <v>101</v>
      </c>
      <c r="CW106" s="53" t="str">
        <f t="shared" si="1184"/>
        <v>University of Swansea, Richard Burton Archives</v>
      </c>
      <c r="CX106" s="45">
        <f t="shared" si="800"/>
        <v>0</v>
      </c>
      <c r="CY106" s="58">
        <f t="shared" si="801"/>
        <v>0</v>
      </c>
      <c r="CZ106" s="45">
        <f t="shared" si="802"/>
        <v>21</v>
      </c>
      <c r="DA106" s="54">
        <f t="shared" si="1185"/>
        <v>2.5389999999999997</v>
      </c>
      <c r="DB106" s="45">
        <f t="shared" si="803"/>
        <v>1</v>
      </c>
      <c r="DC106" s="45">
        <f t="shared" si="804"/>
        <v>2</v>
      </c>
      <c r="DD106" s="46" cm="1">
        <f t="array" ref="DD106">ROUND(IFERROR(INDEX(ArchiveResults!$F$5:$IX$116,ComparisonData!A106,ComparisonData!$DD$1),0),5)</f>
        <v>0</v>
      </c>
      <c r="DE106" s="56">
        <v>101</v>
      </c>
      <c r="DF106" s="53" t="str">
        <f t="shared" si="1186"/>
        <v>University of Swansea, Richard Burton Archives</v>
      </c>
      <c r="DG106" s="45">
        <f t="shared" si="805"/>
        <v>0</v>
      </c>
      <c r="DH106" s="58">
        <f t="shared" si="806"/>
        <v>0</v>
      </c>
      <c r="DI106" s="45">
        <f t="shared" si="807"/>
        <v>21</v>
      </c>
      <c r="DJ106" s="54">
        <f t="shared" si="1187"/>
        <v>2.5389999999999997</v>
      </c>
      <c r="DK106" s="45">
        <f t="shared" si="808"/>
        <v>1</v>
      </c>
      <c r="DL106" s="45">
        <f t="shared" si="809"/>
        <v>2</v>
      </c>
      <c r="DM106" s="46" cm="1">
        <f t="array" ref="DM106">ROUND(IFERROR(INDEX(ArchiveResults!$F$5:$IX$116,ComparisonData!A106,ComparisonData!$DM$1),0),5)</f>
        <v>0</v>
      </c>
      <c r="DN106" s="46" cm="1">
        <f t="array" ref="DN106">ROUND(IFERROR(INDEX(ArchiveResults!$F$5:$IX$116,ComparisonData!A106,ComparisonData!$DN$1),0),5)</f>
        <v>0</v>
      </c>
      <c r="DO106" s="46" cm="1">
        <f t="array" ref="DO106">ROUND(IFERROR(INDEX(ArchiveResults!$F$5:$IX$116,ComparisonData!A106,ComparisonData!$DO$1),0),5)</f>
        <v>0</v>
      </c>
      <c r="DP106" s="46" cm="1">
        <f t="array" ref="DP106">ROUND(IFERROR(INDEX(ArchiveResults!$F$5:$IX$116,ComparisonData!A106,ComparisonData!$DP$1),0),5)</f>
        <v>0</v>
      </c>
      <c r="DQ106" s="45" cm="1">
        <f t="array" ref="DQ106">IFERROR(INDEX(ArchiveResults!$F$5:$IX$116,ComparisonData!A106,ComparisonData!$DQ$1),0)</f>
        <v>0</v>
      </c>
      <c r="DR106" s="56">
        <v>101</v>
      </c>
      <c r="DS106" s="53" t="str">
        <f t="shared" si="1188"/>
        <v>University of Swansea, Richard Burton Archives</v>
      </c>
      <c r="DT106" s="59">
        <f t="shared" si="810"/>
        <v>0</v>
      </c>
      <c r="DU106" s="59">
        <f t="shared" si="811"/>
        <v>0</v>
      </c>
      <c r="DV106" s="59">
        <f t="shared" si="812"/>
        <v>0</v>
      </c>
      <c r="DW106" s="59">
        <f t="shared" si="813"/>
        <v>0</v>
      </c>
      <c r="DX106" s="59">
        <f t="shared" si="814"/>
        <v>0</v>
      </c>
      <c r="DY106" s="58">
        <f t="shared" si="815"/>
        <v>0</v>
      </c>
      <c r="DZ106" s="45">
        <f t="shared" si="816"/>
        <v>21</v>
      </c>
      <c r="EA106" s="54">
        <f t="shared" si="1189"/>
        <v>2.5389999999999997</v>
      </c>
      <c r="EB106" s="45">
        <f t="shared" si="817"/>
        <v>1</v>
      </c>
      <c r="EC106" s="45">
        <f t="shared" si="818"/>
        <v>2</v>
      </c>
      <c r="ED106" s="46" cm="1">
        <f t="array" ref="ED106">ROUND(IFERROR(INDEX(ArchiveResults!$F$5:$IX$116,ComparisonData!A106,ComparisonData!$ED$1),0),5)</f>
        <v>0</v>
      </c>
      <c r="EE106" s="46" cm="1">
        <f t="array" ref="EE106">ROUND(IFERROR(INDEX(ArchiveResults!$F$5:$IX$116,ComparisonData!A106,ComparisonData!$EE$1),0),5)</f>
        <v>0</v>
      </c>
      <c r="EF106" s="46" cm="1">
        <f t="array" ref="EF106">ROUND(IFERROR(INDEX(ArchiveResults!$F$5:$IX$116,ComparisonData!A106,ComparisonData!$EF$1),0),5)</f>
        <v>0</v>
      </c>
      <c r="EG106" s="46" cm="1">
        <f t="array" ref="EG106">ROUND(IFERROR(INDEX(ArchiveResults!$F$5:$IX$116,ComparisonData!A106,ComparisonData!$EG$1),0),5)</f>
        <v>0</v>
      </c>
      <c r="EH106" s="45" cm="1">
        <f t="array" ref="EH106">IFERROR(INDEX(ArchiveResults!$F$5:$IX$116,ComparisonData!A106,ComparisonData!$EH$1),0)</f>
        <v>0</v>
      </c>
      <c r="EI106" s="56">
        <v>101</v>
      </c>
      <c r="EJ106" s="53" t="str">
        <f t="shared" si="1190"/>
        <v>University of Swansea, Richard Burton Archives</v>
      </c>
      <c r="EK106" s="59">
        <f t="shared" si="819"/>
        <v>0</v>
      </c>
      <c r="EL106" s="59">
        <f t="shared" si="820"/>
        <v>0</v>
      </c>
      <c r="EM106" s="59">
        <f t="shared" si="821"/>
        <v>0</v>
      </c>
      <c r="EN106" s="59">
        <f t="shared" si="822"/>
        <v>0</v>
      </c>
      <c r="EO106" s="59">
        <f t="shared" si="823"/>
        <v>0</v>
      </c>
      <c r="EP106" s="58">
        <f t="shared" si="824"/>
        <v>0</v>
      </c>
      <c r="EQ106" s="45">
        <f t="shared" si="825"/>
        <v>21</v>
      </c>
      <c r="ER106" s="54">
        <f t="shared" si="1191"/>
        <v>2.5389999999999997</v>
      </c>
      <c r="ES106" s="45">
        <f t="shared" si="826"/>
        <v>1</v>
      </c>
      <c r="ET106" s="45">
        <f t="shared" si="827"/>
        <v>2</v>
      </c>
      <c r="EU106" s="46" cm="1">
        <f t="array" ref="EU106">ROUND(IFERROR(INDEX(ArchiveResults!$F$5:$IX$116,ComparisonData!A106,ComparisonData!$EU$1),0),5)</f>
        <v>0</v>
      </c>
      <c r="EV106" s="46" cm="1">
        <f t="array" ref="EV106">ROUND(IFERROR(INDEX(ArchiveResults!$F$5:$IX$116,ComparisonData!A106,ComparisonData!$EV$1),0),5)</f>
        <v>0</v>
      </c>
      <c r="EW106" s="46" cm="1">
        <f t="array" ref="EW106">ROUND(IFERROR(INDEX(ArchiveResults!$F$5:$IX$116,ComparisonData!A106,ComparisonData!$EW$1),0),5)</f>
        <v>0</v>
      </c>
      <c r="EX106" s="46" cm="1">
        <f t="array" ref="EX106">ROUND(IFERROR(INDEX(ArchiveResults!$F$5:$IX$116,ComparisonData!A106,ComparisonData!$EX$1),0),5)</f>
        <v>0</v>
      </c>
      <c r="EY106" s="45" cm="1">
        <f t="array" ref="EY106">IFERROR(INDEX(ArchiveResults!$F$5:$IX$116,ComparisonData!A106,ComparisonData!$EY$1),0)</f>
        <v>0</v>
      </c>
      <c r="EZ106" s="56">
        <v>101</v>
      </c>
      <c r="FA106" s="53" t="str">
        <f t="shared" si="1192"/>
        <v>University of Swansea, Richard Burton Archives</v>
      </c>
      <c r="FB106" s="59">
        <f t="shared" si="828"/>
        <v>0</v>
      </c>
      <c r="FC106" s="59">
        <f t="shared" si="829"/>
        <v>0</v>
      </c>
      <c r="FD106" s="59">
        <f t="shared" si="830"/>
        <v>0</v>
      </c>
      <c r="FE106" s="59">
        <f t="shared" si="831"/>
        <v>0</v>
      </c>
      <c r="FF106" s="59">
        <f t="shared" si="832"/>
        <v>0</v>
      </c>
      <c r="FG106" s="58">
        <f t="shared" si="833"/>
        <v>0</v>
      </c>
      <c r="FH106" s="45">
        <f t="shared" si="834"/>
        <v>21</v>
      </c>
      <c r="FI106" s="54">
        <f t="shared" si="1193"/>
        <v>2.5389999999999997</v>
      </c>
      <c r="FJ106" s="45">
        <f t="shared" si="835"/>
        <v>1</v>
      </c>
      <c r="FK106" s="45">
        <f t="shared" si="836"/>
        <v>2</v>
      </c>
      <c r="FL106" s="46" cm="1">
        <f t="array" ref="FL106">ROUND(IFERROR(INDEX(ArchiveResults!$F$5:$IX$116,ComparisonData!A106,ComparisonData!$FL$1),0),5)</f>
        <v>0</v>
      </c>
      <c r="FM106" s="46" cm="1">
        <f t="array" ref="FM106">ROUND(IFERROR(INDEX(ArchiveResults!$F$5:$IX$116,ComparisonData!A106,ComparisonData!$FM$1),0),5)</f>
        <v>0</v>
      </c>
      <c r="FN106" s="46" cm="1">
        <f t="array" ref="FN106">ROUND(IFERROR(INDEX(ArchiveResults!$F$5:$IX$116,ComparisonData!A106,ComparisonData!$FN$1),0),5)</f>
        <v>0</v>
      </c>
      <c r="FO106" s="46" cm="1">
        <f t="array" ref="FO106">ROUND(IFERROR(INDEX(ArchiveResults!$F$5:$IX$116,ComparisonData!A106,ComparisonData!$FO$1),0),5)</f>
        <v>0</v>
      </c>
      <c r="FP106" s="45" cm="1">
        <f t="array" ref="FP106">IFERROR(INDEX(ArchiveResults!$F$5:$IX$116,ComparisonData!A106,ComparisonData!$FP$1),0)</f>
        <v>0</v>
      </c>
      <c r="FQ106" s="56">
        <v>101</v>
      </c>
      <c r="FR106" s="53" t="str">
        <f t="shared" si="1194"/>
        <v>University of Swansea, Richard Burton Archives</v>
      </c>
      <c r="FS106" s="59">
        <f t="shared" si="837"/>
        <v>0</v>
      </c>
      <c r="FT106" s="59">
        <f t="shared" si="838"/>
        <v>0</v>
      </c>
      <c r="FU106" s="59">
        <f t="shared" si="839"/>
        <v>0</v>
      </c>
      <c r="FV106" s="59">
        <f t="shared" si="840"/>
        <v>0</v>
      </c>
      <c r="FW106" s="59">
        <f t="shared" si="841"/>
        <v>0</v>
      </c>
      <c r="FX106" s="58">
        <f t="shared" si="842"/>
        <v>0</v>
      </c>
      <c r="FY106" s="45">
        <f t="shared" si="843"/>
        <v>21</v>
      </c>
      <c r="FZ106" s="45">
        <f t="shared" si="1195"/>
        <v>2.5389999999999997</v>
      </c>
      <c r="GA106" s="45">
        <f t="shared" si="844"/>
        <v>1</v>
      </c>
      <c r="GB106" s="45">
        <f t="shared" si="845"/>
        <v>2</v>
      </c>
      <c r="GC106" s="46" cm="1">
        <f t="array" ref="GC106">ROUND(IFERROR(INDEX(ArchiveResults!$F$5:$IX$116,ComparisonData!A106,ComparisonData!$GC$1),0),5)</f>
        <v>0</v>
      </c>
      <c r="GD106" s="46" cm="1">
        <f t="array" ref="GD106">ROUND(IFERROR(INDEX(ArchiveResults!$F$5:$IX$116,ComparisonData!A106,ComparisonData!$GD$1),0),5)</f>
        <v>0</v>
      </c>
      <c r="GE106" s="46" cm="1">
        <f t="array" ref="GE106">ROUND(IFERROR(INDEX(ArchiveResults!$F$5:$IX$116,ComparisonData!A106,ComparisonData!$GE$1),0),5)</f>
        <v>0</v>
      </c>
      <c r="GF106" s="46" cm="1">
        <f t="array" ref="GF106">ROUND(IFERROR(INDEX(ArchiveResults!$F$5:$IX$116,ComparisonData!A106,ComparisonData!$GF$1),0),5)</f>
        <v>0</v>
      </c>
      <c r="GG106" s="45" cm="1">
        <f t="array" ref="GG106">IFERROR(INDEX(ArchiveResults!$F$5:$IX$116,ComparisonData!A106,ComparisonData!$GG$1),0)</f>
        <v>0</v>
      </c>
      <c r="GH106" s="56">
        <v>101</v>
      </c>
      <c r="GI106" s="53" t="str">
        <f t="shared" si="1196"/>
        <v>University of Swansea, Richard Burton Archives</v>
      </c>
      <c r="GJ106" s="59">
        <f t="shared" si="846"/>
        <v>0</v>
      </c>
      <c r="GK106" s="59">
        <f t="shared" si="847"/>
        <v>0</v>
      </c>
      <c r="GL106" s="59">
        <f t="shared" si="848"/>
        <v>0</v>
      </c>
      <c r="GM106" s="59">
        <f t="shared" si="849"/>
        <v>0</v>
      </c>
      <c r="GN106" s="59">
        <f t="shared" si="850"/>
        <v>0</v>
      </c>
      <c r="GO106" s="58">
        <f t="shared" si="851"/>
        <v>0</v>
      </c>
      <c r="GP106" s="45">
        <f t="shared" si="852"/>
        <v>21</v>
      </c>
      <c r="GQ106" s="45">
        <f t="shared" si="1197"/>
        <v>2.5389999999999997</v>
      </c>
      <c r="GR106" s="45">
        <f t="shared" si="853"/>
        <v>1</v>
      </c>
      <c r="GS106" s="45">
        <f t="shared" si="854"/>
        <v>2</v>
      </c>
      <c r="GT106" s="46" cm="1">
        <f t="array" ref="GT106">ROUND(IFERROR(INDEX(ArchiveResults!$F$5:$IX$116,ComparisonData!A106,ComparisonData!$GT$1),0),5)</f>
        <v>0</v>
      </c>
      <c r="GU106" s="46" cm="1">
        <f t="array" ref="GU106">ROUND(IFERROR(INDEX(ArchiveResults!$F$5:$IX$116,ComparisonData!A106,ComparisonData!$GU$1),0),5)</f>
        <v>0</v>
      </c>
      <c r="GV106" s="46" cm="1">
        <f t="array" ref="GV106">ROUND(IFERROR(INDEX(ArchiveResults!$F$5:$IX$116,ComparisonData!A106,ComparisonData!$GV$1),0),5)</f>
        <v>0</v>
      </c>
      <c r="GW106" s="46" cm="1">
        <f t="array" ref="GW106">ROUND(IFERROR(INDEX(ArchiveResults!$F$5:$IX$116,ComparisonData!A106,ComparisonData!$GW$1),0),5)</f>
        <v>0</v>
      </c>
      <c r="GX106" s="45" cm="1">
        <f t="array" ref="GX106">IFERROR(INDEX(ArchiveResults!$F$5:$IX$116,ComparisonData!A106,ComparisonData!$GX$1),0)</f>
        <v>0</v>
      </c>
      <c r="GY106" s="56">
        <v>101</v>
      </c>
      <c r="GZ106" s="53" t="str">
        <f t="shared" si="1198"/>
        <v>University of Swansea, Richard Burton Archives</v>
      </c>
      <c r="HA106" s="59">
        <f t="shared" si="855"/>
        <v>0</v>
      </c>
      <c r="HB106" s="59">
        <f t="shared" si="856"/>
        <v>0</v>
      </c>
      <c r="HC106" s="59">
        <f t="shared" si="857"/>
        <v>0</v>
      </c>
      <c r="HD106" s="59">
        <f t="shared" si="858"/>
        <v>0</v>
      </c>
      <c r="HE106" s="59">
        <f t="shared" si="859"/>
        <v>0</v>
      </c>
      <c r="HF106" s="58">
        <f t="shared" si="860"/>
        <v>0</v>
      </c>
      <c r="HG106" s="45">
        <f t="shared" si="861"/>
        <v>21</v>
      </c>
      <c r="HH106" s="45">
        <f t="shared" si="1199"/>
        <v>2.5389999999999997</v>
      </c>
      <c r="HI106" s="45">
        <f t="shared" si="862"/>
        <v>1</v>
      </c>
      <c r="HJ106" s="45">
        <f t="shared" si="863"/>
        <v>2</v>
      </c>
      <c r="HK106" s="46" cm="1">
        <f t="array" ref="HK106">ROUND(IFERROR(INDEX(ArchiveResults!$F$5:$IX$116,ComparisonData!A106,ComparisonData!$HK$1),0),5)</f>
        <v>0</v>
      </c>
      <c r="HL106" s="46" cm="1">
        <f t="array" ref="HL106">ROUND(IFERROR(INDEX(ArchiveResults!$F$5:$IX$116,ComparisonData!A106,ComparisonData!$HL$1),0),5)</f>
        <v>0</v>
      </c>
      <c r="HM106" s="46" cm="1">
        <f t="array" ref="HM106">ROUND(IFERROR(INDEX(ArchiveResults!$F$5:$IX$116,ComparisonData!A106,ComparisonData!$HM$1),0),5)</f>
        <v>0</v>
      </c>
      <c r="HN106" s="46" cm="1">
        <f t="array" ref="HN106">ROUND(IFERROR(INDEX(ArchiveResults!$F$5:$IX$116,ComparisonData!A106,ComparisonData!$HN$1),0),5)</f>
        <v>0</v>
      </c>
      <c r="HO106" s="45" cm="1">
        <f t="array" ref="HO106">IFERROR(INDEX(ArchiveResults!$F$5:$IX$116,ComparisonData!A106,ComparisonData!$HO$1),0)</f>
        <v>0</v>
      </c>
      <c r="HP106" s="56">
        <v>101</v>
      </c>
      <c r="HQ106" s="53" t="str">
        <f t="shared" si="1200"/>
        <v>University of Swansea, Richard Burton Archives</v>
      </c>
      <c r="HR106" s="59">
        <f t="shared" si="1201"/>
        <v>0</v>
      </c>
      <c r="HS106" s="59">
        <f t="shared" si="1202"/>
        <v>0</v>
      </c>
      <c r="HT106" s="59">
        <f t="shared" si="1203"/>
        <v>0</v>
      </c>
      <c r="HU106" s="59">
        <f t="shared" si="1204"/>
        <v>0</v>
      </c>
      <c r="HV106" s="59">
        <f t="shared" si="1205"/>
        <v>0</v>
      </c>
      <c r="HW106" s="58">
        <f t="shared" si="864"/>
        <v>0</v>
      </c>
      <c r="HX106" s="45">
        <f t="shared" si="865"/>
        <v>21</v>
      </c>
      <c r="HY106" s="45">
        <f t="shared" si="1206"/>
        <v>2.5389999999999997</v>
      </c>
      <c r="HZ106" s="45">
        <f t="shared" si="866"/>
        <v>1</v>
      </c>
      <c r="IA106" s="45">
        <f t="shared" si="867"/>
        <v>2</v>
      </c>
      <c r="IB106" s="45">
        <f t="shared" si="868"/>
        <v>0</v>
      </c>
      <c r="IC106" s="46" cm="1">
        <f t="array" ref="IC106">ROUND(IFERROR(INDEX(ArchiveResults!$F$5:$IX$116,ComparisonData!A106,ComparisonData!$IC$1),0),5)</f>
        <v>0</v>
      </c>
      <c r="ID106" s="46" cm="1">
        <f t="array" ref="ID106">ROUND(IFERROR(INDEX(ArchiveResults!$F$5:$IX$116,ComparisonData!A106,ComparisonData!$ID$1),0),5)</f>
        <v>0</v>
      </c>
      <c r="IE106" s="46" cm="1">
        <f t="array" ref="IE106">ROUND(IFERROR(INDEX(ArchiveResults!$F$5:$IX$116,ComparisonData!A106,ComparisonData!$IE$1),0),5)</f>
        <v>0</v>
      </c>
      <c r="IF106" s="46" cm="1">
        <f t="array" ref="IF106">ROUND(IFERROR(INDEX(ArchiveResults!$F$5:$IX$116,ComparisonData!A106,ComparisonData!$IF$1),0),5)</f>
        <v>0</v>
      </c>
      <c r="IG106" s="45" cm="1">
        <f t="array" ref="IG106">IFERROR(INDEX(ArchiveResults!$F$5:$IX$116,ComparisonData!A106,ComparisonData!$IG$1),0)</f>
        <v>0</v>
      </c>
      <c r="IH106" s="56">
        <v>101</v>
      </c>
      <c r="II106" s="53" t="str">
        <f t="shared" si="1207"/>
        <v>University of Swansea, Richard Burton Archives</v>
      </c>
      <c r="IJ106" s="59">
        <f t="shared" si="869"/>
        <v>0</v>
      </c>
      <c r="IK106" s="59">
        <f t="shared" si="870"/>
        <v>0</v>
      </c>
      <c r="IL106" s="59">
        <f t="shared" si="871"/>
        <v>0</v>
      </c>
      <c r="IM106" s="59">
        <f t="shared" si="872"/>
        <v>0</v>
      </c>
      <c r="IN106" s="59">
        <f t="shared" si="873"/>
        <v>0</v>
      </c>
      <c r="IO106" s="58">
        <f t="shared" si="874"/>
        <v>0</v>
      </c>
      <c r="IP106" s="45">
        <f t="shared" si="875"/>
        <v>21</v>
      </c>
      <c r="IQ106" s="45">
        <f t="shared" si="1208"/>
        <v>2.5389999999999997</v>
      </c>
      <c r="IR106" s="45">
        <f t="shared" si="876"/>
        <v>1</v>
      </c>
      <c r="IS106" s="45">
        <f t="shared" si="877"/>
        <v>2</v>
      </c>
      <c r="IT106" s="46">
        <f t="shared" si="878"/>
        <v>0</v>
      </c>
      <c r="IU106" s="46" cm="1">
        <f t="array" ref="IU106">ROUND(IFERROR(INDEX(ArchiveResults!$F$5:$IX$116,ComparisonData!A106,ComparisonData!$IU$1),0),5)</f>
        <v>0</v>
      </c>
      <c r="IV106" s="46" cm="1">
        <f t="array" ref="IV106">ROUND(IFERROR(INDEX(ArchiveResults!$F$5:$IX$116,ComparisonData!A106,ComparisonData!$IV$1),0),5)</f>
        <v>0</v>
      </c>
      <c r="IW106" s="46" cm="1">
        <f t="array" ref="IW106">ROUND(IFERROR(INDEX(ArchiveResults!$F$5:$IX$116,ComparisonData!A106,ComparisonData!$IW$1),0),5)</f>
        <v>0</v>
      </c>
      <c r="IX106" s="46" cm="1">
        <f t="array" ref="IX106">ROUND(IFERROR(INDEX(ArchiveResults!$F$5:$IX$116,ComparisonData!A106,ComparisonData!$IX$1),0),5)</f>
        <v>0</v>
      </c>
      <c r="IY106" s="45" cm="1">
        <f t="array" ref="IY106">IFERROR(INDEX(ArchiveResults!$F$5:$IX$116,ComparisonData!A106,ComparisonData!$IY$1),0)</f>
        <v>0</v>
      </c>
      <c r="IZ106" s="56">
        <v>101</v>
      </c>
      <c r="JA106" s="53" t="str">
        <f t="shared" si="1209"/>
        <v>University of Swansea, Richard Burton Archives</v>
      </c>
      <c r="JB106" s="59">
        <f t="shared" si="879"/>
        <v>0</v>
      </c>
      <c r="JC106" s="59">
        <f t="shared" si="880"/>
        <v>0</v>
      </c>
      <c r="JD106" s="59">
        <f t="shared" si="881"/>
        <v>0</v>
      </c>
      <c r="JE106" s="59">
        <f t="shared" si="882"/>
        <v>0</v>
      </c>
      <c r="JF106" s="59">
        <f t="shared" si="883"/>
        <v>0</v>
      </c>
      <c r="JG106" s="58">
        <f t="shared" si="884"/>
        <v>0</v>
      </c>
      <c r="JH106" s="45">
        <f t="shared" si="885"/>
        <v>21</v>
      </c>
      <c r="JI106" s="45">
        <f t="shared" si="1210"/>
        <v>2.5389999999999997</v>
      </c>
      <c r="JJ106" s="45">
        <f t="shared" si="886"/>
        <v>1</v>
      </c>
      <c r="JK106" s="45">
        <f t="shared" si="887"/>
        <v>2</v>
      </c>
      <c r="JL106" s="45">
        <f t="shared" si="888"/>
        <v>0</v>
      </c>
      <c r="JM106" s="46" cm="1">
        <f t="array" ref="JM106">ROUND(IFERROR(INDEX(ArchiveResults!$F$5:$IX$116,ComparisonData!A106,ComparisonData!$JM$1),0),5)</f>
        <v>0</v>
      </c>
      <c r="JN106" s="46" cm="1">
        <f t="array" ref="JN106">ROUND(IFERROR(INDEX(ArchiveResults!$F$5:$IX$116,ComparisonData!A106,ComparisonData!$JN$1),0),5)</f>
        <v>0</v>
      </c>
      <c r="JO106" s="46" cm="1">
        <f t="array" ref="JO106">ROUND(IFERROR(INDEX(ArchiveResults!$F$5:$IX$116,ComparisonData!A106,ComparisonData!$JO$1),0),5)</f>
        <v>0</v>
      </c>
      <c r="JP106" s="46" cm="1">
        <f t="array" ref="JP106">ROUND(IFERROR(INDEX(ArchiveResults!$F$5:$IX$116,ComparisonData!A106,ComparisonData!$JP$1),0),5)</f>
        <v>0</v>
      </c>
      <c r="JQ106" s="45" cm="1">
        <f t="array" ref="JQ106">IFERROR(INDEX(ArchiveResults!$F$5:$IX$116,ComparisonData!A106,ComparisonData!$JQ$1),0)</f>
        <v>0</v>
      </c>
      <c r="JR106" s="56">
        <v>101</v>
      </c>
      <c r="JS106" s="53" t="str">
        <f t="shared" si="1211"/>
        <v>University of Swansea, Richard Burton Archives</v>
      </c>
      <c r="JT106" s="59">
        <f t="shared" si="889"/>
        <v>0</v>
      </c>
      <c r="JU106" s="59">
        <f t="shared" si="890"/>
        <v>0</v>
      </c>
      <c r="JV106" s="59">
        <f t="shared" si="891"/>
        <v>0</v>
      </c>
      <c r="JW106" s="59">
        <f t="shared" si="892"/>
        <v>0</v>
      </c>
      <c r="JX106" s="59">
        <f t="shared" si="893"/>
        <v>0</v>
      </c>
      <c r="JY106" s="58">
        <f t="shared" si="894"/>
        <v>0</v>
      </c>
      <c r="JZ106" s="45">
        <f t="shared" si="895"/>
        <v>21</v>
      </c>
      <c r="KA106" s="45">
        <f t="shared" si="1212"/>
        <v>2.5389999999999997</v>
      </c>
      <c r="KB106" s="45">
        <f t="shared" si="896"/>
        <v>1</v>
      </c>
      <c r="KC106" s="45">
        <f t="shared" si="897"/>
        <v>2</v>
      </c>
      <c r="KD106" s="45">
        <f t="shared" si="898"/>
        <v>0</v>
      </c>
      <c r="KE106" s="46" cm="1">
        <f t="array" ref="KE106">ROUND(IFERROR(INDEX(ArchiveResults!$F$5:$IX$116,ComparisonData!A106,ComparisonData!$KE$1),0),5)</f>
        <v>0</v>
      </c>
      <c r="KF106" s="46" cm="1">
        <f t="array" ref="KF106">ROUND(IFERROR(INDEX(ArchiveResults!$F$5:$IX$116,ComparisonData!A106,ComparisonData!$KF$1),0),5)</f>
        <v>0</v>
      </c>
      <c r="KG106" s="46" cm="1">
        <f t="array" ref="KG106">ROUND(IFERROR(INDEX(ArchiveResults!$F$5:$IX$116,ComparisonData!A106,ComparisonData!$KG$1),0),5)</f>
        <v>0</v>
      </c>
      <c r="KH106" s="46" cm="1">
        <f t="array" ref="KH106">ROUND(IFERROR(INDEX(ArchiveResults!$F$5:$IX$116,ComparisonData!A106,ComparisonData!$KH$1),0),5)</f>
        <v>0</v>
      </c>
      <c r="KI106" s="45" cm="1">
        <f t="array" ref="KI106">IFERROR(INDEX(ArchiveResults!$F$5:$IX$116,ComparisonData!A106,ComparisonData!$KI$1),0)</f>
        <v>0</v>
      </c>
      <c r="KJ106" s="56">
        <v>101</v>
      </c>
      <c r="KK106" s="53" t="str">
        <f t="shared" si="1213"/>
        <v>University of Swansea, Richard Burton Archives</v>
      </c>
      <c r="KL106" s="59">
        <f t="shared" si="899"/>
        <v>0</v>
      </c>
      <c r="KM106" s="59">
        <f t="shared" si="900"/>
        <v>0</v>
      </c>
      <c r="KN106" s="59">
        <f t="shared" si="901"/>
        <v>0</v>
      </c>
      <c r="KO106" s="59">
        <f t="shared" si="902"/>
        <v>0</v>
      </c>
      <c r="KP106" s="59">
        <f t="shared" si="903"/>
        <v>0</v>
      </c>
      <c r="KQ106" s="58">
        <f t="shared" si="904"/>
        <v>0</v>
      </c>
      <c r="KR106" s="45">
        <f t="shared" si="905"/>
        <v>21</v>
      </c>
      <c r="KS106" s="45">
        <f t="shared" si="1214"/>
        <v>2.5389999999999997</v>
      </c>
      <c r="KT106" s="45">
        <f t="shared" si="906"/>
        <v>1</v>
      </c>
      <c r="KU106" s="45">
        <f t="shared" si="907"/>
        <v>2</v>
      </c>
      <c r="KV106" s="45">
        <f t="shared" si="908"/>
        <v>0</v>
      </c>
      <c r="KW106" s="46" cm="1">
        <f t="array" ref="KW106">ROUND(IFERROR(INDEX(ArchiveResults!$F$5:$IX$116,ComparisonData!A106,ComparisonData!$KW$1),0),5)</f>
        <v>0</v>
      </c>
      <c r="KX106" s="46" cm="1">
        <f t="array" ref="KX106">ROUND(IFERROR(INDEX(ArchiveResults!$F$5:$IX$116,ComparisonData!A106,ComparisonData!$KX$1),0),5)</f>
        <v>0</v>
      </c>
      <c r="KY106" s="46" cm="1">
        <f t="array" ref="KY106">ROUND(IFERROR(INDEX(ArchiveResults!$F$5:$IX$116,ComparisonData!A106,ComparisonData!$KY$1),0),5)</f>
        <v>0</v>
      </c>
      <c r="KZ106" s="46" cm="1">
        <f t="array" ref="KZ106">ROUND(IFERROR(INDEX(ArchiveResults!$F$5:$IX$116,ComparisonData!A106,ComparisonData!$KZ$1),0),5)</f>
        <v>0</v>
      </c>
      <c r="LA106" s="45" cm="1">
        <f t="array" ref="LA106">IFERROR(INDEX(ArchiveResults!$F$5:$IX$116,ComparisonData!A106,ComparisonData!$LA$1),0)</f>
        <v>0</v>
      </c>
      <c r="LB106" s="56">
        <v>101</v>
      </c>
      <c r="LC106" s="53" t="str">
        <f t="shared" si="1215"/>
        <v>University of Swansea, Richard Burton Archives</v>
      </c>
      <c r="LD106" s="59">
        <f t="shared" si="909"/>
        <v>0</v>
      </c>
      <c r="LE106" s="59">
        <f t="shared" si="910"/>
        <v>0</v>
      </c>
      <c r="LF106" s="59">
        <f t="shared" si="911"/>
        <v>0</v>
      </c>
      <c r="LG106" s="59">
        <f t="shared" si="912"/>
        <v>0</v>
      </c>
      <c r="LH106" s="59">
        <f t="shared" si="913"/>
        <v>0</v>
      </c>
      <c r="LI106" s="58">
        <f t="shared" si="914"/>
        <v>0</v>
      </c>
      <c r="LJ106" s="45">
        <f t="shared" si="915"/>
        <v>21</v>
      </c>
      <c r="LK106" s="45">
        <f t="shared" si="1216"/>
        <v>2.5389999999999997</v>
      </c>
      <c r="LL106" s="45">
        <f t="shared" si="916"/>
        <v>1</v>
      </c>
      <c r="LM106" s="45">
        <f t="shared" si="917"/>
        <v>2</v>
      </c>
      <c r="LN106" s="45">
        <f t="shared" si="918"/>
        <v>0</v>
      </c>
      <c r="LO106" s="46" cm="1">
        <f t="array" ref="LO106">ROUND(IFERROR(INDEX(ArchiveResults!$F$5:$IX$116,ComparisonData!A106,ComparisonData!$LO$1),0),5)</f>
        <v>0</v>
      </c>
      <c r="LP106" s="46" cm="1">
        <f t="array" ref="LP106">ROUND(IFERROR(INDEX(ArchiveResults!$F$5:$IX$116,ComparisonData!A106,ComparisonData!$LP$1),0),5)</f>
        <v>0</v>
      </c>
      <c r="LQ106" s="46" cm="1">
        <f t="array" ref="LQ106">ROUND(IFERROR(INDEX(ArchiveResults!$F$5:$IX$116,ComparisonData!A106,ComparisonData!$LQ$1),0),5)</f>
        <v>0</v>
      </c>
      <c r="LR106" s="46" cm="1">
        <f t="array" ref="LR106">ROUND(IFERROR(INDEX(ArchiveResults!$F$5:$IX$116,ComparisonData!A106,ComparisonData!$LR$1),0),5)</f>
        <v>0</v>
      </c>
      <c r="LS106" s="45" cm="1">
        <f t="array" ref="LS106">IFERROR(INDEX(ArchiveResults!$F$5:$IX$116,ComparisonData!A106,ComparisonData!$LS$1),0)</f>
        <v>0</v>
      </c>
      <c r="LT106" s="56">
        <v>101</v>
      </c>
      <c r="LU106" s="53" t="str">
        <f t="shared" si="1217"/>
        <v>University of Swansea, Richard Burton Archives</v>
      </c>
      <c r="LV106" s="59">
        <f t="shared" si="919"/>
        <v>0</v>
      </c>
      <c r="LW106" s="59">
        <f t="shared" si="920"/>
        <v>0</v>
      </c>
      <c r="LX106" s="59">
        <f t="shared" si="921"/>
        <v>0</v>
      </c>
      <c r="LY106" s="59">
        <f t="shared" si="922"/>
        <v>0</v>
      </c>
      <c r="LZ106" s="59">
        <f t="shared" si="923"/>
        <v>0</v>
      </c>
      <c r="MA106" s="58">
        <f t="shared" si="924"/>
        <v>0</v>
      </c>
      <c r="MB106" s="45">
        <f t="shared" si="925"/>
        <v>21</v>
      </c>
      <c r="MC106" s="45">
        <f t="shared" si="1218"/>
        <v>2.5389999999999997</v>
      </c>
      <c r="MD106" s="45">
        <f t="shared" si="926"/>
        <v>1</v>
      </c>
      <c r="ME106" s="45">
        <f t="shared" si="927"/>
        <v>2</v>
      </c>
      <c r="MF106" s="45">
        <f t="shared" si="928"/>
        <v>0</v>
      </c>
      <c r="MG106" s="46" cm="1">
        <f t="array" ref="MG106">ROUND(IFERROR(INDEX(ArchiveResults!$F$5:$IX$116,ComparisonData!A106,ComparisonData!$MG$1),0),5)</f>
        <v>0</v>
      </c>
      <c r="MH106" s="46" cm="1">
        <f t="array" ref="MH106">ROUND(IFERROR(INDEX(ArchiveResults!$F$5:$IX$116,ComparisonData!A106,ComparisonData!$MH$1),0),5)</f>
        <v>0</v>
      </c>
      <c r="MI106" s="46" cm="1">
        <f t="array" ref="MI106">ROUND(IFERROR(INDEX(ArchiveResults!$F$5:$IX$116,ComparisonData!A106,ComparisonData!$MI$1),0),5)</f>
        <v>0</v>
      </c>
      <c r="MJ106" s="46" cm="1">
        <f t="array" ref="MJ106">ROUND(IFERROR(INDEX(ArchiveResults!$F$5:$IX$116,ComparisonData!A106,ComparisonData!$MJ$1),0),5)</f>
        <v>0</v>
      </c>
      <c r="MK106" s="45" cm="1">
        <f t="array" ref="MK106">IFERROR(INDEX(ArchiveResults!$F$5:$IX$116,ComparisonData!A106,ComparisonData!$MK$1),0)</f>
        <v>0</v>
      </c>
      <c r="ML106" s="56">
        <v>101</v>
      </c>
      <c r="MM106" s="53" t="str">
        <f t="shared" si="1219"/>
        <v>University of Swansea, Richard Burton Archives</v>
      </c>
      <c r="MN106" s="59">
        <f t="shared" si="929"/>
        <v>0</v>
      </c>
      <c r="MO106" s="59">
        <f t="shared" si="930"/>
        <v>0</v>
      </c>
      <c r="MP106" s="59">
        <f t="shared" si="931"/>
        <v>0</v>
      </c>
      <c r="MQ106" s="59">
        <f t="shared" si="932"/>
        <v>0</v>
      </c>
      <c r="MR106" s="59">
        <f t="shared" si="933"/>
        <v>0</v>
      </c>
      <c r="MS106" s="58">
        <f t="shared" si="934"/>
        <v>0</v>
      </c>
      <c r="MT106" s="45">
        <f t="shared" si="935"/>
        <v>21</v>
      </c>
      <c r="MU106" s="45">
        <f t="shared" si="1220"/>
        <v>2.5389999999999997</v>
      </c>
      <c r="MV106" s="45">
        <f t="shared" si="936"/>
        <v>1</v>
      </c>
      <c r="MW106" s="45">
        <f t="shared" si="937"/>
        <v>2</v>
      </c>
      <c r="MX106" s="45">
        <f t="shared" si="938"/>
        <v>0</v>
      </c>
      <c r="MY106" s="46" cm="1">
        <f t="array" ref="MY106">ROUND(IFERROR(INDEX(ArchiveResults!$F$5:$IX$116,ComparisonData!A106,ComparisonData!$MY$1),0),5)</f>
        <v>0</v>
      </c>
      <c r="MZ106" s="46" cm="1">
        <f t="array" ref="MZ106">ROUND(IFERROR(INDEX(ArchiveResults!$F$5:$IX$116,ComparisonData!A106,ComparisonData!$MZ$1),0),5)</f>
        <v>0</v>
      </c>
      <c r="NA106" s="46" cm="1">
        <f t="array" ref="NA106">ROUND(IFERROR(INDEX(ArchiveResults!$F$5:$IX$116,ComparisonData!A106,ComparisonData!$NA$1),0),5)</f>
        <v>0</v>
      </c>
      <c r="NB106" s="46" cm="1">
        <f t="array" ref="NB106">ROUND(IFERROR(INDEX(ArchiveResults!$F$5:$IX$116,ComparisonData!A106,ComparisonData!$NB$1),0),5)</f>
        <v>0</v>
      </c>
      <c r="NC106" s="45" cm="1">
        <f t="array" ref="NC106">IFERROR(INDEX(ArchiveResults!$F$5:$IX$116,ComparisonData!A106,ComparisonData!$NC$1),0)</f>
        <v>0</v>
      </c>
      <c r="ND106" s="56">
        <v>101</v>
      </c>
      <c r="NE106" s="53" t="str">
        <f t="shared" si="1221"/>
        <v>University of Swansea, Richard Burton Archives</v>
      </c>
      <c r="NF106" s="59">
        <f t="shared" si="939"/>
        <v>0</v>
      </c>
      <c r="NG106" s="59">
        <f t="shared" si="940"/>
        <v>0</v>
      </c>
      <c r="NH106" s="59">
        <f t="shared" si="941"/>
        <v>0</v>
      </c>
      <c r="NI106" s="59">
        <f t="shared" si="942"/>
        <v>0</v>
      </c>
      <c r="NJ106" s="59">
        <f t="shared" si="943"/>
        <v>0</v>
      </c>
      <c r="NK106" s="58">
        <f t="shared" si="944"/>
        <v>0</v>
      </c>
      <c r="NL106" s="45">
        <f t="shared" si="945"/>
        <v>21</v>
      </c>
      <c r="NM106" s="45">
        <f t="shared" si="1222"/>
        <v>2.5389999999999997</v>
      </c>
      <c r="NN106" s="45">
        <f t="shared" si="946"/>
        <v>1</v>
      </c>
      <c r="NO106" s="45">
        <f t="shared" si="947"/>
        <v>2</v>
      </c>
      <c r="NP106" s="46" cm="1">
        <f t="array" ref="NP106">ROUND(IFERROR(INDEX(ArchiveResults!$F$5:$IX$116,ComparisonData!A106,ComparisonData!$NP$1),0),5)</f>
        <v>0</v>
      </c>
      <c r="NQ106" s="46" cm="1">
        <f t="array" ref="NQ106">ROUND(IFERROR(INDEX(ArchiveResults!$F$5:$IX$116,ComparisonData!A106,ComparisonData!$NQ$1),0),5)</f>
        <v>0</v>
      </c>
      <c r="NR106" s="46" cm="1">
        <f t="array" ref="NR106">ROUND(IFERROR(INDEX(ArchiveResults!$F$5:$IX$116,ComparisonData!A106,ComparisonData!$NR$1),0),5)</f>
        <v>0</v>
      </c>
      <c r="NS106" s="46" cm="1">
        <f t="array" ref="NS106">ROUND(IFERROR(INDEX(ArchiveResults!$F$5:$IX$116,ComparisonData!A106,ComparisonData!$NS$1),0),5)</f>
        <v>0</v>
      </c>
      <c r="NT106" s="45" cm="1">
        <f t="array" ref="NT106">IFERROR(INDEX(ArchiveResults!$F$5:$IX$116,ComparisonData!A106,ComparisonData!$NT$1),0)</f>
        <v>0</v>
      </c>
      <c r="NU106" s="56">
        <v>101</v>
      </c>
      <c r="NV106" s="53" t="str">
        <f t="shared" si="1223"/>
        <v>University of Swansea, Richard Burton Archives</v>
      </c>
      <c r="NW106" s="59">
        <f t="shared" si="948"/>
        <v>0</v>
      </c>
      <c r="NX106" s="59">
        <f t="shared" si="949"/>
        <v>0</v>
      </c>
      <c r="NY106" s="59">
        <f t="shared" si="950"/>
        <v>0</v>
      </c>
      <c r="NZ106" s="59">
        <f t="shared" si="951"/>
        <v>0</v>
      </c>
      <c r="OA106" s="59">
        <f t="shared" si="952"/>
        <v>0</v>
      </c>
      <c r="OB106" s="58">
        <f t="shared" si="953"/>
        <v>0</v>
      </c>
      <c r="OC106" s="45">
        <f t="shared" si="954"/>
        <v>21</v>
      </c>
      <c r="OD106" s="45">
        <f t="shared" si="1224"/>
        <v>2.5389999999999997</v>
      </c>
      <c r="OE106" s="45">
        <f t="shared" si="955"/>
        <v>1</v>
      </c>
      <c r="OF106" s="45">
        <f t="shared" si="956"/>
        <v>2</v>
      </c>
      <c r="OG106" s="46">
        <f t="shared" si="957"/>
        <v>0</v>
      </c>
      <c r="OH106" s="46" cm="1">
        <f t="array" ref="OH106">ROUND(IFERROR(INDEX(ArchiveResults!$F$5:$IX$116,ComparisonData!A106,ComparisonData!$OH$1),0),5)</f>
        <v>0</v>
      </c>
      <c r="OI106" s="46" cm="1">
        <f t="array" ref="OI106">ROUND(IFERROR(INDEX(ArchiveResults!$F$5:$IX$116,ComparisonData!A106,ComparisonData!$OI$1),0),5)</f>
        <v>0</v>
      </c>
      <c r="OJ106" s="46" cm="1">
        <f t="array" ref="OJ106">ROUND(IFERROR(INDEX(ArchiveResults!$F$5:$IX$116,ComparisonData!A106,ComparisonData!$OJ$1),0),5)</f>
        <v>0</v>
      </c>
      <c r="OK106" s="46" cm="1">
        <f t="array" ref="OK106">ROUND(IFERROR(INDEX(ArchiveResults!$F$5:$IX$116,ComparisonData!A106,ComparisonData!$OK$1),0),5)</f>
        <v>0</v>
      </c>
      <c r="OL106" s="45" cm="1">
        <f t="array" ref="OL106">IFERROR(INDEX(ArchiveResults!$F$5:$IX$116,ComparisonData!A106,ComparisonData!$OL$1),0)</f>
        <v>0</v>
      </c>
      <c r="OM106" s="56">
        <v>101</v>
      </c>
      <c r="ON106" s="53" t="str">
        <f t="shared" si="1225"/>
        <v>University of Swansea, Richard Burton Archives</v>
      </c>
      <c r="OO106" s="59">
        <f t="shared" si="958"/>
        <v>0</v>
      </c>
      <c r="OP106" s="59">
        <f t="shared" si="959"/>
        <v>0</v>
      </c>
      <c r="OQ106" s="59">
        <f t="shared" si="960"/>
        <v>0</v>
      </c>
      <c r="OR106" s="59">
        <f t="shared" si="961"/>
        <v>0</v>
      </c>
      <c r="OS106" s="59">
        <f t="shared" si="962"/>
        <v>0</v>
      </c>
      <c r="OT106" s="58">
        <f t="shared" si="963"/>
        <v>0</v>
      </c>
      <c r="OU106" s="45">
        <f t="shared" si="964"/>
        <v>21</v>
      </c>
      <c r="OV106" s="45">
        <f t="shared" si="1226"/>
        <v>2.5389999999999997</v>
      </c>
      <c r="OW106" s="45">
        <f t="shared" si="965"/>
        <v>1</v>
      </c>
      <c r="OX106" s="45">
        <f t="shared" si="966"/>
        <v>2</v>
      </c>
      <c r="OY106" s="45">
        <f t="shared" si="967"/>
        <v>0</v>
      </c>
      <c r="OZ106" s="46" cm="1">
        <f t="array" ref="OZ106">ROUND(IFERROR(INDEX(ArchiveResults!$F$5:$IX$116,ComparisonData!A106,ComparisonData!$OZ$1),0),5)</f>
        <v>0</v>
      </c>
      <c r="PA106" s="46" cm="1">
        <f t="array" ref="PA106">ROUND(IFERROR(INDEX(ArchiveResults!$F$5:$IX$116,ComparisonData!A106,ComparisonData!$PA$1),0),5)</f>
        <v>0</v>
      </c>
      <c r="PB106" s="46" cm="1">
        <f t="array" ref="PB106">ROUND(IFERROR(INDEX(ArchiveResults!$F$5:$IX$116,ComparisonData!A106,ComparisonData!$PB$1),0),5)</f>
        <v>0</v>
      </c>
      <c r="PC106" s="46" cm="1">
        <f t="array" ref="PC106">ROUND(IFERROR(INDEX(ArchiveResults!$F$5:$IX$116,ComparisonData!A106,ComparisonData!$PC$1),0),5)</f>
        <v>0</v>
      </c>
      <c r="PD106" s="45" cm="1">
        <f t="array" ref="PD106">IFERROR(INDEX(ArchiveResults!$F$5:$IX$116,ComparisonData!A106,ComparisonData!$PD$1),0)</f>
        <v>0</v>
      </c>
      <c r="PE106" s="56">
        <v>101</v>
      </c>
      <c r="PF106" s="53" t="str">
        <f t="shared" si="1227"/>
        <v>University of Swansea, Richard Burton Archives</v>
      </c>
      <c r="PG106" s="59">
        <f t="shared" si="968"/>
        <v>0</v>
      </c>
      <c r="PH106" s="59">
        <f t="shared" si="969"/>
        <v>0</v>
      </c>
      <c r="PI106" s="59">
        <f t="shared" si="970"/>
        <v>0</v>
      </c>
      <c r="PJ106" s="59">
        <f t="shared" si="971"/>
        <v>0</v>
      </c>
      <c r="PK106" s="59">
        <f t="shared" si="972"/>
        <v>0</v>
      </c>
      <c r="PL106" s="58">
        <f t="shared" si="973"/>
        <v>0</v>
      </c>
      <c r="PM106" s="45">
        <f t="shared" si="974"/>
        <v>21</v>
      </c>
      <c r="PN106" s="45">
        <f t="shared" si="1228"/>
        <v>2.5389999999999997</v>
      </c>
      <c r="PO106" s="45">
        <f t="shared" si="975"/>
        <v>1</v>
      </c>
      <c r="PP106" s="45">
        <f t="shared" si="976"/>
        <v>2</v>
      </c>
      <c r="PQ106" s="45">
        <f t="shared" si="977"/>
        <v>0</v>
      </c>
      <c r="PR106" s="46" cm="1">
        <f t="array" ref="PR106">ROUND(IFERROR(INDEX(ArchiveResults!$F$5:$IX$116,ComparisonData!A106,ComparisonData!$PR$1),0),5)</f>
        <v>0</v>
      </c>
      <c r="PS106" s="46" cm="1">
        <f t="array" ref="PS106">ROUND(IFERROR(INDEX(ArchiveResults!$F$5:$IX$116,ComparisonData!A106,ComparisonData!$PS$1),0),5)</f>
        <v>0</v>
      </c>
      <c r="PT106" s="46" cm="1">
        <f t="array" ref="PT106">ROUND(IFERROR(INDEX(ArchiveResults!$F$5:$IX$116,ComparisonData!A106,ComparisonData!$PT$1),0),5)</f>
        <v>0</v>
      </c>
      <c r="PU106" s="46" cm="1">
        <f t="array" ref="PU106">ROUND(IFERROR(INDEX(ArchiveResults!$F$5:$IX$116,ComparisonData!A106,ComparisonData!$PU$1),0),5)</f>
        <v>0</v>
      </c>
      <c r="PV106" s="45" cm="1">
        <f t="array" ref="PV106">IFERROR(INDEX(ArchiveResults!$F$5:$IX$116,ComparisonData!A106,ComparisonData!$PV$1),0)</f>
        <v>0</v>
      </c>
      <c r="PW106" s="56">
        <v>101</v>
      </c>
      <c r="PX106" s="53" t="str">
        <f t="shared" si="1229"/>
        <v>University of Swansea, Richard Burton Archives</v>
      </c>
      <c r="PY106" s="59">
        <f t="shared" si="978"/>
        <v>0</v>
      </c>
      <c r="PZ106" s="59">
        <f t="shared" si="979"/>
        <v>0</v>
      </c>
      <c r="QA106" s="59">
        <f t="shared" si="980"/>
        <v>0</v>
      </c>
      <c r="QB106" s="59">
        <f t="shared" si="981"/>
        <v>0</v>
      </c>
      <c r="QC106" s="59">
        <f t="shared" si="982"/>
        <v>0</v>
      </c>
      <c r="QD106" s="58">
        <f t="shared" si="983"/>
        <v>0</v>
      </c>
      <c r="QE106" s="45">
        <f t="shared" si="984"/>
        <v>21</v>
      </c>
      <c r="QF106" s="45">
        <f t="shared" si="1230"/>
        <v>2.5389999999999997</v>
      </c>
      <c r="QG106" s="45">
        <f t="shared" si="985"/>
        <v>1</v>
      </c>
      <c r="QH106" s="45">
        <f t="shared" si="986"/>
        <v>2</v>
      </c>
      <c r="QI106" s="45">
        <f t="shared" si="987"/>
        <v>0</v>
      </c>
      <c r="QJ106" s="46" cm="1">
        <f t="array" ref="QJ106">ROUND(IFERROR(INDEX(ArchiveResults!$F$5:$IX$116,ComparisonData!A106,ComparisonData!$QJ$1),0),5)</f>
        <v>0</v>
      </c>
      <c r="QK106" s="46" cm="1">
        <f t="array" ref="QK106">ROUND(IFERROR(INDEX(ArchiveResults!$F$5:$IX$116,ComparisonData!A106,ComparisonData!$QK$1),0),5)</f>
        <v>0</v>
      </c>
      <c r="QL106" s="46" cm="1">
        <f t="array" ref="QL106">ROUND(IFERROR(INDEX(ArchiveResults!$F$5:$IX$116,ComparisonData!A106,ComparisonData!$QL$1),0),5)</f>
        <v>0</v>
      </c>
      <c r="QM106" s="46" cm="1">
        <f t="array" ref="QM106">ROUND(IFERROR(INDEX(ArchiveResults!$F$5:$IX$116,ComparisonData!A106,ComparisonData!$QM$1),0),5)</f>
        <v>0</v>
      </c>
      <c r="QN106" s="45" cm="1">
        <f t="array" ref="QN106">IFERROR(INDEX(ArchiveResults!$F$5:$IX$116,ComparisonData!A106,ComparisonData!$QN$1),0)</f>
        <v>0</v>
      </c>
      <c r="QO106" s="56">
        <v>101</v>
      </c>
      <c r="QP106" s="53" t="str">
        <f t="shared" si="1231"/>
        <v>University of Swansea, Richard Burton Archives</v>
      </c>
      <c r="QQ106" s="59">
        <f t="shared" si="988"/>
        <v>0</v>
      </c>
      <c r="QR106" s="59">
        <f t="shared" si="989"/>
        <v>0</v>
      </c>
      <c r="QS106" s="59">
        <f t="shared" si="990"/>
        <v>0</v>
      </c>
      <c r="QT106" s="59">
        <f t="shared" si="991"/>
        <v>0</v>
      </c>
      <c r="QU106" s="59">
        <f t="shared" si="992"/>
        <v>0</v>
      </c>
      <c r="QV106" s="58">
        <f t="shared" si="993"/>
        <v>0</v>
      </c>
      <c r="QW106" s="45">
        <f t="shared" si="994"/>
        <v>21</v>
      </c>
      <c r="QX106" s="45">
        <f t="shared" si="1232"/>
        <v>2.5389999999999997</v>
      </c>
      <c r="QY106" s="45">
        <f t="shared" si="995"/>
        <v>1</v>
      </c>
      <c r="QZ106" s="45">
        <f t="shared" si="996"/>
        <v>2</v>
      </c>
      <c r="RA106" s="45">
        <f t="shared" si="997"/>
        <v>0</v>
      </c>
      <c r="RB106" s="46" cm="1">
        <f t="array" ref="RB106">ROUND(IFERROR(INDEX(ArchiveResults!$F$5:$IX$116,ComparisonData!A106,ComparisonData!$RB$1),0),5)</f>
        <v>0</v>
      </c>
      <c r="RC106" s="46" cm="1">
        <f t="array" ref="RC106">ROUND(IFERROR(INDEX(ArchiveResults!$F$5:$IX$116,ComparisonData!A106,ComparisonData!$RC$1),0),5)</f>
        <v>0</v>
      </c>
      <c r="RD106" s="46" cm="1">
        <f t="array" ref="RD106">ROUND(IFERROR(INDEX(ArchiveResults!$F$5:$IX$116,ComparisonData!A106,ComparisonData!$RD$1),0),5)</f>
        <v>0</v>
      </c>
      <c r="RE106" s="46" cm="1">
        <f t="array" ref="RE106">ROUND(IFERROR(INDEX(ArchiveResults!$F$5:$IX$116,ComparisonData!A106,ComparisonData!$RE$1),0),5)</f>
        <v>0</v>
      </c>
      <c r="RF106" s="45" cm="1">
        <f t="array" ref="RF106">IFERROR(INDEX(ArchiveResults!$F$5:$IX$116,ComparisonData!A106,ComparisonData!$RF$1),0)</f>
        <v>0</v>
      </c>
      <c r="RG106" s="56">
        <v>101</v>
      </c>
      <c r="RH106" s="53" t="str">
        <f t="shared" si="1233"/>
        <v>University of Swansea, Richard Burton Archives</v>
      </c>
      <c r="RI106" s="59">
        <f t="shared" si="998"/>
        <v>0</v>
      </c>
      <c r="RJ106" s="59">
        <f t="shared" si="999"/>
        <v>0</v>
      </c>
      <c r="RK106" s="59">
        <f t="shared" si="1000"/>
        <v>0</v>
      </c>
      <c r="RL106" s="59">
        <f t="shared" si="1001"/>
        <v>0</v>
      </c>
      <c r="RM106" s="59">
        <f t="shared" si="1002"/>
        <v>0</v>
      </c>
      <c r="RN106" s="58">
        <f t="shared" si="1003"/>
        <v>0</v>
      </c>
      <c r="RO106" s="45">
        <f t="shared" si="1004"/>
        <v>21</v>
      </c>
      <c r="RP106" s="45">
        <f t="shared" si="1234"/>
        <v>2.5389999999999997</v>
      </c>
      <c r="RQ106" s="45">
        <f t="shared" si="1005"/>
        <v>1</v>
      </c>
      <c r="RR106" s="45">
        <f t="shared" si="1006"/>
        <v>2</v>
      </c>
      <c r="RS106" s="45">
        <f t="shared" si="1007"/>
        <v>0</v>
      </c>
      <c r="RT106" s="46" cm="1">
        <f t="array" ref="RT106">ROUND(IFERROR(INDEX(ArchiveResults!$F$5:$IX$116,ComparisonData!A106,ComparisonData!$RT$1),0),5)</f>
        <v>0</v>
      </c>
      <c r="RU106" s="46" cm="1">
        <f t="array" ref="RU106">ROUND(IFERROR(INDEX(ArchiveResults!$F$5:$IX$116,ComparisonData!A106,ComparisonData!$RU$1),0),5)</f>
        <v>0</v>
      </c>
      <c r="RV106" s="46" cm="1">
        <f t="array" ref="RV106">ROUND(IFERROR(INDEX(ArchiveResults!$F$5:$IX$116,ComparisonData!A106,ComparisonData!$RV$1),0),5)</f>
        <v>0</v>
      </c>
      <c r="RW106" s="46" cm="1">
        <f t="array" ref="RW106">ROUND(IFERROR(INDEX(ArchiveResults!$F$5:$IX$116,ComparisonData!A106,ComparisonData!$RW$1),0),5)</f>
        <v>0</v>
      </c>
      <c r="RX106" s="45" cm="1">
        <f t="array" ref="RX106">IFERROR(INDEX(ArchiveResults!$F$5:$IX$116,ComparisonData!A106,ComparisonData!$RX$1),0)</f>
        <v>0</v>
      </c>
      <c r="RY106" s="56">
        <v>101</v>
      </c>
      <c r="RZ106" s="53" t="str">
        <f t="shared" si="1235"/>
        <v>University of Swansea, Richard Burton Archives</v>
      </c>
      <c r="SA106" s="59">
        <f t="shared" si="1008"/>
        <v>0</v>
      </c>
      <c r="SB106" s="59">
        <f t="shared" si="1009"/>
        <v>0</v>
      </c>
      <c r="SC106" s="59">
        <f t="shared" si="1010"/>
        <v>0</v>
      </c>
      <c r="SD106" s="59">
        <f t="shared" si="1011"/>
        <v>0</v>
      </c>
      <c r="SE106" s="59">
        <f t="shared" si="1012"/>
        <v>0</v>
      </c>
      <c r="SF106" s="58">
        <f t="shared" si="1013"/>
        <v>0</v>
      </c>
      <c r="SG106" s="45">
        <f t="shared" si="1014"/>
        <v>21</v>
      </c>
      <c r="SH106" s="45">
        <f t="shared" si="1236"/>
        <v>2.5389999999999997</v>
      </c>
      <c r="SI106" s="45">
        <f t="shared" si="1015"/>
        <v>1</v>
      </c>
      <c r="SJ106" s="45">
        <f t="shared" si="1016"/>
        <v>2</v>
      </c>
      <c r="SK106" s="45">
        <f t="shared" si="1017"/>
        <v>0</v>
      </c>
      <c r="SL106" s="46" cm="1">
        <f t="array" ref="SL106">ROUND(IFERROR(INDEX(ArchiveResults!$F$5:$IX$116,ComparisonData!A106,ComparisonData!$SL$1),0),5)</f>
        <v>0</v>
      </c>
      <c r="SM106" s="46" cm="1">
        <f t="array" ref="SM106">ROUND(IFERROR(INDEX(ArchiveResults!$F$5:$IX$116,ComparisonData!A106,ComparisonData!$SM$1),0),5)</f>
        <v>0</v>
      </c>
      <c r="SN106" s="46" cm="1">
        <f t="array" ref="SN106">ROUND(IFERROR(INDEX(ArchiveResults!$F$5:$IX$116,ComparisonData!A106,ComparisonData!$SN$1),0),5)</f>
        <v>0</v>
      </c>
      <c r="SO106" s="46" cm="1">
        <f t="array" ref="SO106">ROUND(IFERROR(INDEX(ArchiveResults!$F$5:$IX$116,ComparisonData!A106,ComparisonData!$SO$1),0),5)</f>
        <v>0</v>
      </c>
      <c r="SP106" s="45" cm="1">
        <f t="array" ref="SP106">IFERROR(INDEX(ArchiveResults!$F$5:$IX$116,ComparisonData!A106,ComparisonData!$SP$1),0)</f>
        <v>0</v>
      </c>
      <c r="SQ106" s="56">
        <v>101</v>
      </c>
      <c r="SR106" s="53" t="str">
        <f t="shared" si="1237"/>
        <v>University of Swansea, Richard Burton Archives</v>
      </c>
      <c r="SS106" s="59">
        <f t="shared" si="1018"/>
        <v>0</v>
      </c>
      <c r="ST106" s="59">
        <f t="shared" si="1019"/>
        <v>0</v>
      </c>
      <c r="SU106" s="59">
        <f t="shared" si="1020"/>
        <v>0</v>
      </c>
      <c r="SV106" s="59">
        <f t="shared" si="1021"/>
        <v>0</v>
      </c>
      <c r="SW106" s="59">
        <f t="shared" si="1022"/>
        <v>0</v>
      </c>
      <c r="SX106" s="58">
        <f t="shared" si="1023"/>
        <v>0</v>
      </c>
      <c r="SY106" s="45">
        <f t="shared" si="1024"/>
        <v>21</v>
      </c>
      <c r="SZ106" s="45">
        <f t="shared" si="1238"/>
        <v>2.5389999999999997</v>
      </c>
      <c r="TA106" s="45">
        <f t="shared" si="1025"/>
        <v>1</v>
      </c>
      <c r="TB106" s="45">
        <f t="shared" si="1026"/>
        <v>2</v>
      </c>
      <c r="TC106" s="45">
        <f t="shared" si="1027"/>
        <v>0</v>
      </c>
      <c r="TD106" s="46" cm="1">
        <f t="array" ref="TD106">ROUND(IFERROR(INDEX(ArchiveResults!$F$5:$IX$116,ComparisonData!A106,ComparisonData!$TD$1),0),5)</f>
        <v>0</v>
      </c>
      <c r="TE106" s="46" cm="1">
        <f t="array" ref="TE106">ROUND(IFERROR(INDEX(ArchiveResults!$F$5:$IX$116,ComparisonData!A106,ComparisonData!$TE$1),0),5)</f>
        <v>0</v>
      </c>
      <c r="TF106" s="46" cm="1">
        <f t="array" ref="TF106">ROUND(IFERROR(INDEX(ArchiveResults!$F$5:$IX$116,ComparisonData!A106,ComparisonData!$TF$1),0),5)</f>
        <v>0</v>
      </c>
      <c r="TG106" s="46" cm="1">
        <f t="array" ref="TG106">ROUND(IFERROR(INDEX(ArchiveResults!$F$5:$IX$116,ComparisonData!A106,ComparisonData!$TG$1),0),5)</f>
        <v>0</v>
      </c>
      <c r="TH106" s="45" cm="1">
        <f t="array" ref="TH106">IFERROR(INDEX(ArchiveResults!$F$5:$IX$116,ComparisonData!A106,ComparisonData!$TH$1),0)</f>
        <v>0</v>
      </c>
      <c r="TI106" s="56">
        <v>101</v>
      </c>
      <c r="TJ106" s="53" t="str">
        <f t="shared" si="1239"/>
        <v>University of Swansea, Richard Burton Archives</v>
      </c>
      <c r="TK106" s="59">
        <f t="shared" si="1028"/>
        <v>0</v>
      </c>
      <c r="TL106" s="59">
        <f t="shared" si="1029"/>
        <v>0</v>
      </c>
      <c r="TM106" s="59">
        <f t="shared" si="1030"/>
        <v>0</v>
      </c>
      <c r="TN106" s="59">
        <f t="shared" si="1031"/>
        <v>0</v>
      </c>
      <c r="TO106" s="59">
        <f t="shared" si="1032"/>
        <v>0</v>
      </c>
      <c r="TP106" s="58">
        <f t="shared" si="1033"/>
        <v>0</v>
      </c>
      <c r="TQ106" s="45">
        <f t="shared" si="1034"/>
        <v>21</v>
      </c>
      <c r="TR106" s="45">
        <f t="shared" si="1240"/>
        <v>2.5389999999999997</v>
      </c>
      <c r="TS106" s="45">
        <f t="shared" si="1035"/>
        <v>1</v>
      </c>
      <c r="TT106" s="45">
        <f t="shared" si="1036"/>
        <v>2</v>
      </c>
      <c r="TU106" s="45">
        <f t="shared" si="1037"/>
        <v>0</v>
      </c>
      <c r="TV106" s="46" cm="1">
        <f t="array" ref="TV106">ROUND(IFERROR(INDEX(ArchiveResults!$F$5:$IX$116,ComparisonData!A106,ComparisonData!$TV$1),0),5)</f>
        <v>0</v>
      </c>
      <c r="TW106" s="46" cm="1">
        <f t="array" ref="TW106">ROUND(IFERROR(INDEX(ArchiveResults!$F$5:$IX$116,ComparisonData!A106,ComparisonData!$TW$1),0),5)</f>
        <v>0</v>
      </c>
      <c r="TX106" s="46" cm="1">
        <f t="array" ref="TX106">ROUND(IFERROR(INDEX(ArchiveResults!$F$5:$IX$116,ComparisonData!A106,ComparisonData!$TX$1),0),5)</f>
        <v>0</v>
      </c>
      <c r="TY106" s="46" cm="1">
        <f t="array" ref="TY106">ROUND(IFERROR(INDEX(ArchiveResults!$F$5:$IX$116,ComparisonData!A106,ComparisonData!$TY$1),0),5)</f>
        <v>0</v>
      </c>
      <c r="TZ106" s="45" cm="1">
        <f t="array" ref="TZ106">IFERROR(INDEX(ArchiveResults!$F$5:$IX$116,ComparisonData!A106,ComparisonData!$TZ$1),0)</f>
        <v>0</v>
      </c>
      <c r="UA106" s="56">
        <v>101</v>
      </c>
      <c r="UB106" s="53" t="str">
        <f t="shared" si="1241"/>
        <v>University of Swansea, Richard Burton Archives</v>
      </c>
      <c r="UC106" s="60">
        <f t="shared" si="1038"/>
        <v>0</v>
      </c>
      <c r="UD106" s="60">
        <f t="shared" si="1039"/>
        <v>0</v>
      </c>
      <c r="UE106" s="60">
        <f t="shared" si="1040"/>
        <v>0</v>
      </c>
      <c r="UF106" s="60">
        <f t="shared" si="1041"/>
        <v>0</v>
      </c>
      <c r="UG106" s="60">
        <f t="shared" si="1042"/>
        <v>0</v>
      </c>
      <c r="UH106" s="58">
        <f t="shared" si="1043"/>
        <v>0</v>
      </c>
      <c r="UI106" s="46">
        <f t="shared" si="1044"/>
        <v>21</v>
      </c>
      <c r="UJ106" s="46">
        <f t="shared" si="1242"/>
        <v>2.5389999999999997</v>
      </c>
      <c r="UK106" s="46">
        <f t="shared" si="1045"/>
        <v>1</v>
      </c>
      <c r="UL106" s="46">
        <f t="shared" si="1046"/>
        <v>2</v>
      </c>
      <c r="UM106" s="46" cm="1">
        <f t="array" ref="UM106">ROUND(IFERROR(INDEX(ArchiveResults!$F$5:$IX$116,ComparisonData!A106,ComparisonData!$UM$1),0),5)</f>
        <v>0</v>
      </c>
      <c r="UN106" s="56">
        <v>101</v>
      </c>
      <c r="UO106" s="53" t="str">
        <f t="shared" si="1243"/>
        <v>University of Swansea, Richard Burton Archives</v>
      </c>
      <c r="UP106" s="46">
        <f t="shared" si="1047"/>
        <v>0</v>
      </c>
      <c r="UQ106" s="76">
        <f t="shared" si="1048"/>
        <v>0</v>
      </c>
      <c r="UR106" s="46">
        <f t="shared" si="1049"/>
        <v>21</v>
      </c>
      <c r="US106" s="46">
        <f t="shared" si="1244"/>
        <v>2.5389999999999997</v>
      </c>
      <c r="UT106" s="46">
        <f t="shared" si="1050"/>
        <v>1</v>
      </c>
      <c r="UU106" s="46">
        <f t="shared" si="1051"/>
        <v>2</v>
      </c>
      <c r="UV106" s="46">
        <f t="shared" si="1052"/>
        <v>0</v>
      </c>
      <c r="UW106" s="46" cm="1">
        <f t="array" ref="UW106">ROUND(IFERROR(INDEX(ArchiveResults!$F$5:$IX$116,ComparisonData!A106,ComparisonData!$UW$1),0),5)</f>
        <v>0</v>
      </c>
      <c r="UX106" s="46" cm="1">
        <f t="array" ref="UX106">ROUND(IFERROR(INDEX(ArchiveResults!$F$5:$IX$116,ComparisonData!A106,ComparisonData!$UX$1),0),5)</f>
        <v>0</v>
      </c>
      <c r="UY106" s="46" cm="1">
        <f t="array" ref="UY106">ROUND(IFERROR(INDEX(ArchiveResults!$F$5:$IX$116,ComparisonData!A106,ComparisonData!$UY$1),0),5)</f>
        <v>0</v>
      </c>
      <c r="UZ106" s="46" cm="1">
        <f t="array" ref="UZ106">ROUND(IFERROR(INDEX(ArchiveResults!$F$5:$IX$116,ComparisonData!A106,ComparisonData!$UZ$1),0),5)</f>
        <v>0</v>
      </c>
      <c r="VA106" s="46" cm="1">
        <f t="array" ref="VA106">ROUND(IFERROR(INDEX(ArchiveResults!$F$5:$IX$116,ComparisonData!A106,ComparisonData!$VA$1),0),5)</f>
        <v>0</v>
      </c>
      <c r="VB106" s="56">
        <v>101</v>
      </c>
      <c r="VC106" s="53" t="str">
        <f t="shared" si="1245"/>
        <v>University of Swansea, Richard Burton Archives</v>
      </c>
      <c r="VD106" s="60">
        <f t="shared" si="1053"/>
        <v>0</v>
      </c>
      <c r="VE106" s="60">
        <f t="shared" si="1054"/>
        <v>0</v>
      </c>
      <c r="VF106" s="60">
        <f t="shared" si="1055"/>
        <v>0</v>
      </c>
      <c r="VG106" s="60">
        <f t="shared" si="1056"/>
        <v>0</v>
      </c>
      <c r="VH106" s="60">
        <f t="shared" si="1057"/>
        <v>0</v>
      </c>
      <c r="VI106" s="76">
        <f t="shared" si="1058"/>
        <v>0</v>
      </c>
      <c r="VJ106" s="46">
        <f t="shared" si="1059"/>
        <v>21</v>
      </c>
      <c r="VK106" s="46">
        <f t="shared" si="1246"/>
        <v>2.5389999999999997</v>
      </c>
      <c r="VL106" s="46">
        <f t="shared" si="1060"/>
        <v>1</v>
      </c>
      <c r="VM106" s="46">
        <f t="shared" si="1061"/>
        <v>2</v>
      </c>
      <c r="VN106" s="46" cm="1">
        <f t="array" ref="VN106">ROUND(IFERROR(INDEX(ArchiveResults!$F$5:$IX$116,ComparisonData!A106,ComparisonData!$VN$1),0),5)</f>
        <v>0</v>
      </c>
      <c r="VO106" s="46" cm="1">
        <f t="array" ref="VO106">ROUND(IFERROR(INDEX(ArchiveResults!$F$5:$IX$116,ComparisonData!A106,ComparisonData!$VO$1),0),5)</f>
        <v>0</v>
      </c>
      <c r="VP106" s="46" cm="1">
        <f t="array" ref="VP106">ROUND(IFERROR(INDEX(ArchiveResults!$F$5:$IX$116,ComparisonData!A106,ComparisonData!$VP$1),0),5)</f>
        <v>0</v>
      </c>
      <c r="VQ106" s="46" cm="1">
        <f t="array" ref="VQ106">ROUND(IFERROR(INDEX(ArchiveResults!$F$5:$IX$116,ComparisonData!A106,ComparisonData!$VQ$1),0),5)</f>
        <v>0</v>
      </c>
      <c r="VR106" s="56">
        <v>101</v>
      </c>
      <c r="VS106" s="53" t="str">
        <f t="shared" si="1247"/>
        <v>University of Swansea, Richard Burton Archives</v>
      </c>
      <c r="VT106" s="60">
        <f t="shared" si="1062"/>
        <v>0</v>
      </c>
      <c r="VU106" s="60">
        <f t="shared" si="1063"/>
        <v>0</v>
      </c>
      <c r="VV106" s="60">
        <f t="shared" si="1064"/>
        <v>0</v>
      </c>
      <c r="VW106" s="60">
        <f t="shared" si="1065"/>
        <v>0</v>
      </c>
      <c r="VX106" s="76">
        <f t="shared" si="1066"/>
        <v>0</v>
      </c>
      <c r="VY106" s="46">
        <f t="shared" si="1067"/>
        <v>21</v>
      </c>
      <c r="VZ106" s="46">
        <f t="shared" si="1248"/>
        <v>2.5389999999999997</v>
      </c>
      <c r="WA106" s="46">
        <f t="shared" si="1068"/>
        <v>1</v>
      </c>
      <c r="WB106" s="46">
        <f t="shared" si="1069"/>
        <v>2</v>
      </c>
      <c r="WC106" s="46" cm="1">
        <f t="array" ref="WC106">ROUND(IFERROR(INDEX(ArchiveResults!$F$5:$IX$116,ComparisonData!A106,ComparisonData!$WC$1),0),5)</f>
        <v>0</v>
      </c>
      <c r="WD106" s="56">
        <v>101</v>
      </c>
      <c r="WE106" s="53" t="str">
        <f t="shared" si="1249"/>
        <v>University of Swansea, Richard Burton Archives</v>
      </c>
      <c r="WF106" s="46">
        <f t="shared" si="1070"/>
        <v>0</v>
      </c>
      <c r="WG106" s="76">
        <f t="shared" si="1071"/>
        <v>0</v>
      </c>
      <c r="WH106" s="46">
        <f t="shared" si="1072"/>
        <v>21</v>
      </c>
      <c r="WI106" s="46">
        <f t="shared" si="1250"/>
        <v>2.5389999999999997</v>
      </c>
      <c r="WJ106" s="46">
        <f t="shared" si="1073"/>
        <v>1</v>
      </c>
      <c r="WK106" s="46">
        <f t="shared" si="1074"/>
        <v>2</v>
      </c>
      <c r="WL106" s="46" cm="1">
        <f t="array" ref="WL106">ROUND(IFERROR(INDEX(ArchiveResults!$F$5:$IX$116,ComparisonData!A106,ComparisonData!$WL$1),0),5)</f>
        <v>0</v>
      </c>
      <c r="WM106" s="46" cm="1">
        <f t="array" ref="WM106">IFERROR(INDEX(ArchiveResults!$F$5:$IX$116,ComparisonData!A106,ComparisonData!$WM$1),0)</f>
        <v>0</v>
      </c>
      <c r="WN106" s="56">
        <v>101</v>
      </c>
      <c r="WO106" s="53" t="str">
        <f t="shared" si="1251"/>
        <v>University of Swansea, Richard Burton Archives</v>
      </c>
      <c r="WP106" s="60">
        <f t="shared" si="1075"/>
        <v>0</v>
      </c>
      <c r="WQ106" s="60">
        <f t="shared" si="1076"/>
        <v>0</v>
      </c>
      <c r="WR106" s="76">
        <f t="shared" si="1077"/>
        <v>0</v>
      </c>
      <c r="WS106" s="46">
        <f t="shared" si="1078"/>
        <v>21</v>
      </c>
      <c r="WT106" s="46">
        <f t="shared" si="1252"/>
        <v>2.5389999999999997</v>
      </c>
      <c r="WU106" s="46">
        <f t="shared" si="1079"/>
        <v>1</v>
      </c>
      <c r="WV106" s="46">
        <f t="shared" si="1080"/>
        <v>2</v>
      </c>
      <c r="WW106" s="46" cm="1">
        <f t="array" ref="WW106">ROUND(VALUE(IFERROR(INDEX(ArchiveResults!$F$5:$IX$116,ComparisonData!A106,ComparisonData!$WW$1),0)),5)</f>
        <v>0</v>
      </c>
      <c r="WX106" s="46" cm="1">
        <f t="array" ref="WX106">ROUND(IFERROR(INDEX(ArchiveResults!$F$5:$IX$116,ComparisonData!A106,ComparisonData!$WX$1),0),5)</f>
        <v>0</v>
      </c>
      <c r="WY106" s="56">
        <v>101</v>
      </c>
      <c r="WZ106" s="53" t="str">
        <f t="shared" si="1253"/>
        <v>University of Swansea, Richard Burton Archives</v>
      </c>
      <c r="XA106" s="60">
        <f t="shared" si="1254"/>
        <v>0</v>
      </c>
      <c r="XB106" s="60">
        <f t="shared" si="1255"/>
        <v>0</v>
      </c>
      <c r="XC106" s="76">
        <f t="shared" si="1081"/>
        <v>0</v>
      </c>
      <c r="XD106" s="46">
        <f t="shared" si="1082"/>
        <v>21</v>
      </c>
      <c r="XE106" s="46">
        <f t="shared" si="1256"/>
        <v>2.5389999999999997</v>
      </c>
      <c r="XF106" s="46">
        <f t="shared" si="1083"/>
        <v>1</v>
      </c>
      <c r="XG106" s="46">
        <f t="shared" si="1084"/>
        <v>2</v>
      </c>
      <c r="XH106" s="46" cm="1">
        <f t="array" ref="XH106">ROUND(VALUE(IFERROR(INDEX(ArchiveResults!$F$5:$IX$116,ComparisonData!A106,ComparisonData!$XH$1),0)),5)</f>
        <v>0</v>
      </c>
      <c r="XI106" s="46" cm="1">
        <f t="array" ref="XI106">ROUND(VALUE(IFERROR(INDEX(ArchiveResults!$F$5:$IX$116,ComparisonData!A106,ComparisonData!$XI$1),0)),5)</f>
        <v>0</v>
      </c>
      <c r="XJ106" s="56">
        <v>101</v>
      </c>
      <c r="XK106" s="53" t="str">
        <f t="shared" si="1257"/>
        <v>University of Swansea, Richard Burton Archives</v>
      </c>
      <c r="XL106" s="60">
        <f t="shared" si="1085"/>
        <v>0</v>
      </c>
      <c r="XM106" s="60">
        <f t="shared" si="1086"/>
        <v>0</v>
      </c>
      <c r="XN106" s="76">
        <f t="shared" si="1087"/>
        <v>0</v>
      </c>
      <c r="XO106" s="46">
        <f t="shared" si="1088"/>
        <v>21</v>
      </c>
      <c r="XP106" s="46">
        <f t="shared" si="1258"/>
        <v>2.5389999999999997</v>
      </c>
      <c r="XQ106" s="46">
        <f t="shared" si="1089"/>
        <v>1</v>
      </c>
      <c r="XR106" s="46">
        <f t="shared" si="1090"/>
        <v>2</v>
      </c>
      <c r="XS106" s="46" cm="1">
        <f t="array" ref="XS106">ROUND(VALUE(IFERROR(INDEX(ArchiveResults!$F$5:$IX$116,ComparisonData!A106,ComparisonData!$XS$1),0)),5)</f>
        <v>0</v>
      </c>
      <c r="XT106" s="46" cm="1">
        <f t="array" ref="XT106">ROUND(VALUE(IFERROR(INDEX(ArchiveResults!$F$5:$IX$116,ComparisonData!A106,ComparisonData!$XT$1),0)),5)</f>
        <v>0</v>
      </c>
      <c r="XU106" s="56">
        <v>101</v>
      </c>
      <c r="XV106" s="53" t="str">
        <f t="shared" si="1259"/>
        <v>University of Swansea, Richard Burton Archives</v>
      </c>
      <c r="XW106" s="60">
        <f t="shared" si="1091"/>
        <v>0</v>
      </c>
      <c r="XX106" s="60">
        <f t="shared" si="1092"/>
        <v>0</v>
      </c>
      <c r="XY106" s="76">
        <f t="shared" si="1093"/>
        <v>0</v>
      </c>
      <c r="XZ106" s="46">
        <f t="shared" si="1094"/>
        <v>21</v>
      </c>
      <c r="YA106" s="46">
        <f t="shared" si="1260"/>
        <v>2.5389999999999997</v>
      </c>
      <c r="YB106" s="46">
        <f t="shared" si="1095"/>
        <v>1</v>
      </c>
      <c r="YC106" s="46">
        <f t="shared" si="1096"/>
        <v>2</v>
      </c>
      <c r="YD106" s="46" cm="1">
        <f t="array" ref="YD106">ROUND(VALUE(IFERROR(INDEX(ArchiveResults!$F$5:$IX$116,ComparisonData!A106,ComparisonData!$YD$1),0)),5)</f>
        <v>0</v>
      </c>
      <c r="YE106" s="46" cm="1">
        <f t="array" ref="YE106">ROUND(VALUE(IFERROR(INDEX(ArchiveResults!$F$5:$IX$116,ComparisonData!A106,ComparisonData!$YE$1),0)),5)</f>
        <v>0</v>
      </c>
      <c r="YF106" s="56">
        <v>101</v>
      </c>
      <c r="YG106" s="53" t="str">
        <f t="shared" si="1261"/>
        <v>University of Swansea, Richard Burton Archives</v>
      </c>
      <c r="YH106" s="60">
        <f t="shared" si="1097"/>
        <v>0</v>
      </c>
      <c r="YI106" s="60">
        <f t="shared" si="1098"/>
        <v>0</v>
      </c>
      <c r="YJ106" s="76">
        <f t="shared" si="1099"/>
        <v>0</v>
      </c>
      <c r="YK106" s="46">
        <f t="shared" si="1100"/>
        <v>21</v>
      </c>
      <c r="YL106" s="46">
        <f t="shared" si="1262"/>
        <v>2.5389999999999997</v>
      </c>
      <c r="YM106" s="46">
        <f t="shared" si="1101"/>
        <v>1</v>
      </c>
      <c r="YN106" s="46">
        <f t="shared" si="1102"/>
        <v>2</v>
      </c>
      <c r="YO106" s="46" cm="1">
        <f t="array" ref="YO106">ROUND(VALUE(IFERROR(INDEX(ArchiveResults!$F$5:$IX$116,ComparisonData!A106,ComparisonData!$YO$1),0)),5)</f>
        <v>0</v>
      </c>
      <c r="YP106" s="46" cm="1">
        <f t="array" ref="YP106">ROUND(VALUE(IFERROR(INDEX(ArchiveResults!$F$5:$IX$116,ComparisonData!A106,ComparisonData!$YP$1),0)),5)</f>
        <v>0</v>
      </c>
      <c r="YQ106" s="56">
        <v>101</v>
      </c>
      <c r="YR106" s="53" t="str">
        <f t="shared" si="1263"/>
        <v>University of Swansea, Richard Burton Archives</v>
      </c>
      <c r="YS106" s="60">
        <f t="shared" si="1103"/>
        <v>0</v>
      </c>
      <c r="YT106" s="60">
        <f t="shared" si="1104"/>
        <v>0</v>
      </c>
      <c r="YU106" s="76">
        <f t="shared" si="1105"/>
        <v>0</v>
      </c>
      <c r="YV106" s="46">
        <f t="shared" si="1106"/>
        <v>21</v>
      </c>
      <c r="YW106" s="46">
        <f t="shared" si="1264"/>
        <v>2.5389999999999997</v>
      </c>
      <c r="YX106" s="46">
        <f t="shared" si="1107"/>
        <v>1</v>
      </c>
      <c r="YY106" s="46">
        <f t="shared" si="1108"/>
        <v>2</v>
      </c>
      <c r="YZ106" s="46">
        <f t="shared" si="1109"/>
        <v>0</v>
      </c>
      <c r="ZA106" s="46" cm="1">
        <f t="array" ref="ZA106">ROUNDDOWN(VALUE(IFERROR(INDEX(ArchiveResults!$F$5:$IX$116,ComparisonData!A106,ComparisonData!$ZA$1),0)),5)</f>
        <v>0</v>
      </c>
      <c r="ZB106" s="46" cm="1">
        <f t="array" ref="ZB106">ROUNDDOWN(VALUE(IFERROR(INDEX(ArchiveResults!$F$5:$IX$116,ComparisonData!A106,ComparisonData!$ZB$1),0)),5)</f>
        <v>0</v>
      </c>
      <c r="ZC106" s="46" cm="1">
        <f t="array" ref="ZC106">ROUNDDOWN(VALUE(IFERROR(INDEX(ArchiveResults!$F$5:$IX$116,ComparisonData!A106,ComparisonData!$ZC$1),0)),5)</f>
        <v>0</v>
      </c>
      <c r="ZD106" s="46" cm="1">
        <f t="array" ref="ZD106">ROUNDDOWN(VALUE(IFERROR(INDEX(ArchiveResults!$F$5:$IX$116,ComparisonData!A106,ComparisonData!$ZD$1),0)),5)</f>
        <v>0</v>
      </c>
      <c r="ZE106" s="46" cm="1">
        <f t="array" ref="ZE106">ROUNDDOWN(VALUE(IFERROR(INDEX(ArchiveResults!$F$5:$IX$116,ComparisonData!A106,ComparisonData!$ZE$1),0)),5)</f>
        <v>0</v>
      </c>
      <c r="ZF106" s="56">
        <v>101</v>
      </c>
      <c r="ZG106" s="53" t="str">
        <f t="shared" si="1265"/>
        <v>University of Swansea, Richard Burton Archives</v>
      </c>
      <c r="ZH106" s="60">
        <f t="shared" si="1110"/>
        <v>0</v>
      </c>
      <c r="ZI106" s="60">
        <f t="shared" si="1111"/>
        <v>0</v>
      </c>
      <c r="ZJ106" s="60">
        <f t="shared" si="1112"/>
        <v>0</v>
      </c>
      <c r="ZK106" s="60">
        <f t="shared" si="1113"/>
        <v>0</v>
      </c>
      <c r="ZL106" s="60">
        <f t="shared" si="1114"/>
        <v>0</v>
      </c>
      <c r="ZM106" s="76">
        <f t="shared" si="1115"/>
        <v>0</v>
      </c>
      <c r="ZN106" s="46">
        <f t="shared" si="1116"/>
        <v>21</v>
      </c>
      <c r="ZO106" s="46">
        <f t="shared" si="1266"/>
        <v>2.5389999999999997</v>
      </c>
      <c r="ZP106" s="46">
        <f t="shared" si="1117"/>
        <v>1</v>
      </c>
      <c r="ZQ106" s="46">
        <f t="shared" si="1118"/>
        <v>2</v>
      </c>
      <c r="ZR106" s="46" cm="1">
        <f t="array" ref="ZR106">ROUND(VALUE(IFERROR(INDEX(ArchiveResults!$F$5:$IX$116,ComparisonData!A106,ComparisonData!$ZR$1),0)),5)</f>
        <v>0</v>
      </c>
      <c r="ZS106" s="56">
        <v>101</v>
      </c>
      <c r="ZT106" s="53" t="str">
        <f t="shared" si="1267"/>
        <v>University of Swansea, Richard Burton Archives</v>
      </c>
      <c r="ZU106" s="46">
        <f t="shared" si="1119"/>
        <v>0</v>
      </c>
      <c r="ZV106" s="76">
        <f t="shared" si="1120"/>
        <v>0</v>
      </c>
      <c r="ZW106" s="81" cm="1">
        <f t="array" ref="ZW106">ROUND((IFERROR(INDEX(ArchiveResults!$F$5:$IX$116,ComparisonData!A106,ComparisonData!$ZW$1),0)),5)</f>
        <v>0</v>
      </c>
      <c r="ZX106" s="81" cm="1">
        <f t="array" ref="ZX106">ROUND((IFERROR(INDEX(ArchiveResults!$F$5:$IX$116,ComparisonData!A106,ComparisonData!$ZX$1),0)),5)</f>
        <v>0</v>
      </c>
      <c r="ZY106" s="81" cm="1">
        <f t="array" ref="ZY106">ROUND((IFERROR(INDEX(ArchiveResults!$F$5:$IX$116,ComparisonData!A106,ComparisonData!$ZY$1),0)),5)</f>
        <v>0</v>
      </c>
      <c r="ZZ106" s="81" cm="1">
        <f t="array" ref="ZZ106">ROUND((IFERROR(INDEX(ArchiveResults!$F$5:$IX$116,ComparisonData!A106,ComparisonData!$ZZ$1),0)),5)</f>
        <v>0</v>
      </c>
      <c r="AAA106" s="81" cm="1">
        <f t="array" ref="AAA106">ROUND((IFERROR(INDEX(ArchiveResults!$F$5:$IX$116,ComparisonData!A106,ComparisonData!$AAA$1),0)),5)</f>
        <v>0</v>
      </c>
      <c r="AAB106" s="81" cm="1">
        <f t="array" ref="AAB106">ROUND((IFERROR(INDEX(ArchiveResults!$F$5:$IX$116,ComparisonData!A106,ComparisonData!$AAB$1),0)),5)</f>
        <v>0</v>
      </c>
      <c r="AAC106" s="81" cm="1">
        <f t="array" ref="AAC106">ROUND((IFERROR(INDEX(ArchiveResults!$F$5:$IX$116,ComparisonData!A106,ComparisonData!$AAC$1),0)),5)</f>
        <v>0</v>
      </c>
      <c r="AAD106" s="81" cm="1">
        <f t="array" ref="AAD106">ROUND((IFERROR(INDEX(ArchiveResults!$F$5:$IX$116,ComparisonData!A106,ComparisonData!$AAD$1),0)),5)</f>
        <v>0</v>
      </c>
      <c r="AAE106" s="81" cm="1">
        <f t="array" ref="AAE106">ROUND((IFERROR(INDEX(ArchiveResults!$F$5:$IX$116,ComparisonData!A106,ComparisonData!$AAE$1),0)),5)</f>
        <v>0</v>
      </c>
      <c r="AAF106" s="81" cm="1">
        <f t="array" ref="AAF106">ROUND((IFERROR(INDEX(ArchiveResults!$F$5:$IX$116,ComparisonData!A106,ComparisonData!$AAF$1),0)),5)</f>
        <v>0</v>
      </c>
      <c r="AAG106" s="46">
        <f t="shared" si="1121"/>
        <v>21</v>
      </c>
      <c r="AAH106" s="46">
        <f t="shared" si="1268"/>
        <v>2.5389999999999997</v>
      </c>
      <c r="AAI106" s="46">
        <f t="shared" si="1122"/>
        <v>1</v>
      </c>
      <c r="AAJ106" s="46">
        <f t="shared" si="1123"/>
        <v>2</v>
      </c>
      <c r="AAK106" s="46">
        <f t="shared" si="1124"/>
        <v>0</v>
      </c>
      <c r="AAL106" s="46">
        <f t="shared" si="1125"/>
        <v>0</v>
      </c>
      <c r="AAM106" s="46">
        <f t="shared" si="1126"/>
        <v>0</v>
      </c>
      <c r="AAN106" s="46">
        <f t="shared" si="1127"/>
        <v>0</v>
      </c>
      <c r="AAO106" s="46">
        <f t="shared" si="1128"/>
        <v>0</v>
      </c>
      <c r="AAP106" s="46">
        <f t="shared" si="1129"/>
        <v>0</v>
      </c>
      <c r="AAQ106" s="56">
        <v>101</v>
      </c>
      <c r="AAR106" s="53" t="str">
        <f t="shared" si="1269"/>
        <v>University of Swansea, Richard Burton Archives</v>
      </c>
      <c r="AAS106" s="60">
        <f t="shared" si="1130"/>
        <v>0</v>
      </c>
      <c r="AAT106" s="60">
        <f t="shared" si="1131"/>
        <v>0</v>
      </c>
      <c r="AAU106" s="60">
        <f t="shared" si="1132"/>
        <v>0</v>
      </c>
      <c r="AAV106" s="60">
        <f t="shared" si="1133"/>
        <v>0</v>
      </c>
      <c r="AAW106" s="60">
        <f t="shared" si="1134"/>
        <v>0</v>
      </c>
      <c r="AAX106" s="76">
        <f t="shared" si="1135"/>
        <v>0</v>
      </c>
      <c r="AAY106" s="46">
        <f t="shared" si="1136"/>
        <v>21</v>
      </c>
      <c r="AAZ106" s="46">
        <f t="shared" si="1270"/>
        <v>2.5389999999999997</v>
      </c>
      <c r="ABA106" s="46">
        <f t="shared" si="1137"/>
        <v>1</v>
      </c>
      <c r="ABB106" s="46">
        <f t="shared" si="1138"/>
        <v>2</v>
      </c>
      <c r="ABC106" s="46">
        <f t="shared" si="742"/>
        <v>0</v>
      </c>
      <c r="ABD106" s="46" cm="1">
        <f t="array" ref="ABD106">ROUND(VALUE(IFERROR(INDEX(ArchiveResults!$F$5:$IX$116,ComparisonData!A106,ComparisonData!$ABD$1),0)),5)</f>
        <v>0</v>
      </c>
      <c r="ABE106" s="46" cm="1">
        <f t="array" ref="ABE106">ROUND(VALUE(IFERROR(INDEX(ArchiveResults!$F$5:$IX$116,ComparisonData!A106,ComparisonData!$ABE$1),0)),5)</f>
        <v>0</v>
      </c>
      <c r="ABF106" s="46" cm="1">
        <f t="array" ref="ABF106">ROUND(VALUE(IFERROR(INDEX(ArchiveResults!$F$5:$IX$116,ComparisonData!A106,ComparisonData!$ABF$1),0)),5)</f>
        <v>0</v>
      </c>
      <c r="ABG106" s="46" cm="1">
        <f t="array" ref="ABG106">ROUND(VALUE(IFERROR(INDEX(ArchiveResults!$F$5:$IX$116,ComparisonData!A106,ComparisonData!$ABG$1),0)),5)</f>
        <v>0</v>
      </c>
      <c r="ABH106" s="46" cm="1">
        <f t="array" ref="ABH106">ROUND(VALUE(IFERROR(INDEX(ArchiveResults!$F$5:$IX$116,ComparisonData!A106,ComparisonData!$ABH$1),0)),5)</f>
        <v>0</v>
      </c>
      <c r="ABI106" s="56">
        <v>101</v>
      </c>
      <c r="ABJ106" s="53" t="str">
        <f t="shared" si="1271"/>
        <v>University of Swansea, Richard Burton Archives</v>
      </c>
      <c r="ABK106" s="60">
        <f t="shared" si="1139"/>
        <v>0</v>
      </c>
      <c r="ABL106" s="60">
        <f t="shared" si="1140"/>
        <v>0</v>
      </c>
      <c r="ABM106" s="60">
        <f t="shared" si="1141"/>
        <v>0</v>
      </c>
      <c r="ABN106" s="60">
        <f t="shared" si="1142"/>
        <v>0</v>
      </c>
      <c r="ABO106" s="60">
        <f t="shared" si="1143"/>
        <v>0</v>
      </c>
      <c r="ABP106" s="76">
        <f t="shared" si="1144"/>
        <v>0</v>
      </c>
      <c r="ABQ106" s="46">
        <f t="shared" si="1145"/>
        <v>21</v>
      </c>
      <c r="ABR106" s="46">
        <f t="shared" si="1272"/>
        <v>2.5389999999999997</v>
      </c>
      <c r="ABS106" s="46">
        <f t="shared" si="1146"/>
        <v>1</v>
      </c>
      <c r="ABT106" s="46">
        <f t="shared" si="1147"/>
        <v>2</v>
      </c>
      <c r="ABU106" s="46" cm="1">
        <f t="array" ref="ABU106">ROUND(VALUE(IFERROR(INDEX(ArchiveResults!$F$5:$IX$116,ComparisonData!A106,ComparisonData!$ABU$1),0)),5)</f>
        <v>0</v>
      </c>
      <c r="ABV106" s="46" cm="1">
        <f t="array" ref="ABV106">ROUND(VALUE(IFERROR(INDEX(ArchiveResults!$F$5:$IX$116,ComparisonData!A106,ComparisonData!$ABV$1),0)),5)</f>
        <v>0</v>
      </c>
      <c r="ABW106" s="46" cm="1">
        <f t="array" ref="ABW106">ROUND(VALUE(IFERROR(INDEX(ArchiveResults!$F$5:$IX$116,ComparisonData!A106,ComparisonData!$ABW$1),0)),5)</f>
        <v>0</v>
      </c>
      <c r="ABX106" s="46" cm="1">
        <f t="array" ref="ABX106">ROUND(VALUE(IFERROR(INDEX(ArchiveResults!$F$5:$IX$116,ComparisonData!A106,ComparisonData!$ABX$1),0)),5)</f>
        <v>0</v>
      </c>
      <c r="ABY106" s="46" cm="1">
        <f t="array" ref="ABY106">ROUND(VALUE(IFERROR(INDEX(ArchiveResults!$F$5:$IX$116,ComparisonData!A106,ComparisonData!$ABY$1),0)),5)</f>
        <v>0</v>
      </c>
      <c r="ABZ106" s="56">
        <v>101</v>
      </c>
      <c r="ACA106" s="53" t="str">
        <f t="shared" si="1273"/>
        <v>University of Swansea, Richard Burton Archives</v>
      </c>
      <c r="ACB106" s="60">
        <f t="shared" si="1148"/>
        <v>0</v>
      </c>
      <c r="ACC106" s="60">
        <f t="shared" si="1149"/>
        <v>0</v>
      </c>
      <c r="ACD106" s="60">
        <f t="shared" si="1150"/>
        <v>0</v>
      </c>
      <c r="ACE106" s="60">
        <f t="shared" si="1151"/>
        <v>0</v>
      </c>
      <c r="ACF106" s="60">
        <f t="shared" si="1152"/>
        <v>0</v>
      </c>
      <c r="ACG106" s="76">
        <f t="shared" si="1153"/>
        <v>0</v>
      </c>
      <c r="ACH106" s="46">
        <f t="shared" si="1154"/>
        <v>21</v>
      </c>
      <c r="ACI106" s="46">
        <f t="shared" si="1274"/>
        <v>2.5389999999999997</v>
      </c>
      <c r="ACJ106" s="46">
        <f t="shared" si="1155"/>
        <v>1</v>
      </c>
      <c r="ACK106" s="46">
        <f t="shared" si="1156"/>
        <v>2</v>
      </c>
      <c r="ACL106" s="46">
        <f t="shared" si="1157"/>
        <v>0</v>
      </c>
      <c r="ACM106" s="46" cm="1">
        <f t="array" ref="ACM106">ROUND(IFERROR(INDEX(ArchiveResults!$F$5:$IX$116,ComparisonData!A106,ComparisonData!$ACM$1),0),5)</f>
        <v>0</v>
      </c>
      <c r="ACN106" s="46" cm="1">
        <f t="array" ref="ACN106">ROUND(IFERROR(INDEX(ArchiveResults!$F$5:$IX$116,ComparisonData!A106,ComparisonData!$ACN$1),0),5)</f>
        <v>0</v>
      </c>
      <c r="ACO106" s="56">
        <v>101</v>
      </c>
      <c r="ACP106" s="53" t="str">
        <f t="shared" si="1275"/>
        <v>University of Swansea, Richard Burton Archives</v>
      </c>
      <c r="ACQ106" s="60">
        <f t="shared" si="1158"/>
        <v>0</v>
      </c>
      <c r="ACR106" s="60">
        <f t="shared" si="1159"/>
        <v>0</v>
      </c>
      <c r="ACS106" s="76">
        <f t="shared" si="1160"/>
        <v>0</v>
      </c>
      <c r="ACT106" s="46">
        <f t="shared" si="1161"/>
        <v>21</v>
      </c>
      <c r="ACU106" s="46">
        <f t="shared" si="1276"/>
        <v>2.5389999999999997</v>
      </c>
      <c r="ACV106" s="46">
        <f t="shared" si="1162"/>
        <v>1</v>
      </c>
      <c r="ACW106" s="46">
        <f t="shared" si="1163"/>
        <v>2</v>
      </c>
      <c r="ACX106" s="46">
        <f t="shared" si="1164"/>
        <v>0</v>
      </c>
      <c r="ACY106" s="46" cm="1">
        <f t="array" ref="ACY106">ROUNDDOWN(IFERROR(INDEX(ArchiveResults!$F$5:$IX$116,ComparisonData!A106,ComparisonData!$ACY$1),0),5)</f>
        <v>0</v>
      </c>
      <c r="ACZ106" s="46" cm="1">
        <f t="array" ref="ACZ106">ROUNDDOWN(IFERROR(INDEX(ArchiveResults!$F$5:$IX$116,ComparisonData!A106,ComparisonData!$ACZ$1),0),5)</f>
        <v>0</v>
      </c>
      <c r="ADA106" s="46" cm="1">
        <f t="array" ref="ADA106">ROUNDDOWN(IFERROR(INDEX(ArchiveResults!$F$5:$IX$116,ComparisonData!A106,ComparisonData!$ADA$1),0),5)</f>
        <v>0</v>
      </c>
      <c r="ADB106" s="56">
        <v>101</v>
      </c>
      <c r="ADC106" s="53" t="str">
        <f t="shared" si="1277"/>
        <v>University of Swansea, Richard Burton Archives</v>
      </c>
      <c r="ADD106" s="60">
        <f t="shared" si="1165"/>
        <v>0</v>
      </c>
      <c r="ADE106" s="60">
        <f t="shared" si="1166"/>
        <v>0</v>
      </c>
      <c r="ADF106" s="60">
        <f t="shared" si="1167"/>
        <v>0</v>
      </c>
      <c r="ADG106" s="76">
        <f t="shared" si="1168"/>
        <v>0</v>
      </c>
    </row>
    <row r="107" spans="1:787" x14ac:dyDescent="0.25">
      <c r="A107" s="46" t="str">
        <f>IF(ISBLANK(ComparisonSelection!F103),"",ROW()-5)</f>
        <v/>
      </c>
      <c r="B107" s="53" t="s">
        <v>558</v>
      </c>
      <c r="C107" s="72">
        <v>0.78899999999999981</v>
      </c>
      <c r="D107" s="55">
        <f t="shared" si="750"/>
        <v>71</v>
      </c>
      <c r="E107" s="54">
        <f t="shared" si="751"/>
        <v>2.7889999999999997</v>
      </c>
      <c r="F107" s="54">
        <f t="shared" si="752"/>
        <v>1</v>
      </c>
      <c r="G107" s="72">
        <f t="shared" si="753"/>
        <v>2</v>
      </c>
      <c r="H107" s="72">
        <f t="shared" si="754"/>
        <v>0</v>
      </c>
      <c r="I107" s="46" cm="1">
        <f t="array" ref="I107">ROUND(IFERROR(INDEX(ArchiveResults!$F$5:$IX$116,ComparisonData!A107,ComparisonData!$I$1),0),5)</f>
        <v>0</v>
      </c>
      <c r="J107" s="46" cm="1">
        <f t="array" ref="J107">ROUND(IFERROR(INDEX(ArchiveResults!$F$5:$IX$116,ComparisonData!A107,ComparisonData!$J$1),0),5)</f>
        <v>0</v>
      </c>
      <c r="K107" s="56">
        <v>102</v>
      </c>
      <c r="L107" s="53" t="str">
        <f t="shared" si="755"/>
        <v>University of Warwick, Modern Records Centre</v>
      </c>
      <c r="M107" s="57">
        <f t="shared" si="1169"/>
        <v>0</v>
      </c>
      <c r="N107" s="57">
        <f t="shared" si="1170"/>
        <v>0</v>
      </c>
      <c r="O107" s="58">
        <f t="shared" si="756"/>
        <v>0</v>
      </c>
      <c r="P107" s="48">
        <f t="shared" si="757"/>
        <v>71</v>
      </c>
      <c r="Q107" s="54">
        <f t="shared" si="1171"/>
        <v>2.7889999999999997</v>
      </c>
      <c r="R107" s="45">
        <f t="shared" si="758"/>
        <v>1</v>
      </c>
      <c r="S107" s="46">
        <f t="shared" si="759"/>
        <v>2</v>
      </c>
      <c r="T107" s="72">
        <f t="shared" si="760"/>
        <v>0</v>
      </c>
      <c r="U107" s="46" cm="1">
        <f t="array" ref="U107">ROUND(IFERROR(INDEX(ArchiveResults!$F$5:$IX$116,ComparisonData!A107,ComparisonData!$U$1),0),5)</f>
        <v>0</v>
      </c>
      <c r="V107" s="46" cm="1">
        <f t="array" ref="V107">ROUND(IFERROR(INDEX(ArchiveResults!$F$5:$IX$116,ComparisonData!A107,ComparisonData!$V$1),0),5)</f>
        <v>0</v>
      </c>
      <c r="W107" s="56">
        <v>102</v>
      </c>
      <c r="X107" s="53" t="str">
        <f t="shared" si="1172"/>
        <v>University of Warwick, Modern Records Centre</v>
      </c>
      <c r="Y107" s="57">
        <f t="shared" si="761"/>
        <v>0</v>
      </c>
      <c r="Z107" s="57">
        <f t="shared" si="762"/>
        <v>0</v>
      </c>
      <c r="AA107" s="58">
        <f t="shared" si="763"/>
        <v>0</v>
      </c>
      <c r="AB107" s="45">
        <f t="shared" si="764"/>
        <v>71</v>
      </c>
      <c r="AC107" s="54">
        <f t="shared" si="1173"/>
        <v>2.7889999999999997</v>
      </c>
      <c r="AD107" s="45">
        <f t="shared" si="765"/>
        <v>1</v>
      </c>
      <c r="AE107" s="45">
        <f t="shared" si="766"/>
        <v>2</v>
      </c>
      <c r="AF107" s="45">
        <f t="shared" si="639"/>
        <v>0</v>
      </c>
      <c r="AG107" s="46" cm="1">
        <f t="array" ref="AG107">ROUND(IFERROR(INDEX(ArchiveResults!$F$5:$IX$116,ComparisonData!A107,ComparisonData!$AG$1),0),5)</f>
        <v>0</v>
      </c>
      <c r="AH107" s="46" cm="1">
        <f t="array" ref="AH107">ROUND(IFERROR(INDEX(ArchiveResults!$F$5:$IX$116,ComparisonData!A107,ComparisonData!$AH$1),0),5)</f>
        <v>0</v>
      </c>
      <c r="AI107" s="56">
        <v>102</v>
      </c>
      <c r="AJ107" s="53" t="str">
        <f t="shared" si="1174"/>
        <v>University of Warwick, Modern Records Centre</v>
      </c>
      <c r="AK107" s="59">
        <f t="shared" si="1175"/>
        <v>0</v>
      </c>
      <c r="AL107" s="59">
        <f t="shared" si="1176"/>
        <v>0</v>
      </c>
      <c r="AM107" s="58">
        <f t="shared" si="767"/>
        <v>0</v>
      </c>
      <c r="AN107" s="45">
        <f t="shared" si="768"/>
        <v>71</v>
      </c>
      <c r="AO107" s="54">
        <f t="shared" si="1177"/>
        <v>2.7889999999999997</v>
      </c>
      <c r="AP107" s="45">
        <f t="shared" si="769"/>
        <v>1</v>
      </c>
      <c r="AQ107" s="45">
        <f t="shared" si="770"/>
        <v>2</v>
      </c>
      <c r="AR107" s="46" cm="1">
        <f t="array" ref="AR107">ROUND(IFERROR(INDEX(ArchiveResults!$F$5:$IX$116,ComparisonData!A107,ComparisonData!$AR$1),0),5)</f>
        <v>0</v>
      </c>
      <c r="AS107" s="46" cm="1">
        <f t="array" ref="AS107">ROUND(IFERROR(INDEX(ArchiveResults!$F$5:$IX$116,ComparisonData!A107,ComparisonData!$AS$1),0),5)</f>
        <v>0</v>
      </c>
      <c r="AT107" s="46" cm="1">
        <f t="array" ref="AT107">ROUND(IFERROR(INDEX(ArchiveResults!$F$5:$IX$116,ComparisonData!A107,ComparisonData!$AT$1),0),5)</f>
        <v>0</v>
      </c>
      <c r="AU107" s="46" cm="1">
        <f t="array" ref="AU107">ROUND(IFERROR(INDEX(ArchiveResults!$F$5:$IX$116,ComparisonData!A107,ComparisonData!$AU$1),0),5)</f>
        <v>0</v>
      </c>
      <c r="AV107" s="46" cm="1">
        <f t="array" ref="AV107">ROUND(IFERROR(INDEX(ArchiveResults!$F$5:$IX$116,ComparisonData!A107,ComparisonData!$AV$1),0),5)</f>
        <v>0</v>
      </c>
      <c r="AW107" s="46" cm="1">
        <f t="array" ref="AW107">ROUND(IFERROR(INDEX(ArchiveResults!$F$5:$IX$116,ComparisonData!A107,ComparisonData!$AW$1),0),5)</f>
        <v>0</v>
      </c>
      <c r="AX107" s="46" cm="1">
        <f t="array" ref="AX107">ROUND(IFERROR(INDEX(ArchiveResults!$F$5:$IX$116,ComparisonData!A107,ComparisonData!$AX$1),0),5)</f>
        <v>0</v>
      </c>
      <c r="AY107" s="46" cm="1">
        <f t="array" ref="AY107">ROUND(IFERROR(INDEX(ArchiveResults!$F$5:$IX$116,ComparisonData!A107,ComparisonData!$AY$1),0),5)</f>
        <v>0</v>
      </c>
      <c r="AZ107" s="46" cm="1">
        <f t="array" ref="AZ107">ROUND(IFERROR(INDEX(ArchiveResults!$F$5:$IX$116,ComparisonData!A107,ComparisonData!$AZ$1),0),5)</f>
        <v>0</v>
      </c>
      <c r="BA107" s="46" cm="1">
        <f t="array" ref="BA107">ROUND(IFERROR(INDEX(ArchiveResults!$F$5:$IX$116,ComparisonData!A107,ComparisonData!$BA$1),0),5)</f>
        <v>0</v>
      </c>
      <c r="BB107" s="56">
        <v>102</v>
      </c>
      <c r="BC107" s="53" t="str">
        <f t="shared" si="1178"/>
        <v>University of Warwick, Modern Records Centre</v>
      </c>
      <c r="BD107" s="60">
        <f t="shared" si="771"/>
        <v>0</v>
      </c>
      <c r="BE107" s="60">
        <f t="shared" si="772"/>
        <v>0</v>
      </c>
      <c r="BF107" s="60">
        <f t="shared" si="773"/>
        <v>0</v>
      </c>
      <c r="BG107" s="60">
        <f t="shared" si="774"/>
        <v>0</v>
      </c>
      <c r="BH107" s="60">
        <f t="shared" si="775"/>
        <v>0</v>
      </c>
      <c r="BI107" s="60">
        <f t="shared" si="776"/>
        <v>0</v>
      </c>
      <c r="BJ107" s="60">
        <f t="shared" si="777"/>
        <v>0</v>
      </c>
      <c r="BK107" s="60">
        <f t="shared" si="778"/>
        <v>0</v>
      </c>
      <c r="BL107" s="60">
        <f t="shared" si="779"/>
        <v>0</v>
      </c>
      <c r="BM107" s="59">
        <f t="shared" si="780"/>
        <v>0</v>
      </c>
      <c r="BN107" s="58">
        <f t="shared" si="781"/>
        <v>0</v>
      </c>
      <c r="BO107" s="45">
        <f t="shared" si="782"/>
        <v>71</v>
      </c>
      <c r="BP107" s="54">
        <f t="shared" si="1179"/>
        <v>2.7889999999999997</v>
      </c>
      <c r="BQ107" s="45">
        <f t="shared" si="783"/>
        <v>1</v>
      </c>
      <c r="BR107" s="45">
        <f t="shared" si="784"/>
        <v>2</v>
      </c>
      <c r="BS107" s="46" cm="1">
        <f t="array" ref="BS107">ROUND(IFERROR(INDEX(ArchiveResults!$F$5:$IX$116,ComparisonData!A107,ComparisonData!$BS$1),0),5)</f>
        <v>0</v>
      </c>
      <c r="BT107" s="46" cm="1">
        <f t="array" ref="BT107">ROUND(IFERROR(INDEX(ArchiveResults!$F$5:$IX$116,ComparisonData!A107,ComparisonData!$BT$1),0),5)</f>
        <v>0</v>
      </c>
      <c r="BU107" s="46" cm="1">
        <f t="array" ref="BU107">ROUND(IFERROR(INDEX(ArchiveResults!$F$5:$IX$116,ComparisonData!A107,ComparisonData!$BU$1),0),5)</f>
        <v>0</v>
      </c>
      <c r="BV107" s="46" cm="1">
        <f t="array" ref="BV107">ROUND(IFERROR(INDEX(ArchiveResults!$F$5:$IX$116,ComparisonData!A107,ComparisonData!$BV$1),0),5)</f>
        <v>0</v>
      </c>
      <c r="BW107" s="46" cm="1">
        <f t="array" ref="BW107">ROUND(IFERROR(INDEX(ArchiveResults!$F$5:$IX$116,ComparisonData!A107,ComparisonData!$BW$1),0),5)</f>
        <v>0</v>
      </c>
      <c r="BX107" s="46" cm="1">
        <f t="array" ref="BX107">ROUND(IFERROR(INDEX(ArchiveResults!$F$5:$IX$116,ComparisonData!A107,ComparisonData!$BX$1),0),5)</f>
        <v>0</v>
      </c>
      <c r="BY107" s="56">
        <v>102</v>
      </c>
      <c r="BZ107" s="53" t="str">
        <f t="shared" si="1180"/>
        <v>University of Warwick, Modern Records Centre</v>
      </c>
      <c r="CA107" s="59">
        <f t="shared" si="785"/>
        <v>0</v>
      </c>
      <c r="CB107" s="59">
        <f t="shared" si="786"/>
        <v>0</v>
      </c>
      <c r="CC107" s="59">
        <f t="shared" si="787"/>
        <v>0</v>
      </c>
      <c r="CD107" s="59">
        <f t="shared" si="788"/>
        <v>0</v>
      </c>
      <c r="CE107" s="59">
        <f t="shared" si="789"/>
        <v>0</v>
      </c>
      <c r="CF107" s="59">
        <f t="shared" si="790"/>
        <v>0</v>
      </c>
      <c r="CG107" s="58">
        <f t="shared" si="791"/>
        <v>0</v>
      </c>
      <c r="CH107" s="45">
        <f t="shared" si="792"/>
        <v>71</v>
      </c>
      <c r="CI107" s="54">
        <f t="shared" si="1181"/>
        <v>2.7889999999999997</v>
      </c>
      <c r="CJ107" s="45">
        <f t="shared" si="793"/>
        <v>1</v>
      </c>
      <c r="CK107" s="45">
        <f t="shared" si="794"/>
        <v>2</v>
      </c>
      <c r="CL107" s="46" cm="1">
        <f t="array" ref="CL107">ROUND(IFERROR(INDEX(ArchiveResults!$F$5:$IX$116,ComparisonData!A107,ComparisonData!$CL$1),0),5)</f>
        <v>0</v>
      </c>
      <c r="CM107" s="56">
        <v>102</v>
      </c>
      <c r="CN107" s="53" t="str">
        <f t="shared" si="1182"/>
        <v>University of Warwick, Modern Records Centre</v>
      </c>
      <c r="CO107" s="45">
        <f t="shared" si="795"/>
        <v>0</v>
      </c>
      <c r="CP107" s="58">
        <f t="shared" si="796"/>
        <v>0</v>
      </c>
      <c r="CQ107" s="45">
        <f t="shared" si="797"/>
        <v>71</v>
      </c>
      <c r="CR107" s="54">
        <f t="shared" si="1183"/>
        <v>2.7889999999999997</v>
      </c>
      <c r="CS107" s="45">
        <f t="shared" si="798"/>
        <v>1</v>
      </c>
      <c r="CT107" s="45">
        <f t="shared" si="799"/>
        <v>2</v>
      </c>
      <c r="CU107" s="46" cm="1">
        <f t="array" ref="CU107">ROUND(IFERROR(INDEX(ArchiveResults!$F$5:$IX$116,ComparisonData!A107,ComparisonData!$CU$1),0),5)</f>
        <v>0</v>
      </c>
      <c r="CV107" s="56">
        <v>102</v>
      </c>
      <c r="CW107" s="53" t="str">
        <f t="shared" si="1184"/>
        <v>University of Warwick, Modern Records Centre</v>
      </c>
      <c r="CX107" s="45">
        <f t="shared" si="800"/>
        <v>0</v>
      </c>
      <c r="CY107" s="58">
        <f t="shared" si="801"/>
        <v>0</v>
      </c>
      <c r="CZ107" s="45">
        <f t="shared" si="802"/>
        <v>71</v>
      </c>
      <c r="DA107" s="54">
        <f t="shared" si="1185"/>
        <v>2.7889999999999997</v>
      </c>
      <c r="DB107" s="45">
        <f t="shared" si="803"/>
        <v>1</v>
      </c>
      <c r="DC107" s="45">
        <f t="shared" si="804"/>
        <v>2</v>
      </c>
      <c r="DD107" s="46" cm="1">
        <f t="array" ref="DD107">ROUND(IFERROR(INDEX(ArchiveResults!$F$5:$IX$116,ComparisonData!A107,ComparisonData!$DD$1),0),5)</f>
        <v>0</v>
      </c>
      <c r="DE107" s="56">
        <v>102</v>
      </c>
      <c r="DF107" s="53" t="str">
        <f t="shared" si="1186"/>
        <v>University of Warwick, Modern Records Centre</v>
      </c>
      <c r="DG107" s="45">
        <f t="shared" si="805"/>
        <v>0</v>
      </c>
      <c r="DH107" s="58">
        <f t="shared" si="806"/>
        <v>0</v>
      </c>
      <c r="DI107" s="45">
        <f t="shared" si="807"/>
        <v>71</v>
      </c>
      <c r="DJ107" s="54">
        <f t="shared" si="1187"/>
        <v>2.7889999999999997</v>
      </c>
      <c r="DK107" s="45">
        <f t="shared" si="808"/>
        <v>1</v>
      </c>
      <c r="DL107" s="45">
        <f t="shared" si="809"/>
        <v>2</v>
      </c>
      <c r="DM107" s="46" cm="1">
        <f t="array" ref="DM107">ROUND(IFERROR(INDEX(ArchiveResults!$F$5:$IX$116,ComparisonData!A107,ComparisonData!$DM$1),0),5)</f>
        <v>0</v>
      </c>
      <c r="DN107" s="46" cm="1">
        <f t="array" ref="DN107">ROUND(IFERROR(INDEX(ArchiveResults!$F$5:$IX$116,ComparisonData!A107,ComparisonData!$DN$1),0),5)</f>
        <v>0</v>
      </c>
      <c r="DO107" s="46" cm="1">
        <f t="array" ref="DO107">ROUND(IFERROR(INDEX(ArchiveResults!$F$5:$IX$116,ComparisonData!A107,ComparisonData!$DO$1),0),5)</f>
        <v>0</v>
      </c>
      <c r="DP107" s="46" cm="1">
        <f t="array" ref="DP107">ROUND(IFERROR(INDEX(ArchiveResults!$F$5:$IX$116,ComparisonData!A107,ComparisonData!$DP$1),0),5)</f>
        <v>0</v>
      </c>
      <c r="DQ107" s="45" cm="1">
        <f t="array" ref="DQ107">IFERROR(INDEX(ArchiveResults!$F$5:$IX$116,ComparisonData!A107,ComparisonData!$DQ$1),0)</f>
        <v>0</v>
      </c>
      <c r="DR107" s="56">
        <v>102</v>
      </c>
      <c r="DS107" s="53" t="str">
        <f t="shared" si="1188"/>
        <v>University of Warwick, Modern Records Centre</v>
      </c>
      <c r="DT107" s="59">
        <f t="shared" si="810"/>
        <v>0</v>
      </c>
      <c r="DU107" s="59">
        <f t="shared" si="811"/>
        <v>0</v>
      </c>
      <c r="DV107" s="59">
        <f t="shared" si="812"/>
        <v>0</v>
      </c>
      <c r="DW107" s="59">
        <f t="shared" si="813"/>
        <v>0</v>
      </c>
      <c r="DX107" s="59">
        <f t="shared" si="814"/>
        <v>0</v>
      </c>
      <c r="DY107" s="58">
        <f t="shared" si="815"/>
        <v>0</v>
      </c>
      <c r="DZ107" s="45">
        <f t="shared" si="816"/>
        <v>71</v>
      </c>
      <c r="EA107" s="54">
        <f t="shared" si="1189"/>
        <v>2.7889999999999997</v>
      </c>
      <c r="EB107" s="45">
        <f t="shared" si="817"/>
        <v>1</v>
      </c>
      <c r="EC107" s="45">
        <f t="shared" si="818"/>
        <v>2</v>
      </c>
      <c r="ED107" s="46" cm="1">
        <f t="array" ref="ED107">ROUND(IFERROR(INDEX(ArchiveResults!$F$5:$IX$116,ComparisonData!A107,ComparisonData!$ED$1),0),5)</f>
        <v>0</v>
      </c>
      <c r="EE107" s="46" cm="1">
        <f t="array" ref="EE107">ROUND(IFERROR(INDEX(ArchiveResults!$F$5:$IX$116,ComparisonData!A107,ComparisonData!$EE$1),0),5)</f>
        <v>0</v>
      </c>
      <c r="EF107" s="46" cm="1">
        <f t="array" ref="EF107">ROUND(IFERROR(INDEX(ArchiveResults!$F$5:$IX$116,ComparisonData!A107,ComparisonData!$EF$1),0),5)</f>
        <v>0</v>
      </c>
      <c r="EG107" s="46" cm="1">
        <f t="array" ref="EG107">ROUND(IFERROR(INDEX(ArchiveResults!$F$5:$IX$116,ComparisonData!A107,ComparisonData!$EG$1),0),5)</f>
        <v>0</v>
      </c>
      <c r="EH107" s="45" cm="1">
        <f t="array" ref="EH107">IFERROR(INDEX(ArchiveResults!$F$5:$IX$116,ComparisonData!A107,ComparisonData!$EH$1),0)</f>
        <v>0</v>
      </c>
      <c r="EI107" s="56">
        <v>102</v>
      </c>
      <c r="EJ107" s="53" t="str">
        <f t="shared" si="1190"/>
        <v>University of Warwick, Modern Records Centre</v>
      </c>
      <c r="EK107" s="59">
        <f t="shared" si="819"/>
        <v>0</v>
      </c>
      <c r="EL107" s="59">
        <f t="shared" si="820"/>
        <v>0</v>
      </c>
      <c r="EM107" s="59">
        <f t="shared" si="821"/>
        <v>0</v>
      </c>
      <c r="EN107" s="59">
        <f t="shared" si="822"/>
        <v>0</v>
      </c>
      <c r="EO107" s="59">
        <f t="shared" si="823"/>
        <v>0</v>
      </c>
      <c r="EP107" s="58">
        <f t="shared" si="824"/>
        <v>0</v>
      </c>
      <c r="EQ107" s="45">
        <f t="shared" si="825"/>
        <v>71</v>
      </c>
      <c r="ER107" s="54">
        <f t="shared" si="1191"/>
        <v>2.7889999999999997</v>
      </c>
      <c r="ES107" s="45">
        <f t="shared" si="826"/>
        <v>1</v>
      </c>
      <c r="ET107" s="45">
        <f t="shared" si="827"/>
        <v>2</v>
      </c>
      <c r="EU107" s="46" cm="1">
        <f t="array" ref="EU107">ROUND(IFERROR(INDEX(ArchiveResults!$F$5:$IX$116,ComparisonData!A107,ComparisonData!$EU$1),0),5)</f>
        <v>0</v>
      </c>
      <c r="EV107" s="46" cm="1">
        <f t="array" ref="EV107">ROUND(IFERROR(INDEX(ArchiveResults!$F$5:$IX$116,ComparisonData!A107,ComparisonData!$EV$1),0),5)</f>
        <v>0</v>
      </c>
      <c r="EW107" s="46" cm="1">
        <f t="array" ref="EW107">ROUND(IFERROR(INDEX(ArchiveResults!$F$5:$IX$116,ComparisonData!A107,ComparisonData!$EW$1),0),5)</f>
        <v>0</v>
      </c>
      <c r="EX107" s="46" cm="1">
        <f t="array" ref="EX107">ROUND(IFERROR(INDEX(ArchiveResults!$F$5:$IX$116,ComparisonData!A107,ComparisonData!$EX$1),0),5)</f>
        <v>0</v>
      </c>
      <c r="EY107" s="45" cm="1">
        <f t="array" ref="EY107">IFERROR(INDEX(ArchiveResults!$F$5:$IX$116,ComparisonData!A107,ComparisonData!$EY$1),0)</f>
        <v>0</v>
      </c>
      <c r="EZ107" s="56">
        <v>102</v>
      </c>
      <c r="FA107" s="53" t="str">
        <f t="shared" si="1192"/>
        <v>University of Warwick, Modern Records Centre</v>
      </c>
      <c r="FB107" s="59">
        <f t="shared" si="828"/>
        <v>0</v>
      </c>
      <c r="FC107" s="59">
        <f t="shared" si="829"/>
        <v>0</v>
      </c>
      <c r="FD107" s="59">
        <f t="shared" si="830"/>
        <v>0</v>
      </c>
      <c r="FE107" s="59">
        <f t="shared" si="831"/>
        <v>0</v>
      </c>
      <c r="FF107" s="59">
        <f t="shared" si="832"/>
        <v>0</v>
      </c>
      <c r="FG107" s="58">
        <f t="shared" si="833"/>
        <v>0</v>
      </c>
      <c r="FH107" s="45">
        <f t="shared" si="834"/>
        <v>71</v>
      </c>
      <c r="FI107" s="54">
        <f t="shared" si="1193"/>
        <v>2.7889999999999997</v>
      </c>
      <c r="FJ107" s="45">
        <f t="shared" si="835"/>
        <v>1</v>
      </c>
      <c r="FK107" s="45">
        <f t="shared" si="836"/>
        <v>2</v>
      </c>
      <c r="FL107" s="46" cm="1">
        <f t="array" ref="FL107">ROUND(IFERROR(INDEX(ArchiveResults!$F$5:$IX$116,ComparisonData!A107,ComparisonData!$FL$1),0),5)</f>
        <v>0</v>
      </c>
      <c r="FM107" s="46" cm="1">
        <f t="array" ref="FM107">ROUND(IFERROR(INDEX(ArchiveResults!$F$5:$IX$116,ComparisonData!A107,ComparisonData!$FM$1),0),5)</f>
        <v>0</v>
      </c>
      <c r="FN107" s="46" cm="1">
        <f t="array" ref="FN107">ROUND(IFERROR(INDEX(ArchiveResults!$F$5:$IX$116,ComparisonData!A107,ComparisonData!$FN$1),0),5)</f>
        <v>0</v>
      </c>
      <c r="FO107" s="46" cm="1">
        <f t="array" ref="FO107">ROUND(IFERROR(INDEX(ArchiveResults!$F$5:$IX$116,ComparisonData!A107,ComparisonData!$FO$1),0),5)</f>
        <v>0</v>
      </c>
      <c r="FP107" s="45" cm="1">
        <f t="array" ref="FP107">IFERROR(INDEX(ArchiveResults!$F$5:$IX$116,ComparisonData!A107,ComparisonData!$FP$1),0)</f>
        <v>0</v>
      </c>
      <c r="FQ107" s="56">
        <v>102</v>
      </c>
      <c r="FR107" s="53" t="str">
        <f t="shared" si="1194"/>
        <v>University of Warwick, Modern Records Centre</v>
      </c>
      <c r="FS107" s="59">
        <f t="shared" si="837"/>
        <v>0</v>
      </c>
      <c r="FT107" s="59">
        <f t="shared" si="838"/>
        <v>0</v>
      </c>
      <c r="FU107" s="59">
        <f t="shared" si="839"/>
        <v>0</v>
      </c>
      <c r="FV107" s="59">
        <f t="shared" si="840"/>
        <v>0</v>
      </c>
      <c r="FW107" s="59">
        <f t="shared" si="841"/>
        <v>0</v>
      </c>
      <c r="FX107" s="58">
        <f t="shared" si="842"/>
        <v>0</v>
      </c>
      <c r="FY107" s="45">
        <f t="shared" si="843"/>
        <v>71</v>
      </c>
      <c r="FZ107" s="45">
        <f t="shared" si="1195"/>
        <v>2.7889999999999997</v>
      </c>
      <c r="GA107" s="45">
        <f t="shared" si="844"/>
        <v>1</v>
      </c>
      <c r="GB107" s="45">
        <f t="shared" si="845"/>
        <v>2</v>
      </c>
      <c r="GC107" s="46" cm="1">
        <f t="array" ref="GC107">ROUND(IFERROR(INDEX(ArchiveResults!$F$5:$IX$116,ComparisonData!A107,ComparisonData!$GC$1),0),5)</f>
        <v>0</v>
      </c>
      <c r="GD107" s="46" cm="1">
        <f t="array" ref="GD107">ROUND(IFERROR(INDEX(ArchiveResults!$F$5:$IX$116,ComparisonData!A107,ComparisonData!$GD$1),0),5)</f>
        <v>0</v>
      </c>
      <c r="GE107" s="46" cm="1">
        <f t="array" ref="GE107">ROUND(IFERROR(INDEX(ArchiveResults!$F$5:$IX$116,ComparisonData!A107,ComparisonData!$GE$1),0),5)</f>
        <v>0</v>
      </c>
      <c r="GF107" s="46" cm="1">
        <f t="array" ref="GF107">ROUND(IFERROR(INDEX(ArchiveResults!$F$5:$IX$116,ComparisonData!A107,ComparisonData!$GF$1),0),5)</f>
        <v>0</v>
      </c>
      <c r="GG107" s="45" cm="1">
        <f t="array" ref="GG107">IFERROR(INDEX(ArchiveResults!$F$5:$IX$116,ComparisonData!A107,ComparisonData!$GG$1),0)</f>
        <v>0</v>
      </c>
      <c r="GH107" s="56">
        <v>102</v>
      </c>
      <c r="GI107" s="53" t="str">
        <f t="shared" si="1196"/>
        <v>University of Warwick, Modern Records Centre</v>
      </c>
      <c r="GJ107" s="59">
        <f t="shared" si="846"/>
        <v>0</v>
      </c>
      <c r="GK107" s="59">
        <f t="shared" si="847"/>
        <v>0</v>
      </c>
      <c r="GL107" s="59">
        <f t="shared" si="848"/>
        <v>0</v>
      </c>
      <c r="GM107" s="59">
        <f t="shared" si="849"/>
        <v>0</v>
      </c>
      <c r="GN107" s="59">
        <f t="shared" si="850"/>
        <v>0</v>
      </c>
      <c r="GO107" s="58">
        <f t="shared" si="851"/>
        <v>0</v>
      </c>
      <c r="GP107" s="45">
        <f t="shared" si="852"/>
        <v>71</v>
      </c>
      <c r="GQ107" s="45">
        <f t="shared" si="1197"/>
        <v>2.7889999999999997</v>
      </c>
      <c r="GR107" s="45">
        <f t="shared" si="853"/>
        <v>1</v>
      </c>
      <c r="GS107" s="45">
        <f t="shared" si="854"/>
        <v>2</v>
      </c>
      <c r="GT107" s="46" cm="1">
        <f t="array" ref="GT107">ROUND(IFERROR(INDEX(ArchiveResults!$F$5:$IX$116,ComparisonData!A107,ComparisonData!$GT$1),0),5)</f>
        <v>0</v>
      </c>
      <c r="GU107" s="46" cm="1">
        <f t="array" ref="GU107">ROUND(IFERROR(INDEX(ArchiveResults!$F$5:$IX$116,ComparisonData!A107,ComparisonData!$GU$1),0),5)</f>
        <v>0</v>
      </c>
      <c r="GV107" s="46" cm="1">
        <f t="array" ref="GV107">ROUND(IFERROR(INDEX(ArchiveResults!$F$5:$IX$116,ComparisonData!A107,ComparisonData!$GV$1),0),5)</f>
        <v>0</v>
      </c>
      <c r="GW107" s="46" cm="1">
        <f t="array" ref="GW107">ROUND(IFERROR(INDEX(ArchiveResults!$F$5:$IX$116,ComparisonData!A107,ComparisonData!$GW$1),0),5)</f>
        <v>0</v>
      </c>
      <c r="GX107" s="45" cm="1">
        <f t="array" ref="GX107">IFERROR(INDEX(ArchiveResults!$F$5:$IX$116,ComparisonData!A107,ComparisonData!$GX$1),0)</f>
        <v>0</v>
      </c>
      <c r="GY107" s="56">
        <v>102</v>
      </c>
      <c r="GZ107" s="53" t="str">
        <f t="shared" si="1198"/>
        <v>University of Warwick, Modern Records Centre</v>
      </c>
      <c r="HA107" s="59">
        <f t="shared" si="855"/>
        <v>0</v>
      </c>
      <c r="HB107" s="59">
        <f t="shared" si="856"/>
        <v>0</v>
      </c>
      <c r="HC107" s="59">
        <f t="shared" si="857"/>
        <v>0</v>
      </c>
      <c r="HD107" s="59">
        <f t="shared" si="858"/>
        <v>0</v>
      </c>
      <c r="HE107" s="59">
        <f t="shared" si="859"/>
        <v>0</v>
      </c>
      <c r="HF107" s="58">
        <f t="shared" si="860"/>
        <v>0</v>
      </c>
      <c r="HG107" s="45">
        <f t="shared" si="861"/>
        <v>71</v>
      </c>
      <c r="HH107" s="45">
        <f t="shared" si="1199"/>
        <v>2.7889999999999997</v>
      </c>
      <c r="HI107" s="45">
        <f t="shared" si="862"/>
        <v>1</v>
      </c>
      <c r="HJ107" s="45">
        <f t="shared" si="863"/>
        <v>2</v>
      </c>
      <c r="HK107" s="46" cm="1">
        <f t="array" ref="HK107">ROUND(IFERROR(INDEX(ArchiveResults!$F$5:$IX$116,ComparisonData!A107,ComparisonData!$HK$1),0),5)</f>
        <v>0</v>
      </c>
      <c r="HL107" s="46" cm="1">
        <f t="array" ref="HL107">ROUND(IFERROR(INDEX(ArchiveResults!$F$5:$IX$116,ComparisonData!A107,ComparisonData!$HL$1),0),5)</f>
        <v>0</v>
      </c>
      <c r="HM107" s="46" cm="1">
        <f t="array" ref="HM107">ROUND(IFERROR(INDEX(ArchiveResults!$F$5:$IX$116,ComparisonData!A107,ComparisonData!$HM$1),0),5)</f>
        <v>0</v>
      </c>
      <c r="HN107" s="46" cm="1">
        <f t="array" ref="HN107">ROUND(IFERROR(INDEX(ArchiveResults!$F$5:$IX$116,ComparisonData!A107,ComparisonData!$HN$1),0),5)</f>
        <v>0</v>
      </c>
      <c r="HO107" s="45" cm="1">
        <f t="array" ref="HO107">IFERROR(INDEX(ArchiveResults!$F$5:$IX$116,ComparisonData!A107,ComparisonData!$HO$1),0)</f>
        <v>0</v>
      </c>
      <c r="HP107" s="56">
        <v>102</v>
      </c>
      <c r="HQ107" s="53" t="str">
        <f t="shared" si="1200"/>
        <v>University of Warwick, Modern Records Centre</v>
      </c>
      <c r="HR107" s="59">
        <f t="shared" si="1201"/>
        <v>0</v>
      </c>
      <c r="HS107" s="59">
        <f t="shared" si="1202"/>
        <v>0</v>
      </c>
      <c r="HT107" s="59">
        <f t="shared" si="1203"/>
        <v>0</v>
      </c>
      <c r="HU107" s="59">
        <f t="shared" si="1204"/>
        <v>0</v>
      </c>
      <c r="HV107" s="59">
        <f t="shared" si="1205"/>
        <v>0</v>
      </c>
      <c r="HW107" s="58">
        <f t="shared" si="864"/>
        <v>0</v>
      </c>
      <c r="HX107" s="45">
        <f t="shared" si="865"/>
        <v>71</v>
      </c>
      <c r="HY107" s="45">
        <f t="shared" si="1206"/>
        <v>2.7889999999999997</v>
      </c>
      <c r="HZ107" s="45">
        <f t="shared" si="866"/>
        <v>1</v>
      </c>
      <c r="IA107" s="45">
        <f t="shared" si="867"/>
        <v>2</v>
      </c>
      <c r="IB107" s="45">
        <f t="shared" si="868"/>
        <v>0</v>
      </c>
      <c r="IC107" s="46" cm="1">
        <f t="array" ref="IC107">ROUND(IFERROR(INDEX(ArchiveResults!$F$5:$IX$116,ComparisonData!A107,ComparisonData!$IC$1),0),5)</f>
        <v>0</v>
      </c>
      <c r="ID107" s="46" cm="1">
        <f t="array" ref="ID107">ROUND(IFERROR(INDEX(ArchiveResults!$F$5:$IX$116,ComparisonData!A107,ComparisonData!$ID$1),0),5)</f>
        <v>0</v>
      </c>
      <c r="IE107" s="46" cm="1">
        <f t="array" ref="IE107">ROUND(IFERROR(INDEX(ArchiveResults!$F$5:$IX$116,ComparisonData!A107,ComparisonData!$IE$1),0),5)</f>
        <v>0</v>
      </c>
      <c r="IF107" s="46" cm="1">
        <f t="array" ref="IF107">ROUND(IFERROR(INDEX(ArchiveResults!$F$5:$IX$116,ComparisonData!A107,ComparisonData!$IF$1),0),5)</f>
        <v>0</v>
      </c>
      <c r="IG107" s="45" cm="1">
        <f t="array" ref="IG107">IFERROR(INDEX(ArchiveResults!$F$5:$IX$116,ComparisonData!A107,ComparisonData!$IG$1),0)</f>
        <v>0</v>
      </c>
      <c r="IH107" s="56">
        <v>102</v>
      </c>
      <c r="II107" s="53" t="str">
        <f t="shared" si="1207"/>
        <v>University of Warwick, Modern Records Centre</v>
      </c>
      <c r="IJ107" s="59">
        <f t="shared" si="869"/>
        <v>0</v>
      </c>
      <c r="IK107" s="59">
        <f t="shared" si="870"/>
        <v>0</v>
      </c>
      <c r="IL107" s="59">
        <f t="shared" si="871"/>
        <v>0</v>
      </c>
      <c r="IM107" s="59">
        <f t="shared" si="872"/>
        <v>0</v>
      </c>
      <c r="IN107" s="59">
        <f t="shared" si="873"/>
        <v>0</v>
      </c>
      <c r="IO107" s="58">
        <f t="shared" si="874"/>
        <v>0</v>
      </c>
      <c r="IP107" s="45">
        <f t="shared" si="875"/>
        <v>71</v>
      </c>
      <c r="IQ107" s="45">
        <f t="shared" si="1208"/>
        <v>2.7889999999999997</v>
      </c>
      <c r="IR107" s="45">
        <f t="shared" si="876"/>
        <v>1</v>
      </c>
      <c r="IS107" s="45">
        <f t="shared" si="877"/>
        <v>2</v>
      </c>
      <c r="IT107" s="46">
        <f t="shared" si="878"/>
        <v>0</v>
      </c>
      <c r="IU107" s="46" cm="1">
        <f t="array" ref="IU107">ROUND(IFERROR(INDEX(ArchiveResults!$F$5:$IX$116,ComparisonData!A107,ComparisonData!$IU$1),0),5)</f>
        <v>0</v>
      </c>
      <c r="IV107" s="46" cm="1">
        <f t="array" ref="IV107">ROUND(IFERROR(INDEX(ArchiveResults!$F$5:$IX$116,ComparisonData!A107,ComparisonData!$IV$1),0),5)</f>
        <v>0</v>
      </c>
      <c r="IW107" s="46" cm="1">
        <f t="array" ref="IW107">ROUND(IFERROR(INDEX(ArchiveResults!$F$5:$IX$116,ComparisonData!A107,ComparisonData!$IW$1),0),5)</f>
        <v>0</v>
      </c>
      <c r="IX107" s="46" cm="1">
        <f t="array" ref="IX107">ROUND(IFERROR(INDEX(ArchiveResults!$F$5:$IX$116,ComparisonData!A107,ComparisonData!$IX$1),0),5)</f>
        <v>0</v>
      </c>
      <c r="IY107" s="45" cm="1">
        <f t="array" ref="IY107">IFERROR(INDEX(ArchiveResults!$F$5:$IX$116,ComparisonData!A107,ComparisonData!$IY$1),0)</f>
        <v>0</v>
      </c>
      <c r="IZ107" s="56">
        <v>102</v>
      </c>
      <c r="JA107" s="53" t="str">
        <f t="shared" si="1209"/>
        <v>University of Warwick, Modern Records Centre</v>
      </c>
      <c r="JB107" s="59">
        <f t="shared" si="879"/>
        <v>0</v>
      </c>
      <c r="JC107" s="59">
        <f t="shared" si="880"/>
        <v>0</v>
      </c>
      <c r="JD107" s="59">
        <f t="shared" si="881"/>
        <v>0</v>
      </c>
      <c r="JE107" s="59">
        <f t="shared" si="882"/>
        <v>0</v>
      </c>
      <c r="JF107" s="59">
        <f t="shared" si="883"/>
        <v>0</v>
      </c>
      <c r="JG107" s="58">
        <f t="shared" si="884"/>
        <v>0</v>
      </c>
      <c r="JH107" s="45">
        <f t="shared" si="885"/>
        <v>71</v>
      </c>
      <c r="JI107" s="45">
        <f t="shared" si="1210"/>
        <v>2.7889999999999997</v>
      </c>
      <c r="JJ107" s="45">
        <f t="shared" si="886"/>
        <v>1</v>
      </c>
      <c r="JK107" s="45">
        <f t="shared" si="887"/>
        <v>2</v>
      </c>
      <c r="JL107" s="45">
        <f t="shared" si="888"/>
        <v>0</v>
      </c>
      <c r="JM107" s="46" cm="1">
        <f t="array" ref="JM107">ROUND(IFERROR(INDEX(ArchiveResults!$F$5:$IX$116,ComparisonData!A107,ComparisonData!$JM$1),0),5)</f>
        <v>0</v>
      </c>
      <c r="JN107" s="46" cm="1">
        <f t="array" ref="JN107">ROUND(IFERROR(INDEX(ArchiveResults!$F$5:$IX$116,ComparisonData!A107,ComparisonData!$JN$1),0),5)</f>
        <v>0</v>
      </c>
      <c r="JO107" s="46" cm="1">
        <f t="array" ref="JO107">ROUND(IFERROR(INDEX(ArchiveResults!$F$5:$IX$116,ComparisonData!A107,ComparisonData!$JO$1),0),5)</f>
        <v>0</v>
      </c>
      <c r="JP107" s="46" cm="1">
        <f t="array" ref="JP107">ROUND(IFERROR(INDEX(ArchiveResults!$F$5:$IX$116,ComparisonData!A107,ComparisonData!$JP$1),0),5)</f>
        <v>0</v>
      </c>
      <c r="JQ107" s="45" cm="1">
        <f t="array" ref="JQ107">IFERROR(INDEX(ArchiveResults!$F$5:$IX$116,ComparisonData!A107,ComparisonData!$JQ$1),0)</f>
        <v>0</v>
      </c>
      <c r="JR107" s="56">
        <v>102</v>
      </c>
      <c r="JS107" s="53" t="str">
        <f t="shared" si="1211"/>
        <v>University of Warwick, Modern Records Centre</v>
      </c>
      <c r="JT107" s="59">
        <f t="shared" si="889"/>
        <v>0</v>
      </c>
      <c r="JU107" s="59">
        <f t="shared" si="890"/>
        <v>0</v>
      </c>
      <c r="JV107" s="59">
        <f t="shared" si="891"/>
        <v>0</v>
      </c>
      <c r="JW107" s="59">
        <f t="shared" si="892"/>
        <v>0</v>
      </c>
      <c r="JX107" s="59">
        <f t="shared" si="893"/>
        <v>0</v>
      </c>
      <c r="JY107" s="58">
        <f t="shared" si="894"/>
        <v>0</v>
      </c>
      <c r="JZ107" s="45">
        <f t="shared" si="895"/>
        <v>71</v>
      </c>
      <c r="KA107" s="45">
        <f t="shared" si="1212"/>
        <v>2.7889999999999997</v>
      </c>
      <c r="KB107" s="45">
        <f t="shared" si="896"/>
        <v>1</v>
      </c>
      <c r="KC107" s="45">
        <f t="shared" si="897"/>
        <v>2</v>
      </c>
      <c r="KD107" s="45">
        <f t="shared" si="898"/>
        <v>0</v>
      </c>
      <c r="KE107" s="46" cm="1">
        <f t="array" ref="KE107">ROUND(IFERROR(INDEX(ArchiveResults!$F$5:$IX$116,ComparisonData!A107,ComparisonData!$KE$1),0),5)</f>
        <v>0</v>
      </c>
      <c r="KF107" s="46" cm="1">
        <f t="array" ref="KF107">ROUND(IFERROR(INDEX(ArchiveResults!$F$5:$IX$116,ComparisonData!A107,ComparisonData!$KF$1),0),5)</f>
        <v>0</v>
      </c>
      <c r="KG107" s="46" cm="1">
        <f t="array" ref="KG107">ROUND(IFERROR(INDEX(ArchiveResults!$F$5:$IX$116,ComparisonData!A107,ComparisonData!$KG$1),0),5)</f>
        <v>0</v>
      </c>
      <c r="KH107" s="46" cm="1">
        <f t="array" ref="KH107">ROUND(IFERROR(INDEX(ArchiveResults!$F$5:$IX$116,ComparisonData!A107,ComparisonData!$KH$1),0),5)</f>
        <v>0</v>
      </c>
      <c r="KI107" s="45" cm="1">
        <f t="array" ref="KI107">IFERROR(INDEX(ArchiveResults!$F$5:$IX$116,ComparisonData!A107,ComparisonData!$KI$1),0)</f>
        <v>0</v>
      </c>
      <c r="KJ107" s="56">
        <v>102</v>
      </c>
      <c r="KK107" s="53" t="str">
        <f t="shared" si="1213"/>
        <v>University of Warwick, Modern Records Centre</v>
      </c>
      <c r="KL107" s="59">
        <f t="shared" si="899"/>
        <v>0</v>
      </c>
      <c r="KM107" s="59">
        <f t="shared" si="900"/>
        <v>0</v>
      </c>
      <c r="KN107" s="59">
        <f t="shared" si="901"/>
        <v>0</v>
      </c>
      <c r="KO107" s="59">
        <f t="shared" si="902"/>
        <v>0</v>
      </c>
      <c r="KP107" s="59">
        <f t="shared" si="903"/>
        <v>0</v>
      </c>
      <c r="KQ107" s="58">
        <f t="shared" si="904"/>
        <v>0</v>
      </c>
      <c r="KR107" s="45">
        <f t="shared" si="905"/>
        <v>71</v>
      </c>
      <c r="KS107" s="45">
        <f t="shared" si="1214"/>
        <v>2.7889999999999997</v>
      </c>
      <c r="KT107" s="45">
        <f t="shared" si="906"/>
        <v>1</v>
      </c>
      <c r="KU107" s="45">
        <f t="shared" si="907"/>
        <v>2</v>
      </c>
      <c r="KV107" s="45">
        <f t="shared" si="908"/>
        <v>0</v>
      </c>
      <c r="KW107" s="46" cm="1">
        <f t="array" ref="KW107">ROUND(IFERROR(INDEX(ArchiveResults!$F$5:$IX$116,ComparisonData!A107,ComparisonData!$KW$1),0),5)</f>
        <v>0</v>
      </c>
      <c r="KX107" s="46" cm="1">
        <f t="array" ref="KX107">ROUND(IFERROR(INDEX(ArchiveResults!$F$5:$IX$116,ComparisonData!A107,ComparisonData!$KX$1),0),5)</f>
        <v>0</v>
      </c>
      <c r="KY107" s="46" cm="1">
        <f t="array" ref="KY107">ROUND(IFERROR(INDEX(ArchiveResults!$F$5:$IX$116,ComparisonData!A107,ComparisonData!$KY$1),0),5)</f>
        <v>0</v>
      </c>
      <c r="KZ107" s="46" cm="1">
        <f t="array" ref="KZ107">ROUND(IFERROR(INDEX(ArchiveResults!$F$5:$IX$116,ComparisonData!A107,ComparisonData!$KZ$1),0),5)</f>
        <v>0</v>
      </c>
      <c r="LA107" s="45" cm="1">
        <f t="array" ref="LA107">IFERROR(INDEX(ArchiveResults!$F$5:$IX$116,ComparisonData!A107,ComparisonData!$LA$1),0)</f>
        <v>0</v>
      </c>
      <c r="LB107" s="56">
        <v>102</v>
      </c>
      <c r="LC107" s="53" t="str">
        <f t="shared" si="1215"/>
        <v>University of Warwick, Modern Records Centre</v>
      </c>
      <c r="LD107" s="59">
        <f t="shared" si="909"/>
        <v>0</v>
      </c>
      <c r="LE107" s="59">
        <f t="shared" si="910"/>
        <v>0</v>
      </c>
      <c r="LF107" s="59">
        <f t="shared" si="911"/>
        <v>0</v>
      </c>
      <c r="LG107" s="59">
        <f t="shared" si="912"/>
        <v>0</v>
      </c>
      <c r="LH107" s="59">
        <f t="shared" si="913"/>
        <v>0</v>
      </c>
      <c r="LI107" s="58">
        <f t="shared" si="914"/>
        <v>0</v>
      </c>
      <c r="LJ107" s="45">
        <f t="shared" si="915"/>
        <v>71</v>
      </c>
      <c r="LK107" s="45">
        <f t="shared" si="1216"/>
        <v>2.7889999999999997</v>
      </c>
      <c r="LL107" s="45">
        <f t="shared" si="916"/>
        <v>1</v>
      </c>
      <c r="LM107" s="45">
        <f t="shared" si="917"/>
        <v>2</v>
      </c>
      <c r="LN107" s="45">
        <f t="shared" si="918"/>
        <v>0</v>
      </c>
      <c r="LO107" s="46" cm="1">
        <f t="array" ref="LO107">ROUND(IFERROR(INDEX(ArchiveResults!$F$5:$IX$116,ComparisonData!A107,ComparisonData!$LO$1),0),5)</f>
        <v>0</v>
      </c>
      <c r="LP107" s="46" cm="1">
        <f t="array" ref="LP107">ROUND(IFERROR(INDEX(ArchiveResults!$F$5:$IX$116,ComparisonData!A107,ComparisonData!$LP$1),0),5)</f>
        <v>0</v>
      </c>
      <c r="LQ107" s="46" cm="1">
        <f t="array" ref="LQ107">ROUND(IFERROR(INDEX(ArchiveResults!$F$5:$IX$116,ComparisonData!A107,ComparisonData!$LQ$1),0),5)</f>
        <v>0</v>
      </c>
      <c r="LR107" s="46" cm="1">
        <f t="array" ref="LR107">ROUND(IFERROR(INDEX(ArchiveResults!$F$5:$IX$116,ComparisonData!A107,ComparisonData!$LR$1),0),5)</f>
        <v>0</v>
      </c>
      <c r="LS107" s="45" cm="1">
        <f t="array" ref="LS107">IFERROR(INDEX(ArchiveResults!$F$5:$IX$116,ComparisonData!A107,ComparisonData!$LS$1),0)</f>
        <v>0</v>
      </c>
      <c r="LT107" s="56">
        <v>102</v>
      </c>
      <c r="LU107" s="53" t="str">
        <f t="shared" si="1217"/>
        <v>University of Warwick, Modern Records Centre</v>
      </c>
      <c r="LV107" s="59">
        <f t="shared" si="919"/>
        <v>0</v>
      </c>
      <c r="LW107" s="59">
        <f t="shared" si="920"/>
        <v>0</v>
      </c>
      <c r="LX107" s="59">
        <f t="shared" si="921"/>
        <v>0</v>
      </c>
      <c r="LY107" s="59">
        <f t="shared" si="922"/>
        <v>0</v>
      </c>
      <c r="LZ107" s="59">
        <f t="shared" si="923"/>
        <v>0</v>
      </c>
      <c r="MA107" s="58">
        <f t="shared" si="924"/>
        <v>0</v>
      </c>
      <c r="MB107" s="45">
        <f t="shared" si="925"/>
        <v>71</v>
      </c>
      <c r="MC107" s="45">
        <f t="shared" si="1218"/>
        <v>2.7889999999999997</v>
      </c>
      <c r="MD107" s="45">
        <f t="shared" si="926"/>
        <v>1</v>
      </c>
      <c r="ME107" s="45">
        <f t="shared" si="927"/>
        <v>2</v>
      </c>
      <c r="MF107" s="45">
        <f t="shared" si="928"/>
        <v>0</v>
      </c>
      <c r="MG107" s="46" cm="1">
        <f t="array" ref="MG107">ROUND(IFERROR(INDEX(ArchiveResults!$F$5:$IX$116,ComparisonData!A107,ComparisonData!$MG$1),0),5)</f>
        <v>0</v>
      </c>
      <c r="MH107" s="46" cm="1">
        <f t="array" ref="MH107">ROUND(IFERROR(INDEX(ArchiveResults!$F$5:$IX$116,ComparisonData!A107,ComparisonData!$MH$1),0),5)</f>
        <v>0</v>
      </c>
      <c r="MI107" s="46" cm="1">
        <f t="array" ref="MI107">ROUND(IFERROR(INDEX(ArchiveResults!$F$5:$IX$116,ComparisonData!A107,ComparisonData!$MI$1),0),5)</f>
        <v>0</v>
      </c>
      <c r="MJ107" s="46" cm="1">
        <f t="array" ref="MJ107">ROUND(IFERROR(INDEX(ArchiveResults!$F$5:$IX$116,ComparisonData!A107,ComparisonData!$MJ$1),0),5)</f>
        <v>0</v>
      </c>
      <c r="MK107" s="45" cm="1">
        <f t="array" ref="MK107">IFERROR(INDEX(ArchiveResults!$F$5:$IX$116,ComparisonData!A107,ComparisonData!$MK$1),0)</f>
        <v>0</v>
      </c>
      <c r="ML107" s="56">
        <v>102</v>
      </c>
      <c r="MM107" s="53" t="str">
        <f t="shared" si="1219"/>
        <v>University of Warwick, Modern Records Centre</v>
      </c>
      <c r="MN107" s="59">
        <f t="shared" si="929"/>
        <v>0</v>
      </c>
      <c r="MO107" s="59">
        <f t="shared" si="930"/>
        <v>0</v>
      </c>
      <c r="MP107" s="59">
        <f t="shared" si="931"/>
        <v>0</v>
      </c>
      <c r="MQ107" s="59">
        <f t="shared" si="932"/>
        <v>0</v>
      </c>
      <c r="MR107" s="59">
        <f t="shared" si="933"/>
        <v>0</v>
      </c>
      <c r="MS107" s="58">
        <f t="shared" si="934"/>
        <v>0</v>
      </c>
      <c r="MT107" s="45">
        <f t="shared" si="935"/>
        <v>71</v>
      </c>
      <c r="MU107" s="45">
        <f t="shared" si="1220"/>
        <v>2.7889999999999997</v>
      </c>
      <c r="MV107" s="45">
        <f t="shared" si="936"/>
        <v>1</v>
      </c>
      <c r="MW107" s="45">
        <f t="shared" si="937"/>
        <v>2</v>
      </c>
      <c r="MX107" s="45">
        <f t="shared" si="938"/>
        <v>0</v>
      </c>
      <c r="MY107" s="46" cm="1">
        <f t="array" ref="MY107">ROUND(IFERROR(INDEX(ArchiveResults!$F$5:$IX$116,ComparisonData!A107,ComparisonData!$MY$1),0),5)</f>
        <v>0</v>
      </c>
      <c r="MZ107" s="46" cm="1">
        <f t="array" ref="MZ107">ROUND(IFERROR(INDEX(ArchiveResults!$F$5:$IX$116,ComparisonData!A107,ComparisonData!$MZ$1),0),5)</f>
        <v>0</v>
      </c>
      <c r="NA107" s="46" cm="1">
        <f t="array" ref="NA107">ROUND(IFERROR(INDEX(ArchiveResults!$F$5:$IX$116,ComparisonData!A107,ComparisonData!$NA$1),0),5)</f>
        <v>0</v>
      </c>
      <c r="NB107" s="46" cm="1">
        <f t="array" ref="NB107">ROUND(IFERROR(INDEX(ArchiveResults!$F$5:$IX$116,ComparisonData!A107,ComparisonData!$NB$1),0),5)</f>
        <v>0</v>
      </c>
      <c r="NC107" s="45" cm="1">
        <f t="array" ref="NC107">IFERROR(INDEX(ArchiveResults!$F$5:$IX$116,ComparisonData!A107,ComparisonData!$NC$1),0)</f>
        <v>0</v>
      </c>
      <c r="ND107" s="56">
        <v>102</v>
      </c>
      <c r="NE107" s="53" t="str">
        <f t="shared" si="1221"/>
        <v>University of Warwick, Modern Records Centre</v>
      </c>
      <c r="NF107" s="59">
        <f t="shared" si="939"/>
        <v>0</v>
      </c>
      <c r="NG107" s="59">
        <f t="shared" si="940"/>
        <v>0</v>
      </c>
      <c r="NH107" s="59">
        <f t="shared" si="941"/>
        <v>0</v>
      </c>
      <c r="NI107" s="59">
        <f t="shared" si="942"/>
        <v>0</v>
      </c>
      <c r="NJ107" s="59">
        <f t="shared" si="943"/>
        <v>0</v>
      </c>
      <c r="NK107" s="58">
        <f t="shared" si="944"/>
        <v>0</v>
      </c>
      <c r="NL107" s="45">
        <f t="shared" si="945"/>
        <v>71</v>
      </c>
      <c r="NM107" s="45">
        <f t="shared" si="1222"/>
        <v>2.7889999999999997</v>
      </c>
      <c r="NN107" s="45">
        <f t="shared" si="946"/>
        <v>1</v>
      </c>
      <c r="NO107" s="45">
        <f t="shared" si="947"/>
        <v>2</v>
      </c>
      <c r="NP107" s="46" cm="1">
        <f t="array" ref="NP107">ROUND(IFERROR(INDEX(ArchiveResults!$F$5:$IX$116,ComparisonData!A107,ComparisonData!$NP$1),0),5)</f>
        <v>0</v>
      </c>
      <c r="NQ107" s="46" cm="1">
        <f t="array" ref="NQ107">ROUND(IFERROR(INDEX(ArchiveResults!$F$5:$IX$116,ComparisonData!A107,ComparisonData!$NQ$1),0),5)</f>
        <v>0</v>
      </c>
      <c r="NR107" s="46" cm="1">
        <f t="array" ref="NR107">ROUND(IFERROR(INDEX(ArchiveResults!$F$5:$IX$116,ComparisonData!A107,ComparisonData!$NR$1),0),5)</f>
        <v>0</v>
      </c>
      <c r="NS107" s="46" cm="1">
        <f t="array" ref="NS107">ROUND(IFERROR(INDEX(ArchiveResults!$F$5:$IX$116,ComparisonData!A107,ComparisonData!$NS$1),0),5)</f>
        <v>0</v>
      </c>
      <c r="NT107" s="45" cm="1">
        <f t="array" ref="NT107">IFERROR(INDEX(ArchiveResults!$F$5:$IX$116,ComparisonData!A107,ComparisonData!$NT$1),0)</f>
        <v>0</v>
      </c>
      <c r="NU107" s="56">
        <v>102</v>
      </c>
      <c r="NV107" s="53" t="str">
        <f t="shared" si="1223"/>
        <v>University of Warwick, Modern Records Centre</v>
      </c>
      <c r="NW107" s="59">
        <f t="shared" si="948"/>
        <v>0</v>
      </c>
      <c r="NX107" s="59">
        <f t="shared" si="949"/>
        <v>0</v>
      </c>
      <c r="NY107" s="59">
        <f t="shared" si="950"/>
        <v>0</v>
      </c>
      <c r="NZ107" s="59">
        <f t="shared" si="951"/>
        <v>0</v>
      </c>
      <c r="OA107" s="59">
        <f t="shared" si="952"/>
        <v>0</v>
      </c>
      <c r="OB107" s="58">
        <f t="shared" si="953"/>
        <v>0</v>
      </c>
      <c r="OC107" s="45">
        <f t="shared" si="954"/>
        <v>71</v>
      </c>
      <c r="OD107" s="45">
        <f t="shared" si="1224"/>
        <v>2.7889999999999997</v>
      </c>
      <c r="OE107" s="45">
        <f t="shared" si="955"/>
        <v>1</v>
      </c>
      <c r="OF107" s="45">
        <f t="shared" si="956"/>
        <v>2</v>
      </c>
      <c r="OG107" s="46">
        <f t="shared" si="957"/>
        <v>0</v>
      </c>
      <c r="OH107" s="46" cm="1">
        <f t="array" ref="OH107">ROUND(IFERROR(INDEX(ArchiveResults!$F$5:$IX$116,ComparisonData!A107,ComparisonData!$OH$1),0),5)</f>
        <v>0</v>
      </c>
      <c r="OI107" s="46" cm="1">
        <f t="array" ref="OI107">ROUND(IFERROR(INDEX(ArchiveResults!$F$5:$IX$116,ComparisonData!A107,ComparisonData!$OI$1),0),5)</f>
        <v>0</v>
      </c>
      <c r="OJ107" s="46" cm="1">
        <f t="array" ref="OJ107">ROUND(IFERROR(INDEX(ArchiveResults!$F$5:$IX$116,ComparisonData!A107,ComparisonData!$OJ$1),0),5)</f>
        <v>0</v>
      </c>
      <c r="OK107" s="46" cm="1">
        <f t="array" ref="OK107">ROUND(IFERROR(INDEX(ArchiveResults!$F$5:$IX$116,ComparisonData!A107,ComparisonData!$OK$1),0),5)</f>
        <v>0</v>
      </c>
      <c r="OL107" s="45" cm="1">
        <f t="array" ref="OL107">IFERROR(INDEX(ArchiveResults!$F$5:$IX$116,ComparisonData!A107,ComparisonData!$OL$1),0)</f>
        <v>0</v>
      </c>
      <c r="OM107" s="56">
        <v>102</v>
      </c>
      <c r="ON107" s="53" t="str">
        <f t="shared" si="1225"/>
        <v>University of Warwick, Modern Records Centre</v>
      </c>
      <c r="OO107" s="59">
        <f t="shared" si="958"/>
        <v>0</v>
      </c>
      <c r="OP107" s="59">
        <f t="shared" si="959"/>
        <v>0</v>
      </c>
      <c r="OQ107" s="59">
        <f t="shared" si="960"/>
        <v>0</v>
      </c>
      <c r="OR107" s="59">
        <f t="shared" si="961"/>
        <v>0</v>
      </c>
      <c r="OS107" s="59">
        <f t="shared" si="962"/>
        <v>0</v>
      </c>
      <c r="OT107" s="58">
        <f t="shared" si="963"/>
        <v>0</v>
      </c>
      <c r="OU107" s="45">
        <f t="shared" si="964"/>
        <v>71</v>
      </c>
      <c r="OV107" s="45">
        <f t="shared" si="1226"/>
        <v>2.7889999999999997</v>
      </c>
      <c r="OW107" s="45">
        <f t="shared" si="965"/>
        <v>1</v>
      </c>
      <c r="OX107" s="45">
        <f t="shared" si="966"/>
        <v>2</v>
      </c>
      <c r="OY107" s="45">
        <f t="shared" si="967"/>
        <v>0</v>
      </c>
      <c r="OZ107" s="46" cm="1">
        <f t="array" ref="OZ107">ROUND(IFERROR(INDEX(ArchiveResults!$F$5:$IX$116,ComparisonData!A107,ComparisonData!$OZ$1),0),5)</f>
        <v>0</v>
      </c>
      <c r="PA107" s="46" cm="1">
        <f t="array" ref="PA107">ROUND(IFERROR(INDEX(ArchiveResults!$F$5:$IX$116,ComparisonData!A107,ComparisonData!$PA$1),0),5)</f>
        <v>0</v>
      </c>
      <c r="PB107" s="46" cm="1">
        <f t="array" ref="PB107">ROUND(IFERROR(INDEX(ArchiveResults!$F$5:$IX$116,ComparisonData!A107,ComparisonData!$PB$1),0),5)</f>
        <v>0</v>
      </c>
      <c r="PC107" s="46" cm="1">
        <f t="array" ref="PC107">ROUND(IFERROR(INDEX(ArchiveResults!$F$5:$IX$116,ComparisonData!A107,ComparisonData!$PC$1),0),5)</f>
        <v>0</v>
      </c>
      <c r="PD107" s="45" cm="1">
        <f t="array" ref="PD107">IFERROR(INDEX(ArchiveResults!$F$5:$IX$116,ComparisonData!A107,ComparisonData!$PD$1),0)</f>
        <v>0</v>
      </c>
      <c r="PE107" s="56">
        <v>102</v>
      </c>
      <c r="PF107" s="53" t="str">
        <f t="shared" si="1227"/>
        <v>University of Warwick, Modern Records Centre</v>
      </c>
      <c r="PG107" s="59">
        <f t="shared" si="968"/>
        <v>0</v>
      </c>
      <c r="PH107" s="59">
        <f t="shared" si="969"/>
        <v>0</v>
      </c>
      <c r="PI107" s="59">
        <f t="shared" si="970"/>
        <v>0</v>
      </c>
      <c r="PJ107" s="59">
        <f t="shared" si="971"/>
        <v>0</v>
      </c>
      <c r="PK107" s="59">
        <f t="shared" si="972"/>
        <v>0</v>
      </c>
      <c r="PL107" s="58">
        <f t="shared" si="973"/>
        <v>0</v>
      </c>
      <c r="PM107" s="45">
        <f t="shared" si="974"/>
        <v>71</v>
      </c>
      <c r="PN107" s="45">
        <f t="shared" si="1228"/>
        <v>2.7889999999999997</v>
      </c>
      <c r="PO107" s="45">
        <f t="shared" si="975"/>
        <v>1</v>
      </c>
      <c r="PP107" s="45">
        <f t="shared" si="976"/>
        <v>2</v>
      </c>
      <c r="PQ107" s="45">
        <f t="shared" si="977"/>
        <v>0</v>
      </c>
      <c r="PR107" s="46" cm="1">
        <f t="array" ref="PR107">ROUND(IFERROR(INDEX(ArchiveResults!$F$5:$IX$116,ComparisonData!A107,ComparisonData!$PR$1),0),5)</f>
        <v>0</v>
      </c>
      <c r="PS107" s="46" cm="1">
        <f t="array" ref="PS107">ROUND(IFERROR(INDEX(ArchiveResults!$F$5:$IX$116,ComparisonData!A107,ComparisonData!$PS$1),0),5)</f>
        <v>0</v>
      </c>
      <c r="PT107" s="46" cm="1">
        <f t="array" ref="PT107">ROUND(IFERROR(INDEX(ArchiveResults!$F$5:$IX$116,ComparisonData!A107,ComparisonData!$PT$1),0),5)</f>
        <v>0</v>
      </c>
      <c r="PU107" s="46" cm="1">
        <f t="array" ref="PU107">ROUND(IFERROR(INDEX(ArchiveResults!$F$5:$IX$116,ComparisonData!A107,ComparisonData!$PU$1),0),5)</f>
        <v>0</v>
      </c>
      <c r="PV107" s="45" cm="1">
        <f t="array" ref="PV107">IFERROR(INDEX(ArchiveResults!$F$5:$IX$116,ComparisonData!A107,ComparisonData!$PV$1),0)</f>
        <v>0</v>
      </c>
      <c r="PW107" s="56">
        <v>102</v>
      </c>
      <c r="PX107" s="53" t="str">
        <f t="shared" si="1229"/>
        <v>University of Warwick, Modern Records Centre</v>
      </c>
      <c r="PY107" s="59">
        <f t="shared" si="978"/>
        <v>0</v>
      </c>
      <c r="PZ107" s="59">
        <f t="shared" si="979"/>
        <v>0</v>
      </c>
      <c r="QA107" s="59">
        <f t="shared" si="980"/>
        <v>0</v>
      </c>
      <c r="QB107" s="59">
        <f t="shared" si="981"/>
        <v>0</v>
      </c>
      <c r="QC107" s="59">
        <f t="shared" si="982"/>
        <v>0</v>
      </c>
      <c r="QD107" s="58">
        <f t="shared" si="983"/>
        <v>0</v>
      </c>
      <c r="QE107" s="45">
        <f t="shared" si="984"/>
        <v>71</v>
      </c>
      <c r="QF107" s="45">
        <f t="shared" si="1230"/>
        <v>2.7889999999999997</v>
      </c>
      <c r="QG107" s="45">
        <f t="shared" si="985"/>
        <v>1</v>
      </c>
      <c r="QH107" s="45">
        <f t="shared" si="986"/>
        <v>2</v>
      </c>
      <c r="QI107" s="45">
        <f t="shared" si="987"/>
        <v>0</v>
      </c>
      <c r="QJ107" s="46" cm="1">
        <f t="array" ref="QJ107">ROUND(IFERROR(INDEX(ArchiveResults!$F$5:$IX$116,ComparisonData!A107,ComparisonData!$QJ$1),0),5)</f>
        <v>0</v>
      </c>
      <c r="QK107" s="46" cm="1">
        <f t="array" ref="QK107">ROUND(IFERROR(INDEX(ArchiveResults!$F$5:$IX$116,ComparisonData!A107,ComparisonData!$QK$1),0),5)</f>
        <v>0</v>
      </c>
      <c r="QL107" s="46" cm="1">
        <f t="array" ref="QL107">ROUND(IFERROR(INDEX(ArchiveResults!$F$5:$IX$116,ComparisonData!A107,ComparisonData!$QL$1),0),5)</f>
        <v>0</v>
      </c>
      <c r="QM107" s="46" cm="1">
        <f t="array" ref="QM107">ROUND(IFERROR(INDEX(ArchiveResults!$F$5:$IX$116,ComparisonData!A107,ComparisonData!$QM$1),0),5)</f>
        <v>0</v>
      </c>
      <c r="QN107" s="45" cm="1">
        <f t="array" ref="QN107">IFERROR(INDEX(ArchiveResults!$F$5:$IX$116,ComparisonData!A107,ComparisonData!$QN$1),0)</f>
        <v>0</v>
      </c>
      <c r="QO107" s="56">
        <v>102</v>
      </c>
      <c r="QP107" s="53" t="str">
        <f t="shared" si="1231"/>
        <v>University of Warwick, Modern Records Centre</v>
      </c>
      <c r="QQ107" s="59">
        <f t="shared" si="988"/>
        <v>0</v>
      </c>
      <c r="QR107" s="59">
        <f t="shared" si="989"/>
        <v>0</v>
      </c>
      <c r="QS107" s="59">
        <f t="shared" si="990"/>
        <v>0</v>
      </c>
      <c r="QT107" s="59">
        <f t="shared" si="991"/>
        <v>0</v>
      </c>
      <c r="QU107" s="59">
        <f t="shared" si="992"/>
        <v>0</v>
      </c>
      <c r="QV107" s="58">
        <f t="shared" si="993"/>
        <v>0</v>
      </c>
      <c r="QW107" s="45">
        <f t="shared" si="994"/>
        <v>71</v>
      </c>
      <c r="QX107" s="45">
        <f t="shared" si="1232"/>
        <v>2.7889999999999997</v>
      </c>
      <c r="QY107" s="45">
        <f t="shared" si="995"/>
        <v>1</v>
      </c>
      <c r="QZ107" s="45">
        <f t="shared" si="996"/>
        <v>2</v>
      </c>
      <c r="RA107" s="45">
        <f t="shared" si="997"/>
        <v>0</v>
      </c>
      <c r="RB107" s="46" cm="1">
        <f t="array" ref="RB107">ROUND(IFERROR(INDEX(ArchiveResults!$F$5:$IX$116,ComparisonData!A107,ComparisonData!$RB$1),0),5)</f>
        <v>0</v>
      </c>
      <c r="RC107" s="46" cm="1">
        <f t="array" ref="RC107">ROUND(IFERROR(INDEX(ArchiveResults!$F$5:$IX$116,ComparisonData!A107,ComparisonData!$RC$1),0),5)</f>
        <v>0</v>
      </c>
      <c r="RD107" s="46" cm="1">
        <f t="array" ref="RD107">ROUND(IFERROR(INDEX(ArchiveResults!$F$5:$IX$116,ComparisonData!A107,ComparisonData!$RD$1),0),5)</f>
        <v>0</v>
      </c>
      <c r="RE107" s="46" cm="1">
        <f t="array" ref="RE107">ROUND(IFERROR(INDEX(ArchiveResults!$F$5:$IX$116,ComparisonData!A107,ComparisonData!$RE$1),0),5)</f>
        <v>0</v>
      </c>
      <c r="RF107" s="45" cm="1">
        <f t="array" ref="RF107">IFERROR(INDEX(ArchiveResults!$F$5:$IX$116,ComparisonData!A107,ComparisonData!$RF$1),0)</f>
        <v>0</v>
      </c>
      <c r="RG107" s="56">
        <v>102</v>
      </c>
      <c r="RH107" s="53" t="str">
        <f t="shared" si="1233"/>
        <v>University of Warwick, Modern Records Centre</v>
      </c>
      <c r="RI107" s="59">
        <f t="shared" si="998"/>
        <v>0</v>
      </c>
      <c r="RJ107" s="59">
        <f t="shared" si="999"/>
        <v>0</v>
      </c>
      <c r="RK107" s="59">
        <f t="shared" si="1000"/>
        <v>0</v>
      </c>
      <c r="RL107" s="59">
        <f t="shared" si="1001"/>
        <v>0</v>
      </c>
      <c r="RM107" s="59">
        <f t="shared" si="1002"/>
        <v>0</v>
      </c>
      <c r="RN107" s="58">
        <f t="shared" si="1003"/>
        <v>0</v>
      </c>
      <c r="RO107" s="45">
        <f t="shared" si="1004"/>
        <v>71</v>
      </c>
      <c r="RP107" s="45">
        <f t="shared" si="1234"/>
        <v>2.7889999999999997</v>
      </c>
      <c r="RQ107" s="45">
        <f t="shared" si="1005"/>
        <v>1</v>
      </c>
      <c r="RR107" s="45">
        <f t="shared" si="1006"/>
        <v>2</v>
      </c>
      <c r="RS107" s="45">
        <f t="shared" si="1007"/>
        <v>0</v>
      </c>
      <c r="RT107" s="46" cm="1">
        <f t="array" ref="RT107">ROUND(IFERROR(INDEX(ArchiveResults!$F$5:$IX$116,ComparisonData!A107,ComparisonData!$RT$1),0),5)</f>
        <v>0</v>
      </c>
      <c r="RU107" s="46" cm="1">
        <f t="array" ref="RU107">ROUND(IFERROR(INDEX(ArchiveResults!$F$5:$IX$116,ComparisonData!A107,ComparisonData!$RU$1),0),5)</f>
        <v>0</v>
      </c>
      <c r="RV107" s="46" cm="1">
        <f t="array" ref="RV107">ROUND(IFERROR(INDEX(ArchiveResults!$F$5:$IX$116,ComparisonData!A107,ComparisonData!$RV$1),0),5)</f>
        <v>0</v>
      </c>
      <c r="RW107" s="46" cm="1">
        <f t="array" ref="RW107">ROUND(IFERROR(INDEX(ArchiveResults!$F$5:$IX$116,ComparisonData!A107,ComparisonData!$RW$1),0),5)</f>
        <v>0</v>
      </c>
      <c r="RX107" s="45" cm="1">
        <f t="array" ref="RX107">IFERROR(INDEX(ArchiveResults!$F$5:$IX$116,ComparisonData!A107,ComparisonData!$RX$1),0)</f>
        <v>0</v>
      </c>
      <c r="RY107" s="56">
        <v>102</v>
      </c>
      <c r="RZ107" s="53" t="str">
        <f t="shared" si="1235"/>
        <v>University of Warwick, Modern Records Centre</v>
      </c>
      <c r="SA107" s="59">
        <f t="shared" si="1008"/>
        <v>0</v>
      </c>
      <c r="SB107" s="59">
        <f t="shared" si="1009"/>
        <v>0</v>
      </c>
      <c r="SC107" s="59">
        <f t="shared" si="1010"/>
        <v>0</v>
      </c>
      <c r="SD107" s="59">
        <f t="shared" si="1011"/>
        <v>0</v>
      </c>
      <c r="SE107" s="59">
        <f t="shared" si="1012"/>
        <v>0</v>
      </c>
      <c r="SF107" s="58">
        <f t="shared" si="1013"/>
        <v>0</v>
      </c>
      <c r="SG107" s="45">
        <f t="shared" si="1014"/>
        <v>71</v>
      </c>
      <c r="SH107" s="45">
        <f t="shared" si="1236"/>
        <v>2.7889999999999997</v>
      </c>
      <c r="SI107" s="45">
        <f t="shared" si="1015"/>
        <v>1</v>
      </c>
      <c r="SJ107" s="45">
        <f t="shared" si="1016"/>
        <v>2</v>
      </c>
      <c r="SK107" s="45">
        <f t="shared" si="1017"/>
        <v>0</v>
      </c>
      <c r="SL107" s="46" cm="1">
        <f t="array" ref="SL107">ROUND(IFERROR(INDEX(ArchiveResults!$F$5:$IX$116,ComparisonData!A107,ComparisonData!$SL$1),0),5)</f>
        <v>0</v>
      </c>
      <c r="SM107" s="46" cm="1">
        <f t="array" ref="SM107">ROUND(IFERROR(INDEX(ArchiveResults!$F$5:$IX$116,ComparisonData!A107,ComparisonData!$SM$1),0),5)</f>
        <v>0</v>
      </c>
      <c r="SN107" s="46" cm="1">
        <f t="array" ref="SN107">ROUND(IFERROR(INDEX(ArchiveResults!$F$5:$IX$116,ComparisonData!A107,ComparisonData!$SN$1),0),5)</f>
        <v>0</v>
      </c>
      <c r="SO107" s="46" cm="1">
        <f t="array" ref="SO107">ROUND(IFERROR(INDEX(ArchiveResults!$F$5:$IX$116,ComparisonData!A107,ComparisonData!$SO$1),0),5)</f>
        <v>0</v>
      </c>
      <c r="SP107" s="45" cm="1">
        <f t="array" ref="SP107">IFERROR(INDEX(ArchiveResults!$F$5:$IX$116,ComparisonData!A107,ComparisonData!$SP$1),0)</f>
        <v>0</v>
      </c>
      <c r="SQ107" s="56">
        <v>102</v>
      </c>
      <c r="SR107" s="53" t="str">
        <f t="shared" si="1237"/>
        <v>University of Warwick, Modern Records Centre</v>
      </c>
      <c r="SS107" s="59">
        <f t="shared" si="1018"/>
        <v>0</v>
      </c>
      <c r="ST107" s="59">
        <f t="shared" si="1019"/>
        <v>0</v>
      </c>
      <c r="SU107" s="59">
        <f t="shared" si="1020"/>
        <v>0</v>
      </c>
      <c r="SV107" s="59">
        <f t="shared" si="1021"/>
        <v>0</v>
      </c>
      <c r="SW107" s="59">
        <f t="shared" si="1022"/>
        <v>0</v>
      </c>
      <c r="SX107" s="58">
        <f t="shared" si="1023"/>
        <v>0</v>
      </c>
      <c r="SY107" s="45">
        <f t="shared" si="1024"/>
        <v>71</v>
      </c>
      <c r="SZ107" s="45">
        <f t="shared" si="1238"/>
        <v>2.7889999999999997</v>
      </c>
      <c r="TA107" s="45">
        <f t="shared" si="1025"/>
        <v>1</v>
      </c>
      <c r="TB107" s="45">
        <f t="shared" si="1026"/>
        <v>2</v>
      </c>
      <c r="TC107" s="45">
        <f t="shared" si="1027"/>
        <v>0</v>
      </c>
      <c r="TD107" s="46" cm="1">
        <f t="array" ref="TD107">ROUND(IFERROR(INDEX(ArchiveResults!$F$5:$IX$116,ComparisonData!A107,ComparisonData!$TD$1),0),5)</f>
        <v>0</v>
      </c>
      <c r="TE107" s="46" cm="1">
        <f t="array" ref="TE107">ROUND(IFERROR(INDEX(ArchiveResults!$F$5:$IX$116,ComparisonData!A107,ComparisonData!$TE$1),0),5)</f>
        <v>0</v>
      </c>
      <c r="TF107" s="46" cm="1">
        <f t="array" ref="TF107">ROUND(IFERROR(INDEX(ArchiveResults!$F$5:$IX$116,ComparisonData!A107,ComparisonData!$TF$1),0),5)</f>
        <v>0</v>
      </c>
      <c r="TG107" s="46" cm="1">
        <f t="array" ref="TG107">ROUND(IFERROR(INDEX(ArchiveResults!$F$5:$IX$116,ComparisonData!A107,ComparisonData!$TG$1),0),5)</f>
        <v>0</v>
      </c>
      <c r="TH107" s="45" cm="1">
        <f t="array" ref="TH107">IFERROR(INDEX(ArchiveResults!$F$5:$IX$116,ComparisonData!A107,ComparisonData!$TH$1),0)</f>
        <v>0</v>
      </c>
      <c r="TI107" s="56">
        <v>102</v>
      </c>
      <c r="TJ107" s="53" t="str">
        <f t="shared" si="1239"/>
        <v>University of Warwick, Modern Records Centre</v>
      </c>
      <c r="TK107" s="59">
        <f t="shared" si="1028"/>
        <v>0</v>
      </c>
      <c r="TL107" s="59">
        <f t="shared" si="1029"/>
        <v>0</v>
      </c>
      <c r="TM107" s="59">
        <f t="shared" si="1030"/>
        <v>0</v>
      </c>
      <c r="TN107" s="59">
        <f t="shared" si="1031"/>
        <v>0</v>
      </c>
      <c r="TO107" s="59">
        <f t="shared" si="1032"/>
        <v>0</v>
      </c>
      <c r="TP107" s="58">
        <f t="shared" si="1033"/>
        <v>0</v>
      </c>
      <c r="TQ107" s="45">
        <f t="shared" si="1034"/>
        <v>71</v>
      </c>
      <c r="TR107" s="45">
        <f t="shared" si="1240"/>
        <v>2.7889999999999997</v>
      </c>
      <c r="TS107" s="45">
        <f t="shared" si="1035"/>
        <v>1</v>
      </c>
      <c r="TT107" s="45">
        <f t="shared" si="1036"/>
        <v>2</v>
      </c>
      <c r="TU107" s="45">
        <f t="shared" si="1037"/>
        <v>0</v>
      </c>
      <c r="TV107" s="46" cm="1">
        <f t="array" ref="TV107">ROUND(IFERROR(INDEX(ArchiveResults!$F$5:$IX$116,ComparisonData!A107,ComparisonData!$TV$1),0),5)</f>
        <v>0</v>
      </c>
      <c r="TW107" s="46" cm="1">
        <f t="array" ref="TW107">ROUND(IFERROR(INDEX(ArchiveResults!$F$5:$IX$116,ComparisonData!A107,ComparisonData!$TW$1),0),5)</f>
        <v>0</v>
      </c>
      <c r="TX107" s="46" cm="1">
        <f t="array" ref="TX107">ROUND(IFERROR(INDEX(ArchiveResults!$F$5:$IX$116,ComparisonData!A107,ComparisonData!$TX$1),0),5)</f>
        <v>0</v>
      </c>
      <c r="TY107" s="46" cm="1">
        <f t="array" ref="TY107">ROUND(IFERROR(INDEX(ArchiveResults!$F$5:$IX$116,ComparisonData!A107,ComparisonData!$TY$1),0),5)</f>
        <v>0</v>
      </c>
      <c r="TZ107" s="45" cm="1">
        <f t="array" ref="TZ107">IFERROR(INDEX(ArchiveResults!$F$5:$IX$116,ComparisonData!A107,ComparisonData!$TZ$1),0)</f>
        <v>0</v>
      </c>
      <c r="UA107" s="56">
        <v>102</v>
      </c>
      <c r="UB107" s="53" t="str">
        <f t="shared" si="1241"/>
        <v>University of Warwick, Modern Records Centre</v>
      </c>
      <c r="UC107" s="60">
        <f t="shared" si="1038"/>
        <v>0</v>
      </c>
      <c r="UD107" s="60">
        <f t="shared" si="1039"/>
        <v>0</v>
      </c>
      <c r="UE107" s="60">
        <f t="shared" si="1040"/>
        <v>0</v>
      </c>
      <c r="UF107" s="60">
        <f t="shared" si="1041"/>
        <v>0</v>
      </c>
      <c r="UG107" s="60">
        <f t="shared" si="1042"/>
        <v>0</v>
      </c>
      <c r="UH107" s="58">
        <f t="shared" si="1043"/>
        <v>0</v>
      </c>
      <c r="UI107" s="46">
        <f t="shared" si="1044"/>
        <v>71</v>
      </c>
      <c r="UJ107" s="46">
        <f t="shared" si="1242"/>
        <v>2.7889999999999997</v>
      </c>
      <c r="UK107" s="46">
        <f t="shared" si="1045"/>
        <v>1</v>
      </c>
      <c r="UL107" s="46">
        <f t="shared" si="1046"/>
        <v>2</v>
      </c>
      <c r="UM107" s="46" cm="1">
        <f t="array" ref="UM107">ROUND(IFERROR(INDEX(ArchiveResults!$F$5:$IX$116,ComparisonData!A107,ComparisonData!$UM$1),0),5)</f>
        <v>0</v>
      </c>
      <c r="UN107" s="56">
        <v>102</v>
      </c>
      <c r="UO107" s="53" t="str">
        <f t="shared" si="1243"/>
        <v>University of Warwick, Modern Records Centre</v>
      </c>
      <c r="UP107" s="46">
        <f t="shared" si="1047"/>
        <v>0</v>
      </c>
      <c r="UQ107" s="76">
        <f t="shared" si="1048"/>
        <v>0</v>
      </c>
      <c r="UR107" s="46">
        <f t="shared" si="1049"/>
        <v>71</v>
      </c>
      <c r="US107" s="46">
        <f t="shared" si="1244"/>
        <v>2.7889999999999997</v>
      </c>
      <c r="UT107" s="46">
        <f t="shared" si="1050"/>
        <v>1</v>
      </c>
      <c r="UU107" s="46">
        <f t="shared" si="1051"/>
        <v>2</v>
      </c>
      <c r="UV107" s="46">
        <f t="shared" si="1052"/>
        <v>0</v>
      </c>
      <c r="UW107" s="46" cm="1">
        <f t="array" ref="UW107">ROUND(IFERROR(INDEX(ArchiveResults!$F$5:$IX$116,ComparisonData!A107,ComparisonData!$UW$1),0),5)</f>
        <v>0</v>
      </c>
      <c r="UX107" s="46" cm="1">
        <f t="array" ref="UX107">ROUND(IFERROR(INDEX(ArchiveResults!$F$5:$IX$116,ComparisonData!A107,ComparisonData!$UX$1),0),5)</f>
        <v>0</v>
      </c>
      <c r="UY107" s="46" cm="1">
        <f t="array" ref="UY107">ROUND(IFERROR(INDEX(ArchiveResults!$F$5:$IX$116,ComparisonData!A107,ComparisonData!$UY$1),0),5)</f>
        <v>0</v>
      </c>
      <c r="UZ107" s="46" cm="1">
        <f t="array" ref="UZ107">ROUND(IFERROR(INDEX(ArchiveResults!$F$5:$IX$116,ComparisonData!A107,ComparisonData!$UZ$1),0),5)</f>
        <v>0</v>
      </c>
      <c r="VA107" s="46" cm="1">
        <f t="array" ref="VA107">ROUND(IFERROR(INDEX(ArchiveResults!$F$5:$IX$116,ComparisonData!A107,ComparisonData!$VA$1),0),5)</f>
        <v>0</v>
      </c>
      <c r="VB107" s="56">
        <v>102</v>
      </c>
      <c r="VC107" s="53" t="str">
        <f t="shared" si="1245"/>
        <v>University of Warwick, Modern Records Centre</v>
      </c>
      <c r="VD107" s="60">
        <f t="shared" si="1053"/>
        <v>0</v>
      </c>
      <c r="VE107" s="60">
        <f t="shared" si="1054"/>
        <v>0</v>
      </c>
      <c r="VF107" s="60">
        <f t="shared" si="1055"/>
        <v>0</v>
      </c>
      <c r="VG107" s="60">
        <f t="shared" si="1056"/>
        <v>0</v>
      </c>
      <c r="VH107" s="60">
        <f t="shared" si="1057"/>
        <v>0</v>
      </c>
      <c r="VI107" s="76">
        <f t="shared" si="1058"/>
        <v>0</v>
      </c>
      <c r="VJ107" s="46">
        <f t="shared" si="1059"/>
        <v>71</v>
      </c>
      <c r="VK107" s="46">
        <f t="shared" si="1246"/>
        <v>2.7889999999999997</v>
      </c>
      <c r="VL107" s="46">
        <f t="shared" si="1060"/>
        <v>1</v>
      </c>
      <c r="VM107" s="46">
        <f t="shared" si="1061"/>
        <v>2</v>
      </c>
      <c r="VN107" s="46" cm="1">
        <f t="array" ref="VN107">ROUND(IFERROR(INDEX(ArchiveResults!$F$5:$IX$116,ComparisonData!A107,ComparisonData!$VN$1),0),5)</f>
        <v>0</v>
      </c>
      <c r="VO107" s="46" cm="1">
        <f t="array" ref="VO107">ROUND(IFERROR(INDEX(ArchiveResults!$F$5:$IX$116,ComparisonData!A107,ComparisonData!$VO$1),0),5)</f>
        <v>0</v>
      </c>
      <c r="VP107" s="46" cm="1">
        <f t="array" ref="VP107">ROUND(IFERROR(INDEX(ArchiveResults!$F$5:$IX$116,ComparisonData!A107,ComparisonData!$VP$1),0),5)</f>
        <v>0</v>
      </c>
      <c r="VQ107" s="46" cm="1">
        <f t="array" ref="VQ107">ROUND(IFERROR(INDEX(ArchiveResults!$F$5:$IX$116,ComparisonData!A107,ComparisonData!$VQ$1),0),5)</f>
        <v>0</v>
      </c>
      <c r="VR107" s="56">
        <v>102</v>
      </c>
      <c r="VS107" s="53" t="str">
        <f t="shared" si="1247"/>
        <v>University of Warwick, Modern Records Centre</v>
      </c>
      <c r="VT107" s="60">
        <f t="shared" si="1062"/>
        <v>0</v>
      </c>
      <c r="VU107" s="60">
        <f t="shared" si="1063"/>
        <v>0</v>
      </c>
      <c r="VV107" s="60">
        <f t="shared" si="1064"/>
        <v>0</v>
      </c>
      <c r="VW107" s="60">
        <f t="shared" si="1065"/>
        <v>0</v>
      </c>
      <c r="VX107" s="76">
        <f t="shared" si="1066"/>
        <v>0</v>
      </c>
      <c r="VY107" s="46">
        <f t="shared" si="1067"/>
        <v>71</v>
      </c>
      <c r="VZ107" s="46">
        <f t="shared" si="1248"/>
        <v>2.7889999999999997</v>
      </c>
      <c r="WA107" s="46">
        <f t="shared" si="1068"/>
        <v>1</v>
      </c>
      <c r="WB107" s="46">
        <f t="shared" si="1069"/>
        <v>2</v>
      </c>
      <c r="WC107" s="46" cm="1">
        <f t="array" ref="WC107">ROUND(IFERROR(INDEX(ArchiveResults!$F$5:$IX$116,ComparisonData!A107,ComparisonData!$WC$1),0),5)</f>
        <v>0</v>
      </c>
      <c r="WD107" s="56">
        <v>102</v>
      </c>
      <c r="WE107" s="53" t="str">
        <f t="shared" si="1249"/>
        <v>University of Warwick, Modern Records Centre</v>
      </c>
      <c r="WF107" s="46">
        <f t="shared" si="1070"/>
        <v>0</v>
      </c>
      <c r="WG107" s="76">
        <f t="shared" si="1071"/>
        <v>0</v>
      </c>
      <c r="WH107" s="46">
        <f t="shared" si="1072"/>
        <v>71</v>
      </c>
      <c r="WI107" s="46">
        <f t="shared" si="1250"/>
        <v>2.7889999999999997</v>
      </c>
      <c r="WJ107" s="46">
        <f t="shared" si="1073"/>
        <v>1</v>
      </c>
      <c r="WK107" s="46">
        <f t="shared" si="1074"/>
        <v>2</v>
      </c>
      <c r="WL107" s="46" cm="1">
        <f t="array" ref="WL107">ROUND(IFERROR(INDEX(ArchiveResults!$F$5:$IX$116,ComparisonData!A107,ComparisonData!$WL$1),0),5)</f>
        <v>0</v>
      </c>
      <c r="WM107" s="46" cm="1">
        <f t="array" ref="WM107">IFERROR(INDEX(ArchiveResults!$F$5:$IX$116,ComparisonData!A107,ComparisonData!$WM$1),0)</f>
        <v>0</v>
      </c>
      <c r="WN107" s="56">
        <v>102</v>
      </c>
      <c r="WO107" s="53" t="str">
        <f t="shared" si="1251"/>
        <v>University of Warwick, Modern Records Centre</v>
      </c>
      <c r="WP107" s="60">
        <f t="shared" si="1075"/>
        <v>0</v>
      </c>
      <c r="WQ107" s="60">
        <f t="shared" si="1076"/>
        <v>0</v>
      </c>
      <c r="WR107" s="76">
        <f t="shared" si="1077"/>
        <v>0</v>
      </c>
      <c r="WS107" s="46">
        <f t="shared" si="1078"/>
        <v>71</v>
      </c>
      <c r="WT107" s="46">
        <f t="shared" si="1252"/>
        <v>2.7889999999999997</v>
      </c>
      <c r="WU107" s="46">
        <f t="shared" si="1079"/>
        <v>1</v>
      </c>
      <c r="WV107" s="46">
        <f t="shared" si="1080"/>
        <v>2</v>
      </c>
      <c r="WW107" s="46" cm="1">
        <f t="array" ref="WW107">ROUND(VALUE(IFERROR(INDEX(ArchiveResults!$F$5:$IX$116,ComparisonData!A107,ComparisonData!$WW$1),0)),5)</f>
        <v>0</v>
      </c>
      <c r="WX107" s="46" cm="1">
        <f t="array" ref="WX107">ROUND(IFERROR(INDEX(ArchiveResults!$F$5:$IX$116,ComparisonData!A107,ComparisonData!$WX$1),0),5)</f>
        <v>0</v>
      </c>
      <c r="WY107" s="56">
        <v>102</v>
      </c>
      <c r="WZ107" s="53" t="str">
        <f t="shared" si="1253"/>
        <v>University of Warwick, Modern Records Centre</v>
      </c>
      <c r="XA107" s="60">
        <f t="shared" si="1254"/>
        <v>0</v>
      </c>
      <c r="XB107" s="60">
        <f t="shared" si="1255"/>
        <v>0</v>
      </c>
      <c r="XC107" s="76">
        <f t="shared" si="1081"/>
        <v>0</v>
      </c>
      <c r="XD107" s="46">
        <f t="shared" si="1082"/>
        <v>71</v>
      </c>
      <c r="XE107" s="46">
        <f t="shared" si="1256"/>
        <v>2.7889999999999997</v>
      </c>
      <c r="XF107" s="46">
        <f t="shared" si="1083"/>
        <v>1</v>
      </c>
      <c r="XG107" s="46">
        <f t="shared" si="1084"/>
        <v>2</v>
      </c>
      <c r="XH107" s="46" cm="1">
        <f t="array" ref="XH107">ROUND(VALUE(IFERROR(INDEX(ArchiveResults!$F$5:$IX$116,ComparisonData!A107,ComparisonData!$XH$1),0)),5)</f>
        <v>0</v>
      </c>
      <c r="XI107" s="46" cm="1">
        <f t="array" ref="XI107">ROUND(VALUE(IFERROR(INDEX(ArchiveResults!$F$5:$IX$116,ComparisonData!A107,ComparisonData!$XI$1),0)),5)</f>
        <v>0</v>
      </c>
      <c r="XJ107" s="56">
        <v>102</v>
      </c>
      <c r="XK107" s="53" t="str">
        <f t="shared" si="1257"/>
        <v>University of Warwick, Modern Records Centre</v>
      </c>
      <c r="XL107" s="60">
        <f t="shared" si="1085"/>
        <v>0</v>
      </c>
      <c r="XM107" s="60">
        <f t="shared" si="1086"/>
        <v>0</v>
      </c>
      <c r="XN107" s="76">
        <f t="shared" si="1087"/>
        <v>0</v>
      </c>
      <c r="XO107" s="46">
        <f t="shared" si="1088"/>
        <v>71</v>
      </c>
      <c r="XP107" s="46">
        <f t="shared" si="1258"/>
        <v>2.7889999999999997</v>
      </c>
      <c r="XQ107" s="46">
        <f t="shared" si="1089"/>
        <v>1</v>
      </c>
      <c r="XR107" s="46">
        <f t="shared" si="1090"/>
        <v>2</v>
      </c>
      <c r="XS107" s="46" cm="1">
        <f t="array" ref="XS107">ROUND(VALUE(IFERROR(INDEX(ArchiveResults!$F$5:$IX$116,ComparisonData!A107,ComparisonData!$XS$1),0)),5)</f>
        <v>0</v>
      </c>
      <c r="XT107" s="46" cm="1">
        <f t="array" ref="XT107">ROUND(VALUE(IFERROR(INDEX(ArchiveResults!$F$5:$IX$116,ComparisonData!A107,ComparisonData!$XT$1),0)),5)</f>
        <v>0</v>
      </c>
      <c r="XU107" s="56">
        <v>102</v>
      </c>
      <c r="XV107" s="53" t="str">
        <f t="shared" si="1259"/>
        <v>University of Warwick, Modern Records Centre</v>
      </c>
      <c r="XW107" s="60">
        <f t="shared" si="1091"/>
        <v>0</v>
      </c>
      <c r="XX107" s="60">
        <f t="shared" si="1092"/>
        <v>0</v>
      </c>
      <c r="XY107" s="76">
        <f t="shared" si="1093"/>
        <v>0</v>
      </c>
      <c r="XZ107" s="46">
        <f t="shared" si="1094"/>
        <v>71</v>
      </c>
      <c r="YA107" s="46">
        <f t="shared" si="1260"/>
        <v>2.7889999999999997</v>
      </c>
      <c r="YB107" s="46">
        <f t="shared" si="1095"/>
        <v>1</v>
      </c>
      <c r="YC107" s="46">
        <f t="shared" si="1096"/>
        <v>2</v>
      </c>
      <c r="YD107" s="46" cm="1">
        <f t="array" ref="YD107">ROUND(VALUE(IFERROR(INDEX(ArchiveResults!$F$5:$IX$116,ComparisonData!A107,ComparisonData!$YD$1),0)),5)</f>
        <v>0</v>
      </c>
      <c r="YE107" s="46" cm="1">
        <f t="array" ref="YE107">ROUND(VALUE(IFERROR(INDEX(ArchiveResults!$F$5:$IX$116,ComparisonData!A107,ComparisonData!$YE$1),0)),5)</f>
        <v>0</v>
      </c>
      <c r="YF107" s="56">
        <v>102</v>
      </c>
      <c r="YG107" s="53" t="str">
        <f t="shared" si="1261"/>
        <v>University of Warwick, Modern Records Centre</v>
      </c>
      <c r="YH107" s="60">
        <f t="shared" si="1097"/>
        <v>0</v>
      </c>
      <c r="YI107" s="60">
        <f t="shared" si="1098"/>
        <v>0</v>
      </c>
      <c r="YJ107" s="76">
        <f t="shared" si="1099"/>
        <v>0</v>
      </c>
      <c r="YK107" s="46">
        <f t="shared" si="1100"/>
        <v>71</v>
      </c>
      <c r="YL107" s="46">
        <f t="shared" si="1262"/>
        <v>2.7889999999999997</v>
      </c>
      <c r="YM107" s="46">
        <f t="shared" si="1101"/>
        <v>1</v>
      </c>
      <c r="YN107" s="46">
        <f t="shared" si="1102"/>
        <v>2</v>
      </c>
      <c r="YO107" s="46" cm="1">
        <f t="array" ref="YO107">ROUND(VALUE(IFERROR(INDEX(ArchiveResults!$F$5:$IX$116,ComparisonData!A107,ComparisonData!$YO$1),0)),5)</f>
        <v>0</v>
      </c>
      <c r="YP107" s="46" cm="1">
        <f t="array" ref="YP107">ROUND(VALUE(IFERROR(INDEX(ArchiveResults!$F$5:$IX$116,ComparisonData!A107,ComparisonData!$YP$1),0)),5)</f>
        <v>0</v>
      </c>
      <c r="YQ107" s="56">
        <v>102</v>
      </c>
      <c r="YR107" s="53" t="str">
        <f t="shared" si="1263"/>
        <v>University of Warwick, Modern Records Centre</v>
      </c>
      <c r="YS107" s="60">
        <f t="shared" si="1103"/>
        <v>0</v>
      </c>
      <c r="YT107" s="60">
        <f t="shared" si="1104"/>
        <v>0</v>
      </c>
      <c r="YU107" s="76">
        <f t="shared" si="1105"/>
        <v>0</v>
      </c>
      <c r="YV107" s="46">
        <f t="shared" si="1106"/>
        <v>71</v>
      </c>
      <c r="YW107" s="46">
        <f t="shared" si="1264"/>
        <v>2.7889999999999997</v>
      </c>
      <c r="YX107" s="46">
        <f t="shared" si="1107"/>
        <v>1</v>
      </c>
      <c r="YY107" s="46">
        <f t="shared" si="1108"/>
        <v>2</v>
      </c>
      <c r="YZ107" s="46">
        <f t="shared" si="1109"/>
        <v>0</v>
      </c>
      <c r="ZA107" s="46" cm="1">
        <f t="array" ref="ZA107">ROUNDDOWN(VALUE(IFERROR(INDEX(ArchiveResults!$F$5:$IX$116,ComparisonData!A107,ComparisonData!$ZA$1),0)),5)</f>
        <v>0</v>
      </c>
      <c r="ZB107" s="46" cm="1">
        <f t="array" ref="ZB107">ROUNDDOWN(VALUE(IFERROR(INDEX(ArchiveResults!$F$5:$IX$116,ComparisonData!A107,ComparisonData!$ZB$1),0)),5)</f>
        <v>0</v>
      </c>
      <c r="ZC107" s="46" cm="1">
        <f t="array" ref="ZC107">ROUNDDOWN(VALUE(IFERROR(INDEX(ArchiveResults!$F$5:$IX$116,ComparisonData!A107,ComparisonData!$ZC$1),0)),5)</f>
        <v>0</v>
      </c>
      <c r="ZD107" s="46" cm="1">
        <f t="array" ref="ZD107">ROUNDDOWN(VALUE(IFERROR(INDEX(ArchiveResults!$F$5:$IX$116,ComparisonData!A107,ComparisonData!$ZD$1),0)),5)</f>
        <v>0</v>
      </c>
      <c r="ZE107" s="46" cm="1">
        <f t="array" ref="ZE107">ROUNDDOWN(VALUE(IFERROR(INDEX(ArchiveResults!$F$5:$IX$116,ComparisonData!A107,ComparisonData!$ZE$1),0)),5)</f>
        <v>0</v>
      </c>
      <c r="ZF107" s="56">
        <v>102</v>
      </c>
      <c r="ZG107" s="53" t="str">
        <f t="shared" si="1265"/>
        <v>University of Warwick, Modern Records Centre</v>
      </c>
      <c r="ZH107" s="60">
        <f t="shared" si="1110"/>
        <v>0</v>
      </c>
      <c r="ZI107" s="60">
        <f t="shared" si="1111"/>
        <v>0</v>
      </c>
      <c r="ZJ107" s="60">
        <f t="shared" si="1112"/>
        <v>0</v>
      </c>
      <c r="ZK107" s="60">
        <f t="shared" si="1113"/>
        <v>0</v>
      </c>
      <c r="ZL107" s="60">
        <f t="shared" si="1114"/>
        <v>0</v>
      </c>
      <c r="ZM107" s="76">
        <f t="shared" si="1115"/>
        <v>0</v>
      </c>
      <c r="ZN107" s="46">
        <f t="shared" si="1116"/>
        <v>71</v>
      </c>
      <c r="ZO107" s="46">
        <f t="shared" si="1266"/>
        <v>2.7889999999999997</v>
      </c>
      <c r="ZP107" s="46">
        <f t="shared" si="1117"/>
        <v>1</v>
      </c>
      <c r="ZQ107" s="46">
        <f t="shared" si="1118"/>
        <v>2</v>
      </c>
      <c r="ZR107" s="46" cm="1">
        <f t="array" ref="ZR107">ROUND(VALUE(IFERROR(INDEX(ArchiveResults!$F$5:$IX$116,ComparisonData!A107,ComparisonData!$ZR$1),0)),5)</f>
        <v>0</v>
      </c>
      <c r="ZS107" s="56">
        <v>102</v>
      </c>
      <c r="ZT107" s="53" t="str">
        <f t="shared" si="1267"/>
        <v>University of Warwick, Modern Records Centre</v>
      </c>
      <c r="ZU107" s="46">
        <f t="shared" si="1119"/>
        <v>0</v>
      </c>
      <c r="ZV107" s="76">
        <f t="shared" si="1120"/>
        <v>0</v>
      </c>
      <c r="ZW107" s="81" cm="1">
        <f t="array" ref="ZW107">ROUND((IFERROR(INDEX(ArchiveResults!$F$5:$IX$116,ComparisonData!A107,ComparisonData!$ZW$1),0)),5)</f>
        <v>0</v>
      </c>
      <c r="ZX107" s="81" cm="1">
        <f t="array" ref="ZX107">ROUND((IFERROR(INDEX(ArchiveResults!$F$5:$IX$116,ComparisonData!A107,ComparisonData!$ZX$1),0)),5)</f>
        <v>0</v>
      </c>
      <c r="ZY107" s="81" cm="1">
        <f t="array" ref="ZY107">ROUND((IFERROR(INDEX(ArchiveResults!$F$5:$IX$116,ComparisonData!A107,ComparisonData!$ZY$1),0)),5)</f>
        <v>0</v>
      </c>
      <c r="ZZ107" s="81" cm="1">
        <f t="array" ref="ZZ107">ROUND((IFERROR(INDEX(ArchiveResults!$F$5:$IX$116,ComparisonData!A107,ComparisonData!$ZZ$1),0)),5)</f>
        <v>0</v>
      </c>
      <c r="AAA107" s="81" cm="1">
        <f t="array" ref="AAA107">ROUND((IFERROR(INDEX(ArchiveResults!$F$5:$IX$116,ComparisonData!A107,ComparisonData!$AAA$1),0)),5)</f>
        <v>0</v>
      </c>
      <c r="AAB107" s="81" cm="1">
        <f t="array" ref="AAB107">ROUND((IFERROR(INDEX(ArchiveResults!$F$5:$IX$116,ComparisonData!A107,ComparisonData!$AAB$1),0)),5)</f>
        <v>0</v>
      </c>
      <c r="AAC107" s="81" cm="1">
        <f t="array" ref="AAC107">ROUND((IFERROR(INDEX(ArchiveResults!$F$5:$IX$116,ComparisonData!A107,ComparisonData!$AAC$1),0)),5)</f>
        <v>0</v>
      </c>
      <c r="AAD107" s="81" cm="1">
        <f t="array" ref="AAD107">ROUND((IFERROR(INDEX(ArchiveResults!$F$5:$IX$116,ComparisonData!A107,ComparisonData!$AAD$1),0)),5)</f>
        <v>0</v>
      </c>
      <c r="AAE107" s="81" cm="1">
        <f t="array" ref="AAE107">ROUND((IFERROR(INDEX(ArchiveResults!$F$5:$IX$116,ComparisonData!A107,ComparisonData!$AAE$1),0)),5)</f>
        <v>0</v>
      </c>
      <c r="AAF107" s="81" cm="1">
        <f t="array" ref="AAF107">ROUND((IFERROR(INDEX(ArchiveResults!$F$5:$IX$116,ComparisonData!A107,ComparisonData!$AAF$1),0)),5)</f>
        <v>0</v>
      </c>
      <c r="AAG107" s="46">
        <f t="shared" si="1121"/>
        <v>71</v>
      </c>
      <c r="AAH107" s="46">
        <f t="shared" si="1268"/>
        <v>2.7889999999999997</v>
      </c>
      <c r="AAI107" s="46">
        <f t="shared" si="1122"/>
        <v>1</v>
      </c>
      <c r="AAJ107" s="46">
        <f t="shared" si="1123"/>
        <v>2</v>
      </c>
      <c r="AAK107" s="46">
        <f t="shared" si="1124"/>
        <v>0</v>
      </c>
      <c r="AAL107" s="46">
        <f t="shared" si="1125"/>
        <v>0</v>
      </c>
      <c r="AAM107" s="46">
        <f t="shared" si="1126"/>
        <v>0</v>
      </c>
      <c r="AAN107" s="46">
        <f t="shared" si="1127"/>
        <v>0</v>
      </c>
      <c r="AAO107" s="46">
        <f t="shared" si="1128"/>
        <v>0</v>
      </c>
      <c r="AAP107" s="46">
        <f t="shared" si="1129"/>
        <v>0</v>
      </c>
      <c r="AAQ107" s="56">
        <v>102</v>
      </c>
      <c r="AAR107" s="53" t="str">
        <f t="shared" si="1269"/>
        <v>University of Warwick, Modern Records Centre</v>
      </c>
      <c r="AAS107" s="60">
        <f t="shared" si="1130"/>
        <v>0</v>
      </c>
      <c r="AAT107" s="60">
        <f t="shared" si="1131"/>
        <v>0</v>
      </c>
      <c r="AAU107" s="60">
        <f t="shared" si="1132"/>
        <v>0</v>
      </c>
      <c r="AAV107" s="60">
        <f t="shared" si="1133"/>
        <v>0</v>
      </c>
      <c r="AAW107" s="60">
        <f t="shared" si="1134"/>
        <v>0</v>
      </c>
      <c r="AAX107" s="76">
        <f t="shared" si="1135"/>
        <v>0</v>
      </c>
      <c r="AAY107" s="46">
        <f t="shared" si="1136"/>
        <v>71</v>
      </c>
      <c r="AAZ107" s="46">
        <f t="shared" si="1270"/>
        <v>2.7889999999999997</v>
      </c>
      <c r="ABA107" s="46">
        <f t="shared" si="1137"/>
        <v>1</v>
      </c>
      <c r="ABB107" s="46">
        <f t="shared" si="1138"/>
        <v>2</v>
      </c>
      <c r="ABC107" s="46">
        <f t="shared" si="742"/>
        <v>0</v>
      </c>
      <c r="ABD107" s="46" cm="1">
        <f t="array" ref="ABD107">ROUND(VALUE(IFERROR(INDEX(ArchiveResults!$F$5:$IX$116,ComparisonData!A107,ComparisonData!$ABD$1),0)),5)</f>
        <v>0</v>
      </c>
      <c r="ABE107" s="46" cm="1">
        <f t="array" ref="ABE107">ROUND(VALUE(IFERROR(INDEX(ArchiveResults!$F$5:$IX$116,ComparisonData!A107,ComparisonData!$ABE$1),0)),5)</f>
        <v>0</v>
      </c>
      <c r="ABF107" s="46" cm="1">
        <f t="array" ref="ABF107">ROUND(VALUE(IFERROR(INDEX(ArchiveResults!$F$5:$IX$116,ComparisonData!A107,ComparisonData!$ABF$1),0)),5)</f>
        <v>0</v>
      </c>
      <c r="ABG107" s="46" cm="1">
        <f t="array" ref="ABG107">ROUND(VALUE(IFERROR(INDEX(ArchiveResults!$F$5:$IX$116,ComparisonData!A107,ComparisonData!$ABG$1),0)),5)</f>
        <v>0</v>
      </c>
      <c r="ABH107" s="46" cm="1">
        <f t="array" ref="ABH107">ROUND(VALUE(IFERROR(INDEX(ArchiveResults!$F$5:$IX$116,ComparisonData!A107,ComparisonData!$ABH$1),0)),5)</f>
        <v>0</v>
      </c>
      <c r="ABI107" s="56">
        <v>102</v>
      </c>
      <c r="ABJ107" s="53" t="str">
        <f t="shared" si="1271"/>
        <v>University of Warwick, Modern Records Centre</v>
      </c>
      <c r="ABK107" s="60">
        <f t="shared" si="1139"/>
        <v>0</v>
      </c>
      <c r="ABL107" s="60">
        <f t="shared" si="1140"/>
        <v>0</v>
      </c>
      <c r="ABM107" s="60">
        <f t="shared" si="1141"/>
        <v>0</v>
      </c>
      <c r="ABN107" s="60">
        <f t="shared" si="1142"/>
        <v>0</v>
      </c>
      <c r="ABO107" s="60">
        <f t="shared" si="1143"/>
        <v>0</v>
      </c>
      <c r="ABP107" s="76">
        <f t="shared" si="1144"/>
        <v>0</v>
      </c>
      <c r="ABQ107" s="46">
        <f t="shared" si="1145"/>
        <v>71</v>
      </c>
      <c r="ABR107" s="46">
        <f t="shared" si="1272"/>
        <v>2.7889999999999997</v>
      </c>
      <c r="ABS107" s="46">
        <f t="shared" si="1146"/>
        <v>1</v>
      </c>
      <c r="ABT107" s="46">
        <f t="shared" si="1147"/>
        <v>2</v>
      </c>
      <c r="ABU107" s="46" cm="1">
        <f t="array" ref="ABU107">ROUND(VALUE(IFERROR(INDEX(ArchiveResults!$F$5:$IX$116,ComparisonData!A107,ComparisonData!$ABU$1),0)),5)</f>
        <v>0</v>
      </c>
      <c r="ABV107" s="46" cm="1">
        <f t="array" ref="ABV107">ROUND(VALUE(IFERROR(INDEX(ArchiveResults!$F$5:$IX$116,ComparisonData!A107,ComparisonData!$ABV$1),0)),5)</f>
        <v>0</v>
      </c>
      <c r="ABW107" s="46" cm="1">
        <f t="array" ref="ABW107">ROUND(VALUE(IFERROR(INDEX(ArchiveResults!$F$5:$IX$116,ComparisonData!A107,ComparisonData!$ABW$1),0)),5)</f>
        <v>0</v>
      </c>
      <c r="ABX107" s="46" cm="1">
        <f t="array" ref="ABX107">ROUND(VALUE(IFERROR(INDEX(ArchiveResults!$F$5:$IX$116,ComparisonData!A107,ComparisonData!$ABX$1),0)),5)</f>
        <v>0</v>
      </c>
      <c r="ABY107" s="46" cm="1">
        <f t="array" ref="ABY107">ROUND(VALUE(IFERROR(INDEX(ArchiveResults!$F$5:$IX$116,ComparisonData!A107,ComparisonData!$ABY$1),0)),5)</f>
        <v>0</v>
      </c>
      <c r="ABZ107" s="56">
        <v>102</v>
      </c>
      <c r="ACA107" s="53" t="str">
        <f t="shared" si="1273"/>
        <v>University of Warwick, Modern Records Centre</v>
      </c>
      <c r="ACB107" s="60">
        <f t="shared" si="1148"/>
        <v>0</v>
      </c>
      <c r="ACC107" s="60">
        <f t="shared" si="1149"/>
        <v>0</v>
      </c>
      <c r="ACD107" s="60">
        <f t="shared" si="1150"/>
        <v>0</v>
      </c>
      <c r="ACE107" s="60">
        <f t="shared" si="1151"/>
        <v>0</v>
      </c>
      <c r="ACF107" s="60">
        <f t="shared" si="1152"/>
        <v>0</v>
      </c>
      <c r="ACG107" s="76">
        <f t="shared" si="1153"/>
        <v>0</v>
      </c>
      <c r="ACH107" s="46">
        <f t="shared" si="1154"/>
        <v>71</v>
      </c>
      <c r="ACI107" s="46">
        <f t="shared" si="1274"/>
        <v>2.7889999999999997</v>
      </c>
      <c r="ACJ107" s="46">
        <f t="shared" si="1155"/>
        <v>1</v>
      </c>
      <c r="ACK107" s="46">
        <f t="shared" si="1156"/>
        <v>2</v>
      </c>
      <c r="ACL107" s="46">
        <f t="shared" si="1157"/>
        <v>0</v>
      </c>
      <c r="ACM107" s="46" cm="1">
        <f t="array" ref="ACM107">ROUND(IFERROR(INDEX(ArchiveResults!$F$5:$IX$116,ComparisonData!A107,ComparisonData!$ACM$1),0),5)</f>
        <v>0</v>
      </c>
      <c r="ACN107" s="46" cm="1">
        <f t="array" ref="ACN107">ROUND(IFERROR(INDEX(ArchiveResults!$F$5:$IX$116,ComparisonData!A107,ComparisonData!$ACN$1),0),5)</f>
        <v>0</v>
      </c>
      <c r="ACO107" s="56">
        <v>102</v>
      </c>
      <c r="ACP107" s="53" t="str">
        <f t="shared" si="1275"/>
        <v>University of Warwick, Modern Records Centre</v>
      </c>
      <c r="ACQ107" s="60">
        <f t="shared" si="1158"/>
        <v>0</v>
      </c>
      <c r="ACR107" s="60">
        <f t="shared" si="1159"/>
        <v>0</v>
      </c>
      <c r="ACS107" s="76">
        <f t="shared" si="1160"/>
        <v>0</v>
      </c>
      <c r="ACT107" s="46">
        <f t="shared" si="1161"/>
        <v>71</v>
      </c>
      <c r="ACU107" s="46">
        <f t="shared" si="1276"/>
        <v>2.7889999999999997</v>
      </c>
      <c r="ACV107" s="46">
        <f t="shared" si="1162"/>
        <v>1</v>
      </c>
      <c r="ACW107" s="46">
        <f t="shared" si="1163"/>
        <v>2</v>
      </c>
      <c r="ACX107" s="46">
        <f t="shared" si="1164"/>
        <v>0</v>
      </c>
      <c r="ACY107" s="46" cm="1">
        <f t="array" ref="ACY107">ROUNDDOWN(IFERROR(INDEX(ArchiveResults!$F$5:$IX$116,ComparisonData!A107,ComparisonData!$ACY$1),0),5)</f>
        <v>0</v>
      </c>
      <c r="ACZ107" s="46" cm="1">
        <f t="array" ref="ACZ107">ROUNDDOWN(IFERROR(INDEX(ArchiveResults!$F$5:$IX$116,ComparisonData!A107,ComparisonData!$ACZ$1),0),5)</f>
        <v>0</v>
      </c>
      <c r="ADA107" s="46" cm="1">
        <f t="array" ref="ADA107">ROUNDDOWN(IFERROR(INDEX(ArchiveResults!$F$5:$IX$116,ComparisonData!A107,ComparisonData!$ADA$1),0),5)</f>
        <v>0</v>
      </c>
      <c r="ADB107" s="56">
        <v>102</v>
      </c>
      <c r="ADC107" s="53" t="str">
        <f t="shared" si="1277"/>
        <v>University of Warwick, Modern Records Centre</v>
      </c>
      <c r="ADD107" s="60">
        <f t="shared" si="1165"/>
        <v>0</v>
      </c>
      <c r="ADE107" s="60">
        <f t="shared" si="1166"/>
        <v>0</v>
      </c>
      <c r="ADF107" s="60">
        <f t="shared" si="1167"/>
        <v>0</v>
      </c>
      <c r="ADG107" s="76">
        <f t="shared" si="1168"/>
        <v>0</v>
      </c>
    </row>
    <row r="108" spans="1:787" x14ac:dyDescent="0.25">
      <c r="A108" s="46" t="str">
        <f>IF(ISBLANK(ComparisonSelection!F104),"",ROW()-5)</f>
        <v/>
      </c>
      <c r="B108" s="53" t="s">
        <v>559</v>
      </c>
      <c r="C108" s="72">
        <v>0.51899999999999957</v>
      </c>
      <c r="D108" s="55">
        <f t="shared" si="750"/>
        <v>17</v>
      </c>
      <c r="E108" s="54">
        <f t="shared" si="751"/>
        <v>2.5189999999999997</v>
      </c>
      <c r="F108" s="54">
        <f t="shared" si="752"/>
        <v>1</v>
      </c>
      <c r="G108" s="72">
        <f t="shared" si="753"/>
        <v>2</v>
      </c>
      <c r="H108" s="72">
        <f t="shared" si="754"/>
        <v>0</v>
      </c>
      <c r="I108" s="46" cm="1">
        <f t="array" ref="I108">ROUND(IFERROR(INDEX(ArchiveResults!$F$5:$IX$116,ComparisonData!A108,ComparisonData!$I$1),0),5)</f>
        <v>0</v>
      </c>
      <c r="J108" s="46" cm="1">
        <f t="array" ref="J108">ROUND(IFERROR(INDEX(ArchiveResults!$F$5:$IX$116,ComparisonData!A108,ComparisonData!$J$1),0),5)</f>
        <v>0</v>
      </c>
      <c r="K108" s="56">
        <v>103</v>
      </c>
      <c r="L108" s="53" t="str">
        <f t="shared" si="755"/>
        <v>Wandsworth Heritage Service</v>
      </c>
      <c r="M108" s="57">
        <f t="shared" si="1169"/>
        <v>0</v>
      </c>
      <c r="N108" s="57">
        <f t="shared" si="1170"/>
        <v>0</v>
      </c>
      <c r="O108" s="58">
        <f t="shared" si="756"/>
        <v>0</v>
      </c>
      <c r="P108" s="48">
        <f t="shared" si="757"/>
        <v>17</v>
      </c>
      <c r="Q108" s="54">
        <f t="shared" si="1171"/>
        <v>2.5189999999999997</v>
      </c>
      <c r="R108" s="45">
        <f t="shared" si="758"/>
        <v>1</v>
      </c>
      <c r="S108" s="46">
        <f t="shared" si="759"/>
        <v>2</v>
      </c>
      <c r="T108" s="72">
        <f t="shared" si="760"/>
        <v>0</v>
      </c>
      <c r="U108" s="46" cm="1">
        <f t="array" ref="U108">ROUND(IFERROR(INDEX(ArchiveResults!$F$5:$IX$116,ComparisonData!A108,ComparisonData!$U$1),0),5)</f>
        <v>0</v>
      </c>
      <c r="V108" s="46" cm="1">
        <f t="array" ref="V108">ROUND(IFERROR(INDEX(ArchiveResults!$F$5:$IX$116,ComparisonData!A108,ComparisonData!$V$1),0),5)</f>
        <v>0</v>
      </c>
      <c r="W108" s="56">
        <v>103</v>
      </c>
      <c r="X108" s="53" t="str">
        <f t="shared" si="1172"/>
        <v>Wandsworth Heritage Service</v>
      </c>
      <c r="Y108" s="57">
        <f t="shared" si="761"/>
        <v>0</v>
      </c>
      <c r="Z108" s="57">
        <f t="shared" si="762"/>
        <v>0</v>
      </c>
      <c r="AA108" s="58">
        <f t="shared" si="763"/>
        <v>0</v>
      </c>
      <c r="AB108" s="45">
        <f t="shared" si="764"/>
        <v>17</v>
      </c>
      <c r="AC108" s="54">
        <f t="shared" si="1173"/>
        <v>2.5189999999999997</v>
      </c>
      <c r="AD108" s="45">
        <f t="shared" si="765"/>
        <v>1</v>
      </c>
      <c r="AE108" s="45">
        <f t="shared" si="766"/>
        <v>2</v>
      </c>
      <c r="AF108" s="45">
        <f t="shared" si="639"/>
        <v>0</v>
      </c>
      <c r="AG108" s="46" cm="1">
        <f t="array" ref="AG108">ROUND(IFERROR(INDEX(ArchiveResults!$F$5:$IX$116,ComparisonData!A108,ComparisonData!$AG$1),0),5)</f>
        <v>0</v>
      </c>
      <c r="AH108" s="46" cm="1">
        <f t="array" ref="AH108">ROUND(IFERROR(INDEX(ArchiveResults!$F$5:$IX$116,ComparisonData!A108,ComparisonData!$AH$1),0),5)</f>
        <v>0</v>
      </c>
      <c r="AI108" s="56">
        <v>103</v>
      </c>
      <c r="AJ108" s="53" t="str">
        <f t="shared" si="1174"/>
        <v>Wandsworth Heritage Service</v>
      </c>
      <c r="AK108" s="59">
        <f t="shared" si="1175"/>
        <v>0</v>
      </c>
      <c r="AL108" s="59">
        <f t="shared" si="1176"/>
        <v>0</v>
      </c>
      <c r="AM108" s="58">
        <f t="shared" si="767"/>
        <v>0</v>
      </c>
      <c r="AN108" s="45">
        <f t="shared" si="768"/>
        <v>17</v>
      </c>
      <c r="AO108" s="54">
        <f t="shared" si="1177"/>
        <v>2.5189999999999997</v>
      </c>
      <c r="AP108" s="45">
        <f t="shared" si="769"/>
        <v>1</v>
      </c>
      <c r="AQ108" s="45">
        <f t="shared" si="770"/>
        <v>2</v>
      </c>
      <c r="AR108" s="46" cm="1">
        <f t="array" ref="AR108">ROUND(IFERROR(INDEX(ArchiveResults!$F$5:$IX$116,ComparisonData!A108,ComparisonData!$AR$1),0),5)</f>
        <v>0</v>
      </c>
      <c r="AS108" s="46" cm="1">
        <f t="array" ref="AS108">ROUND(IFERROR(INDEX(ArchiveResults!$F$5:$IX$116,ComparisonData!A108,ComparisonData!$AS$1),0),5)</f>
        <v>0</v>
      </c>
      <c r="AT108" s="46" cm="1">
        <f t="array" ref="AT108">ROUND(IFERROR(INDEX(ArchiveResults!$F$5:$IX$116,ComparisonData!A108,ComparisonData!$AT$1),0),5)</f>
        <v>0</v>
      </c>
      <c r="AU108" s="46" cm="1">
        <f t="array" ref="AU108">ROUND(IFERROR(INDEX(ArchiveResults!$F$5:$IX$116,ComparisonData!A108,ComparisonData!$AU$1),0),5)</f>
        <v>0</v>
      </c>
      <c r="AV108" s="46" cm="1">
        <f t="array" ref="AV108">ROUND(IFERROR(INDEX(ArchiveResults!$F$5:$IX$116,ComparisonData!A108,ComparisonData!$AV$1),0),5)</f>
        <v>0</v>
      </c>
      <c r="AW108" s="46" cm="1">
        <f t="array" ref="AW108">ROUND(IFERROR(INDEX(ArchiveResults!$F$5:$IX$116,ComparisonData!A108,ComparisonData!$AW$1),0),5)</f>
        <v>0</v>
      </c>
      <c r="AX108" s="46" cm="1">
        <f t="array" ref="AX108">ROUND(IFERROR(INDEX(ArchiveResults!$F$5:$IX$116,ComparisonData!A108,ComparisonData!$AX$1),0),5)</f>
        <v>0</v>
      </c>
      <c r="AY108" s="46" cm="1">
        <f t="array" ref="AY108">ROUND(IFERROR(INDEX(ArchiveResults!$F$5:$IX$116,ComparisonData!A108,ComparisonData!$AY$1),0),5)</f>
        <v>0</v>
      </c>
      <c r="AZ108" s="46" cm="1">
        <f t="array" ref="AZ108">ROUND(IFERROR(INDEX(ArchiveResults!$F$5:$IX$116,ComparisonData!A108,ComparisonData!$AZ$1),0),5)</f>
        <v>0</v>
      </c>
      <c r="BA108" s="46" cm="1">
        <f t="array" ref="BA108">ROUND(IFERROR(INDEX(ArchiveResults!$F$5:$IX$116,ComparisonData!A108,ComparisonData!$BA$1),0),5)</f>
        <v>0</v>
      </c>
      <c r="BB108" s="56">
        <v>103</v>
      </c>
      <c r="BC108" s="53" t="str">
        <f t="shared" si="1178"/>
        <v>Wandsworth Heritage Service</v>
      </c>
      <c r="BD108" s="60">
        <f t="shared" si="771"/>
        <v>0</v>
      </c>
      <c r="BE108" s="60">
        <f t="shared" si="772"/>
        <v>0</v>
      </c>
      <c r="BF108" s="60">
        <f t="shared" si="773"/>
        <v>0</v>
      </c>
      <c r="BG108" s="60">
        <f t="shared" si="774"/>
        <v>0</v>
      </c>
      <c r="BH108" s="60">
        <f t="shared" si="775"/>
        <v>0</v>
      </c>
      <c r="BI108" s="60">
        <f t="shared" si="776"/>
        <v>0</v>
      </c>
      <c r="BJ108" s="60">
        <f t="shared" si="777"/>
        <v>0</v>
      </c>
      <c r="BK108" s="60">
        <f t="shared" si="778"/>
        <v>0</v>
      </c>
      <c r="BL108" s="60">
        <f t="shared" si="779"/>
        <v>0</v>
      </c>
      <c r="BM108" s="59">
        <f t="shared" si="780"/>
        <v>0</v>
      </c>
      <c r="BN108" s="58">
        <f t="shared" si="781"/>
        <v>0</v>
      </c>
      <c r="BO108" s="45">
        <f t="shared" si="782"/>
        <v>17</v>
      </c>
      <c r="BP108" s="54">
        <f t="shared" si="1179"/>
        <v>2.5189999999999997</v>
      </c>
      <c r="BQ108" s="45">
        <f t="shared" si="783"/>
        <v>1</v>
      </c>
      <c r="BR108" s="45">
        <f t="shared" si="784"/>
        <v>2</v>
      </c>
      <c r="BS108" s="46" cm="1">
        <f t="array" ref="BS108">ROUND(IFERROR(INDEX(ArchiveResults!$F$5:$IX$116,ComparisonData!A108,ComparisonData!$BS$1),0),5)</f>
        <v>0</v>
      </c>
      <c r="BT108" s="46" cm="1">
        <f t="array" ref="BT108">ROUND(IFERROR(INDEX(ArchiveResults!$F$5:$IX$116,ComparisonData!A108,ComparisonData!$BT$1),0),5)</f>
        <v>0</v>
      </c>
      <c r="BU108" s="46" cm="1">
        <f t="array" ref="BU108">ROUND(IFERROR(INDEX(ArchiveResults!$F$5:$IX$116,ComparisonData!A108,ComparisonData!$BU$1),0),5)</f>
        <v>0</v>
      </c>
      <c r="BV108" s="46" cm="1">
        <f t="array" ref="BV108">ROUND(IFERROR(INDEX(ArchiveResults!$F$5:$IX$116,ComparisonData!A108,ComparisonData!$BV$1),0),5)</f>
        <v>0</v>
      </c>
      <c r="BW108" s="46" cm="1">
        <f t="array" ref="BW108">ROUND(IFERROR(INDEX(ArchiveResults!$F$5:$IX$116,ComparisonData!A108,ComparisonData!$BW$1),0),5)</f>
        <v>0</v>
      </c>
      <c r="BX108" s="46" cm="1">
        <f t="array" ref="BX108">ROUND(IFERROR(INDEX(ArchiveResults!$F$5:$IX$116,ComparisonData!A108,ComparisonData!$BX$1),0),5)</f>
        <v>0</v>
      </c>
      <c r="BY108" s="56">
        <v>103</v>
      </c>
      <c r="BZ108" s="53" t="str">
        <f t="shared" si="1180"/>
        <v>Wandsworth Heritage Service</v>
      </c>
      <c r="CA108" s="59">
        <f t="shared" si="785"/>
        <v>0</v>
      </c>
      <c r="CB108" s="59">
        <f t="shared" si="786"/>
        <v>0</v>
      </c>
      <c r="CC108" s="59">
        <f t="shared" si="787"/>
        <v>0</v>
      </c>
      <c r="CD108" s="59">
        <f t="shared" si="788"/>
        <v>0</v>
      </c>
      <c r="CE108" s="59">
        <f t="shared" si="789"/>
        <v>0</v>
      </c>
      <c r="CF108" s="59">
        <f t="shared" si="790"/>
        <v>0</v>
      </c>
      <c r="CG108" s="58">
        <f t="shared" si="791"/>
        <v>0</v>
      </c>
      <c r="CH108" s="45">
        <f t="shared" si="792"/>
        <v>17</v>
      </c>
      <c r="CI108" s="54">
        <f t="shared" si="1181"/>
        <v>2.5189999999999997</v>
      </c>
      <c r="CJ108" s="45">
        <f t="shared" si="793"/>
        <v>1</v>
      </c>
      <c r="CK108" s="45">
        <f t="shared" si="794"/>
        <v>2</v>
      </c>
      <c r="CL108" s="46" cm="1">
        <f t="array" ref="CL108">ROUND(IFERROR(INDEX(ArchiveResults!$F$5:$IX$116,ComparisonData!A108,ComparisonData!$CL$1),0),5)</f>
        <v>0</v>
      </c>
      <c r="CM108" s="56">
        <v>103</v>
      </c>
      <c r="CN108" s="53" t="str">
        <f t="shared" si="1182"/>
        <v>Wandsworth Heritage Service</v>
      </c>
      <c r="CO108" s="45">
        <f t="shared" si="795"/>
        <v>0</v>
      </c>
      <c r="CP108" s="58">
        <f t="shared" si="796"/>
        <v>0</v>
      </c>
      <c r="CQ108" s="45">
        <f t="shared" si="797"/>
        <v>17</v>
      </c>
      <c r="CR108" s="54">
        <f t="shared" si="1183"/>
        <v>2.5189999999999997</v>
      </c>
      <c r="CS108" s="45">
        <f t="shared" si="798"/>
        <v>1</v>
      </c>
      <c r="CT108" s="45">
        <f t="shared" si="799"/>
        <v>2</v>
      </c>
      <c r="CU108" s="46" cm="1">
        <f t="array" ref="CU108">ROUND(IFERROR(INDEX(ArchiveResults!$F$5:$IX$116,ComparisonData!A108,ComparisonData!$CU$1),0),5)</f>
        <v>0</v>
      </c>
      <c r="CV108" s="56">
        <v>103</v>
      </c>
      <c r="CW108" s="53" t="str">
        <f t="shared" si="1184"/>
        <v>Wandsworth Heritage Service</v>
      </c>
      <c r="CX108" s="45">
        <f t="shared" si="800"/>
        <v>0</v>
      </c>
      <c r="CY108" s="58">
        <f t="shared" si="801"/>
        <v>0</v>
      </c>
      <c r="CZ108" s="45">
        <f t="shared" si="802"/>
        <v>17</v>
      </c>
      <c r="DA108" s="54">
        <f t="shared" si="1185"/>
        <v>2.5189999999999997</v>
      </c>
      <c r="DB108" s="45">
        <f t="shared" si="803"/>
        <v>1</v>
      </c>
      <c r="DC108" s="45">
        <f t="shared" si="804"/>
        <v>2</v>
      </c>
      <c r="DD108" s="46" cm="1">
        <f t="array" ref="DD108">ROUND(IFERROR(INDEX(ArchiveResults!$F$5:$IX$116,ComparisonData!A108,ComparisonData!$DD$1),0),5)</f>
        <v>0</v>
      </c>
      <c r="DE108" s="56">
        <v>103</v>
      </c>
      <c r="DF108" s="53" t="str">
        <f t="shared" si="1186"/>
        <v>Wandsworth Heritage Service</v>
      </c>
      <c r="DG108" s="45">
        <f t="shared" si="805"/>
        <v>0</v>
      </c>
      <c r="DH108" s="58">
        <f t="shared" si="806"/>
        <v>0</v>
      </c>
      <c r="DI108" s="45">
        <f t="shared" si="807"/>
        <v>17</v>
      </c>
      <c r="DJ108" s="54">
        <f t="shared" si="1187"/>
        <v>2.5189999999999997</v>
      </c>
      <c r="DK108" s="45">
        <f t="shared" si="808"/>
        <v>1</v>
      </c>
      <c r="DL108" s="45">
        <f t="shared" si="809"/>
        <v>2</v>
      </c>
      <c r="DM108" s="46" cm="1">
        <f t="array" ref="DM108">ROUND(IFERROR(INDEX(ArchiveResults!$F$5:$IX$116,ComparisonData!A108,ComparisonData!$DM$1),0),5)</f>
        <v>0</v>
      </c>
      <c r="DN108" s="46" cm="1">
        <f t="array" ref="DN108">ROUND(IFERROR(INDEX(ArchiveResults!$F$5:$IX$116,ComparisonData!A108,ComparisonData!$DN$1),0),5)</f>
        <v>0</v>
      </c>
      <c r="DO108" s="46" cm="1">
        <f t="array" ref="DO108">ROUND(IFERROR(INDEX(ArchiveResults!$F$5:$IX$116,ComparisonData!A108,ComparisonData!$DO$1),0),5)</f>
        <v>0</v>
      </c>
      <c r="DP108" s="46" cm="1">
        <f t="array" ref="DP108">ROUND(IFERROR(INDEX(ArchiveResults!$F$5:$IX$116,ComparisonData!A108,ComparisonData!$DP$1),0),5)</f>
        <v>0</v>
      </c>
      <c r="DQ108" s="45" cm="1">
        <f t="array" ref="DQ108">IFERROR(INDEX(ArchiveResults!$F$5:$IX$116,ComparisonData!A108,ComparisonData!$DQ$1),0)</f>
        <v>0</v>
      </c>
      <c r="DR108" s="56">
        <v>103</v>
      </c>
      <c r="DS108" s="53" t="str">
        <f t="shared" si="1188"/>
        <v>Wandsworth Heritage Service</v>
      </c>
      <c r="DT108" s="59">
        <f t="shared" si="810"/>
        <v>0</v>
      </c>
      <c r="DU108" s="59">
        <f t="shared" si="811"/>
        <v>0</v>
      </c>
      <c r="DV108" s="59">
        <f t="shared" si="812"/>
        <v>0</v>
      </c>
      <c r="DW108" s="59">
        <f t="shared" si="813"/>
        <v>0</v>
      </c>
      <c r="DX108" s="59">
        <f t="shared" si="814"/>
        <v>0</v>
      </c>
      <c r="DY108" s="58">
        <f t="shared" si="815"/>
        <v>0</v>
      </c>
      <c r="DZ108" s="45">
        <f t="shared" si="816"/>
        <v>17</v>
      </c>
      <c r="EA108" s="54">
        <f t="shared" si="1189"/>
        <v>2.5189999999999997</v>
      </c>
      <c r="EB108" s="45">
        <f t="shared" si="817"/>
        <v>1</v>
      </c>
      <c r="EC108" s="45">
        <f t="shared" si="818"/>
        <v>2</v>
      </c>
      <c r="ED108" s="46" cm="1">
        <f t="array" ref="ED108">ROUND(IFERROR(INDEX(ArchiveResults!$F$5:$IX$116,ComparisonData!A108,ComparisonData!$ED$1),0),5)</f>
        <v>0</v>
      </c>
      <c r="EE108" s="46" cm="1">
        <f t="array" ref="EE108">ROUND(IFERROR(INDEX(ArchiveResults!$F$5:$IX$116,ComparisonData!A108,ComparisonData!$EE$1),0),5)</f>
        <v>0</v>
      </c>
      <c r="EF108" s="46" cm="1">
        <f t="array" ref="EF108">ROUND(IFERROR(INDEX(ArchiveResults!$F$5:$IX$116,ComparisonData!A108,ComparisonData!$EF$1),0),5)</f>
        <v>0</v>
      </c>
      <c r="EG108" s="46" cm="1">
        <f t="array" ref="EG108">ROUND(IFERROR(INDEX(ArchiveResults!$F$5:$IX$116,ComparisonData!A108,ComparisonData!$EG$1),0),5)</f>
        <v>0</v>
      </c>
      <c r="EH108" s="45" cm="1">
        <f t="array" ref="EH108">IFERROR(INDEX(ArchiveResults!$F$5:$IX$116,ComparisonData!A108,ComparisonData!$EH$1),0)</f>
        <v>0</v>
      </c>
      <c r="EI108" s="56">
        <v>103</v>
      </c>
      <c r="EJ108" s="53" t="str">
        <f t="shared" si="1190"/>
        <v>Wandsworth Heritage Service</v>
      </c>
      <c r="EK108" s="59">
        <f t="shared" si="819"/>
        <v>0</v>
      </c>
      <c r="EL108" s="59">
        <f t="shared" si="820"/>
        <v>0</v>
      </c>
      <c r="EM108" s="59">
        <f t="shared" si="821"/>
        <v>0</v>
      </c>
      <c r="EN108" s="59">
        <f t="shared" si="822"/>
        <v>0</v>
      </c>
      <c r="EO108" s="59">
        <f t="shared" si="823"/>
        <v>0</v>
      </c>
      <c r="EP108" s="58">
        <f t="shared" si="824"/>
        <v>0</v>
      </c>
      <c r="EQ108" s="45">
        <f t="shared" si="825"/>
        <v>17</v>
      </c>
      <c r="ER108" s="54">
        <f t="shared" si="1191"/>
        <v>2.5189999999999997</v>
      </c>
      <c r="ES108" s="45">
        <f t="shared" si="826"/>
        <v>1</v>
      </c>
      <c r="ET108" s="45">
        <f t="shared" si="827"/>
        <v>2</v>
      </c>
      <c r="EU108" s="46" cm="1">
        <f t="array" ref="EU108">ROUND(IFERROR(INDEX(ArchiveResults!$F$5:$IX$116,ComparisonData!A108,ComparisonData!$EU$1),0),5)</f>
        <v>0</v>
      </c>
      <c r="EV108" s="46" cm="1">
        <f t="array" ref="EV108">ROUND(IFERROR(INDEX(ArchiveResults!$F$5:$IX$116,ComparisonData!A108,ComparisonData!$EV$1),0),5)</f>
        <v>0</v>
      </c>
      <c r="EW108" s="46" cm="1">
        <f t="array" ref="EW108">ROUND(IFERROR(INDEX(ArchiveResults!$F$5:$IX$116,ComparisonData!A108,ComparisonData!$EW$1),0),5)</f>
        <v>0</v>
      </c>
      <c r="EX108" s="46" cm="1">
        <f t="array" ref="EX108">ROUND(IFERROR(INDEX(ArchiveResults!$F$5:$IX$116,ComparisonData!A108,ComparisonData!$EX$1),0),5)</f>
        <v>0</v>
      </c>
      <c r="EY108" s="45" cm="1">
        <f t="array" ref="EY108">IFERROR(INDEX(ArchiveResults!$F$5:$IX$116,ComparisonData!A108,ComparisonData!$EY$1),0)</f>
        <v>0</v>
      </c>
      <c r="EZ108" s="56">
        <v>103</v>
      </c>
      <c r="FA108" s="53" t="str">
        <f t="shared" si="1192"/>
        <v>Wandsworth Heritage Service</v>
      </c>
      <c r="FB108" s="59">
        <f t="shared" si="828"/>
        <v>0</v>
      </c>
      <c r="FC108" s="59">
        <f t="shared" si="829"/>
        <v>0</v>
      </c>
      <c r="FD108" s="59">
        <f t="shared" si="830"/>
        <v>0</v>
      </c>
      <c r="FE108" s="59">
        <f t="shared" si="831"/>
        <v>0</v>
      </c>
      <c r="FF108" s="59">
        <f t="shared" si="832"/>
        <v>0</v>
      </c>
      <c r="FG108" s="58">
        <f t="shared" si="833"/>
        <v>0</v>
      </c>
      <c r="FH108" s="45">
        <f t="shared" si="834"/>
        <v>17</v>
      </c>
      <c r="FI108" s="54">
        <f t="shared" si="1193"/>
        <v>2.5189999999999997</v>
      </c>
      <c r="FJ108" s="45">
        <f t="shared" si="835"/>
        <v>1</v>
      </c>
      <c r="FK108" s="45">
        <f t="shared" si="836"/>
        <v>2</v>
      </c>
      <c r="FL108" s="46" cm="1">
        <f t="array" ref="FL108">ROUND(IFERROR(INDEX(ArchiveResults!$F$5:$IX$116,ComparisonData!A108,ComparisonData!$FL$1),0),5)</f>
        <v>0</v>
      </c>
      <c r="FM108" s="46" cm="1">
        <f t="array" ref="FM108">ROUND(IFERROR(INDEX(ArchiveResults!$F$5:$IX$116,ComparisonData!A108,ComparisonData!$FM$1),0),5)</f>
        <v>0</v>
      </c>
      <c r="FN108" s="46" cm="1">
        <f t="array" ref="FN108">ROUND(IFERROR(INDEX(ArchiveResults!$F$5:$IX$116,ComparisonData!A108,ComparisonData!$FN$1),0),5)</f>
        <v>0</v>
      </c>
      <c r="FO108" s="46" cm="1">
        <f t="array" ref="FO108">ROUND(IFERROR(INDEX(ArchiveResults!$F$5:$IX$116,ComparisonData!A108,ComparisonData!$FO$1),0),5)</f>
        <v>0</v>
      </c>
      <c r="FP108" s="45" cm="1">
        <f t="array" ref="FP108">IFERROR(INDEX(ArchiveResults!$F$5:$IX$116,ComparisonData!A108,ComparisonData!$FP$1),0)</f>
        <v>0</v>
      </c>
      <c r="FQ108" s="56">
        <v>103</v>
      </c>
      <c r="FR108" s="53" t="str">
        <f t="shared" si="1194"/>
        <v>Wandsworth Heritage Service</v>
      </c>
      <c r="FS108" s="59">
        <f t="shared" si="837"/>
        <v>0</v>
      </c>
      <c r="FT108" s="59">
        <f t="shared" si="838"/>
        <v>0</v>
      </c>
      <c r="FU108" s="59">
        <f t="shared" si="839"/>
        <v>0</v>
      </c>
      <c r="FV108" s="59">
        <f t="shared" si="840"/>
        <v>0</v>
      </c>
      <c r="FW108" s="59">
        <f t="shared" si="841"/>
        <v>0</v>
      </c>
      <c r="FX108" s="58">
        <f t="shared" si="842"/>
        <v>0</v>
      </c>
      <c r="FY108" s="45">
        <f t="shared" si="843"/>
        <v>17</v>
      </c>
      <c r="FZ108" s="45">
        <f t="shared" si="1195"/>
        <v>2.5189999999999997</v>
      </c>
      <c r="GA108" s="45">
        <f t="shared" si="844"/>
        <v>1</v>
      </c>
      <c r="GB108" s="45">
        <f t="shared" si="845"/>
        <v>2</v>
      </c>
      <c r="GC108" s="46" cm="1">
        <f t="array" ref="GC108">ROUND(IFERROR(INDEX(ArchiveResults!$F$5:$IX$116,ComparisonData!A108,ComparisonData!$GC$1),0),5)</f>
        <v>0</v>
      </c>
      <c r="GD108" s="46" cm="1">
        <f t="array" ref="GD108">ROUND(IFERROR(INDEX(ArchiveResults!$F$5:$IX$116,ComparisonData!A108,ComparisonData!$GD$1),0),5)</f>
        <v>0</v>
      </c>
      <c r="GE108" s="46" cm="1">
        <f t="array" ref="GE108">ROUND(IFERROR(INDEX(ArchiveResults!$F$5:$IX$116,ComparisonData!A108,ComparisonData!$GE$1),0),5)</f>
        <v>0</v>
      </c>
      <c r="GF108" s="46" cm="1">
        <f t="array" ref="GF108">ROUND(IFERROR(INDEX(ArchiveResults!$F$5:$IX$116,ComparisonData!A108,ComparisonData!$GF$1),0),5)</f>
        <v>0</v>
      </c>
      <c r="GG108" s="45" cm="1">
        <f t="array" ref="GG108">IFERROR(INDEX(ArchiveResults!$F$5:$IX$116,ComparisonData!A108,ComparisonData!$GG$1),0)</f>
        <v>0</v>
      </c>
      <c r="GH108" s="56">
        <v>103</v>
      </c>
      <c r="GI108" s="53" t="str">
        <f t="shared" si="1196"/>
        <v>Wandsworth Heritage Service</v>
      </c>
      <c r="GJ108" s="59">
        <f t="shared" si="846"/>
        <v>0</v>
      </c>
      <c r="GK108" s="59">
        <f t="shared" si="847"/>
        <v>0</v>
      </c>
      <c r="GL108" s="59">
        <f t="shared" si="848"/>
        <v>0</v>
      </c>
      <c r="GM108" s="59">
        <f t="shared" si="849"/>
        <v>0</v>
      </c>
      <c r="GN108" s="59">
        <f t="shared" si="850"/>
        <v>0</v>
      </c>
      <c r="GO108" s="58">
        <f t="shared" si="851"/>
        <v>0</v>
      </c>
      <c r="GP108" s="45">
        <f t="shared" si="852"/>
        <v>17</v>
      </c>
      <c r="GQ108" s="45">
        <f t="shared" si="1197"/>
        <v>2.5189999999999997</v>
      </c>
      <c r="GR108" s="45">
        <f t="shared" si="853"/>
        <v>1</v>
      </c>
      <c r="GS108" s="45">
        <f t="shared" si="854"/>
        <v>2</v>
      </c>
      <c r="GT108" s="46" cm="1">
        <f t="array" ref="GT108">ROUND(IFERROR(INDEX(ArchiveResults!$F$5:$IX$116,ComparisonData!A108,ComparisonData!$GT$1),0),5)</f>
        <v>0</v>
      </c>
      <c r="GU108" s="46" cm="1">
        <f t="array" ref="GU108">ROUND(IFERROR(INDEX(ArchiveResults!$F$5:$IX$116,ComparisonData!A108,ComparisonData!$GU$1),0),5)</f>
        <v>0</v>
      </c>
      <c r="GV108" s="46" cm="1">
        <f t="array" ref="GV108">ROUND(IFERROR(INDEX(ArchiveResults!$F$5:$IX$116,ComparisonData!A108,ComparisonData!$GV$1),0),5)</f>
        <v>0</v>
      </c>
      <c r="GW108" s="46" cm="1">
        <f t="array" ref="GW108">ROUND(IFERROR(INDEX(ArchiveResults!$F$5:$IX$116,ComparisonData!A108,ComparisonData!$GW$1),0),5)</f>
        <v>0</v>
      </c>
      <c r="GX108" s="45" cm="1">
        <f t="array" ref="GX108">IFERROR(INDEX(ArchiveResults!$F$5:$IX$116,ComparisonData!A108,ComparisonData!$GX$1),0)</f>
        <v>0</v>
      </c>
      <c r="GY108" s="56">
        <v>103</v>
      </c>
      <c r="GZ108" s="53" t="str">
        <f t="shared" si="1198"/>
        <v>Wandsworth Heritage Service</v>
      </c>
      <c r="HA108" s="59">
        <f t="shared" si="855"/>
        <v>0</v>
      </c>
      <c r="HB108" s="59">
        <f t="shared" si="856"/>
        <v>0</v>
      </c>
      <c r="HC108" s="59">
        <f t="shared" si="857"/>
        <v>0</v>
      </c>
      <c r="HD108" s="59">
        <f t="shared" si="858"/>
        <v>0</v>
      </c>
      <c r="HE108" s="59">
        <f t="shared" si="859"/>
        <v>0</v>
      </c>
      <c r="HF108" s="58">
        <f t="shared" si="860"/>
        <v>0</v>
      </c>
      <c r="HG108" s="45">
        <f t="shared" si="861"/>
        <v>17</v>
      </c>
      <c r="HH108" s="45">
        <f t="shared" si="1199"/>
        <v>2.5189999999999997</v>
      </c>
      <c r="HI108" s="45">
        <f t="shared" si="862"/>
        <v>1</v>
      </c>
      <c r="HJ108" s="45">
        <f t="shared" si="863"/>
        <v>2</v>
      </c>
      <c r="HK108" s="46" cm="1">
        <f t="array" ref="HK108">ROUND(IFERROR(INDEX(ArchiveResults!$F$5:$IX$116,ComparisonData!A108,ComparisonData!$HK$1),0),5)</f>
        <v>0</v>
      </c>
      <c r="HL108" s="46" cm="1">
        <f t="array" ref="HL108">ROUND(IFERROR(INDEX(ArchiveResults!$F$5:$IX$116,ComparisonData!A108,ComparisonData!$HL$1),0),5)</f>
        <v>0</v>
      </c>
      <c r="HM108" s="46" cm="1">
        <f t="array" ref="HM108">ROUND(IFERROR(INDEX(ArchiveResults!$F$5:$IX$116,ComparisonData!A108,ComparisonData!$HM$1),0),5)</f>
        <v>0</v>
      </c>
      <c r="HN108" s="46" cm="1">
        <f t="array" ref="HN108">ROUND(IFERROR(INDEX(ArchiveResults!$F$5:$IX$116,ComparisonData!A108,ComparisonData!$HN$1),0),5)</f>
        <v>0</v>
      </c>
      <c r="HO108" s="45" cm="1">
        <f t="array" ref="HO108">IFERROR(INDEX(ArchiveResults!$F$5:$IX$116,ComparisonData!A108,ComparisonData!$HO$1),0)</f>
        <v>0</v>
      </c>
      <c r="HP108" s="56">
        <v>103</v>
      </c>
      <c r="HQ108" s="53" t="str">
        <f t="shared" si="1200"/>
        <v>Wandsworth Heritage Service</v>
      </c>
      <c r="HR108" s="59">
        <f t="shared" si="1201"/>
        <v>0</v>
      </c>
      <c r="HS108" s="59">
        <f t="shared" si="1202"/>
        <v>0</v>
      </c>
      <c r="HT108" s="59">
        <f t="shared" si="1203"/>
        <v>0</v>
      </c>
      <c r="HU108" s="59">
        <f t="shared" si="1204"/>
        <v>0</v>
      </c>
      <c r="HV108" s="59">
        <f t="shared" si="1205"/>
        <v>0</v>
      </c>
      <c r="HW108" s="58">
        <f t="shared" si="864"/>
        <v>0</v>
      </c>
      <c r="HX108" s="45">
        <f t="shared" si="865"/>
        <v>17</v>
      </c>
      <c r="HY108" s="45">
        <f t="shared" si="1206"/>
        <v>2.5189999999999997</v>
      </c>
      <c r="HZ108" s="45">
        <f t="shared" si="866"/>
        <v>1</v>
      </c>
      <c r="IA108" s="45">
        <f t="shared" si="867"/>
        <v>2</v>
      </c>
      <c r="IB108" s="45">
        <f t="shared" si="868"/>
        <v>0</v>
      </c>
      <c r="IC108" s="46" cm="1">
        <f t="array" ref="IC108">ROUND(IFERROR(INDEX(ArchiveResults!$F$5:$IX$116,ComparisonData!A108,ComparisonData!$IC$1),0),5)</f>
        <v>0</v>
      </c>
      <c r="ID108" s="46" cm="1">
        <f t="array" ref="ID108">ROUND(IFERROR(INDEX(ArchiveResults!$F$5:$IX$116,ComparisonData!A108,ComparisonData!$ID$1),0),5)</f>
        <v>0</v>
      </c>
      <c r="IE108" s="46" cm="1">
        <f t="array" ref="IE108">ROUND(IFERROR(INDEX(ArchiveResults!$F$5:$IX$116,ComparisonData!A108,ComparisonData!$IE$1),0),5)</f>
        <v>0</v>
      </c>
      <c r="IF108" s="46" cm="1">
        <f t="array" ref="IF108">ROUND(IFERROR(INDEX(ArchiveResults!$F$5:$IX$116,ComparisonData!A108,ComparisonData!$IF$1),0),5)</f>
        <v>0</v>
      </c>
      <c r="IG108" s="45" cm="1">
        <f t="array" ref="IG108">IFERROR(INDEX(ArchiveResults!$F$5:$IX$116,ComparisonData!A108,ComparisonData!$IG$1),0)</f>
        <v>0</v>
      </c>
      <c r="IH108" s="56">
        <v>103</v>
      </c>
      <c r="II108" s="53" t="str">
        <f t="shared" si="1207"/>
        <v>Wandsworth Heritage Service</v>
      </c>
      <c r="IJ108" s="59">
        <f t="shared" si="869"/>
        <v>0</v>
      </c>
      <c r="IK108" s="59">
        <f t="shared" si="870"/>
        <v>0</v>
      </c>
      <c r="IL108" s="59">
        <f t="shared" si="871"/>
        <v>0</v>
      </c>
      <c r="IM108" s="59">
        <f t="shared" si="872"/>
        <v>0</v>
      </c>
      <c r="IN108" s="59">
        <f t="shared" si="873"/>
        <v>0</v>
      </c>
      <c r="IO108" s="58">
        <f t="shared" si="874"/>
        <v>0</v>
      </c>
      <c r="IP108" s="45">
        <f t="shared" si="875"/>
        <v>17</v>
      </c>
      <c r="IQ108" s="45">
        <f t="shared" si="1208"/>
        <v>2.5189999999999997</v>
      </c>
      <c r="IR108" s="45">
        <f t="shared" si="876"/>
        <v>1</v>
      </c>
      <c r="IS108" s="45">
        <f t="shared" si="877"/>
        <v>2</v>
      </c>
      <c r="IT108" s="46">
        <f t="shared" si="878"/>
        <v>0</v>
      </c>
      <c r="IU108" s="46" cm="1">
        <f t="array" ref="IU108">ROUND(IFERROR(INDEX(ArchiveResults!$F$5:$IX$116,ComparisonData!A108,ComparisonData!$IU$1),0),5)</f>
        <v>0</v>
      </c>
      <c r="IV108" s="46" cm="1">
        <f t="array" ref="IV108">ROUND(IFERROR(INDEX(ArchiveResults!$F$5:$IX$116,ComparisonData!A108,ComparisonData!$IV$1),0),5)</f>
        <v>0</v>
      </c>
      <c r="IW108" s="46" cm="1">
        <f t="array" ref="IW108">ROUND(IFERROR(INDEX(ArchiveResults!$F$5:$IX$116,ComparisonData!A108,ComparisonData!$IW$1),0),5)</f>
        <v>0</v>
      </c>
      <c r="IX108" s="46" cm="1">
        <f t="array" ref="IX108">ROUND(IFERROR(INDEX(ArchiveResults!$F$5:$IX$116,ComparisonData!A108,ComparisonData!$IX$1),0),5)</f>
        <v>0</v>
      </c>
      <c r="IY108" s="45" cm="1">
        <f t="array" ref="IY108">IFERROR(INDEX(ArchiveResults!$F$5:$IX$116,ComparisonData!A108,ComparisonData!$IY$1),0)</f>
        <v>0</v>
      </c>
      <c r="IZ108" s="56">
        <v>103</v>
      </c>
      <c r="JA108" s="53" t="str">
        <f t="shared" si="1209"/>
        <v>Wandsworth Heritage Service</v>
      </c>
      <c r="JB108" s="59">
        <f t="shared" si="879"/>
        <v>0</v>
      </c>
      <c r="JC108" s="59">
        <f t="shared" si="880"/>
        <v>0</v>
      </c>
      <c r="JD108" s="59">
        <f t="shared" si="881"/>
        <v>0</v>
      </c>
      <c r="JE108" s="59">
        <f t="shared" si="882"/>
        <v>0</v>
      </c>
      <c r="JF108" s="59">
        <f t="shared" si="883"/>
        <v>0</v>
      </c>
      <c r="JG108" s="58">
        <f t="shared" si="884"/>
        <v>0</v>
      </c>
      <c r="JH108" s="45">
        <f t="shared" si="885"/>
        <v>17</v>
      </c>
      <c r="JI108" s="45">
        <f t="shared" si="1210"/>
        <v>2.5189999999999997</v>
      </c>
      <c r="JJ108" s="45">
        <f t="shared" si="886"/>
        <v>1</v>
      </c>
      <c r="JK108" s="45">
        <f t="shared" si="887"/>
        <v>2</v>
      </c>
      <c r="JL108" s="45">
        <f t="shared" si="888"/>
        <v>0</v>
      </c>
      <c r="JM108" s="46" cm="1">
        <f t="array" ref="JM108">ROUND(IFERROR(INDEX(ArchiveResults!$F$5:$IX$116,ComparisonData!A108,ComparisonData!$JM$1),0),5)</f>
        <v>0</v>
      </c>
      <c r="JN108" s="46" cm="1">
        <f t="array" ref="JN108">ROUND(IFERROR(INDEX(ArchiveResults!$F$5:$IX$116,ComparisonData!A108,ComparisonData!$JN$1),0),5)</f>
        <v>0</v>
      </c>
      <c r="JO108" s="46" cm="1">
        <f t="array" ref="JO108">ROUND(IFERROR(INDEX(ArchiveResults!$F$5:$IX$116,ComparisonData!A108,ComparisonData!$JO$1),0),5)</f>
        <v>0</v>
      </c>
      <c r="JP108" s="46" cm="1">
        <f t="array" ref="JP108">ROUND(IFERROR(INDEX(ArchiveResults!$F$5:$IX$116,ComparisonData!A108,ComparisonData!$JP$1),0),5)</f>
        <v>0</v>
      </c>
      <c r="JQ108" s="45" cm="1">
        <f t="array" ref="JQ108">IFERROR(INDEX(ArchiveResults!$F$5:$IX$116,ComparisonData!A108,ComparisonData!$JQ$1),0)</f>
        <v>0</v>
      </c>
      <c r="JR108" s="56">
        <v>103</v>
      </c>
      <c r="JS108" s="53" t="str">
        <f t="shared" si="1211"/>
        <v>Wandsworth Heritage Service</v>
      </c>
      <c r="JT108" s="59">
        <f t="shared" si="889"/>
        <v>0</v>
      </c>
      <c r="JU108" s="59">
        <f t="shared" si="890"/>
        <v>0</v>
      </c>
      <c r="JV108" s="59">
        <f t="shared" si="891"/>
        <v>0</v>
      </c>
      <c r="JW108" s="59">
        <f t="shared" si="892"/>
        <v>0</v>
      </c>
      <c r="JX108" s="59">
        <f t="shared" si="893"/>
        <v>0</v>
      </c>
      <c r="JY108" s="58">
        <f t="shared" si="894"/>
        <v>0</v>
      </c>
      <c r="JZ108" s="45">
        <f t="shared" si="895"/>
        <v>17</v>
      </c>
      <c r="KA108" s="45">
        <f t="shared" si="1212"/>
        <v>2.5189999999999997</v>
      </c>
      <c r="KB108" s="45">
        <f t="shared" si="896"/>
        <v>1</v>
      </c>
      <c r="KC108" s="45">
        <f t="shared" si="897"/>
        <v>2</v>
      </c>
      <c r="KD108" s="45">
        <f t="shared" si="898"/>
        <v>0</v>
      </c>
      <c r="KE108" s="46" cm="1">
        <f t="array" ref="KE108">ROUND(IFERROR(INDEX(ArchiveResults!$F$5:$IX$116,ComparisonData!A108,ComparisonData!$KE$1),0),5)</f>
        <v>0</v>
      </c>
      <c r="KF108" s="46" cm="1">
        <f t="array" ref="KF108">ROUND(IFERROR(INDEX(ArchiveResults!$F$5:$IX$116,ComparisonData!A108,ComparisonData!$KF$1),0),5)</f>
        <v>0</v>
      </c>
      <c r="KG108" s="46" cm="1">
        <f t="array" ref="KG108">ROUND(IFERROR(INDEX(ArchiveResults!$F$5:$IX$116,ComparisonData!A108,ComparisonData!$KG$1),0),5)</f>
        <v>0</v>
      </c>
      <c r="KH108" s="46" cm="1">
        <f t="array" ref="KH108">ROUND(IFERROR(INDEX(ArchiveResults!$F$5:$IX$116,ComparisonData!A108,ComparisonData!$KH$1),0),5)</f>
        <v>0</v>
      </c>
      <c r="KI108" s="45" cm="1">
        <f t="array" ref="KI108">IFERROR(INDEX(ArchiveResults!$F$5:$IX$116,ComparisonData!A108,ComparisonData!$KI$1),0)</f>
        <v>0</v>
      </c>
      <c r="KJ108" s="56">
        <v>103</v>
      </c>
      <c r="KK108" s="53" t="str">
        <f t="shared" si="1213"/>
        <v>Wandsworth Heritage Service</v>
      </c>
      <c r="KL108" s="59">
        <f t="shared" si="899"/>
        <v>0</v>
      </c>
      <c r="KM108" s="59">
        <f t="shared" si="900"/>
        <v>0</v>
      </c>
      <c r="KN108" s="59">
        <f t="shared" si="901"/>
        <v>0</v>
      </c>
      <c r="KO108" s="59">
        <f t="shared" si="902"/>
        <v>0</v>
      </c>
      <c r="KP108" s="59">
        <f t="shared" si="903"/>
        <v>0</v>
      </c>
      <c r="KQ108" s="58">
        <f t="shared" si="904"/>
        <v>0</v>
      </c>
      <c r="KR108" s="45">
        <f t="shared" si="905"/>
        <v>17</v>
      </c>
      <c r="KS108" s="45">
        <f t="shared" si="1214"/>
        <v>2.5189999999999997</v>
      </c>
      <c r="KT108" s="45">
        <f t="shared" si="906"/>
        <v>1</v>
      </c>
      <c r="KU108" s="45">
        <f t="shared" si="907"/>
        <v>2</v>
      </c>
      <c r="KV108" s="45">
        <f t="shared" si="908"/>
        <v>0</v>
      </c>
      <c r="KW108" s="46" cm="1">
        <f t="array" ref="KW108">ROUND(IFERROR(INDEX(ArchiveResults!$F$5:$IX$116,ComparisonData!A108,ComparisonData!$KW$1),0),5)</f>
        <v>0</v>
      </c>
      <c r="KX108" s="46" cm="1">
        <f t="array" ref="KX108">ROUND(IFERROR(INDEX(ArchiveResults!$F$5:$IX$116,ComparisonData!A108,ComparisonData!$KX$1),0),5)</f>
        <v>0</v>
      </c>
      <c r="KY108" s="46" cm="1">
        <f t="array" ref="KY108">ROUND(IFERROR(INDEX(ArchiveResults!$F$5:$IX$116,ComparisonData!A108,ComparisonData!$KY$1),0),5)</f>
        <v>0</v>
      </c>
      <c r="KZ108" s="46" cm="1">
        <f t="array" ref="KZ108">ROUND(IFERROR(INDEX(ArchiveResults!$F$5:$IX$116,ComparisonData!A108,ComparisonData!$KZ$1),0),5)</f>
        <v>0</v>
      </c>
      <c r="LA108" s="45" cm="1">
        <f t="array" ref="LA108">IFERROR(INDEX(ArchiveResults!$F$5:$IX$116,ComparisonData!A108,ComparisonData!$LA$1),0)</f>
        <v>0</v>
      </c>
      <c r="LB108" s="56">
        <v>103</v>
      </c>
      <c r="LC108" s="53" t="str">
        <f t="shared" si="1215"/>
        <v>Wandsworth Heritage Service</v>
      </c>
      <c r="LD108" s="59">
        <f t="shared" si="909"/>
        <v>0</v>
      </c>
      <c r="LE108" s="59">
        <f t="shared" si="910"/>
        <v>0</v>
      </c>
      <c r="LF108" s="59">
        <f t="shared" si="911"/>
        <v>0</v>
      </c>
      <c r="LG108" s="59">
        <f t="shared" si="912"/>
        <v>0</v>
      </c>
      <c r="LH108" s="59">
        <f t="shared" si="913"/>
        <v>0</v>
      </c>
      <c r="LI108" s="58">
        <f t="shared" si="914"/>
        <v>0</v>
      </c>
      <c r="LJ108" s="45">
        <f t="shared" si="915"/>
        <v>17</v>
      </c>
      <c r="LK108" s="45">
        <f t="shared" si="1216"/>
        <v>2.5189999999999997</v>
      </c>
      <c r="LL108" s="45">
        <f t="shared" si="916"/>
        <v>1</v>
      </c>
      <c r="LM108" s="45">
        <f t="shared" si="917"/>
        <v>2</v>
      </c>
      <c r="LN108" s="45">
        <f t="shared" si="918"/>
        <v>0</v>
      </c>
      <c r="LO108" s="46" cm="1">
        <f t="array" ref="LO108">ROUND(IFERROR(INDEX(ArchiveResults!$F$5:$IX$116,ComparisonData!A108,ComparisonData!$LO$1),0),5)</f>
        <v>0</v>
      </c>
      <c r="LP108" s="46" cm="1">
        <f t="array" ref="LP108">ROUND(IFERROR(INDEX(ArchiveResults!$F$5:$IX$116,ComparisonData!A108,ComparisonData!$LP$1),0),5)</f>
        <v>0</v>
      </c>
      <c r="LQ108" s="46" cm="1">
        <f t="array" ref="LQ108">ROUND(IFERROR(INDEX(ArchiveResults!$F$5:$IX$116,ComparisonData!A108,ComparisonData!$LQ$1),0),5)</f>
        <v>0</v>
      </c>
      <c r="LR108" s="46" cm="1">
        <f t="array" ref="LR108">ROUND(IFERROR(INDEX(ArchiveResults!$F$5:$IX$116,ComparisonData!A108,ComparisonData!$LR$1),0),5)</f>
        <v>0</v>
      </c>
      <c r="LS108" s="45" cm="1">
        <f t="array" ref="LS108">IFERROR(INDEX(ArchiveResults!$F$5:$IX$116,ComparisonData!A108,ComparisonData!$LS$1),0)</f>
        <v>0</v>
      </c>
      <c r="LT108" s="56">
        <v>103</v>
      </c>
      <c r="LU108" s="53" t="str">
        <f t="shared" si="1217"/>
        <v>Wandsworth Heritage Service</v>
      </c>
      <c r="LV108" s="59">
        <f t="shared" si="919"/>
        <v>0</v>
      </c>
      <c r="LW108" s="59">
        <f t="shared" si="920"/>
        <v>0</v>
      </c>
      <c r="LX108" s="59">
        <f t="shared" si="921"/>
        <v>0</v>
      </c>
      <c r="LY108" s="59">
        <f t="shared" si="922"/>
        <v>0</v>
      </c>
      <c r="LZ108" s="59">
        <f t="shared" si="923"/>
        <v>0</v>
      </c>
      <c r="MA108" s="58">
        <f t="shared" si="924"/>
        <v>0</v>
      </c>
      <c r="MB108" s="45">
        <f t="shared" si="925"/>
        <v>17</v>
      </c>
      <c r="MC108" s="45">
        <f t="shared" si="1218"/>
        <v>2.5189999999999997</v>
      </c>
      <c r="MD108" s="45">
        <f t="shared" si="926"/>
        <v>1</v>
      </c>
      <c r="ME108" s="45">
        <f t="shared" si="927"/>
        <v>2</v>
      </c>
      <c r="MF108" s="45">
        <f t="shared" si="928"/>
        <v>0</v>
      </c>
      <c r="MG108" s="46" cm="1">
        <f t="array" ref="MG108">ROUND(IFERROR(INDEX(ArchiveResults!$F$5:$IX$116,ComparisonData!A108,ComparisonData!$MG$1),0),5)</f>
        <v>0</v>
      </c>
      <c r="MH108" s="46" cm="1">
        <f t="array" ref="MH108">ROUND(IFERROR(INDEX(ArchiveResults!$F$5:$IX$116,ComparisonData!A108,ComparisonData!$MH$1),0),5)</f>
        <v>0</v>
      </c>
      <c r="MI108" s="46" cm="1">
        <f t="array" ref="MI108">ROUND(IFERROR(INDEX(ArchiveResults!$F$5:$IX$116,ComparisonData!A108,ComparisonData!$MI$1),0),5)</f>
        <v>0</v>
      </c>
      <c r="MJ108" s="46" cm="1">
        <f t="array" ref="MJ108">ROUND(IFERROR(INDEX(ArchiveResults!$F$5:$IX$116,ComparisonData!A108,ComparisonData!$MJ$1),0),5)</f>
        <v>0</v>
      </c>
      <c r="MK108" s="45" cm="1">
        <f t="array" ref="MK108">IFERROR(INDEX(ArchiveResults!$F$5:$IX$116,ComparisonData!A108,ComparisonData!$MK$1),0)</f>
        <v>0</v>
      </c>
      <c r="ML108" s="56">
        <v>103</v>
      </c>
      <c r="MM108" s="53" t="str">
        <f t="shared" si="1219"/>
        <v>Wandsworth Heritage Service</v>
      </c>
      <c r="MN108" s="59">
        <f t="shared" si="929"/>
        <v>0</v>
      </c>
      <c r="MO108" s="59">
        <f t="shared" si="930"/>
        <v>0</v>
      </c>
      <c r="MP108" s="59">
        <f t="shared" si="931"/>
        <v>0</v>
      </c>
      <c r="MQ108" s="59">
        <f t="shared" si="932"/>
        <v>0</v>
      </c>
      <c r="MR108" s="59">
        <f t="shared" si="933"/>
        <v>0</v>
      </c>
      <c r="MS108" s="58">
        <f t="shared" si="934"/>
        <v>0</v>
      </c>
      <c r="MT108" s="45">
        <f t="shared" si="935"/>
        <v>17</v>
      </c>
      <c r="MU108" s="45">
        <f t="shared" si="1220"/>
        <v>2.5189999999999997</v>
      </c>
      <c r="MV108" s="45">
        <f t="shared" si="936"/>
        <v>1</v>
      </c>
      <c r="MW108" s="45">
        <f t="shared" si="937"/>
        <v>2</v>
      </c>
      <c r="MX108" s="45">
        <f t="shared" si="938"/>
        <v>0</v>
      </c>
      <c r="MY108" s="46" cm="1">
        <f t="array" ref="MY108">ROUND(IFERROR(INDEX(ArchiveResults!$F$5:$IX$116,ComparisonData!A108,ComparisonData!$MY$1),0),5)</f>
        <v>0</v>
      </c>
      <c r="MZ108" s="46" cm="1">
        <f t="array" ref="MZ108">ROUND(IFERROR(INDEX(ArchiveResults!$F$5:$IX$116,ComparisonData!A108,ComparisonData!$MZ$1),0),5)</f>
        <v>0</v>
      </c>
      <c r="NA108" s="46" cm="1">
        <f t="array" ref="NA108">ROUND(IFERROR(INDEX(ArchiveResults!$F$5:$IX$116,ComparisonData!A108,ComparisonData!$NA$1),0),5)</f>
        <v>0</v>
      </c>
      <c r="NB108" s="46" cm="1">
        <f t="array" ref="NB108">ROUND(IFERROR(INDEX(ArchiveResults!$F$5:$IX$116,ComparisonData!A108,ComparisonData!$NB$1),0),5)</f>
        <v>0</v>
      </c>
      <c r="NC108" s="45" cm="1">
        <f t="array" ref="NC108">IFERROR(INDEX(ArchiveResults!$F$5:$IX$116,ComparisonData!A108,ComparisonData!$NC$1),0)</f>
        <v>0</v>
      </c>
      <c r="ND108" s="56">
        <v>103</v>
      </c>
      <c r="NE108" s="53" t="str">
        <f t="shared" si="1221"/>
        <v>Wandsworth Heritage Service</v>
      </c>
      <c r="NF108" s="59">
        <f t="shared" si="939"/>
        <v>0</v>
      </c>
      <c r="NG108" s="59">
        <f t="shared" si="940"/>
        <v>0</v>
      </c>
      <c r="NH108" s="59">
        <f t="shared" si="941"/>
        <v>0</v>
      </c>
      <c r="NI108" s="59">
        <f t="shared" si="942"/>
        <v>0</v>
      </c>
      <c r="NJ108" s="59">
        <f t="shared" si="943"/>
        <v>0</v>
      </c>
      <c r="NK108" s="58">
        <f t="shared" si="944"/>
        <v>0</v>
      </c>
      <c r="NL108" s="45">
        <f t="shared" si="945"/>
        <v>17</v>
      </c>
      <c r="NM108" s="45">
        <f t="shared" si="1222"/>
        <v>2.5189999999999997</v>
      </c>
      <c r="NN108" s="45">
        <f t="shared" si="946"/>
        <v>1</v>
      </c>
      <c r="NO108" s="45">
        <f t="shared" si="947"/>
        <v>2</v>
      </c>
      <c r="NP108" s="46" cm="1">
        <f t="array" ref="NP108">ROUND(IFERROR(INDEX(ArchiveResults!$F$5:$IX$116,ComparisonData!A108,ComparisonData!$NP$1),0),5)</f>
        <v>0</v>
      </c>
      <c r="NQ108" s="46" cm="1">
        <f t="array" ref="NQ108">ROUND(IFERROR(INDEX(ArchiveResults!$F$5:$IX$116,ComparisonData!A108,ComparisonData!$NQ$1),0),5)</f>
        <v>0</v>
      </c>
      <c r="NR108" s="46" cm="1">
        <f t="array" ref="NR108">ROUND(IFERROR(INDEX(ArchiveResults!$F$5:$IX$116,ComparisonData!A108,ComparisonData!$NR$1),0),5)</f>
        <v>0</v>
      </c>
      <c r="NS108" s="46" cm="1">
        <f t="array" ref="NS108">ROUND(IFERROR(INDEX(ArchiveResults!$F$5:$IX$116,ComparisonData!A108,ComparisonData!$NS$1),0),5)</f>
        <v>0</v>
      </c>
      <c r="NT108" s="45" cm="1">
        <f t="array" ref="NT108">IFERROR(INDEX(ArchiveResults!$F$5:$IX$116,ComparisonData!A108,ComparisonData!$NT$1),0)</f>
        <v>0</v>
      </c>
      <c r="NU108" s="56">
        <v>103</v>
      </c>
      <c r="NV108" s="53" t="str">
        <f t="shared" si="1223"/>
        <v>Wandsworth Heritage Service</v>
      </c>
      <c r="NW108" s="59">
        <f t="shared" si="948"/>
        <v>0</v>
      </c>
      <c r="NX108" s="59">
        <f t="shared" si="949"/>
        <v>0</v>
      </c>
      <c r="NY108" s="59">
        <f t="shared" si="950"/>
        <v>0</v>
      </c>
      <c r="NZ108" s="59">
        <f t="shared" si="951"/>
        <v>0</v>
      </c>
      <c r="OA108" s="59">
        <f t="shared" si="952"/>
        <v>0</v>
      </c>
      <c r="OB108" s="58">
        <f t="shared" si="953"/>
        <v>0</v>
      </c>
      <c r="OC108" s="45">
        <f t="shared" si="954"/>
        <v>17</v>
      </c>
      <c r="OD108" s="45">
        <f t="shared" si="1224"/>
        <v>2.5189999999999997</v>
      </c>
      <c r="OE108" s="45">
        <f t="shared" si="955"/>
        <v>1</v>
      </c>
      <c r="OF108" s="45">
        <f t="shared" si="956"/>
        <v>2</v>
      </c>
      <c r="OG108" s="46">
        <f t="shared" si="957"/>
        <v>0</v>
      </c>
      <c r="OH108" s="46" cm="1">
        <f t="array" ref="OH108">ROUND(IFERROR(INDEX(ArchiveResults!$F$5:$IX$116,ComparisonData!A108,ComparisonData!$OH$1),0),5)</f>
        <v>0</v>
      </c>
      <c r="OI108" s="46" cm="1">
        <f t="array" ref="OI108">ROUND(IFERROR(INDEX(ArchiveResults!$F$5:$IX$116,ComparisonData!A108,ComparisonData!$OI$1),0),5)</f>
        <v>0</v>
      </c>
      <c r="OJ108" s="46" cm="1">
        <f t="array" ref="OJ108">ROUND(IFERROR(INDEX(ArchiveResults!$F$5:$IX$116,ComparisonData!A108,ComparisonData!$OJ$1),0),5)</f>
        <v>0</v>
      </c>
      <c r="OK108" s="46" cm="1">
        <f t="array" ref="OK108">ROUND(IFERROR(INDEX(ArchiveResults!$F$5:$IX$116,ComparisonData!A108,ComparisonData!$OK$1),0),5)</f>
        <v>0</v>
      </c>
      <c r="OL108" s="45" cm="1">
        <f t="array" ref="OL108">IFERROR(INDEX(ArchiveResults!$F$5:$IX$116,ComparisonData!A108,ComparisonData!$OL$1),0)</f>
        <v>0</v>
      </c>
      <c r="OM108" s="56">
        <v>103</v>
      </c>
      <c r="ON108" s="53" t="str">
        <f t="shared" si="1225"/>
        <v>Wandsworth Heritage Service</v>
      </c>
      <c r="OO108" s="59">
        <f t="shared" si="958"/>
        <v>0</v>
      </c>
      <c r="OP108" s="59">
        <f t="shared" si="959"/>
        <v>0</v>
      </c>
      <c r="OQ108" s="59">
        <f t="shared" si="960"/>
        <v>0</v>
      </c>
      <c r="OR108" s="59">
        <f t="shared" si="961"/>
        <v>0</v>
      </c>
      <c r="OS108" s="59">
        <f t="shared" si="962"/>
        <v>0</v>
      </c>
      <c r="OT108" s="58">
        <f t="shared" si="963"/>
        <v>0</v>
      </c>
      <c r="OU108" s="45">
        <f t="shared" si="964"/>
        <v>17</v>
      </c>
      <c r="OV108" s="45">
        <f t="shared" si="1226"/>
        <v>2.5189999999999997</v>
      </c>
      <c r="OW108" s="45">
        <f t="shared" si="965"/>
        <v>1</v>
      </c>
      <c r="OX108" s="45">
        <f t="shared" si="966"/>
        <v>2</v>
      </c>
      <c r="OY108" s="45">
        <f t="shared" si="967"/>
        <v>0</v>
      </c>
      <c r="OZ108" s="46" cm="1">
        <f t="array" ref="OZ108">ROUND(IFERROR(INDEX(ArchiveResults!$F$5:$IX$116,ComparisonData!A108,ComparisonData!$OZ$1),0),5)</f>
        <v>0</v>
      </c>
      <c r="PA108" s="46" cm="1">
        <f t="array" ref="PA108">ROUND(IFERROR(INDEX(ArchiveResults!$F$5:$IX$116,ComparisonData!A108,ComparisonData!$PA$1),0),5)</f>
        <v>0</v>
      </c>
      <c r="PB108" s="46" cm="1">
        <f t="array" ref="PB108">ROUND(IFERROR(INDEX(ArchiveResults!$F$5:$IX$116,ComparisonData!A108,ComparisonData!$PB$1),0),5)</f>
        <v>0</v>
      </c>
      <c r="PC108" s="46" cm="1">
        <f t="array" ref="PC108">ROUND(IFERROR(INDEX(ArchiveResults!$F$5:$IX$116,ComparisonData!A108,ComparisonData!$PC$1),0),5)</f>
        <v>0</v>
      </c>
      <c r="PD108" s="45" cm="1">
        <f t="array" ref="PD108">IFERROR(INDEX(ArchiveResults!$F$5:$IX$116,ComparisonData!A108,ComparisonData!$PD$1),0)</f>
        <v>0</v>
      </c>
      <c r="PE108" s="56">
        <v>103</v>
      </c>
      <c r="PF108" s="53" t="str">
        <f t="shared" si="1227"/>
        <v>Wandsworth Heritage Service</v>
      </c>
      <c r="PG108" s="59">
        <f t="shared" si="968"/>
        <v>0</v>
      </c>
      <c r="PH108" s="59">
        <f t="shared" si="969"/>
        <v>0</v>
      </c>
      <c r="PI108" s="59">
        <f t="shared" si="970"/>
        <v>0</v>
      </c>
      <c r="PJ108" s="59">
        <f t="shared" si="971"/>
        <v>0</v>
      </c>
      <c r="PK108" s="59">
        <f t="shared" si="972"/>
        <v>0</v>
      </c>
      <c r="PL108" s="58">
        <f t="shared" si="973"/>
        <v>0</v>
      </c>
      <c r="PM108" s="45">
        <f t="shared" si="974"/>
        <v>17</v>
      </c>
      <c r="PN108" s="45">
        <f t="shared" si="1228"/>
        <v>2.5189999999999997</v>
      </c>
      <c r="PO108" s="45">
        <f t="shared" si="975"/>
        <v>1</v>
      </c>
      <c r="PP108" s="45">
        <f t="shared" si="976"/>
        <v>2</v>
      </c>
      <c r="PQ108" s="45">
        <f t="shared" si="977"/>
        <v>0</v>
      </c>
      <c r="PR108" s="46" cm="1">
        <f t="array" ref="PR108">ROUND(IFERROR(INDEX(ArchiveResults!$F$5:$IX$116,ComparisonData!A108,ComparisonData!$PR$1),0),5)</f>
        <v>0</v>
      </c>
      <c r="PS108" s="46" cm="1">
        <f t="array" ref="PS108">ROUND(IFERROR(INDEX(ArchiveResults!$F$5:$IX$116,ComparisonData!A108,ComparisonData!$PS$1),0),5)</f>
        <v>0</v>
      </c>
      <c r="PT108" s="46" cm="1">
        <f t="array" ref="PT108">ROUND(IFERROR(INDEX(ArchiveResults!$F$5:$IX$116,ComparisonData!A108,ComparisonData!$PT$1),0),5)</f>
        <v>0</v>
      </c>
      <c r="PU108" s="46" cm="1">
        <f t="array" ref="PU108">ROUND(IFERROR(INDEX(ArchiveResults!$F$5:$IX$116,ComparisonData!A108,ComparisonData!$PU$1),0),5)</f>
        <v>0</v>
      </c>
      <c r="PV108" s="45" cm="1">
        <f t="array" ref="PV108">IFERROR(INDEX(ArchiveResults!$F$5:$IX$116,ComparisonData!A108,ComparisonData!$PV$1),0)</f>
        <v>0</v>
      </c>
      <c r="PW108" s="56">
        <v>103</v>
      </c>
      <c r="PX108" s="53" t="str">
        <f t="shared" si="1229"/>
        <v>Wandsworth Heritage Service</v>
      </c>
      <c r="PY108" s="59">
        <f t="shared" si="978"/>
        <v>0</v>
      </c>
      <c r="PZ108" s="59">
        <f t="shared" si="979"/>
        <v>0</v>
      </c>
      <c r="QA108" s="59">
        <f t="shared" si="980"/>
        <v>0</v>
      </c>
      <c r="QB108" s="59">
        <f t="shared" si="981"/>
        <v>0</v>
      </c>
      <c r="QC108" s="59">
        <f t="shared" si="982"/>
        <v>0</v>
      </c>
      <c r="QD108" s="58">
        <f t="shared" si="983"/>
        <v>0</v>
      </c>
      <c r="QE108" s="45">
        <f t="shared" si="984"/>
        <v>17</v>
      </c>
      <c r="QF108" s="45">
        <f t="shared" si="1230"/>
        <v>2.5189999999999997</v>
      </c>
      <c r="QG108" s="45">
        <f t="shared" si="985"/>
        <v>1</v>
      </c>
      <c r="QH108" s="45">
        <f t="shared" si="986"/>
        <v>2</v>
      </c>
      <c r="QI108" s="45">
        <f t="shared" si="987"/>
        <v>0</v>
      </c>
      <c r="QJ108" s="46" cm="1">
        <f t="array" ref="QJ108">ROUND(IFERROR(INDEX(ArchiveResults!$F$5:$IX$116,ComparisonData!A108,ComparisonData!$QJ$1),0),5)</f>
        <v>0</v>
      </c>
      <c r="QK108" s="46" cm="1">
        <f t="array" ref="QK108">ROUND(IFERROR(INDEX(ArchiveResults!$F$5:$IX$116,ComparisonData!A108,ComparisonData!$QK$1),0),5)</f>
        <v>0</v>
      </c>
      <c r="QL108" s="46" cm="1">
        <f t="array" ref="QL108">ROUND(IFERROR(INDEX(ArchiveResults!$F$5:$IX$116,ComparisonData!A108,ComparisonData!$QL$1),0),5)</f>
        <v>0</v>
      </c>
      <c r="QM108" s="46" cm="1">
        <f t="array" ref="QM108">ROUND(IFERROR(INDEX(ArchiveResults!$F$5:$IX$116,ComparisonData!A108,ComparisonData!$QM$1),0),5)</f>
        <v>0</v>
      </c>
      <c r="QN108" s="45" cm="1">
        <f t="array" ref="QN108">IFERROR(INDEX(ArchiveResults!$F$5:$IX$116,ComparisonData!A108,ComparisonData!$QN$1),0)</f>
        <v>0</v>
      </c>
      <c r="QO108" s="56">
        <v>103</v>
      </c>
      <c r="QP108" s="53" t="str">
        <f t="shared" si="1231"/>
        <v>Wandsworth Heritage Service</v>
      </c>
      <c r="QQ108" s="59">
        <f t="shared" si="988"/>
        <v>0</v>
      </c>
      <c r="QR108" s="59">
        <f t="shared" si="989"/>
        <v>0</v>
      </c>
      <c r="QS108" s="59">
        <f t="shared" si="990"/>
        <v>0</v>
      </c>
      <c r="QT108" s="59">
        <f t="shared" si="991"/>
        <v>0</v>
      </c>
      <c r="QU108" s="59">
        <f t="shared" si="992"/>
        <v>0</v>
      </c>
      <c r="QV108" s="58">
        <f t="shared" si="993"/>
        <v>0</v>
      </c>
      <c r="QW108" s="45">
        <f t="shared" si="994"/>
        <v>17</v>
      </c>
      <c r="QX108" s="45">
        <f t="shared" si="1232"/>
        <v>2.5189999999999997</v>
      </c>
      <c r="QY108" s="45">
        <f t="shared" si="995"/>
        <v>1</v>
      </c>
      <c r="QZ108" s="45">
        <f t="shared" si="996"/>
        <v>2</v>
      </c>
      <c r="RA108" s="45">
        <f t="shared" si="997"/>
        <v>0</v>
      </c>
      <c r="RB108" s="46" cm="1">
        <f t="array" ref="RB108">ROUND(IFERROR(INDEX(ArchiveResults!$F$5:$IX$116,ComparisonData!A108,ComparisonData!$RB$1),0),5)</f>
        <v>0</v>
      </c>
      <c r="RC108" s="46" cm="1">
        <f t="array" ref="RC108">ROUND(IFERROR(INDEX(ArchiveResults!$F$5:$IX$116,ComparisonData!A108,ComparisonData!$RC$1),0),5)</f>
        <v>0</v>
      </c>
      <c r="RD108" s="46" cm="1">
        <f t="array" ref="RD108">ROUND(IFERROR(INDEX(ArchiveResults!$F$5:$IX$116,ComparisonData!A108,ComparisonData!$RD$1),0),5)</f>
        <v>0</v>
      </c>
      <c r="RE108" s="46" cm="1">
        <f t="array" ref="RE108">ROUND(IFERROR(INDEX(ArchiveResults!$F$5:$IX$116,ComparisonData!A108,ComparisonData!$RE$1),0),5)</f>
        <v>0</v>
      </c>
      <c r="RF108" s="45" cm="1">
        <f t="array" ref="RF108">IFERROR(INDEX(ArchiveResults!$F$5:$IX$116,ComparisonData!A108,ComparisonData!$RF$1),0)</f>
        <v>0</v>
      </c>
      <c r="RG108" s="56">
        <v>103</v>
      </c>
      <c r="RH108" s="53" t="str">
        <f t="shared" si="1233"/>
        <v>Wandsworth Heritage Service</v>
      </c>
      <c r="RI108" s="59">
        <f t="shared" si="998"/>
        <v>0</v>
      </c>
      <c r="RJ108" s="59">
        <f t="shared" si="999"/>
        <v>0</v>
      </c>
      <c r="RK108" s="59">
        <f t="shared" si="1000"/>
        <v>0</v>
      </c>
      <c r="RL108" s="59">
        <f t="shared" si="1001"/>
        <v>0</v>
      </c>
      <c r="RM108" s="59">
        <f t="shared" si="1002"/>
        <v>0</v>
      </c>
      <c r="RN108" s="58">
        <f t="shared" si="1003"/>
        <v>0</v>
      </c>
      <c r="RO108" s="45">
        <f t="shared" si="1004"/>
        <v>17</v>
      </c>
      <c r="RP108" s="45">
        <f t="shared" si="1234"/>
        <v>2.5189999999999997</v>
      </c>
      <c r="RQ108" s="45">
        <f t="shared" si="1005"/>
        <v>1</v>
      </c>
      <c r="RR108" s="45">
        <f t="shared" si="1006"/>
        <v>2</v>
      </c>
      <c r="RS108" s="45">
        <f t="shared" si="1007"/>
        <v>0</v>
      </c>
      <c r="RT108" s="46" cm="1">
        <f t="array" ref="RT108">ROUND(IFERROR(INDEX(ArchiveResults!$F$5:$IX$116,ComparisonData!A108,ComparisonData!$RT$1),0),5)</f>
        <v>0</v>
      </c>
      <c r="RU108" s="46" cm="1">
        <f t="array" ref="RU108">ROUND(IFERROR(INDEX(ArchiveResults!$F$5:$IX$116,ComparisonData!A108,ComparisonData!$RU$1),0),5)</f>
        <v>0</v>
      </c>
      <c r="RV108" s="46" cm="1">
        <f t="array" ref="RV108">ROUND(IFERROR(INDEX(ArchiveResults!$F$5:$IX$116,ComparisonData!A108,ComparisonData!$RV$1),0),5)</f>
        <v>0</v>
      </c>
      <c r="RW108" s="46" cm="1">
        <f t="array" ref="RW108">ROUND(IFERROR(INDEX(ArchiveResults!$F$5:$IX$116,ComparisonData!A108,ComparisonData!$RW$1),0),5)</f>
        <v>0</v>
      </c>
      <c r="RX108" s="45" cm="1">
        <f t="array" ref="RX108">IFERROR(INDEX(ArchiveResults!$F$5:$IX$116,ComparisonData!A108,ComparisonData!$RX$1),0)</f>
        <v>0</v>
      </c>
      <c r="RY108" s="56">
        <v>103</v>
      </c>
      <c r="RZ108" s="53" t="str">
        <f t="shared" si="1235"/>
        <v>Wandsworth Heritage Service</v>
      </c>
      <c r="SA108" s="59">
        <f t="shared" si="1008"/>
        <v>0</v>
      </c>
      <c r="SB108" s="59">
        <f t="shared" si="1009"/>
        <v>0</v>
      </c>
      <c r="SC108" s="59">
        <f t="shared" si="1010"/>
        <v>0</v>
      </c>
      <c r="SD108" s="59">
        <f t="shared" si="1011"/>
        <v>0</v>
      </c>
      <c r="SE108" s="59">
        <f t="shared" si="1012"/>
        <v>0</v>
      </c>
      <c r="SF108" s="58">
        <f t="shared" si="1013"/>
        <v>0</v>
      </c>
      <c r="SG108" s="45">
        <f t="shared" si="1014"/>
        <v>17</v>
      </c>
      <c r="SH108" s="45">
        <f t="shared" si="1236"/>
        <v>2.5189999999999997</v>
      </c>
      <c r="SI108" s="45">
        <f t="shared" si="1015"/>
        <v>1</v>
      </c>
      <c r="SJ108" s="45">
        <f t="shared" si="1016"/>
        <v>2</v>
      </c>
      <c r="SK108" s="45">
        <f t="shared" si="1017"/>
        <v>0</v>
      </c>
      <c r="SL108" s="46" cm="1">
        <f t="array" ref="SL108">ROUND(IFERROR(INDEX(ArchiveResults!$F$5:$IX$116,ComparisonData!A108,ComparisonData!$SL$1),0),5)</f>
        <v>0</v>
      </c>
      <c r="SM108" s="46" cm="1">
        <f t="array" ref="SM108">ROUND(IFERROR(INDEX(ArchiveResults!$F$5:$IX$116,ComparisonData!A108,ComparisonData!$SM$1),0),5)</f>
        <v>0</v>
      </c>
      <c r="SN108" s="46" cm="1">
        <f t="array" ref="SN108">ROUND(IFERROR(INDEX(ArchiveResults!$F$5:$IX$116,ComparisonData!A108,ComparisonData!$SN$1),0),5)</f>
        <v>0</v>
      </c>
      <c r="SO108" s="46" cm="1">
        <f t="array" ref="SO108">ROUND(IFERROR(INDEX(ArchiveResults!$F$5:$IX$116,ComparisonData!A108,ComparisonData!$SO$1),0),5)</f>
        <v>0</v>
      </c>
      <c r="SP108" s="45" cm="1">
        <f t="array" ref="SP108">IFERROR(INDEX(ArchiveResults!$F$5:$IX$116,ComparisonData!A108,ComparisonData!$SP$1),0)</f>
        <v>0</v>
      </c>
      <c r="SQ108" s="56">
        <v>103</v>
      </c>
      <c r="SR108" s="53" t="str">
        <f t="shared" si="1237"/>
        <v>Wandsworth Heritage Service</v>
      </c>
      <c r="SS108" s="59">
        <f t="shared" si="1018"/>
        <v>0</v>
      </c>
      <c r="ST108" s="59">
        <f t="shared" si="1019"/>
        <v>0</v>
      </c>
      <c r="SU108" s="59">
        <f t="shared" si="1020"/>
        <v>0</v>
      </c>
      <c r="SV108" s="59">
        <f t="shared" si="1021"/>
        <v>0</v>
      </c>
      <c r="SW108" s="59">
        <f t="shared" si="1022"/>
        <v>0</v>
      </c>
      <c r="SX108" s="58">
        <f t="shared" si="1023"/>
        <v>0</v>
      </c>
      <c r="SY108" s="45">
        <f t="shared" si="1024"/>
        <v>17</v>
      </c>
      <c r="SZ108" s="45">
        <f t="shared" si="1238"/>
        <v>2.5189999999999997</v>
      </c>
      <c r="TA108" s="45">
        <f t="shared" si="1025"/>
        <v>1</v>
      </c>
      <c r="TB108" s="45">
        <f t="shared" si="1026"/>
        <v>2</v>
      </c>
      <c r="TC108" s="45">
        <f t="shared" si="1027"/>
        <v>0</v>
      </c>
      <c r="TD108" s="46" cm="1">
        <f t="array" ref="TD108">ROUND(IFERROR(INDEX(ArchiveResults!$F$5:$IX$116,ComparisonData!A108,ComparisonData!$TD$1),0),5)</f>
        <v>0</v>
      </c>
      <c r="TE108" s="46" cm="1">
        <f t="array" ref="TE108">ROUND(IFERROR(INDEX(ArchiveResults!$F$5:$IX$116,ComparisonData!A108,ComparisonData!$TE$1),0),5)</f>
        <v>0</v>
      </c>
      <c r="TF108" s="46" cm="1">
        <f t="array" ref="TF108">ROUND(IFERROR(INDEX(ArchiveResults!$F$5:$IX$116,ComparisonData!A108,ComparisonData!$TF$1),0),5)</f>
        <v>0</v>
      </c>
      <c r="TG108" s="46" cm="1">
        <f t="array" ref="TG108">ROUND(IFERROR(INDEX(ArchiveResults!$F$5:$IX$116,ComparisonData!A108,ComparisonData!$TG$1),0),5)</f>
        <v>0</v>
      </c>
      <c r="TH108" s="45" cm="1">
        <f t="array" ref="TH108">IFERROR(INDEX(ArchiveResults!$F$5:$IX$116,ComparisonData!A108,ComparisonData!$TH$1),0)</f>
        <v>0</v>
      </c>
      <c r="TI108" s="56">
        <v>103</v>
      </c>
      <c r="TJ108" s="53" t="str">
        <f t="shared" si="1239"/>
        <v>Wandsworth Heritage Service</v>
      </c>
      <c r="TK108" s="59">
        <f t="shared" si="1028"/>
        <v>0</v>
      </c>
      <c r="TL108" s="59">
        <f t="shared" si="1029"/>
        <v>0</v>
      </c>
      <c r="TM108" s="59">
        <f t="shared" si="1030"/>
        <v>0</v>
      </c>
      <c r="TN108" s="59">
        <f t="shared" si="1031"/>
        <v>0</v>
      </c>
      <c r="TO108" s="59">
        <f t="shared" si="1032"/>
        <v>0</v>
      </c>
      <c r="TP108" s="58">
        <f t="shared" si="1033"/>
        <v>0</v>
      </c>
      <c r="TQ108" s="45">
        <f t="shared" si="1034"/>
        <v>17</v>
      </c>
      <c r="TR108" s="45">
        <f t="shared" si="1240"/>
        <v>2.5189999999999997</v>
      </c>
      <c r="TS108" s="45">
        <f t="shared" si="1035"/>
        <v>1</v>
      </c>
      <c r="TT108" s="45">
        <f t="shared" si="1036"/>
        <v>2</v>
      </c>
      <c r="TU108" s="45">
        <f t="shared" si="1037"/>
        <v>0</v>
      </c>
      <c r="TV108" s="46" cm="1">
        <f t="array" ref="TV108">ROUND(IFERROR(INDEX(ArchiveResults!$F$5:$IX$116,ComparisonData!A108,ComparisonData!$TV$1),0),5)</f>
        <v>0</v>
      </c>
      <c r="TW108" s="46" cm="1">
        <f t="array" ref="TW108">ROUND(IFERROR(INDEX(ArchiveResults!$F$5:$IX$116,ComparisonData!A108,ComparisonData!$TW$1),0),5)</f>
        <v>0</v>
      </c>
      <c r="TX108" s="46" cm="1">
        <f t="array" ref="TX108">ROUND(IFERROR(INDEX(ArchiveResults!$F$5:$IX$116,ComparisonData!A108,ComparisonData!$TX$1),0),5)</f>
        <v>0</v>
      </c>
      <c r="TY108" s="46" cm="1">
        <f t="array" ref="TY108">ROUND(IFERROR(INDEX(ArchiveResults!$F$5:$IX$116,ComparisonData!A108,ComparisonData!$TY$1),0),5)</f>
        <v>0</v>
      </c>
      <c r="TZ108" s="45" cm="1">
        <f t="array" ref="TZ108">IFERROR(INDEX(ArchiveResults!$F$5:$IX$116,ComparisonData!A108,ComparisonData!$TZ$1),0)</f>
        <v>0</v>
      </c>
      <c r="UA108" s="56">
        <v>103</v>
      </c>
      <c r="UB108" s="53" t="str">
        <f t="shared" si="1241"/>
        <v>Wandsworth Heritage Service</v>
      </c>
      <c r="UC108" s="60">
        <f t="shared" si="1038"/>
        <v>0</v>
      </c>
      <c r="UD108" s="60">
        <f t="shared" si="1039"/>
        <v>0</v>
      </c>
      <c r="UE108" s="60">
        <f t="shared" si="1040"/>
        <v>0</v>
      </c>
      <c r="UF108" s="60">
        <f t="shared" si="1041"/>
        <v>0</v>
      </c>
      <c r="UG108" s="60">
        <f t="shared" si="1042"/>
        <v>0</v>
      </c>
      <c r="UH108" s="58">
        <f t="shared" si="1043"/>
        <v>0</v>
      </c>
      <c r="UI108" s="46">
        <f t="shared" si="1044"/>
        <v>17</v>
      </c>
      <c r="UJ108" s="46">
        <f t="shared" si="1242"/>
        <v>2.5189999999999997</v>
      </c>
      <c r="UK108" s="46">
        <f t="shared" si="1045"/>
        <v>1</v>
      </c>
      <c r="UL108" s="46">
        <f t="shared" si="1046"/>
        <v>2</v>
      </c>
      <c r="UM108" s="46" cm="1">
        <f t="array" ref="UM108">ROUND(IFERROR(INDEX(ArchiveResults!$F$5:$IX$116,ComparisonData!A108,ComparisonData!$UM$1),0),5)</f>
        <v>0</v>
      </c>
      <c r="UN108" s="56">
        <v>103</v>
      </c>
      <c r="UO108" s="53" t="str">
        <f t="shared" si="1243"/>
        <v>Wandsworth Heritage Service</v>
      </c>
      <c r="UP108" s="46">
        <f t="shared" si="1047"/>
        <v>0</v>
      </c>
      <c r="UQ108" s="76">
        <f t="shared" si="1048"/>
        <v>0</v>
      </c>
      <c r="UR108" s="46">
        <f t="shared" si="1049"/>
        <v>17</v>
      </c>
      <c r="US108" s="46">
        <f t="shared" si="1244"/>
        <v>2.5189999999999997</v>
      </c>
      <c r="UT108" s="46">
        <f t="shared" si="1050"/>
        <v>1</v>
      </c>
      <c r="UU108" s="46">
        <f t="shared" si="1051"/>
        <v>2</v>
      </c>
      <c r="UV108" s="46">
        <f t="shared" si="1052"/>
        <v>0</v>
      </c>
      <c r="UW108" s="46" cm="1">
        <f t="array" ref="UW108">ROUND(IFERROR(INDEX(ArchiveResults!$F$5:$IX$116,ComparisonData!A108,ComparisonData!$UW$1),0),5)</f>
        <v>0</v>
      </c>
      <c r="UX108" s="46" cm="1">
        <f t="array" ref="UX108">ROUND(IFERROR(INDEX(ArchiveResults!$F$5:$IX$116,ComparisonData!A108,ComparisonData!$UX$1),0),5)</f>
        <v>0</v>
      </c>
      <c r="UY108" s="46" cm="1">
        <f t="array" ref="UY108">ROUND(IFERROR(INDEX(ArchiveResults!$F$5:$IX$116,ComparisonData!A108,ComparisonData!$UY$1),0),5)</f>
        <v>0</v>
      </c>
      <c r="UZ108" s="46" cm="1">
        <f t="array" ref="UZ108">ROUND(IFERROR(INDEX(ArchiveResults!$F$5:$IX$116,ComparisonData!A108,ComparisonData!$UZ$1),0),5)</f>
        <v>0</v>
      </c>
      <c r="VA108" s="46" cm="1">
        <f t="array" ref="VA108">ROUND(IFERROR(INDEX(ArchiveResults!$F$5:$IX$116,ComparisonData!A108,ComparisonData!$VA$1),0),5)</f>
        <v>0</v>
      </c>
      <c r="VB108" s="56">
        <v>103</v>
      </c>
      <c r="VC108" s="53" t="str">
        <f t="shared" si="1245"/>
        <v>Wandsworth Heritage Service</v>
      </c>
      <c r="VD108" s="60">
        <f t="shared" si="1053"/>
        <v>0</v>
      </c>
      <c r="VE108" s="60">
        <f t="shared" si="1054"/>
        <v>0</v>
      </c>
      <c r="VF108" s="60">
        <f t="shared" si="1055"/>
        <v>0</v>
      </c>
      <c r="VG108" s="60">
        <f t="shared" si="1056"/>
        <v>0</v>
      </c>
      <c r="VH108" s="60">
        <f t="shared" si="1057"/>
        <v>0</v>
      </c>
      <c r="VI108" s="76">
        <f t="shared" si="1058"/>
        <v>0</v>
      </c>
      <c r="VJ108" s="46">
        <f t="shared" si="1059"/>
        <v>17</v>
      </c>
      <c r="VK108" s="46">
        <f t="shared" si="1246"/>
        <v>2.5189999999999997</v>
      </c>
      <c r="VL108" s="46">
        <f t="shared" si="1060"/>
        <v>1</v>
      </c>
      <c r="VM108" s="46">
        <f t="shared" si="1061"/>
        <v>2</v>
      </c>
      <c r="VN108" s="46" cm="1">
        <f t="array" ref="VN108">ROUND(IFERROR(INDEX(ArchiveResults!$F$5:$IX$116,ComparisonData!A108,ComparisonData!$VN$1),0),5)</f>
        <v>0</v>
      </c>
      <c r="VO108" s="46" cm="1">
        <f t="array" ref="VO108">ROUND(IFERROR(INDEX(ArchiveResults!$F$5:$IX$116,ComparisonData!A108,ComparisonData!$VO$1),0),5)</f>
        <v>0</v>
      </c>
      <c r="VP108" s="46" cm="1">
        <f t="array" ref="VP108">ROUND(IFERROR(INDEX(ArchiveResults!$F$5:$IX$116,ComparisonData!A108,ComparisonData!$VP$1),0),5)</f>
        <v>0</v>
      </c>
      <c r="VQ108" s="46" cm="1">
        <f t="array" ref="VQ108">ROUND(IFERROR(INDEX(ArchiveResults!$F$5:$IX$116,ComparisonData!A108,ComparisonData!$VQ$1),0),5)</f>
        <v>0</v>
      </c>
      <c r="VR108" s="56">
        <v>103</v>
      </c>
      <c r="VS108" s="53" t="str">
        <f t="shared" si="1247"/>
        <v>Wandsworth Heritage Service</v>
      </c>
      <c r="VT108" s="60">
        <f t="shared" si="1062"/>
        <v>0</v>
      </c>
      <c r="VU108" s="60">
        <f t="shared" si="1063"/>
        <v>0</v>
      </c>
      <c r="VV108" s="60">
        <f t="shared" si="1064"/>
        <v>0</v>
      </c>
      <c r="VW108" s="60">
        <f t="shared" si="1065"/>
        <v>0</v>
      </c>
      <c r="VX108" s="76">
        <f t="shared" si="1066"/>
        <v>0</v>
      </c>
      <c r="VY108" s="46">
        <f t="shared" si="1067"/>
        <v>17</v>
      </c>
      <c r="VZ108" s="46">
        <f t="shared" si="1248"/>
        <v>2.5189999999999997</v>
      </c>
      <c r="WA108" s="46">
        <f t="shared" si="1068"/>
        <v>1</v>
      </c>
      <c r="WB108" s="46">
        <f t="shared" si="1069"/>
        <v>2</v>
      </c>
      <c r="WC108" s="46" cm="1">
        <f t="array" ref="WC108">ROUND(IFERROR(INDEX(ArchiveResults!$F$5:$IX$116,ComparisonData!A108,ComparisonData!$WC$1),0),5)</f>
        <v>0</v>
      </c>
      <c r="WD108" s="56">
        <v>103</v>
      </c>
      <c r="WE108" s="53" t="str">
        <f t="shared" si="1249"/>
        <v>Wandsworth Heritage Service</v>
      </c>
      <c r="WF108" s="46">
        <f t="shared" si="1070"/>
        <v>0</v>
      </c>
      <c r="WG108" s="76">
        <f t="shared" si="1071"/>
        <v>0</v>
      </c>
      <c r="WH108" s="46">
        <f t="shared" si="1072"/>
        <v>17</v>
      </c>
      <c r="WI108" s="46">
        <f t="shared" si="1250"/>
        <v>2.5189999999999997</v>
      </c>
      <c r="WJ108" s="46">
        <f t="shared" si="1073"/>
        <v>1</v>
      </c>
      <c r="WK108" s="46">
        <f t="shared" si="1074"/>
        <v>2</v>
      </c>
      <c r="WL108" s="46" cm="1">
        <f t="array" ref="WL108">ROUND(IFERROR(INDEX(ArchiveResults!$F$5:$IX$116,ComparisonData!A108,ComparisonData!$WL$1),0),5)</f>
        <v>0</v>
      </c>
      <c r="WM108" s="46" cm="1">
        <f t="array" ref="WM108">IFERROR(INDEX(ArchiveResults!$F$5:$IX$116,ComparisonData!A108,ComparisonData!$WM$1),0)</f>
        <v>0</v>
      </c>
      <c r="WN108" s="56">
        <v>103</v>
      </c>
      <c r="WO108" s="53" t="str">
        <f t="shared" si="1251"/>
        <v>Wandsworth Heritage Service</v>
      </c>
      <c r="WP108" s="60">
        <f t="shared" si="1075"/>
        <v>0</v>
      </c>
      <c r="WQ108" s="60">
        <f t="shared" si="1076"/>
        <v>0</v>
      </c>
      <c r="WR108" s="76">
        <f t="shared" si="1077"/>
        <v>0</v>
      </c>
      <c r="WS108" s="46">
        <f t="shared" si="1078"/>
        <v>17</v>
      </c>
      <c r="WT108" s="46">
        <f t="shared" si="1252"/>
        <v>2.5189999999999997</v>
      </c>
      <c r="WU108" s="46">
        <f t="shared" si="1079"/>
        <v>1</v>
      </c>
      <c r="WV108" s="46">
        <f t="shared" si="1080"/>
        <v>2</v>
      </c>
      <c r="WW108" s="46" cm="1">
        <f t="array" ref="WW108">ROUND(VALUE(IFERROR(INDEX(ArchiveResults!$F$5:$IX$116,ComparisonData!A108,ComparisonData!$WW$1),0)),5)</f>
        <v>0</v>
      </c>
      <c r="WX108" s="46" cm="1">
        <f t="array" ref="WX108">ROUND(IFERROR(INDEX(ArchiveResults!$F$5:$IX$116,ComparisonData!A108,ComparisonData!$WX$1),0),5)</f>
        <v>0</v>
      </c>
      <c r="WY108" s="56">
        <v>103</v>
      </c>
      <c r="WZ108" s="53" t="str">
        <f t="shared" si="1253"/>
        <v>Wandsworth Heritage Service</v>
      </c>
      <c r="XA108" s="60">
        <f t="shared" si="1254"/>
        <v>0</v>
      </c>
      <c r="XB108" s="60">
        <f t="shared" si="1255"/>
        <v>0</v>
      </c>
      <c r="XC108" s="76">
        <f t="shared" si="1081"/>
        <v>0</v>
      </c>
      <c r="XD108" s="46">
        <f t="shared" si="1082"/>
        <v>17</v>
      </c>
      <c r="XE108" s="46">
        <f t="shared" si="1256"/>
        <v>2.5189999999999997</v>
      </c>
      <c r="XF108" s="46">
        <f t="shared" si="1083"/>
        <v>1</v>
      </c>
      <c r="XG108" s="46">
        <f t="shared" si="1084"/>
        <v>2</v>
      </c>
      <c r="XH108" s="46" cm="1">
        <f t="array" ref="XH108">ROUND(VALUE(IFERROR(INDEX(ArchiveResults!$F$5:$IX$116,ComparisonData!A108,ComparisonData!$XH$1),0)),5)</f>
        <v>0</v>
      </c>
      <c r="XI108" s="46" cm="1">
        <f t="array" ref="XI108">ROUND(VALUE(IFERROR(INDEX(ArchiveResults!$F$5:$IX$116,ComparisonData!A108,ComparisonData!$XI$1),0)),5)</f>
        <v>0</v>
      </c>
      <c r="XJ108" s="56">
        <v>103</v>
      </c>
      <c r="XK108" s="53" t="str">
        <f t="shared" si="1257"/>
        <v>Wandsworth Heritage Service</v>
      </c>
      <c r="XL108" s="60">
        <f t="shared" si="1085"/>
        <v>0</v>
      </c>
      <c r="XM108" s="60">
        <f t="shared" si="1086"/>
        <v>0</v>
      </c>
      <c r="XN108" s="76">
        <f t="shared" si="1087"/>
        <v>0</v>
      </c>
      <c r="XO108" s="46">
        <f t="shared" si="1088"/>
        <v>17</v>
      </c>
      <c r="XP108" s="46">
        <f t="shared" si="1258"/>
        <v>2.5189999999999997</v>
      </c>
      <c r="XQ108" s="46">
        <f t="shared" si="1089"/>
        <v>1</v>
      </c>
      <c r="XR108" s="46">
        <f t="shared" si="1090"/>
        <v>2</v>
      </c>
      <c r="XS108" s="46" cm="1">
        <f t="array" ref="XS108">ROUND(VALUE(IFERROR(INDEX(ArchiveResults!$F$5:$IX$116,ComparisonData!A108,ComparisonData!$XS$1),0)),5)</f>
        <v>0</v>
      </c>
      <c r="XT108" s="46" cm="1">
        <f t="array" ref="XT108">ROUND(VALUE(IFERROR(INDEX(ArchiveResults!$F$5:$IX$116,ComparisonData!A108,ComparisonData!$XT$1),0)),5)</f>
        <v>0</v>
      </c>
      <c r="XU108" s="56">
        <v>103</v>
      </c>
      <c r="XV108" s="53" t="str">
        <f t="shared" si="1259"/>
        <v>Wandsworth Heritage Service</v>
      </c>
      <c r="XW108" s="60">
        <f t="shared" si="1091"/>
        <v>0</v>
      </c>
      <c r="XX108" s="60">
        <f t="shared" si="1092"/>
        <v>0</v>
      </c>
      <c r="XY108" s="76">
        <f t="shared" si="1093"/>
        <v>0</v>
      </c>
      <c r="XZ108" s="46">
        <f t="shared" si="1094"/>
        <v>17</v>
      </c>
      <c r="YA108" s="46">
        <f t="shared" si="1260"/>
        <v>2.5189999999999997</v>
      </c>
      <c r="YB108" s="46">
        <f t="shared" si="1095"/>
        <v>1</v>
      </c>
      <c r="YC108" s="46">
        <f t="shared" si="1096"/>
        <v>2</v>
      </c>
      <c r="YD108" s="46" cm="1">
        <f t="array" ref="YD108">ROUND(VALUE(IFERROR(INDEX(ArchiveResults!$F$5:$IX$116,ComparisonData!A108,ComparisonData!$YD$1),0)),5)</f>
        <v>0</v>
      </c>
      <c r="YE108" s="46" cm="1">
        <f t="array" ref="YE108">ROUND(VALUE(IFERROR(INDEX(ArchiveResults!$F$5:$IX$116,ComparisonData!A108,ComparisonData!$YE$1),0)),5)</f>
        <v>0</v>
      </c>
      <c r="YF108" s="56">
        <v>103</v>
      </c>
      <c r="YG108" s="53" t="str">
        <f t="shared" si="1261"/>
        <v>Wandsworth Heritage Service</v>
      </c>
      <c r="YH108" s="60">
        <f t="shared" si="1097"/>
        <v>0</v>
      </c>
      <c r="YI108" s="60">
        <f t="shared" si="1098"/>
        <v>0</v>
      </c>
      <c r="YJ108" s="76">
        <f t="shared" si="1099"/>
        <v>0</v>
      </c>
      <c r="YK108" s="46">
        <f t="shared" si="1100"/>
        <v>17</v>
      </c>
      <c r="YL108" s="46">
        <f t="shared" si="1262"/>
        <v>2.5189999999999997</v>
      </c>
      <c r="YM108" s="46">
        <f t="shared" si="1101"/>
        <v>1</v>
      </c>
      <c r="YN108" s="46">
        <f t="shared" si="1102"/>
        <v>2</v>
      </c>
      <c r="YO108" s="46" cm="1">
        <f t="array" ref="YO108">ROUND(VALUE(IFERROR(INDEX(ArchiveResults!$F$5:$IX$116,ComparisonData!A108,ComparisonData!$YO$1),0)),5)</f>
        <v>0</v>
      </c>
      <c r="YP108" s="46" cm="1">
        <f t="array" ref="YP108">ROUND(VALUE(IFERROR(INDEX(ArchiveResults!$F$5:$IX$116,ComparisonData!A108,ComparisonData!$YP$1),0)),5)</f>
        <v>0</v>
      </c>
      <c r="YQ108" s="56">
        <v>103</v>
      </c>
      <c r="YR108" s="53" t="str">
        <f t="shared" si="1263"/>
        <v>Wandsworth Heritage Service</v>
      </c>
      <c r="YS108" s="60">
        <f t="shared" si="1103"/>
        <v>0</v>
      </c>
      <c r="YT108" s="60">
        <f t="shared" si="1104"/>
        <v>0</v>
      </c>
      <c r="YU108" s="76">
        <f t="shared" si="1105"/>
        <v>0</v>
      </c>
      <c r="YV108" s="46">
        <f t="shared" si="1106"/>
        <v>17</v>
      </c>
      <c r="YW108" s="46">
        <f t="shared" si="1264"/>
        <v>2.5189999999999997</v>
      </c>
      <c r="YX108" s="46">
        <f t="shared" si="1107"/>
        <v>1</v>
      </c>
      <c r="YY108" s="46">
        <f t="shared" si="1108"/>
        <v>2</v>
      </c>
      <c r="YZ108" s="46">
        <f t="shared" si="1109"/>
        <v>0</v>
      </c>
      <c r="ZA108" s="46" cm="1">
        <f t="array" ref="ZA108">ROUNDDOWN(VALUE(IFERROR(INDEX(ArchiveResults!$F$5:$IX$116,ComparisonData!A108,ComparisonData!$ZA$1),0)),5)</f>
        <v>0</v>
      </c>
      <c r="ZB108" s="46" cm="1">
        <f t="array" ref="ZB108">ROUNDDOWN(VALUE(IFERROR(INDEX(ArchiveResults!$F$5:$IX$116,ComparisonData!A108,ComparisonData!$ZB$1),0)),5)</f>
        <v>0</v>
      </c>
      <c r="ZC108" s="46" cm="1">
        <f t="array" ref="ZC108">ROUNDDOWN(VALUE(IFERROR(INDEX(ArchiveResults!$F$5:$IX$116,ComparisonData!A108,ComparisonData!$ZC$1),0)),5)</f>
        <v>0</v>
      </c>
      <c r="ZD108" s="46" cm="1">
        <f t="array" ref="ZD108">ROUNDDOWN(VALUE(IFERROR(INDEX(ArchiveResults!$F$5:$IX$116,ComparisonData!A108,ComparisonData!$ZD$1),0)),5)</f>
        <v>0</v>
      </c>
      <c r="ZE108" s="46" cm="1">
        <f t="array" ref="ZE108">ROUNDDOWN(VALUE(IFERROR(INDEX(ArchiveResults!$F$5:$IX$116,ComparisonData!A108,ComparisonData!$ZE$1),0)),5)</f>
        <v>0</v>
      </c>
      <c r="ZF108" s="56">
        <v>103</v>
      </c>
      <c r="ZG108" s="53" t="str">
        <f t="shared" si="1265"/>
        <v>Wandsworth Heritage Service</v>
      </c>
      <c r="ZH108" s="60">
        <f t="shared" si="1110"/>
        <v>0</v>
      </c>
      <c r="ZI108" s="60">
        <f t="shared" si="1111"/>
        <v>0</v>
      </c>
      <c r="ZJ108" s="60">
        <f t="shared" si="1112"/>
        <v>0</v>
      </c>
      <c r="ZK108" s="60">
        <f t="shared" si="1113"/>
        <v>0</v>
      </c>
      <c r="ZL108" s="60">
        <f t="shared" si="1114"/>
        <v>0</v>
      </c>
      <c r="ZM108" s="76">
        <f t="shared" si="1115"/>
        <v>0</v>
      </c>
      <c r="ZN108" s="46">
        <f t="shared" si="1116"/>
        <v>17</v>
      </c>
      <c r="ZO108" s="46">
        <f t="shared" si="1266"/>
        <v>2.5189999999999997</v>
      </c>
      <c r="ZP108" s="46">
        <f t="shared" si="1117"/>
        <v>1</v>
      </c>
      <c r="ZQ108" s="46">
        <f t="shared" si="1118"/>
        <v>2</v>
      </c>
      <c r="ZR108" s="46" cm="1">
        <f t="array" ref="ZR108">ROUND(VALUE(IFERROR(INDEX(ArchiveResults!$F$5:$IX$116,ComparisonData!A108,ComparisonData!$ZR$1),0)),5)</f>
        <v>0</v>
      </c>
      <c r="ZS108" s="56">
        <v>103</v>
      </c>
      <c r="ZT108" s="53" t="str">
        <f t="shared" si="1267"/>
        <v>Wandsworth Heritage Service</v>
      </c>
      <c r="ZU108" s="46">
        <f t="shared" si="1119"/>
        <v>0</v>
      </c>
      <c r="ZV108" s="76">
        <f t="shared" si="1120"/>
        <v>0</v>
      </c>
      <c r="ZW108" s="81" cm="1">
        <f t="array" ref="ZW108">ROUND((IFERROR(INDEX(ArchiveResults!$F$5:$IX$116,ComparisonData!A108,ComparisonData!$ZW$1),0)),5)</f>
        <v>0</v>
      </c>
      <c r="ZX108" s="81" cm="1">
        <f t="array" ref="ZX108">ROUND((IFERROR(INDEX(ArchiveResults!$F$5:$IX$116,ComparisonData!A108,ComparisonData!$ZX$1),0)),5)</f>
        <v>0</v>
      </c>
      <c r="ZY108" s="81" cm="1">
        <f t="array" ref="ZY108">ROUND((IFERROR(INDEX(ArchiveResults!$F$5:$IX$116,ComparisonData!A108,ComparisonData!$ZY$1),0)),5)</f>
        <v>0</v>
      </c>
      <c r="ZZ108" s="81" cm="1">
        <f t="array" ref="ZZ108">ROUND((IFERROR(INDEX(ArchiveResults!$F$5:$IX$116,ComparisonData!A108,ComparisonData!$ZZ$1),0)),5)</f>
        <v>0</v>
      </c>
      <c r="AAA108" s="81" cm="1">
        <f t="array" ref="AAA108">ROUND((IFERROR(INDEX(ArchiveResults!$F$5:$IX$116,ComparisonData!A108,ComparisonData!$AAA$1),0)),5)</f>
        <v>0</v>
      </c>
      <c r="AAB108" s="81" cm="1">
        <f t="array" ref="AAB108">ROUND((IFERROR(INDEX(ArchiveResults!$F$5:$IX$116,ComparisonData!A108,ComparisonData!$AAB$1),0)),5)</f>
        <v>0</v>
      </c>
      <c r="AAC108" s="81" cm="1">
        <f t="array" ref="AAC108">ROUND((IFERROR(INDEX(ArchiveResults!$F$5:$IX$116,ComparisonData!A108,ComparisonData!$AAC$1),0)),5)</f>
        <v>0</v>
      </c>
      <c r="AAD108" s="81" cm="1">
        <f t="array" ref="AAD108">ROUND((IFERROR(INDEX(ArchiveResults!$F$5:$IX$116,ComparisonData!A108,ComparisonData!$AAD$1),0)),5)</f>
        <v>0</v>
      </c>
      <c r="AAE108" s="81" cm="1">
        <f t="array" ref="AAE108">ROUND((IFERROR(INDEX(ArchiveResults!$F$5:$IX$116,ComparisonData!A108,ComparisonData!$AAE$1),0)),5)</f>
        <v>0</v>
      </c>
      <c r="AAF108" s="81" cm="1">
        <f t="array" ref="AAF108">ROUND((IFERROR(INDEX(ArchiveResults!$F$5:$IX$116,ComparisonData!A108,ComparisonData!$AAF$1),0)),5)</f>
        <v>0</v>
      </c>
      <c r="AAG108" s="46">
        <f t="shared" si="1121"/>
        <v>17</v>
      </c>
      <c r="AAH108" s="46">
        <f t="shared" si="1268"/>
        <v>2.5189999999999997</v>
      </c>
      <c r="AAI108" s="46">
        <f t="shared" si="1122"/>
        <v>1</v>
      </c>
      <c r="AAJ108" s="46">
        <f t="shared" si="1123"/>
        <v>2</v>
      </c>
      <c r="AAK108" s="46">
        <f t="shared" si="1124"/>
        <v>0</v>
      </c>
      <c r="AAL108" s="46">
        <f t="shared" si="1125"/>
        <v>0</v>
      </c>
      <c r="AAM108" s="46">
        <f t="shared" si="1126"/>
        <v>0</v>
      </c>
      <c r="AAN108" s="46">
        <f t="shared" si="1127"/>
        <v>0</v>
      </c>
      <c r="AAO108" s="46">
        <f t="shared" si="1128"/>
        <v>0</v>
      </c>
      <c r="AAP108" s="46">
        <f t="shared" si="1129"/>
        <v>0</v>
      </c>
      <c r="AAQ108" s="56">
        <v>103</v>
      </c>
      <c r="AAR108" s="53" t="str">
        <f t="shared" si="1269"/>
        <v>Wandsworth Heritage Service</v>
      </c>
      <c r="AAS108" s="60">
        <f t="shared" si="1130"/>
        <v>0</v>
      </c>
      <c r="AAT108" s="60">
        <f t="shared" si="1131"/>
        <v>0</v>
      </c>
      <c r="AAU108" s="60">
        <f t="shared" si="1132"/>
        <v>0</v>
      </c>
      <c r="AAV108" s="60">
        <f t="shared" si="1133"/>
        <v>0</v>
      </c>
      <c r="AAW108" s="60">
        <f t="shared" si="1134"/>
        <v>0</v>
      </c>
      <c r="AAX108" s="76">
        <f t="shared" si="1135"/>
        <v>0</v>
      </c>
      <c r="AAY108" s="46">
        <f t="shared" si="1136"/>
        <v>17</v>
      </c>
      <c r="AAZ108" s="46">
        <f t="shared" si="1270"/>
        <v>2.5189999999999997</v>
      </c>
      <c r="ABA108" s="46">
        <f t="shared" si="1137"/>
        <v>1</v>
      </c>
      <c r="ABB108" s="46">
        <f t="shared" si="1138"/>
        <v>2</v>
      </c>
      <c r="ABC108" s="46">
        <f t="shared" si="742"/>
        <v>0</v>
      </c>
      <c r="ABD108" s="46" cm="1">
        <f t="array" ref="ABD108">ROUND(VALUE(IFERROR(INDEX(ArchiveResults!$F$5:$IX$116,ComparisonData!A108,ComparisonData!$ABD$1),0)),5)</f>
        <v>0</v>
      </c>
      <c r="ABE108" s="46" cm="1">
        <f t="array" ref="ABE108">ROUND(VALUE(IFERROR(INDEX(ArchiveResults!$F$5:$IX$116,ComparisonData!A108,ComparisonData!$ABE$1),0)),5)</f>
        <v>0</v>
      </c>
      <c r="ABF108" s="46" cm="1">
        <f t="array" ref="ABF108">ROUND(VALUE(IFERROR(INDEX(ArchiveResults!$F$5:$IX$116,ComparisonData!A108,ComparisonData!$ABF$1),0)),5)</f>
        <v>0</v>
      </c>
      <c r="ABG108" s="46" cm="1">
        <f t="array" ref="ABG108">ROUND(VALUE(IFERROR(INDEX(ArchiveResults!$F$5:$IX$116,ComparisonData!A108,ComparisonData!$ABG$1),0)),5)</f>
        <v>0</v>
      </c>
      <c r="ABH108" s="46" cm="1">
        <f t="array" ref="ABH108">ROUND(VALUE(IFERROR(INDEX(ArchiveResults!$F$5:$IX$116,ComparisonData!A108,ComparisonData!$ABH$1),0)),5)</f>
        <v>0</v>
      </c>
      <c r="ABI108" s="56">
        <v>103</v>
      </c>
      <c r="ABJ108" s="53" t="str">
        <f t="shared" si="1271"/>
        <v>Wandsworth Heritage Service</v>
      </c>
      <c r="ABK108" s="60">
        <f t="shared" si="1139"/>
        <v>0</v>
      </c>
      <c r="ABL108" s="60">
        <f t="shared" si="1140"/>
        <v>0</v>
      </c>
      <c r="ABM108" s="60">
        <f t="shared" si="1141"/>
        <v>0</v>
      </c>
      <c r="ABN108" s="60">
        <f t="shared" si="1142"/>
        <v>0</v>
      </c>
      <c r="ABO108" s="60">
        <f t="shared" si="1143"/>
        <v>0</v>
      </c>
      <c r="ABP108" s="76">
        <f t="shared" si="1144"/>
        <v>0</v>
      </c>
      <c r="ABQ108" s="46">
        <f t="shared" si="1145"/>
        <v>17</v>
      </c>
      <c r="ABR108" s="46">
        <f t="shared" si="1272"/>
        <v>2.5189999999999997</v>
      </c>
      <c r="ABS108" s="46">
        <f t="shared" si="1146"/>
        <v>1</v>
      </c>
      <c r="ABT108" s="46">
        <f t="shared" si="1147"/>
        <v>2</v>
      </c>
      <c r="ABU108" s="46" cm="1">
        <f t="array" ref="ABU108">ROUND(VALUE(IFERROR(INDEX(ArchiveResults!$F$5:$IX$116,ComparisonData!A108,ComparisonData!$ABU$1),0)),5)</f>
        <v>0</v>
      </c>
      <c r="ABV108" s="46" cm="1">
        <f t="array" ref="ABV108">ROUND(VALUE(IFERROR(INDEX(ArchiveResults!$F$5:$IX$116,ComparisonData!A108,ComparisonData!$ABV$1),0)),5)</f>
        <v>0</v>
      </c>
      <c r="ABW108" s="46" cm="1">
        <f t="array" ref="ABW108">ROUND(VALUE(IFERROR(INDEX(ArchiveResults!$F$5:$IX$116,ComparisonData!A108,ComparisonData!$ABW$1),0)),5)</f>
        <v>0</v>
      </c>
      <c r="ABX108" s="46" cm="1">
        <f t="array" ref="ABX108">ROUND(VALUE(IFERROR(INDEX(ArchiveResults!$F$5:$IX$116,ComparisonData!A108,ComparisonData!$ABX$1),0)),5)</f>
        <v>0</v>
      </c>
      <c r="ABY108" s="46" cm="1">
        <f t="array" ref="ABY108">ROUND(VALUE(IFERROR(INDEX(ArchiveResults!$F$5:$IX$116,ComparisonData!A108,ComparisonData!$ABY$1),0)),5)</f>
        <v>0</v>
      </c>
      <c r="ABZ108" s="56">
        <v>103</v>
      </c>
      <c r="ACA108" s="53" t="str">
        <f t="shared" si="1273"/>
        <v>Wandsworth Heritage Service</v>
      </c>
      <c r="ACB108" s="60">
        <f t="shared" si="1148"/>
        <v>0</v>
      </c>
      <c r="ACC108" s="60">
        <f t="shared" si="1149"/>
        <v>0</v>
      </c>
      <c r="ACD108" s="60">
        <f t="shared" si="1150"/>
        <v>0</v>
      </c>
      <c r="ACE108" s="60">
        <f t="shared" si="1151"/>
        <v>0</v>
      </c>
      <c r="ACF108" s="60">
        <f t="shared" si="1152"/>
        <v>0</v>
      </c>
      <c r="ACG108" s="76">
        <f t="shared" si="1153"/>
        <v>0</v>
      </c>
      <c r="ACH108" s="46">
        <f t="shared" si="1154"/>
        <v>17</v>
      </c>
      <c r="ACI108" s="46">
        <f t="shared" si="1274"/>
        <v>2.5189999999999997</v>
      </c>
      <c r="ACJ108" s="46">
        <f t="shared" si="1155"/>
        <v>1</v>
      </c>
      <c r="ACK108" s="46">
        <f t="shared" si="1156"/>
        <v>2</v>
      </c>
      <c r="ACL108" s="46">
        <f t="shared" si="1157"/>
        <v>0</v>
      </c>
      <c r="ACM108" s="46" cm="1">
        <f t="array" ref="ACM108">ROUND(IFERROR(INDEX(ArchiveResults!$F$5:$IX$116,ComparisonData!A108,ComparisonData!$ACM$1),0),5)</f>
        <v>0</v>
      </c>
      <c r="ACN108" s="46" cm="1">
        <f t="array" ref="ACN108">ROUND(IFERROR(INDEX(ArchiveResults!$F$5:$IX$116,ComparisonData!A108,ComparisonData!$ACN$1),0),5)</f>
        <v>0</v>
      </c>
      <c r="ACO108" s="56">
        <v>103</v>
      </c>
      <c r="ACP108" s="53" t="str">
        <f t="shared" si="1275"/>
        <v>Wandsworth Heritage Service</v>
      </c>
      <c r="ACQ108" s="60">
        <f t="shared" si="1158"/>
        <v>0</v>
      </c>
      <c r="ACR108" s="60">
        <f t="shared" si="1159"/>
        <v>0</v>
      </c>
      <c r="ACS108" s="76">
        <f t="shared" si="1160"/>
        <v>0</v>
      </c>
      <c r="ACT108" s="46">
        <f t="shared" si="1161"/>
        <v>17</v>
      </c>
      <c r="ACU108" s="46">
        <f t="shared" si="1276"/>
        <v>2.5189999999999997</v>
      </c>
      <c r="ACV108" s="46">
        <f t="shared" si="1162"/>
        <v>1</v>
      </c>
      <c r="ACW108" s="46">
        <f t="shared" si="1163"/>
        <v>2</v>
      </c>
      <c r="ACX108" s="46">
        <f t="shared" si="1164"/>
        <v>0</v>
      </c>
      <c r="ACY108" s="46" cm="1">
        <f t="array" ref="ACY108">ROUNDDOWN(IFERROR(INDEX(ArchiveResults!$F$5:$IX$116,ComparisonData!A108,ComparisonData!$ACY$1),0),5)</f>
        <v>0</v>
      </c>
      <c r="ACZ108" s="46" cm="1">
        <f t="array" ref="ACZ108">ROUNDDOWN(IFERROR(INDEX(ArchiveResults!$F$5:$IX$116,ComparisonData!A108,ComparisonData!$ACZ$1),0),5)</f>
        <v>0</v>
      </c>
      <c r="ADA108" s="46" cm="1">
        <f t="array" ref="ADA108">ROUNDDOWN(IFERROR(INDEX(ArchiveResults!$F$5:$IX$116,ComparisonData!A108,ComparisonData!$ADA$1),0),5)</f>
        <v>0</v>
      </c>
      <c r="ADB108" s="56">
        <v>103</v>
      </c>
      <c r="ADC108" s="53" t="str">
        <f t="shared" si="1277"/>
        <v>Wandsworth Heritage Service</v>
      </c>
      <c r="ADD108" s="60">
        <f t="shared" si="1165"/>
        <v>0</v>
      </c>
      <c r="ADE108" s="60">
        <f t="shared" si="1166"/>
        <v>0</v>
      </c>
      <c r="ADF108" s="60">
        <f t="shared" si="1167"/>
        <v>0</v>
      </c>
      <c r="ADG108" s="76">
        <f t="shared" si="1168"/>
        <v>0</v>
      </c>
    </row>
    <row r="109" spans="1:787" x14ac:dyDescent="0.25">
      <c r="A109" s="46" t="str">
        <f>IF(ISBLANK(ComparisonSelection!F105),"",ROW()-5)</f>
        <v/>
      </c>
      <c r="B109" s="53" t="s">
        <v>560</v>
      </c>
      <c r="C109" s="72">
        <v>0.6639999999999997</v>
      </c>
      <c r="D109" s="55">
        <f t="shared" si="750"/>
        <v>46</v>
      </c>
      <c r="E109" s="54">
        <f t="shared" si="751"/>
        <v>2.6639999999999997</v>
      </c>
      <c r="F109" s="54">
        <f t="shared" si="752"/>
        <v>1</v>
      </c>
      <c r="G109" s="72">
        <f t="shared" si="753"/>
        <v>2</v>
      </c>
      <c r="H109" s="72">
        <f t="shared" si="754"/>
        <v>0</v>
      </c>
      <c r="I109" s="46" cm="1">
        <f t="array" ref="I109">ROUND(IFERROR(INDEX(ArchiveResults!$F$5:$IX$116,ComparisonData!A109,ComparisonData!$I$1),0),5)</f>
        <v>0</v>
      </c>
      <c r="J109" s="46" cm="1">
        <f t="array" ref="J109">ROUND(IFERROR(INDEX(ArchiveResults!$F$5:$IX$116,ComparisonData!A109,ComparisonData!$J$1),0),5)</f>
        <v>0</v>
      </c>
      <c r="K109" s="56">
        <v>104</v>
      </c>
      <c r="L109" s="53" t="str">
        <f t="shared" si="755"/>
        <v>Warrington Archives</v>
      </c>
      <c r="M109" s="57">
        <f t="shared" si="1169"/>
        <v>0</v>
      </c>
      <c r="N109" s="57">
        <f t="shared" si="1170"/>
        <v>0</v>
      </c>
      <c r="O109" s="58">
        <f t="shared" si="756"/>
        <v>0</v>
      </c>
      <c r="P109" s="48">
        <f t="shared" si="757"/>
        <v>46</v>
      </c>
      <c r="Q109" s="54">
        <f t="shared" si="1171"/>
        <v>2.6639999999999997</v>
      </c>
      <c r="R109" s="45">
        <f t="shared" si="758"/>
        <v>1</v>
      </c>
      <c r="S109" s="46">
        <f t="shared" si="759"/>
        <v>2</v>
      </c>
      <c r="T109" s="72">
        <f t="shared" si="760"/>
        <v>0</v>
      </c>
      <c r="U109" s="46" cm="1">
        <f t="array" ref="U109">ROUND(IFERROR(INDEX(ArchiveResults!$F$5:$IX$116,ComparisonData!A109,ComparisonData!$U$1),0),5)</f>
        <v>0</v>
      </c>
      <c r="V109" s="46" cm="1">
        <f t="array" ref="V109">ROUND(IFERROR(INDEX(ArchiveResults!$F$5:$IX$116,ComparisonData!A109,ComparisonData!$V$1),0),5)</f>
        <v>0</v>
      </c>
      <c r="W109" s="56">
        <v>104</v>
      </c>
      <c r="X109" s="53" t="str">
        <f t="shared" si="1172"/>
        <v>Warrington Archives</v>
      </c>
      <c r="Y109" s="57">
        <f t="shared" si="761"/>
        <v>0</v>
      </c>
      <c r="Z109" s="57">
        <f t="shared" si="762"/>
        <v>0</v>
      </c>
      <c r="AA109" s="58">
        <f t="shared" si="763"/>
        <v>0</v>
      </c>
      <c r="AB109" s="45">
        <f t="shared" si="764"/>
        <v>46</v>
      </c>
      <c r="AC109" s="54">
        <f t="shared" si="1173"/>
        <v>2.6639999999999997</v>
      </c>
      <c r="AD109" s="45">
        <f t="shared" si="765"/>
        <v>1</v>
      </c>
      <c r="AE109" s="45">
        <f t="shared" si="766"/>
        <v>2</v>
      </c>
      <c r="AF109" s="45">
        <f t="shared" si="639"/>
        <v>0</v>
      </c>
      <c r="AG109" s="46" cm="1">
        <f t="array" ref="AG109">ROUND(IFERROR(INDEX(ArchiveResults!$F$5:$IX$116,ComparisonData!A109,ComparisonData!$AG$1),0),5)</f>
        <v>0</v>
      </c>
      <c r="AH109" s="46" cm="1">
        <f t="array" ref="AH109">ROUND(IFERROR(INDEX(ArchiveResults!$F$5:$IX$116,ComparisonData!A109,ComparisonData!$AH$1),0),5)</f>
        <v>0</v>
      </c>
      <c r="AI109" s="56">
        <v>104</v>
      </c>
      <c r="AJ109" s="53" t="str">
        <f t="shared" si="1174"/>
        <v>Warrington Archives</v>
      </c>
      <c r="AK109" s="59">
        <f t="shared" si="1175"/>
        <v>0</v>
      </c>
      <c r="AL109" s="59">
        <f t="shared" si="1176"/>
        <v>0</v>
      </c>
      <c r="AM109" s="58">
        <f t="shared" si="767"/>
        <v>0</v>
      </c>
      <c r="AN109" s="45">
        <f t="shared" si="768"/>
        <v>46</v>
      </c>
      <c r="AO109" s="54">
        <f t="shared" si="1177"/>
        <v>2.6639999999999997</v>
      </c>
      <c r="AP109" s="45">
        <f t="shared" si="769"/>
        <v>1</v>
      </c>
      <c r="AQ109" s="45">
        <f t="shared" si="770"/>
        <v>2</v>
      </c>
      <c r="AR109" s="46" cm="1">
        <f t="array" ref="AR109">ROUND(IFERROR(INDEX(ArchiveResults!$F$5:$IX$116,ComparisonData!A109,ComparisonData!$AR$1),0),5)</f>
        <v>0</v>
      </c>
      <c r="AS109" s="46" cm="1">
        <f t="array" ref="AS109">ROUND(IFERROR(INDEX(ArchiveResults!$F$5:$IX$116,ComparisonData!A109,ComparisonData!$AS$1),0),5)</f>
        <v>0</v>
      </c>
      <c r="AT109" s="46" cm="1">
        <f t="array" ref="AT109">ROUND(IFERROR(INDEX(ArchiveResults!$F$5:$IX$116,ComparisonData!A109,ComparisonData!$AT$1),0),5)</f>
        <v>0</v>
      </c>
      <c r="AU109" s="46" cm="1">
        <f t="array" ref="AU109">ROUND(IFERROR(INDEX(ArchiveResults!$F$5:$IX$116,ComparisonData!A109,ComparisonData!$AU$1),0),5)</f>
        <v>0</v>
      </c>
      <c r="AV109" s="46" cm="1">
        <f t="array" ref="AV109">ROUND(IFERROR(INDEX(ArchiveResults!$F$5:$IX$116,ComparisonData!A109,ComparisonData!$AV$1),0),5)</f>
        <v>0</v>
      </c>
      <c r="AW109" s="46" cm="1">
        <f t="array" ref="AW109">ROUND(IFERROR(INDEX(ArchiveResults!$F$5:$IX$116,ComparisonData!A109,ComparisonData!$AW$1),0),5)</f>
        <v>0</v>
      </c>
      <c r="AX109" s="46" cm="1">
        <f t="array" ref="AX109">ROUND(IFERROR(INDEX(ArchiveResults!$F$5:$IX$116,ComparisonData!A109,ComparisonData!$AX$1),0),5)</f>
        <v>0</v>
      </c>
      <c r="AY109" s="46" cm="1">
        <f t="array" ref="AY109">ROUND(IFERROR(INDEX(ArchiveResults!$F$5:$IX$116,ComparisonData!A109,ComparisonData!$AY$1),0),5)</f>
        <v>0</v>
      </c>
      <c r="AZ109" s="46" cm="1">
        <f t="array" ref="AZ109">ROUND(IFERROR(INDEX(ArchiveResults!$F$5:$IX$116,ComparisonData!A109,ComparisonData!$AZ$1),0),5)</f>
        <v>0</v>
      </c>
      <c r="BA109" s="46" cm="1">
        <f t="array" ref="BA109">ROUND(IFERROR(INDEX(ArchiveResults!$F$5:$IX$116,ComparisonData!A109,ComparisonData!$BA$1),0),5)</f>
        <v>0</v>
      </c>
      <c r="BB109" s="56">
        <v>104</v>
      </c>
      <c r="BC109" s="53" t="str">
        <f t="shared" si="1178"/>
        <v>Warrington Archives</v>
      </c>
      <c r="BD109" s="60">
        <f t="shared" si="771"/>
        <v>0</v>
      </c>
      <c r="BE109" s="60">
        <f t="shared" si="772"/>
        <v>0</v>
      </c>
      <c r="BF109" s="60">
        <f t="shared" si="773"/>
        <v>0</v>
      </c>
      <c r="BG109" s="60">
        <f t="shared" si="774"/>
        <v>0</v>
      </c>
      <c r="BH109" s="60">
        <f t="shared" si="775"/>
        <v>0</v>
      </c>
      <c r="BI109" s="60">
        <f t="shared" si="776"/>
        <v>0</v>
      </c>
      <c r="BJ109" s="60">
        <f t="shared" si="777"/>
        <v>0</v>
      </c>
      <c r="BK109" s="60">
        <f t="shared" si="778"/>
        <v>0</v>
      </c>
      <c r="BL109" s="60">
        <f t="shared" si="779"/>
        <v>0</v>
      </c>
      <c r="BM109" s="59">
        <f t="shared" si="780"/>
        <v>0</v>
      </c>
      <c r="BN109" s="58">
        <f t="shared" si="781"/>
        <v>0</v>
      </c>
      <c r="BO109" s="45">
        <f t="shared" si="782"/>
        <v>46</v>
      </c>
      <c r="BP109" s="54">
        <f t="shared" si="1179"/>
        <v>2.6639999999999997</v>
      </c>
      <c r="BQ109" s="45">
        <f t="shared" si="783"/>
        <v>1</v>
      </c>
      <c r="BR109" s="45">
        <f t="shared" si="784"/>
        <v>2</v>
      </c>
      <c r="BS109" s="46" cm="1">
        <f t="array" ref="BS109">ROUND(IFERROR(INDEX(ArchiveResults!$F$5:$IX$116,ComparisonData!A109,ComparisonData!$BS$1),0),5)</f>
        <v>0</v>
      </c>
      <c r="BT109" s="46" cm="1">
        <f t="array" ref="BT109">ROUND(IFERROR(INDEX(ArchiveResults!$F$5:$IX$116,ComparisonData!A109,ComparisonData!$BT$1),0),5)</f>
        <v>0</v>
      </c>
      <c r="BU109" s="46" cm="1">
        <f t="array" ref="BU109">ROUND(IFERROR(INDEX(ArchiveResults!$F$5:$IX$116,ComparisonData!A109,ComparisonData!$BU$1),0),5)</f>
        <v>0</v>
      </c>
      <c r="BV109" s="46" cm="1">
        <f t="array" ref="BV109">ROUND(IFERROR(INDEX(ArchiveResults!$F$5:$IX$116,ComparisonData!A109,ComparisonData!$BV$1),0),5)</f>
        <v>0</v>
      </c>
      <c r="BW109" s="46" cm="1">
        <f t="array" ref="BW109">ROUND(IFERROR(INDEX(ArchiveResults!$F$5:$IX$116,ComparisonData!A109,ComparisonData!$BW$1),0),5)</f>
        <v>0</v>
      </c>
      <c r="BX109" s="46" cm="1">
        <f t="array" ref="BX109">ROUND(IFERROR(INDEX(ArchiveResults!$F$5:$IX$116,ComparisonData!A109,ComparisonData!$BX$1),0),5)</f>
        <v>0</v>
      </c>
      <c r="BY109" s="56">
        <v>104</v>
      </c>
      <c r="BZ109" s="53" t="str">
        <f t="shared" si="1180"/>
        <v>Warrington Archives</v>
      </c>
      <c r="CA109" s="59">
        <f t="shared" si="785"/>
        <v>0</v>
      </c>
      <c r="CB109" s="59">
        <f t="shared" si="786"/>
        <v>0</v>
      </c>
      <c r="CC109" s="59">
        <f t="shared" si="787"/>
        <v>0</v>
      </c>
      <c r="CD109" s="59">
        <f t="shared" si="788"/>
        <v>0</v>
      </c>
      <c r="CE109" s="59">
        <f t="shared" si="789"/>
        <v>0</v>
      </c>
      <c r="CF109" s="59">
        <f t="shared" si="790"/>
        <v>0</v>
      </c>
      <c r="CG109" s="58">
        <f t="shared" si="791"/>
        <v>0</v>
      </c>
      <c r="CH109" s="45">
        <f t="shared" si="792"/>
        <v>46</v>
      </c>
      <c r="CI109" s="54">
        <f t="shared" si="1181"/>
        <v>2.6639999999999997</v>
      </c>
      <c r="CJ109" s="45">
        <f t="shared" si="793"/>
        <v>1</v>
      </c>
      <c r="CK109" s="45">
        <f t="shared" si="794"/>
        <v>2</v>
      </c>
      <c r="CL109" s="46" cm="1">
        <f t="array" ref="CL109">ROUND(IFERROR(INDEX(ArchiveResults!$F$5:$IX$116,ComparisonData!A109,ComparisonData!$CL$1),0),5)</f>
        <v>0</v>
      </c>
      <c r="CM109" s="56">
        <v>104</v>
      </c>
      <c r="CN109" s="53" t="str">
        <f t="shared" si="1182"/>
        <v>Warrington Archives</v>
      </c>
      <c r="CO109" s="45">
        <f t="shared" si="795"/>
        <v>0</v>
      </c>
      <c r="CP109" s="58">
        <f t="shared" si="796"/>
        <v>0</v>
      </c>
      <c r="CQ109" s="45">
        <f t="shared" si="797"/>
        <v>46</v>
      </c>
      <c r="CR109" s="54">
        <f t="shared" si="1183"/>
        <v>2.6639999999999997</v>
      </c>
      <c r="CS109" s="45">
        <f t="shared" si="798"/>
        <v>1</v>
      </c>
      <c r="CT109" s="45">
        <f t="shared" si="799"/>
        <v>2</v>
      </c>
      <c r="CU109" s="46" cm="1">
        <f t="array" ref="CU109">ROUND(IFERROR(INDEX(ArchiveResults!$F$5:$IX$116,ComparisonData!A109,ComparisonData!$CU$1),0),5)</f>
        <v>0</v>
      </c>
      <c r="CV109" s="56">
        <v>104</v>
      </c>
      <c r="CW109" s="53" t="str">
        <f t="shared" si="1184"/>
        <v>Warrington Archives</v>
      </c>
      <c r="CX109" s="45">
        <f t="shared" si="800"/>
        <v>0</v>
      </c>
      <c r="CY109" s="58">
        <f t="shared" si="801"/>
        <v>0</v>
      </c>
      <c r="CZ109" s="45">
        <f t="shared" si="802"/>
        <v>46</v>
      </c>
      <c r="DA109" s="54">
        <f t="shared" si="1185"/>
        <v>2.6639999999999997</v>
      </c>
      <c r="DB109" s="45">
        <f t="shared" si="803"/>
        <v>1</v>
      </c>
      <c r="DC109" s="45">
        <f t="shared" si="804"/>
        <v>2</v>
      </c>
      <c r="DD109" s="46" cm="1">
        <f t="array" ref="DD109">ROUND(IFERROR(INDEX(ArchiveResults!$F$5:$IX$116,ComparisonData!A109,ComparisonData!$DD$1),0),5)</f>
        <v>0</v>
      </c>
      <c r="DE109" s="56">
        <v>104</v>
      </c>
      <c r="DF109" s="53" t="str">
        <f t="shared" si="1186"/>
        <v>Warrington Archives</v>
      </c>
      <c r="DG109" s="45">
        <f t="shared" si="805"/>
        <v>0</v>
      </c>
      <c r="DH109" s="58">
        <f t="shared" si="806"/>
        <v>0</v>
      </c>
      <c r="DI109" s="45">
        <f t="shared" si="807"/>
        <v>46</v>
      </c>
      <c r="DJ109" s="54">
        <f t="shared" si="1187"/>
        <v>2.6639999999999997</v>
      </c>
      <c r="DK109" s="45">
        <f t="shared" si="808"/>
        <v>1</v>
      </c>
      <c r="DL109" s="45">
        <f t="shared" si="809"/>
        <v>2</v>
      </c>
      <c r="DM109" s="46" cm="1">
        <f t="array" ref="DM109">ROUND(IFERROR(INDEX(ArchiveResults!$F$5:$IX$116,ComparisonData!A109,ComparisonData!$DM$1),0),5)</f>
        <v>0</v>
      </c>
      <c r="DN109" s="46" cm="1">
        <f t="array" ref="DN109">ROUND(IFERROR(INDEX(ArchiveResults!$F$5:$IX$116,ComparisonData!A109,ComparisonData!$DN$1),0),5)</f>
        <v>0</v>
      </c>
      <c r="DO109" s="46" cm="1">
        <f t="array" ref="DO109">ROUND(IFERROR(INDEX(ArchiveResults!$F$5:$IX$116,ComparisonData!A109,ComparisonData!$DO$1),0),5)</f>
        <v>0</v>
      </c>
      <c r="DP109" s="46" cm="1">
        <f t="array" ref="DP109">ROUND(IFERROR(INDEX(ArchiveResults!$F$5:$IX$116,ComparisonData!A109,ComparisonData!$DP$1),0),5)</f>
        <v>0</v>
      </c>
      <c r="DQ109" s="45" cm="1">
        <f t="array" ref="DQ109">IFERROR(INDEX(ArchiveResults!$F$5:$IX$116,ComparisonData!A109,ComparisonData!$DQ$1),0)</f>
        <v>0</v>
      </c>
      <c r="DR109" s="56">
        <v>104</v>
      </c>
      <c r="DS109" s="53" t="str">
        <f t="shared" si="1188"/>
        <v>Warrington Archives</v>
      </c>
      <c r="DT109" s="59">
        <f t="shared" si="810"/>
        <v>0</v>
      </c>
      <c r="DU109" s="59">
        <f t="shared" si="811"/>
        <v>0</v>
      </c>
      <c r="DV109" s="59">
        <f t="shared" si="812"/>
        <v>0</v>
      </c>
      <c r="DW109" s="59">
        <f t="shared" si="813"/>
        <v>0</v>
      </c>
      <c r="DX109" s="59">
        <f t="shared" si="814"/>
        <v>0</v>
      </c>
      <c r="DY109" s="58">
        <f t="shared" si="815"/>
        <v>0</v>
      </c>
      <c r="DZ109" s="45">
        <f t="shared" si="816"/>
        <v>46</v>
      </c>
      <c r="EA109" s="54">
        <f t="shared" si="1189"/>
        <v>2.6639999999999997</v>
      </c>
      <c r="EB109" s="45">
        <f t="shared" si="817"/>
        <v>1</v>
      </c>
      <c r="EC109" s="45">
        <f t="shared" si="818"/>
        <v>2</v>
      </c>
      <c r="ED109" s="46" cm="1">
        <f t="array" ref="ED109">ROUND(IFERROR(INDEX(ArchiveResults!$F$5:$IX$116,ComparisonData!A109,ComparisonData!$ED$1),0),5)</f>
        <v>0</v>
      </c>
      <c r="EE109" s="46" cm="1">
        <f t="array" ref="EE109">ROUND(IFERROR(INDEX(ArchiveResults!$F$5:$IX$116,ComparisonData!A109,ComparisonData!$EE$1),0),5)</f>
        <v>0</v>
      </c>
      <c r="EF109" s="46" cm="1">
        <f t="array" ref="EF109">ROUND(IFERROR(INDEX(ArchiveResults!$F$5:$IX$116,ComparisonData!A109,ComparisonData!$EF$1),0),5)</f>
        <v>0</v>
      </c>
      <c r="EG109" s="46" cm="1">
        <f t="array" ref="EG109">ROUND(IFERROR(INDEX(ArchiveResults!$F$5:$IX$116,ComparisonData!A109,ComparisonData!$EG$1),0),5)</f>
        <v>0</v>
      </c>
      <c r="EH109" s="45" cm="1">
        <f t="array" ref="EH109">IFERROR(INDEX(ArchiveResults!$F$5:$IX$116,ComparisonData!A109,ComparisonData!$EH$1),0)</f>
        <v>0</v>
      </c>
      <c r="EI109" s="56">
        <v>104</v>
      </c>
      <c r="EJ109" s="53" t="str">
        <f t="shared" si="1190"/>
        <v>Warrington Archives</v>
      </c>
      <c r="EK109" s="59">
        <f t="shared" si="819"/>
        <v>0</v>
      </c>
      <c r="EL109" s="59">
        <f t="shared" si="820"/>
        <v>0</v>
      </c>
      <c r="EM109" s="59">
        <f t="shared" si="821"/>
        <v>0</v>
      </c>
      <c r="EN109" s="59">
        <f t="shared" si="822"/>
        <v>0</v>
      </c>
      <c r="EO109" s="59">
        <f t="shared" si="823"/>
        <v>0</v>
      </c>
      <c r="EP109" s="58">
        <f t="shared" si="824"/>
        <v>0</v>
      </c>
      <c r="EQ109" s="45">
        <f t="shared" si="825"/>
        <v>46</v>
      </c>
      <c r="ER109" s="54">
        <f t="shared" si="1191"/>
        <v>2.6639999999999997</v>
      </c>
      <c r="ES109" s="45">
        <f t="shared" si="826"/>
        <v>1</v>
      </c>
      <c r="ET109" s="45">
        <f t="shared" si="827"/>
        <v>2</v>
      </c>
      <c r="EU109" s="46" cm="1">
        <f t="array" ref="EU109">ROUND(IFERROR(INDEX(ArchiveResults!$F$5:$IX$116,ComparisonData!A109,ComparisonData!$EU$1),0),5)</f>
        <v>0</v>
      </c>
      <c r="EV109" s="46" cm="1">
        <f t="array" ref="EV109">ROUND(IFERROR(INDEX(ArchiveResults!$F$5:$IX$116,ComparisonData!A109,ComparisonData!$EV$1),0),5)</f>
        <v>0</v>
      </c>
      <c r="EW109" s="46" cm="1">
        <f t="array" ref="EW109">ROUND(IFERROR(INDEX(ArchiveResults!$F$5:$IX$116,ComparisonData!A109,ComparisonData!$EW$1),0),5)</f>
        <v>0</v>
      </c>
      <c r="EX109" s="46" cm="1">
        <f t="array" ref="EX109">ROUND(IFERROR(INDEX(ArchiveResults!$F$5:$IX$116,ComparisonData!A109,ComparisonData!$EX$1),0),5)</f>
        <v>0</v>
      </c>
      <c r="EY109" s="45" cm="1">
        <f t="array" ref="EY109">IFERROR(INDEX(ArchiveResults!$F$5:$IX$116,ComparisonData!A109,ComparisonData!$EY$1),0)</f>
        <v>0</v>
      </c>
      <c r="EZ109" s="56">
        <v>104</v>
      </c>
      <c r="FA109" s="53" t="str">
        <f t="shared" si="1192"/>
        <v>Warrington Archives</v>
      </c>
      <c r="FB109" s="59">
        <f t="shared" si="828"/>
        <v>0</v>
      </c>
      <c r="FC109" s="59">
        <f t="shared" si="829"/>
        <v>0</v>
      </c>
      <c r="FD109" s="59">
        <f t="shared" si="830"/>
        <v>0</v>
      </c>
      <c r="FE109" s="59">
        <f t="shared" si="831"/>
        <v>0</v>
      </c>
      <c r="FF109" s="59">
        <f t="shared" si="832"/>
        <v>0</v>
      </c>
      <c r="FG109" s="58">
        <f t="shared" si="833"/>
        <v>0</v>
      </c>
      <c r="FH109" s="45">
        <f t="shared" si="834"/>
        <v>46</v>
      </c>
      <c r="FI109" s="54">
        <f t="shared" si="1193"/>
        <v>2.6639999999999997</v>
      </c>
      <c r="FJ109" s="45">
        <f t="shared" si="835"/>
        <v>1</v>
      </c>
      <c r="FK109" s="45">
        <f t="shared" si="836"/>
        <v>2</v>
      </c>
      <c r="FL109" s="46" cm="1">
        <f t="array" ref="FL109">ROUND(IFERROR(INDEX(ArchiveResults!$F$5:$IX$116,ComparisonData!A109,ComparisonData!$FL$1),0),5)</f>
        <v>0</v>
      </c>
      <c r="FM109" s="46" cm="1">
        <f t="array" ref="FM109">ROUND(IFERROR(INDEX(ArchiveResults!$F$5:$IX$116,ComparisonData!A109,ComparisonData!$FM$1),0),5)</f>
        <v>0</v>
      </c>
      <c r="FN109" s="46" cm="1">
        <f t="array" ref="FN109">ROUND(IFERROR(INDEX(ArchiveResults!$F$5:$IX$116,ComparisonData!A109,ComparisonData!$FN$1),0),5)</f>
        <v>0</v>
      </c>
      <c r="FO109" s="46" cm="1">
        <f t="array" ref="FO109">ROUND(IFERROR(INDEX(ArchiveResults!$F$5:$IX$116,ComparisonData!A109,ComparisonData!$FO$1),0),5)</f>
        <v>0</v>
      </c>
      <c r="FP109" s="45" cm="1">
        <f t="array" ref="FP109">IFERROR(INDEX(ArchiveResults!$F$5:$IX$116,ComparisonData!A109,ComparisonData!$FP$1),0)</f>
        <v>0</v>
      </c>
      <c r="FQ109" s="56">
        <v>104</v>
      </c>
      <c r="FR109" s="53" t="str">
        <f t="shared" si="1194"/>
        <v>Warrington Archives</v>
      </c>
      <c r="FS109" s="59">
        <f t="shared" si="837"/>
        <v>0</v>
      </c>
      <c r="FT109" s="59">
        <f t="shared" si="838"/>
        <v>0</v>
      </c>
      <c r="FU109" s="59">
        <f t="shared" si="839"/>
        <v>0</v>
      </c>
      <c r="FV109" s="59">
        <f t="shared" si="840"/>
        <v>0</v>
      </c>
      <c r="FW109" s="59">
        <f t="shared" si="841"/>
        <v>0</v>
      </c>
      <c r="FX109" s="58">
        <f t="shared" si="842"/>
        <v>0</v>
      </c>
      <c r="FY109" s="45">
        <f t="shared" si="843"/>
        <v>46</v>
      </c>
      <c r="FZ109" s="45">
        <f t="shared" si="1195"/>
        <v>2.6639999999999997</v>
      </c>
      <c r="GA109" s="45">
        <f t="shared" si="844"/>
        <v>1</v>
      </c>
      <c r="GB109" s="45">
        <f t="shared" si="845"/>
        <v>2</v>
      </c>
      <c r="GC109" s="46" cm="1">
        <f t="array" ref="GC109">ROUND(IFERROR(INDEX(ArchiveResults!$F$5:$IX$116,ComparisonData!A109,ComparisonData!$GC$1),0),5)</f>
        <v>0</v>
      </c>
      <c r="GD109" s="46" cm="1">
        <f t="array" ref="GD109">ROUND(IFERROR(INDEX(ArchiveResults!$F$5:$IX$116,ComparisonData!A109,ComparisonData!$GD$1),0),5)</f>
        <v>0</v>
      </c>
      <c r="GE109" s="46" cm="1">
        <f t="array" ref="GE109">ROUND(IFERROR(INDEX(ArchiveResults!$F$5:$IX$116,ComparisonData!A109,ComparisonData!$GE$1),0),5)</f>
        <v>0</v>
      </c>
      <c r="GF109" s="46" cm="1">
        <f t="array" ref="GF109">ROUND(IFERROR(INDEX(ArchiveResults!$F$5:$IX$116,ComparisonData!A109,ComparisonData!$GF$1),0),5)</f>
        <v>0</v>
      </c>
      <c r="GG109" s="45" cm="1">
        <f t="array" ref="GG109">IFERROR(INDEX(ArchiveResults!$F$5:$IX$116,ComparisonData!A109,ComparisonData!$GG$1),0)</f>
        <v>0</v>
      </c>
      <c r="GH109" s="56">
        <v>104</v>
      </c>
      <c r="GI109" s="53" t="str">
        <f t="shared" si="1196"/>
        <v>Warrington Archives</v>
      </c>
      <c r="GJ109" s="59">
        <f t="shared" si="846"/>
        <v>0</v>
      </c>
      <c r="GK109" s="59">
        <f t="shared" si="847"/>
        <v>0</v>
      </c>
      <c r="GL109" s="59">
        <f t="shared" si="848"/>
        <v>0</v>
      </c>
      <c r="GM109" s="59">
        <f t="shared" si="849"/>
        <v>0</v>
      </c>
      <c r="GN109" s="59">
        <f t="shared" si="850"/>
        <v>0</v>
      </c>
      <c r="GO109" s="58">
        <f t="shared" si="851"/>
        <v>0</v>
      </c>
      <c r="GP109" s="45">
        <f t="shared" si="852"/>
        <v>46</v>
      </c>
      <c r="GQ109" s="45">
        <f t="shared" si="1197"/>
        <v>2.6639999999999997</v>
      </c>
      <c r="GR109" s="45">
        <f t="shared" si="853"/>
        <v>1</v>
      </c>
      <c r="GS109" s="45">
        <f t="shared" si="854"/>
        <v>2</v>
      </c>
      <c r="GT109" s="46" cm="1">
        <f t="array" ref="GT109">ROUND(IFERROR(INDEX(ArchiveResults!$F$5:$IX$116,ComparisonData!A109,ComparisonData!$GT$1),0),5)</f>
        <v>0</v>
      </c>
      <c r="GU109" s="46" cm="1">
        <f t="array" ref="GU109">ROUND(IFERROR(INDEX(ArchiveResults!$F$5:$IX$116,ComparisonData!A109,ComparisonData!$GU$1),0),5)</f>
        <v>0</v>
      </c>
      <c r="GV109" s="46" cm="1">
        <f t="array" ref="GV109">ROUND(IFERROR(INDEX(ArchiveResults!$F$5:$IX$116,ComparisonData!A109,ComparisonData!$GV$1),0),5)</f>
        <v>0</v>
      </c>
      <c r="GW109" s="46" cm="1">
        <f t="array" ref="GW109">ROUND(IFERROR(INDEX(ArchiveResults!$F$5:$IX$116,ComparisonData!A109,ComparisonData!$GW$1),0),5)</f>
        <v>0</v>
      </c>
      <c r="GX109" s="45" cm="1">
        <f t="array" ref="GX109">IFERROR(INDEX(ArchiveResults!$F$5:$IX$116,ComparisonData!A109,ComparisonData!$GX$1),0)</f>
        <v>0</v>
      </c>
      <c r="GY109" s="56">
        <v>104</v>
      </c>
      <c r="GZ109" s="53" t="str">
        <f t="shared" si="1198"/>
        <v>Warrington Archives</v>
      </c>
      <c r="HA109" s="59">
        <f t="shared" si="855"/>
        <v>0</v>
      </c>
      <c r="HB109" s="59">
        <f t="shared" si="856"/>
        <v>0</v>
      </c>
      <c r="HC109" s="59">
        <f t="shared" si="857"/>
        <v>0</v>
      </c>
      <c r="HD109" s="59">
        <f t="shared" si="858"/>
        <v>0</v>
      </c>
      <c r="HE109" s="59">
        <f t="shared" si="859"/>
        <v>0</v>
      </c>
      <c r="HF109" s="58">
        <f t="shared" si="860"/>
        <v>0</v>
      </c>
      <c r="HG109" s="45">
        <f t="shared" si="861"/>
        <v>46</v>
      </c>
      <c r="HH109" s="45">
        <f t="shared" si="1199"/>
        <v>2.6639999999999997</v>
      </c>
      <c r="HI109" s="45">
        <f t="shared" si="862"/>
        <v>1</v>
      </c>
      <c r="HJ109" s="45">
        <f t="shared" si="863"/>
        <v>2</v>
      </c>
      <c r="HK109" s="46" cm="1">
        <f t="array" ref="HK109">ROUND(IFERROR(INDEX(ArchiveResults!$F$5:$IX$116,ComparisonData!A109,ComparisonData!$HK$1),0),5)</f>
        <v>0</v>
      </c>
      <c r="HL109" s="46" cm="1">
        <f t="array" ref="HL109">ROUND(IFERROR(INDEX(ArchiveResults!$F$5:$IX$116,ComparisonData!A109,ComparisonData!$HL$1),0),5)</f>
        <v>0</v>
      </c>
      <c r="HM109" s="46" cm="1">
        <f t="array" ref="HM109">ROUND(IFERROR(INDEX(ArchiveResults!$F$5:$IX$116,ComparisonData!A109,ComparisonData!$HM$1),0),5)</f>
        <v>0</v>
      </c>
      <c r="HN109" s="46" cm="1">
        <f t="array" ref="HN109">ROUND(IFERROR(INDEX(ArchiveResults!$F$5:$IX$116,ComparisonData!A109,ComparisonData!$HN$1),0),5)</f>
        <v>0</v>
      </c>
      <c r="HO109" s="45" cm="1">
        <f t="array" ref="HO109">IFERROR(INDEX(ArchiveResults!$F$5:$IX$116,ComparisonData!A109,ComparisonData!$HO$1),0)</f>
        <v>0</v>
      </c>
      <c r="HP109" s="56">
        <v>104</v>
      </c>
      <c r="HQ109" s="53" t="str">
        <f t="shared" si="1200"/>
        <v>Warrington Archives</v>
      </c>
      <c r="HR109" s="59">
        <f t="shared" si="1201"/>
        <v>0</v>
      </c>
      <c r="HS109" s="59">
        <f t="shared" si="1202"/>
        <v>0</v>
      </c>
      <c r="HT109" s="59">
        <f t="shared" si="1203"/>
        <v>0</v>
      </c>
      <c r="HU109" s="59">
        <f t="shared" si="1204"/>
        <v>0</v>
      </c>
      <c r="HV109" s="59">
        <f t="shared" si="1205"/>
        <v>0</v>
      </c>
      <c r="HW109" s="58">
        <f t="shared" si="864"/>
        <v>0</v>
      </c>
      <c r="HX109" s="45">
        <f t="shared" si="865"/>
        <v>46</v>
      </c>
      <c r="HY109" s="45">
        <f t="shared" si="1206"/>
        <v>2.6639999999999997</v>
      </c>
      <c r="HZ109" s="45">
        <f t="shared" si="866"/>
        <v>1</v>
      </c>
      <c r="IA109" s="45">
        <f t="shared" si="867"/>
        <v>2</v>
      </c>
      <c r="IB109" s="45">
        <f t="shared" si="868"/>
        <v>0</v>
      </c>
      <c r="IC109" s="46" cm="1">
        <f t="array" ref="IC109">ROUND(IFERROR(INDEX(ArchiveResults!$F$5:$IX$116,ComparisonData!A109,ComparisonData!$IC$1),0),5)</f>
        <v>0</v>
      </c>
      <c r="ID109" s="46" cm="1">
        <f t="array" ref="ID109">ROUND(IFERROR(INDEX(ArchiveResults!$F$5:$IX$116,ComparisonData!A109,ComparisonData!$ID$1),0),5)</f>
        <v>0</v>
      </c>
      <c r="IE109" s="46" cm="1">
        <f t="array" ref="IE109">ROUND(IFERROR(INDEX(ArchiveResults!$F$5:$IX$116,ComparisonData!A109,ComparisonData!$IE$1),0),5)</f>
        <v>0</v>
      </c>
      <c r="IF109" s="46" cm="1">
        <f t="array" ref="IF109">ROUND(IFERROR(INDEX(ArchiveResults!$F$5:$IX$116,ComparisonData!A109,ComparisonData!$IF$1),0),5)</f>
        <v>0</v>
      </c>
      <c r="IG109" s="45" cm="1">
        <f t="array" ref="IG109">IFERROR(INDEX(ArchiveResults!$F$5:$IX$116,ComparisonData!A109,ComparisonData!$IG$1),0)</f>
        <v>0</v>
      </c>
      <c r="IH109" s="56">
        <v>104</v>
      </c>
      <c r="II109" s="53" t="str">
        <f t="shared" si="1207"/>
        <v>Warrington Archives</v>
      </c>
      <c r="IJ109" s="59">
        <f t="shared" si="869"/>
        <v>0</v>
      </c>
      <c r="IK109" s="59">
        <f t="shared" si="870"/>
        <v>0</v>
      </c>
      <c r="IL109" s="59">
        <f t="shared" si="871"/>
        <v>0</v>
      </c>
      <c r="IM109" s="59">
        <f t="shared" si="872"/>
        <v>0</v>
      </c>
      <c r="IN109" s="59">
        <f t="shared" si="873"/>
        <v>0</v>
      </c>
      <c r="IO109" s="58">
        <f t="shared" si="874"/>
        <v>0</v>
      </c>
      <c r="IP109" s="45">
        <f t="shared" si="875"/>
        <v>46</v>
      </c>
      <c r="IQ109" s="45">
        <f t="shared" si="1208"/>
        <v>2.6639999999999997</v>
      </c>
      <c r="IR109" s="45">
        <f t="shared" si="876"/>
        <v>1</v>
      </c>
      <c r="IS109" s="45">
        <f t="shared" si="877"/>
        <v>2</v>
      </c>
      <c r="IT109" s="46">
        <f t="shared" si="878"/>
        <v>0</v>
      </c>
      <c r="IU109" s="46" cm="1">
        <f t="array" ref="IU109">ROUND(IFERROR(INDEX(ArchiveResults!$F$5:$IX$116,ComparisonData!A109,ComparisonData!$IU$1),0),5)</f>
        <v>0</v>
      </c>
      <c r="IV109" s="46" cm="1">
        <f t="array" ref="IV109">ROUND(IFERROR(INDEX(ArchiveResults!$F$5:$IX$116,ComparisonData!A109,ComparisonData!$IV$1),0),5)</f>
        <v>0</v>
      </c>
      <c r="IW109" s="46" cm="1">
        <f t="array" ref="IW109">ROUND(IFERROR(INDEX(ArchiveResults!$F$5:$IX$116,ComparisonData!A109,ComparisonData!$IW$1),0),5)</f>
        <v>0</v>
      </c>
      <c r="IX109" s="46" cm="1">
        <f t="array" ref="IX109">ROUND(IFERROR(INDEX(ArchiveResults!$F$5:$IX$116,ComparisonData!A109,ComparisonData!$IX$1),0),5)</f>
        <v>0</v>
      </c>
      <c r="IY109" s="45" cm="1">
        <f t="array" ref="IY109">IFERROR(INDEX(ArchiveResults!$F$5:$IX$116,ComparisonData!A109,ComparisonData!$IY$1),0)</f>
        <v>0</v>
      </c>
      <c r="IZ109" s="56">
        <v>104</v>
      </c>
      <c r="JA109" s="53" t="str">
        <f t="shared" si="1209"/>
        <v>Warrington Archives</v>
      </c>
      <c r="JB109" s="59">
        <f t="shared" si="879"/>
        <v>0</v>
      </c>
      <c r="JC109" s="59">
        <f t="shared" si="880"/>
        <v>0</v>
      </c>
      <c r="JD109" s="59">
        <f t="shared" si="881"/>
        <v>0</v>
      </c>
      <c r="JE109" s="59">
        <f t="shared" si="882"/>
        <v>0</v>
      </c>
      <c r="JF109" s="59">
        <f t="shared" si="883"/>
        <v>0</v>
      </c>
      <c r="JG109" s="58">
        <f t="shared" si="884"/>
        <v>0</v>
      </c>
      <c r="JH109" s="45">
        <f t="shared" si="885"/>
        <v>46</v>
      </c>
      <c r="JI109" s="45">
        <f t="shared" si="1210"/>
        <v>2.6639999999999997</v>
      </c>
      <c r="JJ109" s="45">
        <f t="shared" si="886"/>
        <v>1</v>
      </c>
      <c r="JK109" s="45">
        <f t="shared" si="887"/>
        <v>2</v>
      </c>
      <c r="JL109" s="45">
        <f t="shared" si="888"/>
        <v>0</v>
      </c>
      <c r="JM109" s="46" cm="1">
        <f t="array" ref="JM109">ROUND(IFERROR(INDEX(ArchiveResults!$F$5:$IX$116,ComparisonData!A109,ComparisonData!$JM$1),0),5)</f>
        <v>0</v>
      </c>
      <c r="JN109" s="46" cm="1">
        <f t="array" ref="JN109">ROUND(IFERROR(INDEX(ArchiveResults!$F$5:$IX$116,ComparisonData!A109,ComparisonData!$JN$1),0),5)</f>
        <v>0</v>
      </c>
      <c r="JO109" s="46" cm="1">
        <f t="array" ref="JO109">ROUND(IFERROR(INDEX(ArchiveResults!$F$5:$IX$116,ComparisonData!A109,ComparisonData!$JO$1),0),5)</f>
        <v>0</v>
      </c>
      <c r="JP109" s="46" cm="1">
        <f t="array" ref="JP109">ROUND(IFERROR(INDEX(ArchiveResults!$F$5:$IX$116,ComparisonData!A109,ComparisonData!$JP$1),0),5)</f>
        <v>0</v>
      </c>
      <c r="JQ109" s="45" cm="1">
        <f t="array" ref="JQ109">IFERROR(INDEX(ArchiveResults!$F$5:$IX$116,ComparisonData!A109,ComparisonData!$JQ$1),0)</f>
        <v>0</v>
      </c>
      <c r="JR109" s="56">
        <v>104</v>
      </c>
      <c r="JS109" s="53" t="str">
        <f t="shared" si="1211"/>
        <v>Warrington Archives</v>
      </c>
      <c r="JT109" s="59">
        <f t="shared" si="889"/>
        <v>0</v>
      </c>
      <c r="JU109" s="59">
        <f t="shared" si="890"/>
        <v>0</v>
      </c>
      <c r="JV109" s="59">
        <f t="shared" si="891"/>
        <v>0</v>
      </c>
      <c r="JW109" s="59">
        <f t="shared" si="892"/>
        <v>0</v>
      </c>
      <c r="JX109" s="59">
        <f t="shared" si="893"/>
        <v>0</v>
      </c>
      <c r="JY109" s="58">
        <f t="shared" si="894"/>
        <v>0</v>
      </c>
      <c r="JZ109" s="45">
        <f t="shared" si="895"/>
        <v>46</v>
      </c>
      <c r="KA109" s="45">
        <f t="shared" si="1212"/>
        <v>2.6639999999999997</v>
      </c>
      <c r="KB109" s="45">
        <f t="shared" si="896"/>
        <v>1</v>
      </c>
      <c r="KC109" s="45">
        <f t="shared" si="897"/>
        <v>2</v>
      </c>
      <c r="KD109" s="45">
        <f t="shared" si="898"/>
        <v>0</v>
      </c>
      <c r="KE109" s="46" cm="1">
        <f t="array" ref="KE109">ROUND(IFERROR(INDEX(ArchiveResults!$F$5:$IX$116,ComparisonData!A109,ComparisonData!$KE$1),0),5)</f>
        <v>0</v>
      </c>
      <c r="KF109" s="46" cm="1">
        <f t="array" ref="KF109">ROUND(IFERROR(INDEX(ArchiveResults!$F$5:$IX$116,ComparisonData!A109,ComparisonData!$KF$1),0),5)</f>
        <v>0</v>
      </c>
      <c r="KG109" s="46" cm="1">
        <f t="array" ref="KG109">ROUND(IFERROR(INDEX(ArchiveResults!$F$5:$IX$116,ComparisonData!A109,ComparisonData!$KG$1),0),5)</f>
        <v>0</v>
      </c>
      <c r="KH109" s="46" cm="1">
        <f t="array" ref="KH109">ROUND(IFERROR(INDEX(ArchiveResults!$F$5:$IX$116,ComparisonData!A109,ComparisonData!$KH$1),0),5)</f>
        <v>0</v>
      </c>
      <c r="KI109" s="45" cm="1">
        <f t="array" ref="KI109">IFERROR(INDEX(ArchiveResults!$F$5:$IX$116,ComparisonData!A109,ComparisonData!$KI$1),0)</f>
        <v>0</v>
      </c>
      <c r="KJ109" s="56">
        <v>104</v>
      </c>
      <c r="KK109" s="53" t="str">
        <f t="shared" si="1213"/>
        <v>Warrington Archives</v>
      </c>
      <c r="KL109" s="59">
        <f t="shared" si="899"/>
        <v>0</v>
      </c>
      <c r="KM109" s="59">
        <f t="shared" si="900"/>
        <v>0</v>
      </c>
      <c r="KN109" s="59">
        <f t="shared" si="901"/>
        <v>0</v>
      </c>
      <c r="KO109" s="59">
        <f t="shared" si="902"/>
        <v>0</v>
      </c>
      <c r="KP109" s="59">
        <f t="shared" si="903"/>
        <v>0</v>
      </c>
      <c r="KQ109" s="58">
        <f t="shared" si="904"/>
        <v>0</v>
      </c>
      <c r="KR109" s="45">
        <f t="shared" si="905"/>
        <v>46</v>
      </c>
      <c r="KS109" s="45">
        <f t="shared" si="1214"/>
        <v>2.6639999999999997</v>
      </c>
      <c r="KT109" s="45">
        <f t="shared" si="906"/>
        <v>1</v>
      </c>
      <c r="KU109" s="45">
        <f t="shared" si="907"/>
        <v>2</v>
      </c>
      <c r="KV109" s="45">
        <f t="shared" si="908"/>
        <v>0</v>
      </c>
      <c r="KW109" s="46" cm="1">
        <f t="array" ref="KW109">ROUND(IFERROR(INDEX(ArchiveResults!$F$5:$IX$116,ComparisonData!A109,ComparisonData!$KW$1),0),5)</f>
        <v>0</v>
      </c>
      <c r="KX109" s="46" cm="1">
        <f t="array" ref="KX109">ROUND(IFERROR(INDEX(ArchiveResults!$F$5:$IX$116,ComparisonData!A109,ComparisonData!$KX$1),0),5)</f>
        <v>0</v>
      </c>
      <c r="KY109" s="46" cm="1">
        <f t="array" ref="KY109">ROUND(IFERROR(INDEX(ArchiveResults!$F$5:$IX$116,ComparisonData!A109,ComparisonData!$KY$1),0),5)</f>
        <v>0</v>
      </c>
      <c r="KZ109" s="46" cm="1">
        <f t="array" ref="KZ109">ROUND(IFERROR(INDEX(ArchiveResults!$F$5:$IX$116,ComparisonData!A109,ComparisonData!$KZ$1),0),5)</f>
        <v>0</v>
      </c>
      <c r="LA109" s="45" cm="1">
        <f t="array" ref="LA109">IFERROR(INDEX(ArchiveResults!$F$5:$IX$116,ComparisonData!A109,ComparisonData!$LA$1),0)</f>
        <v>0</v>
      </c>
      <c r="LB109" s="56">
        <v>104</v>
      </c>
      <c r="LC109" s="53" t="str">
        <f t="shared" si="1215"/>
        <v>Warrington Archives</v>
      </c>
      <c r="LD109" s="59">
        <f t="shared" si="909"/>
        <v>0</v>
      </c>
      <c r="LE109" s="59">
        <f t="shared" si="910"/>
        <v>0</v>
      </c>
      <c r="LF109" s="59">
        <f t="shared" si="911"/>
        <v>0</v>
      </c>
      <c r="LG109" s="59">
        <f t="shared" si="912"/>
        <v>0</v>
      </c>
      <c r="LH109" s="59">
        <f t="shared" si="913"/>
        <v>0</v>
      </c>
      <c r="LI109" s="58">
        <f t="shared" si="914"/>
        <v>0</v>
      </c>
      <c r="LJ109" s="45">
        <f t="shared" si="915"/>
        <v>46</v>
      </c>
      <c r="LK109" s="45">
        <f t="shared" si="1216"/>
        <v>2.6639999999999997</v>
      </c>
      <c r="LL109" s="45">
        <f t="shared" si="916"/>
        <v>1</v>
      </c>
      <c r="LM109" s="45">
        <f t="shared" si="917"/>
        <v>2</v>
      </c>
      <c r="LN109" s="45">
        <f t="shared" si="918"/>
        <v>0</v>
      </c>
      <c r="LO109" s="46" cm="1">
        <f t="array" ref="LO109">ROUND(IFERROR(INDEX(ArchiveResults!$F$5:$IX$116,ComparisonData!A109,ComparisonData!$LO$1),0),5)</f>
        <v>0</v>
      </c>
      <c r="LP109" s="46" cm="1">
        <f t="array" ref="LP109">ROUND(IFERROR(INDEX(ArchiveResults!$F$5:$IX$116,ComparisonData!A109,ComparisonData!$LP$1),0),5)</f>
        <v>0</v>
      </c>
      <c r="LQ109" s="46" cm="1">
        <f t="array" ref="LQ109">ROUND(IFERROR(INDEX(ArchiveResults!$F$5:$IX$116,ComparisonData!A109,ComparisonData!$LQ$1),0),5)</f>
        <v>0</v>
      </c>
      <c r="LR109" s="46" cm="1">
        <f t="array" ref="LR109">ROUND(IFERROR(INDEX(ArchiveResults!$F$5:$IX$116,ComparisonData!A109,ComparisonData!$LR$1),0),5)</f>
        <v>0</v>
      </c>
      <c r="LS109" s="45" cm="1">
        <f t="array" ref="LS109">IFERROR(INDEX(ArchiveResults!$F$5:$IX$116,ComparisonData!A109,ComparisonData!$LS$1),0)</f>
        <v>0</v>
      </c>
      <c r="LT109" s="56">
        <v>104</v>
      </c>
      <c r="LU109" s="53" t="str">
        <f t="shared" si="1217"/>
        <v>Warrington Archives</v>
      </c>
      <c r="LV109" s="59">
        <f t="shared" si="919"/>
        <v>0</v>
      </c>
      <c r="LW109" s="59">
        <f t="shared" si="920"/>
        <v>0</v>
      </c>
      <c r="LX109" s="59">
        <f t="shared" si="921"/>
        <v>0</v>
      </c>
      <c r="LY109" s="59">
        <f t="shared" si="922"/>
        <v>0</v>
      </c>
      <c r="LZ109" s="59">
        <f t="shared" si="923"/>
        <v>0</v>
      </c>
      <c r="MA109" s="58">
        <f t="shared" si="924"/>
        <v>0</v>
      </c>
      <c r="MB109" s="45">
        <f t="shared" si="925"/>
        <v>46</v>
      </c>
      <c r="MC109" s="45">
        <f t="shared" si="1218"/>
        <v>2.6639999999999997</v>
      </c>
      <c r="MD109" s="45">
        <f t="shared" si="926"/>
        <v>1</v>
      </c>
      <c r="ME109" s="45">
        <f t="shared" si="927"/>
        <v>2</v>
      </c>
      <c r="MF109" s="45">
        <f t="shared" si="928"/>
        <v>0</v>
      </c>
      <c r="MG109" s="46" cm="1">
        <f t="array" ref="MG109">ROUND(IFERROR(INDEX(ArchiveResults!$F$5:$IX$116,ComparisonData!A109,ComparisonData!$MG$1),0),5)</f>
        <v>0</v>
      </c>
      <c r="MH109" s="46" cm="1">
        <f t="array" ref="MH109">ROUND(IFERROR(INDEX(ArchiveResults!$F$5:$IX$116,ComparisonData!A109,ComparisonData!$MH$1),0),5)</f>
        <v>0</v>
      </c>
      <c r="MI109" s="46" cm="1">
        <f t="array" ref="MI109">ROUND(IFERROR(INDEX(ArchiveResults!$F$5:$IX$116,ComparisonData!A109,ComparisonData!$MI$1),0),5)</f>
        <v>0</v>
      </c>
      <c r="MJ109" s="46" cm="1">
        <f t="array" ref="MJ109">ROUND(IFERROR(INDEX(ArchiveResults!$F$5:$IX$116,ComparisonData!A109,ComparisonData!$MJ$1),0),5)</f>
        <v>0</v>
      </c>
      <c r="MK109" s="45" cm="1">
        <f t="array" ref="MK109">IFERROR(INDEX(ArchiveResults!$F$5:$IX$116,ComparisonData!A109,ComparisonData!$MK$1),0)</f>
        <v>0</v>
      </c>
      <c r="ML109" s="56">
        <v>104</v>
      </c>
      <c r="MM109" s="53" t="str">
        <f t="shared" si="1219"/>
        <v>Warrington Archives</v>
      </c>
      <c r="MN109" s="59">
        <f t="shared" si="929"/>
        <v>0</v>
      </c>
      <c r="MO109" s="59">
        <f t="shared" si="930"/>
        <v>0</v>
      </c>
      <c r="MP109" s="59">
        <f t="shared" si="931"/>
        <v>0</v>
      </c>
      <c r="MQ109" s="59">
        <f t="shared" si="932"/>
        <v>0</v>
      </c>
      <c r="MR109" s="59">
        <f t="shared" si="933"/>
        <v>0</v>
      </c>
      <c r="MS109" s="58">
        <f t="shared" si="934"/>
        <v>0</v>
      </c>
      <c r="MT109" s="45">
        <f t="shared" si="935"/>
        <v>46</v>
      </c>
      <c r="MU109" s="45">
        <f t="shared" si="1220"/>
        <v>2.6639999999999997</v>
      </c>
      <c r="MV109" s="45">
        <f t="shared" si="936"/>
        <v>1</v>
      </c>
      <c r="MW109" s="45">
        <f t="shared" si="937"/>
        <v>2</v>
      </c>
      <c r="MX109" s="45">
        <f t="shared" si="938"/>
        <v>0</v>
      </c>
      <c r="MY109" s="46" cm="1">
        <f t="array" ref="MY109">ROUND(IFERROR(INDEX(ArchiveResults!$F$5:$IX$116,ComparisonData!A109,ComparisonData!$MY$1),0),5)</f>
        <v>0</v>
      </c>
      <c r="MZ109" s="46" cm="1">
        <f t="array" ref="MZ109">ROUND(IFERROR(INDEX(ArchiveResults!$F$5:$IX$116,ComparisonData!A109,ComparisonData!$MZ$1),0),5)</f>
        <v>0</v>
      </c>
      <c r="NA109" s="46" cm="1">
        <f t="array" ref="NA109">ROUND(IFERROR(INDEX(ArchiveResults!$F$5:$IX$116,ComparisonData!A109,ComparisonData!$NA$1),0),5)</f>
        <v>0</v>
      </c>
      <c r="NB109" s="46" cm="1">
        <f t="array" ref="NB109">ROUND(IFERROR(INDEX(ArchiveResults!$F$5:$IX$116,ComparisonData!A109,ComparisonData!$NB$1),0),5)</f>
        <v>0</v>
      </c>
      <c r="NC109" s="45" cm="1">
        <f t="array" ref="NC109">IFERROR(INDEX(ArchiveResults!$F$5:$IX$116,ComparisonData!A109,ComparisonData!$NC$1),0)</f>
        <v>0</v>
      </c>
      <c r="ND109" s="56">
        <v>104</v>
      </c>
      <c r="NE109" s="53" t="str">
        <f t="shared" si="1221"/>
        <v>Warrington Archives</v>
      </c>
      <c r="NF109" s="59">
        <f t="shared" si="939"/>
        <v>0</v>
      </c>
      <c r="NG109" s="59">
        <f t="shared" si="940"/>
        <v>0</v>
      </c>
      <c r="NH109" s="59">
        <f t="shared" si="941"/>
        <v>0</v>
      </c>
      <c r="NI109" s="59">
        <f t="shared" si="942"/>
        <v>0</v>
      </c>
      <c r="NJ109" s="59">
        <f t="shared" si="943"/>
        <v>0</v>
      </c>
      <c r="NK109" s="58">
        <f t="shared" si="944"/>
        <v>0</v>
      </c>
      <c r="NL109" s="45">
        <f t="shared" si="945"/>
        <v>46</v>
      </c>
      <c r="NM109" s="45">
        <f t="shared" si="1222"/>
        <v>2.6639999999999997</v>
      </c>
      <c r="NN109" s="45">
        <f t="shared" si="946"/>
        <v>1</v>
      </c>
      <c r="NO109" s="45">
        <f t="shared" si="947"/>
        <v>2</v>
      </c>
      <c r="NP109" s="46" cm="1">
        <f t="array" ref="NP109">ROUND(IFERROR(INDEX(ArchiveResults!$F$5:$IX$116,ComparisonData!A109,ComparisonData!$NP$1),0),5)</f>
        <v>0</v>
      </c>
      <c r="NQ109" s="46" cm="1">
        <f t="array" ref="NQ109">ROUND(IFERROR(INDEX(ArchiveResults!$F$5:$IX$116,ComparisonData!A109,ComparisonData!$NQ$1),0),5)</f>
        <v>0</v>
      </c>
      <c r="NR109" s="46" cm="1">
        <f t="array" ref="NR109">ROUND(IFERROR(INDEX(ArchiveResults!$F$5:$IX$116,ComparisonData!A109,ComparisonData!$NR$1),0),5)</f>
        <v>0</v>
      </c>
      <c r="NS109" s="46" cm="1">
        <f t="array" ref="NS109">ROUND(IFERROR(INDEX(ArchiveResults!$F$5:$IX$116,ComparisonData!A109,ComparisonData!$NS$1),0),5)</f>
        <v>0</v>
      </c>
      <c r="NT109" s="45" cm="1">
        <f t="array" ref="NT109">IFERROR(INDEX(ArchiveResults!$F$5:$IX$116,ComparisonData!A109,ComparisonData!$NT$1),0)</f>
        <v>0</v>
      </c>
      <c r="NU109" s="56">
        <v>104</v>
      </c>
      <c r="NV109" s="53" t="str">
        <f t="shared" si="1223"/>
        <v>Warrington Archives</v>
      </c>
      <c r="NW109" s="59">
        <f t="shared" si="948"/>
        <v>0</v>
      </c>
      <c r="NX109" s="59">
        <f t="shared" si="949"/>
        <v>0</v>
      </c>
      <c r="NY109" s="59">
        <f t="shared" si="950"/>
        <v>0</v>
      </c>
      <c r="NZ109" s="59">
        <f t="shared" si="951"/>
        <v>0</v>
      </c>
      <c r="OA109" s="59">
        <f t="shared" si="952"/>
        <v>0</v>
      </c>
      <c r="OB109" s="58">
        <f t="shared" si="953"/>
        <v>0</v>
      </c>
      <c r="OC109" s="45">
        <f t="shared" si="954"/>
        <v>46</v>
      </c>
      <c r="OD109" s="45">
        <f t="shared" si="1224"/>
        <v>2.6639999999999997</v>
      </c>
      <c r="OE109" s="45">
        <f t="shared" si="955"/>
        <v>1</v>
      </c>
      <c r="OF109" s="45">
        <f t="shared" si="956"/>
        <v>2</v>
      </c>
      <c r="OG109" s="46">
        <f t="shared" si="957"/>
        <v>0</v>
      </c>
      <c r="OH109" s="46" cm="1">
        <f t="array" ref="OH109">ROUND(IFERROR(INDEX(ArchiveResults!$F$5:$IX$116,ComparisonData!A109,ComparisonData!$OH$1),0),5)</f>
        <v>0</v>
      </c>
      <c r="OI109" s="46" cm="1">
        <f t="array" ref="OI109">ROUND(IFERROR(INDEX(ArchiveResults!$F$5:$IX$116,ComparisonData!A109,ComparisonData!$OI$1),0),5)</f>
        <v>0</v>
      </c>
      <c r="OJ109" s="46" cm="1">
        <f t="array" ref="OJ109">ROUND(IFERROR(INDEX(ArchiveResults!$F$5:$IX$116,ComparisonData!A109,ComparisonData!$OJ$1),0),5)</f>
        <v>0</v>
      </c>
      <c r="OK109" s="46" cm="1">
        <f t="array" ref="OK109">ROUND(IFERROR(INDEX(ArchiveResults!$F$5:$IX$116,ComparisonData!A109,ComparisonData!$OK$1),0),5)</f>
        <v>0</v>
      </c>
      <c r="OL109" s="45" cm="1">
        <f t="array" ref="OL109">IFERROR(INDEX(ArchiveResults!$F$5:$IX$116,ComparisonData!A109,ComparisonData!$OL$1),0)</f>
        <v>0</v>
      </c>
      <c r="OM109" s="56">
        <v>104</v>
      </c>
      <c r="ON109" s="53" t="str">
        <f t="shared" si="1225"/>
        <v>Warrington Archives</v>
      </c>
      <c r="OO109" s="59">
        <f t="shared" si="958"/>
        <v>0</v>
      </c>
      <c r="OP109" s="59">
        <f t="shared" si="959"/>
        <v>0</v>
      </c>
      <c r="OQ109" s="59">
        <f t="shared" si="960"/>
        <v>0</v>
      </c>
      <c r="OR109" s="59">
        <f t="shared" si="961"/>
        <v>0</v>
      </c>
      <c r="OS109" s="59">
        <f t="shared" si="962"/>
        <v>0</v>
      </c>
      <c r="OT109" s="58">
        <f t="shared" si="963"/>
        <v>0</v>
      </c>
      <c r="OU109" s="45">
        <f t="shared" si="964"/>
        <v>46</v>
      </c>
      <c r="OV109" s="45">
        <f t="shared" si="1226"/>
        <v>2.6639999999999997</v>
      </c>
      <c r="OW109" s="45">
        <f t="shared" si="965"/>
        <v>1</v>
      </c>
      <c r="OX109" s="45">
        <f t="shared" si="966"/>
        <v>2</v>
      </c>
      <c r="OY109" s="45">
        <f t="shared" si="967"/>
        <v>0</v>
      </c>
      <c r="OZ109" s="46" cm="1">
        <f t="array" ref="OZ109">ROUND(IFERROR(INDEX(ArchiveResults!$F$5:$IX$116,ComparisonData!A109,ComparisonData!$OZ$1),0),5)</f>
        <v>0</v>
      </c>
      <c r="PA109" s="46" cm="1">
        <f t="array" ref="PA109">ROUND(IFERROR(INDEX(ArchiveResults!$F$5:$IX$116,ComparisonData!A109,ComparisonData!$PA$1),0),5)</f>
        <v>0</v>
      </c>
      <c r="PB109" s="46" cm="1">
        <f t="array" ref="PB109">ROUND(IFERROR(INDEX(ArchiveResults!$F$5:$IX$116,ComparisonData!A109,ComparisonData!$PB$1),0),5)</f>
        <v>0</v>
      </c>
      <c r="PC109" s="46" cm="1">
        <f t="array" ref="PC109">ROUND(IFERROR(INDEX(ArchiveResults!$F$5:$IX$116,ComparisonData!A109,ComparisonData!$PC$1),0),5)</f>
        <v>0</v>
      </c>
      <c r="PD109" s="45" cm="1">
        <f t="array" ref="PD109">IFERROR(INDEX(ArchiveResults!$F$5:$IX$116,ComparisonData!A109,ComparisonData!$PD$1),0)</f>
        <v>0</v>
      </c>
      <c r="PE109" s="56">
        <v>104</v>
      </c>
      <c r="PF109" s="53" t="str">
        <f t="shared" si="1227"/>
        <v>Warrington Archives</v>
      </c>
      <c r="PG109" s="59">
        <f t="shared" si="968"/>
        <v>0</v>
      </c>
      <c r="PH109" s="59">
        <f t="shared" si="969"/>
        <v>0</v>
      </c>
      <c r="PI109" s="59">
        <f t="shared" si="970"/>
        <v>0</v>
      </c>
      <c r="PJ109" s="59">
        <f t="shared" si="971"/>
        <v>0</v>
      </c>
      <c r="PK109" s="59">
        <f t="shared" si="972"/>
        <v>0</v>
      </c>
      <c r="PL109" s="58">
        <f t="shared" si="973"/>
        <v>0</v>
      </c>
      <c r="PM109" s="45">
        <f t="shared" si="974"/>
        <v>46</v>
      </c>
      <c r="PN109" s="45">
        <f t="shared" si="1228"/>
        <v>2.6639999999999997</v>
      </c>
      <c r="PO109" s="45">
        <f t="shared" si="975"/>
        <v>1</v>
      </c>
      <c r="PP109" s="45">
        <f t="shared" si="976"/>
        <v>2</v>
      </c>
      <c r="PQ109" s="45">
        <f t="shared" si="977"/>
        <v>0</v>
      </c>
      <c r="PR109" s="46" cm="1">
        <f t="array" ref="PR109">ROUND(IFERROR(INDEX(ArchiveResults!$F$5:$IX$116,ComparisonData!A109,ComparisonData!$PR$1),0),5)</f>
        <v>0</v>
      </c>
      <c r="PS109" s="46" cm="1">
        <f t="array" ref="PS109">ROUND(IFERROR(INDEX(ArchiveResults!$F$5:$IX$116,ComparisonData!A109,ComparisonData!$PS$1),0),5)</f>
        <v>0</v>
      </c>
      <c r="PT109" s="46" cm="1">
        <f t="array" ref="PT109">ROUND(IFERROR(INDEX(ArchiveResults!$F$5:$IX$116,ComparisonData!A109,ComparisonData!$PT$1),0),5)</f>
        <v>0</v>
      </c>
      <c r="PU109" s="46" cm="1">
        <f t="array" ref="PU109">ROUND(IFERROR(INDEX(ArchiveResults!$F$5:$IX$116,ComparisonData!A109,ComparisonData!$PU$1),0),5)</f>
        <v>0</v>
      </c>
      <c r="PV109" s="45" cm="1">
        <f t="array" ref="PV109">IFERROR(INDEX(ArchiveResults!$F$5:$IX$116,ComparisonData!A109,ComparisonData!$PV$1),0)</f>
        <v>0</v>
      </c>
      <c r="PW109" s="56">
        <v>104</v>
      </c>
      <c r="PX109" s="53" t="str">
        <f t="shared" si="1229"/>
        <v>Warrington Archives</v>
      </c>
      <c r="PY109" s="59">
        <f t="shared" si="978"/>
        <v>0</v>
      </c>
      <c r="PZ109" s="59">
        <f t="shared" si="979"/>
        <v>0</v>
      </c>
      <c r="QA109" s="59">
        <f t="shared" si="980"/>
        <v>0</v>
      </c>
      <c r="QB109" s="59">
        <f t="shared" si="981"/>
        <v>0</v>
      </c>
      <c r="QC109" s="59">
        <f t="shared" si="982"/>
        <v>0</v>
      </c>
      <c r="QD109" s="58">
        <f t="shared" si="983"/>
        <v>0</v>
      </c>
      <c r="QE109" s="45">
        <f t="shared" si="984"/>
        <v>46</v>
      </c>
      <c r="QF109" s="45">
        <f t="shared" si="1230"/>
        <v>2.6639999999999997</v>
      </c>
      <c r="QG109" s="45">
        <f t="shared" si="985"/>
        <v>1</v>
      </c>
      <c r="QH109" s="45">
        <f t="shared" si="986"/>
        <v>2</v>
      </c>
      <c r="QI109" s="45">
        <f t="shared" si="987"/>
        <v>0</v>
      </c>
      <c r="QJ109" s="46" cm="1">
        <f t="array" ref="QJ109">ROUND(IFERROR(INDEX(ArchiveResults!$F$5:$IX$116,ComparisonData!A109,ComparisonData!$QJ$1),0),5)</f>
        <v>0</v>
      </c>
      <c r="QK109" s="46" cm="1">
        <f t="array" ref="QK109">ROUND(IFERROR(INDEX(ArchiveResults!$F$5:$IX$116,ComparisonData!A109,ComparisonData!$QK$1),0),5)</f>
        <v>0</v>
      </c>
      <c r="QL109" s="46" cm="1">
        <f t="array" ref="QL109">ROUND(IFERROR(INDEX(ArchiveResults!$F$5:$IX$116,ComparisonData!A109,ComparisonData!$QL$1),0),5)</f>
        <v>0</v>
      </c>
      <c r="QM109" s="46" cm="1">
        <f t="array" ref="QM109">ROUND(IFERROR(INDEX(ArchiveResults!$F$5:$IX$116,ComparisonData!A109,ComparisonData!$QM$1),0),5)</f>
        <v>0</v>
      </c>
      <c r="QN109" s="45" cm="1">
        <f t="array" ref="QN109">IFERROR(INDEX(ArchiveResults!$F$5:$IX$116,ComparisonData!A109,ComparisonData!$QN$1),0)</f>
        <v>0</v>
      </c>
      <c r="QO109" s="56">
        <v>104</v>
      </c>
      <c r="QP109" s="53" t="str">
        <f t="shared" si="1231"/>
        <v>Warrington Archives</v>
      </c>
      <c r="QQ109" s="59">
        <f t="shared" si="988"/>
        <v>0</v>
      </c>
      <c r="QR109" s="59">
        <f t="shared" si="989"/>
        <v>0</v>
      </c>
      <c r="QS109" s="59">
        <f t="shared" si="990"/>
        <v>0</v>
      </c>
      <c r="QT109" s="59">
        <f t="shared" si="991"/>
        <v>0</v>
      </c>
      <c r="QU109" s="59">
        <f t="shared" si="992"/>
        <v>0</v>
      </c>
      <c r="QV109" s="58">
        <f t="shared" si="993"/>
        <v>0</v>
      </c>
      <c r="QW109" s="45">
        <f t="shared" si="994"/>
        <v>46</v>
      </c>
      <c r="QX109" s="45">
        <f t="shared" si="1232"/>
        <v>2.6639999999999997</v>
      </c>
      <c r="QY109" s="45">
        <f t="shared" si="995"/>
        <v>1</v>
      </c>
      <c r="QZ109" s="45">
        <f t="shared" si="996"/>
        <v>2</v>
      </c>
      <c r="RA109" s="45">
        <f t="shared" si="997"/>
        <v>0</v>
      </c>
      <c r="RB109" s="46" cm="1">
        <f t="array" ref="RB109">ROUND(IFERROR(INDEX(ArchiveResults!$F$5:$IX$116,ComparisonData!A109,ComparisonData!$RB$1),0),5)</f>
        <v>0</v>
      </c>
      <c r="RC109" s="46" cm="1">
        <f t="array" ref="RC109">ROUND(IFERROR(INDEX(ArchiveResults!$F$5:$IX$116,ComparisonData!A109,ComparisonData!$RC$1),0),5)</f>
        <v>0</v>
      </c>
      <c r="RD109" s="46" cm="1">
        <f t="array" ref="RD109">ROUND(IFERROR(INDEX(ArchiveResults!$F$5:$IX$116,ComparisonData!A109,ComparisonData!$RD$1),0),5)</f>
        <v>0</v>
      </c>
      <c r="RE109" s="46" cm="1">
        <f t="array" ref="RE109">ROUND(IFERROR(INDEX(ArchiveResults!$F$5:$IX$116,ComparisonData!A109,ComparisonData!$RE$1),0),5)</f>
        <v>0</v>
      </c>
      <c r="RF109" s="45" cm="1">
        <f t="array" ref="RF109">IFERROR(INDEX(ArchiveResults!$F$5:$IX$116,ComparisonData!A109,ComparisonData!$RF$1),0)</f>
        <v>0</v>
      </c>
      <c r="RG109" s="56">
        <v>104</v>
      </c>
      <c r="RH109" s="53" t="str">
        <f t="shared" si="1233"/>
        <v>Warrington Archives</v>
      </c>
      <c r="RI109" s="59">
        <f t="shared" si="998"/>
        <v>0</v>
      </c>
      <c r="RJ109" s="59">
        <f t="shared" si="999"/>
        <v>0</v>
      </c>
      <c r="RK109" s="59">
        <f t="shared" si="1000"/>
        <v>0</v>
      </c>
      <c r="RL109" s="59">
        <f t="shared" si="1001"/>
        <v>0</v>
      </c>
      <c r="RM109" s="59">
        <f t="shared" si="1002"/>
        <v>0</v>
      </c>
      <c r="RN109" s="58">
        <f t="shared" si="1003"/>
        <v>0</v>
      </c>
      <c r="RO109" s="45">
        <f t="shared" si="1004"/>
        <v>46</v>
      </c>
      <c r="RP109" s="45">
        <f t="shared" si="1234"/>
        <v>2.6639999999999997</v>
      </c>
      <c r="RQ109" s="45">
        <f t="shared" si="1005"/>
        <v>1</v>
      </c>
      <c r="RR109" s="45">
        <f t="shared" si="1006"/>
        <v>2</v>
      </c>
      <c r="RS109" s="45">
        <f t="shared" si="1007"/>
        <v>0</v>
      </c>
      <c r="RT109" s="46" cm="1">
        <f t="array" ref="RT109">ROUND(IFERROR(INDEX(ArchiveResults!$F$5:$IX$116,ComparisonData!A109,ComparisonData!$RT$1),0),5)</f>
        <v>0</v>
      </c>
      <c r="RU109" s="46" cm="1">
        <f t="array" ref="RU109">ROUND(IFERROR(INDEX(ArchiveResults!$F$5:$IX$116,ComparisonData!A109,ComparisonData!$RU$1),0),5)</f>
        <v>0</v>
      </c>
      <c r="RV109" s="46" cm="1">
        <f t="array" ref="RV109">ROUND(IFERROR(INDEX(ArchiveResults!$F$5:$IX$116,ComparisonData!A109,ComparisonData!$RV$1),0),5)</f>
        <v>0</v>
      </c>
      <c r="RW109" s="46" cm="1">
        <f t="array" ref="RW109">ROUND(IFERROR(INDEX(ArchiveResults!$F$5:$IX$116,ComparisonData!A109,ComparisonData!$RW$1),0),5)</f>
        <v>0</v>
      </c>
      <c r="RX109" s="45" cm="1">
        <f t="array" ref="RX109">IFERROR(INDEX(ArchiveResults!$F$5:$IX$116,ComparisonData!A109,ComparisonData!$RX$1),0)</f>
        <v>0</v>
      </c>
      <c r="RY109" s="56">
        <v>104</v>
      </c>
      <c r="RZ109" s="53" t="str">
        <f t="shared" si="1235"/>
        <v>Warrington Archives</v>
      </c>
      <c r="SA109" s="59">
        <f t="shared" si="1008"/>
        <v>0</v>
      </c>
      <c r="SB109" s="59">
        <f t="shared" si="1009"/>
        <v>0</v>
      </c>
      <c r="SC109" s="59">
        <f t="shared" si="1010"/>
        <v>0</v>
      </c>
      <c r="SD109" s="59">
        <f t="shared" si="1011"/>
        <v>0</v>
      </c>
      <c r="SE109" s="59">
        <f t="shared" si="1012"/>
        <v>0</v>
      </c>
      <c r="SF109" s="58">
        <f t="shared" si="1013"/>
        <v>0</v>
      </c>
      <c r="SG109" s="45">
        <f t="shared" si="1014"/>
        <v>46</v>
      </c>
      <c r="SH109" s="45">
        <f t="shared" si="1236"/>
        <v>2.6639999999999997</v>
      </c>
      <c r="SI109" s="45">
        <f t="shared" si="1015"/>
        <v>1</v>
      </c>
      <c r="SJ109" s="45">
        <f t="shared" si="1016"/>
        <v>2</v>
      </c>
      <c r="SK109" s="45">
        <f t="shared" si="1017"/>
        <v>0</v>
      </c>
      <c r="SL109" s="46" cm="1">
        <f t="array" ref="SL109">ROUND(IFERROR(INDEX(ArchiveResults!$F$5:$IX$116,ComparisonData!A109,ComparisonData!$SL$1),0),5)</f>
        <v>0</v>
      </c>
      <c r="SM109" s="46" cm="1">
        <f t="array" ref="SM109">ROUND(IFERROR(INDEX(ArchiveResults!$F$5:$IX$116,ComparisonData!A109,ComparisonData!$SM$1),0),5)</f>
        <v>0</v>
      </c>
      <c r="SN109" s="46" cm="1">
        <f t="array" ref="SN109">ROUND(IFERROR(INDEX(ArchiveResults!$F$5:$IX$116,ComparisonData!A109,ComparisonData!$SN$1),0),5)</f>
        <v>0</v>
      </c>
      <c r="SO109" s="46" cm="1">
        <f t="array" ref="SO109">ROUND(IFERROR(INDEX(ArchiveResults!$F$5:$IX$116,ComparisonData!A109,ComparisonData!$SO$1),0),5)</f>
        <v>0</v>
      </c>
      <c r="SP109" s="45" cm="1">
        <f t="array" ref="SP109">IFERROR(INDEX(ArchiveResults!$F$5:$IX$116,ComparisonData!A109,ComparisonData!$SP$1),0)</f>
        <v>0</v>
      </c>
      <c r="SQ109" s="56">
        <v>104</v>
      </c>
      <c r="SR109" s="53" t="str">
        <f t="shared" si="1237"/>
        <v>Warrington Archives</v>
      </c>
      <c r="SS109" s="59">
        <f t="shared" si="1018"/>
        <v>0</v>
      </c>
      <c r="ST109" s="59">
        <f t="shared" si="1019"/>
        <v>0</v>
      </c>
      <c r="SU109" s="59">
        <f t="shared" si="1020"/>
        <v>0</v>
      </c>
      <c r="SV109" s="59">
        <f t="shared" si="1021"/>
        <v>0</v>
      </c>
      <c r="SW109" s="59">
        <f t="shared" si="1022"/>
        <v>0</v>
      </c>
      <c r="SX109" s="58">
        <f t="shared" si="1023"/>
        <v>0</v>
      </c>
      <c r="SY109" s="45">
        <f t="shared" si="1024"/>
        <v>46</v>
      </c>
      <c r="SZ109" s="45">
        <f t="shared" si="1238"/>
        <v>2.6639999999999997</v>
      </c>
      <c r="TA109" s="45">
        <f t="shared" si="1025"/>
        <v>1</v>
      </c>
      <c r="TB109" s="45">
        <f t="shared" si="1026"/>
        <v>2</v>
      </c>
      <c r="TC109" s="45">
        <f t="shared" si="1027"/>
        <v>0</v>
      </c>
      <c r="TD109" s="46" cm="1">
        <f t="array" ref="TD109">ROUND(IFERROR(INDEX(ArchiveResults!$F$5:$IX$116,ComparisonData!A109,ComparisonData!$TD$1),0),5)</f>
        <v>0</v>
      </c>
      <c r="TE109" s="46" cm="1">
        <f t="array" ref="TE109">ROUND(IFERROR(INDEX(ArchiveResults!$F$5:$IX$116,ComparisonData!A109,ComparisonData!$TE$1),0),5)</f>
        <v>0</v>
      </c>
      <c r="TF109" s="46" cm="1">
        <f t="array" ref="TF109">ROUND(IFERROR(INDEX(ArchiveResults!$F$5:$IX$116,ComparisonData!A109,ComparisonData!$TF$1),0),5)</f>
        <v>0</v>
      </c>
      <c r="TG109" s="46" cm="1">
        <f t="array" ref="TG109">ROUND(IFERROR(INDEX(ArchiveResults!$F$5:$IX$116,ComparisonData!A109,ComparisonData!$TG$1),0),5)</f>
        <v>0</v>
      </c>
      <c r="TH109" s="45" cm="1">
        <f t="array" ref="TH109">IFERROR(INDEX(ArchiveResults!$F$5:$IX$116,ComparisonData!A109,ComparisonData!$TH$1),0)</f>
        <v>0</v>
      </c>
      <c r="TI109" s="56">
        <v>104</v>
      </c>
      <c r="TJ109" s="53" t="str">
        <f t="shared" si="1239"/>
        <v>Warrington Archives</v>
      </c>
      <c r="TK109" s="59">
        <f t="shared" si="1028"/>
        <v>0</v>
      </c>
      <c r="TL109" s="59">
        <f t="shared" si="1029"/>
        <v>0</v>
      </c>
      <c r="TM109" s="59">
        <f t="shared" si="1030"/>
        <v>0</v>
      </c>
      <c r="TN109" s="59">
        <f t="shared" si="1031"/>
        <v>0</v>
      </c>
      <c r="TO109" s="59">
        <f t="shared" si="1032"/>
        <v>0</v>
      </c>
      <c r="TP109" s="58">
        <f t="shared" si="1033"/>
        <v>0</v>
      </c>
      <c r="TQ109" s="45">
        <f t="shared" si="1034"/>
        <v>46</v>
      </c>
      <c r="TR109" s="45">
        <f t="shared" si="1240"/>
        <v>2.6639999999999997</v>
      </c>
      <c r="TS109" s="45">
        <f t="shared" si="1035"/>
        <v>1</v>
      </c>
      <c r="TT109" s="45">
        <f t="shared" si="1036"/>
        <v>2</v>
      </c>
      <c r="TU109" s="45">
        <f t="shared" si="1037"/>
        <v>0</v>
      </c>
      <c r="TV109" s="46" cm="1">
        <f t="array" ref="TV109">ROUND(IFERROR(INDEX(ArchiveResults!$F$5:$IX$116,ComparisonData!A109,ComparisonData!$TV$1),0),5)</f>
        <v>0</v>
      </c>
      <c r="TW109" s="46" cm="1">
        <f t="array" ref="TW109">ROUND(IFERROR(INDEX(ArchiveResults!$F$5:$IX$116,ComparisonData!A109,ComparisonData!$TW$1),0),5)</f>
        <v>0</v>
      </c>
      <c r="TX109" s="46" cm="1">
        <f t="array" ref="TX109">ROUND(IFERROR(INDEX(ArchiveResults!$F$5:$IX$116,ComparisonData!A109,ComparisonData!$TX$1),0),5)</f>
        <v>0</v>
      </c>
      <c r="TY109" s="46" cm="1">
        <f t="array" ref="TY109">ROUND(IFERROR(INDEX(ArchiveResults!$F$5:$IX$116,ComparisonData!A109,ComparisonData!$TY$1),0),5)</f>
        <v>0</v>
      </c>
      <c r="TZ109" s="45" cm="1">
        <f t="array" ref="TZ109">IFERROR(INDEX(ArchiveResults!$F$5:$IX$116,ComparisonData!A109,ComparisonData!$TZ$1),0)</f>
        <v>0</v>
      </c>
      <c r="UA109" s="56">
        <v>104</v>
      </c>
      <c r="UB109" s="53" t="str">
        <f t="shared" si="1241"/>
        <v>Warrington Archives</v>
      </c>
      <c r="UC109" s="60">
        <f t="shared" si="1038"/>
        <v>0</v>
      </c>
      <c r="UD109" s="60">
        <f t="shared" si="1039"/>
        <v>0</v>
      </c>
      <c r="UE109" s="60">
        <f t="shared" si="1040"/>
        <v>0</v>
      </c>
      <c r="UF109" s="60">
        <f t="shared" si="1041"/>
        <v>0</v>
      </c>
      <c r="UG109" s="60">
        <f t="shared" si="1042"/>
        <v>0</v>
      </c>
      <c r="UH109" s="58">
        <f t="shared" si="1043"/>
        <v>0</v>
      </c>
      <c r="UI109" s="46">
        <f t="shared" si="1044"/>
        <v>46</v>
      </c>
      <c r="UJ109" s="46">
        <f t="shared" si="1242"/>
        <v>2.6639999999999997</v>
      </c>
      <c r="UK109" s="46">
        <f t="shared" si="1045"/>
        <v>1</v>
      </c>
      <c r="UL109" s="46">
        <f t="shared" si="1046"/>
        <v>2</v>
      </c>
      <c r="UM109" s="46" cm="1">
        <f t="array" ref="UM109">ROUND(IFERROR(INDEX(ArchiveResults!$F$5:$IX$116,ComparisonData!A109,ComparisonData!$UM$1),0),5)</f>
        <v>0</v>
      </c>
      <c r="UN109" s="56">
        <v>104</v>
      </c>
      <c r="UO109" s="53" t="str">
        <f t="shared" si="1243"/>
        <v>Warrington Archives</v>
      </c>
      <c r="UP109" s="46">
        <f t="shared" si="1047"/>
        <v>0</v>
      </c>
      <c r="UQ109" s="76">
        <f t="shared" si="1048"/>
        <v>0</v>
      </c>
      <c r="UR109" s="46">
        <f t="shared" si="1049"/>
        <v>46</v>
      </c>
      <c r="US109" s="46">
        <f t="shared" si="1244"/>
        <v>2.6639999999999997</v>
      </c>
      <c r="UT109" s="46">
        <f t="shared" si="1050"/>
        <v>1</v>
      </c>
      <c r="UU109" s="46">
        <f t="shared" si="1051"/>
        <v>2</v>
      </c>
      <c r="UV109" s="46">
        <f t="shared" si="1052"/>
        <v>0</v>
      </c>
      <c r="UW109" s="46" cm="1">
        <f t="array" ref="UW109">ROUND(IFERROR(INDEX(ArchiveResults!$F$5:$IX$116,ComparisonData!A109,ComparisonData!$UW$1),0),5)</f>
        <v>0</v>
      </c>
      <c r="UX109" s="46" cm="1">
        <f t="array" ref="UX109">ROUND(IFERROR(INDEX(ArchiveResults!$F$5:$IX$116,ComparisonData!A109,ComparisonData!$UX$1),0),5)</f>
        <v>0</v>
      </c>
      <c r="UY109" s="46" cm="1">
        <f t="array" ref="UY109">ROUND(IFERROR(INDEX(ArchiveResults!$F$5:$IX$116,ComparisonData!A109,ComparisonData!$UY$1),0),5)</f>
        <v>0</v>
      </c>
      <c r="UZ109" s="46" cm="1">
        <f t="array" ref="UZ109">ROUND(IFERROR(INDEX(ArchiveResults!$F$5:$IX$116,ComparisonData!A109,ComparisonData!$UZ$1),0),5)</f>
        <v>0</v>
      </c>
      <c r="VA109" s="46" cm="1">
        <f t="array" ref="VA109">ROUND(IFERROR(INDEX(ArchiveResults!$F$5:$IX$116,ComparisonData!A109,ComparisonData!$VA$1),0),5)</f>
        <v>0</v>
      </c>
      <c r="VB109" s="56">
        <v>104</v>
      </c>
      <c r="VC109" s="53" t="str">
        <f t="shared" si="1245"/>
        <v>Warrington Archives</v>
      </c>
      <c r="VD109" s="60">
        <f t="shared" si="1053"/>
        <v>0</v>
      </c>
      <c r="VE109" s="60">
        <f t="shared" si="1054"/>
        <v>0</v>
      </c>
      <c r="VF109" s="60">
        <f t="shared" si="1055"/>
        <v>0</v>
      </c>
      <c r="VG109" s="60">
        <f t="shared" si="1056"/>
        <v>0</v>
      </c>
      <c r="VH109" s="60">
        <f t="shared" si="1057"/>
        <v>0</v>
      </c>
      <c r="VI109" s="76">
        <f t="shared" si="1058"/>
        <v>0</v>
      </c>
      <c r="VJ109" s="46">
        <f t="shared" si="1059"/>
        <v>46</v>
      </c>
      <c r="VK109" s="46">
        <f t="shared" si="1246"/>
        <v>2.6639999999999997</v>
      </c>
      <c r="VL109" s="46">
        <f t="shared" si="1060"/>
        <v>1</v>
      </c>
      <c r="VM109" s="46">
        <f t="shared" si="1061"/>
        <v>2</v>
      </c>
      <c r="VN109" s="46" cm="1">
        <f t="array" ref="VN109">ROUND(IFERROR(INDEX(ArchiveResults!$F$5:$IX$116,ComparisonData!A109,ComparisonData!$VN$1),0),5)</f>
        <v>0</v>
      </c>
      <c r="VO109" s="46" cm="1">
        <f t="array" ref="VO109">ROUND(IFERROR(INDEX(ArchiveResults!$F$5:$IX$116,ComparisonData!A109,ComparisonData!$VO$1),0),5)</f>
        <v>0</v>
      </c>
      <c r="VP109" s="46" cm="1">
        <f t="array" ref="VP109">ROUND(IFERROR(INDEX(ArchiveResults!$F$5:$IX$116,ComparisonData!A109,ComparisonData!$VP$1),0),5)</f>
        <v>0</v>
      </c>
      <c r="VQ109" s="46" cm="1">
        <f t="array" ref="VQ109">ROUND(IFERROR(INDEX(ArchiveResults!$F$5:$IX$116,ComparisonData!A109,ComparisonData!$VQ$1),0),5)</f>
        <v>0</v>
      </c>
      <c r="VR109" s="56">
        <v>104</v>
      </c>
      <c r="VS109" s="53" t="str">
        <f t="shared" si="1247"/>
        <v>Warrington Archives</v>
      </c>
      <c r="VT109" s="60">
        <f t="shared" si="1062"/>
        <v>0</v>
      </c>
      <c r="VU109" s="60">
        <f t="shared" si="1063"/>
        <v>0</v>
      </c>
      <c r="VV109" s="60">
        <f t="shared" si="1064"/>
        <v>0</v>
      </c>
      <c r="VW109" s="60">
        <f t="shared" si="1065"/>
        <v>0</v>
      </c>
      <c r="VX109" s="76">
        <f t="shared" si="1066"/>
        <v>0</v>
      </c>
      <c r="VY109" s="46">
        <f t="shared" si="1067"/>
        <v>46</v>
      </c>
      <c r="VZ109" s="46">
        <f t="shared" si="1248"/>
        <v>2.6639999999999997</v>
      </c>
      <c r="WA109" s="46">
        <f t="shared" si="1068"/>
        <v>1</v>
      </c>
      <c r="WB109" s="46">
        <f t="shared" si="1069"/>
        <v>2</v>
      </c>
      <c r="WC109" s="46" cm="1">
        <f t="array" ref="WC109">ROUND(IFERROR(INDEX(ArchiveResults!$F$5:$IX$116,ComparisonData!A109,ComparisonData!$WC$1),0),5)</f>
        <v>0</v>
      </c>
      <c r="WD109" s="56">
        <v>104</v>
      </c>
      <c r="WE109" s="53" t="str">
        <f t="shared" si="1249"/>
        <v>Warrington Archives</v>
      </c>
      <c r="WF109" s="46">
        <f t="shared" si="1070"/>
        <v>0</v>
      </c>
      <c r="WG109" s="76">
        <f t="shared" si="1071"/>
        <v>0</v>
      </c>
      <c r="WH109" s="46">
        <f t="shared" si="1072"/>
        <v>46</v>
      </c>
      <c r="WI109" s="46">
        <f t="shared" si="1250"/>
        <v>2.6639999999999997</v>
      </c>
      <c r="WJ109" s="46">
        <f t="shared" si="1073"/>
        <v>1</v>
      </c>
      <c r="WK109" s="46">
        <f t="shared" si="1074"/>
        <v>2</v>
      </c>
      <c r="WL109" s="46" cm="1">
        <f t="array" ref="WL109">ROUND(IFERROR(INDEX(ArchiveResults!$F$5:$IX$116,ComparisonData!A109,ComparisonData!$WL$1),0),5)</f>
        <v>0</v>
      </c>
      <c r="WM109" s="46" cm="1">
        <f t="array" ref="WM109">IFERROR(INDEX(ArchiveResults!$F$5:$IX$116,ComparisonData!A109,ComparisonData!$WM$1),0)</f>
        <v>0</v>
      </c>
      <c r="WN109" s="56">
        <v>104</v>
      </c>
      <c r="WO109" s="53" t="str">
        <f t="shared" si="1251"/>
        <v>Warrington Archives</v>
      </c>
      <c r="WP109" s="60">
        <f t="shared" si="1075"/>
        <v>0</v>
      </c>
      <c r="WQ109" s="60">
        <f t="shared" si="1076"/>
        <v>0</v>
      </c>
      <c r="WR109" s="76">
        <f t="shared" si="1077"/>
        <v>0</v>
      </c>
      <c r="WS109" s="46">
        <f t="shared" si="1078"/>
        <v>46</v>
      </c>
      <c r="WT109" s="46">
        <f t="shared" si="1252"/>
        <v>2.6639999999999997</v>
      </c>
      <c r="WU109" s="46">
        <f t="shared" si="1079"/>
        <v>1</v>
      </c>
      <c r="WV109" s="46">
        <f t="shared" si="1080"/>
        <v>2</v>
      </c>
      <c r="WW109" s="46" cm="1">
        <f t="array" ref="WW109">ROUND(VALUE(IFERROR(INDEX(ArchiveResults!$F$5:$IX$116,ComparisonData!A109,ComparisonData!$WW$1),0)),5)</f>
        <v>0</v>
      </c>
      <c r="WX109" s="46" cm="1">
        <f t="array" ref="WX109">ROUND(IFERROR(INDEX(ArchiveResults!$F$5:$IX$116,ComparisonData!A109,ComparisonData!$WX$1),0),5)</f>
        <v>0</v>
      </c>
      <c r="WY109" s="56">
        <v>104</v>
      </c>
      <c r="WZ109" s="53" t="str">
        <f t="shared" si="1253"/>
        <v>Warrington Archives</v>
      </c>
      <c r="XA109" s="60">
        <f t="shared" si="1254"/>
        <v>0</v>
      </c>
      <c r="XB109" s="60">
        <f t="shared" si="1255"/>
        <v>0</v>
      </c>
      <c r="XC109" s="76">
        <f t="shared" si="1081"/>
        <v>0</v>
      </c>
      <c r="XD109" s="46">
        <f t="shared" si="1082"/>
        <v>46</v>
      </c>
      <c r="XE109" s="46">
        <f t="shared" si="1256"/>
        <v>2.6639999999999997</v>
      </c>
      <c r="XF109" s="46">
        <f t="shared" si="1083"/>
        <v>1</v>
      </c>
      <c r="XG109" s="46">
        <f t="shared" si="1084"/>
        <v>2</v>
      </c>
      <c r="XH109" s="46" cm="1">
        <f t="array" ref="XH109">ROUND(VALUE(IFERROR(INDEX(ArchiveResults!$F$5:$IX$116,ComparisonData!A109,ComparisonData!$XH$1),0)),5)</f>
        <v>0</v>
      </c>
      <c r="XI109" s="46" cm="1">
        <f t="array" ref="XI109">ROUND(VALUE(IFERROR(INDEX(ArchiveResults!$F$5:$IX$116,ComparisonData!A109,ComparisonData!$XI$1),0)),5)</f>
        <v>0</v>
      </c>
      <c r="XJ109" s="56">
        <v>104</v>
      </c>
      <c r="XK109" s="53" t="str">
        <f t="shared" si="1257"/>
        <v>Warrington Archives</v>
      </c>
      <c r="XL109" s="60">
        <f t="shared" si="1085"/>
        <v>0</v>
      </c>
      <c r="XM109" s="60">
        <f t="shared" si="1086"/>
        <v>0</v>
      </c>
      <c r="XN109" s="76">
        <f t="shared" si="1087"/>
        <v>0</v>
      </c>
      <c r="XO109" s="46">
        <f t="shared" si="1088"/>
        <v>46</v>
      </c>
      <c r="XP109" s="46">
        <f t="shared" si="1258"/>
        <v>2.6639999999999997</v>
      </c>
      <c r="XQ109" s="46">
        <f t="shared" si="1089"/>
        <v>1</v>
      </c>
      <c r="XR109" s="46">
        <f t="shared" si="1090"/>
        <v>2</v>
      </c>
      <c r="XS109" s="46" cm="1">
        <f t="array" ref="XS109">ROUND(VALUE(IFERROR(INDEX(ArchiveResults!$F$5:$IX$116,ComparisonData!A109,ComparisonData!$XS$1),0)),5)</f>
        <v>0</v>
      </c>
      <c r="XT109" s="46" cm="1">
        <f t="array" ref="XT109">ROUND(VALUE(IFERROR(INDEX(ArchiveResults!$F$5:$IX$116,ComparisonData!A109,ComparisonData!$XT$1),0)),5)</f>
        <v>0</v>
      </c>
      <c r="XU109" s="56">
        <v>104</v>
      </c>
      <c r="XV109" s="53" t="str">
        <f t="shared" si="1259"/>
        <v>Warrington Archives</v>
      </c>
      <c r="XW109" s="60">
        <f t="shared" si="1091"/>
        <v>0</v>
      </c>
      <c r="XX109" s="60">
        <f t="shared" si="1092"/>
        <v>0</v>
      </c>
      <c r="XY109" s="76">
        <f t="shared" si="1093"/>
        <v>0</v>
      </c>
      <c r="XZ109" s="46">
        <f t="shared" si="1094"/>
        <v>46</v>
      </c>
      <c r="YA109" s="46">
        <f t="shared" si="1260"/>
        <v>2.6639999999999997</v>
      </c>
      <c r="YB109" s="46">
        <f t="shared" si="1095"/>
        <v>1</v>
      </c>
      <c r="YC109" s="46">
        <f t="shared" si="1096"/>
        <v>2</v>
      </c>
      <c r="YD109" s="46" cm="1">
        <f t="array" ref="YD109">ROUND(VALUE(IFERROR(INDEX(ArchiveResults!$F$5:$IX$116,ComparisonData!A109,ComparisonData!$YD$1),0)),5)</f>
        <v>0</v>
      </c>
      <c r="YE109" s="46" cm="1">
        <f t="array" ref="YE109">ROUND(VALUE(IFERROR(INDEX(ArchiveResults!$F$5:$IX$116,ComparisonData!A109,ComparisonData!$YE$1),0)),5)</f>
        <v>0</v>
      </c>
      <c r="YF109" s="56">
        <v>104</v>
      </c>
      <c r="YG109" s="53" t="str">
        <f t="shared" si="1261"/>
        <v>Warrington Archives</v>
      </c>
      <c r="YH109" s="60">
        <f t="shared" si="1097"/>
        <v>0</v>
      </c>
      <c r="YI109" s="60">
        <f t="shared" si="1098"/>
        <v>0</v>
      </c>
      <c r="YJ109" s="76">
        <f t="shared" si="1099"/>
        <v>0</v>
      </c>
      <c r="YK109" s="46">
        <f t="shared" si="1100"/>
        <v>46</v>
      </c>
      <c r="YL109" s="46">
        <f t="shared" si="1262"/>
        <v>2.6639999999999997</v>
      </c>
      <c r="YM109" s="46">
        <f t="shared" si="1101"/>
        <v>1</v>
      </c>
      <c r="YN109" s="46">
        <f t="shared" si="1102"/>
        <v>2</v>
      </c>
      <c r="YO109" s="46" cm="1">
        <f t="array" ref="YO109">ROUND(VALUE(IFERROR(INDEX(ArchiveResults!$F$5:$IX$116,ComparisonData!A109,ComparisonData!$YO$1),0)),5)</f>
        <v>0</v>
      </c>
      <c r="YP109" s="46" cm="1">
        <f t="array" ref="YP109">ROUND(VALUE(IFERROR(INDEX(ArchiveResults!$F$5:$IX$116,ComparisonData!A109,ComparisonData!$YP$1),0)),5)</f>
        <v>0</v>
      </c>
      <c r="YQ109" s="56">
        <v>104</v>
      </c>
      <c r="YR109" s="53" t="str">
        <f t="shared" si="1263"/>
        <v>Warrington Archives</v>
      </c>
      <c r="YS109" s="60">
        <f t="shared" si="1103"/>
        <v>0</v>
      </c>
      <c r="YT109" s="60">
        <f t="shared" si="1104"/>
        <v>0</v>
      </c>
      <c r="YU109" s="76">
        <f t="shared" si="1105"/>
        <v>0</v>
      </c>
      <c r="YV109" s="46">
        <f t="shared" si="1106"/>
        <v>46</v>
      </c>
      <c r="YW109" s="46">
        <f t="shared" si="1264"/>
        <v>2.6639999999999997</v>
      </c>
      <c r="YX109" s="46">
        <f t="shared" si="1107"/>
        <v>1</v>
      </c>
      <c r="YY109" s="46">
        <f t="shared" si="1108"/>
        <v>2</v>
      </c>
      <c r="YZ109" s="46">
        <f t="shared" si="1109"/>
        <v>0</v>
      </c>
      <c r="ZA109" s="46" cm="1">
        <f t="array" ref="ZA109">ROUNDDOWN(VALUE(IFERROR(INDEX(ArchiveResults!$F$5:$IX$116,ComparisonData!A109,ComparisonData!$ZA$1),0)),5)</f>
        <v>0</v>
      </c>
      <c r="ZB109" s="46" cm="1">
        <f t="array" ref="ZB109">ROUNDDOWN(VALUE(IFERROR(INDEX(ArchiveResults!$F$5:$IX$116,ComparisonData!A109,ComparisonData!$ZB$1),0)),5)</f>
        <v>0</v>
      </c>
      <c r="ZC109" s="46" cm="1">
        <f t="array" ref="ZC109">ROUNDDOWN(VALUE(IFERROR(INDEX(ArchiveResults!$F$5:$IX$116,ComparisonData!A109,ComparisonData!$ZC$1),0)),5)</f>
        <v>0</v>
      </c>
      <c r="ZD109" s="46" cm="1">
        <f t="array" ref="ZD109">ROUNDDOWN(VALUE(IFERROR(INDEX(ArchiveResults!$F$5:$IX$116,ComparisonData!A109,ComparisonData!$ZD$1),0)),5)</f>
        <v>0</v>
      </c>
      <c r="ZE109" s="46" cm="1">
        <f t="array" ref="ZE109">ROUNDDOWN(VALUE(IFERROR(INDEX(ArchiveResults!$F$5:$IX$116,ComparisonData!A109,ComparisonData!$ZE$1),0)),5)</f>
        <v>0</v>
      </c>
      <c r="ZF109" s="56">
        <v>104</v>
      </c>
      <c r="ZG109" s="53" t="str">
        <f t="shared" si="1265"/>
        <v>Warrington Archives</v>
      </c>
      <c r="ZH109" s="60">
        <f t="shared" si="1110"/>
        <v>0</v>
      </c>
      <c r="ZI109" s="60">
        <f t="shared" si="1111"/>
        <v>0</v>
      </c>
      <c r="ZJ109" s="60">
        <f t="shared" si="1112"/>
        <v>0</v>
      </c>
      <c r="ZK109" s="60">
        <f t="shared" si="1113"/>
        <v>0</v>
      </c>
      <c r="ZL109" s="60">
        <f t="shared" si="1114"/>
        <v>0</v>
      </c>
      <c r="ZM109" s="76">
        <f t="shared" si="1115"/>
        <v>0</v>
      </c>
      <c r="ZN109" s="46">
        <f t="shared" si="1116"/>
        <v>46</v>
      </c>
      <c r="ZO109" s="46">
        <f t="shared" si="1266"/>
        <v>2.6639999999999997</v>
      </c>
      <c r="ZP109" s="46">
        <f t="shared" si="1117"/>
        <v>1</v>
      </c>
      <c r="ZQ109" s="46">
        <f t="shared" si="1118"/>
        <v>2</v>
      </c>
      <c r="ZR109" s="46" cm="1">
        <f t="array" ref="ZR109">ROUND(VALUE(IFERROR(INDEX(ArchiveResults!$F$5:$IX$116,ComparisonData!A109,ComparisonData!$ZR$1),0)),5)</f>
        <v>0</v>
      </c>
      <c r="ZS109" s="56">
        <v>104</v>
      </c>
      <c r="ZT109" s="53" t="str">
        <f t="shared" si="1267"/>
        <v>Warrington Archives</v>
      </c>
      <c r="ZU109" s="46">
        <f t="shared" si="1119"/>
        <v>0</v>
      </c>
      <c r="ZV109" s="76">
        <f t="shared" si="1120"/>
        <v>0</v>
      </c>
      <c r="ZW109" s="81" cm="1">
        <f t="array" ref="ZW109">ROUND((IFERROR(INDEX(ArchiveResults!$F$5:$IX$116,ComparisonData!A109,ComparisonData!$ZW$1),0)),5)</f>
        <v>0</v>
      </c>
      <c r="ZX109" s="81" cm="1">
        <f t="array" ref="ZX109">ROUND((IFERROR(INDEX(ArchiveResults!$F$5:$IX$116,ComparisonData!A109,ComparisonData!$ZX$1),0)),5)</f>
        <v>0</v>
      </c>
      <c r="ZY109" s="81" cm="1">
        <f t="array" ref="ZY109">ROUND((IFERROR(INDEX(ArchiveResults!$F$5:$IX$116,ComparisonData!A109,ComparisonData!$ZY$1),0)),5)</f>
        <v>0</v>
      </c>
      <c r="ZZ109" s="81" cm="1">
        <f t="array" ref="ZZ109">ROUND((IFERROR(INDEX(ArchiveResults!$F$5:$IX$116,ComparisonData!A109,ComparisonData!$ZZ$1),0)),5)</f>
        <v>0</v>
      </c>
      <c r="AAA109" s="81" cm="1">
        <f t="array" ref="AAA109">ROUND((IFERROR(INDEX(ArchiveResults!$F$5:$IX$116,ComparisonData!A109,ComparisonData!$AAA$1),0)),5)</f>
        <v>0</v>
      </c>
      <c r="AAB109" s="81" cm="1">
        <f t="array" ref="AAB109">ROUND((IFERROR(INDEX(ArchiveResults!$F$5:$IX$116,ComparisonData!A109,ComparisonData!$AAB$1),0)),5)</f>
        <v>0</v>
      </c>
      <c r="AAC109" s="81" cm="1">
        <f t="array" ref="AAC109">ROUND((IFERROR(INDEX(ArchiveResults!$F$5:$IX$116,ComparisonData!A109,ComparisonData!$AAC$1),0)),5)</f>
        <v>0</v>
      </c>
      <c r="AAD109" s="81" cm="1">
        <f t="array" ref="AAD109">ROUND((IFERROR(INDEX(ArchiveResults!$F$5:$IX$116,ComparisonData!A109,ComparisonData!$AAD$1),0)),5)</f>
        <v>0</v>
      </c>
      <c r="AAE109" s="81" cm="1">
        <f t="array" ref="AAE109">ROUND((IFERROR(INDEX(ArchiveResults!$F$5:$IX$116,ComparisonData!A109,ComparisonData!$AAE$1),0)),5)</f>
        <v>0</v>
      </c>
      <c r="AAF109" s="81" cm="1">
        <f t="array" ref="AAF109">ROUND((IFERROR(INDEX(ArchiveResults!$F$5:$IX$116,ComparisonData!A109,ComparisonData!$AAF$1),0)),5)</f>
        <v>0</v>
      </c>
      <c r="AAG109" s="46">
        <f t="shared" si="1121"/>
        <v>46</v>
      </c>
      <c r="AAH109" s="46">
        <f t="shared" si="1268"/>
        <v>2.6639999999999997</v>
      </c>
      <c r="AAI109" s="46">
        <f t="shared" si="1122"/>
        <v>1</v>
      </c>
      <c r="AAJ109" s="46">
        <f t="shared" si="1123"/>
        <v>2</v>
      </c>
      <c r="AAK109" s="46">
        <f t="shared" si="1124"/>
        <v>0</v>
      </c>
      <c r="AAL109" s="46">
        <f t="shared" si="1125"/>
        <v>0</v>
      </c>
      <c r="AAM109" s="46">
        <f t="shared" si="1126"/>
        <v>0</v>
      </c>
      <c r="AAN109" s="46">
        <f t="shared" si="1127"/>
        <v>0</v>
      </c>
      <c r="AAO109" s="46">
        <f t="shared" si="1128"/>
        <v>0</v>
      </c>
      <c r="AAP109" s="46">
        <f t="shared" si="1129"/>
        <v>0</v>
      </c>
      <c r="AAQ109" s="56">
        <v>104</v>
      </c>
      <c r="AAR109" s="53" t="str">
        <f t="shared" si="1269"/>
        <v>Warrington Archives</v>
      </c>
      <c r="AAS109" s="60">
        <f t="shared" si="1130"/>
        <v>0</v>
      </c>
      <c r="AAT109" s="60">
        <f t="shared" si="1131"/>
        <v>0</v>
      </c>
      <c r="AAU109" s="60">
        <f t="shared" si="1132"/>
        <v>0</v>
      </c>
      <c r="AAV109" s="60">
        <f t="shared" si="1133"/>
        <v>0</v>
      </c>
      <c r="AAW109" s="60">
        <f t="shared" si="1134"/>
        <v>0</v>
      </c>
      <c r="AAX109" s="76">
        <f t="shared" si="1135"/>
        <v>0</v>
      </c>
      <c r="AAY109" s="46">
        <f t="shared" si="1136"/>
        <v>46</v>
      </c>
      <c r="AAZ109" s="46">
        <f t="shared" si="1270"/>
        <v>2.6639999999999997</v>
      </c>
      <c r="ABA109" s="46">
        <f t="shared" si="1137"/>
        <v>1</v>
      </c>
      <c r="ABB109" s="46">
        <f t="shared" si="1138"/>
        <v>2</v>
      </c>
      <c r="ABC109" s="46">
        <f t="shared" si="742"/>
        <v>0</v>
      </c>
      <c r="ABD109" s="46" cm="1">
        <f t="array" ref="ABD109">ROUND(VALUE(IFERROR(INDEX(ArchiveResults!$F$5:$IX$116,ComparisonData!A109,ComparisonData!$ABD$1),0)),5)</f>
        <v>0</v>
      </c>
      <c r="ABE109" s="46" cm="1">
        <f t="array" ref="ABE109">ROUND(VALUE(IFERROR(INDEX(ArchiveResults!$F$5:$IX$116,ComparisonData!A109,ComparisonData!$ABE$1),0)),5)</f>
        <v>0</v>
      </c>
      <c r="ABF109" s="46" cm="1">
        <f t="array" ref="ABF109">ROUND(VALUE(IFERROR(INDEX(ArchiveResults!$F$5:$IX$116,ComparisonData!A109,ComparisonData!$ABF$1),0)),5)</f>
        <v>0</v>
      </c>
      <c r="ABG109" s="46" cm="1">
        <f t="array" ref="ABG109">ROUND(VALUE(IFERROR(INDEX(ArchiveResults!$F$5:$IX$116,ComparisonData!A109,ComparisonData!$ABG$1),0)),5)</f>
        <v>0</v>
      </c>
      <c r="ABH109" s="46" cm="1">
        <f t="array" ref="ABH109">ROUND(VALUE(IFERROR(INDEX(ArchiveResults!$F$5:$IX$116,ComparisonData!A109,ComparisonData!$ABH$1),0)),5)</f>
        <v>0</v>
      </c>
      <c r="ABI109" s="56">
        <v>104</v>
      </c>
      <c r="ABJ109" s="53" t="str">
        <f t="shared" si="1271"/>
        <v>Warrington Archives</v>
      </c>
      <c r="ABK109" s="60">
        <f t="shared" si="1139"/>
        <v>0</v>
      </c>
      <c r="ABL109" s="60">
        <f t="shared" si="1140"/>
        <v>0</v>
      </c>
      <c r="ABM109" s="60">
        <f t="shared" si="1141"/>
        <v>0</v>
      </c>
      <c r="ABN109" s="60">
        <f t="shared" si="1142"/>
        <v>0</v>
      </c>
      <c r="ABO109" s="60">
        <f t="shared" si="1143"/>
        <v>0</v>
      </c>
      <c r="ABP109" s="76">
        <f t="shared" si="1144"/>
        <v>0</v>
      </c>
      <c r="ABQ109" s="46">
        <f t="shared" si="1145"/>
        <v>46</v>
      </c>
      <c r="ABR109" s="46">
        <f t="shared" si="1272"/>
        <v>2.6639999999999997</v>
      </c>
      <c r="ABS109" s="46">
        <f t="shared" si="1146"/>
        <v>1</v>
      </c>
      <c r="ABT109" s="46">
        <f t="shared" si="1147"/>
        <v>2</v>
      </c>
      <c r="ABU109" s="46" cm="1">
        <f t="array" ref="ABU109">ROUND(VALUE(IFERROR(INDEX(ArchiveResults!$F$5:$IX$116,ComparisonData!A109,ComparisonData!$ABU$1),0)),5)</f>
        <v>0</v>
      </c>
      <c r="ABV109" s="46" cm="1">
        <f t="array" ref="ABV109">ROUND(VALUE(IFERROR(INDEX(ArchiveResults!$F$5:$IX$116,ComparisonData!A109,ComparisonData!$ABV$1),0)),5)</f>
        <v>0</v>
      </c>
      <c r="ABW109" s="46" cm="1">
        <f t="array" ref="ABW109">ROUND(VALUE(IFERROR(INDEX(ArchiveResults!$F$5:$IX$116,ComparisonData!A109,ComparisonData!$ABW$1),0)),5)</f>
        <v>0</v>
      </c>
      <c r="ABX109" s="46" cm="1">
        <f t="array" ref="ABX109">ROUND(VALUE(IFERROR(INDEX(ArchiveResults!$F$5:$IX$116,ComparisonData!A109,ComparisonData!$ABX$1),0)),5)</f>
        <v>0</v>
      </c>
      <c r="ABY109" s="46" cm="1">
        <f t="array" ref="ABY109">ROUND(VALUE(IFERROR(INDEX(ArchiveResults!$F$5:$IX$116,ComparisonData!A109,ComparisonData!$ABY$1),0)),5)</f>
        <v>0</v>
      </c>
      <c r="ABZ109" s="56">
        <v>104</v>
      </c>
      <c r="ACA109" s="53" t="str">
        <f t="shared" si="1273"/>
        <v>Warrington Archives</v>
      </c>
      <c r="ACB109" s="60">
        <f t="shared" si="1148"/>
        <v>0</v>
      </c>
      <c r="ACC109" s="60">
        <f t="shared" si="1149"/>
        <v>0</v>
      </c>
      <c r="ACD109" s="60">
        <f t="shared" si="1150"/>
        <v>0</v>
      </c>
      <c r="ACE109" s="60">
        <f t="shared" si="1151"/>
        <v>0</v>
      </c>
      <c r="ACF109" s="60">
        <f t="shared" si="1152"/>
        <v>0</v>
      </c>
      <c r="ACG109" s="76">
        <f t="shared" si="1153"/>
        <v>0</v>
      </c>
      <c r="ACH109" s="46">
        <f t="shared" si="1154"/>
        <v>46</v>
      </c>
      <c r="ACI109" s="46">
        <f t="shared" si="1274"/>
        <v>2.6639999999999997</v>
      </c>
      <c r="ACJ109" s="46">
        <f t="shared" si="1155"/>
        <v>1</v>
      </c>
      <c r="ACK109" s="46">
        <f t="shared" si="1156"/>
        <v>2</v>
      </c>
      <c r="ACL109" s="46">
        <f t="shared" si="1157"/>
        <v>0</v>
      </c>
      <c r="ACM109" s="46" cm="1">
        <f t="array" ref="ACM109">ROUND(IFERROR(INDEX(ArchiveResults!$F$5:$IX$116,ComparisonData!A109,ComparisonData!$ACM$1),0),5)</f>
        <v>0</v>
      </c>
      <c r="ACN109" s="46" cm="1">
        <f t="array" ref="ACN109">ROUND(IFERROR(INDEX(ArchiveResults!$F$5:$IX$116,ComparisonData!A109,ComparisonData!$ACN$1),0),5)</f>
        <v>0</v>
      </c>
      <c r="ACO109" s="56">
        <v>104</v>
      </c>
      <c r="ACP109" s="53" t="str">
        <f t="shared" si="1275"/>
        <v>Warrington Archives</v>
      </c>
      <c r="ACQ109" s="60">
        <f t="shared" si="1158"/>
        <v>0</v>
      </c>
      <c r="ACR109" s="60">
        <f t="shared" si="1159"/>
        <v>0</v>
      </c>
      <c r="ACS109" s="76">
        <f t="shared" si="1160"/>
        <v>0</v>
      </c>
      <c r="ACT109" s="46">
        <f t="shared" si="1161"/>
        <v>46</v>
      </c>
      <c r="ACU109" s="46">
        <f t="shared" si="1276"/>
        <v>2.6639999999999997</v>
      </c>
      <c r="ACV109" s="46">
        <f t="shared" si="1162"/>
        <v>1</v>
      </c>
      <c r="ACW109" s="46">
        <f t="shared" si="1163"/>
        <v>2</v>
      </c>
      <c r="ACX109" s="46">
        <f t="shared" si="1164"/>
        <v>0</v>
      </c>
      <c r="ACY109" s="46" cm="1">
        <f t="array" ref="ACY109">ROUNDDOWN(IFERROR(INDEX(ArchiveResults!$F$5:$IX$116,ComparisonData!A109,ComparisonData!$ACY$1),0),5)</f>
        <v>0</v>
      </c>
      <c r="ACZ109" s="46" cm="1">
        <f t="array" ref="ACZ109">ROUNDDOWN(IFERROR(INDEX(ArchiveResults!$F$5:$IX$116,ComparisonData!A109,ComparisonData!$ACZ$1),0),5)</f>
        <v>0</v>
      </c>
      <c r="ADA109" s="46" cm="1">
        <f t="array" ref="ADA109">ROUNDDOWN(IFERROR(INDEX(ArchiveResults!$F$5:$IX$116,ComparisonData!A109,ComparisonData!$ADA$1),0),5)</f>
        <v>0</v>
      </c>
      <c r="ADB109" s="56">
        <v>104</v>
      </c>
      <c r="ADC109" s="53" t="str">
        <f t="shared" si="1277"/>
        <v>Warrington Archives</v>
      </c>
      <c r="ADD109" s="60">
        <f t="shared" si="1165"/>
        <v>0</v>
      </c>
      <c r="ADE109" s="60">
        <f t="shared" si="1166"/>
        <v>0</v>
      </c>
      <c r="ADF109" s="60">
        <f t="shared" si="1167"/>
        <v>0</v>
      </c>
      <c r="ADG109" s="76">
        <f t="shared" si="1168"/>
        <v>0</v>
      </c>
    </row>
    <row r="110" spans="1:787" x14ac:dyDescent="0.25">
      <c r="A110" s="46" t="str">
        <f>IF(ISBLANK(ComparisonSelection!F106),"",ROW()-5)</f>
        <v/>
      </c>
      <c r="B110" s="53" t="s">
        <v>561</v>
      </c>
      <c r="C110" s="72">
        <v>0.85399999999999987</v>
      </c>
      <c r="D110" s="55">
        <f t="shared" si="750"/>
        <v>84</v>
      </c>
      <c r="E110" s="54">
        <f t="shared" si="751"/>
        <v>2.8540000000000001</v>
      </c>
      <c r="F110" s="54">
        <f t="shared" si="752"/>
        <v>1</v>
      </c>
      <c r="G110" s="72">
        <f t="shared" si="753"/>
        <v>2</v>
      </c>
      <c r="H110" s="72">
        <f t="shared" si="754"/>
        <v>0</v>
      </c>
      <c r="I110" s="46" cm="1">
        <f t="array" ref="I110">ROUND(IFERROR(INDEX(ArchiveResults!$F$5:$IX$116,ComparisonData!A110,ComparisonData!$I$1),0),5)</f>
        <v>0</v>
      </c>
      <c r="J110" s="46" cm="1">
        <f t="array" ref="J110">ROUND(IFERROR(INDEX(ArchiveResults!$F$5:$IX$116,ComparisonData!A110,ComparisonData!$J$1),0),5)</f>
        <v>0</v>
      </c>
      <c r="K110" s="56">
        <v>105</v>
      </c>
      <c r="L110" s="53" t="str">
        <f t="shared" si="755"/>
        <v>Warwickshire County Record Office</v>
      </c>
      <c r="M110" s="57">
        <f t="shared" si="1169"/>
        <v>0</v>
      </c>
      <c r="N110" s="57">
        <f t="shared" si="1170"/>
        <v>0</v>
      </c>
      <c r="O110" s="58">
        <f t="shared" si="756"/>
        <v>0</v>
      </c>
      <c r="P110" s="48">
        <f t="shared" si="757"/>
        <v>84</v>
      </c>
      <c r="Q110" s="54">
        <f t="shared" si="1171"/>
        <v>2.8540000000000001</v>
      </c>
      <c r="R110" s="45">
        <f t="shared" si="758"/>
        <v>1</v>
      </c>
      <c r="S110" s="46">
        <f t="shared" si="759"/>
        <v>2</v>
      </c>
      <c r="T110" s="72">
        <f t="shared" si="760"/>
        <v>0</v>
      </c>
      <c r="U110" s="46" cm="1">
        <f t="array" ref="U110">ROUND(IFERROR(INDEX(ArchiveResults!$F$5:$IX$116,ComparisonData!A110,ComparisonData!$U$1),0),5)</f>
        <v>0</v>
      </c>
      <c r="V110" s="46" cm="1">
        <f t="array" ref="V110">ROUND(IFERROR(INDEX(ArchiveResults!$F$5:$IX$116,ComparisonData!A110,ComparisonData!$V$1),0),5)</f>
        <v>0</v>
      </c>
      <c r="W110" s="56">
        <v>105</v>
      </c>
      <c r="X110" s="53" t="str">
        <f t="shared" si="1172"/>
        <v>Warwickshire County Record Office</v>
      </c>
      <c r="Y110" s="57">
        <f t="shared" si="761"/>
        <v>0</v>
      </c>
      <c r="Z110" s="57">
        <f t="shared" si="762"/>
        <v>0</v>
      </c>
      <c r="AA110" s="58">
        <f t="shared" si="763"/>
        <v>0</v>
      </c>
      <c r="AB110" s="45">
        <f t="shared" si="764"/>
        <v>84</v>
      </c>
      <c r="AC110" s="54">
        <f t="shared" si="1173"/>
        <v>2.8540000000000001</v>
      </c>
      <c r="AD110" s="45">
        <f t="shared" si="765"/>
        <v>1</v>
      </c>
      <c r="AE110" s="45">
        <f t="shared" si="766"/>
        <v>2</v>
      </c>
      <c r="AF110" s="45">
        <f t="shared" si="639"/>
        <v>0</v>
      </c>
      <c r="AG110" s="46" cm="1">
        <f t="array" ref="AG110">ROUND(IFERROR(INDEX(ArchiveResults!$F$5:$IX$116,ComparisonData!A110,ComparisonData!$AG$1),0),5)</f>
        <v>0</v>
      </c>
      <c r="AH110" s="46" cm="1">
        <f t="array" ref="AH110">ROUND(IFERROR(INDEX(ArchiveResults!$F$5:$IX$116,ComparisonData!A110,ComparisonData!$AH$1),0),5)</f>
        <v>0</v>
      </c>
      <c r="AI110" s="56">
        <v>105</v>
      </c>
      <c r="AJ110" s="53" t="str">
        <f t="shared" si="1174"/>
        <v>Warwickshire County Record Office</v>
      </c>
      <c r="AK110" s="59">
        <f t="shared" si="1175"/>
        <v>0</v>
      </c>
      <c r="AL110" s="59">
        <f t="shared" si="1176"/>
        <v>0</v>
      </c>
      <c r="AM110" s="58">
        <f t="shared" si="767"/>
        <v>0</v>
      </c>
      <c r="AN110" s="45">
        <f t="shared" si="768"/>
        <v>84</v>
      </c>
      <c r="AO110" s="54">
        <f t="shared" si="1177"/>
        <v>2.8540000000000001</v>
      </c>
      <c r="AP110" s="45">
        <f t="shared" si="769"/>
        <v>1</v>
      </c>
      <c r="AQ110" s="45">
        <f t="shared" si="770"/>
        <v>2</v>
      </c>
      <c r="AR110" s="46" cm="1">
        <f t="array" ref="AR110">ROUND(IFERROR(INDEX(ArchiveResults!$F$5:$IX$116,ComparisonData!A110,ComparisonData!$AR$1),0),5)</f>
        <v>0</v>
      </c>
      <c r="AS110" s="46" cm="1">
        <f t="array" ref="AS110">ROUND(IFERROR(INDEX(ArchiveResults!$F$5:$IX$116,ComparisonData!A110,ComparisonData!$AS$1),0),5)</f>
        <v>0</v>
      </c>
      <c r="AT110" s="46" cm="1">
        <f t="array" ref="AT110">ROUND(IFERROR(INDEX(ArchiveResults!$F$5:$IX$116,ComparisonData!A110,ComparisonData!$AT$1),0),5)</f>
        <v>0</v>
      </c>
      <c r="AU110" s="46" cm="1">
        <f t="array" ref="AU110">ROUND(IFERROR(INDEX(ArchiveResults!$F$5:$IX$116,ComparisonData!A110,ComparisonData!$AU$1),0),5)</f>
        <v>0</v>
      </c>
      <c r="AV110" s="46" cm="1">
        <f t="array" ref="AV110">ROUND(IFERROR(INDEX(ArchiveResults!$F$5:$IX$116,ComparisonData!A110,ComparisonData!$AV$1),0),5)</f>
        <v>0</v>
      </c>
      <c r="AW110" s="46" cm="1">
        <f t="array" ref="AW110">ROUND(IFERROR(INDEX(ArchiveResults!$F$5:$IX$116,ComparisonData!A110,ComparisonData!$AW$1),0),5)</f>
        <v>0</v>
      </c>
      <c r="AX110" s="46" cm="1">
        <f t="array" ref="AX110">ROUND(IFERROR(INDEX(ArchiveResults!$F$5:$IX$116,ComparisonData!A110,ComparisonData!$AX$1),0),5)</f>
        <v>0</v>
      </c>
      <c r="AY110" s="46" cm="1">
        <f t="array" ref="AY110">ROUND(IFERROR(INDEX(ArchiveResults!$F$5:$IX$116,ComparisonData!A110,ComparisonData!$AY$1),0),5)</f>
        <v>0</v>
      </c>
      <c r="AZ110" s="46" cm="1">
        <f t="array" ref="AZ110">ROUND(IFERROR(INDEX(ArchiveResults!$F$5:$IX$116,ComparisonData!A110,ComparisonData!$AZ$1),0),5)</f>
        <v>0</v>
      </c>
      <c r="BA110" s="46" cm="1">
        <f t="array" ref="BA110">ROUND(IFERROR(INDEX(ArchiveResults!$F$5:$IX$116,ComparisonData!A110,ComparisonData!$BA$1),0),5)</f>
        <v>0</v>
      </c>
      <c r="BB110" s="56">
        <v>105</v>
      </c>
      <c r="BC110" s="53" t="str">
        <f t="shared" si="1178"/>
        <v>Warwickshire County Record Office</v>
      </c>
      <c r="BD110" s="60">
        <f t="shared" si="771"/>
        <v>0</v>
      </c>
      <c r="BE110" s="60">
        <f t="shared" si="772"/>
        <v>0</v>
      </c>
      <c r="BF110" s="60">
        <f t="shared" si="773"/>
        <v>0</v>
      </c>
      <c r="BG110" s="60">
        <f t="shared" si="774"/>
        <v>0</v>
      </c>
      <c r="BH110" s="60">
        <f t="shared" si="775"/>
        <v>0</v>
      </c>
      <c r="BI110" s="60">
        <f t="shared" si="776"/>
        <v>0</v>
      </c>
      <c r="BJ110" s="60">
        <f t="shared" si="777"/>
        <v>0</v>
      </c>
      <c r="BK110" s="60">
        <f t="shared" si="778"/>
        <v>0</v>
      </c>
      <c r="BL110" s="60">
        <f t="shared" si="779"/>
        <v>0</v>
      </c>
      <c r="BM110" s="59">
        <f t="shared" si="780"/>
        <v>0</v>
      </c>
      <c r="BN110" s="58">
        <f t="shared" si="781"/>
        <v>0</v>
      </c>
      <c r="BO110" s="45">
        <f t="shared" si="782"/>
        <v>84</v>
      </c>
      <c r="BP110" s="54">
        <f t="shared" si="1179"/>
        <v>2.8540000000000001</v>
      </c>
      <c r="BQ110" s="45">
        <f t="shared" si="783"/>
        <v>1</v>
      </c>
      <c r="BR110" s="45">
        <f t="shared" si="784"/>
        <v>2</v>
      </c>
      <c r="BS110" s="46" cm="1">
        <f t="array" ref="BS110">ROUND(IFERROR(INDEX(ArchiveResults!$F$5:$IX$116,ComparisonData!A110,ComparisonData!$BS$1),0),5)</f>
        <v>0</v>
      </c>
      <c r="BT110" s="46" cm="1">
        <f t="array" ref="BT110">ROUND(IFERROR(INDEX(ArchiveResults!$F$5:$IX$116,ComparisonData!A110,ComparisonData!$BT$1),0),5)</f>
        <v>0</v>
      </c>
      <c r="BU110" s="46" cm="1">
        <f t="array" ref="BU110">ROUND(IFERROR(INDEX(ArchiveResults!$F$5:$IX$116,ComparisonData!A110,ComparisonData!$BU$1),0),5)</f>
        <v>0</v>
      </c>
      <c r="BV110" s="46" cm="1">
        <f t="array" ref="BV110">ROUND(IFERROR(INDEX(ArchiveResults!$F$5:$IX$116,ComparisonData!A110,ComparisonData!$BV$1),0),5)</f>
        <v>0</v>
      </c>
      <c r="BW110" s="46" cm="1">
        <f t="array" ref="BW110">ROUND(IFERROR(INDEX(ArchiveResults!$F$5:$IX$116,ComparisonData!A110,ComparisonData!$BW$1),0),5)</f>
        <v>0</v>
      </c>
      <c r="BX110" s="46" cm="1">
        <f t="array" ref="BX110">ROUND(IFERROR(INDEX(ArchiveResults!$F$5:$IX$116,ComparisonData!A110,ComparisonData!$BX$1),0),5)</f>
        <v>0</v>
      </c>
      <c r="BY110" s="56">
        <v>105</v>
      </c>
      <c r="BZ110" s="53" t="str">
        <f t="shared" si="1180"/>
        <v>Warwickshire County Record Office</v>
      </c>
      <c r="CA110" s="59">
        <f t="shared" si="785"/>
        <v>0</v>
      </c>
      <c r="CB110" s="59">
        <f t="shared" si="786"/>
        <v>0</v>
      </c>
      <c r="CC110" s="59">
        <f t="shared" si="787"/>
        <v>0</v>
      </c>
      <c r="CD110" s="59">
        <f t="shared" si="788"/>
        <v>0</v>
      </c>
      <c r="CE110" s="59">
        <f t="shared" si="789"/>
        <v>0</v>
      </c>
      <c r="CF110" s="59">
        <f t="shared" si="790"/>
        <v>0</v>
      </c>
      <c r="CG110" s="58">
        <f t="shared" si="791"/>
        <v>0</v>
      </c>
      <c r="CH110" s="45">
        <f t="shared" si="792"/>
        <v>84</v>
      </c>
      <c r="CI110" s="54">
        <f t="shared" si="1181"/>
        <v>2.8540000000000001</v>
      </c>
      <c r="CJ110" s="45">
        <f t="shared" si="793"/>
        <v>1</v>
      </c>
      <c r="CK110" s="45">
        <f t="shared" si="794"/>
        <v>2</v>
      </c>
      <c r="CL110" s="46" cm="1">
        <f t="array" ref="CL110">ROUND(IFERROR(INDEX(ArchiveResults!$F$5:$IX$116,ComparisonData!A110,ComparisonData!$CL$1),0),5)</f>
        <v>0</v>
      </c>
      <c r="CM110" s="56">
        <v>105</v>
      </c>
      <c r="CN110" s="53" t="str">
        <f t="shared" si="1182"/>
        <v>Warwickshire County Record Office</v>
      </c>
      <c r="CO110" s="45">
        <f t="shared" si="795"/>
        <v>0</v>
      </c>
      <c r="CP110" s="58">
        <f t="shared" si="796"/>
        <v>0</v>
      </c>
      <c r="CQ110" s="45">
        <f t="shared" si="797"/>
        <v>84</v>
      </c>
      <c r="CR110" s="54">
        <f t="shared" si="1183"/>
        <v>2.8540000000000001</v>
      </c>
      <c r="CS110" s="45">
        <f t="shared" si="798"/>
        <v>1</v>
      </c>
      <c r="CT110" s="45">
        <f t="shared" si="799"/>
        <v>2</v>
      </c>
      <c r="CU110" s="46" cm="1">
        <f t="array" ref="CU110">ROUND(IFERROR(INDEX(ArchiveResults!$F$5:$IX$116,ComparisonData!A110,ComparisonData!$CU$1),0),5)</f>
        <v>0</v>
      </c>
      <c r="CV110" s="56">
        <v>105</v>
      </c>
      <c r="CW110" s="53" t="str">
        <f t="shared" si="1184"/>
        <v>Warwickshire County Record Office</v>
      </c>
      <c r="CX110" s="45">
        <f t="shared" si="800"/>
        <v>0</v>
      </c>
      <c r="CY110" s="58">
        <f t="shared" si="801"/>
        <v>0</v>
      </c>
      <c r="CZ110" s="45">
        <f t="shared" si="802"/>
        <v>84</v>
      </c>
      <c r="DA110" s="54">
        <f t="shared" si="1185"/>
        <v>2.8540000000000001</v>
      </c>
      <c r="DB110" s="45">
        <f t="shared" si="803"/>
        <v>1</v>
      </c>
      <c r="DC110" s="45">
        <f t="shared" si="804"/>
        <v>2</v>
      </c>
      <c r="DD110" s="46" cm="1">
        <f t="array" ref="DD110">ROUND(IFERROR(INDEX(ArchiveResults!$F$5:$IX$116,ComparisonData!A110,ComparisonData!$DD$1),0),5)</f>
        <v>0</v>
      </c>
      <c r="DE110" s="56">
        <v>105</v>
      </c>
      <c r="DF110" s="53" t="str">
        <f t="shared" si="1186"/>
        <v>Warwickshire County Record Office</v>
      </c>
      <c r="DG110" s="45">
        <f t="shared" si="805"/>
        <v>0</v>
      </c>
      <c r="DH110" s="58">
        <f t="shared" si="806"/>
        <v>0</v>
      </c>
      <c r="DI110" s="45">
        <f t="shared" si="807"/>
        <v>84</v>
      </c>
      <c r="DJ110" s="54">
        <f t="shared" si="1187"/>
        <v>2.8540000000000001</v>
      </c>
      <c r="DK110" s="45">
        <f t="shared" si="808"/>
        <v>1</v>
      </c>
      <c r="DL110" s="45">
        <f t="shared" si="809"/>
        <v>2</v>
      </c>
      <c r="DM110" s="46" cm="1">
        <f t="array" ref="DM110">ROUND(IFERROR(INDEX(ArchiveResults!$F$5:$IX$116,ComparisonData!A110,ComparisonData!$DM$1),0),5)</f>
        <v>0</v>
      </c>
      <c r="DN110" s="46" cm="1">
        <f t="array" ref="DN110">ROUND(IFERROR(INDEX(ArchiveResults!$F$5:$IX$116,ComparisonData!A110,ComparisonData!$DN$1),0),5)</f>
        <v>0</v>
      </c>
      <c r="DO110" s="46" cm="1">
        <f t="array" ref="DO110">ROUND(IFERROR(INDEX(ArchiveResults!$F$5:$IX$116,ComparisonData!A110,ComparisonData!$DO$1),0),5)</f>
        <v>0</v>
      </c>
      <c r="DP110" s="46" cm="1">
        <f t="array" ref="DP110">ROUND(IFERROR(INDEX(ArchiveResults!$F$5:$IX$116,ComparisonData!A110,ComparisonData!$DP$1),0),5)</f>
        <v>0</v>
      </c>
      <c r="DQ110" s="45" cm="1">
        <f t="array" ref="DQ110">IFERROR(INDEX(ArchiveResults!$F$5:$IX$116,ComparisonData!A110,ComparisonData!$DQ$1),0)</f>
        <v>0</v>
      </c>
      <c r="DR110" s="56">
        <v>105</v>
      </c>
      <c r="DS110" s="53" t="str">
        <f t="shared" si="1188"/>
        <v>Warwickshire County Record Office</v>
      </c>
      <c r="DT110" s="59">
        <f t="shared" si="810"/>
        <v>0</v>
      </c>
      <c r="DU110" s="59">
        <f t="shared" si="811"/>
        <v>0</v>
      </c>
      <c r="DV110" s="59">
        <f t="shared" si="812"/>
        <v>0</v>
      </c>
      <c r="DW110" s="59">
        <f t="shared" si="813"/>
        <v>0</v>
      </c>
      <c r="DX110" s="59">
        <f t="shared" si="814"/>
        <v>0</v>
      </c>
      <c r="DY110" s="58">
        <f t="shared" si="815"/>
        <v>0</v>
      </c>
      <c r="DZ110" s="45">
        <f t="shared" si="816"/>
        <v>84</v>
      </c>
      <c r="EA110" s="54">
        <f t="shared" si="1189"/>
        <v>2.8540000000000001</v>
      </c>
      <c r="EB110" s="45">
        <f t="shared" si="817"/>
        <v>1</v>
      </c>
      <c r="EC110" s="45">
        <f t="shared" si="818"/>
        <v>2</v>
      </c>
      <c r="ED110" s="46" cm="1">
        <f t="array" ref="ED110">ROUND(IFERROR(INDEX(ArchiveResults!$F$5:$IX$116,ComparisonData!A110,ComparisonData!$ED$1),0),5)</f>
        <v>0</v>
      </c>
      <c r="EE110" s="46" cm="1">
        <f t="array" ref="EE110">ROUND(IFERROR(INDEX(ArchiveResults!$F$5:$IX$116,ComparisonData!A110,ComparisonData!$EE$1),0),5)</f>
        <v>0</v>
      </c>
      <c r="EF110" s="46" cm="1">
        <f t="array" ref="EF110">ROUND(IFERROR(INDEX(ArchiveResults!$F$5:$IX$116,ComparisonData!A110,ComparisonData!$EF$1),0),5)</f>
        <v>0</v>
      </c>
      <c r="EG110" s="46" cm="1">
        <f t="array" ref="EG110">ROUND(IFERROR(INDEX(ArchiveResults!$F$5:$IX$116,ComparisonData!A110,ComparisonData!$EG$1),0),5)</f>
        <v>0</v>
      </c>
      <c r="EH110" s="45" cm="1">
        <f t="array" ref="EH110">IFERROR(INDEX(ArchiveResults!$F$5:$IX$116,ComparisonData!A110,ComparisonData!$EH$1),0)</f>
        <v>0</v>
      </c>
      <c r="EI110" s="56">
        <v>105</v>
      </c>
      <c r="EJ110" s="53" t="str">
        <f t="shared" si="1190"/>
        <v>Warwickshire County Record Office</v>
      </c>
      <c r="EK110" s="59">
        <f t="shared" si="819"/>
        <v>0</v>
      </c>
      <c r="EL110" s="59">
        <f t="shared" si="820"/>
        <v>0</v>
      </c>
      <c r="EM110" s="59">
        <f t="shared" si="821"/>
        <v>0</v>
      </c>
      <c r="EN110" s="59">
        <f t="shared" si="822"/>
        <v>0</v>
      </c>
      <c r="EO110" s="59">
        <f t="shared" si="823"/>
        <v>0</v>
      </c>
      <c r="EP110" s="58">
        <f t="shared" si="824"/>
        <v>0</v>
      </c>
      <c r="EQ110" s="45">
        <f t="shared" si="825"/>
        <v>84</v>
      </c>
      <c r="ER110" s="54">
        <f t="shared" si="1191"/>
        <v>2.8540000000000001</v>
      </c>
      <c r="ES110" s="45">
        <f t="shared" si="826"/>
        <v>1</v>
      </c>
      <c r="ET110" s="45">
        <f t="shared" si="827"/>
        <v>2</v>
      </c>
      <c r="EU110" s="46" cm="1">
        <f t="array" ref="EU110">ROUND(IFERROR(INDEX(ArchiveResults!$F$5:$IX$116,ComparisonData!A110,ComparisonData!$EU$1),0),5)</f>
        <v>0</v>
      </c>
      <c r="EV110" s="46" cm="1">
        <f t="array" ref="EV110">ROUND(IFERROR(INDEX(ArchiveResults!$F$5:$IX$116,ComparisonData!A110,ComparisonData!$EV$1),0),5)</f>
        <v>0</v>
      </c>
      <c r="EW110" s="46" cm="1">
        <f t="array" ref="EW110">ROUND(IFERROR(INDEX(ArchiveResults!$F$5:$IX$116,ComparisonData!A110,ComparisonData!$EW$1),0),5)</f>
        <v>0</v>
      </c>
      <c r="EX110" s="46" cm="1">
        <f t="array" ref="EX110">ROUND(IFERROR(INDEX(ArchiveResults!$F$5:$IX$116,ComparisonData!A110,ComparisonData!$EX$1),0),5)</f>
        <v>0</v>
      </c>
      <c r="EY110" s="45" cm="1">
        <f t="array" ref="EY110">IFERROR(INDEX(ArchiveResults!$F$5:$IX$116,ComparisonData!A110,ComparisonData!$EY$1),0)</f>
        <v>0</v>
      </c>
      <c r="EZ110" s="56">
        <v>105</v>
      </c>
      <c r="FA110" s="53" t="str">
        <f t="shared" si="1192"/>
        <v>Warwickshire County Record Office</v>
      </c>
      <c r="FB110" s="59">
        <f t="shared" si="828"/>
        <v>0</v>
      </c>
      <c r="FC110" s="59">
        <f t="shared" si="829"/>
        <v>0</v>
      </c>
      <c r="FD110" s="59">
        <f t="shared" si="830"/>
        <v>0</v>
      </c>
      <c r="FE110" s="59">
        <f t="shared" si="831"/>
        <v>0</v>
      </c>
      <c r="FF110" s="59">
        <f t="shared" si="832"/>
        <v>0</v>
      </c>
      <c r="FG110" s="58">
        <f t="shared" si="833"/>
        <v>0</v>
      </c>
      <c r="FH110" s="45">
        <f t="shared" si="834"/>
        <v>84</v>
      </c>
      <c r="FI110" s="54">
        <f t="shared" si="1193"/>
        <v>2.8540000000000001</v>
      </c>
      <c r="FJ110" s="45">
        <f t="shared" si="835"/>
        <v>1</v>
      </c>
      <c r="FK110" s="45">
        <f t="shared" si="836"/>
        <v>2</v>
      </c>
      <c r="FL110" s="46" cm="1">
        <f t="array" ref="FL110">ROUND(IFERROR(INDEX(ArchiveResults!$F$5:$IX$116,ComparisonData!A110,ComparisonData!$FL$1),0),5)</f>
        <v>0</v>
      </c>
      <c r="FM110" s="46" cm="1">
        <f t="array" ref="FM110">ROUND(IFERROR(INDEX(ArchiveResults!$F$5:$IX$116,ComparisonData!A110,ComparisonData!$FM$1),0),5)</f>
        <v>0</v>
      </c>
      <c r="FN110" s="46" cm="1">
        <f t="array" ref="FN110">ROUND(IFERROR(INDEX(ArchiveResults!$F$5:$IX$116,ComparisonData!A110,ComparisonData!$FN$1),0),5)</f>
        <v>0</v>
      </c>
      <c r="FO110" s="46" cm="1">
        <f t="array" ref="FO110">ROUND(IFERROR(INDEX(ArchiveResults!$F$5:$IX$116,ComparisonData!A110,ComparisonData!$FO$1),0),5)</f>
        <v>0</v>
      </c>
      <c r="FP110" s="45" cm="1">
        <f t="array" ref="FP110">IFERROR(INDEX(ArchiveResults!$F$5:$IX$116,ComparisonData!A110,ComparisonData!$FP$1),0)</f>
        <v>0</v>
      </c>
      <c r="FQ110" s="56">
        <v>105</v>
      </c>
      <c r="FR110" s="53" t="str">
        <f t="shared" si="1194"/>
        <v>Warwickshire County Record Office</v>
      </c>
      <c r="FS110" s="59">
        <f t="shared" si="837"/>
        <v>0</v>
      </c>
      <c r="FT110" s="59">
        <f t="shared" si="838"/>
        <v>0</v>
      </c>
      <c r="FU110" s="59">
        <f t="shared" si="839"/>
        <v>0</v>
      </c>
      <c r="FV110" s="59">
        <f t="shared" si="840"/>
        <v>0</v>
      </c>
      <c r="FW110" s="59">
        <f t="shared" si="841"/>
        <v>0</v>
      </c>
      <c r="FX110" s="58">
        <f t="shared" si="842"/>
        <v>0</v>
      </c>
      <c r="FY110" s="45">
        <f t="shared" si="843"/>
        <v>84</v>
      </c>
      <c r="FZ110" s="45">
        <f t="shared" si="1195"/>
        <v>2.8540000000000001</v>
      </c>
      <c r="GA110" s="45">
        <f t="shared" si="844"/>
        <v>1</v>
      </c>
      <c r="GB110" s="45">
        <f t="shared" si="845"/>
        <v>2</v>
      </c>
      <c r="GC110" s="46" cm="1">
        <f t="array" ref="GC110">ROUND(IFERROR(INDEX(ArchiveResults!$F$5:$IX$116,ComparisonData!A110,ComparisonData!$GC$1),0),5)</f>
        <v>0</v>
      </c>
      <c r="GD110" s="46" cm="1">
        <f t="array" ref="GD110">ROUND(IFERROR(INDEX(ArchiveResults!$F$5:$IX$116,ComparisonData!A110,ComparisonData!$GD$1),0),5)</f>
        <v>0</v>
      </c>
      <c r="GE110" s="46" cm="1">
        <f t="array" ref="GE110">ROUND(IFERROR(INDEX(ArchiveResults!$F$5:$IX$116,ComparisonData!A110,ComparisonData!$GE$1),0),5)</f>
        <v>0</v>
      </c>
      <c r="GF110" s="46" cm="1">
        <f t="array" ref="GF110">ROUND(IFERROR(INDEX(ArchiveResults!$F$5:$IX$116,ComparisonData!A110,ComparisonData!$GF$1),0),5)</f>
        <v>0</v>
      </c>
      <c r="GG110" s="45" cm="1">
        <f t="array" ref="GG110">IFERROR(INDEX(ArchiveResults!$F$5:$IX$116,ComparisonData!A110,ComparisonData!$GG$1),0)</f>
        <v>0</v>
      </c>
      <c r="GH110" s="56">
        <v>105</v>
      </c>
      <c r="GI110" s="53" t="str">
        <f t="shared" si="1196"/>
        <v>Warwickshire County Record Office</v>
      </c>
      <c r="GJ110" s="59">
        <f t="shared" si="846"/>
        <v>0</v>
      </c>
      <c r="GK110" s="59">
        <f t="shared" si="847"/>
        <v>0</v>
      </c>
      <c r="GL110" s="59">
        <f t="shared" si="848"/>
        <v>0</v>
      </c>
      <c r="GM110" s="59">
        <f t="shared" si="849"/>
        <v>0</v>
      </c>
      <c r="GN110" s="59">
        <f t="shared" si="850"/>
        <v>0</v>
      </c>
      <c r="GO110" s="58">
        <f t="shared" si="851"/>
        <v>0</v>
      </c>
      <c r="GP110" s="45">
        <f t="shared" si="852"/>
        <v>84</v>
      </c>
      <c r="GQ110" s="45">
        <f t="shared" si="1197"/>
        <v>2.8540000000000001</v>
      </c>
      <c r="GR110" s="45">
        <f t="shared" si="853"/>
        <v>1</v>
      </c>
      <c r="GS110" s="45">
        <f t="shared" si="854"/>
        <v>2</v>
      </c>
      <c r="GT110" s="46" cm="1">
        <f t="array" ref="GT110">ROUND(IFERROR(INDEX(ArchiveResults!$F$5:$IX$116,ComparisonData!A110,ComparisonData!$GT$1),0),5)</f>
        <v>0</v>
      </c>
      <c r="GU110" s="46" cm="1">
        <f t="array" ref="GU110">ROUND(IFERROR(INDEX(ArchiveResults!$F$5:$IX$116,ComparisonData!A110,ComparisonData!$GU$1),0),5)</f>
        <v>0</v>
      </c>
      <c r="GV110" s="46" cm="1">
        <f t="array" ref="GV110">ROUND(IFERROR(INDEX(ArchiveResults!$F$5:$IX$116,ComparisonData!A110,ComparisonData!$GV$1),0),5)</f>
        <v>0</v>
      </c>
      <c r="GW110" s="46" cm="1">
        <f t="array" ref="GW110">ROUND(IFERROR(INDEX(ArchiveResults!$F$5:$IX$116,ComparisonData!A110,ComparisonData!$GW$1),0),5)</f>
        <v>0</v>
      </c>
      <c r="GX110" s="45" cm="1">
        <f t="array" ref="GX110">IFERROR(INDEX(ArchiveResults!$F$5:$IX$116,ComparisonData!A110,ComparisonData!$GX$1),0)</f>
        <v>0</v>
      </c>
      <c r="GY110" s="56">
        <v>105</v>
      </c>
      <c r="GZ110" s="53" t="str">
        <f t="shared" si="1198"/>
        <v>Warwickshire County Record Office</v>
      </c>
      <c r="HA110" s="59">
        <f t="shared" si="855"/>
        <v>0</v>
      </c>
      <c r="HB110" s="59">
        <f t="shared" si="856"/>
        <v>0</v>
      </c>
      <c r="HC110" s="59">
        <f t="shared" si="857"/>
        <v>0</v>
      </c>
      <c r="HD110" s="59">
        <f t="shared" si="858"/>
        <v>0</v>
      </c>
      <c r="HE110" s="59">
        <f t="shared" si="859"/>
        <v>0</v>
      </c>
      <c r="HF110" s="58">
        <f t="shared" si="860"/>
        <v>0</v>
      </c>
      <c r="HG110" s="45">
        <f t="shared" si="861"/>
        <v>84</v>
      </c>
      <c r="HH110" s="45">
        <f t="shared" si="1199"/>
        <v>2.8540000000000001</v>
      </c>
      <c r="HI110" s="45">
        <f t="shared" si="862"/>
        <v>1</v>
      </c>
      <c r="HJ110" s="45">
        <f t="shared" si="863"/>
        <v>2</v>
      </c>
      <c r="HK110" s="46" cm="1">
        <f t="array" ref="HK110">ROUND(IFERROR(INDEX(ArchiveResults!$F$5:$IX$116,ComparisonData!A110,ComparisonData!$HK$1),0),5)</f>
        <v>0</v>
      </c>
      <c r="HL110" s="46" cm="1">
        <f t="array" ref="HL110">ROUND(IFERROR(INDEX(ArchiveResults!$F$5:$IX$116,ComparisonData!A110,ComparisonData!$HL$1),0),5)</f>
        <v>0</v>
      </c>
      <c r="HM110" s="46" cm="1">
        <f t="array" ref="HM110">ROUND(IFERROR(INDEX(ArchiveResults!$F$5:$IX$116,ComparisonData!A110,ComparisonData!$HM$1),0),5)</f>
        <v>0</v>
      </c>
      <c r="HN110" s="46" cm="1">
        <f t="array" ref="HN110">ROUND(IFERROR(INDEX(ArchiveResults!$F$5:$IX$116,ComparisonData!A110,ComparisonData!$HN$1),0),5)</f>
        <v>0</v>
      </c>
      <c r="HO110" s="45" cm="1">
        <f t="array" ref="HO110">IFERROR(INDEX(ArchiveResults!$F$5:$IX$116,ComparisonData!A110,ComparisonData!$HO$1),0)</f>
        <v>0</v>
      </c>
      <c r="HP110" s="56">
        <v>105</v>
      </c>
      <c r="HQ110" s="53" t="str">
        <f t="shared" si="1200"/>
        <v>Warwickshire County Record Office</v>
      </c>
      <c r="HR110" s="59">
        <f t="shared" si="1201"/>
        <v>0</v>
      </c>
      <c r="HS110" s="59">
        <f t="shared" si="1202"/>
        <v>0</v>
      </c>
      <c r="HT110" s="59">
        <f t="shared" si="1203"/>
        <v>0</v>
      </c>
      <c r="HU110" s="59">
        <f t="shared" si="1204"/>
        <v>0</v>
      </c>
      <c r="HV110" s="59">
        <f t="shared" si="1205"/>
        <v>0</v>
      </c>
      <c r="HW110" s="58">
        <f t="shared" si="864"/>
        <v>0</v>
      </c>
      <c r="HX110" s="45">
        <f t="shared" si="865"/>
        <v>84</v>
      </c>
      <c r="HY110" s="45">
        <f t="shared" si="1206"/>
        <v>2.8540000000000001</v>
      </c>
      <c r="HZ110" s="45">
        <f t="shared" si="866"/>
        <v>1</v>
      </c>
      <c r="IA110" s="45">
        <f t="shared" si="867"/>
        <v>2</v>
      </c>
      <c r="IB110" s="45">
        <f t="shared" si="868"/>
        <v>0</v>
      </c>
      <c r="IC110" s="46" cm="1">
        <f t="array" ref="IC110">ROUND(IFERROR(INDEX(ArchiveResults!$F$5:$IX$116,ComparisonData!A110,ComparisonData!$IC$1),0),5)</f>
        <v>0</v>
      </c>
      <c r="ID110" s="46" cm="1">
        <f t="array" ref="ID110">ROUND(IFERROR(INDEX(ArchiveResults!$F$5:$IX$116,ComparisonData!A110,ComparisonData!$ID$1),0),5)</f>
        <v>0</v>
      </c>
      <c r="IE110" s="46" cm="1">
        <f t="array" ref="IE110">ROUND(IFERROR(INDEX(ArchiveResults!$F$5:$IX$116,ComparisonData!A110,ComparisonData!$IE$1),0),5)</f>
        <v>0</v>
      </c>
      <c r="IF110" s="46" cm="1">
        <f t="array" ref="IF110">ROUND(IFERROR(INDEX(ArchiveResults!$F$5:$IX$116,ComparisonData!A110,ComparisonData!$IF$1),0),5)</f>
        <v>0</v>
      </c>
      <c r="IG110" s="45" cm="1">
        <f t="array" ref="IG110">IFERROR(INDEX(ArchiveResults!$F$5:$IX$116,ComparisonData!A110,ComparisonData!$IG$1),0)</f>
        <v>0</v>
      </c>
      <c r="IH110" s="56">
        <v>105</v>
      </c>
      <c r="II110" s="53" t="str">
        <f t="shared" si="1207"/>
        <v>Warwickshire County Record Office</v>
      </c>
      <c r="IJ110" s="59">
        <f t="shared" si="869"/>
        <v>0</v>
      </c>
      <c r="IK110" s="59">
        <f t="shared" si="870"/>
        <v>0</v>
      </c>
      <c r="IL110" s="59">
        <f t="shared" si="871"/>
        <v>0</v>
      </c>
      <c r="IM110" s="59">
        <f t="shared" si="872"/>
        <v>0</v>
      </c>
      <c r="IN110" s="59">
        <f t="shared" si="873"/>
        <v>0</v>
      </c>
      <c r="IO110" s="58">
        <f t="shared" si="874"/>
        <v>0</v>
      </c>
      <c r="IP110" s="45">
        <f t="shared" si="875"/>
        <v>84</v>
      </c>
      <c r="IQ110" s="45">
        <f t="shared" si="1208"/>
        <v>2.8540000000000001</v>
      </c>
      <c r="IR110" s="45">
        <f t="shared" si="876"/>
        <v>1</v>
      </c>
      <c r="IS110" s="45">
        <f t="shared" si="877"/>
        <v>2</v>
      </c>
      <c r="IT110" s="46">
        <f t="shared" si="878"/>
        <v>0</v>
      </c>
      <c r="IU110" s="46" cm="1">
        <f t="array" ref="IU110">ROUND(IFERROR(INDEX(ArchiveResults!$F$5:$IX$116,ComparisonData!A110,ComparisonData!$IU$1),0),5)</f>
        <v>0</v>
      </c>
      <c r="IV110" s="46" cm="1">
        <f t="array" ref="IV110">ROUND(IFERROR(INDEX(ArchiveResults!$F$5:$IX$116,ComparisonData!A110,ComparisonData!$IV$1),0),5)</f>
        <v>0</v>
      </c>
      <c r="IW110" s="46" cm="1">
        <f t="array" ref="IW110">ROUND(IFERROR(INDEX(ArchiveResults!$F$5:$IX$116,ComparisonData!A110,ComparisonData!$IW$1),0),5)</f>
        <v>0</v>
      </c>
      <c r="IX110" s="46" cm="1">
        <f t="array" ref="IX110">ROUND(IFERROR(INDEX(ArchiveResults!$F$5:$IX$116,ComparisonData!A110,ComparisonData!$IX$1),0),5)</f>
        <v>0</v>
      </c>
      <c r="IY110" s="45" cm="1">
        <f t="array" ref="IY110">IFERROR(INDEX(ArchiveResults!$F$5:$IX$116,ComparisonData!A110,ComparisonData!$IY$1),0)</f>
        <v>0</v>
      </c>
      <c r="IZ110" s="56">
        <v>105</v>
      </c>
      <c r="JA110" s="53" t="str">
        <f t="shared" si="1209"/>
        <v>Warwickshire County Record Office</v>
      </c>
      <c r="JB110" s="59">
        <f t="shared" si="879"/>
        <v>0</v>
      </c>
      <c r="JC110" s="59">
        <f t="shared" si="880"/>
        <v>0</v>
      </c>
      <c r="JD110" s="59">
        <f t="shared" si="881"/>
        <v>0</v>
      </c>
      <c r="JE110" s="59">
        <f t="shared" si="882"/>
        <v>0</v>
      </c>
      <c r="JF110" s="59">
        <f t="shared" si="883"/>
        <v>0</v>
      </c>
      <c r="JG110" s="58">
        <f t="shared" si="884"/>
        <v>0</v>
      </c>
      <c r="JH110" s="45">
        <f t="shared" si="885"/>
        <v>84</v>
      </c>
      <c r="JI110" s="45">
        <f t="shared" si="1210"/>
        <v>2.8540000000000001</v>
      </c>
      <c r="JJ110" s="45">
        <f t="shared" si="886"/>
        <v>1</v>
      </c>
      <c r="JK110" s="45">
        <f t="shared" si="887"/>
        <v>2</v>
      </c>
      <c r="JL110" s="45">
        <f t="shared" si="888"/>
        <v>0</v>
      </c>
      <c r="JM110" s="46" cm="1">
        <f t="array" ref="JM110">ROUND(IFERROR(INDEX(ArchiveResults!$F$5:$IX$116,ComparisonData!A110,ComparisonData!$JM$1),0),5)</f>
        <v>0</v>
      </c>
      <c r="JN110" s="46" cm="1">
        <f t="array" ref="JN110">ROUND(IFERROR(INDEX(ArchiveResults!$F$5:$IX$116,ComparisonData!A110,ComparisonData!$JN$1),0),5)</f>
        <v>0</v>
      </c>
      <c r="JO110" s="46" cm="1">
        <f t="array" ref="JO110">ROUND(IFERROR(INDEX(ArchiveResults!$F$5:$IX$116,ComparisonData!A110,ComparisonData!$JO$1),0),5)</f>
        <v>0</v>
      </c>
      <c r="JP110" s="46" cm="1">
        <f t="array" ref="JP110">ROUND(IFERROR(INDEX(ArchiveResults!$F$5:$IX$116,ComparisonData!A110,ComparisonData!$JP$1),0),5)</f>
        <v>0</v>
      </c>
      <c r="JQ110" s="45" cm="1">
        <f t="array" ref="JQ110">IFERROR(INDEX(ArchiveResults!$F$5:$IX$116,ComparisonData!A110,ComparisonData!$JQ$1),0)</f>
        <v>0</v>
      </c>
      <c r="JR110" s="56">
        <v>105</v>
      </c>
      <c r="JS110" s="53" t="str">
        <f t="shared" si="1211"/>
        <v>Warwickshire County Record Office</v>
      </c>
      <c r="JT110" s="59">
        <f t="shared" si="889"/>
        <v>0</v>
      </c>
      <c r="JU110" s="59">
        <f t="shared" si="890"/>
        <v>0</v>
      </c>
      <c r="JV110" s="59">
        <f t="shared" si="891"/>
        <v>0</v>
      </c>
      <c r="JW110" s="59">
        <f t="shared" si="892"/>
        <v>0</v>
      </c>
      <c r="JX110" s="59">
        <f t="shared" si="893"/>
        <v>0</v>
      </c>
      <c r="JY110" s="58">
        <f t="shared" si="894"/>
        <v>0</v>
      </c>
      <c r="JZ110" s="45">
        <f t="shared" si="895"/>
        <v>84</v>
      </c>
      <c r="KA110" s="45">
        <f t="shared" si="1212"/>
        <v>2.8540000000000001</v>
      </c>
      <c r="KB110" s="45">
        <f t="shared" si="896"/>
        <v>1</v>
      </c>
      <c r="KC110" s="45">
        <f t="shared" si="897"/>
        <v>2</v>
      </c>
      <c r="KD110" s="45">
        <f t="shared" si="898"/>
        <v>0</v>
      </c>
      <c r="KE110" s="46" cm="1">
        <f t="array" ref="KE110">ROUND(IFERROR(INDEX(ArchiveResults!$F$5:$IX$116,ComparisonData!A110,ComparisonData!$KE$1),0),5)</f>
        <v>0</v>
      </c>
      <c r="KF110" s="46" cm="1">
        <f t="array" ref="KF110">ROUND(IFERROR(INDEX(ArchiveResults!$F$5:$IX$116,ComparisonData!A110,ComparisonData!$KF$1),0),5)</f>
        <v>0</v>
      </c>
      <c r="KG110" s="46" cm="1">
        <f t="array" ref="KG110">ROUND(IFERROR(INDEX(ArchiveResults!$F$5:$IX$116,ComparisonData!A110,ComparisonData!$KG$1),0),5)</f>
        <v>0</v>
      </c>
      <c r="KH110" s="46" cm="1">
        <f t="array" ref="KH110">ROUND(IFERROR(INDEX(ArchiveResults!$F$5:$IX$116,ComparisonData!A110,ComparisonData!$KH$1),0),5)</f>
        <v>0</v>
      </c>
      <c r="KI110" s="45" cm="1">
        <f t="array" ref="KI110">IFERROR(INDEX(ArchiveResults!$F$5:$IX$116,ComparisonData!A110,ComparisonData!$KI$1),0)</f>
        <v>0</v>
      </c>
      <c r="KJ110" s="56">
        <v>105</v>
      </c>
      <c r="KK110" s="53" t="str">
        <f t="shared" si="1213"/>
        <v>Warwickshire County Record Office</v>
      </c>
      <c r="KL110" s="59">
        <f t="shared" si="899"/>
        <v>0</v>
      </c>
      <c r="KM110" s="59">
        <f t="shared" si="900"/>
        <v>0</v>
      </c>
      <c r="KN110" s="59">
        <f t="shared" si="901"/>
        <v>0</v>
      </c>
      <c r="KO110" s="59">
        <f t="shared" si="902"/>
        <v>0</v>
      </c>
      <c r="KP110" s="59">
        <f t="shared" si="903"/>
        <v>0</v>
      </c>
      <c r="KQ110" s="58">
        <f t="shared" si="904"/>
        <v>0</v>
      </c>
      <c r="KR110" s="45">
        <f t="shared" si="905"/>
        <v>84</v>
      </c>
      <c r="KS110" s="45">
        <f t="shared" si="1214"/>
        <v>2.8540000000000001</v>
      </c>
      <c r="KT110" s="45">
        <f t="shared" si="906"/>
        <v>1</v>
      </c>
      <c r="KU110" s="45">
        <f t="shared" si="907"/>
        <v>2</v>
      </c>
      <c r="KV110" s="45">
        <f t="shared" si="908"/>
        <v>0</v>
      </c>
      <c r="KW110" s="46" cm="1">
        <f t="array" ref="KW110">ROUND(IFERROR(INDEX(ArchiveResults!$F$5:$IX$116,ComparisonData!A110,ComparisonData!$KW$1),0),5)</f>
        <v>0</v>
      </c>
      <c r="KX110" s="46" cm="1">
        <f t="array" ref="KX110">ROUND(IFERROR(INDEX(ArchiveResults!$F$5:$IX$116,ComparisonData!A110,ComparisonData!$KX$1),0),5)</f>
        <v>0</v>
      </c>
      <c r="KY110" s="46" cm="1">
        <f t="array" ref="KY110">ROUND(IFERROR(INDEX(ArchiveResults!$F$5:$IX$116,ComparisonData!A110,ComparisonData!$KY$1),0),5)</f>
        <v>0</v>
      </c>
      <c r="KZ110" s="46" cm="1">
        <f t="array" ref="KZ110">ROUND(IFERROR(INDEX(ArchiveResults!$F$5:$IX$116,ComparisonData!A110,ComparisonData!$KZ$1),0),5)</f>
        <v>0</v>
      </c>
      <c r="LA110" s="45" cm="1">
        <f t="array" ref="LA110">IFERROR(INDEX(ArchiveResults!$F$5:$IX$116,ComparisonData!A110,ComparisonData!$LA$1),0)</f>
        <v>0</v>
      </c>
      <c r="LB110" s="56">
        <v>105</v>
      </c>
      <c r="LC110" s="53" t="str">
        <f t="shared" si="1215"/>
        <v>Warwickshire County Record Office</v>
      </c>
      <c r="LD110" s="59">
        <f t="shared" si="909"/>
        <v>0</v>
      </c>
      <c r="LE110" s="59">
        <f t="shared" si="910"/>
        <v>0</v>
      </c>
      <c r="LF110" s="59">
        <f t="shared" si="911"/>
        <v>0</v>
      </c>
      <c r="LG110" s="59">
        <f t="shared" si="912"/>
        <v>0</v>
      </c>
      <c r="LH110" s="59">
        <f t="shared" si="913"/>
        <v>0</v>
      </c>
      <c r="LI110" s="58">
        <f t="shared" si="914"/>
        <v>0</v>
      </c>
      <c r="LJ110" s="45">
        <f t="shared" si="915"/>
        <v>84</v>
      </c>
      <c r="LK110" s="45">
        <f t="shared" si="1216"/>
        <v>2.8540000000000001</v>
      </c>
      <c r="LL110" s="45">
        <f t="shared" si="916"/>
        <v>1</v>
      </c>
      <c r="LM110" s="45">
        <f t="shared" si="917"/>
        <v>2</v>
      </c>
      <c r="LN110" s="45">
        <f t="shared" si="918"/>
        <v>0</v>
      </c>
      <c r="LO110" s="46" cm="1">
        <f t="array" ref="LO110">ROUND(IFERROR(INDEX(ArchiveResults!$F$5:$IX$116,ComparisonData!A110,ComparisonData!$LO$1),0),5)</f>
        <v>0</v>
      </c>
      <c r="LP110" s="46" cm="1">
        <f t="array" ref="LP110">ROUND(IFERROR(INDEX(ArchiveResults!$F$5:$IX$116,ComparisonData!A110,ComparisonData!$LP$1),0),5)</f>
        <v>0</v>
      </c>
      <c r="LQ110" s="46" cm="1">
        <f t="array" ref="LQ110">ROUND(IFERROR(INDEX(ArchiveResults!$F$5:$IX$116,ComparisonData!A110,ComparisonData!$LQ$1),0),5)</f>
        <v>0</v>
      </c>
      <c r="LR110" s="46" cm="1">
        <f t="array" ref="LR110">ROUND(IFERROR(INDEX(ArchiveResults!$F$5:$IX$116,ComparisonData!A110,ComparisonData!$LR$1),0),5)</f>
        <v>0</v>
      </c>
      <c r="LS110" s="45" cm="1">
        <f t="array" ref="LS110">IFERROR(INDEX(ArchiveResults!$F$5:$IX$116,ComparisonData!A110,ComparisonData!$LS$1),0)</f>
        <v>0</v>
      </c>
      <c r="LT110" s="56">
        <v>105</v>
      </c>
      <c r="LU110" s="53" t="str">
        <f t="shared" si="1217"/>
        <v>Warwickshire County Record Office</v>
      </c>
      <c r="LV110" s="59">
        <f t="shared" si="919"/>
        <v>0</v>
      </c>
      <c r="LW110" s="59">
        <f t="shared" si="920"/>
        <v>0</v>
      </c>
      <c r="LX110" s="59">
        <f t="shared" si="921"/>
        <v>0</v>
      </c>
      <c r="LY110" s="59">
        <f t="shared" si="922"/>
        <v>0</v>
      </c>
      <c r="LZ110" s="59">
        <f t="shared" si="923"/>
        <v>0</v>
      </c>
      <c r="MA110" s="58">
        <f t="shared" si="924"/>
        <v>0</v>
      </c>
      <c r="MB110" s="45">
        <f t="shared" si="925"/>
        <v>84</v>
      </c>
      <c r="MC110" s="45">
        <f t="shared" si="1218"/>
        <v>2.8540000000000001</v>
      </c>
      <c r="MD110" s="45">
        <f t="shared" si="926"/>
        <v>1</v>
      </c>
      <c r="ME110" s="45">
        <f t="shared" si="927"/>
        <v>2</v>
      </c>
      <c r="MF110" s="45">
        <f t="shared" si="928"/>
        <v>0</v>
      </c>
      <c r="MG110" s="46" cm="1">
        <f t="array" ref="MG110">ROUND(IFERROR(INDEX(ArchiveResults!$F$5:$IX$116,ComparisonData!A110,ComparisonData!$MG$1),0),5)</f>
        <v>0</v>
      </c>
      <c r="MH110" s="46" cm="1">
        <f t="array" ref="MH110">ROUND(IFERROR(INDEX(ArchiveResults!$F$5:$IX$116,ComparisonData!A110,ComparisonData!$MH$1),0),5)</f>
        <v>0</v>
      </c>
      <c r="MI110" s="46" cm="1">
        <f t="array" ref="MI110">ROUND(IFERROR(INDEX(ArchiveResults!$F$5:$IX$116,ComparisonData!A110,ComparisonData!$MI$1),0),5)</f>
        <v>0</v>
      </c>
      <c r="MJ110" s="46" cm="1">
        <f t="array" ref="MJ110">ROUND(IFERROR(INDEX(ArchiveResults!$F$5:$IX$116,ComparisonData!A110,ComparisonData!$MJ$1),0),5)</f>
        <v>0</v>
      </c>
      <c r="MK110" s="45" cm="1">
        <f t="array" ref="MK110">IFERROR(INDEX(ArchiveResults!$F$5:$IX$116,ComparisonData!A110,ComparisonData!$MK$1),0)</f>
        <v>0</v>
      </c>
      <c r="ML110" s="56">
        <v>105</v>
      </c>
      <c r="MM110" s="53" t="str">
        <f t="shared" si="1219"/>
        <v>Warwickshire County Record Office</v>
      </c>
      <c r="MN110" s="59">
        <f t="shared" si="929"/>
        <v>0</v>
      </c>
      <c r="MO110" s="59">
        <f t="shared" si="930"/>
        <v>0</v>
      </c>
      <c r="MP110" s="59">
        <f t="shared" si="931"/>
        <v>0</v>
      </c>
      <c r="MQ110" s="59">
        <f t="shared" si="932"/>
        <v>0</v>
      </c>
      <c r="MR110" s="59">
        <f t="shared" si="933"/>
        <v>0</v>
      </c>
      <c r="MS110" s="58">
        <f t="shared" si="934"/>
        <v>0</v>
      </c>
      <c r="MT110" s="45">
        <f t="shared" si="935"/>
        <v>84</v>
      </c>
      <c r="MU110" s="45">
        <f t="shared" si="1220"/>
        <v>2.8540000000000001</v>
      </c>
      <c r="MV110" s="45">
        <f t="shared" si="936"/>
        <v>1</v>
      </c>
      <c r="MW110" s="45">
        <f t="shared" si="937"/>
        <v>2</v>
      </c>
      <c r="MX110" s="45">
        <f t="shared" si="938"/>
        <v>0</v>
      </c>
      <c r="MY110" s="46" cm="1">
        <f t="array" ref="MY110">ROUND(IFERROR(INDEX(ArchiveResults!$F$5:$IX$116,ComparisonData!A110,ComparisonData!$MY$1),0),5)</f>
        <v>0</v>
      </c>
      <c r="MZ110" s="46" cm="1">
        <f t="array" ref="MZ110">ROUND(IFERROR(INDEX(ArchiveResults!$F$5:$IX$116,ComparisonData!A110,ComparisonData!$MZ$1),0),5)</f>
        <v>0</v>
      </c>
      <c r="NA110" s="46" cm="1">
        <f t="array" ref="NA110">ROUND(IFERROR(INDEX(ArchiveResults!$F$5:$IX$116,ComparisonData!A110,ComparisonData!$NA$1),0),5)</f>
        <v>0</v>
      </c>
      <c r="NB110" s="46" cm="1">
        <f t="array" ref="NB110">ROUND(IFERROR(INDEX(ArchiveResults!$F$5:$IX$116,ComparisonData!A110,ComparisonData!$NB$1),0),5)</f>
        <v>0</v>
      </c>
      <c r="NC110" s="45" cm="1">
        <f t="array" ref="NC110">IFERROR(INDEX(ArchiveResults!$F$5:$IX$116,ComparisonData!A110,ComparisonData!$NC$1),0)</f>
        <v>0</v>
      </c>
      <c r="ND110" s="56">
        <v>105</v>
      </c>
      <c r="NE110" s="53" t="str">
        <f t="shared" si="1221"/>
        <v>Warwickshire County Record Office</v>
      </c>
      <c r="NF110" s="59">
        <f t="shared" si="939"/>
        <v>0</v>
      </c>
      <c r="NG110" s="59">
        <f t="shared" si="940"/>
        <v>0</v>
      </c>
      <c r="NH110" s="59">
        <f t="shared" si="941"/>
        <v>0</v>
      </c>
      <c r="NI110" s="59">
        <f t="shared" si="942"/>
        <v>0</v>
      </c>
      <c r="NJ110" s="59">
        <f t="shared" si="943"/>
        <v>0</v>
      </c>
      <c r="NK110" s="58">
        <f t="shared" si="944"/>
        <v>0</v>
      </c>
      <c r="NL110" s="45">
        <f t="shared" si="945"/>
        <v>84</v>
      </c>
      <c r="NM110" s="45">
        <f t="shared" si="1222"/>
        <v>2.8540000000000001</v>
      </c>
      <c r="NN110" s="45">
        <f t="shared" si="946"/>
        <v>1</v>
      </c>
      <c r="NO110" s="45">
        <f t="shared" si="947"/>
        <v>2</v>
      </c>
      <c r="NP110" s="46" cm="1">
        <f t="array" ref="NP110">ROUND(IFERROR(INDEX(ArchiveResults!$F$5:$IX$116,ComparisonData!A110,ComparisonData!$NP$1),0),5)</f>
        <v>0</v>
      </c>
      <c r="NQ110" s="46" cm="1">
        <f t="array" ref="NQ110">ROUND(IFERROR(INDEX(ArchiveResults!$F$5:$IX$116,ComparisonData!A110,ComparisonData!$NQ$1),0),5)</f>
        <v>0</v>
      </c>
      <c r="NR110" s="46" cm="1">
        <f t="array" ref="NR110">ROUND(IFERROR(INDEX(ArchiveResults!$F$5:$IX$116,ComparisonData!A110,ComparisonData!$NR$1),0),5)</f>
        <v>0</v>
      </c>
      <c r="NS110" s="46" cm="1">
        <f t="array" ref="NS110">ROUND(IFERROR(INDEX(ArchiveResults!$F$5:$IX$116,ComparisonData!A110,ComparisonData!$NS$1),0),5)</f>
        <v>0</v>
      </c>
      <c r="NT110" s="45" cm="1">
        <f t="array" ref="NT110">IFERROR(INDEX(ArchiveResults!$F$5:$IX$116,ComparisonData!A110,ComparisonData!$NT$1),0)</f>
        <v>0</v>
      </c>
      <c r="NU110" s="56">
        <v>105</v>
      </c>
      <c r="NV110" s="53" t="str">
        <f t="shared" si="1223"/>
        <v>Warwickshire County Record Office</v>
      </c>
      <c r="NW110" s="59">
        <f t="shared" si="948"/>
        <v>0</v>
      </c>
      <c r="NX110" s="59">
        <f t="shared" si="949"/>
        <v>0</v>
      </c>
      <c r="NY110" s="59">
        <f t="shared" si="950"/>
        <v>0</v>
      </c>
      <c r="NZ110" s="59">
        <f t="shared" si="951"/>
        <v>0</v>
      </c>
      <c r="OA110" s="59">
        <f t="shared" si="952"/>
        <v>0</v>
      </c>
      <c r="OB110" s="58">
        <f t="shared" si="953"/>
        <v>0</v>
      </c>
      <c r="OC110" s="45">
        <f t="shared" si="954"/>
        <v>84</v>
      </c>
      <c r="OD110" s="45">
        <f t="shared" si="1224"/>
        <v>2.8540000000000001</v>
      </c>
      <c r="OE110" s="45">
        <f t="shared" si="955"/>
        <v>1</v>
      </c>
      <c r="OF110" s="45">
        <f t="shared" si="956"/>
        <v>2</v>
      </c>
      <c r="OG110" s="46">
        <f t="shared" si="957"/>
        <v>0</v>
      </c>
      <c r="OH110" s="46" cm="1">
        <f t="array" ref="OH110">ROUND(IFERROR(INDEX(ArchiveResults!$F$5:$IX$116,ComparisonData!A110,ComparisonData!$OH$1),0),5)</f>
        <v>0</v>
      </c>
      <c r="OI110" s="46" cm="1">
        <f t="array" ref="OI110">ROUND(IFERROR(INDEX(ArchiveResults!$F$5:$IX$116,ComparisonData!A110,ComparisonData!$OI$1),0),5)</f>
        <v>0</v>
      </c>
      <c r="OJ110" s="46" cm="1">
        <f t="array" ref="OJ110">ROUND(IFERROR(INDEX(ArchiveResults!$F$5:$IX$116,ComparisonData!A110,ComparisonData!$OJ$1),0),5)</f>
        <v>0</v>
      </c>
      <c r="OK110" s="46" cm="1">
        <f t="array" ref="OK110">ROUND(IFERROR(INDEX(ArchiveResults!$F$5:$IX$116,ComparisonData!A110,ComparisonData!$OK$1),0),5)</f>
        <v>0</v>
      </c>
      <c r="OL110" s="45" cm="1">
        <f t="array" ref="OL110">IFERROR(INDEX(ArchiveResults!$F$5:$IX$116,ComparisonData!A110,ComparisonData!$OL$1),0)</f>
        <v>0</v>
      </c>
      <c r="OM110" s="56">
        <v>105</v>
      </c>
      <c r="ON110" s="53" t="str">
        <f t="shared" si="1225"/>
        <v>Warwickshire County Record Office</v>
      </c>
      <c r="OO110" s="59">
        <f t="shared" si="958"/>
        <v>0</v>
      </c>
      <c r="OP110" s="59">
        <f t="shared" si="959"/>
        <v>0</v>
      </c>
      <c r="OQ110" s="59">
        <f t="shared" si="960"/>
        <v>0</v>
      </c>
      <c r="OR110" s="59">
        <f t="shared" si="961"/>
        <v>0</v>
      </c>
      <c r="OS110" s="59">
        <f t="shared" si="962"/>
        <v>0</v>
      </c>
      <c r="OT110" s="58">
        <f t="shared" si="963"/>
        <v>0</v>
      </c>
      <c r="OU110" s="45">
        <f t="shared" si="964"/>
        <v>84</v>
      </c>
      <c r="OV110" s="45">
        <f t="shared" si="1226"/>
        <v>2.8540000000000001</v>
      </c>
      <c r="OW110" s="45">
        <f t="shared" si="965"/>
        <v>1</v>
      </c>
      <c r="OX110" s="45">
        <f t="shared" si="966"/>
        <v>2</v>
      </c>
      <c r="OY110" s="45">
        <f t="shared" si="967"/>
        <v>0</v>
      </c>
      <c r="OZ110" s="46" cm="1">
        <f t="array" ref="OZ110">ROUND(IFERROR(INDEX(ArchiveResults!$F$5:$IX$116,ComparisonData!A110,ComparisonData!$OZ$1),0),5)</f>
        <v>0</v>
      </c>
      <c r="PA110" s="46" cm="1">
        <f t="array" ref="PA110">ROUND(IFERROR(INDEX(ArchiveResults!$F$5:$IX$116,ComparisonData!A110,ComparisonData!$PA$1),0),5)</f>
        <v>0</v>
      </c>
      <c r="PB110" s="46" cm="1">
        <f t="array" ref="PB110">ROUND(IFERROR(INDEX(ArchiveResults!$F$5:$IX$116,ComparisonData!A110,ComparisonData!$PB$1),0),5)</f>
        <v>0</v>
      </c>
      <c r="PC110" s="46" cm="1">
        <f t="array" ref="PC110">ROUND(IFERROR(INDEX(ArchiveResults!$F$5:$IX$116,ComparisonData!A110,ComparisonData!$PC$1),0),5)</f>
        <v>0</v>
      </c>
      <c r="PD110" s="45" cm="1">
        <f t="array" ref="PD110">IFERROR(INDEX(ArchiveResults!$F$5:$IX$116,ComparisonData!A110,ComparisonData!$PD$1),0)</f>
        <v>0</v>
      </c>
      <c r="PE110" s="56">
        <v>105</v>
      </c>
      <c r="PF110" s="53" t="str">
        <f t="shared" si="1227"/>
        <v>Warwickshire County Record Office</v>
      </c>
      <c r="PG110" s="59">
        <f t="shared" si="968"/>
        <v>0</v>
      </c>
      <c r="PH110" s="59">
        <f t="shared" si="969"/>
        <v>0</v>
      </c>
      <c r="PI110" s="59">
        <f t="shared" si="970"/>
        <v>0</v>
      </c>
      <c r="PJ110" s="59">
        <f t="shared" si="971"/>
        <v>0</v>
      </c>
      <c r="PK110" s="59">
        <f t="shared" si="972"/>
        <v>0</v>
      </c>
      <c r="PL110" s="58">
        <f t="shared" si="973"/>
        <v>0</v>
      </c>
      <c r="PM110" s="45">
        <f t="shared" si="974"/>
        <v>84</v>
      </c>
      <c r="PN110" s="45">
        <f t="shared" si="1228"/>
        <v>2.8540000000000001</v>
      </c>
      <c r="PO110" s="45">
        <f t="shared" si="975"/>
        <v>1</v>
      </c>
      <c r="PP110" s="45">
        <f t="shared" si="976"/>
        <v>2</v>
      </c>
      <c r="PQ110" s="45">
        <f t="shared" si="977"/>
        <v>0</v>
      </c>
      <c r="PR110" s="46" cm="1">
        <f t="array" ref="PR110">ROUND(IFERROR(INDEX(ArchiveResults!$F$5:$IX$116,ComparisonData!A110,ComparisonData!$PR$1),0),5)</f>
        <v>0</v>
      </c>
      <c r="PS110" s="46" cm="1">
        <f t="array" ref="PS110">ROUND(IFERROR(INDEX(ArchiveResults!$F$5:$IX$116,ComparisonData!A110,ComparisonData!$PS$1),0),5)</f>
        <v>0</v>
      </c>
      <c r="PT110" s="46" cm="1">
        <f t="array" ref="PT110">ROUND(IFERROR(INDEX(ArchiveResults!$F$5:$IX$116,ComparisonData!A110,ComparisonData!$PT$1),0),5)</f>
        <v>0</v>
      </c>
      <c r="PU110" s="46" cm="1">
        <f t="array" ref="PU110">ROUND(IFERROR(INDEX(ArchiveResults!$F$5:$IX$116,ComparisonData!A110,ComparisonData!$PU$1),0),5)</f>
        <v>0</v>
      </c>
      <c r="PV110" s="45" cm="1">
        <f t="array" ref="PV110">IFERROR(INDEX(ArchiveResults!$F$5:$IX$116,ComparisonData!A110,ComparisonData!$PV$1),0)</f>
        <v>0</v>
      </c>
      <c r="PW110" s="56">
        <v>105</v>
      </c>
      <c r="PX110" s="53" t="str">
        <f t="shared" si="1229"/>
        <v>Warwickshire County Record Office</v>
      </c>
      <c r="PY110" s="59">
        <f t="shared" si="978"/>
        <v>0</v>
      </c>
      <c r="PZ110" s="59">
        <f t="shared" si="979"/>
        <v>0</v>
      </c>
      <c r="QA110" s="59">
        <f t="shared" si="980"/>
        <v>0</v>
      </c>
      <c r="QB110" s="59">
        <f t="shared" si="981"/>
        <v>0</v>
      </c>
      <c r="QC110" s="59">
        <f t="shared" si="982"/>
        <v>0</v>
      </c>
      <c r="QD110" s="58">
        <f t="shared" si="983"/>
        <v>0</v>
      </c>
      <c r="QE110" s="45">
        <f t="shared" si="984"/>
        <v>84</v>
      </c>
      <c r="QF110" s="45">
        <f t="shared" si="1230"/>
        <v>2.8540000000000001</v>
      </c>
      <c r="QG110" s="45">
        <f t="shared" si="985"/>
        <v>1</v>
      </c>
      <c r="QH110" s="45">
        <f t="shared" si="986"/>
        <v>2</v>
      </c>
      <c r="QI110" s="45">
        <f t="shared" si="987"/>
        <v>0</v>
      </c>
      <c r="QJ110" s="46" cm="1">
        <f t="array" ref="QJ110">ROUND(IFERROR(INDEX(ArchiveResults!$F$5:$IX$116,ComparisonData!A110,ComparisonData!$QJ$1),0),5)</f>
        <v>0</v>
      </c>
      <c r="QK110" s="46" cm="1">
        <f t="array" ref="QK110">ROUND(IFERROR(INDEX(ArchiveResults!$F$5:$IX$116,ComparisonData!A110,ComparisonData!$QK$1),0),5)</f>
        <v>0</v>
      </c>
      <c r="QL110" s="46" cm="1">
        <f t="array" ref="QL110">ROUND(IFERROR(INDEX(ArchiveResults!$F$5:$IX$116,ComparisonData!A110,ComparisonData!$QL$1),0),5)</f>
        <v>0</v>
      </c>
      <c r="QM110" s="46" cm="1">
        <f t="array" ref="QM110">ROUND(IFERROR(INDEX(ArchiveResults!$F$5:$IX$116,ComparisonData!A110,ComparisonData!$QM$1),0),5)</f>
        <v>0</v>
      </c>
      <c r="QN110" s="45" cm="1">
        <f t="array" ref="QN110">IFERROR(INDEX(ArchiveResults!$F$5:$IX$116,ComparisonData!A110,ComparisonData!$QN$1),0)</f>
        <v>0</v>
      </c>
      <c r="QO110" s="56">
        <v>105</v>
      </c>
      <c r="QP110" s="53" t="str">
        <f t="shared" si="1231"/>
        <v>Warwickshire County Record Office</v>
      </c>
      <c r="QQ110" s="59">
        <f t="shared" si="988"/>
        <v>0</v>
      </c>
      <c r="QR110" s="59">
        <f t="shared" si="989"/>
        <v>0</v>
      </c>
      <c r="QS110" s="59">
        <f t="shared" si="990"/>
        <v>0</v>
      </c>
      <c r="QT110" s="59">
        <f t="shared" si="991"/>
        <v>0</v>
      </c>
      <c r="QU110" s="59">
        <f t="shared" si="992"/>
        <v>0</v>
      </c>
      <c r="QV110" s="58">
        <f t="shared" si="993"/>
        <v>0</v>
      </c>
      <c r="QW110" s="45">
        <f t="shared" si="994"/>
        <v>84</v>
      </c>
      <c r="QX110" s="45">
        <f t="shared" si="1232"/>
        <v>2.8540000000000001</v>
      </c>
      <c r="QY110" s="45">
        <f t="shared" si="995"/>
        <v>1</v>
      </c>
      <c r="QZ110" s="45">
        <f t="shared" si="996"/>
        <v>2</v>
      </c>
      <c r="RA110" s="45">
        <f t="shared" si="997"/>
        <v>0</v>
      </c>
      <c r="RB110" s="46" cm="1">
        <f t="array" ref="RB110">ROUND(IFERROR(INDEX(ArchiveResults!$F$5:$IX$116,ComparisonData!A110,ComparisonData!$RB$1),0),5)</f>
        <v>0</v>
      </c>
      <c r="RC110" s="46" cm="1">
        <f t="array" ref="RC110">ROUND(IFERROR(INDEX(ArchiveResults!$F$5:$IX$116,ComparisonData!A110,ComparisonData!$RC$1),0),5)</f>
        <v>0</v>
      </c>
      <c r="RD110" s="46" cm="1">
        <f t="array" ref="RD110">ROUND(IFERROR(INDEX(ArchiveResults!$F$5:$IX$116,ComparisonData!A110,ComparisonData!$RD$1),0),5)</f>
        <v>0</v>
      </c>
      <c r="RE110" s="46" cm="1">
        <f t="array" ref="RE110">ROUND(IFERROR(INDEX(ArchiveResults!$F$5:$IX$116,ComparisonData!A110,ComparisonData!$RE$1),0),5)</f>
        <v>0</v>
      </c>
      <c r="RF110" s="45" cm="1">
        <f t="array" ref="RF110">IFERROR(INDEX(ArchiveResults!$F$5:$IX$116,ComparisonData!A110,ComparisonData!$RF$1),0)</f>
        <v>0</v>
      </c>
      <c r="RG110" s="56">
        <v>105</v>
      </c>
      <c r="RH110" s="53" t="str">
        <f t="shared" si="1233"/>
        <v>Warwickshire County Record Office</v>
      </c>
      <c r="RI110" s="59">
        <f t="shared" si="998"/>
        <v>0</v>
      </c>
      <c r="RJ110" s="59">
        <f t="shared" si="999"/>
        <v>0</v>
      </c>
      <c r="RK110" s="59">
        <f t="shared" si="1000"/>
        <v>0</v>
      </c>
      <c r="RL110" s="59">
        <f t="shared" si="1001"/>
        <v>0</v>
      </c>
      <c r="RM110" s="59">
        <f t="shared" si="1002"/>
        <v>0</v>
      </c>
      <c r="RN110" s="58">
        <f t="shared" si="1003"/>
        <v>0</v>
      </c>
      <c r="RO110" s="45">
        <f t="shared" si="1004"/>
        <v>84</v>
      </c>
      <c r="RP110" s="45">
        <f t="shared" si="1234"/>
        <v>2.8540000000000001</v>
      </c>
      <c r="RQ110" s="45">
        <f t="shared" si="1005"/>
        <v>1</v>
      </c>
      <c r="RR110" s="45">
        <f t="shared" si="1006"/>
        <v>2</v>
      </c>
      <c r="RS110" s="45">
        <f t="shared" si="1007"/>
        <v>0</v>
      </c>
      <c r="RT110" s="46" cm="1">
        <f t="array" ref="RT110">ROUND(IFERROR(INDEX(ArchiveResults!$F$5:$IX$116,ComparisonData!A110,ComparisonData!$RT$1),0),5)</f>
        <v>0</v>
      </c>
      <c r="RU110" s="46" cm="1">
        <f t="array" ref="RU110">ROUND(IFERROR(INDEX(ArchiveResults!$F$5:$IX$116,ComparisonData!A110,ComparisonData!$RU$1),0),5)</f>
        <v>0</v>
      </c>
      <c r="RV110" s="46" cm="1">
        <f t="array" ref="RV110">ROUND(IFERROR(INDEX(ArchiveResults!$F$5:$IX$116,ComparisonData!A110,ComparisonData!$RV$1),0),5)</f>
        <v>0</v>
      </c>
      <c r="RW110" s="46" cm="1">
        <f t="array" ref="RW110">ROUND(IFERROR(INDEX(ArchiveResults!$F$5:$IX$116,ComparisonData!A110,ComparisonData!$RW$1),0),5)</f>
        <v>0</v>
      </c>
      <c r="RX110" s="45" cm="1">
        <f t="array" ref="RX110">IFERROR(INDEX(ArchiveResults!$F$5:$IX$116,ComparisonData!A110,ComparisonData!$RX$1),0)</f>
        <v>0</v>
      </c>
      <c r="RY110" s="56">
        <v>105</v>
      </c>
      <c r="RZ110" s="53" t="str">
        <f t="shared" si="1235"/>
        <v>Warwickshire County Record Office</v>
      </c>
      <c r="SA110" s="59">
        <f t="shared" si="1008"/>
        <v>0</v>
      </c>
      <c r="SB110" s="59">
        <f t="shared" si="1009"/>
        <v>0</v>
      </c>
      <c r="SC110" s="59">
        <f t="shared" si="1010"/>
        <v>0</v>
      </c>
      <c r="SD110" s="59">
        <f t="shared" si="1011"/>
        <v>0</v>
      </c>
      <c r="SE110" s="59">
        <f t="shared" si="1012"/>
        <v>0</v>
      </c>
      <c r="SF110" s="58">
        <f t="shared" si="1013"/>
        <v>0</v>
      </c>
      <c r="SG110" s="45">
        <f t="shared" si="1014"/>
        <v>84</v>
      </c>
      <c r="SH110" s="45">
        <f t="shared" si="1236"/>
        <v>2.8540000000000001</v>
      </c>
      <c r="SI110" s="45">
        <f t="shared" si="1015"/>
        <v>1</v>
      </c>
      <c r="SJ110" s="45">
        <f t="shared" si="1016"/>
        <v>2</v>
      </c>
      <c r="SK110" s="45">
        <f t="shared" si="1017"/>
        <v>0</v>
      </c>
      <c r="SL110" s="46" cm="1">
        <f t="array" ref="SL110">ROUND(IFERROR(INDEX(ArchiveResults!$F$5:$IX$116,ComparisonData!A110,ComparisonData!$SL$1),0),5)</f>
        <v>0</v>
      </c>
      <c r="SM110" s="46" cm="1">
        <f t="array" ref="SM110">ROUND(IFERROR(INDEX(ArchiveResults!$F$5:$IX$116,ComparisonData!A110,ComparisonData!$SM$1),0),5)</f>
        <v>0</v>
      </c>
      <c r="SN110" s="46" cm="1">
        <f t="array" ref="SN110">ROUND(IFERROR(INDEX(ArchiveResults!$F$5:$IX$116,ComparisonData!A110,ComparisonData!$SN$1),0),5)</f>
        <v>0</v>
      </c>
      <c r="SO110" s="46" cm="1">
        <f t="array" ref="SO110">ROUND(IFERROR(INDEX(ArchiveResults!$F$5:$IX$116,ComparisonData!A110,ComparisonData!$SO$1),0),5)</f>
        <v>0</v>
      </c>
      <c r="SP110" s="45" cm="1">
        <f t="array" ref="SP110">IFERROR(INDEX(ArchiveResults!$F$5:$IX$116,ComparisonData!A110,ComparisonData!$SP$1),0)</f>
        <v>0</v>
      </c>
      <c r="SQ110" s="56">
        <v>105</v>
      </c>
      <c r="SR110" s="53" t="str">
        <f t="shared" si="1237"/>
        <v>Warwickshire County Record Office</v>
      </c>
      <c r="SS110" s="59">
        <f t="shared" si="1018"/>
        <v>0</v>
      </c>
      <c r="ST110" s="59">
        <f t="shared" si="1019"/>
        <v>0</v>
      </c>
      <c r="SU110" s="59">
        <f t="shared" si="1020"/>
        <v>0</v>
      </c>
      <c r="SV110" s="59">
        <f t="shared" si="1021"/>
        <v>0</v>
      </c>
      <c r="SW110" s="59">
        <f t="shared" si="1022"/>
        <v>0</v>
      </c>
      <c r="SX110" s="58">
        <f t="shared" si="1023"/>
        <v>0</v>
      </c>
      <c r="SY110" s="45">
        <f t="shared" si="1024"/>
        <v>84</v>
      </c>
      <c r="SZ110" s="45">
        <f t="shared" si="1238"/>
        <v>2.8540000000000001</v>
      </c>
      <c r="TA110" s="45">
        <f t="shared" si="1025"/>
        <v>1</v>
      </c>
      <c r="TB110" s="45">
        <f t="shared" si="1026"/>
        <v>2</v>
      </c>
      <c r="TC110" s="45">
        <f t="shared" si="1027"/>
        <v>0</v>
      </c>
      <c r="TD110" s="46" cm="1">
        <f t="array" ref="TD110">ROUND(IFERROR(INDEX(ArchiveResults!$F$5:$IX$116,ComparisonData!A110,ComparisonData!$TD$1),0),5)</f>
        <v>0</v>
      </c>
      <c r="TE110" s="46" cm="1">
        <f t="array" ref="TE110">ROUND(IFERROR(INDEX(ArchiveResults!$F$5:$IX$116,ComparisonData!A110,ComparisonData!$TE$1),0),5)</f>
        <v>0</v>
      </c>
      <c r="TF110" s="46" cm="1">
        <f t="array" ref="TF110">ROUND(IFERROR(INDEX(ArchiveResults!$F$5:$IX$116,ComparisonData!A110,ComparisonData!$TF$1),0),5)</f>
        <v>0</v>
      </c>
      <c r="TG110" s="46" cm="1">
        <f t="array" ref="TG110">ROUND(IFERROR(INDEX(ArchiveResults!$F$5:$IX$116,ComparisonData!A110,ComparisonData!$TG$1),0),5)</f>
        <v>0</v>
      </c>
      <c r="TH110" s="45" cm="1">
        <f t="array" ref="TH110">IFERROR(INDEX(ArchiveResults!$F$5:$IX$116,ComparisonData!A110,ComparisonData!$TH$1),0)</f>
        <v>0</v>
      </c>
      <c r="TI110" s="56">
        <v>105</v>
      </c>
      <c r="TJ110" s="53" t="str">
        <f t="shared" si="1239"/>
        <v>Warwickshire County Record Office</v>
      </c>
      <c r="TK110" s="59">
        <f t="shared" si="1028"/>
        <v>0</v>
      </c>
      <c r="TL110" s="59">
        <f t="shared" si="1029"/>
        <v>0</v>
      </c>
      <c r="TM110" s="59">
        <f t="shared" si="1030"/>
        <v>0</v>
      </c>
      <c r="TN110" s="59">
        <f t="shared" si="1031"/>
        <v>0</v>
      </c>
      <c r="TO110" s="59">
        <f t="shared" si="1032"/>
        <v>0</v>
      </c>
      <c r="TP110" s="58">
        <f t="shared" si="1033"/>
        <v>0</v>
      </c>
      <c r="TQ110" s="45">
        <f t="shared" si="1034"/>
        <v>84</v>
      </c>
      <c r="TR110" s="45">
        <f t="shared" si="1240"/>
        <v>2.8540000000000001</v>
      </c>
      <c r="TS110" s="45">
        <f t="shared" si="1035"/>
        <v>1</v>
      </c>
      <c r="TT110" s="45">
        <f t="shared" si="1036"/>
        <v>2</v>
      </c>
      <c r="TU110" s="45">
        <f t="shared" si="1037"/>
        <v>0</v>
      </c>
      <c r="TV110" s="46" cm="1">
        <f t="array" ref="TV110">ROUND(IFERROR(INDEX(ArchiveResults!$F$5:$IX$116,ComparisonData!A110,ComparisonData!$TV$1),0),5)</f>
        <v>0</v>
      </c>
      <c r="TW110" s="46" cm="1">
        <f t="array" ref="TW110">ROUND(IFERROR(INDEX(ArchiveResults!$F$5:$IX$116,ComparisonData!A110,ComparisonData!$TW$1),0),5)</f>
        <v>0</v>
      </c>
      <c r="TX110" s="46" cm="1">
        <f t="array" ref="TX110">ROUND(IFERROR(INDEX(ArchiveResults!$F$5:$IX$116,ComparisonData!A110,ComparisonData!$TX$1),0),5)</f>
        <v>0</v>
      </c>
      <c r="TY110" s="46" cm="1">
        <f t="array" ref="TY110">ROUND(IFERROR(INDEX(ArchiveResults!$F$5:$IX$116,ComparisonData!A110,ComparisonData!$TY$1),0),5)</f>
        <v>0</v>
      </c>
      <c r="TZ110" s="45" cm="1">
        <f t="array" ref="TZ110">IFERROR(INDEX(ArchiveResults!$F$5:$IX$116,ComparisonData!A110,ComparisonData!$TZ$1),0)</f>
        <v>0</v>
      </c>
      <c r="UA110" s="56">
        <v>105</v>
      </c>
      <c r="UB110" s="53" t="str">
        <f t="shared" si="1241"/>
        <v>Warwickshire County Record Office</v>
      </c>
      <c r="UC110" s="60">
        <f t="shared" si="1038"/>
        <v>0</v>
      </c>
      <c r="UD110" s="60">
        <f t="shared" si="1039"/>
        <v>0</v>
      </c>
      <c r="UE110" s="60">
        <f t="shared" si="1040"/>
        <v>0</v>
      </c>
      <c r="UF110" s="60">
        <f t="shared" si="1041"/>
        <v>0</v>
      </c>
      <c r="UG110" s="60">
        <f t="shared" si="1042"/>
        <v>0</v>
      </c>
      <c r="UH110" s="58">
        <f t="shared" si="1043"/>
        <v>0</v>
      </c>
      <c r="UI110" s="46">
        <f t="shared" si="1044"/>
        <v>84</v>
      </c>
      <c r="UJ110" s="46">
        <f t="shared" si="1242"/>
        <v>2.8540000000000001</v>
      </c>
      <c r="UK110" s="46">
        <f t="shared" si="1045"/>
        <v>1</v>
      </c>
      <c r="UL110" s="46">
        <f t="shared" si="1046"/>
        <v>2</v>
      </c>
      <c r="UM110" s="46" cm="1">
        <f t="array" ref="UM110">ROUND(IFERROR(INDEX(ArchiveResults!$F$5:$IX$116,ComparisonData!A110,ComparisonData!$UM$1),0),5)</f>
        <v>0</v>
      </c>
      <c r="UN110" s="56">
        <v>105</v>
      </c>
      <c r="UO110" s="53" t="str">
        <f t="shared" si="1243"/>
        <v>Warwickshire County Record Office</v>
      </c>
      <c r="UP110" s="46">
        <f t="shared" si="1047"/>
        <v>0</v>
      </c>
      <c r="UQ110" s="76">
        <f t="shared" si="1048"/>
        <v>0</v>
      </c>
      <c r="UR110" s="46">
        <f t="shared" si="1049"/>
        <v>84</v>
      </c>
      <c r="US110" s="46">
        <f t="shared" si="1244"/>
        <v>2.8540000000000001</v>
      </c>
      <c r="UT110" s="46">
        <f t="shared" si="1050"/>
        <v>1</v>
      </c>
      <c r="UU110" s="46">
        <f t="shared" si="1051"/>
        <v>2</v>
      </c>
      <c r="UV110" s="46">
        <f t="shared" si="1052"/>
        <v>0</v>
      </c>
      <c r="UW110" s="46" cm="1">
        <f t="array" ref="UW110">ROUND(IFERROR(INDEX(ArchiveResults!$F$5:$IX$116,ComparisonData!A110,ComparisonData!$UW$1),0),5)</f>
        <v>0</v>
      </c>
      <c r="UX110" s="46" cm="1">
        <f t="array" ref="UX110">ROUND(IFERROR(INDEX(ArchiveResults!$F$5:$IX$116,ComparisonData!A110,ComparisonData!$UX$1),0),5)</f>
        <v>0</v>
      </c>
      <c r="UY110" s="46" cm="1">
        <f t="array" ref="UY110">ROUND(IFERROR(INDEX(ArchiveResults!$F$5:$IX$116,ComparisonData!A110,ComparisonData!$UY$1),0),5)</f>
        <v>0</v>
      </c>
      <c r="UZ110" s="46" cm="1">
        <f t="array" ref="UZ110">ROUND(IFERROR(INDEX(ArchiveResults!$F$5:$IX$116,ComparisonData!A110,ComparisonData!$UZ$1),0),5)</f>
        <v>0</v>
      </c>
      <c r="VA110" s="46" cm="1">
        <f t="array" ref="VA110">ROUND(IFERROR(INDEX(ArchiveResults!$F$5:$IX$116,ComparisonData!A110,ComparisonData!$VA$1),0),5)</f>
        <v>0</v>
      </c>
      <c r="VB110" s="56">
        <v>105</v>
      </c>
      <c r="VC110" s="53" t="str">
        <f t="shared" si="1245"/>
        <v>Warwickshire County Record Office</v>
      </c>
      <c r="VD110" s="60">
        <f t="shared" si="1053"/>
        <v>0</v>
      </c>
      <c r="VE110" s="60">
        <f t="shared" si="1054"/>
        <v>0</v>
      </c>
      <c r="VF110" s="60">
        <f t="shared" si="1055"/>
        <v>0</v>
      </c>
      <c r="VG110" s="60">
        <f t="shared" si="1056"/>
        <v>0</v>
      </c>
      <c r="VH110" s="60">
        <f t="shared" si="1057"/>
        <v>0</v>
      </c>
      <c r="VI110" s="76">
        <f t="shared" si="1058"/>
        <v>0</v>
      </c>
      <c r="VJ110" s="46">
        <f t="shared" si="1059"/>
        <v>84</v>
      </c>
      <c r="VK110" s="46">
        <f t="shared" si="1246"/>
        <v>2.8540000000000001</v>
      </c>
      <c r="VL110" s="46">
        <f t="shared" si="1060"/>
        <v>1</v>
      </c>
      <c r="VM110" s="46">
        <f t="shared" si="1061"/>
        <v>2</v>
      </c>
      <c r="VN110" s="46" cm="1">
        <f t="array" ref="VN110">ROUND(IFERROR(INDEX(ArchiveResults!$F$5:$IX$116,ComparisonData!A110,ComparisonData!$VN$1),0),5)</f>
        <v>0</v>
      </c>
      <c r="VO110" s="46" cm="1">
        <f t="array" ref="VO110">ROUND(IFERROR(INDEX(ArchiveResults!$F$5:$IX$116,ComparisonData!A110,ComparisonData!$VO$1),0),5)</f>
        <v>0</v>
      </c>
      <c r="VP110" s="46" cm="1">
        <f t="array" ref="VP110">ROUND(IFERROR(INDEX(ArchiveResults!$F$5:$IX$116,ComparisonData!A110,ComparisonData!$VP$1),0),5)</f>
        <v>0</v>
      </c>
      <c r="VQ110" s="46" cm="1">
        <f t="array" ref="VQ110">ROUND(IFERROR(INDEX(ArchiveResults!$F$5:$IX$116,ComparisonData!A110,ComparisonData!$VQ$1),0),5)</f>
        <v>0</v>
      </c>
      <c r="VR110" s="56">
        <v>105</v>
      </c>
      <c r="VS110" s="53" t="str">
        <f t="shared" si="1247"/>
        <v>Warwickshire County Record Office</v>
      </c>
      <c r="VT110" s="60">
        <f t="shared" si="1062"/>
        <v>0</v>
      </c>
      <c r="VU110" s="60">
        <f t="shared" si="1063"/>
        <v>0</v>
      </c>
      <c r="VV110" s="60">
        <f t="shared" si="1064"/>
        <v>0</v>
      </c>
      <c r="VW110" s="60">
        <f t="shared" si="1065"/>
        <v>0</v>
      </c>
      <c r="VX110" s="76">
        <f t="shared" si="1066"/>
        <v>0</v>
      </c>
      <c r="VY110" s="46">
        <f t="shared" si="1067"/>
        <v>84</v>
      </c>
      <c r="VZ110" s="46">
        <f t="shared" si="1248"/>
        <v>2.8540000000000001</v>
      </c>
      <c r="WA110" s="46">
        <f t="shared" si="1068"/>
        <v>1</v>
      </c>
      <c r="WB110" s="46">
        <f t="shared" si="1069"/>
        <v>2</v>
      </c>
      <c r="WC110" s="46" cm="1">
        <f t="array" ref="WC110">ROUND(IFERROR(INDEX(ArchiveResults!$F$5:$IX$116,ComparisonData!A110,ComparisonData!$WC$1),0),5)</f>
        <v>0</v>
      </c>
      <c r="WD110" s="56">
        <v>105</v>
      </c>
      <c r="WE110" s="53" t="str">
        <f t="shared" si="1249"/>
        <v>Warwickshire County Record Office</v>
      </c>
      <c r="WF110" s="46">
        <f t="shared" si="1070"/>
        <v>0</v>
      </c>
      <c r="WG110" s="76">
        <f t="shared" si="1071"/>
        <v>0</v>
      </c>
      <c r="WH110" s="46">
        <f t="shared" si="1072"/>
        <v>84</v>
      </c>
      <c r="WI110" s="46">
        <f t="shared" si="1250"/>
        <v>2.8540000000000001</v>
      </c>
      <c r="WJ110" s="46">
        <f t="shared" si="1073"/>
        <v>1</v>
      </c>
      <c r="WK110" s="46">
        <f t="shared" si="1074"/>
        <v>2</v>
      </c>
      <c r="WL110" s="46" cm="1">
        <f t="array" ref="WL110">ROUND(IFERROR(INDEX(ArchiveResults!$F$5:$IX$116,ComparisonData!A110,ComparisonData!$WL$1),0),5)</f>
        <v>0</v>
      </c>
      <c r="WM110" s="46" cm="1">
        <f t="array" ref="WM110">IFERROR(INDEX(ArchiveResults!$F$5:$IX$116,ComparisonData!A110,ComparisonData!$WM$1),0)</f>
        <v>0</v>
      </c>
      <c r="WN110" s="56">
        <v>105</v>
      </c>
      <c r="WO110" s="53" t="str">
        <f t="shared" si="1251"/>
        <v>Warwickshire County Record Office</v>
      </c>
      <c r="WP110" s="60">
        <f t="shared" si="1075"/>
        <v>0</v>
      </c>
      <c r="WQ110" s="60">
        <f t="shared" si="1076"/>
        <v>0</v>
      </c>
      <c r="WR110" s="76">
        <f t="shared" si="1077"/>
        <v>0</v>
      </c>
      <c r="WS110" s="46">
        <f t="shared" si="1078"/>
        <v>84</v>
      </c>
      <c r="WT110" s="46">
        <f t="shared" si="1252"/>
        <v>2.8540000000000001</v>
      </c>
      <c r="WU110" s="46">
        <f t="shared" si="1079"/>
        <v>1</v>
      </c>
      <c r="WV110" s="46">
        <f t="shared" si="1080"/>
        <v>2</v>
      </c>
      <c r="WW110" s="46" cm="1">
        <f t="array" ref="WW110">ROUND(VALUE(IFERROR(INDEX(ArchiveResults!$F$5:$IX$116,ComparisonData!A110,ComparisonData!$WW$1),0)),5)</f>
        <v>0</v>
      </c>
      <c r="WX110" s="46" cm="1">
        <f t="array" ref="WX110">ROUND(IFERROR(INDEX(ArchiveResults!$F$5:$IX$116,ComparisonData!A110,ComparisonData!$WX$1),0),5)</f>
        <v>0</v>
      </c>
      <c r="WY110" s="56">
        <v>105</v>
      </c>
      <c r="WZ110" s="53" t="str">
        <f t="shared" si="1253"/>
        <v>Warwickshire County Record Office</v>
      </c>
      <c r="XA110" s="60">
        <f t="shared" si="1254"/>
        <v>0</v>
      </c>
      <c r="XB110" s="60">
        <f t="shared" si="1255"/>
        <v>0</v>
      </c>
      <c r="XC110" s="76">
        <f t="shared" si="1081"/>
        <v>0</v>
      </c>
      <c r="XD110" s="46">
        <f t="shared" si="1082"/>
        <v>84</v>
      </c>
      <c r="XE110" s="46">
        <f t="shared" si="1256"/>
        <v>2.8540000000000001</v>
      </c>
      <c r="XF110" s="46">
        <f t="shared" si="1083"/>
        <v>1</v>
      </c>
      <c r="XG110" s="46">
        <f t="shared" si="1084"/>
        <v>2</v>
      </c>
      <c r="XH110" s="46" cm="1">
        <f t="array" ref="XH110">ROUND(VALUE(IFERROR(INDEX(ArchiveResults!$F$5:$IX$116,ComparisonData!A110,ComparisonData!$XH$1),0)),5)</f>
        <v>0</v>
      </c>
      <c r="XI110" s="46" cm="1">
        <f t="array" ref="XI110">ROUND(VALUE(IFERROR(INDEX(ArchiveResults!$F$5:$IX$116,ComparisonData!A110,ComparisonData!$XI$1),0)),5)</f>
        <v>0</v>
      </c>
      <c r="XJ110" s="56">
        <v>105</v>
      </c>
      <c r="XK110" s="53" t="str">
        <f t="shared" si="1257"/>
        <v>Warwickshire County Record Office</v>
      </c>
      <c r="XL110" s="60">
        <f t="shared" si="1085"/>
        <v>0</v>
      </c>
      <c r="XM110" s="60">
        <f t="shared" si="1086"/>
        <v>0</v>
      </c>
      <c r="XN110" s="76">
        <f t="shared" si="1087"/>
        <v>0</v>
      </c>
      <c r="XO110" s="46">
        <f t="shared" si="1088"/>
        <v>84</v>
      </c>
      <c r="XP110" s="46">
        <f t="shared" si="1258"/>
        <v>2.8540000000000001</v>
      </c>
      <c r="XQ110" s="46">
        <f t="shared" si="1089"/>
        <v>1</v>
      </c>
      <c r="XR110" s="46">
        <f t="shared" si="1090"/>
        <v>2</v>
      </c>
      <c r="XS110" s="46" cm="1">
        <f t="array" ref="XS110">ROUND(VALUE(IFERROR(INDEX(ArchiveResults!$F$5:$IX$116,ComparisonData!A110,ComparisonData!$XS$1),0)),5)</f>
        <v>0</v>
      </c>
      <c r="XT110" s="46" cm="1">
        <f t="array" ref="XT110">ROUND(VALUE(IFERROR(INDEX(ArchiveResults!$F$5:$IX$116,ComparisonData!A110,ComparisonData!$XT$1),0)),5)</f>
        <v>0</v>
      </c>
      <c r="XU110" s="56">
        <v>105</v>
      </c>
      <c r="XV110" s="53" t="str">
        <f t="shared" si="1259"/>
        <v>Warwickshire County Record Office</v>
      </c>
      <c r="XW110" s="60">
        <f t="shared" si="1091"/>
        <v>0</v>
      </c>
      <c r="XX110" s="60">
        <f t="shared" si="1092"/>
        <v>0</v>
      </c>
      <c r="XY110" s="76">
        <f t="shared" si="1093"/>
        <v>0</v>
      </c>
      <c r="XZ110" s="46">
        <f t="shared" si="1094"/>
        <v>84</v>
      </c>
      <c r="YA110" s="46">
        <f t="shared" si="1260"/>
        <v>2.8540000000000001</v>
      </c>
      <c r="YB110" s="46">
        <f t="shared" si="1095"/>
        <v>1</v>
      </c>
      <c r="YC110" s="46">
        <f t="shared" si="1096"/>
        <v>2</v>
      </c>
      <c r="YD110" s="46" cm="1">
        <f t="array" ref="YD110">ROUND(VALUE(IFERROR(INDEX(ArchiveResults!$F$5:$IX$116,ComparisonData!A110,ComparisonData!$YD$1),0)),5)</f>
        <v>0</v>
      </c>
      <c r="YE110" s="46" cm="1">
        <f t="array" ref="YE110">ROUND(VALUE(IFERROR(INDEX(ArchiveResults!$F$5:$IX$116,ComparisonData!A110,ComparisonData!$YE$1),0)),5)</f>
        <v>0</v>
      </c>
      <c r="YF110" s="56">
        <v>105</v>
      </c>
      <c r="YG110" s="53" t="str">
        <f t="shared" si="1261"/>
        <v>Warwickshire County Record Office</v>
      </c>
      <c r="YH110" s="60">
        <f t="shared" si="1097"/>
        <v>0</v>
      </c>
      <c r="YI110" s="60">
        <f t="shared" si="1098"/>
        <v>0</v>
      </c>
      <c r="YJ110" s="76">
        <f t="shared" si="1099"/>
        <v>0</v>
      </c>
      <c r="YK110" s="46">
        <f t="shared" si="1100"/>
        <v>84</v>
      </c>
      <c r="YL110" s="46">
        <f t="shared" si="1262"/>
        <v>2.8540000000000001</v>
      </c>
      <c r="YM110" s="46">
        <f t="shared" si="1101"/>
        <v>1</v>
      </c>
      <c r="YN110" s="46">
        <f t="shared" si="1102"/>
        <v>2</v>
      </c>
      <c r="YO110" s="46" cm="1">
        <f t="array" ref="YO110">ROUND(VALUE(IFERROR(INDEX(ArchiveResults!$F$5:$IX$116,ComparisonData!A110,ComparisonData!$YO$1),0)),5)</f>
        <v>0</v>
      </c>
      <c r="YP110" s="46" cm="1">
        <f t="array" ref="YP110">ROUND(VALUE(IFERROR(INDEX(ArchiveResults!$F$5:$IX$116,ComparisonData!A110,ComparisonData!$YP$1),0)),5)</f>
        <v>0</v>
      </c>
      <c r="YQ110" s="56">
        <v>105</v>
      </c>
      <c r="YR110" s="53" t="str">
        <f t="shared" si="1263"/>
        <v>Warwickshire County Record Office</v>
      </c>
      <c r="YS110" s="60">
        <f t="shared" si="1103"/>
        <v>0</v>
      </c>
      <c r="YT110" s="60">
        <f t="shared" si="1104"/>
        <v>0</v>
      </c>
      <c r="YU110" s="76">
        <f t="shared" si="1105"/>
        <v>0</v>
      </c>
      <c r="YV110" s="46">
        <f t="shared" si="1106"/>
        <v>84</v>
      </c>
      <c r="YW110" s="46">
        <f t="shared" si="1264"/>
        <v>2.8540000000000001</v>
      </c>
      <c r="YX110" s="46">
        <f t="shared" si="1107"/>
        <v>1</v>
      </c>
      <c r="YY110" s="46">
        <f t="shared" si="1108"/>
        <v>2</v>
      </c>
      <c r="YZ110" s="46">
        <f t="shared" si="1109"/>
        <v>0</v>
      </c>
      <c r="ZA110" s="46" cm="1">
        <f t="array" ref="ZA110">ROUNDDOWN(VALUE(IFERROR(INDEX(ArchiveResults!$F$5:$IX$116,ComparisonData!A110,ComparisonData!$ZA$1),0)),5)</f>
        <v>0</v>
      </c>
      <c r="ZB110" s="46" cm="1">
        <f t="array" ref="ZB110">ROUNDDOWN(VALUE(IFERROR(INDEX(ArchiveResults!$F$5:$IX$116,ComparisonData!A110,ComparisonData!$ZB$1),0)),5)</f>
        <v>0</v>
      </c>
      <c r="ZC110" s="46" cm="1">
        <f t="array" ref="ZC110">ROUNDDOWN(VALUE(IFERROR(INDEX(ArchiveResults!$F$5:$IX$116,ComparisonData!A110,ComparisonData!$ZC$1),0)),5)</f>
        <v>0</v>
      </c>
      <c r="ZD110" s="46" cm="1">
        <f t="array" ref="ZD110">ROUNDDOWN(VALUE(IFERROR(INDEX(ArchiveResults!$F$5:$IX$116,ComparisonData!A110,ComparisonData!$ZD$1),0)),5)</f>
        <v>0</v>
      </c>
      <c r="ZE110" s="46" cm="1">
        <f t="array" ref="ZE110">ROUNDDOWN(VALUE(IFERROR(INDEX(ArchiveResults!$F$5:$IX$116,ComparisonData!A110,ComparisonData!$ZE$1),0)),5)</f>
        <v>0</v>
      </c>
      <c r="ZF110" s="56">
        <v>105</v>
      </c>
      <c r="ZG110" s="53" t="str">
        <f t="shared" si="1265"/>
        <v>Warwickshire County Record Office</v>
      </c>
      <c r="ZH110" s="60">
        <f t="shared" si="1110"/>
        <v>0</v>
      </c>
      <c r="ZI110" s="60">
        <f t="shared" si="1111"/>
        <v>0</v>
      </c>
      <c r="ZJ110" s="60">
        <f t="shared" si="1112"/>
        <v>0</v>
      </c>
      <c r="ZK110" s="60">
        <f t="shared" si="1113"/>
        <v>0</v>
      </c>
      <c r="ZL110" s="60">
        <f t="shared" si="1114"/>
        <v>0</v>
      </c>
      <c r="ZM110" s="76">
        <f t="shared" si="1115"/>
        <v>0</v>
      </c>
      <c r="ZN110" s="46">
        <f t="shared" si="1116"/>
        <v>84</v>
      </c>
      <c r="ZO110" s="46">
        <f t="shared" si="1266"/>
        <v>2.8540000000000001</v>
      </c>
      <c r="ZP110" s="46">
        <f t="shared" si="1117"/>
        <v>1</v>
      </c>
      <c r="ZQ110" s="46">
        <f t="shared" si="1118"/>
        <v>2</v>
      </c>
      <c r="ZR110" s="46" cm="1">
        <f t="array" ref="ZR110">ROUND(VALUE(IFERROR(INDEX(ArchiveResults!$F$5:$IX$116,ComparisonData!A110,ComparisonData!$ZR$1),0)),5)</f>
        <v>0</v>
      </c>
      <c r="ZS110" s="56">
        <v>105</v>
      </c>
      <c r="ZT110" s="53" t="str">
        <f t="shared" si="1267"/>
        <v>Warwickshire County Record Office</v>
      </c>
      <c r="ZU110" s="46">
        <f t="shared" si="1119"/>
        <v>0</v>
      </c>
      <c r="ZV110" s="76">
        <f t="shared" si="1120"/>
        <v>0</v>
      </c>
      <c r="ZW110" s="81" cm="1">
        <f t="array" ref="ZW110">ROUND((IFERROR(INDEX(ArchiveResults!$F$5:$IX$116,ComparisonData!A110,ComparisonData!$ZW$1),0)),5)</f>
        <v>0</v>
      </c>
      <c r="ZX110" s="81" cm="1">
        <f t="array" ref="ZX110">ROUND((IFERROR(INDEX(ArchiveResults!$F$5:$IX$116,ComparisonData!A110,ComparisonData!$ZX$1),0)),5)</f>
        <v>0</v>
      </c>
      <c r="ZY110" s="81" cm="1">
        <f t="array" ref="ZY110">ROUND((IFERROR(INDEX(ArchiveResults!$F$5:$IX$116,ComparisonData!A110,ComparisonData!$ZY$1),0)),5)</f>
        <v>0</v>
      </c>
      <c r="ZZ110" s="81" cm="1">
        <f t="array" ref="ZZ110">ROUND((IFERROR(INDEX(ArchiveResults!$F$5:$IX$116,ComparisonData!A110,ComparisonData!$ZZ$1),0)),5)</f>
        <v>0</v>
      </c>
      <c r="AAA110" s="81" cm="1">
        <f t="array" ref="AAA110">ROUND((IFERROR(INDEX(ArchiveResults!$F$5:$IX$116,ComparisonData!A110,ComparisonData!$AAA$1),0)),5)</f>
        <v>0</v>
      </c>
      <c r="AAB110" s="81" cm="1">
        <f t="array" ref="AAB110">ROUND((IFERROR(INDEX(ArchiveResults!$F$5:$IX$116,ComparisonData!A110,ComparisonData!$AAB$1),0)),5)</f>
        <v>0</v>
      </c>
      <c r="AAC110" s="81" cm="1">
        <f t="array" ref="AAC110">ROUND((IFERROR(INDEX(ArchiveResults!$F$5:$IX$116,ComparisonData!A110,ComparisonData!$AAC$1),0)),5)</f>
        <v>0</v>
      </c>
      <c r="AAD110" s="81" cm="1">
        <f t="array" ref="AAD110">ROUND((IFERROR(INDEX(ArchiveResults!$F$5:$IX$116,ComparisonData!A110,ComparisonData!$AAD$1),0)),5)</f>
        <v>0</v>
      </c>
      <c r="AAE110" s="81" cm="1">
        <f t="array" ref="AAE110">ROUND((IFERROR(INDEX(ArchiveResults!$F$5:$IX$116,ComparisonData!A110,ComparisonData!$AAE$1),0)),5)</f>
        <v>0</v>
      </c>
      <c r="AAF110" s="81" cm="1">
        <f t="array" ref="AAF110">ROUND((IFERROR(INDEX(ArchiveResults!$F$5:$IX$116,ComparisonData!A110,ComparisonData!$AAF$1),0)),5)</f>
        <v>0</v>
      </c>
      <c r="AAG110" s="46">
        <f t="shared" si="1121"/>
        <v>84</v>
      </c>
      <c r="AAH110" s="46">
        <f t="shared" si="1268"/>
        <v>2.8540000000000001</v>
      </c>
      <c r="AAI110" s="46">
        <f t="shared" si="1122"/>
        <v>1</v>
      </c>
      <c r="AAJ110" s="46">
        <f t="shared" si="1123"/>
        <v>2</v>
      </c>
      <c r="AAK110" s="46">
        <f t="shared" si="1124"/>
        <v>0</v>
      </c>
      <c r="AAL110" s="46">
        <f t="shared" si="1125"/>
        <v>0</v>
      </c>
      <c r="AAM110" s="46">
        <f t="shared" si="1126"/>
        <v>0</v>
      </c>
      <c r="AAN110" s="46">
        <f t="shared" si="1127"/>
        <v>0</v>
      </c>
      <c r="AAO110" s="46">
        <f t="shared" si="1128"/>
        <v>0</v>
      </c>
      <c r="AAP110" s="46">
        <f t="shared" si="1129"/>
        <v>0</v>
      </c>
      <c r="AAQ110" s="56">
        <v>105</v>
      </c>
      <c r="AAR110" s="53" t="str">
        <f t="shared" si="1269"/>
        <v>Warwickshire County Record Office</v>
      </c>
      <c r="AAS110" s="60">
        <f t="shared" si="1130"/>
        <v>0</v>
      </c>
      <c r="AAT110" s="60">
        <f t="shared" si="1131"/>
        <v>0</v>
      </c>
      <c r="AAU110" s="60">
        <f t="shared" si="1132"/>
        <v>0</v>
      </c>
      <c r="AAV110" s="60">
        <f t="shared" si="1133"/>
        <v>0</v>
      </c>
      <c r="AAW110" s="60">
        <f t="shared" si="1134"/>
        <v>0</v>
      </c>
      <c r="AAX110" s="76">
        <f t="shared" si="1135"/>
        <v>0</v>
      </c>
      <c r="AAY110" s="46">
        <f t="shared" si="1136"/>
        <v>84</v>
      </c>
      <c r="AAZ110" s="46">
        <f t="shared" si="1270"/>
        <v>2.8540000000000001</v>
      </c>
      <c r="ABA110" s="46">
        <f t="shared" si="1137"/>
        <v>1</v>
      </c>
      <c r="ABB110" s="46">
        <f t="shared" si="1138"/>
        <v>2</v>
      </c>
      <c r="ABC110" s="46">
        <f t="shared" si="742"/>
        <v>0</v>
      </c>
      <c r="ABD110" s="46" cm="1">
        <f t="array" ref="ABD110">ROUND(VALUE(IFERROR(INDEX(ArchiveResults!$F$5:$IX$116,ComparisonData!A110,ComparisonData!$ABD$1),0)),5)</f>
        <v>0</v>
      </c>
      <c r="ABE110" s="46" cm="1">
        <f t="array" ref="ABE110">ROUND(VALUE(IFERROR(INDEX(ArchiveResults!$F$5:$IX$116,ComparisonData!A110,ComparisonData!$ABE$1),0)),5)</f>
        <v>0</v>
      </c>
      <c r="ABF110" s="46" cm="1">
        <f t="array" ref="ABF110">ROUND(VALUE(IFERROR(INDEX(ArchiveResults!$F$5:$IX$116,ComparisonData!A110,ComparisonData!$ABF$1),0)),5)</f>
        <v>0</v>
      </c>
      <c r="ABG110" s="46" cm="1">
        <f t="array" ref="ABG110">ROUND(VALUE(IFERROR(INDEX(ArchiveResults!$F$5:$IX$116,ComparisonData!A110,ComparisonData!$ABG$1),0)),5)</f>
        <v>0</v>
      </c>
      <c r="ABH110" s="46" cm="1">
        <f t="array" ref="ABH110">ROUND(VALUE(IFERROR(INDEX(ArchiveResults!$F$5:$IX$116,ComparisonData!A110,ComparisonData!$ABH$1),0)),5)</f>
        <v>0</v>
      </c>
      <c r="ABI110" s="56">
        <v>105</v>
      </c>
      <c r="ABJ110" s="53" t="str">
        <f t="shared" si="1271"/>
        <v>Warwickshire County Record Office</v>
      </c>
      <c r="ABK110" s="60">
        <f t="shared" si="1139"/>
        <v>0</v>
      </c>
      <c r="ABL110" s="60">
        <f t="shared" si="1140"/>
        <v>0</v>
      </c>
      <c r="ABM110" s="60">
        <f t="shared" si="1141"/>
        <v>0</v>
      </c>
      <c r="ABN110" s="60">
        <f t="shared" si="1142"/>
        <v>0</v>
      </c>
      <c r="ABO110" s="60">
        <f t="shared" si="1143"/>
        <v>0</v>
      </c>
      <c r="ABP110" s="76">
        <f t="shared" si="1144"/>
        <v>0</v>
      </c>
      <c r="ABQ110" s="46">
        <f t="shared" si="1145"/>
        <v>84</v>
      </c>
      <c r="ABR110" s="46">
        <f t="shared" si="1272"/>
        <v>2.8540000000000001</v>
      </c>
      <c r="ABS110" s="46">
        <f t="shared" si="1146"/>
        <v>1</v>
      </c>
      <c r="ABT110" s="46">
        <f t="shared" si="1147"/>
        <v>2</v>
      </c>
      <c r="ABU110" s="46" cm="1">
        <f t="array" ref="ABU110">ROUND(VALUE(IFERROR(INDEX(ArchiveResults!$F$5:$IX$116,ComparisonData!A110,ComparisonData!$ABU$1),0)),5)</f>
        <v>0</v>
      </c>
      <c r="ABV110" s="46" cm="1">
        <f t="array" ref="ABV110">ROUND(VALUE(IFERROR(INDEX(ArchiveResults!$F$5:$IX$116,ComparisonData!A110,ComparisonData!$ABV$1),0)),5)</f>
        <v>0</v>
      </c>
      <c r="ABW110" s="46" cm="1">
        <f t="array" ref="ABW110">ROUND(VALUE(IFERROR(INDEX(ArchiveResults!$F$5:$IX$116,ComparisonData!A110,ComparisonData!$ABW$1),0)),5)</f>
        <v>0</v>
      </c>
      <c r="ABX110" s="46" cm="1">
        <f t="array" ref="ABX110">ROUND(VALUE(IFERROR(INDEX(ArchiveResults!$F$5:$IX$116,ComparisonData!A110,ComparisonData!$ABX$1),0)),5)</f>
        <v>0</v>
      </c>
      <c r="ABY110" s="46" cm="1">
        <f t="array" ref="ABY110">ROUND(VALUE(IFERROR(INDEX(ArchiveResults!$F$5:$IX$116,ComparisonData!A110,ComparisonData!$ABY$1),0)),5)</f>
        <v>0</v>
      </c>
      <c r="ABZ110" s="56">
        <v>105</v>
      </c>
      <c r="ACA110" s="53" t="str">
        <f t="shared" si="1273"/>
        <v>Warwickshire County Record Office</v>
      </c>
      <c r="ACB110" s="60">
        <f t="shared" si="1148"/>
        <v>0</v>
      </c>
      <c r="ACC110" s="60">
        <f t="shared" si="1149"/>
        <v>0</v>
      </c>
      <c r="ACD110" s="60">
        <f t="shared" si="1150"/>
        <v>0</v>
      </c>
      <c r="ACE110" s="60">
        <f t="shared" si="1151"/>
        <v>0</v>
      </c>
      <c r="ACF110" s="60">
        <f t="shared" si="1152"/>
        <v>0</v>
      </c>
      <c r="ACG110" s="76">
        <f t="shared" si="1153"/>
        <v>0</v>
      </c>
      <c r="ACH110" s="46">
        <f t="shared" si="1154"/>
        <v>84</v>
      </c>
      <c r="ACI110" s="46">
        <f t="shared" si="1274"/>
        <v>2.8540000000000001</v>
      </c>
      <c r="ACJ110" s="46">
        <f t="shared" si="1155"/>
        <v>1</v>
      </c>
      <c r="ACK110" s="46">
        <f t="shared" si="1156"/>
        <v>2</v>
      </c>
      <c r="ACL110" s="46">
        <f t="shared" si="1157"/>
        <v>0</v>
      </c>
      <c r="ACM110" s="46" cm="1">
        <f t="array" ref="ACM110">ROUND(IFERROR(INDEX(ArchiveResults!$F$5:$IX$116,ComparisonData!A110,ComparisonData!$ACM$1),0),5)</f>
        <v>0</v>
      </c>
      <c r="ACN110" s="46" cm="1">
        <f t="array" ref="ACN110">ROUND(IFERROR(INDEX(ArchiveResults!$F$5:$IX$116,ComparisonData!A110,ComparisonData!$ACN$1),0),5)</f>
        <v>0</v>
      </c>
      <c r="ACO110" s="56">
        <v>105</v>
      </c>
      <c r="ACP110" s="53" t="str">
        <f t="shared" si="1275"/>
        <v>Warwickshire County Record Office</v>
      </c>
      <c r="ACQ110" s="60">
        <f t="shared" si="1158"/>
        <v>0</v>
      </c>
      <c r="ACR110" s="60">
        <f t="shared" si="1159"/>
        <v>0</v>
      </c>
      <c r="ACS110" s="76">
        <f t="shared" si="1160"/>
        <v>0</v>
      </c>
      <c r="ACT110" s="46">
        <f t="shared" si="1161"/>
        <v>84</v>
      </c>
      <c r="ACU110" s="46">
        <f t="shared" si="1276"/>
        <v>2.8540000000000001</v>
      </c>
      <c r="ACV110" s="46">
        <f t="shared" si="1162"/>
        <v>1</v>
      </c>
      <c r="ACW110" s="46">
        <f t="shared" si="1163"/>
        <v>2</v>
      </c>
      <c r="ACX110" s="46">
        <f t="shared" si="1164"/>
        <v>0</v>
      </c>
      <c r="ACY110" s="46" cm="1">
        <f t="array" ref="ACY110">ROUNDDOWN(IFERROR(INDEX(ArchiveResults!$F$5:$IX$116,ComparisonData!A110,ComparisonData!$ACY$1),0),5)</f>
        <v>0</v>
      </c>
      <c r="ACZ110" s="46" cm="1">
        <f t="array" ref="ACZ110">ROUNDDOWN(IFERROR(INDEX(ArchiveResults!$F$5:$IX$116,ComparisonData!A110,ComparisonData!$ACZ$1),0),5)</f>
        <v>0</v>
      </c>
      <c r="ADA110" s="46" cm="1">
        <f t="array" ref="ADA110">ROUNDDOWN(IFERROR(INDEX(ArchiveResults!$F$5:$IX$116,ComparisonData!A110,ComparisonData!$ADA$1),0),5)</f>
        <v>0</v>
      </c>
      <c r="ADB110" s="56">
        <v>105</v>
      </c>
      <c r="ADC110" s="53" t="str">
        <f t="shared" si="1277"/>
        <v>Warwickshire County Record Office</v>
      </c>
      <c r="ADD110" s="60">
        <f t="shared" si="1165"/>
        <v>0</v>
      </c>
      <c r="ADE110" s="60">
        <f t="shared" si="1166"/>
        <v>0</v>
      </c>
      <c r="ADF110" s="60">
        <f t="shared" si="1167"/>
        <v>0</v>
      </c>
      <c r="ADG110" s="76">
        <f t="shared" si="1168"/>
        <v>0</v>
      </c>
    </row>
    <row r="111" spans="1:787" x14ac:dyDescent="0.25">
      <c r="A111" s="46" t="str">
        <f>IF(ISBLANK(ComparisonSelection!F107),"",ROW()-5)</f>
        <v/>
      </c>
      <c r="B111" s="53" t="s">
        <v>562</v>
      </c>
      <c r="C111" s="72">
        <v>0.44899999999999951</v>
      </c>
      <c r="D111" s="55">
        <f t="shared" si="750"/>
        <v>3</v>
      </c>
      <c r="E111" s="54">
        <f t="shared" si="751"/>
        <v>2.4489999999999994</v>
      </c>
      <c r="F111" s="54">
        <f t="shared" si="752"/>
        <v>1</v>
      </c>
      <c r="G111" s="72">
        <f t="shared" si="753"/>
        <v>2</v>
      </c>
      <c r="H111" s="72">
        <f t="shared" si="754"/>
        <v>0</v>
      </c>
      <c r="I111" s="46" cm="1">
        <f t="array" ref="I111">ROUND(IFERROR(INDEX(ArchiveResults!$F$5:$IX$116,ComparisonData!A111,ComparisonData!$I$1),0),5)</f>
        <v>0</v>
      </c>
      <c r="J111" s="46" cm="1">
        <f t="array" ref="J111">ROUND(IFERROR(INDEX(ArchiveResults!$F$5:$IX$116,ComparisonData!A111,ComparisonData!$J$1),0),5)</f>
        <v>0</v>
      </c>
      <c r="K111" s="56">
        <v>106</v>
      </c>
      <c r="L111" s="53" t="str">
        <f t="shared" si="755"/>
        <v>West Glamorgan Archive Service</v>
      </c>
      <c r="M111" s="57">
        <f t="shared" si="1169"/>
        <v>0</v>
      </c>
      <c r="N111" s="57">
        <f t="shared" si="1170"/>
        <v>0</v>
      </c>
      <c r="O111" s="58">
        <f t="shared" si="756"/>
        <v>0</v>
      </c>
      <c r="P111" s="48">
        <f t="shared" si="757"/>
        <v>3</v>
      </c>
      <c r="Q111" s="54">
        <f t="shared" si="1171"/>
        <v>2.4489999999999994</v>
      </c>
      <c r="R111" s="45">
        <f t="shared" si="758"/>
        <v>1</v>
      </c>
      <c r="S111" s="46">
        <f t="shared" si="759"/>
        <v>2</v>
      </c>
      <c r="T111" s="72">
        <f t="shared" si="760"/>
        <v>0</v>
      </c>
      <c r="U111" s="46" cm="1">
        <f t="array" ref="U111">ROUND(IFERROR(INDEX(ArchiveResults!$F$5:$IX$116,ComparisonData!A111,ComparisonData!$U$1),0),5)</f>
        <v>0</v>
      </c>
      <c r="V111" s="46" cm="1">
        <f t="array" ref="V111">ROUND(IFERROR(INDEX(ArchiveResults!$F$5:$IX$116,ComparisonData!A111,ComparisonData!$V$1),0),5)</f>
        <v>0</v>
      </c>
      <c r="W111" s="56">
        <v>106</v>
      </c>
      <c r="X111" s="53" t="str">
        <f t="shared" si="1172"/>
        <v>West Glamorgan Archive Service</v>
      </c>
      <c r="Y111" s="57">
        <f t="shared" si="761"/>
        <v>0</v>
      </c>
      <c r="Z111" s="57">
        <f t="shared" si="762"/>
        <v>0</v>
      </c>
      <c r="AA111" s="58">
        <f t="shared" si="763"/>
        <v>0</v>
      </c>
      <c r="AB111" s="45">
        <f t="shared" si="764"/>
        <v>3</v>
      </c>
      <c r="AC111" s="54">
        <f t="shared" si="1173"/>
        <v>2.4489999999999994</v>
      </c>
      <c r="AD111" s="45">
        <f t="shared" si="765"/>
        <v>1</v>
      </c>
      <c r="AE111" s="45">
        <f t="shared" si="766"/>
        <v>2</v>
      </c>
      <c r="AF111" s="45">
        <f t="shared" si="639"/>
        <v>0</v>
      </c>
      <c r="AG111" s="46" cm="1">
        <f t="array" ref="AG111">ROUND(IFERROR(INDEX(ArchiveResults!$F$5:$IX$116,ComparisonData!A111,ComparisonData!$AG$1),0),5)</f>
        <v>0</v>
      </c>
      <c r="AH111" s="46" cm="1">
        <f t="array" ref="AH111">ROUND(IFERROR(INDEX(ArchiveResults!$F$5:$IX$116,ComparisonData!A111,ComparisonData!$AH$1),0),5)</f>
        <v>0</v>
      </c>
      <c r="AI111" s="56">
        <v>106</v>
      </c>
      <c r="AJ111" s="53" t="str">
        <f t="shared" si="1174"/>
        <v>West Glamorgan Archive Service</v>
      </c>
      <c r="AK111" s="59">
        <f t="shared" si="1175"/>
        <v>0</v>
      </c>
      <c r="AL111" s="59">
        <f t="shared" si="1176"/>
        <v>0</v>
      </c>
      <c r="AM111" s="58">
        <f t="shared" si="767"/>
        <v>0</v>
      </c>
      <c r="AN111" s="45">
        <f t="shared" si="768"/>
        <v>3</v>
      </c>
      <c r="AO111" s="54">
        <f t="shared" si="1177"/>
        <v>2.4489999999999994</v>
      </c>
      <c r="AP111" s="45">
        <f t="shared" si="769"/>
        <v>1</v>
      </c>
      <c r="AQ111" s="45">
        <f t="shared" si="770"/>
        <v>2</v>
      </c>
      <c r="AR111" s="46" cm="1">
        <f t="array" ref="AR111">ROUND(IFERROR(INDEX(ArchiveResults!$F$5:$IX$116,ComparisonData!A111,ComparisonData!$AR$1),0),5)</f>
        <v>0</v>
      </c>
      <c r="AS111" s="46" cm="1">
        <f t="array" ref="AS111">ROUND(IFERROR(INDEX(ArchiveResults!$F$5:$IX$116,ComparisonData!A111,ComparisonData!$AS$1),0),5)</f>
        <v>0</v>
      </c>
      <c r="AT111" s="46" cm="1">
        <f t="array" ref="AT111">ROUND(IFERROR(INDEX(ArchiveResults!$F$5:$IX$116,ComparisonData!A111,ComparisonData!$AT$1),0),5)</f>
        <v>0</v>
      </c>
      <c r="AU111" s="46" cm="1">
        <f t="array" ref="AU111">ROUND(IFERROR(INDEX(ArchiveResults!$F$5:$IX$116,ComparisonData!A111,ComparisonData!$AU$1),0),5)</f>
        <v>0</v>
      </c>
      <c r="AV111" s="46" cm="1">
        <f t="array" ref="AV111">ROUND(IFERROR(INDEX(ArchiveResults!$F$5:$IX$116,ComparisonData!A111,ComparisonData!$AV$1),0),5)</f>
        <v>0</v>
      </c>
      <c r="AW111" s="46" cm="1">
        <f t="array" ref="AW111">ROUND(IFERROR(INDEX(ArchiveResults!$F$5:$IX$116,ComparisonData!A111,ComparisonData!$AW$1),0),5)</f>
        <v>0</v>
      </c>
      <c r="AX111" s="46" cm="1">
        <f t="array" ref="AX111">ROUND(IFERROR(INDEX(ArchiveResults!$F$5:$IX$116,ComparisonData!A111,ComparisonData!$AX$1),0),5)</f>
        <v>0</v>
      </c>
      <c r="AY111" s="46" cm="1">
        <f t="array" ref="AY111">ROUND(IFERROR(INDEX(ArchiveResults!$F$5:$IX$116,ComparisonData!A111,ComparisonData!$AY$1),0),5)</f>
        <v>0</v>
      </c>
      <c r="AZ111" s="46" cm="1">
        <f t="array" ref="AZ111">ROUND(IFERROR(INDEX(ArchiveResults!$F$5:$IX$116,ComparisonData!A111,ComparisonData!$AZ$1),0),5)</f>
        <v>0</v>
      </c>
      <c r="BA111" s="46" cm="1">
        <f t="array" ref="BA111">ROUND(IFERROR(INDEX(ArchiveResults!$F$5:$IX$116,ComparisonData!A111,ComparisonData!$BA$1),0),5)</f>
        <v>0</v>
      </c>
      <c r="BB111" s="56">
        <v>106</v>
      </c>
      <c r="BC111" s="53" t="str">
        <f t="shared" si="1178"/>
        <v>West Glamorgan Archive Service</v>
      </c>
      <c r="BD111" s="60">
        <f t="shared" si="771"/>
        <v>0</v>
      </c>
      <c r="BE111" s="60">
        <f t="shared" si="772"/>
        <v>0</v>
      </c>
      <c r="BF111" s="60">
        <f t="shared" si="773"/>
        <v>0</v>
      </c>
      <c r="BG111" s="60">
        <f t="shared" si="774"/>
        <v>0</v>
      </c>
      <c r="BH111" s="60">
        <f t="shared" si="775"/>
        <v>0</v>
      </c>
      <c r="BI111" s="60">
        <f t="shared" si="776"/>
        <v>0</v>
      </c>
      <c r="BJ111" s="60">
        <f t="shared" si="777"/>
        <v>0</v>
      </c>
      <c r="BK111" s="60">
        <f t="shared" si="778"/>
        <v>0</v>
      </c>
      <c r="BL111" s="60">
        <f t="shared" si="779"/>
        <v>0</v>
      </c>
      <c r="BM111" s="59">
        <f t="shared" si="780"/>
        <v>0</v>
      </c>
      <c r="BN111" s="58">
        <f t="shared" si="781"/>
        <v>0</v>
      </c>
      <c r="BO111" s="45">
        <f t="shared" si="782"/>
        <v>3</v>
      </c>
      <c r="BP111" s="54">
        <f t="shared" si="1179"/>
        <v>2.4489999999999994</v>
      </c>
      <c r="BQ111" s="45">
        <f t="shared" si="783"/>
        <v>1</v>
      </c>
      <c r="BR111" s="45">
        <f t="shared" si="784"/>
        <v>2</v>
      </c>
      <c r="BS111" s="46" cm="1">
        <f t="array" ref="BS111">ROUND(IFERROR(INDEX(ArchiveResults!$F$5:$IX$116,ComparisonData!A111,ComparisonData!$BS$1),0),5)</f>
        <v>0</v>
      </c>
      <c r="BT111" s="46" cm="1">
        <f t="array" ref="BT111">ROUND(IFERROR(INDEX(ArchiveResults!$F$5:$IX$116,ComparisonData!A111,ComparisonData!$BT$1),0),5)</f>
        <v>0</v>
      </c>
      <c r="BU111" s="46" cm="1">
        <f t="array" ref="BU111">ROUND(IFERROR(INDEX(ArchiveResults!$F$5:$IX$116,ComparisonData!A111,ComparisonData!$BU$1),0),5)</f>
        <v>0</v>
      </c>
      <c r="BV111" s="46" cm="1">
        <f t="array" ref="BV111">ROUND(IFERROR(INDEX(ArchiveResults!$F$5:$IX$116,ComparisonData!A111,ComparisonData!$BV$1),0),5)</f>
        <v>0</v>
      </c>
      <c r="BW111" s="46" cm="1">
        <f t="array" ref="BW111">ROUND(IFERROR(INDEX(ArchiveResults!$F$5:$IX$116,ComparisonData!A111,ComparisonData!$BW$1),0),5)</f>
        <v>0</v>
      </c>
      <c r="BX111" s="46" cm="1">
        <f t="array" ref="BX111">ROUND(IFERROR(INDEX(ArchiveResults!$F$5:$IX$116,ComparisonData!A111,ComparisonData!$BX$1),0),5)</f>
        <v>0</v>
      </c>
      <c r="BY111" s="56">
        <v>106</v>
      </c>
      <c r="BZ111" s="53" t="str">
        <f t="shared" si="1180"/>
        <v>West Glamorgan Archive Service</v>
      </c>
      <c r="CA111" s="59">
        <f t="shared" si="785"/>
        <v>0</v>
      </c>
      <c r="CB111" s="59">
        <f t="shared" si="786"/>
        <v>0</v>
      </c>
      <c r="CC111" s="59">
        <f t="shared" si="787"/>
        <v>0</v>
      </c>
      <c r="CD111" s="59">
        <f t="shared" si="788"/>
        <v>0</v>
      </c>
      <c r="CE111" s="59">
        <f t="shared" si="789"/>
        <v>0</v>
      </c>
      <c r="CF111" s="59">
        <f t="shared" si="790"/>
        <v>0</v>
      </c>
      <c r="CG111" s="58">
        <f t="shared" si="791"/>
        <v>0</v>
      </c>
      <c r="CH111" s="45">
        <f t="shared" si="792"/>
        <v>3</v>
      </c>
      <c r="CI111" s="54">
        <f t="shared" si="1181"/>
        <v>2.4489999999999994</v>
      </c>
      <c r="CJ111" s="45">
        <f t="shared" si="793"/>
        <v>1</v>
      </c>
      <c r="CK111" s="45">
        <f t="shared" si="794"/>
        <v>2</v>
      </c>
      <c r="CL111" s="46" cm="1">
        <f t="array" ref="CL111">ROUND(IFERROR(INDEX(ArchiveResults!$F$5:$IX$116,ComparisonData!A111,ComparisonData!$CL$1),0),5)</f>
        <v>0</v>
      </c>
      <c r="CM111" s="56">
        <v>106</v>
      </c>
      <c r="CN111" s="53" t="str">
        <f t="shared" si="1182"/>
        <v>West Glamorgan Archive Service</v>
      </c>
      <c r="CO111" s="45">
        <f t="shared" si="795"/>
        <v>0</v>
      </c>
      <c r="CP111" s="58">
        <f t="shared" si="796"/>
        <v>0</v>
      </c>
      <c r="CQ111" s="45">
        <f t="shared" si="797"/>
        <v>3</v>
      </c>
      <c r="CR111" s="54">
        <f t="shared" si="1183"/>
        <v>2.4489999999999994</v>
      </c>
      <c r="CS111" s="45">
        <f t="shared" si="798"/>
        <v>1</v>
      </c>
      <c r="CT111" s="45">
        <f t="shared" si="799"/>
        <v>2</v>
      </c>
      <c r="CU111" s="46" cm="1">
        <f t="array" ref="CU111">ROUND(IFERROR(INDEX(ArchiveResults!$F$5:$IX$116,ComparisonData!A111,ComparisonData!$CU$1),0),5)</f>
        <v>0</v>
      </c>
      <c r="CV111" s="56">
        <v>106</v>
      </c>
      <c r="CW111" s="53" t="str">
        <f t="shared" si="1184"/>
        <v>West Glamorgan Archive Service</v>
      </c>
      <c r="CX111" s="45">
        <f t="shared" si="800"/>
        <v>0</v>
      </c>
      <c r="CY111" s="58">
        <f t="shared" si="801"/>
        <v>0</v>
      </c>
      <c r="CZ111" s="45">
        <f t="shared" si="802"/>
        <v>3</v>
      </c>
      <c r="DA111" s="54">
        <f t="shared" si="1185"/>
        <v>2.4489999999999994</v>
      </c>
      <c r="DB111" s="45">
        <f t="shared" si="803"/>
        <v>1</v>
      </c>
      <c r="DC111" s="45">
        <f t="shared" si="804"/>
        <v>2</v>
      </c>
      <c r="DD111" s="46" cm="1">
        <f t="array" ref="DD111">ROUND(IFERROR(INDEX(ArchiveResults!$F$5:$IX$116,ComparisonData!A111,ComparisonData!$DD$1),0),5)</f>
        <v>0</v>
      </c>
      <c r="DE111" s="56">
        <v>106</v>
      </c>
      <c r="DF111" s="53" t="str">
        <f t="shared" si="1186"/>
        <v>West Glamorgan Archive Service</v>
      </c>
      <c r="DG111" s="45">
        <f t="shared" si="805"/>
        <v>0</v>
      </c>
      <c r="DH111" s="58">
        <f t="shared" si="806"/>
        <v>0</v>
      </c>
      <c r="DI111" s="45">
        <f t="shared" si="807"/>
        <v>3</v>
      </c>
      <c r="DJ111" s="54">
        <f t="shared" si="1187"/>
        <v>2.4489999999999994</v>
      </c>
      <c r="DK111" s="45">
        <f t="shared" si="808"/>
        <v>1</v>
      </c>
      <c r="DL111" s="45">
        <f t="shared" si="809"/>
        <v>2</v>
      </c>
      <c r="DM111" s="46" cm="1">
        <f t="array" ref="DM111">ROUND(IFERROR(INDEX(ArchiveResults!$F$5:$IX$116,ComparisonData!A111,ComparisonData!$DM$1),0),5)</f>
        <v>0</v>
      </c>
      <c r="DN111" s="46" cm="1">
        <f t="array" ref="DN111">ROUND(IFERROR(INDEX(ArchiveResults!$F$5:$IX$116,ComparisonData!A111,ComparisonData!$DN$1),0),5)</f>
        <v>0</v>
      </c>
      <c r="DO111" s="46" cm="1">
        <f t="array" ref="DO111">ROUND(IFERROR(INDEX(ArchiveResults!$F$5:$IX$116,ComparisonData!A111,ComparisonData!$DO$1),0),5)</f>
        <v>0</v>
      </c>
      <c r="DP111" s="46" cm="1">
        <f t="array" ref="DP111">ROUND(IFERROR(INDEX(ArchiveResults!$F$5:$IX$116,ComparisonData!A111,ComparisonData!$DP$1),0),5)</f>
        <v>0</v>
      </c>
      <c r="DQ111" s="45" cm="1">
        <f t="array" ref="DQ111">IFERROR(INDEX(ArchiveResults!$F$5:$IX$116,ComparisonData!A111,ComparisonData!$DQ$1),0)</f>
        <v>0</v>
      </c>
      <c r="DR111" s="56">
        <v>106</v>
      </c>
      <c r="DS111" s="53" t="str">
        <f t="shared" si="1188"/>
        <v>West Glamorgan Archive Service</v>
      </c>
      <c r="DT111" s="59">
        <f t="shared" si="810"/>
        <v>0</v>
      </c>
      <c r="DU111" s="59">
        <f t="shared" si="811"/>
        <v>0</v>
      </c>
      <c r="DV111" s="59">
        <f t="shared" si="812"/>
        <v>0</v>
      </c>
      <c r="DW111" s="59">
        <f t="shared" si="813"/>
        <v>0</v>
      </c>
      <c r="DX111" s="59">
        <f t="shared" si="814"/>
        <v>0</v>
      </c>
      <c r="DY111" s="58">
        <f t="shared" si="815"/>
        <v>0</v>
      </c>
      <c r="DZ111" s="45">
        <f t="shared" si="816"/>
        <v>3</v>
      </c>
      <c r="EA111" s="54">
        <f t="shared" si="1189"/>
        <v>2.4489999999999994</v>
      </c>
      <c r="EB111" s="45">
        <f t="shared" si="817"/>
        <v>1</v>
      </c>
      <c r="EC111" s="45">
        <f t="shared" si="818"/>
        <v>2</v>
      </c>
      <c r="ED111" s="46" cm="1">
        <f t="array" ref="ED111">ROUND(IFERROR(INDEX(ArchiveResults!$F$5:$IX$116,ComparisonData!A111,ComparisonData!$ED$1),0),5)</f>
        <v>0</v>
      </c>
      <c r="EE111" s="46" cm="1">
        <f t="array" ref="EE111">ROUND(IFERROR(INDEX(ArchiveResults!$F$5:$IX$116,ComparisonData!A111,ComparisonData!$EE$1),0),5)</f>
        <v>0</v>
      </c>
      <c r="EF111" s="46" cm="1">
        <f t="array" ref="EF111">ROUND(IFERROR(INDEX(ArchiveResults!$F$5:$IX$116,ComparisonData!A111,ComparisonData!$EF$1),0),5)</f>
        <v>0</v>
      </c>
      <c r="EG111" s="46" cm="1">
        <f t="array" ref="EG111">ROUND(IFERROR(INDEX(ArchiveResults!$F$5:$IX$116,ComparisonData!A111,ComparisonData!$EG$1),0),5)</f>
        <v>0</v>
      </c>
      <c r="EH111" s="45" cm="1">
        <f t="array" ref="EH111">IFERROR(INDEX(ArchiveResults!$F$5:$IX$116,ComparisonData!A111,ComparisonData!$EH$1),0)</f>
        <v>0</v>
      </c>
      <c r="EI111" s="56">
        <v>106</v>
      </c>
      <c r="EJ111" s="53" t="str">
        <f t="shared" si="1190"/>
        <v>West Glamorgan Archive Service</v>
      </c>
      <c r="EK111" s="59">
        <f t="shared" si="819"/>
        <v>0</v>
      </c>
      <c r="EL111" s="59">
        <f t="shared" si="820"/>
        <v>0</v>
      </c>
      <c r="EM111" s="59">
        <f t="shared" si="821"/>
        <v>0</v>
      </c>
      <c r="EN111" s="59">
        <f t="shared" si="822"/>
        <v>0</v>
      </c>
      <c r="EO111" s="59">
        <f t="shared" si="823"/>
        <v>0</v>
      </c>
      <c r="EP111" s="58">
        <f t="shared" si="824"/>
        <v>0</v>
      </c>
      <c r="EQ111" s="45">
        <f t="shared" si="825"/>
        <v>3</v>
      </c>
      <c r="ER111" s="54">
        <f t="shared" si="1191"/>
        <v>2.4489999999999994</v>
      </c>
      <c r="ES111" s="45">
        <f t="shared" si="826"/>
        <v>1</v>
      </c>
      <c r="ET111" s="45">
        <f t="shared" si="827"/>
        <v>2</v>
      </c>
      <c r="EU111" s="46" cm="1">
        <f t="array" ref="EU111">ROUND(IFERROR(INDEX(ArchiveResults!$F$5:$IX$116,ComparisonData!A111,ComparisonData!$EU$1),0),5)</f>
        <v>0</v>
      </c>
      <c r="EV111" s="46" cm="1">
        <f t="array" ref="EV111">ROUND(IFERROR(INDEX(ArchiveResults!$F$5:$IX$116,ComparisonData!A111,ComparisonData!$EV$1),0),5)</f>
        <v>0</v>
      </c>
      <c r="EW111" s="46" cm="1">
        <f t="array" ref="EW111">ROUND(IFERROR(INDEX(ArchiveResults!$F$5:$IX$116,ComparisonData!A111,ComparisonData!$EW$1),0),5)</f>
        <v>0</v>
      </c>
      <c r="EX111" s="46" cm="1">
        <f t="array" ref="EX111">ROUND(IFERROR(INDEX(ArchiveResults!$F$5:$IX$116,ComparisonData!A111,ComparisonData!$EX$1),0),5)</f>
        <v>0</v>
      </c>
      <c r="EY111" s="45" cm="1">
        <f t="array" ref="EY111">IFERROR(INDEX(ArchiveResults!$F$5:$IX$116,ComparisonData!A111,ComparisonData!$EY$1),0)</f>
        <v>0</v>
      </c>
      <c r="EZ111" s="56">
        <v>106</v>
      </c>
      <c r="FA111" s="53" t="str">
        <f t="shared" si="1192"/>
        <v>West Glamorgan Archive Service</v>
      </c>
      <c r="FB111" s="59">
        <f t="shared" si="828"/>
        <v>0</v>
      </c>
      <c r="FC111" s="59">
        <f t="shared" si="829"/>
        <v>0</v>
      </c>
      <c r="FD111" s="59">
        <f t="shared" si="830"/>
        <v>0</v>
      </c>
      <c r="FE111" s="59">
        <f t="shared" si="831"/>
        <v>0</v>
      </c>
      <c r="FF111" s="59">
        <f t="shared" si="832"/>
        <v>0</v>
      </c>
      <c r="FG111" s="58">
        <f t="shared" si="833"/>
        <v>0</v>
      </c>
      <c r="FH111" s="45">
        <f t="shared" si="834"/>
        <v>3</v>
      </c>
      <c r="FI111" s="54">
        <f t="shared" si="1193"/>
        <v>2.4489999999999994</v>
      </c>
      <c r="FJ111" s="45">
        <f t="shared" si="835"/>
        <v>1</v>
      </c>
      <c r="FK111" s="45">
        <f t="shared" si="836"/>
        <v>2</v>
      </c>
      <c r="FL111" s="46" cm="1">
        <f t="array" ref="FL111">ROUND(IFERROR(INDEX(ArchiveResults!$F$5:$IX$116,ComparisonData!A111,ComparisonData!$FL$1),0),5)</f>
        <v>0</v>
      </c>
      <c r="FM111" s="46" cm="1">
        <f t="array" ref="FM111">ROUND(IFERROR(INDEX(ArchiveResults!$F$5:$IX$116,ComparisonData!A111,ComparisonData!$FM$1),0),5)</f>
        <v>0</v>
      </c>
      <c r="FN111" s="46" cm="1">
        <f t="array" ref="FN111">ROUND(IFERROR(INDEX(ArchiveResults!$F$5:$IX$116,ComparisonData!A111,ComparisonData!$FN$1),0),5)</f>
        <v>0</v>
      </c>
      <c r="FO111" s="46" cm="1">
        <f t="array" ref="FO111">ROUND(IFERROR(INDEX(ArchiveResults!$F$5:$IX$116,ComparisonData!A111,ComparisonData!$FO$1),0),5)</f>
        <v>0</v>
      </c>
      <c r="FP111" s="45" cm="1">
        <f t="array" ref="FP111">IFERROR(INDEX(ArchiveResults!$F$5:$IX$116,ComparisonData!A111,ComparisonData!$FP$1),0)</f>
        <v>0</v>
      </c>
      <c r="FQ111" s="56">
        <v>106</v>
      </c>
      <c r="FR111" s="53" t="str">
        <f t="shared" si="1194"/>
        <v>West Glamorgan Archive Service</v>
      </c>
      <c r="FS111" s="59">
        <f t="shared" si="837"/>
        <v>0</v>
      </c>
      <c r="FT111" s="59">
        <f t="shared" si="838"/>
        <v>0</v>
      </c>
      <c r="FU111" s="59">
        <f t="shared" si="839"/>
        <v>0</v>
      </c>
      <c r="FV111" s="59">
        <f t="shared" si="840"/>
        <v>0</v>
      </c>
      <c r="FW111" s="59">
        <f t="shared" si="841"/>
        <v>0</v>
      </c>
      <c r="FX111" s="58">
        <f t="shared" si="842"/>
        <v>0</v>
      </c>
      <c r="FY111" s="45">
        <f t="shared" si="843"/>
        <v>3</v>
      </c>
      <c r="FZ111" s="45">
        <f t="shared" si="1195"/>
        <v>2.4489999999999994</v>
      </c>
      <c r="GA111" s="45">
        <f t="shared" si="844"/>
        <v>1</v>
      </c>
      <c r="GB111" s="45">
        <f t="shared" si="845"/>
        <v>2</v>
      </c>
      <c r="GC111" s="46" cm="1">
        <f t="array" ref="GC111">ROUND(IFERROR(INDEX(ArchiveResults!$F$5:$IX$116,ComparisonData!A111,ComparisonData!$GC$1),0),5)</f>
        <v>0</v>
      </c>
      <c r="GD111" s="46" cm="1">
        <f t="array" ref="GD111">ROUND(IFERROR(INDEX(ArchiveResults!$F$5:$IX$116,ComparisonData!A111,ComparisonData!$GD$1),0),5)</f>
        <v>0</v>
      </c>
      <c r="GE111" s="46" cm="1">
        <f t="array" ref="GE111">ROUND(IFERROR(INDEX(ArchiveResults!$F$5:$IX$116,ComparisonData!A111,ComparisonData!$GE$1),0),5)</f>
        <v>0</v>
      </c>
      <c r="GF111" s="46" cm="1">
        <f t="array" ref="GF111">ROUND(IFERROR(INDEX(ArchiveResults!$F$5:$IX$116,ComparisonData!A111,ComparisonData!$GF$1),0),5)</f>
        <v>0</v>
      </c>
      <c r="GG111" s="45" cm="1">
        <f t="array" ref="GG111">IFERROR(INDEX(ArchiveResults!$F$5:$IX$116,ComparisonData!A111,ComparisonData!$GG$1),0)</f>
        <v>0</v>
      </c>
      <c r="GH111" s="56">
        <v>106</v>
      </c>
      <c r="GI111" s="53" t="str">
        <f t="shared" si="1196"/>
        <v>West Glamorgan Archive Service</v>
      </c>
      <c r="GJ111" s="59">
        <f t="shared" si="846"/>
        <v>0</v>
      </c>
      <c r="GK111" s="59">
        <f t="shared" si="847"/>
        <v>0</v>
      </c>
      <c r="GL111" s="59">
        <f t="shared" si="848"/>
        <v>0</v>
      </c>
      <c r="GM111" s="59">
        <f t="shared" si="849"/>
        <v>0</v>
      </c>
      <c r="GN111" s="59">
        <f t="shared" si="850"/>
        <v>0</v>
      </c>
      <c r="GO111" s="58">
        <f t="shared" si="851"/>
        <v>0</v>
      </c>
      <c r="GP111" s="45">
        <f t="shared" si="852"/>
        <v>3</v>
      </c>
      <c r="GQ111" s="45">
        <f t="shared" si="1197"/>
        <v>2.4489999999999994</v>
      </c>
      <c r="GR111" s="45">
        <f t="shared" si="853"/>
        <v>1</v>
      </c>
      <c r="GS111" s="45">
        <f t="shared" si="854"/>
        <v>2</v>
      </c>
      <c r="GT111" s="46" cm="1">
        <f t="array" ref="GT111">ROUND(IFERROR(INDEX(ArchiveResults!$F$5:$IX$116,ComparisonData!A111,ComparisonData!$GT$1),0),5)</f>
        <v>0</v>
      </c>
      <c r="GU111" s="46" cm="1">
        <f t="array" ref="GU111">ROUND(IFERROR(INDEX(ArchiveResults!$F$5:$IX$116,ComparisonData!A111,ComparisonData!$GU$1),0),5)</f>
        <v>0</v>
      </c>
      <c r="GV111" s="46" cm="1">
        <f t="array" ref="GV111">ROUND(IFERROR(INDEX(ArchiveResults!$F$5:$IX$116,ComparisonData!A111,ComparisonData!$GV$1),0),5)</f>
        <v>0</v>
      </c>
      <c r="GW111" s="46" cm="1">
        <f t="array" ref="GW111">ROUND(IFERROR(INDEX(ArchiveResults!$F$5:$IX$116,ComparisonData!A111,ComparisonData!$GW$1),0),5)</f>
        <v>0</v>
      </c>
      <c r="GX111" s="45" cm="1">
        <f t="array" ref="GX111">IFERROR(INDEX(ArchiveResults!$F$5:$IX$116,ComparisonData!A111,ComparisonData!$GX$1),0)</f>
        <v>0</v>
      </c>
      <c r="GY111" s="56">
        <v>106</v>
      </c>
      <c r="GZ111" s="53" t="str">
        <f t="shared" si="1198"/>
        <v>West Glamorgan Archive Service</v>
      </c>
      <c r="HA111" s="59">
        <f t="shared" si="855"/>
        <v>0</v>
      </c>
      <c r="HB111" s="59">
        <f t="shared" si="856"/>
        <v>0</v>
      </c>
      <c r="HC111" s="59">
        <f t="shared" si="857"/>
        <v>0</v>
      </c>
      <c r="HD111" s="59">
        <f t="shared" si="858"/>
        <v>0</v>
      </c>
      <c r="HE111" s="59">
        <f t="shared" si="859"/>
        <v>0</v>
      </c>
      <c r="HF111" s="58">
        <f t="shared" si="860"/>
        <v>0</v>
      </c>
      <c r="HG111" s="45">
        <f t="shared" si="861"/>
        <v>3</v>
      </c>
      <c r="HH111" s="45">
        <f t="shared" si="1199"/>
        <v>2.4489999999999994</v>
      </c>
      <c r="HI111" s="45">
        <f t="shared" si="862"/>
        <v>1</v>
      </c>
      <c r="HJ111" s="45">
        <f t="shared" si="863"/>
        <v>2</v>
      </c>
      <c r="HK111" s="46" cm="1">
        <f t="array" ref="HK111">ROUND(IFERROR(INDEX(ArchiveResults!$F$5:$IX$116,ComparisonData!A111,ComparisonData!$HK$1),0),5)</f>
        <v>0</v>
      </c>
      <c r="HL111" s="46" cm="1">
        <f t="array" ref="HL111">ROUND(IFERROR(INDEX(ArchiveResults!$F$5:$IX$116,ComparisonData!A111,ComparisonData!$HL$1),0),5)</f>
        <v>0</v>
      </c>
      <c r="HM111" s="46" cm="1">
        <f t="array" ref="HM111">ROUND(IFERROR(INDEX(ArchiveResults!$F$5:$IX$116,ComparisonData!A111,ComparisonData!$HM$1),0),5)</f>
        <v>0</v>
      </c>
      <c r="HN111" s="46" cm="1">
        <f t="array" ref="HN111">ROUND(IFERROR(INDEX(ArchiveResults!$F$5:$IX$116,ComparisonData!A111,ComparisonData!$HN$1),0),5)</f>
        <v>0</v>
      </c>
      <c r="HO111" s="45" cm="1">
        <f t="array" ref="HO111">IFERROR(INDEX(ArchiveResults!$F$5:$IX$116,ComparisonData!A111,ComparisonData!$HO$1),0)</f>
        <v>0</v>
      </c>
      <c r="HP111" s="56">
        <v>106</v>
      </c>
      <c r="HQ111" s="53" t="str">
        <f t="shared" si="1200"/>
        <v>West Glamorgan Archive Service</v>
      </c>
      <c r="HR111" s="59">
        <f t="shared" si="1201"/>
        <v>0</v>
      </c>
      <c r="HS111" s="59">
        <f t="shared" si="1202"/>
        <v>0</v>
      </c>
      <c r="HT111" s="59">
        <f t="shared" si="1203"/>
        <v>0</v>
      </c>
      <c r="HU111" s="59">
        <f t="shared" si="1204"/>
        <v>0</v>
      </c>
      <c r="HV111" s="59">
        <f t="shared" si="1205"/>
        <v>0</v>
      </c>
      <c r="HW111" s="58">
        <f t="shared" si="864"/>
        <v>0</v>
      </c>
      <c r="HX111" s="45">
        <f t="shared" si="865"/>
        <v>3</v>
      </c>
      <c r="HY111" s="45">
        <f t="shared" si="1206"/>
        <v>2.4489999999999994</v>
      </c>
      <c r="HZ111" s="45">
        <f t="shared" si="866"/>
        <v>1</v>
      </c>
      <c r="IA111" s="45">
        <f t="shared" si="867"/>
        <v>2</v>
      </c>
      <c r="IB111" s="45">
        <f t="shared" si="868"/>
        <v>0</v>
      </c>
      <c r="IC111" s="46" cm="1">
        <f t="array" ref="IC111">ROUND(IFERROR(INDEX(ArchiveResults!$F$5:$IX$116,ComparisonData!A111,ComparisonData!$IC$1),0),5)</f>
        <v>0</v>
      </c>
      <c r="ID111" s="46" cm="1">
        <f t="array" ref="ID111">ROUND(IFERROR(INDEX(ArchiveResults!$F$5:$IX$116,ComparisonData!A111,ComparisonData!$ID$1),0),5)</f>
        <v>0</v>
      </c>
      <c r="IE111" s="46" cm="1">
        <f t="array" ref="IE111">ROUND(IFERROR(INDEX(ArchiveResults!$F$5:$IX$116,ComparisonData!A111,ComparisonData!$IE$1),0),5)</f>
        <v>0</v>
      </c>
      <c r="IF111" s="46" cm="1">
        <f t="array" ref="IF111">ROUND(IFERROR(INDEX(ArchiveResults!$F$5:$IX$116,ComparisonData!A111,ComparisonData!$IF$1),0),5)</f>
        <v>0</v>
      </c>
      <c r="IG111" s="45" cm="1">
        <f t="array" ref="IG111">IFERROR(INDEX(ArchiveResults!$F$5:$IX$116,ComparisonData!A111,ComparisonData!$IG$1),0)</f>
        <v>0</v>
      </c>
      <c r="IH111" s="56">
        <v>106</v>
      </c>
      <c r="II111" s="53" t="str">
        <f t="shared" si="1207"/>
        <v>West Glamorgan Archive Service</v>
      </c>
      <c r="IJ111" s="59">
        <f t="shared" si="869"/>
        <v>0</v>
      </c>
      <c r="IK111" s="59">
        <f t="shared" si="870"/>
        <v>0</v>
      </c>
      <c r="IL111" s="59">
        <f t="shared" si="871"/>
        <v>0</v>
      </c>
      <c r="IM111" s="59">
        <f t="shared" si="872"/>
        <v>0</v>
      </c>
      <c r="IN111" s="59">
        <f t="shared" si="873"/>
        <v>0</v>
      </c>
      <c r="IO111" s="58">
        <f t="shared" si="874"/>
        <v>0</v>
      </c>
      <c r="IP111" s="45">
        <f t="shared" si="875"/>
        <v>3</v>
      </c>
      <c r="IQ111" s="45">
        <f t="shared" si="1208"/>
        <v>2.4489999999999994</v>
      </c>
      <c r="IR111" s="45">
        <f t="shared" si="876"/>
        <v>1</v>
      </c>
      <c r="IS111" s="45">
        <f t="shared" si="877"/>
        <v>2</v>
      </c>
      <c r="IT111" s="46">
        <f t="shared" si="878"/>
        <v>0</v>
      </c>
      <c r="IU111" s="46" cm="1">
        <f t="array" ref="IU111">ROUND(IFERROR(INDEX(ArchiveResults!$F$5:$IX$116,ComparisonData!A111,ComparisonData!$IU$1),0),5)</f>
        <v>0</v>
      </c>
      <c r="IV111" s="46" cm="1">
        <f t="array" ref="IV111">ROUND(IFERROR(INDEX(ArchiveResults!$F$5:$IX$116,ComparisonData!A111,ComparisonData!$IV$1),0),5)</f>
        <v>0</v>
      </c>
      <c r="IW111" s="46" cm="1">
        <f t="array" ref="IW111">ROUND(IFERROR(INDEX(ArchiveResults!$F$5:$IX$116,ComparisonData!A111,ComparisonData!$IW$1),0),5)</f>
        <v>0</v>
      </c>
      <c r="IX111" s="46" cm="1">
        <f t="array" ref="IX111">ROUND(IFERROR(INDEX(ArchiveResults!$F$5:$IX$116,ComparisonData!A111,ComparisonData!$IX$1),0),5)</f>
        <v>0</v>
      </c>
      <c r="IY111" s="45" cm="1">
        <f t="array" ref="IY111">IFERROR(INDEX(ArchiveResults!$F$5:$IX$116,ComparisonData!A111,ComparisonData!$IY$1),0)</f>
        <v>0</v>
      </c>
      <c r="IZ111" s="56">
        <v>106</v>
      </c>
      <c r="JA111" s="53" t="str">
        <f t="shared" si="1209"/>
        <v>West Glamorgan Archive Service</v>
      </c>
      <c r="JB111" s="59">
        <f t="shared" si="879"/>
        <v>0</v>
      </c>
      <c r="JC111" s="59">
        <f t="shared" si="880"/>
        <v>0</v>
      </c>
      <c r="JD111" s="59">
        <f t="shared" si="881"/>
        <v>0</v>
      </c>
      <c r="JE111" s="59">
        <f t="shared" si="882"/>
        <v>0</v>
      </c>
      <c r="JF111" s="59">
        <f t="shared" si="883"/>
        <v>0</v>
      </c>
      <c r="JG111" s="58">
        <f t="shared" si="884"/>
        <v>0</v>
      </c>
      <c r="JH111" s="45">
        <f t="shared" si="885"/>
        <v>3</v>
      </c>
      <c r="JI111" s="45">
        <f t="shared" si="1210"/>
        <v>2.4489999999999994</v>
      </c>
      <c r="JJ111" s="45">
        <f t="shared" si="886"/>
        <v>1</v>
      </c>
      <c r="JK111" s="45">
        <f t="shared" si="887"/>
        <v>2</v>
      </c>
      <c r="JL111" s="45">
        <f t="shared" si="888"/>
        <v>0</v>
      </c>
      <c r="JM111" s="46" cm="1">
        <f t="array" ref="JM111">ROUND(IFERROR(INDEX(ArchiveResults!$F$5:$IX$116,ComparisonData!A111,ComparisonData!$JM$1),0),5)</f>
        <v>0</v>
      </c>
      <c r="JN111" s="46" cm="1">
        <f t="array" ref="JN111">ROUND(IFERROR(INDEX(ArchiveResults!$F$5:$IX$116,ComparisonData!A111,ComparisonData!$JN$1),0),5)</f>
        <v>0</v>
      </c>
      <c r="JO111" s="46" cm="1">
        <f t="array" ref="JO111">ROUND(IFERROR(INDEX(ArchiveResults!$F$5:$IX$116,ComparisonData!A111,ComparisonData!$JO$1),0),5)</f>
        <v>0</v>
      </c>
      <c r="JP111" s="46" cm="1">
        <f t="array" ref="JP111">ROUND(IFERROR(INDEX(ArchiveResults!$F$5:$IX$116,ComparisonData!A111,ComparisonData!$JP$1),0),5)</f>
        <v>0</v>
      </c>
      <c r="JQ111" s="45" cm="1">
        <f t="array" ref="JQ111">IFERROR(INDEX(ArchiveResults!$F$5:$IX$116,ComparisonData!A111,ComparisonData!$JQ$1),0)</f>
        <v>0</v>
      </c>
      <c r="JR111" s="56">
        <v>106</v>
      </c>
      <c r="JS111" s="53" t="str">
        <f t="shared" si="1211"/>
        <v>West Glamorgan Archive Service</v>
      </c>
      <c r="JT111" s="59">
        <f t="shared" si="889"/>
        <v>0</v>
      </c>
      <c r="JU111" s="59">
        <f t="shared" si="890"/>
        <v>0</v>
      </c>
      <c r="JV111" s="59">
        <f t="shared" si="891"/>
        <v>0</v>
      </c>
      <c r="JW111" s="59">
        <f t="shared" si="892"/>
        <v>0</v>
      </c>
      <c r="JX111" s="59">
        <f t="shared" si="893"/>
        <v>0</v>
      </c>
      <c r="JY111" s="58">
        <f t="shared" si="894"/>
        <v>0</v>
      </c>
      <c r="JZ111" s="45">
        <f t="shared" si="895"/>
        <v>3</v>
      </c>
      <c r="KA111" s="45">
        <f t="shared" si="1212"/>
        <v>2.4489999999999994</v>
      </c>
      <c r="KB111" s="45">
        <f t="shared" si="896"/>
        <v>1</v>
      </c>
      <c r="KC111" s="45">
        <f t="shared" si="897"/>
        <v>2</v>
      </c>
      <c r="KD111" s="45">
        <f t="shared" si="898"/>
        <v>0</v>
      </c>
      <c r="KE111" s="46" cm="1">
        <f t="array" ref="KE111">ROUND(IFERROR(INDEX(ArchiveResults!$F$5:$IX$116,ComparisonData!A111,ComparisonData!$KE$1),0),5)</f>
        <v>0</v>
      </c>
      <c r="KF111" s="46" cm="1">
        <f t="array" ref="KF111">ROUND(IFERROR(INDEX(ArchiveResults!$F$5:$IX$116,ComparisonData!A111,ComparisonData!$KF$1),0),5)</f>
        <v>0</v>
      </c>
      <c r="KG111" s="46" cm="1">
        <f t="array" ref="KG111">ROUND(IFERROR(INDEX(ArchiveResults!$F$5:$IX$116,ComparisonData!A111,ComparisonData!$KG$1),0),5)</f>
        <v>0</v>
      </c>
      <c r="KH111" s="46" cm="1">
        <f t="array" ref="KH111">ROUND(IFERROR(INDEX(ArchiveResults!$F$5:$IX$116,ComparisonData!A111,ComparisonData!$KH$1),0),5)</f>
        <v>0</v>
      </c>
      <c r="KI111" s="45" cm="1">
        <f t="array" ref="KI111">IFERROR(INDEX(ArchiveResults!$F$5:$IX$116,ComparisonData!A111,ComparisonData!$KI$1),0)</f>
        <v>0</v>
      </c>
      <c r="KJ111" s="56">
        <v>106</v>
      </c>
      <c r="KK111" s="53" t="str">
        <f t="shared" si="1213"/>
        <v>West Glamorgan Archive Service</v>
      </c>
      <c r="KL111" s="59">
        <f t="shared" si="899"/>
        <v>0</v>
      </c>
      <c r="KM111" s="59">
        <f t="shared" si="900"/>
        <v>0</v>
      </c>
      <c r="KN111" s="59">
        <f t="shared" si="901"/>
        <v>0</v>
      </c>
      <c r="KO111" s="59">
        <f t="shared" si="902"/>
        <v>0</v>
      </c>
      <c r="KP111" s="59">
        <f t="shared" si="903"/>
        <v>0</v>
      </c>
      <c r="KQ111" s="58">
        <f t="shared" si="904"/>
        <v>0</v>
      </c>
      <c r="KR111" s="45">
        <f t="shared" si="905"/>
        <v>3</v>
      </c>
      <c r="KS111" s="45">
        <f t="shared" si="1214"/>
        <v>2.4489999999999994</v>
      </c>
      <c r="KT111" s="45">
        <f t="shared" si="906"/>
        <v>1</v>
      </c>
      <c r="KU111" s="45">
        <f t="shared" si="907"/>
        <v>2</v>
      </c>
      <c r="KV111" s="45">
        <f t="shared" si="908"/>
        <v>0</v>
      </c>
      <c r="KW111" s="46" cm="1">
        <f t="array" ref="KW111">ROUND(IFERROR(INDEX(ArchiveResults!$F$5:$IX$116,ComparisonData!A111,ComparisonData!$KW$1),0),5)</f>
        <v>0</v>
      </c>
      <c r="KX111" s="46" cm="1">
        <f t="array" ref="KX111">ROUND(IFERROR(INDEX(ArchiveResults!$F$5:$IX$116,ComparisonData!A111,ComparisonData!$KX$1),0),5)</f>
        <v>0</v>
      </c>
      <c r="KY111" s="46" cm="1">
        <f t="array" ref="KY111">ROUND(IFERROR(INDEX(ArchiveResults!$F$5:$IX$116,ComparisonData!A111,ComparisonData!$KY$1),0),5)</f>
        <v>0</v>
      </c>
      <c r="KZ111" s="46" cm="1">
        <f t="array" ref="KZ111">ROUND(IFERROR(INDEX(ArchiveResults!$F$5:$IX$116,ComparisonData!A111,ComparisonData!$KZ$1),0),5)</f>
        <v>0</v>
      </c>
      <c r="LA111" s="45" cm="1">
        <f t="array" ref="LA111">IFERROR(INDEX(ArchiveResults!$F$5:$IX$116,ComparisonData!A111,ComparisonData!$LA$1),0)</f>
        <v>0</v>
      </c>
      <c r="LB111" s="56">
        <v>106</v>
      </c>
      <c r="LC111" s="53" t="str">
        <f t="shared" si="1215"/>
        <v>West Glamorgan Archive Service</v>
      </c>
      <c r="LD111" s="59">
        <f t="shared" si="909"/>
        <v>0</v>
      </c>
      <c r="LE111" s="59">
        <f t="shared" si="910"/>
        <v>0</v>
      </c>
      <c r="LF111" s="59">
        <f t="shared" si="911"/>
        <v>0</v>
      </c>
      <c r="LG111" s="59">
        <f t="shared" si="912"/>
        <v>0</v>
      </c>
      <c r="LH111" s="59">
        <f t="shared" si="913"/>
        <v>0</v>
      </c>
      <c r="LI111" s="58">
        <f t="shared" si="914"/>
        <v>0</v>
      </c>
      <c r="LJ111" s="45">
        <f t="shared" si="915"/>
        <v>3</v>
      </c>
      <c r="LK111" s="45">
        <f t="shared" si="1216"/>
        <v>2.4489999999999994</v>
      </c>
      <c r="LL111" s="45">
        <f t="shared" si="916"/>
        <v>1</v>
      </c>
      <c r="LM111" s="45">
        <f t="shared" si="917"/>
        <v>2</v>
      </c>
      <c r="LN111" s="45">
        <f t="shared" si="918"/>
        <v>0</v>
      </c>
      <c r="LO111" s="46" cm="1">
        <f t="array" ref="LO111">ROUND(IFERROR(INDEX(ArchiveResults!$F$5:$IX$116,ComparisonData!A111,ComparisonData!$LO$1),0),5)</f>
        <v>0</v>
      </c>
      <c r="LP111" s="46" cm="1">
        <f t="array" ref="LP111">ROUND(IFERROR(INDEX(ArchiveResults!$F$5:$IX$116,ComparisonData!A111,ComparisonData!$LP$1),0),5)</f>
        <v>0</v>
      </c>
      <c r="LQ111" s="46" cm="1">
        <f t="array" ref="LQ111">ROUND(IFERROR(INDEX(ArchiveResults!$F$5:$IX$116,ComparisonData!A111,ComparisonData!$LQ$1),0),5)</f>
        <v>0</v>
      </c>
      <c r="LR111" s="46" cm="1">
        <f t="array" ref="LR111">ROUND(IFERROR(INDEX(ArchiveResults!$F$5:$IX$116,ComparisonData!A111,ComparisonData!$LR$1),0),5)</f>
        <v>0</v>
      </c>
      <c r="LS111" s="45" cm="1">
        <f t="array" ref="LS111">IFERROR(INDEX(ArchiveResults!$F$5:$IX$116,ComparisonData!A111,ComparisonData!$LS$1),0)</f>
        <v>0</v>
      </c>
      <c r="LT111" s="56">
        <v>106</v>
      </c>
      <c r="LU111" s="53" t="str">
        <f t="shared" si="1217"/>
        <v>West Glamorgan Archive Service</v>
      </c>
      <c r="LV111" s="59">
        <f t="shared" si="919"/>
        <v>0</v>
      </c>
      <c r="LW111" s="59">
        <f t="shared" si="920"/>
        <v>0</v>
      </c>
      <c r="LX111" s="59">
        <f t="shared" si="921"/>
        <v>0</v>
      </c>
      <c r="LY111" s="59">
        <f t="shared" si="922"/>
        <v>0</v>
      </c>
      <c r="LZ111" s="59">
        <f t="shared" si="923"/>
        <v>0</v>
      </c>
      <c r="MA111" s="58">
        <f t="shared" si="924"/>
        <v>0</v>
      </c>
      <c r="MB111" s="45">
        <f t="shared" si="925"/>
        <v>3</v>
      </c>
      <c r="MC111" s="45">
        <f t="shared" si="1218"/>
        <v>2.4489999999999994</v>
      </c>
      <c r="MD111" s="45">
        <f t="shared" si="926"/>
        <v>1</v>
      </c>
      <c r="ME111" s="45">
        <f t="shared" si="927"/>
        <v>2</v>
      </c>
      <c r="MF111" s="45">
        <f t="shared" si="928"/>
        <v>0</v>
      </c>
      <c r="MG111" s="46" cm="1">
        <f t="array" ref="MG111">ROUND(IFERROR(INDEX(ArchiveResults!$F$5:$IX$116,ComparisonData!A111,ComparisonData!$MG$1),0),5)</f>
        <v>0</v>
      </c>
      <c r="MH111" s="46" cm="1">
        <f t="array" ref="MH111">ROUND(IFERROR(INDEX(ArchiveResults!$F$5:$IX$116,ComparisonData!A111,ComparisonData!$MH$1),0),5)</f>
        <v>0</v>
      </c>
      <c r="MI111" s="46" cm="1">
        <f t="array" ref="MI111">ROUND(IFERROR(INDEX(ArchiveResults!$F$5:$IX$116,ComparisonData!A111,ComparisonData!$MI$1),0),5)</f>
        <v>0</v>
      </c>
      <c r="MJ111" s="46" cm="1">
        <f t="array" ref="MJ111">ROUND(IFERROR(INDEX(ArchiveResults!$F$5:$IX$116,ComparisonData!A111,ComparisonData!$MJ$1),0),5)</f>
        <v>0</v>
      </c>
      <c r="MK111" s="45" cm="1">
        <f t="array" ref="MK111">IFERROR(INDEX(ArchiveResults!$F$5:$IX$116,ComparisonData!A111,ComparisonData!$MK$1),0)</f>
        <v>0</v>
      </c>
      <c r="ML111" s="56">
        <v>106</v>
      </c>
      <c r="MM111" s="53" t="str">
        <f t="shared" si="1219"/>
        <v>West Glamorgan Archive Service</v>
      </c>
      <c r="MN111" s="59">
        <f t="shared" si="929"/>
        <v>0</v>
      </c>
      <c r="MO111" s="59">
        <f t="shared" si="930"/>
        <v>0</v>
      </c>
      <c r="MP111" s="59">
        <f t="shared" si="931"/>
        <v>0</v>
      </c>
      <c r="MQ111" s="59">
        <f t="shared" si="932"/>
        <v>0</v>
      </c>
      <c r="MR111" s="59">
        <f t="shared" si="933"/>
        <v>0</v>
      </c>
      <c r="MS111" s="58">
        <f t="shared" si="934"/>
        <v>0</v>
      </c>
      <c r="MT111" s="45">
        <f t="shared" si="935"/>
        <v>3</v>
      </c>
      <c r="MU111" s="45">
        <f t="shared" si="1220"/>
        <v>2.4489999999999994</v>
      </c>
      <c r="MV111" s="45">
        <f t="shared" si="936"/>
        <v>1</v>
      </c>
      <c r="MW111" s="45">
        <f t="shared" si="937"/>
        <v>2</v>
      </c>
      <c r="MX111" s="45">
        <f t="shared" si="938"/>
        <v>0</v>
      </c>
      <c r="MY111" s="46" cm="1">
        <f t="array" ref="MY111">ROUND(IFERROR(INDEX(ArchiveResults!$F$5:$IX$116,ComparisonData!A111,ComparisonData!$MY$1),0),5)</f>
        <v>0</v>
      </c>
      <c r="MZ111" s="46" cm="1">
        <f t="array" ref="MZ111">ROUND(IFERROR(INDEX(ArchiveResults!$F$5:$IX$116,ComparisonData!A111,ComparisonData!$MZ$1),0),5)</f>
        <v>0</v>
      </c>
      <c r="NA111" s="46" cm="1">
        <f t="array" ref="NA111">ROUND(IFERROR(INDEX(ArchiveResults!$F$5:$IX$116,ComparisonData!A111,ComparisonData!$NA$1),0),5)</f>
        <v>0</v>
      </c>
      <c r="NB111" s="46" cm="1">
        <f t="array" ref="NB111">ROUND(IFERROR(INDEX(ArchiveResults!$F$5:$IX$116,ComparisonData!A111,ComparisonData!$NB$1),0),5)</f>
        <v>0</v>
      </c>
      <c r="NC111" s="45" cm="1">
        <f t="array" ref="NC111">IFERROR(INDEX(ArchiveResults!$F$5:$IX$116,ComparisonData!A111,ComparisonData!$NC$1),0)</f>
        <v>0</v>
      </c>
      <c r="ND111" s="56">
        <v>106</v>
      </c>
      <c r="NE111" s="53" t="str">
        <f t="shared" si="1221"/>
        <v>West Glamorgan Archive Service</v>
      </c>
      <c r="NF111" s="59">
        <f t="shared" si="939"/>
        <v>0</v>
      </c>
      <c r="NG111" s="59">
        <f t="shared" si="940"/>
        <v>0</v>
      </c>
      <c r="NH111" s="59">
        <f t="shared" si="941"/>
        <v>0</v>
      </c>
      <c r="NI111" s="59">
        <f t="shared" si="942"/>
        <v>0</v>
      </c>
      <c r="NJ111" s="59">
        <f t="shared" si="943"/>
        <v>0</v>
      </c>
      <c r="NK111" s="58">
        <f t="shared" si="944"/>
        <v>0</v>
      </c>
      <c r="NL111" s="45">
        <f t="shared" si="945"/>
        <v>3</v>
      </c>
      <c r="NM111" s="45">
        <f t="shared" si="1222"/>
        <v>2.4489999999999994</v>
      </c>
      <c r="NN111" s="45">
        <f t="shared" si="946"/>
        <v>1</v>
      </c>
      <c r="NO111" s="45">
        <f t="shared" si="947"/>
        <v>2</v>
      </c>
      <c r="NP111" s="46" cm="1">
        <f t="array" ref="NP111">ROUND(IFERROR(INDEX(ArchiveResults!$F$5:$IX$116,ComparisonData!A111,ComparisonData!$NP$1),0),5)</f>
        <v>0</v>
      </c>
      <c r="NQ111" s="46" cm="1">
        <f t="array" ref="NQ111">ROUND(IFERROR(INDEX(ArchiveResults!$F$5:$IX$116,ComparisonData!A111,ComparisonData!$NQ$1),0),5)</f>
        <v>0</v>
      </c>
      <c r="NR111" s="46" cm="1">
        <f t="array" ref="NR111">ROUND(IFERROR(INDEX(ArchiveResults!$F$5:$IX$116,ComparisonData!A111,ComparisonData!$NR$1),0),5)</f>
        <v>0</v>
      </c>
      <c r="NS111" s="46" cm="1">
        <f t="array" ref="NS111">ROUND(IFERROR(INDEX(ArchiveResults!$F$5:$IX$116,ComparisonData!A111,ComparisonData!$NS$1),0),5)</f>
        <v>0</v>
      </c>
      <c r="NT111" s="45" cm="1">
        <f t="array" ref="NT111">IFERROR(INDEX(ArchiveResults!$F$5:$IX$116,ComparisonData!A111,ComparisonData!$NT$1),0)</f>
        <v>0</v>
      </c>
      <c r="NU111" s="56">
        <v>106</v>
      </c>
      <c r="NV111" s="53" t="str">
        <f t="shared" si="1223"/>
        <v>West Glamorgan Archive Service</v>
      </c>
      <c r="NW111" s="59">
        <f t="shared" si="948"/>
        <v>0</v>
      </c>
      <c r="NX111" s="59">
        <f t="shared" si="949"/>
        <v>0</v>
      </c>
      <c r="NY111" s="59">
        <f t="shared" si="950"/>
        <v>0</v>
      </c>
      <c r="NZ111" s="59">
        <f t="shared" si="951"/>
        <v>0</v>
      </c>
      <c r="OA111" s="59">
        <f t="shared" si="952"/>
        <v>0</v>
      </c>
      <c r="OB111" s="58">
        <f t="shared" si="953"/>
        <v>0</v>
      </c>
      <c r="OC111" s="45">
        <f t="shared" si="954"/>
        <v>3</v>
      </c>
      <c r="OD111" s="45">
        <f t="shared" si="1224"/>
        <v>2.4489999999999994</v>
      </c>
      <c r="OE111" s="45">
        <f t="shared" si="955"/>
        <v>1</v>
      </c>
      <c r="OF111" s="45">
        <f t="shared" si="956"/>
        <v>2</v>
      </c>
      <c r="OG111" s="46">
        <f t="shared" si="957"/>
        <v>0</v>
      </c>
      <c r="OH111" s="46" cm="1">
        <f t="array" ref="OH111">ROUND(IFERROR(INDEX(ArchiveResults!$F$5:$IX$116,ComparisonData!A111,ComparisonData!$OH$1),0),5)</f>
        <v>0</v>
      </c>
      <c r="OI111" s="46" cm="1">
        <f t="array" ref="OI111">ROUND(IFERROR(INDEX(ArchiveResults!$F$5:$IX$116,ComparisonData!A111,ComparisonData!$OI$1),0),5)</f>
        <v>0</v>
      </c>
      <c r="OJ111" s="46" cm="1">
        <f t="array" ref="OJ111">ROUND(IFERROR(INDEX(ArchiveResults!$F$5:$IX$116,ComparisonData!A111,ComparisonData!$OJ$1),0),5)</f>
        <v>0</v>
      </c>
      <c r="OK111" s="46" cm="1">
        <f t="array" ref="OK111">ROUND(IFERROR(INDEX(ArchiveResults!$F$5:$IX$116,ComparisonData!A111,ComparisonData!$OK$1),0),5)</f>
        <v>0</v>
      </c>
      <c r="OL111" s="45" cm="1">
        <f t="array" ref="OL111">IFERROR(INDEX(ArchiveResults!$F$5:$IX$116,ComparisonData!A111,ComparisonData!$OL$1),0)</f>
        <v>0</v>
      </c>
      <c r="OM111" s="56">
        <v>106</v>
      </c>
      <c r="ON111" s="53" t="str">
        <f t="shared" si="1225"/>
        <v>West Glamorgan Archive Service</v>
      </c>
      <c r="OO111" s="59">
        <f t="shared" si="958"/>
        <v>0</v>
      </c>
      <c r="OP111" s="59">
        <f t="shared" si="959"/>
        <v>0</v>
      </c>
      <c r="OQ111" s="59">
        <f t="shared" si="960"/>
        <v>0</v>
      </c>
      <c r="OR111" s="59">
        <f t="shared" si="961"/>
        <v>0</v>
      </c>
      <c r="OS111" s="59">
        <f t="shared" si="962"/>
        <v>0</v>
      </c>
      <c r="OT111" s="58">
        <f t="shared" si="963"/>
        <v>0</v>
      </c>
      <c r="OU111" s="45">
        <f t="shared" si="964"/>
        <v>3</v>
      </c>
      <c r="OV111" s="45">
        <f t="shared" si="1226"/>
        <v>2.4489999999999994</v>
      </c>
      <c r="OW111" s="45">
        <f t="shared" si="965"/>
        <v>1</v>
      </c>
      <c r="OX111" s="45">
        <f t="shared" si="966"/>
        <v>2</v>
      </c>
      <c r="OY111" s="45">
        <f t="shared" si="967"/>
        <v>0</v>
      </c>
      <c r="OZ111" s="46" cm="1">
        <f t="array" ref="OZ111">ROUND(IFERROR(INDEX(ArchiveResults!$F$5:$IX$116,ComparisonData!A111,ComparisonData!$OZ$1),0),5)</f>
        <v>0</v>
      </c>
      <c r="PA111" s="46" cm="1">
        <f t="array" ref="PA111">ROUND(IFERROR(INDEX(ArchiveResults!$F$5:$IX$116,ComparisonData!A111,ComparisonData!$PA$1),0),5)</f>
        <v>0</v>
      </c>
      <c r="PB111" s="46" cm="1">
        <f t="array" ref="PB111">ROUND(IFERROR(INDEX(ArchiveResults!$F$5:$IX$116,ComparisonData!A111,ComparisonData!$PB$1),0),5)</f>
        <v>0</v>
      </c>
      <c r="PC111" s="46" cm="1">
        <f t="array" ref="PC111">ROUND(IFERROR(INDEX(ArchiveResults!$F$5:$IX$116,ComparisonData!A111,ComparisonData!$PC$1),0),5)</f>
        <v>0</v>
      </c>
      <c r="PD111" s="45" cm="1">
        <f t="array" ref="PD111">IFERROR(INDEX(ArchiveResults!$F$5:$IX$116,ComparisonData!A111,ComparisonData!$PD$1),0)</f>
        <v>0</v>
      </c>
      <c r="PE111" s="56">
        <v>106</v>
      </c>
      <c r="PF111" s="53" t="str">
        <f t="shared" si="1227"/>
        <v>West Glamorgan Archive Service</v>
      </c>
      <c r="PG111" s="59">
        <f t="shared" si="968"/>
        <v>0</v>
      </c>
      <c r="PH111" s="59">
        <f t="shared" si="969"/>
        <v>0</v>
      </c>
      <c r="PI111" s="59">
        <f t="shared" si="970"/>
        <v>0</v>
      </c>
      <c r="PJ111" s="59">
        <f t="shared" si="971"/>
        <v>0</v>
      </c>
      <c r="PK111" s="59">
        <f t="shared" si="972"/>
        <v>0</v>
      </c>
      <c r="PL111" s="58">
        <f t="shared" si="973"/>
        <v>0</v>
      </c>
      <c r="PM111" s="45">
        <f t="shared" si="974"/>
        <v>3</v>
      </c>
      <c r="PN111" s="45">
        <f t="shared" si="1228"/>
        <v>2.4489999999999994</v>
      </c>
      <c r="PO111" s="45">
        <f t="shared" si="975"/>
        <v>1</v>
      </c>
      <c r="PP111" s="45">
        <f t="shared" si="976"/>
        <v>2</v>
      </c>
      <c r="PQ111" s="45">
        <f t="shared" si="977"/>
        <v>0</v>
      </c>
      <c r="PR111" s="46" cm="1">
        <f t="array" ref="PR111">ROUND(IFERROR(INDEX(ArchiveResults!$F$5:$IX$116,ComparisonData!A111,ComparisonData!$PR$1),0),5)</f>
        <v>0</v>
      </c>
      <c r="PS111" s="46" cm="1">
        <f t="array" ref="PS111">ROUND(IFERROR(INDEX(ArchiveResults!$F$5:$IX$116,ComparisonData!A111,ComparisonData!$PS$1),0),5)</f>
        <v>0</v>
      </c>
      <c r="PT111" s="46" cm="1">
        <f t="array" ref="PT111">ROUND(IFERROR(INDEX(ArchiveResults!$F$5:$IX$116,ComparisonData!A111,ComparisonData!$PT$1),0),5)</f>
        <v>0</v>
      </c>
      <c r="PU111" s="46" cm="1">
        <f t="array" ref="PU111">ROUND(IFERROR(INDEX(ArchiveResults!$F$5:$IX$116,ComparisonData!A111,ComparisonData!$PU$1),0),5)</f>
        <v>0</v>
      </c>
      <c r="PV111" s="45" cm="1">
        <f t="array" ref="PV111">IFERROR(INDEX(ArchiveResults!$F$5:$IX$116,ComparisonData!A111,ComparisonData!$PV$1),0)</f>
        <v>0</v>
      </c>
      <c r="PW111" s="56">
        <v>106</v>
      </c>
      <c r="PX111" s="53" t="str">
        <f t="shared" si="1229"/>
        <v>West Glamorgan Archive Service</v>
      </c>
      <c r="PY111" s="59">
        <f t="shared" si="978"/>
        <v>0</v>
      </c>
      <c r="PZ111" s="59">
        <f t="shared" si="979"/>
        <v>0</v>
      </c>
      <c r="QA111" s="59">
        <f t="shared" si="980"/>
        <v>0</v>
      </c>
      <c r="QB111" s="59">
        <f t="shared" si="981"/>
        <v>0</v>
      </c>
      <c r="QC111" s="59">
        <f t="shared" si="982"/>
        <v>0</v>
      </c>
      <c r="QD111" s="58">
        <f t="shared" si="983"/>
        <v>0</v>
      </c>
      <c r="QE111" s="45">
        <f t="shared" si="984"/>
        <v>3</v>
      </c>
      <c r="QF111" s="45">
        <f t="shared" si="1230"/>
        <v>2.4489999999999994</v>
      </c>
      <c r="QG111" s="45">
        <f t="shared" si="985"/>
        <v>1</v>
      </c>
      <c r="QH111" s="45">
        <f t="shared" si="986"/>
        <v>2</v>
      </c>
      <c r="QI111" s="45">
        <f t="shared" si="987"/>
        <v>0</v>
      </c>
      <c r="QJ111" s="46" cm="1">
        <f t="array" ref="QJ111">ROUND(IFERROR(INDEX(ArchiveResults!$F$5:$IX$116,ComparisonData!A111,ComparisonData!$QJ$1),0),5)</f>
        <v>0</v>
      </c>
      <c r="QK111" s="46" cm="1">
        <f t="array" ref="QK111">ROUND(IFERROR(INDEX(ArchiveResults!$F$5:$IX$116,ComparisonData!A111,ComparisonData!$QK$1),0),5)</f>
        <v>0</v>
      </c>
      <c r="QL111" s="46" cm="1">
        <f t="array" ref="QL111">ROUND(IFERROR(INDEX(ArchiveResults!$F$5:$IX$116,ComparisonData!A111,ComparisonData!$QL$1),0),5)</f>
        <v>0</v>
      </c>
      <c r="QM111" s="46" cm="1">
        <f t="array" ref="QM111">ROUND(IFERROR(INDEX(ArchiveResults!$F$5:$IX$116,ComparisonData!A111,ComparisonData!$QM$1),0),5)</f>
        <v>0</v>
      </c>
      <c r="QN111" s="45" cm="1">
        <f t="array" ref="QN111">IFERROR(INDEX(ArchiveResults!$F$5:$IX$116,ComparisonData!A111,ComparisonData!$QN$1),0)</f>
        <v>0</v>
      </c>
      <c r="QO111" s="56">
        <v>106</v>
      </c>
      <c r="QP111" s="53" t="str">
        <f t="shared" si="1231"/>
        <v>West Glamorgan Archive Service</v>
      </c>
      <c r="QQ111" s="59">
        <f t="shared" si="988"/>
        <v>0</v>
      </c>
      <c r="QR111" s="59">
        <f t="shared" si="989"/>
        <v>0</v>
      </c>
      <c r="QS111" s="59">
        <f t="shared" si="990"/>
        <v>0</v>
      </c>
      <c r="QT111" s="59">
        <f t="shared" si="991"/>
        <v>0</v>
      </c>
      <c r="QU111" s="59">
        <f t="shared" si="992"/>
        <v>0</v>
      </c>
      <c r="QV111" s="58">
        <f t="shared" si="993"/>
        <v>0</v>
      </c>
      <c r="QW111" s="45">
        <f t="shared" si="994"/>
        <v>3</v>
      </c>
      <c r="QX111" s="45">
        <f t="shared" si="1232"/>
        <v>2.4489999999999994</v>
      </c>
      <c r="QY111" s="45">
        <f t="shared" si="995"/>
        <v>1</v>
      </c>
      <c r="QZ111" s="45">
        <f t="shared" si="996"/>
        <v>2</v>
      </c>
      <c r="RA111" s="45">
        <f t="shared" si="997"/>
        <v>0</v>
      </c>
      <c r="RB111" s="46" cm="1">
        <f t="array" ref="RB111">ROUND(IFERROR(INDEX(ArchiveResults!$F$5:$IX$116,ComparisonData!A111,ComparisonData!$RB$1),0),5)</f>
        <v>0</v>
      </c>
      <c r="RC111" s="46" cm="1">
        <f t="array" ref="RC111">ROUND(IFERROR(INDEX(ArchiveResults!$F$5:$IX$116,ComparisonData!A111,ComparisonData!$RC$1),0),5)</f>
        <v>0</v>
      </c>
      <c r="RD111" s="46" cm="1">
        <f t="array" ref="RD111">ROUND(IFERROR(INDEX(ArchiveResults!$F$5:$IX$116,ComparisonData!A111,ComparisonData!$RD$1),0),5)</f>
        <v>0</v>
      </c>
      <c r="RE111" s="46" cm="1">
        <f t="array" ref="RE111">ROUND(IFERROR(INDEX(ArchiveResults!$F$5:$IX$116,ComparisonData!A111,ComparisonData!$RE$1),0),5)</f>
        <v>0</v>
      </c>
      <c r="RF111" s="45" cm="1">
        <f t="array" ref="RF111">IFERROR(INDEX(ArchiveResults!$F$5:$IX$116,ComparisonData!A111,ComparisonData!$RF$1),0)</f>
        <v>0</v>
      </c>
      <c r="RG111" s="56">
        <v>106</v>
      </c>
      <c r="RH111" s="53" t="str">
        <f t="shared" si="1233"/>
        <v>West Glamorgan Archive Service</v>
      </c>
      <c r="RI111" s="59">
        <f t="shared" si="998"/>
        <v>0</v>
      </c>
      <c r="RJ111" s="59">
        <f t="shared" si="999"/>
        <v>0</v>
      </c>
      <c r="RK111" s="59">
        <f t="shared" si="1000"/>
        <v>0</v>
      </c>
      <c r="RL111" s="59">
        <f t="shared" si="1001"/>
        <v>0</v>
      </c>
      <c r="RM111" s="59">
        <f t="shared" si="1002"/>
        <v>0</v>
      </c>
      <c r="RN111" s="58">
        <f t="shared" si="1003"/>
        <v>0</v>
      </c>
      <c r="RO111" s="45">
        <f t="shared" si="1004"/>
        <v>3</v>
      </c>
      <c r="RP111" s="45">
        <f t="shared" si="1234"/>
        <v>2.4489999999999994</v>
      </c>
      <c r="RQ111" s="45">
        <f t="shared" si="1005"/>
        <v>1</v>
      </c>
      <c r="RR111" s="45">
        <f t="shared" si="1006"/>
        <v>2</v>
      </c>
      <c r="RS111" s="45">
        <f t="shared" si="1007"/>
        <v>0</v>
      </c>
      <c r="RT111" s="46" cm="1">
        <f t="array" ref="RT111">ROUND(IFERROR(INDEX(ArchiveResults!$F$5:$IX$116,ComparisonData!A111,ComparisonData!$RT$1),0),5)</f>
        <v>0</v>
      </c>
      <c r="RU111" s="46" cm="1">
        <f t="array" ref="RU111">ROUND(IFERROR(INDEX(ArchiveResults!$F$5:$IX$116,ComparisonData!A111,ComparisonData!$RU$1),0),5)</f>
        <v>0</v>
      </c>
      <c r="RV111" s="46" cm="1">
        <f t="array" ref="RV111">ROUND(IFERROR(INDEX(ArchiveResults!$F$5:$IX$116,ComparisonData!A111,ComparisonData!$RV$1),0),5)</f>
        <v>0</v>
      </c>
      <c r="RW111" s="46" cm="1">
        <f t="array" ref="RW111">ROUND(IFERROR(INDEX(ArchiveResults!$F$5:$IX$116,ComparisonData!A111,ComparisonData!$RW$1),0),5)</f>
        <v>0</v>
      </c>
      <c r="RX111" s="45" cm="1">
        <f t="array" ref="RX111">IFERROR(INDEX(ArchiveResults!$F$5:$IX$116,ComparisonData!A111,ComparisonData!$RX$1),0)</f>
        <v>0</v>
      </c>
      <c r="RY111" s="56">
        <v>106</v>
      </c>
      <c r="RZ111" s="53" t="str">
        <f t="shared" si="1235"/>
        <v>West Glamorgan Archive Service</v>
      </c>
      <c r="SA111" s="59">
        <f t="shared" si="1008"/>
        <v>0</v>
      </c>
      <c r="SB111" s="59">
        <f t="shared" si="1009"/>
        <v>0</v>
      </c>
      <c r="SC111" s="59">
        <f t="shared" si="1010"/>
        <v>0</v>
      </c>
      <c r="SD111" s="59">
        <f t="shared" si="1011"/>
        <v>0</v>
      </c>
      <c r="SE111" s="59">
        <f t="shared" si="1012"/>
        <v>0</v>
      </c>
      <c r="SF111" s="58">
        <f t="shared" si="1013"/>
        <v>0</v>
      </c>
      <c r="SG111" s="45">
        <f t="shared" si="1014"/>
        <v>3</v>
      </c>
      <c r="SH111" s="45">
        <f t="shared" si="1236"/>
        <v>2.4489999999999994</v>
      </c>
      <c r="SI111" s="45">
        <f t="shared" si="1015"/>
        <v>1</v>
      </c>
      <c r="SJ111" s="45">
        <f t="shared" si="1016"/>
        <v>2</v>
      </c>
      <c r="SK111" s="45">
        <f t="shared" si="1017"/>
        <v>0</v>
      </c>
      <c r="SL111" s="46" cm="1">
        <f t="array" ref="SL111">ROUND(IFERROR(INDEX(ArchiveResults!$F$5:$IX$116,ComparisonData!A111,ComparisonData!$SL$1),0),5)</f>
        <v>0</v>
      </c>
      <c r="SM111" s="46" cm="1">
        <f t="array" ref="SM111">ROUND(IFERROR(INDEX(ArchiveResults!$F$5:$IX$116,ComparisonData!A111,ComparisonData!$SM$1),0),5)</f>
        <v>0</v>
      </c>
      <c r="SN111" s="46" cm="1">
        <f t="array" ref="SN111">ROUND(IFERROR(INDEX(ArchiveResults!$F$5:$IX$116,ComparisonData!A111,ComparisonData!$SN$1),0),5)</f>
        <v>0</v>
      </c>
      <c r="SO111" s="46" cm="1">
        <f t="array" ref="SO111">ROUND(IFERROR(INDEX(ArchiveResults!$F$5:$IX$116,ComparisonData!A111,ComparisonData!$SO$1),0),5)</f>
        <v>0</v>
      </c>
      <c r="SP111" s="45" cm="1">
        <f t="array" ref="SP111">IFERROR(INDEX(ArchiveResults!$F$5:$IX$116,ComparisonData!A111,ComparisonData!$SP$1),0)</f>
        <v>0</v>
      </c>
      <c r="SQ111" s="56">
        <v>106</v>
      </c>
      <c r="SR111" s="53" t="str">
        <f t="shared" si="1237"/>
        <v>West Glamorgan Archive Service</v>
      </c>
      <c r="SS111" s="59">
        <f t="shared" si="1018"/>
        <v>0</v>
      </c>
      <c r="ST111" s="59">
        <f t="shared" si="1019"/>
        <v>0</v>
      </c>
      <c r="SU111" s="59">
        <f t="shared" si="1020"/>
        <v>0</v>
      </c>
      <c r="SV111" s="59">
        <f t="shared" si="1021"/>
        <v>0</v>
      </c>
      <c r="SW111" s="59">
        <f t="shared" si="1022"/>
        <v>0</v>
      </c>
      <c r="SX111" s="58">
        <f t="shared" si="1023"/>
        <v>0</v>
      </c>
      <c r="SY111" s="45">
        <f t="shared" si="1024"/>
        <v>3</v>
      </c>
      <c r="SZ111" s="45">
        <f t="shared" si="1238"/>
        <v>2.4489999999999994</v>
      </c>
      <c r="TA111" s="45">
        <f t="shared" si="1025"/>
        <v>1</v>
      </c>
      <c r="TB111" s="45">
        <f t="shared" si="1026"/>
        <v>2</v>
      </c>
      <c r="TC111" s="45">
        <f t="shared" si="1027"/>
        <v>0</v>
      </c>
      <c r="TD111" s="46" cm="1">
        <f t="array" ref="TD111">ROUND(IFERROR(INDEX(ArchiveResults!$F$5:$IX$116,ComparisonData!A111,ComparisonData!$TD$1),0),5)</f>
        <v>0</v>
      </c>
      <c r="TE111" s="46" cm="1">
        <f t="array" ref="TE111">ROUND(IFERROR(INDEX(ArchiveResults!$F$5:$IX$116,ComparisonData!A111,ComparisonData!$TE$1),0),5)</f>
        <v>0</v>
      </c>
      <c r="TF111" s="46" cm="1">
        <f t="array" ref="TF111">ROUND(IFERROR(INDEX(ArchiveResults!$F$5:$IX$116,ComparisonData!A111,ComparisonData!$TF$1),0),5)</f>
        <v>0</v>
      </c>
      <c r="TG111" s="46" cm="1">
        <f t="array" ref="TG111">ROUND(IFERROR(INDEX(ArchiveResults!$F$5:$IX$116,ComparisonData!A111,ComparisonData!$TG$1),0),5)</f>
        <v>0</v>
      </c>
      <c r="TH111" s="45" cm="1">
        <f t="array" ref="TH111">IFERROR(INDEX(ArchiveResults!$F$5:$IX$116,ComparisonData!A111,ComparisonData!$TH$1),0)</f>
        <v>0</v>
      </c>
      <c r="TI111" s="56">
        <v>106</v>
      </c>
      <c r="TJ111" s="53" t="str">
        <f t="shared" si="1239"/>
        <v>West Glamorgan Archive Service</v>
      </c>
      <c r="TK111" s="59">
        <f t="shared" si="1028"/>
        <v>0</v>
      </c>
      <c r="TL111" s="59">
        <f t="shared" si="1029"/>
        <v>0</v>
      </c>
      <c r="TM111" s="59">
        <f t="shared" si="1030"/>
        <v>0</v>
      </c>
      <c r="TN111" s="59">
        <f t="shared" si="1031"/>
        <v>0</v>
      </c>
      <c r="TO111" s="59">
        <f t="shared" si="1032"/>
        <v>0</v>
      </c>
      <c r="TP111" s="58">
        <f t="shared" si="1033"/>
        <v>0</v>
      </c>
      <c r="TQ111" s="45">
        <f t="shared" si="1034"/>
        <v>3</v>
      </c>
      <c r="TR111" s="45">
        <f t="shared" si="1240"/>
        <v>2.4489999999999994</v>
      </c>
      <c r="TS111" s="45">
        <f t="shared" si="1035"/>
        <v>1</v>
      </c>
      <c r="TT111" s="45">
        <f t="shared" si="1036"/>
        <v>2</v>
      </c>
      <c r="TU111" s="45">
        <f t="shared" si="1037"/>
        <v>0</v>
      </c>
      <c r="TV111" s="46" cm="1">
        <f t="array" ref="TV111">ROUND(IFERROR(INDEX(ArchiveResults!$F$5:$IX$116,ComparisonData!A111,ComparisonData!$TV$1),0),5)</f>
        <v>0</v>
      </c>
      <c r="TW111" s="46" cm="1">
        <f t="array" ref="TW111">ROUND(IFERROR(INDEX(ArchiveResults!$F$5:$IX$116,ComparisonData!A111,ComparisonData!$TW$1),0),5)</f>
        <v>0</v>
      </c>
      <c r="TX111" s="46" cm="1">
        <f t="array" ref="TX111">ROUND(IFERROR(INDEX(ArchiveResults!$F$5:$IX$116,ComparisonData!A111,ComparisonData!$TX$1),0),5)</f>
        <v>0</v>
      </c>
      <c r="TY111" s="46" cm="1">
        <f t="array" ref="TY111">ROUND(IFERROR(INDEX(ArchiveResults!$F$5:$IX$116,ComparisonData!A111,ComparisonData!$TY$1),0),5)</f>
        <v>0</v>
      </c>
      <c r="TZ111" s="45" cm="1">
        <f t="array" ref="TZ111">IFERROR(INDEX(ArchiveResults!$F$5:$IX$116,ComparisonData!A111,ComparisonData!$TZ$1),0)</f>
        <v>0</v>
      </c>
      <c r="UA111" s="56">
        <v>106</v>
      </c>
      <c r="UB111" s="53" t="str">
        <f t="shared" si="1241"/>
        <v>West Glamorgan Archive Service</v>
      </c>
      <c r="UC111" s="60">
        <f t="shared" si="1038"/>
        <v>0</v>
      </c>
      <c r="UD111" s="60">
        <f t="shared" si="1039"/>
        <v>0</v>
      </c>
      <c r="UE111" s="60">
        <f t="shared" si="1040"/>
        <v>0</v>
      </c>
      <c r="UF111" s="60">
        <f t="shared" si="1041"/>
        <v>0</v>
      </c>
      <c r="UG111" s="60">
        <f t="shared" si="1042"/>
        <v>0</v>
      </c>
      <c r="UH111" s="58">
        <f t="shared" si="1043"/>
        <v>0</v>
      </c>
      <c r="UI111" s="46">
        <f t="shared" si="1044"/>
        <v>3</v>
      </c>
      <c r="UJ111" s="46">
        <f t="shared" si="1242"/>
        <v>2.4489999999999994</v>
      </c>
      <c r="UK111" s="46">
        <f t="shared" si="1045"/>
        <v>1</v>
      </c>
      <c r="UL111" s="46">
        <f t="shared" si="1046"/>
        <v>2</v>
      </c>
      <c r="UM111" s="46" cm="1">
        <f t="array" ref="UM111">ROUND(IFERROR(INDEX(ArchiveResults!$F$5:$IX$116,ComparisonData!A111,ComparisonData!$UM$1),0),5)</f>
        <v>0</v>
      </c>
      <c r="UN111" s="56">
        <v>106</v>
      </c>
      <c r="UO111" s="53" t="str">
        <f t="shared" si="1243"/>
        <v>West Glamorgan Archive Service</v>
      </c>
      <c r="UP111" s="46">
        <f t="shared" si="1047"/>
        <v>0</v>
      </c>
      <c r="UQ111" s="76">
        <f t="shared" si="1048"/>
        <v>0</v>
      </c>
      <c r="UR111" s="46">
        <f t="shared" si="1049"/>
        <v>3</v>
      </c>
      <c r="US111" s="46">
        <f t="shared" si="1244"/>
        <v>2.4489999999999994</v>
      </c>
      <c r="UT111" s="46">
        <f t="shared" si="1050"/>
        <v>1</v>
      </c>
      <c r="UU111" s="46">
        <f t="shared" si="1051"/>
        <v>2</v>
      </c>
      <c r="UV111" s="46">
        <f t="shared" si="1052"/>
        <v>0</v>
      </c>
      <c r="UW111" s="46" cm="1">
        <f t="array" ref="UW111">ROUND(IFERROR(INDEX(ArchiveResults!$F$5:$IX$116,ComparisonData!A111,ComparisonData!$UW$1),0),5)</f>
        <v>0</v>
      </c>
      <c r="UX111" s="46" cm="1">
        <f t="array" ref="UX111">ROUND(IFERROR(INDEX(ArchiveResults!$F$5:$IX$116,ComparisonData!A111,ComparisonData!$UX$1),0),5)</f>
        <v>0</v>
      </c>
      <c r="UY111" s="46" cm="1">
        <f t="array" ref="UY111">ROUND(IFERROR(INDEX(ArchiveResults!$F$5:$IX$116,ComparisonData!A111,ComparisonData!$UY$1),0),5)</f>
        <v>0</v>
      </c>
      <c r="UZ111" s="46" cm="1">
        <f t="array" ref="UZ111">ROUND(IFERROR(INDEX(ArchiveResults!$F$5:$IX$116,ComparisonData!A111,ComparisonData!$UZ$1),0),5)</f>
        <v>0</v>
      </c>
      <c r="VA111" s="46" cm="1">
        <f t="array" ref="VA111">ROUND(IFERROR(INDEX(ArchiveResults!$F$5:$IX$116,ComparisonData!A111,ComparisonData!$VA$1),0),5)</f>
        <v>0</v>
      </c>
      <c r="VB111" s="56">
        <v>106</v>
      </c>
      <c r="VC111" s="53" t="str">
        <f t="shared" si="1245"/>
        <v>West Glamorgan Archive Service</v>
      </c>
      <c r="VD111" s="60">
        <f t="shared" si="1053"/>
        <v>0</v>
      </c>
      <c r="VE111" s="60">
        <f t="shared" si="1054"/>
        <v>0</v>
      </c>
      <c r="VF111" s="60">
        <f t="shared" si="1055"/>
        <v>0</v>
      </c>
      <c r="VG111" s="60">
        <f t="shared" si="1056"/>
        <v>0</v>
      </c>
      <c r="VH111" s="60">
        <f t="shared" si="1057"/>
        <v>0</v>
      </c>
      <c r="VI111" s="76">
        <f t="shared" si="1058"/>
        <v>0</v>
      </c>
      <c r="VJ111" s="46">
        <f t="shared" si="1059"/>
        <v>3</v>
      </c>
      <c r="VK111" s="46">
        <f t="shared" si="1246"/>
        <v>2.4489999999999994</v>
      </c>
      <c r="VL111" s="46">
        <f t="shared" si="1060"/>
        <v>1</v>
      </c>
      <c r="VM111" s="46">
        <f t="shared" si="1061"/>
        <v>2</v>
      </c>
      <c r="VN111" s="46" cm="1">
        <f t="array" ref="VN111">ROUND(IFERROR(INDEX(ArchiveResults!$F$5:$IX$116,ComparisonData!A111,ComparisonData!$VN$1),0),5)</f>
        <v>0</v>
      </c>
      <c r="VO111" s="46" cm="1">
        <f t="array" ref="VO111">ROUND(IFERROR(INDEX(ArchiveResults!$F$5:$IX$116,ComparisonData!A111,ComparisonData!$VO$1),0),5)</f>
        <v>0</v>
      </c>
      <c r="VP111" s="46" cm="1">
        <f t="array" ref="VP111">ROUND(IFERROR(INDEX(ArchiveResults!$F$5:$IX$116,ComparisonData!A111,ComparisonData!$VP$1),0),5)</f>
        <v>0</v>
      </c>
      <c r="VQ111" s="46" cm="1">
        <f t="array" ref="VQ111">ROUND(IFERROR(INDEX(ArchiveResults!$F$5:$IX$116,ComparisonData!A111,ComparisonData!$VQ$1),0),5)</f>
        <v>0</v>
      </c>
      <c r="VR111" s="56">
        <v>106</v>
      </c>
      <c r="VS111" s="53" t="str">
        <f t="shared" si="1247"/>
        <v>West Glamorgan Archive Service</v>
      </c>
      <c r="VT111" s="60">
        <f t="shared" si="1062"/>
        <v>0</v>
      </c>
      <c r="VU111" s="60">
        <f t="shared" si="1063"/>
        <v>0</v>
      </c>
      <c r="VV111" s="60">
        <f t="shared" si="1064"/>
        <v>0</v>
      </c>
      <c r="VW111" s="60">
        <f t="shared" si="1065"/>
        <v>0</v>
      </c>
      <c r="VX111" s="76">
        <f t="shared" si="1066"/>
        <v>0</v>
      </c>
      <c r="VY111" s="46">
        <f t="shared" si="1067"/>
        <v>3</v>
      </c>
      <c r="VZ111" s="46">
        <f t="shared" si="1248"/>
        <v>2.4489999999999994</v>
      </c>
      <c r="WA111" s="46">
        <f t="shared" si="1068"/>
        <v>1</v>
      </c>
      <c r="WB111" s="46">
        <f t="shared" si="1069"/>
        <v>2</v>
      </c>
      <c r="WC111" s="46" cm="1">
        <f t="array" ref="WC111">ROUND(IFERROR(INDEX(ArchiveResults!$F$5:$IX$116,ComparisonData!A111,ComparisonData!$WC$1),0),5)</f>
        <v>0</v>
      </c>
      <c r="WD111" s="56">
        <v>106</v>
      </c>
      <c r="WE111" s="53" t="str">
        <f t="shared" si="1249"/>
        <v>West Glamorgan Archive Service</v>
      </c>
      <c r="WF111" s="46">
        <f t="shared" si="1070"/>
        <v>0</v>
      </c>
      <c r="WG111" s="76">
        <f t="shared" si="1071"/>
        <v>0</v>
      </c>
      <c r="WH111" s="46">
        <f t="shared" si="1072"/>
        <v>3</v>
      </c>
      <c r="WI111" s="46">
        <f t="shared" si="1250"/>
        <v>2.4489999999999994</v>
      </c>
      <c r="WJ111" s="46">
        <f t="shared" si="1073"/>
        <v>1</v>
      </c>
      <c r="WK111" s="46">
        <f t="shared" si="1074"/>
        <v>2</v>
      </c>
      <c r="WL111" s="46" cm="1">
        <f t="array" ref="WL111">ROUND(IFERROR(INDEX(ArchiveResults!$F$5:$IX$116,ComparisonData!A111,ComparisonData!$WL$1),0),5)</f>
        <v>0</v>
      </c>
      <c r="WM111" s="46" cm="1">
        <f t="array" ref="WM111">IFERROR(INDEX(ArchiveResults!$F$5:$IX$116,ComparisonData!A111,ComparisonData!$WM$1),0)</f>
        <v>0</v>
      </c>
      <c r="WN111" s="56">
        <v>106</v>
      </c>
      <c r="WO111" s="53" t="str">
        <f t="shared" si="1251"/>
        <v>West Glamorgan Archive Service</v>
      </c>
      <c r="WP111" s="60">
        <f t="shared" si="1075"/>
        <v>0</v>
      </c>
      <c r="WQ111" s="60">
        <f t="shared" si="1076"/>
        <v>0</v>
      </c>
      <c r="WR111" s="76">
        <f t="shared" si="1077"/>
        <v>0</v>
      </c>
      <c r="WS111" s="46">
        <f t="shared" si="1078"/>
        <v>3</v>
      </c>
      <c r="WT111" s="46">
        <f t="shared" si="1252"/>
        <v>2.4489999999999994</v>
      </c>
      <c r="WU111" s="46">
        <f t="shared" si="1079"/>
        <v>1</v>
      </c>
      <c r="WV111" s="46">
        <f t="shared" si="1080"/>
        <v>2</v>
      </c>
      <c r="WW111" s="46" cm="1">
        <f t="array" ref="WW111">ROUND(VALUE(IFERROR(INDEX(ArchiveResults!$F$5:$IX$116,ComparisonData!A111,ComparisonData!$WW$1),0)),5)</f>
        <v>0</v>
      </c>
      <c r="WX111" s="46" cm="1">
        <f t="array" ref="WX111">ROUND(IFERROR(INDEX(ArchiveResults!$F$5:$IX$116,ComparisonData!A111,ComparisonData!$WX$1),0),5)</f>
        <v>0</v>
      </c>
      <c r="WY111" s="56">
        <v>106</v>
      </c>
      <c r="WZ111" s="53" t="str">
        <f t="shared" si="1253"/>
        <v>West Glamorgan Archive Service</v>
      </c>
      <c r="XA111" s="60">
        <f t="shared" si="1254"/>
        <v>0</v>
      </c>
      <c r="XB111" s="60">
        <f t="shared" si="1255"/>
        <v>0</v>
      </c>
      <c r="XC111" s="76">
        <f t="shared" si="1081"/>
        <v>0</v>
      </c>
      <c r="XD111" s="46">
        <f t="shared" si="1082"/>
        <v>3</v>
      </c>
      <c r="XE111" s="46">
        <f t="shared" si="1256"/>
        <v>2.4489999999999994</v>
      </c>
      <c r="XF111" s="46">
        <f t="shared" si="1083"/>
        <v>1</v>
      </c>
      <c r="XG111" s="46">
        <f t="shared" si="1084"/>
        <v>2</v>
      </c>
      <c r="XH111" s="46" cm="1">
        <f t="array" ref="XH111">ROUND(VALUE(IFERROR(INDEX(ArchiveResults!$F$5:$IX$116,ComparisonData!A111,ComparisonData!$XH$1),0)),5)</f>
        <v>0</v>
      </c>
      <c r="XI111" s="46" cm="1">
        <f t="array" ref="XI111">ROUND(VALUE(IFERROR(INDEX(ArchiveResults!$F$5:$IX$116,ComparisonData!A111,ComparisonData!$XI$1),0)),5)</f>
        <v>0</v>
      </c>
      <c r="XJ111" s="56">
        <v>106</v>
      </c>
      <c r="XK111" s="53" t="str">
        <f t="shared" si="1257"/>
        <v>West Glamorgan Archive Service</v>
      </c>
      <c r="XL111" s="60">
        <f t="shared" si="1085"/>
        <v>0</v>
      </c>
      <c r="XM111" s="60">
        <f t="shared" si="1086"/>
        <v>0</v>
      </c>
      <c r="XN111" s="76">
        <f t="shared" si="1087"/>
        <v>0</v>
      </c>
      <c r="XO111" s="46">
        <f t="shared" si="1088"/>
        <v>3</v>
      </c>
      <c r="XP111" s="46">
        <f t="shared" si="1258"/>
        <v>2.4489999999999994</v>
      </c>
      <c r="XQ111" s="46">
        <f t="shared" si="1089"/>
        <v>1</v>
      </c>
      <c r="XR111" s="46">
        <f t="shared" si="1090"/>
        <v>2</v>
      </c>
      <c r="XS111" s="46" cm="1">
        <f t="array" ref="XS111">ROUND(VALUE(IFERROR(INDEX(ArchiveResults!$F$5:$IX$116,ComparisonData!A111,ComparisonData!$XS$1),0)),5)</f>
        <v>0</v>
      </c>
      <c r="XT111" s="46" cm="1">
        <f t="array" ref="XT111">ROUND(VALUE(IFERROR(INDEX(ArchiveResults!$F$5:$IX$116,ComparisonData!A111,ComparisonData!$XT$1),0)),5)</f>
        <v>0</v>
      </c>
      <c r="XU111" s="56">
        <v>106</v>
      </c>
      <c r="XV111" s="53" t="str">
        <f t="shared" si="1259"/>
        <v>West Glamorgan Archive Service</v>
      </c>
      <c r="XW111" s="60">
        <f t="shared" si="1091"/>
        <v>0</v>
      </c>
      <c r="XX111" s="60">
        <f t="shared" si="1092"/>
        <v>0</v>
      </c>
      <c r="XY111" s="76">
        <f t="shared" si="1093"/>
        <v>0</v>
      </c>
      <c r="XZ111" s="46">
        <f t="shared" si="1094"/>
        <v>3</v>
      </c>
      <c r="YA111" s="46">
        <f t="shared" si="1260"/>
        <v>2.4489999999999994</v>
      </c>
      <c r="YB111" s="46">
        <f t="shared" si="1095"/>
        <v>1</v>
      </c>
      <c r="YC111" s="46">
        <f t="shared" si="1096"/>
        <v>2</v>
      </c>
      <c r="YD111" s="46" cm="1">
        <f t="array" ref="YD111">ROUND(VALUE(IFERROR(INDEX(ArchiveResults!$F$5:$IX$116,ComparisonData!A111,ComparisonData!$YD$1),0)),5)</f>
        <v>0</v>
      </c>
      <c r="YE111" s="46" cm="1">
        <f t="array" ref="YE111">ROUND(VALUE(IFERROR(INDEX(ArchiveResults!$F$5:$IX$116,ComparisonData!A111,ComparisonData!$YE$1),0)),5)</f>
        <v>0</v>
      </c>
      <c r="YF111" s="56">
        <v>106</v>
      </c>
      <c r="YG111" s="53" t="str">
        <f t="shared" si="1261"/>
        <v>West Glamorgan Archive Service</v>
      </c>
      <c r="YH111" s="60">
        <f t="shared" si="1097"/>
        <v>0</v>
      </c>
      <c r="YI111" s="60">
        <f t="shared" si="1098"/>
        <v>0</v>
      </c>
      <c r="YJ111" s="76">
        <f t="shared" si="1099"/>
        <v>0</v>
      </c>
      <c r="YK111" s="46">
        <f t="shared" si="1100"/>
        <v>3</v>
      </c>
      <c r="YL111" s="46">
        <f t="shared" si="1262"/>
        <v>2.4489999999999994</v>
      </c>
      <c r="YM111" s="46">
        <f t="shared" si="1101"/>
        <v>1</v>
      </c>
      <c r="YN111" s="46">
        <f t="shared" si="1102"/>
        <v>2</v>
      </c>
      <c r="YO111" s="46" cm="1">
        <f t="array" ref="YO111">ROUND(VALUE(IFERROR(INDEX(ArchiveResults!$F$5:$IX$116,ComparisonData!A111,ComparisonData!$YO$1),0)),5)</f>
        <v>0</v>
      </c>
      <c r="YP111" s="46" cm="1">
        <f t="array" ref="YP111">ROUND(VALUE(IFERROR(INDEX(ArchiveResults!$F$5:$IX$116,ComparisonData!A111,ComparisonData!$YP$1),0)),5)</f>
        <v>0</v>
      </c>
      <c r="YQ111" s="56">
        <v>106</v>
      </c>
      <c r="YR111" s="53" t="str">
        <f t="shared" si="1263"/>
        <v>West Glamorgan Archive Service</v>
      </c>
      <c r="YS111" s="60">
        <f t="shared" si="1103"/>
        <v>0</v>
      </c>
      <c r="YT111" s="60">
        <f t="shared" si="1104"/>
        <v>0</v>
      </c>
      <c r="YU111" s="76">
        <f t="shared" si="1105"/>
        <v>0</v>
      </c>
      <c r="YV111" s="46">
        <f t="shared" si="1106"/>
        <v>3</v>
      </c>
      <c r="YW111" s="46">
        <f t="shared" si="1264"/>
        <v>2.4489999999999994</v>
      </c>
      <c r="YX111" s="46">
        <f t="shared" si="1107"/>
        <v>1</v>
      </c>
      <c r="YY111" s="46">
        <f t="shared" si="1108"/>
        <v>2</v>
      </c>
      <c r="YZ111" s="46">
        <f t="shared" si="1109"/>
        <v>0</v>
      </c>
      <c r="ZA111" s="46" cm="1">
        <f t="array" ref="ZA111">ROUNDDOWN(VALUE(IFERROR(INDEX(ArchiveResults!$F$5:$IX$116,ComparisonData!A111,ComparisonData!$ZA$1),0)),5)</f>
        <v>0</v>
      </c>
      <c r="ZB111" s="46" cm="1">
        <f t="array" ref="ZB111">ROUNDDOWN(VALUE(IFERROR(INDEX(ArchiveResults!$F$5:$IX$116,ComparisonData!A111,ComparisonData!$ZB$1),0)),5)</f>
        <v>0</v>
      </c>
      <c r="ZC111" s="46" cm="1">
        <f t="array" ref="ZC111">ROUNDDOWN(VALUE(IFERROR(INDEX(ArchiveResults!$F$5:$IX$116,ComparisonData!A111,ComparisonData!$ZC$1),0)),5)</f>
        <v>0</v>
      </c>
      <c r="ZD111" s="46" cm="1">
        <f t="array" ref="ZD111">ROUNDDOWN(VALUE(IFERROR(INDEX(ArchiveResults!$F$5:$IX$116,ComparisonData!A111,ComparisonData!$ZD$1),0)),5)</f>
        <v>0</v>
      </c>
      <c r="ZE111" s="46" cm="1">
        <f t="array" ref="ZE111">ROUNDDOWN(VALUE(IFERROR(INDEX(ArchiveResults!$F$5:$IX$116,ComparisonData!A111,ComparisonData!$ZE$1),0)),5)</f>
        <v>0</v>
      </c>
      <c r="ZF111" s="56">
        <v>106</v>
      </c>
      <c r="ZG111" s="53" t="str">
        <f t="shared" si="1265"/>
        <v>West Glamorgan Archive Service</v>
      </c>
      <c r="ZH111" s="60">
        <f t="shared" si="1110"/>
        <v>0</v>
      </c>
      <c r="ZI111" s="60">
        <f t="shared" si="1111"/>
        <v>0</v>
      </c>
      <c r="ZJ111" s="60">
        <f t="shared" si="1112"/>
        <v>0</v>
      </c>
      <c r="ZK111" s="60">
        <f t="shared" si="1113"/>
        <v>0</v>
      </c>
      <c r="ZL111" s="60">
        <f t="shared" si="1114"/>
        <v>0</v>
      </c>
      <c r="ZM111" s="76">
        <f t="shared" si="1115"/>
        <v>0</v>
      </c>
      <c r="ZN111" s="46">
        <f t="shared" si="1116"/>
        <v>3</v>
      </c>
      <c r="ZO111" s="46">
        <f t="shared" si="1266"/>
        <v>2.4489999999999994</v>
      </c>
      <c r="ZP111" s="46">
        <f t="shared" si="1117"/>
        <v>1</v>
      </c>
      <c r="ZQ111" s="46">
        <f t="shared" si="1118"/>
        <v>2</v>
      </c>
      <c r="ZR111" s="46" cm="1">
        <f t="array" ref="ZR111">ROUND(VALUE(IFERROR(INDEX(ArchiveResults!$F$5:$IX$116,ComparisonData!A111,ComparisonData!$ZR$1),0)),5)</f>
        <v>0</v>
      </c>
      <c r="ZS111" s="56">
        <v>106</v>
      </c>
      <c r="ZT111" s="53" t="str">
        <f t="shared" si="1267"/>
        <v>West Glamorgan Archive Service</v>
      </c>
      <c r="ZU111" s="46">
        <f t="shared" si="1119"/>
        <v>0</v>
      </c>
      <c r="ZV111" s="76">
        <f t="shared" si="1120"/>
        <v>0</v>
      </c>
      <c r="ZW111" s="81" cm="1">
        <f t="array" ref="ZW111">ROUND((IFERROR(INDEX(ArchiveResults!$F$5:$IX$116,ComparisonData!A111,ComparisonData!$ZW$1),0)),5)</f>
        <v>0</v>
      </c>
      <c r="ZX111" s="81" cm="1">
        <f t="array" ref="ZX111">ROUND((IFERROR(INDEX(ArchiveResults!$F$5:$IX$116,ComparisonData!A111,ComparisonData!$ZX$1),0)),5)</f>
        <v>0</v>
      </c>
      <c r="ZY111" s="81" cm="1">
        <f t="array" ref="ZY111">ROUND((IFERROR(INDEX(ArchiveResults!$F$5:$IX$116,ComparisonData!A111,ComparisonData!$ZY$1),0)),5)</f>
        <v>0</v>
      </c>
      <c r="ZZ111" s="81" cm="1">
        <f t="array" ref="ZZ111">ROUND((IFERROR(INDEX(ArchiveResults!$F$5:$IX$116,ComparisonData!A111,ComparisonData!$ZZ$1),0)),5)</f>
        <v>0</v>
      </c>
      <c r="AAA111" s="81" cm="1">
        <f t="array" ref="AAA111">ROUND((IFERROR(INDEX(ArchiveResults!$F$5:$IX$116,ComparisonData!A111,ComparisonData!$AAA$1),0)),5)</f>
        <v>0</v>
      </c>
      <c r="AAB111" s="81" cm="1">
        <f t="array" ref="AAB111">ROUND((IFERROR(INDEX(ArchiveResults!$F$5:$IX$116,ComparisonData!A111,ComparisonData!$AAB$1),0)),5)</f>
        <v>0</v>
      </c>
      <c r="AAC111" s="81" cm="1">
        <f t="array" ref="AAC111">ROUND((IFERROR(INDEX(ArchiveResults!$F$5:$IX$116,ComparisonData!A111,ComparisonData!$AAC$1),0)),5)</f>
        <v>0</v>
      </c>
      <c r="AAD111" s="81" cm="1">
        <f t="array" ref="AAD111">ROUND((IFERROR(INDEX(ArchiveResults!$F$5:$IX$116,ComparisonData!A111,ComparisonData!$AAD$1),0)),5)</f>
        <v>0</v>
      </c>
      <c r="AAE111" s="81" cm="1">
        <f t="array" ref="AAE111">ROUND((IFERROR(INDEX(ArchiveResults!$F$5:$IX$116,ComparisonData!A111,ComparisonData!$AAE$1),0)),5)</f>
        <v>0</v>
      </c>
      <c r="AAF111" s="81" cm="1">
        <f t="array" ref="AAF111">ROUND((IFERROR(INDEX(ArchiveResults!$F$5:$IX$116,ComparisonData!A111,ComparisonData!$AAF$1),0)),5)</f>
        <v>0</v>
      </c>
      <c r="AAG111" s="46">
        <f t="shared" si="1121"/>
        <v>3</v>
      </c>
      <c r="AAH111" s="46">
        <f t="shared" si="1268"/>
        <v>2.4489999999999994</v>
      </c>
      <c r="AAI111" s="46">
        <f t="shared" si="1122"/>
        <v>1</v>
      </c>
      <c r="AAJ111" s="46">
        <f t="shared" si="1123"/>
        <v>2</v>
      </c>
      <c r="AAK111" s="46">
        <f t="shared" si="1124"/>
        <v>0</v>
      </c>
      <c r="AAL111" s="46">
        <f t="shared" si="1125"/>
        <v>0</v>
      </c>
      <c r="AAM111" s="46">
        <f t="shared" si="1126"/>
        <v>0</v>
      </c>
      <c r="AAN111" s="46">
        <f t="shared" si="1127"/>
        <v>0</v>
      </c>
      <c r="AAO111" s="46">
        <f t="shared" si="1128"/>
        <v>0</v>
      </c>
      <c r="AAP111" s="46">
        <f t="shared" si="1129"/>
        <v>0</v>
      </c>
      <c r="AAQ111" s="56">
        <v>106</v>
      </c>
      <c r="AAR111" s="53" t="str">
        <f t="shared" si="1269"/>
        <v>West Glamorgan Archive Service</v>
      </c>
      <c r="AAS111" s="60">
        <f t="shared" si="1130"/>
        <v>0</v>
      </c>
      <c r="AAT111" s="60">
        <f t="shared" si="1131"/>
        <v>0</v>
      </c>
      <c r="AAU111" s="60">
        <f t="shared" si="1132"/>
        <v>0</v>
      </c>
      <c r="AAV111" s="60">
        <f t="shared" si="1133"/>
        <v>0</v>
      </c>
      <c r="AAW111" s="60">
        <f t="shared" si="1134"/>
        <v>0</v>
      </c>
      <c r="AAX111" s="76">
        <f t="shared" si="1135"/>
        <v>0</v>
      </c>
      <c r="AAY111" s="46">
        <f t="shared" si="1136"/>
        <v>3</v>
      </c>
      <c r="AAZ111" s="46">
        <f t="shared" si="1270"/>
        <v>2.4489999999999994</v>
      </c>
      <c r="ABA111" s="46">
        <f t="shared" si="1137"/>
        <v>1</v>
      </c>
      <c r="ABB111" s="46">
        <f t="shared" si="1138"/>
        <v>2</v>
      </c>
      <c r="ABC111" s="46">
        <f t="shared" si="742"/>
        <v>0</v>
      </c>
      <c r="ABD111" s="46" cm="1">
        <f t="array" ref="ABD111">ROUND(VALUE(IFERROR(INDEX(ArchiveResults!$F$5:$IX$116,ComparisonData!A111,ComparisonData!$ABD$1),0)),5)</f>
        <v>0</v>
      </c>
      <c r="ABE111" s="46" cm="1">
        <f t="array" ref="ABE111">ROUND(VALUE(IFERROR(INDEX(ArchiveResults!$F$5:$IX$116,ComparisonData!A111,ComparisonData!$ABE$1),0)),5)</f>
        <v>0</v>
      </c>
      <c r="ABF111" s="46" cm="1">
        <f t="array" ref="ABF111">ROUND(VALUE(IFERROR(INDEX(ArchiveResults!$F$5:$IX$116,ComparisonData!A111,ComparisonData!$ABF$1),0)),5)</f>
        <v>0</v>
      </c>
      <c r="ABG111" s="46" cm="1">
        <f t="array" ref="ABG111">ROUND(VALUE(IFERROR(INDEX(ArchiveResults!$F$5:$IX$116,ComparisonData!A111,ComparisonData!$ABG$1),0)),5)</f>
        <v>0</v>
      </c>
      <c r="ABH111" s="46" cm="1">
        <f t="array" ref="ABH111">ROUND(VALUE(IFERROR(INDEX(ArchiveResults!$F$5:$IX$116,ComparisonData!A111,ComparisonData!$ABH$1),0)),5)</f>
        <v>0</v>
      </c>
      <c r="ABI111" s="56">
        <v>106</v>
      </c>
      <c r="ABJ111" s="53" t="str">
        <f t="shared" si="1271"/>
        <v>West Glamorgan Archive Service</v>
      </c>
      <c r="ABK111" s="60">
        <f t="shared" si="1139"/>
        <v>0</v>
      </c>
      <c r="ABL111" s="60">
        <f t="shared" si="1140"/>
        <v>0</v>
      </c>
      <c r="ABM111" s="60">
        <f t="shared" si="1141"/>
        <v>0</v>
      </c>
      <c r="ABN111" s="60">
        <f t="shared" si="1142"/>
        <v>0</v>
      </c>
      <c r="ABO111" s="60">
        <f t="shared" si="1143"/>
        <v>0</v>
      </c>
      <c r="ABP111" s="76">
        <f t="shared" si="1144"/>
        <v>0</v>
      </c>
      <c r="ABQ111" s="46">
        <f t="shared" si="1145"/>
        <v>3</v>
      </c>
      <c r="ABR111" s="46">
        <f t="shared" si="1272"/>
        <v>2.4489999999999994</v>
      </c>
      <c r="ABS111" s="46">
        <f t="shared" si="1146"/>
        <v>1</v>
      </c>
      <c r="ABT111" s="46">
        <f t="shared" si="1147"/>
        <v>2</v>
      </c>
      <c r="ABU111" s="46" cm="1">
        <f t="array" ref="ABU111">ROUND(VALUE(IFERROR(INDEX(ArchiveResults!$F$5:$IX$116,ComparisonData!A111,ComparisonData!$ABU$1),0)),5)</f>
        <v>0</v>
      </c>
      <c r="ABV111" s="46" cm="1">
        <f t="array" ref="ABV111">ROUND(VALUE(IFERROR(INDEX(ArchiveResults!$F$5:$IX$116,ComparisonData!A111,ComparisonData!$ABV$1),0)),5)</f>
        <v>0</v>
      </c>
      <c r="ABW111" s="46" cm="1">
        <f t="array" ref="ABW111">ROUND(VALUE(IFERROR(INDEX(ArchiveResults!$F$5:$IX$116,ComparisonData!A111,ComparisonData!$ABW$1),0)),5)</f>
        <v>0</v>
      </c>
      <c r="ABX111" s="46" cm="1">
        <f t="array" ref="ABX111">ROUND(VALUE(IFERROR(INDEX(ArchiveResults!$F$5:$IX$116,ComparisonData!A111,ComparisonData!$ABX$1),0)),5)</f>
        <v>0</v>
      </c>
      <c r="ABY111" s="46" cm="1">
        <f t="array" ref="ABY111">ROUND(VALUE(IFERROR(INDEX(ArchiveResults!$F$5:$IX$116,ComparisonData!A111,ComparisonData!$ABY$1),0)),5)</f>
        <v>0</v>
      </c>
      <c r="ABZ111" s="56">
        <v>106</v>
      </c>
      <c r="ACA111" s="53" t="str">
        <f t="shared" si="1273"/>
        <v>West Glamorgan Archive Service</v>
      </c>
      <c r="ACB111" s="60">
        <f t="shared" si="1148"/>
        <v>0</v>
      </c>
      <c r="ACC111" s="60">
        <f t="shared" si="1149"/>
        <v>0</v>
      </c>
      <c r="ACD111" s="60">
        <f t="shared" si="1150"/>
        <v>0</v>
      </c>
      <c r="ACE111" s="60">
        <f t="shared" si="1151"/>
        <v>0</v>
      </c>
      <c r="ACF111" s="60">
        <f t="shared" si="1152"/>
        <v>0</v>
      </c>
      <c r="ACG111" s="76">
        <f t="shared" si="1153"/>
        <v>0</v>
      </c>
      <c r="ACH111" s="46">
        <f t="shared" si="1154"/>
        <v>3</v>
      </c>
      <c r="ACI111" s="46">
        <f t="shared" si="1274"/>
        <v>2.4489999999999994</v>
      </c>
      <c r="ACJ111" s="46">
        <f t="shared" si="1155"/>
        <v>1</v>
      </c>
      <c r="ACK111" s="46">
        <f t="shared" si="1156"/>
        <v>2</v>
      </c>
      <c r="ACL111" s="46">
        <f t="shared" si="1157"/>
        <v>0</v>
      </c>
      <c r="ACM111" s="46" cm="1">
        <f t="array" ref="ACM111">ROUND(IFERROR(INDEX(ArchiveResults!$F$5:$IX$116,ComparisonData!A111,ComparisonData!$ACM$1),0),5)</f>
        <v>0</v>
      </c>
      <c r="ACN111" s="46" cm="1">
        <f t="array" ref="ACN111">ROUND(IFERROR(INDEX(ArchiveResults!$F$5:$IX$116,ComparisonData!A111,ComparisonData!$ACN$1),0),5)</f>
        <v>0</v>
      </c>
      <c r="ACO111" s="56">
        <v>106</v>
      </c>
      <c r="ACP111" s="53" t="str">
        <f t="shared" si="1275"/>
        <v>West Glamorgan Archive Service</v>
      </c>
      <c r="ACQ111" s="60">
        <f t="shared" si="1158"/>
        <v>0</v>
      </c>
      <c r="ACR111" s="60">
        <f t="shared" si="1159"/>
        <v>0</v>
      </c>
      <c r="ACS111" s="76">
        <f t="shared" si="1160"/>
        <v>0</v>
      </c>
      <c r="ACT111" s="46">
        <f t="shared" si="1161"/>
        <v>3</v>
      </c>
      <c r="ACU111" s="46">
        <f t="shared" si="1276"/>
        <v>2.4489999999999994</v>
      </c>
      <c r="ACV111" s="46">
        <f t="shared" si="1162"/>
        <v>1</v>
      </c>
      <c r="ACW111" s="46">
        <f t="shared" si="1163"/>
        <v>2</v>
      </c>
      <c r="ACX111" s="46">
        <f t="shared" si="1164"/>
        <v>0</v>
      </c>
      <c r="ACY111" s="46" cm="1">
        <f t="array" ref="ACY111">ROUNDDOWN(IFERROR(INDEX(ArchiveResults!$F$5:$IX$116,ComparisonData!A111,ComparisonData!$ACY$1),0),5)</f>
        <v>0</v>
      </c>
      <c r="ACZ111" s="46" cm="1">
        <f t="array" ref="ACZ111">ROUNDDOWN(IFERROR(INDEX(ArchiveResults!$F$5:$IX$116,ComparisonData!A111,ComparisonData!$ACZ$1),0),5)</f>
        <v>0</v>
      </c>
      <c r="ADA111" s="46" cm="1">
        <f t="array" ref="ADA111">ROUNDDOWN(IFERROR(INDEX(ArchiveResults!$F$5:$IX$116,ComparisonData!A111,ComparisonData!$ADA$1),0),5)</f>
        <v>0</v>
      </c>
      <c r="ADB111" s="56">
        <v>106</v>
      </c>
      <c r="ADC111" s="53" t="str">
        <f t="shared" si="1277"/>
        <v>West Glamorgan Archive Service</v>
      </c>
      <c r="ADD111" s="60">
        <f t="shared" si="1165"/>
        <v>0</v>
      </c>
      <c r="ADE111" s="60">
        <f t="shared" si="1166"/>
        <v>0</v>
      </c>
      <c r="ADF111" s="60">
        <f t="shared" si="1167"/>
        <v>0</v>
      </c>
      <c r="ADG111" s="76">
        <f t="shared" si="1168"/>
        <v>0</v>
      </c>
    </row>
    <row r="112" spans="1:787" x14ac:dyDescent="0.25">
      <c r="A112" s="46" t="str">
        <f>IF(ISBLANK(ComparisonSelection!F108),"",ROW()-5)</f>
        <v/>
      </c>
      <c r="B112" s="53" t="s">
        <v>563</v>
      </c>
      <c r="C112" s="72">
        <v>0.61899999999999966</v>
      </c>
      <c r="D112" s="55">
        <f t="shared" si="750"/>
        <v>37</v>
      </c>
      <c r="E112" s="54">
        <f t="shared" si="751"/>
        <v>2.6189999999999998</v>
      </c>
      <c r="F112" s="54">
        <f t="shared" si="752"/>
        <v>1</v>
      </c>
      <c r="G112" s="72">
        <f t="shared" si="753"/>
        <v>2</v>
      </c>
      <c r="H112" s="72">
        <f t="shared" si="754"/>
        <v>0</v>
      </c>
      <c r="I112" s="46" cm="1">
        <f t="array" ref="I112">ROUND(IFERROR(INDEX(ArchiveResults!$F$5:$IX$116,ComparisonData!A112,ComparisonData!$I$1),0),5)</f>
        <v>0</v>
      </c>
      <c r="J112" s="46" cm="1">
        <f t="array" ref="J112">ROUND(IFERROR(INDEX(ArchiveResults!$F$5:$IX$116,ComparisonData!A112,ComparisonData!$J$1),0),5)</f>
        <v>0</v>
      </c>
      <c r="K112" s="56">
        <v>107</v>
      </c>
      <c r="L112" s="53" t="str">
        <f t="shared" si="755"/>
        <v>West Sussex Record Office</v>
      </c>
      <c r="M112" s="57">
        <f t="shared" si="1169"/>
        <v>0</v>
      </c>
      <c r="N112" s="57">
        <f t="shared" si="1170"/>
        <v>0</v>
      </c>
      <c r="O112" s="58">
        <f t="shared" si="756"/>
        <v>0</v>
      </c>
      <c r="P112" s="48">
        <f t="shared" si="757"/>
        <v>37</v>
      </c>
      <c r="Q112" s="54">
        <f t="shared" si="1171"/>
        <v>2.6189999999999998</v>
      </c>
      <c r="R112" s="45">
        <f t="shared" si="758"/>
        <v>1</v>
      </c>
      <c r="S112" s="46">
        <f t="shared" si="759"/>
        <v>2</v>
      </c>
      <c r="T112" s="72">
        <f t="shared" si="760"/>
        <v>0</v>
      </c>
      <c r="U112" s="46" cm="1">
        <f t="array" ref="U112">ROUND(IFERROR(INDEX(ArchiveResults!$F$5:$IX$116,ComparisonData!A112,ComparisonData!$U$1),0),5)</f>
        <v>0</v>
      </c>
      <c r="V112" s="46" cm="1">
        <f t="array" ref="V112">ROUND(IFERROR(INDEX(ArchiveResults!$F$5:$IX$116,ComparisonData!A112,ComparisonData!$V$1),0),5)</f>
        <v>0</v>
      </c>
      <c r="W112" s="56">
        <v>107</v>
      </c>
      <c r="X112" s="53" t="str">
        <f t="shared" si="1172"/>
        <v>West Sussex Record Office</v>
      </c>
      <c r="Y112" s="57">
        <f t="shared" si="761"/>
        <v>0</v>
      </c>
      <c r="Z112" s="57">
        <f t="shared" si="762"/>
        <v>0</v>
      </c>
      <c r="AA112" s="58">
        <f t="shared" si="763"/>
        <v>0</v>
      </c>
      <c r="AB112" s="45">
        <f t="shared" si="764"/>
        <v>37</v>
      </c>
      <c r="AC112" s="54">
        <f t="shared" si="1173"/>
        <v>2.6189999999999998</v>
      </c>
      <c r="AD112" s="45">
        <f t="shared" si="765"/>
        <v>1</v>
      </c>
      <c r="AE112" s="45">
        <f t="shared" si="766"/>
        <v>2</v>
      </c>
      <c r="AF112" s="45">
        <f t="shared" si="639"/>
        <v>0</v>
      </c>
      <c r="AG112" s="46" cm="1">
        <f t="array" ref="AG112">ROUND(IFERROR(INDEX(ArchiveResults!$F$5:$IX$116,ComparisonData!A112,ComparisonData!$AG$1),0),5)</f>
        <v>0</v>
      </c>
      <c r="AH112" s="46" cm="1">
        <f t="array" ref="AH112">ROUND(IFERROR(INDEX(ArchiveResults!$F$5:$IX$116,ComparisonData!A112,ComparisonData!$AH$1),0),5)</f>
        <v>0</v>
      </c>
      <c r="AI112" s="56">
        <v>107</v>
      </c>
      <c r="AJ112" s="53" t="str">
        <f t="shared" si="1174"/>
        <v>West Sussex Record Office</v>
      </c>
      <c r="AK112" s="59">
        <f t="shared" si="1175"/>
        <v>0</v>
      </c>
      <c r="AL112" s="59">
        <f t="shared" si="1176"/>
        <v>0</v>
      </c>
      <c r="AM112" s="58">
        <f t="shared" si="767"/>
        <v>0</v>
      </c>
      <c r="AN112" s="45">
        <f t="shared" si="768"/>
        <v>37</v>
      </c>
      <c r="AO112" s="54">
        <f t="shared" si="1177"/>
        <v>2.6189999999999998</v>
      </c>
      <c r="AP112" s="45">
        <f t="shared" si="769"/>
        <v>1</v>
      </c>
      <c r="AQ112" s="45">
        <f t="shared" si="770"/>
        <v>2</v>
      </c>
      <c r="AR112" s="46" cm="1">
        <f t="array" ref="AR112">ROUND(IFERROR(INDEX(ArchiveResults!$F$5:$IX$116,ComparisonData!A112,ComparisonData!$AR$1),0),5)</f>
        <v>0</v>
      </c>
      <c r="AS112" s="46" cm="1">
        <f t="array" ref="AS112">ROUND(IFERROR(INDEX(ArchiveResults!$F$5:$IX$116,ComparisonData!A112,ComparisonData!$AS$1),0),5)</f>
        <v>0</v>
      </c>
      <c r="AT112" s="46" cm="1">
        <f t="array" ref="AT112">ROUND(IFERROR(INDEX(ArchiveResults!$F$5:$IX$116,ComparisonData!A112,ComparisonData!$AT$1),0),5)</f>
        <v>0</v>
      </c>
      <c r="AU112" s="46" cm="1">
        <f t="array" ref="AU112">ROUND(IFERROR(INDEX(ArchiveResults!$F$5:$IX$116,ComparisonData!A112,ComparisonData!$AU$1),0),5)</f>
        <v>0</v>
      </c>
      <c r="AV112" s="46" cm="1">
        <f t="array" ref="AV112">ROUND(IFERROR(INDEX(ArchiveResults!$F$5:$IX$116,ComparisonData!A112,ComparisonData!$AV$1),0),5)</f>
        <v>0</v>
      </c>
      <c r="AW112" s="46" cm="1">
        <f t="array" ref="AW112">ROUND(IFERROR(INDEX(ArchiveResults!$F$5:$IX$116,ComparisonData!A112,ComparisonData!$AW$1),0),5)</f>
        <v>0</v>
      </c>
      <c r="AX112" s="46" cm="1">
        <f t="array" ref="AX112">ROUND(IFERROR(INDEX(ArchiveResults!$F$5:$IX$116,ComparisonData!A112,ComparisonData!$AX$1),0),5)</f>
        <v>0</v>
      </c>
      <c r="AY112" s="46" cm="1">
        <f t="array" ref="AY112">ROUND(IFERROR(INDEX(ArchiveResults!$F$5:$IX$116,ComparisonData!A112,ComparisonData!$AY$1),0),5)</f>
        <v>0</v>
      </c>
      <c r="AZ112" s="46" cm="1">
        <f t="array" ref="AZ112">ROUND(IFERROR(INDEX(ArchiveResults!$F$5:$IX$116,ComparisonData!A112,ComparisonData!$AZ$1),0),5)</f>
        <v>0</v>
      </c>
      <c r="BA112" s="46" cm="1">
        <f t="array" ref="BA112">ROUND(IFERROR(INDEX(ArchiveResults!$F$5:$IX$116,ComparisonData!A112,ComparisonData!$BA$1),0),5)</f>
        <v>0</v>
      </c>
      <c r="BB112" s="56">
        <v>107</v>
      </c>
      <c r="BC112" s="53" t="str">
        <f t="shared" si="1178"/>
        <v>West Sussex Record Office</v>
      </c>
      <c r="BD112" s="60">
        <f t="shared" si="771"/>
        <v>0</v>
      </c>
      <c r="BE112" s="60">
        <f t="shared" si="772"/>
        <v>0</v>
      </c>
      <c r="BF112" s="60">
        <f t="shared" si="773"/>
        <v>0</v>
      </c>
      <c r="BG112" s="60">
        <f t="shared" si="774"/>
        <v>0</v>
      </c>
      <c r="BH112" s="60">
        <f t="shared" si="775"/>
        <v>0</v>
      </c>
      <c r="BI112" s="60">
        <f t="shared" si="776"/>
        <v>0</v>
      </c>
      <c r="BJ112" s="60">
        <f t="shared" si="777"/>
        <v>0</v>
      </c>
      <c r="BK112" s="60">
        <f t="shared" si="778"/>
        <v>0</v>
      </c>
      <c r="BL112" s="60">
        <f t="shared" si="779"/>
        <v>0</v>
      </c>
      <c r="BM112" s="59">
        <f t="shared" si="780"/>
        <v>0</v>
      </c>
      <c r="BN112" s="58">
        <f t="shared" si="781"/>
        <v>0</v>
      </c>
      <c r="BO112" s="45">
        <f t="shared" si="782"/>
        <v>37</v>
      </c>
      <c r="BP112" s="54">
        <f t="shared" si="1179"/>
        <v>2.6189999999999998</v>
      </c>
      <c r="BQ112" s="45">
        <f t="shared" si="783"/>
        <v>1</v>
      </c>
      <c r="BR112" s="45">
        <f t="shared" si="784"/>
        <v>2</v>
      </c>
      <c r="BS112" s="46" cm="1">
        <f t="array" ref="BS112">ROUND(IFERROR(INDEX(ArchiveResults!$F$5:$IX$116,ComparisonData!A112,ComparisonData!$BS$1),0),5)</f>
        <v>0</v>
      </c>
      <c r="BT112" s="46" cm="1">
        <f t="array" ref="BT112">ROUND(IFERROR(INDEX(ArchiveResults!$F$5:$IX$116,ComparisonData!A112,ComparisonData!$BT$1),0),5)</f>
        <v>0</v>
      </c>
      <c r="BU112" s="46" cm="1">
        <f t="array" ref="BU112">ROUND(IFERROR(INDEX(ArchiveResults!$F$5:$IX$116,ComparisonData!A112,ComparisonData!$BU$1),0),5)</f>
        <v>0</v>
      </c>
      <c r="BV112" s="46" cm="1">
        <f t="array" ref="BV112">ROUND(IFERROR(INDEX(ArchiveResults!$F$5:$IX$116,ComparisonData!A112,ComparisonData!$BV$1),0),5)</f>
        <v>0</v>
      </c>
      <c r="BW112" s="46" cm="1">
        <f t="array" ref="BW112">ROUND(IFERROR(INDEX(ArchiveResults!$F$5:$IX$116,ComparisonData!A112,ComparisonData!$BW$1),0),5)</f>
        <v>0</v>
      </c>
      <c r="BX112" s="46" cm="1">
        <f t="array" ref="BX112">ROUND(IFERROR(INDEX(ArchiveResults!$F$5:$IX$116,ComparisonData!A112,ComparisonData!$BX$1),0),5)</f>
        <v>0</v>
      </c>
      <c r="BY112" s="56">
        <v>107</v>
      </c>
      <c r="BZ112" s="53" t="str">
        <f t="shared" si="1180"/>
        <v>West Sussex Record Office</v>
      </c>
      <c r="CA112" s="59">
        <f t="shared" si="785"/>
        <v>0</v>
      </c>
      <c r="CB112" s="59">
        <f t="shared" si="786"/>
        <v>0</v>
      </c>
      <c r="CC112" s="59">
        <f t="shared" si="787"/>
        <v>0</v>
      </c>
      <c r="CD112" s="59">
        <f t="shared" si="788"/>
        <v>0</v>
      </c>
      <c r="CE112" s="59">
        <f t="shared" si="789"/>
        <v>0</v>
      </c>
      <c r="CF112" s="59">
        <f t="shared" si="790"/>
        <v>0</v>
      </c>
      <c r="CG112" s="58">
        <f t="shared" si="791"/>
        <v>0</v>
      </c>
      <c r="CH112" s="45">
        <f t="shared" si="792"/>
        <v>37</v>
      </c>
      <c r="CI112" s="54">
        <f t="shared" si="1181"/>
        <v>2.6189999999999998</v>
      </c>
      <c r="CJ112" s="45">
        <f t="shared" si="793"/>
        <v>1</v>
      </c>
      <c r="CK112" s="45">
        <f t="shared" si="794"/>
        <v>2</v>
      </c>
      <c r="CL112" s="46" cm="1">
        <f t="array" ref="CL112">ROUND(IFERROR(INDEX(ArchiveResults!$F$5:$IX$116,ComparisonData!A112,ComparisonData!$CL$1),0),5)</f>
        <v>0</v>
      </c>
      <c r="CM112" s="56">
        <v>107</v>
      </c>
      <c r="CN112" s="53" t="str">
        <f t="shared" si="1182"/>
        <v>West Sussex Record Office</v>
      </c>
      <c r="CO112" s="45">
        <f t="shared" si="795"/>
        <v>0</v>
      </c>
      <c r="CP112" s="58">
        <f t="shared" si="796"/>
        <v>0</v>
      </c>
      <c r="CQ112" s="45">
        <f t="shared" si="797"/>
        <v>37</v>
      </c>
      <c r="CR112" s="54">
        <f t="shared" si="1183"/>
        <v>2.6189999999999998</v>
      </c>
      <c r="CS112" s="45">
        <f t="shared" si="798"/>
        <v>1</v>
      </c>
      <c r="CT112" s="45">
        <f t="shared" si="799"/>
        <v>2</v>
      </c>
      <c r="CU112" s="46" cm="1">
        <f t="array" ref="CU112">ROUND(IFERROR(INDEX(ArchiveResults!$F$5:$IX$116,ComparisonData!A112,ComparisonData!$CU$1),0),5)</f>
        <v>0</v>
      </c>
      <c r="CV112" s="56">
        <v>107</v>
      </c>
      <c r="CW112" s="53" t="str">
        <f t="shared" si="1184"/>
        <v>West Sussex Record Office</v>
      </c>
      <c r="CX112" s="45">
        <f t="shared" si="800"/>
        <v>0</v>
      </c>
      <c r="CY112" s="58">
        <f t="shared" si="801"/>
        <v>0</v>
      </c>
      <c r="CZ112" s="45">
        <f t="shared" si="802"/>
        <v>37</v>
      </c>
      <c r="DA112" s="54">
        <f t="shared" si="1185"/>
        <v>2.6189999999999998</v>
      </c>
      <c r="DB112" s="45">
        <f t="shared" si="803"/>
        <v>1</v>
      </c>
      <c r="DC112" s="45">
        <f t="shared" si="804"/>
        <v>2</v>
      </c>
      <c r="DD112" s="46" cm="1">
        <f t="array" ref="DD112">ROUND(IFERROR(INDEX(ArchiveResults!$F$5:$IX$116,ComparisonData!A112,ComparisonData!$DD$1),0),5)</f>
        <v>0</v>
      </c>
      <c r="DE112" s="56">
        <v>107</v>
      </c>
      <c r="DF112" s="53" t="str">
        <f t="shared" si="1186"/>
        <v>West Sussex Record Office</v>
      </c>
      <c r="DG112" s="45">
        <f t="shared" si="805"/>
        <v>0</v>
      </c>
      <c r="DH112" s="58">
        <f t="shared" si="806"/>
        <v>0</v>
      </c>
      <c r="DI112" s="45">
        <f t="shared" si="807"/>
        <v>37</v>
      </c>
      <c r="DJ112" s="54">
        <f t="shared" si="1187"/>
        <v>2.6189999999999998</v>
      </c>
      <c r="DK112" s="45">
        <f t="shared" si="808"/>
        <v>1</v>
      </c>
      <c r="DL112" s="45">
        <f t="shared" si="809"/>
        <v>2</v>
      </c>
      <c r="DM112" s="46" cm="1">
        <f t="array" ref="DM112">ROUND(IFERROR(INDEX(ArchiveResults!$F$5:$IX$116,ComparisonData!A112,ComparisonData!$DM$1),0),5)</f>
        <v>0</v>
      </c>
      <c r="DN112" s="46" cm="1">
        <f t="array" ref="DN112">ROUND(IFERROR(INDEX(ArchiveResults!$F$5:$IX$116,ComparisonData!A112,ComparisonData!$DN$1),0),5)</f>
        <v>0</v>
      </c>
      <c r="DO112" s="46" cm="1">
        <f t="array" ref="DO112">ROUND(IFERROR(INDEX(ArchiveResults!$F$5:$IX$116,ComparisonData!A112,ComparisonData!$DO$1),0),5)</f>
        <v>0</v>
      </c>
      <c r="DP112" s="46" cm="1">
        <f t="array" ref="DP112">ROUND(IFERROR(INDEX(ArchiveResults!$F$5:$IX$116,ComparisonData!A112,ComparisonData!$DP$1),0),5)</f>
        <v>0</v>
      </c>
      <c r="DQ112" s="45" cm="1">
        <f t="array" ref="DQ112">IFERROR(INDEX(ArchiveResults!$F$5:$IX$116,ComparisonData!A112,ComparisonData!$DQ$1),0)</f>
        <v>0</v>
      </c>
      <c r="DR112" s="56">
        <v>107</v>
      </c>
      <c r="DS112" s="53" t="str">
        <f t="shared" si="1188"/>
        <v>West Sussex Record Office</v>
      </c>
      <c r="DT112" s="59">
        <f t="shared" si="810"/>
        <v>0</v>
      </c>
      <c r="DU112" s="59">
        <f t="shared" si="811"/>
        <v>0</v>
      </c>
      <c r="DV112" s="59">
        <f t="shared" si="812"/>
        <v>0</v>
      </c>
      <c r="DW112" s="59">
        <f t="shared" si="813"/>
        <v>0</v>
      </c>
      <c r="DX112" s="59">
        <f t="shared" si="814"/>
        <v>0</v>
      </c>
      <c r="DY112" s="58">
        <f t="shared" si="815"/>
        <v>0</v>
      </c>
      <c r="DZ112" s="45">
        <f t="shared" si="816"/>
        <v>37</v>
      </c>
      <c r="EA112" s="54">
        <f t="shared" si="1189"/>
        <v>2.6189999999999998</v>
      </c>
      <c r="EB112" s="45">
        <f t="shared" si="817"/>
        <v>1</v>
      </c>
      <c r="EC112" s="45">
        <f t="shared" si="818"/>
        <v>2</v>
      </c>
      <c r="ED112" s="46" cm="1">
        <f t="array" ref="ED112">ROUND(IFERROR(INDEX(ArchiveResults!$F$5:$IX$116,ComparisonData!A112,ComparisonData!$ED$1),0),5)</f>
        <v>0</v>
      </c>
      <c r="EE112" s="46" cm="1">
        <f t="array" ref="EE112">ROUND(IFERROR(INDEX(ArchiveResults!$F$5:$IX$116,ComparisonData!A112,ComparisonData!$EE$1),0),5)</f>
        <v>0</v>
      </c>
      <c r="EF112" s="46" cm="1">
        <f t="array" ref="EF112">ROUND(IFERROR(INDEX(ArchiveResults!$F$5:$IX$116,ComparisonData!A112,ComparisonData!$EF$1),0),5)</f>
        <v>0</v>
      </c>
      <c r="EG112" s="46" cm="1">
        <f t="array" ref="EG112">ROUND(IFERROR(INDEX(ArchiveResults!$F$5:$IX$116,ComparisonData!A112,ComparisonData!$EG$1),0),5)</f>
        <v>0</v>
      </c>
      <c r="EH112" s="45" cm="1">
        <f t="array" ref="EH112">IFERROR(INDEX(ArchiveResults!$F$5:$IX$116,ComparisonData!A112,ComparisonData!$EH$1),0)</f>
        <v>0</v>
      </c>
      <c r="EI112" s="56">
        <v>107</v>
      </c>
      <c r="EJ112" s="53" t="str">
        <f t="shared" si="1190"/>
        <v>West Sussex Record Office</v>
      </c>
      <c r="EK112" s="59">
        <f t="shared" si="819"/>
        <v>0</v>
      </c>
      <c r="EL112" s="59">
        <f t="shared" si="820"/>
        <v>0</v>
      </c>
      <c r="EM112" s="59">
        <f t="shared" si="821"/>
        <v>0</v>
      </c>
      <c r="EN112" s="59">
        <f t="shared" si="822"/>
        <v>0</v>
      </c>
      <c r="EO112" s="59">
        <f t="shared" si="823"/>
        <v>0</v>
      </c>
      <c r="EP112" s="58">
        <f t="shared" si="824"/>
        <v>0</v>
      </c>
      <c r="EQ112" s="45">
        <f t="shared" si="825"/>
        <v>37</v>
      </c>
      <c r="ER112" s="54">
        <f t="shared" si="1191"/>
        <v>2.6189999999999998</v>
      </c>
      <c r="ES112" s="45">
        <f t="shared" si="826"/>
        <v>1</v>
      </c>
      <c r="ET112" s="45">
        <f t="shared" si="827"/>
        <v>2</v>
      </c>
      <c r="EU112" s="46" cm="1">
        <f t="array" ref="EU112">ROUND(IFERROR(INDEX(ArchiveResults!$F$5:$IX$116,ComparisonData!A112,ComparisonData!$EU$1),0),5)</f>
        <v>0</v>
      </c>
      <c r="EV112" s="46" cm="1">
        <f t="array" ref="EV112">ROUND(IFERROR(INDEX(ArchiveResults!$F$5:$IX$116,ComparisonData!A112,ComparisonData!$EV$1),0),5)</f>
        <v>0</v>
      </c>
      <c r="EW112" s="46" cm="1">
        <f t="array" ref="EW112">ROUND(IFERROR(INDEX(ArchiveResults!$F$5:$IX$116,ComparisonData!A112,ComparisonData!$EW$1),0),5)</f>
        <v>0</v>
      </c>
      <c r="EX112" s="46" cm="1">
        <f t="array" ref="EX112">ROUND(IFERROR(INDEX(ArchiveResults!$F$5:$IX$116,ComparisonData!A112,ComparisonData!$EX$1),0),5)</f>
        <v>0</v>
      </c>
      <c r="EY112" s="45" cm="1">
        <f t="array" ref="EY112">IFERROR(INDEX(ArchiveResults!$F$5:$IX$116,ComparisonData!A112,ComparisonData!$EY$1),0)</f>
        <v>0</v>
      </c>
      <c r="EZ112" s="56">
        <v>107</v>
      </c>
      <c r="FA112" s="53" t="str">
        <f t="shared" si="1192"/>
        <v>West Sussex Record Office</v>
      </c>
      <c r="FB112" s="59">
        <f t="shared" si="828"/>
        <v>0</v>
      </c>
      <c r="FC112" s="59">
        <f t="shared" si="829"/>
        <v>0</v>
      </c>
      <c r="FD112" s="59">
        <f t="shared" si="830"/>
        <v>0</v>
      </c>
      <c r="FE112" s="59">
        <f t="shared" si="831"/>
        <v>0</v>
      </c>
      <c r="FF112" s="59">
        <f t="shared" si="832"/>
        <v>0</v>
      </c>
      <c r="FG112" s="58">
        <f t="shared" si="833"/>
        <v>0</v>
      </c>
      <c r="FH112" s="45">
        <f t="shared" si="834"/>
        <v>37</v>
      </c>
      <c r="FI112" s="54">
        <f t="shared" si="1193"/>
        <v>2.6189999999999998</v>
      </c>
      <c r="FJ112" s="45">
        <f t="shared" si="835"/>
        <v>1</v>
      </c>
      <c r="FK112" s="45">
        <f t="shared" si="836"/>
        <v>2</v>
      </c>
      <c r="FL112" s="46" cm="1">
        <f t="array" ref="FL112">ROUND(IFERROR(INDEX(ArchiveResults!$F$5:$IX$116,ComparisonData!A112,ComparisonData!$FL$1),0),5)</f>
        <v>0</v>
      </c>
      <c r="FM112" s="46" cm="1">
        <f t="array" ref="FM112">ROUND(IFERROR(INDEX(ArchiveResults!$F$5:$IX$116,ComparisonData!A112,ComparisonData!$FM$1),0),5)</f>
        <v>0</v>
      </c>
      <c r="FN112" s="46" cm="1">
        <f t="array" ref="FN112">ROUND(IFERROR(INDEX(ArchiveResults!$F$5:$IX$116,ComparisonData!A112,ComparisonData!$FN$1),0),5)</f>
        <v>0</v>
      </c>
      <c r="FO112" s="46" cm="1">
        <f t="array" ref="FO112">ROUND(IFERROR(INDEX(ArchiveResults!$F$5:$IX$116,ComparisonData!A112,ComparisonData!$FO$1),0),5)</f>
        <v>0</v>
      </c>
      <c r="FP112" s="45" cm="1">
        <f t="array" ref="FP112">IFERROR(INDEX(ArchiveResults!$F$5:$IX$116,ComparisonData!A112,ComparisonData!$FP$1),0)</f>
        <v>0</v>
      </c>
      <c r="FQ112" s="56">
        <v>107</v>
      </c>
      <c r="FR112" s="53" t="str">
        <f t="shared" si="1194"/>
        <v>West Sussex Record Office</v>
      </c>
      <c r="FS112" s="59">
        <f t="shared" si="837"/>
        <v>0</v>
      </c>
      <c r="FT112" s="59">
        <f t="shared" si="838"/>
        <v>0</v>
      </c>
      <c r="FU112" s="59">
        <f t="shared" si="839"/>
        <v>0</v>
      </c>
      <c r="FV112" s="59">
        <f t="shared" si="840"/>
        <v>0</v>
      </c>
      <c r="FW112" s="59">
        <f t="shared" si="841"/>
        <v>0</v>
      </c>
      <c r="FX112" s="58">
        <f t="shared" si="842"/>
        <v>0</v>
      </c>
      <c r="FY112" s="45">
        <f t="shared" si="843"/>
        <v>37</v>
      </c>
      <c r="FZ112" s="45">
        <f t="shared" si="1195"/>
        <v>2.6189999999999998</v>
      </c>
      <c r="GA112" s="45">
        <f t="shared" si="844"/>
        <v>1</v>
      </c>
      <c r="GB112" s="45">
        <f t="shared" si="845"/>
        <v>2</v>
      </c>
      <c r="GC112" s="46" cm="1">
        <f t="array" ref="GC112">ROUND(IFERROR(INDEX(ArchiveResults!$F$5:$IX$116,ComparisonData!A112,ComparisonData!$GC$1),0),5)</f>
        <v>0</v>
      </c>
      <c r="GD112" s="46" cm="1">
        <f t="array" ref="GD112">ROUND(IFERROR(INDEX(ArchiveResults!$F$5:$IX$116,ComparisonData!A112,ComparisonData!$GD$1),0),5)</f>
        <v>0</v>
      </c>
      <c r="GE112" s="46" cm="1">
        <f t="array" ref="GE112">ROUND(IFERROR(INDEX(ArchiveResults!$F$5:$IX$116,ComparisonData!A112,ComparisonData!$GE$1),0),5)</f>
        <v>0</v>
      </c>
      <c r="GF112" s="46" cm="1">
        <f t="array" ref="GF112">ROUND(IFERROR(INDEX(ArchiveResults!$F$5:$IX$116,ComparisonData!A112,ComparisonData!$GF$1),0),5)</f>
        <v>0</v>
      </c>
      <c r="GG112" s="45" cm="1">
        <f t="array" ref="GG112">IFERROR(INDEX(ArchiveResults!$F$5:$IX$116,ComparisonData!A112,ComparisonData!$GG$1),0)</f>
        <v>0</v>
      </c>
      <c r="GH112" s="56">
        <v>107</v>
      </c>
      <c r="GI112" s="53" t="str">
        <f t="shared" si="1196"/>
        <v>West Sussex Record Office</v>
      </c>
      <c r="GJ112" s="59">
        <f t="shared" si="846"/>
        <v>0</v>
      </c>
      <c r="GK112" s="59">
        <f t="shared" si="847"/>
        <v>0</v>
      </c>
      <c r="GL112" s="59">
        <f t="shared" si="848"/>
        <v>0</v>
      </c>
      <c r="GM112" s="59">
        <f t="shared" si="849"/>
        <v>0</v>
      </c>
      <c r="GN112" s="59">
        <f t="shared" si="850"/>
        <v>0</v>
      </c>
      <c r="GO112" s="58">
        <f t="shared" si="851"/>
        <v>0</v>
      </c>
      <c r="GP112" s="45">
        <f t="shared" si="852"/>
        <v>37</v>
      </c>
      <c r="GQ112" s="45">
        <f t="shared" si="1197"/>
        <v>2.6189999999999998</v>
      </c>
      <c r="GR112" s="45">
        <f t="shared" si="853"/>
        <v>1</v>
      </c>
      <c r="GS112" s="45">
        <f t="shared" si="854"/>
        <v>2</v>
      </c>
      <c r="GT112" s="46" cm="1">
        <f t="array" ref="GT112">ROUND(IFERROR(INDEX(ArchiveResults!$F$5:$IX$116,ComparisonData!A112,ComparisonData!$GT$1),0),5)</f>
        <v>0</v>
      </c>
      <c r="GU112" s="46" cm="1">
        <f t="array" ref="GU112">ROUND(IFERROR(INDEX(ArchiveResults!$F$5:$IX$116,ComparisonData!A112,ComparisonData!$GU$1),0),5)</f>
        <v>0</v>
      </c>
      <c r="GV112" s="46" cm="1">
        <f t="array" ref="GV112">ROUND(IFERROR(INDEX(ArchiveResults!$F$5:$IX$116,ComparisonData!A112,ComparisonData!$GV$1),0),5)</f>
        <v>0</v>
      </c>
      <c r="GW112" s="46" cm="1">
        <f t="array" ref="GW112">ROUND(IFERROR(INDEX(ArchiveResults!$F$5:$IX$116,ComparisonData!A112,ComparisonData!$GW$1),0),5)</f>
        <v>0</v>
      </c>
      <c r="GX112" s="45" cm="1">
        <f t="array" ref="GX112">IFERROR(INDEX(ArchiveResults!$F$5:$IX$116,ComparisonData!A112,ComparisonData!$GX$1),0)</f>
        <v>0</v>
      </c>
      <c r="GY112" s="56">
        <v>107</v>
      </c>
      <c r="GZ112" s="53" t="str">
        <f t="shared" si="1198"/>
        <v>West Sussex Record Office</v>
      </c>
      <c r="HA112" s="59">
        <f t="shared" si="855"/>
        <v>0</v>
      </c>
      <c r="HB112" s="59">
        <f t="shared" si="856"/>
        <v>0</v>
      </c>
      <c r="HC112" s="59">
        <f t="shared" si="857"/>
        <v>0</v>
      </c>
      <c r="HD112" s="59">
        <f t="shared" si="858"/>
        <v>0</v>
      </c>
      <c r="HE112" s="59">
        <f t="shared" si="859"/>
        <v>0</v>
      </c>
      <c r="HF112" s="58">
        <f t="shared" si="860"/>
        <v>0</v>
      </c>
      <c r="HG112" s="45">
        <f t="shared" si="861"/>
        <v>37</v>
      </c>
      <c r="HH112" s="45">
        <f t="shared" si="1199"/>
        <v>2.6189999999999998</v>
      </c>
      <c r="HI112" s="45">
        <f t="shared" si="862"/>
        <v>1</v>
      </c>
      <c r="HJ112" s="45">
        <f t="shared" si="863"/>
        <v>2</v>
      </c>
      <c r="HK112" s="46" cm="1">
        <f t="array" ref="HK112">ROUND(IFERROR(INDEX(ArchiveResults!$F$5:$IX$116,ComparisonData!A112,ComparisonData!$HK$1),0),5)</f>
        <v>0</v>
      </c>
      <c r="HL112" s="46" cm="1">
        <f t="array" ref="HL112">ROUND(IFERROR(INDEX(ArchiveResults!$F$5:$IX$116,ComparisonData!A112,ComparisonData!$HL$1),0),5)</f>
        <v>0</v>
      </c>
      <c r="HM112" s="46" cm="1">
        <f t="array" ref="HM112">ROUND(IFERROR(INDEX(ArchiveResults!$F$5:$IX$116,ComparisonData!A112,ComparisonData!$HM$1),0),5)</f>
        <v>0</v>
      </c>
      <c r="HN112" s="46" cm="1">
        <f t="array" ref="HN112">ROUND(IFERROR(INDEX(ArchiveResults!$F$5:$IX$116,ComparisonData!A112,ComparisonData!$HN$1),0),5)</f>
        <v>0</v>
      </c>
      <c r="HO112" s="45" cm="1">
        <f t="array" ref="HO112">IFERROR(INDEX(ArchiveResults!$F$5:$IX$116,ComparisonData!A112,ComparisonData!$HO$1),0)</f>
        <v>0</v>
      </c>
      <c r="HP112" s="56">
        <v>107</v>
      </c>
      <c r="HQ112" s="53" t="str">
        <f t="shared" si="1200"/>
        <v>West Sussex Record Office</v>
      </c>
      <c r="HR112" s="59">
        <f t="shared" si="1201"/>
        <v>0</v>
      </c>
      <c r="HS112" s="59">
        <f t="shared" si="1202"/>
        <v>0</v>
      </c>
      <c r="HT112" s="59">
        <f t="shared" si="1203"/>
        <v>0</v>
      </c>
      <c r="HU112" s="59">
        <f t="shared" si="1204"/>
        <v>0</v>
      </c>
      <c r="HV112" s="59">
        <f t="shared" si="1205"/>
        <v>0</v>
      </c>
      <c r="HW112" s="58">
        <f t="shared" si="864"/>
        <v>0</v>
      </c>
      <c r="HX112" s="45">
        <f t="shared" si="865"/>
        <v>37</v>
      </c>
      <c r="HY112" s="45">
        <f t="shared" si="1206"/>
        <v>2.6189999999999998</v>
      </c>
      <c r="HZ112" s="45">
        <f t="shared" si="866"/>
        <v>1</v>
      </c>
      <c r="IA112" s="45">
        <f t="shared" si="867"/>
        <v>2</v>
      </c>
      <c r="IB112" s="45">
        <f t="shared" si="868"/>
        <v>0</v>
      </c>
      <c r="IC112" s="46" cm="1">
        <f t="array" ref="IC112">ROUND(IFERROR(INDEX(ArchiveResults!$F$5:$IX$116,ComparisonData!A112,ComparisonData!$IC$1),0),5)</f>
        <v>0</v>
      </c>
      <c r="ID112" s="46" cm="1">
        <f t="array" ref="ID112">ROUND(IFERROR(INDEX(ArchiveResults!$F$5:$IX$116,ComparisonData!A112,ComparisonData!$ID$1),0),5)</f>
        <v>0</v>
      </c>
      <c r="IE112" s="46" cm="1">
        <f t="array" ref="IE112">ROUND(IFERROR(INDEX(ArchiveResults!$F$5:$IX$116,ComparisonData!A112,ComparisonData!$IE$1),0),5)</f>
        <v>0</v>
      </c>
      <c r="IF112" s="46" cm="1">
        <f t="array" ref="IF112">ROUND(IFERROR(INDEX(ArchiveResults!$F$5:$IX$116,ComparisonData!A112,ComparisonData!$IF$1),0),5)</f>
        <v>0</v>
      </c>
      <c r="IG112" s="45" cm="1">
        <f t="array" ref="IG112">IFERROR(INDEX(ArchiveResults!$F$5:$IX$116,ComparisonData!A112,ComparisonData!$IG$1),0)</f>
        <v>0</v>
      </c>
      <c r="IH112" s="56">
        <v>107</v>
      </c>
      <c r="II112" s="53" t="str">
        <f t="shared" si="1207"/>
        <v>West Sussex Record Office</v>
      </c>
      <c r="IJ112" s="59">
        <f t="shared" si="869"/>
        <v>0</v>
      </c>
      <c r="IK112" s="59">
        <f t="shared" si="870"/>
        <v>0</v>
      </c>
      <c r="IL112" s="59">
        <f t="shared" si="871"/>
        <v>0</v>
      </c>
      <c r="IM112" s="59">
        <f t="shared" si="872"/>
        <v>0</v>
      </c>
      <c r="IN112" s="59">
        <f t="shared" si="873"/>
        <v>0</v>
      </c>
      <c r="IO112" s="58">
        <f t="shared" si="874"/>
        <v>0</v>
      </c>
      <c r="IP112" s="45">
        <f t="shared" si="875"/>
        <v>37</v>
      </c>
      <c r="IQ112" s="45">
        <f t="shared" si="1208"/>
        <v>2.6189999999999998</v>
      </c>
      <c r="IR112" s="45">
        <f t="shared" si="876"/>
        <v>1</v>
      </c>
      <c r="IS112" s="45">
        <f t="shared" si="877"/>
        <v>2</v>
      </c>
      <c r="IT112" s="46">
        <f t="shared" si="878"/>
        <v>0</v>
      </c>
      <c r="IU112" s="46" cm="1">
        <f t="array" ref="IU112">ROUND(IFERROR(INDEX(ArchiveResults!$F$5:$IX$116,ComparisonData!A112,ComparisonData!$IU$1),0),5)</f>
        <v>0</v>
      </c>
      <c r="IV112" s="46" cm="1">
        <f t="array" ref="IV112">ROUND(IFERROR(INDEX(ArchiveResults!$F$5:$IX$116,ComparisonData!A112,ComparisonData!$IV$1),0),5)</f>
        <v>0</v>
      </c>
      <c r="IW112" s="46" cm="1">
        <f t="array" ref="IW112">ROUND(IFERROR(INDEX(ArchiveResults!$F$5:$IX$116,ComparisonData!A112,ComparisonData!$IW$1),0),5)</f>
        <v>0</v>
      </c>
      <c r="IX112" s="46" cm="1">
        <f t="array" ref="IX112">ROUND(IFERROR(INDEX(ArchiveResults!$F$5:$IX$116,ComparisonData!A112,ComparisonData!$IX$1),0),5)</f>
        <v>0</v>
      </c>
      <c r="IY112" s="45" cm="1">
        <f t="array" ref="IY112">IFERROR(INDEX(ArchiveResults!$F$5:$IX$116,ComparisonData!A112,ComparisonData!$IY$1),0)</f>
        <v>0</v>
      </c>
      <c r="IZ112" s="56">
        <v>107</v>
      </c>
      <c r="JA112" s="53" t="str">
        <f t="shared" si="1209"/>
        <v>West Sussex Record Office</v>
      </c>
      <c r="JB112" s="59">
        <f t="shared" si="879"/>
        <v>0</v>
      </c>
      <c r="JC112" s="59">
        <f t="shared" si="880"/>
        <v>0</v>
      </c>
      <c r="JD112" s="59">
        <f t="shared" si="881"/>
        <v>0</v>
      </c>
      <c r="JE112" s="59">
        <f t="shared" si="882"/>
        <v>0</v>
      </c>
      <c r="JF112" s="59">
        <f t="shared" si="883"/>
        <v>0</v>
      </c>
      <c r="JG112" s="58">
        <f t="shared" si="884"/>
        <v>0</v>
      </c>
      <c r="JH112" s="45">
        <f t="shared" si="885"/>
        <v>37</v>
      </c>
      <c r="JI112" s="45">
        <f t="shared" si="1210"/>
        <v>2.6189999999999998</v>
      </c>
      <c r="JJ112" s="45">
        <f t="shared" si="886"/>
        <v>1</v>
      </c>
      <c r="JK112" s="45">
        <f t="shared" si="887"/>
        <v>2</v>
      </c>
      <c r="JL112" s="45">
        <f t="shared" si="888"/>
        <v>0</v>
      </c>
      <c r="JM112" s="46" cm="1">
        <f t="array" ref="JM112">ROUND(IFERROR(INDEX(ArchiveResults!$F$5:$IX$116,ComparisonData!A112,ComparisonData!$JM$1),0),5)</f>
        <v>0</v>
      </c>
      <c r="JN112" s="46" cm="1">
        <f t="array" ref="JN112">ROUND(IFERROR(INDEX(ArchiveResults!$F$5:$IX$116,ComparisonData!A112,ComparisonData!$JN$1),0),5)</f>
        <v>0</v>
      </c>
      <c r="JO112" s="46" cm="1">
        <f t="array" ref="JO112">ROUND(IFERROR(INDEX(ArchiveResults!$F$5:$IX$116,ComparisonData!A112,ComparisonData!$JO$1),0),5)</f>
        <v>0</v>
      </c>
      <c r="JP112" s="46" cm="1">
        <f t="array" ref="JP112">ROUND(IFERROR(INDEX(ArchiveResults!$F$5:$IX$116,ComparisonData!A112,ComparisonData!$JP$1),0),5)</f>
        <v>0</v>
      </c>
      <c r="JQ112" s="45" cm="1">
        <f t="array" ref="JQ112">IFERROR(INDEX(ArchiveResults!$F$5:$IX$116,ComparisonData!A112,ComparisonData!$JQ$1),0)</f>
        <v>0</v>
      </c>
      <c r="JR112" s="56">
        <v>107</v>
      </c>
      <c r="JS112" s="53" t="str">
        <f t="shared" si="1211"/>
        <v>West Sussex Record Office</v>
      </c>
      <c r="JT112" s="59">
        <f t="shared" si="889"/>
        <v>0</v>
      </c>
      <c r="JU112" s="59">
        <f t="shared" si="890"/>
        <v>0</v>
      </c>
      <c r="JV112" s="59">
        <f t="shared" si="891"/>
        <v>0</v>
      </c>
      <c r="JW112" s="59">
        <f t="shared" si="892"/>
        <v>0</v>
      </c>
      <c r="JX112" s="59">
        <f t="shared" si="893"/>
        <v>0</v>
      </c>
      <c r="JY112" s="58">
        <f t="shared" si="894"/>
        <v>0</v>
      </c>
      <c r="JZ112" s="45">
        <f t="shared" si="895"/>
        <v>37</v>
      </c>
      <c r="KA112" s="45">
        <f t="shared" si="1212"/>
        <v>2.6189999999999998</v>
      </c>
      <c r="KB112" s="45">
        <f t="shared" si="896"/>
        <v>1</v>
      </c>
      <c r="KC112" s="45">
        <f t="shared" si="897"/>
        <v>2</v>
      </c>
      <c r="KD112" s="45">
        <f t="shared" si="898"/>
        <v>0</v>
      </c>
      <c r="KE112" s="46" cm="1">
        <f t="array" ref="KE112">ROUND(IFERROR(INDEX(ArchiveResults!$F$5:$IX$116,ComparisonData!A112,ComparisonData!$KE$1),0),5)</f>
        <v>0</v>
      </c>
      <c r="KF112" s="46" cm="1">
        <f t="array" ref="KF112">ROUND(IFERROR(INDEX(ArchiveResults!$F$5:$IX$116,ComparisonData!A112,ComparisonData!$KF$1),0),5)</f>
        <v>0</v>
      </c>
      <c r="KG112" s="46" cm="1">
        <f t="array" ref="KG112">ROUND(IFERROR(INDEX(ArchiveResults!$F$5:$IX$116,ComparisonData!A112,ComparisonData!$KG$1),0),5)</f>
        <v>0</v>
      </c>
      <c r="KH112" s="46" cm="1">
        <f t="array" ref="KH112">ROUND(IFERROR(INDEX(ArchiveResults!$F$5:$IX$116,ComparisonData!A112,ComparisonData!$KH$1),0),5)</f>
        <v>0</v>
      </c>
      <c r="KI112" s="45" cm="1">
        <f t="array" ref="KI112">IFERROR(INDEX(ArchiveResults!$F$5:$IX$116,ComparisonData!A112,ComparisonData!$KI$1),0)</f>
        <v>0</v>
      </c>
      <c r="KJ112" s="56">
        <v>107</v>
      </c>
      <c r="KK112" s="53" t="str">
        <f t="shared" si="1213"/>
        <v>West Sussex Record Office</v>
      </c>
      <c r="KL112" s="59">
        <f t="shared" si="899"/>
        <v>0</v>
      </c>
      <c r="KM112" s="59">
        <f t="shared" si="900"/>
        <v>0</v>
      </c>
      <c r="KN112" s="59">
        <f t="shared" si="901"/>
        <v>0</v>
      </c>
      <c r="KO112" s="59">
        <f t="shared" si="902"/>
        <v>0</v>
      </c>
      <c r="KP112" s="59">
        <f t="shared" si="903"/>
        <v>0</v>
      </c>
      <c r="KQ112" s="58">
        <f t="shared" si="904"/>
        <v>0</v>
      </c>
      <c r="KR112" s="45">
        <f t="shared" si="905"/>
        <v>37</v>
      </c>
      <c r="KS112" s="45">
        <f t="shared" si="1214"/>
        <v>2.6189999999999998</v>
      </c>
      <c r="KT112" s="45">
        <f t="shared" si="906"/>
        <v>1</v>
      </c>
      <c r="KU112" s="45">
        <f t="shared" si="907"/>
        <v>2</v>
      </c>
      <c r="KV112" s="45">
        <f t="shared" si="908"/>
        <v>0</v>
      </c>
      <c r="KW112" s="46" cm="1">
        <f t="array" ref="KW112">ROUND(IFERROR(INDEX(ArchiveResults!$F$5:$IX$116,ComparisonData!A112,ComparisonData!$KW$1),0),5)</f>
        <v>0</v>
      </c>
      <c r="KX112" s="46" cm="1">
        <f t="array" ref="KX112">ROUND(IFERROR(INDEX(ArchiveResults!$F$5:$IX$116,ComparisonData!A112,ComparisonData!$KX$1),0),5)</f>
        <v>0</v>
      </c>
      <c r="KY112" s="46" cm="1">
        <f t="array" ref="KY112">ROUND(IFERROR(INDEX(ArchiveResults!$F$5:$IX$116,ComparisonData!A112,ComparisonData!$KY$1),0),5)</f>
        <v>0</v>
      </c>
      <c r="KZ112" s="46" cm="1">
        <f t="array" ref="KZ112">ROUND(IFERROR(INDEX(ArchiveResults!$F$5:$IX$116,ComparisonData!A112,ComparisonData!$KZ$1),0),5)</f>
        <v>0</v>
      </c>
      <c r="LA112" s="45" cm="1">
        <f t="array" ref="LA112">IFERROR(INDEX(ArchiveResults!$F$5:$IX$116,ComparisonData!A112,ComparisonData!$LA$1),0)</f>
        <v>0</v>
      </c>
      <c r="LB112" s="56">
        <v>107</v>
      </c>
      <c r="LC112" s="53" t="str">
        <f t="shared" si="1215"/>
        <v>West Sussex Record Office</v>
      </c>
      <c r="LD112" s="59">
        <f t="shared" si="909"/>
        <v>0</v>
      </c>
      <c r="LE112" s="59">
        <f t="shared" si="910"/>
        <v>0</v>
      </c>
      <c r="LF112" s="59">
        <f t="shared" si="911"/>
        <v>0</v>
      </c>
      <c r="LG112" s="59">
        <f t="shared" si="912"/>
        <v>0</v>
      </c>
      <c r="LH112" s="59">
        <f t="shared" si="913"/>
        <v>0</v>
      </c>
      <c r="LI112" s="58">
        <f t="shared" si="914"/>
        <v>0</v>
      </c>
      <c r="LJ112" s="45">
        <f t="shared" si="915"/>
        <v>37</v>
      </c>
      <c r="LK112" s="45">
        <f t="shared" si="1216"/>
        <v>2.6189999999999998</v>
      </c>
      <c r="LL112" s="45">
        <f t="shared" si="916"/>
        <v>1</v>
      </c>
      <c r="LM112" s="45">
        <f t="shared" si="917"/>
        <v>2</v>
      </c>
      <c r="LN112" s="45">
        <f t="shared" si="918"/>
        <v>0</v>
      </c>
      <c r="LO112" s="46" cm="1">
        <f t="array" ref="LO112">ROUND(IFERROR(INDEX(ArchiveResults!$F$5:$IX$116,ComparisonData!A112,ComparisonData!$LO$1),0),5)</f>
        <v>0</v>
      </c>
      <c r="LP112" s="46" cm="1">
        <f t="array" ref="LP112">ROUND(IFERROR(INDEX(ArchiveResults!$F$5:$IX$116,ComparisonData!A112,ComparisonData!$LP$1),0),5)</f>
        <v>0</v>
      </c>
      <c r="LQ112" s="46" cm="1">
        <f t="array" ref="LQ112">ROUND(IFERROR(INDEX(ArchiveResults!$F$5:$IX$116,ComparisonData!A112,ComparisonData!$LQ$1),0),5)</f>
        <v>0</v>
      </c>
      <c r="LR112" s="46" cm="1">
        <f t="array" ref="LR112">ROUND(IFERROR(INDEX(ArchiveResults!$F$5:$IX$116,ComparisonData!A112,ComparisonData!$LR$1),0),5)</f>
        <v>0</v>
      </c>
      <c r="LS112" s="45" cm="1">
        <f t="array" ref="LS112">IFERROR(INDEX(ArchiveResults!$F$5:$IX$116,ComparisonData!A112,ComparisonData!$LS$1),0)</f>
        <v>0</v>
      </c>
      <c r="LT112" s="56">
        <v>107</v>
      </c>
      <c r="LU112" s="53" t="str">
        <f t="shared" si="1217"/>
        <v>West Sussex Record Office</v>
      </c>
      <c r="LV112" s="59">
        <f t="shared" si="919"/>
        <v>0</v>
      </c>
      <c r="LW112" s="59">
        <f t="shared" si="920"/>
        <v>0</v>
      </c>
      <c r="LX112" s="59">
        <f t="shared" si="921"/>
        <v>0</v>
      </c>
      <c r="LY112" s="59">
        <f t="shared" si="922"/>
        <v>0</v>
      </c>
      <c r="LZ112" s="59">
        <f t="shared" si="923"/>
        <v>0</v>
      </c>
      <c r="MA112" s="58">
        <f t="shared" si="924"/>
        <v>0</v>
      </c>
      <c r="MB112" s="45">
        <f t="shared" si="925"/>
        <v>37</v>
      </c>
      <c r="MC112" s="45">
        <f t="shared" si="1218"/>
        <v>2.6189999999999998</v>
      </c>
      <c r="MD112" s="45">
        <f t="shared" si="926"/>
        <v>1</v>
      </c>
      <c r="ME112" s="45">
        <f t="shared" si="927"/>
        <v>2</v>
      </c>
      <c r="MF112" s="45">
        <f t="shared" si="928"/>
        <v>0</v>
      </c>
      <c r="MG112" s="46" cm="1">
        <f t="array" ref="MG112">ROUND(IFERROR(INDEX(ArchiveResults!$F$5:$IX$116,ComparisonData!A112,ComparisonData!$MG$1),0),5)</f>
        <v>0</v>
      </c>
      <c r="MH112" s="46" cm="1">
        <f t="array" ref="MH112">ROUND(IFERROR(INDEX(ArchiveResults!$F$5:$IX$116,ComparisonData!A112,ComparisonData!$MH$1),0),5)</f>
        <v>0</v>
      </c>
      <c r="MI112" s="46" cm="1">
        <f t="array" ref="MI112">ROUND(IFERROR(INDEX(ArchiveResults!$F$5:$IX$116,ComparisonData!A112,ComparisonData!$MI$1),0),5)</f>
        <v>0</v>
      </c>
      <c r="MJ112" s="46" cm="1">
        <f t="array" ref="MJ112">ROUND(IFERROR(INDEX(ArchiveResults!$F$5:$IX$116,ComparisonData!A112,ComparisonData!$MJ$1),0),5)</f>
        <v>0</v>
      </c>
      <c r="MK112" s="45" cm="1">
        <f t="array" ref="MK112">IFERROR(INDEX(ArchiveResults!$F$5:$IX$116,ComparisonData!A112,ComparisonData!$MK$1),0)</f>
        <v>0</v>
      </c>
      <c r="ML112" s="56">
        <v>107</v>
      </c>
      <c r="MM112" s="53" t="str">
        <f t="shared" si="1219"/>
        <v>West Sussex Record Office</v>
      </c>
      <c r="MN112" s="59">
        <f t="shared" si="929"/>
        <v>0</v>
      </c>
      <c r="MO112" s="59">
        <f t="shared" si="930"/>
        <v>0</v>
      </c>
      <c r="MP112" s="59">
        <f t="shared" si="931"/>
        <v>0</v>
      </c>
      <c r="MQ112" s="59">
        <f t="shared" si="932"/>
        <v>0</v>
      </c>
      <c r="MR112" s="59">
        <f t="shared" si="933"/>
        <v>0</v>
      </c>
      <c r="MS112" s="58">
        <f t="shared" si="934"/>
        <v>0</v>
      </c>
      <c r="MT112" s="45">
        <f t="shared" si="935"/>
        <v>37</v>
      </c>
      <c r="MU112" s="45">
        <f t="shared" si="1220"/>
        <v>2.6189999999999998</v>
      </c>
      <c r="MV112" s="45">
        <f t="shared" si="936"/>
        <v>1</v>
      </c>
      <c r="MW112" s="45">
        <f t="shared" si="937"/>
        <v>2</v>
      </c>
      <c r="MX112" s="45">
        <f t="shared" si="938"/>
        <v>0</v>
      </c>
      <c r="MY112" s="46" cm="1">
        <f t="array" ref="MY112">ROUND(IFERROR(INDEX(ArchiveResults!$F$5:$IX$116,ComparisonData!A112,ComparisonData!$MY$1),0),5)</f>
        <v>0</v>
      </c>
      <c r="MZ112" s="46" cm="1">
        <f t="array" ref="MZ112">ROUND(IFERROR(INDEX(ArchiveResults!$F$5:$IX$116,ComparisonData!A112,ComparisonData!$MZ$1),0),5)</f>
        <v>0</v>
      </c>
      <c r="NA112" s="46" cm="1">
        <f t="array" ref="NA112">ROUND(IFERROR(INDEX(ArchiveResults!$F$5:$IX$116,ComparisonData!A112,ComparisonData!$NA$1),0),5)</f>
        <v>0</v>
      </c>
      <c r="NB112" s="46" cm="1">
        <f t="array" ref="NB112">ROUND(IFERROR(INDEX(ArchiveResults!$F$5:$IX$116,ComparisonData!A112,ComparisonData!$NB$1),0),5)</f>
        <v>0</v>
      </c>
      <c r="NC112" s="45" cm="1">
        <f t="array" ref="NC112">IFERROR(INDEX(ArchiveResults!$F$5:$IX$116,ComparisonData!A112,ComparisonData!$NC$1),0)</f>
        <v>0</v>
      </c>
      <c r="ND112" s="56">
        <v>107</v>
      </c>
      <c r="NE112" s="53" t="str">
        <f t="shared" si="1221"/>
        <v>West Sussex Record Office</v>
      </c>
      <c r="NF112" s="59">
        <f t="shared" si="939"/>
        <v>0</v>
      </c>
      <c r="NG112" s="59">
        <f t="shared" si="940"/>
        <v>0</v>
      </c>
      <c r="NH112" s="59">
        <f t="shared" si="941"/>
        <v>0</v>
      </c>
      <c r="NI112" s="59">
        <f t="shared" si="942"/>
        <v>0</v>
      </c>
      <c r="NJ112" s="59">
        <f t="shared" si="943"/>
        <v>0</v>
      </c>
      <c r="NK112" s="58">
        <f t="shared" si="944"/>
        <v>0</v>
      </c>
      <c r="NL112" s="45">
        <f t="shared" si="945"/>
        <v>37</v>
      </c>
      <c r="NM112" s="45">
        <f t="shared" si="1222"/>
        <v>2.6189999999999998</v>
      </c>
      <c r="NN112" s="45">
        <f t="shared" si="946"/>
        <v>1</v>
      </c>
      <c r="NO112" s="45">
        <f t="shared" si="947"/>
        <v>2</v>
      </c>
      <c r="NP112" s="46" cm="1">
        <f t="array" ref="NP112">ROUND(IFERROR(INDEX(ArchiveResults!$F$5:$IX$116,ComparisonData!A112,ComparisonData!$NP$1),0),5)</f>
        <v>0</v>
      </c>
      <c r="NQ112" s="46" cm="1">
        <f t="array" ref="NQ112">ROUND(IFERROR(INDEX(ArchiveResults!$F$5:$IX$116,ComparisonData!A112,ComparisonData!$NQ$1),0),5)</f>
        <v>0</v>
      </c>
      <c r="NR112" s="46" cm="1">
        <f t="array" ref="NR112">ROUND(IFERROR(INDEX(ArchiveResults!$F$5:$IX$116,ComparisonData!A112,ComparisonData!$NR$1),0),5)</f>
        <v>0</v>
      </c>
      <c r="NS112" s="46" cm="1">
        <f t="array" ref="NS112">ROUND(IFERROR(INDEX(ArchiveResults!$F$5:$IX$116,ComparisonData!A112,ComparisonData!$NS$1),0),5)</f>
        <v>0</v>
      </c>
      <c r="NT112" s="45" cm="1">
        <f t="array" ref="NT112">IFERROR(INDEX(ArchiveResults!$F$5:$IX$116,ComparisonData!A112,ComparisonData!$NT$1),0)</f>
        <v>0</v>
      </c>
      <c r="NU112" s="56">
        <v>107</v>
      </c>
      <c r="NV112" s="53" t="str">
        <f t="shared" si="1223"/>
        <v>West Sussex Record Office</v>
      </c>
      <c r="NW112" s="59">
        <f t="shared" si="948"/>
        <v>0</v>
      </c>
      <c r="NX112" s="59">
        <f t="shared" si="949"/>
        <v>0</v>
      </c>
      <c r="NY112" s="59">
        <f t="shared" si="950"/>
        <v>0</v>
      </c>
      <c r="NZ112" s="59">
        <f t="shared" si="951"/>
        <v>0</v>
      </c>
      <c r="OA112" s="59">
        <f t="shared" si="952"/>
        <v>0</v>
      </c>
      <c r="OB112" s="58">
        <f t="shared" si="953"/>
        <v>0</v>
      </c>
      <c r="OC112" s="45">
        <f t="shared" si="954"/>
        <v>37</v>
      </c>
      <c r="OD112" s="45">
        <f t="shared" si="1224"/>
        <v>2.6189999999999998</v>
      </c>
      <c r="OE112" s="45">
        <f t="shared" si="955"/>
        <v>1</v>
      </c>
      <c r="OF112" s="45">
        <f t="shared" si="956"/>
        <v>2</v>
      </c>
      <c r="OG112" s="46">
        <f t="shared" si="957"/>
        <v>0</v>
      </c>
      <c r="OH112" s="46" cm="1">
        <f t="array" ref="OH112">ROUND(IFERROR(INDEX(ArchiveResults!$F$5:$IX$116,ComparisonData!A112,ComparisonData!$OH$1),0),5)</f>
        <v>0</v>
      </c>
      <c r="OI112" s="46" cm="1">
        <f t="array" ref="OI112">ROUND(IFERROR(INDEX(ArchiveResults!$F$5:$IX$116,ComparisonData!A112,ComparisonData!$OI$1),0),5)</f>
        <v>0</v>
      </c>
      <c r="OJ112" s="46" cm="1">
        <f t="array" ref="OJ112">ROUND(IFERROR(INDEX(ArchiveResults!$F$5:$IX$116,ComparisonData!A112,ComparisonData!$OJ$1),0),5)</f>
        <v>0</v>
      </c>
      <c r="OK112" s="46" cm="1">
        <f t="array" ref="OK112">ROUND(IFERROR(INDEX(ArchiveResults!$F$5:$IX$116,ComparisonData!A112,ComparisonData!$OK$1),0),5)</f>
        <v>0</v>
      </c>
      <c r="OL112" s="45" cm="1">
        <f t="array" ref="OL112">IFERROR(INDEX(ArchiveResults!$F$5:$IX$116,ComparisonData!A112,ComparisonData!$OL$1),0)</f>
        <v>0</v>
      </c>
      <c r="OM112" s="56">
        <v>107</v>
      </c>
      <c r="ON112" s="53" t="str">
        <f t="shared" si="1225"/>
        <v>West Sussex Record Office</v>
      </c>
      <c r="OO112" s="59">
        <f t="shared" si="958"/>
        <v>0</v>
      </c>
      <c r="OP112" s="59">
        <f t="shared" si="959"/>
        <v>0</v>
      </c>
      <c r="OQ112" s="59">
        <f t="shared" si="960"/>
        <v>0</v>
      </c>
      <c r="OR112" s="59">
        <f t="shared" si="961"/>
        <v>0</v>
      </c>
      <c r="OS112" s="59">
        <f t="shared" si="962"/>
        <v>0</v>
      </c>
      <c r="OT112" s="58">
        <f t="shared" si="963"/>
        <v>0</v>
      </c>
      <c r="OU112" s="45">
        <f t="shared" si="964"/>
        <v>37</v>
      </c>
      <c r="OV112" s="45">
        <f t="shared" si="1226"/>
        <v>2.6189999999999998</v>
      </c>
      <c r="OW112" s="45">
        <f t="shared" si="965"/>
        <v>1</v>
      </c>
      <c r="OX112" s="45">
        <f t="shared" si="966"/>
        <v>2</v>
      </c>
      <c r="OY112" s="45">
        <f t="shared" si="967"/>
        <v>0</v>
      </c>
      <c r="OZ112" s="46" cm="1">
        <f t="array" ref="OZ112">ROUND(IFERROR(INDEX(ArchiveResults!$F$5:$IX$116,ComparisonData!A112,ComparisonData!$OZ$1),0),5)</f>
        <v>0</v>
      </c>
      <c r="PA112" s="46" cm="1">
        <f t="array" ref="PA112">ROUND(IFERROR(INDEX(ArchiveResults!$F$5:$IX$116,ComparisonData!A112,ComparisonData!$PA$1),0),5)</f>
        <v>0</v>
      </c>
      <c r="PB112" s="46" cm="1">
        <f t="array" ref="PB112">ROUND(IFERROR(INDEX(ArchiveResults!$F$5:$IX$116,ComparisonData!A112,ComparisonData!$PB$1),0),5)</f>
        <v>0</v>
      </c>
      <c r="PC112" s="46" cm="1">
        <f t="array" ref="PC112">ROUND(IFERROR(INDEX(ArchiveResults!$F$5:$IX$116,ComparisonData!A112,ComparisonData!$PC$1),0),5)</f>
        <v>0</v>
      </c>
      <c r="PD112" s="45" cm="1">
        <f t="array" ref="PD112">IFERROR(INDEX(ArchiveResults!$F$5:$IX$116,ComparisonData!A112,ComparisonData!$PD$1),0)</f>
        <v>0</v>
      </c>
      <c r="PE112" s="56">
        <v>107</v>
      </c>
      <c r="PF112" s="53" t="str">
        <f t="shared" si="1227"/>
        <v>West Sussex Record Office</v>
      </c>
      <c r="PG112" s="59">
        <f t="shared" si="968"/>
        <v>0</v>
      </c>
      <c r="PH112" s="59">
        <f t="shared" si="969"/>
        <v>0</v>
      </c>
      <c r="PI112" s="59">
        <f t="shared" si="970"/>
        <v>0</v>
      </c>
      <c r="PJ112" s="59">
        <f t="shared" si="971"/>
        <v>0</v>
      </c>
      <c r="PK112" s="59">
        <f t="shared" si="972"/>
        <v>0</v>
      </c>
      <c r="PL112" s="58">
        <f t="shared" si="973"/>
        <v>0</v>
      </c>
      <c r="PM112" s="45">
        <f t="shared" si="974"/>
        <v>37</v>
      </c>
      <c r="PN112" s="45">
        <f t="shared" si="1228"/>
        <v>2.6189999999999998</v>
      </c>
      <c r="PO112" s="45">
        <f t="shared" si="975"/>
        <v>1</v>
      </c>
      <c r="PP112" s="45">
        <f t="shared" si="976"/>
        <v>2</v>
      </c>
      <c r="PQ112" s="45">
        <f t="shared" si="977"/>
        <v>0</v>
      </c>
      <c r="PR112" s="46" cm="1">
        <f t="array" ref="PR112">ROUND(IFERROR(INDEX(ArchiveResults!$F$5:$IX$116,ComparisonData!A112,ComparisonData!$PR$1),0),5)</f>
        <v>0</v>
      </c>
      <c r="PS112" s="46" cm="1">
        <f t="array" ref="PS112">ROUND(IFERROR(INDEX(ArchiveResults!$F$5:$IX$116,ComparisonData!A112,ComparisonData!$PS$1),0),5)</f>
        <v>0</v>
      </c>
      <c r="PT112" s="46" cm="1">
        <f t="array" ref="PT112">ROUND(IFERROR(INDEX(ArchiveResults!$F$5:$IX$116,ComparisonData!A112,ComparisonData!$PT$1),0),5)</f>
        <v>0</v>
      </c>
      <c r="PU112" s="46" cm="1">
        <f t="array" ref="PU112">ROUND(IFERROR(INDEX(ArchiveResults!$F$5:$IX$116,ComparisonData!A112,ComparisonData!$PU$1),0),5)</f>
        <v>0</v>
      </c>
      <c r="PV112" s="45" cm="1">
        <f t="array" ref="PV112">IFERROR(INDEX(ArchiveResults!$F$5:$IX$116,ComparisonData!A112,ComparisonData!$PV$1),0)</f>
        <v>0</v>
      </c>
      <c r="PW112" s="56">
        <v>107</v>
      </c>
      <c r="PX112" s="53" t="str">
        <f t="shared" si="1229"/>
        <v>West Sussex Record Office</v>
      </c>
      <c r="PY112" s="59">
        <f t="shared" si="978"/>
        <v>0</v>
      </c>
      <c r="PZ112" s="59">
        <f t="shared" si="979"/>
        <v>0</v>
      </c>
      <c r="QA112" s="59">
        <f t="shared" si="980"/>
        <v>0</v>
      </c>
      <c r="QB112" s="59">
        <f t="shared" si="981"/>
        <v>0</v>
      </c>
      <c r="QC112" s="59">
        <f t="shared" si="982"/>
        <v>0</v>
      </c>
      <c r="QD112" s="58">
        <f t="shared" si="983"/>
        <v>0</v>
      </c>
      <c r="QE112" s="45">
        <f t="shared" si="984"/>
        <v>37</v>
      </c>
      <c r="QF112" s="45">
        <f t="shared" si="1230"/>
        <v>2.6189999999999998</v>
      </c>
      <c r="QG112" s="45">
        <f t="shared" si="985"/>
        <v>1</v>
      </c>
      <c r="QH112" s="45">
        <f t="shared" si="986"/>
        <v>2</v>
      </c>
      <c r="QI112" s="45">
        <f t="shared" si="987"/>
        <v>0</v>
      </c>
      <c r="QJ112" s="46" cm="1">
        <f t="array" ref="QJ112">ROUND(IFERROR(INDEX(ArchiveResults!$F$5:$IX$116,ComparisonData!A112,ComparisonData!$QJ$1),0),5)</f>
        <v>0</v>
      </c>
      <c r="QK112" s="46" cm="1">
        <f t="array" ref="QK112">ROUND(IFERROR(INDEX(ArchiveResults!$F$5:$IX$116,ComparisonData!A112,ComparisonData!$QK$1),0),5)</f>
        <v>0</v>
      </c>
      <c r="QL112" s="46" cm="1">
        <f t="array" ref="QL112">ROUND(IFERROR(INDEX(ArchiveResults!$F$5:$IX$116,ComparisonData!A112,ComparisonData!$QL$1),0),5)</f>
        <v>0</v>
      </c>
      <c r="QM112" s="46" cm="1">
        <f t="array" ref="QM112">ROUND(IFERROR(INDEX(ArchiveResults!$F$5:$IX$116,ComparisonData!A112,ComparisonData!$QM$1),0),5)</f>
        <v>0</v>
      </c>
      <c r="QN112" s="45" cm="1">
        <f t="array" ref="QN112">IFERROR(INDEX(ArchiveResults!$F$5:$IX$116,ComparisonData!A112,ComparisonData!$QN$1),0)</f>
        <v>0</v>
      </c>
      <c r="QO112" s="56">
        <v>107</v>
      </c>
      <c r="QP112" s="53" t="str">
        <f t="shared" si="1231"/>
        <v>West Sussex Record Office</v>
      </c>
      <c r="QQ112" s="59">
        <f t="shared" si="988"/>
        <v>0</v>
      </c>
      <c r="QR112" s="59">
        <f t="shared" si="989"/>
        <v>0</v>
      </c>
      <c r="QS112" s="59">
        <f t="shared" si="990"/>
        <v>0</v>
      </c>
      <c r="QT112" s="59">
        <f t="shared" si="991"/>
        <v>0</v>
      </c>
      <c r="QU112" s="59">
        <f t="shared" si="992"/>
        <v>0</v>
      </c>
      <c r="QV112" s="58">
        <f t="shared" si="993"/>
        <v>0</v>
      </c>
      <c r="QW112" s="45">
        <f t="shared" si="994"/>
        <v>37</v>
      </c>
      <c r="QX112" s="45">
        <f t="shared" si="1232"/>
        <v>2.6189999999999998</v>
      </c>
      <c r="QY112" s="45">
        <f t="shared" si="995"/>
        <v>1</v>
      </c>
      <c r="QZ112" s="45">
        <f t="shared" si="996"/>
        <v>2</v>
      </c>
      <c r="RA112" s="45">
        <f t="shared" si="997"/>
        <v>0</v>
      </c>
      <c r="RB112" s="46" cm="1">
        <f t="array" ref="RB112">ROUND(IFERROR(INDEX(ArchiveResults!$F$5:$IX$116,ComparisonData!A112,ComparisonData!$RB$1),0),5)</f>
        <v>0</v>
      </c>
      <c r="RC112" s="46" cm="1">
        <f t="array" ref="RC112">ROUND(IFERROR(INDEX(ArchiveResults!$F$5:$IX$116,ComparisonData!A112,ComparisonData!$RC$1),0),5)</f>
        <v>0</v>
      </c>
      <c r="RD112" s="46" cm="1">
        <f t="array" ref="RD112">ROUND(IFERROR(INDEX(ArchiveResults!$F$5:$IX$116,ComparisonData!A112,ComparisonData!$RD$1),0),5)</f>
        <v>0</v>
      </c>
      <c r="RE112" s="46" cm="1">
        <f t="array" ref="RE112">ROUND(IFERROR(INDEX(ArchiveResults!$F$5:$IX$116,ComparisonData!A112,ComparisonData!$RE$1),0),5)</f>
        <v>0</v>
      </c>
      <c r="RF112" s="45" cm="1">
        <f t="array" ref="RF112">IFERROR(INDEX(ArchiveResults!$F$5:$IX$116,ComparisonData!A112,ComparisonData!$RF$1),0)</f>
        <v>0</v>
      </c>
      <c r="RG112" s="56">
        <v>107</v>
      </c>
      <c r="RH112" s="53" t="str">
        <f t="shared" si="1233"/>
        <v>West Sussex Record Office</v>
      </c>
      <c r="RI112" s="59">
        <f t="shared" si="998"/>
        <v>0</v>
      </c>
      <c r="RJ112" s="59">
        <f t="shared" si="999"/>
        <v>0</v>
      </c>
      <c r="RK112" s="59">
        <f t="shared" si="1000"/>
        <v>0</v>
      </c>
      <c r="RL112" s="59">
        <f t="shared" si="1001"/>
        <v>0</v>
      </c>
      <c r="RM112" s="59">
        <f t="shared" si="1002"/>
        <v>0</v>
      </c>
      <c r="RN112" s="58">
        <f t="shared" si="1003"/>
        <v>0</v>
      </c>
      <c r="RO112" s="45">
        <f t="shared" si="1004"/>
        <v>37</v>
      </c>
      <c r="RP112" s="45">
        <f t="shared" si="1234"/>
        <v>2.6189999999999998</v>
      </c>
      <c r="RQ112" s="45">
        <f t="shared" si="1005"/>
        <v>1</v>
      </c>
      <c r="RR112" s="45">
        <f t="shared" si="1006"/>
        <v>2</v>
      </c>
      <c r="RS112" s="45">
        <f t="shared" si="1007"/>
        <v>0</v>
      </c>
      <c r="RT112" s="46" cm="1">
        <f t="array" ref="RT112">ROUND(IFERROR(INDEX(ArchiveResults!$F$5:$IX$116,ComparisonData!A112,ComparisonData!$RT$1),0),5)</f>
        <v>0</v>
      </c>
      <c r="RU112" s="46" cm="1">
        <f t="array" ref="RU112">ROUND(IFERROR(INDEX(ArchiveResults!$F$5:$IX$116,ComparisonData!A112,ComparisonData!$RU$1),0),5)</f>
        <v>0</v>
      </c>
      <c r="RV112" s="46" cm="1">
        <f t="array" ref="RV112">ROUND(IFERROR(INDEX(ArchiveResults!$F$5:$IX$116,ComparisonData!A112,ComparisonData!$RV$1),0),5)</f>
        <v>0</v>
      </c>
      <c r="RW112" s="46" cm="1">
        <f t="array" ref="RW112">ROUND(IFERROR(INDEX(ArchiveResults!$F$5:$IX$116,ComparisonData!A112,ComparisonData!$RW$1),0),5)</f>
        <v>0</v>
      </c>
      <c r="RX112" s="45" cm="1">
        <f t="array" ref="RX112">IFERROR(INDEX(ArchiveResults!$F$5:$IX$116,ComparisonData!A112,ComparisonData!$RX$1),0)</f>
        <v>0</v>
      </c>
      <c r="RY112" s="56">
        <v>107</v>
      </c>
      <c r="RZ112" s="53" t="str">
        <f t="shared" si="1235"/>
        <v>West Sussex Record Office</v>
      </c>
      <c r="SA112" s="59">
        <f t="shared" si="1008"/>
        <v>0</v>
      </c>
      <c r="SB112" s="59">
        <f t="shared" si="1009"/>
        <v>0</v>
      </c>
      <c r="SC112" s="59">
        <f t="shared" si="1010"/>
        <v>0</v>
      </c>
      <c r="SD112" s="59">
        <f t="shared" si="1011"/>
        <v>0</v>
      </c>
      <c r="SE112" s="59">
        <f t="shared" si="1012"/>
        <v>0</v>
      </c>
      <c r="SF112" s="58">
        <f t="shared" si="1013"/>
        <v>0</v>
      </c>
      <c r="SG112" s="45">
        <f t="shared" si="1014"/>
        <v>37</v>
      </c>
      <c r="SH112" s="45">
        <f t="shared" si="1236"/>
        <v>2.6189999999999998</v>
      </c>
      <c r="SI112" s="45">
        <f t="shared" si="1015"/>
        <v>1</v>
      </c>
      <c r="SJ112" s="45">
        <f t="shared" si="1016"/>
        <v>2</v>
      </c>
      <c r="SK112" s="45">
        <f t="shared" si="1017"/>
        <v>0</v>
      </c>
      <c r="SL112" s="46" cm="1">
        <f t="array" ref="SL112">ROUND(IFERROR(INDEX(ArchiveResults!$F$5:$IX$116,ComparisonData!A112,ComparisonData!$SL$1),0),5)</f>
        <v>0</v>
      </c>
      <c r="SM112" s="46" cm="1">
        <f t="array" ref="SM112">ROUND(IFERROR(INDEX(ArchiveResults!$F$5:$IX$116,ComparisonData!A112,ComparisonData!$SM$1),0),5)</f>
        <v>0</v>
      </c>
      <c r="SN112" s="46" cm="1">
        <f t="array" ref="SN112">ROUND(IFERROR(INDEX(ArchiveResults!$F$5:$IX$116,ComparisonData!A112,ComparisonData!$SN$1),0),5)</f>
        <v>0</v>
      </c>
      <c r="SO112" s="46" cm="1">
        <f t="array" ref="SO112">ROUND(IFERROR(INDEX(ArchiveResults!$F$5:$IX$116,ComparisonData!A112,ComparisonData!$SO$1),0),5)</f>
        <v>0</v>
      </c>
      <c r="SP112" s="45" cm="1">
        <f t="array" ref="SP112">IFERROR(INDEX(ArchiveResults!$F$5:$IX$116,ComparisonData!A112,ComparisonData!$SP$1),0)</f>
        <v>0</v>
      </c>
      <c r="SQ112" s="56">
        <v>107</v>
      </c>
      <c r="SR112" s="53" t="str">
        <f t="shared" si="1237"/>
        <v>West Sussex Record Office</v>
      </c>
      <c r="SS112" s="59">
        <f t="shared" si="1018"/>
        <v>0</v>
      </c>
      <c r="ST112" s="59">
        <f t="shared" si="1019"/>
        <v>0</v>
      </c>
      <c r="SU112" s="59">
        <f t="shared" si="1020"/>
        <v>0</v>
      </c>
      <c r="SV112" s="59">
        <f t="shared" si="1021"/>
        <v>0</v>
      </c>
      <c r="SW112" s="59">
        <f t="shared" si="1022"/>
        <v>0</v>
      </c>
      <c r="SX112" s="58">
        <f t="shared" si="1023"/>
        <v>0</v>
      </c>
      <c r="SY112" s="45">
        <f t="shared" si="1024"/>
        <v>37</v>
      </c>
      <c r="SZ112" s="45">
        <f t="shared" si="1238"/>
        <v>2.6189999999999998</v>
      </c>
      <c r="TA112" s="45">
        <f t="shared" si="1025"/>
        <v>1</v>
      </c>
      <c r="TB112" s="45">
        <f t="shared" si="1026"/>
        <v>2</v>
      </c>
      <c r="TC112" s="45">
        <f t="shared" si="1027"/>
        <v>0</v>
      </c>
      <c r="TD112" s="46" cm="1">
        <f t="array" ref="TD112">ROUND(IFERROR(INDEX(ArchiveResults!$F$5:$IX$116,ComparisonData!A112,ComparisonData!$TD$1),0),5)</f>
        <v>0</v>
      </c>
      <c r="TE112" s="46" cm="1">
        <f t="array" ref="TE112">ROUND(IFERROR(INDEX(ArchiveResults!$F$5:$IX$116,ComparisonData!A112,ComparisonData!$TE$1),0),5)</f>
        <v>0</v>
      </c>
      <c r="TF112" s="46" cm="1">
        <f t="array" ref="TF112">ROUND(IFERROR(INDEX(ArchiveResults!$F$5:$IX$116,ComparisonData!A112,ComparisonData!$TF$1),0),5)</f>
        <v>0</v>
      </c>
      <c r="TG112" s="46" cm="1">
        <f t="array" ref="TG112">ROUND(IFERROR(INDEX(ArchiveResults!$F$5:$IX$116,ComparisonData!A112,ComparisonData!$TG$1),0),5)</f>
        <v>0</v>
      </c>
      <c r="TH112" s="45" cm="1">
        <f t="array" ref="TH112">IFERROR(INDEX(ArchiveResults!$F$5:$IX$116,ComparisonData!A112,ComparisonData!$TH$1),0)</f>
        <v>0</v>
      </c>
      <c r="TI112" s="56">
        <v>107</v>
      </c>
      <c r="TJ112" s="53" t="str">
        <f t="shared" si="1239"/>
        <v>West Sussex Record Office</v>
      </c>
      <c r="TK112" s="59">
        <f t="shared" si="1028"/>
        <v>0</v>
      </c>
      <c r="TL112" s="59">
        <f t="shared" si="1029"/>
        <v>0</v>
      </c>
      <c r="TM112" s="59">
        <f t="shared" si="1030"/>
        <v>0</v>
      </c>
      <c r="TN112" s="59">
        <f t="shared" si="1031"/>
        <v>0</v>
      </c>
      <c r="TO112" s="59">
        <f t="shared" si="1032"/>
        <v>0</v>
      </c>
      <c r="TP112" s="58">
        <f t="shared" si="1033"/>
        <v>0</v>
      </c>
      <c r="TQ112" s="45">
        <f t="shared" si="1034"/>
        <v>37</v>
      </c>
      <c r="TR112" s="45">
        <f t="shared" si="1240"/>
        <v>2.6189999999999998</v>
      </c>
      <c r="TS112" s="45">
        <f t="shared" si="1035"/>
        <v>1</v>
      </c>
      <c r="TT112" s="45">
        <f t="shared" si="1036"/>
        <v>2</v>
      </c>
      <c r="TU112" s="45">
        <f t="shared" si="1037"/>
        <v>0</v>
      </c>
      <c r="TV112" s="46" cm="1">
        <f t="array" ref="TV112">ROUND(IFERROR(INDEX(ArchiveResults!$F$5:$IX$116,ComparisonData!A112,ComparisonData!$TV$1),0),5)</f>
        <v>0</v>
      </c>
      <c r="TW112" s="46" cm="1">
        <f t="array" ref="TW112">ROUND(IFERROR(INDEX(ArchiveResults!$F$5:$IX$116,ComparisonData!A112,ComparisonData!$TW$1),0),5)</f>
        <v>0</v>
      </c>
      <c r="TX112" s="46" cm="1">
        <f t="array" ref="TX112">ROUND(IFERROR(INDEX(ArchiveResults!$F$5:$IX$116,ComparisonData!A112,ComparisonData!$TX$1),0),5)</f>
        <v>0</v>
      </c>
      <c r="TY112" s="46" cm="1">
        <f t="array" ref="TY112">ROUND(IFERROR(INDEX(ArchiveResults!$F$5:$IX$116,ComparisonData!A112,ComparisonData!$TY$1),0),5)</f>
        <v>0</v>
      </c>
      <c r="TZ112" s="45" cm="1">
        <f t="array" ref="TZ112">IFERROR(INDEX(ArchiveResults!$F$5:$IX$116,ComparisonData!A112,ComparisonData!$TZ$1),0)</f>
        <v>0</v>
      </c>
      <c r="UA112" s="56">
        <v>107</v>
      </c>
      <c r="UB112" s="53" t="str">
        <f t="shared" si="1241"/>
        <v>West Sussex Record Office</v>
      </c>
      <c r="UC112" s="60">
        <f t="shared" si="1038"/>
        <v>0</v>
      </c>
      <c r="UD112" s="60">
        <f t="shared" si="1039"/>
        <v>0</v>
      </c>
      <c r="UE112" s="60">
        <f t="shared" si="1040"/>
        <v>0</v>
      </c>
      <c r="UF112" s="60">
        <f t="shared" si="1041"/>
        <v>0</v>
      </c>
      <c r="UG112" s="60">
        <f t="shared" si="1042"/>
        <v>0</v>
      </c>
      <c r="UH112" s="58">
        <f t="shared" si="1043"/>
        <v>0</v>
      </c>
      <c r="UI112" s="46">
        <f t="shared" si="1044"/>
        <v>37</v>
      </c>
      <c r="UJ112" s="46">
        <f t="shared" si="1242"/>
        <v>2.6189999999999998</v>
      </c>
      <c r="UK112" s="46">
        <f t="shared" si="1045"/>
        <v>1</v>
      </c>
      <c r="UL112" s="46">
        <f t="shared" si="1046"/>
        <v>2</v>
      </c>
      <c r="UM112" s="46" cm="1">
        <f t="array" ref="UM112">ROUND(IFERROR(INDEX(ArchiveResults!$F$5:$IX$116,ComparisonData!A112,ComparisonData!$UM$1),0),5)</f>
        <v>0</v>
      </c>
      <c r="UN112" s="56">
        <v>107</v>
      </c>
      <c r="UO112" s="53" t="str">
        <f t="shared" si="1243"/>
        <v>West Sussex Record Office</v>
      </c>
      <c r="UP112" s="46">
        <f t="shared" si="1047"/>
        <v>0</v>
      </c>
      <c r="UQ112" s="76">
        <f t="shared" si="1048"/>
        <v>0</v>
      </c>
      <c r="UR112" s="46">
        <f t="shared" si="1049"/>
        <v>37</v>
      </c>
      <c r="US112" s="46">
        <f t="shared" si="1244"/>
        <v>2.6189999999999998</v>
      </c>
      <c r="UT112" s="46">
        <f t="shared" si="1050"/>
        <v>1</v>
      </c>
      <c r="UU112" s="46">
        <f t="shared" si="1051"/>
        <v>2</v>
      </c>
      <c r="UV112" s="46">
        <f t="shared" si="1052"/>
        <v>0</v>
      </c>
      <c r="UW112" s="46" cm="1">
        <f t="array" ref="UW112">ROUND(IFERROR(INDEX(ArchiveResults!$F$5:$IX$116,ComparisonData!A112,ComparisonData!$UW$1),0),5)</f>
        <v>0</v>
      </c>
      <c r="UX112" s="46" cm="1">
        <f t="array" ref="UX112">ROUND(IFERROR(INDEX(ArchiveResults!$F$5:$IX$116,ComparisonData!A112,ComparisonData!$UX$1),0),5)</f>
        <v>0</v>
      </c>
      <c r="UY112" s="46" cm="1">
        <f t="array" ref="UY112">ROUND(IFERROR(INDEX(ArchiveResults!$F$5:$IX$116,ComparisonData!A112,ComparisonData!$UY$1),0),5)</f>
        <v>0</v>
      </c>
      <c r="UZ112" s="46" cm="1">
        <f t="array" ref="UZ112">ROUND(IFERROR(INDEX(ArchiveResults!$F$5:$IX$116,ComparisonData!A112,ComparisonData!$UZ$1),0),5)</f>
        <v>0</v>
      </c>
      <c r="VA112" s="46" cm="1">
        <f t="array" ref="VA112">ROUND(IFERROR(INDEX(ArchiveResults!$F$5:$IX$116,ComparisonData!A112,ComparisonData!$VA$1),0),5)</f>
        <v>0</v>
      </c>
      <c r="VB112" s="56">
        <v>107</v>
      </c>
      <c r="VC112" s="53" t="str">
        <f t="shared" si="1245"/>
        <v>West Sussex Record Office</v>
      </c>
      <c r="VD112" s="60">
        <f t="shared" si="1053"/>
        <v>0</v>
      </c>
      <c r="VE112" s="60">
        <f t="shared" si="1054"/>
        <v>0</v>
      </c>
      <c r="VF112" s="60">
        <f t="shared" si="1055"/>
        <v>0</v>
      </c>
      <c r="VG112" s="60">
        <f t="shared" si="1056"/>
        <v>0</v>
      </c>
      <c r="VH112" s="60">
        <f t="shared" si="1057"/>
        <v>0</v>
      </c>
      <c r="VI112" s="76">
        <f t="shared" si="1058"/>
        <v>0</v>
      </c>
      <c r="VJ112" s="46">
        <f t="shared" si="1059"/>
        <v>37</v>
      </c>
      <c r="VK112" s="46">
        <f t="shared" si="1246"/>
        <v>2.6189999999999998</v>
      </c>
      <c r="VL112" s="46">
        <f t="shared" si="1060"/>
        <v>1</v>
      </c>
      <c r="VM112" s="46">
        <f t="shared" si="1061"/>
        <v>2</v>
      </c>
      <c r="VN112" s="46" cm="1">
        <f t="array" ref="VN112">ROUND(IFERROR(INDEX(ArchiveResults!$F$5:$IX$116,ComparisonData!A112,ComparisonData!$VN$1),0),5)</f>
        <v>0</v>
      </c>
      <c r="VO112" s="46" cm="1">
        <f t="array" ref="VO112">ROUND(IFERROR(INDEX(ArchiveResults!$F$5:$IX$116,ComparisonData!A112,ComparisonData!$VO$1),0),5)</f>
        <v>0</v>
      </c>
      <c r="VP112" s="46" cm="1">
        <f t="array" ref="VP112">ROUND(IFERROR(INDEX(ArchiveResults!$F$5:$IX$116,ComparisonData!A112,ComparisonData!$VP$1),0),5)</f>
        <v>0</v>
      </c>
      <c r="VQ112" s="46" cm="1">
        <f t="array" ref="VQ112">ROUND(IFERROR(INDEX(ArchiveResults!$F$5:$IX$116,ComparisonData!A112,ComparisonData!$VQ$1),0),5)</f>
        <v>0</v>
      </c>
      <c r="VR112" s="56">
        <v>107</v>
      </c>
      <c r="VS112" s="53" t="str">
        <f t="shared" si="1247"/>
        <v>West Sussex Record Office</v>
      </c>
      <c r="VT112" s="60">
        <f t="shared" si="1062"/>
        <v>0</v>
      </c>
      <c r="VU112" s="60">
        <f t="shared" si="1063"/>
        <v>0</v>
      </c>
      <c r="VV112" s="60">
        <f t="shared" si="1064"/>
        <v>0</v>
      </c>
      <c r="VW112" s="60">
        <f t="shared" si="1065"/>
        <v>0</v>
      </c>
      <c r="VX112" s="76">
        <f t="shared" si="1066"/>
        <v>0</v>
      </c>
      <c r="VY112" s="46">
        <f t="shared" si="1067"/>
        <v>37</v>
      </c>
      <c r="VZ112" s="46">
        <f t="shared" si="1248"/>
        <v>2.6189999999999998</v>
      </c>
      <c r="WA112" s="46">
        <f t="shared" si="1068"/>
        <v>1</v>
      </c>
      <c r="WB112" s="46">
        <f t="shared" si="1069"/>
        <v>2</v>
      </c>
      <c r="WC112" s="46" cm="1">
        <f t="array" ref="WC112">ROUND(IFERROR(INDEX(ArchiveResults!$F$5:$IX$116,ComparisonData!A112,ComparisonData!$WC$1),0),5)</f>
        <v>0</v>
      </c>
      <c r="WD112" s="56">
        <v>107</v>
      </c>
      <c r="WE112" s="53" t="str">
        <f t="shared" si="1249"/>
        <v>West Sussex Record Office</v>
      </c>
      <c r="WF112" s="46">
        <f t="shared" si="1070"/>
        <v>0</v>
      </c>
      <c r="WG112" s="76">
        <f t="shared" si="1071"/>
        <v>0</v>
      </c>
      <c r="WH112" s="46">
        <f t="shared" si="1072"/>
        <v>37</v>
      </c>
      <c r="WI112" s="46">
        <f t="shared" si="1250"/>
        <v>2.6189999999999998</v>
      </c>
      <c r="WJ112" s="46">
        <f t="shared" si="1073"/>
        <v>1</v>
      </c>
      <c r="WK112" s="46">
        <f t="shared" si="1074"/>
        <v>2</v>
      </c>
      <c r="WL112" s="46" cm="1">
        <f t="array" ref="WL112">ROUND(IFERROR(INDEX(ArchiveResults!$F$5:$IX$116,ComparisonData!A112,ComparisonData!$WL$1),0),5)</f>
        <v>0</v>
      </c>
      <c r="WM112" s="46" cm="1">
        <f t="array" ref="WM112">IFERROR(INDEX(ArchiveResults!$F$5:$IX$116,ComparisonData!A112,ComparisonData!$WM$1),0)</f>
        <v>0</v>
      </c>
      <c r="WN112" s="56">
        <v>107</v>
      </c>
      <c r="WO112" s="53" t="str">
        <f t="shared" si="1251"/>
        <v>West Sussex Record Office</v>
      </c>
      <c r="WP112" s="60">
        <f t="shared" si="1075"/>
        <v>0</v>
      </c>
      <c r="WQ112" s="60">
        <f t="shared" si="1076"/>
        <v>0</v>
      </c>
      <c r="WR112" s="76">
        <f t="shared" si="1077"/>
        <v>0</v>
      </c>
      <c r="WS112" s="46">
        <f t="shared" si="1078"/>
        <v>37</v>
      </c>
      <c r="WT112" s="46">
        <f t="shared" si="1252"/>
        <v>2.6189999999999998</v>
      </c>
      <c r="WU112" s="46">
        <f t="shared" si="1079"/>
        <v>1</v>
      </c>
      <c r="WV112" s="46">
        <f t="shared" si="1080"/>
        <v>2</v>
      </c>
      <c r="WW112" s="46" cm="1">
        <f t="array" ref="WW112">ROUND(VALUE(IFERROR(INDEX(ArchiveResults!$F$5:$IX$116,ComparisonData!A112,ComparisonData!$WW$1),0)),5)</f>
        <v>0</v>
      </c>
      <c r="WX112" s="46" cm="1">
        <f t="array" ref="WX112">ROUND(IFERROR(INDEX(ArchiveResults!$F$5:$IX$116,ComparisonData!A112,ComparisonData!$WX$1),0),5)</f>
        <v>0</v>
      </c>
      <c r="WY112" s="56">
        <v>107</v>
      </c>
      <c r="WZ112" s="53" t="str">
        <f t="shared" si="1253"/>
        <v>West Sussex Record Office</v>
      </c>
      <c r="XA112" s="60">
        <f t="shared" si="1254"/>
        <v>0</v>
      </c>
      <c r="XB112" s="60">
        <f t="shared" si="1255"/>
        <v>0</v>
      </c>
      <c r="XC112" s="76">
        <f t="shared" si="1081"/>
        <v>0</v>
      </c>
      <c r="XD112" s="46">
        <f t="shared" si="1082"/>
        <v>37</v>
      </c>
      <c r="XE112" s="46">
        <f t="shared" si="1256"/>
        <v>2.6189999999999998</v>
      </c>
      <c r="XF112" s="46">
        <f t="shared" si="1083"/>
        <v>1</v>
      </c>
      <c r="XG112" s="46">
        <f t="shared" si="1084"/>
        <v>2</v>
      </c>
      <c r="XH112" s="46" cm="1">
        <f t="array" ref="XH112">ROUND(VALUE(IFERROR(INDEX(ArchiveResults!$F$5:$IX$116,ComparisonData!A112,ComparisonData!$XH$1),0)),5)</f>
        <v>0</v>
      </c>
      <c r="XI112" s="46" cm="1">
        <f t="array" ref="XI112">ROUND(VALUE(IFERROR(INDEX(ArchiveResults!$F$5:$IX$116,ComparisonData!A112,ComparisonData!$XI$1),0)),5)</f>
        <v>0</v>
      </c>
      <c r="XJ112" s="56">
        <v>107</v>
      </c>
      <c r="XK112" s="53" t="str">
        <f t="shared" si="1257"/>
        <v>West Sussex Record Office</v>
      </c>
      <c r="XL112" s="60">
        <f t="shared" si="1085"/>
        <v>0</v>
      </c>
      <c r="XM112" s="60">
        <f t="shared" si="1086"/>
        <v>0</v>
      </c>
      <c r="XN112" s="76">
        <f t="shared" si="1087"/>
        <v>0</v>
      </c>
      <c r="XO112" s="46">
        <f t="shared" si="1088"/>
        <v>37</v>
      </c>
      <c r="XP112" s="46">
        <f t="shared" si="1258"/>
        <v>2.6189999999999998</v>
      </c>
      <c r="XQ112" s="46">
        <f t="shared" si="1089"/>
        <v>1</v>
      </c>
      <c r="XR112" s="46">
        <f t="shared" si="1090"/>
        <v>2</v>
      </c>
      <c r="XS112" s="46" cm="1">
        <f t="array" ref="XS112">ROUND(VALUE(IFERROR(INDEX(ArchiveResults!$F$5:$IX$116,ComparisonData!A112,ComparisonData!$XS$1),0)),5)</f>
        <v>0</v>
      </c>
      <c r="XT112" s="46" cm="1">
        <f t="array" ref="XT112">ROUND(VALUE(IFERROR(INDEX(ArchiveResults!$F$5:$IX$116,ComparisonData!A112,ComparisonData!$XT$1),0)),5)</f>
        <v>0</v>
      </c>
      <c r="XU112" s="56">
        <v>107</v>
      </c>
      <c r="XV112" s="53" t="str">
        <f t="shared" si="1259"/>
        <v>West Sussex Record Office</v>
      </c>
      <c r="XW112" s="60">
        <f t="shared" si="1091"/>
        <v>0</v>
      </c>
      <c r="XX112" s="60">
        <f t="shared" si="1092"/>
        <v>0</v>
      </c>
      <c r="XY112" s="76">
        <f t="shared" si="1093"/>
        <v>0</v>
      </c>
      <c r="XZ112" s="46">
        <f t="shared" si="1094"/>
        <v>37</v>
      </c>
      <c r="YA112" s="46">
        <f t="shared" si="1260"/>
        <v>2.6189999999999998</v>
      </c>
      <c r="YB112" s="46">
        <f t="shared" si="1095"/>
        <v>1</v>
      </c>
      <c r="YC112" s="46">
        <f t="shared" si="1096"/>
        <v>2</v>
      </c>
      <c r="YD112" s="46" cm="1">
        <f t="array" ref="YD112">ROUND(VALUE(IFERROR(INDEX(ArchiveResults!$F$5:$IX$116,ComparisonData!A112,ComparisonData!$YD$1),0)),5)</f>
        <v>0</v>
      </c>
      <c r="YE112" s="46" cm="1">
        <f t="array" ref="YE112">ROUND(VALUE(IFERROR(INDEX(ArchiveResults!$F$5:$IX$116,ComparisonData!A112,ComparisonData!$YE$1),0)),5)</f>
        <v>0</v>
      </c>
      <c r="YF112" s="56">
        <v>107</v>
      </c>
      <c r="YG112" s="53" t="str">
        <f t="shared" si="1261"/>
        <v>West Sussex Record Office</v>
      </c>
      <c r="YH112" s="60">
        <f t="shared" si="1097"/>
        <v>0</v>
      </c>
      <c r="YI112" s="60">
        <f t="shared" si="1098"/>
        <v>0</v>
      </c>
      <c r="YJ112" s="76">
        <f t="shared" si="1099"/>
        <v>0</v>
      </c>
      <c r="YK112" s="46">
        <f t="shared" si="1100"/>
        <v>37</v>
      </c>
      <c r="YL112" s="46">
        <f t="shared" si="1262"/>
        <v>2.6189999999999998</v>
      </c>
      <c r="YM112" s="46">
        <f t="shared" si="1101"/>
        <v>1</v>
      </c>
      <c r="YN112" s="46">
        <f t="shared" si="1102"/>
        <v>2</v>
      </c>
      <c r="YO112" s="46" cm="1">
        <f t="array" ref="YO112">ROUND(VALUE(IFERROR(INDEX(ArchiveResults!$F$5:$IX$116,ComparisonData!A112,ComparisonData!$YO$1),0)),5)</f>
        <v>0</v>
      </c>
      <c r="YP112" s="46" cm="1">
        <f t="array" ref="YP112">ROUND(VALUE(IFERROR(INDEX(ArchiveResults!$F$5:$IX$116,ComparisonData!A112,ComparisonData!$YP$1),0)),5)</f>
        <v>0</v>
      </c>
      <c r="YQ112" s="56">
        <v>107</v>
      </c>
      <c r="YR112" s="53" t="str">
        <f t="shared" si="1263"/>
        <v>West Sussex Record Office</v>
      </c>
      <c r="YS112" s="60">
        <f t="shared" si="1103"/>
        <v>0</v>
      </c>
      <c r="YT112" s="60">
        <f t="shared" si="1104"/>
        <v>0</v>
      </c>
      <c r="YU112" s="76">
        <f t="shared" si="1105"/>
        <v>0</v>
      </c>
      <c r="YV112" s="46">
        <f t="shared" si="1106"/>
        <v>37</v>
      </c>
      <c r="YW112" s="46">
        <f t="shared" si="1264"/>
        <v>2.6189999999999998</v>
      </c>
      <c r="YX112" s="46">
        <f t="shared" si="1107"/>
        <v>1</v>
      </c>
      <c r="YY112" s="46">
        <f t="shared" si="1108"/>
        <v>2</v>
      </c>
      <c r="YZ112" s="46">
        <f t="shared" si="1109"/>
        <v>0</v>
      </c>
      <c r="ZA112" s="46" cm="1">
        <f t="array" ref="ZA112">ROUNDDOWN(VALUE(IFERROR(INDEX(ArchiveResults!$F$5:$IX$116,ComparisonData!A112,ComparisonData!$ZA$1),0)),5)</f>
        <v>0</v>
      </c>
      <c r="ZB112" s="46" cm="1">
        <f t="array" ref="ZB112">ROUNDDOWN(VALUE(IFERROR(INDEX(ArchiveResults!$F$5:$IX$116,ComparisonData!A112,ComparisonData!$ZB$1),0)),5)</f>
        <v>0</v>
      </c>
      <c r="ZC112" s="46" cm="1">
        <f t="array" ref="ZC112">ROUNDDOWN(VALUE(IFERROR(INDEX(ArchiveResults!$F$5:$IX$116,ComparisonData!A112,ComparisonData!$ZC$1),0)),5)</f>
        <v>0</v>
      </c>
      <c r="ZD112" s="46" cm="1">
        <f t="array" ref="ZD112">ROUNDDOWN(VALUE(IFERROR(INDEX(ArchiveResults!$F$5:$IX$116,ComparisonData!A112,ComparisonData!$ZD$1),0)),5)</f>
        <v>0</v>
      </c>
      <c r="ZE112" s="46" cm="1">
        <f t="array" ref="ZE112">ROUNDDOWN(VALUE(IFERROR(INDEX(ArchiveResults!$F$5:$IX$116,ComparisonData!A112,ComparisonData!$ZE$1),0)),5)</f>
        <v>0</v>
      </c>
      <c r="ZF112" s="56">
        <v>107</v>
      </c>
      <c r="ZG112" s="53" t="str">
        <f t="shared" si="1265"/>
        <v>West Sussex Record Office</v>
      </c>
      <c r="ZH112" s="60">
        <f t="shared" si="1110"/>
        <v>0</v>
      </c>
      <c r="ZI112" s="60">
        <f t="shared" si="1111"/>
        <v>0</v>
      </c>
      <c r="ZJ112" s="60">
        <f t="shared" si="1112"/>
        <v>0</v>
      </c>
      <c r="ZK112" s="60">
        <f t="shared" si="1113"/>
        <v>0</v>
      </c>
      <c r="ZL112" s="60">
        <f t="shared" si="1114"/>
        <v>0</v>
      </c>
      <c r="ZM112" s="76">
        <f t="shared" si="1115"/>
        <v>0</v>
      </c>
      <c r="ZN112" s="46">
        <f t="shared" si="1116"/>
        <v>37</v>
      </c>
      <c r="ZO112" s="46">
        <f t="shared" si="1266"/>
        <v>2.6189999999999998</v>
      </c>
      <c r="ZP112" s="46">
        <f t="shared" si="1117"/>
        <v>1</v>
      </c>
      <c r="ZQ112" s="46">
        <f t="shared" si="1118"/>
        <v>2</v>
      </c>
      <c r="ZR112" s="46" cm="1">
        <f t="array" ref="ZR112">ROUND(VALUE(IFERROR(INDEX(ArchiveResults!$F$5:$IX$116,ComparisonData!A112,ComparisonData!$ZR$1),0)),5)</f>
        <v>0</v>
      </c>
      <c r="ZS112" s="56">
        <v>107</v>
      </c>
      <c r="ZT112" s="53" t="str">
        <f t="shared" si="1267"/>
        <v>West Sussex Record Office</v>
      </c>
      <c r="ZU112" s="46">
        <f t="shared" si="1119"/>
        <v>0</v>
      </c>
      <c r="ZV112" s="76">
        <f t="shared" si="1120"/>
        <v>0</v>
      </c>
      <c r="ZW112" s="81" cm="1">
        <f t="array" ref="ZW112">ROUND((IFERROR(INDEX(ArchiveResults!$F$5:$IX$116,ComparisonData!A112,ComparisonData!$ZW$1),0)),5)</f>
        <v>0</v>
      </c>
      <c r="ZX112" s="81" cm="1">
        <f t="array" ref="ZX112">ROUND((IFERROR(INDEX(ArchiveResults!$F$5:$IX$116,ComparisonData!A112,ComparisonData!$ZX$1),0)),5)</f>
        <v>0</v>
      </c>
      <c r="ZY112" s="81" cm="1">
        <f t="array" ref="ZY112">ROUND((IFERROR(INDEX(ArchiveResults!$F$5:$IX$116,ComparisonData!A112,ComparisonData!$ZY$1),0)),5)</f>
        <v>0</v>
      </c>
      <c r="ZZ112" s="81" cm="1">
        <f t="array" ref="ZZ112">ROUND((IFERROR(INDEX(ArchiveResults!$F$5:$IX$116,ComparisonData!A112,ComparisonData!$ZZ$1),0)),5)</f>
        <v>0</v>
      </c>
      <c r="AAA112" s="81" cm="1">
        <f t="array" ref="AAA112">ROUND((IFERROR(INDEX(ArchiveResults!$F$5:$IX$116,ComparisonData!A112,ComparisonData!$AAA$1),0)),5)</f>
        <v>0</v>
      </c>
      <c r="AAB112" s="81" cm="1">
        <f t="array" ref="AAB112">ROUND((IFERROR(INDEX(ArchiveResults!$F$5:$IX$116,ComparisonData!A112,ComparisonData!$AAB$1),0)),5)</f>
        <v>0</v>
      </c>
      <c r="AAC112" s="81" cm="1">
        <f t="array" ref="AAC112">ROUND((IFERROR(INDEX(ArchiveResults!$F$5:$IX$116,ComparisonData!A112,ComparisonData!$AAC$1),0)),5)</f>
        <v>0</v>
      </c>
      <c r="AAD112" s="81" cm="1">
        <f t="array" ref="AAD112">ROUND((IFERROR(INDEX(ArchiveResults!$F$5:$IX$116,ComparisonData!A112,ComparisonData!$AAD$1),0)),5)</f>
        <v>0</v>
      </c>
      <c r="AAE112" s="81" cm="1">
        <f t="array" ref="AAE112">ROUND((IFERROR(INDEX(ArchiveResults!$F$5:$IX$116,ComparisonData!A112,ComparisonData!$AAE$1),0)),5)</f>
        <v>0</v>
      </c>
      <c r="AAF112" s="81" cm="1">
        <f t="array" ref="AAF112">ROUND((IFERROR(INDEX(ArchiveResults!$F$5:$IX$116,ComparisonData!A112,ComparisonData!$AAF$1),0)),5)</f>
        <v>0</v>
      </c>
      <c r="AAG112" s="46">
        <f t="shared" si="1121"/>
        <v>37</v>
      </c>
      <c r="AAH112" s="46">
        <f t="shared" si="1268"/>
        <v>2.6189999999999998</v>
      </c>
      <c r="AAI112" s="46">
        <f t="shared" si="1122"/>
        <v>1</v>
      </c>
      <c r="AAJ112" s="46">
        <f t="shared" si="1123"/>
        <v>2</v>
      </c>
      <c r="AAK112" s="46">
        <f t="shared" si="1124"/>
        <v>0</v>
      </c>
      <c r="AAL112" s="46">
        <f t="shared" si="1125"/>
        <v>0</v>
      </c>
      <c r="AAM112" s="46">
        <f t="shared" si="1126"/>
        <v>0</v>
      </c>
      <c r="AAN112" s="46">
        <f t="shared" si="1127"/>
        <v>0</v>
      </c>
      <c r="AAO112" s="46">
        <f t="shared" si="1128"/>
        <v>0</v>
      </c>
      <c r="AAP112" s="46">
        <f t="shared" si="1129"/>
        <v>0</v>
      </c>
      <c r="AAQ112" s="56">
        <v>107</v>
      </c>
      <c r="AAR112" s="53" t="str">
        <f t="shared" si="1269"/>
        <v>West Sussex Record Office</v>
      </c>
      <c r="AAS112" s="60">
        <f t="shared" si="1130"/>
        <v>0</v>
      </c>
      <c r="AAT112" s="60">
        <f t="shared" si="1131"/>
        <v>0</v>
      </c>
      <c r="AAU112" s="60">
        <f t="shared" si="1132"/>
        <v>0</v>
      </c>
      <c r="AAV112" s="60">
        <f t="shared" si="1133"/>
        <v>0</v>
      </c>
      <c r="AAW112" s="60">
        <f t="shared" si="1134"/>
        <v>0</v>
      </c>
      <c r="AAX112" s="76">
        <f t="shared" si="1135"/>
        <v>0</v>
      </c>
      <c r="AAY112" s="46">
        <f t="shared" si="1136"/>
        <v>37</v>
      </c>
      <c r="AAZ112" s="46">
        <f t="shared" si="1270"/>
        <v>2.6189999999999998</v>
      </c>
      <c r="ABA112" s="46">
        <f t="shared" si="1137"/>
        <v>1</v>
      </c>
      <c r="ABB112" s="46">
        <f t="shared" si="1138"/>
        <v>2</v>
      </c>
      <c r="ABC112" s="46">
        <f t="shared" si="742"/>
        <v>0</v>
      </c>
      <c r="ABD112" s="46" cm="1">
        <f t="array" ref="ABD112">ROUND(VALUE(IFERROR(INDEX(ArchiveResults!$F$5:$IX$116,ComparisonData!A112,ComparisonData!$ABD$1),0)),5)</f>
        <v>0</v>
      </c>
      <c r="ABE112" s="46" cm="1">
        <f t="array" ref="ABE112">ROUND(VALUE(IFERROR(INDEX(ArchiveResults!$F$5:$IX$116,ComparisonData!A112,ComparisonData!$ABE$1),0)),5)</f>
        <v>0</v>
      </c>
      <c r="ABF112" s="46" cm="1">
        <f t="array" ref="ABF112">ROUND(VALUE(IFERROR(INDEX(ArchiveResults!$F$5:$IX$116,ComparisonData!A112,ComparisonData!$ABF$1),0)),5)</f>
        <v>0</v>
      </c>
      <c r="ABG112" s="46" cm="1">
        <f t="array" ref="ABG112">ROUND(VALUE(IFERROR(INDEX(ArchiveResults!$F$5:$IX$116,ComparisonData!A112,ComparisonData!$ABG$1),0)),5)</f>
        <v>0</v>
      </c>
      <c r="ABH112" s="46" cm="1">
        <f t="array" ref="ABH112">ROUND(VALUE(IFERROR(INDEX(ArchiveResults!$F$5:$IX$116,ComparisonData!A112,ComparisonData!$ABH$1),0)),5)</f>
        <v>0</v>
      </c>
      <c r="ABI112" s="56">
        <v>107</v>
      </c>
      <c r="ABJ112" s="53" t="str">
        <f t="shared" si="1271"/>
        <v>West Sussex Record Office</v>
      </c>
      <c r="ABK112" s="60">
        <f t="shared" si="1139"/>
        <v>0</v>
      </c>
      <c r="ABL112" s="60">
        <f t="shared" si="1140"/>
        <v>0</v>
      </c>
      <c r="ABM112" s="60">
        <f t="shared" si="1141"/>
        <v>0</v>
      </c>
      <c r="ABN112" s="60">
        <f t="shared" si="1142"/>
        <v>0</v>
      </c>
      <c r="ABO112" s="60">
        <f t="shared" si="1143"/>
        <v>0</v>
      </c>
      <c r="ABP112" s="76">
        <f t="shared" si="1144"/>
        <v>0</v>
      </c>
      <c r="ABQ112" s="46">
        <f t="shared" si="1145"/>
        <v>37</v>
      </c>
      <c r="ABR112" s="46">
        <f t="shared" si="1272"/>
        <v>2.6189999999999998</v>
      </c>
      <c r="ABS112" s="46">
        <f t="shared" si="1146"/>
        <v>1</v>
      </c>
      <c r="ABT112" s="46">
        <f t="shared" si="1147"/>
        <v>2</v>
      </c>
      <c r="ABU112" s="46" cm="1">
        <f t="array" ref="ABU112">ROUND(VALUE(IFERROR(INDEX(ArchiveResults!$F$5:$IX$116,ComparisonData!A112,ComparisonData!$ABU$1),0)),5)</f>
        <v>0</v>
      </c>
      <c r="ABV112" s="46" cm="1">
        <f t="array" ref="ABV112">ROUND(VALUE(IFERROR(INDEX(ArchiveResults!$F$5:$IX$116,ComparisonData!A112,ComparisonData!$ABV$1),0)),5)</f>
        <v>0</v>
      </c>
      <c r="ABW112" s="46" cm="1">
        <f t="array" ref="ABW112">ROUND(VALUE(IFERROR(INDEX(ArchiveResults!$F$5:$IX$116,ComparisonData!A112,ComparisonData!$ABW$1),0)),5)</f>
        <v>0</v>
      </c>
      <c r="ABX112" s="46" cm="1">
        <f t="array" ref="ABX112">ROUND(VALUE(IFERROR(INDEX(ArchiveResults!$F$5:$IX$116,ComparisonData!A112,ComparisonData!$ABX$1),0)),5)</f>
        <v>0</v>
      </c>
      <c r="ABY112" s="46" cm="1">
        <f t="array" ref="ABY112">ROUND(VALUE(IFERROR(INDEX(ArchiveResults!$F$5:$IX$116,ComparisonData!A112,ComparisonData!$ABY$1),0)),5)</f>
        <v>0</v>
      </c>
      <c r="ABZ112" s="56">
        <v>107</v>
      </c>
      <c r="ACA112" s="53" t="str">
        <f t="shared" si="1273"/>
        <v>West Sussex Record Office</v>
      </c>
      <c r="ACB112" s="60">
        <f t="shared" si="1148"/>
        <v>0</v>
      </c>
      <c r="ACC112" s="60">
        <f t="shared" si="1149"/>
        <v>0</v>
      </c>
      <c r="ACD112" s="60">
        <f t="shared" si="1150"/>
        <v>0</v>
      </c>
      <c r="ACE112" s="60">
        <f t="shared" si="1151"/>
        <v>0</v>
      </c>
      <c r="ACF112" s="60">
        <f t="shared" si="1152"/>
        <v>0</v>
      </c>
      <c r="ACG112" s="76">
        <f t="shared" si="1153"/>
        <v>0</v>
      </c>
      <c r="ACH112" s="46">
        <f t="shared" si="1154"/>
        <v>37</v>
      </c>
      <c r="ACI112" s="46">
        <f t="shared" si="1274"/>
        <v>2.6189999999999998</v>
      </c>
      <c r="ACJ112" s="46">
        <f t="shared" si="1155"/>
        <v>1</v>
      </c>
      <c r="ACK112" s="46">
        <f t="shared" si="1156"/>
        <v>2</v>
      </c>
      <c r="ACL112" s="46">
        <f t="shared" si="1157"/>
        <v>0</v>
      </c>
      <c r="ACM112" s="46" cm="1">
        <f t="array" ref="ACM112">ROUND(IFERROR(INDEX(ArchiveResults!$F$5:$IX$116,ComparisonData!A112,ComparisonData!$ACM$1),0),5)</f>
        <v>0</v>
      </c>
      <c r="ACN112" s="46" cm="1">
        <f t="array" ref="ACN112">ROUND(IFERROR(INDEX(ArchiveResults!$F$5:$IX$116,ComparisonData!A112,ComparisonData!$ACN$1),0),5)</f>
        <v>0</v>
      </c>
      <c r="ACO112" s="56">
        <v>107</v>
      </c>
      <c r="ACP112" s="53" t="str">
        <f t="shared" si="1275"/>
        <v>West Sussex Record Office</v>
      </c>
      <c r="ACQ112" s="60">
        <f t="shared" si="1158"/>
        <v>0</v>
      </c>
      <c r="ACR112" s="60">
        <f t="shared" si="1159"/>
        <v>0</v>
      </c>
      <c r="ACS112" s="76">
        <f t="shared" si="1160"/>
        <v>0</v>
      </c>
      <c r="ACT112" s="46">
        <f t="shared" si="1161"/>
        <v>37</v>
      </c>
      <c r="ACU112" s="46">
        <f t="shared" si="1276"/>
        <v>2.6189999999999998</v>
      </c>
      <c r="ACV112" s="46">
        <f t="shared" si="1162"/>
        <v>1</v>
      </c>
      <c r="ACW112" s="46">
        <f t="shared" si="1163"/>
        <v>2</v>
      </c>
      <c r="ACX112" s="46">
        <f t="shared" si="1164"/>
        <v>0</v>
      </c>
      <c r="ACY112" s="46" cm="1">
        <f t="array" ref="ACY112">ROUNDDOWN(IFERROR(INDEX(ArchiveResults!$F$5:$IX$116,ComparisonData!A112,ComparisonData!$ACY$1),0),5)</f>
        <v>0</v>
      </c>
      <c r="ACZ112" s="46" cm="1">
        <f t="array" ref="ACZ112">ROUNDDOWN(IFERROR(INDEX(ArchiveResults!$F$5:$IX$116,ComparisonData!A112,ComparisonData!$ACZ$1),0),5)</f>
        <v>0</v>
      </c>
      <c r="ADA112" s="46" cm="1">
        <f t="array" ref="ADA112">ROUNDDOWN(IFERROR(INDEX(ArchiveResults!$F$5:$IX$116,ComparisonData!A112,ComparisonData!$ADA$1),0),5)</f>
        <v>0</v>
      </c>
      <c r="ADB112" s="56">
        <v>107</v>
      </c>
      <c r="ADC112" s="53" t="str">
        <f t="shared" si="1277"/>
        <v>West Sussex Record Office</v>
      </c>
      <c r="ADD112" s="60">
        <f t="shared" si="1165"/>
        <v>0</v>
      </c>
      <c r="ADE112" s="60">
        <f t="shared" si="1166"/>
        <v>0</v>
      </c>
      <c r="ADF112" s="60">
        <f t="shared" si="1167"/>
        <v>0</v>
      </c>
      <c r="ADG112" s="76">
        <f t="shared" si="1168"/>
        <v>0</v>
      </c>
    </row>
    <row r="113" spans="1:787" x14ac:dyDescent="0.25">
      <c r="A113" s="46" t="str">
        <f>IF(ISBLANK(ComparisonSelection!F109),"",ROW()-5)</f>
        <v/>
      </c>
      <c r="B113" s="53" t="s">
        <v>564</v>
      </c>
      <c r="C113" s="72">
        <v>0.62399999999999967</v>
      </c>
      <c r="D113" s="55">
        <f t="shared" si="750"/>
        <v>38</v>
      </c>
      <c r="E113" s="54">
        <f t="shared" si="751"/>
        <v>2.6239999999999997</v>
      </c>
      <c r="F113" s="54">
        <f t="shared" si="752"/>
        <v>1</v>
      </c>
      <c r="G113" s="72">
        <f t="shared" si="753"/>
        <v>2</v>
      </c>
      <c r="H113" s="72">
        <f t="shared" si="754"/>
        <v>0</v>
      </c>
      <c r="I113" s="46" cm="1">
        <f t="array" ref="I113">ROUND(IFERROR(INDEX(ArchiveResults!$F$5:$IX$116,ComparisonData!A113,ComparisonData!$I$1),0),5)</f>
        <v>0</v>
      </c>
      <c r="J113" s="46" cm="1">
        <f t="array" ref="J113">ROUND(IFERROR(INDEX(ArchiveResults!$F$5:$IX$116,ComparisonData!A113,ComparisonData!$J$1),0),5)</f>
        <v>0</v>
      </c>
      <c r="K113" s="56">
        <v>108</v>
      </c>
      <c r="L113" s="53" t="str">
        <f t="shared" si="755"/>
        <v>West Yorkshire Archive Service, Bradford</v>
      </c>
      <c r="M113" s="57">
        <f t="shared" si="1169"/>
        <v>0</v>
      </c>
      <c r="N113" s="57">
        <f t="shared" si="1170"/>
        <v>0</v>
      </c>
      <c r="O113" s="58">
        <f t="shared" si="756"/>
        <v>0</v>
      </c>
      <c r="P113" s="48">
        <f t="shared" si="757"/>
        <v>38</v>
      </c>
      <c r="Q113" s="54">
        <f t="shared" si="1171"/>
        <v>2.6239999999999997</v>
      </c>
      <c r="R113" s="45">
        <f t="shared" si="758"/>
        <v>1</v>
      </c>
      <c r="S113" s="46">
        <f t="shared" si="759"/>
        <v>2</v>
      </c>
      <c r="T113" s="72">
        <f t="shared" si="760"/>
        <v>0</v>
      </c>
      <c r="U113" s="46" cm="1">
        <f t="array" ref="U113">ROUND(IFERROR(INDEX(ArchiveResults!$F$5:$IX$116,ComparisonData!A113,ComparisonData!$U$1),0),5)</f>
        <v>0</v>
      </c>
      <c r="V113" s="46" cm="1">
        <f t="array" ref="V113">ROUND(IFERROR(INDEX(ArchiveResults!$F$5:$IX$116,ComparisonData!A113,ComparisonData!$V$1),0),5)</f>
        <v>0</v>
      </c>
      <c r="W113" s="56">
        <v>108</v>
      </c>
      <c r="X113" s="53" t="str">
        <f t="shared" si="1172"/>
        <v>West Yorkshire Archive Service, Bradford</v>
      </c>
      <c r="Y113" s="57">
        <f t="shared" si="761"/>
        <v>0</v>
      </c>
      <c r="Z113" s="57">
        <f t="shared" si="762"/>
        <v>0</v>
      </c>
      <c r="AA113" s="58">
        <f t="shared" si="763"/>
        <v>0</v>
      </c>
      <c r="AB113" s="45">
        <f t="shared" si="764"/>
        <v>38</v>
      </c>
      <c r="AC113" s="54">
        <f t="shared" si="1173"/>
        <v>2.6239999999999997</v>
      </c>
      <c r="AD113" s="45">
        <f t="shared" si="765"/>
        <v>1</v>
      </c>
      <c r="AE113" s="45">
        <f t="shared" si="766"/>
        <v>2</v>
      </c>
      <c r="AF113" s="45">
        <f t="shared" si="639"/>
        <v>0</v>
      </c>
      <c r="AG113" s="46" cm="1">
        <f t="array" ref="AG113">ROUND(IFERROR(INDEX(ArchiveResults!$F$5:$IX$116,ComparisonData!A113,ComparisonData!$AG$1),0),5)</f>
        <v>0</v>
      </c>
      <c r="AH113" s="46" cm="1">
        <f t="array" ref="AH113">ROUND(IFERROR(INDEX(ArchiveResults!$F$5:$IX$116,ComparisonData!A113,ComparisonData!$AH$1),0),5)</f>
        <v>0</v>
      </c>
      <c r="AI113" s="56">
        <v>108</v>
      </c>
      <c r="AJ113" s="53" t="str">
        <f t="shared" si="1174"/>
        <v>West Yorkshire Archive Service, Bradford</v>
      </c>
      <c r="AK113" s="59">
        <f t="shared" si="1175"/>
        <v>0</v>
      </c>
      <c r="AL113" s="59">
        <f t="shared" si="1176"/>
        <v>0</v>
      </c>
      <c r="AM113" s="58">
        <f t="shared" si="767"/>
        <v>0</v>
      </c>
      <c r="AN113" s="45">
        <f t="shared" si="768"/>
        <v>38</v>
      </c>
      <c r="AO113" s="54">
        <f t="shared" si="1177"/>
        <v>2.6239999999999997</v>
      </c>
      <c r="AP113" s="45">
        <f t="shared" si="769"/>
        <v>1</v>
      </c>
      <c r="AQ113" s="45">
        <f t="shared" si="770"/>
        <v>2</v>
      </c>
      <c r="AR113" s="46" cm="1">
        <f t="array" ref="AR113">ROUND(IFERROR(INDEX(ArchiveResults!$F$5:$IX$116,ComparisonData!A113,ComparisonData!$AR$1),0),5)</f>
        <v>0</v>
      </c>
      <c r="AS113" s="46" cm="1">
        <f t="array" ref="AS113">ROUND(IFERROR(INDEX(ArchiveResults!$F$5:$IX$116,ComparisonData!A113,ComparisonData!$AS$1),0),5)</f>
        <v>0</v>
      </c>
      <c r="AT113" s="46" cm="1">
        <f t="array" ref="AT113">ROUND(IFERROR(INDEX(ArchiveResults!$F$5:$IX$116,ComparisonData!A113,ComparisonData!$AT$1),0),5)</f>
        <v>0</v>
      </c>
      <c r="AU113" s="46" cm="1">
        <f t="array" ref="AU113">ROUND(IFERROR(INDEX(ArchiveResults!$F$5:$IX$116,ComparisonData!A113,ComparisonData!$AU$1),0),5)</f>
        <v>0</v>
      </c>
      <c r="AV113" s="46" cm="1">
        <f t="array" ref="AV113">ROUND(IFERROR(INDEX(ArchiveResults!$F$5:$IX$116,ComparisonData!A113,ComparisonData!$AV$1),0),5)</f>
        <v>0</v>
      </c>
      <c r="AW113" s="46" cm="1">
        <f t="array" ref="AW113">ROUND(IFERROR(INDEX(ArchiveResults!$F$5:$IX$116,ComparisonData!A113,ComparisonData!$AW$1),0),5)</f>
        <v>0</v>
      </c>
      <c r="AX113" s="46" cm="1">
        <f t="array" ref="AX113">ROUND(IFERROR(INDEX(ArchiveResults!$F$5:$IX$116,ComparisonData!A113,ComparisonData!$AX$1),0),5)</f>
        <v>0</v>
      </c>
      <c r="AY113" s="46" cm="1">
        <f t="array" ref="AY113">ROUND(IFERROR(INDEX(ArchiveResults!$F$5:$IX$116,ComparisonData!A113,ComparisonData!$AY$1),0),5)</f>
        <v>0</v>
      </c>
      <c r="AZ113" s="46" cm="1">
        <f t="array" ref="AZ113">ROUND(IFERROR(INDEX(ArchiveResults!$F$5:$IX$116,ComparisonData!A113,ComparisonData!$AZ$1),0),5)</f>
        <v>0</v>
      </c>
      <c r="BA113" s="46" cm="1">
        <f t="array" ref="BA113">ROUND(IFERROR(INDEX(ArchiveResults!$F$5:$IX$116,ComparisonData!A113,ComparisonData!$BA$1),0),5)</f>
        <v>0</v>
      </c>
      <c r="BB113" s="56">
        <v>108</v>
      </c>
      <c r="BC113" s="53" t="str">
        <f t="shared" si="1178"/>
        <v>West Yorkshire Archive Service, Bradford</v>
      </c>
      <c r="BD113" s="60">
        <f t="shared" si="771"/>
        <v>0</v>
      </c>
      <c r="BE113" s="60">
        <f t="shared" si="772"/>
        <v>0</v>
      </c>
      <c r="BF113" s="60">
        <f t="shared" si="773"/>
        <v>0</v>
      </c>
      <c r="BG113" s="60">
        <f t="shared" si="774"/>
        <v>0</v>
      </c>
      <c r="BH113" s="60">
        <f t="shared" si="775"/>
        <v>0</v>
      </c>
      <c r="BI113" s="60">
        <f t="shared" si="776"/>
        <v>0</v>
      </c>
      <c r="BJ113" s="60">
        <f t="shared" si="777"/>
        <v>0</v>
      </c>
      <c r="BK113" s="60">
        <f t="shared" si="778"/>
        <v>0</v>
      </c>
      <c r="BL113" s="60">
        <f t="shared" si="779"/>
        <v>0</v>
      </c>
      <c r="BM113" s="59">
        <f t="shared" si="780"/>
        <v>0</v>
      </c>
      <c r="BN113" s="58">
        <f t="shared" si="781"/>
        <v>0</v>
      </c>
      <c r="BO113" s="45">
        <f t="shared" si="782"/>
        <v>38</v>
      </c>
      <c r="BP113" s="54">
        <f t="shared" si="1179"/>
        <v>2.6239999999999997</v>
      </c>
      <c r="BQ113" s="45">
        <f t="shared" si="783"/>
        <v>1</v>
      </c>
      <c r="BR113" s="45">
        <f t="shared" si="784"/>
        <v>2</v>
      </c>
      <c r="BS113" s="46" cm="1">
        <f t="array" ref="BS113">ROUND(IFERROR(INDEX(ArchiveResults!$F$5:$IX$116,ComparisonData!A113,ComparisonData!$BS$1),0),5)</f>
        <v>0</v>
      </c>
      <c r="BT113" s="46" cm="1">
        <f t="array" ref="BT113">ROUND(IFERROR(INDEX(ArchiveResults!$F$5:$IX$116,ComparisonData!A113,ComparisonData!$BT$1),0),5)</f>
        <v>0</v>
      </c>
      <c r="BU113" s="46" cm="1">
        <f t="array" ref="BU113">ROUND(IFERROR(INDEX(ArchiveResults!$F$5:$IX$116,ComparisonData!A113,ComparisonData!$BU$1),0),5)</f>
        <v>0</v>
      </c>
      <c r="BV113" s="46" cm="1">
        <f t="array" ref="BV113">ROUND(IFERROR(INDEX(ArchiveResults!$F$5:$IX$116,ComparisonData!A113,ComparisonData!$BV$1),0),5)</f>
        <v>0</v>
      </c>
      <c r="BW113" s="46" cm="1">
        <f t="array" ref="BW113">ROUND(IFERROR(INDEX(ArchiveResults!$F$5:$IX$116,ComparisonData!A113,ComparisonData!$BW$1),0),5)</f>
        <v>0</v>
      </c>
      <c r="BX113" s="46" cm="1">
        <f t="array" ref="BX113">ROUND(IFERROR(INDEX(ArchiveResults!$F$5:$IX$116,ComparisonData!A113,ComparisonData!$BX$1),0),5)</f>
        <v>0</v>
      </c>
      <c r="BY113" s="56">
        <v>108</v>
      </c>
      <c r="BZ113" s="53" t="str">
        <f t="shared" si="1180"/>
        <v>West Yorkshire Archive Service, Bradford</v>
      </c>
      <c r="CA113" s="59">
        <f t="shared" si="785"/>
        <v>0</v>
      </c>
      <c r="CB113" s="59">
        <f t="shared" si="786"/>
        <v>0</v>
      </c>
      <c r="CC113" s="59">
        <f t="shared" si="787"/>
        <v>0</v>
      </c>
      <c r="CD113" s="59">
        <f t="shared" si="788"/>
        <v>0</v>
      </c>
      <c r="CE113" s="59">
        <f t="shared" si="789"/>
        <v>0</v>
      </c>
      <c r="CF113" s="59">
        <f t="shared" si="790"/>
        <v>0</v>
      </c>
      <c r="CG113" s="58">
        <f t="shared" si="791"/>
        <v>0</v>
      </c>
      <c r="CH113" s="45">
        <f t="shared" si="792"/>
        <v>38</v>
      </c>
      <c r="CI113" s="54">
        <f t="shared" si="1181"/>
        <v>2.6239999999999997</v>
      </c>
      <c r="CJ113" s="45">
        <f t="shared" si="793"/>
        <v>1</v>
      </c>
      <c r="CK113" s="45">
        <f t="shared" si="794"/>
        <v>2</v>
      </c>
      <c r="CL113" s="46" cm="1">
        <f t="array" ref="CL113">ROUND(IFERROR(INDEX(ArchiveResults!$F$5:$IX$116,ComparisonData!A113,ComparisonData!$CL$1),0),5)</f>
        <v>0</v>
      </c>
      <c r="CM113" s="56">
        <v>108</v>
      </c>
      <c r="CN113" s="53" t="str">
        <f t="shared" si="1182"/>
        <v>West Yorkshire Archive Service, Bradford</v>
      </c>
      <c r="CO113" s="45">
        <f t="shared" si="795"/>
        <v>0</v>
      </c>
      <c r="CP113" s="58">
        <f t="shared" si="796"/>
        <v>0</v>
      </c>
      <c r="CQ113" s="45">
        <f t="shared" si="797"/>
        <v>38</v>
      </c>
      <c r="CR113" s="54">
        <f t="shared" si="1183"/>
        <v>2.6239999999999997</v>
      </c>
      <c r="CS113" s="45">
        <f t="shared" si="798"/>
        <v>1</v>
      </c>
      <c r="CT113" s="45">
        <f t="shared" si="799"/>
        <v>2</v>
      </c>
      <c r="CU113" s="46" cm="1">
        <f t="array" ref="CU113">ROUND(IFERROR(INDEX(ArchiveResults!$F$5:$IX$116,ComparisonData!A113,ComparisonData!$CU$1),0),5)</f>
        <v>0</v>
      </c>
      <c r="CV113" s="56">
        <v>108</v>
      </c>
      <c r="CW113" s="53" t="str">
        <f t="shared" si="1184"/>
        <v>West Yorkshire Archive Service, Bradford</v>
      </c>
      <c r="CX113" s="45">
        <f t="shared" si="800"/>
        <v>0</v>
      </c>
      <c r="CY113" s="58">
        <f t="shared" si="801"/>
        <v>0</v>
      </c>
      <c r="CZ113" s="45">
        <f t="shared" si="802"/>
        <v>38</v>
      </c>
      <c r="DA113" s="54">
        <f t="shared" si="1185"/>
        <v>2.6239999999999997</v>
      </c>
      <c r="DB113" s="45">
        <f t="shared" si="803"/>
        <v>1</v>
      </c>
      <c r="DC113" s="45">
        <f t="shared" si="804"/>
        <v>2</v>
      </c>
      <c r="DD113" s="46" cm="1">
        <f t="array" ref="DD113">ROUND(IFERROR(INDEX(ArchiveResults!$F$5:$IX$116,ComparisonData!A113,ComparisonData!$DD$1),0),5)</f>
        <v>0</v>
      </c>
      <c r="DE113" s="56">
        <v>108</v>
      </c>
      <c r="DF113" s="53" t="str">
        <f t="shared" si="1186"/>
        <v>West Yorkshire Archive Service, Bradford</v>
      </c>
      <c r="DG113" s="45">
        <f t="shared" si="805"/>
        <v>0</v>
      </c>
      <c r="DH113" s="58">
        <f t="shared" si="806"/>
        <v>0</v>
      </c>
      <c r="DI113" s="45">
        <f t="shared" si="807"/>
        <v>38</v>
      </c>
      <c r="DJ113" s="54">
        <f t="shared" si="1187"/>
        <v>2.6239999999999997</v>
      </c>
      <c r="DK113" s="45">
        <f t="shared" si="808"/>
        <v>1</v>
      </c>
      <c r="DL113" s="45">
        <f t="shared" si="809"/>
        <v>2</v>
      </c>
      <c r="DM113" s="46" cm="1">
        <f t="array" ref="DM113">ROUND(IFERROR(INDEX(ArchiveResults!$F$5:$IX$116,ComparisonData!A113,ComparisonData!$DM$1),0),5)</f>
        <v>0</v>
      </c>
      <c r="DN113" s="46" cm="1">
        <f t="array" ref="DN113">ROUND(IFERROR(INDEX(ArchiveResults!$F$5:$IX$116,ComparisonData!A113,ComparisonData!$DN$1),0),5)</f>
        <v>0</v>
      </c>
      <c r="DO113" s="46" cm="1">
        <f t="array" ref="DO113">ROUND(IFERROR(INDEX(ArchiveResults!$F$5:$IX$116,ComparisonData!A113,ComparisonData!$DO$1),0),5)</f>
        <v>0</v>
      </c>
      <c r="DP113" s="46" cm="1">
        <f t="array" ref="DP113">ROUND(IFERROR(INDEX(ArchiveResults!$F$5:$IX$116,ComparisonData!A113,ComparisonData!$DP$1),0),5)</f>
        <v>0</v>
      </c>
      <c r="DQ113" s="45" cm="1">
        <f t="array" ref="DQ113">IFERROR(INDEX(ArchiveResults!$F$5:$IX$116,ComparisonData!A113,ComparisonData!$DQ$1),0)</f>
        <v>0</v>
      </c>
      <c r="DR113" s="56">
        <v>108</v>
      </c>
      <c r="DS113" s="53" t="str">
        <f t="shared" si="1188"/>
        <v>West Yorkshire Archive Service, Bradford</v>
      </c>
      <c r="DT113" s="59">
        <f t="shared" si="810"/>
        <v>0</v>
      </c>
      <c r="DU113" s="59">
        <f t="shared" si="811"/>
        <v>0</v>
      </c>
      <c r="DV113" s="59">
        <f t="shared" si="812"/>
        <v>0</v>
      </c>
      <c r="DW113" s="59">
        <f t="shared" si="813"/>
        <v>0</v>
      </c>
      <c r="DX113" s="59">
        <f t="shared" si="814"/>
        <v>0</v>
      </c>
      <c r="DY113" s="58">
        <f t="shared" si="815"/>
        <v>0</v>
      </c>
      <c r="DZ113" s="45">
        <f t="shared" si="816"/>
        <v>38</v>
      </c>
      <c r="EA113" s="54">
        <f t="shared" si="1189"/>
        <v>2.6239999999999997</v>
      </c>
      <c r="EB113" s="45">
        <f t="shared" si="817"/>
        <v>1</v>
      </c>
      <c r="EC113" s="45">
        <f t="shared" si="818"/>
        <v>2</v>
      </c>
      <c r="ED113" s="46" cm="1">
        <f t="array" ref="ED113">ROUND(IFERROR(INDEX(ArchiveResults!$F$5:$IX$116,ComparisonData!A113,ComparisonData!$ED$1),0),5)</f>
        <v>0</v>
      </c>
      <c r="EE113" s="46" cm="1">
        <f t="array" ref="EE113">ROUND(IFERROR(INDEX(ArchiveResults!$F$5:$IX$116,ComparisonData!A113,ComparisonData!$EE$1),0),5)</f>
        <v>0</v>
      </c>
      <c r="EF113" s="46" cm="1">
        <f t="array" ref="EF113">ROUND(IFERROR(INDEX(ArchiveResults!$F$5:$IX$116,ComparisonData!A113,ComparisonData!$EF$1),0),5)</f>
        <v>0</v>
      </c>
      <c r="EG113" s="46" cm="1">
        <f t="array" ref="EG113">ROUND(IFERROR(INDEX(ArchiveResults!$F$5:$IX$116,ComparisonData!A113,ComparisonData!$EG$1),0),5)</f>
        <v>0</v>
      </c>
      <c r="EH113" s="45" cm="1">
        <f t="array" ref="EH113">IFERROR(INDEX(ArchiveResults!$F$5:$IX$116,ComparisonData!A113,ComparisonData!$EH$1),0)</f>
        <v>0</v>
      </c>
      <c r="EI113" s="56">
        <v>108</v>
      </c>
      <c r="EJ113" s="53" t="str">
        <f t="shared" si="1190"/>
        <v>West Yorkshire Archive Service, Bradford</v>
      </c>
      <c r="EK113" s="59">
        <f t="shared" si="819"/>
        <v>0</v>
      </c>
      <c r="EL113" s="59">
        <f t="shared" si="820"/>
        <v>0</v>
      </c>
      <c r="EM113" s="59">
        <f t="shared" si="821"/>
        <v>0</v>
      </c>
      <c r="EN113" s="59">
        <f t="shared" si="822"/>
        <v>0</v>
      </c>
      <c r="EO113" s="59">
        <f t="shared" si="823"/>
        <v>0</v>
      </c>
      <c r="EP113" s="58">
        <f t="shared" si="824"/>
        <v>0</v>
      </c>
      <c r="EQ113" s="45">
        <f t="shared" si="825"/>
        <v>38</v>
      </c>
      <c r="ER113" s="54">
        <f t="shared" si="1191"/>
        <v>2.6239999999999997</v>
      </c>
      <c r="ES113" s="45">
        <f t="shared" si="826"/>
        <v>1</v>
      </c>
      <c r="ET113" s="45">
        <f t="shared" si="827"/>
        <v>2</v>
      </c>
      <c r="EU113" s="46" cm="1">
        <f t="array" ref="EU113">ROUND(IFERROR(INDEX(ArchiveResults!$F$5:$IX$116,ComparisonData!A113,ComparisonData!$EU$1),0),5)</f>
        <v>0</v>
      </c>
      <c r="EV113" s="46" cm="1">
        <f t="array" ref="EV113">ROUND(IFERROR(INDEX(ArchiveResults!$F$5:$IX$116,ComparisonData!A113,ComparisonData!$EV$1),0),5)</f>
        <v>0</v>
      </c>
      <c r="EW113" s="46" cm="1">
        <f t="array" ref="EW113">ROUND(IFERROR(INDEX(ArchiveResults!$F$5:$IX$116,ComparisonData!A113,ComparisonData!$EW$1),0),5)</f>
        <v>0</v>
      </c>
      <c r="EX113" s="46" cm="1">
        <f t="array" ref="EX113">ROUND(IFERROR(INDEX(ArchiveResults!$F$5:$IX$116,ComparisonData!A113,ComparisonData!$EX$1),0),5)</f>
        <v>0</v>
      </c>
      <c r="EY113" s="45" cm="1">
        <f t="array" ref="EY113">IFERROR(INDEX(ArchiveResults!$F$5:$IX$116,ComparisonData!A113,ComparisonData!$EY$1),0)</f>
        <v>0</v>
      </c>
      <c r="EZ113" s="56">
        <v>108</v>
      </c>
      <c r="FA113" s="53" t="str">
        <f t="shared" si="1192"/>
        <v>West Yorkshire Archive Service, Bradford</v>
      </c>
      <c r="FB113" s="59">
        <f t="shared" si="828"/>
        <v>0</v>
      </c>
      <c r="FC113" s="59">
        <f t="shared" si="829"/>
        <v>0</v>
      </c>
      <c r="FD113" s="59">
        <f t="shared" si="830"/>
        <v>0</v>
      </c>
      <c r="FE113" s="59">
        <f t="shared" si="831"/>
        <v>0</v>
      </c>
      <c r="FF113" s="59">
        <f t="shared" si="832"/>
        <v>0</v>
      </c>
      <c r="FG113" s="58">
        <f t="shared" si="833"/>
        <v>0</v>
      </c>
      <c r="FH113" s="45">
        <f t="shared" si="834"/>
        <v>38</v>
      </c>
      <c r="FI113" s="54">
        <f t="shared" si="1193"/>
        <v>2.6239999999999997</v>
      </c>
      <c r="FJ113" s="45">
        <f t="shared" si="835"/>
        <v>1</v>
      </c>
      <c r="FK113" s="45">
        <f t="shared" si="836"/>
        <v>2</v>
      </c>
      <c r="FL113" s="46" cm="1">
        <f t="array" ref="FL113">ROUND(IFERROR(INDEX(ArchiveResults!$F$5:$IX$116,ComparisonData!A113,ComparisonData!$FL$1),0),5)</f>
        <v>0</v>
      </c>
      <c r="FM113" s="46" cm="1">
        <f t="array" ref="FM113">ROUND(IFERROR(INDEX(ArchiveResults!$F$5:$IX$116,ComparisonData!A113,ComparisonData!$FM$1),0),5)</f>
        <v>0</v>
      </c>
      <c r="FN113" s="46" cm="1">
        <f t="array" ref="FN113">ROUND(IFERROR(INDEX(ArchiveResults!$F$5:$IX$116,ComparisonData!A113,ComparisonData!$FN$1),0),5)</f>
        <v>0</v>
      </c>
      <c r="FO113" s="46" cm="1">
        <f t="array" ref="FO113">ROUND(IFERROR(INDEX(ArchiveResults!$F$5:$IX$116,ComparisonData!A113,ComparisonData!$FO$1),0),5)</f>
        <v>0</v>
      </c>
      <c r="FP113" s="45" cm="1">
        <f t="array" ref="FP113">IFERROR(INDEX(ArchiveResults!$F$5:$IX$116,ComparisonData!A113,ComparisonData!$FP$1),0)</f>
        <v>0</v>
      </c>
      <c r="FQ113" s="56">
        <v>108</v>
      </c>
      <c r="FR113" s="53" t="str">
        <f t="shared" si="1194"/>
        <v>West Yorkshire Archive Service, Bradford</v>
      </c>
      <c r="FS113" s="59">
        <f t="shared" si="837"/>
        <v>0</v>
      </c>
      <c r="FT113" s="59">
        <f t="shared" si="838"/>
        <v>0</v>
      </c>
      <c r="FU113" s="59">
        <f t="shared" si="839"/>
        <v>0</v>
      </c>
      <c r="FV113" s="59">
        <f t="shared" si="840"/>
        <v>0</v>
      </c>
      <c r="FW113" s="59">
        <f t="shared" si="841"/>
        <v>0</v>
      </c>
      <c r="FX113" s="58">
        <f t="shared" si="842"/>
        <v>0</v>
      </c>
      <c r="FY113" s="45">
        <f t="shared" si="843"/>
        <v>38</v>
      </c>
      <c r="FZ113" s="45">
        <f t="shared" si="1195"/>
        <v>2.6239999999999997</v>
      </c>
      <c r="GA113" s="45">
        <f t="shared" si="844"/>
        <v>1</v>
      </c>
      <c r="GB113" s="45">
        <f t="shared" si="845"/>
        <v>2</v>
      </c>
      <c r="GC113" s="46" cm="1">
        <f t="array" ref="GC113">ROUND(IFERROR(INDEX(ArchiveResults!$F$5:$IX$116,ComparisonData!A113,ComparisonData!$GC$1),0),5)</f>
        <v>0</v>
      </c>
      <c r="GD113" s="46" cm="1">
        <f t="array" ref="GD113">ROUND(IFERROR(INDEX(ArchiveResults!$F$5:$IX$116,ComparisonData!A113,ComparisonData!$GD$1),0),5)</f>
        <v>0</v>
      </c>
      <c r="GE113" s="46" cm="1">
        <f t="array" ref="GE113">ROUND(IFERROR(INDEX(ArchiveResults!$F$5:$IX$116,ComparisonData!A113,ComparisonData!$GE$1),0),5)</f>
        <v>0</v>
      </c>
      <c r="GF113" s="46" cm="1">
        <f t="array" ref="GF113">ROUND(IFERROR(INDEX(ArchiveResults!$F$5:$IX$116,ComparisonData!A113,ComparisonData!$GF$1),0),5)</f>
        <v>0</v>
      </c>
      <c r="GG113" s="45" cm="1">
        <f t="array" ref="GG113">IFERROR(INDEX(ArchiveResults!$F$5:$IX$116,ComparisonData!A113,ComparisonData!$GG$1),0)</f>
        <v>0</v>
      </c>
      <c r="GH113" s="56">
        <v>108</v>
      </c>
      <c r="GI113" s="53" t="str">
        <f t="shared" si="1196"/>
        <v>West Yorkshire Archive Service, Bradford</v>
      </c>
      <c r="GJ113" s="59">
        <f t="shared" si="846"/>
        <v>0</v>
      </c>
      <c r="GK113" s="59">
        <f t="shared" si="847"/>
        <v>0</v>
      </c>
      <c r="GL113" s="59">
        <f t="shared" si="848"/>
        <v>0</v>
      </c>
      <c r="GM113" s="59">
        <f t="shared" si="849"/>
        <v>0</v>
      </c>
      <c r="GN113" s="59">
        <f t="shared" si="850"/>
        <v>0</v>
      </c>
      <c r="GO113" s="58">
        <f t="shared" si="851"/>
        <v>0</v>
      </c>
      <c r="GP113" s="45">
        <f t="shared" si="852"/>
        <v>38</v>
      </c>
      <c r="GQ113" s="45">
        <f t="shared" si="1197"/>
        <v>2.6239999999999997</v>
      </c>
      <c r="GR113" s="45">
        <f t="shared" si="853"/>
        <v>1</v>
      </c>
      <c r="GS113" s="45">
        <f t="shared" si="854"/>
        <v>2</v>
      </c>
      <c r="GT113" s="46" cm="1">
        <f t="array" ref="GT113">ROUND(IFERROR(INDEX(ArchiveResults!$F$5:$IX$116,ComparisonData!A113,ComparisonData!$GT$1),0),5)</f>
        <v>0</v>
      </c>
      <c r="GU113" s="46" cm="1">
        <f t="array" ref="GU113">ROUND(IFERROR(INDEX(ArchiveResults!$F$5:$IX$116,ComparisonData!A113,ComparisonData!$GU$1),0),5)</f>
        <v>0</v>
      </c>
      <c r="GV113" s="46" cm="1">
        <f t="array" ref="GV113">ROUND(IFERROR(INDEX(ArchiveResults!$F$5:$IX$116,ComparisonData!A113,ComparisonData!$GV$1),0),5)</f>
        <v>0</v>
      </c>
      <c r="GW113" s="46" cm="1">
        <f t="array" ref="GW113">ROUND(IFERROR(INDEX(ArchiveResults!$F$5:$IX$116,ComparisonData!A113,ComparisonData!$GW$1),0),5)</f>
        <v>0</v>
      </c>
      <c r="GX113" s="45" cm="1">
        <f t="array" ref="GX113">IFERROR(INDEX(ArchiveResults!$F$5:$IX$116,ComparisonData!A113,ComparisonData!$GX$1),0)</f>
        <v>0</v>
      </c>
      <c r="GY113" s="56">
        <v>108</v>
      </c>
      <c r="GZ113" s="53" t="str">
        <f t="shared" si="1198"/>
        <v>West Yorkshire Archive Service, Bradford</v>
      </c>
      <c r="HA113" s="59">
        <f t="shared" si="855"/>
        <v>0</v>
      </c>
      <c r="HB113" s="59">
        <f t="shared" si="856"/>
        <v>0</v>
      </c>
      <c r="HC113" s="59">
        <f t="shared" si="857"/>
        <v>0</v>
      </c>
      <c r="HD113" s="59">
        <f t="shared" si="858"/>
        <v>0</v>
      </c>
      <c r="HE113" s="59">
        <f t="shared" si="859"/>
        <v>0</v>
      </c>
      <c r="HF113" s="58">
        <f t="shared" si="860"/>
        <v>0</v>
      </c>
      <c r="HG113" s="45">
        <f t="shared" si="861"/>
        <v>38</v>
      </c>
      <c r="HH113" s="45">
        <f t="shared" si="1199"/>
        <v>2.6239999999999997</v>
      </c>
      <c r="HI113" s="45">
        <f t="shared" si="862"/>
        <v>1</v>
      </c>
      <c r="HJ113" s="45">
        <f t="shared" si="863"/>
        <v>2</v>
      </c>
      <c r="HK113" s="46" cm="1">
        <f t="array" ref="HK113">ROUND(IFERROR(INDEX(ArchiveResults!$F$5:$IX$116,ComparisonData!A113,ComparisonData!$HK$1),0),5)</f>
        <v>0</v>
      </c>
      <c r="HL113" s="46" cm="1">
        <f t="array" ref="HL113">ROUND(IFERROR(INDEX(ArchiveResults!$F$5:$IX$116,ComparisonData!A113,ComparisonData!$HL$1),0),5)</f>
        <v>0</v>
      </c>
      <c r="HM113" s="46" cm="1">
        <f t="array" ref="HM113">ROUND(IFERROR(INDEX(ArchiveResults!$F$5:$IX$116,ComparisonData!A113,ComparisonData!$HM$1),0),5)</f>
        <v>0</v>
      </c>
      <c r="HN113" s="46" cm="1">
        <f t="array" ref="HN113">ROUND(IFERROR(INDEX(ArchiveResults!$F$5:$IX$116,ComparisonData!A113,ComparisonData!$HN$1),0),5)</f>
        <v>0</v>
      </c>
      <c r="HO113" s="45" cm="1">
        <f t="array" ref="HO113">IFERROR(INDEX(ArchiveResults!$F$5:$IX$116,ComparisonData!A113,ComparisonData!$HO$1),0)</f>
        <v>0</v>
      </c>
      <c r="HP113" s="56">
        <v>108</v>
      </c>
      <c r="HQ113" s="53" t="str">
        <f t="shared" si="1200"/>
        <v>West Yorkshire Archive Service, Bradford</v>
      </c>
      <c r="HR113" s="59">
        <f t="shared" si="1201"/>
        <v>0</v>
      </c>
      <c r="HS113" s="59">
        <f t="shared" si="1202"/>
        <v>0</v>
      </c>
      <c r="HT113" s="59">
        <f t="shared" si="1203"/>
        <v>0</v>
      </c>
      <c r="HU113" s="59">
        <f t="shared" si="1204"/>
        <v>0</v>
      </c>
      <c r="HV113" s="59">
        <f t="shared" si="1205"/>
        <v>0</v>
      </c>
      <c r="HW113" s="58">
        <f t="shared" si="864"/>
        <v>0</v>
      </c>
      <c r="HX113" s="45">
        <f t="shared" si="865"/>
        <v>38</v>
      </c>
      <c r="HY113" s="45">
        <f t="shared" si="1206"/>
        <v>2.6239999999999997</v>
      </c>
      <c r="HZ113" s="45">
        <f t="shared" si="866"/>
        <v>1</v>
      </c>
      <c r="IA113" s="45">
        <f t="shared" si="867"/>
        <v>2</v>
      </c>
      <c r="IB113" s="45">
        <f t="shared" si="868"/>
        <v>0</v>
      </c>
      <c r="IC113" s="46" cm="1">
        <f t="array" ref="IC113">ROUND(IFERROR(INDEX(ArchiveResults!$F$5:$IX$116,ComparisonData!A113,ComparisonData!$IC$1),0),5)</f>
        <v>0</v>
      </c>
      <c r="ID113" s="46" cm="1">
        <f t="array" ref="ID113">ROUND(IFERROR(INDEX(ArchiveResults!$F$5:$IX$116,ComparisonData!A113,ComparisonData!$ID$1),0),5)</f>
        <v>0</v>
      </c>
      <c r="IE113" s="46" cm="1">
        <f t="array" ref="IE113">ROUND(IFERROR(INDEX(ArchiveResults!$F$5:$IX$116,ComparisonData!A113,ComparisonData!$IE$1),0),5)</f>
        <v>0</v>
      </c>
      <c r="IF113" s="46" cm="1">
        <f t="array" ref="IF113">ROUND(IFERROR(INDEX(ArchiveResults!$F$5:$IX$116,ComparisonData!A113,ComparisonData!$IF$1),0),5)</f>
        <v>0</v>
      </c>
      <c r="IG113" s="45" cm="1">
        <f t="array" ref="IG113">IFERROR(INDEX(ArchiveResults!$F$5:$IX$116,ComparisonData!A113,ComparisonData!$IG$1),0)</f>
        <v>0</v>
      </c>
      <c r="IH113" s="56">
        <v>108</v>
      </c>
      <c r="II113" s="53" t="str">
        <f t="shared" si="1207"/>
        <v>West Yorkshire Archive Service, Bradford</v>
      </c>
      <c r="IJ113" s="59">
        <f t="shared" si="869"/>
        <v>0</v>
      </c>
      <c r="IK113" s="59">
        <f t="shared" si="870"/>
        <v>0</v>
      </c>
      <c r="IL113" s="59">
        <f t="shared" si="871"/>
        <v>0</v>
      </c>
      <c r="IM113" s="59">
        <f t="shared" si="872"/>
        <v>0</v>
      </c>
      <c r="IN113" s="59">
        <f t="shared" si="873"/>
        <v>0</v>
      </c>
      <c r="IO113" s="58">
        <f t="shared" si="874"/>
        <v>0</v>
      </c>
      <c r="IP113" s="45">
        <f t="shared" si="875"/>
        <v>38</v>
      </c>
      <c r="IQ113" s="45">
        <f t="shared" si="1208"/>
        <v>2.6239999999999997</v>
      </c>
      <c r="IR113" s="45">
        <f t="shared" si="876"/>
        <v>1</v>
      </c>
      <c r="IS113" s="45">
        <f t="shared" si="877"/>
        <v>2</v>
      </c>
      <c r="IT113" s="46">
        <f t="shared" si="878"/>
        <v>0</v>
      </c>
      <c r="IU113" s="46" cm="1">
        <f t="array" ref="IU113">ROUND(IFERROR(INDEX(ArchiveResults!$F$5:$IX$116,ComparisonData!A113,ComparisonData!$IU$1),0),5)</f>
        <v>0</v>
      </c>
      <c r="IV113" s="46" cm="1">
        <f t="array" ref="IV113">ROUND(IFERROR(INDEX(ArchiveResults!$F$5:$IX$116,ComparisonData!A113,ComparisonData!$IV$1),0),5)</f>
        <v>0</v>
      </c>
      <c r="IW113" s="46" cm="1">
        <f t="array" ref="IW113">ROUND(IFERROR(INDEX(ArchiveResults!$F$5:$IX$116,ComparisonData!A113,ComparisonData!$IW$1),0),5)</f>
        <v>0</v>
      </c>
      <c r="IX113" s="46" cm="1">
        <f t="array" ref="IX113">ROUND(IFERROR(INDEX(ArchiveResults!$F$5:$IX$116,ComparisonData!A113,ComparisonData!$IX$1),0),5)</f>
        <v>0</v>
      </c>
      <c r="IY113" s="45" cm="1">
        <f t="array" ref="IY113">IFERROR(INDEX(ArchiveResults!$F$5:$IX$116,ComparisonData!A113,ComparisonData!$IY$1),0)</f>
        <v>0</v>
      </c>
      <c r="IZ113" s="56">
        <v>108</v>
      </c>
      <c r="JA113" s="53" t="str">
        <f t="shared" si="1209"/>
        <v>West Yorkshire Archive Service, Bradford</v>
      </c>
      <c r="JB113" s="59">
        <f t="shared" si="879"/>
        <v>0</v>
      </c>
      <c r="JC113" s="59">
        <f t="shared" si="880"/>
        <v>0</v>
      </c>
      <c r="JD113" s="59">
        <f t="shared" si="881"/>
        <v>0</v>
      </c>
      <c r="JE113" s="59">
        <f t="shared" si="882"/>
        <v>0</v>
      </c>
      <c r="JF113" s="59">
        <f t="shared" si="883"/>
        <v>0</v>
      </c>
      <c r="JG113" s="58">
        <f t="shared" si="884"/>
        <v>0</v>
      </c>
      <c r="JH113" s="45">
        <f t="shared" si="885"/>
        <v>38</v>
      </c>
      <c r="JI113" s="45">
        <f t="shared" si="1210"/>
        <v>2.6239999999999997</v>
      </c>
      <c r="JJ113" s="45">
        <f t="shared" si="886"/>
        <v>1</v>
      </c>
      <c r="JK113" s="45">
        <f t="shared" si="887"/>
        <v>2</v>
      </c>
      <c r="JL113" s="45">
        <f t="shared" si="888"/>
        <v>0</v>
      </c>
      <c r="JM113" s="46" cm="1">
        <f t="array" ref="JM113">ROUND(IFERROR(INDEX(ArchiveResults!$F$5:$IX$116,ComparisonData!A113,ComparisonData!$JM$1),0),5)</f>
        <v>0</v>
      </c>
      <c r="JN113" s="46" cm="1">
        <f t="array" ref="JN113">ROUND(IFERROR(INDEX(ArchiveResults!$F$5:$IX$116,ComparisonData!A113,ComparisonData!$JN$1),0),5)</f>
        <v>0</v>
      </c>
      <c r="JO113" s="46" cm="1">
        <f t="array" ref="JO113">ROUND(IFERROR(INDEX(ArchiveResults!$F$5:$IX$116,ComparisonData!A113,ComparisonData!$JO$1),0),5)</f>
        <v>0</v>
      </c>
      <c r="JP113" s="46" cm="1">
        <f t="array" ref="JP113">ROUND(IFERROR(INDEX(ArchiveResults!$F$5:$IX$116,ComparisonData!A113,ComparisonData!$JP$1),0),5)</f>
        <v>0</v>
      </c>
      <c r="JQ113" s="45" cm="1">
        <f t="array" ref="JQ113">IFERROR(INDEX(ArchiveResults!$F$5:$IX$116,ComparisonData!A113,ComparisonData!$JQ$1),0)</f>
        <v>0</v>
      </c>
      <c r="JR113" s="56">
        <v>108</v>
      </c>
      <c r="JS113" s="53" t="str">
        <f t="shared" si="1211"/>
        <v>West Yorkshire Archive Service, Bradford</v>
      </c>
      <c r="JT113" s="59">
        <f t="shared" si="889"/>
        <v>0</v>
      </c>
      <c r="JU113" s="59">
        <f t="shared" si="890"/>
        <v>0</v>
      </c>
      <c r="JV113" s="59">
        <f t="shared" si="891"/>
        <v>0</v>
      </c>
      <c r="JW113" s="59">
        <f t="shared" si="892"/>
        <v>0</v>
      </c>
      <c r="JX113" s="59">
        <f t="shared" si="893"/>
        <v>0</v>
      </c>
      <c r="JY113" s="58">
        <f t="shared" si="894"/>
        <v>0</v>
      </c>
      <c r="JZ113" s="45">
        <f t="shared" si="895"/>
        <v>38</v>
      </c>
      <c r="KA113" s="45">
        <f t="shared" si="1212"/>
        <v>2.6239999999999997</v>
      </c>
      <c r="KB113" s="45">
        <f t="shared" si="896"/>
        <v>1</v>
      </c>
      <c r="KC113" s="45">
        <f t="shared" si="897"/>
        <v>2</v>
      </c>
      <c r="KD113" s="45">
        <f t="shared" si="898"/>
        <v>0</v>
      </c>
      <c r="KE113" s="46" cm="1">
        <f t="array" ref="KE113">ROUND(IFERROR(INDEX(ArchiveResults!$F$5:$IX$116,ComparisonData!A113,ComparisonData!$KE$1),0),5)</f>
        <v>0</v>
      </c>
      <c r="KF113" s="46" cm="1">
        <f t="array" ref="KF113">ROUND(IFERROR(INDEX(ArchiveResults!$F$5:$IX$116,ComparisonData!A113,ComparisonData!$KF$1),0),5)</f>
        <v>0</v>
      </c>
      <c r="KG113" s="46" cm="1">
        <f t="array" ref="KG113">ROUND(IFERROR(INDEX(ArchiveResults!$F$5:$IX$116,ComparisonData!A113,ComparisonData!$KG$1),0),5)</f>
        <v>0</v>
      </c>
      <c r="KH113" s="46" cm="1">
        <f t="array" ref="KH113">ROUND(IFERROR(INDEX(ArchiveResults!$F$5:$IX$116,ComparisonData!A113,ComparisonData!$KH$1),0),5)</f>
        <v>0</v>
      </c>
      <c r="KI113" s="45" cm="1">
        <f t="array" ref="KI113">IFERROR(INDEX(ArchiveResults!$F$5:$IX$116,ComparisonData!A113,ComparisonData!$KI$1),0)</f>
        <v>0</v>
      </c>
      <c r="KJ113" s="56">
        <v>108</v>
      </c>
      <c r="KK113" s="53" t="str">
        <f t="shared" si="1213"/>
        <v>West Yorkshire Archive Service, Bradford</v>
      </c>
      <c r="KL113" s="59">
        <f t="shared" si="899"/>
        <v>0</v>
      </c>
      <c r="KM113" s="59">
        <f t="shared" si="900"/>
        <v>0</v>
      </c>
      <c r="KN113" s="59">
        <f t="shared" si="901"/>
        <v>0</v>
      </c>
      <c r="KO113" s="59">
        <f t="shared" si="902"/>
        <v>0</v>
      </c>
      <c r="KP113" s="59">
        <f t="shared" si="903"/>
        <v>0</v>
      </c>
      <c r="KQ113" s="58">
        <f t="shared" si="904"/>
        <v>0</v>
      </c>
      <c r="KR113" s="45">
        <f t="shared" si="905"/>
        <v>38</v>
      </c>
      <c r="KS113" s="45">
        <f t="shared" si="1214"/>
        <v>2.6239999999999997</v>
      </c>
      <c r="KT113" s="45">
        <f t="shared" si="906"/>
        <v>1</v>
      </c>
      <c r="KU113" s="45">
        <f t="shared" si="907"/>
        <v>2</v>
      </c>
      <c r="KV113" s="45">
        <f t="shared" si="908"/>
        <v>0</v>
      </c>
      <c r="KW113" s="46" cm="1">
        <f t="array" ref="KW113">ROUND(IFERROR(INDEX(ArchiveResults!$F$5:$IX$116,ComparisonData!A113,ComparisonData!$KW$1),0),5)</f>
        <v>0</v>
      </c>
      <c r="KX113" s="46" cm="1">
        <f t="array" ref="KX113">ROUND(IFERROR(INDEX(ArchiveResults!$F$5:$IX$116,ComparisonData!A113,ComparisonData!$KX$1),0),5)</f>
        <v>0</v>
      </c>
      <c r="KY113" s="46" cm="1">
        <f t="array" ref="KY113">ROUND(IFERROR(INDEX(ArchiveResults!$F$5:$IX$116,ComparisonData!A113,ComparisonData!$KY$1),0),5)</f>
        <v>0</v>
      </c>
      <c r="KZ113" s="46" cm="1">
        <f t="array" ref="KZ113">ROUND(IFERROR(INDEX(ArchiveResults!$F$5:$IX$116,ComparisonData!A113,ComparisonData!$KZ$1),0),5)</f>
        <v>0</v>
      </c>
      <c r="LA113" s="45" cm="1">
        <f t="array" ref="LA113">IFERROR(INDEX(ArchiveResults!$F$5:$IX$116,ComparisonData!A113,ComparisonData!$LA$1),0)</f>
        <v>0</v>
      </c>
      <c r="LB113" s="56">
        <v>108</v>
      </c>
      <c r="LC113" s="53" t="str">
        <f t="shared" si="1215"/>
        <v>West Yorkshire Archive Service, Bradford</v>
      </c>
      <c r="LD113" s="59">
        <f t="shared" si="909"/>
        <v>0</v>
      </c>
      <c r="LE113" s="59">
        <f t="shared" si="910"/>
        <v>0</v>
      </c>
      <c r="LF113" s="59">
        <f t="shared" si="911"/>
        <v>0</v>
      </c>
      <c r="LG113" s="59">
        <f t="shared" si="912"/>
        <v>0</v>
      </c>
      <c r="LH113" s="59">
        <f t="shared" si="913"/>
        <v>0</v>
      </c>
      <c r="LI113" s="58">
        <f t="shared" si="914"/>
        <v>0</v>
      </c>
      <c r="LJ113" s="45">
        <f t="shared" si="915"/>
        <v>38</v>
      </c>
      <c r="LK113" s="45">
        <f t="shared" si="1216"/>
        <v>2.6239999999999997</v>
      </c>
      <c r="LL113" s="45">
        <f t="shared" si="916"/>
        <v>1</v>
      </c>
      <c r="LM113" s="45">
        <f t="shared" si="917"/>
        <v>2</v>
      </c>
      <c r="LN113" s="45">
        <f t="shared" si="918"/>
        <v>0</v>
      </c>
      <c r="LO113" s="46" cm="1">
        <f t="array" ref="LO113">ROUND(IFERROR(INDEX(ArchiveResults!$F$5:$IX$116,ComparisonData!A113,ComparisonData!$LO$1),0),5)</f>
        <v>0</v>
      </c>
      <c r="LP113" s="46" cm="1">
        <f t="array" ref="LP113">ROUND(IFERROR(INDEX(ArchiveResults!$F$5:$IX$116,ComparisonData!A113,ComparisonData!$LP$1),0),5)</f>
        <v>0</v>
      </c>
      <c r="LQ113" s="46" cm="1">
        <f t="array" ref="LQ113">ROUND(IFERROR(INDEX(ArchiveResults!$F$5:$IX$116,ComparisonData!A113,ComparisonData!$LQ$1),0),5)</f>
        <v>0</v>
      </c>
      <c r="LR113" s="46" cm="1">
        <f t="array" ref="LR113">ROUND(IFERROR(INDEX(ArchiveResults!$F$5:$IX$116,ComparisonData!A113,ComparisonData!$LR$1),0),5)</f>
        <v>0</v>
      </c>
      <c r="LS113" s="45" cm="1">
        <f t="array" ref="LS113">IFERROR(INDEX(ArchiveResults!$F$5:$IX$116,ComparisonData!A113,ComparisonData!$LS$1),0)</f>
        <v>0</v>
      </c>
      <c r="LT113" s="56">
        <v>108</v>
      </c>
      <c r="LU113" s="53" t="str">
        <f t="shared" si="1217"/>
        <v>West Yorkshire Archive Service, Bradford</v>
      </c>
      <c r="LV113" s="59">
        <f t="shared" si="919"/>
        <v>0</v>
      </c>
      <c r="LW113" s="59">
        <f t="shared" si="920"/>
        <v>0</v>
      </c>
      <c r="LX113" s="59">
        <f t="shared" si="921"/>
        <v>0</v>
      </c>
      <c r="LY113" s="59">
        <f t="shared" si="922"/>
        <v>0</v>
      </c>
      <c r="LZ113" s="59">
        <f t="shared" si="923"/>
        <v>0</v>
      </c>
      <c r="MA113" s="58">
        <f t="shared" si="924"/>
        <v>0</v>
      </c>
      <c r="MB113" s="45">
        <f t="shared" si="925"/>
        <v>38</v>
      </c>
      <c r="MC113" s="45">
        <f t="shared" si="1218"/>
        <v>2.6239999999999997</v>
      </c>
      <c r="MD113" s="45">
        <f t="shared" si="926"/>
        <v>1</v>
      </c>
      <c r="ME113" s="45">
        <f t="shared" si="927"/>
        <v>2</v>
      </c>
      <c r="MF113" s="45">
        <f t="shared" si="928"/>
        <v>0</v>
      </c>
      <c r="MG113" s="46" cm="1">
        <f t="array" ref="MG113">ROUND(IFERROR(INDEX(ArchiveResults!$F$5:$IX$116,ComparisonData!A113,ComparisonData!$MG$1),0),5)</f>
        <v>0</v>
      </c>
      <c r="MH113" s="46" cm="1">
        <f t="array" ref="MH113">ROUND(IFERROR(INDEX(ArchiveResults!$F$5:$IX$116,ComparisonData!A113,ComparisonData!$MH$1),0),5)</f>
        <v>0</v>
      </c>
      <c r="MI113" s="46" cm="1">
        <f t="array" ref="MI113">ROUND(IFERROR(INDEX(ArchiveResults!$F$5:$IX$116,ComparisonData!A113,ComparisonData!$MI$1),0),5)</f>
        <v>0</v>
      </c>
      <c r="MJ113" s="46" cm="1">
        <f t="array" ref="MJ113">ROUND(IFERROR(INDEX(ArchiveResults!$F$5:$IX$116,ComparisonData!A113,ComparisonData!$MJ$1),0),5)</f>
        <v>0</v>
      </c>
      <c r="MK113" s="45" cm="1">
        <f t="array" ref="MK113">IFERROR(INDEX(ArchiveResults!$F$5:$IX$116,ComparisonData!A113,ComparisonData!$MK$1),0)</f>
        <v>0</v>
      </c>
      <c r="ML113" s="56">
        <v>108</v>
      </c>
      <c r="MM113" s="53" t="str">
        <f t="shared" si="1219"/>
        <v>West Yorkshire Archive Service, Bradford</v>
      </c>
      <c r="MN113" s="59">
        <f t="shared" si="929"/>
        <v>0</v>
      </c>
      <c r="MO113" s="59">
        <f t="shared" si="930"/>
        <v>0</v>
      </c>
      <c r="MP113" s="59">
        <f t="shared" si="931"/>
        <v>0</v>
      </c>
      <c r="MQ113" s="59">
        <f t="shared" si="932"/>
        <v>0</v>
      </c>
      <c r="MR113" s="59">
        <f t="shared" si="933"/>
        <v>0</v>
      </c>
      <c r="MS113" s="58">
        <f t="shared" si="934"/>
        <v>0</v>
      </c>
      <c r="MT113" s="45">
        <f t="shared" si="935"/>
        <v>38</v>
      </c>
      <c r="MU113" s="45">
        <f t="shared" si="1220"/>
        <v>2.6239999999999997</v>
      </c>
      <c r="MV113" s="45">
        <f t="shared" si="936"/>
        <v>1</v>
      </c>
      <c r="MW113" s="45">
        <f t="shared" si="937"/>
        <v>2</v>
      </c>
      <c r="MX113" s="45">
        <f t="shared" si="938"/>
        <v>0</v>
      </c>
      <c r="MY113" s="46" cm="1">
        <f t="array" ref="MY113">ROUND(IFERROR(INDEX(ArchiveResults!$F$5:$IX$116,ComparisonData!A113,ComparisonData!$MY$1),0),5)</f>
        <v>0</v>
      </c>
      <c r="MZ113" s="46" cm="1">
        <f t="array" ref="MZ113">ROUND(IFERROR(INDEX(ArchiveResults!$F$5:$IX$116,ComparisonData!A113,ComparisonData!$MZ$1),0),5)</f>
        <v>0</v>
      </c>
      <c r="NA113" s="46" cm="1">
        <f t="array" ref="NA113">ROUND(IFERROR(INDEX(ArchiveResults!$F$5:$IX$116,ComparisonData!A113,ComparisonData!$NA$1),0),5)</f>
        <v>0</v>
      </c>
      <c r="NB113" s="46" cm="1">
        <f t="array" ref="NB113">ROUND(IFERROR(INDEX(ArchiveResults!$F$5:$IX$116,ComparisonData!A113,ComparisonData!$NB$1),0),5)</f>
        <v>0</v>
      </c>
      <c r="NC113" s="45" cm="1">
        <f t="array" ref="NC113">IFERROR(INDEX(ArchiveResults!$F$5:$IX$116,ComparisonData!A113,ComparisonData!$NC$1),0)</f>
        <v>0</v>
      </c>
      <c r="ND113" s="56">
        <v>108</v>
      </c>
      <c r="NE113" s="53" t="str">
        <f t="shared" si="1221"/>
        <v>West Yorkshire Archive Service, Bradford</v>
      </c>
      <c r="NF113" s="59">
        <f t="shared" si="939"/>
        <v>0</v>
      </c>
      <c r="NG113" s="59">
        <f t="shared" si="940"/>
        <v>0</v>
      </c>
      <c r="NH113" s="59">
        <f t="shared" si="941"/>
        <v>0</v>
      </c>
      <c r="NI113" s="59">
        <f t="shared" si="942"/>
        <v>0</v>
      </c>
      <c r="NJ113" s="59">
        <f t="shared" si="943"/>
        <v>0</v>
      </c>
      <c r="NK113" s="58">
        <f t="shared" si="944"/>
        <v>0</v>
      </c>
      <c r="NL113" s="45">
        <f t="shared" si="945"/>
        <v>38</v>
      </c>
      <c r="NM113" s="45">
        <f t="shared" si="1222"/>
        <v>2.6239999999999997</v>
      </c>
      <c r="NN113" s="45">
        <f t="shared" si="946"/>
        <v>1</v>
      </c>
      <c r="NO113" s="45">
        <f t="shared" si="947"/>
        <v>2</v>
      </c>
      <c r="NP113" s="46" cm="1">
        <f t="array" ref="NP113">ROUND(IFERROR(INDEX(ArchiveResults!$F$5:$IX$116,ComparisonData!A113,ComparisonData!$NP$1),0),5)</f>
        <v>0</v>
      </c>
      <c r="NQ113" s="46" cm="1">
        <f t="array" ref="NQ113">ROUND(IFERROR(INDEX(ArchiveResults!$F$5:$IX$116,ComparisonData!A113,ComparisonData!$NQ$1),0),5)</f>
        <v>0</v>
      </c>
      <c r="NR113" s="46" cm="1">
        <f t="array" ref="NR113">ROUND(IFERROR(INDEX(ArchiveResults!$F$5:$IX$116,ComparisonData!A113,ComparisonData!$NR$1),0),5)</f>
        <v>0</v>
      </c>
      <c r="NS113" s="46" cm="1">
        <f t="array" ref="NS113">ROUND(IFERROR(INDEX(ArchiveResults!$F$5:$IX$116,ComparisonData!A113,ComparisonData!$NS$1),0),5)</f>
        <v>0</v>
      </c>
      <c r="NT113" s="45" cm="1">
        <f t="array" ref="NT113">IFERROR(INDEX(ArchiveResults!$F$5:$IX$116,ComparisonData!A113,ComparisonData!$NT$1),0)</f>
        <v>0</v>
      </c>
      <c r="NU113" s="56">
        <v>108</v>
      </c>
      <c r="NV113" s="53" t="str">
        <f t="shared" si="1223"/>
        <v>West Yorkshire Archive Service, Bradford</v>
      </c>
      <c r="NW113" s="59">
        <f t="shared" si="948"/>
        <v>0</v>
      </c>
      <c r="NX113" s="59">
        <f t="shared" si="949"/>
        <v>0</v>
      </c>
      <c r="NY113" s="59">
        <f t="shared" si="950"/>
        <v>0</v>
      </c>
      <c r="NZ113" s="59">
        <f t="shared" si="951"/>
        <v>0</v>
      </c>
      <c r="OA113" s="59">
        <f t="shared" si="952"/>
        <v>0</v>
      </c>
      <c r="OB113" s="58">
        <f t="shared" si="953"/>
        <v>0</v>
      </c>
      <c r="OC113" s="45">
        <f t="shared" si="954"/>
        <v>38</v>
      </c>
      <c r="OD113" s="45">
        <f t="shared" si="1224"/>
        <v>2.6239999999999997</v>
      </c>
      <c r="OE113" s="45">
        <f t="shared" si="955"/>
        <v>1</v>
      </c>
      <c r="OF113" s="45">
        <f t="shared" si="956"/>
        <v>2</v>
      </c>
      <c r="OG113" s="46">
        <f t="shared" si="957"/>
        <v>0</v>
      </c>
      <c r="OH113" s="46" cm="1">
        <f t="array" ref="OH113">ROUND(IFERROR(INDEX(ArchiveResults!$F$5:$IX$116,ComparisonData!A113,ComparisonData!$OH$1),0),5)</f>
        <v>0</v>
      </c>
      <c r="OI113" s="46" cm="1">
        <f t="array" ref="OI113">ROUND(IFERROR(INDEX(ArchiveResults!$F$5:$IX$116,ComparisonData!A113,ComparisonData!$OI$1),0),5)</f>
        <v>0</v>
      </c>
      <c r="OJ113" s="46" cm="1">
        <f t="array" ref="OJ113">ROUND(IFERROR(INDEX(ArchiveResults!$F$5:$IX$116,ComparisonData!A113,ComparisonData!$OJ$1),0),5)</f>
        <v>0</v>
      </c>
      <c r="OK113" s="46" cm="1">
        <f t="array" ref="OK113">ROUND(IFERROR(INDEX(ArchiveResults!$F$5:$IX$116,ComparisonData!A113,ComparisonData!$OK$1),0),5)</f>
        <v>0</v>
      </c>
      <c r="OL113" s="45" cm="1">
        <f t="array" ref="OL113">IFERROR(INDEX(ArchiveResults!$F$5:$IX$116,ComparisonData!A113,ComparisonData!$OL$1),0)</f>
        <v>0</v>
      </c>
      <c r="OM113" s="56">
        <v>108</v>
      </c>
      <c r="ON113" s="53" t="str">
        <f t="shared" si="1225"/>
        <v>West Yorkshire Archive Service, Bradford</v>
      </c>
      <c r="OO113" s="59">
        <f t="shared" si="958"/>
        <v>0</v>
      </c>
      <c r="OP113" s="59">
        <f t="shared" si="959"/>
        <v>0</v>
      </c>
      <c r="OQ113" s="59">
        <f t="shared" si="960"/>
        <v>0</v>
      </c>
      <c r="OR113" s="59">
        <f t="shared" si="961"/>
        <v>0</v>
      </c>
      <c r="OS113" s="59">
        <f t="shared" si="962"/>
        <v>0</v>
      </c>
      <c r="OT113" s="58">
        <f t="shared" si="963"/>
        <v>0</v>
      </c>
      <c r="OU113" s="45">
        <f t="shared" si="964"/>
        <v>38</v>
      </c>
      <c r="OV113" s="45">
        <f t="shared" si="1226"/>
        <v>2.6239999999999997</v>
      </c>
      <c r="OW113" s="45">
        <f t="shared" si="965"/>
        <v>1</v>
      </c>
      <c r="OX113" s="45">
        <f t="shared" si="966"/>
        <v>2</v>
      </c>
      <c r="OY113" s="45">
        <f t="shared" si="967"/>
        <v>0</v>
      </c>
      <c r="OZ113" s="46" cm="1">
        <f t="array" ref="OZ113">ROUND(IFERROR(INDEX(ArchiveResults!$F$5:$IX$116,ComparisonData!A113,ComparisonData!$OZ$1),0),5)</f>
        <v>0</v>
      </c>
      <c r="PA113" s="46" cm="1">
        <f t="array" ref="PA113">ROUND(IFERROR(INDEX(ArchiveResults!$F$5:$IX$116,ComparisonData!A113,ComparisonData!$PA$1),0),5)</f>
        <v>0</v>
      </c>
      <c r="PB113" s="46" cm="1">
        <f t="array" ref="PB113">ROUND(IFERROR(INDEX(ArchiveResults!$F$5:$IX$116,ComparisonData!A113,ComparisonData!$PB$1),0),5)</f>
        <v>0</v>
      </c>
      <c r="PC113" s="46" cm="1">
        <f t="array" ref="PC113">ROUND(IFERROR(INDEX(ArchiveResults!$F$5:$IX$116,ComparisonData!A113,ComparisonData!$PC$1),0),5)</f>
        <v>0</v>
      </c>
      <c r="PD113" s="45" cm="1">
        <f t="array" ref="PD113">IFERROR(INDEX(ArchiveResults!$F$5:$IX$116,ComparisonData!A113,ComparisonData!$PD$1),0)</f>
        <v>0</v>
      </c>
      <c r="PE113" s="56">
        <v>108</v>
      </c>
      <c r="PF113" s="53" t="str">
        <f t="shared" si="1227"/>
        <v>West Yorkshire Archive Service, Bradford</v>
      </c>
      <c r="PG113" s="59">
        <f t="shared" si="968"/>
        <v>0</v>
      </c>
      <c r="PH113" s="59">
        <f t="shared" si="969"/>
        <v>0</v>
      </c>
      <c r="PI113" s="59">
        <f t="shared" si="970"/>
        <v>0</v>
      </c>
      <c r="PJ113" s="59">
        <f t="shared" si="971"/>
        <v>0</v>
      </c>
      <c r="PK113" s="59">
        <f t="shared" si="972"/>
        <v>0</v>
      </c>
      <c r="PL113" s="58">
        <f t="shared" si="973"/>
        <v>0</v>
      </c>
      <c r="PM113" s="45">
        <f t="shared" si="974"/>
        <v>38</v>
      </c>
      <c r="PN113" s="45">
        <f t="shared" si="1228"/>
        <v>2.6239999999999997</v>
      </c>
      <c r="PO113" s="45">
        <f t="shared" si="975"/>
        <v>1</v>
      </c>
      <c r="PP113" s="45">
        <f t="shared" si="976"/>
        <v>2</v>
      </c>
      <c r="PQ113" s="45">
        <f t="shared" si="977"/>
        <v>0</v>
      </c>
      <c r="PR113" s="46" cm="1">
        <f t="array" ref="PR113">ROUND(IFERROR(INDEX(ArchiveResults!$F$5:$IX$116,ComparisonData!A113,ComparisonData!$PR$1),0),5)</f>
        <v>0</v>
      </c>
      <c r="PS113" s="46" cm="1">
        <f t="array" ref="PS113">ROUND(IFERROR(INDEX(ArchiveResults!$F$5:$IX$116,ComparisonData!A113,ComparisonData!$PS$1),0),5)</f>
        <v>0</v>
      </c>
      <c r="PT113" s="46" cm="1">
        <f t="array" ref="PT113">ROUND(IFERROR(INDEX(ArchiveResults!$F$5:$IX$116,ComparisonData!A113,ComparisonData!$PT$1),0),5)</f>
        <v>0</v>
      </c>
      <c r="PU113" s="46" cm="1">
        <f t="array" ref="PU113">ROUND(IFERROR(INDEX(ArchiveResults!$F$5:$IX$116,ComparisonData!A113,ComparisonData!$PU$1),0),5)</f>
        <v>0</v>
      </c>
      <c r="PV113" s="45" cm="1">
        <f t="array" ref="PV113">IFERROR(INDEX(ArchiveResults!$F$5:$IX$116,ComparisonData!A113,ComparisonData!$PV$1),0)</f>
        <v>0</v>
      </c>
      <c r="PW113" s="56">
        <v>108</v>
      </c>
      <c r="PX113" s="53" t="str">
        <f t="shared" si="1229"/>
        <v>West Yorkshire Archive Service, Bradford</v>
      </c>
      <c r="PY113" s="59">
        <f t="shared" si="978"/>
        <v>0</v>
      </c>
      <c r="PZ113" s="59">
        <f t="shared" si="979"/>
        <v>0</v>
      </c>
      <c r="QA113" s="59">
        <f t="shared" si="980"/>
        <v>0</v>
      </c>
      <c r="QB113" s="59">
        <f t="shared" si="981"/>
        <v>0</v>
      </c>
      <c r="QC113" s="59">
        <f t="shared" si="982"/>
        <v>0</v>
      </c>
      <c r="QD113" s="58">
        <f t="shared" si="983"/>
        <v>0</v>
      </c>
      <c r="QE113" s="45">
        <f t="shared" si="984"/>
        <v>38</v>
      </c>
      <c r="QF113" s="45">
        <f t="shared" si="1230"/>
        <v>2.6239999999999997</v>
      </c>
      <c r="QG113" s="45">
        <f t="shared" si="985"/>
        <v>1</v>
      </c>
      <c r="QH113" s="45">
        <f t="shared" si="986"/>
        <v>2</v>
      </c>
      <c r="QI113" s="45">
        <f t="shared" si="987"/>
        <v>0</v>
      </c>
      <c r="QJ113" s="46" cm="1">
        <f t="array" ref="QJ113">ROUND(IFERROR(INDEX(ArchiveResults!$F$5:$IX$116,ComparisonData!A113,ComparisonData!$QJ$1),0),5)</f>
        <v>0</v>
      </c>
      <c r="QK113" s="46" cm="1">
        <f t="array" ref="QK113">ROUND(IFERROR(INDEX(ArchiveResults!$F$5:$IX$116,ComparisonData!A113,ComparisonData!$QK$1),0),5)</f>
        <v>0</v>
      </c>
      <c r="QL113" s="46" cm="1">
        <f t="array" ref="QL113">ROUND(IFERROR(INDEX(ArchiveResults!$F$5:$IX$116,ComparisonData!A113,ComparisonData!$QL$1),0),5)</f>
        <v>0</v>
      </c>
      <c r="QM113" s="46" cm="1">
        <f t="array" ref="QM113">ROUND(IFERROR(INDEX(ArchiveResults!$F$5:$IX$116,ComparisonData!A113,ComparisonData!$QM$1),0),5)</f>
        <v>0</v>
      </c>
      <c r="QN113" s="45" cm="1">
        <f t="array" ref="QN113">IFERROR(INDEX(ArchiveResults!$F$5:$IX$116,ComparisonData!A113,ComparisonData!$QN$1),0)</f>
        <v>0</v>
      </c>
      <c r="QO113" s="56">
        <v>108</v>
      </c>
      <c r="QP113" s="53" t="str">
        <f t="shared" si="1231"/>
        <v>West Yorkshire Archive Service, Bradford</v>
      </c>
      <c r="QQ113" s="59">
        <f t="shared" si="988"/>
        <v>0</v>
      </c>
      <c r="QR113" s="59">
        <f t="shared" si="989"/>
        <v>0</v>
      </c>
      <c r="QS113" s="59">
        <f t="shared" si="990"/>
        <v>0</v>
      </c>
      <c r="QT113" s="59">
        <f t="shared" si="991"/>
        <v>0</v>
      </c>
      <c r="QU113" s="59">
        <f t="shared" si="992"/>
        <v>0</v>
      </c>
      <c r="QV113" s="58">
        <f t="shared" si="993"/>
        <v>0</v>
      </c>
      <c r="QW113" s="45">
        <f t="shared" si="994"/>
        <v>38</v>
      </c>
      <c r="QX113" s="45">
        <f t="shared" si="1232"/>
        <v>2.6239999999999997</v>
      </c>
      <c r="QY113" s="45">
        <f t="shared" si="995"/>
        <v>1</v>
      </c>
      <c r="QZ113" s="45">
        <f t="shared" si="996"/>
        <v>2</v>
      </c>
      <c r="RA113" s="45">
        <f t="shared" si="997"/>
        <v>0</v>
      </c>
      <c r="RB113" s="46" cm="1">
        <f t="array" ref="RB113">ROUND(IFERROR(INDEX(ArchiveResults!$F$5:$IX$116,ComparisonData!A113,ComparisonData!$RB$1),0),5)</f>
        <v>0</v>
      </c>
      <c r="RC113" s="46" cm="1">
        <f t="array" ref="RC113">ROUND(IFERROR(INDEX(ArchiveResults!$F$5:$IX$116,ComparisonData!A113,ComparisonData!$RC$1),0),5)</f>
        <v>0</v>
      </c>
      <c r="RD113" s="46" cm="1">
        <f t="array" ref="RD113">ROUND(IFERROR(INDEX(ArchiveResults!$F$5:$IX$116,ComparisonData!A113,ComparisonData!$RD$1),0),5)</f>
        <v>0</v>
      </c>
      <c r="RE113" s="46" cm="1">
        <f t="array" ref="RE113">ROUND(IFERROR(INDEX(ArchiveResults!$F$5:$IX$116,ComparisonData!A113,ComparisonData!$RE$1),0),5)</f>
        <v>0</v>
      </c>
      <c r="RF113" s="45" cm="1">
        <f t="array" ref="RF113">IFERROR(INDEX(ArchiveResults!$F$5:$IX$116,ComparisonData!A113,ComparisonData!$RF$1),0)</f>
        <v>0</v>
      </c>
      <c r="RG113" s="56">
        <v>108</v>
      </c>
      <c r="RH113" s="53" t="str">
        <f t="shared" si="1233"/>
        <v>West Yorkshire Archive Service, Bradford</v>
      </c>
      <c r="RI113" s="59">
        <f t="shared" si="998"/>
        <v>0</v>
      </c>
      <c r="RJ113" s="59">
        <f t="shared" si="999"/>
        <v>0</v>
      </c>
      <c r="RK113" s="59">
        <f t="shared" si="1000"/>
        <v>0</v>
      </c>
      <c r="RL113" s="59">
        <f t="shared" si="1001"/>
        <v>0</v>
      </c>
      <c r="RM113" s="59">
        <f t="shared" si="1002"/>
        <v>0</v>
      </c>
      <c r="RN113" s="58">
        <f t="shared" si="1003"/>
        <v>0</v>
      </c>
      <c r="RO113" s="45">
        <f t="shared" si="1004"/>
        <v>38</v>
      </c>
      <c r="RP113" s="45">
        <f t="shared" si="1234"/>
        <v>2.6239999999999997</v>
      </c>
      <c r="RQ113" s="45">
        <f t="shared" si="1005"/>
        <v>1</v>
      </c>
      <c r="RR113" s="45">
        <f t="shared" si="1006"/>
        <v>2</v>
      </c>
      <c r="RS113" s="45">
        <f t="shared" si="1007"/>
        <v>0</v>
      </c>
      <c r="RT113" s="46" cm="1">
        <f t="array" ref="RT113">ROUND(IFERROR(INDEX(ArchiveResults!$F$5:$IX$116,ComparisonData!A113,ComparisonData!$RT$1),0),5)</f>
        <v>0</v>
      </c>
      <c r="RU113" s="46" cm="1">
        <f t="array" ref="RU113">ROUND(IFERROR(INDEX(ArchiveResults!$F$5:$IX$116,ComparisonData!A113,ComparisonData!$RU$1),0),5)</f>
        <v>0</v>
      </c>
      <c r="RV113" s="46" cm="1">
        <f t="array" ref="RV113">ROUND(IFERROR(INDEX(ArchiveResults!$F$5:$IX$116,ComparisonData!A113,ComparisonData!$RV$1),0),5)</f>
        <v>0</v>
      </c>
      <c r="RW113" s="46" cm="1">
        <f t="array" ref="RW113">ROUND(IFERROR(INDEX(ArchiveResults!$F$5:$IX$116,ComparisonData!A113,ComparisonData!$RW$1),0),5)</f>
        <v>0</v>
      </c>
      <c r="RX113" s="45" cm="1">
        <f t="array" ref="RX113">IFERROR(INDEX(ArchiveResults!$F$5:$IX$116,ComparisonData!A113,ComparisonData!$RX$1),0)</f>
        <v>0</v>
      </c>
      <c r="RY113" s="56">
        <v>108</v>
      </c>
      <c r="RZ113" s="53" t="str">
        <f t="shared" si="1235"/>
        <v>West Yorkshire Archive Service, Bradford</v>
      </c>
      <c r="SA113" s="59">
        <f t="shared" si="1008"/>
        <v>0</v>
      </c>
      <c r="SB113" s="59">
        <f t="shared" si="1009"/>
        <v>0</v>
      </c>
      <c r="SC113" s="59">
        <f t="shared" si="1010"/>
        <v>0</v>
      </c>
      <c r="SD113" s="59">
        <f t="shared" si="1011"/>
        <v>0</v>
      </c>
      <c r="SE113" s="59">
        <f t="shared" si="1012"/>
        <v>0</v>
      </c>
      <c r="SF113" s="58">
        <f t="shared" si="1013"/>
        <v>0</v>
      </c>
      <c r="SG113" s="45">
        <f t="shared" si="1014"/>
        <v>38</v>
      </c>
      <c r="SH113" s="45">
        <f t="shared" si="1236"/>
        <v>2.6239999999999997</v>
      </c>
      <c r="SI113" s="45">
        <f t="shared" si="1015"/>
        <v>1</v>
      </c>
      <c r="SJ113" s="45">
        <f t="shared" si="1016"/>
        <v>2</v>
      </c>
      <c r="SK113" s="45">
        <f t="shared" si="1017"/>
        <v>0</v>
      </c>
      <c r="SL113" s="46" cm="1">
        <f t="array" ref="SL113">ROUND(IFERROR(INDEX(ArchiveResults!$F$5:$IX$116,ComparisonData!A113,ComparisonData!$SL$1),0),5)</f>
        <v>0</v>
      </c>
      <c r="SM113" s="46" cm="1">
        <f t="array" ref="SM113">ROUND(IFERROR(INDEX(ArchiveResults!$F$5:$IX$116,ComparisonData!A113,ComparisonData!$SM$1),0),5)</f>
        <v>0</v>
      </c>
      <c r="SN113" s="46" cm="1">
        <f t="array" ref="SN113">ROUND(IFERROR(INDEX(ArchiveResults!$F$5:$IX$116,ComparisonData!A113,ComparisonData!$SN$1),0),5)</f>
        <v>0</v>
      </c>
      <c r="SO113" s="46" cm="1">
        <f t="array" ref="SO113">ROUND(IFERROR(INDEX(ArchiveResults!$F$5:$IX$116,ComparisonData!A113,ComparisonData!$SO$1),0),5)</f>
        <v>0</v>
      </c>
      <c r="SP113" s="45" cm="1">
        <f t="array" ref="SP113">IFERROR(INDEX(ArchiveResults!$F$5:$IX$116,ComparisonData!A113,ComparisonData!$SP$1),0)</f>
        <v>0</v>
      </c>
      <c r="SQ113" s="56">
        <v>108</v>
      </c>
      <c r="SR113" s="53" t="str">
        <f t="shared" si="1237"/>
        <v>West Yorkshire Archive Service, Bradford</v>
      </c>
      <c r="SS113" s="59">
        <f t="shared" si="1018"/>
        <v>0</v>
      </c>
      <c r="ST113" s="59">
        <f t="shared" si="1019"/>
        <v>0</v>
      </c>
      <c r="SU113" s="59">
        <f t="shared" si="1020"/>
        <v>0</v>
      </c>
      <c r="SV113" s="59">
        <f t="shared" si="1021"/>
        <v>0</v>
      </c>
      <c r="SW113" s="59">
        <f t="shared" si="1022"/>
        <v>0</v>
      </c>
      <c r="SX113" s="58">
        <f t="shared" si="1023"/>
        <v>0</v>
      </c>
      <c r="SY113" s="45">
        <f t="shared" si="1024"/>
        <v>38</v>
      </c>
      <c r="SZ113" s="45">
        <f t="shared" si="1238"/>
        <v>2.6239999999999997</v>
      </c>
      <c r="TA113" s="45">
        <f t="shared" si="1025"/>
        <v>1</v>
      </c>
      <c r="TB113" s="45">
        <f t="shared" si="1026"/>
        <v>2</v>
      </c>
      <c r="TC113" s="45">
        <f t="shared" si="1027"/>
        <v>0</v>
      </c>
      <c r="TD113" s="46" cm="1">
        <f t="array" ref="TD113">ROUND(IFERROR(INDEX(ArchiveResults!$F$5:$IX$116,ComparisonData!A113,ComparisonData!$TD$1),0),5)</f>
        <v>0</v>
      </c>
      <c r="TE113" s="46" cm="1">
        <f t="array" ref="TE113">ROUND(IFERROR(INDEX(ArchiveResults!$F$5:$IX$116,ComparisonData!A113,ComparisonData!$TE$1),0),5)</f>
        <v>0</v>
      </c>
      <c r="TF113" s="46" cm="1">
        <f t="array" ref="TF113">ROUND(IFERROR(INDEX(ArchiveResults!$F$5:$IX$116,ComparisonData!A113,ComparisonData!$TF$1),0),5)</f>
        <v>0</v>
      </c>
      <c r="TG113" s="46" cm="1">
        <f t="array" ref="TG113">ROUND(IFERROR(INDEX(ArchiveResults!$F$5:$IX$116,ComparisonData!A113,ComparisonData!$TG$1),0),5)</f>
        <v>0</v>
      </c>
      <c r="TH113" s="45" cm="1">
        <f t="array" ref="TH113">IFERROR(INDEX(ArchiveResults!$F$5:$IX$116,ComparisonData!A113,ComparisonData!$TH$1),0)</f>
        <v>0</v>
      </c>
      <c r="TI113" s="56">
        <v>108</v>
      </c>
      <c r="TJ113" s="53" t="str">
        <f t="shared" si="1239"/>
        <v>West Yorkshire Archive Service, Bradford</v>
      </c>
      <c r="TK113" s="59">
        <f t="shared" si="1028"/>
        <v>0</v>
      </c>
      <c r="TL113" s="59">
        <f t="shared" si="1029"/>
        <v>0</v>
      </c>
      <c r="TM113" s="59">
        <f t="shared" si="1030"/>
        <v>0</v>
      </c>
      <c r="TN113" s="59">
        <f t="shared" si="1031"/>
        <v>0</v>
      </c>
      <c r="TO113" s="59">
        <f t="shared" si="1032"/>
        <v>0</v>
      </c>
      <c r="TP113" s="58">
        <f t="shared" si="1033"/>
        <v>0</v>
      </c>
      <c r="TQ113" s="45">
        <f t="shared" si="1034"/>
        <v>38</v>
      </c>
      <c r="TR113" s="45">
        <f t="shared" si="1240"/>
        <v>2.6239999999999997</v>
      </c>
      <c r="TS113" s="45">
        <f t="shared" si="1035"/>
        <v>1</v>
      </c>
      <c r="TT113" s="45">
        <f t="shared" si="1036"/>
        <v>2</v>
      </c>
      <c r="TU113" s="45">
        <f t="shared" si="1037"/>
        <v>0</v>
      </c>
      <c r="TV113" s="46" cm="1">
        <f t="array" ref="TV113">ROUND(IFERROR(INDEX(ArchiveResults!$F$5:$IX$116,ComparisonData!A113,ComparisonData!$TV$1),0),5)</f>
        <v>0</v>
      </c>
      <c r="TW113" s="46" cm="1">
        <f t="array" ref="TW113">ROUND(IFERROR(INDEX(ArchiveResults!$F$5:$IX$116,ComparisonData!A113,ComparisonData!$TW$1),0),5)</f>
        <v>0</v>
      </c>
      <c r="TX113" s="46" cm="1">
        <f t="array" ref="TX113">ROUND(IFERROR(INDEX(ArchiveResults!$F$5:$IX$116,ComparisonData!A113,ComparisonData!$TX$1),0),5)</f>
        <v>0</v>
      </c>
      <c r="TY113" s="46" cm="1">
        <f t="array" ref="TY113">ROUND(IFERROR(INDEX(ArchiveResults!$F$5:$IX$116,ComparisonData!A113,ComparisonData!$TY$1),0),5)</f>
        <v>0</v>
      </c>
      <c r="TZ113" s="45" cm="1">
        <f t="array" ref="TZ113">IFERROR(INDEX(ArchiveResults!$F$5:$IX$116,ComparisonData!A113,ComparisonData!$TZ$1),0)</f>
        <v>0</v>
      </c>
      <c r="UA113" s="56">
        <v>108</v>
      </c>
      <c r="UB113" s="53" t="str">
        <f t="shared" si="1241"/>
        <v>West Yorkshire Archive Service, Bradford</v>
      </c>
      <c r="UC113" s="60">
        <f t="shared" si="1038"/>
        <v>0</v>
      </c>
      <c r="UD113" s="60">
        <f t="shared" si="1039"/>
        <v>0</v>
      </c>
      <c r="UE113" s="60">
        <f t="shared" si="1040"/>
        <v>0</v>
      </c>
      <c r="UF113" s="60">
        <f t="shared" si="1041"/>
        <v>0</v>
      </c>
      <c r="UG113" s="60">
        <f t="shared" si="1042"/>
        <v>0</v>
      </c>
      <c r="UH113" s="58">
        <f t="shared" si="1043"/>
        <v>0</v>
      </c>
      <c r="UI113" s="46">
        <f t="shared" si="1044"/>
        <v>38</v>
      </c>
      <c r="UJ113" s="46">
        <f t="shared" si="1242"/>
        <v>2.6239999999999997</v>
      </c>
      <c r="UK113" s="46">
        <f t="shared" si="1045"/>
        <v>1</v>
      </c>
      <c r="UL113" s="46">
        <f t="shared" si="1046"/>
        <v>2</v>
      </c>
      <c r="UM113" s="46" cm="1">
        <f t="array" ref="UM113">ROUND(IFERROR(INDEX(ArchiveResults!$F$5:$IX$116,ComparisonData!A113,ComparisonData!$UM$1),0),5)</f>
        <v>0</v>
      </c>
      <c r="UN113" s="56">
        <v>108</v>
      </c>
      <c r="UO113" s="53" t="str">
        <f t="shared" si="1243"/>
        <v>West Yorkshire Archive Service, Bradford</v>
      </c>
      <c r="UP113" s="46">
        <f t="shared" si="1047"/>
        <v>0</v>
      </c>
      <c r="UQ113" s="76">
        <f t="shared" si="1048"/>
        <v>0</v>
      </c>
      <c r="UR113" s="46">
        <f t="shared" si="1049"/>
        <v>38</v>
      </c>
      <c r="US113" s="46">
        <f t="shared" si="1244"/>
        <v>2.6239999999999997</v>
      </c>
      <c r="UT113" s="46">
        <f t="shared" si="1050"/>
        <v>1</v>
      </c>
      <c r="UU113" s="46">
        <f t="shared" si="1051"/>
        <v>2</v>
      </c>
      <c r="UV113" s="46">
        <f t="shared" si="1052"/>
        <v>0</v>
      </c>
      <c r="UW113" s="46" cm="1">
        <f t="array" ref="UW113">ROUND(IFERROR(INDEX(ArchiveResults!$F$5:$IX$116,ComparisonData!A113,ComparisonData!$UW$1),0),5)</f>
        <v>0</v>
      </c>
      <c r="UX113" s="46" cm="1">
        <f t="array" ref="UX113">ROUND(IFERROR(INDEX(ArchiveResults!$F$5:$IX$116,ComparisonData!A113,ComparisonData!$UX$1),0),5)</f>
        <v>0</v>
      </c>
      <c r="UY113" s="46" cm="1">
        <f t="array" ref="UY113">ROUND(IFERROR(INDEX(ArchiveResults!$F$5:$IX$116,ComparisonData!A113,ComparisonData!$UY$1),0),5)</f>
        <v>0</v>
      </c>
      <c r="UZ113" s="46" cm="1">
        <f t="array" ref="UZ113">ROUND(IFERROR(INDEX(ArchiveResults!$F$5:$IX$116,ComparisonData!A113,ComparisonData!$UZ$1),0),5)</f>
        <v>0</v>
      </c>
      <c r="VA113" s="46" cm="1">
        <f t="array" ref="VA113">ROUND(IFERROR(INDEX(ArchiveResults!$F$5:$IX$116,ComparisonData!A113,ComparisonData!$VA$1),0),5)</f>
        <v>0</v>
      </c>
      <c r="VB113" s="56">
        <v>108</v>
      </c>
      <c r="VC113" s="53" t="str">
        <f t="shared" si="1245"/>
        <v>West Yorkshire Archive Service, Bradford</v>
      </c>
      <c r="VD113" s="60">
        <f t="shared" si="1053"/>
        <v>0</v>
      </c>
      <c r="VE113" s="60">
        <f t="shared" si="1054"/>
        <v>0</v>
      </c>
      <c r="VF113" s="60">
        <f t="shared" si="1055"/>
        <v>0</v>
      </c>
      <c r="VG113" s="60">
        <f t="shared" si="1056"/>
        <v>0</v>
      </c>
      <c r="VH113" s="60">
        <f t="shared" si="1057"/>
        <v>0</v>
      </c>
      <c r="VI113" s="76">
        <f t="shared" si="1058"/>
        <v>0</v>
      </c>
      <c r="VJ113" s="46">
        <f t="shared" si="1059"/>
        <v>38</v>
      </c>
      <c r="VK113" s="46">
        <f t="shared" si="1246"/>
        <v>2.6239999999999997</v>
      </c>
      <c r="VL113" s="46">
        <f t="shared" si="1060"/>
        <v>1</v>
      </c>
      <c r="VM113" s="46">
        <f t="shared" si="1061"/>
        <v>2</v>
      </c>
      <c r="VN113" s="46" cm="1">
        <f t="array" ref="VN113">ROUND(IFERROR(INDEX(ArchiveResults!$F$5:$IX$116,ComparisonData!A113,ComparisonData!$VN$1),0),5)</f>
        <v>0</v>
      </c>
      <c r="VO113" s="46" cm="1">
        <f t="array" ref="VO113">ROUND(IFERROR(INDEX(ArchiveResults!$F$5:$IX$116,ComparisonData!A113,ComparisonData!$VO$1),0),5)</f>
        <v>0</v>
      </c>
      <c r="VP113" s="46" cm="1">
        <f t="array" ref="VP113">ROUND(IFERROR(INDEX(ArchiveResults!$F$5:$IX$116,ComparisonData!A113,ComparisonData!$VP$1),0),5)</f>
        <v>0</v>
      </c>
      <c r="VQ113" s="46" cm="1">
        <f t="array" ref="VQ113">ROUND(IFERROR(INDEX(ArchiveResults!$F$5:$IX$116,ComparisonData!A113,ComparisonData!$VQ$1),0),5)</f>
        <v>0</v>
      </c>
      <c r="VR113" s="56">
        <v>108</v>
      </c>
      <c r="VS113" s="53" t="str">
        <f t="shared" si="1247"/>
        <v>West Yorkshire Archive Service, Bradford</v>
      </c>
      <c r="VT113" s="60">
        <f t="shared" si="1062"/>
        <v>0</v>
      </c>
      <c r="VU113" s="60">
        <f t="shared" si="1063"/>
        <v>0</v>
      </c>
      <c r="VV113" s="60">
        <f t="shared" si="1064"/>
        <v>0</v>
      </c>
      <c r="VW113" s="60">
        <f t="shared" si="1065"/>
        <v>0</v>
      </c>
      <c r="VX113" s="76">
        <f t="shared" si="1066"/>
        <v>0</v>
      </c>
      <c r="VY113" s="46">
        <f t="shared" si="1067"/>
        <v>38</v>
      </c>
      <c r="VZ113" s="46">
        <f t="shared" si="1248"/>
        <v>2.6239999999999997</v>
      </c>
      <c r="WA113" s="46">
        <f t="shared" si="1068"/>
        <v>1</v>
      </c>
      <c r="WB113" s="46">
        <f t="shared" si="1069"/>
        <v>2</v>
      </c>
      <c r="WC113" s="46" cm="1">
        <f t="array" ref="WC113">ROUND(IFERROR(INDEX(ArchiveResults!$F$5:$IX$116,ComparisonData!A113,ComparisonData!$WC$1),0),5)</f>
        <v>0</v>
      </c>
      <c r="WD113" s="56">
        <v>108</v>
      </c>
      <c r="WE113" s="53" t="str">
        <f t="shared" si="1249"/>
        <v>West Yorkshire Archive Service, Bradford</v>
      </c>
      <c r="WF113" s="46">
        <f t="shared" si="1070"/>
        <v>0</v>
      </c>
      <c r="WG113" s="76">
        <f t="shared" si="1071"/>
        <v>0</v>
      </c>
      <c r="WH113" s="46">
        <f t="shared" si="1072"/>
        <v>38</v>
      </c>
      <c r="WI113" s="46">
        <f t="shared" si="1250"/>
        <v>2.6239999999999997</v>
      </c>
      <c r="WJ113" s="46">
        <f t="shared" si="1073"/>
        <v>1</v>
      </c>
      <c r="WK113" s="46">
        <f t="shared" si="1074"/>
        <v>2</v>
      </c>
      <c r="WL113" s="46" cm="1">
        <f t="array" ref="WL113">ROUND(IFERROR(INDEX(ArchiveResults!$F$5:$IX$116,ComparisonData!A113,ComparisonData!$WL$1),0),5)</f>
        <v>0</v>
      </c>
      <c r="WM113" s="46" cm="1">
        <f t="array" ref="WM113">IFERROR(INDEX(ArchiveResults!$F$5:$IX$116,ComparisonData!A113,ComparisonData!$WM$1),0)</f>
        <v>0</v>
      </c>
      <c r="WN113" s="56">
        <v>108</v>
      </c>
      <c r="WO113" s="53" t="str">
        <f t="shared" si="1251"/>
        <v>West Yorkshire Archive Service, Bradford</v>
      </c>
      <c r="WP113" s="60">
        <f t="shared" si="1075"/>
        <v>0</v>
      </c>
      <c r="WQ113" s="60">
        <f t="shared" si="1076"/>
        <v>0</v>
      </c>
      <c r="WR113" s="76">
        <f t="shared" si="1077"/>
        <v>0</v>
      </c>
      <c r="WS113" s="46">
        <f t="shared" si="1078"/>
        <v>38</v>
      </c>
      <c r="WT113" s="46">
        <f t="shared" si="1252"/>
        <v>2.6239999999999997</v>
      </c>
      <c r="WU113" s="46">
        <f t="shared" si="1079"/>
        <v>1</v>
      </c>
      <c r="WV113" s="46">
        <f t="shared" si="1080"/>
        <v>2</v>
      </c>
      <c r="WW113" s="46" cm="1">
        <f t="array" ref="WW113">ROUND(VALUE(IFERROR(INDEX(ArchiveResults!$F$5:$IX$116,ComparisonData!A113,ComparisonData!$WW$1),0)),5)</f>
        <v>0</v>
      </c>
      <c r="WX113" s="46" cm="1">
        <f t="array" ref="WX113">ROUND(IFERROR(INDEX(ArchiveResults!$F$5:$IX$116,ComparisonData!A113,ComparisonData!$WX$1),0),5)</f>
        <v>0</v>
      </c>
      <c r="WY113" s="56">
        <v>108</v>
      </c>
      <c r="WZ113" s="53" t="str">
        <f t="shared" si="1253"/>
        <v>West Yorkshire Archive Service, Bradford</v>
      </c>
      <c r="XA113" s="60">
        <f t="shared" si="1254"/>
        <v>0</v>
      </c>
      <c r="XB113" s="60">
        <f t="shared" si="1255"/>
        <v>0</v>
      </c>
      <c r="XC113" s="76">
        <f t="shared" si="1081"/>
        <v>0</v>
      </c>
      <c r="XD113" s="46">
        <f t="shared" si="1082"/>
        <v>38</v>
      </c>
      <c r="XE113" s="46">
        <f t="shared" si="1256"/>
        <v>2.6239999999999997</v>
      </c>
      <c r="XF113" s="46">
        <f t="shared" si="1083"/>
        <v>1</v>
      </c>
      <c r="XG113" s="46">
        <f t="shared" si="1084"/>
        <v>2</v>
      </c>
      <c r="XH113" s="46" cm="1">
        <f t="array" ref="XH113">ROUND(VALUE(IFERROR(INDEX(ArchiveResults!$F$5:$IX$116,ComparisonData!A113,ComparisonData!$XH$1),0)),5)</f>
        <v>0</v>
      </c>
      <c r="XI113" s="46" cm="1">
        <f t="array" ref="XI113">ROUND(VALUE(IFERROR(INDEX(ArchiveResults!$F$5:$IX$116,ComparisonData!A113,ComparisonData!$XI$1),0)),5)</f>
        <v>0</v>
      </c>
      <c r="XJ113" s="56">
        <v>108</v>
      </c>
      <c r="XK113" s="53" t="str">
        <f t="shared" si="1257"/>
        <v>West Yorkshire Archive Service, Bradford</v>
      </c>
      <c r="XL113" s="60">
        <f t="shared" si="1085"/>
        <v>0</v>
      </c>
      <c r="XM113" s="60">
        <f t="shared" si="1086"/>
        <v>0</v>
      </c>
      <c r="XN113" s="76">
        <f t="shared" si="1087"/>
        <v>0</v>
      </c>
      <c r="XO113" s="46">
        <f t="shared" si="1088"/>
        <v>38</v>
      </c>
      <c r="XP113" s="46">
        <f t="shared" si="1258"/>
        <v>2.6239999999999997</v>
      </c>
      <c r="XQ113" s="46">
        <f t="shared" si="1089"/>
        <v>1</v>
      </c>
      <c r="XR113" s="46">
        <f t="shared" si="1090"/>
        <v>2</v>
      </c>
      <c r="XS113" s="46" cm="1">
        <f t="array" ref="XS113">ROUND(VALUE(IFERROR(INDEX(ArchiveResults!$F$5:$IX$116,ComparisonData!A113,ComparisonData!$XS$1),0)),5)</f>
        <v>0</v>
      </c>
      <c r="XT113" s="46" cm="1">
        <f t="array" ref="XT113">ROUND(VALUE(IFERROR(INDEX(ArchiveResults!$F$5:$IX$116,ComparisonData!A113,ComparisonData!$XT$1),0)),5)</f>
        <v>0</v>
      </c>
      <c r="XU113" s="56">
        <v>108</v>
      </c>
      <c r="XV113" s="53" t="str">
        <f t="shared" si="1259"/>
        <v>West Yorkshire Archive Service, Bradford</v>
      </c>
      <c r="XW113" s="60">
        <f t="shared" si="1091"/>
        <v>0</v>
      </c>
      <c r="XX113" s="60">
        <f t="shared" si="1092"/>
        <v>0</v>
      </c>
      <c r="XY113" s="76">
        <f t="shared" si="1093"/>
        <v>0</v>
      </c>
      <c r="XZ113" s="46">
        <f t="shared" si="1094"/>
        <v>38</v>
      </c>
      <c r="YA113" s="46">
        <f t="shared" si="1260"/>
        <v>2.6239999999999997</v>
      </c>
      <c r="YB113" s="46">
        <f t="shared" si="1095"/>
        <v>1</v>
      </c>
      <c r="YC113" s="46">
        <f t="shared" si="1096"/>
        <v>2</v>
      </c>
      <c r="YD113" s="46" cm="1">
        <f t="array" ref="YD113">ROUND(VALUE(IFERROR(INDEX(ArchiveResults!$F$5:$IX$116,ComparisonData!A113,ComparisonData!$YD$1),0)),5)</f>
        <v>0</v>
      </c>
      <c r="YE113" s="46" cm="1">
        <f t="array" ref="YE113">ROUND(VALUE(IFERROR(INDEX(ArchiveResults!$F$5:$IX$116,ComparisonData!A113,ComparisonData!$YE$1),0)),5)</f>
        <v>0</v>
      </c>
      <c r="YF113" s="56">
        <v>108</v>
      </c>
      <c r="YG113" s="53" t="str">
        <f t="shared" si="1261"/>
        <v>West Yorkshire Archive Service, Bradford</v>
      </c>
      <c r="YH113" s="60">
        <f t="shared" si="1097"/>
        <v>0</v>
      </c>
      <c r="YI113" s="60">
        <f t="shared" si="1098"/>
        <v>0</v>
      </c>
      <c r="YJ113" s="76">
        <f t="shared" si="1099"/>
        <v>0</v>
      </c>
      <c r="YK113" s="46">
        <f t="shared" si="1100"/>
        <v>38</v>
      </c>
      <c r="YL113" s="46">
        <f t="shared" si="1262"/>
        <v>2.6239999999999997</v>
      </c>
      <c r="YM113" s="46">
        <f t="shared" si="1101"/>
        <v>1</v>
      </c>
      <c r="YN113" s="46">
        <f t="shared" si="1102"/>
        <v>2</v>
      </c>
      <c r="YO113" s="46" cm="1">
        <f t="array" ref="YO113">ROUND(VALUE(IFERROR(INDEX(ArchiveResults!$F$5:$IX$116,ComparisonData!A113,ComparisonData!$YO$1),0)),5)</f>
        <v>0</v>
      </c>
      <c r="YP113" s="46" cm="1">
        <f t="array" ref="YP113">ROUND(VALUE(IFERROR(INDEX(ArchiveResults!$F$5:$IX$116,ComparisonData!A113,ComparisonData!$YP$1),0)),5)</f>
        <v>0</v>
      </c>
      <c r="YQ113" s="56">
        <v>108</v>
      </c>
      <c r="YR113" s="53" t="str">
        <f t="shared" si="1263"/>
        <v>West Yorkshire Archive Service, Bradford</v>
      </c>
      <c r="YS113" s="60">
        <f t="shared" si="1103"/>
        <v>0</v>
      </c>
      <c r="YT113" s="60">
        <f t="shared" si="1104"/>
        <v>0</v>
      </c>
      <c r="YU113" s="76">
        <f t="shared" si="1105"/>
        <v>0</v>
      </c>
      <c r="YV113" s="46">
        <f t="shared" si="1106"/>
        <v>38</v>
      </c>
      <c r="YW113" s="46">
        <f t="shared" si="1264"/>
        <v>2.6239999999999997</v>
      </c>
      <c r="YX113" s="46">
        <f t="shared" si="1107"/>
        <v>1</v>
      </c>
      <c r="YY113" s="46">
        <f t="shared" si="1108"/>
        <v>2</v>
      </c>
      <c r="YZ113" s="46">
        <f t="shared" si="1109"/>
        <v>0</v>
      </c>
      <c r="ZA113" s="46" cm="1">
        <f t="array" ref="ZA113">ROUNDDOWN(VALUE(IFERROR(INDEX(ArchiveResults!$F$5:$IX$116,ComparisonData!A113,ComparisonData!$ZA$1),0)),5)</f>
        <v>0</v>
      </c>
      <c r="ZB113" s="46" cm="1">
        <f t="array" ref="ZB113">ROUNDDOWN(VALUE(IFERROR(INDEX(ArchiveResults!$F$5:$IX$116,ComparisonData!A113,ComparisonData!$ZB$1),0)),5)</f>
        <v>0</v>
      </c>
      <c r="ZC113" s="46" cm="1">
        <f t="array" ref="ZC113">ROUNDDOWN(VALUE(IFERROR(INDEX(ArchiveResults!$F$5:$IX$116,ComparisonData!A113,ComparisonData!$ZC$1),0)),5)</f>
        <v>0</v>
      </c>
      <c r="ZD113" s="46" cm="1">
        <f t="array" ref="ZD113">ROUNDDOWN(VALUE(IFERROR(INDEX(ArchiveResults!$F$5:$IX$116,ComparisonData!A113,ComparisonData!$ZD$1),0)),5)</f>
        <v>0</v>
      </c>
      <c r="ZE113" s="46" cm="1">
        <f t="array" ref="ZE113">ROUNDDOWN(VALUE(IFERROR(INDEX(ArchiveResults!$F$5:$IX$116,ComparisonData!A113,ComparisonData!$ZE$1),0)),5)</f>
        <v>0</v>
      </c>
      <c r="ZF113" s="56">
        <v>108</v>
      </c>
      <c r="ZG113" s="53" t="str">
        <f t="shared" si="1265"/>
        <v>West Yorkshire Archive Service, Bradford</v>
      </c>
      <c r="ZH113" s="60">
        <f t="shared" si="1110"/>
        <v>0</v>
      </c>
      <c r="ZI113" s="60">
        <f t="shared" si="1111"/>
        <v>0</v>
      </c>
      <c r="ZJ113" s="60">
        <f t="shared" si="1112"/>
        <v>0</v>
      </c>
      <c r="ZK113" s="60">
        <f t="shared" si="1113"/>
        <v>0</v>
      </c>
      <c r="ZL113" s="60">
        <f t="shared" si="1114"/>
        <v>0</v>
      </c>
      <c r="ZM113" s="76">
        <f t="shared" si="1115"/>
        <v>0</v>
      </c>
      <c r="ZN113" s="46">
        <f t="shared" si="1116"/>
        <v>38</v>
      </c>
      <c r="ZO113" s="46">
        <f t="shared" si="1266"/>
        <v>2.6239999999999997</v>
      </c>
      <c r="ZP113" s="46">
        <f t="shared" si="1117"/>
        <v>1</v>
      </c>
      <c r="ZQ113" s="46">
        <f t="shared" si="1118"/>
        <v>2</v>
      </c>
      <c r="ZR113" s="46" cm="1">
        <f t="array" ref="ZR113">ROUND(VALUE(IFERROR(INDEX(ArchiveResults!$F$5:$IX$116,ComparisonData!A113,ComparisonData!$ZR$1),0)),5)</f>
        <v>0</v>
      </c>
      <c r="ZS113" s="56">
        <v>108</v>
      </c>
      <c r="ZT113" s="53" t="str">
        <f t="shared" si="1267"/>
        <v>West Yorkshire Archive Service, Bradford</v>
      </c>
      <c r="ZU113" s="46">
        <f t="shared" si="1119"/>
        <v>0</v>
      </c>
      <c r="ZV113" s="76">
        <f t="shared" si="1120"/>
        <v>0</v>
      </c>
      <c r="ZW113" s="81" cm="1">
        <f t="array" ref="ZW113">ROUND((IFERROR(INDEX(ArchiveResults!$F$5:$IX$116,ComparisonData!A113,ComparisonData!$ZW$1),0)),5)</f>
        <v>0</v>
      </c>
      <c r="ZX113" s="81" cm="1">
        <f t="array" ref="ZX113">ROUND((IFERROR(INDEX(ArchiveResults!$F$5:$IX$116,ComparisonData!A113,ComparisonData!$ZX$1),0)),5)</f>
        <v>0</v>
      </c>
      <c r="ZY113" s="81" cm="1">
        <f t="array" ref="ZY113">ROUND((IFERROR(INDEX(ArchiveResults!$F$5:$IX$116,ComparisonData!A113,ComparisonData!$ZY$1),0)),5)</f>
        <v>0</v>
      </c>
      <c r="ZZ113" s="81" cm="1">
        <f t="array" ref="ZZ113">ROUND((IFERROR(INDEX(ArchiveResults!$F$5:$IX$116,ComparisonData!A113,ComparisonData!$ZZ$1),0)),5)</f>
        <v>0</v>
      </c>
      <c r="AAA113" s="81" cm="1">
        <f t="array" ref="AAA113">ROUND((IFERROR(INDEX(ArchiveResults!$F$5:$IX$116,ComparisonData!A113,ComparisonData!$AAA$1),0)),5)</f>
        <v>0</v>
      </c>
      <c r="AAB113" s="81" cm="1">
        <f t="array" ref="AAB113">ROUND((IFERROR(INDEX(ArchiveResults!$F$5:$IX$116,ComparisonData!A113,ComparisonData!$AAB$1),0)),5)</f>
        <v>0</v>
      </c>
      <c r="AAC113" s="81" cm="1">
        <f t="array" ref="AAC113">ROUND((IFERROR(INDEX(ArchiveResults!$F$5:$IX$116,ComparisonData!A113,ComparisonData!$AAC$1),0)),5)</f>
        <v>0</v>
      </c>
      <c r="AAD113" s="81" cm="1">
        <f t="array" ref="AAD113">ROUND((IFERROR(INDEX(ArchiveResults!$F$5:$IX$116,ComparisonData!A113,ComparisonData!$AAD$1),0)),5)</f>
        <v>0</v>
      </c>
      <c r="AAE113" s="81" cm="1">
        <f t="array" ref="AAE113">ROUND((IFERROR(INDEX(ArchiveResults!$F$5:$IX$116,ComparisonData!A113,ComparisonData!$AAE$1),0)),5)</f>
        <v>0</v>
      </c>
      <c r="AAF113" s="81" cm="1">
        <f t="array" ref="AAF113">ROUND((IFERROR(INDEX(ArchiveResults!$F$5:$IX$116,ComparisonData!A113,ComparisonData!$AAF$1),0)),5)</f>
        <v>0</v>
      </c>
      <c r="AAG113" s="46">
        <f t="shared" si="1121"/>
        <v>38</v>
      </c>
      <c r="AAH113" s="46">
        <f t="shared" si="1268"/>
        <v>2.6239999999999997</v>
      </c>
      <c r="AAI113" s="46">
        <f t="shared" si="1122"/>
        <v>1</v>
      </c>
      <c r="AAJ113" s="46">
        <f t="shared" si="1123"/>
        <v>2</v>
      </c>
      <c r="AAK113" s="46">
        <f t="shared" si="1124"/>
        <v>0</v>
      </c>
      <c r="AAL113" s="46">
        <f t="shared" si="1125"/>
        <v>0</v>
      </c>
      <c r="AAM113" s="46">
        <f t="shared" si="1126"/>
        <v>0</v>
      </c>
      <c r="AAN113" s="46">
        <f t="shared" si="1127"/>
        <v>0</v>
      </c>
      <c r="AAO113" s="46">
        <f t="shared" si="1128"/>
        <v>0</v>
      </c>
      <c r="AAP113" s="46">
        <f t="shared" si="1129"/>
        <v>0</v>
      </c>
      <c r="AAQ113" s="56">
        <v>108</v>
      </c>
      <c r="AAR113" s="53" t="str">
        <f t="shared" si="1269"/>
        <v>West Yorkshire Archive Service, Bradford</v>
      </c>
      <c r="AAS113" s="60">
        <f t="shared" si="1130"/>
        <v>0</v>
      </c>
      <c r="AAT113" s="60">
        <f t="shared" si="1131"/>
        <v>0</v>
      </c>
      <c r="AAU113" s="60">
        <f t="shared" si="1132"/>
        <v>0</v>
      </c>
      <c r="AAV113" s="60">
        <f t="shared" si="1133"/>
        <v>0</v>
      </c>
      <c r="AAW113" s="60">
        <f t="shared" si="1134"/>
        <v>0</v>
      </c>
      <c r="AAX113" s="76">
        <f t="shared" si="1135"/>
        <v>0</v>
      </c>
      <c r="AAY113" s="46">
        <f t="shared" si="1136"/>
        <v>38</v>
      </c>
      <c r="AAZ113" s="46">
        <f t="shared" si="1270"/>
        <v>2.6239999999999997</v>
      </c>
      <c r="ABA113" s="46">
        <f t="shared" si="1137"/>
        <v>1</v>
      </c>
      <c r="ABB113" s="46">
        <f t="shared" si="1138"/>
        <v>2</v>
      </c>
      <c r="ABC113" s="46">
        <f t="shared" si="742"/>
        <v>0</v>
      </c>
      <c r="ABD113" s="46" cm="1">
        <f t="array" ref="ABD113">ROUND(VALUE(IFERROR(INDEX(ArchiveResults!$F$5:$IX$116,ComparisonData!A113,ComparisonData!$ABD$1),0)),5)</f>
        <v>0</v>
      </c>
      <c r="ABE113" s="46" cm="1">
        <f t="array" ref="ABE113">ROUND(VALUE(IFERROR(INDEX(ArchiveResults!$F$5:$IX$116,ComparisonData!A113,ComparisonData!$ABE$1),0)),5)</f>
        <v>0</v>
      </c>
      <c r="ABF113" s="46" cm="1">
        <f t="array" ref="ABF113">ROUND(VALUE(IFERROR(INDEX(ArchiveResults!$F$5:$IX$116,ComparisonData!A113,ComparisonData!$ABF$1),0)),5)</f>
        <v>0</v>
      </c>
      <c r="ABG113" s="46" cm="1">
        <f t="array" ref="ABG113">ROUND(VALUE(IFERROR(INDEX(ArchiveResults!$F$5:$IX$116,ComparisonData!A113,ComparisonData!$ABG$1),0)),5)</f>
        <v>0</v>
      </c>
      <c r="ABH113" s="46" cm="1">
        <f t="array" ref="ABH113">ROUND(VALUE(IFERROR(INDEX(ArchiveResults!$F$5:$IX$116,ComparisonData!A113,ComparisonData!$ABH$1),0)),5)</f>
        <v>0</v>
      </c>
      <c r="ABI113" s="56">
        <v>108</v>
      </c>
      <c r="ABJ113" s="53" t="str">
        <f t="shared" si="1271"/>
        <v>West Yorkshire Archive Service, Bradford</v>
      </c>
      <c r="ABK113" s="60">
        <f t="shared" si="1139"/>
        <v>0</v>
      </c>
      <c r="ABL113" s="60">
        <f t="shared" si="1140"/>
        <v>0</v>
      </c>
      <c r="ABM113" s="60">
        <f t="shared" si="1141"/>
        <v>0</v>
      </c>
      <c r="ABN113" s="60">
        <f t="shared" si="1142"/>
        <v>0</v>
      </c>
      <c r="ABO113" s="60">
        <f t="shared" si="1143"/>
        <v>0</v>
      </c>
      <c r="ABP113" s="76">
        <f t="shared" si="1144"/>
        <v>0</v>
      </c>
      <c r="ABQ113" s="46">
        <f t="shared" si="1145"/>
        <v>38</v>
      </c>
      <c r="ABR113" s="46">
        <f t="shared" si="1272"/>
        <v>2.6239999999999997</v>
      </c>
      <c r="ABS113" s="46">
        <f t="shared" si="1146"/>
        <v>1</v>
      </c>
      <c r="ABT113" s="46">
        <f t="shared" si="1147"/>
        <v>2</v>
      </c>
      <c r="ABU113" s="46" cm="1">
        <f t="array" ref="ABU113">ROUND(VALUE(IFERROR(INDEX(ArchiveResults!$F$5:$IX$116,ComparisonData!A113,ComparisonData!$ABU$1),0)),5)</f>
        <v>0</v>
      </c>
      <c r="ABV113" s="46" cm="1">
        <f t="array" ref="ABV113">ROUND(VALUE(IFERROR(INDEX(ArchiveResults!$F$5:$IX$116,ComparisonData!A113,ComparisonData!$ABV$1),0)),5)</f>
        <v>0</v>
      </c>
      <c r="ABW113" s="46" cm="1">
        <f t="array" ref="ABW113">ROUND(VALUE(IFERROR(INDEX(ArchiveResults!$F$5:$IX$116,ComparisonData!A113,ComparisonData!$ABW$1),0)),5)</f>
        <v>0</v>
      </c>
      <c r="ABX113" s="46" cm="1">
        <f t="array" ref="ABX113">ROUND(VALUE(IFERROR(INDEX(ArchiveResults!$F$5:$IX$116,ComparisonData!A113,ComparisonData!$ABX$1),0)),5)</f>
        <v>0</v>
      </c>
      <c r="ABY113" s="46" cm="1">
        <f t="array" ref="ABY113">ROUND(VALUE(IFERROR(INDEX(ArchiveResults!$F$5:$IX$116,ComparisonData!A113,ComparisonData!$ABY$1),0)),5)</f>
        <v>0</v>
      </c>
      <c r="ABZ113" s="56">
        <v>108</v>
      </c>
      <c r="ACA113" s="53" t="str">
        <f t="shared" si="1273"/>
        <v>West Yorkshire Archive Service, Bradford</v>
      </c>
      <c r="ACB113" s="60">
        <f t="shared" si="1148"/>
        <v>0</v>
      </c>
      <c r="ACC113" s="60">
        <f t="shared" si="1149"/>
        <v>0</v>
      </c>
      <c r="ACD113" s="60">
        <f t="shared" si="1150"/>
        <v>0</v>
      </c>
      <c r="ACE113" s="60">
        <f t="shared" si="1151"/>
        <v>0</v>
      </c>
      <c r="ACF113" s="60">
        <f t="shared" si="1152"/>
        <v>0</v>
      </c>
      <c r="ACG113" s="76">
        <f t="shared" si="1153"/>
        <v>0</v>
      </c>
      <c r="ACH113" s="46">
        <f t="shared" si="1154"/>
        <v>38</v>
      </c>
      <c r="ACI113" s="46">
        <f t="shared" si="1274"/>
        <v>2.6239999999999997</v>
      </c>
      <c r="ACJ113" s="46">
        <f t="shared" si="1155"/>
        <v>1</v>
      </c>
      <c r="ACK113" s="46">
        <f t="shared" si="1156"/>
        <v>2</v>
      </c>
      <c r="ACL113" s="46">
        <f t="shared" si="1157"/>
        <v>0</v>
      </c>
      <c r="ACM113" s="46" cm="1">
        <f t="array" ref="ACM113">ROUND(IFERROR(INDEX(ArchiveResults!$F$5:$IX$116,ComparisonData!A113,ComparisonData!$ACM$1),0),5)</f>
        <v>0</v>
      </c>
      <c r="ACN113" s="46" cm="1">
        <f t="array" ref="ACN113">ROUND(IFERROR(INDEX(ArchiveResults!$F$5:$IX$116,ComparisonData!A113,ComparisonData!$ACN$1),0),5)</f>
        <v>0</v>
      </c>
      <c r="ACO113" s="56">
        <v>108</v>
      </c>
      <c r="ACP113" s="53" t="str">
        <f t="shared" si="1275"/>
        <v>West Yorkshire Archive Service, Bradford</v>
      </c>
      <c r="ACQ113" s="60">
        <f t="shared" si="1158"/>
        <v>0</v>
      </c>
      <c r="ACR113" s="60">
        <f t="shared" si="1159"/>
        <v>0</v>
      </c>
      <c r="ACS113" s="76">
        <f t="shared" si="1160"/>
        <v>0</v>
      </c>
      <c r="ACT113" s="46">
        <f t="shared" si="1161"/>
        <v>38</v>
      </c>
      <c r="ACU113" s="46">
        <f t="shared" si="1276"/>
        <v>2.6239999999999997</v>
      </c>
      <c r="ACV113" s="46">
        <f t="shared" si="1162"/>
        <v>1</v>
      </c>
      <c r="ACW113" s="46">
        <f t="shared" si="1163"/>
        <v>2</v>
      </c>
      <c r="ACX113" s="46">
        <f t="shared" si="1164"/>
        <v>0</v>
      </c>
      <c r="ACY113" s="46" cm="1">
        <f t="array" ref="ACY113">ROUNDDOWN(IFERROR(INDEX(ArchiveResults!$F$5:$IX$116,ComparisonData!A113,ComparisonData!$ACY$1),0),5)</f>
        <v>0</v>
      </c>
      <c r="ACZ113" s="46" cm="1">
        <f t="array" ref="ACZ113">ROUNDDOWN(IFERROR(INDEX(ArchiveResults!$F$5:$IX$116,ComparisonData!A113,ComparisonData!$ACZ$1),0),5)</f>
        <v>0</v>
      </c>
      <c r="ADA113" s="46" cm="1">
        <f t="array" ref="ADA113">ROUNDDOWN(IFERROR(INDEX(ArchiveResults!$F$5:$IX$116,ComparisonData!A113,ComparisonData!$ADA$1),0),5)</f>
        <v>0</v>
      </c>
      <c r="ADB113" s="56">
        <v>108</v>
      </c>
      <c r="ADC113" s="53" t="str">
        <f t="shared" si="1277"/>
        <v>West Yorkshire Archive Service, Bradford</v>
      </c>
      <c r="ADD113" s="60">
        <f t="shared" si="1165"/>
        <v>0</v>
      </c>
      <c r="ADE113" s="60">
        <f t="shared" si="1166"/>
        <v>0</v>
      </c>
      <c r="ADF113" s="60">
        <f t="shared" si="1167"/>
        <v>0</v>
      </c>
      <c r="ADG113" s="76">
        <f t="shared" si="1168"/>
        <v>0</v>
      </c>
    </row>
    <row r="114" spans="1:787" x14ac:dyDescent="0.25">
      <c r="A114" s="46" t="str">
        <f>IF(ISBLANK(ComparisonSelection!F110),"",ROW()-5)</f>
        <v/>
      </c>
      <c r="B114" s="53" t="s">
        <v>565</v>
      </c>
      <c r="C114" s="72">
        <v>0.80399999999999983</v>
      </c>
      <c r="D114" s="55">
        <f t="shared" si="750"/>
        <v>74</v>
      </c>
      <c r="E114" s="54">
        <f t="shared" si="751"/>
        <v>2.8039999999999998</v>
      </c>
      <c r="F114" s="54">
        <f t="shared" si="752"/>
        <v>1</v>
      </c>
      <c r="G114" s="72">
        <f t="shared" si="753"/>
        <v>2</v>
      </c>
      <c r="H114" s="72">
        <f t="shared" si="754"/>
        <v>0</v>
      </c>
      <c r="I114" s="46" cm="1">
        <f t="array" ref="I114">ROUND(IFERROR(INDEX(ArchiveResults!$F$5:$IX$116,ComparisonData!A114,ComparisonData!$I$1),0),5)</f>
        <v>0</v>
      </c>
      <c r="J114" s="46" cm="1">
        <f t="array" ref="J114">ROUND(IFERROR(INDEX(ArchiveResults!$F$5:$IX$116,ComparisonData!A114,ComparisonData!$J$1),0),5)</f>
        <v>0</v>
      </c>
      <c r="K114" s="56">
        <v>109</v>
      </c>
      <c r="L114" s="53" t="str">
        <f t="shared" si="755"/>
        <v>West Yorkshire Archive Service, Calderdale</v>
      </c>
      <c r="M114" s="57">
        <f t="shared" si="1169"/>
        <v>0</v>
      </c>
      <c r="N114" s="57">
        <f t="shared" si="1170"/>
        <v>0</v>
      </c>
      <c r="O114" s="58">
        <f t="shared" si="756"/>
        <v>0</v>
      </c>
      <c r="P114" s="48">
        <f t="shared" si="757"/>
        <v>74</v>
      </c>
      <c r="Q114" s="54">
        <f t="shared" si="1171"/>
        <v>2.8039999999999998</v>
      </c>
      <c r="R114" s="45">
        <f t="shared" si="758"/>
        <v>1</v>
      </c>
      <c r="S114" s="46">
        <f t="shared" si="759"/>
        <v>2</v>
      </c>
      <c r="T114" s="72">
        <f t="shared" si="760"/>
        <v>0</v>
      </c>
      <c r="U114" s="46" cm="1">
        <f t="array" ref="U114">ROUND(IFERROR(INDEX(ArchiveResults!$F$5:$IX$116,ComparisonData!A114,ComparisonData!$U$1),0),5)</f>
        <v>0</v>
      </c>
      <c r="V114" s="46" cm="1">
        <f t="array" ref="V114">ROUND(IFERROR(INDEX(ArchiveResults!$F$5:$IX$116,ComparisonData!A114,ComparisonData!$V$1),0),5)</f>
        <v>0</v>
      </c>
      <c r="W114" s="56">
        <v>109</v>
      </c>
      <c r="X114" s="53" t="str">
        <f t="shared" si="1172"/>
        <v>West Yorkshire Archive Service, Calderdale</v>
      </c>
      <c r="Y114" s="57">
        <f t="shared" si="761"/>
        <v>0</v>
      </c>
      <c r="Z114" s="57">
        <f t="shared" si="762"/>
        <v>0</v>
      </c>
      <c r="AA114" s="58">
        <f t="shared" si="763"/>
        <v>0</v>
      </c>
      <c r="AB114" s="45">
        <f t="shared" si="764"/>
        <v>74</v>
      </c>
      <c r="AC114" s="54">
        <f t="shared" si="1173"/>
        <v>2.8039999999999998</v>
      </c>
      <c r="AD114" s="45">
        <f t="shared" si="765"/>
        <v>1</v>
      </c>
      <c r="AE114" s="45">
        <f t="shared" si="766"/>
        <v>2</v>
      </c>
      <c r="AF114" s="45">
        <f t="shared" si="639"/>
        <v>0</v>
      </c>
      <c r="AG114" s="46" cm="1">
        <f t="array" ref="AG114">ROUND(IFERROR(INDEX(ArchiveResults!$F$5:$IX$116,ComparisonData!A114,ComparisonData!$AG$1),0),5)</f>
        <v>0</v>
      </c>
      <c r="AH114" s="46" cm="1">
        <f t="array" ref="AH114">ROUND(IFERROR(INDEX(ArchiveResults!$F$5:$IX$116,ComparisonData!A114,ComparisonData!$AH$1),0),5)</f>
        <v>0</v>
      </c>
      <c r="AI114" s="56">
        <v>109</v>
      </c>
      <c r="AJ114" s="53" t="str">
        <f t="shared" si="1174"/>
        <v>West Yorkshire Archive Service, Calderdale</v>
      </c>
      <c r="AK114" s="59">
        <f t="shared" si="1175"/>
        <v>0</v>
      </c>
      <c r="AL114" s="59">
        <f t="shared" si="1176"/>
        <v>0</v>
      </c>
      <c r="AM114" s="58">
        <f t="shared" si="767"/>
        <v>0</v>
      </c>
      <c r="AN114" s="45">
        <f t="shared" si="768"/>
        <v>74</v>
      </c>
      <c r="AO114" s="54">
        <f t="shared" si="1177"/>
        <v>2.8039999999999998</v>
      </c>
      <c r="AP114" s="45">
        <f t="shared" si="769"/>
        <v>1</v>
      </c>
      <c r="AQ114" s="45">
        <f t="shared" si="770"/>
        <v>2</v>
      </c>
      <c r="AR114" s="46" cm="1">
        <f t="array" ref="AR114">ROUND(IFERROR(INDEX(ArchiveResults!$F$5:$IX$116,ComparisonData!A114,ComparisonData!$AR$1),0),5)</f>
        <v>0</v>
      </c>
      <c r="AS114" s="46" cm="1">
        <f t="array" ref="AS114">ROUND(IFERROR(INDEX(ArchiveResults!$F$5:$IX$116,ComparisonData!A114,ComparisonData!$AS$1),0),5)</f>
        <v>0</v>
      </c>
      <c r="AT114" s="46" cm="1">
        <f t="array" ref="AT114">ROUND(IFERROR(INDEX(ArchiveResults!$F$5:$IX$116,ComparisonData!A114,ComparisonData!$AT$1),0),5)</f>
        <v>0</v>
      </c>
      <c r="AU114" s="46" cm="1">
        <f t="array" ref="AU114">ROUND(IFERROR(INDEX(ArchiveResults!$F$5:$IX$116,ComparisonData!A114,ComparisonData!$AU$1),0),5)</f>
        <v>0</v>
      </c>
      <c r="AV114" s="46" cm="1">
        <f t="array" ref="AV114">ROUND(IFERROR(INDEX(ArchiveResults!$F$5:$IX$116,ComparisonData!A114,ComparisonData!$AV$1),0),5)</f>
        <v>0</v>
      </c>
      <c r="AW114" s="46" cm="1">
        <f t="array" ref="AW114">ROUND(IFERROR(INDEX(ArchiveResults!$F$5:$IX$116,ComparisonData!A114,ComparisonData!$AW$1),0),5)</f>
        <v>0</v>
      </c>
      <c r="AX114" s="46" cm="1">
        <f t="array" ref="AX114">ROUND(IFERROR(INDEX(ArchiveResults!$F$5:$IX$116,ComparisonData!A114,ComparisonData!$AX$1),0),5)</f>
        <v>0</v>
      </c>
      <c r="AY114" s="46" cm="1">
        <f t="array" ref="AY114">ROUND(IFERROR(INDEX(ArchiveResults!$F$5:$IX$116,ComparisonData!A114,ComparisonData!$AY$1),0),5)</f>
        <v>0</v>
      </c>
      <c r="AZ114" s="46" cm="1">
        <f t="array" ref="AZ114">ROUND(IFERROR(INDEX(ArchiveResults!$F$5:$IX$116,ComparisonData!A114,ComparisonData!$AZ$1),0),5)</f>
        <v>0</v>
      </c>
      <c r="BA114" s="46" cm="1">
        <f t="array" ref="BA114">ROUND(IFERROR(INDEX(ArchiveResults!$F$5:$IX$116,ComparisonData!A114,ComparisonData!$BA$1),0),5)</f>
        <v>0</v>
      </c>
      <c r="BB114" s="56">
        <v>109</v>
      </c>
      <c r="BC114" s="53" t="str">
        <f t="shared" si="1178"/>
        <v>West Yorkshire Archive Service, Calderdale</v>
      </c>
      <c r="BD114" s="60">
        <f t="shared" si="771"/>
        <v>0</v>
      </c>
      <c r="BE114" s="60">
        <f t="shared" si="772"/>
        <v>0</v>
      </c>
      <c r="BF114" s="60">
        <f t="shared" si="773"/>
        <v>0</v>
      </c>
      <c r="BG114" s="60">
        <f t="shared" si="774"/>
        <v>0</v>
      </c>
      <c r="BH114" s="60">
        <f t="shared" si="775"/>
        <v>0</v>
      </c>
      <c r="BI114" s="60">
        <f t="shared" si="776"/>
        <v>0</v>
      </c>
      <c r="BJ114" s="60">
        <f t="shared" si="777"/>
        <v>0</v>
      </c>
      <c r="BK114" s="60">
        <f t="shared" si="778"/>
        <v>0</v>
      </c>
      <c r="BL114" s="60">
        <f t="shared" si="779"/>
        <v>0</v>
      </c>
      <c r="BM114" s="59">
        <f t="shared" si="780"/>
        <v>0</v>
      </c>
      <c r="BN114" s="58">
        <f t="shared" si="781"/>
        <v>0</v>
      </c>
      <c r="BO114" s="45">
        <f t="shared" si="782"/>
        <v>74</v>
      </c>
      <c r="BP114" s="54">
        <f t="shared" si="1179"/>
        <v>2.8039999999999998</v>
      </c>
      <c r="BQ114" s="45">
        <f t="shared" si="783"/>
        <v>1</v>
      </c>
      <c r="BR114" s="45">
        <f t="shared" si="784"/>
        <v>2</v>
      </c>
      <c r="BS114" s="46" cm="1">
        <f t="array" ref="BS114">ROUND(IFERROR(INDEX(ArchiveResults!$F$5:$IX$116,ComparisonData!A114,ComparisonData!$BS$1),0),5)</f>
        <v>0</v>
      </c>
      <c r="BT114" s="46" cm="1">
        <f t="array" ref="BT114">ROUND(IFERROR(INDEX(ArchiveResults!$F$5:$IX$116,ComparisonData!A114,ComparisonData!$BT$1),0),5)</f>
        <v>0</v>
      </c>
      <c r="BU114" s="46" cm="1">
        <f t="array" ref="BU114">ROUND(IFERROR(INDEX(ArchiveResults!$F$5:$IX$116,ComparisonData!A114,ComparisonData!$BU$1),0),5)</f>
        <v>0</v>
      </c>
      <c r="BV114" s="46" cm="1">
        <f t="array" ref="BV114">ROUND(IFERROR(INDEX(ArchiveResults!$F$5:$IX$116,ComparisonData!A114,ComparisonData!$BV$1),0),5)</f>
        <v>0</v>
      </c>
      <c r="BW114" s="46" cm="1">
        <f t="array" ref="BW114">ROUND(IFERROR(INDEX(ArchiveResults!$F$5:$IX$116,ComparisonData!A114,ComparisonData!$BW$1),0),5)</f>
        <v>0</v>
      </c>
      <c r="BX114" s="46" cm="1">
        <f t="array" ref="BX114">ROUND(IFERROR(INDEX(ArchiveResults!$F$5:$IX$116,ComparisonData!A114,ComparisonData!$BX$1),0),5)</f>
        <v>0</v>
      </c>
      <c r="BY114" s="56">
        <v>109</v>
      </c>
      <c r="BZ114" s="53" t="str">
        <f t="shared" si="1180"/>
        <v>West Yorkshire Archive Service, Calderdale</v>
      </c>
      <c r="CA114" s="59">
        <f t="shared" si="785"/>
        <v>0</v>
      </c>
      <c r="CB114" s="59">
        <f t="shared" si="786"/>
        <v>0</v>
      </c>
      <c r="CC114" s="59">
        <f t="shared" si="787"/>
        <v>0</v>
      </c>
      <c r="CD114" s="59">
        <f t="shared" si="788"/>
        <v>0</v>
      </c>
      <c r="CE114" s="59">
        <f t="shared" si="789"/>
        <v>0</v>
      </c>
      <c r="CF114" s="59">
        <f t="shared" si="790"/>
        <v>0</v>
      </c>
      <c r="CG114" s="58">
        <f t="shared" si="791"/>
        <v>0</v>
      </c>
      <c r="CH114" s="45">
        <f t="shared" si="792"/>
        <v>74</v>
      </c>
      <c r="CI114" s="54">
        <f t="shared" si="1181"/>
        <v>2.8039999999999998</v>
      </c>
      <c r="CJ114" s="45">
        <f t="shared" si="793"/>
        <v>1</v>
      </c>
      <c r="CK114" s="45">
        <f t="shared" si="794"/>
        <v>2</v>
      </c>
      <c r="CL114" s="46" cm="1">
        <f t="array" ref="CL114">ROUND(IFERROR(INDEX(ArchiveResults!$F$5:$IX$116,ComparisonData!A114,ComparisonData!$CL$1),0),5)</f>
        <v>0</v>
      </c>
      <c r="CM114" s="56">
        <v>109</v>
      </c>
      <c r="CN114" s="53" t="str">
        <f t="shared" si="1182"/>
        <v>West Yorkshire Archive Service, Calderdale</v>
      </c>
      <c r="CO114" s="45">
        <f t="shared" si="795"/>
        <v>0</v>
      </c>
      <c r="CP114" s="58">
        <f t="shared" si="796"/>
        <v>0</v>
      </c>
      <c r="CQ114" s="45">
        <f t="shared" si="797"/>
        <v>74</v>
      </c>
      <c r="CR114" s="54">
        <f t="shared" si="1183"/>
        <v>2.8039999999999998</v>
      </c>
      <c r="CS114" s="45">
        <f t="shared" si="798"/>
        <v>1</v>
      </c>
      <c r="CT114" s="45">
        <f t="shared" si="799"/>
        <v>2</v>
      </c>
      <c r="CU114" s="46" cm="1">
        <f t="array" ref="CU114">ROUND(IFERROR(INDEX(ArchiveResults!$F$5:$IX$116,ComparisonData!A114,ComparisonData!$CU$1),0),5)</f>
        <v>0</v>
      </c>
      <c r="CV114" s="56">
        <v>109</v>
      </c>
      <c r="CW114" s="53" t="str">
        <f t="shared" si="1184"/>
        <v>West Yorkshire Archive Service, Calderdale</v>
      </c>
      <c r="CX114" s="45">
        <f t="shared" si="800"/>
        <v>0</v>
      </c>
      <c r="CY114" s="58">
        <f t="shared" si="801"/>
        <v>0</v>
      </c>
      <c r="CZ114" s="45">
        <f t="shared" si="802"/>
        <v>74</v>
      </c>
      <c r="DA114" s="54">
        <f t="shared" si="1185"/>
        <v>2.8039999999999998</v>
      </c>
      <c r="DB114" s="45">
        <f t="shared" si="803"/>
        <v>1</v>
      </c>
      <c r="DC114" s="45">
        <f t="shared" si="804"/>
        <v>2</v>
      </c>
      <c r="DD114" s="46" cm="1">
        <f t="array" ref="DD114">ROUND(IFERROR(INDEX(ArchiveResults!$F$5:$IX$116,ComparisonData!A114,ComparisonData!$DD$1),0),5)</f>
        <v>0</v>
      </c>
      <c r="DE114" s="56">
        <v>109</v>
      </c>
      <c r="DF114" s="53" t="str">
        <f t="shared" si="1186"/>
        <v>West Yorkshire Archive Service, Calderdale</v>
      </c>
      <c r="DG114" s="45">
        <f t="shared" si="805"/>
        <v>0</v>
      </c>
      <c r="DH114" s="58">
        <f t="shared" si="806"/>
        <v>0</v>
      </c>
      <c r="DI114" s="45">
        <f t="shared" si="807"/>
        <v>74</v>
      </c>
      <c r="DJ114" s="54">
        <f t="shared" si="1187"/>
        <v>2.8039999999999998</v>
      </c>
      <c r="DK114" s="45">
        <f t="shared" si="808"/>
        <v>1</v>
      </c>
      <c r="DL114" s="45">
        <f t="shared" si="809"/>
        <v>2</v>
      </c>
      <c r="DM114" s="46" cm="1">
        <f t="array" ref="DM114">ROUND(IFERROR(INDEX(ArchiveResults!$F$5:$IX$116,ComparisonData!A114,ComparisonData!$DM$1),0),5)</f>
        <v>0</v>
      </c>
      <c r="DN114" s="46" cm="1">
        <f t="array" ref="DN114">ROUND(IFERROR(INDEX(ArchiveResults!$F$5:$IX$116,ComparisonData!A114,ComparisonData!$DN$1),0),5)</f>
        <v>0</v>
      </c>
      <c r="DO114" s="46" cm="1">
        <f t="array" ref="DO114">ROUND(IFERROR(INDEX(ArchiveResults!$F$5:$IX$116,ComparisonData!A114,ComparisonData!$DO$1),0),5)</f>
        <v>0</v>
      </c>
      <c r="DP114" s="46" cm="1">
        <f t="array" ref="DP114">ROUND(IFERROR(INDEX(ArchiveResults!$F$5:$IX$116,ComparisonData!A114,ComparisonData!$DP$1),0),5)</f>
        <v>0</v>
      </c>
      <c r="DQ114" s="45" cm="1">
        <f t="array" ref="DQ114">IFERROR(INDEX(ArchiveResults!$F$5:$IX$116,ComparisonData!A114,ComparisonData!$DQ$1),0)</f>
        <v>0</v>
      </c>
      <c r="DR114" s="56">
        <v>109</v>
      </c>
      <c r="DS114" s="53" t="str">
        <f t="shared" si="1188"/>
        <v>West Yorkshire Archive Service, Calderdale</v>
      </c>
      <c r="DT114" s="59">
        <f t="shared" si="810"/>
        <v>0</v>
      </c>
      <c r="DU114" s="59">
        <f t="shared" si="811"/>
        <v>0</v>
      </c>
      <c r="DV114" s="59">
        <f t="shared" si="812"/>
        <v>0</v>
      </c>
      <c r="DW114" s="59">
        <f t="shared" si="813"/>
        <v>0</v>
      </c>
      <c r="DX114" s="59">
        <f t="shared" si="814"/>
        <v>0</v>
      </c>
      <c r="DY114" s="58">
        <f t="shared" si="815"/>
        <v>0</v>
      </c>
      <c r="DZ114" s="45">
        <f t="shared" si="816"/>
        <v>74</v>
      </c>
      <c r="EA114" s="54">
        <f t="shared" si="1189"/>
        <v>2.8039999999999998</v>
      </c>
      <c r="EB114" s="45">
        <f t="shared" si="817"/>
        <v>1</v>
      </c>
      <c r="EC114" s="45">
        <f t="shared" si="818"/>
        <v>2</v>
      </c>
      <c r="ED114" s="46" cm="1">
        <f t="array" ref="ED114">ROUND(IFERROR(INDEX(ArchiveResults!$F$5:$IX$116,ComparisonData!A114,ComparisonData!$ED$1),0),5)</f>
        <v>0</v>
      </c>
      <c r="EE114" s="46" cm="1">
        <f t="array" ref="EE114">ROUND(IFERROR(INDEX(ArchiveResults!$F$5:$IX$116,ComparisonData!A114,ComparisonData!$EE$1),0),5)</f>
        <v>0</v>
      </c>
      <c r="EF114" s="46" cm="1">
        <f t="array" ref="EF114">ROUND(IFERROR(INDEX(ArchiveResults!$F$5:$IX$116,ComparisonData!A114,ComparisonData!$EF$1),0),5)</f>
        <v>0</v>
      </c>
      <c r="EG114" s="46" cm="1">
        <f t="array" ref="EG114">ROUND(IFERROR(INDEX(ArchiveResults!$F$5:$IX$116,ComparisonData!A114,ComparisonData!$EG$1),0),5)</f>
        <v>0</v>
      </c>
      <c r="EH114" s="45" cm="1">
        <f t="array" ref="EH114">IFERROR(INDEX(ArchiveResults!$F$5:$IX$116,ComparisonData!A114,ComparisonData!$EH$1),0)</f>
        <v>0</v>
      </c>
      <c r="EI114" s="56">
        <v>109</v>
      </c>
      <c r="EJ114" s="53" t="str">
        <f t="shared" si="1190"/>
        <v>West Yorkshire Archive Service, Calderdale</v>
      </c>
      <c r="EK114" s="59">
        <f t="shared" si="819"/>
        <v>0</v>
      </c>
      <c r="EL114" s="59">
        <f t="shared" si="820"/>
        <v>0</v>
      </c>
      <c r="EM114" s="59">
        <f t="shared" si="821"/>
        <v>0</v>
      </c>
      <c r="EN114" s="59">
        <f t="shared" si="822"/>
        <v>0</v>
      </c>
      <c r="EO114" s="59">
        <f t="shared" si="823"/>
        <v>0</v>
      </c>
      <c r="EP114" s="58">
        <f t="shared" si="824"/>
        <v>0</v>
      </c>
      <c r="EQ114" s="45">
        <f t="shared" si="825"/>
        <v>74</v>
      </c>
      <c r="ER114" s="54">
        <f t="shared" si="1191"/>
        <v>2.8039999999999998</v>
      </c>
      <c r="ES114" s="45">
        <f t="shared" si="826"/>
        <v>1</v>
      </c>
      <c r="ET114" s="45">
        <f t="shared" si="827"/>
        <v>2</v>
      </c>
      <c r="EU114" s="46" cm="1">
        <f t="array" ref="EU114">ROUND(IFERROR(INDEX(ArchiveResults!$F$5:$IX$116,ComparisonData!A114,ComparisonData!$EU$1),0),5)</f>
        <v>0</v>
      </c>
      <c r="EV114" s="46" cm="1">
        <f t="array" ref="EV114">ROUND(IFERROR(INDEX(ArchiveResults!$F$5:$IX$116,ComparisonData!A114,ComparisonData!$EV$1),0),5)</f>
        <v>0</v>
      </c>
      <c r="EW114" s="46" cm="1">
        <f t="array" ref="EW114">ROUND(IFERROR(INDEX(ArchiveResults!$F$5:$IX$116,ComparisonData!A114,ComparisonData!$EW$1),0),5)</f>
        <v>0</v>
      </c>
      <c r="EX114" s="46" cm="1">
        <f t="array" ref="EX114">ROUND(IFERROR(INDEX(ArchiveResults!$F$5:$IX$116,ComparisonData!A114,ComparisonData!$EX$1),0),5)</f>
        <v>0</v>
      </c>
      <c r="EY114" s="45" cm="1">
        <f t="array" ref="EY114">IFERROR(INDEX(ArchiveResults!$F$5:$IX$116,ComparisonData!A114,ComparisonData!$EY$1),0)</f>
        <v>0</v>
      </c>
      <c r="EZ114" s="56">
        <v>109</v>
      </c>
      <c r="FA114" s="53" t="str">
        <f t="shared" si="1192"/>
        <v>West Yorkshire Archive Service, Calderdale</v>
      </c>
      <c r="FB114" s="59">
        <f t="shared" si="828"/>
        <v>0</v>
      </c>
      <c r="FC114" s="59">
        <f t="shared" si="829"/>
        <v>0</v>
      </c>
      <c r="FD114" s="59">
        <f t="shared" si="830"/>
        <v>0</v>
      </c>
      <c r="FE114" s="59">
        <f t="shared" si="831"/>
        <v>0</v>
      </c>
      <c r="FF114" s="59">
        <f t="shared" si="832"/>
        <v>0</v>
      </c>
      <c r="FG114" s="58">
        <f t="shared" si="833"/>
        <v>0</v>
      </c>
      <c r="FH114" s="45">
        <f t="shared" si="834"/>
        <v>74</v>
      </c>
      <c r="FI114" s="54">
        <f t="shared" si="1193"/>
        <v>2.8039999999999998</v>
      </c>
      <c r="FJ114" s="45">
        <f t="shared" si="835"/>
        <v>1</v>
      </c>
      <c r="FK114" s="45">
        <f t="shared" si="836"/>
        <v>2</v>
      </c>
      <c r="FL114" s="46" cm="1">
        <f t="array" ref="FL114">ROUND(IFERROR(INDEX(ArchiveResults!$F$5:$IX$116,ComparisonData!A114,ComparisonData!$FL$1),0),5)</f>
        <v>0</v>
      </c>
      <c r="FM114" s="46" cm="1">
        <f t="array" ref="FM114">ROUND(IFERROR(INDEX(ArchiveResults!$F$5:$IX$116,ComparisonData!A114,ComparisonData!$FM$1),0),5)</f>
        <v>0</v>
      </c>
      <c r="FN114" s="46" cm="1">
        <f t="array" ref="FN114">ROUND(IFERROR(INDEX(ArchiveResults!$F$5:$IX$116,ComparisonData!A114,ComparisonData!$FN$1),0),5)</f>
        <v>0</v>
      </c>
      <c r="FO114" s="46" cm="1">
        <f t="array" ref="FO114">ROUND(IFERROR(INDEX(ArchiveResults!$F$5:$IX$116,ComparisonData!A114,ComparisonData!$FO$1),0),5)</f>
        <v>0</v>
      </c>
      <c r="FP114" s="45" cm="1">
        <f t="array" ref="FP114">IFERROR(INDEX(ArchiveResults!$F$5:$IX$116,ComparisonData!A114,ComparisonData!$FP$1),0)</f>
        <v>0</v>
      </c>
      <c r="FQ114" s="56">
        <v>109</v>
      </c>
      <c r="FR114" s="53" t="str">
        <f t="shared" si="1194"/>
        <v>West Yorkshire Archive Service, Calderdale</v>
      </c>
      <c r="FS114" s="59">
        <f t="shared" si="837"/>
        <v>0</v>
      </c>
      <c r="FT114" s="59">
        <f t="shared" si="838"/>
        <v>0</v>
      </c>
      <c r="FU114" s="59">
        <f t="shared" si="839"/>
        <v>0</v>
      </c>
      <c r="FV114" s="59">
        <f t="shared" si="840"/>
        <v>0</v>
      </c>
      <c r="FW114" s="59">
        <f t="shared" si="841"/>
        <v>0</v>
      </c>
      <c r="FX114" s="58">
        <f t="shared" si="842"/>
        <v>0</v>
      </c>
      <c r="FY114" s="45">
        <f t="shared" si="843"/>
        <v>74</v>
      </c>
      <c r="FZ114" s="45">
        <f t="shared" si="1195"/>
        <v>2.8039999999999998</v>
      </c>
      <c r="GA114" s="45">
        <f t="shared" si="844"/>
        <v>1</v>
      </c>
      <c r="GB114" s="45">
        <f t="shared" si="845"/>
        <v>2</v>
      </c>
      <c r="GC114" s="46" cm="1">
        <f t="array" ref="GC114">ROUND(IFERROR(INDEX(ArchiveResults!$F$5:$IX$116,ComparisonData!A114,ComparisonData!$GC$1),0),5)</f>
        <v>0</v>
      </c>
      <c r="GD114" s="46" cm="1">
        <f t="array" ref="GD114">ROUND(IFERROR(INDEX(ArchiveResults!$F$5:$IX$116,ComparisonData!A114,ComparisonData!$GD$1),0),5)</f>
        <v>0</v>
      </c>
      <c r="GE114" s="46" cm="1">
        <f t="array" ref="GE114">ROUND(IFERROR(INDEX(ArchiveResults!$F$5:$IX$116,ComparisonData!A114,ComparisonData!$GE$1),0),5)</f>
        <v>0</v>
      </c>
      <c r="GF114" s="46" cm="1">
        <f t="array" ref="GF114">ROUND(IFERROR(INDEX(ArchiveResults!$F$5:$IX$116,ComparisonData!A114,ComparisonData!$GF$1),0),5)</f>
        <v>0</v>
      </c>
      <c r="GG114" s="45" cm="1">
        <f t="array" ref="GG114">IFERROR(INDEX(ArchiveResults!$F$5:$IX$116,ComparisonData!A114,ComparisonData!$GG$1),0)</f>
        <v>0</v>
      </c>
      <c r="GH114" s="56">
        <v>109</v>
      </c>
      <c r="GI114" s="53" t="str">
        <f t="shared" si="1196"/>
        <v>West Yorkshire Archive Service, Calderdale</v>
      </c>
      <c r="GJ114" s="59">
        <f t="shared" si="846"/>
        <v>0</v>
      </c>
      <c r="GK114" s="59">
        <f t="shared" si="847"/>
        <v>0</v>
      </c>
      <c r="GL114" s="59">
        <f t="shared" si="848"/>
        <v>0</v>
      </c>
      <c r="GM114" s="59">
        <f t="shared" si="849"/>
        <v>0</v>
      </c>
      <c r="GN114" s="59">
        <f t="shared" si="850"/>
        <v>0</v>
      </c>
      <c r="GO114" s="58">
        <f t="shared" si="851"/>
        <v>0</v>
      </c>
      <c r="GP114" s="45">
        <f t="shared" si="852"/>
        <v>74</v>
      </c>
      <c r="GQ114" s="45">
        <f t="shared" si="1197"/>
        <v>2.8039999999999998</v>
      </c>
      <c r="GR114" s="45">
        <f t="shared" si="853"/>
        <v>1</v>
      </c>
      <c r="GS114" s="45">
        <f t="shared" si="854"/>
        <v>2</v>
      </c>
      <c r="GT114" s="46" cm="1">
        <f t="array" ref="GT114">ROUND(IFERROR(INDEX(ArchiveResults!$F$5:$IX$116,ComparisonData!A114,ComparisonData!$GT$1),0),5)</f>
        <v>0</v>
      </c>
      <c r="GU114" s="46" cm="1">
        <f t="array" ref="GU114">ROUND(IFERROR(INDEX(ArchiveResults!$F$5:$IX$116,ComparisonData!A114,ComparisonData!$GU$1),0),5)</f>
        <v>0</v>
      </c>
      <c r="GV114" s="46" cm="1">
        <f t="array" ref="GV114">ROUND(IFERROR(INDEX(ArchiveResults!$F$5:$IX$116,ComparisonData!A114,ComparisonData!$GV$1),0),5)</f>
        <v>0</v>
      </c>
      <c r="GW114" s="46" cm="1">
        <f t="array" ref="GW114">ROUND(IFERROR(INDEX(ArchiveResults!$F$5:$IX$116,ComparisonData!A114,ComparisonData!$GW$1),0),5)</f>
        <v>0</v>
      </c>
      <c r="GX114" s="45" cm="1">
        <f t="array" ref="GX114">IFERROR(INDEX(ArchiveResults!$F$5:$IX$116,ComparisonData!A114,ComparisonData!$GX$1),0)</f>
        <v>0</v>
      </c>
      <c r="GY114" s="56">
        <v>109</v>
      </c>
      <c r="GZ114" s="53" t="str">
        <f t="shared" si="1198"/>
        <v>West Yorkshire Archive Service, Calderdale</v>
      </c>
      <c r="HA114" s="59">
        <f t="shared" si="855"/>
        <v>0</v>
      </c>
      <c r="HB114" s="59">
        <f t="shared" si="856"/>
        <v>0</v>
      </c>
      <c r="HC114" s="59">
        <f t="shared" si="857"/>
        <v>0</v>
      </c>
      <c r="HD114" s="59">
        <f t="shared" si="858"/>
        <v>0</v>
      </c>
      <c r="HE114" s="59">
        <f t="shared" si="859"/>
        <v>0</v>
      </c>
      <c r="HF114" s="58">
        <f t="shared" si="860"/>
        <v>0</v>
      </c>
      <c r="HG114" s="45">
        <f t="shared" si="861"/>
        <v>74</v>
      </c>
      <c r="HH114" s="45">
        <f t="shared" si="1199"/>
        <v>2.8039999999999998</v>
      </c>
      <c r="HI114" s="45">
        <f t="shared" si="862"/>
        <v>1</v>
      </c>
      <c r="HJ114" s="45">
        <f t="shared" si="863"/>
        <v>2</v>
      </c>
      <c r="HK114" s="46" cm="1">
        <f t="array" ref="HK114">ROUND(IFERROR(INDEX(ArchiveResults!$F$5:$IX$116,ComparisonData!A114,ComparisonData!$HK$1),0),5)</f>
        <v>0</v>
      </c>
      <c r="HL114" s="46" cm="1">
        <f t="array" ref="HL114">ROUND(IFERROR(INDEX(ArchiveResults!$F$5:$IX$116,ComparisonData!A114,ComparisonData!$HL$1),0),5)</f>
        <v>0</v>
      </c>
      <c r="HM114" s="46" cm="1">
        <f t="array" ref="HM114">ROUND(IFERROR(INDEX(ArchiveResults!$F$5:$IX$116,ComparisonData!A114,ComparisonData!$HM$1),0),5)</f>
        <v>0</v>
      </c>
      <c r="HN114" s="46" cm="1">
        <f t="array" ref="HN114">ROUND(IFERROR(INDEX(ArchiveResults!$F$5:$IX$116,ComparisonData!A114,ComparisonData!$HN$1),0),5)</f>
        <v>0</v>
      </c>
      <c r="HO114" s="45" cm="1">
        <f t="array" ref="HO114">IFERROR(INDEX(ArchiveResults!$F$5:$IX$116,ComparisonData!A114,ComparisonData!$HO$1),0)</f>
        <v>0</v>
      </c>
      <c r="HP114" s="56">
        <v>109</v>
      </c>
      <c r="HQ114" s="53" t="str">
        <f t="shared" si="1200"/>
        <v>West Yorkshire Archive Service, Calderdale</v>
      </c>
      <c r="HR114" s="59">
        <f t="shared" si="1201"/>
        <v>0</v>
      </c>
      <c r="HS114" s="59">
        <f t="shared" si="1202"/>
        <v>0</v>
      </c>
      <c r="HT114" s="59">
        <f t="shared" si="1203"/>
        <v>0</v>
      </c>
      <c r="HU114" s="59">
        <f t="shared" si="1204"/>
        <v>0</v>
      </c>
      <c r="HV114" s="59">
        <f t="shared" si="1205"/>
        <v>0</v>
      </c>
      <c r="HW114" s="58">
        <f t="shared" si="864"/>
        <v>0</v>
      </c>
      <c r="HX114" s="45">
        <f t="shared" si="865"/>
        <v>74</v>
      </c>
      <c r="HY114" s="45">
        <f t="shared" si="1206"/>
        <v>2.8039999999999998</v>
      </c>
      <c r="HZ114" s="45">
        <f t="shared" si="866"/>
        <v>1</v>
      </c>
      <c r="IA114" s="45">
        <f t="shared" si="867"/>
        <v>2</v>
      </c>
      <c r="IB114" s="45">
        <f t="shared" si="868"/>
        <v>0</v>
      </c>
      <c r="IC114" s="46" cm="1">
        <f t="array" ref="IC114">ROUND(IFERROR(INDEX(ArchiveResults!$F$5:$IX$116,ComparisonData!A114,ComparisonData!$IC$1),0),5)</f>
        <v>0</v>
      </c>
      <c r="ID114" s="46" cm="1">
        <f t="array" ref="ID114">ROUND(IFERROR(INDEX(ArchiveResults!$F$5:$IX$116,ComparisonData!A114,ComparisonData!$ID$1),0),5)</f>
        <v>0</v>
      </c>
      <c r="IE114" s="46" cm="1">
        <f t="array" ref="IE114">ROUND(IFERROR(INDEX(ArchiveResults!$F$5:$IX$116,ComparisonData!A114,ComparisonData!$IE$1),0),5)</f>
        <v>0</v>
      </c>
      <c r="IF114" s="46" cm="1">
        <f t="array" ref="IF114">ROUND(IFERROR(INDEX(ArchiveResults!$F$5:$IX$116,ComparisonData!A114,ComparisonData!$IF$1),0),5)</f>
        <v>0</v>
      </c>
      <c r="IG114" s="45" cm="1">
        <f t="array" ref="IG114">IFERROR(INDEX(ArchiveResults!$F$5:$IX$116,ComparisonData!A114,ComparisonData!$IG$1),0)</f>
        <v>0</v>
      </c>
      <c r="IH114" s="56">
        <v>109</v>
      </c>
      <c r="II114" s="53" t="str">
        <f t="shared" si="1207"/>
        <v>West Yorkshire Archive Service, Calderdale</v>
      </c>
      <c r="IJ114" s="59">
        <f t="shared" si="869"/>
        <v>0</v>
      </c>
      <c r="IK114" s="59">
        <f t="shared" si="870"/>
        <v>0</v>
      </c>
      <c r="IL114" s="59">
        <f t="shared" si="871"/>
        <v>0</v>
      </c>
      <c r="IM114" s="59">
        <f t="shared" si="872"/>
        <v>0</v>
      </c>
      <c r="IN114" s="59">
        <f t="shared" si="873"/>
        <v>0</v>
      </c>
      <c r="IO114" s="58">
        <f t="shared" si="874"/>
        <v>0</v>
      </c>
      <c r="IP114" s="45">
        <f t="shared" si="875"/>
        <v>74</v>
      </c>
      <c r="IQ114" s="45">
        <f t="shared" si="1208"/>
        <v>2.8039999999999998</v>
      </c>
      <c r="IR114" s="45">
        <f t="shared" si="876"/>
        <v>1</v>
      </c>
      <c r="IS114" s="45">
        <f t="shared" si="877"/>
        <v>2</v>
      </c>
      <c r="IT114" s="46">
        <f t="shared" si="878"/>
        <v>0</v>
      </c>
      <c r="IU114" s="46" cm="1">
        <f t="array" ref="IU114">ROUND(IFERROR(INDEX(ArchiveResults!$F$5:$IX$116,ComparisonData!A114,ComparisonData!$IU$1),0),5)</f>
        <v>0</v>
      </c>
      <c r="IV114" s="46" cm="1">
        <f t="array" ref="IV114">ROUND(IFERROR(INDEX(ArchiveResults!$F$5:$IX$116,ComparisonData!A114,ComparisonData!$IV$1),0),5)</f>
        <v>0</v>
      </c>
      <c r="IW114" s="46" cm="1">
        <f t="array" ref="IW114">ROUND(IFERROR(INDEX(ArchiveResults!$F$5:$IX$116,ComparisonData!A114,ComparisonData!$IW$1),0),5)</f>
        <v>0</v>
      </c>
      <c r="IX114" s="46" cm="1">
        <f t="array" ref="IX114">ROUND(IFERROR(INDEX(ArchiveResults!$F$5:$IX$116,ComparisonData!A114,ComparisonData!$IX$1),0),5)</f>
        <v>0</v>
      </c>
      <c r="IY114" s="45" cm="1">
        <f t="array" ref="IY114">IFERROR(INDEX(ArchiveResults!$F$5:$IX$116,ComparisonData!A114,ComparisonData!$IY$1),0)</f>
        <v>0</v>
      </c>
      <c r="IZ114" s="56">
        <v>109</v>
      </c>
      <c r="JA114" s="53" t="str">
        <f t="shared" si="1209"/>
        <v>West Yorkshire Archive Service, Calderdale</v>
      </c>
      <c r="JB114" s="59">
        <f t="shared" si="879"/>
        <v>0</v>
      </c>
      <c r="JC114" s="59">
        <f t="shared" si="880"/>
        <v>0</v>
      </c>
      <c r="JD114" s="59">
        <f t="shared" si="881"/>
        <v>0</v>
      </c>
      <c r="JE114" s="59">
        <f t="shared" si="882"/>
        <v>0</v>
      </c>
      <c r="JF114" s="59">
        <f t="shared" si="883"/>
        <v>0</v>
      </c>
      <c r="JG114" s="58">
        <f t="shared" si="884"/>
        <v>0</v>
      </c>
      <c r="JH114" s="45">
        <f t="shared" si="885"/>
        <v>74</v>
      </c>
      <c r="JI114" s="45">
        <f t="shared" si="1210"/>
        <v>2.8039999999999998</v>
      </c>
      <c r="JJ114" s="45">
        <f t="shared" si="886"/>
        <v>1</v>
      </c>
      <c r="JK114" s="45">
        <f t="shared" si="887"/>
        <v>2</v>
      </c>
      <c r="JL114" s="45">
        <f t="shared" si="888"/>
        <v>0</v>
      </c>
      <c r="JM114" s="46" cm="1">
        <f t="array" ref="JM114">ROUND(IFERROR(INDEX(ArchiveResults!$F$5:$IX$116,ComparisonData!A114,ComparisonData!$JM$1),0),5)</f>
        <v>0</v>
      </c>
      <c r="JN114" s="46" cm="1">
        <f t="array" ref="JN114">ROUND(IFERROR(INDEX(ArchiveResults!$F$5:$IX$116,ComparisonData!A114,ComparisonData!$JN$1),0),5)</f>
        <v>0</v>
      </c>
      <c r="JO114" s="46" cm="1">
        <f t="array" ref="JO114">ROUND(IFERROR(INDEX(ArchiveResults!$F$5:$IX$116,ComparisonData!A114,ComparisonData!$JO$1),0),5)</f>
        <v>0</v>
      </c>
      <c r="JP114" s="46" cm="1">
        <f t="array" ref="JP114">ROUND(IFERROR(INDEX(ArchiveResults!$F$5:$IX$116,ComparisonData!A114,ComparisonData!$JP$1),0),5)</f>
        <v>0</v>
      </c>
      <c r="JQ114" s="45" cm="1">
        <f t="array" ref="JQ114">IFERROR(INDEX(ArchiveResults!$F$5:$IX$116,ComparisonData!A114,ComparisonData!$JQ$1),0)</f>
        <v>0</v>
      </c>
      <c r="JR114" s="56">
        <v>109</v>
      </c>
      <c r="JS114" s="53" t="str">
        <f t="shared" si="1211"/>
        <v>West Yorkshire Archive Service, Calderdale</v>
      </c>
      <c r="JT114" s="59">
        <f t="shared" si="889"/>
        <v>0</v>
      </c>
      <c r="JU114" s="59">
        <f t="shared" si="890"/>
        <v>0</v>
      </c>
      <c r="JV114" s="59">
        <f t="shared" si="891"/>
        <v>0</v>
      </c>
      <c r="JW114" s="59">
        <f t="shared" si="892"/>
        <v>0</v>
      </c>
      <c r="JX114" s="59">
        <f t="shared" si="893"/>
        <v>0</v>
      </c>
      <c r="JY114" s="58">
        <f t="shared" si="894"/>
        <v>0</v>
      </c>
      <c r="JZ114" s="45">
        <f t="shared" si="895"/>
        <v>74</v>
      </c>
      <c r="KA114" s="45">
        <f t="shared" si="1212"/>
        <v>2.8039999999999998</v>
      </c>
      <c r="KB114" s="45">
        <f t="shared" si="896"/>
        <v>1</v>
      </c>
      <c r="KC114" s="45">
        <f t="shared" si="897"/>
        <v>2</v>
      </c>
      <c r="KD114" s="45">
        <f t="shared" si="898"/>
        <v>0</v>
      </c>
      <c r="KE114" s="46" cm="1">
        <f t="array" ref="KE114">ROUND(IFERROR(INDEX(ArchiveResults!$F$5:$IX$116,ComparisonData!A114,ComparisonData!$KE$1),0),5)</f>
        <v>0</v>
      </c>
      <c r="KF114" s="46" cm="1">
        <f t="array" ref="KF114">ROUND(IFERROR(INDEX(ArchiveResults!$F$5:$IX$116,ComparisonData!A114,ComparisonData!$KF$1),0),5)</f>
        <v>0</v>
      </c>
      <c r="KG114" s="46" cm="1">
        <f t="array" ref="KG114">ROUND(IFERROR(INDEX(ArchiveResults!$F$5:$IX$116,ComparisonData!A114,ComparisonData!$KG$1),0),5)</f>
        <v>0</v>
      </c>
      <c r="KH114" s="46" cm="1">
        <f t="array" ref="KH114">ROUND(IFERROR(INDEX(ArchiveResults!$F$5:$IX$116,ComparisonData!A114,ComparisonData!$KH$1),0),5)</f>
        <v>0</v>
      </c>
      <c r="KI114" s="45" cm="1">
        <f t="array" ref="KI114">IFERROR(INDEX(ArchiveResults!$F$5:$IX$116,ComparisonData!A114,ComparisonData!$KI$1),0)</f>
        <v>0</v>
      </c>
      <c r="KJ114" s="56">
        <v>109</v>
      </c>
      <c r="KK114" s="53" t="str">
        <f t="shared" si="1213"/>
        <v>West Yorkshire Archive Service, Calderdale</v>
      </c>
      <c r="KL114" s="59">
        <f t="shared" si="899"/>
        <v>0</v>
      </c>
      <c r="KM114" s="59">
        <f t="shared" si="900"/>
        <v>0</v>
      </c>
      <c r="KN114" s="59">
        <f t="shared" si="901"/>
        <v>0</v>
      </c>
      <c r="KO114" s="59">
        <f t="shared" si="902"/>
        <v>0</v>
      </c>
      <c r="KP114" s="59">
        <f t="shared" si="903"/>
        <v>0</v>
      </c>
      <c r="KQ114" s="58">
        <f t="shared" si="904"/>
        <v>0</v>
      </c>
      <c r="KR114" s="45">
        <f t="shared" si="905"/>
        <v>74</v>
      </c>
      <c r="KS114" s="45">
        <f t="shared" si="1214"/>
        <v>2.8039999999999998</v>
      </c>
      <c r="KT114" s="45">
        <f t="shared" si="906"/>
        <v>1</v>
      </c>
      <c r="KU114" s="45">
        <f t="shared" si="907"/>
        <v>2</v>
      </c>
      <c r="KV114" s="45">
        <f t="shared" si="908"/>
        <v>0</v>
      </c>
      <c r="KW114" s="46" cm="1">
        <f t="array" ref="KW114">ROUND(IFERROR(INDEX(ArchiveResults!$F$5:$IX$116,ComparisonData!A114,ComparisonData!$KW$1),0),5)</f>
        <v>0</v>
      </c>
      <c r="KX114" s="46" cm="1">
        <f t="array" ref="KX114">ROUND(IFERROR(INDEX(ArchiveResults!$F$5:$IX$116,ComparisonData!A114,ComparisonData!$KX$1),0),5)</f>
        <v>0</v>
      </c>
      <c r="KY114" s="46" cm="1">
        <f t="array" ref="KY114">ROUND(IFERROR(INDEX(ArchiveResults!$F$5:$IX$116,ComparisonData!A114,ComparisonData!$KY$1),0),5)</f>
        <v>0</v>
      </c>
      <c r="KZ114" s="46" cm="1">
        <f t="array" ref="KZ114">ROUND(IFERROR(INDEX(ArchiveResults!$F$5:$IX$116,ComparisonData!A114,ComparisonData!$KZ$1),0),5)</f>
        <v>0</v>
      </c>
      <c r="LA114" s="45" cm="1">
        <f t="array" ref="LA114">IFERROR(INDEX(ArchiveResults!$F$5:$IX$116,ComparisonData!A114,ComparisonData!$LA$1),0)</f>
        <v>0</v>
      </c>
      <c r="LB114" s="56">
        <v>109</v>
      </c>
      <c r="LC114" s="53" t="str">
        <f t="shared" si="1215"/>
        <v>West Yorkshire Archive Service, Calderdale</v>
      </c>
      <c r="LD114" s="59">
        <f t="shared" si="909"/>
        <v>0</v>
      </c>
      <c r="LE114" s="59">
        <f t="shared" si="910"/>
        <v>0</v>
      </c>
      <c r="LF114" s="59">
        <f t="shared" si="911"/>
        <v>0</v>
      </c>
      <c r="LG114" s="59">
        <f t="shared" si="912"/>
        <v>0</v>
      </c>
      <c r="LH114" s="59">
        <f t="shared" si="913"/>
        <v>0</v>
      </c>
      <c r="LI114" s="58">
        <f t="shared" si="914"/>
        <v>0</v>
      </c>
      <c r="LJ114" s="45">
        <f t="shared" si="915"/>
        <v>74</v>
      </c>
      <c r="LK114" s="45">
        <f t="shared" si="1216"/>
        <v>2.8039999999999998</v>
      </c>
      <c r="LL114" s="45">
        <f t="shared" si="916"/>
        <v>1</v>
      </c>
      <c r="LM114" s="45">
        <f t="shared" si="917"/>
        <v>2</v>
      </c>
      <c r="LN114" s="45">
        <f t="shared" si="918"/>
        <v>0</v>
      </c>
      <c r="LO114" s="46" cm="1">
        <f t="array" ref="LO114">ROUND(IFERROR(INDEX(ArchiveResults!$F$5:$IX$116,ComparisonData!A114,ComparisonData!$LO$1),0),5)</f>
        <v>0</v>
      </c>
      <c r="LP114" s="46" cm="1">
        <f t="array" ref="LP114">ROUND(IFERROR(INDEX(ArchiveResults!$F$5:$IX$116,ComparisonData!A114,ComparisonData!$LP$1),0),5)</f>
        <v>0</v>
      </c>
      <c r="LQ114" s="46" cm="1">
        <f t="array" ref="LQ114">ROUND(IFERROR(INDEX(ArchiveResults!$F$5:$IX$116,ComparisonData!A114,ComparisonData!$LQ$1),0),5)</f>
        <v>0</v>
      </c>
      <c r="LR114" s="46" cm="1">
        <f t="array" ref="LR114">ROUND(IFERROR(INDEX(ArchiveResults!$F$5:$IX$116,ComparisonData!A114,ComparisonData!$LR$1),0),5)</f>
        <v>0</v>
      </c>
      <c r="LS114" s="45" cm="1">
        <f t="array" ref="LS114">IFERROR(INDEX(ArchiveResults!$F$5:$IX$116,ComparisonData!A114,ComparisonData!$LS$1),0)</f>
        <v>0</v>
      </c>
      <c r="LT114" s="56">
        <v>109</v>
      </c>
      <c r="LU114" s="53" t="str">
        <f t="shared" si="1217"/>
        <v>West Yorkshire Archive Service, Calderdale</v>
      </c>
      <c r="LV114" s="59">
        <f t="shared" si="919"/>
        <v>0</v>
      </c>
      <c r="LW114" s="59">
        <f t="shared" si="920"/>
        <v>0</v>
      </c>
      <c r="LX114" s="59">
        <f t="shared" si="921"/>
        <v>0</v>
      </c>
      <c r="LY114" s="59">
        <f t="shared" si="922"/>
        <v>0</v>
      </c>
      <c r="LZ114" s="59">
        <f t="shared" si="923"/>
        <v>0</v>
      </c>
      <c r="MA114" s="58">
        <f t="shared" si="924"/>
        <v>0</v>
      </c>
      <c r="MB114" s="45">
        <f t="shared" si="925"/>
        <v>74</v>
      </c>
      <c r="MC114" s="45">
        <f t="shared" si="1218"/>
        <v>2.8039999999999998</v>
      </c>
      <c r="MD114" s="45">
        <f t="shared" si="926"/>
        <v>1</v>
      </c>
      <c r="ME114" s="45">
        <f t="shared" si="927"/>
        <v>2</v>
      </c>
      <c r="MF114" s="45">
        <f t="shared" si="928"/>
        <v>0</v>
      </c>
      <c r="MG114" s="46" cm="1">
        <f t="array" ref="MG114">ROUND(IFERROR(INDEX(ArchiveResults!$F$5:$IX$116,ComparisonData!A114,ComparisonData!$MG$1),0),5)</f>
        <v>0</v>
      </c>
      <c r="MH114" s="46" cm="1">
        <f t="array" ref="MH114">ROUND(IFERROR(INDEX(ArchiveResults!$F$5:$IX$116,ComparisonData!A114,ComparisonData!$MH$1),0),5)</f>
        <v>0</v>
      </c>
      <c r="MI114" s="46" cm="1">
        <f t="array" ref="MI114">ROUND(IFERROR(INDEX(ArchiveResults!$F$5:$IX$116,ComparisonData!A114,ComparisonData!$MI$1),0),5)</f>
        <v>0</v>
      </c>
      <c r="MJ114" s="46" cm="1">
        <f t="array" ref="MJ114">ROUND(IFERROR(INDEX(ArchiveResults!$F$5:$IX$116,ComparisonData!A114,ComparisonData!$MJ$1),0),5)</f>
        <v>0</v>
      </c>
      <c r="MK114" s="45" cm="1">
        <f t="array" ref="MK114">IFERROR(INDEX(ArchiveResults!$F$5:$IX$116,ComparisonData!A114,ComparisonData!$MK$1),0)</f>
        <v>0</v>
      </c>
      <c r="ML114" s="56">
        <v>109</v>
      </c>
      <c r="MM114" s="53" t="str">
        <f t="shared" si="1219"/>
        <v>West Yorkshire Archive Service, Calderdale</v>
      </c>
      <c r="MN114" s="59">
        <f t="shared" si="929"/>
        <v>0</v>
      </c>
      <c r="MO114" s="59">
        <f t="shared" si="930"/>
        <v>0</v>
      </c>
      <c r="MP114" s="59">
        <f t="shared" si="931"/>
        <v>0</v>
      </c>
      <c r="MQ114" s="59">
        <f t="shared" si="932"/>
        <v>0</v>
      </c>
      <c r="MR114" s="59">
        <f t="shared" si="933"/>
        <v>0</v>
      </c>
      <c r="MS114" s="58">
        <f t="shared" si="934"/>
        <v>0</v>
      </c>
      <c r="MT114" s="45">
        <f t="shared" si="935"/>
        <v>74</v>
      </c>
      <c r="MU114" s="45">
        <f t="shared" si="1220"/>
        <v>2.8039999999999998</v>
      </c>
      <c r="MV114" s="45">
        <f t="shared" si="936"/>
        <v>1</v>
      </c>
      <c r="MW114" s="45">
        <f t="shared" si="937"/>
        <v>2</v>
      </c>
      <c r="MX114" s="45">
        <f t="shared" si="938"/>
        <v>0</v>
      </c>
      <c r="MY114" s="46" cm="1">
        <f t="array" ref="MY114">ROUND(IFERROR(INDEX(ArchiveResults!$F$5:$IX$116,ComparisonData!A114,ComparisonData!$MY$1),0),5)</f>
        <v>0</v>
      </c>
      <c r="MZ114" s="46" cm="1">
        <f t="array" ref="MZ114">ROUND(IFERROR(INDEX(ArchiveResults!$F$5:$IX$116,ComparisonData!A114,ComparisonData!$MZ$1),0),5)</f>
        <v>0</v>
      </c>
      <c r="NA114" s="46" cm="1">
        <f t="array" ref="NA114">ROUND(IFERROR(INDEX(ArchiveResults!$F$5:$IX$116,ComparisonData!A114,ComparisonData!$NA$1),0),5)</f>
        <v>0</v>
      </c>
      <c r="NB114" s="46" cm="1">
        <f t="array" ref="NB114">ROUND(IFERROR(INDEX(ArchiveResults!$F$5:$IX$116,ComparisonData!A114,ComparisonData!$NB$1),0),5)</f>
        <v>0</v>
      </c>
      <c r="NC114" s="45" cm="1">
        <f t="array" ref="NC114">IFERROR(INDEX(ArchiveResults!$F$5:$IX$116,ComparisonData!A114,ComparisonData!$NC$1),0)</f>
        <v>0</v>
      </c>
      <c r="ND114" s="56">
        <v>109</v>
      </c>
      <c r="NE114" s="53" t="str">
        <f t="shared" si="1221"/>
        <v>West Yorkshire Archive Service, Calderdale</v>
      </c>
      <c r="NF114" s="59">
        <f t="shared" si="939"/>
        <v>0</v>
      </c>
      <c r="NG114" s="59">
        <f t="shared" si="940"/>
        <v>0</v>
      </c>
      <c r="NH114" s="59">
        <f t="shared" si="941"/>
        <v>0</v>
      </c>
      <c r="NI114" s="59">
        <f t="shared" si="942"/>
        <v>0</v>
      </c>
      <c r="NJ114" s="59">
        <f t="shared" si="943"/>
        <v>0</v>
      </c>
      <c r="NK114" s="58">
        <f t="shared" si="944"/>
        <v>0</v>
      </c>
      <c r="NL114" s="45">
        <f t="shared" si="945"/>
        <v>74</v>
      </c>
      <c r="NM114" s="45">
        <f t="shared" si="1222"/>
        <v>2.8039999999999998</v>
      </c>
      <c r="NN114" s="45">
        <f t="shared" si="946"/>
        <v>1</v>
      </c>
      <c r="NO114" s="45">
        <f t="shared" si="947"/>
        <v>2</v>
      </c>
      <c r="NP114" s="46" cm="1">
        <f t="array" ref="NP114">ROUND(IFERROR(INDEX(ArchiveResults!$F$5:$IX$116,ComparisonData!A114,ComparisonData!$NP$1),0),5)</f>
        <v>0</v>
      </c>
      <c r="NQ114" s="46" cm="1">
        <f t="array" ref="NQ114">ROUND(IFERROR(INDEX(ArchiveResults!$F$5:$IX$116,ComparisonData!A114,ComparisonData!$NQ$1),0),5)</f>
        <v>0</v>
      </c>
      <c r="NR114" s="46" cm="1">
        <f t="array" ref="NR114">ROUND(IFERROR(INDEX(ArchiveResults!$F$5:$IX$116,ComparisonData!A114,ComparisonData!$NR$1),0),5)</f>
        <v>0</v>
      </c>
      <c r="NS114" s="46" cm="1">
        <f t="array" ref="NS114">ROUND(IFERROR(INDEX(ArchiveResults!$F$5:$IX$116,ComparisonData!A114,ComparisonData!$NS$1),0),5)</f>
        <v>0</v>
      </c>
      <c r="NT114" s="45" cm="1">
        <f t="array" ref="NT114">IFERROR(INDEX(ArchiveResults!$F$5:$IX$116,ComparisonData!A114,ComparisonData!$NT$1),0)</f>
        <v>0</v>
      </c>
      <c r="NU114" s="56">
        <v>109</v>
      </c>
      <c r="NV114" s="53" t="str">
        <f t="shared" si="1223"/>
        <v>West Yorkshire Archive Service, Calderdale</v>
      </c>
      <c r="NW114" s="59">
        <f t="shared" si="948"/>
        <v>0</v>
      </c>
      <c r="NX114" s="59">
        <f t="shared" si="949"/>
        <v>0</v>
      </c>
      <c r="NY114" s="59">
        <f t="shared" si="950"/>
        <v>0</v>
      </c>
      <c r="NZ114" s="59">
        <f t="shared" si="951"/>
        <v>0</v>
      </c>
      <c r="OA114" s="59">
        <f t="shared" si="952"/>
        <v>0</v>
      </c>
      <c r="OB114" s="58">
        <f t="shared" si="953"/>
        <v>0</v>
      </c>
      <c r="OC114" s="45">
        <f t="shared" si="954"/>
        <v>74</v>
      </c>
      <c r="OD114" s="45">
        <f t="shared" si="1224"/>
        <v>2.8039999999999998</v>
      </c>
      <c r="OE114" s="45">
        <f t="shared" si="955"/>
        <v>1</v>
      </c>
      <c r="OF114" s="45">
        <f t="shared" si="956"/>
        <v>2</v>
      </c>
      <c r="OG114" s="46">
        <f t="shared" si="957"/>
        <v>0</v>
      </c>
      <c r="OH114" s="46" cm="1">
        <f t="array" ref="OH114">ROUND(IFERROR(INDEX(ArchiveResults!$F$5:$IX$116,ComparisonData!A114,ComparisonData!$OH$1),0),5)</f>
        <v>0</v>
      </c>
      <c r="OI114" s="46" cm="1">
        <f t="array" ref="OI114">ROUND(IFERROR(INDEX(ArchiveResults!$F$5:$IX$116,ComparisonData!A114,ComparisonData!$OI$1),0),5)</f>
        <v>0</v>
      </c>
      <c r="OJ114" s="46" cm="1">
        <f t="array" ref="OJ114">ROUND(IFERROR(INDEX(ArchiveResults!$F$5:$IX$116,ComparisonData!A114,ComparisonData!$OJ$1),0),5)</f>
        <v>0</v>
      </c>
      <c r="OK114" s="46" cm="1">
        <f t="array" ref="OK114">ROUND(IFERROR(INDEX(ArchiveResults!$F$5:$IX$116,ComparisonData!A114,ComparisonData!$OK$1),0),5)</f>
        <v>0</v>
      </c>
      <c r="OL114" s="45" cm="1">
        <f t="array" ref="OL114">IFERROR(INDEX(ArchiveResults!$F$5:$IX$116,ComparisonData!A114,ComparisonData!$OL$1),0)</f>
        <v>0</v>
      </c>
      <c r="OM114" s="56">
        <v>109</v>
      </c>
      <c r="ON114" s="53" t="str">
        <f t="shared" si="1225"/>
        <v>West Yorkshire Archive Service, Calderdale</v>
      </c>
      <c r="OO114" s="59">
        <f t="shared" si="958"/>
        <v>0</v>
      </c>
      <c r="OP114" s="59">
        <f t="shared" si="959"/>
        <v>0</v>
      </c>
      <c r="OQ114" s="59">
        <f t="shared" si="960"/>
        <v>0</v>
      </c>
      <c r="OR114" s="59">
        <f t="shared" si="961"/>
        <v>0</v>
      </c>
      <c r="OS114" s="59">
        <f t="shared" si="962"/>
        <v>0</v>
      </c>
      <c r="OT114" s="58">
        <f t="shared" si="963"/>
        <v>0</v>
      </c>
      <c r="OU114" s="45">
        <f t="shared" si="964"/>
        <v>74</v>
      </c>
      <c r="OV114" s="45">
        <f t="shared" si="1226"/>
        <v>2.8039999999999998</v>
      </c>
      <c r="OW114" s="45">
        <f t="shared" si="965"/>
        <v>1</v>
      </c>
      <c r="OX114" s="45">
        <f t="shared" si="966"/>
        <v>2</v>
      </c>
      <c r="OY114" s="45">
        <f t="shared" si="967"/>
        <v>0</v>
      </c>
      <c r="OZ114" s="46" cm="1">
        <f t="array" ref="OZ114">ROUND(IFERROR(INDEX(ArchiveResults!$F$5:$IX$116,ComparisonData!A114,ComparisonData!$OZ$1),0),5)</f>
        <v>0</v>
      </c>
      <c r="PA114" s="46" cm="1">
        <f t="array" ref="PA114">ROUND(IFERROR(INDEX(ArchiveResults!$F$5:$IX$116,ComparisonData!A114,ComparisonData!$PA$1),0),5)</f>
        <v>0</v>
      </c>
      <c r="PB114" s="46" cm="1">
        <f t="array" ref="PB114">ROUND(IFERROR(INDEX(ArchiveResults!$F$5:$IX$116,ComparisonData!A114,ComparisonData!$PB$1),0),5)</f>
        <v>0</v>
      </c>
      <c r="PC114" s="46" cm="1">
        <f t="array" ref="PC114">ROUND(IFERROR(INDEX(ArchiveResults!$F$5:$IX$116,ComparisonData!A114,ComparisonData!$PC$1),0),5)</f>
        <v>0</v>
      </c>
      <c r="PD114" s="45" cm="1">
        <f t="array" ref="PD114">IFERROR(INDEX(ArchiveResults!$F$5:$IX$116,ComparisonData!A114,ComparisonData!$PD$1),0)</f>
        <v>0</v>
      </c>
      <c r="PE114" s="56">
        <v>109</v>
      </c>
      <c r="PF114" s="53" t="str">
        <f t="shared" si="1227"/>
        <v>West Yorkshire Archive Service, Calderdale</v>
      </c>
      <c r="PG114" s="59">
        <f t="shared" si="968"/>
        <v>0</v>
      </c>
      <c r="PH114" s="59">
        <f t="shared" si="969"/>
        <v>0</v>
      </c>
      <c r="PI114" s="59">
        <f t="shared" si="970"/>
        <v>0</v>
      </c>
      <c r="PJ114" s="59">
        <f t="shared" si="971"/>
        <v>0</v>
      </c>
      <c r="PK114" s="59">
        <f t="shared" si="972"/>
        <v>0</v>
      </c>
      <c r="PL114" s="58">
        <f t="shared" si="973"/>
        <v>0</v>
      </c>
      <c r="PM114" s="45">
        <f t="shared" si="974"/>
        <v>74</v>
      </c>
      <c r="PN114" s="45">
        <f t="shared" si="1228"/>
        <v>2.8039999999999998</v>
      </c>
      <c r="PO114" s="45">
        <f t="shared" si="975"/>
        <v>1</v>
      </c>
      <c r="PP114" s="45">
        <f t="shared" si="976"/>
        <v>2</v>
      </c>
      <c r="PQ114" s="45">
        <f t="shared" si="977"/>
        <v>0</v>
      </c>
      <c r="PR114" s="46" cm="1">
        <f t="array" ref="PR114">ROUND(IFERROR(INDEX(ArchiveResults!$F$5:$IX$116,ComparisonData!A114,ComparisonData!$PR$1),0),5)</f>
        <v>0</v>
      </c>
      <c r="PS114" s="46" cm="1">
        <f t="array" ref="PS114">ROUND(IFERROR(INDEX(ArchiveResults!$F$5:$IX$116,ComparisonData!A114,ComparisonData!$PS$1),0),5)</f>
        <v>0</v>
      </c>
      <c r="PT114" s="46" cm="1">
        <f t="array" ref="PT114">ROUND(IFERROR(INDEX(ArchiveResults!$F$5:$IX$116,ComparisonData!A114,ComparisonData!$PT$1),0),5)</f>
        <v>0</v>
      </c>
      <c r="PU114" s="46" cm="1">
        <f t="array" ref="PU114">ROUND(IFERROR(INDEX(ArchiveResults!$F$5:$IX$116,ComparisonData!A114,ComparisonData!$PU$1),0),5)</f>
        <v>0</v>
      </c>
      <c r="PV114" s="45" cm="1">
        <f t="array" ref="PV114">IFERROR(INDEX(ArchiveResults!$F$5:$IX$116,ComparisonData!A114,ComparisonData!$PV$1),0)</f>
        <v>0</v>
      </c>
      <c r="PW114" s="56">
        <v>109</v>
      </c>
      <c r="PX114" s="53" t="str">
        <f t="shared" si="1229"/>
        <v>West Yorkshire Archive Service, Calderdale</v>
      </c>
      <c r="PY114" s="59">
        <f t="shared" si="978"/>
        <v>0</v>
      </c>
      <c r="PZ114" s="59">
        <f t="shared" si="979"/>
        <v>0</v>
      </c>
      <c r="QA114" s="59">
        <f t="shared" si="980"/>
        <v>0</v>
      </c>
      <c r="QB114" s="59">
        <f t="shared" si="981"/>
        <v>0</v>
      </c>
      <c r="QC114" s="59">
        <f t="shared" si="982"/>
        <v>0</v>
      </c>
      <c r="QD114" s="58">
        <f t="shared" si="983"/>
        <v>0</v>
      </c>
      <c r="QE114" s="45">
        <f t="shared" si="984"/>
        <v>74</v>
      </c>
      <c r="QF114" s="45">
        <f t="shared" si="1230"/>
        <v>2.8039999999999998</v>
      </c>
      <c r="QG114" s="45">
        <f t="shared" si="985"/>
        <v>1</v>
      </c>
      <c r="QH114" s="45">
        <f t="shared" si="986"/>
        <v>2</v>
      </c>
      <c r="QI114" s="45">
        <f t="shared" si="987"/>
        <v>0</v>
      </c>
      <c r="QJ114" s="46" cm="1">
        <f t="array" ref="QJ114">ROUND(IFERROR(INDEX(ArchiveResults!$F$5:$IX$116,ComparisonData!A114,ComparisonData!$QJ$1),0),5)</f>
        <v>0</v>
      </c>
      <c r="QK114" s="46" cm="1">
        <f t="array" ref="QK114">ROUND(IFERROR(INDEX(ArchiveResults!$F$5:$IX$116,ComparisonData!A114,ComparisonData!$QK$1),0),5)</f>
        <v>0</v>
      </c>
      <c r="QL114" s="46" cm="1">
        <f t="array" ref="QL114">ROUND(IFERROR(INDEX(ArchiveResults!$F$5:$IX$116,ComparisonData!A114,ComparisonData!$QL$1),0),5)</f>
        <v>0</v>
      </c>
      <c r="QM114" s="46" cm="1">
        <f t="array" ref="QM114">ROUND(IFERROR(INDEX(ArchiveResults!$F$5:$IX$116,ComparisonData!A114,ComparisonData!$QM$1),0),5)</f>
        <v>0</v>
      </c>
      <c r="QN114" s="45" cm="1">
        <f t="array" ref="QN114">IFERROR(INDEX(ArchiveResults!$F$5:$IX$116,ComparisonData!A114,ComparisonData!$QN$1),0)</f>
        <v>0</v>
      </c>
      <c r="QO114" s="56">
        <v>109</v>
      </c>
      <c r="QP114" s="53" t="str">
        <f t="shared" si="1231"/>
        <v>West Yorkshire Archive Service, Calderdale</v>
      </c>
      <c r="QQ114" s="59">
        <f t="shared" si="988"/>
        <v>0</v>
      </c>
      <c r="QR114" s="59">
        <f t="shared" si="989"/>
        <v>0</v>
      </c>
      <c r="QS114" s="59">
        <f t="shared" si="990"/>
        <v>0</v>
      </c>
      <c r="QT114" s="59">
        <f t="shared" si="991"/>
        <v>0</v>
      </c>
      <c r="QU114" s="59">
        <f t="shared" si="992"/>
        <v>0</v>
      </c>
      <c r="QV114" s="58">
        <f t="shared" si="993"/>
        <v>0</v>
      </c>
      <c r="QW114" s="45">
        <f t="shared" si="994"/>
        <v>74</v>
      </c>
      <c r="QX114" s="45">
        <f t="shared" si="1232"/>
        <v>2.8039999999999998</v>
      </c>
      <c r="QY114" s="45">
        <f t="shared" si="995"/>
        <v>1</v>
      </c>
      <c r="QZ114" s="45">
        <f t="shared" si="996"/>
        <v>2</v>
      </c>
      <c r="RA114" s="45">
        <f t="shared" si="997"/>
        <v>0</v>
      </c>
      <c r="RB114" s="46" cm="1">
        <f t="array" ref="RB114">ROUND(IFERROR(INDEX(ArchiveResults!$F$5:$IX$116,ComparisonData!A114,ComparisonData!$RB$1),0),5)</f>
        <v>0</v>
      </c>
      <c r="RC114" s="46" cm="1">
        <f t="array" ref="RC114">ROUND(IFERROR(INDEX(ArchiveResults!$F$5:$IX$116,ComparisonData!A114,ComparisonData!$RC$1),0),5)</f>
        <v>0</v>
      </c>
      <c r="RD114" s="46" cm="1">
        <f t="array" ref="RD114">ROUND(IFERROR(INDEX(ArchiveResults!$F$5:$IX$116,ComparisonData!A114,ComparisonData!$RD$1),0),5)</f>
        <v>0</v>
      </c>
      <c r="RE114" s="46" cm="1">
        <f t="array" ref="RE114">ROUND(IFERROR(INDEX(ArchiveResults!$F$5:$IX$116,ComparisonData!A114,ComparisonData!$RE$1),0),5)</f>
        <v>0</v>
      </c>
      <c r="RF114" s="45" cm="1">
        <f t="array" ref="RF114">IFERROR(INDEX(ArchiveResults!$F$5:$IX$116,ComparisonData!A114,ComparisonData!$RF$1),0)</f>
        <v>0</v>
      </c>
      <c r="RG114" s="56">
        <v>109</v>
      </c>
      <c r="RH114" s="53" t="str">
        <f t="shared" si="1233"/>
        <v>West Yorkshire Archive Service, Calderdale</v>
      </c>
      <c r="RI114" s="59">
        <f t="shared" si="998"/>
        <v>0</v>
      </c>
      <c r="RJ114" s="59">
        <f t="shared" si="999"/>
        <v>0</v>
      </c>
      <c r="RK114" s="59">
        <f t="shared" si="1000"/>
        <v>0</v>
      </c>
      <c r="RL114" s="59">
        <f t="shared" si="1001"/>
        <v>0</v>
      </c>
      <c r="RM114" s="59">
        <f t="shared" si="1002"/>
        <v>0</v>
      </c>
      <c r="RN114" s="58">
        <f t="shared" si="1003"/>
        <v>0</v>
      </c>
      <c r="RO114" s="45">
        <f t="shared" si="1004"/>
        <v>74</v>
      </c>
      <c r="RP114" s="45">
        <f t="shared" si="1234"/>
        <v>2.8039999999999998</v>
      </c>
      <c r="RQ114" s="45">
        <f t="shared" si="1005"/>
        <v>1</v>
      </c>
      <c r="RR114" s="45">
        <f t="shared" si="1006"/>
        <v>2</v>
      </c>
      <c r="RS114" s="45">
        <f t="shared" si="1007"/>
        <v>0</v>
      </c>
      <c r="RT114" s="46" cm="1">
        <f t="array" ref="RT114">ROUND(IFERROR(INDEX(ArchiveResults!$F$5:$IX$116,ComparisonData!A114,ComparisonData!$RT$1),0),5)</f>
        <v>0</v>
      </c>
      <c r="RU114" s="46" cm="1">
        <f t="array" ref="RU114">ROUND(IFERROR(INDEX(ArchiveResults!$F$5:$IX$116,ComparisonData!A114,ComparisonData!$RU$1),0),5)</f>
        <v>0</v>
      </c>
      <c r="RV114" s="46" cm="1">
        <f t="array" ref="RV114">ROUND(IFERROR(INDEX(ArchiveResults!$F$5:$IX$116,ComparisonData!A114,ComparisonData!$RV$1),0),5)</f>
        <v>0</v>
      </c>
      <c r="RW114" s="46" cm="1">
        <f t="array" ref="RW114">ROUND(IFERROR(INDEX(ArchiveResults!$F$5:$IX$116,ComparisonData!A114,ComparisonData!$RW$1),0),5)</f>
        <v>0</v>
      </c>
      <c r="RX114" s="45" cm="1">
        <f t="array" ref="RX114">IFERROR(INDEX(ArchiveResults!$F$5:$IX$116,ComparisonData!A114,ComparisonData!$RX$1),0)</f>
        <v>0</v>
      </c>
      <c r="RY114" s="56">
        <v>109</v>
      </c>
      <c r="RZ114" s="53" t="str">
        <f t="shared" si="1235"/>
        <v>West Yorkshire Archive Service, Calderdale</v>
      </c>
      <c r="SA114" s="59">
        <f t="shared" si="1008"/>
        <v>0</v>
      </c>
      <c r="SB114" s="59">
        <f t="shared" si="1009"/>
        <v>0</v>
      </c>
      <c r="SC114" s="59">
        <f t="shared" si="1010"/>
        <v>0</v>
      </c>
      <c r="SD114" s="59">
        <f t="shared" si="1011"/>
        <v>0</v>
      </c>
      <c r="SE114" s="59">
        <f t="shared" si="1012"/>
        <v>0</v>
      </c>
      <c r="SF114" s="58">
        <f t="shared" si="1013"/>
        <v>0</v>
      </c>
      <c r="SG114" s="45">
        <f t="shared" si="1014"/>
        <v>74</v>
      </c>
      <c r="SH114" s="45">
        <f t="shared" si="1236"/>
        <v>2.8039999999999998</v>
      </c>
      <c r="SI114" s="45">
        <f t="shared" si="1015"/>
        <v>1</v>
      </c>
      <c r="SJ114" s="45">
        <f t="shared" si="1016"/>
        <v>2</v>
      </c>
      <c r="SK114" s="45">
        <f t="shared" si="1017"/>
        <v>0</v>
      </c>
      <c r="SL114" s="46" cm="1">
        <f t="array" ref="SL114">ROUND(IFERROR(INDEX(ArchiveResults!$F$5:$IX$116,ComparisonData!A114,ComparisonData!$SL$1),0),5)</f>
        <v>0</v>
      </c>
      <c r="SM114" s="46" cm="1">
        <f t="array" ref="SM114">ROUND(IFERROR(INDEX(ArchiveResults!$F$5:$IX$116,ComparisonData!A114,ComparisonData!$SM$1),0),5)</f>
        <v>0</v>
      </c>
      <c r="SN114" s="46" cm="1">
        <f t="array" ref="SN114">ROUND(IFERROR(INDEX(ArchiveResults!$F$5:$IX$116,ComparisonData!A114,ComparisonData!$SN$1),0),5)</f>
        <v>0</v>
      </c>
      <c r="SO114" s="46" cm="1">
        <f t="array" ref="SO114">ROUND(IFERROR(INDEX(ArchiveResults!$F$5:$IX$116,ComparisonData!A114,ComparisonData!$SO$1),0),5)</f>
        <v>0</v>
      </c>
      <c r="SP114" s="45" cm="1">
        <f t="array" ref="SP114">IFERROR(INDEX(ArchiveResults!$F$5:$IX$116,ComparisonData!A114,ComparisonData!$SP$1),0)</f>
        <v>0</v>
      </c>
      <c r="SQ114" s="56">
        <v>109</v>
      </c>
      <c r="SR114" s="53" t="str">
        <f t="shared" si="1237"/>
        <v>West Yorkshire Archive Service, Calderdale</v>
      </c>
      <c r="SS114" s="59">
        <f t="shared" si="1018"/>
        <v>0</v>
      </c>
      <c r="ST114" s="59">
        <f t="shared" si="1019"/>
        <v>0</v>
      </c>
      <c r="SU114" s="59">
        <f t="shared" si="1020"/>
        <v>0</v>
      </c>
      <c r="SV114" s="59">
        <f t="shared" si="1021"/>
        <v>0</v>
      </c>
      <c r="SW114" s="59">
        <f t="shared" si="1022"/>
        <v>0</v>
      </c>
      <c r="SX114" s="58">
        <f t="shared" si="1023"/>
        <v>0</v>
      </c>
      <c r="SY114" s="45">
        <f t="shared" si="1024"/>
        <v>74</v>
      </c>
      <c r="SZ114" s="45">
        <f t="shared" si="1238"/>
        <v>2.8039999999999998</v>
      </c>
      <c r="TA114" s="45">
        <f t="shared" si="1025"/>
        <v>1</v>
      </c>
      <c r="TB114" s="45">
        <f t="shared" si="1026"/>
        <v>2</v>
      </c>
      <c r="TC114" s="45">
        <f t="shared" si="1027"/>
        <v>0</v>
      </c>
      <c r="TD114" s="46" cm="1">
        <f t="array" ref="TD114">ROUND(IFERROR(INDEX(ArchiveResults!$F$5:$IX$116,ComparisonData!A114,ComparisonData!$TD$1),0),5)</f>
        <v>0</v>
      </c>
      <c r="TE114" s="46" cm="1">
        <f t="array" ref="TE114">ROUND(IFERROR(INDEX(ArchiveResults!$F$5:$IX$116,ComparisonData!A114,ComparisonData!$TE$1),0),5)</f>
        <v>0</v>
      </c>
      <c r="TF114" s="46" cm="1">
        <f t="array" ref="TF114">ROUND(IFERROR(INDEX(ArchiveResults!$F$5:$IX$116,ComparisonData!A114,ComparisonData!$TF$1),0),5)</f>
        <v>0</v>
      </c>
      <c r="TG114" s="46" cm="1">
        <f t="array" ref="TG114">ROUND(IFERROR(INDEX(ArchiveResults!$F$5:$IX$116,ComparisonData!A114,ComparisonData!$TG$1),0),5)</f>
        <v>0</v>
      </c>
      <c r="TH114" s="45" cm="1">
        <f t="array" ref="TH114">IFERROR(INDEX(ArchiveResults!$F$5:$IX$116,ComparisonData!A114,ComparisonData!$TH$1),0)</f>
        <v>0</v>
      </c>
      <c r="TI114" s="56">
        <v>109</v>
      </c>
      <c r="TJ114" s="53" t="str">
        <f t="shared" si="1239"/>
        <v>West Yorkshire Archive Service, Calderdale</v>
      </c>
      <c r="TK114" s="59">
        <f t="shared" si="1028"/>
        <v>0</v>
      </c>
      <c r="TL114" s="59">
        <f t="shared" si="1029"/>
        <v>0</v>
      </c>
      <c r="TM114" s="59">
        <f t="shared" si="1030"/>
        <v>0</v>
      </c>
      <c r="TN114" s="59">
        <f t="shared" si="1031"/>
        <v>0</v>
      </c>
      <c r="TO114" s="59">
        <f t="shared" si="1032"/>
        <v>0</v>
      </c>
      <c r="TP114" s="58">
        <f t="shared" si="1033"/>
        <v>0</v>
      </c>
      <c r="TQ114" s="45">
        <f t="shared" si="1034"/>
        <v>74</v>
      </c>
      <c r="TR114" s="45">
        <f t="shared" si="1240"/>
        <v>2.8039999999999998</v>
      </c>
      <c r="TS114" s="45">
        <f t="shared" si="1035"/>
        <v>1</v>
      </c>
      <c r="TT114" s="45">
        <f t="shared" si="1036"/>
        <v>2</v>
      </c>
      <c r="TU114" s="45">
        <f t="shared" si="1037"/>
        <v>0</v>
      </c>
      <c r="TV114" s="46" cm="1">
        <f t="array" ref="TV114">ROUND(IFERROR(INDEX(ArchiveResults!$F$5:$IX$116,ComparisonData!A114,ComparisonData!$TV$1),0),5)</f>
        <v>0</v>
      </c>
      <c r="TW114" s="46" cm="1">
        <f t="array" ref="TW114">ROUND(IFERROR(INDEX(ArchiveResults!$F$5:$IX$116,ComparisonData!A114,ComparisonData!$TW$1),0),5)</f>
        <v>0</v>
      </c>
      <c r="TX114" s="46" cm="1">
        <f t="array" ref="TX114">ROUND(IFERROR(INDEX(ArchiveResults!$F$5:$IX$116,ComparisonData!A114,ComparisonData!$TX$1),0),5)</f>
        <v>0</v>
      </c>
      <c r="TY114" s="46" cm="1">
        <f t="array" ref="TY114">ROUND(IFERROR(INDEX(ArchiveResults!$F$5:$IX$116,ComparisonData!A114,ComparisonData!$TY$1),0),5)</f>
        <v>0</v>
      </c>
      <c r="TZ114" s="45" cm="1">
        <f t="array" ref="TZ114">IFERROR(INDEX(ArchiveResults!$F$5:$IX$116,ComparisonData!A114,ComparisonData!$TZ$1),0)</f>
        <v>0</v>
      </c>
      <c r="UA114" s="56">
        <v>109</v>
      </c>
      <c r="UB114" s="53" t="str">
        <f t="shared" si="1241"/>
        <v>West Yorkshire Archive Service, Calderdale</v>
      </c>
      <c r="UC114" s="60">
        <f t="shared" si="1038"/>
        <v>0</v>
      </c>
      <c r="UD114" s="60">
        <f t="shared" si="1039"/>
        <v>0</v>
      </c>
      <c r="UE114" s="60">
        <f t="shared" si="1040"/>
        <v>0</v>
      </c>
      <c r="UF114" s="60">
        <f t="shared" si="1041"/>
        <v>0</v>
      </c>
      <c r="UG114" s="60">
        <f t="shared" si="1042"/>
        <v>0</v>
      </c>
      <c r="UH114" s="58">
        <f t="shared" si="1043"/>
        <v>0</v>
      </c>
      <c r="UI114" s="46">
        <f t="shared" si="1044"/>
        <v>74</v>
      </c>
      <c r="UJ114" s="46">
        <f t="shared" si="1242"/>
        <v>2.8039999999999998</v>
      </c>
      <c r="UK114" s="46">
        <f t="shared" si="1045"/>
        <v>1</v>
      </c>
      <c r="UL114" s="46">
        <f t="shared" si="1046"/>
        <v>2</v>
      </c>
      <c r="UM114" s="46" cm="1">
        <f t="array" ref="UM114">ROUND(IFERROR(INDEX(ArchiveResults!$F$5:$IX$116,ComparisonData!A114,ComparisonData!$UM$1),0),5)</f>
        <v>0</v>
      </c>
      <c r="UN114" s="56">
        <v>109</v>
      </c>
      <c r="UO114" s="53" t="str">
        <f t="shared" si="1243"/>
        <v>West Yorkshire Archive Service, Calderdale</v>
      </c>
      <c r="UP114" s="46">
        <f t="shared" si="1047"/>
        <v>0</v>
      </c>
      <c r="UQ114" s="76">
        <f t="shared" si="1048"/>
        <v>0</v>
      </c>
      <c r="UR114" s="46">
        <f t="shared" si="1049"/>
        <v>74</v>
      </c>
      <c r="US114" s="46">
        <f t="shared" si="1244"/>
        <v>2.8039999999999998</v>
      </c>
      <c r="UT114" s="46">
        <f t="shared" si="1050"/>
        <v>1</v>
      </c>
      <c r="UU114" s="46">
        <f t="shared" si="1051"/>
        <v>2</v>
      </c>
      <c r="UV114" s="46">
        <f t="shared" si="1052"/>
        <v>0</v>
      </c>
      <c r="UW114" s="46" cm="1">
        <f t="array" ref="UW114">ROUND(IFERROR(INDEX(ArchiveResults!$F$5:$IX$116,ComparisonData!A114,ComparisonData!$UW$1),0),5)</f>
        <v>0</v>
      </c>
      <c r="UX114" s="46" cm="1">
        <f t="array" ref="UX114">ROUND(IFERROR(INDEX(ArchiveResults!$F$5:$IX$116,ComparisonData!A114,ComparisonData!$UX$1),0),5)</f>
        <v>0</v>
      </c>
      <c r="UY114" s="46" cm="1">
        <f t="array" ref="UY114">ROUND(IFERROR(INDEX(ArchiveResults!$F$5:$IX$116,ComparisonData!A114,ComparisonData!$UY$1),0),5)</f>
        <v>0</v>
      </c>
      <c r="UZ114" s="46" cm="1">
        <f t="array" ref="UZ114">ROUND(IFERROR(INDEX(ArchiveResults!$F$5:$IX$116,ComparisonData!A114,ComparisonData!$UZ$1),0),5)</f>
        <v>0</v>
      </c>
      <c r="VA114" s="46" cm="1">
        <f t="array" ref="VA114">ROUND(IFERROR(INDEX(ArchiveResults!$F$5:$IX$116,ComparisonData!A114,ComparisonData!$VA$1),0),5)</f>
        <v>0</v>
      </c>
      <c r="VB114" s="56">
        <v>109</v>
      </c>
      <c r="VC114" s="53" t="str">
        <f t="shared" si="1245"/>
        <v>West Yorkshire Archive Service, Calderdale</v>
      </c>
      <c r="VD114" s="60">
        <f t="shared" si="1053"/>
        <v>0</v>
      </c>
      <c r="VE114" s="60">
        <f t="shared" si="1054"/>
        <v>0</v>
      </c>
      <c r="VF114" s="60">
        <f t="shared" si="1055"/>
        <v>0</v>
      </c>
      <c r="VG114" s="60">
        <f t="shared" si="1056"/>
        <v>0</v>
      </c>
      <c r="VH114" s="60">
        <f t="shared" si="1057"/>
        <v>0</v>
      </c>
      <c r="VI114" s="76">
        <f t="shared" si="1058"/>
        <v>0</v>
      </c>
      <c r="VJ114" s="46">
        <f t="shared" si="1059"/>
        <v>74</v>
      </c>
      <c r="VK114" s="46">
        <f t="shared" si="1246"/>
        <v>2.8039999999999998</v>
      </c>
      <c r="VL114" s="46">
        <f t="shared" si="1060"/>
        <v>1</v>
      </c>
      <c r="VM114" s="46">
        <f t="shared" si="1061"/>
        <v>2</v>
      </c>
      <c r="VN114" s="46" cm="1">
        <f t="array" ref="VN114">ROUND(IFERROR(INDEX(ArchiveResults!$F$5:$IX$116,ComparisonData!A114,ComparisonData!$VN$1),0),5)</f>
        <v>0</v>
      </c>
      <c r="VO114" s="46" cm="1">
        <f t="array" ref="VO114">ROUND(IFERROR(INDEX(ArchiveResults!$F$5:$IX$116,ComparisonData!A114,ComparisonData!$VO$1),0),5)</f>
        <v>0</v>
      </c>
      <c r="VP114" s="46" cm="1">
        <f t="array" ref="VP114">ROUND(IFERROR(INDEX(ArchiveResults!$F$5:$IX$116,ComparisonData!A114,ComparisonData!$VP$1),0),5)</f>
        <v>0</v>
      </c>
      <c r="VQ114" s="46" cm="1">
        <f t="array" ref="VQ114">ROUND(IFERROR(INDEX(ArchiveResults!$F$5:$IX$116,ComparisonData!A114,ComparisonData!$VQ$1),0),5)</f>
        <v>0</v>
      </c>
      <c r="VR114" s="56">
        <v>109</v>
      </c>
      <c r="VS114" s="53" t="str">
        <f t="shared" si="1247"/>
        <v>West Yorkshire Archive Service, Calderdale</v>
      </c>
      <c r="VT114" s="60">
        <f t="shared" si="1062"/>
        <v>0</v>
      </c>
      <c r="VU114" s="60">
        <f t="shared" si="1063"/>
        <v>0</v>
      </c>
      <c r="VV114" s="60">
        <f t="shared" si="1064"/>
        <v>0</v>
      </c>
      <c r="VW114" s="60">
        <f t="shared" si="1065"/>
        <v>0</v>
      </c>
      <c r="VX114" s="76">
        <f t="shared" si="1066"/>
        <v>0</v>
      </c>
      <c r="VY114" s="46">
        <f t="shared" si="1067"/>
        <v>74</v>
      </c>
      <c r="VZ114" s="46">
        <f t="shared" si="1248"/>
        <v>2.8039999999999998</v>
      </c>
      <c r="WA114" s="46">
        <f t="shared" si="1068"/>
        <v>1</v>
      </c>
      <c r="WB114" s="46">
        <f t="shared" si="1069"/>
        <v>2</v>
      </c>
      <c r="WC114" s="46" cm="1">
        <f t="array" ref="WC114">ROUND(IFERROR(INDEX(ArchiveResults!$F$5:$IX$116,ComparisonData!A114,ComparisonData!$WC$1),0),5)</f>
        <v>0</v>
      </c>
      <c r="WD114" s="56">
        <v>109</v>
      </c>
      <c r="WE114" s="53" t="str">
        <f t="shared" si="1249"/>
        <v>West Yorkshire Archive Service, Calderdale</v>
      </c>
      <c r="WF114" s="46">
        <f t="shared" si="1070"/>
        <v>0</v>
      </c>
      <c r="WG114" s="76">
        <f t="shared" si="1071"/>
        <v>0</v>
      </c>
      <c r="WH114" s="46">
        <f t="shared" si="1072"/>
        <v>74</v>
      </c>
      <c r="WI114" s="46">
        <f t="shared" si="1250"/>
        <v>2.8039999999999998</v>
      </c>
      <c r="WJ114" s="46">
        <f t="shared" si="1073"/>
        <v>1</v>
      </c>
      <c r="WK114" s="46">
        <f t="shared" si="1074"/>
        <v>2</v>
      </c>
      <c r="WL114" s="46" cm="1">
        <f t="array" ref="WL114">ROUND(IFERROR(INDEX(ArchiveResults!$F$5:$IX$116,ComparisonData!A114,ComparisonData!$WL$1),0),5)</f>
        <v>0</v>
      </c>
      <c r="WM114" s="46" cm="1">
        <f t="array" ref="WM114">IFERROR(INDEX(ArchiveResults!$F$5:$IX$116,ComparisonData!A114,ComparisonData!$WM$1),0)</f>
        <v>0</v>
      </c>
      <c r="WN114" s="56">
        <v>109</v>
      </c>
      <c r="WO114" s="53" t="str">
        <f t="shared" si="1251"/>
        <v>West Yorkshire Archive Service, Calderdale</v>
      </c>
      <c r="WP114" s="60">
        <f t="shared" si="1075"/>
        <v>0</v>
      </c>
      <c r="WQ114" s="60">
        <f t="shared" si="1076"/>
        <v>0</v>
      </c>
      <c r="WR114" s="76">
        <f t="shared" si="1077"/>
        <v>0</v>
      </c>
      <c r="WS114" s="46">
        <f t="shared" si="1078"/>
        <v>74</v>
      </c>
      <c r="WT114" s="46">
        <f t="shared" si="1252"/>
        <v>2.8039999999999998</v>
      </c>
      <c r="WU114" s="46">
        <f t="shared" si="1079"/>
        <v>1</v>
      </c>
      <c r="WV114" s="46">
        <f t="shared" si="1080"/>
        <v>2</v>
      </c>
      <c r="WW114" s="46" cm="1">
        <f t="array" ref="WW114">ROUND(VALUE(IFERROR(INDEX(ArchiveResults!$F$5:$IX$116,ComparisonData!A114,ComparisonData!$WW$1),0)),5)</f>
        <v>0</v>
      </c>
      <c r="WX114" s="46" cm="1">
        <f t="array" ref="WX114">ROUND(IFERROR(INDEX(ArchiveResults!$F$5:$IX$116,ComparisonData!A114,ComparisonData!$WX$1),0),5)</f>
        <v>0</v>
      </c>
      <c r="WY114" s="56">
        <v>109</v>
      </c>
      <c r="WZ114" s="53" t="str">
        <f t="shared" si="1253"/>
        <v>West Yorkshire Archive Service, Calderdale</v>
      </c>
      <c r="XA114" s="60">
        <f t="shared" si="1254"/>
        <v>0</v>
      </c>
      <c r="XB114" s="60">
        <f t="shared" si="1255"/>
        <v>0</v>
      </c>
      <c r="XC114" s="76">
        <f t="shared" si="1081"/>
        <v>0</v>
      </c>
      <c r="XD114" s="46">
        <f t="shared" si="1082"/>
        <v>74</v>
      </c>
      <c r="XE114" s="46">
        <f t="shared" si="1256"/>
        <v>2.8039999999999998</v>
      </c>
      <c r="XF114" s="46">
        <f t="shared" si="1083"/>
        <v>1</v>
      </c>
      <c r="XG114" s="46">
        <f t="shared" si="1084"/>
        <v>2</v>
      </c>
      <c r="XH114" s="46" cm="1">
        <f t="array" ref="XH114">ROUND(VALUE(IFERROR(INDEX(ArchiveResults!$F$5:$IX$116,ComparisonData!A114,ComparisonData!$XH$1),0)),5)</f>
        <v>0</v>
      </c>
      <c r="XI114" s="46" cm="1">
        <f t="array" ref="XI114">ROUND(VALUE(IFERROR(INDEX(ArchiveResults!$F$5:$IX$116,ComparisonData!A114,ComparisonData!$XI$1),0)),5)</f>
        <v>0</v>
      </c>
      <c r="XJ114" s="56">
        <v>109</v>
      </c>
      <c r="XK114" s="53" t="str">
        <f t="shared" si="1257"/>
        <v>West Yorkshire Archive Service, Calderdale</v>
      </c>
      <c r="XL114" s="60">
        <f t="shared" si="1085"/>
        <v>0</v>
      </c>
      <c r="XM114" s="60">
        <f t="shared" si="1086"/>
        <v>0</v>
      </c>
      <c r="XN114" s="76">
        <f t="shared" si="1087"/>
        <v>0</v>
      </c>
      <c r="XO114" s="46">
        <f t="shared" si="1088"/>
        <v>74</v>
      </c>
      <c r="XP114" s="46">
        <f t="shared" si="1258"/>
        <v>2.8039999999999998</v>
      </c>
      <c r="XQ114" s="46">
        <f t="shared" si="1089"/>
        <v>1</v>
      </c>
      <c r="XR114" s="46">
        <f t="shared" si="1090"/>
        <v>2</v>
      </c>
      <c r="XS114" s="46" cm="1">
        <f t="array" ref="XS114">ROUND(VALUE(IFERROR(INDEX(ArchiveResults!$F$5:$IX$116,ComparisonData!A114,ComparisonData!$XS$1),0)),5)</f>
        <v>0</v>
      </c>
      <c r="XT114" s="46" cm="1">
        <f t="array" ref="XT114">ROUND(VALUE(IFERROR(INDEX(ArchiveResults!$F$5:$IX$116,ComparisonData!A114,ComparisonData!$XT$1),0)),5)</f>
        <v>0</v>
      </c>
      <c r="XU114" s="56">
        <v>109</v>
      </c>
      <c r="XV114" s="53" t="str">
        <f t="shared" si="1259"/>
        <v>West Yorkshire Archive Service, Calderdale</v>
      </c>
      <c r="XW114" s="60">
        <f t="shared" si="1091"/>
        <v>0</v>
      </c>
      <c r="XX114" s="60">
        <f t="shared" si="1092"/>
        <v>0</v>
      </c>
      <c r="XY114" s="76">
        <f t="shared" si="1093"/>
        <v>0</v>
      </c>
      <c r="XZ114" s="46">
        <f t="shared" si="1094"/>
        <v>74</v>
      </c>
      <c r="YA114" s="46">
        <f t="shared" si="1260"/>
        <v>2.8039999999999998</v>
      </c>
      <c r="YB114" s="46">
        <f t="shared" si="1095"/>
        <v>1</v>
      </c>
      <c r="YC114" s="46">
        <f t="shared" si="1096"/>
        <v>2</v>
      </c>
      <c r="YD114" s="46" cm="1">
        <f t="array" ref="YD114">ROUND(VALUE(IFERROR(INDEX(ArchiveResults!$F$5:$IX$116,ComparisonData!A114,ComparisonData!$YD$1),0)),5)</f>
        <v>0</v>
      </c>
      <c r="YE114" s="46" cm="1">
        <f t="array" ref="YE114">ROUND(VALUE(IFERROR(INDEX(ArchiveResults!$F$5:$IX$116,ComparisonData!A114,ComparisonData!$YE$1),0)),5)</f>
        <v>0</v>
      </c>
      <c r="YF114" s="56">
        <v>109</v>
      </c>
      <c r="YG114" s="53" t="str">
        <f t="shared" si="1261"/>
        <v>West Yorkshire Archive Service, Calderdale</v>
      </c>
      <c r="YH114" s="60">
        <f t="shared" si="1097"/>
        <v>0</v>
      </c>
      <c r="YI114" s="60">
        <f t="shared" si="1098"/>
        <v>0</v>
      </c>
      <c r="YJ114" s="76">
        <f t="shared" si="1099"/>
        <v>0</v>
      </c>
      <c r="YK114" s="46">
        <f t="shared" si="1100"/>
        <v>74</v>
      </c>
      <c r="YL114" s="46">
        <f t="shared" si="1262"/>
        <v>2.8039999999999998</v>
      </c>
      <c r="YM114" s="46">
        <f t="shared" si="1101"/>
        <v>1</v>
      </c>
      <c r="YN114" s="46">
        <f t="shared" si="1102"/>
        <v>2</v>
      </c>
      <c r="YO114" s="46" cm="1">
        <f t="array" ref="YO114">ROUND(VALUE(IFERROR(INDEX(ArchiveResults!$F$5:$IX$116,ComparisonData!A114,ComparisonData!$YO$1),0)),5)</f>
        <v>0</v>
      </c>
      <c r="YP114" s="46" cm="1">
        <f t="array" ref="YP114">ROUND(VALUE(IFERROR(INDEX(ArchiveResults!$F$5:$IX$116,ComparisonData!A114,ComparisonData!$YP$1),0)),5)</f>
        <v>0</v>
      </c>
      <c r="YQ114" s="56">
        <v>109</v>
      </c>
      <c r="YR114" s="53" t="str">
        <f t="shared" si="1263"/>
        <v>West Yorkshire Archive Service, Calderdale</v>
      </c>
      <c r="YS114" s="60">
        <f t="shared" si="1103"/>
        <v>0</v>
      </c>
      <c r="YT114" s="60">
        <f t="shared" si="1104"/>
        <v>0</v>
      </c>
      <c r="YU114" s="76">
        <f t="shared" si="1105"/>
        <v>0</v>
      </c>
      <c r="YV114" s="46">
        <f t="shared" si="1106"/>
        <v>74</v>
      </c>
      <c r="YW114" s="46">
        <f t="shared" si="1264"/>
        <v>2.8039999999999998</v>
      </c>
      <c r="YX114" s="46">
        <f t="shared" si="1107"/>
        <v>1</v>
      </c>
      <c r="YY114" s="46">
        <f t="shared" si="1108"/>
        <v>2</v>
      </c>
      <c r="YZ114" s="46">
        <f t="shared" si="1109"/>
        <v>0</v>
      </c>
      <c r="ZA114" s="89" cm="1">
        <f t="array" ref="ZA114">ROUNDDOWN(VALUE(IFERROR(INDEX(ArchiveResults!$F$5:$IX$116,ComparisonData!A114,ComparisonData!$ZA$1),0)),5)</f>
        <v>0</v>
      </c>
      <c r="ZB114" s="46" cm="1">
        <f t="array" ref="ZB114">ROUNDDOWN(VALUE(IFERROR(INDEX(ArchiveResults!$F$5:$IX$116,ComparisonData!A114,ComparisonData!$ZB$1),0)),5)</f>
        <v>0</v>
      </c>
      <c r="ZC114" s="46" cm="1">
        <f t="array" ref="ZC114">ROUNDDOWN(VALUE(IFERROR(INDEX(ArchiveResults!$F$5:$IX$116,ComparisonData!A114,ComparisonData!$ZC$1),0)),5)</f>
        <v>0</v>
      </c>
      <c r="ZD114" s="46" cm="1">
        <f t="array" ref="ZD114">ROUNDDOWN(VALUE(IFERROR(INDEX(ArchiveResults!$F$5:$IX$116,ComparisonData!A114,ComparisonData!$ZD$1),0)),5)</f>
        <v>0</v>
      </c>
      <c r="ZE114" s="46" cm="1">
        <f t="array" ref="ZE114">ROUNDDOWN(VALUE(IFERROR(INDEX(ArchiveResults!$F$5:$IX$116,ComparisonData!A114,ComparisonData!$ZE$1),0)),5)</f>
        <v>0</v>
      </c>
      <c r="ZF114" s="56">
        <v>109</v>
      </c>
      <c r="ZG114" s="53" t="str">
        <f t="shared" si="1265"/>
        <v>West Yorkshire Archive Service, Calderdale</v>
      </c>
      <c r="ZH114" s="60">
        <f t="shared" si="1110"/>
        <v>0</v>
      </c>
      <c r="ZI114" s="60">
        <f t="shared" si="1111"/>
        <v>0</v>
      </c>
      <c r="ZJ114" s="60">
        <f t="shared" si="1112"/>
        <v>0</v>
      </c>
      <c r="ZK114" s="60">
        <f t="shared" si="1113"/>
        <v>0</v>
      </c>
      <c r="ZL114" s="60">
        <f t="shared" si="1114"/>
        <v>0</v>
      </c>
      <c r="ZM114" s="76">
        <f t="shared" si="1115"/>
        <v>0</v>
      </c>
      <c r="ZN114" s="46">
        <f t="shared" si="1116"/>
        <v>74</v>
      </c>
      <c r="ZO114" s="46">
        <f t="shared" si="1266"/>
        <v>2.8039999999999998</v>
      </c>
      <c r="ZP114" s="46">
        <f t="shared" si="1117"/>
        <v>1</v>
      </c>
      <c r="ZQ114" s="46">
        <f t="shared" si="1118"/>
        <v>2</v>
      </c>
      <c r="ZR114" s="46" cm="1">
        <f t="array" ref="ZR114">ROUND(VALUE(IFERROR(INDEX(ArchiveResults!$F$5:$IX$116,ComparisonData!A114,ComparisonData!$ZR$1),0)),5)</f>
        <v>0</v>
      </c>
      <c r="ZS114" s="56">
        <v>109</v>
      </c>
      <c r="ZT114" s="53" t="str">
        <f t="shared" si="1267"/>
        <v>West Yorkshire Archive Service, Calderdale</v>
      </c>
      <c r="ZU114" s="46">
        <f t="shared" si="1119"/>
        <v>0</v>
      </c>
      <c r="ZV114" s="76">
        <f t="shared" si="1120"/>
        <v>0</v>
      </c>
      <c r="ZW114" s="81" cm="1">
        <f t="array" ref="ZW114">ROUND((IFERROR(INDEX(ArchiveResults!$F$5:$IX$116,ComparisonData!A114,ComparisonData!$ZW$1),0)),5)</f>
        <v>0</v>
      </c>
      <c r="ZX114" s="81" cm="1">
        <f t="array" ref="ZX114">ROUND((IFERROR(INDEX(ArchiveResults!$F$5:$IX$116,ComparisonData!A114,ComparisonData!$ZX$1),0)),5)</f>
        <v>0</v>
      </c>
      <c r="ZY114" s="81" cm="1">
        <f t="array" ref="ZY114">ROUND((IFERROR(INDEX(ArchiveResults!$F$5:$IX$116,ComparisonData!A114,ComparisonData!$ZY$1),0)),5)</f>
        <v>0</v>
      </c>
      <c r="ZZ114" s="81" cm="1">
        <f t="array" ref="ZZ114">ROUND((IFERROR(INDEX(ArchiveResults!$F$5:$IX$116,ComparisonData!A114,ComparisonData!$ZZ$1),0)),5)</f>
        <v>0</v>
      </c>
      <c r="AAA114" s="81" cm="1">
        <f t="array" ref="AAA114">ROUND((IFERROR(INDEX(ArchiveResults!$F$5:$IX$116,ComparisonData!A114,ComparisonData!$AAA$1),0)),5)</f>
        <v>0</v>
      </c>
      <c r="AAB114" s="81" cm="1">
        <f t="array" ref="AAB114">ROUND((IFERROR(INDEX(ArchiveResults!$F$5:$IX$116,ComparisonData!A114,ComparisonData!$AAB$1),0)),5)</f>
        <v>0</v>
      </c>
      <c r="AAC114" s="81" cm="1">
        <f t="array" ref="AAC114">ROUND((IFERROR(INDEX(ArchiveResults!$F$5:$IX$116,ComparisonData!A114,ComparisonData!$AAC$1),0)),5)</f>
        <v>0</v>
      </c>
      <c r="AAD114" s="81" cm="1">
        <f t="array" ref="AAD114">ROUND((IFERROR(INDEX(ArchiveResults!$F$5:$IX$116,ComparisonData!A114,ComparisonData!$AAD$1),0)),5)</f>
        <v>0</v>
      </c>
      <c r="AAE114" s="81" cm="1">
        <f t="array" ref="AAE114">ROUND((IFERROR(INDEX(ArchiveResults!$F$5:$IX$116,ComparisonData!A114,ComparisonData!$AAE$1),0)),5)</f>
        <v>0</v>
      </c>
      <c r="AAF114" s="81" cm="1">
        <f t="array" ref="AAF114">ROUND((IFERROR(INDEX(ArchiveResults!$F$5:$IX$116,ComparisonData!A114,ComparisonData!$AAF$1),0)),5)</f>
        <v>0</v>
      </c>
      <c r="AAG114" s="46">
        <f t="shared" si="1121"/>
        <v>74</v>
      </c>
      <c r="AAH114" s="46">
        <f t="shared" si="1268"/>
        <v>2.8039999999999998</v>
      </c>
      <c r="AAI114" s="46">
        <f t="shared" si="1122"/>
        <v>1</v>
      </c>
      <c r="AAJ114" s="46">
        <f t="shared" si="1123"/>
        <v>2</v>
      </c>
      <c r="AAK114" s="46">
        <f t="shared" si="1124"/>
        <v>0</v>
      </c>
      <c r="AAL114" s="46">
        <f t="shared" si="1125"/>
        <v>0</v>
      </c>
      <c r="AAM114" s="46">
        <f t="shared" si="1126"/>
        <v>0</v>
      </c>
      <c r="AAN114" s="46">
        <f t="shared" si="1127"/>
        <v>0</v>
      </c>
      <c r="AAO114" s="46">
        <f t="shared" si="1128"/>
        <v>0</v>
      </c>
      <c r="AAP114" s="46">
        <f t="shared" si="1129"/>
        <v>0</v>
      </c>
      <c r="AAQ114" s="56">
        <v>109</v>
      </c>
      <c r="AAR114" s="53" t="str">
        <f t="shared" si="1269"/>
        <v>West Yorkshire Archive Service, Calderdale</v>
      </c>
      <c r="AAS114" s="60">
        <f t="shared" si="1130"/>
        <v>0</v>
      </c>
      <c r="AAT114" s="60">
        <f t="shared" si="1131"/>
        <v>0</v>
      </c>
      <c r="AAU114" s="60">
        <f t="shared" si="1132"/>
        <v>0</v>
      </c>
      <c r="AAV114" s="60">
        <f t="shared" si="1133"/>
        <v>0</v>
      </c>
      <c r="AAW114" s="60">
        <f t="shared" si="1134"/>
        <v>0</v>
      </c>
      <c r="AAX114" s="76">
        <f t="shared" si="1135"/>
        <v>0</v>
      </c>
      <c r="AAY114" s="46">
        <f t="shared" si="1136"/>
        <v>74</v>
      </c>
      <c r="AAZ114" s="46">
        <f t="shared" si="1270"/>
        <v>2.8039999999999998</v>
      </c>
      <c r="ABA114" s="46">
        <f t="shared" si="1137"/>
        <v>1</v>
      </c>
      <c r="ABB114" s="46">
        <f t="shared" si="1138"/>
        <v>2</v>
      </c>
      <c r="ABC114" s="46">
        <f t="shared" si="742"/>
        <v>0</v>
      </c>
      <c r="ABD114" s="46" cm="1">
        <f t="array" ref="ABD114">ROUND(VALUE(IFERROR(INDEX(ArchiveResults!$F$5:$IX$116,ComparisonData!A114,ComparisonData!$ABD$1),0)),5)</f>
        <v>0</v>
      </c>
      <c r="ABE114" s="46" cm="1">
        <f t="array" ref="ABE114">ROUND(VALUE(IFERROR(INDEX(ArchiveResults!$F$5:$IX$116,ComparisonData!A114,ComparisonData!$ABE$1),0)),5)</f>
        <v>0</v>
      </c>
      <c r="ABF114" s="46" cm="1">
        <f t="array" ref="ABF114">ROUND(VALUE(IFERROR(INDEX(ArchiveResults!$F$5:$IX$116,ComparisonData!A114,ComparisonData!$ABF$1),0)),5)</f>
        <v>0</v>
      </c>
      <c r="ABG114" s="46" cm="1">
        <f t="array" ref="ABG114">ROUND(VALUE(IFERROR(INDEX(ArchiveResults!$F$5:$IX$116,ComparisonData!A114,ComparisonData!$ABG$1),0)),5)</f>
        <v>0</v>
      </c>
      <c r="ABH114" s="46" cm="1">
        <f t="array" ref="ABH114">ROUND(VALUE(IFERROR(INDEX(ArchiveResults!$F$5:$IX$116,ComparisonData!A114,ComparisonData!$ABH$1),0)),5)</f>
        <v>0</v>
      </c>
      <c r="ABI114" s="56">
        <v>109</v>
      </c>
      <c r="ABJ114" s="53" t="str">
        <f t="shared" si="1271"/>
        <v>West Yorkshire Archive Service, Calderdale</v>
      </c>
      <c r="ABK114" s="60">
        <f t="shared" si="1139"/>
        <v>0</v>
      </c>
      <c r="ABL114" s="60">
        <f t="shared" si="1140"/>
        <v>0</v>
      </c>
      <c r="ABM114" s="60">
        <f t="shared" si="1141"/>
        <v>0</v>
      </c>
      <c r="ABN114" s="60">
        <f t="shared" si="1142"/>
        <v>0</v>
      </c>
      <c r="ABO114" s="60">
        <f t="shared" si="1143"/>
        <v>0</v>
      </c>
      <c r="ABP114" s="76">
        <f t="shared" si="1144"/>
        <v>0</v>
      </c>
      <c r="ABQ114" s="46">
        <f t="shared" si="1145"/>
        <v>74</v>
      </c>
      <c r="ABR114" s="46">
        <f t="shared" si="1272"/>
        <v>2.8039999999999998</v>
      </c>
      <c r="ABS114" s="46">
        <f t="shared" si="1146"/>
        <v>1</v>
      </c>
      <c r="ABT114" s="46">
        <f t="shared" si="1147"/>
        <v>2</v>
      </c>
      <c r="ABU114" s="46" cm="1">
        <f t="array" ref="ABU114">ROUND(VALUE(IFERROR(INDEX(ArchiveResults!$F$5:$IX$116,ComparisonData!A114,ComparisonData!$ABU$1),0)),5)</f>
        <v>0</v>
      </c>
      <c r="ABV114" s="46" cm="1">
        <f t="array" ref="ABV114">ROUND(VALUE(IFERROR(INDEX(ArchiveResults!$F$5:$IX$116,ComparisonData!A114,ComparisonData!$ABV$1),0)),5)</f>
        <v>0</v>
      </c>
      <c r="ABW114" s="46" cm="1">
        <f t="array" ref="ABW114">ROUND(VALUE(IFERROR(INDEX(ArchiveResults!$F$5:$IX$116,ComparisonData!A114,ComparisonData!$ABW$1),0)),5)</f>
        <v>0</v>
      </c>
      <c r="ABX114" s="46" cm="1">
        <f t="array" ref="ABX114">ROUND(VALUE(IFERROR(INDEX(ArchiveResults!$F$5:$IX$116,ComparisonData!A114,ComparisonData!$ABX$1),0)),5)</f>
        <v>0</v>
      </c>
      <c r="ABY114" s="46" cm="1">
        <f t="array" ref="ABY114">ROUND(VALUE(IFERROR(INDEX(ArchiveResults!$F$5:$IX$116,ComparisonData!A114,ComparisonData!$ABY$1),0)),5)</f>
        <v>0</v>
      </c>
      <c r="ABZ114" s="56">
        <v>109</v>
      </c>
      <c r="ACA114" s="53" t="str">
        <f t="shared" si="1273"/>
        <v>West Yorkshire Archive Service, Calderdale</v>
      </c>
      <c r="ACB114" s="60">
        <f t="shared" si="1148"/>
        <v>0</v>
      </c>
      <c r="ACC114" s="60">
        <f t="shared" si="1149"/>
        <v>0</v>
      </c>
      <c r="ACD114" s="60">
        <f t="shared" si="1150"/>
        <v>0</v>
      </c>
      <c r="ACE114" s="60">
        <f t="shared" si="1151"/>
        <v>0</v>
      </c>
      <c r="ACF114" s="60">
        <f t="shared" si="1152"/>
        <v>0</v>
      </c>
      <c r="ACG114" s="76">
        <f t="shared" si="1153"/>
        <v>0</v>
      </c>
      <c r="ACH114" s="46">
        <f t="shared" si="1154"/>
        <v>74</v>
      </c>
      <c r="ACI114" s="46">
        <f t="shared" si="1274"/>
        <v>2.8039999999999998</v>
      </c>
      <c r="ACJ114" s="46">
        <f t="shared" si="1155"/>
        <v>1</v>
      </c>
      <c r="ACK114" s="46">
        <f t="shared" si="1156"/>
        <v>2</v>
      </c>
      <c r="ACL114" s="46">
        <f t="shared" si="1157"/>
        <v>0</v>
      </c>
      <c r="ACM114" s="46" cm="1">
        <f t="array" ref="ACM114">ROUND(IFERROR(INDEX(ArchiveResults!$F$5:$IX$116,ComparisonData!A114,ComparisonData!$ACM$1),0),5)</f>
        <v>0</v>
      </c>
      <c r="ACN114" s="46" cm="1">
        <f t="array" ref="ACN114">ROUND(IFERROR(INDEX(ArchiveResults!$F$5:$IX$116,ComparisonData!A114,ComparisonData!$ACN$1),0),5)</f>
        <v>0</v>
      </c>
      <c r="ACO114" s="56">
        <v>109</v>
      </c>
      <c r="ACP114" s="53" t="str">
        <f t="shared" si="1275"/>
        <v>West Yorkshire Archive Service, Calderdale</v>
      </c>
      <c r="ACQ114" s="60">
        <f t="shared" si="1158"/>
        <v>0</v>
      </c>
      <c r="ACR114" s="60">
        <f t="shared" si="1159"/>
        <v>0</v>
      </c>
      <c r="ACS114" s="76">
        <f t="shared" si="1160"/>
        <v>0</v>
      </c>
      <c r="ACT114" s="46">
        <f t="shared" si="1161"/>
        <v>74</v>
      </c>
      <c r="ACU114" s="46">
        <f t="shared" si="1276"/>
        <v>2.8039999999999998</v>
      </c>
      <c r="ACV114" s="46">
        <f t="shared" si="1162"/>
        <v>1</v>
      </c>
      <c r="ACW114" s="46">
        <f t="shared" si="1163"/>
        <v>2</v>
      </c>
      <c r="ACX114" s="46">
        <f t="shared" si="1164"/>
        <v>0</v>
      </c>
      <c r="ACY114" s="46" cm="1">
        <f t="array" ref="ACY114">ROUNDDOWN(IFERROR(INDEX(ArchiveResults!$F$5:$IX$116,ComparisonData!A114,ComparisonData!$ACY$1),0),5)</f>
        <v>0</v>
      </c>
      <c r="ACZ114" s="46" cm="1">
        <f t="array" ref="ACZ114">ROUNDDOWN(IFERROR(INDEX(ArchiveResults!$F$5:$IX$116,ComparisonData!A114,ComparisonData!$ACZ$1),0),5)</f>
        <v>0</v>
      </c>
      <c r="ADA114" s="46" cm="1">
        <f t="array" ref="ADA114">ROUNDDOWN(IFERROR(INDEX(ArchiveResults!$F$5:$IX$116,ComparisonData!A114,ComparisonData!$ADA$1),0),5)</f>
        <v>0</v>
      </c>
      <c r="ADB114" s="56">
        <v>109</v>
      </c>
      <c r="ADC114" s="53" t="str">
        <f t="shared" si="1277"/>
        <v>West Yorkshire Archive Service, Calderdale</v>
      </c>
      <c r="ADD114" s="60">
        <f t="shared" si="1165"/>
        <v>0</v>
      </c>
      <c r="ADE114" s="60">
        <f t="shared" si="1166"/>
        <v>0</v>
      </c>
      <c r="ADF114" s="60">
        <f t="shared" si="1167"/>
        <v>0</v>
      </c>
      <c r="ADG114" s="76">
        <f t="shared" si="1168"/>
        <v>0</v>
      </c>
    </row>
    <row r="115" spans="1:787" x14ac:dyDescent="0.25">
      <c r="A115" s="46" t="str">
        <f>IF(ISBLANK(ComparisonSelection!F111),"",ROW()-5)</f>
        <v/>
      </c>
      <c r="B115" s="53" t="s">
        <v>567</v>
      </c>
      <c r="C115" s="72">
        <v>0.5489999999999996</v>
      </c>
      <c r="D115" s="55">
        <f t="shared" si="750"/>
        <v>23</v>
      </c>
      <c r="E115" s="54">
        <f t="shared" si="751"/>
        <v>2.5489999999999995</v>
      </c>
      <c r="F115" s="54">
        <f t="shared" si="752"/>
        <v>1</v>
      </c>
      <c r="G115" s="72">
        <f t="shared" si="753"/>
        <v>2</v>
      </c>
      <c r="H115" s="72">
        <f t="shared" si="754"/>
        <v>0</v>
      </c>
      <c r="I115" s="46" cm="1">
        <f t="array" ref="I115">ROUND(IFERROR(INDEX(ArchiveResults!$F$5:$IX$116,ComparisonData!A115,ComparisonData!$I$1),0),5)</f>
        <v>0</v>
      </c>
      <c r="J115" s="46" cm="1">
        <f t="array" ref="J115">ROUND(IFERROR(INDEX(ArchiveResults!$F$5:$IX$116,ComparisonData!A115,ComparisonData!$J$1),0),5)</f>
        <v>0</v>
      </c>
      <c r="K115" s="56">
        <v>110</v>
      </c>
      <c r="L115" s="53" t="str">
        <f t="shared" si="755"/>
        <v>West Yorkshire Archive Service, Leeds</v>
      </c>
      <c r="M115" s="57">
        <f t="shared" si="1169"/>
        <v>0</v>
      </c>
      <c r="N115" s="57">
        <f t="shared" si="1170"/>
        <v>0</v>
      </c>
      <c r="O115" s="58">
        <f t="shared" si="756"/>
        <v>0</v>
      </c>
      <c r="P115" s="48">
        <f t="shared" si="757"/>
        <v>23</v>
      </c>
      <c r="Q115" s="54">
        <f t="shared" si="1171"/>
        <v>2.5489999999999995</v>
      </c>
      <c r="R115" s="45">
        <f t="shared" si="758"/>
        <v>1</v>
      </c>
      <c r="S115" s="46">
        <f t="shared" si="759"/>
        <v>2</v>
      </c>
      <c r="T115" s="72">
        <f t="shared" si="760"/>
        <v>0</v>
      </c>
      <c r="U115" s="46" cm="1">
        <f t="array" ref="U115">ROUND(IFERROR(INDEX(ArchiveResults!$F$5:$IX$116,ComparisonData!A115,ComparisonData!$U$1),0),5)</f>
        <v>0</v>
      </c>
      <c r="V115" s="46" cm="1">
        <f t="array" ref="V115">ROUND(IFERROR(INDEX(ArchiveResults!$F$5:$IX$116,ComparisonData!A115,ComparisonData!$V$1),0),5)</f>
        <v>0</v>
      </c>
      <c r="W115" s="56">
        <v>110</v>
      </c>
      <c r="X115" s="53" t="str">
        <f t="shared" si="1172"/>
        <v>West Yorkshire Archive Service, Leeds</v>
      </c>
      <c r="Y115" s="57">
        <f t="shared" si="761"/>
        <v>0</v>
      </c>
      <c r="Z115" s="57">
        <f t="shared" si="762"/>
        <v>0</v>
      </c>
      <c r="AA115" s="58">
        <f t="shared" si="763"/>
        <v>0</v>
      </c>
      <c r="AB115" s="45">
        <f t="shared" si="764"/>
        <v>23</v>
      </c>
      <c r="AC115" s="54">
        <f t="shared" si="1173"/>
        <v>2.5489999999999995</v>
      </c>
      <c r="AD115" s="45">
        <f t="shared" si="765"/>
        <v>1</v>
      </c>
      <c r="AE115" s="45">
        <f t="shared" si="766"/>
        <v>2</v>
      </c>
      <c r="AF115" s="45">
        <f t="shared" si="639"/>
        <v>0</v>
      </c>
      <c r="AG115" s="46" cm="1">
        <f t="array" ref="AG115">ROUND(IFERROR(INDEX(ArchiveResults!$F$5:$IX$116,ComparisonData!A115,ComparisonData!$AG$1),0),5)</f>
        <v>0</v>
      </c>
      <c r="AH115" s="46" cm="1">
        <f t="array" ref="AH115">ROUND(IFERROR(INDEX(ArchiveResults!$F$5:$IX$116,ComparisonData!A115,ComparisonData!$AH$1),0),5)</f>
        <v>0</v>
      </c>
      <c r="AI115" s="56">
        <v>110</v>
      </c>
      <c r="AJ115" s="53" t="str">
        <f t="shared" si="1174"/>
        <v>West Yorkshire Archive Service, Leeds</v>
      </c>
      <c r="AK115" s="59">
        <f t="shared" si="1175"/>
        <v>0</v>
      </c>
      <c r="AL115" s="59">
        <f t="shared" si="1176"/>
        <v>0</v>
      </c>
      <c r="AM115" s="58">
        <f t="shared" si="767"/>
        <v>0</v>
      </c>
      <c r="AN115" s="45">
        <f t="shared" si="768"/>
        <v>23</v>
      </c>
      <c r="AO115" s="54">
        <f t="shared" si="1177"/>
        <v>2.5489999999999995</v>
      </c>
      <c r="AP115" s="45">
        <f t="shared" si="769"/>
        <v>1</v>
      </c>
      <c r="AQ115" s="45">
        <f t="shared" si="770"/>
        <v>2</v>
      </c>
      <c r="AR115" s="46" cm="1">
        <f t="array" ref="AR115">ROUND(IFERROR(INDEX(ArchiveResults!$F$5:$IX$116,ComparisonData!A115,ComparisonData!$AR$1),0),5)</f>
        <v>0</v>
      </c>
      <c r="AS115" s="46" cm="1">
        <f t="array" ref="AS115">ROUND(IFERROR(INDEX(ArchiveResults!$F$5:$IX$116,ComparisonData!A115,ComparisonData!$AS$1),0),5)</f>
        <v>0</v>
      </c>
      <c r="AT115" s="46" cm="1">
        <f t="array" ref="AT115">ROUND(IFERROR(INDEX(ArchiveResults!$F$5:$IX$116,ComparisonData!A115,ComparisonData!$AT$1),0),5)</f>
        <v>0</v>
      </c>
      <c r="AU115" s="46" cm="1">
        <f t="array" ref="AU115">ROUND(IFERROR(INDEX(ArchiveResults!$F$5:$IX$116,ComparisonData!A115,ComparisonData!$AU$1),0),5)</f>
        <v>0</v>
      </c>
      <c r="AV115" s="46" cm="1">
        <f t="array" ref="AV115">ROUND(IFERROR(INDEX(ArchiveResults!$F$5:$IX$116,ComparisonData!A115,ComparisonData!$AV$1),0),5)</f>
        <v>0</v>
      </c>
      <c r="AW115" s="46" cm="1">
        <f t="array" ref="AW115">ROUND(IFERROR(INDEX(ArchiveResults!$F$5:$IX$116,ComparisonData!A115,ComparisonData!$AW$1),0),5)</f>
        <v>0</v>
      </c>
      <c r="AX115" s="46" cm="1">
        <f t="array" ref="AX115">ROUND(IFERROR(INDEX(ArchiveResults!$F$5:$IX$116,ComparisonData!A115,ComparisonData!$AX$1),0),5)</f>
        <v>0</v>
      </c>
      <c r="AY115" s="46" cm="1">
        <f t="array" ref="AY115">ROUND(IFERROR(INDEX(ArchiveResults!$F$5:$IX$116,ComparisonData!A115,ComparisonData!$AY$1),0),5)</f>
        <v>0</v>
      </c>
      <c r="AZ115" s="46" cm="1">
        <f t="array" ref="AZ115">ROUND(IFERROR(INDEX(ArchiveResults!$F$5:$IX$116,ComparisonData!A115,ComparisonData!$AZ$1),0),5)</f>
        <v>0</v>
      </c>
      <c r="BA115" s="46" cm="1">
        <f t="array" ref="BA115">ROUND(IFERROR(INDEX(ArchiveResults!$F$5:$IX$116,ComparisonData!A115,ComparisonData!$BA$1),0),5)</f>
        <v>0</v>
      </c>
      <c r="BB115" s="56">
        <v>110</v>
      </c>
      <c r="BC115" s="53" t="str">
        <f t="shared" si="1178"/>
        <v>West Yorkshire Archive Service, Leeds</v>
      </c>
      <c r="BD115" s="60">
        <f t="shared" si="771"/>
        <v>0</v>
      </c>
      <c r="BE115" s="60">
        <f t="shared" si="772"/>
        <v>0</v>
      </c>
      <c r="BF115" s="60">
        <f t="shared" si="773"/>
        <v>0</v>
      </c>
      <c r="BG115" s="60">
        <f t="shared" si="774"/>
        <v>0</v>
      </c>
      <c r="BH115" s="60">
        <f t="shared" si="775"/>
        <v>0</v>
      </c>
      <c r="BI115" s="60">
        <f t="shared" si="776"/>
        <v>0</v>
      </c>
      <c r="BJ115" s="60">
        <f t="shared" si="777"/>
        <v>0</v>
      </c>
      <c r="BK115" s="60">
        <f t="shared" si="778"/>
        <v>0</v>
      </c>
      <c r="BL115" s="60">
        <f t="shared" si="779"/>
        <v>0</v>
      </c>
      <c r="BM115" s="59">
        <f t="shared" si="780"/>
        <v>0</v>
      </c>
      <c r="BN115" s="58">
        <f t="shared" si="781"/>
        <v>0</v>
      </c>
      <c r="BO115" s="45">
        <f t="shared" si="782"/>
        <v>23</v>
      </c>
      <c r="BP115" s="54">
        <f t="shared" si="1179"/>
        <v>2.5489999999999995</v>
      </c>
      <c r="BQ115" s="45">
        <f t="shared" si="783"/>
        <v>1</v>
      </c>
      <c r="BR115" s="45">
        <f t="shared" si="784"/>
        <v>2</v>
      </c>
      <c r="BS115" s="46" cm="1">
        <f t="array" ref="BS115">ROUND(IFERROR(INDEX(ArchiveResults!$F$5:$IX$116,ComparisonData!A115,ComparisonData!$BS$1),0),5)</f>
        <v>0</v>
      </c>
      <c r="BT115" s="46" cm="1">
        <f t="array" ref="BT115">ROUND(IFERROR(INDEX(ArchiveResults!$F$5:$IX$116,ComparisonData!A115,ComparisonData!$BT$1),0),5)</f>
        <v>0</v>
      </c>
      <c r="BU115" s="46" cm="1">
        <f t="array" ref="BU115">ROUND(IFERROR(INDEX(ArchiveResults!$F$5:$IX$116,ComparisonData!A115,ComparisonData!$BU$1),0),5)</f>
        <v>0</v>
      </c>
      <c r="BV115" s="46" cm="1">
        <f t="array" ref="BV115">ROUND(IFERROR(INDEX(ArchiveResults!$F$5:$IX$116,ComparisonData!A115,ComparisonData!$BV$1),0),5)</f>
        <v>0</v>
      </c>
      <c r="BW115" s="46" cm="1">
        <f t="array" ref="BW115">ROUND(IFERROR(INDEX(ArchiveResults!$F$5:$IX$116,ComparisonData!A115,ComparisonData!$BW$1),0),5)</f>
        <v>0</v>
      </c>
      <c r="BX115" s="46" cm="1">
        <f t="array" ref="BX115">ROUND(IFERROR(INDEX(ArchiveResults!$F$5:$IX$116,ComparisonData!A115,ComparisonData!$BX$1),0),5)</f>
        <v>0</v>
      </c>
      <c r="BY115" s="56">
        <v>110</v>
      </c>
      <c r="BZ115" s="53" t="str">
        <f t="shared" si="1180"/>
        <v>West Yorkshire Archive Service, Leeds</v>
      </c>
      <c r="CA115" s="59">
        <f t="shared" si="785"/>
        <v>0</v>
      </c>
      <c r="CB115" s="59">
        <f t="shared" si="786"/>
        <v>0</v>
      </c>
      <c r="CC115" s="59">
        <f t="shared" si="787"/>
        <v>0</v>
      </c>
      <c r="CD115" s="59">
        <f t="shared" si="788"/>
        <v>0</v>
      </c>
      <c r="CE115" s="59">
        <f t="shared" si="789"/>
        <v>0</v>
      </c>
      <c r="CF115" s="59">
        <f t="shared" si="790"/>
        <v>0</v>
      </c>
      <c r="CG115" s="58">
        <f t="shared" si="791"/>
        <v>0</v>
      </c>
      <c r="CH115" s="45">
        <f t="shared" si="792"/>
        <v>23</v>
      </c>
      <c r="CI115" s="54">
        <f t="shared" si="1181"/>
        <v>2.5489999999999995</v>
      </c>
      <c r="CJ115" s="45">
        <f t="shared" si="793"/>
        <v>1</v>
      </c>
      <c r="CK115" s="45">
        <f t="shared" si="794"/>
        <v>2</v>
      </c>
      <c r="CL115" s="46" cm="1">
        <f t="array" ref="CL115">ROUND(IFERROR(INDEX(ArchiveResults!$F$5:$IX$116,ComparisonData!A115,ComparisonData!$CL$1),0),5)</f>
        <v>0</v>
      </c>
      <c r="CM115" s="56">
        <v>110</v>
      </c>
      <c r="CN115" s="53" t="str">
        <f t="shared" si="1182"/>
        <v>West Yorkshire Archive Service, Leeds</v>
      </c>
      <c r="CO115" s="45">
        <f t="shared" si="795"/>
        <v>0</v>
      </c>
      <c r="CP115" s="58">
        <f t="shared" si="796"/>
        <v>0</v>
      </c>
      <c r="CQ115" s="45">
        <f t="shared" si="797"/>
        <v>23</v>
      </c>
      <c r="CR115" s="54">
        <f t="shared" si="1183"/>
        <v>2.5489999999999995</v>
      </c>
      <c r="CS115" s="45">
        <f t="shared" si="798"/>
        <v>1</v>
      </c>
      <c r="CT115" s="45">
        <f t="shared" si="799"/>
        <v>2</v>
      </c>
      <c r="CU115" s="46" cm="1">
        <f t="array" ref="CU115">ROUND(IFERROR(INDEX(ArchiveResults!$F$5:$IX$116,ComparisonData!A115,ComparisonData!$CU$1),0),5)</f>
        <v>0</v>
      </c>
      <c r="CV115" s="56">
        <v>110</v>
      </c>
      <c r="CW115" s="53" t="str">
        <f t="shared" si="1184"/>
        <v>West Yorkshire Archive Service, Leeds</v>
      </c>
      <c r="CX115" s="45">
        <f t="shared" si="800"/>
        <v>0</v>
      </c>
      <c r="CY115" s="58">
        <f t="shared" si="801"/>
        <v>0</v>
      </c>
      <c r="CZ115" s="45">
        <f t="shared" si="802"/>
        <v>23</v>
      </c>
      <c r="DA115" s="54">
        <f t="shared" si="1185"/>
        <v>2.5489999999999995</v>
      </c>
      <c r="DB115" s="45">
        <f t="shared" si="803"/>
        <v>1</v>
      </c>
      <c r="DC115" s="45">
        <f t="shared" si="804"/>
        <v>2</v>
      </c>
      <c r="DD115" s="46" cm="1">
        <f t="array" ref="DD115">ROUND(IFERROR(INDEX(ArchiveResults!$F$5:$IX$116,ComparisonData!A115,ComparisonData!$DD$1),0),5)</f>
        <v>0</v>
      </c>
      <c r="DE115" s="56">
        <v>110</v>
      </c>
      <c r="DF115" s="53" t="str">
        <f t="shared" si="1186"/>
        <v>West Yorkshire Archive Service, Leeds</v>
      </c>
      <c r="DG115" s="45">
        <f t="shared" si="805"/>
        <v>0</v>
      </c>
      <c r="DH115" s="58">
        <f t="shared" si="806"/>
        <v>0</v>
      </c>
      <c r="DI115" s="45">
        <f t="shared" si="807"/>
        <v>23</v>
      </c>
      <c r="DJ115" s="54">
        <f t="shared" si="1187"/>
        <v>2.5489999999999995</v>
      </c>
      <c r="DK115" s="45">
        <f t="shared" si="808"/>
        <v>1</v>
      </c>
      <c r="DL115" s="45">
        <f t="shared" si="809"/>
        <v>2</v>
      </c>
      <c r="DM115" s="46" cm="1">
        <f t="array" ref="DM115">ROUND(IFERROR(INDEX(ArchiveResults!$F$5:$IX$116,ComparisonData!A115,ComparisonData!$DM$1),0),5)</f>
        <v>0</v>
      </c>
      <c r="DN115" s="46" cm="1">
        <f t="array" ref="DN115">ROUND(IFERROR(INDEX(ArchiveResults!$F$5:$IX$116,ComparisonData!A115,ComparisonData!$DN$1),0),5)</f>
        <v>0</v>
      </c>
      <c r="DO115" s="46" cm="1">
        <f t="array" ref="DO115">ROUND(IFERROR(INDEX(ArchiveResults!$F$5:$IX$116,ComparisonData!A115,ComparisonData!$DO$1),0),5)</f>
        <v>0</v>
      </c>
      <c r="DP115" s="46" cm="1">
        <f t="array" ref="DP115">ROUND(IFERROR(INDEX(ArchiveResults!$F$5:$IX$116,ComparisonData!A115,ComparisonData!$DP$1),0),5)</f>
        <v>0</v>
      </c>
      <c r="DQ115" s="45" cm="1">
        <f t="array" ref="DQ115">IFERROR(INDEX(ArchiveResults!$F$5:$IX$116,ComparisonData!A115,ComparisonData!$DQ$1),0)</f>
        <v>0</v>
      </c>
      <c r="DR115" s="56">
        <v>110</v>
      </c>
      <c r="DS115" s="53" t="str">
        <f t="shared" si="1188"/>
        <v>West Yorkshire Archive Service, Leeds</v>
      </c>
      <c r="DT115" s="59">
        <f t="shared" si="810"/>
        <v>0</v>
      </c>
      <c r="DU115" s="59">
        <f t="shared" si="811"/>
        <v>0</v>
      </c>
      <c r="DV115" s="59">
        <f t="shared" si="812"/>
        <v>0</v>
      </c>
      <c r="DW115" s="59">
        <f t="shared" si="813"/>
        <v>0</v>
      </c>
      <c r="DX115" s="59">
        <f t="shared" si="814"/>
        <v>0</v>
      </c>
      <c r="DY115" s="58">
        <f t="shared" si="815"/>
        <v>0</v>
      </c>
      <c r="DZ115" s="45">
        <f t="shared" si="816"/>
        <v>23</v>
      </c>
      <c r="EA115" s="54">
        <f t="shared" si="1189"/>
        <v>2.5489999999999995</v>
      </c>
      <c r="EB115" s="45">
        <f t="shared" si="817"/>
        <v>1</v>
      </c>
      <c r="EC115" s="45">
        <f t="shared" si="818"/>
        <v>2</v>
      </c>
      <c r="ED115" s="46" cm="1">
        <f t="array" ref="ED115">ROUND(IFERROR(INDEX(ArchiveResults!$F$5:$IX$116,ComparisonData!A115,ComparisonData!$ED$1),0),5)</f>
        <v>0</v>
      </c>
      <c r="EE115" s="46" cm="1">
        <f t="array" ref="EE115">ROUND(IFERROR(INDEX(ArchiveResults!$F$5:$IX$116,ComparisonData!A115,ComparisonData!$EE$1),0),5)</f>
        <v>0</v>
      </c>
      <c r="EF115" s="46" cm="1">
        <f t="array" ref="EF115">ROUND(IFERROR(INDEX(ArchiveResults!$F$5:$IX$116,ComparisonData!A115,ComparisonData!$EF$1),0),5)</f>
        <v>0</v>
      </c>
      <c r="EG115" s="46" cm="1">
        <f t="array" ref="EG115">ROUND(IFERROR(INDEX(ArchiveResults!$F$5:$IX$116,ComparisonData!A115,ComparisonData!$EG$1),0),5)</f>
        <v>0</v>
      </c>
      <c r="EH115" s="45" cm="1">
        <f t="array" ref="EH115">IFERROR(INDEX(ArchiveResults!$F$5:$IX$116,ComparisonData!A115,ComparisonData!$EH$1),0)</f>
        <v>0</v>
      </c>
      <c r="EI115" s="56">
        <v>110</v>
      </c>
      <c r="EJ115" s="53" t="str">
        <f t="shared" si="1190"/>
        <v>West Yorkshire Archive Service, Leeds</v>
      </c>
      <c r="EK115" s="59">
        <f t="shared" si="819"/>
        <v>0</v>
      </c>
      <c r="EL115" s="59">
        <f t="shared" si="820"/>
        <v>0</v>
      </c>
      <c r="EM115" s="59">
        <f t="shared" si="821"/>
        <v>0</v>
      </c>
      <c r="EN115" s="59">
        <f t="shared" si="822"/>
        <v>0</v>
      </c>
      <c r="EO115" s="59">
        <f t="shared" si="823"/>
        <v>0</v>
      </c>
      <c r="EP115" s="58">
        <f t="shared" si="824"/>
        <v>0</v>
      </c>
      <c r="EQ115" s="45">
        <f t="shared" si="825"/>
        <v>23</v>
      </c>
      <c r="ER115" s="54">
        <f t="shared" si="1191"/>
        <v>2.5489999999999995</v>
      </c>
      <c r="ES115" s="45">
        <f t="shared" si="826"/>
        <v>1</v>
      </c>
      <c r="ET115" s="45">
        <f t="shared" si="827"/>
        <v>2</v>
      </c>
      <c r="EU115" s="46" cm="1">
        <f t="array" ref="EU115">ROUND(IFERROR(INDEX(ArchiveResults!$F$5:$IX$116,ComparisonData!A115,ComparisonData!$EU$1),0),5)</f>
        <v>0</v>
      </c>
      <c r="EV115" s="46" cm="1">
        <f t="array" ref="EV115">ROUND(IFERROR(INDEX(ArchiveResults!$F$5:$IX$116,ComparisonData!A115,ComparisonData!$EV$1),0),5)</f>
        <v>0</v>
      </c>
      <c r="EW115" s="46" cm="1">
        <f t="array" ref="EW115">ROUND(IFERROR(INDEX(ArchiveResults!$F$5:$IX$116,ComparisonData!A115,ComparisonData!$EW$1),0),5)</f>
        <v>0</v>
      </c>
      <c r="EX115" s="46" cm="1">
        <f t="array" ref="EX115">ROUND(IFERROR(INDEX(ArchiveResults!$F$5:$IX$116,ComparisonData!A115,ComparisonData!$EX$1),0),5)</f>
        <v>0</v>
      </c>
      <c r="EY115" s="45" cm="1">
        <f t="array" ref="EY115">IFERROR(INDEX(ArchiveResults!$F$5:$IX$116,ComparisonData!A115,ComparisonData!$EY$1),0)</f>
        <v>0</v>
      </c>
      <c r="EZ115" s="56">
        <v>110</v>
      </c>
      <c r="FA115" s="53" t="str">
        <f t="shared" si="1192"/>
        <v>West Yorkshire Archive Service, Leeds</v>
      </c>
      <c r="FB115" s="59">
        <f t="shared" si="828"/>
        <v>0</v>
      </c>
      <c r="FC115" s="59">
        <f t="shared" si="829"/>
        <v>0</v>
      </c>
      <c r="FD115" s="59">
        <f t="shared" si="830"/>
        <v>0</v>
      </c>
      <c r="FE115" s="59">
        <f t="shared" si="831"/>
        <v>0</v>
      </c>
      <c r="FF115" s="59">
        <f t="shared" si="832"/>
        <v>0</v>
      </c>
      <c r="FG115" s="58">
        <f t="shared" si="833"/>
        <v>0</v>
      </c>
      <c r="FH115" s="45">
        <f t="shared" si="834"/>
        <v>23</v>
      </c>
      <c r="FI115" s="54">
        <f t="shared" si="1193"/>
        <v>2.5489999999999995</v>
      </c>
      <c r="FJ115" s="45">
        <f t="shared" si="835"/>
        <v>1</v>
      </c>
      <c r="FK115" s="45">
        <f t="shared" si="836"/>
        <v>2</v>
      </c>
      <c r="FL115" s="46" cm="1">
        <f t="array" ref="FL115">ROUND(IFERROR(INDEX(ArchiveResults!$F$5:$IX$116,ComparisonData!A115,ComparisonData!$FL$1),0),5)</f>
        <v>0</v>
      </c>
      <c r="FM115" s="46" cm="1">
        <f t="array" ref="FM115">ROUND(IFERROR(INDEX(ArchiveResults!$F$5:$IX$116,ComparisonData!A115,ComparisonData!$FM$1),0),5)</f>
        <v>0</v>
      </c>
      <c r="FN115" s="46" cm="1">
        <f t="array" ref="FN115">ROUND(IFERROR(INDEX(ArchiveResults!$F$5:$IX$116,ComparisonData!A115,ComparisonData!$FN$1),0),5)</f>
        <v>0</v>
      </c>
      <c r="FO115" s="46" cm="1">
        <f t="array" ref="FO115">ROUND(IFERROR(INDEX(ArchiveResults!$F$5:$IX$116,ComparisonData!A115,ComparisonData!$FO$1),0),5)</f>
        <v>0</v>
      </c>
      <c r="FP115" s="45" cm="1">
        <f t="array" ref="FP115">IFERROR(INDEX(ArchiveResults!$F$5:$IX$116,ComparisonData!A115,ComparisonData!$FP$1),0)</f>
        <v>0</v>
      </c>
      <c r="FQ115" s="56">
        <v>110</v>
      </c>
      <c r="FR115" s="53" t="str">
        <f t="shared" si="1194"/>
        <v>West Yorkshire Archive Service, Leeds</v>
      </c>
      <c r="FS115" s="59">
        <f t="shared" si="837"/>
        <v>0</v>
      </c>
      <c r="FT115" s="59">
        <f t="shared" si="838"/>
        <v>0</v>
      </c>
      <c r="FU115" s="59">
        <f t="shared" si="839"/>
        <v>0</v>
      </c>
      <c r="FV115" s="59">
        <f t="shared" si="840"/>
        <v>0</v>
      </c>
      <c r="FW115" s="59">
        <f t="shared" si="841"/>
        <v>0</v>
      </c>
      <c r="FX115" s="58">
        <f t="shared" si="842"/>
        <v>0</v>
      </c>
      <c r="FY115" s="45">
        <f t="shared" si="843"/>
        <v>23</v>
      </c>
      <c r="FZ115" s="45">
        <f t="shared" si="1195"/>
        <v>2.5489999999999995</v>
      </c>
      <c r="GA115" s="45">
        <f t="shared" si="844"/>
        <v>1</v>
      </c>
      <c r="GB115" s="45">
        <f t="shared" si="845"/>
        <v>2</v>
      </c>
      <c r="GC115" s="46" cm="1">
        <f t="array" ref="GC115">ROUND(IFERROR(INDEX(ArchiveResults!$F$5:$IX$116,ComparisonData!A115,ComparisonData!$GC$1),0),5)</f>
        <v>0</v>
      </c>
      <c r="GD115" s="46" cm="1">
        <f t="array" ref="GD115">ROUND(IFERROR(INDEX(ArchiveResults!$F$5:$IX$116,ComparisonData!A115,ComparisonData!$GD$1),0),5)</f>
        <v>0</v>
      </c>
      <c r="GE115" s="46" cm="1">
        <f t="array" ref="GE115">ROUND(IFERROR(INDEX(ArchiveResults!$F$5:$IX$116,ComparisonData!A115,ComparisonData!$GE$1),0),5)</f>
        <v>0</v>
      </c>
      <c r="GF115" s="46" cm="1">
        <f t="array" ref="GF115">ROUND(IFERROR(INDEX(ArchiveResults!$F$5:$IX$116,ComparisonData!A115,ComparisonData!$GF$1),0),5)</f>
        <v>0</v>
      </c>
      <c r="GG115" s="45" cm="1">
        <f t="array" ref="GG115">IFERROR(INDEX(ArchiveResults!$F$5:$IX$116,ComparisonData!A115,ComparisonData!$GG$1),0)</f>
        <v>0</v>
      </c>
      <c r="GH115" s="56">
        <v>110</v>
      </c>
      <c r="GI115" s="53" t="str">
        <f t="shared" si="1196"/>
        <v>West Yorkshire Archive Service, Leeds</v>
      </c>
      <c r="GJ115" s="59">
        <f t="shared" si="846"/>
        <v>0</v>
      </c>
      <c r="GK115" s="59">
        <f t="shared" si="847"/>
        <v>0</v>
      </c>
      <c r="GL115" s="59">
        <f t="shared" si="848"/>
        <v>0</v>
      </c>
      <c r="GM115" s="59">
        <f t="shared" si="849"/>
        <v>0</v>
      </c>
      <c r="GN115" s="59">
        <f t="shared" si="850"/>
        <v>0</v>
      </c>
      <c r="GO115" s="58">
        <f t="shared" si="851"/>
        <v>0</v>
      </c>
      <c r="GP115" s="45">
        <f t="shared" si="852"/>
        <v>23</v>
      </c>
      <c r="GQ115" s="45">
        <f t="shared" si="1197"/>
        <v>2.5489999999999995</v>
      </c>
      <c r="GR115" s="45">
        <f t="shared" si="853"/>
        <v>1</v>
      </c>
      <c r="GS115" s="45">
        <f t="shared" si="854"/>
        <v>2</v>
      </c>
      <c r="GT115" s="46" cm="1">
        <f t="array" ref="GT115">ROUND(IFERROR(INDEX(ArchiveResults!$F$5:$IX$116,ComparisonData!A115,ComparisonData!$GT$1),0),5)</f>
        <v>0</v>
      </c>
      <c r="GU115" s="46" cm="1">
        <f t="array" ref="GU115">ROUND(IFERROR(INDEX(ArchiveResults!$F$5:$IX$116,ComparisonData!A115,ComparisonData!$GU$1),0),5)</f>
        <v>0</v>
      </c>
      <c r="GV115" s="46" cm="1">
        <f t="array" ref="GV115">ROUND(IFERROR(INDEX(ArchiveResults!$F$5:$IX$116,ComparisonData!A115,ComparisonData!$GV$1),0),5)</f>
        <v>0</v>
      </c>
      <c r="GW115" s="46" cm="1">
        <f t="array" ref="GW115">ROUND(IFERROR(INDEX(ArchiveResults!$F$5:$IX$116,ComparisonData!A115,ComparisonData!$GW$1),0),5)</f>
        <v>0</v>
      </c>
      <c r="GX115" s="45" cm="1">
        <f t="array" ref="GX115">IFERROR(INDEX(ArchiveResults!$F$5:$IX$116,ComparisonData!A115,ComparisonData!$GX$1),0)</f>
        <v>0</v>
      </c>
      <c r="GY115" s="56">
        <v>110</v>
      </c>
      <c r="GZ115" s="53" t="str">
        <f t="shared" si="1198"/>
        <v>West Yorkshire Archive Service, Leeds</v>
      </c>
      <c r="HA115" s="59">
        <f t="shared" si="855"/>
        <v>0</v>
      </c>
      <c r="HB115" s="59">
        <f t="shared" si="856"/>
        <v>0</v>
      </c>
      <c r="HC115" s="59">
        <f t="shared" si="857"/>
        <v>0</v>
      </c>
      <c r="HD115" s="59">
        <f t="shared" si="858"/>
        <v>0</v>
      </c>
      <c r="HE115" s="59">
        <f t="shared" si="859"/>
        <v>0</v>
      </c>
      <c r="HF115" s="58">
        <f t="shared" si="860"/>
        <v>0</v>
      </c>
      <c r="HG115" s="45">
        <f t="shared" si="861"/>
        <v>23</v>
      </c>
      <c r="HH115" s="45">
        <f t="shared" si="1199"/>
        <v>2.5489999999999995</v>
      </c>
      <c r="HI115" s="45">
        <f t="shared" si="862"/>
        <v>1</v>
      </c>
      <c r="HJ115" s="45">
        <f t="shared" si="863"/>
        <v>2</v>
      </c>
      <c r="HK115" s="46" cm="1">
        <f t="array" ref="HK115">ROUND(IFERROR(INDEX(ArchiveResults!$F$5:$IX$116,ComparisonData!A115,ComparisonData!$HK$1),0),5)</f>
        <v>0</v>
      </c>
      <c r="HL115" s="46" cm="1">
        <f t="array" ref="HL115">ROUND(IFERROR(INDEX(ArchiveResults!$F$5:$IX$116,ComparisonData!A115,ComparisonData!$HL$1),0),5)</f>
        <v>0</v>
      </c>
      <c r="HM115" s="46" cm="1">
        <f t="array" ref="HM115">ROUND(IFERROR(INDEX(ArchiveResults!$F$5:$IX$116,ComparisonData!A115,ComparisonData!$HM$1),0),5)</f>
        <v>0</v>
      </c>
      <c r="HN115" s="46" cm="1">
        <f t="array" ref="HN115">ROUND(IFERROR(INDEX(ArchiveResults!$F$5:$IX$116,ComparisonData!A115,ComparisonData!$HN$1),0),5)</f>
        <v>0</v>
      </c>
      <c r="HO115" s="45" cm="1">
        <f t="array" ref="HO115">IFERROR(INDEX(ArchiveResults!$F$5:$IX$116,ComparisonData!A115,ComparisonData!$HO$1),0)</f>
        <v>0</v>
      </c>
      <c r="HP115" s="56">
        <v>110</v>
      </c>
      <c r="HQ115" s="53" t="str">
        <f t="shared" si="1200"/>
        <v>West Yorkshire Archive Service, Leeds</v>
      </c>
      <c r="HR115" s="59">
        <f t="shared" si="1201"/>
        <v>0</v>
      </c>
      <c r="HS115" s="59">
        <f t="shared" si="1202"/>
        <v>0</v>
      </c>
      <c r="HT115" s="59">
        <f t="shared" si="1203"/>
        <v>0</v>
      </c>
      <c r="HU115" s="59">
        <f t="shared" si="1204"/>
        <v>0</v>
      </c>
      <c r="HV115" s="59">
        <f t="shared" si="1205"/>
        <v>0</v>
      </c>
      <c r="HW115" s="58">
        <f t="shared" si="864"/>
        <v>0</v>
      </c>
      <c r="HX115" s="45">
        <f t="shared" si="865"/>
        <v>23</v>
      </c>
      <c r="HY115" s="45">
        <f t="shared" si="1206"/>
        <v>2.5489999999999995</v>
      </c>
      <c r="HZ115" s="45">
        <f t="shared" si="866"/>
        <v>1</v>
      </c>
      <c r="IA115" s="45">
        <f t="shared" si="867"/>
        <v>2</v>
      </c>
      <c r="IB115" s="45">
        <f t="shared" si="868"/>
        <v>0</v>
      </c>
      <c r="IC115" s="46" cm="1">
        <f t="array" ref="IC115">ROUND(IFERROR(INDEX(ArchiveResults!$F$5:$IX$116,ComparisonData!A115,ComparisonData!$IC$1),0),5)</f>
        <v>0</v>
      </c>
      <c r="ID115" s="46" cm="1">
        <f t="array" ref="ID115">ROUND(IFERROR(INDEX(ArchiveResults!$F$5:$IX$116,ComparisonData!A115,ComparisonData!$ID$1),0),5)</f>
        <v>0</v>
      </c>
      <c r="IE115" s="46" cm="1">
        <f t="array" ref="IE115">ROUND(IFERROR(INDEX(ArchiveResults!$F$5:$IX$116,ComparisonData!A115,ComparisonData!$IE$1),0),5)</f>
        <v>0</v>
      </c>
      <c r="IF115" s="46" cm="1">
        <f t="array" ref="IF115">ROUND(IFERROR(INDEX(ArchiveResults!$F$5:$IX$116,ComparisonData!A115,ComparisonData!$IF$1),0),5)</f>
        <v>0</v>
      </c>
      <c r="IG115" s="45" cm="1">
        <f t="array" ref="IG115">IFERROR(INDEX(ArchiveResults!$F$5:$IX$116,ComparisonData!A115,ComparisonData!$IG$1),0)</f>
        <v>0</v>
      </c>
      <c r="IH115" s="56">
        <v>110</v>
      </c>
      <c r="II115" s="53" t="str">
        <f t="shared" si="1207"/>
        <v>West Yorkshire Archive Service, Leeds</v>
      </c>
      <c r="IJ115" s="59">
        <f t="shared" si="869"/>
        <v>0</v>
      </c>
      <c r="IK115" s="59">
        <f t="shared" si="870"/>
        <v>0</v>
      </c>
      <c r="IL115" s="59">
        <f t="shared" si="871"/>
        <v>0</v>
      </c>
      <c r="IM115" s="59">
        <f t="shared" si="872"/>
        <v>0</v>
      </c>
      <c r="IN115" s="59">
        <f t="shared" si="873"/>
        <v>0</v>
      </c>
      <c r="IO115" s="58">
        <f t="shared" si="874"/>
        <v>0</v>
      </c>
      <c r="IP115" s="45">
        <f t="shared" si="875"/>
        <v>23</v>
      </c>
      <c r="IQ115" s="45">
        <f t="shared" si="1208"/>
        <v>2.5489999999999995</v>
      </c>
      <c r="IR115" s="45">
        <f t="shared" si="876"/>
        <v>1</v>
      </c>
      <c r="IS115" s="45">
        <f t="shared" si="877"/>
        <v>2</v>
      </c>
      <c r="IT115" s="46">
        <f t="shared" si="878"/>
        <v>0</v>
      </c>
      <c r="IU115" s="46" cm="1">
        <f t="array" ref="IU115">ROUND(IFERROR(INDEX(ArchiveResults!$F$5:$IX$116,ComparisonData!A115,ComparisonData!$IU$1),0),5)</f>
        <v>0</v>
      </c>
      <c r="IV115" s="46" cm="1">
        <f t="array" ref="IV115">ROUND(IFERROR(INDEX(ArchiveResults!$F$5:$IX$116,ComparisonData!A115,ComparisonData!$IV$1),0),5)</f>
        <v>0</v>
      </c>
      <c r="IW115" s="46" cm="1">
        <f t="array" ref="IW115">ROUND(IFERROR(INDEX(ArchiveResults!$F$5:$IX$116,ComparisonData!A115,ComparisonData!$IW$1),0),5)</f>
        <v>0</v>
      </c>
      <c r="IX115" s="46" cm="1">
        <f t="array" ref="IX115">ROUND(IFERROR(INDEX(ArchiveResults!$F$5:$IX$116,ComparisonData!A115,ComparisonData!$IX$1),0),5)</f>
        <v>0</v>
      </c>
      <c r="IY115" s="45" cm="1">
        <f t="array" ref="IY115">IFERROR(INDEX(ArchiveResults!$F$5:$IX$116,ComparisonData!A115,ComparisonData!$IY$1),0)</f>
        <v>0</v>
      </c>
      <c r="IZ115" s="56">
        <v>110</v>
      </c>
      <c r="JA115" s="53" t="str">
        <f t="shared" si="1209"/>
        <v>West Yorkshire Archive Service, Leeds</v>
      </c>
      <c r="JB115" s="59">
        <f t="shared" si="879"/>
        <v>0</v>
      </c>
      <c r="JC115" s="59">
        <f t="shared" si="880"/>
        <v>0</v>
      </c>
      <c r="JD115" s="59">
        <f t="shared" si="881"/>
        <v>0</v>
      </c>
      <c r="JE115" s="59">
        <f t="shared" si="882"/>
        <v>0</v>
      </c>
      <c r="JF115" s="59">
        <f t="shared" si="883"/>
        <v>0</v>
      </c>
      <c r="JG115" s="58">
        <f t="shared" si="884"/>
        <v>0</v>
      </c>
      <c r="JH115" s="45">
        <f t="shared" si="885"/>
        <v>23</v>
      </c>
      <c r="JI115" s="45">
        <f t="shared" si="1210"/>
        <v>2.5489999999999995</v>
      </c>
      <c r="JJ115" s="45">
        <f t="shared" si="886"/>
        <v>1</v>
      </c>
      <c r="JK115" s="45">
        <f t="shared" si="887"/>
        <v>2</v>
      </c>
      <c r="JL115" s="45">
        <f t="shared" si="888"/>
        <v>0</v>
      </c>
      <c r="JM115" s="46" cm="1">
        <f t="array" ref="JM115">ROUND(IFERROR(INDEX(ArchiveResults!$F$5:$IX$116,ComparisonData!A115,ComparisonData!$JM$1),0),5)</f>
        <v>0</v>
      </c>
      <c r="JN115" s="46" cm="1">
        <f t="array" ref="JN115">ROUND(IFERROR(INDEX(ArchiveResults!$F$5:$IX$116,ComparisonData!A115,ComparisonData!$JN$1),0),5)</f>
        <v>0</v>
      </c>
      <c r="JO115" s="46" cm="1">
        <f t="array" ref="JO115">ROUND(IFERROR(INDEX(ArchiveResults!$F$5:$IX$116,ComparisonData!A115,ComparisonData!$JO$1),0),5)</f>
        <v>0</v>
      </c>
      <c r="JP115" s="46" cm="1">
        <f t="array" ref="JP115">ROUND(IFERROR(INDEX(ArchiveResults!$F$5:$IX$116,ComparisonData!A115,ComparisonData!$JP$1),0),5)</f>
        <v>0</v>
      </c>
      <c r="JQ115" s="45" cm="1">
        <f t="array" ref="JQ115">IFERROR(INDEX(ArchiveResults!$F$5:$IX$116,ComparisonData!A115,ComparisonData!$JQ$1),0)</f>
        <v>0</v>
      </c>
      <c r="JR115" s="56">
        <v>110</v>
      </c>
      <c r="JS115" s="53" t="str">
        <f t="shared" si="1211"/>
        <v>West Yorkshire Archive Service, Leeds</v>
      </c>
      <c r="JT115" s="59">
        <f t="shared" si="889"/>
        <v>0</v>
      </c>
      <c r="JU115" s="59">
        <f t="shared" si="890"/>
        <v>0</v>
      </c>
      <c r="JV115" s="59">
        <f t="shared" si="891"/>
        <v>0</v>
      </c>
      <c r="JW115" s="59">
        <f t="shared" si="892"/>
        <v>0</v>
      </c>
      <c r="JX115" s="59">
        <f t="shared" si="893"/>
        <v>0</v>
      </c>
      <c r="JY115" s="58">
        <f t="shared" si="894"/>
        <v>0</v>
      </c>
      <c r="JZ115" s="45">
        <f t="shared" si="895"/>
        <v>23</v>
      </c>
      <c r="KA115" s="45">
        <f t="shared" si="1212"/>
        <v>2.5489999999999995</v>
      </c>
      <c r="KB115" s="45">
        <f t="shared" si="896"/>
        <v>1</v>
      </c>
      <c r="KC115" s="45">
        <f t="shared" si="897"/>
        <v>2</v>
      </c>
      <c r="KD115" s="45">
        <f t="shared" si="898"/>
        <v>0</v>
      </c>
      <c r="KE115" s="46" cm="1">
        <f t="array" ref="KE115">ROUND(IFERROR(INDEX(ArchiveResults!$F$5:$IX$116,ComparisonData!A115,ComparisonData!$KE$1),0),5)</f>
        <v>0</v>
      </c>
      <c r="KF115" s="46" cm="1">
        <f t="array" ref="KF115">ROUND(IFERROR(INDEX(ArchiveResults!$F$5:$IX$116,ComparisonData!A115,ComparisonData!$KF$1),0),5)</f>
        <v>0</v>
      </c>
      <c r="KG115" s="46" cm="1">
        <f t="array" ref="KG115">ROUND(IFERROR(INDEX(ArchiveResults!$F$5:$IX$116,ComparisonData!A115,ComparisonData!$KG$1),0),5)</f>
        <v>0</v>
      </c>
      <c r="KH115" s="46" cm="1">
        <f t="array" ref="KH115">ROUND(IFERROR(INDEX(ArchiveResults!$F$5:$IX$116,ComparisonData!A115,ComparisonData!$KH$1),0),5)</f>
        <v>0</v>
      </c>
      <c r="KI115" s="45" cm="1">
        <f t="array" ref="KI115">IFERROR(INDEX(ArchiveResults!$F$5:$IX$116,ComparisonData!A115,ComparisonData!$KI$1),0)</f>
        <v>0</v>
      </c>
      <c r="KJ115" s="56">
        <v>110</v>
      </c>
      <c r="KK115" s="53" t="str">
        <f t="shared" si="1213"/>
        <v>West Yorkshire Archive Service, Leeds</v>
      </c>
      <c r="KL115" s="59">
        <f t="shared" si="899"/>
        <v>0</v>
      </c>
      <c r="KM115" s="59">
        <f t="shared" si="900"/>
        <v>0</v>
      </c>
      <c r="KN115" s="59">
        <f t="shared" si="901"/>
        <v>0</v>
      </c>
      <c r="KO115" s="59">
        <f t="shared" si="902"/>
        <v>0</v>
      </c>
      <c r="KP115" s="59">
        <f t="shared" si="903"/>
        <v>0</v>
      </c>
      <c r="KQ115" s="58">
        <f t="shared" si="904"/>
        <v>0</v>
      </c>
      <c r="KR115" s="45">
        <f t="shared" si="905"/>
        <v>23</v>
      </c>
      <c r="KS115" s="45">
        <f t="shared" si="1214"/>
        <v>2.5489999999999995</v>
      </c>
      <c r="KT115" s="45">
        <f t="shared" si="906"/>
        <v>1</v>
      </c>
      <c r="KU115" s="45">
        <f t="shared" si="907"/>
        <v>2</v>
      </c>
      <c r="KV115" s="45">
        <f t="shared" si="908"/>
        <v>0</v>
      </c>
      <c r="KW115" s="46" cm="1">
        <f t="array" ref="KW115">ROUND(IFERROR(INDEX(ArchiveResults!$F$5:$IX$116,ComparisonData!A115,ComparisonData!$KW$1),0),5)</f>
        <v>0</v>
      </c>
      <c r="KX115" s="46" cm="1">
        <f t="array" ref="KX115">ROUND(IFERROR(INDEX(ArchiveResults!$F$5:$IX$116,ComparisonData!A115,ComparisonData!$KX$1),0),5)</f>
        <v>0</v>
      </c>
      <c r="KY115" s="46" cm="1">
        <f t="array" ref="KY115">ROUND(IFERROR(INDEX(ArchiveResults!$F$5:$IX$116,ComparisonData!A115,ComparisonData!$KY$1),0),5)</f>
        <v>0</v>
      </c>
      <c r="KZ115" s="46" cm="1">
        <f t="array" ref="KZ115">ROUND(IFERROR(INDEX(ArchiveResults!$F$5:$IX$116,ComparisonData!A115,ComparisonData!$KZ$1),0),5)</f>
        <v>0</v>
      </c>
      <c r="LA115" s="45" cm="1">
        <f t="array" ref="LA115">IFERROR(INDEX(ArchiveResults!$F$5:$IX$116,ComparisonData!A115,ComparisonData!$LA$1),0)</f>
        <v>0</v>
      </c>
      <c r="LB115" s="56">
        <v>110</v>
      </c>
      <c r="LC115" s="53" t="str">
        <f t="shared" si="1215"/>
        <v>West Yorkshire Archive Service, Leeds</v>
      </c>
      <c r="LD115" s="59">
        <f t="shared" si="909"/>
        <v>0</v>
      </c>
      <c r="LE115" s="59">
        <f t="shared" si="910"/>
        <v>0</v>
      </c>
      <c r="LF115" s="59">
        <f t="shared" si="911"/>
        <v>0</v>
      </c>
      <c r="LG115" s="59">
        <f t="shared" si="912"/>
        <v>0</v>
      </c>
      <c r="LH115" s="59">
        <f t="shared" si="913"/>
        <v>0</v>
      </c>
      <c r="LI115" s="58">
        <f t="shared" si="914"/>
        <v>0</v>
      </c>
      <c r="LJ115" s="45">
        <f t="shared" si="915"/>
        <v>23</v>
      </c>
      <c r="LK115" s="45">
        <f t="shared" si="1216"/>
        <v>2.5489999999999995</v>
      </c>
      <c r="LL115" s="45">
        <f t="shared" si="916"/>
        <v>1</v>
      </c>
      <c r="LM115" s="45">
        <f t="shared" si="917"/>
        <v>2</v>
      </c>
      <c r="LN115" s="45">
        <f t="shared" si="918"/>
        <v>0</v>
      </c>
      <c r="LO115" s="46" cm="1">
        <f t="array" ref="LO115">ROUND(IFERROR(INDEX(ArchiveResults!$F$5:$IX$116,ComparisonData!A115,ComparisonData!$LO$1),0),5)</f>
        <v>0</v>
      </c>
      <c r="LP115" s="46" cm="1">
        <f t="array" ref="LP115">ROUND(IFERROR(INDEX(ArchiveResults!$F$5:$IX$116,ComparisonData!A115,ComparisonData!$LP$1),0),5)</f>
        <v>0</v>
      </c>
      <c r="LQ115" s="46" cm="1">
        <f t="array" ref="LQ115">ROUND(IFERROR(INDEX(ArchiveResults!$F$5:$IX$116,ComparisonData!A115,ComparisonData!$LQ$1),0),5)</f>
        <v>0</v>
      </c>
      <c r="LR115" s="46" cm="1">
        <f t="array" ref="LR115">ROUND(IFERROR(INDEX(ArchiveResults!$F$5:$IX$116,ComparisonData!A115,ComparisonData!$LR$1),0),5)</f>
        <v>0</v>
      </c>
      <c r="LS115" s="45" cm="1">
        <f t="array" ref="LS115">IFERROR(INDEX(ArchiveResults!$F$5:$IX$116,ComparisonData!A115,ComparisonData!$LS$1),0)</f>
        <v>0</v>
      </c>
      <c r="LT115" s="56">
        <v>110</v>
      </c>
      <c r="LU115" s="53" t="str">
        <f t="shared" si="1217"/>
        <v>West Yorkshire Archive Service, Leeds</v>
      </c>
      <c r="LV115" s="59">
        <f t="shared" si="919"/>
        <v>0</v>
      </c>
      <c r="LW115" s="59">
        <f t="shared" si="920"/>
        <v>0</v>
      </c>
      <c r="LX115" s="59">
        <f t="shared" si="921"/>
        <v>0</v>
      </c>
      <c r="LY115" s="59">
        <f t="shared" si="922"/>
        <v>0</v>
      </c>
      <c r="LZ115" s="59">
        <f t="shared" si="923"/>
        <v>0</v>
      </c>
      <c r="MA115" s="58">
        <f t="shared" si="924"/>
        <v>0</v>
      </c>
      <c r="MB115" s="45">
        <f t="shared" si="925"/>
        <v>23</v>
      </c>
      <c r="MC115" s="45">
        <f t="shared" si="1218"/>
        <v>2.5489999999999995</v>
      </c>
      <c r="MD115" s="45">
        <f t="shared" si="926"/>
        <v>1</v>
      </c>
      <c r="ME115" s="45">
        <f t="shared" si="927"/>
        <v>2</v>
      </c>
      <c r="MF115" s="45">
        <f t="shared" si="928"/>
        <v>0</v>
      </c>
      <c r="MG115" s="46" cm="1">
        <f t="array" ref="MG115">ROUND(IFERROR(INDEX(ArchiveResults!$F$5:$IX$116,ComparisonData!A115,ComparisonData!$MG$1),0),5)</f>
        <v>0</v>
      </c>
      <c r="MH115" s="46" cm="1">
        <f t="array" ref="MH115">ROUND(IFERROR(INDEX(ArchiveResults!$F$5:$IX$116,ComparisonData!A115,ComparisonData!$MH$1),0),5)</f>
        <v>0</v>
      </c>
      <c r="MI115" s="46" cm="1">
        <f t="array" ref="MI115">ROUND(IFERROR(INDEX(ArchiveResults!$F$5:$IX$116,ComparisonData!A115,ComparisonData!$MI$1),0),5)</f>
        <v>0</v>
      </c>
      <c r="MJ115" s="46" cm="1">
        <f t="array" ref="MJ115">ROUND(IFERROR(INDEX(ArchiveResults!$F$5:$IX$116,ComparisonData!A115,ComparisonData!$MJ$1),0),5)</f>
        <v>0</v>
      </c>
      <c r="MK115" s="45" cm="1">
        <f t="array" ref="MK115">IFERROR(INDEX(ArchiveResults!$F$5:$IX$116,ComparisonData!A115,ComparisonData!$MK$1),0)</f>
        <v>0</v>
      </c>
      <c r="ML115" s="56">
        <v>110</v>
      </c>
      <c r="MM115" s="53" t="str">
        <f t="shared" si="1219"/>
        <v>West Yorkshire Archive Service, Leeds</v>
      </c>
      <c r="MN115" s="59">
        <f t="shared" si="929"/>
        <v>0</v>
      </c>
      <c r="MO115" s="59">
        <f t="shared" si="930"/>
        <v>0</v>
      </c>
      <c r="MP115" s="59">
        <f t="shared" si="931"/>
        <v>0</v>
      </c>
      <c r="MQ115" s="59">
        <f t="shared" si="932"/>
        <v>0</v>
      </c>
      <c r="MR115" s="59">
        <f t="shared" si="933"/>
        <v>0</v>
      </c>
      <c r="MS115" s="58">
        <f t="shared" si="934"/>
        <v>0</v>
      </c>
      <c r="MT115" s="45">
        <f t="shared" si="935"/>
        <v>23</v>
      </c>
      <c r="MU115" s="45">
        <f t="shared" si="1220"/>
        <v>2.5489999999999995</v>
      </c>
      <c r="MV115" s="45">
        <f t="shared" si="936"/>
        <v>1</v>
      </c>
      <c r="MW115" s="45">
        <f t="shared" si="937"/>
        <v>2</v>
      </c>
      <c r="MX115" s="45">
        <f t="shared" si="938"/>
        <v>0</v>
      </c>
      <c r="MY115" s="46" cm="1">
        <f t="array" ref="MY115">ROUND(IFERROR(INDEX(ArchiveResults!$F$5:$IX$116,ComparisonData!A115,ComparisonData!$MY$1),0),5)</f>
        <v>0</v>
      </c>
      <c r="MZ115" s="46" cm="1">
        <f t="array" ref="MZ115">ROUND(IFERROR(INDEX(ArchiveResults!$F$5:$IX$116,ComparisonData!A115,ComparisonData!$MZ$1),0),5)</f>
        <v>0</v>
      </c>
      <c r="NA115" s="46" cm="1">
        <f t="array" ref="NA115">ROUND(IFERROR(INDEX(ArchiveResults!$F$5:$IX$116,ComparisonData!A115,ComparisonData!$NA$1),0),5)</f>
        <v>0</v>
      </c>
      <c r="NB115" s="46" cm="1">
        <f t="array" ref="NB115">ROUND(IFERROR(INDEX(ArchiveResults!$F$5:$IX$116,ComparisonData!A115,ComparisonData!$NB$1),0),5)</f>
        <v>0</v>
      </c>
      <c r="NC115" s="45" cm="1">
        <f t="array" ref="NC115">IFERROR(INDEX(ArchiveResults!$F$5:$IX$116,ComparisonData!A115,ComparisonData!$NC$1),0)</f>
        <v>0</v>
      </c>
      <c r="ND115" s="56">
        <v>110</v>
      </c>
      <c r="NE115" s="53" t="str">
        <f t="shared" si="1221"/>
        <v>West Yorkshire Archive Service, Leeds</v>
      </c>
      <c r="NF115" s="59">
        <f t="shared" si="939"/>
        <v>0</v>
      </c>
      <c r="NG115" s="59">
        <f t="shared" si="940"/>
        <v>0</v>
      </c>
      <c r="NH115" s="59">
        <f t="shared" si="941"/>
        <v>0</v>
      </c>
      <c r="NI115" s="59">
        <f t="shared" si="942"/>
        <v>0</v>
      </c>
      <c r="NJ115" s="59">
        <f t="shared" si="943"/>
        <v>0</v>
      </c>
      <c r="NK115" s="58">
        <f t="shared" si="944"/>
        <v>0</v>
      </c>
      <c r="NL115" s="45">
        <f t="shared" si="945"/>
        <v>23</v>
      </c>
      <c r="NM115" s="45">
        <f t="shared" si="1222"/>
        <v>2.5489999999999995</v>
      </c>
      <c r="NN115" s="45">
        <f t="shared" si="946"/>
        <v>1</v>
      </c>
      <c r="NO115" s="45">
        <f t="shared" si="947"/>
        <v>2</v>
      </c>
      <c r="NP115" s="46" cm="1">
        <f t="array" ref="NP115">ROUND(IFERROR(INDEX(ArchiveResults!$F$5:$IX$116,ComparisonData!A115,ComparisonData!$NP$1),0),5)</f>
        <v>0</v>
      </c>
      <c r="NQ115" s="46" cm="1">
        <f t="array" ref="NQ115">ROUND(IFERROR(INDEX(ArchiveResults!$F$5:$IX$116,ComparisonData!A115,ComparisonData!$NQ$1),0),5)</f>
        <v>0</v>
      </c>
      <c r="NR115" s="46" cm="1">
        <f t="array" ref="NR115">ROUND(IFERROR(INDEX(ArchiveResults!$F$5:$IX$116,ComparisonData!A115,ComparisonData!$NR$1),0),5)</f>
        <v>0</v>
      </c>
      <c r="NS115" s="46" cm="1">
        <f t="array" ref="NS115">ROUND(IFERROR(INDEX(ArchiveResults!$F$5:$IX$116,ComparisonData!A115,ComparisonData!$NS$1),0),5)</f>
        <v>0</v>
      </c>
      <c r="NT115" s="45" cm="1">
        <f t="array" ref="NT115">IFERROR(INDEX(ArchiveResults!$F$5:$IX$116,ComparisonData!A115,ComparisonData!$NT$1),0)</f>
        <v>0</v>
      </c>
      <c r="NU115" s="56">
        <v>110</v>
      </c>
      <c r="NV115" s="53" t="str">
        <f t="shared" si="1223"/>
        <v>West Yorkshire Archive Service, Leeds</v>
      </c>
      <c r="NW115" s="59">
        <f t="shared" si="948"/>
        <v>0</v>
      </c>
      <c r="NX115" s="59">
        <f t="shared" si="949"/>
        <v>0</v>
      </c>
      <c r="NY115" s="59">
        <f t="shared" si="950"/>
        <v>0</v>
      </c>
      <c r="NZ115" s="59">
        <f t="shared" si="951"/>
        <v>0</v>
      </c>
      <c r="OA115" s="59">
        <f t="shared" si="952"/>
        <v>0</v>
      </c>
      <c r="OB115" s="58">
        <f t="shared" si="953"/>
        <v>0</v>
      </c>
      <c r="OC115" s="45">
        <f t="shared" si="954"/>
        <v>23</v>
      </c>
      <c r="OD115" s="45">
        <f t="shared" si="1224"/>
        <v>2.5489999999999995</v>
      </c>
      <c r="OE115" s="45">
        <f t="shared" si="955"/>
        <v>1</v>
      </c>
      <c r="OF115" s="45">
        <f t="shared" si="956"/>
        <v>2</v>
      </c>
      <c r="OG115" s="46">
        <f t="shared" si="957"/>
        <v>0</v>
      </c>
      <c r="OH115" s="46" cm="1">
        <f t="array" ref="OH115">ROUND(IFERROR(INDEX(ArchiveResults!$F$5:$IX$116,ComparisonData!A115,ComparisonData!$OH$1),0),5)</f>
        <v>0</v>
      </c>
      <c r="OI115" s="46" cm="1">
        <f t="array" ref="OI115">ROUND(IFERROR(INDEX(ArchiveResults!$F$5:$IX$116,ComparisonData!A115,ComparisonData!$OI$1),0),5)</f>
        <v>0</v>
      </c>
      <c r="OJ115" s="46" cm="1">
        <f t="array" ref="OJ115">ROUND(IFERROR(INDEX(ArchiveResults!$F$5:$IX$116,ComparisonData!A115,ComparisonData!$OJ$1),0),5)</f>
        <v>0</v>
      </c>
      <c r="OK115" s="46" cm="1">
        <f t="array" ref="OK115">ROUND(IFERROR(INDEX(ArchiveResults!$F$5:$IX$116,ComparisonData!A115,ComparisonData!$OK$1),0),5)</f>
        <v>0</v>
      </c>
      <c r="OL115" s="45" cm="1">
        <f t="array" ref="OL115">IFERROR(INDEX(ArchiveResults!$F$5:$IX$116,ComparisonData!A115,ComparisonData!$OL$1),0)</f>
        <v>0</v>
      </c>
      <c r="OM115" s="56">
        <v>110</v>
      </c>
      <c r="ON115" s="53" t="str">
        <f t="shared" si="1225"/>
        <v>West Yorkshire Archive Service, Leeds</v>
      </c>
      <c r="OO115" s="59">
        <f t="shared" si="958"/>
        <v>0</v>
      </c>
      <c r="OP115" s="59">
        <f t="shared" si="959"/>
        <v>0</v>
      </c>
      <c r="OQ115" s="59">
        <f t="shared" si="960"/>
        <v>0</v>
      </c>
      <c r="OR115" s="59">
        <f t="shared" si="961"/>
        <v>0</v>
      </c>
      <c r="OS115" s="59">
        <f t="shared" si="962"/>
        <v>0</v>
      </c>
      <c r="OT115" s="58">
        <f t="shared" si="963"/>
        <v>0</v>
      </c>
      <c r="OU115" s="45">
        <f t="shared" si="964"/>
        <v>23</v>
      </c>
      <c r="OV115" s="45">
        <f t="shared" si="1226"/>
        <v>2.5489999999999995</v>
      </c>
      <c r="OW115" s="45">
        <f t="shared" si="965"/>
        <v>1</v>
      </c>
      <c r="OX115" s="45">
        <f t="shared" si="966"/>
        <v>2</v>
      </c>
      <c r="OY115" s="45">
        <f t="shared" si="967"/>
        <v>0</v>
      </c>
      <c r="OZ115" s="46" cm="1">
        <f t="array" ref="OZ115">ROUND(IFERROR(INDEX(ArchiveResults!$F$5:$IX$116,ComparisonData!A115,ComparisonData!$OZ$1),0),5)</f>
        <v>0</v>
      </c>
      <c r="PA115" s="46" cm="1">
        <f t="array" ref="PA115">ROUND(IFERROR(INDEX(ArchiveResults!$F$5:$IX$116,ComparisonData!A115,ComparisonData!$PA$1),0),5)</f>
        <v>0</v>
      </c>
      <c r="PB115" s="46" cm="1">
        <f t="array" ref="PB115">ROUND(IFERROR(INDEX(ArchiveResults!$F$5:$IX$116,ComparisonData!A115,ComparisonData!$PB$1),0),5)</f>
        <v>0</v>
      </c>
      <c r="PC115" s="46" cm="1">
        <f t="array" ref="PC115">ROUND(IFERROR(INDEX(ArchiveResults!$F$5:$IX$116,ComparisonData!A115,ComparisonData!$PC$1),0),5)</f>
        <v>0</v>
      </c>
      <c r="PD115" s="45" cm="1">
        <f t="array" ref="PD115">IFERROR(INDEX(ArchiveResults!$F$5:$IX$116,ComparisonData!A115,ComparisonData!$PD$1),0)</f>
        <v>0</v>
      </c>
      <c r="PE115" s="56">
        <v>110</v>
      </c>
      <c r="PF115" s="53" t="str">
        <f t="shared" si="1227"/>
        <v>West Yorkshire Archive Service, Leeds</v>
      </c>
      <c r="PG115" s="59">
        <f t="shared" si="968"/>
        <v>0</v>
      </c>
      <c r="PH115" s="59">
        <f t="shared" si="969"/>
        <v>0</v>
      </c>
      <c r="PI115" s="59">
        <f t="shared" si="970"/>
        <v>0</v>
      </c>
      <c r="PJ115" s="59">
        <f t="shared" si="971"/>
        <v>0</v>
      </c>
      <c r="PK115" s="59">
        <f t="shared" si="972"/>
        <v>0</v>
      </c>
      <c r="PL115" s="58">
        <f t="shared" si="973"/>
        <v>0</v>
      </c>
      <c r="PM115" s="45">
        <f t="shared" si="974"/>
        <v>23</v>
      </c>
      <c r="PN115" s="45">
        <f t="shared" si="1228"/>
        <v>2.5489999999999995</v>
      </c>
      <c r="PO115" s="45">
        <f t="shared" si="975"/>
        <v>1</v>
      </c>
      <c r="PP115" s="45">
        <f t="shared" si="976"/>
        <v>2</v>
      </c>
      <c r="PQ115" s="45">
        <f t="shared" si="977"/>
        <v>0</v>
      </c>
      <c r="PR115" s="46" cm="1">
        <f t="array" ref="PR115">ROUND(IFERROR(INDEX(ArchiveResults!$F$5:$IX$116,ComparisonData!A115,ComparisonData!$PR$1),0),5)</f>
        <v>0</v>
      </c>
      <c r="PS115" s="46" cm="1">
        <f t="array" ref="PS115">ROUND(IFERROR(INDEX(ArchiveResults!$F$5:$IX$116,ComparisonData!A115,ComparisonData!$PS$1),0),5)</f>
        <v>0</v>
      </c>
      <c r="PT115" s="46" cm="1">
        <f t="array" ref="PT115">ROUND(IFERROR(INDEX(ArchiveResults!$F$5:$IX$116,ComparisonData!A115,ComparisonData!$PT$1),0),5)</f>
        <v>0</v>
      </c>
      <c r="PU115" s="46" cm="1">
        <f t="array" ref="PU115">ROUND(IFERROR(INDEX(ArchiveResults!$F$5:$IX$116,ComparisonData!A115,ComparisonData!$PU$1),0),5)</f>
        <v>0</v>
      </c>
      <c r="PV115" s="45" cm="1">
        <f t="array" ref="PV115">IFERROR(INDEX(ArchiveResults!$F$5:$IX$116,ComparisonData!A115,ComparisonData!$PV$1),0)</f>
        <v>0</v>
      </c>
      <c r="PW115" s="56">
        <v>110</v>
      </c>
      <c r="PX115" s="53" t="str">
        <f t="shared" si="1229"/>
        <v>West Yorkshire Archive Service, Leeds</v>
      </c>
      <c r="PY115" s="59">
        <f t="shared" si="978"/>
        <v>0</v>
      </c>
      <c r="PZ115" s="59">
        <f t="shared" si="979"/>
        <v>0</v>
      </c>
      <c r="QA115" s="59">
        <f t="shared" si="980"/>
        <v>0</v>
      </c>
      <c r="QB115" s="59">
        <f t="shared" si="981"/>
        <v>0</v>
      </c>
      <c r="QC115" s="59">
        <f t="shared" si="982"/>
        <v>0</v>
      </c>
      <c r="QD115" s="58">
        <f t="shared" si="983"/>
        <v>0</v>
      </c>
      <c r="QE115" s="45">
        <f t="shared" si="984"/>
        <v>23</v>
      </c>
      <c r="QF115" s="45">
        <f t="shared" si="1230"/>
        <v>2.5489999999999995</v>
      </c>
      <c r="QG115" s="45">
        <f t="shared" si="985"/>
        <v>1</v>
      </c>
      <c r="QH115" s="45">
        <f t="shared" si="986"/>
        <v>2</v>
      </c>
      <c r="QI115" s="45">
        <f t="shared" si="987"/>
        <v>0</v>
      </c>
      <c r="QJ115" s="46" cm="1">
        <f t="array" ref="QJ115">ROUND(IFERROR(INDEX(ArchiveResults!$F$5:$IX$116,ComparisonData!A115,ComparisonData!$QJ$1),0),5)</f>
        <v>0</v>
      </c>
      <c r="QK115" s="46" cm="1">
        <f t="array" ref="QK115">ROUND(IFERROR(INDEX(ArchiveResults!$F$5:$IX$116,ComparisonData!A115,ComparisonData!$QK$1),0),5)</f>
        <v>0</v>
      </c>
      <c r="QL115" s="46" cm="1">
        <f t="array" ref="QL115">ROUND(IFERROR(INDEX(ArchiveResults!$F$5:$IX$116,ComparisonData!A115,ComparisonData!$QL$1),0),5)</f>
        <v>0</v>
      </c>
      <c r="QM115" s="46" cm="1">
        <f t="array" ref="QM115">ROUND(IFERROR(INDEX(ArchiveResults!$F$5:$IX$116,ComparisonData!A115,ComparisonData!$QM$1),0),5)</f>
        <v>0</v>
      </c>
      <c r="QN115" s="45" cm="1">
        <f t="array" ref="QN115">IFERROR(INDEX(ArchiveResults!$F$5:$IX$116,ComparisonData!A115,ComparisonData!$QN$1),0)</f>
        <v>0</v>
      </c>
      <c r="QO115" s="56">
        <v>110</v>
      </c>
      <c r="QP115" s="53" t="str">
        <f t="shared" si="1231"/>
        <v>West Yorkshire Archive Service, Leeds</v>
      </c>
      <c r="QQ115" s="59">
        <f t="shared" si="988"/>
        <v>0</v>
      </c>
      <c r="QR115" s="59">
        <f t="shared" si="989"/>
        <v>0</v>
      </c>
      <c r="QS115" s="59">
        <f t="shared" si="990"/>
        <v>0</v>
      </c>
      <c r="QT115" s="59">
        <f t="shared" si="991"/>
        <v>0</v>
      </c>
      <c r="QU115" s="59">
        <f t="shared" si="992"/>
        <v>0</v>
      </c>
      <c r="QV115" s="58">
        <f t="shared" si="993"/>
        <v>0</v>
      </c>
      <c r="QW115" s="45">
        <f t="shared" si="994"/>
        <v>23</v>
      </c>
      <c r="QX115" s="45">
        <f t="shared" si="1232"/>
        <v>2.5489999999999995</v>
      </c>
      <c r="QY115" s="45">
        <f t="shared" si="995"/>
        <v>1</v>
      </c>
      <c r="QZ115" s="45">
        <f t="shared" si="996"/>
        <v>2</v>
      </c>
      <c r="RA115" s="45">
        <f t="shared" si="997"/>
        <v>0</v>
      </c>
      <c r="RB115" s="46" cm="1">
        <f t="array" ref="RB115">ROUND(IFERROR(INDEX(ArchiveResults!$F$5:$IX$116,ComparisonData!A115,ComparisonData!$RB$1),0),5)</f>
        <v>0</v>
      </c>
      <c r="RC115" s="46" cm="1">
        <f t="array" ref="RC115">ROUND(IFERROR(INDEX(ArchiveResults!$F$5:$IX$116,ComparisonData!A115,ComparisonData!$RC$1),0),5)</f>
        <v>0</v>
      </c>
      <c r="RD115" s="46" cm="1">
        <f t="array" ref="RD115">ROUND(IFERROR(INDEX(ArchiveResults!$F$5:$IX$116,ComparisonData!A115,ComparisonData!$RD$1),0),5)</f>
        <v>0</v>
      </c>
      <c r="RE115" s="46" cm="1">
        <f t="array" ref="RE115">ROUND(IFERROR(INDEX(ArchiveResults!$F$5:$IX$116,ComparisonData!A115,ComparisonData!$RE$1),0),5)</f>
        <v>0</v>
      </c>
      <c r="RF115" s="45" cm="1">
        <f t="array" ref="RF115">IFERROR(INDEX(ArchiveResults!$F$5:$IX$116,ComparisonData!A115,ComparisonData!$RF$1),0)</f>
        <v>0</v>
      </c>
      <c r="RG115" s="56">
        <v>110</v>
      </c>
      <c r="RH115" s="53" t="str">
        <f t="shared" si="1233"/>
        <v>West Yorkshire Archive Service, Leeds</v>
      </c>
      <c r="RI115" s="59">
        <f t="shared" si="998"/>
        <v>0</v>
      </c>
      <c r="RJ115" s="59">
        <f t="shared" si="999"/>
        <v>0</v>
      </c>
      <c r="RK115" s="59">
        <f t="shared" si="1000"/>
        <v>0</v>
      </c>
      <c r="RL115" s="59">
        <f t="shared" si="1001"/>
        <v>0</v>
      </c>
      <c r="RM115" s="59">
        <f t="shared" si="1002"/>
        <v>0</v>
      </c>
      <c r="RN115" s="58">
        <f t="shared" si="1003"/>
        <v>0</v>
      </c>
      <c r="RO115" s="45">
        <f t="shared" si="1004"/>
        <v>23</v>
      </c>
      <c r="RP115" s="45">
        <f t="shared" si="1234"/>
        <v>2.5489999999999995</v>
      </c>
      <c r="RQ115" s="45">
        <f t="shared" si="1005"/>
        <v>1</v>
      </c>
      <c r="RR115" s="45">
        <f t="shared" si="1006"/>
        <v>2</v>
      </c>
      <c r="RS115" s="45">
        <f t="shared" si="1007"/>
        <v>0</v>
      </c>
      <c r="RT115" s="46" cm="1">
        <f t="array" ref="RT115">ROUND(IFERROR(INDEX(ArchiveResults!$F$5:$IX$116,ComparisonData!A115,ComparisonData!$RT$1),0),5)</f>
        <v>0</v>
      </c>
      <c r="RU115" s="46" cm="1">
        <f t="array" ref="RU115">ROUND(IFERROR(INDEX(ArchiveResults!$F$5:$IX$116,ComparisonData!A115,ComparisonData!$RU$1),0),5)</f>
        <v>0</v>
      </c>
      <c r="RV115" s="46" cm="1">
        <f t="array" ref="RV115">ROUND(IFERROR(INDEX(ArchiveResults!$F$5:$IX$116,ComparisonData!A115,ComparisonData!$RV$1),0),5)</f>
        <v>0</v>
      </c>
      <c r="RW115" s="46" cm="1">
        <f t="array" ref="RW115">ROUND(IFERROR(INDEX(ArchiveResults!$F$5:$IX$116,ComparisonData!A115,ComparisonData!$RW$1),0),5)</f>
        <v>0</v>
      </c>
      <c r="RX115" s="45" cm="1">
        <f t="array" ref="RX115">IFERROR(INDEX(ArchiveResults!$F$5:$IX$116,ComparisonData!A115,ComparisonData!$RX$1),0)</f>
        <v>0</v>
      </c>
      <c r="RY115" s="56">
        <v>110</v>
      </c>
      <c r="RZ115" s="53" t="str">
        <f t="shared" si="1235"/>
        <v>West Yorkshire Archive Service, Leeds</v>
      </c>
      <c r="SA115" s="59">
        <f t="shared" si="1008"/>
        <v>0</v>
      </c>
      <c r="SB115" s="59">
        <f t="shared" si="1009"/>
        <v>0</v>
      </c>
      <c r="SC115" s="59">
        <f t="shared" si="1010"/>
        <v>0</v>
      </c>
      <c r="SD115" s="59">
        <f t="shared" si="1011"/>
        <v>0</v>
      </c>
      <c r="SE115" s="59">
        <f t="shared" si="1012"/>
        <v>0</v>
      </c>
      <c r="SF115" s="58">
        <f t="shared" si="1013"/>
        <v>0</v>
      </c>
      <c r="SG115" s="45">
        <f t="shared" si="1014"/>
        <v>23</v>
      </c>
      <c r="SH115" s="45">
        <f t="shared" si="1236"/>
        <v>2.5489999999999995</v>
      </c>
      <c r="SI115" s="45">
        <f t="shared" si="1015"/>
        <v>1</v>
      </c>
      <c r="SJ115" s="45">
        <f t="shared" si="1016"/>
        <v>2</v>
      </c>
      <c r="SK115" s="45">
        <f t="shared" si="1017"/>
        <v>0</v>
      </c>
      <c r="SL115" s="46" cm="1">
        <f t="array" ref="SL115">ROUND(IFERROR(INDEX(ArchiveResults!$F$5:$IX$116,ComparisonData!A115,ComparisonData!$SL$1),0),5)</f>
        <v>0</v>
      </c>
      <c r="SM115" s="46" cm="1">
        <f t="array" ref="SM115">ROUND(IFERROR(INDEX(ArchiveResults!$F$5:$IX$116,ComparisonData!A115,ComparisonData!$SM$1),0),5)</f>
        <v>0</v>
      </c>
      <c r="SN115" s="46" cm="1">
        <f t="array" ref="SN115">ROUND(IFERROR(INDEX(ArchiveResults!$F$5:$IX$116,ComparisonData!A115,ComparisonData!$SN$1),0),5)</f>
        <v>0</v>
      </c>
      <c r="SO115" s="46" cm="1">
        <f t="array" ref="SO115">ROUND(IFERROR(INDEX(ArchiveResults!$F$5:$IX$116,ComparisonData!A115,ComparisonData!$SO$1),0),5)</f>
        <v>0</v>
      </c>
      <c r="SP115" s="45" cm="1">
        <f t="array" ref="SP115">IFERROR(INDEX(ArchiveResults!$F$5:$IX$116,ComparisonData!A115,ComparisonData!$SP$1),0)</f>
        <v>0</v>
      </c>
      <c r="SQ115" s="56">
        <v>110</v>
      </c>
      <c r="SR115" s="53" t="str">
        <f t="shared" si="1237"/>
        <v>West Yorkshire Archive Service, Leeds</v>
      </c>
      <c r="SS115" s="59">
        <f t="shared" si="1018"/>
        <v>0</v>
      </c>
      <c r="ST115" s="59">
        <f t="shared" si="1019"/>
        <v>0</v>
      </c>
      <c r="SU115" s="59">
        <f t="shared" si="1020"/>
        <v>0</v>
      </c>
      <c r="SV115" s="59">
        <f t="shared" si="1021"/>
        <v>0</v>
      </c>
      <c r="SW115" s="59">
        <f t="shared" si="1022"/>
        <v>0</v>
      </c>
      <c r="SX115" s="58">
        <f t="shared" si="1023"/>
        <v>0</v>
      </c>
      <c r="SY115" s="45">
        <f t="shared" si="1024"/>
        <v>23</v>
      </c>
      <c r="SZ115" s="45">
        <f t="shared" si="1238"/>
        <v>2.5489999999999995</v>
      </c>
      <c r="TA115" s="45">
        <f t="shared" si="1025"/>
        <v>1</v>
      </c>
      <c r="TB115" s="45">
        <f t="shared" si="1026"/>
        <v>2</v>
      </c>
      <c r="TC115" s="45">
        <f t="shared" si="1027"/>
        <v>0</v>
      </c>
      <c r="TD115" s="46" cm="1">
        <f t="array" ref="TD115">ROUND(IFERROR(INDEX(ArchiveResults!$F$5:$IX$116,ComparisonData!A115,ComparisonData!$TD$1),0),5)</f>
        <v>0</v>
      </c>
      <c r="TE115" s="46" cm="1">
        <f t="array" ref="TE115">ROUND(IFERROR(INDEX(ArchiveResults!$F$5:$IX$116,ComparisonData!A115,ComparisonData!$TE$1),0),5)</f>
        <v>0</v>
      </c>
      <c r="TF115" s="46" cm="1">
        <f t="array" ref="TF115">ROUND(IFERROR(INDEX(ArchiveResults!$F$5:$IX$116,ComparisonData!A115,ComparisonData!$TF$1),0),5)</f>
        <v>0</v>
      </c>
      <c r="TG115" s="46" cm="1">
        <f t="array" ref="TG115">ROUND(IFERROR(INDEX(ArchiveResults!$F$5:$IX$116,ComparisonData!A115,ComparisonData!$TG$1),0),5)</f>
        <v>0</v>
      </c>
      <c r="TH115" s="45" cm="1">
        <f t="array" ref="TH115">IFERROR(INDEX(ArchiveResults!$F$5:$IX$116,ComparisonData!A115,ComparisonData!$TH$1),0)</f>
        <v>0</v>
      </c>
      <c r="TI115" s="56">
        <v>110</v>
      </c>
      <c r="TJ115" s="53" t="str">
        <f t="shared" si="1239"/>
        <v>West Yorkshire Archive Service, Leeds</v>
      </c>
      <c r="TK115" s="59">
        <f t="shared" si="1028"/>
        <v>0</v>
      </c>
      <c r="TL115" s="59">
        <f t="shared" si="1029"/>
        <v>0</v>
      </c>
      <c r="TM115" s="59">
        <f t="shared" si="1030"/>
        <v>0</v>
      </c>
      <c r="TN115" s="59">
        <f t="shared" si="1031"/>
        <v>0</v>
      </c>
      <c r="TO115" s="59">
        <f t="shared" si="1032"/>
        <v>0</v>
      </c>
      <c r="TP115" s="58">
        <f t="shared" si="1033"/>
        <v>0</v>
      </c>
      <c r="TQ115" s="45">
        <f t="shared" si="1034"/>
        <v>23</v>
      </c>
      <c r="TR115" s="45">
        <f t="shared" si="1240"/>
        <v>2.5489999999999995</v>
      </c>
      <c r="TS115" s="45">
        <f t="shared" si="1035"/>
        <v>1</v>
      </c>
      <c r="TT115" s="45">
        <f t="shared" si="1036"/>
        <v>2</v>
      </c>
      <c r="TU115" s="45">
        <f t="shared" si="1037"/>
        <v>0</v>
      </c>
      <c r="TV115" s="46" cm="1">
        <f t="array" ref="TV115">ROUND(IFERROR(INDEX(ArchiveResults!$F$5:$IX$116,ComparisonData!A115,ComparisonData!$TV$1),0),5)</f>
        <v>0</v>
      </c>
      <c r="TW115" s="46" cm="1">
        <f t="array" ref="TW115">ROUND(IFERROR(INDEX(ArchiveResults!$F$5:$IX$116,ComparisonData!A115,ComparisonData!$TW$1),0),5)</f>
        <v>0</v>
      </c>
      <c r="TX115" s="46" cm="1">
        <f t="array" ref="TX115">ROUND(IFERROR(INDEX(ArchiveResults!$F$5:$IX$116,ComparisonData!A115,ComparisonData!$TX$1),0),5)</f>
        <v>0</v>
      </c>
      <c r="TY115" s="46" cm="1">
        <f t="array" ref="TY115">ROUND(IFERROR(INDEX(ArchiveResults!$F$5:$IX$116,ComparisonData!A115,ComparisonData!$TY$1),0),5)</f>
        <v>0</v>
      </c>
      <c r="TZ115" s="45" cm="1">
        <f t="array" ref="TZ115">IFERROR(INDEX(ArchiveResults!$F$5:$IX$116,ComparisonData!A115,ComparisonData!$TZ$1),0)</f>
        <v>0</v>
      </c>
      <c r="UA115" s="56">
        <v>110</v>
      </c>
      <c r="UB115" s="53" t="str">
        <f t="shared" si="1241"/>
        <v>West Yorkshire Archive Service, Leeds</v>
      </c>
      <c r="UC115" s="60">
        <f t="shared" si="1038"/>
        <v>0</v>
      </c>
      <c r="UD115" s="60">
        <f t="shared" si="1039"/>
        <v>0</v>
      </c>
      <c r="UE115" s="60">
        <f t="shared" si="1040"/>
        <v>0</v>
      </c>
      <c r="UF115" s="60">
        <f t="shared" si="1041"/>
        <v>0</v>
      </c>
      <c r="UG115" s="60">
        <f t="shared" si="1042"/>
        <v>0</v>
      </c>
      <c r="UH115" s="58">
        <f t="shared" si="1043"/>
        <v>0</v>
      </c>
      <c r="UI115" s="46">
        <f t="shared" si="1044"/>
        <v>23</v>
      </c>
      <c r="UJ115" s="46">
        <f t="shared" si="1242"/>
        <v>2.5489999999999995</v>
      </c>
      <c r="UK115" s="46">
        <f t="shared" si="1045"/>
        <v>1</v>
      </c>
      <c r="UL115" s="46">
        <f t="shared" si="1046"/>
        <v>2</v>
      </c>
      <c r="UM115" s="46" cm="1">
        <f t="array" ref="UM115">ROUND(IFERROR(INDEX(ArchiveResults!$F$5:$IX$116,ComparisonData!A115,ComparisonData!$UM$1),0),5)</f>
        <v>0</v>
      </c>
      <c r="UN115" s="56">
        <v>110</v>
      </c>
      <c r="UO115" s="53" t="str">
        <f t="shared" si="1243"/>
        <v>West Yorkshire Archive Service, Leeds</v>
      </c>
      <c r="UP115" s="46">
        <f t="shared" si="1047"/>
        <v>0</v>
      </c>
      <c r="UQ115" s="76">
        <f t="shared" si="1048"/>
        <v>0</v>
      </c>
      <c r="UR115" s="46">
        <f t="shared" si="1049"/>
        <v>23</v>
      </c>
      <c r="US115" s="46">
        <f t="shared" si="1244"/>
        <v>2.5489999999999995</v>
      </c>
      <c r="UT115" s="46">
        <f t="shared" si="1050"/>
        <v>1</v>
      </c>
      <c r="UU115" s="46">
        <f t="shared" si="1051"/>
        <v>2</v>
      </c>
      <c r="UV115" s="46">
        <f t="shared" si="1052"/>
        <v>0</v>
      </c>
      <c r="UW115" s="46" cm="1">
        <f t="array" ref="UW115">ROUND(IFERROR(INDEX(ArchiveResults!$F$5:$IX$116,ComparisonData!A115,ComparisonData!$UW$1),0),5)</f>
        <v>0</v>
      </c>
      <c r="UX115" s="46" cm="1">
        <f t="array" ref="UX115">ROUND(IFERROR(INDEX(ArchiveResults!$F$5:$IX$116,ComparisonData!A115,ComparisonData!$UX$1),0),5)</f>
        <v>0</v>
      </c>
      <c r="UY115" s="46" cm="1">
        <f t="array" ref="UY115">ROUND(IFERROR(INDEX(ArchiveResults!$F$5:$IX$116,ComparisonData!A115,ComparisonData!$UY$1),0),5)</f>
        <v>0</v>
      </c>
      <c r="UZ115" s="46" cm="1">
        <f t="array" ref="UZ115">ROUND(IFERROR(INDEX(ArchiveResults!$F$5:$IX$116,ComparisonData!A115,ComparisonData!$UZ$1),0),5)</f>
        <v>0</v>
      </c>
      <c r="VA115" s="46" cm="1">
        <f t="array" ref="VA115">ROUND(IFERROR(INDEX(ArchiveResults!$F$5:$IX$116,ComparisonData!A115,ComparisonData!$VA$1),0),5)</f>
        <v>0</v>
      </c>
      <c r="VB115" s="56">
        <v>110</v>
      </c>
      <c r="VC115" s="53" t="str">
        <f t="shared" si="1245"/>
        <v>West Yorkshire Archive Service, Leeds</v>
      </c>
      <c r="VD115" s="60">
        <f t="shared" si="1053"/>
        <v>0</v>
      </c>
      <c r="VE115" s="60">
        <f t="shared" si="1054"/>
        <v>0</v>
      </c>
      <c r="VF115" s="60">
        <f t="shared" si="1055"/>
        <v>0</v>
      </c>
      <c r="VG115" s="60">
        <f t="shared" si="1056"/>
        <v>0</v>
      </c>
      <c r="VH115" s="60">
        <f t="shared" si="1057"/>
        <v>0</v>
      </c>
      <c r="VI115" s="76">
        <f t="shared" si="1058"/>
        <v>0</v>
      </c>
      <c r="VJ115" s="46">
        <f t="shared" si="1059"/>
        <v>23</v>
      </c>
      <c r="VK115" s="46">
        <f t="shared" si="1246"/>
        <v>2.5489999999999995</v>
      </c>
      <c r="VL115" s="46">
        <f t="shared" si="1060"/>
        <v>1</v>
      </c>
      <c r="VM115" s="46">
        <f t="shared" si="1061"/>
        <v>2</v>
      </c>
      <c r="VN115" s="46" cm="1">
        <f t="array" ref="VN115">ROUND(IFERROR(INDEX(ArchiveResults!$F$5:$IX$116,ComparisonData!A115,ComparisonData!$VN$1),0),5)</f>
        <v>0</v>
      </c>
      <c r="VO115" s="46" cm="1">
        <f t="array" ref="VO115">ROUND(IFERROR(INDEX(ArchiveResults!$F$5:$IX$116,ComparisonData!A115,ComparisonData!$VO$1),0),5)</f>
        <v>0</v>
      </c>
      <c r="VP115" s="46" cm="1">
        <f t="array" ref="VP115">ROUND(IFERROR(INDEX(ArchiveResults!$F$5:$IX$116,ComparisonData!A115,ComparisonData!$VP$1),0),5)</f>
        <v>0</v>
      </c>
      <c r="VQ115" s="46" cm="1">
        <f t="array" ref="VQ115">ROUND(IFERROR(INDEX(ArchiveResults!$F$5:$IX$116,ComparisonData!A115,ComparisonData!$VQ$1),0),5)</f>
        <v>0</v>
      </c>
      <c r="VR115" s="56">
        <v>110</v>
      </c>
      <c r="VS115" s="53" t="str">
        <f t="shared" si="1247"/>
        <v>West Yorkshire Archive Service, Leeds</v>
      </c>
      <c r="VT115" s="60">
        <f t="shared" si="1062"/>
        <v>0</v>
      </c>
      <c r="VU115" s="60">
        <f t="shared" si="1063"/>
        <v>0</v>
      </c>
      <c r="VV115" s="60">
        <f t="shared" si="1064"/>
        <v>0</v>
      </c>
      <c r="VW115" s="60">
        <f t="shared" si="1065"/>
        <v>0</v>
      </c>
      <c r="VX115" s="76">
        <f t="shared" si="1066"/>
        <v>0</v>
      </c>
      <c r="VY115" s="46">
        <f t="shared" si="1067"/>
        <v>23</v>
      </c>
      <c r="VZ115" s="46">
        <f t="shared" si="1248"/>
        <v>2.5489999999999995</v>
      </c>
      <c r="WA115" s="46">
        <f t="shared" si="1068"/>
        <v>1</v>
      </c>
      <c r="WB115" s="46">
        <f t="shared" si="1069"/>
        <v>2</v>
      </c>
      <c r="WC115" s="46" cm="1">
        <f t="array" ref="WC115">ROUND(IFERROR(INDEX(ArchiveResults!$F$5:$IX$116,ComparisonData!A115,ComparisonData!$WC$1),0),5)</f>
        <v>0</v>
      </c>
      <c r="WD115" s="56">
        <v>110</v>
      </c>
      <c r="WE115" s="53" t="str">
        <f t="shared" si="1249"/>
        <v>West Yorkshire Archive Service, Leeds</v>
      </c>
      <c r="WF115" s="46">
        <f t="shared" si="1070"/>
        <v>0</v>
      </c>
      <c r="WG115" s="76">
        <f t="shared" si="1071"/>
        <v>0</v>
      </c>
      <c r="WH115" s="46">
        <f t="shared" si="1072"/>
        <v>23</v>
      </c>
      <c r="WI115" s="46">
        <f t="shared" si="1250"/>
        <v>2.5489999999999995</v>
      </c>
      <c r="WJ115" s="46">
        <f t="shared" si="1073"/>
        <v>1</v>
      </c>
      <c r="WK115" s="46">
        <f t="shared" si="1074"/>
        <v>2</v>
      </c>
      <c r="WL115" s="46" cm="1">
        <f t="array" ref="WL115">ROUND(IFERROR(INDEX(ArchiveResults!$F$5:$IX$116,ComparisonData!A115,ComparisonData!$WL$1),0),5)</f>
        <v>0</v>
      </c>
      <c r="WM115" s="46" cm="1">
        <f t="array" ref="WM115">IFERROR(INDEX(ArchiveResults!$F$5:$IX$116,ComparisonData!A115,ComparisonData!$WM$1),0)</f>
        <v>0</v>
      </c>
      <c r="WN115" s="56">
        <v>110</v>
      </c>
      <c r="WO115" s="53" t="str">
        <f t="shared" si="1251"/>
        <v>West Yorkshire Archive Service, Leeds</v>
      </c>
      <c r="WP115" s="60">
        <f t="shared" si="1075"/>
        <v>0</v>
      </c>
      <c r="WQ115" s="60">
        <f t="shared" si="1076"/>
        <v>0</v>
      </c>
      <c r="WR115" s="76">
        <f t="shared" si="1077"/>
        <v>0</v>
      </c>
      <c r="WS115" s="46">
        <f t="shared" si="1078"/>
        <v>23</v>
      </c>
      <c r="WT115" s="46">
        <f t="shared" si="1252"/>
        <v>2.5489999999999995</v>
      </c>
      <c r="WU115" s="46">
        <f t="shared" si="1079"/>
        <v>1</v>
      </c>
      <c r="WV115" s="46">
        <f t="shared" si="1080"/>
        <v>2</v>
      </c>
      <c r="WW115" s="46" cm="1">
        <f t="array" ref="WW115">ROUND(VALUE(IFERROR(INDEX(ArchiveResults!$F$5:$IX$116,ComparisonData!A115,ComparisonData!$WW$1),0)),5)</f>
        <v>0</v>
      </c>
      <c r="WX115" s="46" cm="1">
        <f t="array" ref="WX115">ROUND(IFERROR(INDEX(ArchiveResults!$F$5:$IX$116,ComparisonData!A115,ComparisonData!$WX$1),0),5)</f>
        <v>0</v>
      </c>
      <c r="WY115" s="56">
        <v>110</v>
      </c>
      <c r="WZ115" s="53" t="str">
        <f t="shared" si="1253"/>
        <v>West Yorkshire Archive Service, Leeds</v>
      </c>
      <c r="XA115" s="60">
        <f t="shared" si="1254"/>
        <v>0</v>
      </c>
      <c r="XB115" s="60">
        <f t="shared" si="1255"/>
        <v>0</v>
      </c>
      <c r="XC115" s="76">
        <f t="shared" si="1081"/>
        <v>0</v>
      </c>
      <c r="XD115" s="46">
        <f t="shared" si="1082"/>
        <v>23</v>
      </c>
      <c r="XE115" s="46">
        <f t="shared" si="1256"/>
        <v>2.5489999999999995</v>
      </c>
      <c r="XF115" s="46">
        <f t="shared" si="1083"/>
        <v>1</v>
      </c>
      <c r="XG115" s="46">
        <f t="shared" si="1084"/>
        <v>2</v>
      </c>
      <c r="XH115" s="46" cm="1">
        <f t="array" ref="XH115">ROUND(VALUE(IFERROR(INDEX(ArchiveResults!$F$5:$IX$116,ComparisonData!A115,ComparisonData!$XH$1),0)),5)</f>
        <v>0</v>
      </c>
      <c r="XI115" s="46" cm="1">
        <f t="array" ref="XI115">ROUND(VALUE(IFERROR(INDEX(ArchiveResults!$F$5:$IX$116,ComparisonData!A115,ComparisonData!$XI$1),0)),5)</f>
        <v>0</v>
      </c>
      <c r="XJ115" s="56">
        <v>110</v>
      </c>
      <c r="XK115" s="53" t="str">
        <f t="shared" si="1257"/>
        <v>West Yorkshire Archive Service, Leeds</v>
      </c>
      <c r="XL115" s="60">
        <f t="shared" si="1085"/>
        <v>0</v>
      </c>
      <c r="XM115" s="60">
        <f t="shared" si="1086"/>
        <v>0</v>
      </c>
      <c r="XN115" s="76">
        <f t="shared" si="1087"/>
        <v>0</v>
      </c>
      <c r="XO115" s="46">
        <f t="shared" si="1088"/>
        <v>23</v>
      </c>
      <c r="XP115" s="46">
        <f t="shared" si="1258"/>
        <v>2.5489999999999995</v>
      </c>
      <c r="XQ115" s="46">
        <f t="shared" si="1089"/>
        <v>1</v>
      </c>
      <c r="XR115" s="46">
        <f t="shared" si="1090"/>
        <v>2</v>
      </c>
      <c r="XS115" s="46" cm="1">
        <f t="array" ref="XS115">ROUND(VALUE(IFERROR(INDEX(ArchiveResults!$F$5:$IX$116,ComparisonData!A115,ComparisonData!$XS$1),0)),5)</f>
        <v>0</v>
      </c>
      <c r="XT115" s="46" cm="1">
        <f t="array" ref="XT115">ROUND(VALUE(IFERROR(INDEX(ArchiveResults!$F$5:$IX$116,ComparisonData!A115,ComparisonData!$XT$1),0)),5)</f>
        <v>0</v>
      </c>
      <c r="XU115" s="56">
        <v>110</v>
      </c>
      <c r="XV115" s="53" t="str">
        <f t="shared" si="1259"/>
        <v>West Yorkshire Archive Service, Leeds</v>
      </c>
      <c r="XW115" s="60">
        <f t="shared" si="1091"/>
        <v>0</v>
      </c>
      <c r="XX115" s="60">
        <f t="shared" si="1092"/>
        <v>0</v>
      </c>
      <c r="XY115" s="76">
        <f t="shared" si="1093"/>
        <v>0</v>
      </c>
      <c r="XZ115" s="46">
        <f t="shared" si="1094"/>
        <v>23</v>
      </c>
      <c r="YA115" s="46">
        <f t="shared" si="1260"/>
        <v>2.5489999999999995</v>
      </c>
      <c r="YB115" s="46">
        <f t="shared" si="1095"/>
        <v>1</v>
      </c>
      <c r="YC115" s="46">
        <f t="shared" si="1096"/>
        <v>2</v>
      </c>
      <c r="YD115" s="46" cm="1">
        <f t="array" ref="YD115">ROUND(VALUE(IFERROR(INDEX(ArchiveResults!$F$5:$IX$116,ComparisonData!A115,ComparisonData!$YD$1),0)),5)</f>
        <v>0</v>
      </c>
      <c r="YE115" s="46" cm="1">
        <f t="array" ref="YE115">ROUND(VALUE(IFERROR(INDEX(ArchiveResults!$F$5:$IX$116,ComparisonData!A115,ComparisonData!$YE$1),0)),5)</f>
        <v>0</v>
      </c>
      <c r="YF115" s="56">
        <v>110</v>
      </c>
      <c r="YG115" s="53" t="str">
        <f t="shared" si="1261"/>
        <v>West Yorkshire Archive Service, Leeds</v>
      </c>
      <c r="YH115" s="60">
        <f t="shared" si="1097"/>
        <v>0</v>
      </c>
      <c r="YI115" s="60">
        <f t="shared" si="1098"/>
        <v>0</v>
      </c>
      <c r="YJ115" s="76">
        <f t="shared" si="1099"/>
        <v>0</v>
      </c>
      <c r="YK115" s="46">
        <f t="shared" si="1100"/>
        <v>23</v>
      </c>
      <c r="YL115" s="46">
        <f t="shared" si="1262"/>
        <v>2.5489999999999995</v>
      </c>
      <c r="YM115" s="46">
        <f t="shared" si="1101"/>
        <v>1</v>
      </c>
      <c r="YN115" s="46">
        <f t="shared" si="1102"/>
        <v>2</v>
      </c>
      <c r="YO115" s="46" cm="1">
        <f t="array" ref="YO115">ROUND(VALUE(IFERROR(INDEX(ArchiveResults!$F$5:$IX$116,ComparisonData!A115,ComparisonData!$YO$1),0)),5)</f>
        <v>0</v>
      </c>
      <c r="YP115" s="46" cm="1">
        <f t="array" ref="YP115">ROUND(VALUE(IFERROR(INDEX(ArchiveResults!$F$5:$IX$116,ComparisonData!A115,ComparisonData!$YP$1),0)),5)</f>
        <v>0</v>
      </c>
      <c r="YQ115" s="56">
        <v>110</v>
      </c>
      <c r="YR115" s="53" t="str">
        <f t="shared" si="1263"/>
        <v>West Yorkshire Archive Service, Leeds</v>
      </c>
      <c r="YS115" s="60">
        <f t="shared" si="1103"/>
        <v>0</v>
      </c>
      <c r="YT115" s="60">
        <f t="shared" si="1104"/>
        <v>0</v>
      </c>
      <c r="YU115" s="76">
        <f t="shared" si="1105"/>
        <v>0</v>
      </c>
      <c r="YV115" s="46">
        <f t="shared" si="1106"/>
        <v>23</v>
      </c>
      <c r="YW115" s="46">
        <f t="shared" si="1264"/>
        <v>2.5489999999999995</v>
      </c>
      <c r="YX115" s="46">
        <f t="shared" si="1107"/>
        <v>1</v>
      </c>
      <c r="YY115" s="46">
        <f t="shared" si="1108"/>
        <v>2</v>
      </c>
      <c r="YZ115" s="46">
        <f t="shared" si="1109"/>
        <v>0</v>
      </c>
      <c r="ZA115" s="46" cm="1">
        <f t="array" ref="ZA115">ROUNDDOWN(VALUE(IFERROR(INDEX(ArchiveResults!$F$5:$IX$116,ComparisonData!A115,ComparisonData!$ZA$1),0)),5)</f>
        <v>0</v>
      </c>
      <c r="ZB115" s="46" cm="1">
        <f t="array" ref="ZB115">ROUNDDOWN(VALUE(IFERROR(INDEX(ArchiveResults!$F$5:$IX$116,ComparisonData!A115,ComparisonData!$ZB$1),0)),5)</f>
        <v>0</v>
      </c>
      <c r="ZC115" s="46" cm="1">
        <f t="array" ref="ZC115">ROUNDDOWN(VALUE(IFERROR(INDEX(ArchiveResults!$F$5:$IX$116,ComparisonData!A115,ComparisonData!$ZC$1),0)),5)</f>
        <v>0</v>
      </c>
      <c r="ZD115" s="46" cm="1">
        <f t="array" ref="ZD115">ROUNDDOWN(VALUE(IFERROR(INDEX(ArchiveResults!$F$5:$IX$116,ComparisonData!A115,ComparisonData!$ZD$1),0)),5)</f>
        <v>0</v>
      </c>
      <c r="ZE115" s="46" cm="1">
        <f t="array" ref="ZE115">ROUNDDOWN(VALUE(IFERROR(INDEX(ArchiveResults!$F$5:$IX$116,ComparisonData!A115,ComparisonData!$ZE$1),0)),5)</f>
        <v>0</v>
      </c>
      <c r="ZF115" s="56">
        <v>110</v>
      </c>
      <c r="ZG115" s="53" t="str">
        <f t="shared" si="1265"/>
        <v>West Yorkshire Archive Service, Leeds</v>
      </c>
      <c r="ZH115" s="60">
        <f t="shared" si="1110"/>
        <v>0</v>
      </c>
      <c r="ZI115" s="60">
        <f t="shared" si="1111"/>
        <v>0</v>
      </c>
      <c r="ZJ115" s="60">
        <f t="shared" si="1112"/>
        <v>0</v>
      </c>
      <c r="ZK115" s="60">
        <f t="shared" si="1113"/>
        <v>0</v>
      </c>
      <c r="ZL115" s="60">
        <f t="shared" si="1114"/>
        <v>0</v>
      </c>
      <c r="ZM115" s="76">
        <f t="shared" si="1115"/>
        <v>0</v>
      </c>
      <c r="ZN115" s="46">
        <f t="shared" si="1116"/>
        <v>23</v>
      </c>
      <c r="ZO115" s="46">
        <f t="shared" si="1266"/>
        <v>2.5489999999999995</v>
      </c>
      <c r="ZP115" s="46">
        <f t="shared" si="1117"/>
        <v>1</v>
      </c>
      <c r="ZQ115" s="46">
        <f t="shared" si="1118"/>
        <v>2</v>
      </c>
      <c r="ZR115" s="46" cm="1">
        <f t="array" ref="ZR115">ROUND(VALUE(IFERROR(INDEX(ArchiveResults!$F$5:$IX$116,ComparisonData!A115,ComparisonData!$ZR$1),0)),5)</f>
        <v>0</v>
      </c>
      <c r="ZS115" s="56">
        <v>110</v>
      </c>
      <c r="ZT115" s="53" t="str">
        <f t="shared" si="1267"/>
        <v>West Yorkshire Archive Service, Leeds</v>
      </c>
      <c r="ZU115" s="46">
        <f t="shared" si="1119"/>
        <v>0</v>
      </c>
      <c r="ZV115" s="76">
        <f t="shared" si="1120"/>
        <v>0</v>
      </c>
      <c r="ZW115" s="88" t="s">
        <v>608</v>
      </c>
      <c r="ZX115" s="88" t="s">
        <v>608</v>
      </c>
      <c r="ZY115" s="88" t="s">
        <v>608</v>
      </c>
      <c r="ZZ115" s="88" t="s">
        <v>608</v>
      </c>
      <c r="AAA115" s="88" t="s">
        <v>608</v>
      </c>
      <c r="AAB115" s="88" t="s">
        <v>608</v>
      </c>
      <c r="AAC115" s="88" t="s">
        <v>608</v>
      </c>
      <c r="AAD115" s="88" t="s">
        <v>608</v>
      </c>
      <c r="AAE115" s="88" t="s">
        <v>608</v>
      </c>
      <c r="AAF115" s="88" t="s">
        <v>608</v>
      </c>
      <c r="AAG115" s="46">
        <f t="shared" si="1121"/>
        <v>23</v>
      </c>
      <c r="AAH115" s="46">
        <f t="shared" si="1268"/>
        <v>2.5489999999999995</v>
      </c>
      <c r="AAI115" s="46">
        <f t="shared" si="1122"/>
        <v>1</v>
      </c>
      <c r="AAJ115" s="46">
        <f t="shared" si="1123"/>
        <v>2</v>
      </c>
      <c r="AAK115" s="46">
        <f t="shared" si="1124"/>
        <v>0</v>
      </c>
      <c r="AAL115" s="46">
        <f t="shared" si="1125"/>
        <v>0</v>
      </c>
      <c r="AAM115" s="46">
        <f t="shared" si="1126"/>
        <v>0</v>
      </c>
      <c r="AAN115" s="46">
        <f t="shared" si="1127"/>
        <v>0</v>
      </c>
      <c r="AAO115" s="46">
        <f t="shared" si="1128"/>
        <v>0</v>
      </c>
      <c r="AAP115" s="46">
        <f t="shared" si="1129"/>
        <v>0</v>
      </c>
      <c r="AAQ115" s="56">
        <v>110</v>
      </c>
      <c r="AAR115" s="53" t="str">
        <f t="shared" si="1269"/>
        <v>West Yorkshire Archive Service, Leeds</v>
      </c>
      <c r="AAS115" s="60">
        <f t="shared" si="1130"/>
        <v>0</v>
      </c>
      <c r="AAT115" s="60">
        <f t="shared" si="1131"/>
        <v>0</v>
      </c>
      <c r="AAU115" s="60">
        <f t="shared" si="1132"/>
        <v>0</v>
      </c>
      <c r="AAV115" s="60">
        <f t="shared" si="1133"/>
        <v>0</v>
      </c>
      <c r="AAW115" s="60">
        <f t="shared" si="1134"/>
        <v>0</v>
      </c>
      <c r="AAX115" s="76">
        <f t="shared" si="1135"/>
        <v>0</v>
      </c>
      <c r="AAY115" s="46">
        <f t="shared" si="1136"/>
        <v>23</v>
      </c>
      <c r="AAZ115" s="46">
        <f t="shared" si="1270"/>
        <v>2.5489999999999995</v>
      </c>
      <c r="ABA115" s="46">
        <f t="shared" si="1137"/>
        <v>1</v>
      </c>
      <c r="ABB115" s="46">
        <f t="shared" si="1138"/>
        <v>2</v>
      </c>
      <c r="ABC115" s="46">
        <f t="shared" si="742"/>
        <v>0</v>
      </c>
      <c r="ABD115" s="46" cm="1">
        <f t="array" ref="ABD115">ROUND(VALUE(IFERROR(INDEX(ArchiveResults!$F$5:$IX$116,ComparisonData!A115,ComparisonData!$ABD$1),0)),5)</f>
        <v>0</v>
      </c>
      <c r="ABE115" s="46" cm="1">
        <f t="array" ref="ABE115">ROUND(VALUE(IFERROR(INDEX(ArchiveResults!$F$5:$IX$116,ComparisonData!A115,ComparisonData!$ABE$1),0)),5)</f>
        <v>0</v>
      </c>
      <c r="ABF115" s="46" cm="1">
        <f t="array" ref="ABF115">ROUND(VALUE(IFERROR(INDEX(ArchiveResults!$F$5:$IX$116,ComparisonData!A115,ComparisonData!$ABF$1),0)),5)</f>
        <v>0</v>
      </c>
      <c r="ABG115" s="46" cm="1">
        <f t="array" ref="ABG115">ROUND(VALUE(IFERROR(INDEX(ArchiveResults!$F$5:$IX$116,ComparisonData!A115,ComparisonData!$ABG$1),0)),5)</f>
        <v>0</v>
      </c>
      <c r="ABH115" s="46" cm="1">
        <f t="array" ref="ABH115">ROUND(VALUE(IFERROR(INDEX(ArchiveResults!$F$5:$IX$116,ComparisonData!A115,ComparisonData!$ABH$1),0)),5)</f>
        <v>0</v>
      </c>
      <c r="ABI115" s="56">
        <v>110</v>
      </c>
      <c r="ABJ115" s="53" t="str">
        <f t="shared" si="1271"/>
        <v>West Yorkshire Archive Service, Leeds</v>
      </c>
      <c r="ABK115" s="60">
        <f t="shared" si="1139"/>
        <v>0</v>
      </c>
      <c r="ABL115" s="60">
        <f t="shared" si="1140"/>
        <v>0</v>
      </c>
      <c r="ABM115" s="60">
        <f t="shared" si="1141"/>
        <v>0</v>
      </c>
      <c r="ABN115" s="60">
        <f t="shared" si="1142"/>
        <v>0</v>
      </c>
      <c r="ABO115" s="60">
        <f t="shared" si="1143"/>
        <v>0</v>
      </c>
      <c r="ABP115" s="76">
        <f t="shared" si="1144"/>
        <v>0</v>
      </c>
      <c r="ABQ115" s="46">
        <f t="shared" si="1145"/>
        <v>23</v>
      </c>
      <c r="ABR115" s="46">
        <f t="shared" si="1272"/>
        <v>2.5489999999999995</v>
      </c>
      <c r="ABS115" s="46">
        <f t="shared" si="1146"/>
        <v>1</v>
      </c>
      <c r="ABT115" s="46">
        <f t="shared" si="1147"/>
        <v>2</v>
      </c>
      <c r="ABU115" s="46" cm="1">
        <f t="array" ref="ABU115">ROUND(VALUE(IFERROR(INDEX(ArchiveResults!$F$5:$IX$116,ComparisonData!A115,ComparisonData!$ABU$1),0)),5)</f>
        <v>0</v>
      </c>
      <c r="ABV115" s="46" cm="1">
        <f t="array" ref="ABV115">ROUND(VALUE(IFERROR(INDEX(ArchiveResults!$F$5:$IX$116,ComparisonData!A115,ComparisonData!$ABV$1),0)),5)</f>
        <v>0</v>
      </c>
      <c r="ABW115" s="46" cm="1">
        <f t="array" ref="ABW115">ROUND(VALUE(IFERROR(INDEX(ArchiveResults!$F$5:$IX$116,ComparisonData!A115,ComparisonData!$ABW$1),0)),5)</f>
        <v>0</v>
      </c>
      <c r="ABX115" s="46" cm="1">
        <f t="array" ref="ABX115">ROUND(VALUE(IFERROR(INDEX(ArchiveResults!$F$5:$IX$116,ComparisonData!A115,ComparisonData!$ABX$1),0)),5)</f>
        <v>0</v>
      </c>
      <c r="ABY115" s="46" cm="1">
        <f t="array" ref="ABY115">ROUND(VALUE(IFERROR(INDEX(ArchiveResults!$F$5:$IX$116,ComparisonData!A115,ComparisonData!$ABY$1),0)),5)</f>
        <v>0</v>
      </c>
      <c r="ABZ115" s="56">
        <v>110</v>
      </c>
      <c r="ACA115" s="53" t="str">
        <f t="shared" si="1273"/>
        <v>West Yorkshire Archive Service, Leeds</v>
      </c>
      <c r="ACB115" s="60">
        <f t="shared" si="1148"/>
        <v>0</v>
      </c>
      <c r="ACC115" s="60">
        <f t="shared" si="1149"/>
        <v>0</v>
      </c>
      <c r="ACD115" s="60">
        <f t="shared" si="1150"/>
        <v>0</v>
      </c>
      <c r="ACE115" s="60">
        <f t="shared" si="1151"/>
        <v>0</v>
      </c>
      <c r="ACF115" s="60">
        <f t="shared" si="1152"/>
        <v>0</v>
      </c>
      <c r="ACG115" s="76">
        <f t="shared" si="1153"/>
        <v>0</v>
      </c>
      <c r="ACH115" s="46">
        <f t="shared" si="1154"/>
        <v>23</v>
      </c>
      <c r="ACI115" s="46">
        <f t="shared" si="1274"/>
        <v>2.5489999999999995</v>
      </c>
      <c r="ACJ115" s="46">
        <f t="shared" si="1155"/>
        <v>1</v>
      </c>
      <c r="ACK115" s="46">
        <f t="shared" si="1156"/>
        <v>2</v>
      </c>
      <c r="ACL115" s="46">
        <f t="shared" si="1157"/>
        <v>0</v>
      </c>
      <c r="ACM115" s="46" cm="1">
        <f t="array" ref="ACM115">ROUND(IFERROR(INDEX(ArchiveResults!$F$5:$IX$116,ComparisonData!A115,ComparisonData!$ACM$1),0),5)</f>
        <v>0</v>
      </c>
      <c r="ACN115" s="46" cm="1">
        <f t="array" ref="ACN115">ROUND(IFERROR(INDEX(ArchiveResults!$F$5:$IX$116,ComparisonData!A115,ComparisonData!$ACN$1),0),5)</f>
        <v>0</v>
      </c>
      <c r="ACO115" s="56">
        <v>110</v>
      </c>
      <c r="ACP115" s="53" t="str">
        <f t="shared" si="1275"/>
        <v>West Yorkshire Archive Service, Leeds</v>
      </c>
      <c r="ACQ115" s="60">
        <f t="shared" si="1158"/>
        <v>0</v>
      </c>
      <c r="ACR115" s="60">
        <f t="shared" si="1159"/>
        <v>0</v>
      </c>
      <c r="ACS115" s="76">
        <f t="shared" si="1160"/>
        <v>0</v>
      </c>
      <c r="ACT115" s="46">
        <f t="shared" si="1161"/>
        <v>23</v>
      </c>
      <c r="ACU115" s="46">
        <f t="shared" si="1276"/>
        <v>2.5489999999999995</v>
      </c>
      <c r="ACV115" s="46">
        <f t="shared" si="1162"/>
        <v>1</v>
      </c>
      <c r="ACW115" s="46">
        <f t="shared" si="1163"/>
        <v>2</v>
      </c>
      <c r="ACX115" s="46">
        <f t="shared" si="1164"/>
        <v>0</v>
      </c>
      <c r="ACY115" s="46" cm="1">
        <f t="array" ref="ACY115">ROUNDDOWN(IFERROR(INDEX(ArchiveResults!$F$5:$IX$116,ComparisonData!A115,ComparisonData!$ACY$1),0),5)</f>
        <v>0</v>
      </c>
      <c r="ACZ115" s="46" cm="1">
        <f t="array" ref="ACZ115">ROUNDDOWN(IFERROR(INDEX(ArchiveResults!$F$5:$IX$116,ComparisonData!A115,ComparisonData!$ACZ$1),0),5)</f>
        <v>0</v>
      </c>
      <c r="ADA115" s="46" cm="1">
        <f t="array" ref="ADA115">ROUNDDOWN(IFERROR(INDEX(ArchiveResults!$F$5:$IX$116,ComparisonData!A115,ComparisonData!$ADA$1),0),5)</f>
        <v>0</v>
      </c>
      <c r="ADB115" s="56">
        <v>110</v>
      </c>
      <c r="ADC115" s="53" t="str">
        <f t="shared" si="1277"/>
        <v>West Yorkshire Archive Service, Leeds</v>
      </c>
      <c r="ADD115" s="60">
        <f t="shared" si="1165"/>
        <v>0</v>
      </c>
      <c r="ADE115" s="60">
        <f t="shared" si="1166"/>
        <v>0</v>
      </c>
      <c r="ADF115" s="60">
        <f t="shared" si="1167"/>
        <v>0</v>
      </c>
      <c r="ADG115" s="76">
        <f t="shared" si="1168"/>
        <v>0</v>
      </c>
    </row>
    <row r="116" spans="1:787" x14ac:dyDescent="0.25">
      <c r="A116" s="46" t="str">
        <f>IF(ISBLANK(ComparisonSelection!F112),"",ROW()-5)</f>
        <v/>
      </c>
      <c r="B116" s="53" t="s">
        <v>568</v>
      </c>
      <c r="C116" s="72">
        <v>0.91899999999999993</v>
      </c>
      <c r="D116" s="55">
        <f t="shared" si="750"/>
        <v>96</v>
      </c>
      <c r="E116" s="54">
        <f t="shared" si="751"/>
        <v>2.919</v>
      </c>
      <c r="F116" s="54">
        <f t="shared" si="752"/>
        <v>1</v>
      </c>
      <c r="G116" s="72">
        <f t="shared" si="753"/>
        <v>2</v>
      </c>
      <c r="H116" s="72">
        <f t="shared" si="754"/>
        <v>0</v>
      </c>
      <c r="I116" s="46" cm="1">
        <f t="array" ref="I116">ROUND(IFERROR(INDEX(ArchiveResults!$F$5:$IX$116,ComparisonData!A116,ComparisonData!$I$1),0),5)</f>
        <v>0</v>
      </c>
      <c r="J116" s="46" cm="1">
        <f t="array" ref="J116">ROUND(IFERROR(INDEX(ArchiveResults!$F$5:$IX$116,ComparisonData!A116,ComparisonData!$J$1),0),5)</f>
        <v>0</v>
      </c>
      <c r="K116" s="56">
        <v>111</v>
      </c>
      <c r="L116" s="53" t="str">
        <f t="shared" si="755"/>
        <v>West Yorkshire Archive Service, Wakefield</v>
      </c>
      <c r="M116" s="57">
        <f t="shared" si="1169"/>
        <v>0</v>
      </c>
      <c r="N116" s="57">
        <f t="shared" si="1170"/>
        <v>0</v>
      </c>
      <c r="O116" s="58">
        <f t="shared" si="756"/>
        <v>0</v>
      </c>
      <c r="P116" s="48">
        <f t="shared" si="757"/>
        <v>96</v>
      </c>
      <c r="Q116" s="54">
        <f t="shared" si="1171"/>
        <v>2.919</v>
      </c>
      <c r="R116" s="45">
        <f t="shared" si="758"/>
        <v>1</v>
      </c>
      <c r="S116" s="46">
        <f t="shared" si="759"/>
        <v>2</v>
      </c>
      <c r="T116" s="72">
        <f t="shared" si="760"/>
        <v>0</v>
      </c>
      <c r="U116" s="46" cm="1">
        <f t="array" ref="U116">ROUND(IFERROR(INDEX(ArchiveResults!$F$5:$IX$116,ComparisonData!A116,ComparisonData!$U$1),0),5)</f>
        <v>0</v>
      </c>
      <c r="V116" s="46" cm="1">
        <f t="array" ref="V116">ROUND(IFERROR(INDEX(ArchiveResults!$F$5:$IX$116,ComparisonData!A116,ComparisonData!$V$1),0),5)</f>
        <v>0</v>
      </c>
      <c r="W116" s="56">
        <v>111</v>
      </c>
      <c r="X116" s="53" t="str">
        <f t="shared" si="1172"/>
        <v>West Yorkshire Archive Service, Wakefield</v>
      </c>
      <c r="Y116" s="57">
        <f t="shared" si="761"/>
        <v>0</v>
      </c>
      <c r="Z116" s="57">
        <f t="shared" si="762"/>
        <v>0</v>
      </c>
      <c r="AA116" s="58">
        <f t="shared" si="763"/>
        <v>0</v>
      </c>
      <c r="AB116" s="45">
        <f t="shared" si="764"/>
        <v>96</v>
      </c>
      <c r="AC116" s="54">
        <f t="shared" si="1173"/>
        <v>2.919</v>
      </c>
      <c r="AD116" s="45">
        <f t="shared" si="765"/>
        <v>1</v>
      </c>
      <c r="AE116" s="45">
        <f t="shared" si="766"/>
        <v>2</v>
      </c>
      <c r="AF116" s="45">
        <f t="shared" si="639"/>
        <v>0</v>
      </c>
      <c r="AG116" s="46" cm="1">
        <f t="array" ref="AG116">ROUND(IFERROR(INDEX(ArchiveResults!$F$5:$IX$116,ComparisonData!A116,ComparisonData!$AG$1),0),5)</f>
        <v>0</v>
      </c>
      <c r="AH116" s="46" cm="1">
        <f t="array" ref="AH116">ROUND(IFERROR(INDEX(ArchiveResults!$F$5:$IX$116,ComparisonData!A116,ComparisonData!$AH$1),0),5)</f>
        <v>0</v>
      </c>
      <c r="AI116" s="56">
        <v>111</v>
      </c>
      <c r="AJ116" s="53" t="str">
        <f t="shared" si="1174"/>
        <v>West Yorkshire Archive Service, Wakefield</v>
      </c>
      <c r="AK116" s="59">
        <f t="shared" si="1175"/>
        <v>0</v>
      </c>
      <c r="AL116" s="59">
        <f t="shared" si="1176"/>
        <v>0</v>
      </c>
      <c r="AM116" s="58">
        <f t="shared" si="767"/>
        <v>0</v>
      </c>
      <c r="AN116" s="45">
        <f t="shared" si="768"/>
        <v>96</v>
      </c>
      <c r="AO116" s="54">
        <f t="shared" si="1177"/>
        <v>2.919</v>
      </c>
      <c r="AP116" s="45">
        <f t="shared" si="769"/>
        <v>1</v>
      </c>
      <c r="AQ116" s="45">
        <f t="shared" si="770"/>
        <v>2</v>
      </c>
      <c r="AR116" s="46" cm="1">
        <f t="array" ref="AR116">ROUND(IFERROR(INDEX(ArchiveResults!$F$5:$IX$116,ComparisonData!A116,ComparisonData!$AR$1),0),5)</f>
        <v>0</v>
      </c>
      <c r="AS116" s="46" cm="1">
        <f t="array" ref="AS116">ROUND(IFERROR(INDEX(ArchiveResults!$F$5:$IX$116,ComparisonData!A116,ComparisonData!$AS$1),0),5)</f>
        <v>0</v>
      </c>
      <c r="AT116" s="46" cm="1">
        <f t="array" ref="AT116">ROUND(IFERROR(INDEX(ArchiveResults!$F$5:$IX$116,ComparisonData!A116,ComparisonData!$AT$1),0),5)</f>
        <v>0</v>
      </c>
      <c r="AU116" s="46" cm="1">
        <f t="array" ref="AU116">ROUND(IFERROR(INDEX(ArchiveResults!$F$5:$IX$116,ComparisonData!A116,ComparisonData!$AU$1),0),5)</f>
        <v>0</v>
      </c>
      <c r="AV116" s="46" cm="1">
        <f t="array" ref="AV116">ROUND(IFERROR(INDEX(ArchiveResults!$F$5:$IX$116,ComparisonData!A116,ComparisonData!$AV$1),0),5)</f>
        <v>0</v>
      </c>
      <c r="AW116" s="46" cm="1">
        <f t="array" ref="AW116">ROUND(IFERROR(INDEX(ArchiveResults!$F$5:$IX$116,ComparisonData!A116,ComparisonData!$AW$1),0),5)</f>
        <v>0</v>
      </c>
      <c r="AX116" s="46" cm="1">
        <f t="array" ref="AX116">ROUND(IFERROR(INDEX(ArchiveResults!$F$5:$IX$116,ComparisonData!A116,ComparisonData!$AX$1),0),5)</f>
        <v>0</v>
      </c>
      <c r="AY116" s="46" cm="1">
        <f t="array" ref="AY116">ROUND(IFERROR(INDEX(ArchiveResults!$F$5:$IX$116,ComparisonData!A116,ComparisonData!$AY$1),0),5)</f>
        <v>0</v>
      </c>
      <c r="AZ116" s="46" cm="1">
        <f t="array" ref="AZ116">ROUND(IFERROR(INDEX(ArchiveResults!$F$5:$IX$116,ComparisonData!A116,ComparisonData!$AZ$1),0),5)</f>
        <v>0</v>
      </c>
      <c r="BA116" s="46" cm="1">
        <f t="array" ref="BA116">ROUND(IFERROR(INDEX(ArchiveResults!$F$5:$IX$116,ComparisonData!A116,ComparisonData!$BA$1),0),5)</f>
        <v>0</v>
      </c>
      <c r="BB116" s="56">
        <v>111</v>
      </c>
      <c r="BC116" s="53" t="str">
        <f t="shared" si="1178"/>
        <v>West Yorkshire Archive Service, Wakefield</v>
      </c>
      <c r="BD116" s="60">
        <f t="shared" si="771"/>
        <v>0</v>
      </c>
      <c r="BE116" s="60">
        <f t="shared" si="772"/>
        <v>0</v>
      </c>
      <c r="BF116" s="60">
        <f t="shared" si="773"/>
        <v>0</v>
      </c>
      <c r="BG116" s="60">
        <f t="shared" si="774"/>
        <v>0</v>
      </c>
      <c r="BH116" s="60">
        <f t="shared" si="775"/>
        <v>0</v>
      </c>
      <c r="BI116" s="60">
        <f t="shared" si="776"/>
        <v>0</v>
      </c>
      <c r="BJ116" s="60">
        <f t="shared" si="777"/>
        <v>0</v>
      </c>
      <c r="BK116" s="60">
        <f t="shared" si="778"/>
        <v>0</v>
      </c>
      <c r="BL116" s="60">
        <f t="shared" si="779"/>
        <v>0</v>
      </c>
      <c r="BM116" s="59">
        <f t="shared" si="780"/>
        <v>0</v>
      </c>
      <c r="BN116" s="58">
        <f t="shared" si="781"/>
        <v>0</v>
      </c>
      <c r="BO116" s="45">
        <f t="shared" si="782"/>
        <v>96</v>
      </c>
      <c r="BP116" s="54">
        <f t="shared" si="1179"/>
        <v>2.919</v>
      </c>
      <c r="BQ116" s="45">
        <f t="shared" si="783"/>
        <v>1</v>
      </c>
      <c r="BR116" s="45">
        <f t="shared" si="784"/>
        <v>2</v>
      </c>
      <c r="BS116" s="46" cm="1">
        <f t="array" ref="BS116">ROUND(IFERROR(INDEX(ArchiveResults!$F$5:$IX$116,ComparisonData!A116,ComparisonData!$BS$1),0),5)</f>
        <v>0</v>
      </c>
      <c r="BT116" s="46" cm="1">
        <f t="array" ref="BT116">ROUND(IFERROR(INDEX(ArchiveResults!$F$5:$IX$116,ComparisonData!A116,ComparisonData!$BT$1),0),5)</f>
        <v>0</v>
      </c>
      <c r="BU116" s="46" cm="1">
        <f t="array" ref="BU116">ROUND(IFERROR(INDEX(ArchiveResults!$F$5:$IX$116,ComparisonData!A116,ComparisonData!$BU$1),0),5)</f>
        <v>0</v>
      </c>
      <c r="BV116" s="46" cm="1">
        <f t="array" ref="BV116">ROUND(IFERROR(INDEX(ArchiveResults!$F$5:$IX$116,ComparisonData!A116,ComparisonData!$BV$1),0),5)</f>
        <v>0</v>
      </c>
      <c r="BW116" s="46" cm="1">
        <f t="array" ref="BW116">ROUND(IFERROR(INDEX(ArchiveResults!$F$5:$IX$116,ComparisonData!A116,ComparisonData!$BW$1),0),5)</f>
        <v>0</v>
      </c>
      <c r="BX116" s="46" cm="1">
        <f t="array" ref="BX116">ROUND(IFERROR(INDEX(ArchiveResults!$F$5:$IX$116,ComparisonData!A116,ComparisonData!$BX$1),0),5)</f>
        <v>0</v>
      </c>
      <c r="BY116" s="56">
        <v>111</v>
      </c>
      <c r="BZ116" s="53" t="str">
        <f t="shared" si="1180"/>
        <v>West Yorkshire Archive Service, Wakefield</v>
      </c>
      <c r="CA116" s="59">
        <f t="shared" si="785"/>
        <v>0</v>
      </c>
      <c r="CB116" s="59">
        <f t="shared" si="786"/>
        <v>0</v>
      </c>
      <c r="CC116" s="59">
        <f t="shared" si="787"/>
        <v>0</v>
      </c>
      <c r="CD116" s="59">
        <f t="shared" si="788"/>
        <v>0</v>
      </c>
      <c r="CE116" s="59">
        <f t="shared" si="789"/>
        <v>0</v>
      </c>
      <c r="CF116" s="59">
        <f t="shared" si="790"/>
        <v>0</v>
      </c>
      <c r="CG116" s="58">
        <f t="shared" si="791"/>
        <v>0</v>
      </c>
      <c r="CH116" s="45">
        <f t="shared" si="792"/>
        <v>96</v>
      </c>
      <c r="CI116" s="54">
        <f t="shared" si="1181"/>
        <v>2.919</v>
      </c>
      <c r="CJ116" s="45">
        <f t="shared" si="793"/>
        <v>1</v>
      </c>
      <c r="CK116" s="45">
        <f t="shared" si="794"/>
        <v>2</v>
      </c>
      <c r="CL116" s="46" cm="1">
        <f t="array" ref="CL116">ROUND(IFERROR(INDEX(ArchiveResults!$F$5:$IX$116,ComparisonData!A116,ComparisonData!$CL$1),0),5)</f>
        <v>0</v>
      </c>
      <c r="CM116" s="56">
        <v>111</v>
      </c>
      <c r="CN116" s="53" t="str">
        <f t="shared" si="1182"/>
        <v>West Yorkshire Archive Service, Wakefield</v>
      </c>
      <c r="CO116" s="45">
        <f t="shared" si="795"/>
        <v>0</v>
      </c>
      <c r="CP116" s="58">
        <f t="shared" si="796"/>
        <v>0</v>
      </c>
      <c r="CQ116" s="45">
        <f t="shared" si="797"/>
        <v>96</v>
      </c>
      <c r="CR116" s="54">
        <f t="shared" si="1183"/>
        <v>2.919</v>
      </c>
      <c r="CS116" s="45">
        <f t="shared" si="798"/>
        <v>1</v>
      </c>
      <c r="CT116" s="45">
        <f t="shared" si="799"/>
        <v>2</v>
      </c>
      <c r="CU116" s="46" cm="1">
        <f t="array" ref="CU116">ROUND(IFERROR(INDEX(ArchiveResults!$F$5:$IX$116,ComparisonData!A116,ComparisonData!$CU$1),0),5)</f>
        <v>0</v>
      </c>
      <c r="CV116" s="56">
        <v>111</v>
      </c>
      <c r="CW116" s="53" t="str">
        <f t="shared" si="1184"/>
        <v>West Yorkshire Archive Service, Wakefield</v>
      </c>
      <c r="CX116" s="45">
        <f t="shared" si="800"/>
        <v>0</v>
      </c>
      <c r="CY116" s="58">
        <f t="shared" si="801"/>
        <v>0</v>
      </c>
      <c r="CZ116" s="45">
        <f t="shared" si="802"/>
        <v>96</v>
      </c>
      <c r="DA116" s="54">
        <f t="shared" si="1185"/>
        <v>2.919</v>
      </c>
      <c r="DB116" s="45">
        <f t="shared" si="803"/>
        <v>1</v>
      </c>
      <c r="DC116" s="45">
        <f t="shared" si="804"/>
        <v>2</v>
      </c>
      <c r="DD116" s="46" cm="1">
        <f t="array" ref="DD116">ROUND(IFERROR(INDEX(ArchiveResults!$F$5:$IX$116,ComparisonData!A116,ComparisonData!$DD$1),0),5)</f>
        <v>0</v>
      </c>
      <c r="DE116" s="56">
        <v>111</v>
      </c>
      <c r="DF116" s="53" t="str">
        <f t="shared" si="1186"/>
        <v>West Yorkshire Archive Service, Wakefield</v>
      </c>
      <c r="DG116" s="45">
        <f t="shared" si="805"/>
        <v>0</v>
      </c>
      <c r="DH116" s="58">
        <f t="shared" si="806"/>
        <v>0</v>
      </c>
      <c r="DI116" s="45">
        <f t="shared" si="807"/>
        <v>96</v>
      </c>
      <c r="DJ116" s="54">
        <f t="shared" si="1187"/>
        <v>2.919</v>
      </c>
      <c r="DK116" s="45">
        <f t="shared" si="808"/>
        <v>1</v>
      </c>
      <c r="DL116" s="45">
        <f t="shared" si="809"/>
        <v>2</v>
      </c>
      <c r="DM116" s="46" cm="1">
        <f t="array" ref="DM116">ROUND(IFERROR(INDEX(ArchiveResults!$F$5:$IX$116,ComparisonData!A116,ComparisonData!$DM$1),0),5)</f>
        <v>0</v>
      </c>
      <c r="DN116" s="46" cm="1">
        <f t="array" ref="DN116">ROUND(IFERROR(INDEX(ArchiveResults!$F$5:$IX$116,ComparisonData!A116,ComparisonData!$DN$1),0),5)</f>
        <v>0</v>
      </c>
      <c r="DO116" s="46" cm="1">
        <f t="array" ref="DO116">ROUND(IFERROR(INDEX(ArchiveResults!$F$5:$IX$116,ComparisonData!A116,ComparisonData!$DO$1),0),5)</f>
        <v>0</v>
      </c>
      <c r="DP116" s="46" cm="1">
        <f t="array" ref="DP116">ROUND(IFERROR(INDEX(ArchiveResults!$F$5:$IX$116,ComparisonData!A116,ComparisonData!$DP$1),0),5)</f>
        <v>0</v>
      </c>
      <c r="DQ116" s="45" cm="1">
        <f t="array" ref="DQ116">IFERROR(INDEX(ArchiveResults!$F$5:$IX$116,ComparisonData!A116,ComparisonData!$DQ$1),0)</f>
        <v>0</v>
      </c>
      <c r="DR116" s="56">
        <v>111</v>
      </c>
      <c r="DS116" s="53" t="str">
        <f t="shared" si="1188"/>
        <v>West Yorkshire Archive Service, Wakefield</v>
      </c>
      <c r="DT116" s="59">
        <f t="shared" si="810"/>
        <v>0</v>
      </c>
      <c r="DU116" s="59">
        <f t="shared" si="811"/>
        <v>0</v>
      </c>
      <c r="DV116" s="59">
        <f t="shared" si="812"/>
        <v>0</v>
      </c>
      <c r="DW116" s="59">
        <f t="shared" si="813"/>
        <v>0</v>
      </c>
      <c r="DX116" s="59">
        <f t="shared" si="814"/>
        <v>0</v>
      </c>
      <c r="DY116" s="58">
        <f t="shared" si="815"/>
        <v>0</v>
      </c>
      <c r="DZ116" s="45">
        <f t="shared" si="816"/>
        <v>96</v>
      </c>
      <c r="EA116" s="54">
        <f t="shared" si="1189"/>
        <v>2.919</v>
      </c>
      <c r="EB116" s="45">
        <f t="shared" si="817"/>
        <v>1</v>
      </c>
      <c r="EC116" s="45">
        <f t="shared" si="818"/>
        <v>2</v>
      </c>
      <c r="ED116" s="46" cm="1">
        <f t="array" ref="ED116">ROUND(IFERROR(INDEX(ArchiveResults!$F$5:$IX$116,ComparisonData!A116,ComparisonData!$ED$1),0),5)</f>
        <v>0</v>
      </c>
      <c r="EE116" s="46" cm="1">
        <f t="array" ref="EE116">ROUND(IFERROR(INDEX(ArchiveResults!$F$5:$IX$116,ComparisonData!A116,ComparisonData!$EE$1),0),5)</f>
        <v>0</v>
      </c>
      <c r="EF116" s="46" cm="1">
        <f t="array" ref="EF116">ROUND(IFERROR(INDEX(ArchiveResults!$F$5:$IX$116,ComparisonData!A116,ComparisonData!$EF$1),0),5)</f>
        <v>0</v>
      </c>
      <c r="EG116" s="46" cm="1">
        <f t="array" ref="EG116">ROUND(IFERROR(INDEX(ArchiveResults!$F$5:$IX$116,ComparisonData!A116,ComparisonData!$EG$1),0),5)</f>
        <v>0</v>
      </c>
      <c r="EH116" s="45" cm="1">
        <f t="array" ref="EH116">IFERROR(INDEX(ArchiveResults!$F$5:$IX$116,ComparisonData!A116,ComparisonData!$EH$1),0)</f>
        <v>0</v>
      </c>
      <c r="EI116" s="56">
        <v>111</v>
      </c>
      <c r="EJ116" s="53" t="str">
        <f t="shared" si="1190"/>
        <v>West Yorkshire Archive Service, Wakefield</v>
      </c>
      <c r="EK116" s="59">
        <f t="shared" si="819"/>
        <v>0</v>
      </c>
      <c r="EL116" s="59">
        <f t="shared" si="820"/>
        <v>0</v>
      </c>
      <c r="EM116" s="59">
        <f t="shared" si="821"/>
        <v>0</v>
      </c>
      <c r="EN116" s="59">
        <f t="shared" si="822"/>
        <v>0</v>
      </c>
      <c r="EO116" s="59">
        <f t="shared" si="823"/>
        <v>0</v>
      </c>
      <c r="EP116" s="58">
        <f t="shared" si="824"/>
        <v>0</v>
      </c>
      <c r="EQ116" s="45">
        <f t="shared" si="825"/>
        <v>96</v>
      </c>
      <c r="ER116" s="54">
        <f t="shared" si="1191"/>
        <v>2.919</v>
      </c>
      <c r="ES116" s="45">
        <f t="shared" si="826"/>
        <v>1</v>
      </c>
      <c r="ET116" s="45">
        <f t="shared" si="827"/>
        <v>2</v>
      </c>
      <c r="EU116" s="46" cm="1">
        <f t="array" ref="EU116">ROUND(IFERROR(INDEX(ArchiveResults!$F$5:$IX$116,ComparisonData!A116,ComparisonData!$EU$1),0),5)</f>
        <v>0</v>
      </c>
      <c r="EV116" s="46" cm="1">
        <f t="array" ref="EV116">ROUND(IFERROR(INDEX(ArchiveResults!$F$5:$IX$116,ComparisonData!A116,ComparisonData!$EV$1),0),5)</f>
        <v>0</v>
      </c>
      <c r="EW116" s="46" cm="1">
        <f t="array" ref="EW116">ROUND(IFERROR(INDEX(ArchiveResults!$F$5:$IX$116,ComparisonData!A116,ComparisonData!$EW$1),0),5)</f>
        <v>0</v>
      </c>
      <c r="EX116" s="46" cm="1">
        <f t="array" ref="EX116">ROUND(IFERROR(INDEX(ArchiveResults!$F$5:$IX$116,ComparisonData!A116,ComparisonData!$EX$1),0),5)</f>
        <v>0</v>
      </c>
      <c r="EY116" s="45" cm="1">
        <f t="array" ref="EY116">IFERROR(INDEX(ArchiveResults!$F$5:$IX$116,ComparisonData!A116,ComparisonData!$EY$1),0)</f>
        <v>0</v>
      </c>
      <c r="EZ116" s="56">
        <v>111</v>
      </c>
      <c r="FA116" s="53" t="str">
        <f t="shared" si="1192"/>
        <v>West Yorkshire Archive Service, Wakefield</v>
      </c>
      <c r="FB116" s="59">
        <f t="shared" si="828"/>
        <v>0</v>
      </c>
      <c r="FC116" s="59">
        <f t="shared" si="829"/>
        <v>0</v>
      </c>
      <c r="FD116" s="59">
        <f t="shared" si="830"/>
        <v>0</v>
      </c>
      <c r="FE116" s="59">
        <f t="shared" si="831"/>
        <v>0</v>
      </c>
      <c r="FF116" s="59">
        <f t="shared" si="832"/>
        <v>0</v>
      </c>
      <c r="FG116" s="58">
        <f t="shared" si="833"/>
        <v>0</v>
      </c>
      <c r="FH116" s="45">
        <f t="shared" si="834"/>
        <v>96</v>
      </c>
      <c r="FI116" s="54">
        <f t="shared" si="1193"/>
        <v>2.919</v>
      </c>
      <c r="FJ116" s="45">
        <f t="shared" si="835"/>
        <v>1</v>
      </c>
      <c r="FK116" s="45">
        <f t="shared" si="836"/>
        <v>2</v>
      </c>
      <c r="FL116" s="46" cm="1">
        <f t="array" ref="FL116">ROUND(IFERROR(INDEX(ArchiveResults!$F$5:$IX$116,ComparisonData!A116,ComparisonData!$FL$1),0),5)</f>
        <v>0</v>
      </c>
      <c r="FM116" s="46" cm="1">
        <f t="array" ref="FM116">ROUND(IFERROR(INDEX(ArchiveResults!$F$5:$IX$116,ComparisonData!A116,ComparisonData!$FM$1),0),5)</f>
        <v>0</v>
      </c>
      <c r="FN116" s="46" cm="1">
        <f t="array" ref="FN116">ROUND(IFERROR(INDEX(ArchiveResults!$F$5:$IX$116,ComparisonData!A116,ComparisonData!$FN$1),0),5)</f>
        <v>0</v>
      </c>
      <c r="FO116" s="46" cm="1">
        <f t="array" ref="FO116">ROUND(IFERROR(INDEX(ArchiveResults!$F$5:$IX$116,ComparisonData!A116,ComparisonData!$FO$1),0),5)</f>
        <v>0</v>
      </c>
      <c r="FP116" s="45" cm="1">
        <f t="array" ref="FP116">IFERROR(INDEX(ArchiveResults!$F$5:$IX$116,ComparisonData!A116,ComparisonData!$FP$1),0)</f>
        <v>0</v>
      </c>
      <c r="FQ116" s="56">
        <v>111</v>
      </c>
      <c r="FR116" s="53" t="str">
        <f t="shared" si="1194"/>
        <v>West Yorkshire Archive Service, Wakefield</v>
      </c>
      <c r="FS116" s="59">
        <f t="shared" si="837"/>
        <v>0</v>
      </c>
      <c r="FT116" s="59">
        <f t="shared" si="838"/>
        <v>0</v>
      </c>
      <c r="FU116" s="59">
        <f t="shared" si="839"/>
        <v>0</v>
      </c>
      <c r="FV116" s="59">
        <f t="shared" si="840"/>
        <v>0</v>
      </c>
      <c r="FW116" s="59">
        <f t="shared" si="841"/>
        <v>0</v>
      </c>
      <c r="FX116" s="58">
        <f t="shared" si="842"/>
        <v>0</v>
      </c>
      <c r="FY116" s="45">
        <f t="shared" si="843"/>
        <v>96</v>
      </c>
      <c r="FZ116" s="45">
        <f t="shared" si="1195"/>
        <v>2.919</v>
      </c>
      <c r="GA116" s="45">
        <f t="shared" si="844"/>
        <v>1</v>
      </c>
      <c r="GB116" s="45">
        <f t="shared" si="845"/>
        <v>2</v>
      </c>
      <c r="GC116" s="46" cm="1">
        <f t="array" ref="GC116">ROUND(IFERROR(INDEX(ArchiveResults!$F$5:$IX$116,ComparisonData!A116,ComparisonData!$GC$1),0),5)</f>
        <v>0</v>
      </c>
      <c r="GD116" s="46" cm="1">
        <f t="array" ref="GD116">ROUND(IFERROR(INDEX(ArchiveResults!$F$5:$IX$116,ComparisonData!A116,ComparisonData!$GD$1),0),5)</f>
        <v>0</v>
      </c>
      <c r="GE116" s="46" cm="1">
        <f t="array" ref="GE116">ROUND(IFERROR(INDEX(ArchiveResults!$F$5:$IX$116,ComparisonData!A116,ComparisonData!$GE$1),0),5)</f>
        <v>0</v>
      </c>
      <c r="GF116" s="46" cm="1">
        <f t="array" ref="GF116">ROUND(IFERROR(INDEX(ArchiveResults!$F$5:$IX$116,ComparisonData!A116,ComparisonData!$GF$1),0),5)</f>
        <v>0</v>
      </c>
      <c r="GG116" s="45" cm="1">
        <f t="array" ref="GG116">IFERROR(INDEX(ArchiveResults!$F$5:$IX$116,ComparisonData!A116,ComparisonData!$GG$1),0)</f>
        <v>0</v>
      </c>
      <c r="GH116" s="56">
        <v>111</v>
      </c>
      <c r="GI116" s="53" t="str">
        <f t="shared" si="1196"/>
        <v>West Yorkshire Archive Service, Wakefield</v>
      </c>
      <c r="GJ116" s="59">
        <f t="shared" si="846"/>
        <v>0</v>
      </c>
      <c r="GK116" s="59">
        <f t="shared" si="847"/>
        <v>0</v>
      </c>
      <c r="GL116" s="59">
        <f t="shared" si="848"/>
        <v>0</v>
      </c>
      <c r="GM116" s="59">
        <f t="shared" si="849"/>
        <v>0</v>
      </c>
      <c r="GN116" s="59">
        <f t="shared" si="850"/>
        <v>0</v>
      </c>
      <c r="GO116" s="58">
        <f t="shared" si="851"/>
        <v>0</v>
      </c>
      <c r="GP116" s="45">
        <f t="shared" si="852"/>
        <v>96</v>
      </c>
      <c r="GQ116" s="45">
        <f t="shared" si="1197"/>
        <v>2.919</v>
      </c>
      <c r="GR116" s="45">
        <f t="shared" si="853"/>
        <v>1</v>
      </c>
      <c r="GS116" s="45">
        <f t="shared" si="854"/>
        <v>2</v>
      </c>
      <c r="GT116" s="46" cm="1">
        <f t="array" ref="GT116">ROUND(IFERROR(INDEX(ArchiveResults!$F$5:$IX$116,ComparisonData!A116,ComparisonData!$GT$1),0),5)</f>
        <v>0</v>
      </c>
      <c r="GU116" s="46" cm="1">
        <f t="array" ref="GU116">ROUND(IFERROR(INDEX(ArchiveResults!$F$5:$IX$116,ComparisonData!A116,ComparisonData!$GU$1),0),5)</f>
        <v>0</v>
      </c>
      <c r="GV116" s="46" cm="1">
        <f t="array" ref="GV116">ROUND(IFERROR(INDEX(ArchiveResults!$F$5:$IX$116,ComparisonData!A116,ComparisonData!$GV$1),0),5)</f>
        <v>0</v>
      </c>
      <c r="GW116" s="46" cm="1">
        <f t="array" ref="GW116">ROUND(IFERROR(INDEX(ArchiveResults!$F$5:$IX$116,ComparisonData!A116,ComparisonData!$GW$1),0),5)</f>
        <v>0</v>
      </c>
      <c r="GX116" s="45" cm="1">
        <f t="array" ref="GX116">IFERROR(INDEX(ArchiveResults!$F$5:$IX$116,ComparisonData!A116,ComparisonData!$GX$1),0)</f>
        <v>0</v>
      </c>
      <c r="GY116" s="56">
        <v>111</v>
      </c>
      <c r="GZ116" s="53" t="str">
        <f t="shared" si="1198"/>
        <v>West Yorkshire Archive Service, Wakefield</v>
      </c>
      <c r="HA116" s="59">
        <f t="shared" si="855"/>
        <v>0</v>
      </c>
      <c r="HB116" s="59">
        <f t="shared" si="856"/>
        <v>0</v>
      </c>
      <c r="HC116" s="59">
        <f t="shared" si="857"/>
        <v>0</v>
      </c>
      <c r="HD116" s="59">
        <f t="shared" si="858"/>
        <v>0</v>
      </c>
      <c r="HE116" s="59">
        <f t="shared" si="859"/>
        <v>0</v>
      </c>
      <c r="HF116" s="58">
        <f t="shared" si="860"/>
        <v>0</v>
      </c>
      <c r="HG116" s="45">
        <f t="shared" si="861"/>
        <v>96</v>
      </c>
      <c r="HH116" s="45">
        <f t="shared" si="1199"/>
        <v>2.919</v>
      </c>
      <c r="HI116" s="45">
        <f t="shared" si="862"/>
        <v>1</v>
      </c>
      <c r="HJ116" s="45">
        <f t="shared" si="863"/>
        <v>2</v>
      </c>
      <c r="HK116" s="46" cm="1">
        <f t="array" ref="HK116">ROUND(IFERROR(INDEX(ArchiveResults!$F$5:$IX$116,ComparisonData!A116,ComparisonData!$HK$1),0),5)</f>
        <v>0</v>
      </c>
      <c r="HL116" s="46" cm="1">
        <f t="array" ref="HL116">ROUND(IFERROR(INDEX(ArchiveResults!$F$5:$IX$116,ComparisonData!A116,ComparisonData!$HL$1),0),5)</f>
        <v>0</v>
      </c>
      <c r="HM116" s="46" cm="1">
        <f t="array" ref="HM116">ROUND(IFERROR(INDEX(ArchiveResults!$F$5:$IX$116,ComparisonData!A116,ComparisonData!$HM$1),0),5)</f>
        <v>0</v>
      </c>
      <c r="HN116" s="46" cm="1">
        <f t="array" ref="HN116">ROUND(IFERROR(INDEX(ArchiveResults!$F$5:$IX$116,ComparisonData!A116,ComparisonData!$HN$1),0),5)</f>
        <v>0</v>
      </c>
      <c r="HO116" s="45" cm="1">
        <f t="array" ref="HO116">IFERROR(INDEX(ArchiveResults!$F$5:$IX$116,ComparisonData!A116,ComparisonData!$HO$1),0)</f>
        <v>0</v>
      </c>
      <c r="HP116" s="56">
        <v>111</v>
      </c>
      <c r="HQ116" s="53" t="str">
        <f t="shared" si="1200"/>
        <v>West Yorkshire Archive Service, Wakefield</v>
      </c>
      <c r="HR116" s="59">
        <f t="shared" si="1201"/>
        <v>0</v>
      </c>
      <c r="HS116" s="59">
        <f t="shared" si="1202"/>
        <v>0</v>
      </c>
      <c r="HT116" s="59">
        <f t="shared" si="1203"/>
        <v>0</v>
      </c>
      <c r="HU116" s="59">
        <f t="shared" si="1204"/>
        <v>0</v>
      </c>
      <c r="HV116" s="59">
        <f t="shared" si="1205"/>
        <v>0</v>
      </c>
      <c r="HW116" s="58">
        <f t="shared" si="864"/>
        <v>0</v>
      </c>
      <c r="HX116" s="45">
        <f t="shared" si="865"/>
        <v>96</v>
      </c>
      <c r="HY116" s="45">
        <f t="shared" si="1206"/>
        <v>2.919</v>
      </c>
      <c r="HZ116" s="45">
        <f t="shared" si="866"/>
        <v>1</v>
      </c>
      <c r="IA116" s="45">
        <f t="shared" si="867"/>
        <v>2</v>
      </c>
      <c r="IB116" s="45">
        <f t="shared" si="868"/>
        <v>0</v>
      </c>
      <c r="IC116" s="46" cm="1">
        <f t="array" ref="IC116">ROUND(IFERROR(INDEX(ArchiveResults!$F$5:$IX$116,ComparisonData!A116,ComparisonData!$IC$1),0),5)</f>
        <v>0</v>
      </c>
      <c r="ID116" s="46" cm="1">
        <f t="array" ref="ID116">ROUND(IFERROR(INDEX(ArchiveResults!$F$5:$IX$116,ComparisonData!A116,ComparisonData!$ID$1),0),5)</f>
        <v>0</v>
      </c>
      <c r="IE116" s="46" cm="1">
        <f t="array" ref="IE116">ROUND(IFERROR(INDEX(ArchiveResults!$F$5:$IX$116,ComparisonData!A116,ComparisonData!$IE$1),0),5)</f>
        <v>0</v>
      </c>
      <c r="IF116" s="46" cm="1">
        <f t="array" ref="IF116">ROUND(IFERROR(INDEX(ArchiveResults!$F$5:$IX$116,ComparisonData!A116,ComparisonData!$IF$1),0),5)</f>
        <v>0</v>
      </c>
      <c r="IG116" s="45" cm="1">
        <f t="array" ref="IG116">IFERROR(INDEX(ArchiveResults!$F$5:$IX$116,ComparisonData!A116,ComparisonData!$IG$1),0)</f>
        <v>0</v>
      </c>
      <c r="IH116" s="56">
        <v>111</v>
      </c>
      <c r="II116" s="53" t="str">
        <f t="shared" si="1207"/>
        <v>West Yorkshire Archive Service, Wakefield</v>
      </c>
      <c r="IJ116" s="59">
        <f t="shared" si="869"/>
        <v>0</v>
      </c>
      <c r="IK116" s="59">
        <f t="shared" si="870"/>
        <v>0</v>
      </c>
      <c r="IL116" s="59">
        <f t="shared" si="871"/>
        <v>0</v>
      </c>
      <c r="IM116" s="59">
        <f t="shared" si="872"/>
        <v>0</v>
      </c>
      <c r="IN116" s="59">
        <f t="shared" si="873"/>
        <v>0</v>
      </c>
      <c r="IO116" s="58">
        <f t="shared" si="874"/>
        <v>0</v>
      </c>
      <c r="IP116" s="45">
        <f t="shared" si="875"/>
        <v>96</v>
      </c>
      <c r="IQ116" s="45">
        <f t="shared" si="1208"/>
        <v>2.919</v>
      </c>
      <c r="IR116" s="45">
        <f t="shared" si="876"/>
        <v>1</v>
      </c>
      <c r="IS116" s="45">
        <f t="shared" si="877"/>
        <v>2</v>
      </c>
      <c r="IT116" s="46">
        <f t="shared" si="878"/>
        <v>0</v>
      </c>
      <c r="IU116" s="46" cm="1">
        <f t="array" ref="IU116">ROUND(IFERROR(INDEX(ArchiveResults!$F$5:$IX$116,ComparisonData!A116,ComparisonData!$IU$1),0),5)</f>
        <v>0</v>
      </c>
      <c r="IV116" s="46" cm="1">
        <f t="array" ref="IV116">ROUND(IFERROR(INDEX(ArchiveResults!$F$5:$IX$116,ComparisonData!A116,ComparisonData!$IV$1),0),5)</f>
        <v>0</v>
      </c>
      <c r="IW116" s="46" cm="1">
        <f t="array" ref="IW116">ROUND(IFERROR(INDEX(ArchiveResults!$F$5:$IX$116,ComparisonData!A116,ComparisonData!$IW$1),0),5)</f>
        <v>0</v>
      </c>
      <c r="IX116" s="46" cm="1">
        <f t="array" ref="IX116">ROUND(IFERROR(INDEX(ArchiveResults!$F$5:$IX$116,ComparisonData!A116,ComparisonData!$IX$1),0),5)</f>
        <v>0</v>
      </c>
      <c r="IY116" s="45" cm="1">
        <f t="array" ref="IY116">IFERROR(INDEX(ArchiveResults!$F$5:$IX$116,ComparisonData!A116,ComparisonData!$IY$1),0)</f>
        <v>0</v>
      </c>
      <c r="IZ116" s="56">
        <v>111</v>
      </c>
      <c r="JA116" s="53" t="str">
        <f t="shared" si="1209"/>
        <v>West Yorkshire Archive Service, Wakefield</v>
      </c>
      <c r="JB116" s="59">
        <f t="shared" si="879"/>
        <v>0</v>
      </c>
      <c r="JC116" s="59">
        <f t="shared" si="880"/>
        <v>0</v>
      </c>
      <c r="JD116" s="59">
        <f t="shared" si="881"/>
        <v>0</v>
      </c>
      <c r="JE116" s="59">
        <f t="shared" si="882"/>
        <v>0</v>
      </c>
      <c r="JF116" s="59">
        <f t="shared" si="883"/>
        <v>0</v>
      </c>
      <c r="JG116" s="58">
        <f t="shared" si="884"/>
        <v>0</v>
      </c>
      <c r="JH116" s="45">
        <f t="shared" si="885"/>
        <v>96</v>
      </c>
      <c r="JI116" s="45">
        <f t="shared" si="1210"/>
        <v>2.919</v>
      </c>
      <c r="JJ116" s="45">
        <f t="shared" si="886"/>
        <v>1</v>
      </c>
      <c r="JK116" s="45">
        <f t="shared" si="887"/>
        <v>2</v>
      </c>
      <c r="JL116" s="45">
        <f t="shared" si="888"/>
        <v>0</v>
      </c>
      <c r="JM116" s="46" cm="1">
        <f t="array" ref="JM116">ROUND(IFERROR(INDEX(ArchiveResults!$F$5:$IX$116,ComparisonData!A116,ComparisonData!$JM$1),0),5)</f>
        <v>0</v>
      </c>
      <c r="JN116" s="46" cm="1">
        <f t="array" ref="JN116">ROUND(IFERROR(INDEX(ArchiveResults!$F$5:$IX$116,ComparisonData!A116,ComparisonData!$JN$1),0),5)</f>
        <v>0</v>
      </c>
      <c r="JO116" s="46" cm="1">
        <f t="array" ref="JO116">ROUND(IFERROR(INDEX(ArchiveResults!$F$5:$IX$116,ComparisonData!A116,ComparisonData!$JO$1),0),5)</f>
        <v>0</v>
      </c>
      <c r="JP116" s="46" cm="1">
        <f t="array" ref="JP116">ROUND(IFERROR(INDEX(ArchiveResults!$F$5:$IX$116,ComparisonData!A116,ComparisonData!$JP$1),0),5)</f>
        <v>0</v>
      </c>
      <c r="JQ116" s="45" cm="1">
        <f t="array" ref="JQ116">IFERROR(INDEX(ArchiveResults!$F$5:$IX$116,ComparisonData!A116,ComparisonData!$JQ$1),0)</f>
        <v>0</v>
      </c>
      <c r="JR116" s="56">
        <v>111</v>
      </c>
      <c r="JS116" s="53" t="str">
        <f t="shared" si="1211"/>
        <v>West Yorkshire Archive Service, Wakefield</v>
      </c>
      <c r="JT116" s="59">
        <f t="shared" si="889"/>
        <v>0</v>
      </c>
      <c r="JU116" s="59">
        <f t="shared" si="890"/>
        <v>0</v>
      </c>
      <c r="JV116" s="59">
        <f t="shared" si="891"/>
        <v>0</v>
      </c>
      <c r="JW116" s="59">
        <f t="shared" si="892"/>
        <v>0</v>
      </c>
      <c r="JX116" s="59">
        <f t="shared" si="893"/>
        <v>0</v>
      </c>
      <c r="JY116" s="58">
        <f t="shared" si="894"/>
        <v>0</v>
      </c>
      <c r="JZ116" s="45">
        <f t="shared" si="895"/>
        <v>96</v>
      </c>
      <c r="KA116" s="45">
        <f t="shared" si="1212"/>
        <v>2.919</v>
      </c>
      <c r="KB116" s="45">
        <f t="shared" si="896"/>
        <v>1</v>
      </c>
      <c r="KC116" s="45">
        <f t="shared" si="897"/>
        <v>2</v>
      </c>
      <c r="KD116" s="45">
        <f t="shared" si="898"/>
        <v>0</v>
      </c>
      <c r="KE116" s="46" cm="1">
        <f t="array" ref="KE116">ROUND(IFERROR(INDEX(ArchiveResults!$F$5:$IX$116,ComparisonData!A116,ComparisonData!$KE$1),0),5)</f>
        <v>0</v>
      </c>
      <c r="KF116" s="46" cm="1">
        <f t="array" ref="KF116">ROUND(IFERROR(INDEX(ArchiveResults!$F$5:$IX$116,ComparisonData!A116,ComparisonData!$KF$1),0),5)</f>
        <v>0</v>
      </c>
      <c r="KG116" s="46" cm="1">
        <f t="array" ref="KG116">ROUND(IFERROR(INDEX(ArchiveResults!$F$5:$IX$116,ComparisonData!A116,ComparisonData!$KG$1),0),5)</f>
        <v>0</v>
      </c>
      <c r="KH116" s="46" cm="1">
        <f t="array" ref="KH116">ROUND(IFERROR(INDEX(ArchiveResults!$F$5:$IX$116,ComparisonData!A116,ComparisonData!$KH$1),0),5)</f>
        <v>0</v>
      </c>
      <c r="KI116" s="45" cm="1">
        <f t="array" ref="KI116">IFERROR(INDEX(ArchiveResults!$F$5:$IX$116,ComparisonData!A116,ComparisonData!$KI$1),0)</f>
        <v>0</v>
      </c>
      <c r="KJ116" s="56">
        <v>111</v>
      </c>
      <c r="KK116" s="53" t="str">
        <f t="shared" si="1213"/>
        <v>West Yorkshire Archive Service, Wakefield</v>
      </c>
      <c r="KL116" s="59">
        <f t="shared" si="899"/>
        <v>0</v>
      </c>
      <c r="KM116" s="59">
        <f t="shared" si="900"/>
        <v>0</v>
      </c>
      <c r="KN116" s="59">
        <f t="shared" si="901"/>
        <v>0</v>
      </c>
      <c r="KO116" s="59">
        <f t="shared" si="902"/>
        <v>0</v>
      </c>
      <c r="KP116" s="59">
        <f t="shared" si="903"/>
        <v>0</v>
      </c>
      <c r="KQ116" s="58">
        <f t="shared" si="904"/>
        <v>0</v>
      </c>
      <c r="KR116" s="45">
        <f t="shared" si="905"/>
        <v>96</v>
      </c>
      <c r="KS116" s="45">
        <f t="shared" si="1214"/>
        <v>2.919</v>
      </c>
      <c r="KT116" s="45">
        <f t="shared" si="906"/>
        <v>1</v>
      </c>
      <c r="KU116" s="45">
        <f t="shared" si="907"/>
        <v>2</v>
      </c>
      <c r="KV116" s="45">
        <f t="shared" si="908"/>
        <v>0</v>
      </c>
      <c r="KW116" s="46" cm="1">
        <f t="array" ref="KW116">ROUND(IFERROR(INDEX(ArchiveResults!$F$5:$IX$116,ComparisonData!A116,ComparisonData!$KW$1),0),5)</f>
        <v>0</v>
      </c>
      <c r="KX116" s="46" cm="1">
        <f t="array" ref="KX116">ROUND(IFERROR(INDEX(ArchiveResults!$F$5:$IX$116,ComparisonData!A116,ComparisonData!$KX$1),0),5)</f>
        <v>0</v>
      </c>
      <c r="KY116" s="46" cm="1">
        <f t="array" ref="KY116">ROUND(IFERROR(INDEX(ArchiveResults!$F$5:$IX$116,ComparisonData!A116,ComparisonData!$KY$1),0),5)</f>
        <v>0</v>
      </c>
      <c r="KZ116" s="46" cm="1">
        <f t="array" ref="KZ116">ROUND(IFERROR(INDEX(ArchiveResults!$F$5:$IX$116,ComparisonData!A116,ComparisonData!$KZ$1),0),5)</f>
        <v>0</v>
      </c>
      <c r="LA116" s="45" cm="1">
        <f t="array" ref="LA116">IFERROR(INDEX(ArchiveResults!$F$5:$IX$116,ComparisonData!A116,ComparisonData!$LA$1),0)</f>
        <v>0</v>
      </c>
      <c r="LB116" s="56">
        <v>111</v>
      </c>
      <c r="LC116" s="53" t="str">
        <f t="shared" si="1215"/>
        <v>West Yorkshire Archive Service, Wakefield</v>
      </c>
      <c r="LD116" s="59">
        <f t="shared" si="909"/>
        <v>0</v>
      </c>
      <c r="LE116" s="59">
        <f t="shared" si="910"/>
        <v>0</v>
      </c>
      <c r="LF116" s="59">
        <f t="shared" si="911"/>
        <v>0</v>
      </c>
      <c r="LG116" s="59">
        <f t="shared" si="912"/>
        <v>0</v>
      </c>
      <c r="LH116" s="59">
        <f t="shared" si="913"/>
        <v>0</v>
      </c>
      <c r="LI116" s="58">
        <f t="shared" si="914"/>
        <v>0</v>
      </c>
      <c r="LJ116" s="45">
        <f t="shared" si="915"/>
        <v>96</v>
      </c>
      <c r="LK116" s="45">
        <f t="shared" si="1216"/>
        <v>2.919</v>
      </c>
      <c r="LL116" s="45">
        <f t="shared" si="916"/>
        <v>1</v>
      </c>
      <c r="LM116" s="45">
        <f t="shared" si="917"/>
        <v>2</v>
      </c>
      <c r="LN116" s="45">
        <f t="shared" si="918"/>
        <v>0</v>
      </c>
      <c r="LO116" s="46" cm="1">
        <f t="array" ref="LO116">ROUND(IFERROR(INDEX(ArchiveResults!$F$5:$IX$116,ComparisonData!A116,ComparisonData!$LO$1),0),5)</f>
        <v>0</v>
      </c>
      <c r="LP116" s="46" cm="1">
        <f t="array" ref="LP116">ROUND(IFERROR(INDEX(ArchiveResults!$F$5:$IX$116,ComparisonData!A116,ComparisonData!$LP$1),0),5)</f>
        <v>0</v>
      </c>
      <c r="LQ116" s="46" cm="1">
        <f t="array" ref="LQ116">ROUND(IFERROR(INDEX(ArchiveResults!$F$5:$IX$116,ComparisonData!A116,ComparisonData!$LQ$1),0),5)</f>
        <v>0</v>
      </c>
      <c r="LR116" s="46" cm="1">
        <f t="array" ref="LR116">ROUND(IFERROR(INDEX(ArchiveResults!$F$5:$IX$116,ComparisonData!A116,ComparisonData!$LR$1),0),5)</f>
        <v>0</v>
      </c>
      <c r="LS116" s="45" cm="1">
        <f t="array" ref="LS116">IFERROR(INDEX(ArchiveResults!$F$5:$IX$116,ComparisonData!A116,ComparisonData!$LS$1),0)</f>
        <v>0</v>
      </c>
      <c r="LT116" s="56">
        <v>111</v>
      </c>
      <c r="LU116" s="53" t="str">
        <f t="shared" si="1217"/>
        <v>West Yorkshire Archive Service, Wakefield</v>
      </c>
      <c r="LV116" s="59">
        <f t="shared" si="919"/>
        <v>0</v>
      </c>
      <c r="LW116" s="59">
        <f t="shared" si="920"/>
        <v>0</v>
      </c>
      <c r="LX116" s="59">
        <f t="shared" si="921"/>
        <v>0</v>
      </c>
      <c r="LY116" s="59">
        <f t="shared" si="922"/>
        <v>0</v>
      </c>
      <c r="LZ116" s="59">
        <f t="shared" si="923"/>
        <v>0</v>
      </c>
      <c r="MA116" s="58">
        <f t="shared" si="924"/>
        <v>0</v>
      </c>
      <c r="MB116" s="45">
        <f t="shared" si="925"/>
        <v>96</v>
      </c>
      <c r="MC116" s="45">
        <f t="shared" si="1218"/>
        <v>2.919</v>
      </c>
      <c r="MD116" s="45">
        <f t="shared" si="926"/>
        <v>1</v>
      </c>
      <c r="ME116" s="45">
        <f t="shared" si="927"/>
        <v>2</v>
      </c>
      <c r="MF116" s="45">
        <f t="shared" si="928"/>
        <v>0</v>
      </c>
      <c r="MG116" s="46" cm="1">
        <f t="array" ref="MG116">ROUND(IFERROR(INDEX(ArchiveResults!$F$5:$IX$116,ComparisonData!A116,ComparisonData!$MG$1),0),5)</f>
        <v>0</v>
      </c>
      <c r="MH116" s="46" cm="1">
        <f t="array" ref="MH116">ROUND(IFERROR(INDEX(ArchiveResults!$F$5:$IX$116,ComparisonData!A116,ComparisonData!$MH$1),0),5)</f>
        <v>0</v>
      </c>
      <c r="MI116" s="46" cm="1">
        <f t="array" ref="MI116">ROUND(IFERROR(INDEX(ArchiveResults!$F$5:$IX$116,ComparisonData!A116,ComparisonData!$MI$1),0),5)</f>
        <v>0</v>
      </c>
      <c r="MJ116" s="46" cm="1">
        <f t="array" ref="MJ116">ROUND(IFERROR(INDEX(ArchiveResults!$F$5:$IX$116,ComparisonData!A116,ComparisonData!$MJ$1),0),5)</f>
        <v>0</v>
      </c>
      <c r="MK116" s="45" cm="1">
        <f t="array" ref="MK116">IFERROR(INDEX(ArchiveResults!$F$5:$IX$116,ComparisonData!A116,ComparisonData!$MK$1),0)</f>
        <v>0</v>
      </c>
      <c r="ML116" s="56">
        <v>111</v>
      </c>
      <c r="MM116" s="53" t="str">
        <f t="shared" si="1219"/>
        <v>West Yorkshire Archive Service, Wakefield</v>
      </c>
      <c r="MN116" s="59">
        <f t="shared" si="929"/>
        <v>0</v>
      </c>
      <c r="MO116" s="59">
        <f t="shared" si="930"/>
        <v>0</v>
      </c>
      <c r="MP116" s="59">
        <f t="shared" si="931"/>
        <v>0</v>
      </c>
      <c r="MQ116" s="59">
        <f t="shared" si="932"/>
        <v>0</v>
      </c>
      <c r="MR116" s="59">
        <f t="shared" si="933"/>
        <v>0</v>
      </c>
      <c r="MS116" s="58">
        <f t="shared" si="934"/>
        <v>0</v>
      </c>
      <c r="MT116" s="45">
        <f t="shared" si="935"/>
        <v>96</v>
      </c>
      <c r="MU116" s="45">
        <f t="shared" si="1220"/>
        <v>2.919</v>
      </c>
      <c r="MV116" s="45">
        <f t="shared" si="936"/>
        <v>1</v>
      </c>
      <c r="MW116" s="45">
        <f t="shared" si="937"/>
        <v>2</v>
      </c>
      <c r="MX116" s="45">
        <f t="shared" si="938"/>
        <v>0</v>
      </c>
      <c r="MY116" s="46" cm="1">
        <f t="array" ref="MY116">ROUND(IFERROR(INDEX(ArchiveResults!$F$5:$IX$116,ComparisonData!A116,ComparisonData!$MY$1),0),5)</f>
        <v>0</v>
      </c>
      <c r="MZ116" s="46" cm="1">
        <f t="array" ref="MZ116">ROUND(IFERROR(INDEX(ArchiveResults!$F$5:$IX$116,ComparisonData!A116,ComparisonData!$MZ$1),0),5)</f>
        <v>0</v>
      </c>
      <c r="NA116" s="46" cm="1">
        <f t="array" ref="NA116">ROUND(IFERROR(INDEX(ArchiveResults!$F$5:$IX$116,ComparisonData!A116,ComparisonData!$NA$1),0),5)</f>
        <v>0</v>
      </c>
      <c r="NB116" s="46" cm="1">
        <f t="array" ref="NB116">ROUND(IFERROR(INDEX(ArchiveResults!$F$5:$IX$116,ComparisonData!A116,ComparisonData!$NB$1),0),5)</f>
        <v>0</v>
      </c>
      <c r="NC116" s="45" cm="1">
        <f t="array" ref="NC116">IFERROR(INDEX(ArchiveResults!$F$5:$IX$116,ComparisonData!A116,ComparisonData!$NC$1),0)</f>
        <v>0</v>
      </c>
      <c r="ND116" s="56">
        <v>111</v>
      </c>
      <c r="NE116" s="53" t="str">
        <f t="shared" si="1221"/>
        <v>West Yorkshire Archive Service, Wakefield</v>
      </c>
      <c r="NF116" s="59">
        <f t="shared" si="939"/>
        <v>0</v>
      </c>
      <c r="NG116" s="59">
        <f t="shared" si="940"/>
        <v>0</v>
      </c>
      <c r="NH116" s="59">
        <f t="shared" si="941"/>
        <v>0</v>
      </c>
      <c r="NI116" s="59">
        <f t="shared" si="942"/>
        <v>0</v>
      </c>
      <c r="NJ116" s="59">
        <f t="shared" si="943"/>
        <v>0</v>
      </c>
      <c r="NK116" s="58">
        <f t="shared" si="944"/>
        <v>0</v>
      </c>
      <c r="NL116" s="45">
        <f t="shared" si="945"/>
        <v>96</v>
      </c>
      <c r="NM116" s="45">
        <f t="shared" si="1222"/>
        <v>2.919</v>
      </c>
      <c r="NN116" s="45">
        <f t="shared" si="946"/>
        <v>1</v>
      </c>
      <c r="NO116" s="45">
        <f t="shared" si="947"/>
        <v>2</v>
      </c>
      <c r="NP116" s="46" cm="1">
        <f t="array" ref="NP116">ROUND(IFERROR(INDEX(ArchiveResults!$F$5:$IX$116,ComparisonData!A116,ComparisonData!$NP$1),0),5)</f>
        <v>0</v>
      </c>
      <c r="NQ116" s="46" cm="1">
        <f t="array" ref="NQ116">ROUND(IFERROR(INDEX(ArchiveResults!$F$5:$IX$116,ComparisonData!A116,ComparisonData!$NQ$1),0),5)</f>
        <v>0</v>
      </c>
      <c r="NR116" s="46" cm="1">
        <f t="array" ref="NR116">ROUND(IFERROR(INDEX(ArchiveResults!$F$5:$IX$116,ComparisonData!A116,ComparisonData!$NR$1),0),5)</f>
        <v>0</v>
      </c>
      <c r="NS116" s="46" cm="1">
        <f t="array" ref="NS116">ROUND(IFERROR(INDEX(ArchiveResults!$F$5:$IX$116,ComparisonData!A116,ComparisonData!$NS$1),0),5)</f>
        <v>0</v>
      </c>
      <c r="NT116" s="45" cm="1">
        <f t="array" ref="NT116">IFERROR(INDEX(ArchiveResults!$F$5:$IX$116,ComparisonData!A116,ComparisonData!$NT$1),0)</f>
        <v>0</v>
      </c>
      <c r="NU116" s="56">
        <v>111</v>
      </c>
      <c r="NV116" s="53" t="str">
        <f t="shared" si="1223"/>
        <v>West Yorkshire Archive Service, Wakefield</v>
      </c>
      <c r="NW116" s="59">
        <f t="shared" si="948"/>
        <v>0</v>
      </c>
      <c r="NX116" s="59">
        <f t="shared" si="949"/>
        <v>0</v>
      </c>
      <c r="NY116" s="59">
        <f t="shared" si="950"/>
        <v>0</v>
      </c>
      <c r="NZ116" s="59">
        <f t="shared" si="951"/>
        <v>0</v>
      </c>
      <c r="OA116" s="59">
        <f t="shared" si="952"/>
        <v>0</v>
      </c>
      <c r="OB116" s="58">
        <f t="shared" si="953"/>
        <v>0</v>
      </c>
      <c r="OC116" s="45">
        <f t="shared" si="954"/>
        <v>96</v>
      </c>
      <c r="OD116" s="45">
        <f t="shared" si="1224"/>
        <v>2.919</v>
      </c>
      <c r="OE116" s="45">
        <f t="shared" si="955"/>
        <v>1</v>
      </c>
      <c r="OF116" s="45">
        <f t="shared" si="956"/>
        <v>2</v>
      </c>
      <c r="OG116" s="46">
        <f t="shared" si="957"/>
        <v>0</v>
      </c>
      <c r="OH116" s="46" cm="1">
        <f t="array" ref="OH116">ROUND(IFERROR(INDEX(ArchiveResults!$F$5:$IX$116,ComparisonData!A116,ComparisonData!$OH$1),0),5)</f>
        <v>0</v>
      </c>
      <c r="OI116" s="46" cm="1">
        <f t="array" ref="OI116">ROUND(IFERROR(INDEX(ArchiveResults!$F$5:$IX$116,ComparisonData!A116,ComparisonData!$OI$1),0),5)</f>
        <v>0</v>
      </c>
      <c r="OJ116" s="46" cm="1">
        <f t="array" ref="OJ116">ROUND(IFERROR(INDEX(ArchiveResults!$F$5:$IX$116,ComparisonData!A116,ComparisonData!$OJ$1),0),5)</f>
        <v>0</v>
      </c>
      <c r="OK116" s="46" cm="1">
        <f t="array" ref="OK116">ROUND(IFERROR(INDEX(ArchiveResults!$F$5:$IX$116,ComparisonData!A116,ComparisonData!$OK$1),0),5)</f>
        <v>0</v>
      </c>
      <c r="OL116" s="45" cm="1">
        <f t="array" ref="OL116">IFERROR(INDEX(ArchiveResults!$F$5:$IX$116,ComparisonData!A116,ComparisonData!$OL$1),0)</f>
        <v>0</v>
      </c>
      <c r="OM116" s="56">
        <v>111</v>
      </c>
      <c r="ON116" s="53" t="str">
        <f t="shared" si="1225"/>
        <v>West Yorkshire Archive Service, Wakefield</v>
      </c>
      <c r="OO116" s="59">
        <f t="shared" si="958"/>
        <v>0</v>
      </c>
      <c r="OP116" s="59">
        <f t="shared" si="959"/>
        <v>0</v>
      </c>
      <c r="OQ116" s="59">
        <f t="shared" si="960"/>
        <v>0</v>
      </c>
      <c r="OR116" s="59">
        <f t="shared" si="961"/>
        <v>0</v>
      </c>
      <c r="OS116" s="59">
        <f t="shared" si="962"/>
        <v>0</v>
      </c>
      <c r="OT116" s="58">
        <f t="shared" si="963"/>
        <v>0</v>
      </c>
      <c r="OU116" s="45">
        <f t="shared" si="964"/>
        <v>96</v>
      </c>
      <c r="OV116" s="45">
        <f t="shared" si="1226"/>
        <v>2.919</v>
      </c>
      <c r="OW116" s="45">
        <f t="shared" si="965"/>
        <v>1</v>
      </c>
      <c r="OX116" s="45">
        <f t="shared" si="966"/>
        <v>2</v>
      </c>
      <c r="OY116" s="45">
        <f t="shared" si="967"/>
        <v>0</v>
      </c>
      <c r="OZ116" s="46" cm="1">
        <f t="array" ref="OZ116">ROUND(IFERROR(INDEX(ArchiveResults!$F$5:$IX$116,ComparisonData!A116,ComparisonData!$OZ$1),0),5)</f>
        <v>0</v>
      </c>
      <c r="PA116" s="46" cm="1">
        <f t="array" ref="PA116">ROUND(IFERROR(INDEX(ArchiveResults!$F$5:$IX$116,ComparisonData!A116,ComparisonData!$PA$1),0),5)</f>
        <v>0</v>
      </c>
      <c r="PB116" s="46" cm="1">
        <f t="array" ref="PB116">ROUND(IFERROR(INDEX(ArchiveResults!$F$5:$IX$116,ComparisonData!A116,ComparisonData!$PB$1),0),5)</f>
        <v>0</v>
      </c>
      <c r="PC116" s="46" cm="1">
        <f t="array" ref="PC116">ROUND(IFERROR(INDEX(ArchiveResults!$F$5:$IX$116,ComparisonData!A116,ComparisonData!$PC$1),0),5)</f>
        <v>0</v>
      </c>
      <c r="PD116" s="45" cm="1">
        <f t="array" ref="PD116">IFERROR(INDEX(ArchiveResults!$F$5:$IX$116,ComparisonData!A116,ComparisonData!$PD$1),0)</f>
        <v>0</v>
      </c>
      <c r="PE116" s="56">
        <v>111</v>
      </c>
      <c r="PF116" s="53" t="str">
        <f t="shared" si="1227"/>
        <v>West Yorkshire Archive Service, Wakefield</v>
      </c>
      <c r="PG116" s="59">
        <f t="shared" si="968"/>
        <v>0</v>
      </c>
      <c r="PH116" s="59">
        <f t="shared" si="969"/>
        <v>0</v>
      </c>
      <c r="PI116" s="59">
        <f t="shared" si="970"/>
        <v>0</v>
      </c>
      <c r="PJ116" s="59">
        <f t="shared" si="971"/>
        <v>0</v>
      </c>
      <c r="PK116" s="59">
        <f t="shared" si="972"/>
        <v>0</v>
      </c>
      <c r="PL116" s="58">
        <f t="shared" si="973"/>
        <v>0</v>
      </c>
      <c r="PM116" s="45">
        <f t="shared" si="974"/>
        <v>96</v>
      </c>
      <c r="PN116" s="45">
        <f t="shared" si="1228"/>
        <v>2.919</v>
      </c>
      <c r="PO116" s="45">
        <f t="shared" si="975"/>
        <v>1</v>
      </c>
      <c r="PP116" s="45">
        <f t="shared" si="976"/>
        <v>2</v>
      </c>
      <c r="PQ116" s="45">
        <f t="shared" si="977"/>
        <v>0</v>
      </c>
      <c r="PR116" s="46" cm="1">
        <f t="array" ref="PR116">ROUND(IFERROR(INDEX(ArchiveResults!$F$5:$IX$116,ComparisonData!A116,ComparisonData!$PR$1),0),5)</f>
        <v>0</v>
      </c>
      <c r="PS116" s="46" cm="1">
        <f t="array" ref="PS116">ROUND(IFERROR(INDEX(ArchiveResults!$F$5:$IX$116,ComparisonData!A116,ComparisonData!$PS$1),0),5)</f>
        <v>0</v>
      </c>
      <c r="PT116" s="46" cm="1">
        <f t="array" ref="PT116">ROUND(IFERROR(INDEX(ArchiveResults!$F$5:$IX$116,ComparisonData!A116,ComparisonData!$PT$1),0),5)</f>
        <v>0</v>
      </c>
      <c r="PU116" s="46" cm="1">
        <f t="array" ref="PU116">ROUND(IFERROR(INDEX(ArchiveResults!$F$5:$IX$116,ComparisonData!A116,ComparisonData!$PU$1),0),5)</f>
        <v>0</v>
      </c>
      <c r="PV116" s="45" cm="1">
        <f t="array" ref="PV116">IFERROR(INDEX(ArchiveResults!$F$5:$IX$116,ComparisonData!A116,ComparisonData!$PV$1),0)</f>
        <v>0</v>
      </c>
      <c r="PW116" s="56">
        <v>111</v>
      </c>
      <c r="PX116" s="53" t="str">
        <f t="shared" si="1229"/>
        <v>West Yorkshire Archive Service, Wakefield</v>
      </c>
      <c r="PY116" s="59">
        <f t="shared" si="978"/>
        <v>0</v>
      </c>
      <c r="PZ116" s="59">
        <f t="shared" si="979"/>
        <v>0</v>
      </c>
      <c r="QA116" s="59">
        <f t="shared" si="980"/>
        <v>0</v>
      </c>
      <c r="QB116" s="59">
        <f t="shared" si="981"/>
        <v>0</v>
      </c>
      <c r="QC116" s="59">
        <f t="shared" si="982"/>
        <v>0</v>
      </c>
      <c r="QD116" s="58">
        <f t="shared" si="983"/>
        <v>0</v>
      </c>
      <c r="QE116" s="45">
        <f t="shared" si="984"/>
        <v>96</v>
      </c>
      <c r="QF116" s="45">
        <f t="shared" si="1230"/>
        <v>2.919</v>
      </c>
      <c r="QG116" s="45">
        <f t="shared" si="985"/>
        <v>1</v>
      </c>
      <c r="QH116" s="45">
        <f t="shared" si="986"/>
        <v>2</v>
      </c>
      <c r="QI116" s="45">
        <f t="shared" si="987"/>
        <v>0</v>
      </c>
      <c r="QJ116" s="46" cm="1">
        <f t="array" ref="QJ116">ROUND(IFERROR(INDEX(ArchiveResults!$F$5:$IX$116,ComparisonData!A116,ComparisonData!$QJ$1),0),5)</f>
        <v>0</v>
      </c>
      <c r="QK116" s="46" cm="1">
        <f t="array" ref="QK116">ROUND(IFERROR(INDEX(ArchiveResults!$F$5:$IX$116,ComparisonData!A116,ComparisonData!$QK$1),0),5)</f>
        <v>0</v>
      </c>
      <c r="QL116" s="46" cm="1">
        <f t="array" ref="QL116">ROUND(IFERROR(INDEX(ArchiveResults!$F$5:$IX$116,ComparisonData!A116,ComparisonData!$QL$1),0),5)</f>
        <v>0</v>
      </c>
      <c r="QM116" s="46" cm="1">
        <f t="array" ref="QM116">ROUND(IFERROR(INDEX(ArchiveResults!$F$5:$IX$116,ComparisonData!A116,ComparisonData!$QM$1),0),5)</f>
        <v>0</v>
      </c>
      <c r="QN116" s="45" cm="1">
        <f t="array" ref="QN116">IFERROR(INDEX(ArchiveResults!$F$5:$IX$116,ComparisonData!A116,ComparisonData!$QN$1),0)</f>
        <v>0</v>
      </c>
      <c r="QO116" s="56">
        <v>111</v>
      </c>
      <c r="QP116" s="53" t="str">
        <f t="shared" si="1231"/>
        <v>West Yorkshire Archive Service, Wakefield</v>
      </c>
      <c r="QQ116" s="59">
        <f t="shared" si="988"/>
        <v>0</v>
      </c>
      <c r="QR116" s="59">
        <f t="shared" si="989"/>
        <v>0</v>
      </c>
      <c r="QS116" s="59">
        <f t="shared" si="990"/>
        <v>0</v>
      </c>
      <c r="QT116" s="59">
        <f t="shared" si="991"/>
        <v>0</v>
      </c>
      <c r="QU116" s="59">
        <f t="shared" si="992"/>
        <v>0</v>
      </c>
      <c r="QV116" s="58">
        <f t="shared" si="993"/>
        <v>0</v>
      </c>
      <c r="QW116" s="45">
        <f t="shared" si="994"/>
        <v>96</v>
      </c>
      <c r="QX116" s="45">
        <f t="shared" si="1232"/>
        <v>2.919</v>
      </c>
      <c r="QY116" s="45">
        <f t="shared" si="995"/>
        <v>1</v>
      </c>
      <c r="QZ116" s="45">
        <f t="shared" si="996"/>
        <v>2</v>
      </c>
      <c r="RA116" s="45">
        <f t="shared" si="997"/>
        <v>0</v>
      </c>
      <c r="RB116" s="46" cm="1">
        <f t="array" ref="RB116">ROUND(IFERROR(INDEX(ArchiveResults!$F$5:$IX$116,ComparisonData!A116,ComparisonData!$RB$1),0),5)</f>
        <v>0</v>
      </c>
      <c r="RC116" s="46" cm="1">
        <f t="array" ref="RC116">ROUND(IFERROR(INDEX(ArchiveResults!$F$5:$IX$116,ComparisonData!A116,ComparisonData!$RC$1),0),5)</f>
        <v>0</v>
      </c>
      <c r="RD116" s="46" cm="1">
        <f t="array" ref="RD116">ROUND(IFERROR(INDEX(ArchiveResults!$F$5:$IX$116,ComparisonData!A116,ComparisonData!$RD$1),0),5)</f>
        <v>0</v>
      </c>
      <c r="RE116" s="46" cm="1">
        <f t="array" ref="RE116">ROUND(IFERROR(INDEX(ArchiveResults!$F$5:$IX$116,ComparisonData!A116,ComparisonData!$RE$1),0),5)</f>
        <v>0</v>
      </c>
      <c r="RF116" s="45" cm="1">
        <f t="array" ref="RF116">IFERROR(INDEX(ArchiveResults!$F$5:$IX$116,ComparisonData!A116,ComparisonData!$RF$1),0)</f>
        <v>0</v>
      </c>
      <c r="RG116" s="56">
        <v>111</v>
      </c>
      <c r="RH116" s="53" t="str">
        <f t="shared" si="1233"/>
        <v>West Yorkshire Archive Service, Wakefield</v>
      </c>
      <c r="RI116" s="59">
        <f t="shared" si="998"/>
        <v>0</v>
      </c>
      <c r="RJ116" s="59">
        <f t="shared" si="999"/>
        <v>0</v>
      </c>
      <c r="RK116" s="59">
        <f t="shared" si="1000"/>
        <v>0</v>
      </c>
      <c r="RL116" s="59">
        <f t="shared" si="1001"/>
        <v>0</v>
      </c>
      <c r="RM116" s="59">
        <f t="shared" si="1002"/>
        <v>0</v>
      </c>
      <c r="RN116" s="58">
        <f t="shared" si="1003"/>
        <v>0</v>
      </c>
      <c r="RO116" s="45">
        <f t="shared" si="1004"/>
        <v>96</v>
      </c>
      <c r="RP116" s="45">
        <f t="shared" si="1234"/>
        <v>2.919</v>
      </c>
      <c r="RQ116" s="45">
        <f t="shared" si="1005"/>
        <v>1</v>
      </c>
      <c r="RR116" s="45">
        <f t="shared" si="1006"/>
        <v>2</v>
      </c>
      <c r="RS116" s="45">
        <f t="shared" si="1007"/>
        <v>0</v>
      </c>
      <c r="RT116" s="46" cm="1">
        <f t="array" ref="RT116">ROUND(IFERROR(INDEX(ArchiveResults!$F$5:$IX$116,ComparisonData!A116,ComparisonData!$RT$1),0),5)</f>
        <v>0</v>
      </c>
      <c r="RU116" s="46" cm="1">
        <f t="array" ref="RU116">ROUND(IFERROR(INDEX(ArchiveResults!$F$5:$IX$116,ComparisonData!A116,ComparisonData!$RU$1),0),5)</f>
        <v>0</v>
      </c>
      <c r="RV116" s="46" cm="1">
        <f t="array" ref="RV116">ROUND(IFERROR(INDEX(ArchiveResults!$F$5:$IX$116,ComparisonData!A116,ComparisonData!$RV$1),0),5)</f>
        <v>0</v>
      </c>
      <c r="RW116" s="46" cm="1">
        <f t="array" ref="RW116">ROUND(IFERROR(INDEX(ArchiveResults!$F$5:$IX$116,ComparisonData!A116,ComparisonData!$RW$1),0),5)</f>
        <v>0</v>
      </c>
      <c r="RX116" s="45" cm="1">
        <f t="array" ref="RX116">IFERROR(INDEX(ArchiveResults!$F$5:$IX$116,ComparisonData!A116,ComparisonData!$RX$1),0)</f>
        <v>0</v>
      </c>
      <c r="RY116" s="56">
        <v>111</v>
      </c>
      <c r="RZ116" s="53" t="str">
        <f t="shared" si="1235"/>
        <v>West Yorkshire Archive Service, Wakefield</v>
      </c>
      <c r="SA116" s="59">
        <f t="shared" si="1008"/>
        <v>0</v>
      </c>
      <c r="SB116" s="59">
        <f t="shared" si="1009"/>
        <v>0</v>
      </c>
      <c r="SC116" s="59">
        <f t="shared" si="1010"/>
        <v>0</v>
      </c>
      <c r="SD116" s="59">
        <f t="shared" si="1011"/>
        <v>0</v>
      </c>
      <c r="SE116" s="59">
        <f t="shared" si="1012"/>
        <v>0</v>
      </c>
      <c r="SF116" s="58">
        <f t="shared" si="1013"/>
        <v>0</v>
      </c>
      <c r="SG116" s="45">
        <f t="shared" si="1014"/>
        <v>96</v>
      </c>
      <c r="SH116" s="45">
        <f t="shared" si="1236"/>
        <v>2.919</v>
      </c>
      <c r="SI116" s="45">
        <f t="shared" si="1015"/>
        <v>1</v>
      </c>
      <c r="SJ116" s="45">
        <f t="shared" si="1016"/>
        <v>2</v>
      </c>
      <c r="SK116" s="45">
        <f t="shared" si="1017"/>
        <v>0</v>
      </c>
      <c r="SL116" s="46" cm="1">
        <f t="array" ref="SL116">ROUND(IFERROR(INDEX(ArchiveResults!$F$5:$IX$116,ComparisonData!A116,ComparisonData!$SL$1),0),5)</f>
        <v>0</v>
      </c>
      <c r="SM116" s="46" cm="1">
        <f t="array" ref="SM116">ROUND(IFERROR(INDEX(ArchiveResults!$F$5:$IX$116,ComparisonData!A116,ComparisonData!$SM$1),0),5)</f>
        <v>0</v>
      </c>
      <c r="SN116" s="46" cm="1">
        <f t="array" ref="SN116">ROUND(IFERROR(INDEX(ArchiveResults!$F$5:$IX$116,ComparisonData!A116,ComparisonData!$SN$1),0),5)</f>
        <v>0</v>
      </c>
      <c r="SO116" s="46" cm="1">
        <f t="array" ref="SO116">ROUND(IFERROR(INDEX(ArchiveResults!$F$5:$IX$116,ComparisonData!A116,ComparisonData!$SO$1),0),5)</f>
        <v>0</v>
      </c>
      <c r="SP116" s="45" cm="1">
        <f t="array" ref="SP116">IFERROR(INDEX(ArchiveResults!$F$5:$IX$116,ComparisonData!A116,ComparisonData!$SP$1),0)</f>
        <v>0</v>
      </c>
      <c r="SQ116" s="56">
        <v>111</v>
      </c>
      <c r="SR116" s="53" t="str">
        <f t="shared" si="1237"/>
        <v>West Yorkshire Archive Service, Wakefield</v>
      </c>
      <c r="SS116" s="59">
        <f t="shared" si="1018"/>
        <v>0</v>
      </c>
      <c r="ST116" s="59">
        <f t="shared" si="1019"/>
        <v>0</v>
      </c>
      <c r="SU116" s="59">
        <f t="shared" si="1020"/>
        <v>0</v>
      </c>
      <c r="SV116" s="59">
        <f t="shared" si="1021"/>
        <v>0</v>
      </c>
      <c r="SW116" s="59">
        <f t="shared" si="1022"/>
        <v>0</v>
      </c>
      <c r="SX116" s="58">
        <f t="shared" si="1023"/>
        <v>0</v>
      </c>
      <c r="SY116" s="45">
        <f t="shared" si="1024"/>
        <v>96</v>
      </c>
      <c r="SZ116" s="45">
        <f t="shared" si="1238"/>
        <v>2.919</v>
      </c>
      <c r="TA116" s="45">
        <f t="shared" si="1025"/>
        <v>1</v>
      </c>
      <c r="TB116" s="45">
        <f t="shared" si="1026"/>
        <v>2</v>
      </c>
      <c r="TC116" s="45">
        <f t="shared" si="1027"/>
        <v>0</v>
      </c>
      <c r="TD116" s="46" cm="1">
        <f t="array" ref="TD116">ROUND(IFERROR(INDEX(ArchiveResults!$F$5:$IX$116,ComparisonData!A116,ComparisonData!$TD$1),0),5)</f>
        <v>0</v>
      </c>
      <c r="TE116" s="46" cm="1">
        <f t="array" ref="TE116">ROUND(IFERROR(INDEX(ArchiveResults!$F$5:$IX$116,ComparisonData!A116,ComparisonData!$TE$1),0),5)</f>
        <v>0</v>
      </c>
      <c r="TF116" s="46" cm="1">
        <f t="array" ref="TF116">ROUND(IFERROR(INDEX(ArchiveResults!$F$5:$IX$116,ComparisonData!A116,ComparisonData!$TF$1),0),5)</f>
        <v>0</v>
      </c>
      <c r="TG116" s="46" cm="1">
        <f t="array" ref="TG116">ROUND(IFERROR(INDEX(ArchiveResults!$F$5:$IX$116,ComparisonData!A116,ComparisonData!$TG$1),0),5)</f>
        <v>0</v>
      </c>
      <c r="TH116" s="45" cm="1">
        <f t="array" ref="TH116">IFERROR(INDEX(ArchiveResults!$F$5:$IX$116,ComparisonData!A116,ComparisonData!$TH$1),0)</f>
        <v>0</v>
      </c>
      <c r="TI116" s="56">
        <v>111</v>
      </c>
      <c r="TJ116" s="53" t="str">
        <f t="shared" si="1239"/>
        <v>West Yorkshire Archive Service, Wakefield</v>
      </c>
      <c r="TK116" s="59">
        <f t="shared" si="1028"/>
        <v>0</v>
      </c>
      <c r="TL116" s="59">
        <f t="shared" si="1029"/>
        <v>0</v>
      </c>
      <c r="TM116" s="59">
        <f t="shared" si="1030"/>
        <v>0</v>
      </c>
      <c r="TN116" s="59">
        <f t="shared" si="1031"/>
        <v>0</v>
      </c>
      <c r="TO116" s="59">
        <f t="shared" si="1032"/>
        <v>0</v>
      </c>
      <c r="TP116" s="58">
        <f t="shared" si="1033"/>
        <v>0</v>
      </c>
      <c r="TQ116" s="45">
        <f t="shared" si="1034"/>
        <v>96</v>
      </c>
      <c r="TR116" s="45">
        <f t="shared" si="1240"/>
        <v>2.919</v>
      </c>
      <c r="TS116" s="45">
        <f t="shared" si="1035"/>
        <v>1</v>
      </c>
      <c r="TT116" s="45">
        <f t="shared" si="1036"/>
        <v>2</v>
      </c>
      <c r="TU116" s="45">
        <f t="shared" si="1037"/>
        <v>0</v>
      </c>
      <c r="TV116" s="46" cm="1">
        <f t="array" ref="TV116">ROUND(IFERROR(INDEX(ArchiveResults!$F$5:$IX$116,ComparisonData!A116,ComparisonData!$TV$1),0),5)</f>
        <v>0</v>
      </c>
      <c r="TW116" s="46" cm="1">
        <f t="array" ref="TW116">ROUND(IFERROR(INDEX(ArchiveResults!$F$5:$IX$116,ComparisonData!A116,ComparisonData!$TW$1),0),5)</f>
        <v>0</v>
      </c>
      <c r="TX116" s="46" cm="1">
        <f t="array" ref="TX116">ROUND(IFERROR(INDEX(ArchiveResults!$F$5:$IX$116,ComparisonData!A116,ComparisonData!$TX$1),0),5)</f>
        <v>0</v>
      </c>
      <c r="TY116" s="46" cm="1">
        <f t="array" ref="TY116">ROUND(IFERROR(INDEX(ArchiveResults!$F$5:$IX$116,ComparisonData!A116,ComparisonData!$TY$1),0),5)</f>
        <v>0</v>
      </c>
      <c r="TZ116" s="45" cm="1">
        <f t="array" ref="TZ116">IFERROR(INDEX(ArchiveResults!$F$5:$IX$116,ComparisonData!A116,ComparisonData!$TZ$1),0)</f>
        <v>0</v>
      </c>
      <c r="UA116" s="56">
        <v>111</v>
      </c>
      <c r="UB116" s="53" t="str">
        <f t="shared" si="1241"/>
        <v>West Yorkshire Archive Service, Wakefield</v>
      </c>
      <c r="UC116" s="60">
        <f t="shared" si="1038"/>
        <v>0</v>
      </c>
      <c r="UD116" s="60">
        <f t="shared" si="1039"/>
        <v>0</v>
      </c>
      <c r="UE116" s="60">
        <f t="shared" si="1040"/>
        <v>0</v>
      </c>
      <c r="UF116" s="60">
        <f t="shared" si="1041"/>
        <v>0</v>
      </c>
      <c r="UG116" s="60">
        <f t="shared" si="1042"/>
        <v>0</v>
      </c>
      <c r="UH116" s="58">
        <f t="shared" si="1043"/>
        <v>0</v>
      </c>
      <c r="UI116" s="46">
        <f t="shared" si="1044"/>
        <v>96</v>
      </c>
      <c r="UJ116" s="46">
        <f t="shared" si="1242"/>
        <v>2.919</v>
      </c>
      <c r="UK116" s="46">
        <f t="shared" si="1045"/>
        <v>1</v>
      </c>
      <c r="UL116" s="46">
        <f t="shared" si="1046"/>
        <v>2</v>
      </c>
      <c r="UM116" s="46" cm="1">
        <f t="array" ref="UM116">ROUND(IFERROR(INDEX(ArchiveResults!$F$5:$IX$116,ComparisonData!A116,ComparisonData!$UM$1),0),5)</f>
        <v>0</v>
      </c>
      <c r="UN116" s="56">
        <v>111</v>
      </c>
      <c r="UO116" s="53" t="str">
        <f t="shared" si="1243"/>
        <v>West Yorkshire Archive Service, Wakefield</v>
      </c>
      <c r="UP116" s="46">
        <f t="shared" si="1047"/>
        <v>0</v>
      </c>
      <c r="UQ116" s="76">
        <f t="shared" si="1048"/>
        <v>0</v>
      </c>
      <c r="UR116" s="46">
        <f t="shared" si="1049"/>
        <v>96</v>
      </c>
      <c r="US116" s="46">
        <f t="shared" si="1244"/>
        <v>2.919</v>
      </c>
      <c r="UT116" s="46">
        <f t="shared" si="1050"/>
        <v>1</v>
      </c>
      <c r="UU116" s="46">
        <f t="shared" si="1051"/>
        <v>2</v>
      </c>
      <c r="UV116" s="46">
        <f t="shared" si="1052"/>
        <v>0</v>
      </c>
      <c r="UW116" s="46" cm="1">
        <f t="array" ref="UW116">ROUND(IFERROR(INDEX(ArchiveResults!$F$5:$IX$116,ComparisonData!A116,ComparisonData!$UW$1),0),5)</f>
        <v>0</v>
      </c>
      <c r="UX116" s="46" cm="1">
        <f t="array" ref="UX116">ROUND(IFERROR(INDEX(ArchiveResults!$F$5:$IX$116,ComparisonData!A116,ComparisonData!$UX$1),0),5)</f>
        <v>0</v>
      </c>
      <c r="UY116" s="46" cm="1">
        <f t="array" ref="UY116">ROUND(IFERROR(INDEX(ArchiveResults!$F$5:$IX$116,ComparisonData!A116,ComparisonData!$UY$1),0),5)</f>
        <v>0</v>
      </c>
      <c r="UZ116" s="46" cm="1">
        <f t="array" ref="UZ116">ROUND(IFERROR(INDEX(ArchiveResults!$F$5:$IX$116,ComparisonData!A116,ComparisonData!$UZ$1),0),5)</f>
        <v>0</v>
      </c>
      <c r="VA116" s="46" cm="1">
        <f t="array" ref="VA116">ROUND(IFERROR(INDEX(ArchiveResults!$F$5:$IX$116,ComparisonData!A116,ComparisonData!$VA$1),0),5)</f>
        <v>0</v>
      </c>
      <c r="VB116" s="56">
        <v>111</v>
      </c>
      <c r="VC116" s="53" t="str">
        <f t="shared" si="1245"/>
        <v>West Yorkshire Archive Service, Wakefield</v>
      </c>
      <c r="VD116" s="60">
        <f t="shared" si="1053"/>
        <v>0</v>
      </c>
      <c r="VE116" s="60">
        <f t="shared" si="1054"/>
        <v>0</v>
      </c>
      <c r="VF116" s="60">
        <f t="shared" si="1055"/>
        <v>0</v>
      </c>
      <c r="VG116" s="60">
        <f t="shared" si="1056"/>
        <v>0</v>
      </c>
      <c r="VH116" s="60">
        <f t="shared" si="1057"/>
        <v>0</v>
      </c>
      <c r="VI116" s="76">
        <f t="shared" si="1058"/>
        <v>0</v>
      </c>
      <c r="VJ116" s="46">
        <f t="shared" si="1059"/>
        <v>96</v>
      </c>
      <c r="VK116" s="46">
        <f t="shared" si="1246"/>
        <v>2.919</v>
      </c>
      <c r="VL116" s="46">
        <f t="shared" si="1060"/>
        <v>1</v>
      </c>
      <c r="VM116" s="46">
        <f t="shared" si="1061"/>
        <v>2</v>
      </c>
      <c r="VN116" s="46" cm="1">
        <f t="array" ref="VN116">ROUND(IFERROR(INDEX(ArchiveResults!$F$5:$IX$116,ComparisonData!A116,ComparisonData!$VN$1),0),5)</f>
        <v>0</v>
      </c>
      <c r="VO116" s="46" cm="1">
        <f t="array" ref="VO116">ROUND(IFERROR(INDEX(ArchiveResults!$F$5:$IX$116,ComparisonData!A116,ComparisonData!$VO$1),0),5)</f>
        <v>0</v>
      </c>
      <c r="VP116" s="46" cm="1">
        <f t="array" ref="VP116">ROUND(IFERROR(INDEX(ArchiveResults!$F$5:$IX$116,ComparisonData!A116,ComparisonData!$VP$1),0),5)</f>
        <v>0</v>
      </c>
      <c r="VQ116" s="46" cm="1">
        <f t="array" ref="VQ116">ROUND(IFERROR(INDEX(ArchiveResults!$F$5:$IX$116,ComparisonData!A116,ComparisonData!$VQ$1),0),5)</f>
        <v>0</v>
      </c>
      <c r="VR116" s="56">
        <v>111</v>
      </c>
      <c r="VS116" s="53" t="str">
        <f t="shared" si="1247"/>
        <v>West Yorkshire Archive Service, Wakefield</v>
      </c>
      <c r="VT116" s="60">
        <f t="shared" si="1062"/>
        <v>0</v>
      </c>
      <c r="VU116" s="60">
        <f t="shared" si="1063"/>
        <v>0</v>
      </c>
      <c r="VV116" s="60">
        <f t="shared" si="1064"/>
        <v>0</v>
      </c>
      <c r="VW116" s="60">
        <f t="shared" si="1065"/>
        <v>0</v>
      </c>
      <c r="VX116" s="76">
        <f t="shared" si="1066"/>
        <v>0</v>
      </c>
      <c r="VY116" s="46">
        <f t="shared" si="1067"/>
        <v>96</v>
      </c>
      <c r="VZ116" s="46">
        <f t="shared" si="1248"/>
        <v>2.919</v>
      </c>
      <c r="WA116" s="46">
        <f t="shared" si="1068"/>
        <v>1</v>
      </c>
      <c r="WB116" s="46">
        <f t="shared" si="1069"/>
        <v>2</v>
      </c>
      <c r="WC116" s="46" cm="1">
        <f t="array" ref="WC116">ROUND(IFERROR(INDEX(ArchiveResults!$F$5:$IX$116,ComparisonData!A116,ComparisonData!$WC$1),0),5)</f>
        <v>0</v>
      </c>
      <c r="WD116" s="56">
        <v>111</v>
      </c>
      <c r="WE116" s="53" t="str">
        <f t="shared" si="1249"/>
        <v>West Yorkshire Archive Service, Wakefield</v>
      </c>
      <c r="WF116" s="46">
        <f t="shared" si="1070"/>
        <v>0</v>
      </c>
      <c r="WG116" s="76">
        <f t="shared" si="1071"/>
        <v>0</v>
      </c>
      <c r="WH116" s="46">
        <f t="shared" si="1072"/>
        <v>96</v>
      </c>
      <c r="WI116" s="46">
        <f t="shared" si="1250"/>
        <v>2.919</v>
      </c>
      <c r="WJ116" s="46">
        <f t="shared" si="1073"/>
        <v>1</v>
      </c>
      <c r="WK116" s="46">
        <f t="shared" si="1074"/>
        <v>2</v>
      </c>
      <c r="WL116" s="46" cm="1">
        <f t="array" ref="WL116">ROUND(IFERROR(INDEX(ArchiveResults!$F$5:$IX$116,ComparisonData!A116,ComparisonData!$WL$1),0),5)</f>
        <v>0</v>
      </c>
      <c r="WM116" s="46" cm="1">
        <f t="array" ref="WM116">IFERROR(INDEX(ArchiveResults!$F$5:$IX$116,ComparisonData!A116,ComparisonData!$WM$1),0)</f>
        <v>0</v>
      </c>
      <c r="WN116" s="56">
        <v>111</v>
      </c>
      <c r="WO116" s="53" t="str">
        <f t="shared" si="1251"/>
        <v>West Yorkshire Archive Service, Wakefield</v>
      </c>
      <c r="WP116" s="60">
        <f t="shared" si="1075"/>
        <v>0</v>
      </c>
      <c r="WQ116" s="60">
        <f t="shared" si="1076"/>
        <v>0</v>
      </c>
      <c r="WR116" s="76">
        <f t="shared" si="1077"/>
        <v>0</v>
      </c>
      <c r="WS116" s="46">
        <f t="shared" si="1078"/>
        <v>96</v>
      </c>
      <c r="WT116" s="46">
        <f t="shared" si="1252"/>
        <v>2.919</v>
      </c>
      <c r="WU116" s="46">
        <f t="shared" si="1079"/>
        <v>1</v>
      </c>
      <c r="WV116" s="46">
        <f t="shared" si="1080"/>
        <v>2</v>
      </c>
      <c r="WW116" s="46" cm="1">
        <f t="array" ref="WW116">ROUND(VALUE(IFERROR(INDEX(ArchiveResults!$F$5:$IX$116,ComparisonData!A116,ComparisonData!$WW$1),0)),5)</f>
        <v>0</v>
      </c>
      <c r="WX116" s="46" cm="1">
        <f t="array" ref="WX116">ROUND(IFERROR(INDEX(ArchiveResults!$F$5:$IX$116,ComparisonData!A116,ComparisonData!$WX$1),0),5)</f>
        <v>0</v>
      </c>
      <c r="WY116" s="56">
        <v>111</v>
      </c>
      <c r="WZ116" s="53" t="str">
        <f t="shared" si="1253"/>
        <v>West Yorkshire Archive Service, Wakefield</v>
      </c>
      <c r="XA116" s="60">
        <f t="shared" si="1254"/>
        <v>0</v>
      </c>
      <c r="XB116" s="60">
        <f t="shared" si="1255"/>
        <v>0</v>
      </c>
      <c r="XC116" s="76">
        <f t="shared" si="1081"/>
        <v>0</v>
      </c>
      <c r="XD116" s="46">
        <f t="shared" si="1082"/>
        <v>96</v>
      </c>
      <c r="XE116" s="46">
        <f t="shared" si="1256"/>
        <v>2.919</v>
      </c>
      <c r="XF116" s="46">
        <f t="shared" si="1083"/>
        <v>1</v>
      </c>
      <c r="XG116" s="46">
        <f t="shared" si="1084"/>
        <v>2</v>
      </c>
      <c r="XH116" s="46" cm="1">
        <f t="array" ref="XH116">ROUND(VALUE(IFERROR(INDEX(ArchiveResults!$F$5:$IX$116,ComparisonData!A116,ComparisonData!$XH$1),0)),5)</f>
        <v>0</v>
      </c>
      <c r="XI116" s="46" cm="1">
        <f t="array" ref="XI116">ROUND(VALUE(IFERROR(INDEX(ArchiveResults!$F$5:$IX$116,ComparisonData!A116,ComparisonData!$XI$1),0)),5)</f>
        <v>0</v>
      </c>
      <c r="XJ116" s="56">
        <v>111</v>
      </c>
      <c r="XK116" s="53" t="str">
        <f t="shared" si="1257"/>
        <v>West Yorkshire Archive Service, Wakefield</v>
      </c>
      <c r="XL116" s="60">
        <f t="shared" si="1085"/>
        <v>0</v>
      </c>
      <c r="XM116" s="60">
        <f t="shared" si="1086"/>
        <v>0</v>
      </c>
      <c r="XN116" s="76">
        <f t="shared" si="1087"/>
        <v>0</v>
      </c>
      <c r="XO116" s="46">
        <f t="shared" si="1088"/>
        <v>96</v>
      </c>
      <c r="XP116" s="46">
        <f t="shared" si="1258"/>
        <v>2.919</v>
      </c>
      <c r="XQ116" s="46">
        <f t="shared" si="1089"/>
        <v>1</v>
      </c>
      <c r="XR116" s="46">
        <f t="shared" si="1090"/>
        <v>2</v>
      </c>
      <c r="XS116" s="46" cm="1">
        <f t="array" ref="XS116">ROUND(VALUE(IFERROR(INDEX(ArchiveResults!$F$5:$IX$116,ComparisonData!A116,ComparisonData!$XS$1),0)),5)</f>
        <v>0</v>
      </c>
      <c r="XT116" s="46" cm="1">
        <f t="array" ref="XT116">ROUND(VALUE(IFERROR(INDEX(ArchiveResults!$F$5:$IX$116,ComparisonData!A116,ComparisonData!$XT$1),0)),5)</f>
        <v>0</v>
      </c>
      <c r="XU116" s="56">
        <v>111</v>
      </c>
      <c r="XV116" s="53" t="str">
        <f t="shared" si="1259"/>
        <v>West Yorkshire Archive Service, Wakefield</v>
      </c>
      <c r="XW116" s="60">
        <f t="shared" si="1091"/>
        <v>0</v>
      </c>
      <c r="XX116" s="60">
        <f t="shared" si="1092"/>
        <v>0</v>
      </c>
      <c r="XY116" s="76">
        <f t="shared" si="1093"/>
        <v>0</v>
      </c>
      <c r="XZ116" s="46">
        <f t="shared" si="1094"/>
        <v>96</v>
      </c>
      <c r="YA116" s="46">
        <f t="shared" si="1260"/>
        <v>2.919</v>
      </c>
      <c r="YB116" s="46">
        <f t="shared" si="1095"/>
        <v>1</v>
      </c>
      <c r="YC116" s="46">
        <f t="shared" si="1096"/>
        <v>2</v>
      </c>
      <c r="YD116" s="46" cm="1">
        <f t="array" ref="YD116">ROUND(VALUE(IFERROR(INDEX(ArchiveResults!$F$5:$IX$116,ComparisonData!A116,ComparisonData!$YD$1),0)),5)</f>
        <v>0</v>
      </c>
      <c r="YE116" s="46" cm="1">
        <f t="array" ref="YE116">ROUND(VALUE(IFERROR(INDEX(ArchiveResults!$F$5:$IX$116,ComparisonData!A116,ComparisonData!$YE$1),0)),5)</f>
        <v>0</v>
      </c>
      <c r="YF116" s="56">
        <v>111</v>
      </c>
      <c r="YG116" s="53" t="str">
        <f t="shared" si="1261"/>
        <v>West Yorkshire Archive Service, Wakefield</v>
      </c>
      <c r="YH116" s="60">
        <f t="shared" si="1097"/>
        <v>0</v>
      </c>
      <c r="YI116" s="60">
        <f t="shared" si="1098"/>
        <v>0</v>
      </c>
      <c r="YJ116" s="76">
        <f t="shared" si="1099"/>
        <v>0</v>
      </c>
      <c r="YK116" s="46">
        <f t="shared" si="1100"/>
        <v>96</v>
      </c>
      <c r="YL116" s="46">
        <f t="shared" si="1262"/>
        <v>2.919</v>
      </c>
      <c r="YM116" s="46">
        <f t="shared" si="1101"/>
        <v>1</v>
      </c>
      <c r="YN116" s="46">
        <f t="shared" si="1102"/>
        <v>2</v>
      </c>
      <c r="YO116" s="46" cm="1">
        <f t="array" ref="YO116">ROUND(VALUE(IFERROR(INDEX(ArchiveResults!$F$5:$IX$116,ComparisonData!A116,ComparisonData!$YO$1),0)),5)</f>
        <v>0</v>
      </c>
      <c r="YP116" s="46" cm="1">
        <f t="array" ref="YP116">ROUND(VALUE(IFERROR(INDEX(ArchiveResults!$F$5:$IX$116,ComparisonData!A116,ComparisonData!$YP$1),0)),5)</f>
        <v>0</v>
      </c>
      <c r="YQ116" s="56">
        <v>111</v>
      </c>
      <c r="YR116" s="53" t="str">
        <f t="shared" si="1263"/>
        <v>West Yorkshire Archive Service, Wakefield</v>
      </c>
      <c r="YS116" s="60">
        <f t="shared" si="1103"/>
        <v>0</v>
      </c>
      <c r="YT116" s="60">
        <f t="shared" si="1104"/>
        <v>0</v>
      </c>
      <c r="YU116" s="76">
        <f t="shared" si="1105"/>
        <v>0</v>
      </c>
      <c r="YV116" s="46">
        <f t="shared" si="1106"/>
        <v>96</v>
      </c>
      <c r="YW116" s="46">
        <f t="shared" si="1264"/>
        <v>2.919</v>
      </c>
      <c r="YX116" s="46">
        <f t="shared" si="1107"/>
        <v>1</v>
      </c>
      <c r="YY116" s="46">
        <f t="shared" si="1108"/>
        <v>2</v>
      </c>
      <c r="YZ116" s="46">
        <f t="shared" si="1109"/>
        <v>0</v>
      </c>
      <c r="ZA116" s="46" cm="1">
        <f t="array" ref="ZA116">ROUNDDOWN(VALUE(IFERROR(INDEX(ArchiveResults!$F$5:$IX$116,ComparisonData!A116,ComparisonData!$ZA$1),0)),5)</f>
        <v>0</v>
      </c>
      <c r="ZB116" s="46" cm="1">
        <f t="array" ref="ZB116">ROUNDDOWN(VALUE(IFERROR(INDEX(ArchiveResults!$F$5:$IX$116,ComparisonData!A116,ComparisonData!$ZB$1),0)),5)</f>
        <v>0</v>
      </c>
      <c r="ZC116" s="46" cm="1">
        <f t="array" ref="ZC116">ROUNDDOWN(VALUE(IFERROR(INDEX(ArchiveResults!$F$5:$IX$116,ComparisonData!A116,ComparisonData!$ZC$1),0)),5)</f>
        <v>0</v>
      </c>
      <c r="ZD116" s="46" cm="1">
        <f t="array" ref="ZD116">ROUNDDOWN(VALUE(IFERROR(INDEX(ArchiveResults!$F$5:$IX$116,ComparisonData!A116,ComparisonData!$ZD$1),0)),5)</f>
        <v>0</v>
      </c>
      <c r="ZE116" s="46" cm="1">
        <f t="array" ref="ZE116">ROUNDDOWN(VALUE(IFERROR(INDEX(ArchiveResults!$F$5:$IX$116,ComparisonData!A116,ComparisonData!$ZE$1),0)),5)</f>
        <v>0</v>
      </c>
      <c r="ZF116" s="56">
        <v>111</v>
      </c>
      <c r="ZG116" s="53" t="str">
        <f t="shared" si="1265"/>
        <v>West Yorkshire Archive Service, Wakefield</v>
      </c>
      <c r="ZH116" s="60">
        <f t="shared" si="1110"/>
        <v>0</v>
      </c>
      <c r="ZI116" s="60">
        <f t="shared" si="1111"/>
        <v>0</v>
      </c>
      <c r="ZJ116" s="60">
        <f t="shared" si="1112"/>
        <v>0</v>
      </c>
      <c r="ZK116" s="60">
        <f t="shared" si="1113"/>
        <v>0</v>
      </c>
      <c r="ZL116" s="60">
        <f t="shared" si="1114"/>
        <v>0</v>
      </c>
      <c r="ZM116" s="76">
        <f t="shared" si="1115"/>
        <v>0</v>
      </c>
      <c r="ZN116" s="46">
        <f t="shared" si="1116"/>
        <v>96</v>
      </c>
      <c r="ZO116" s="46">
        <f t="shared" si="1266"/>
        <v>2.919</v>
      </c>
      <c r="ZP116" s="46">
        <f t="shared" si="1117"/>
        <v>1</v>
      </c>
      <c r="ZQ116" s="46">
        <f t="shared" si="1118"/>
        <v>2</v>
      </c>
      <c r="ZR116" s="46" cm="1">
        <f t="array" ref="ZR116">ROUND(VALUE(IFERROR(INDEX(ArchiveResults!$F$5:$IX$116,ComparisonData!A116,ComparisonData!$ZR$1),0)),5)</f>
        <v>0</v>
      </c>
      <c r="ZS116" s="56">
        <v>111</v>
      </c>
      <c r="ZT116" s="53" t="str">
        <f t="shared" si="1267"/>
        <v>West Yorkshire Archive Service, Wakefield</v>
      </c>
      <c r="ZU116" s="46">
        <f t="shared" si="1119"/>
        <v>0</v>
      </c>
      <c r="ZV116" s="76">
        <f t="shared" si="1120"/>
        <v>0</v>
      </c>
      <c r="ZW116" s="81" cm="1">
        <f t="array" ref="ZW116">ROUND((IFERROR(INDEX(ArchiveResults!$F$5:$IX$116,ComparisonData!A116,ComparisonData!$ZW$1),0)),5)</f>
        <v>0</v>
      </c>
      <c r="ZX116" s="81" cm="1">
        <f t="array" ref="ZX116">ROUND((IFERROR(INDEX(ArchiveResults!$F$5:$IX$116,ComparisonData!A116,ComparisonData!$ZX$1),0)),5)</f>
        <v>0</v>
      </c>
      <c r="ZY116" s="81" cm="1">
        <f t="array" ref="ZY116">ROUND((IFERROR(INDEX(ArchiveResults!$F$5:$IX$116,ComparisonData!A116,ComparisonData!$ZY$1),0)),5)</f>
        <v>0</v>
      </c>
      <c r="ZZ116" s="81" cm="1">
        <f t="array" ref="ZZ116">ROUND((IFERROR(INDEX(ArchiveResults!$F$5:$IX$116,ComparisonData!A116,ComparisonData!$ZZ$1),0)),5)</f>
        <v>0</v>
      </c>
      <c r="AAA116" s="81" cm="1">
        <f t="array" ref="AAA116">ROUND((IFERROR(INDEX(ArchiveResults!$F$5:$IX$116,ComparisonData!A116,ComparisonData!$AAA$1),0)),5)</f>
        <v>0</v>
      </c>
      <c r="AAB116" s="81" cm="1">
        <f t="array" ref="AAB116">ROUND((IFERROR(INDEX(ArchiveResults!$F$5:$IX$116,ComparisonData!A116,ComparisonData!$AAB$1),0)),5)</f>
        <v>0</v>
      </c>
      <c r="AAC116" s="81" cm="1">
        <f t="array" ref="AAC116">ROUND((IFERROR(INDEX(ArchiveResults!$F$5:$IX$116,ComparisonData!A116,ComparisonData!$AAC$1),0)),5)</f>
        <v>0</v>
      </c>
      <c r="AAD116" s="81" cm="1">
        <f t="array" ref="AAD116">ROUND((IFERROR(INDEX(ArchiveResults!$F$5:$IX$116,ComparisonData!A116,ComparisonData!$AAD$1),0)),5)</f>
        <v>0</v>
      </c>
      <c r="AAE116" s="81" cm="1">
        <f t="array" ref="AAE116">ROUND((IFERROR(INDEX(ArchiveResults!$F$5:$IX$116,ComparisonData!A116,ComparisonData!$AAE$1),0)),5)</f>
        <v>0</v>
      </c>
      <c r="AAF116" s="81" cm="1">
        <f t="array" ref="AAF116">ROUND((IFERROR(INDEX(ArchiveResults!$F$5:$IX$116,ComparisonData!A116,ComparisonData!$AAF$1),0)),5)</f>
        <v>0</v>
      </c>
      <c r="AAG116" s="46">
        <f t="shared" si="1121"/>
        <v>96</v>
      </c>
      <c r="AAH116" s="46">
        <f t="shared" si="1268"/>
        <v>2.919</v>
      </c>
      <c r="AAI116" s="46">
        <f t="shared" si="1122"/>
        <v>1</v>
      </c>
      <c r="AAJ116" s="46">
        <f t="shared" si="1123"/>
        <v>2</v>
      </c>
      <c r="AAK116" s="46">
        <f t="shared" si="1124"/>
        <v>0</v>
      </c>
      <c r="AAL116" s="46">
        <f t="shared" si="1125"/>
        <v>0</v>
      </c>
      <c r="AAM116" s="46">
        <f t="shared" si="1126"/>
        <v>0</v>
      </c>
      <c r="AAN116" s="46">
        <f t="shared" si="1127"/>
        <v>0</v>
      </c>
      <c r="AAO116" s="46">
        <f t="shared" si="1128"/>
        <v>0</v>
      </c>
      <c r="AAP116" s="46">
        <f t="shared" si="1129"/>
        <v>0</v>
      </c>
      <c r="AAQ116" s="56">
        <v>111</v>
      </c>
      <c r="AAR116" s="53" t="str">
        <f t="shared" si="1269"/>
        <v>West Yorkshire Archive Service, Wakefield</v>
      </c>
      <c r="AAS116" s="60">
        <f t="shared" si="1130"/>
        <v>0</v>
      </c>
      <c r="AAT116" s="60">
        <f t="shared" si="1131"/>
        <v>0</v>
      </c>
      <c r="AAU116" s="60">
        <f t="shared" si="1132"/>
        <v>0</v>
      </c>
      <c r="AAV116" s="60">
        <f t="shared" si="1133"/>
        <v>0</v>
      </c>
      <c r="AAW116" s="60">
        <f t="shared" si="1134"/>
        <v>0</v>
      </c>
      <c r="AAX116" s="76">
        <f t="shared" si="1135"/>
        <v>0</v>
      </c>
      <c r="AAY116" s="46">
        <f t="shared" si="1136"/>
        <v>96</v>
      </c>
      <c r="AAZ116" s="46">
        <f t="shared" si="1270"/>
        <v>2.919</v>
      </c>
      <c r="ABA116" s="46">
        <f t="shared" si="1137"/>
        <v>1</v>
      </c>
      <c r="ABB116" s="46">
        <f t="shared" si="1138"/>
        <v>2</v>
      </c>
      <c r="ABC116" s="46">
        <f t="shared" si="742"/>
        <v>0</v>
      </c>
      <c r="ABD116" s="46" cm="1">
        <f t="array" ref="ABD116">ROUND(VALUE(IFERROR(INDEX(ArchiveResults!$F$5:$IX$116,ComparisonData!A116,ComparisonData!$ABD$1),0)),5)</f>
        <v>0</v>
      </c>
      <c r="ABE116" s="46" cm="1">
        <f t="array" ref="ABE116">ROUND(VALUE(IFERROR(INDEX(ArchiveResults!$F$5:$IX$116,ComparisonData!A116,ComparisonData!$ABE$1),0)),5)</f>
        <v>0</v>
      </c>
      <c r="ABF116" s="46" cm="1">
        <f t="array" ref="ABF116">ROUND(VALUE(IFERROR(INDEX(ArchiveResults!$F$5:$IX$116,ComparisonData!A116,ComparisonData!$ABF$1),0)),5)</f>
        <v>0</v>
      </c>
      <c r="ABG116" s="46" cm="1">
        <f t="array" ref="ABG116">ROUND(VALUE(IFERROR(INDEX(ArchiveResults!$F$5:$IX$116,ComparisonData!A116,ComparisonData!$ABG$1),0)),5)</f>
        <v>0</v>
      </c>
      <c r="ABH116" s="46" cm="1">
        <f t="array" ref="ABH116">ROUND(VALUE(IFERROR(INDEX(ArchiveResults!$F$5:$IX$116,ComparisonData!A116,ComparisonData!$ABH$1),0)),5)</f>
        <v>0</v>
      </c>
      <c r="ABI116" s="56">
        <v>111</v>
      </c>
      <c r="ABJ116" s="53" t="str">
        <f t="shared" si="1271"/>
        <v>West Yorkshire Archive Service, Wakefield</v>
      </c>
      <c r="ABK116" s="60">
        <f t="shared" si="1139"/>
        <v>0</v>
      </c>
      <c r="ABL116" s="60">
        <f t="shared" si="1140"/>
        <v>0</v>
      </c>
      <c r="ABM116" s="60">
        <f t="shared" si="1141"/>
        <v>0</v>
      </c>
      <c r="ABN116" s="60">
        <f t="shared" si="1142"/>
        <v>0</v>
      </c>
      <c r="ABO116" s="60">
        <f t="shared" si="1143"/>
        <v>0</v>
      </c>
      <c r="ABP116" s="76">
        <f t="shared" si="1144"/>
        <v>0</v>
      </c>
      <c r="ABQ116" s="46">
        <f t="shared" si="1145"/>
        <v>96</v>
      </c>
      <c r="ABR116" s="46">
        <f t="shared" si="1272"/>
        <v>2.919</v>
      </c>
      <c r="ABS116" s="46">
        <f t="shared" si="1146"/>
        <v>1</v>
      </c>
      <c r="ABT116" s="46">
        <f t="shared" si="1147"/>
        <v>2</v>
      </c>
      <c r="ABU116" s="46" cm="1">
        <f t="array" ref="ABU116">ROUND(VALUE(IFERROR(INDEX(ArchiveResults!$F$5:$IX$116,ComparisonData!A116,ComparisonData!$ABU$1),0)),5)</f>
        <v>0</v>
      </c>
      <c r="ABV116" s="46" cm="1">
        <f t="array" ref="ABV116">ROUND(VALUE(IFERROR(INDEX(ArchiveResults!$F$5:$IX$116,ComparisonData!A116,ComparisonData!$ABV$1),0)),5)</f>
        <v>0</v>
      </c>
      <c r="ABW116" s="46" cm="1">
        <f t="array" ref="ABW116">ROUND(VALUE(IFERROR(INDEX(ArchiveResults!$F$5:$IX$116,ComparisonData!A116,ComparisonData!$ABW$1),0)),5)</f>
        <v>0</v>
      </c>
      <c r="ABX116" s="46" cm="1">
        <f t="array" ref="ABX116">ROUND(VALUE(IFERROR(INDEX(ArchiveResults!$F$5:$IX$116,ComparisonData!A116,ComparisonData!$ABX$1),0)),5)</f>
        <v>0</v>
      </c>
      <c r="ABY116" s="46" cm="1">
        <f t="array" ref="ABY116">ROUND(VALUE(IFERROR(INDEX(ArchiveResults!$F$5:$IX$116,ComparisonData!A116,ComparisonData!$ABY$1),0)),5)</f>
        <v>0</v>
      </c>
      <c r="ABZ116" s="56">
        <v>111</v>
      </c>
      <c r="ACA116" s="53" t="str">
        <f t="shared" si="1273"/>
        <v>West Yorkshire Archive Service, Wakefield</v>
      </c>
      <c r="ACB116" s="60">
        <f t="shared" si="1148"/>
        <v>0</v>
      </c>
      <c r="ACC116" s="60">
        <f t="shared" si="1149"/>
        <v>0</v>
      </c>
      <c r="ACD116" s="60">
        <f t="shared" si="1150"/>
        <v>0</v>
      </c>
      <c r="ACE116" s="60">
        <f t="shared" si="1151"/>
        <v>0</v>
      </c>
      <c r="ACF116" s="60">
        <f t="shared" si="1152"/>
        <v>0</v>
      </c>
      <c r="ACG116" s="76">
        <f t="shared" si="1153"/>
        <v>0</v>
      </c>
      <c r="ACH116" s="46">
        <f t="shared" si="1154"/>
        <v>96</v>
      </c>
      <c r="ACI116" s="46">
        <f t="shared" si="1274"/>
        <v>2.919</v>
      </c>
      <c r="ACJ116" s="46">
        <f t="shared" si="1155"/>
        <v>1</v>
      </c>
      <c r="ACK116" s="46">
        <f t="shared" si="1156"/>
        <v>2</v>
      </c>
      <c r="ACL116" s="46">
        <f t="shared" si="1157"/>
        <v>0</v>
      </c>
      <c r="ACM116" s="46" cm="1">
        <f t="array" ref="ACM116">ROUND(IFERROR(INDEX(ArchiveResults!$F$5:$IX$116,ComparisonData!A116,ComparisonData!$ACM$1),0),5)</f>
        <v>0</v>
      </c>
      <c r="ACN116" s="46" cm="1">
        <f t="array" ref="ACN116">ROUND(IFERROR(INDEX(ArchiveResults!$F$5:$IX$116,ComparisonData!A116,ComparisonData!$ACN$1),0),5)</f>
        <v>0</v>
      </c>
      <c r="ACO116" s="56">
        <v>111</v>
      </c>
      <c r="ACP116" s="53" t="str">
        <f t="shared" si="1275"/>
        <v>West Yorkshire Archive Service, Wakefield</v>
      </c>
      <c r="ACQ116" s="60">
        <f t="shared" si="1158"/>
        <v>0</v>
      </c>
      <c r="ACR116" s="60">
        <f t="shared" si="1159"/>
        <v>0</v>
      </c>
      <c r="ACS116" s="76">
        <f t="shared" si="1160"/>
        <v>0</v>
      </c>
      <c r="ACT116" s="46">
        <f t="shared" si="1161"/>
        <v>96</v>
      </c>
      <c r="ACU116" s="46">
        <f t="shared" si="1276"/>
        <v>2.919</v>
      </c>
      <c r="ACV116" s="46">
        <f t="shared" si="1162"/>
        <v>1</v>
      </c>
      <c r="ACW116" s="46">
        <f t="shared" si="1163"/>
        <v>2</v>
      </c>
      <c r="ACX116" s="46">
        <f t="shared" si="1164"/>
        <v>0</v>
      </c>
      <c r="ACY116" s="46" cm="1">
        <f t="array" ref="ACY116">ROUNDDOWN(IFERROR(INDEX(ArchiveResults!$F$5:$IX$116,ComparisonData!A116,ComparisonData!$ACY$1),0),5)</f>
        <v>0</v>
      </c>
      <c r="ACZ116" s="46" cm="1">
        <f t="array" ref="ACZ116">ROUNDDOWN(IFERROR(INDEX(ArchiveResults!$F$5:$IX$116,ComparisonData!A116,ComparisonData!$ACZ$1),0),5)</f>
        <v>0</v>
      </c>
      <c r="ADA116" s="46" cm="1">
        <f t="array" ref="ADA116">ROUNDDOWN(IFERROR(INDEX(ArchiveResults!$F$5:$IX$116,ComparisonData!A116,ComparisonData!$ADA$1),0),5)</f>
        <v>0</v>
      </c>
      <c r="ADB116" s="56">
        <v>111</v>
      </c>
      <c r="ADC116" s="53" t="str">
        <f t="shared" si="1277"/>
        <v>West Yorkshire Archive Service, Wakefield</v>
      </c>
      <c r="ADD116" s="60">
        <f t="shared" si="1165"/>
        <v>0</v>
      </c>
      <c r="ADE116" s="60">
        <f t="shared" si="1166"/>
        <v>0</v>
      </c>
      <c r="ADF116" s="60">
        <f t="shared" si="1167"/>
        <v>0</v>
      </c>
      <c r="ADG116" s="76">
        <f t="shared" si="1168"/>
        <v>0</v>
      </c>
    </row>
    <row r="117" spans="1:787" ht="12" thickBot="1" x14ac:dyDescent="0.3">
      <c r="A117" s="46">
        <f>IF(ISBLANK(ComparisonSelection!F113),"",ROW()-5)</f>
        <v>112</v>
      </c>
      <c r="B117" s="53" t="s">
        <v>591</v>
      </c>
      <c r="C117" s="72">
        <v>0.86899999999999988</v>
      </c>
      <c r="D117" s="61">
        <f t="shared" si="750"/>
        <v>1</v>
      </c>
      <c r="E117" s="62">
        <f t="shared" si="751"/>
        <v>1</v>
      </c>
      <c r="F117" s="62">
        <f t="shared" si="752"/>
        <v>0</v>
      </c>
      <c r="G117" s="72">
        <f t="shared" si="753"/>
        <v>1</v>
      </c>
      <c r="H117" s="72">
        <f t="shared" si="754"/>
        <v>0.19434646</v>
      </c>
      <c r="I117" s="46" cm="1">
        <f t="array" ref="I117">ROUND(IFERROR(INDEX(ArchiveResults!$F$5:$IX$116,ComparisonData!A117,ComparisonData!$I$1),0),5)</f>
        <v>0.19353999999999999</v>
      </c>
      <c r="J117" s="46" cm="1">
        <f t="array" ref="J117">ROUND(IFERROR(INDEX(ArchiveResults!$F$5:$IX$116,ComparisonData!A117,ComparisonData!$J$1),0),5)</f>
        <v>0.80645999999999995</v>
      </c>
      <c r="K117" s="64">
        <v>112</v>
      </c>
      <c r="L117" s="65" t="str">
        <f t="shared" si="755"/>
        <v>Worcestershire Archive and Archaeology Service</v>
      </c>
      <c r="M117" s="66">
        <f t="shared" si="1169"/>
        <v>0</v>
      </c>
      <c r="N117" s="66">
        <f t="shared" si="1170"/>
        <v>0</v>
      </c>
      <c r="O117" s="67">
        <f t="shared" si="756"/>
        <v>0</v>
      </c>
      <c r="P117" s="68">
        <f t="shared" si="757"/>
        <v>1</v>
      </c>
      <c r="Q117" s="62">
        <f t="shared" si="1171"/>
        <v>1</v>
      </c>
      <c r="R117" s="63">
        <f t="shared" si="758"/>
        <v>0</v>
      </c>
      <c r="S117" s="46">
        <f t="shared" si="759"/>
        <v>1</v>
      </c>
      <c r="T117" s="72">
        <f t="shared" si="760"/>
        <v>0.82601416000000005</v>
      </c>
      <c r="U117" s="46" cm="1">
        <f t="array" ref="U117">ROUND(IFERROR(INDEX(ArchiveResults!$F$5:$IX$116,ComparisonData!A117,ComparisonData!$U$1),0),5)</f>
        <v>0.82584000000000002</v>
      </c>
      <c r="V117" s="46" cm="1">
        <f t="array" ref="V117">ROUND(IFERROR(INDEX(ArchiveResults!$F$5:$IX$116,ComparisonData!A117,ComparisonData!$V$1),0),5)</f>
        <v>0.17416000000000001</v>
      </c>
      <c r="W117" s="64">
        <v>112</v>
      </c>
      <c r="X117" s="65" t="str">
        <f t="shared" si="1172"/>
        <v>Worcestershire Archive and Archaeology Service</v>
      </c>
      <c r="Y117" s="66">
        <f t="shared" si="761"/>
        <v>0</v>
      </c>
      <c r="Z117" s="66">
        <f t="shared" si="762"/>
        <v>0</v>
      </c>
      <c r="AA117" s="67">
        <f t="shared" si="763"/>
        <v>0</v>
      </c>
      <c r="AB117" s="45">
        <f t="shared" si="764"/>
        <v>1</v>
      </c>
      <c r="AC117" s="54">
        <f t="shared" si="1173"/>
        <v>1</v>
      </c>
      <c r="AD117" s="45">
        <f t="shared" si="765"/>
        <v>0</v>
      </c>
      <c r="AE117" s="45">
        <f t="shared" si="766"/>
        <v>1</v>
      </c>
      <c r="AF117" s="45">
        <f t="shared" si="639"/>
        <v>0.61755309999999997</v>
      </c>
      <c r="AG117" s="46" cm="1">
        <f t="array" ref="AG117">ROUND(IFERROR(INDEX(ArchiveResults!$F$5:$IX$116,ComparisonData!A117,ComparisonData!$AG$1),0),5)</f>
        <v>0.61368999999999996</v>
      </c>
      <c r="AH117" s="46" cm="1">
        <f t="array" ref="AH117">ROUND(IFERROR(INDEX(ArchiveResults!$F$5:$IX$116,ComparisonData!A117,ComparisonData!$AH$1),0),5)</f>
        <v>0.38630999999999999</v>
      </c>
      <c r="AI117" s="64">
        <v>112</v>
      </c>
      <c r="AJ117" s="53" t="str">
        <f t="shared" si="1174"/>
        <v>Worcestershire Archive and Archaeology Service</v>
      </c>
      <c r="AK117" s="59">
        <f t="shared" si="1175"/>
        <v>0</v>
      </c>
      <c r="AL117" s="59">
        <f t="shared" si="1176"/>
        <v>0</v>
      </c>
      <c r="AM117" s="67">
        <f t="shared" si="767"/>
        <v>0</v>
      </c>
      <c r="AN117" s="45">
        <f t="shared" si="768"/>
        <v>1</v>
      </c>
      <c r="AO117" s="54">
        <f t="shared" si="1177"/>
        <v>1</v>
      </c>
      <c r="AP117" s="45">
        <f t="shared" si="769"/>
        <v>0</v>
      </c>
      <c r="AQ117" s="45">
        <f t="shared" si="770"/>
        <v>1</v>
      </c>
      <c r="AR117" s="46" cm="1">
        <f t="array" ref="AR117">ROUND(IFERROR(INDEX(ArchiveResults!$F$5:$IX$116,ComparisonData!A117,ComparisonData!$AR$1),0),5)</f>
        <v>0.36812</v>
      </c>
      <c r="AS117" s="46" cm="1">
        <f t="array" ref="AS117">ROUND(IFERROR(INDEX(ArchiveResults!$F$5:$IX$116,ComparisonData!A117,ComparisonData!$AS$1),0),5)</f>
        <v>0.1076</v>
      </c>
      <c r="AT117" s="46" cm="1">
        <f t="array" ref="AT117">ROUND(IFERROR(INDEX(ArchiveResults!$F$5:$IX$116,ComparisonData!A117,ComparisonData!$AT$1),0),5)</f>
        <v>0.27817999999999998</v>
      </c>
      <c r="AU117" s="46" cm="1">
        <f t="array" ref="AU117">ROUND(IFERROR(INDEX(ArchiveResults!$F$5:$IX$116,ComparisonData!A117,ComparisonData!$AU$1),0),5)</f>
        <v>9.2700000000000005E-2</v>
      </c>
      <c r="AV117" s="46" cm="1">
        <f t="array" ref="AV117">ROUND(IFERROR(INDEX(ArchiveResults!$F$5:$IX$116,ComparisonData!A117,ComparisonData!$AV$1),0),5)</f>
        <v>0.24177000000000001</v>
      </c>
      <c r="AW117" s="46" cm="1">
        <f t="array" ref="AW117">ROUND(IFERROR(INDEX(ArchiveResults!$F$5:$IX$116,ComparisonData!A117,ComparisonData!$AW$1),0),5)</f>
        <v>6.1120000000000001E-2</v>
      </c>
      <c r="AX117" s="46" cm="1">
        <f t="array" ref="AX117">ROUND(IFERROR(INDEX(ArchiveResults!$F$5:$IX$116,ComparisonData!A117,ComparisonData!$AX$1),0),5)</f>
        <v>2.3099999999999999E-2</v>
      </c>
      <c r="AY117" s="46" cm="1">
        <f t="array" ref="AY117">ROUND(IFERROR(INDEX(ArchiveResults!$F$5:$IX$116,ComparisonData!A117,ComparisonData!$AY$1),0),5)</f>
        <v>0.10231</v>
      </c>
      <c r="AZ117" s="46" cm="1">
        <f t="array" ref="AZ117">ROUND(IFERROR(INDEX(ArchiveResults!$F$5:$IX$116,ComparisonData!A117,ComparisonData!$AZ$1),0),5)</f>
        <v>0.12375</v>
      </c>
      <c r="BA117" s="46" cm="1">
        <f t="array" ref="BA117">ROUND(IFERROR(INDEX(ArchiveResults!$F$5:$IX$116,ComparisonData!A117,ComparisonData!$BA$1),0),5)</f>
        <v>0.11119999999999999</v>
      </c>
      <c r="BB117" s="64">
        <v>112</v>
      </c>
      <c r="BC117" s="53" t="str">
        <f t="shared" si="1178"/>
        <v>Worcestershire Archive and Archaeology Service</v>
      </c>
      <c r="BD117" s="60">
        <f t="shared" si="771"/>
        <v>0</v>
      </c>
      <c r="BE117" s="60">
        <f t="shared" si="772"/>
        <v>0</v>
      </c>
      <c r="BF117" s="60">
        <f t="shared" si="773"/>
        <v>0</v>
      </c>
      <c r="BG117" s="60">
        <f t="shared" si="774"/>
        <v>0</v>
      </c>
      <c r="BH117" s="60">
        <f t="shared" si="775"/>
        <v>0</v>
      </c>
      <c r="BI117" s="60">
        <f t="shared" si="776"/>
        <v>0</v>
      </c>
      <c r="BJ117" s="60">
        <f t="shared" si="777"/>
        <v>0</v>
      </c>
      <c r="BK117" s="60">
        <f t="shared" si="778"/>
        <v>0</v>
      </c>
      <c r="BL117" s="60">
        <f t="shared" si="779"/>
        <v>0</v>
      </c>
      <c r="BM117" s="59">
        <f t="shared" si="780"/>
        <v>0</v>
      </c>
      <c r="BN117" s="58">
        <f t="shared" si="781"/>
        <v>0</v>
      </c>
      <c r="BO117" s="45">
        <f t="shared" si="782"/>
        <v>1</v>
      </c>
      <c r="BP117" s="54">
        <f t="shared" si="1179"/>
        <v>1</v>
      </c>
      <c r="BQ117" s="45">
        <f t="shared" si="783"/>
        <v>0</v>
      </c>
      <c r="BR117" s="45">
        <f t="shared" si="784"/>
        <v>1</v>
      </c>
      <c r="BS117" s="46" cm="1">
        <f t="array" ref="BS117">ROUND(IFERROR(INDEX(ArchiveResults!$F$5:$IX$116,ComparisonData!A117,ComparisonData!$BS$1),0),5)</f>
        <v>0.66725999999999996</v>
      </c>
      <c r="BT117" s="46" cm="1">
        <f t="array" ref="BT117">ROUND(IFERROR(INDEX(ArchiveResults!$F$5:$IX$116,ComparisonData!A117,ComparisonData!$BT$1),0),5)</f>
        <v>0.42454999999999998</v>
      </c>
      <c r="BU117" s="46" cm="1">
        <f t="array" ref="BU117">ROUND(IFERROR(INDEX(ArchiveResults!$F$5:$IX$116,ComparisonData!A117,ComparisonData!$BU$1),0),5)</f>
        <v>0.47197</v>
      </c>
      <c r="BV117" s="46" cm="1">
        <f t="array" ref="BV117">ROUND(IFERROR(INDEX(ArchiveResults!$F$5:$IX$116,ComparisonData!A117,ComparisonData!$BV$1),0),5)</f>
        <v>0.62524000000000002</v>
      </c>
      <c r="BW117" s="46" cm="1">
        <f t="array" ref="BW117">ROUND(IFERROR(INDEX(ArchiveResults!$F$5:$IX$116,ComparisonData!A117,ComparisonData!$BW$1),0),5)</f>
        <v>9.4619999999999996E-2</v>
      </c>
      <c r="BX117" s="46" cm="1">
        <f t="array" ref="BX117">ROUND(IFERROR(INDEX(ArchiveResults!$F$5:$IX$116,ComparisonData!A117,ComparisonData!$BX$1),0),5)</f>
        <v>0.12681999999999999</v>
      </c>
      <c r="BY117" s="64">
        <v>112</v>
      </c>
      <c r="BZ117" s="53" t="str">
        <f t="shared" si="1180"/>
        <v>Worcestershire Archive and Archaeology Service</v>
      </c>
      <c r="CA117" s="59">
        <f t="shared" si="785"/>
        <v>0</v>
      </c>
      <c r="CB117" s="59">
        <f t="shared" si="786"/>
        <v>0</v>
      </c>
      <c r="CC117" s="59">
        <f t="shared" si="787"/>
        <v>0</v>
      </c>
      <c r="CD117" s="59">
        <f t="shared" si="788"/>
        <v>0</v>
      </c>
      <c r="CE117" s="59">
        <f t="shared" si="789"/>
        <v>0</v>
      </c>
      <c r="CF117" s="59">
        <f t="shared" si="790"/>
        <v>0</v>
      </c>
      <c r="CG117" s="58">
        <f t="shared" si="791"/>
        <v>0</v>
      </c>
      <c r="CH117" s="45">
        <f>RANK(CI117,$CI$6:$CI$117,1)</f>
        <v>1</v>
      </c>
      <c r="CI117" s="54">
        <f t="shared" si="1181"/>
        <v>1</v>
      </c>
      <c r="CJ117" s="45">
        <f>(COUNTIF($CK$6:$CK$117,CK117)&gt;1)*1</f>
        <v>0</v>
      </c>
      <c r="CK117" s="45">
        <f t="shared" si="794"/>
        <v>1</v>
      </c>
      <c r="CL117" s="46" cm="1">
        <f t="array" ref="CL117">ROUND(IFERROR(INDEX(ArchiveResults!$F$5:$IX$116,ComparisonData!A117,ComparisonData!$CL$1),0),5)</f>
        <v>9.7321399999999993</v>
      </c>
      <c r="CM117" s="64">
        <v>112</v>
      </c>
      <c r="CN117" s="53" t="str">
        <f t="shared" si="1182"/>
        <v>Worcestershire Archive and Archaeology Service</v>
      </c>
      <c r="CO117" s="45">
        <f t="shared" si="795"/>
        <v>0</v>
      </c>
      <c r="CP117" s="58">
        <f t="shared" si="796"/>
        <v>0</v>
      </c>
      <c r="CQ117" s="45">
        <f t="shared" si="797"/>
        <v>1</v>
      </c>
      <c r="CR117" s="54">
        <f t="shared" si="1183"/>
        <v>1</v>
      </c>
      <c r="CS117" s="45">
        <f t="shared" si="798"/>
        <v>0</v>
      </c>
      <c r="CT117" s="45">
        <f t="shared" si="799"/>
        <v>1</v>
      </c>
      <c r="CU117" s="46" cm="1">
        <f t="array" ref="CU117">ROUND(IFERROR(INDEX(ArchiveResults!$F$5:$IX$116,ComparisonData!A117,ComparisonData!$CU$1),0),5)</f>
        <v>9.7970400000000009</v>
      </c>
      <c r="CV117" s="64">
        <v>112</v>
      </c>
      <c r="CW117" s="53" t="str">
        <f t="shared" si="1184"/>
        <v>Worcestershire Archive and Archaeology Service</v>
      </c>
      <c r="CX117" s="45">
        <f t="shared" si="800"/>
        <v>0</v>
      </c>
      <c r="CY117" s="58">
        <f t="shared" si="801"/>
        <v>0</v>
      </c>
      <c r="CZ117" s="45">
        <f t="shared" si="802"/>
        <v>1</v>
      </c>
      <c r="DA117" s="54">
        <f t="shared" si="1185"/>
        <v>1</v>
      </c>
      <c r="DB117" s="45">
        <f t="shared" si="803"/>
        <v>0</v>
      </c>
      <c r="DC117" s="45">
        <f t="shared" si="804"/>
        <v>1</v>
      </c>
      <c r="DD117" s="46" cm="1">
        <f t="array" ref="DD117">ROUND(IFERROR(INDEX(ArchiveResults!$F$5:$IX$116,ComparisonData!A117,ComparisonData!$DD$1),0),5)</f>
        <v>9.7543100000000003</v>
      </c>
      <c r="DE117" s="64">
        <v>112</v>
      </c>
      <c r="DF117" s="53" t="str">
        <f t="shared" si="1186"/>
        <v>Worcestershire Archive and Archaeology Service</v>
      </c>
      <c r="DG117" s="45">
        <f t="shared" si="805"/>
        <v>0</v>
      </c>
      <c r="DH117" s="58">
        <f t="shared" si="806"/>
        <v>0</v>
      </c>
      <c r="DI117" s="45">
        <f t="shared" si="807"/>
        <v>1</v>
      </c>
      <c r="DJ117" s="54">
        <f t="shared" si="1187"/>
        <v>1</v>
      </c>
      <c r="DK117" s="45">
        <f t="shared" si="808"/>
        <v>0</v>
      </c>
      <c r="DL117" s="45">
        <f t="shared" si="809"/>
        <v>1</v>
      </c>
      <c r="DM117" s="46" cm="1">
        <f t="array" ref="DM117">ROUND(IFERROR(INDEX(ArchiveResults!$F$5:$IX$116,ComparisonData!A117,ComparisonData!$DM$1),0),5)</f>
        <v>0.58443999999999996</v>
      </c>
      <c r="DN117" s="46" cm="1">
        <f t="array" ref="DN117">ROUND(IFERROR(INDEX(ArchiveResults!$F$5:$IX$116,ComparisonData!A117,ComparisonData!$DN$1),0),5)</f>
        <v>0.31924000000000002</v>
      </c>
      <c r="DO117" s="46" cm="1">
        <f t="array" ref="DO117">ROUND(IFERROR(INDEX(ArchiveResults!$F$5:$IX$116,ComparisonData!A117,ComparisonData!$DO$1),0),5)</f>
        <v>3.058E-2</v>
      </c>
      <c r="DP117" s="46" cm="1">
        <f t="array" ref="DP117">ROUND(IFERROR(INDEX(ArchiveResults!$F$5:$IX$116,ComparisonData!A117,ComparisonData!$DP$1),0),5)</f>
        <v>5.3539999999999997E-2</v>
      </c>
      <c r="DQ117" s="45" cm="1">
        <f t="array" ref="DQ117">IFERROR(INDEX(ArchiveResults!$F$5:$IX$116,ComparisonData!A117,ComparisonData!$DQ$1),0)</f>
        <v>1.2194064317467756E-2</v>
      </c>
      <c r="DR117" s="64">
        <v>112</v>
      </c>
      <c r="DS117" s="53" t="str">
        <f t="shared" si="1188"/>
        <v>Worcestershire Archive and Archaeology Service</v>
      </c>
      <c r="DT117" s="59">
        <f t="shared" si="810"/>
        <v>0</v>
      </c>
      <c r="DU117" s="59">
        <f t="shared" si="811"/>
        <v>0</v>
      </c>
      <c r="DV117" s="59">
        <f t="shared" si="812"/>
        <v>0</v>
      </c>
      <c r="DW117" s="59">
        <f t="shared" si="813"/>
        <v>0</v>
      </c>
      <c r="DX117" s="59">
        <f t="shared" si="814"/>
        <v>0</v>
      </c>
      <c r="DY117" s="58">
        <f t="shared" si="815"/>
        <v>0</v>
      </c>
      <c r="DZ117" s="45">
        <f t="shared" si="816"/>
        <v>1</v>
      </c>
      <c r="EA117" s="54">
        <f t="shared" si="1189"/>
        <v>1</v>
      </c>
      <c r="EB117" s="45">
        <f t="shared" si="817"/>
        <v>0</v>
      </c>
      <c r="EC117" s="45">
        <f t="shared" si="818"/>
        <v>1</v>
      </c>
      <c r="ED117" s="46" cm="1">
        <f t="array" ref="ED117">ROUND(IFERROR(INDEX(ArchiveResults!$F$5:$IX$116,ComparisonData!A117,ComparisonData!$ED$1),0),5)</f>
        <v>0.83972000000000002</v>
      </c>
      <c r="EE117" s="46" cm="1">
        <f t="array" ref="EE117">ROUND(IFERROR(INDEX(ArchiveResults!$F$5:$IX$116,ComparisonData!A117,ComparisonData!$EE$1),0),5)</f>
        <v>0.13768</v>
      </c>
      <c r="EF117" s="46" cm="1">
        <f t="array" ref="EF117">ROUND(IFERROR(INDEX(ArchiveResults!$F$5:$IX$116,ComparisonData!A117,ComparisonData!$EF$1),0),5)</f>
        <v>1.417E-2</v>
      </c>
      <c r="EG117" s="46" cm="1">
        <f t="array" ref="EG117">ROUND(IFERROR(INDEX(ArchiveResults!$F$5:$IX$116,ComparisonData!A117,ComparisonData!$EG$1),0),5)</f>
        <v>7.6800000000000002E-3</v>
      </c>
      <c r="EH117" s="45" cm="1">
        <f t="array" ref="EH117">IFERROR(INDEX(ArchiveResults!$F$5:$IX$116,ComparisonData!A117,ComparisonData!$EH$1),0)</f>
        <v>7.4641892651941088E-4</v>
      </c>
      <c r="EI117" s="64">
        <v>112</v>
      </c>
      <c r="EJ117" s="53" t="str">
        <f t="shared" si="1190"/>
        <v>Worcestershire Archive and Archaeology Service</v>
      </c>
      <c r="EK117" s="59">
        <f t="shared" si="819"/>
        <v>0</v>
      </c>
      <c r="EL117" s="59">
        <f t="shared" si="820"/>
        <v>0</v>
      </c>
      <c r="EM117" s="59">
        <f t="shared" si="821"/>
        <v>0</v>
      </c>
      <c r="EN117" s="59">
        <f t="shared" si="822"/>
        <v>0</v>
      </c>
      <c r="EO117" s="59">
        <f t="shared" si="823"/>
        <v>0</v>
      </c>
      <c r="EP117" s="58">
        <f t="shared" si="824"/>
        <v>0</v>
      </c>
      <c r="EQ117" s="45">
        <f t="shared" si="825"/>
        <v>1</v>
      </c>
      <c r="ER117" s="54">
        <f t="shared" si="1191"/>
        <v>1</v>
      </c>
      <c r="ES117" s="45">
        <f t="shared" si="826"/>
        <v>0</v>
      </c>
      <c r="ET117" s="45">
        <f t="shared" si="827"/>
        <v>1</v>
      </c>
      <c r="EU117" s="46" cm="1">
        <f t="array" ref="EU117">ROUND(IFERROR(INDEX(ArchiveResults!$F$5:$IX$116,ComparisonData!A117,ComparisonData!$EU$1),0),5)</f>
        <v>0.80511999999999995</v>
      </c>
      <c r="EV117" s="46" cm="1">
        <f t="array" ref="EV117">ROUND(IFERROR(INDEX(ArchiveResults!$F$5:$IX$116,ComparisonData!A117,ComparisonData!$EV$1),0),5)</f>
        <v>0.16395999999999999</v>
      </c>
      <c r="EW117" s="46" cm="1">
        <f t="array" ref="EW117">ROUND(IFERROR(INDEX(ArchiveResults!$F$5:$IX$116,ComparisonData!A117,ComparisonData!$EW$1),0),5)</f>
        <v>2.444E-2</v>
      </c>
      <c r="EX117" s="46" cm="1">
        <f t="array" ref="EX117">ROUND(IFERROR(INDEX(ArchiveResults!$F$5:$IX$116,ComparisonData!A117,ComparisonData!$EX$1),0),5)</f>
        <v>4.6299999999999996E-3</v>
      </c>
      <c r="EY117" s="45" cm="1">
        <f t="array" ref="EY117">IFERROR(INDEX(ArchiveResults!$F$5:$IX$116,ComparisonData!A117,ComparisonData!$EY$1),0)</f>
        <v>1.8488321120624872E-3</v>
      </c>
      <c r="EZ117" s="64">
        <v>112</v>
      </c>
      <c r="FA117" s="53" t="str">
        <f t="shared" si="1192"/>
        <v>Worcestershire Archive and Archaeology Service</v>
      </c>
      <c r="FB117" s="59">
        <f t="shared" si="828"/>
        <v>0</v>
      </c>
      <c r="FC117" s="59">
        <f t="shared" si="829"/>
        <v>0</v>
      </c>
      <c r="FD117" s="59">
        <f t="shared" si="830"/>
        <v>0</v>
      </c>
      <c r="FE117" s="59">
        <f t="shared" si="831"/>
        <v>0</v>
      </c>
      <c r="FF117" s="59">
        <f t="shared" si="832"/>
        <v>0</v>
      </c>
      <c r="FG117" s="58">
        <f t="shared" si="833"/>
        <v>0</v>
      </c>
      <c r="FH117" s="45">
        <f t="shared" si="834"/>
        <v>1</v>
      </c>
      <c r="FI117" s="54">
        <f t="shared" si="1193"/>
        <v>1</v>
      </c>
      <c r="FJ117" s="45">
        <f t="shared" si="835"/>
        <v>0</v>
      </c>
      <c r="FK117" s="45">
        <f t="shared" si="836"/>
        <v>1</v>
      </c>
      <c r="FL117" s="46" cm="1">
        <f t="array" ref="FL117">ROUND(IFERROR(INDEX(ArchiveResults!$F$5:$IX$116,ComparisonData!A117,ComparisonData!$FL$1),0),5)</f>
        <v>0.85409000000000002</v>
      </c>
      <c r="FM117" s="46" cm="1">
        <f t="array" ref="FM117">ROUND(IFERROR(INDEX(ArchiveResults!$F$5:$IX$116,ComparisonData!A117,ComparisonData!$FM$1),0),5)</f>
        <v>0.12791</v>
      </c>
      <c r="FN117" s="46" cm="1">
        <f t="array" ref="FN117">ROUND(IFERROR(INDEX(ArchiveResults!$F$5:$IX$116,ComparisonData!A117,ComparisonData!$FN$1),0),5)</f>
        <v>1.2659999999999999E-2</v>
      </c>
      <c r="FO117" s="46" cm="1">
        <f t="array" ref="FO117">ROUND(IFERROR(INDEX(ArchiveResults!$F$5:$IX$116,ComparisonData!A117,ComparisonData!$FO$1),0),5)</f>
        <v>4.2399999999999998E-3</v>
      </c>
      <c r="FP117" s="45" cm="1">
        <f t="array" ref="FP117">IFERROR(INDEX(ArchiveResults!$F$5:$IX$116,ComparisonData!A117,ComparisonData!$FP$1),0)</f>
        <v>1.0861417337088553E-3</v>
      </c>
      <c r="FQ117" s="64">
        <v>112</v>
      </c>
      <c r="FR117" s="53" t="str">
        <f t="shared" si="1194"/>
        <v>Worcestershire Archive and Archaeology Service</v>
      </c>
      <c r="FS117" s="59">
        <f t="shared" si="837"/>
        <v>0</v>
      </c>
      <c r="FT117" s="59">
        <f t="shared" si="838"/>
        <v>0</v>
      </c>
      <c r="FU117" s="59">
        <f t="shared" si="839"/>
        <v>0</v>
      </c>
      <c r="FV117" s="59">
        <f t="shared" si="840"/>
        <v>0</v>
      </c>
      <c r="FW117" s="59">
        <f t="shared" si="841"/>
        <v>0</v>
      </c>
      <c r="FX117" s="58">
        <f t="shared" si="842"/>
        <v>0</v>
      </c>
      <c r="FY117" s="45">
        <f t="shared" si="843"/>
        <v>1</v>
      </c>
      <c r="FZ117" s="45">
        <f t="shared" si="1195"/>
        <v>1</v>
      </c>
      <c r="GA117" s="45">
        <f t="shared" si="844"/>
        <v>0</v>
      </c>
      <c r="GB117" s="45">
        <f t="shared" si="845"/>
        <v>1</v>
      </c>
      <c r="GC117" s="46" cm="1">
        <f t="array" ref="GC117">ROUND(IFERROR(INDEX(ArchiveResults!$F$5:$IX$116,ComparisonData!A117,ComparisonData!$GC$1),0),5)</f>
        <v>0.74204999999999999</v>
      </c>
      <c r="GD117" s="46" cm="1">
        <f t="array" ref="GD117">ROUND(IFERROR(INDEX(ArchiveResults!$F$5:$IX$116,ComparisonData!A117,ComparisonData!$GD$1),0),5)</f>
        <v>0.20868</v>
      </c>
      <c r="GE117" s="46" cm="1">
        <f t="array" ref="GE117">ROUND(IFERROR(INDEX(ArchiveResults!$F$5:$IX$116,ComparisonData!A117,ComparisonData!$GE$1),0),5)</f>
        <v>2.563E-2</v>
      </c>
      <c r="GF117" s="46" cm="1">
        <f t="array" ref="GF117">ROUND(IFERROR(INDEX(ArchiveResults!$F$5:$IX$116,ComparisonData!A117,ComparisonData!$GF$1),0),5)</f>
        <v>1.788E-2</v>
      </c>
      <c r="GG117" s="45" cm="1">
        <f t="array" ref="GG117">IFERROR(INDEX(ArchiveResults!$F$5:$IX$116,ComparisonData!A117,ComparisonData!$GG$1),0)</f>
        <v>5.7536071305144855E-3</v>
      </c>
      <c r="GH117" s="64">
        <v>112</v>
      </c>
      <c r="GI117" s="53" t="str">
        <f t="shared" si="1196"/>
        <v>Worcestershire Archive and Archaeology Service</v>
      </c>
      <c r="GJ117" s="59">
        <f t="shared" si="846"/>
        <v>0</v>
      </c>
      <c r="GK117" s="59">
        <f t="shared" si="847"/>
        <v>0</v>
      </c>
      <c r="GL117" s="59">
        <f t="shared" si="848"/>
        <v>0</v>
      </c>
      <c r="GM117" s="59">
        <f t="shared" si="849"/>
        <v>0</v>
      </c>
      <c r="GN117" s="59">
        <f t="shared" si="850"/>
        <v>0</v>
      </c>
      <c r="GO117" s="69">
        <f>MAX(GJ117:GN117)</f>
        <v>0</v>
      </c>
      <c r="GP117" s="45">
        <f t="shared" si="852"/>
        <v>1</v>
      </c>
      <c r="GQ117" s="45">
        <f t="shared" si="1197"/>
        <v>1</v>
      </c>
      <c r="GR117" s="45">
        <f t="shared" si="853"/>
        <v>0</v>
      </c>
      <c r="GS117" s="45">
        <f t="shared" si="854"/>
        <v>1</v>
      </c>
      <c r="GT117" s="46" cm="1">
        <f t="array" ref="GT117">ROUND(IFERROR(INDEX(ArchiveResults!$F$5:$IX$116,ComparisonData!A117,ComparisonData!$GT$1),0),5)</f>
        <v>0.84221999999999997</v>
      </c>
      <c r="GU117" s="46" cm="1">
        <f t="array" ref="GU117">ROUND(IFERROR(INDEX(ArchiveResults!$F$5:$IX$116,ComparisonData!A117,ComparisonData!$GU$1),0),5)</f>
        <v>0.13314000000000001</v>
      </c>
      <c r="GV117" s="46" cm="1">
        <f t="array" ref="GV117">ROUND(IFERROR(INDEX(ArchiveResults!$F$5:$IX$116,ComparisonData!A117,ComparisonData!$GV$1),0),5)</f>
        <v>1.77E-2</v>
      </c>
      <c r="GW117" s="46" cm="1">
        <f t="array" ref="GW117">ROUND(IFERROR(INDEX(ArchiveResults!$F$5:$IX$116,ComparisonData!A117,ComparisonData!$GW$1),0),5)</f>
        <v>6.8500000000000002E-3</v>
      </c>
      <c r="GX117" s="45" cm="1">
        <f t="array" ref="GX117">IFERROR(INDEX(ArchiveResults!$F$5:$IX$116,ComparisonData!A117,ComparisonData!$GX$1),0)</f>
        <v>8.6741121813139601E-5</v>
      </c>
      <c r="GY117" s="64">
        <v>112</v>
      </c>
      <c r="GZ117" s="53" t="str">
        <f t="shared" si="1198"/>
        <v>Worcestershire Archive and Archaeology Service</v>
      </c>
      <c r="HA117" s="59">
        <f t="shared" si="855"/>
        <v>0</v>
      </c>
      <c r="HB117" s="59">
        <f t="shared" si="856"/>
        <v>0</v>
      </c>
      <c r="HC117" s="59">
        <f t="shared" si="857"/>
        <v>0</v>
      </c>
      <c r="HD117" s="59">
        <f t="shared" si="858"/>
        <v>0</v>
      </c>
      <c r="HE117" s="59">
        <f t="shared" si="859"/>
        <v>0</v>
      </c>
      <c r="HF117" s="69">
        <f>MAX(HA117:HE117)</f>
        <v>0</v>
      </c>
      <c r="HG117" s="45">
        <f t="shared" si="861"/>
        <v>1</v>
      </c>
      <c r="HH117" s="45">
        <f t="shared" si="1199"/>
        <v>1</v>
      </c>
      <c r="HI117" s="45">
        <f t="shared" si="862"/>
        <v>0</v>
      </c>
      <c r="HJ117" s="45">
        <f t="shared" si="863"/>
        <v>1</v>
      </c>
      <c r="HK117" s="46" cm="1">
        <f t="array" ref="HK117">ROUND(IFERROR(INDEX(ArchiveResults!$F$5:$IX$116,ComparisonData!A117,ComparisonData!$HK$1),0),5)</f>
        <v>0.74123000000000006</v>
      </c>
      <c r="HL117" s="46" cm="1">
        <f t="array" ref="HL117">ROUND(IFERROR(INDEX(ArchiveResults!$F$5:$IX$116,ComparisonData!A117,ComparisonData!$HL$1),0),5)</f>
        <v>0.17649000000000001</v>
      </c>
      <c r="HM117" s="46" cm="1">
        <f t="array" ref="HM117">ROUND(IFERROR(INDEX(ArchiveResults!$F$5:$IX$116,ComparisonData!A117,ComparisonData!$HM$1),0),5)</f>
        <v>3.798E-2</v>
      </c>
      <c r="HN117" s="46" cm="1">
        <f t="array" ref="HN117">ROUND(IFERROR(INDEX(ArchiveResults!$F$5:$IX$116,ComparisonData!A117,ComparisonData!$HN$1),0),5)</f>
        <v>3.2480000000000002E-2</v>
      </c>
      <c r="HO117" s="45" cm="1">
        <f t="array" ref="HO117">IFERROR(INDEX(ArchiveResults!$F$5:$IX$116,ComparisonData!A117,ComparisonData!$HO$1),0)</f>
        <v>1.1816717721876889E-2</v>
      </c>
      <c r="HP117" s="64">
        <v>112</v>
      </c>
      <c r="HQ117" s="53" t="str">
        <f t="shared" si="1200"/>
        <v>Worcestershire Archive and Archaeology Service</v>
      </c>
      <c r="HR117" s="59">
        <f t="shared" si="1201"/>
        <v>0</v>
      </c>
      <c r="HS117" s="59">
        <f t="shared" si="1202"/>
        <v>0</v>
      </c>
      <c r="HT117" s="59">
        <f t="shared" si="1203"/>
        <v>0</v>
      </c>
      <c r="HU117" s="59">
        <f t="shared" si="1204"/>
        <v>0</v>
      </c>
      <c r="HV117" s="59">
        <f t="shared" si="1205"/>
        <v>0</v>
      </c>
      <c r="HW117" s="69">
        <f>MAX(HR117:HV117)</f>
        <v>0</v>
      </c>
      <c r="HX117" s="45">
        <f t="shared" si="865"/>
        <v>1</v>
      </c>
      <c r="HY117" s="45">
        <f t="shared" si="1206"/>
        <v>1</v>
      </c>
      <c r="HZ117" s="45">
        <f t="shared" si="866"/>
        <v>0</v>
      </c>
      <c r="IA117" s="45">
        <f t="shared" si="867"/>
        <v>1</v>
      </c>
      <c r="IB117" s="45">
        <f t="shared" si="868"/>
        <v>0.81475664799999992</v>
      </c>
      <c r="IC117" s="46" cm="1">
        <f t="array" ref="IC117">ROUND(IFERROR(INDEX(ArchiveResults!$F$5:$IX$116,ComparisonData!A117,ComparisonData!$IC$1),0),5)</f>
        <v>0.81316999999999995</v>
      </c>
      <c r="ID117" s="46" cm="1">
        <f t="array" ref="ID117">ROUND(IFERROR(INDEX(ArchiveResults!$F$5:$IX$116,ComparisonData!A117,ComparisonData!$ID$1),0),5)</f>
        <v>0.15622</v>
      </c>
      <c r="IE117" s="46" cm="1">
        <f t="array" ref="IE117">ROUND(IFERROR(INDEX(ArchiveResults!$F$5:$IX$116,ComparisonData!A117,ComparisonData!$IE$1),0),5)</f>
        <v>2.3900000000000001E-2</v>
      </c>
      <c r="IF117" s="46" cm="1">
        <f t="array" ref="IF117">ROUND(IFERROR(INDEX(ArchiveResults!$F$5:$IX$116,ComparisonData!A117,ComparisonData!$IF$1),0),5)</f>
        <v>5.4799999999999996E-3</v>
      </c>
      <c r="IG117" s="45" cm="1">
        <f t="array" ref="IG117">IFERROR(INDEX(ArchiveResults!$F$5:$IX$116,ComparisonData!A117,ComparisonData!$IG$1),0)</f>
        <v>1.237790383125676E-3</v>
      </c>
      <c r="IH117" s="64">
        <v>112</v>
      </c>
      <c r="II117" s="53" t="str">
        <f t="shared" si="1207"/>
        <v>Worcestershire Archive and Archaeology Service</v>
      </c>
      <c r="IJ117" s="59">
        <f t="shared" si="869"/>
        <v>0</v>
      </c>
      <c r="IK117" s="59">
        <f t="shared" si="870"/>
        <v>0</v>
      </c>
      <c r="IL117" s="59">
        <f t="shared" si="871"/>
        <v>0</v>
      </c>
      <c r="IM117" s="59">
        <f t="shared" si="872"/>
        <v>0</v>
      </c>
      <c r="IN117" s="59">
        <f t="shared" si="873"/>
        <v>0</v>
      </c>
      <c r="IO117" s="58">
        <f>MAX(IJ117:IN117)</f>
        <v>0</v>
      </c>
      <c r="IP117" s="45">
        <f t="shared" si="875"/>
        <v>1</v>
      </c>
      <c r="IQ117" s="45">
        <f t="shared" si="1208"/>
        <v>1</v>
      </c>
      <c r="IR117" s="45">
        <f t="shared" si="876"/>
        <v>0</v>
      </c>
      <c r="IS117" s="45">
        <f t="shared" si="877"/>
        <v>1</v>
      </c>
      <c r="IT117" s="46">
        <f t="shared" si="878"/>
        <v>0.65725352020898242</v>
      </c>
      <c r="IU117" s="46" cm="1">
        <f t="array" ref="IU117">ROUND(IFERROR(INDEX(ArchiveResults!$F$5:$IX$116,ComparisonData!A117,ComparisonData!$IU$1),0),5)</f>
        <v>0.65446000000000004</v>
      </c>
      <c r="IV117" s="46" cm="1">
        <f t="array" ref="IV117">ROUND(IFERROR(INDEX(ArchiveResults!$F$5:$IX$116,ComparisonData!A117,ComparisonData!$IV$1),0),5)</f>
        <v>0.27461999999999998</v>
      </c>
      <c r="IW117" s="46" cm="1">
        <f t="array" ref="IW117">ROUND(IFERROR(INDEX(ArchiveResults!$F$5:$IX$116,ComparisonData!A117,ComparisonData!$IW$1),0),5)</f>
        <v>4.5109999999999997E-2</v>
      </c>
      <c r="IX117" s="46" cm="1">
        <f t="array" ref="IX117">ROUND(IFERROR(INDEX(ArchiveResults!$F$5:$IX$116,ComparisonData!A117,ComparisonData!$IX$1),0),5)</f>
        <v>2.1690000000000001E-2</v>
      </c>
      <c r="IY117" s="45" cm="1">
        <f t="array" ref="IY117">IFERROR(INDEX(ArchiveResults!$F$5:$IX$116,ComparisonData!A117,ComparisonData!$IY$1),0)</f>
        <v>4.1208982349612714E-3</v>
      </c>
      <c r="IZ117" s="64">
        <v>112</v>
      </c>
      <c r="JA117" s="53" t="str">
        <f t="shared" si="1209"/>
        <v>Worcestershire Archive and Archaeology Service</v>
      </c>
      <c r="JB117" s="59">
        <f t="shared" si="879"/>
        <v>0</v>
      </c>
      <c r="JC117" s="59">
        <f t="shared" si="880"/>
        <v>0</v>
      </c>
      <c r="JD117" s="59">
        <f t="shared" si="881"/>
        <v>0</v>
      </c>
      <c r="JE117" s="59">
        <f t="shared" si="882"/>
        <v>0</v>
      </c>
      <c r="JF117" s="59">
        <f t="shared" si="883"/>
        <v>0</v>
      </c>
      <c r="JG117" s="58">
        <f>MAX(JB117:JF117)</f>
        <v>0</v>
      </c>
      <c r="JH117" s="45">
        <f t="shared" si="885"/>
        <v>1</v>
      </c>
      <c r="JI117" s="45">
        <f t="shared" si="1210"/>
        <v>1</v>
      </c>
      <c r="JJ117" s="45">
        <f t="shared" si="886"/>
        <v>0</v>
      </c>
      <c r="JK117" s="45">
        <f t="shared" si="887"/>
        <v>1</v>
      </c>
      <c r="JL117" s="45">
        <f t="shared" si="888"/>
        <v>0.53328752999999995</v>
      </c>
      <c r="JM117" s="46" cm="1">
        <f t="array" ref="JM117">ROUND(IFERROR(INDEX(ArchiveResults!$F$5:$IX$116,ComparisonData!A117,ComparisonData!$JM$1),0),5)</f>
        <v>0.52966000000000002</v>
      </c>
      <c r="JN117" s="46" cm="1">
        <f t="array" ref="JN117">ROUND(IFERROR(INDEX(ArchiveResults!$F$5:$IX$116,ComparisonData!A117,ComparisonData!$JN$1),0),5)</f>
        <v>0.35549999999999998</v>
      </c>
      <c r="JO117" s="46" cm="1">
        <f t="array" ref="JO117">ROUND(IFERROR(INDEX(ArchiveResults!$F$5:$IX$116,ComparisonData!A117,ComparisonData!$JO$1),0),5)</f>
        <v>6.8959999999999994E-2</v>
      </c>
      <c r="JP117" s="46" cm="1">
        <f t="array" ref="JP117">ROUND(IFERROR(INDEX(ArchiveResults!$F$5:$IX$116,ComparisonData!A117,ComparisonData!$JP$1),0),5)</f>
        <v>3.5700000000000003E-2</v>
      </c>
      <c r="JQ117" s="45" cm="1">
        <f t="array" ref="JQ117">IFERROR(INDEX(ArchiveResults!$F$5:$IX$116,ComparisonData!A117,ComparisonData!$JQ$1),0)</f>
        <v>1.0174292985251038E-2</v>
      </c>
      <c r="JR117" s="64">
        <v>112</v>
      </c>
      <c r="JS117" s="53" t="str">
        <f t="shared" si="1211"/>
        <v>Worcestershire Archive and Archaeology Service</v>
      </c>
      <c r="JT117" s="59">
        <f t="shared" si="889"/>
        <v>0</v>
      </c>
      <c r="JU117" s="59">
        <f t="shared" si="890"/>
        <v>0</v>
      </c>
      <c r="JV117" s="59">
        <f t="shared" si="891"/>
        <v>0</v>
      </c>
      <c r="JW117" s="59">
        <f t="shared" si="892"/>
        <v>0</v>
      </c>
      <c r="JX117" s="59">
        <f t="shared" si="893"/>
        <v>0</v>
      </c>
      <c r="JY117" s="58">
        <f>MAX(JT117:JX117)</f>
        <v>0</v>
      </c>
      <c r="JZ117" s="45">
        <f t="shared" si="895"/>
        <v>1</v>
      </c>
      <c r="KA117" s="45">
        <f t="shared" si="1212"/>
        <v>1</v>
      </c>
      <c r="KB117" s="45">
        <f t="shared" si="896"/>
        <v>0</v>
      </c>
      <c r="KC117" s="45">
        <f t="shared" si="897"/>
        <v>1</v>
      </c>
      <c r="KD117" s="45">
        <f t="shared" si="898"/>
        <v>0.55123339299999985</v>
      </c>
      <c r="KE117" s="46" cm="1">
        <f t="array" ref="KE117">ROUND(IFERROR(INDEX(ArchiveResults!$F$5:$IX$116,ComparisonData!A117,ComparisonData!$KE$1),0),5)</f>
        <v>0.54774999999999996</v>
      </c>
      <c r="KF117" s="46" cm="1">
        <f t="array" ref="KF117">ROUND(IFERROR(INDEX(ArchiveResults!$F$5:$IX$116,ComparisonData!A117,ComparisonData!$KF$1),0),5)</f>
        <v>0.34059</v>
      </c>
      <c r="KG117" s="46" cm="1">
        <f t="array" ref="KG117">ROUND(IFERROR(INDEX(ArchiveResults!$F$5:$IX$116,ComparisonData!A117,ComparisonData!$KG$1),0),5)</f>
        <v>7.4560000000000001E-2</v>
      </c>
      <c r="KH117" s="46" cm="1">
        <f t="array" ref="KH117">ROUND(IFERROR(INDEX(ArchiveResults!$F$5:$IX$116,ComparisonData!A117,ComparisonData!$KH$1),0),5)</f>
        <v>2.9329999999999998E-2</v>
      </c>
      <c r="KI117" s="45" cm="1">
        <f t="array" ref="KI117">IFERROR(INDEX(ArchiveResults!$F$5:$IX$116,ComparisonData!A117,ComparisonData!$KI$1),0)</f>
        <v>7.7751314782685621E-3</v>
      </c>
      <c r="KJ117" s="64">
        <v>112</v>
      </c>
      <c r="KK117" s="53" t="str">
        <f t="shared" si="1213"/>
        <v>Worcestershire Archive and Archaeology Service</v>
      </c>
      <c r="KL117" s="59">
        <f t="shared" si="899"/>
        <v>0</v>
      </c>
      <c r="KM117" s="59">
        <f t="shared" si="900"/>
        <v>0</v>
      </c>
      <c r="KN117" s="59">
        <f t="shared" si="901"/>
        <v>0</v>
      </c>
      <c r="KO117" s="59">
        <f t="shared" si="902"/>
        <v>0</v>
      </c>
      <c r="KP117" s="59">
        <f t="shared" si="903"/>
        <v>0</v>
      </c>
      <c r="KQ117" s="58">
        <f>MAX(KL117:KP117)</f>
        <v>0</v>
      </c>
      <c r="KR117" s="45">
        <f t="shared" si="905"/>
        <v>1</v>
      </c>
      <c r="KS117" s="45">
        <f t="shared" si="1214"/>
        <v>1</v>
      </c>
      <c r="KT117" s="45">
        <f t="shared" si="906"/>
        <v>0</v>
      </c>
      <c r="KU117" s="45">
        <f t="shared" si="907"/>
        <v>1</v>
      </c>
      <c r="KV117" s="45">
        <f t="shared" si="908"/>
        <v>0.60312681300000004</v>
      </c>
      <c r="KW117" s="46" cm="1">
        <f t="array" ref="KW117">ROUND(IFERROR(INDEX(ArchiveResults!$F$5:$IX$116,ComparisonData!A117,ComparisonData!$KW$1),0),5)</f>
        <v>0.60001000000000004</v>
      </c>
      <c r="KX117" s="46" cm="1">
        <f t="array" ref="KX117">ROUND(IFERROR(INDEX(ArchiveResults!$F$5:$IX$116,ComparisonData!A117,ComparisonData!$KX$1),0),5)</f>
        <v>0.30358000000000002</v>
      </c>
      <c r="KY117" s="46" cm="1">
        <f t="array" ref="KY117">ROUND(IFERROR(INDEX(ArchiveResults!$F$5:$IX$116,ComparisonData!A117,ComparisonData!$KY$1),0),5)</f>
        <v>7.9560000000000006E-2</v>
      </c>
      <c r="KZ117" s="46" cm="1">
        <f t="array" ref="KZ117">ROUND(IFERROR(INDEX(ArchiveResults!$F$5:$IX$116,ComparisonData!A117,ComparisonData!$KZ$1),0),5)</f>
        <v>1.453E-2</v>
      </c>
      <c r="LA117" s="45" cm="1">
        <f t="array" ref="LA117">IFERROR(INDEX(ArchiveResults!$F$5:$IX$116,ComparisonData!A117,ComparisonData!$LA$1),0)</f>
        <v>2.3255468259591535E-3</v>
      </c>
      <c r="LB117" s="64">
        <v>112</v>
      </c>
      <c r="LC117" s="53" t="str">
        <f t="shared" si="1215"/>
        <v>Worcestershire Archive and Archaeology Service</v>
      </c>
      <c r="LD117" s="59">
        <f t="shared" si="909"/>
        <v>0</v>
      </c>
      <c r="LE117" s="59">
        <f t="shared" si="910"/>
        <v>0</v>
      </c>
      <c r="LF117" s="59">
        <f t="shared" si="911"/>
        <v>0</v>
      </c>
      <c r="LG117" s="59">
        <f t="shared" si="912"/>
        <v>0</v>
      </c>
      <c r="LH117" s="59">
        <f t="shared" si="913"/>
        <v>0</v>
      </c>
      <c r="LI117" s="58">
        <f>MAX(LD117:LH117)</f>
        <v>0</v>
      </c>
      <c r="LJ117" s="45">
        <f t="shared" si="915"/>
        <v>1</v>
      </c>
      <c r="LK117" s="45">
        <f t="shared" si="1216"/>
        <v>1</v>
      </c>
      <c r="LL117" s="45">
        <f t="shared" si="916"/>
        <v>0</v>
      </c>
      <c r="LM117" s="45">
        <f t="shared" si="917"/>
        <v>1</v>
      </c>
      <c r="LN117" s="45">
        <f t="shared" si="918"/>
        <v>0.59848975700000007</v>
      </c>
      <c r="LO117" s="46" cm="1">
        <f t="array" ref="LO117">ROUND(IFERROR(INDEX(ArchiveResults!$F$5:$IX$116,ComparisonData!A117,ComparisonData!$LO$1),0),5)</f>
        <v>0.59543000000000001</v>
      </c>
      <c r="LP117" s="46" cm="1">
        <f t="array" ref="LP117">ROUND(IFERROR(INDEX(ArchiveResults!$F$5:$IX$116,ComparisonData!A117,ComparisonData!$LP$1),0),5)</f>
        <v>0.29685</v>
      </c>
      <c r="LQ117" s="46" cm="1">
        <f t="array" ref="LQ117">ROUND(IFERROR(INDEX(ArchiveResults!$F$5:$IX$116,ComparisonData!A117,ComparisonData!$LQ$1),0),5)</f>
        <v>8.9990000000000001E-2</v>
      </c>
      <c r="LR117" s="46" cm="1">
        <f t="array" ref="LR117">ROUND(IFERROR(INDEX(ArchiveResults!$F$5:$IX$116,ComparisonData!A117,ComparisonData!$LR$1),0),5)</f>
        <v>1.2670000000000001E-2</v>
      </c>
      <c r="LS117" s="45" cm="1">
        <f t="array" ref="LS117">IFERROR(INDEX(ArchiveResults!$F$5:$IX$116,ComparisonData!A117,ComparisonData!$LS$1),0)</f>
        <v>5.0683003819069327E-3</v>
      </c>
      <c r="LT117" s="64">
        <v>112</v>
      </c>
      <c r="LU117" s="53" t="str">
        <f t="shared" si="1217"/>
        <v>Worcestershire Archive and Archaeology Service</v>
      </c>
      <c r="LV117" s="59">
        <f t="shared" si="919"/>
        <v>0</v>
      </c>
      <c r="LW117" s="59">
        <f t="shared" si="920"/>
        <v>0</v>
      </c>
      <c r="LX117" s="59">
        <f t="shared" si="921"/>
        <v>0</v>
      </c>
      <c r="LY117" s="59">
        <f t="shared" si="922"/>
        <v>0</v>
      </c>
      <c r="LZ117" s="59">
        <f t="shared" si="923"/>
        <v>0</v>
      </c>
      <c r="MA117" s="58">
        <f>MAX(LV117:LZ117)</f>
        <v>0</v>
      </c>
      <c r="MB117" s="45">
        <f t="shared" si="925"/>
        <v>1</v>
      </c>
      <c r="MC117" s="45">
        <f t="shared" si="1218"/>
        <v>1</v>
      </c>
      <c r="MD117" s="45">
        <f t="shared" si="926"/>
        <v>0</v>
      </c>
      <c r="ME117" s="45">
        <f t="shared" si="927"/>
        <v>1</v>
      </c>
      <c r="MF117" s="45">
        <f t="shared" si="928"/>
        <v>0.67358750400000011</v>
      </c>
      <c r="MG117" s="46" cm="1">
        <f t="array" ref="MG117">ROUND(IFERROR(INDEX(ArchiveResults!$F$5:$IX$116,ComparisonData!A117,ComparisonData!$MG$1),0),5)</f>
        <v>0.67139000000000004</v>
      </c>
      <c r="MH117" s="46" cm="1">
        <f t="array" ref="MH117">ROUND(IFERROR(INDEX(ArchiveResults!$F$5:$IX$116,ComparisonData!A117,ComparisonData!$MH$1),0),5)</f>
        <v>0.21332999999999999</v>
      </c>
      <c r="MI117" s="46" cm="1">
        <f t="array" ref="MI117">ROUND(IFERROR(INDEX(ArchiveResults!$F$5:$IX$116,ComparisonData!A117,ComparisonData!$MI$1),0),5)</f>
        <v>5.9950000000000003E-2</v>
      </c>
      <c r="MJ117" s="46" cm="1">
        <f t="array" ref="MJ117">ROUND(IFERROR(INDEX(ArchiveResults!$F$5:$IX$116,ComparisonData!A117,ComparisonData!$MJ$1),0),5)</f>
        <v>4.2540000000000001E-2</v>
      </c>
      <c r="MK117" s="45" cm="1">
        <f t="array" ref="MK117">IFERROR(INDEX(ArchiveResults!$F$5:$IX$116,ComparisonData!A117,ComparisonData!$MK$1),0)</f>
        <v>1.2782677924626165E-2</v>
      </c>
      <c r="ML117" s="64">
        <v>112</v>
      </c>
      <c r="MM117" s="53" t="str">
        <f t="shared" si="1219"/>
        <v>Worcestershire Archive and Archaeology Service</v>
      </c>
      <c r="MN117" s="59">
        <f t="shared" si="929"/>
        <v>0</v>
      </c>
      <c r="MO117" s="59">
        <f t="shared" si="930"/>
        <v>0</v>
      </c>
      <c r="MP117" s="59">
        <f t="shared" si="931"/>
        <v>0</v>
      </c>
      <c r="MQ117" s="59">
        <f t="shared" si="932"/>
        <v>0</v>
      </c>
      <c r="MR117" s="59">
        <f t="shared" si="933"/>
        <v>0</v>
      </c>
      <c r="MS117" s="58">
        <f>MAX(MN117:MR117)</f>
        <v>0</v>
      </c>
      <c r="MT117" s="45">
        <f t="shared" si="935"/>
        <v>1</v>
      </c>
      <c r="MU117" s="45">
        <f t="shared" si="1220"/>
        <v>1</v>
      </c>
      <c r="MV117" s="45">
        <f t="shared" si="936"/>
        <v>0</v>
      </c>
      <c r="MW117" s="45">
        <f t="shared" si="937"/>
        <v>1</v>
      </c>
      <c r="MX117" s="45">
        <f t="shared" si="938"/>
        <v>0.73262379</v>
      </c>
      <c r="MY117" s="46" cm="1">
        <f t="array" ref="MY117">ROUND(IFERROR(INDEX(ArchiveResults!$F$5:$IX$116,ComparisonData!A117,ComparisonData!$MY$1),0),5)</f>
        <v>0.71304999999999996</v>
      </c>
      <c r="MZ117" s="46" cm="1">
        <f t="array" ref="MZ117">ROUND(IFERROR(INDEX(ArchiveResults!$F$5:$IX$116,ComparisonData!A117,ComparisonData!$MZ$1),0),5)</f>
        <v>0.18931999999999999</v>
      </c>
      <c r="NA117" s="46" cm="1">
        <f t="array" ref="NA117">ROUND(IFERROR(INDEX(ArchiveResults!$F$5:$IX$116,ComparisonData!A117,ComparisonData!$NA$1),0),5)</f>
        <v>6.0970000000000003E-2</v>
      </c>
      <c r="NB117" s="46" cm="1">
        <f t="array" ref="NB117">ROUND(IFERROR(INDEX(ArchiveResults!$F$5:$IX$116,ComparisonData!A117,ComparisonData!$NB$1),0),5)</f>
        <v>3.209E-2</v>
      </c>
      <c r="NC117" s="45" cm="1">
        <f t="array" ref="NC117">IFERROR(INDEX(ArchiveResults!$F$5:$IX$116,ComparisonData!A117,ComparisonData!$NC$1),0)</f>
        <v>4.5694393269730595E-3</v>
      </c>
      <c r="ND117" s="64">
        <v>112</v>
      </c>
      <c r="NE117" s="53" t="str">
        <f t="shared" si="1221"/>
        <v>Worcestershire Archive and Archaeology Service</v>
      </c>
      <c r="NF117" s="59">
        <f t="shared" si="939"/>
        <v>0</v>
      </c>
      <c r="NG117" s="59">
        <f t="shared" si="940"/>
        <v>0</v>
      </c>
      <c r="NH117" s="59">
        <f t="shared" si="941"/>
        <v>0</v>
      </c>
      <c r="NI117" s="59">
        <f t="shared" si="942"/>
        <v>0</v>
      </c>
      <c r="NJ117" s="59">
        <f t="shared" si="943"/>
        <v>0</v>
      </c>
      <c r="NK117" s="58">
        <f>MAX(NF117:NJ117)</f>
        <v>0</v>
      </c>
      <c r="NL117" s="45">
        <f t="shared" si="945"/>
        <v>1</v>
      </c>
      <c r="NM117" s="45">
        <f t="shared" si="1222"/>
        <v>1</v>
      </c>
      <c r="NN117" s="45">
        <f t="shared" si="946"/>
        <v>0</v>
      </c>
      <c r="NO117" s="45">
        <f t="shared" si="947"/>
        <v>1</v>
      </c>
      <c r="NP117" s="46" cm="1">
        <f t="array" ref="NP117">ROUND(IFERROR(INDEX(ArchiveResults!$F$5:$IX$116,ComparisonData!A117,ComparisonData!$NP$1),0),5)</f>
        <v>0.89205000000000001</v>
      </c>
      <c r="NQ117" s="46" cm="1">
        <f t="array" ref="NQ117">ROUND(IFERROR(INDEX(ArchiveResults!$F$5:$IX$116,ComparisonData!A117,ComparisonData!$NQ$1),0),5)</f>
        <v>9.5939999999999998E-2</v>
      </c>
      <c r="NR117" s="46" cm="1">
        <f t="array" ref="NR117">ROUND(IFERROR(INDEX(ArchiveResults!$F$5:$IX$116,ComparisonData!A117,ComparisonData!$NR$1),0),5)</f>
        <v>7.5700000000000003E-3</v>
      </c>
      <c r="NS117" s="46" cm="1">
        <f t="array" ref="NS117">ROUND(IFERROR(INDEX(ArchiveResults!$F$5:$IX$116,ComparisonData!A117,ComparisonData!$NS$1),0),5)</f>
        <v>3.32E-3</v>
      </c>
      <c r="NT117" s="45" cm="1">
        <f t="array" ref="NT117">IFERROR(INDEX(ArchiveResults!$F$5:$IX$116,ComparisonData!A117,ComparisonData!$NT$1),0)</f>
        <v>1.1268161465969239E-3</v>
      </c>
      <c r="NU117" s="64">
        <v>112</v>
      </c>
      <c r="NV117" s="53" t="str">
        <f t="shared" si="1223"/>
        <v>Worcestershire Archive and Archaeology Service</v>
      </c>
      <c r="NW117" s="59">
        <f t="shared" si="948"/>
        <v>0</v>
      </c>
      <c r="NX117" s="59">
        <f t="shared" si="949"/>
        <v>0</v>
      </c>
      <c r="NY117" s="59">
        <f t="shared" si="950"/>
        <v>0</v>
      </c>
      <c r="NZ117" s="59">
        <f t="shared" si="951"/>
        <v>0</v>
      </c>
      <c r="OA117" s="59">
        <f t="shared" si="952"/>
        <v>0</v>
      </c>
      <c r="OB117" s="58">
        <f>MAX(NW117:OA117)</f>
        <v>0</v>
      </c>
      <c r="OC117" s="45">
        <f t="shared" si="954"/>
        <v>1</v>
      </c>
      <c r="OD117" s="45">
        <f t="shared" si="1224"/>
        <v>1</v>
      </c>
      <c r="OE117" s="45">
        <f t="shared" si="955"/>
        <v>0</v>
      </c>
      <c r="OF117" s="45">
        <f t="shared" si="956"/>
        <v>1</v>
      </c>
      <c r="OG117" s="46">
        <f t="shared" si="957"/>
        <v>0.75795000000000001</v>
      </c>
      <c r="OH117" s="46" cm="1">
        <f t="array" ref="OH117">ROUND(IFERROR(INDEX(ArchiveResults!$F$5:$IX$116,ComparisonData!A117,ComparisonData!$OH$1),0),5)</f>
        <v>0.73585</v>
      </c>
      <c r="OI117" s="46" cm="1">
        <f t="array" ref="OI117">ROUND(IFERROR(INDEX(ArchiveResults!$F$5:$IX$116,ComparisonData!A117,ComparisonData!$OI$1),0),5)</f>
        <v>0.21784999999999999</v>
      </c>
      <c r="OJ117" s="46" cm="1">
        <f t="array" ref="OJ117">ROUND(IFERROR(INDEX(ArchiveResults!$F$5:$IX$116,ComparisonData!A117,ComparisonData!$OJ$1),0),5)</f>
        <v>3.0450000000000001E-2</v>
      </c>
      <c r="OK117" s="46" cm="1">
        <f t="array" ref="OK117">ROUND(IFERROR(INDEX(ArchiveResults!$F$5:$IX$116,ComparisonData!A117,ComparisonData!$OK$1),0),5)</f>
        <v>1.3849999999999999E-2</v>
      </c>
      <c r="OL117" s="45" cm="1">
        <f t="array" ref="OL117">IFERROR(INDEX(ArchiveResults!$F$5:$IX$116,ComparisonData!A117,ComparisonData!$OL$1),0)</f>
        <v>2.0021400002681825E-3</v>
      </c>
      <c r="OM117" s="64">
        <v>112</v>
      </c>
      <c r="ON117" s="53" t="str">
        <f t="shared" si="1225"/>
        <v>Worcestershire Archive and Archaeology Service</v>
      </c>
      <c r="OO117" s="59">
        <f t="shared" si="958"/>
        <v>0</v>
      </c>
      <c r="OP117" s="59">
        <f t="shared" si="959"/>
        <v>0</v>
      </c>
      <c r="OQ117" s="59">
        <f t="shared" si="960"/>
        <v>0</v>
      </c>
      <c r="OR117" s="59">
        <f t="shared" si="961"/>
        <v>0</v>
      </c>
      <c r="OS117" s="59">
        <f t="shared" si="962"/>
        <v>0</v>
      </c>
      <c r="OT117" s="58">
        <f>MAX(OO117:OS117)</f>
        <v>0</v>
      </c>
      <c r="OU117" s="45">
        <f t="shared" si="964"/>
        <v>1</v>
      </c>
      <c r="OV117" s="45">
        <f t="shared" si="1226"/>
        <v>1</v>
      </c>
      <c r="OW117" s="45">
        <f t="shared" si="965"/>
        <v>0</v>
      </c>
      <c r="OX117" s="45">
        <f t="shared" si="966"/>
        <v>1</v>
      </c>
      <c r="OY117" s="45">
        <f t="shared" si="967"/>
        <v>0.76791970000000009</v>
      </c>
      <c r="OZ117" s="46" cm="1">
        <f t="array" ref="OZ117">ROUND(IFERROR(INDEX(ArchiveResults!$F$5:$IX$116,ComparisonData!A117,ComparisonData!$OZ$1),0),5)</f>
        <v>0.74673</v>
      </c>
      <c r="PA117" s="46" cm="1">
        <f t="array" ref="PA117">ROUND(IFERROR(INDEX(ArchiveResults!$F$5:$IX$116,ComparisonData!A117,ComparisonData!$PA$1),0),5)</f>
        <v>0.20773</v>
      </c>
      <c r="PB117" s="46" cm="1">
        <f t="array" ref="PB117">ROUND(IFERROR(INDEX(ArchiveResults!$F$5:$IX$116,ComparisonData!A117,ComparisonData!$PB$1),0),5)</f>
        <v>4.1270000000000001E-2</v>
      </c>
      <c r="PC117" s="46" cm="1">
        <f t="array" ref="PC117">ROUND(IFERROR(INDEX(ArchiveResults!$F$5:$IX$116,ComparisonData!A117,ComparisonData!$PC$1),0),5)</f>
        <v>4.0000000000000001E-3</v>
      </c>
      <c r="PD117" s="45" cm="1">
        <f t="array" ref="PD117">IFERROR(INDEX(ArchiveResults!$F$5:$IX$116,ComparisonData!A117,ComparisonData!$PD$1),0)</f>
        <v>2.7608512898112528E-4</v>
      </c>
      <c r="PE117" s="64">
        <v>112</v>
      </c>
      <c r="PF117" s="53" t="str">
        <f t="shared" si="1227"/>
        <v>Worcestershire Archive and Archaeology Service</v>
      </c>
      <c r="PG117" s="59">
        <f t="shared" si="968"/>
        <v>0</v>
      </c>
      <c r="PH117" s="59">
        <f t="shared" si="969"/>
        <v>0</v>
      </c>
      <c r="PI117" s="59">
        <f t="shared" si="970"/>
        <v>0</v>
      </c>
      <c r="PJ117" s="59">
        <f t="shared" si="971"/>
        <v>0</v>
      </c>
      <c r="PK117" s="59">
        <f t="shared" si="972"/>
        <v>0</v>
      </c>
      <c r="PL117" s="58">
        <f>MAX(PG117:PK117)</f>
        <v>0</v>
      </c>
      <c r="PM117" s="45">
        <f t="shared" si="974"/>
        <v>1</v>
      </c>
      <c r="PN117" s="45">
        <f t="shared" si="1228"/>
        <v>1</v>
      </c>
      <c r="PO117" s="45">
        <f t="shared" si="975"/>
        <v>0</v>
      </c>
      <c r="PP117" s="45">
        <f t="shared" si="976"/>
        <v>1</v>
      </c>
      <c r="PQ117" s="45">
        <f t="shared" si="977"/>
        <v>0.76544430000000008</v>
      </c>
      <c r="PR117" s="46" cm="1">
        <f t="array" ref="PR117">ROUND(IFERROR(INDEX(ArchiveResults!$F$5:$IX$116,ComparisonData!A117,ComparisonData!$PR$1),0),5)</f>
        <v>0.74504999999999999</v>
      </c>
      <c r="PS117" s="46" cm="1">
        <f t="array" ref="PS117">ROUND(IFERROR(INDEX(ArchiveResults!$F$5:$IX$116,ComparisonData!A117,ComparisonData!$PS$1),0),5)</f>
        <v>0.20102999999999999</v>
      </c>
      <c r="PT117" s="46" cm="1">
        <f t="array" ref="PT117">ROUND(IFERROR(INDEX(ArchiveResults!$F$5:$IX$116,ComparisonData!A117,ComparisonData!$PT$1),0),5)</f>
        <v>2.741E-2</v>
      </c>
      <c r="PU117" s="46" cm="1">
        <f t="array" ref="PU117">ROUND(IFERROR(INDEX(ArchiveResults!$F$5:$IX$116,ComparisonData!A117,ComparisonData!$PU$1),0),5)</f>
        <v>1.72E-2</v>
      </c>
      <c r="PV117" s="45" cm="1">
        <f t="array" ref="PV117">IFERROR(INDEX(ArchiveResults!$F$5:$IX$116,ComparisonData!A117,ComparisonData!$PV$1),0)</f>
        <v>9.316451233584596E-3</v>
      </c>
      <c r="PW117" s="64">
        <v>112</v>
      </c>
      <c r="PX117" s="53" t="str">
        <f t="shared" si="1229"/>
        <v>Worcestershire Archive and Archaeology Service</v>
      </c>
      <c r="PY117" s="59">
        <f t="shared" si="978"/>
        <v>0</v>
      </c>
      <c r="PZ117" s="59">
        <f t="shared" si="979"/>
        <v>0</v>
      </c>
      <c r="QA117" s="59">
        <f t="shared" si="980"/>
        <v>0</v>
      </c>
      <c r="QB117" s="59">
        <f t="shared" si="981"/>
        <v>0</v>
      </c>
      <c r="QC117" s="59">
        <f t="shared" si="982"/>
        <v>0</v>
      </c>
      <c r="QD117" s="58">
        <f>MAX(PY117:QC117)</f>
        <v>0</v>
      </c>
      <c r="QE117" s="45">
        <f t="shared" si="984"/>
        <v>1</v>
      </c>
      <c r="QF117" s="45">
        <f t="shared" si="1230"/>
        <v>1</v>
      </c>
      <c r="QG117" s="45">
        <f t="shared" si="985"/>
        <v>0</v>
      </c>
      <c r="QH117" s="45">
        <f t="shared" si="986"/>
        <v>1</v>
      </c>
      <c r="QI117" s="45">
        <f t="shared" si="987"/>
        <v>0.83508647000000003</v>
      </c>
      <c r="QJ117" s="46" cm="1">
        <f t="array" ref="QJ117">ROUND(IFERROR(INDEX(ArchiveResults!$F$5:$IX$116,ComparisonData!A117,ComparisonData!$QJ$1),0),5)</f>
        <v>0.82020000000000004</v>
      </c>
      <c r="QK117" s="46" cm="1">
        <f t="array" ref="QK117">ROUND(IFERROR(INDEX(ArchiveResults!$F$5:$IX$116,ComparisonData!A117,ComparisonData!$QK$1),0),5)</f>
        <v>0.14695</v>
      </c>
      <c r="QL117" s="46" cm="1">
        <f t="array" ref="QL117">ROUND(IFERROR(INDEX(ArchiveResults!$F$5:$IX$116,ComparisonData!A117,ComparisonData!$QL$1),0),5)</f>
        <v>1.831E-2</v>
      </c>
      <c r="QM117" s="46" cm="1">
        <f t="array" ref="QM117">ROUND(IFERROR(INDEX(ArchiveResults!$F$5:$IX$116,ComparisonData!A117,ComparisonData!$QM$1),0),5)</f>
        <v>8.3700000000000007E-3</v>
      </c>
      <c r="QN117" s="45" cm="1">
        <f t="array" ref="QN117">IFERROR(INDEX(ArchiveResults!$F$5:$IX$116,ComparisonData!A117,ComparisonData!$QN$1),0)</f>
        <v>6.1790679747836209E-3</v>
      </c>
      <c r="QO117" s="64">
        <v>112</v>
      </c>
      <c r="QP117" s="53" t="str">
        <f t="shared" si="1231"/>
        <v>Worcestershire Archive and Archaeology Service</v>
      </c>
      <c r="QQ117" s="59">
        <f t="shared" si="988"/>
        <v>0</v>
      </c>
      <c r="QR117" s="59">
        <f t="shared" si="989"/>
        <v>0</v>
      </c>
      <c r="QS117" s="59">
        <f t="shared" si="990"/>
        <v>0</v>
      </c>
      <c r="QT117" s="59">
        <f t="shared" si="991"/>
        <v>0</v>
      </c>
      <c r="QU117" s="59">
        <f t="shared" si="992"/>
        <v>0</v>
      </c>
      <c r="QV117" s="58">
        <f>MAX(QQ117:QU117)</f>
        <v>0</v>
      </c>
      <c r="QW117" s="45">
        <f t="shared" si="994"/>
        <v>1</v>
      </c>
      <c r="QX117" s="45">
        <f t="shared" si="1232"/>
        <v>1</v>
      </c>
      <c r="QY117" s="45">
        <f t="shared" si="995"/>
        <v>0</v>
      </c>
      <c r="QZ117" s="45">
        <f t="shared" si="996"/>
        <v>1</v>
      </c>
      <c r="RA117" s="45">
        <f t="shared" si="997"/>
        <v>0.62813688000000001</v>
      </c>
      <c r="RB117" s="46" cm="1">
        <f t="array" ref="RB117">ROUND(IFERROR(INDEX(ArchiveResults!$F$5:$IX$116,ComparisonData!A117,ComparisonData!$RB$1),0),5)</f>
        <v>0.60207999999999995</v>
      </c>
      <c r="RC117" s="46" cm="1">
        <f t="array" ref="RC117">ROUND(IFERROR(INDEX(ArchiveResults!$F$5:$IX$116,ComparisonData!A117,ComparisonData!$RC$1),0),5)</f>
        <v>0.25142999999999999</v>
      </c>
      <c r="RD117" s="46" cm="1">
        <f t="array" ref="RD117">ROUND(IFERROR(INDEX(ArchiveResults!$F$5:$IX$116,ComparisonData!A117,ComparisonData!$RD$1),0),5)</f>
        <v>8.7279999999999996E-2</v>
      </c>
      <c r="RE117" s="46" cm="1">
        <f t="array" ref="RE117">ROUND(IFERROR(INDEX(ArchiveResults!$F$5:$IX$116,ComparisonData!A117,ComparisonData!$RE$1),0),5)</f>
        <v>4.1079999999999998E-2</v>
      </c>
      <c r="RF117" s="45" cm="1">
        <f t="array" ref="RF117">IFERROR(INDEX(ArchiveResults!$F$5:$IX$116,ComparisonData!A117,ComparisonData!$RF$1),0)</f>
        <v>1.8127144493384352E-2</v>
      </c>
      <c r="RG117" s="64">
        <v>112</v>
      </c>
      <c r="RH117" s="53" t="str">
        <f t="shared" si="1233"/>
        <v>Worcestershire Archive and Archaeology Service</v>
      </c>
      <c r="RI117" s="59">
        <f t="shared" si="998"/>
        <v>0</v>
      </c>
      <c r="RJ117" s="59">
        <f t="shared" si="999"/>
        <v>0</v>
      </c>
      <c r="RK117" s="59">
        <f t="shared" si="1000"/>
        <v>0</v>
      </c>
      <c r="RL117" s="59">
        <f t="shared" si="1001"/>
        <v>0</v>
      </c>
      <c r="RM117" s="59">
        <f t="shared" si="1002"/>
        <v>0</v>
      </c>
      <c r="RN117" s="58">
        <f>MAX(RI117:RM117)</f>
        <v>0</v>
      </c>
      <c r="RO117" s="45">
        <f t="shared" si="1004"/>
        <v>1</v>
      </c>
      <c r="RP117" s="45">
        <f t="shared" si="1234"/>
        <v>1</v>
      </c>
      <c r="RQ117" s="45">
        <f t="shared" si="1005"/>
        <v>0</v>
      </c>
      <c r="RR117" s="45">
        <f t="shared" si="1006"/>
        <v>1</v>
      </c>
      <c r="RS117" s="45">
        <f t="shared" si="1007"/>
        <v>0.70153945999999989</v>
      </c>
      <c r="RT117" s="46" cm="1">
        <f t="array" ref="RT117">ROUND(IFERROR(INDEX(ArchiveResults!$F$5:$IX$116,ComparisonData!A117,ComparisonData!$RT$1),0),5)</f>
        <v>0.68491999999999997</v>
      </c>
      <c r="RU117" s="46" cm="1">
        <f t="array" ref="RU117">ROUND(IFERROR(INDEX(ArchiveResults!$F$5:$IX$116,ComparisonData!A117,ComparisonData!$RU$1),0),5)</f>
        <v>0.15828</v>
      </c>
      <c r="RV117" s="46" cm="1">
        <f t="array" ref="RV117">ROUND(IFERROR(INDEX(ArchiveResults!$F$5:$IX$116,ComparisonData!A117,ComparisonData!$RV$1),0),5)</f>
        <v>7.5359999999999996E-2</v>
      </c>
      <c r="RW117" s="46" cm="1">
        <f t="array" ref="RW117">ROUND(IFERROR(INDEX(ArchiveResults!$F$5:$IX$116,ComparisonData!A117,ComparisonData!$RW$1),0),5)</f>
        <v>3.7859999999999998E-2</v>
      </c>
      <c r="RX117" s="45" cm="1">
        <f t="array" ref="RX117">IFERROR(INDEX(ArchiveResults!$F$5:$IX$116,ComparisonData!A117,ComparisonData!$RX$1),0)</f>
        <v>4.3585958572584717E-2</v>
      </c>
      <c r="RY117" s="64">
        <v>112</v>
      </c>
      <c r="RZ117" s="53" t="str">
        <f t="shared" si="1235"/>
        <v>Worcestershire Archive and Archaeology Service</v>
      </c>
      <c r="SA117" s="59">
        <f t="shared" si="1008"/>
        <v>0</v>
      </c>
      <c r="SB117" s="59">
        <f t="shared" si="1009"/>
        <v>0</v>
      </c>
      <c r="SC117" s="59">
        <f t="shared" si="1010"/>
        <v>0</v>
      </c>
      <c r="SD117" s="59">
        <f t="shared" si="1011"/>
        <v>0</v>
      </c>
      <c r="SE117" s="59">
        <f t="shared" si="1012"/>
        <v>0</v>
      </c>
      <c r="SF117" s="58">
        <f>MAX(SA117:SE117)</f>
        <v>0</v>
      </c>
      <c r="SG117" s="45">
        <f t="shared" si="1014"/>
        <v>1</v>
      </c>
      <c r="SH117" s="45">
        <f t="shared" si="1236"/>
        <v>1</v>
      </c>
      <c r="SI117" s="45">
        <f t="shared" si="1015"/>
        <v>0</v>
      </c>
      <c r="SJ117" s="45">
        <f t="shared" si="1016"/>
        <v>1</v>
      </c>
      <c r="SK117" s="45">
        <f t="shared" si="1017"/>
        <v>0.88724440000000004</v>
      </c>
      <c r="SL117" s="46" cm="1">
        <f t="array" ref="SL117">ROUND(IFERROR(INDEX(ArchiveResults!$F$5:$IX$116,ComparisonData!A117,ComparisonData!$SL$1),0),5)</f>
        <v>0.87960000000000005</v>
      </c>
      <c r="SM117" s="46" cm="1">
        <f t="array" ref="SM117">ROUND(IFERROR(INDEX(ArchiveResults!$F$5:$IX$116,ComparisonData!A117,ComparisonData!$SM$1),0),5)</f>
        <v>7.213E-2</v>
      </c>
      <c r="SN117" s="46" cm="1">
        <f t="array" ref="SN117">ROUND(IFERROR(INDEX(ArchiveResults!$F$5:$IX$116,ComparisonData!A117,ComparisonData!$SN$1),0),5)</f>
        <v>4.2569999999999997E-2</v>
      </c>
      <c r="SO117" s="46" cm="1">
        <f t="array" ref="SO117">ROUND(IFERROR(INDEX(ArchiveResults!$F$5:$IX$116,ComparisonData!A117,ComparisonData!$SO$1),0),5)</f>
        <v>5.7000000000000002E-3</v>
      </c>
      <c r="SP117" s="45" cm="1">
        <f t="array" ref="SP117">IFERROR(INDEX(ArchiveResults!$F$5:$IX$116,ComparisonData!A117,ComparisonData!$SP$1),0)</f>
        <v>0</v>
      </c>
      <c r="SQ117" s="64">
        <v>112</v>
      </c>
      <c r="SR117" s="53" t="str">
        <f t="shared" si="1237"/>
        <v>Worcestershire Archive and Archaeology Service</v>
      </c>
      <c r="SS117" s="59">
        <f t="shared" si="1018"/>
        <v>0</v>
      </c>
      <c r="ST117" s="59">
        <f t="shared" si="1019"/>
        <v>0</v>
      </c>
      <c r="SU117" s="59">
        <f t="shared" si="1020"/>
        <v>0</v>
      </c>
      <c r="SV117" s="59">
        <f t="shared" si="1021"/>
        <v>0</v>
      </c>
      <c r="SW117" s="59">
        <f t="shared" si="1022"/>
        <v>0</v>
      </c>
      <c r="SX117" s="58">
        <f>MAX(SS117:SW117)</f>
        <v>0</v>
      </c>
      <c r="SY117" s="45">
        <f t="shared" si="1024"/>
        <v>1</v>
      </c>
      <c r="SZ117" s="45">
        <f t="shared" si="1238"/>
        <v>1</v>
      </c>
      <c r="TA117" s="45">
        <f t="shared" si="1025"/>
        <v>0</v>
      </c>
      <c r="TB117" s="45">
        <f t="shared" si="1026"/>
        <v>1</v>
      </c>
      <c r="TC117" s="45">
        <f t="shared" si="1027"/>
        <v>0.77052690000000001</v>
      </c>
      <c r="TD117" s="46" cm="1">
        <f t="array" ref="TD117">ROUND(IFERROR(INDEX(ArchiveResults!$F$5:$IX$116,ComparisonData!A117,ComparisonData!$TD$1),0),5)</f>
        <v>0.75073999999999996</v>
      </c>
      <c r="TE117" s="46" cm="1">
        <f t="array" ref="TE117">ROUND(IFERROR(INDEX(ArchiveResults!$F$5:$IX$116,ComparisonData!A117,ComparisonData!$TE$1),0),5)</f>
        <v>0.19216</v>
      </c>
      <c r="TF117" s="46" cm="1">
        <f t="array" ref="TF117">ROUND(IFERROR(INDEX(ArchiveResults!$F$5:$IX$116,ComparisonData!A117,ComparisonData!$TF$1),0),5)</f>
        <v>5.7090000000000002E-2</v>
      </c>
      <c r="TG117" s="46" cm="1">
        <f t="array" ref="TG117">ROUND(IFERROR(INDEX(ArchiveResults!$F$5:$IX$116,ComparisonData!A117,ComparisonData!$TG$1),0),5)</f>
        <v>0</v>
      </c>
      <c r="TH117" s="45" cm="1">
        <f t="array" ref="TH117">IFERROR(INDEX(ArchiveResults!$F$5:$IX$116,ComparisonData!A117,ComparisonData!$TH$1),0)</f>
        <v>0</v>
      </c>
      <c r="TI117" s="64">
        <v>112</v>
      </c>
      <c r="TJ117" s="53" t="str">
        <f t="shared" si="1239"/>
        <v>Worcestershire Archive and Archaeology Service</v>
      </c>
      <c r="TK117" s="59">
        <f t="shared" si="1028"/>
        <v>0</v>
      </c>
      <c r="TL117" s="59">
        <f t="shared" si="1029"/>
        <v>0</v>
      </c>
      <c r="TM117" s="59">
        <f t="shared" si="1030"/>
        <v>0</v>
      </c>
      <c r="TN117" s="59">
        <f t="shared" si="1031"/>
        <v>0</v>
      </c>
      <c r="TO117" s="59">
        <f t="shared" si="1032"/>
        <v>0</v>
      </c>
      <c r="TP117" s="58">
        <f>MAX(TK117:TO117)</f>
        <v>0</v>
      </c>
      <c r="TQ117" s="45">
        <f t="shared" si="1034"/>
        <v>1</v>
      </c>
      <c r="TR117" s="45">
        <f t="shared" si="1240"/>
        <v>1</v>
      </c>
      <c r="TS117" s="45">
        <f t="shared" si="1035"/>
        <v>0</v>
      </c>
      <c r="TT117" s="45">
        <f t="shared" si="1036"/>
        <v>1</v>
      </c>
      <c r="TU117" s="45">
        <f t="shared" si="1037"/>
        <v>0.7412885199999999</v>
      </c>
      <c r="TV117" s="46" cm="1">
        <f t="array" ref="TV117">ROUND(IFERROR(INDEX(ArchiveResults!$F$5:$IX$116,ComparisonData!A117,ComparisonData!$TV$1),0),5)</f>
        <v>0.71926999999999996</v>
      </c>
      <c r="TW117" s="46" cm="1">
        <f t="array" ref="TW117">ROUND(IFERROR(INDEX(ArchiveResults!$F$5:$IX$116,ComparisonData!A117,ComparisonData!$TW$1),0),5)</f>
        <v>0.21410999999999999</v>
      </c>
      <c r="TX117" s="46" cm="1">
        <f t="array" ref="TX117">ROUND(IFERROR(INDEX(ArchiveResults!$F$5:$IX$116,ComparisonData!A117,ComparisonData!$TX$1),0),5)</f>
        <v>6.0100000000000001E-2</v>
      </c>
      <c r="TY117" s="46" cm="1">
        <f t="array" ref="TY117">ROUND(IFERROR(INDEX(ArchiveResults!$F$5:$IX$116,ComparisonData!A117,ComparisonData!$TY$1),0),5)</f>
        <v>6.5199999999999998E-3</v>
      </c>
      <c r="TZ117" s="45" cm="1">
        <f t="array" ref="TZ117">IFERROR(INDEX(ArchiveResults!$F$5:$IX$116,ComparisonData!A117,ComparisonData!$TZ$1),0)</f>
        <v>0</v>
      </c>
      <c r="UA117" s="64">
        <v>112</v>
      </c>
      <c r="UB117" s="53" t="str">
        <f t="shared" si="1241"/>
        <v>Worcestershire Archive and Archaeology Service</v>
      </c>
      <c r="UC117" s="60">
        <f t="shared" si="1038"/>
        <v>0</v>
      </c>
      <c r="UD117" s="60">
        <f t="shared" si="1039"/>
        <v>0</v>
      </c>
      <c r="UE117" s="60">
        <f t="shared" si="1040"/>
        <v>0</v>
      </c>
      <c r="UF117" s="60">
        <f t="shared" si="1041"/>
        <v>0</v>
      </c>
      <c r="UG117" s="60">
        <f t="shared" si="1042"/>
        <v>0</v>
      </c>
      <c r="UH117" s="58">
        <f>MAX(UC117:UG117)</f>
        <v>0</v>
      </c>
      <c r="UI117" s="46">
        <f t="shared" si="1044"/>
        <v>1</v>
      </c>
      <c r="UJ117" s="46">
        <f t="shared" si="1242"/>
        <v>1</v>
      </c>
      <c r="UK117" s="46">
        <f t="shared" si="1045"/>
        <v>0</v>
      </c>
      <c r="UL117" s="46">
        <f t="shared" si="1046"/>
        <v>1</v>
      </c>
      <c r="UM117" s="46" cm="1">
        <f t="array" ref="UM117">ROUND(IFERROR(INDEX(ArchiveResults!$F$5:$IX$116,ComparisonData!A117,ComparisonData!$UM$1),0),5)</f>
        <v>9.3738700000000001</v>
      </c>
      <c r="UN117" s="64">
        <v>112</v>
      </c>
      <c r="UO117" s="53" t="str">
        <f t="shared" si="1243"/>
        <v>Worcestershire Archive and Archaeology Service</v>
      </c>
      <c r="UP117" s="46">
        <f t="shared" si="1047"/>
        <v>0</v>
      </c>
      <c r="UQ117" s="76">
        <f t="shared" si="1048"/>
        <v>0</v>
      </c>
      <c r="UR117" s="46">
        <f t="shared" si="1049"/>
        <v>1</v>
      </c>
      <c r="US117" s="46">
        <f t="shared" si="1244"/>
        <v>1</v>
      </c>
      <c r="UT117" s="46">
        <f t="shared" si="1050"/>
        <v>0</v>
      </c>
      <c r="UU117" s="46">
        <f t="shared" si="1051"/>
        <v>1</v>
      </c>
      <c r="UV117" s="46">
        <f t="shared" si="1052"/>
        <v>0.43075540000000001</v>
      </c>
      <c r="UW117" s="46" cm="1">
        <f t="array" ref="UW117">ROUND(IFERROR(INDEX(ArchiveResults!$F$5:$IX$116,ComparisonData!A117,ComparisonData!$UW$1),0),5)</f>
        <v>0.42669000000000001</v>
      </c>
      <c r="UX117" s="46" cm="1">
        <f t="array" ref="UX117">ROUND(IFERROR(INDEX(ArchiveResults!$F$5:$IX$116,ComparisonData!A117,ComparisonData!$UX$1),0),5)</f>
        <v>0.40654000000000001</v>
      </c>
      <c r="UY117" s="46" cm="1">
        <f t="array" ref="UY117">ROUND(IFERROR(INDEX(ArchiveResults!$F$5:$IX$116,ComparisonData!A117,ComparisonData!$UY$1),0),5)</f>
        <v>0.12698999999999999</v>
      </c>
      <c r="UZ117" s="46" cm="1">
        <f t="array" ref="UZ117">ROUND(IFERROR(INDEX(ArchiveResults!$F$5:$IX$116,ComparisonData!A117,ComparisonData!$UZ$1),0),5)</f>
        <v>1.5339999999999999E-2</v>
      </c>
      <c r="VA117" s="46" cm="1">
        <f t="array" ref="VA117">ROUND(IFERROR(INDEX(ArchiveResults!$F$5:$IX$116,ComparisonData!A117,ComparisonData!$VA$1),0),5)</f>
        <v>2.444E-2</v>
      </c>
      <c r="VB117" s="64">
        <v>112</v>
      </c>
      <c r="VC117" s="53" t="str">
        <f t="shared" si="1245"/>
        <v>Worcestershire Archive and Archaeology Service</v>
      </c>
      <c r="VD117" s="60">
        <f t="shared" si="1053"/>
        <v>0</v>
      </c>
      <c r="VE117" s="60">
        <f t="shared" si="1054"/>
        <v>0</v>
      </c>
      <c r="VF117" s="60">
        <f t="shared" si="1055"/>
        <v>0</v>
      </c>
      <c r="VG117" s="60">
        <f t="shared" si="1056"/>
        <v>0</v>
      </c>
      <c r="VH117" s="60">
        <f t="shared" si="1057"/>
        <v>0</v>
      </c>
      <c r="VI117" s="76">
        <f t="shared" si="1058"/>
        <v>0</v>
      </c>
      <c r="VJ117" s="46">
        <f t="shared" si="1059"/>
        <v>1</v>
      </c>
      <c r="VK117" s="46">
        <f t="shared" si="1246"/>
        <v>1</v>
      </c>
      <c r="VL117" s="46">
        <f t="shared" si="1060"/>
        <v>0</v>
      </c>
      <c r="VM117" s="46">
        <f t="shared" si="1061"/>
        <v>1</v>
      </c>
      <c r="VN117" s="46" cm="1">
        <f t="array" ref="VN117">ROUND(IFERROR(INDEX(ArchiveResults!$F$5:$IX$116,ComparisonData!A117,ComparisonData!$VN$1),0),5)</f>
        <v>0.58757999999999999</v>
      </c>
      <c r="VO117" s="46" cm="1">
        <f t="array" ref="VO117">ROUND(IFERROR(INDEX(ArchiveResults!$F$5:$IX$116,ComparisonData!A117,ComparisonData!$VO$1),0),5)</f>
        <v>0.2311</v>
      </c>
      <c r="VP117" s="46" cm="1">
        <f t="array" ref="VP117">ROUND(IFERROR(INDEX(ArchiveResults!$F$5:$IX$116,ComparisonData!A117,ComparisonData!$VP$1),0),5)</f>
        <v>0.10961</v>
      </c>
      <c r="VQ117" s="46" cm="1">
        <f t="array" ref="VQ117">ROUND(IFERROR(INDEX(ArchiveResults!$F$5:$IX$116,ComparisonData!A117,ComparisonData!$VQ$1),0),5)</f>
        <v>0.15481</v>
      </c>
      <c r="VR117" s="64">
        <v>112</v>
      </c>
      <c r="VS117" s="53" t="str">
        <f t="shared" si="1247"/>
        <v>Worcestershire Archive and Archaeology Service</v>
      </c>
      <c r="VT117" s="60">
        <f t="shared" si="1062"/>
        <v>0</v>
      </c>
      <c r="VU117" s="60">
        <f t="shared" si="1063"/>
        <v>0</v>
      </c>
      <c r="VV117" s="60">
        <f t="shared" si="1064"/>
        <v>0</v>
      </c>
      <c r="VW117" s="60">
        <f t="shared" si="1065"/>
        <v>0</v>
      </c>
      <c r="VX117" s="76">
        <f t="shared" si="1066"/>
        <v>0</v>
      </c>
      <c r="VY117" s="46">
        <f t="shared" si="1067"/>
        <v>1</v>
      </c>
      <c r="VZ117" s="46">
        <f t="shared" si="1248"/>
        <v>1</v>
      </c>
      <c r="WA117" s="46">
        <f t="shared" si="1068"/>
        <v>0</v>
      </c>
      <c r="WB117" s="46">
        <f t="shared" si="1069"/>
        <v>1</v>
      </c>
      <c r="WC117" s="46" cm="1">
        <f t="array" ref="WC117">ROUND(IFERROR(INDEX(ArchiveResults!$F$5:$IX$116,ComparisonData!A117,ComparisonData!$WC$1),0),5)</f>
        <v>3.65524</v>
      </c>
      <c r="WD117" s="64">
        <v>112</v>
      </c>
      <c r="WE117" s="53" t="str">
        <f t="shared" si="1249"/>
        <v>Worcestershire Archive and Archaeology Service</v>
      </c>
      <c r="WF117" s="46">
        <f t="shared" si="1070"/>
        <v>0</v>
      </c>
      <c r="WG117" s="76">
        <f t="shared" si="1071"/>
        <v>0</v>
      </c>
      <c r="WH117" s="46">
        <f t="shared" si="1072"/>
        <v>1</v>
      </c>
      <c r="WI117" s="46">
        <f t="shared" si="1250"/>
        <v>1</v>
      </c>
      <c r="WJ117" s="46">
        <f t="shared" si="1073"/>
        <v>0</v>
      </c>
      <c r="WK117" s="46">
        <f t="shared" si="1074"/>
        <v>1</v>
      </c>
      <c r="WL117" s="46" cm="1">
        <f t="array" ref="WL117">ROUND(IFERROR(INDEX(ArchiveResults!$F$5:$IX$116,ComparisonData!A117,ComparisonData!$WL$1),0),5)</f>
        <v>0.89287000000000005</v>
      </c>
      <c r="WM117" s="46" cm="1">
        <f t="array" ref="WM117">IFERROR(INDEX(ArchiveResults!$F$5:$IX$116,ComparisonData!A117,ComparisonData!$WM$1),0)</f>
        <v>0.10713104207991776</v>
      </c>
      <c r="WN117" s="64">
        <v>112</v>
      </c>
      <c r="WO117" s="53" t="str">
        <f t="shared" si="1251"/>
        <v>Worcestershire Archive and Archaeology Service</v>
      </c>
      <c r="WP117" s="60">
        <f t="shared" si="1075"/>
        <v>0</v>
      </c>
      <c r="WQ117" s="60">
        <f t="shared" si="1076"/>
        <v>0</v>
      </c>
      <c r="WR117" s="76">
        <f t="shared" si="1077"/>
        <v>0</v>
      </c>
      <c r="WS117" s="46">
        <f t="shared" si="1078"/>
        <v>1</v>
      </c>
      <c r="WT117" s="46">
        <f t="shared" si="1252"/>
        <v>1</v>
      </c>
      <c r="WU117" s="46">
        <f t="shared" si="1079"/>
        <v>0</v>
      </c>
      <c r="WV117" s="46">
        <f t="shared" si="1080"/>
        <v>1</v>
      </c>
      <c r="WW117" s="46" cm="1">
        <f t="array" ref="WW117">ROUND(VALUE(IFERROR(INDEX(ArchiveResults!$F$5:$IX$116,ComparisonData!A117,ComparisonData!$WW$1),0)),5)</f>
        <v>0.95504</v>
      </c>
      <c r="WX117" s="46" cm="1">
        <f t="array" ref="WX117">ROUND(IFERROR(INDEX(ArchiveResults!$F$5:$IX$116,ComparisonData!A117,ComparisonData!$WX$1),0),5)</f>
        <v>4.496E-2</v>
      </c>
      <c r="WY117" s="64">
        <v>112</v>
      </c>
      <c r="WZ117" s="53" t="str">
        <f t="shared" si="1253"/>
        <v>Worcestershire Archive and Archaeology Service</v>
      </c>
      <c r="XA117" s="60">
        <f t="shared" si="1254"/>
        <v>0</v>
      </c>
      <c r="XB117" s="60">
        <f t="shared" si="1255"/>
        <v>0</v>
      </c>
      <c r="XC117" s="76">
        <f t="shared" si="1081"/>
        <v>0</v>
      </c>
      <c r="XD117" s="46">
        <f t="shared" si="1082"/>
        <v>1</v>
      </c>
      <c r="XE117" s="46">
        <f t="shared" si="1256"/>
        <v>1</v>
      </c>
      <c r="XF117" s="46">
        <f t="shared" si="1083"/>
        <v>0</v>
      </c>
      <c r="XG117" s="46">
        <f t="shared" si="1084"/>
        <v>1</v>
      </c>
      <c r="XH117" s="46" cm="1">
        <f t="array" ref="XH117">ROUND(VALUE(IFERROR(INDEX(ArchiveResults!$F$5:$IX$116,ComparisonData!A117,ComparisonData!$XH$1),0)),5)</f>
        <v>0.94994999999999996</v>
      </c>
      <c r="XI117" s="46" cm="1">
        <f t="array" ref="XI117">ROUND(VALUE(IFERROR(INDEX(ArchiveResults!$F$5:$IX$116,ComparisonData!A117,ComparisonData!$XI$1),0)),5)</f>
        <v>5.0049999999999997E-2</v>
      </c>
      <c r="XJ117" s="64">
        <v>112</v>
      </c>
      <c r="XK117" s="53" t="str">
        <f t="shared" si="1257"/>
        <v>Worcestershire Archive and Archaeology Service</v>
      </c>
      <c r="XL117" s="60">
        <f t="shared" si="1085"/>
        <v>0</v>
      </c>
      <c r="XM117" s="60">
        <f t="shared" si="1086"/>
        <v>0</v>
      </c>
      <c r="XN117" s="76">
        <f t="shared" si="1087"/>
        <v>0</v>
      </c>
      <c r="XO117" s="46">
        <f t="shared" si="1088"/>
        <v>1</v>
      </c>
      <c r="XP117" s="46">
        <f t="shared" si="1258"/>
        <v>1</v>
      </c>
      <c r="XQ117" s="46">
        <f t="shared" si="1089"/>
        <v>0</v>
      </c>
      <c r="XR117" s="46">
        <f t="shared" si="1090"/>
        <v>1</v>
      </c>
      <c r="XS117" s="46" cm="1">
        <f t="array" ref="XS117">ROUND(VALUE(IFERROR(INDEX(ArchiveResults!$F$5:$IX$116,ComparisonData!A117,ComparisonData!$XS$1),0)),5)</f>
        <v>0.91598000000000002</v>
      </c>
      <c r="XT117" s="46" cm="1">
        <f t="array" ref="XT117">ROUND(VALUE(IFERROR(INDEX(ArchiveResults!$F$5:$IX$116,ComparisonData!A117,ComparisonData!$XT$1),0)),5)</f>
        <v>8.4019999999999997E-2</v>
      </c>
      <c r="XU117" s="64">
        <v>112</v>
      </c>
      <c r="XV117" s="53" t="str">
        <f t="shared" si="1259"/>
        <v>Worcestershire Archive and Archaeology Service</v>
      </c>
      <c r="XW117" s="60">
        <f t="shared" si="1091"/>
        <v>0</v>
      </c>
      <c r="XX117" s="60">
        <f t="shared" si="1092"/>
        <v>0</v>
      </c>
      <c r="XY117" s="76">
        <f t="shared" si="1093"/>
        <v>0</v>
      </c>
      <c r="XZ117" s="46">
        <f t="shared" si="1094"/>
        <v>1</v>
      </c>
      <c r="YA117" s="46">
        <f t="shared" si="1260"/>
        <v>1</v>
      </c>
      <c r="YB117" s="46">
        <f t="shared" si="1095"/>
        <v>0</v>
      </c>
      <c r="YC117" s="46">
        <f t="shared" si="1096"/>
        <v>1</v>
      </c>
      <c r="YD117" s="46" cm="1">
        <f t="array" ref="YD117">ROUND(VALUE(IFERROR(INDEX(ArchiveResults!$F$5:$IX$116,ComparisonData!A117,ComparisonData!$YD$1),0)),5)</f>
        <v>0.46636</v>
      </c>
      <c r="YE117" s="46" cm="1">
        <f t="array" ref="YE117">ROUND(VALUE(IFERROR(INDEX(ArchiveResults!$F$5:$IX$116,ComparisonData!A117,ComparisonData!$YE$1),0)),5)</f>
        <v>0.53364</v>
      </c>
      <c r="YF117" s="64">
        <v>112</v>
      </c>
      <c r="YG117" s="53" t="str">
        <f t="shared" si="1261"/>
        <v>Worcestershire Archive and Archaeology Service</v>
      </c>
      <c r="YH117" s="60">
        <f t="shared" si="1097"/>
        <v>0</v>
      </c>
      <c r="YI117" s="60">
        <f t="shared" si="1098"/>
        <v>0</v>
      </c>
      <c r="YJ117" s="76">
        <f t="shared" si="1099"/>
        <v>0</v>
      </c>
      <c r="YK117" s="46">
        <f t="shared" si="1100"/>
        <v>1</v>
      </c>
      <c r="YL117" s="46">
        <f t="shared" si="1262"/>
        <v>1</v>
      </c>
      <c r="YM117" s="46">
        <f t="shared" si="1101"/>
        <v>0</v>
      </c>
      <c r="YN117" s="46">
        <f t="shared" si="1102"/>
        <v>1</v>
      </c>
      <c r="YO117" s="46" cm="1">
        <f t="array" ref="YO117">ROUND(VALUE(IFERROR(INDEX(ArchiveResults!$F$5:$IX$116,ComparisonData!A117,ComparisonData!$YO$1),0)),5)</f>
        <v>0.99678999999999995</v>
      </c>
      <c r="YP117" s="46" cm="1">
        <f t="array" ref="YP117">ROUND(VALUE(IFERROR(INDEX(ArchiveResults!$F$5:$IX$116,ComparisonData!A117,ComparisonData!$YP$1),0)),5)</f>
        <v>3.2100000000000002E-3</v>
      </c>
      <c r="YQ117" s="64">
        <v>112</v>
      </c>
      <c r="YR117" s="53" t="str">
        <f t="shared" si="1263"/>
        <v>Worcestershire Archive and Archaeology Service</v>
      </c>
      <c r="YS117" s="60">
        <f t="shared" si="1103"/>
        <v>0</v>
      </c>
      <c r="YT117" s="60">
        <f t="shared" si="1104"/>
        <v>0</v>
      </c>
      <c r="YU117" s="76">
        <f t="shared" si="1105"/>
        <v>0</v>
      </c>
      <c r="YV117" s="46">
        <f t="shared" si="1106"/>
        <v>1</v>
      </c>
      <c r="YW117" s="46">
        <f t="shared" si="1264"/>
        <v>1</v>
      </c>
      <c r="YX117" s="46">
        <f t="shared" si="1107"/>
        <v>0</v>
      </c>
      <c r="YY117" s="46">
        <f t="shared" si="1108"/>
        <v>1</v>
      </c>
      <c r="YZ117" s="46">
        <f t="shared" si="1109"/>
        <v>8.5391954879999996E-2</v>
      </c>
      <c r="ZA117" s="46" cm="1">
        <f t="array" ref="ZA117">ROUNDDOWN(VALUE(IFERROR(INDEX(ArchiveResults!$F$5:$IX$116,ComparisonData!A117,ComparisonData!$ZA$1),0)),5)</f>
        <v>8.3659999999999998E-2</v>
      </c>
      <c r="ZB117" s="46" cm="1">
        <f t="array" ref="ZB117">ROUNDDOWN(VALUE(IFERROR(INDEX(ArchiveResults!$F$5:$IX$116,ComparisonData!A117,ComparisonData!$ZB$1),0)),5)</f>
        <v>0.17005000000000001</v>
      </c>
      <c r="ZC117" s="46" cm="1">
        <f t="array" ref="ZC117">ROUNDDOWN(VALUE(IFERROR(INDEX(ArchiveResults!$F$5:$IX$116,ComparisonData!A117,ComparisonData!$ZC$1),0)),5)</f>
        <v>0.31152000000000002</v>
      </c>
      <c r="ZD117" s="46" cm="1">
        <f t="array" ref="ZD117">ROUNDDOWN(VALUE(IFERROR(INDEX(ArchiveResults!$F$5:$IX$116,ComparisonData!A117,ComparisonData!$ZD$1),0)),5)</f>
        <v>0.30287999999999998</v>
      </c>
      <c r="ZE117" s="46" cm="1">
        <f t="array" ref="ZE117">ROUNDDOWN(VALUE(IFERROR(INDEX(ArchiveResults!$F$5:$IX$116,ComparisonData!A117,ComparisonData!$ZE$1),0)),5)</f>
        <v>0.13186999999999999</v>
      </c>
      <c r="ZF117" s="64">
        <v>112</v>
      </c>
      <c r="ZG117" s="53" t="str">
        <f t="shared" si="1265"/>
        <v>Worcestershire Archive and Archaeology Service</v>
      </c>
      <c r="ZH117" s="60">
        <f t="shared" si="1110"/>
        <v>0</v>
      </c>
      <c r="ZI117" s="60">
        <f t="shared" si="1111"/>
        <v>0</v>
      </c>
      <c r="ZJ117" s="60">
        <f t="shared" si="1112"/>
        <v>0</v>
      </c>
      <c r="ZK117" s="60">
        <f t="shared" si="1113"/>
        <v>0</v>
      </c>
      <c r="ZL117" s="60">
        <f t="shared" si="1114"/>
        <v>0</v>
      </c>
      <c r="ZM117" s="76">
        <f t="shared" si="1115"/>
        <v>0</v>
      </c>
      <c r="ZN117" s="46">
        <f t="shared" si="1116"/>
        <v>1</v>
      </c>
      <c r="ZO117" s="46">
        <f t="shared" si="1266"/>
        <v>1</v>
      </c>
      <c r="ZP117" s="46">
        <f t="shared" si="1117"/>
        <v>0</v>
      </c>
      <c r="ZQ117" s="46">
        <f t="shared" si="1118"/>
        <v>1</v>
      </c>
      <c r="ZR117" s="46" cm="1">
        <f t="array" ref="ZR117">ROUND(VALUE(IFERROR(INDEX(ArchiveResults!$F$5:$IX$116,ComparisonData!A117,ComparisonData!$ZR$1),0)),5)</f>
        <v>56.569119999999998</v>
      </c>
      <c r="ZS117" s="64">
        <v>112</v>
      </c>
      <c r="ZT117" s="53" t="str">
        <f t="shared" si="1267"/>
        <v>Worcestershire Archive and Archaeology Service</v>
      </c>
      <c r="ZU117" s="46">
        <f t="shared" si="1119"/>
        <v>0</v>
      </c>
      <c r="ZV117" s="76">
        <f t="shared" si="1120"/>
        <v>0</v>
      </c>
      <c r="ZW117" s="81" cm="1">
        <f t="array" ref="ZW117">ROUND((IFERROR(INDEX(ArchiveResults!$F$5:$IX$116,ComparisonData!A117,ComparisonData!$ZW$1),0)),5)</f>
        <v>2.3300000000000001E-2</v>
      </c>
      <c r="ZX117" s="81" cm="1">
        <f t="array" ref="ZX117">ROUND((IFERROR(INDEX(ArchiveResults!$F$5:$IX$116,ComparisonData!A117,ComparisonData!$ZX$1),0)),5)</f>
        <v>3.9910000000000001E-2</v>
      </c>
      <c r="ZY117" s="81" cm="1">
        <f t="array" ref="ZY117">ROUND((IFERROR(INDEX(ArchiveResults!$F$5:$IX$116,ComparisonData!A117,ComparisonData!$ZY$1),0)),5)</f>
        <v>5.8119999999999998E-2</v>
      </c>
      <c r="ZZ117" s="81" cm="1">
        <f t="array" ref="ZZ117">ROUND((IFERROR(INDEX(ArchiveResults!$F$5:$IX$116,ComparisonData!A117,ComparisonData!$ZZ$1),0)),5)</f>
        <v>7.2779999999999997E-2</v>
      </c>
      <c r="AAA117" s="81" cm="1">
        <f t="array" ref="AAA117">ROUND((IFERROR(INDEX(ArchiveResults!$F$5:$IX$116,ComparisonData!A117,ComparisonData!$AAA$1),0)),5)</f>
        <v>0.11193</v>
      </c>
      <c r="AAB117" s="81" cm="1">
        <f t="array" ref="AAB117">ROUND((IFERROR(INDEX(ArchiveResults!$F$5:$IX$116,ComparisonData!A117,ComparisonData!$AAB$1),0)),5)</f>
        <v>0.11763999999999999</v>
      </c>
      <c r="AAC117" s="81" cm="1">
        <f t="array" ref="AAC117">ROUND((IFERROR(INDEX(ArchiveResults!$F$5:$IX$116,ComparisonData!A117,ComparisonData!$AAC$1),0)),5)</f>
        <v>0.13347000000000001</v>
      </c>
      <c r="AAD117" s="81" cm="1">
        <f t="array" ref="AAD117">ROUND((IFERROR(INDEX(ArchiveResults!$F$5:$IX$116,ComparisonData!A117,ComparisonData!$AAD$1),0)),5)</f>
        <v>0.12247</v>
      </c>
      <c r="AAE117" s="81" cm="1">
        <f t="array" ref="AAE117">ROUND((IFERROR(INDEX(ArchiveResults!$F$5:$IX$116,ComparisonData!A117,ComparisonData!$AAE$1),0)),5)</f>
        <v>0.14659</v>
      </c>
      <c r="AAF117" s="81" cm="1">
        <f t="array" ref="AAF117">ROUND((IFERROR(INDEX(ArchiveResults!$F$5:$IX$116,ComparisonData!A117,ComparisonData!$AAF$1),0)),5)</f>
        <v>0.17377999999999999</v>
      </c>
      <c r="AAG117" s="46">
        <f t="shared" si="1121"/>
        <v>1</v>
      </c>
      <c r="AAH117" s="46">
        <f t="shared" si="1268"/>
        <v>1</v>
      </c>
      <c r="AAI117" s="46">
        <f t="shared" si="1122"/>
        <v>0</v>
      </c>
      <c r="AAJ117" s="46">
        <f t="shared" si="1123"/>
        <v>1</v>
      </c>
      <c r="AAK117" s="46">
        <f t="shared" si="1124"/>
        <v>6.3343483677000004E-2</v>
      </c>
      <c r="AAL117" s="46">
        <f t="shared" si="1125"/>
        <v>6.3210000000000002E-2</v>
      </c>
      <c r="AAM117" s="46">
        <f t="shared" si="1126"/>
        <v>0.13089999999999999</v>
      </c>
      <c r="AAN117" s="46">
        <f t="shared" si="1127"/>
        <v>0.22957</v>
      </c>
      <c r="AAO117" s="46">
        <f t="shared" si="1128"/>
        <v>0.25594</v>
      </c>
      <c r="AAP117" s="46">
        <f t="shared" si="1129"/>
        <v>0.32036999999999999</v>
      </c>
      <c r="AAQ117" s="64">
        <v>112</v>
      </c>
      <c r="AAR117" s="53" t="str">
        <f t="shared" si="1269"/>
        <v>Worcestershire Archive and Archaeology Service</v>
      </c>
      <c r="AAS117" s="60">
        <f t="shared" si="1130"/>
        <v>0</v>
      </c>
      <c r="AAT117" s="60">
        <f t="shared" si="1131"/>
        <v>0</v>
      </c>
      <c r="AAU117" s="60">
        <f t="shared" si="1132"/>
        <v>0</v>
      </c>
      <c r="AAV117" s="60">
        <f t="shared" si="1133"/>
        <v>0</v>
      </c>
      <c r="AAW117" s="60">
        <f t="shared" si="1134"/>
        <v>0</v>
      </c>
      <c r="AAX117" s="76">
        <f t="shared" si="1135"/>
        <v>0</v>
      </c>
      <c r="AAY117" s="46">
        <f t="shared" si="1136"/>
        <v>1</v>
      </c>
      <c r="AAZ117" s="46">
        <f t="shared" si="1270"/>
        <v>1</v>
      </c>
      <c r="ABA117" s="46">
        <f t="shared" si="1137"/>
        <v>0</v>
      </c>
      <c r="ABB117" s="46">
        <f t="shared" si="1138"/>
        <v>1</v>
      </c>
      <c r="ABC117" s="46">
        <f>ABF117+(ABH117/100)+(ABE117/1000)+(ABG117/10000)+(ABD117/100000)</f>
        <v>0.40395467159999998</v>
      </c>
      <c r="ABD117" s="46" cm="1">
        <f t="array" ref="ABD117">ROUND(VALUE(IFERROR(INDEX(ArchiveResults!$F$5:$IX$116,ComparisonData!A117,ComparisonData!$ABD$1),0)),5)</f>
        <v>3.696E-2</v>
      </c>
      <c r="ABE117" s="46" cm="1">
        <f t="array" ref="ABE117">ROUND(VALUE(IFERROR(INDEX(ArchiveResults!$F$5:$IX$116,ComparisonData!A117,ComparisonData!$ABE$1),0)),5)</f>
        <v>0.13241</v>
      </c>
      <c r="ABF117" s="46" cm="1">
        <f t="array" ref="ABF117">ROUND(VALUE(IFERROR(INDEX(ArchiveResults!$F$5:$IX$116,ComparisonData!A117,ComparisonData!$ABF$1),0)),5)</f>
        <v>0.40045999999999998</v>
      </c>
      <c r="ABG117" s="46" cm="1">
        <f t="array" ref="ABG117">ROUND(VALUE(IFERROR(INDEX(ArchiveResults!$F$5:$IX$116,ComparisonData!A117,ComparisonData!$ABG$1),0)),5)</f>
        <v>9.4920000000000004E-2</v>
      </c>
      <c r="ABH117" s="46" cm="1">
        <f t="array" ref="ABH117">ROUND(VALUE(IFERROR(INDEX(ArchiveResults!$F$5:$IX$116,ComparisonData!A117,ComparisonData!$ABH$1),0)),5)</f>
        <v>0.33523999999999998</v>
      </c>
      <c r="ABI117" s="64">
        <v>112</v>
      </c>
      <c r="ABJ117" s="53" t="str">
        <f t="shared" si="1271"/>
        <v>Worcestershire Archive and Archaeology Service</v>
      </c>
      <c r="ABK117" s="60">
        <f t="shared" si="1139"/>
        <v>0</v>
      </c>
      <c r="ABL117" s="60">
        <f t="shared" si="1140"/>
        <v>0</v>
      </c>
      <c r="ABM117" s="60">
        <f t="shared" si="1141"/>
        <v>0</v>
      </c>
      <c r="ABN117" s="60">
        <f t="shared" si="1142"/>
        <v>0</v>
      </c>
      <c r="ABO117" s="60">
        <f t="shared" si="1143"/>
        <v>0</v>
      </c>
      <c r="ABP117" s="76">
        <f t="shared" si="1144"/>
        <v>0</v>
      </c>
      <c r="ABQ117" s="46">
        <f t="shared" si="1145"/>
        <v>1</v>
      </c>
      <c r="ABR117" s="46">
        <f t="shared" si="1272"/>
        <v>1</v>
      </c>
      <c r="ABS117" s="46">
        <f t="shared" si="1146"/>
        <v>0</v>
      </c>
      <c r="ABT117" s="46">
        <f t="shared" si="1147"/>
        <v>1</v>
      </c>
      <c r="ABU117" s="46" cm="1">
        <f t="array" ref="ABU117">ROUND(VALUE(IFERROR(INDEX(ArchiveResults!$F$5:$IX$116,ComparisonData!A117,ComparisonData!$ABU$1),0)),5)</f>
        <v>0.93405000000000005</v>
      </c>
      <c r="ABV117" s="46" cm="1">
        <f t="array" ref="ABV117">ROUND(VALUE(IFERROR(INDEX(ArchiveResults!$F$5:$IX$116,ComparisonData!A117,ComparisonData!$ABV$1),0)),5)</f>
        <v>2.6079999999999999E-2</v>
      </c>
      <c r="ABW117" s="46" cm="1">
        <f t="array" ref="ABW117">ROUND(VALUE(IFERROR(INDEX(ArchiveResults!$F$5:$IX$116,ComparisonData!A117,ComparisonData!$ABW$1),0)),5)</f>
        <v>1.653E-2</v>
      </c>
      <c r="ABX117" s="46" cm="1">
        <f t="array" ref="ABX117">ROUND(VALUE(IFERROR(INDEX(ArchiveResults!$F$5:$IX$116,ComparisonData!A117,ComparisonData!$ABX$1),0)),5)</f>
        <v>8.7899999999999992E-3</v>
      </c>
      <c r="ABY117" s="46" cm="1">
        <f t="array" ref="ABY117">ROUND(VALUE(IFERROR(INDEX(ArchiveResults!$F$5:$IX$116,ComparisonData!A117,ComparisonData!$ABY$1),0)),5)</f>
        <v>1.653E-2</v>
      </c>
      <c r="ABZ117" s="64">
        <v>112</v>
      </c>
      <c r="ACA117" s="53" t="str">
        <f t="shared" si="1273"/>
        <v>Worcestershire Archive and Archaeology Service</v>
      </c>
      <c r="ACB117" s="60">
        <f t="shared" si="1148"/>
        <v>0</v>
      </c>
      <c r="ACC117" s="60">
        <f t="shared" si="1149"/>
        <v>0</v>
      </c>
      <c r="ACD117" s="60">
        <f t="shared" si="1150"/>
        <v>0</v>
      </c>
      <c r="ACE117" s="60">
        <f t="shared" si="1151"/>
        <v>0</v>
      </c>
      <c r="ACF117" s="60">
        <f t="shared" si="1152"/>
        <v>0</v>
      </c>
      <c r="ACG117" s="76">
        <f t="shared" si="1153"/>
        <v>0</v>
      </c>
      <c r="ACH117" s="46">
        <f t="shared" si="1154"/>
        <v>1</v>
      </c>
      <c r="ACI117" s="46">
        <f t="shared" si="1274"/>
        <v>1</v>
      </c>
      <c r="ACJ117" s="46">
        <f t="shared" si="1155"/>
        <v>0</v>
      </c>
      <c r="ACK117" s="46">
        <f t="shared" si="1156"/>
        <v>1</v>
      </c>
      <c r="ACL117" s="46">
        <f t="shared" si="1157"/>
        <v>0.12145942000000001</v>
      </c>
      <c r="ACM117" s="46" cm="1">
        <f t="array" ref="ACM117">ROUND(IFERROR(INDEX(ArchiveResults!$F$5:$IX$116,ComparisonData!A117,ComparisonData!$ACM$1),0),5)</f>
        <v>0.12058000000000001</v>
      </c>
      <c r="ACN117" s="46" cm="1">
        <f t="array" ref="ACN117">ROUND(IFERROR(INDEX(ArchiveResults!$F$5:$IX$116,ComparisonData!A117,ComparisonData!$ACN$1),0),5)</f>
        <v>0.87941999999999998</v>
      </c>
      <c r="ACO117" s="64">
        <v>112</v>
      </c>
      <c r="ACP117" s="53" t="str">
        <f t="shared" si="1275"/>
        <v>Worcestershire Archive and Archaeology Service</v>
      </c>
      <c r="ACQ117" s="60">
        <f t="shared" si="1158"/>
        <v>0</v>
      </c>
      <c r="ACR117" s="60">
        <f t="shared" si="1159"/>
        <v>0</v>
      </c>
      <c r="ACS117" s="76">
        <f t="shared" si="1160"/>
        <v>0</v>
      </c>
      <c r="ACT117" s="46">
        <f t="shared" si="1161"/>
        <v>1</v>
      </c>
      <c r="ACU117" s="46">
        <f t="shared" si="1276"/>
        <v>1</v>
      </c>
      <c r="ACV117" s="46">
        <f t="shared" si="1162"/>
        <v>0</v>
      </c>
      <c r="ACW117" s="46">
        <f t="shared" si="1163"/>
        <v>1</v>
      </c>
      <c r="ACX117" s="46">
        <f t="shared" si="1164"/>
        <v>9.3574800000000014E-3</v>
      </c>
      <c r="ACY117" s="46" cm="1">
        <f t="array" ref="ACY117">ROUNDDOWN(IFERROR(INDEX(ArchiveResults!$F$5:$IX$116,ComparisonData!A117,ComparisonData!$ACY$1),0),5)</f>
        <v>9.2300000000000004E-3</v>
      </c>
      <c r="ACZ117" s="46" cm="1">
        <f t="array" ref="ACZ117">ROUNDDOWN(IFERROR(INDEX(ArchiveResults!$F$5:$IX$116,ComparisonData!A117,ComparisonData!$ACZ$1),0),5)</f>
        <v>0.11876</v>
      </c>
      <c r="ADA117" s="46" cm="1">
        <f t="array" ref="ADA117">ROUNDDOWN(IFERROR(INDEX(ArchiveResults!$F$5:$IX$116,ComparisonData!A117,ComparisonData!$ADA$1),0),5)</f>
        <v>0.872</v>
      </c>
      <c r="ADB117" s="64">
        <v>112</v>
      </c>
      <c r="ADC117" s="53" t="str">
        <f t="shared" si="1277"/>
        <v>Worcestershire Archive and Archaeology Service</v>
      </c>
      <c r="ADD117" s="60">
        <f t="shared" si="1165"/>
        <v>0</v>
      </c>
      <c r="ADE117" s="60">
        <f t="shared" si="1166"/>
        <v>0</v>
      </c>
      <c r="ADF117" s="60">
        <f t="shared" si="1167"/>
        <v>0</v>
      </c>
      <c r="ADG117" s="76">
        <f t="shared" si="1168"/>
        <v>0</v>
      </c>
    </row>
    <row r="118" spans="1:787" x14ac:dyDescent="0.25">
      <c r="O118" s="70"/>
      <c r="AA118" s="70"/>
      <c r="AM118" s="70"/>
      <c r="BN118" s="70"/>
      <c r="CG118" s="70"/>
      <c r="CP118" s="70"/>
      <c r="CY118" s="70"/>
      <c r="DH118" s="70"/>
      <c r="DY118" s="70"/>
      <c r="EP118" s="70"/>
      <c r="FG118" s="70"/>
      <c r="FX118" s="70"/>
      <c r="GO118" s="70"/>
      <c r="HF118" s="70"/>
      <c r="HW118" s="70"/>
      <c r="IO118" s="70"/>
      <c r="JG118" s="70"/>
      <c r="JY118" s="70"/>
      <c r="KQ118" s="70"/>
      <c r="LI118" s="70"/>
      <c r="MA118" s="70"/>
      <c r="MS118" s="70"/>
      <c r="NK118" s="70"/>
      <c r="OB118" s="70"/>
      <c r="OT118" s="70"/>
      <c r="PL118" s="70"/>
      <c r="QD118" s="70"/>
      <c r="QV118" s="70"/>
      <c r="RN118" s="70"/>
      <c r="SF118" s="70"/>
      <c r="SX118" s="70"/>
      <c r="TP118" s="70"/>
      <c r="UH118" s="70"/>
      <c r="UQ118" s="70"/>
      <c r="VI118" s="70"/>
      <c r="VX118" s="70"/>
      <c r="WG118" s="70"/>
      <c r="WR118" s="70"/>
      <c r="XC118" s="70"/>
      <c r="XN118" s="70"/>
      <c r="XY118" s="70"/>
      <c r="YJ118" s="70"/>
      <c r="YU118" s="70"/>
      <c r="ZM118" s="70"/>
      <c r="ZV118" s="70"/>
      <c r="AAX118" s="70"/>
      <c r="ABP118" s="70"/>
      <c r="ACG118" s="70"/>
      <c r="ACS118" s="70"/>
      <c r="ADG118" s="70"/>
    </row>
    <row r="119" spans="1:787" x14ac:dyDescent="0.25">
      <c r="O119" s="71">
        <f>COUNTIF(O6:O117,"&gt;0")</f>
        <v>1</v>
      </c>
      <c r="P119" s="45"/>
      <c r="Q119" s="45"/>
      <c r="R119" s="45"/>
      <c r="S119" s="45"/>
      <c r="T119" s="45"/>
      <c r="AA119" s="71">
        <f>COUNTIF(AA6:AA117,"&gt;0")</f>
        <v>1</v>
      </c>
      <c r="AM119" s="71">
        <f>COUNTIF(AM6:AM117,"&gt;0")</f>
        <v>1</v>
      </c>
      <c r="BN119" s="71">
        <f>COUNTIF(BN6:BN117,"&gt;0")</f>
        <v>1</v>
      </c>
      <c r="CG119" s="71">
        <f>COUNTIF(CG6:CG117,"&gt;0")</f>
        <v>1</v>
      </c>
      <c r="CP119" s="71">
        <f>COUNTIF(CP6:CP117,"&gt;0")</f>
        <v>1</v>
      </c>
      <c r="CQ119" s="45"/>
      <c r="CR119" s="45"/>
      <c r="CS119" s="45"/>
      <c r="CT119" s="45"/>
      <c r="CY119" s="71">
        <f>COUNTIF(CY6:CY117,"&gt;0")</f>
        <v>1</v>
      </c>
      <c r="CZ119" s="45"/>
      <c r="DA119" s="45"/>
      <c r="DB119" s="45"/>
      <c r="DC119" s="45"/>
      <c r="DH119" s="71">
        <f>COUNTIF(DH6:DH117,"&gt;0")</f>
        <v>1</v>
      </c>
      <c r="DY119" s="71">
        <f>COUNTIF(DY6:DY117,"&gt;0")</f>
        <v>1</v>
      </c>
      <c r="DZ119" s="45"/>
      <c r="EA119" s="45"/>
      <c r="EB119" s="45"/>
      <c r="EC119" s="45"/>
      <c r="EP119" s="71">
        <f>COUNTIF(EP6:EP117,"&gt;0")</f>
        <v>1</v>
      </c>
      <c r="EQ119" s="45"/>
      <c r="ER119" s="45"/>
      <c r="ES119" s="45"/>
      <c r="ET119" s="45"/>
      <c r="FG119" s="71">
        <f>COUNTIF(FG6:FG117,"&gt;0")</f>
        <v>1</v>
      </c>
      <c r="FH119" s="45"/>
      <c r="FI119" s="45"/>
      <c r="FJ119" s="45"/>
      <c r="FK119" s="45"/>
      <c r="FX119" s="71">
        <f>COUNTIF(FX6:FX117,"&gt;0")</f>
        <v>1</v>
      </c>
      <c r="GO119" s="71">
        <f>COUNTIF(GO6:GO117,"&gt;0")</f>
        <v>1</v>
      </c>
      <c r="HF119" s="71">
        <f>COUNTIF(HF6:HF117,"&gt;0")</f>
        <v>1</v>
      </c>
      <c r="HW119" s="71">
        <f>COUNTIF(HW6:HW117,"&gt;0")</f>
        <v>1</v>
      </c>
      <c r="IO119" s="71">
        <f>COUNTIF(IO6:IO117,"&gt;0")</f>
        <v>1</v>
      </c>
      <c r="JG119" s="71">
        <f>COUNTIF(JG6:JG117,"&gt;0")</f>
        <v>1</v>
      </c>
      <c r="JY119" s="71">
        <f>COUNTIF(JY6:JY117,"&gt;0")</f>
        <v>1</v>
      </c>
      <c r="KQ119" s="71">
        <f>COUNTIF(KQ6:KQ117,"&gt;0")</f>
        <v>1</v>
      </c>
      <c r="LI119" s="71">
        <f>COUNTIF(LI6:LI117,"&gt;0")</f>
        <v>1</v>
      </c>
      <c r="MA119" s="71">
        <f>COUNTIF(MA6:MA117,"&gt;0")</f>
        <v>1</v>
      </c>
      <c r="MS119" s="71">
        <f>COUNTIF(MS6:MS117,"&gt;0")</f>
        <v>1</v>
      </c>
      <c r="NK119" s="71">
        <f>COUNTIF(NK6:NK117,"&gt;0")</f>
        <v>1</v>
      </c>
      <c r="OB119" s="71">
        <f>COUNTIF(OB6:OB117,"&gt;0")</f>
        <v>1</v>
      </c>
      <c r="OT119" s="71">
        <f>COUNTIF(OT6:OT117,"&gt;0")</f>
        <v>1</v>
      </c>
      <c r="PL119" s="71">
        <f>COUNTIF(PL6:PL117,"&gt;0")</f>
        <v>1</v>
      </c>
      <c r="PM119" s="45"/>
      <c r="PN119" s="45"/>
      <c r="PO119" s="45"/>
      <c r="PP119" s="45"/>
      <c r="PQ119" s="45"/>
      <c r="QD119" s="71">
        <f>COUNTIF(QD6:QD117,"&gt;0")</f>
        <v>1</v>
      </c>
      <c r="QE119" s="45"/>
      <c r="QF119" s="45"/>
      <c r="QG119" s="45"/>
      <c r="QH119" s="45"/>
      <c r="QI119" s="45"/>
      <c r="QV119" s="71">
        <f>COUNTIF(QV6:QV117,"&gt;0")</f>
        <v>1</v>
      </c>
      <c r="RN119" s="71">
        <f>COUNTIF(RN6:RN117,"&gt;0")</f>
        <v>1</v>
      </c>
      <c r="SF119" s="71">
        <f>COUNTIF(SF6:SF117,"&gt;0")</f>
        <v>1</v>
      </c>
      <c r="SG119" s="45"/>
      <c r="SH119" s="45"/>
      <c r="SI119" s="45"/>
      <c r="SJ119" s="45"/>
      <c r="SK119" s="45"/>
      <c r="SX119" s="71">
        <f>COUNTIF(SX6:SX117,"&gt;0")</f>
        <v>1</v>
      </c>
      <c r="TP119" s="71">
        <f>COUNTIF(TP6:TP117,"&gt;0")</f>
        <v>1</v>
      </c>
      <c r="UH119" s="71">
        <f>COUNTIF(UH6:UH117,"&gt;0")</f>
        <v>1</v>
      </c>
      <c r="UI119" s="45"/>
      <c r="UJ119" s="45"/>
      <c r="UK119" s="45"/>
      <c r="UL119" s="45"/>
      <c r="UQ119" s="71">
        <f>COUNTIF(UQ6:UQ117,"&gt;0")</f>
        <v>1</v>
      </c>
      <c r="VI119" s="71">
        <f>COUNTIF(VI6:VI117,"&gt;0")</f>
        <v>1</v>
      </c>
      <c r="VJ119" s="45"/>
      <c r="VK119" s="45"/>
      <c r="VL119" s="45"/>
      <c r="VM119" s="45"/>
      <c r="VX119" s="71">
        <f>COUNTIF(VX6:VX117,"&gt;0")</f>
        <v>1</v>
      </c>
      <c r="WG119" s="71">
        <f>COUNTIF(WG6:WG117,"&gt;0")</f>
        <v>1</v>
      </c>
      <c r="WR119" s="71">
        <f>COUNTIF(WR6:WR117,"&gt;0")</f>
        <v>1</v>
      </c>
      <c r="XC119" s="71">
        <f>COUNTIF(XC6:XC117,"&gt;0")</f>
        <v>1</v>
      </c>
      <c r="XD119" s="45"/>
      <c r="XE119" s="45"/>
      <c r="XF119" s="45"/>
      <c r="XG119" s="45"/>
      <c r="XN119" s="71">
        <f>COUNTIF(XN6:XN117,"&gt;0")</f>
        <v>1</v>
      </c>
      <c r="XY119" s="71">
        <f>COUNTIF(XY6:XY117,"&gt;0")</f>
        <v>1</v>
      </c>
      <c r="XZ119" s="45"/>
      <c r="YA119" s="45"/>
      <c r="YB119" s="45"/>
      <c r="YC119" s="45"/>
      <c r="YJ119" s="71">
        <f>COUNTIF(YJ6:YJ117,"&gt;0")</f>
        <v>1</v>
      </c>
      <c r="YK119" s="45"/>
      <c r="YL119" s="45"/>
      <c r="YU119" s="71">
        <f>COUNTIF(YU6:YU117,"&gt;0")</f>
        <v>1</v>
      </c>
      <c r="ZM119" s="71">
        <f>COUNTIF(ZM6:ZM117,"&gt;0")</f>
        <v>1</v>
      </c>
      <c r="ZV119" s="71">
        <f>COUNTIF(ZV6:ZV117,"&gt;0")</f>
        <v>1</v>
      </c>
      <c r="AAX119" s="71">
        <f>COUNTIF(AAX6:AAX117,"&gt;0")</f>
        <v>1</v>
      </c>
      <c r="ABP119" s="71">
        <f>COUNTIF(ABP6:ABP117,"&gt;0")</f>
        <v>1</v>
      </c>
      <c r="ACG119" s="71">
        <f>COUNTIF(ACG6:ACG117,"&gt;0")</f>
        <v>1</v>
      </c>
      <c r="ACS119" s="71">
        <f>COUNTIF(ACS6:ACS117,"&gt;0")</f>
        <v>1</v>
      </c>
      <c r="ADG119" s="71">
        <f>COUNTIF(ADG6:ADG117,"&gt;0")</f>
        <v>1</v>
      </c>
    </row>
  </sheetData>
  <mergeCells count="132">
    <mergeCell ref="ACH2:ACS2"/>
    <mergeCell ref="ACH3:ACS3"/>
    <mergeCell ref="ACT2:ADG2"/>
    <mergeCell ref="ACT3:ADG3"/>
    <mergeCell ref="WH2:WR2"/>
    <mergeCell ref="WH3:WR3"/>
    <mergeCell ref="WH4:WR4"/>
    <mergeCell ref="VJ2:VX2"/>
    <mergeCell ref="VJ3:VX3"/>
    <mergeCell ref="VY3:WG3"/>
    <mergeCell ref="VY4:WG4"/>
    <mergeCell ref="VY2:WG2"/>
    <mergeCell ref="ZN4:ZV4"/>
    <mergeCell ref="WS2:XC2"/>
    <mergeCell ref="WS3:XC3"/>
    <mergeCell ref="WS4:XC4"/>
    <mergeCell ref="XD2:XN2"/>
    <mergeCell ref="XD3:XN3"/>
    <mergeCell ref="XD4:XN4"/>
    <mergeCell ref="XO2:XY2"/>
    <mergeCell ref="XO3:XY3"/>
    <mergeCell ref="XO4:XY4"/>
    <mergeCell ref="ZW2:AAX2"/>
    <mergeCell ref="ZW3:AAX3"/>
    <mergeCell ref="UI2:UQ2"/>
    <mergeCell ref="UI3:UQ3"/>
    <mergeCell ref="UI4:UQ4"/>
    <mergeCell ref="UR2:VI2"/>
    <mergeCell ref="UR3:VI3"/>
    <mergeCell ref="SY2:TP2"/>
    <mergeCell ref="SY3:TP3"/>
    <mergeCell ref="SY4:TP4"/>
    <mergeCell ref="TQ2:UH2"/>
    <mergeCell ref="TQ3:UH3"/>
    <mergeCell ref="TQ4:UH4"/>
    <mergeCell ref="RO2:SF2"/>
    <mergeCell ref="RO3:SF3"/>
    <mergeCell ref="RO4:SF4"/>
    <mergeCell ref="SG2:SX2"/>
    <mergeCell ref="SG3:SX3"/>
    <mergeCell ref="SG4:SX4"/>
    <mergeCell ref="QE2:QV2"/>
    <mergeCell ref="QE3:QV3"/>
    <mergeCell ref="QE4:QV4"/>
    <mergeCell ref="QW2:RN2"/>
    <mergeCell ref="QW3:RN3"/>
    <mergeCell ref="QW4:RN4"/>
    <mergeCell ref="OU2:PL2"/>
    <mergeCell ref="OU3:PL3"/>
    <mergeCell ref="OU4:PL4"/>
    <mergeCell ref="PM2:QD2"/>
    <mergeCell ref="PM3:QD3"/>
    <mergeCell ref="PM4:QD4"/>
    <mergeCell ref="NL2:OB2"/>
    <mergeCell ref="NL3:OB3"/>
    <mergeCell ref="NL4:OB4"/>
    <mergeCell ref="OC2:OT2"/>
    <mergeCell ref="OC3:OT3"/>
    <mergeCell ref="OC4:OT4"/>
    <mergeCell ref="MB2:MS2"/>
    <mergeCell ref="MB3:MS3"/>
    <mergeCell ref="MB4:MS4"/>
    <mergeCell ref="MT2:NK2"/>
    <mergeCell ref="MT3:NK3"/>
    <mergeCell ref="MT4:NK4"/>
    <mergeCell ref="CZ4:DH4"/>
    <mergeCell ref="DI2:DY2"/>
    <mergeCell ref="DI3:DY3"/>
    <mergeCell ref="DI4:DY4"/>
    <mergeCell ref="DZ4:EP4"/>
    <mergeCell ref="DZ3:EP3"/>
    <mergeCell ref="DZ2:EP2"/>
    <mergeCell ref="FY2:GO2"/>
    <mergeCell ref="FY3:GO3"/>
    <mergeCell ref="FY4:GO4"/>
    <mergeCell ref="GP4:HF4"/>
    <mergeCell ref="GP3:HF3"/>
    <mergeCell ref="GP2:HF2"/>
    <mergeCell ref="HG4:HW4"/>
    <mergeCell ref="HG3:HW3"/>
    <mergeCell ref="HG2:HW2"/>
    <mergeCell ref="HX2:IO2"/>
    <mergeCell ref="HX3:IO3"/>
    <mergeCell ref="I4:J4"/>
    <mergeCell ref="I3:J3"/>
    <mergeCell ref="I2:J2"/>
    <mergeCell ref="U4:V4"/>
    <mergeCell ref="AG4:AH4"/>
    <mergeCell ref="FH4:FX4"/>
    <mergeCell ref="EQ4:FG4"/>
    <mergeCell ref="EQ3:FG3"/>
    <mergeCell ref="EQ2:FG2"/>
    <mergeCell ref="FH3:FX3"/>
    <mergeCell ref="FH2:FX2"/>
    <mergeCell ref="CQ2:CY2"/>
    <mergeCell ref="CQ3:CY3"/>
    <mergeCell ref="CZ2:DH2"/>
    <mergeCell ref="CZ3:DH3"/>
    <mergeCell ref="BS3:BX3"/>
    <mergeCell ref="BS2:BX2"/>
    <mergeCell ref="AR3:BA3"/>
    <mergeCell ref="AR2:BA2"/>
    <mergeCell ref="CH3:CP3"/>
    <mergeCell ref="CH2:CP2"/>
    <mergeCell ref="HX4:IO4"/>
    <mergeCell ref="IP2:JG2"/>
    <mergeCell ref="IP3:JG3"/>
    <mergeCell ref="IP4:JG4"/>
    <mergeCell ref="JH2:JY2"/>
    <mergeCell ref="JH3:JY3"/>
    <mergeCell ref="JH4:JY4"/>
    <mergeCell ref="LJ2:MA2"/>
    <mergeCell ref="LJ3:MA3"/>
    <mergeCell ref="LJ4:MA4"/>
    <mergeCell ref="JZ2:KQ2"/>
    <mergeCell ref="JZ3:KQ3"/>
    <mergeCell ref="JZ4:KQ4"/>
    <mergeCell ref="KR4:LI4"/>
    <mergeCell ref="KR3:LI3"/>
    <mergeCell ref="KR2:LI2"/>
    <mergeCell ref="AAY2:ABP2"/>
    <mergeCell ref="AAY3:ABP3"/>
    <mergeCell ref="ABQ2:ACG2"/>
    <mergeCell ref="ABQ3:ACG3"/>
    <mergeCell ref="XZ2:YJ2"/>
    <mergeCell ref="XZ3:YJ3"/>
    <mergeCell ref="YK2:YU2"/>
    <mergeCell ref="YK3:YU3"/>
    <mergeCell ref="YV2:ZM2"/>
    <mergeCell ref="YV3:ZM3"/>
    <mergeCell ref="ZN2:ZV2"/>
    <mergeCell ref="ZN3:ZV3"/>
  </mergeCells>
  <pageMargins left="0.7" right="0.7" top="0.75" bottom="0.75" header="0.3" footer="0.3"/>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11A0F-95B4-4D21-9241-6F53CB3685EF}">
  <sheetPr codeName="Sheet7"/>
  <dimension ref="A1:V5477"/>
  <sheetViews>
    <sheetView showGridLines="0" showRowColHeaders="0" zoomScale="85" zoomScaleNormal="85" workbookViewId="0"/>
  </sheetViews>
  <sheetFormatPr defaultColWidth="0" defaultRowHeight="15.95" customHeight="1" zeroHeight="1" x14ac:dyDescent="0.25"/>
  <cols>
    <col min="1" max="8" width="16.7109375" style="191" customWidth="1"/>
    <col min="9" max="9" width="98.42578125" style="188" bestFit="1" customWidth="1"/>
    <col min="10" max="19" width="16.7109375" style="190" customWidth="1"/>
    <col min="20" max="22" width="0" style="191" hidden="1" customWidth="1"/>
    <col min="23" max="16384" width="9.140625" style="191" hidden="1"/>
  </cols>
  <sheetData>
    <row r="1" spans="9:19" s="187" customFormat="1" ht="32.1" customHeight="1" x14ac:dyDescent="0.25">
      <c r="I1" s="184"/>
      <c r="J1" s="234" t="str">
        <f>ComparisonData!I2</f>
        <v>SECTION A: THE REASON FOR YOUR VISIT</v>
      </c>
      <c r="K1" s="234"/>
      <c r="L1" s="186"/>
      <c r="M1" s="186"/>
      <c r="N1" s="186"/>
      <c r="O1" s="186"/>
      <c r="P1" s="186"/>
      <c r="Q1" s="186"/>
      <c r="R1" s="186"/>
      <c r="S1" s="186"/>
    </row>
    <row r="2" spans="9:19" s="187" customFormat="1" ht="32.1" customHeight="1" x14ac:dyDescent="0.25">
      <c r="I2" s="184"/>
      <c r="J2" s="234" t="str">
        <f>ComparisonData!I3</f>
        <v>1. About your visit</v>
      </c>
      <c r="K2" s="234"/>
      <c r="L2" s="186"/>
      <c r="M2" s="186"/>
      <c r="N2" s="186"/>
      <c r="O2" s="186"/>
      <c r="P2" s="186"/>
      <c r="Q2" s="186"/>
      <c r="R2" s="186"/>
      <c r="S2" s="186"/>
    </row>
    <row r="3" spans="9:19" s="187" customFormat="1" ht="32.1" customHeight="1" x14ac:dyDescent="0.25">
      <c r="I3" s="184"/>
      <c r="J3" s="234" t="str">
        <f>ComparisonData!I4</f>
        <v>(a) Is this your first visit to any archive?</v>
      </c>
      <c r="K3" s="234"/>
      <c r="L3" s="186"/>
      <c r="M3" s="186"/>
      <c r="N3" s="186"/>
      <c r="O3" s="186"/>
      <c r="P3" s="186"/>
      <c r="Q3" s="186"/>
      <c r="R3" s="186"/>
      <c r="S3" s="186"/>
    </row>
    <row r="4" spans="9:19" ht="15.95" customHeight="1" x14ac:dyDescent="0.25">
      <c r="J4" s="189" t="str">
        <f>ComparisonData!I5</f>
        <v>Yes</v>
      </c>
      <c r="K4" s="189" t="str">
        <f>ComparisonData!J5</f>
        <v>No</v>
      </c>
    </row>
    <row r="5" spans="9:19" ht="15.95" customHeight="1" x14ac:dyDescent="0.25">
      <c r="I5" s="188" t="str" cm="1">
        <f t="array" aca="1" ref="I5" ca="1">a__Is_this_your_first_visit_to_any_archive?_lbl</f>
        <v>TOTAL</v>
      </c>
      <c r="J5" s="192" cm="1">
        <f t="array" aca="1" ref="J5" ca="1">a__Is_this_your_first_visit_to_any_archive?_y</f>
        <v>0.19353999999999999</v>
      </c>
      <c r="K5" s="192" cm="1">
        <f t="array" aca="1" ref="K5" ca="1">a__Is_this_your_first_visit_to_any_archive?_n</f>
        <v>0.80645999999999995</v>
      </c>
    </row>
    <row r="6" spans="9:19" ht="15.95" customHeight="1" x14ac:dyDescent="0.25">
      <c r="J6" s="192"/>
      <c r="K6" s="192"/>
    </row>
    <row r="7" spans="9:19" ht="15.95" customHeight="1" x14ac:dyDescent="0.25">
      <c r="J7" s="192"/>
      <c r="K7" s="192"/>
    </row>
    <row r="8" spans="9:19" ht="15.95" customHeight="1" x14ac:dyDescent="0.25">
      <c r="J8" s="192"/>
      <c r="K8" s="192"/>
    </row>
    <row r="9" spans="9:19" ht="15.95" customHeight="1" x14ac:dyDescent="0.25">
      <c r="J9" s="192"/>
      <c r="K9" s="192"/>
    </row>
    <row r="10" spans="9:19" ht="15.95" customHeight="1" x14ac:dyDescent="0.25">
      <c r="J10" s="192"/>
      <c r="K10" s="192"/>
    </row>
    <row r="11" spans="9:19" ht="15.95" customHeight="1" x14ac:dyDescent="0.25">
      <c r="J11" s="192"/>
      <c r="K11" s="192"/>
    </row>
    <row r="12" spans="9:19" ht="15.95" customHeight="1" x14ac:dyDescent="0.25">
      <c r="J12" s="192"/>
      <c r="K12" s="192"/>
    </row>
    <row r="13" spans="9:19" ht="15.95" customHeight="1" x14ac:dyDescent="0.25">
      <c r="J13" s="192"/>
      <c r="K13" s="192"/>
    </row>
    <row r="14" spans="9:19" ht="15.95" customHeight="1" x14ac:dyDescent="0.25">
      <c r="J14" s="192"/>
      <c r="K14" s="192"/>
    </row>
    <row r="15" spans="9:19" ht="15.95" customHeight="1" x14ac:dyDescent="0.25">
      <c r="J15" s="192"/>
      <c r="K15" s="192"/>
    </row>
    <row r="16" spans="9:19" ht="15.95" customHeight="1" x14ac:dyDescent="0.25">
      <c r="J16" s="192"/>
      <c r="K16" s="192"/>
    </row>
    <row r="17" spans="10:11" ht="15.95" customHeight="1" x14ac:dyDescent="0.25">
      <c r="J17" s="192"/>
      <c r="K17" s="192"/>
    </row>
    <row r="18" spans="10:11" ht="15.95" customHeight="1" x14ac:dyDescent="0.25">
      <c r="J18" s="192"/>
      <c r="K18" s="192"/>
    </row>
    <row r="19" spans="10:11" ht="15.95" customHeight="1" x14ac:dyDescent="0.25">
      <c r="J19" s="192"/>
      <c r="K19" s="192"/>
    </row>
    <row r="20" spans="10:11" ht="15.95" customHeight="1" x14ac:dyDescent="0.25">
      <c r="J20" s="192"/>
      <c r="K20" s="192"/>
    </row>
    <row r="21" spans="10:11" ht="15.95" customHeight="1" x14ac:dyDescent="0.25">
      <c r="J21" s="192"/>
      <c r="K21" s="192"/>
    </row>
    <row r="22" spans="10:11" ht="15.95" customHeight="1" x14ac:dyDescent="0.25">
      <c r="J22" s="192"/>
      <c r="K22" s="192"/>
    </row>
    <row r="23" spans="10:11" ht="15.95" customHeight="1" x14ac:dyDescent="0.25">
      <c r="J23" s="192"/>
      <c r="K23" s="192"/>
    </row>
    <row r="24" spans="10:11" ht="15.95" customHeight="1" x14ac:dyDescent="0.25">
      <c r="J24" s="192"/>
      <c r="K24" s="192"/>
    </row>
    <row r="25" spans="10:11" ht="15.95" customHeight="1" x14ac:dyDescent="0.25">
      <c r="J25" s="192"/>
      <c r="K25" s="192"/>
    </row>
    <row r="26" spans="10:11" ht="15.95" customHeight="1" x14ac:dyDescent="0.25">
      <c r="J26" s="192"/>
      <c r="K26" s="192"/>
    </row>
    <row r="27" spans="10:11" ht="15.95" customHeight="1" x14ac:dyDescent="0.25">
      <c r="J27" s="192"/>
      <c r="K27" s="192"/>
    </row>
    <row r="28" spans="10:11" ht="15.95" customHeight="1" x14ac:dyDescent="0.25">
      <c r="J28" s="192"/>
      <c r="K28" s="192"/>
    </row>
    <row r="29" spans="10:11" ht="15.95" customHeight="1" x14ac:dyDescent="0.25">
      <c r="J29" s="192"/>
      <c r="K29" s="192"/>
    </row>
    <row r="30" spans="10:11" ht="15.95" customHeight="1" x14ac:dyDescent="0.25">
      <c r="J30" s="192"/>
      <c r="K30" s="192"/>
    </row>
    <row r="31" spans="10:11" ht="15.95" customHeight="1" x14ac:dyDescent="0.25">
      <c r="J31" s="192"/>
      <c r="K31" s="192"/>
    </row>
    <row r="32" spans="10:11" ht="15.95" customHeight="1" x14ac:dyDescent="0.25">
      <c r="J32" s="192"/>
      <c r="K32" s="192"/>
    </row>
    <row r="33" spans="10:11" ht="15.95" customHeight="1" x14ac:dyDescent="0.25">
      <c r="J33" s="192"/>
      <c r="K33" s="192"/>
    </row>
    <row r="34" spans="10:11" ht="15.95" customHeight="1" x14ac:dyDescent="0.25">
      <c r="J34" s="192"/>
      <c r="K34" s="192"/>
    </row>
    <row r="35" spans="10:11" ht="15.95" customHeight="1" x14ac:dyDescent="0.25">
      <c r="J35" s="192"/>
      <c r="K35" s="192"/>
    </row>
    <row r="36" spans="10:11" ht="15.95" customHeight="1" x14ac:dyDescent="0.25">
      <c r="J36" s="192"/>
      <c r="K36" s="192"/>
    </row>
    <row r="37" spans="10:11" ht="15.95" customHeight="1" x14ac:dyDescent="0.25">
      <c r="J37" s="192"/>
      <c r="K37" s="192"/>
    </row>
    <row r="38" spans="10:11" ht="15.95" customHeight="1" x14ac:dyDescent="0.25">
      <c r="J38" s="192"/>
      <c r="K38" s="192"/>
    </row>
    <row r="39" spans="10:11" ht="15.95" customHeight="1" x14ac:dyDescent="0.25">
      <c r="J39" s="192"/>
      <c r="K39" s="192"/>
    </row>
    <row r="40" spans="10:11" ht="15.95" customHeight="1" x14ac:dyDescent="0.25">
      <c r="J40" s="192"/>
      <c r="K40" s="192"/>
    </row>
    <row r="41" spans="10:11" ht="15.95" customHeight="1" x14ac:dyDescent="0.25">
      <c r="J41" s="192"/>
      <c r="K41" s="192"/>
    </row>
    <row r="42" spans="10:11" ht="15.95" customHeight="1" x14ac:dyDescent="0.25">
      <c r="J42" s="192"/>
      <c r="K42" s="192"/>
    </row>
    <row r="43" spans="10:11" ht="15.95" customHeight="1" x14ac:dyDescent="0.25">
      <c r="J43" s="192"/>
      <c r="K43" s="192"/>
    </row>
    <row r="44" spans="10:11" ht="15.95" customHeight="1" x14ac:dyDescent="0.25">
      <c r="J44" s="192"/>
      <c r="K44" s="192"/>
    </row>
    <row r="45" spans="10:11" ht="15.95" customHeight="1" x14ac:dyDescent="0.25">
      <c r="J45" s="192"/>
      <c r="K45" s="192"/>
    </row>
    <row r="46" spans="10:11" ht="15.95" customHeight="1" x14ac:dyDescent="0.25">
      <c r="J46" s="192"/>
      <c r="K46" s="192"/>
    </row>
    <row r="47" spans="10:11" ht="15.95" customHeight="1" x14ac:dyDescent="0.25">
      <c r="J47" s="192"/>
      <c r="K47" s="192"/>
    </row>
    <row r="48" spans="10:11" ht="15.95" customHeight="1" x14ac:dyDescent="0.25">
      <c r="J48" s="192"/>
      <c r="K48" s="192"/>
    </row>
    <row r="49" spans="10:11" ht="15.95" customHeight="1" x14ac:dyDescent="0.25">
      <c r="J49" s="192"/>
      <c r="K49" s="192"/>
    </row>
    <row r="50" spans="10:11" ht="15.95" customHeight="1" x14ac:dyDescent="0.25">
      <c r="J50" s="192"/>
      <c r="K50" s="192"/>
    </row>
    <row r="51" spans="10:11" ht="15.95" customHeight="1" x14ac:dyDescent="0.25">
      <c r="J51" s="192"/>
      <c r="K51" s="192"/>
    </row>
    <row r="52" spans="10:11" ht="15.95" customHeight="1" x14ac:dyDescent="0.25">
      <c r="J52" s="192"/>
      <c r="K52" s="192"/>
    </row>
    <row r="53" spans="10:11" ht="15.95" customHeight="1" x14ac:dyDescent="0.25">
      <c r="J53" s="192"/>
      <c r="K53" s="192"/>
    </row>
    <row r="54" spans="10:11" ht="15.95" customHeight="1" x14ac:dyDescent="0.25">
      <c r="J54" s="192"/>
      <c r="K54" s="192"/>
    </row>
    <row r="55" spans="10:11" ht="15.95" customHeight="1" x14ac:dyDescent="0.25">
      <c r="J55" s="192"/>
      <c r="K55" s="192"/>
    </row>
    <row r="56" spans="10:11" ht="15.95" customHeight="1" x14ac:dyDescent="0.25">
      <c r="J56" s="192"/>
      <c r="K56" s="192"/>
    </row>
    <row r="57" spans="10:11" ht="15.95" customHeight="1" x14ac:dyDescent="0.25">
      <c r="J57" s="192"/>
      <c r="K57" s="192"/>
    </row>
    <row r="58" spans="10:11" ht="15.95" customHeight="1" x14ac:dyDescent="0.25">
      <c r="J58" s="192"/>
      <c r="K58" s="192"/>
    </row>
    <row r="59" spans="10:11" ht="15.95" customHeight="1" x14ac:dyDescent="0.25">
      <c r="J59" s="192"/>
      <c r="K59" s="192"/>
    </row>
    <row r="60" spans="10:11" ht="15.95" customHeight="1" x14ac:dyDescent="0.25">
      <c r="J60" s="192"/>
      <c r="K60" s="192"/>
    </row>
    <row r="61" spans="10:11" ht="15.95" customHeight="1" x14ac:dyDescent="0.25">
      <c r="J61" s="192"/>
      <c r="K61" s="192"/>
    </row>
    <row r="62" spans="10:11" ht="15.95" customHeight="1" x14ac:dyDescent="0.25">
      <c r="J62" s="192"/>
      <c r="K62" s="192"/>
    </row>
    <row r="63" spans="10:11" ht="15.95" customHeight="1" x14ac:dyDescent="0.25">
      <c r="J63" s="192"/>
      <c r="K63" s="192"/>
    </row>
    <row r="64" spans="10:11" ht="15.95" customHeight="1" x14ac:dyDescent="0.25">
      <c r="J64" s="192"/>
      <c r="K64" s="192"/>
    </row>
    <row r="65" spans="10:11" ht="15.95" customHeight="1" x14ac:dyDescent="0.25">
      <c r="J65" s="192"/>
      <c r="K65" s="192"/>
    </row>
    <row r="66" spans="10:11" ht="15.95" customHeight="1" x14ac:dyDescent="0.25">
      <c r="J66" s="192"/>
      <c r="K66" s="192"/>
    </row>
    <row r="67" spans="10:11" ht="15.95" customHeight="1" x14ac:dyDescent="0.25">
      <c r="J67" s="192"/>
      <c r="K67" s="192"/>
    </row>
    <row r="68" spans="10:11" ht="15.95" customHeight="1" x14ac:dyDescent="0.25">
      <c r="J68" s="192"/>
      <c r="K68" s="192"/>
    </row>
    <row r="69" spans="10:11" ht="15.95" customHeight="1" x14ac:dyDescent="0.25">
      <c r="J69" s="192"/>
      <c r="K69" s="192"/>
    </row>
    <row r="70" spans="10:11" ht="15.95" customHeight="1" x14ac:dyDescent="0.25">
      <c r="J70" s="192"/>
      <c r="K70" s="192"/>
    </row>
    <row r="71" spans="10:11" ht="15.95" customHeight="1" x14ac:dyDescent="0.25">
      <c r="J71" s="192"/>
      <c r="K71" s="192"/>
    </row>
    <row r="72" spans="10:11" ht="15.95" customHeight="1" x14ac:dyDescent="0.25">
      <c r="J72" s="192"/>
      <c r="K72" s="192"/>
    </row>
    <row r="73" spans="10:11" ht="15.95" customHeight="1" x14ac:dyDescent="0.25">
      <c r="J73" s="192"/>
      <c r="K73" s="192"/>
    </row>
    <row r="74" spans="10:11" ht="15.95" customHeight="1" x14ac:dyDescent="0.25">
      <c r="J74" s="192"/>
      <c r="K74" s="192"/>
    </row>
    <row r="75" spans="10:11" ht="15.95" customHeight="1" x14ac:dyDescent="0.25">
      <c r="J75" s="192"/>
      <c r="K75" s="192"/>
    </row>
    <row r="76" spans="10:11" ht="15.95" customHeight="1" x14ac:dyDescent="0.25">
      <c r="J76" s="192"/>
      <c r="K76" s="192"/>
    </row>
    <row r="77" spans="10:11" ht="15.95" customHeight="1" x14ac:dyDescent="0.25">
      <c r="J77" s="192"/>
      <c r="K77" s="192"/>
    </row>
    <row r="78" spans="10:11" ht="15.95" customHeight="1" x14ac:dyDescent="0.25">
      <c r="J78" s="192"/>
      <c r="K78" s="192"/>
    </row>
    <row r="79" spans="10:11" ht="15.95" customHeight="1" x14ac:dyDescent="0.25">
      <c r="J79" s="192"/>
      <c r="K79" s="192"/>
    </row>
    <row r="80" spans="10:11" ht="15.95" customHeight="1" x14ac:dyDescent="0.25">
      <c r="J80" s="192"/>
      <c r="K80" s="192"/>
    </row>
    <row r="81" spans="10:11" ht="15.95" customHeight="1" x14ac:dyDescent="0.25">
      <c r="J81" s="192"/>
      <c r="K81" s="192"/>
    </row>
    <row r="82" spans="10:11" ht="15.95" customHeight="1" x14ac:dyDescent="0.25">
      <c r="J82" s="192"/>
      <c r="K82" s="192"/>
    </row>
    <row r="83" spans="10:11" ht="15.95" customHeight="1" x14ac:dyDescent="0.25">
      <c r="J83" s="192"/>
      <c r="K83" s="192"/>
    </row>
    <row r="84" spans="10:11" ht="15.95" customHeight="1" x14ac:dyDescent="0.25">
      <c r="J84" s="192"/>
      <c r="K84" s="192"/>
    </row>
    <row r="85" spans="10:11" ht="15.95" customHeight="1" x14ac:dyDescent="0.25">
      <c r="J85" s="192"/>
      <c r="K85" s="192"/>
    </row>
    <row r="86" spans="10:11" ht="15.95" customHeight="1" x14ac:dyDescent="0.25">
      <c r="J86" s="192"/>
      <c r="K86" s="192"/>
    </row>
    <row r="87" spans="10:11" ht="15.95" customHeight="1" x14ac:dyDescent="0.25">
      <c r="J87" s="192"/>
      <c r="K87" s="192"/>
    </row>
    <row r="88" spans="10:11" ht="15.95" customHeight="1" x14ac:dyDescent="0.25">
      <c r="J88" s="192"/>
      <c r="K88" s="192"/>
    </row>
    <row r="89" spans="10:11" ht="15.95" customHeight="1" x14ac:dyDescent="0.25">
      <c r="J89" s="192"/>
      <c r="K89" s="192"/>
    </row>
    <row r="90" spans="10:11" ht="15.95" customHeight="1" x14ac:dyDescent="0.25">
      <c r="J90" s="192"/>
      <c r="K90" s="192"/>
    </row>
    <row r="91" spans="10:11" ht="15.95" customHeight="1" x14ac:dyDescent="0.25">
      <c r="J91" s="192"/>
      <c r="K91" s="192"/>
    </row>
    <row r="92" spans="10:11" ht="15.95" customHeight="1" x14ac:dyDescent="0.25">
      <c r="J92" s="192"/>
      <c r="K92" s="192"/>
    </row>
    <row r="93" spans="10:11" ht="15.95" customHeight="1" x14ac:dyDescent="0.25">
      <c r="J93" s="192"/>
      <c r="K93" s="192"/>
    </row>
    <row r="94" spans="10:11" ht="15.95" customHeight="1" x14ac:dyDescent="0.25">
      <c r="J94" s="192"/>
      <c r="K94" s="192"/>
    </row>
    <row r="95" spans="10:11" ht="15.95" customHeight="1" x14ac:dyDescent="0.25">
      <c r="J95" s="192"/>
      <c r="K95" s="192"/>
    </row>
    <row r="96" spans="10:11" ht="15.95" customHeight="1" x14ac:dyDescent="0.25">
      <c r="J96" s="192"/>
      <c r="K96" s="192"/>
    </row>
    <row r="97" spans="10:11" ht="15.95" customHeight="1" x14ac:dyDescent="0.25">
      <c r="J97" s="192"/>
      <c r="K97" s="192"/>
    </row>
    <row r="98" spans="10:11" ht="15.95" customHeight="1" x14ac:dyDescent="0.25">
      <c r="J98" s="192"/>
      <c r="K98" s="192"/>
    </row>
    <row r="99" spans="10:11" ht="15.95" customHeight="1" x14ac:dyDescent="0.25">
      <c r="J99" s="192"/>
      <c r="K99" s="192"/>
    </row>
    <row r="100" spans="10:11" ht="15.95" customHeight="1" x14ac:dyDescent="0.25">
      <c r="J100" s="192"/>
      <c r="K100" s="192"/>
    </row>
    <row r="101" spans="10:11" ht="15.95" customHeight="1" x14ac:dyDescent="0.25">
      <c r="J101" s="192"/>
      <c r="K101" s="192"/>
    </row>
    <row r="102" spans="10:11" ht="15.95" customHeight="1" x14ac:dyDescent="0.25">
      <c r="J102" s="192"/>
      <c r="K102" s="192"/>
    </row>
    <row r="103" spans="10:11" ht="15.95" customHeight="1" x14ac:dyDescent="0.25">
      <c r="J103" s="192"/>
      <c r="K103" s="192"/>
    </row>
    <row r="104" spans="10:11" ht="15.95" customHeight="1" x14ac:dyDescent="0.25">
      <c r="J104" s="192"/>
      <c r="K104" s="192"/>
    </row>
    <row r="105" spans="10:11" ht="15.95" customHeight="1" x14ac:dyDescent="0.25">
      <c r="J105" s="192"/>
      <c r="K105" s="192"/>
    </row>
    <row r="106" spans="10:11" ht="15.95" customHeight="1" x14ac:dyDescent="0.25">
      <c r="J106" s="192"/>
      <c r="K106" s="192"/>
    </row>
    <row r="107" spans="10:11" ht="15.95" customHeight="1" x14ac:dyDescent="0.25">
      <c r="J107" s="192"/>
      <c r="K107" s="192"/>
    </row>
    <row r="108" spans="10:11" ht="15.95" customHeight="1" x14ac:dyDescent="0.25">
      <c r="J108" s="192"/>
      <c r="K108" s="192"/>
    </row>
    <row r="109" spans="10:11" ht="15.95" customHeight="1" x14ac:dyDescent="0.25">
      <c r="J109" s="192"/>
      <c r="K109" s="192"/>
    </row>
    <row r="110" spans="10:11" ht="15.95" customHeight="1" x14ac:dyDescent="0.25">
      <c r="J110" s="192"/>
      <c r="K110" s="192"/>
    </row>
    <row r="111" spans="10:11" ht="15.95" customHeight="1" x14ac:dyDescent="0.25">
      <c r="J111" s="192"/>
      <c r="K111" s="192"/>
    </row>
    <row r="112" spans="10:11" ht="15.95" customHeight="1" x14ac:dyDescent="0.25">
      <c r="J112" s="192"/>
      <c r="K112" s="192"/>
    </row>
    <row r="113" spans="9:19" ht="15.95" customHeight="1" x14ac:dyDescent="0.25">
      <c r="J113" s="192"/>
      <c r="K113" s="192"/>
    </row>
    <row r="114" spans="9:19" ht="15.95" customHeight="1" x14ac:dyDescent="0.25">
      <c r="J114" s="192"/>
      <c r="K114" s="192"/>
    </row>
    <row r="115" spans="9:19" ht="15.95" customHeight="1" x14ac:dyDescent="0.25">
      <c r="J115" s="192"/>
      <c r="K115" s="192"/>
    </row>
    <row r="116" spans="9:19" ht="15.95" customHeight="1" x14ac:dyDescent="0.25">
      <c r="J116" s="192"/>
      <c r="K116" s="192"/>
    </row>
    <row r="117" spans="9:19" ht="15.95" customHeight="1" x14ac:dyDescent="0.25"/>
    <row r="118" spans="9:19" ht="15.95" customHeight="1" x14ac:dyDescent="0.25"/>
    <row r="119" spans="9:19" s="187" customFormat="1" ht="32.1" customHeight="1" x14ac:dyDescent="0.25">
      <c r="I119" s="184"/>
      <c r="J119" s="234" t="str">
        <f>ComparisonData!I2</f>
        <v>SECTION A: THE REASON FOR YOUR VISIT</v>
      </c>
      <c r="K119" s="234"/>
      <c r="L119" s="186"/>
      <c r="M119" s="186"/>
      <c r="N119" s="186"/>
      <c r="O119" s="186"/>
      <c r="P119" s="186"/>
      <c r="Q119" s="186"/>
      <c r="R119" s="186"/>
      <c r="S119" s="186"/>
    </row>
    <row r="120" spans="9:19" s="187" customFormat="1" ht="32.1" customHeight="1" x14ac:dyDescent="0.25">
      <c r="I120" s="184"/>
      <c r="J120" s="234" t="str">
        <f>ComparisonData!I3</f>
        <v>1. About your visit</v>
      </c>
      <c r="K120" s="234"/>
      <c r="L120" s="186"/>
      <c r="M120" s="186"/>
      <c r="N120" s="186"/>
      <c r="O120" s="186"/>
      <c r="P120" s="186"/>
      <c r="Q120" s="186"/>
      <c r="R120" s="186"/>
      <c r="S120" s="186"/>
    </row>
    <row r="121" spans="9:19" s="187" customFormat="1" ht="39.950000000000003" customHeight="1" x14ac:dyDescent="0.25">
      <c r="I121" s="184"/>
      <c r="J121" s="234" t="str">
        <f>ComparisonData!U4</f>
        <v>(b) If No at (a) above, have you visited this archive before?</v>
      </c>
      <c r="K121" s="234"/>
      <c r="L121" s="186"/>
      <c r="M121" s="186"/>
      <c r="N121" s="186"/>
      <c r="O121" s="186"/>
      <c r="P121" s="186"/>
      <c r="Q121" s="186"/>
      <c r="R121" s="186"/>
      <c r="S121" s="186"/>
    </row>
    <row r="122" spans="9:19" ht="15.95" customHeight="1" x14ac:dyDescent="0.25">
      <c r="J122" s="189" t="str">
        <f>ComparisonData!U5</f>
        <v>Yes</v>
      </c>
      <c r="K122" s="189" t="str">
        <f>ComparisonData!V5</f>
        <v>No</v>
      </c>
    </row>
    <row r="123" spans="9:19" ht="15.95" customHeight="1" x14ac:dyDescent="0.25">
      <c r="I123" s="188" t="str" cm="1">
        <f t="array" aca="1" ref="I123" ca="1">b__If_No_at__a__above__have_you_visited_this_archive_before?_lbl</f>
        <v>TOTAL</v>
      </c>
      <c r="J123" s="192" cm="1">
        <f t="array" aca="1" ref="J123" ca="1">b__If_No_at__a__above__have_you_visited_this_archive_before?_y</f>
        <v>0.82584000000000002</v>
      </c>
      <c r="K123" s="192" cm="1">
        <f t="array" aca="1" ref="K123" ca="1">b__If_No_at__a__above__have_you_visited_this_archive_before?_n</f>
        <v>0.17416000000000001</v>
      </c>
    </row>
    <row r="124" spans="9:19" ht="15.95" customHeight="1" x14ac:dyDescent="0.25">
      <c r="J124" s="192"/>
      <c r="K124" s="192"/>
    </row>
    <row r="125" spans="9:19" ht="15.95" customHeight="1" x14ac:dyDescent="0.25">
      <c r="J125" s="192"/>
      <c r="K125" s="192"/>
    </row>
    <row r="126" spans="9:19" ht="15.95" customHeight="1" x14ac:dyDescent="0.25">
      <c r="J126" s="192"/>
      <c r="K126" s="192"/>
    </row>
    <row r="127" spans="9:19" ht="15.95" customHeight="1" x14ac:dyDescent="0.25">
      <c r="J127" s="192"/>
      <c r="K127" s="192"/>
    </row>
    <row r="128" spans="9:19" ht="15.95" customHeight="1" x14ac:dyDescent="0.25">
      <c r="J128" s="192"/>
      <c r="K128" s="192"/>
    </row>
    <row r="129" spans="10:11" ht="15.95" customHeight="1" x14ac:dyDescent="0.25">
      <c r="J129" s="192"/>
      <c r="K129" s="192"/>
    </row>
    <row r="130" spans="10:11" ht="15.95" customHeight="1" x14ac:dyDescent="0.25">
      <c r="J130" s="192"/>
      <c r="K130" s="192"/>
    </row>
    <row r="131" spans="10:11" ht="15.95" customHeight="1" x14ac:dyDescent="0.25">
      <c r="J131" s="192"/>
      <c r="K131" s="192"/>
    </row>
    <row r="132" spans="10:11" ht="15.95" customHeight="1" x14ac:dyDescent="0.25">
      <c r="J132" s="192"/>
      <c r="K132" s="192"/>
    </row>
    <row r="133" spans="10:11" ht="15.95" customHeight="1" x14ac:dyDescent="0.25">
      <c r="J133" s="192"/>
      <c r="K133" s="192"/>
    </row>
    <row r="134" spans="10:11" ht="15.95" customHeight="1" x14ac:dyDescent="0.25">
      <c r="J134" s="192"/>
      <c r="K134" s="192"/>
    </row>
    <row r="135" spans="10:11" ht="15.95" customHeight="1" x14ac:dyDescent="0.25">
      <c r="J135" s="192"/>
      <c r="K135" s="192"/>
    </row>
    <row r="136" spans="10:11" ht="15.95" customHeight="1" x14ac:dyDescent="0.25">
      <c r="J136" s="192"/>
      <c r="K136" s="192"/>
    </row>
    <row r="137" spans="10:11" ht="15.95" customHeight="1" x14ac:dyDescent="0.25">
      <c r="J137" s="192"/>
      <c r="K137" s="192"/>
    </row>
    <row r="138" spans="10:11" ht="15.95" customHeight="1" x14ac:dyDescent="0.25">
      <c r="J138" s="192"/>
      <c r="K138" s="192"/>
    </row>
    <row r="139" spans="10:11" ht="15.95" customHeight="1" x14ac:dyDescent="0.25">
      <c r="J139" s="192"/>
      <c r="K139" s="192"/>
    </row>
    <row r="140" spans="10:11" ht="15.95" customHeight="1" x14ac:dyDescent="0.25">
      <c r="J140" s="192"/>
      <c r="K140" s="192"/>
    </row>
    <row r="141" spans="10:11" ht="15.95" customHeight="1" x14ac:dyDescent="0.25">
      <c r="J141" s="192"/>
      <c r="K141" s="192"/>
    </row>
    <row r="142" spans="10:11" ht="15.95" customHeight="1" x14ac:dyDescent="0.25">
      <c r="J142" s="192"/>
      <c r="K142" s="192"/>
    </row>
    <row r="143" spans="10:11" ht="15.95" customHeight="1" x14ac:dyDescent="0.25">
      <c r="J143" s="192"/>
      <c r="K143" s="192"/>
    </row>
    <row r="144" spans="10:11" ht="15.95" customHeight="1" x14ac:dyDescent="0.25">
      <c r="J144" s="192"/>
      <c r="K144" s="192"/>
    </row>
    <row r="145" spans="10:11" ht="15.95" customHeight="1" x14ac:dyDescent="0.25">
      <c r="J145" s="192"/>
      <c r="K145" s="192"/>
    </row>
    <row r="146" spans="10:11" ht="15.95" customHeight="1" x14ac:dyDescent="0.25">
      <c r="J146" s="192"/>
      <c r="K146" s="192"/>
    </row>
    <row r="147" spans="10:11" ht="15.95" customHeight="1" x14ac:dyDescent="0.25">
      <c r="J147" s="192"/>
      <c r="K147" s="192"/>
    </row>
    <row r="148" spans="10:11" ht="15.95" customHeight="1" x14ac:dyDescent="0.25">
      <c r="J148" s="192"/>
      <c r="K148" s="192"/>
    </row>
    <row r="149" spans="10:11" ht="15.95" customHeight="1" x14ac:dyDescent="0.25">
      <c r="J149" s="192"/>
      <c r="K149" s="192"/>
    </row>
    <row r="150" spans="10:11" ht="15.95" customHeight="1" x14ac:dyDescent="0.25">
      <c r="J150" s="192"/>
      <c r="K150" s="192"/>
    </row>
    <row r="151" spans="10:11" ht="15.95" customHeight="1" x14ac:dyDescent="0.25">
      <c r="J151" s="192"/>
      <c r="K151" s="192"/>
    </row>
    <row r="152" spans="10:11" ht="15.95" customHeight="1" x14ac:dyDescent="0.25">
      <c r="J152" s="192"/>
      <c r="K152" s="192"/>
    </row>
    <row r="153" spans="10:11" ht="15.95" customHeight="1" x14ac:dyDescent="0.25">
      <c r="J153" s="192"/>
      <c r="K153" s="192"/>
    </row>
    <row r="154" spans="10:11" ht="15.95" customHeight="1" x14ac:dyDescent="0.25">
      <c r="J154" s="192"/>
      <c r="K154" s="192"/>
    </row>
    <row r="155" spans="10:11" ht="15.95" customHeight="1" x14ac:dyDescent="0.25">
      <c r="J155" s="192"/>
      <c r="K155" s="192"/>
    </row>
    <row r="156" spans="10:11" ht="15.95" customHeight="1" x14ac:dyDescent="0.25">
      <c r="J156" s="192"/>
      <c r="K156" s="192"/>
    </row>
    <row r="157" spans="10:11" ht="15.95" customHeight="1" x14ac:dyDescent="0.25">
      <c r="J157" s="192"/>
      <c r="K157" s="192"/>
    </row>
    <row r="158" spans="10:11" ht="15.95" customHeight="1" x14ac:dyDescent="0.25">
      <c r="J158" s="192"/>
      <c r="K158" s="192"/>
    </row>
    <row r="159" spans="10:11" ht="15.95" customHeight="1" x14ac:dyDescent="0.25">
      <c r="J159" s="192"/>
      <c r="K159" s="192"/>
    </row>
    <row r="160" spans="10:11" ht="15.95" customHeight="1" x14ac:dyDescent="0.25">
      <c r="J160" s="192"/>
      <c r="K160" s="192"/>
    </row>
    <row r="161" spans="10:11" ht="15.95" customHeight="1" x14ac:dyDescent="0.25">
      <c r="J161" s="192"/>
      <c r="K161" s="192"/>
    </row>
    <row r="162" spans="10:11" ht="15.95" customHeight="1" x14ac:dyDescent="0.25">
      <c r="J162" s="192"/>
      <c r="K162" s="192"/>
    </row>
    <row r="163" spans="10:11" ht="15.95" customHeight="1" x14ac:dyDescent="0.25">
      <c r="J163" s="192"/>
      <c r="K163" s="192"/>
    </row>
    <row r="164" spans="10:11" ht="15.95" customHeight="1" x14ac:dyDescent="0.25">
      <c r="J164" s="192"/>
      <c r="K164" s="192"/>
    </row>
    <row r="165" spans="10:11" ht="15.95" customHeight="1" x14ac:dyDescent="0.25">
      <c r="J165" s="192"/>
      <c r="K165" s="192"/>
    </row>
    <row r="166" spans="10:11" ht="15.95" customHeight="1" x14ac:dyDescent="0.25">
      <c r="J166" s="192"/>
      <c r="K166" s="192"/>
    </row>
    <row r="167" spans="10:11" ht="15.95" customHeight="1" x14ac:dyDescent="0.25">
      <c r="J167" s="192"/>
      <c r="K167" s="192"/>
    </row>
    <row r="168" spans="10:11" ht="15.95" customHeight="1" x14ac:dyDescent="0.25">
      <c r="J168" s="192"/>
      <c r="K168" s="192"/>
    </row>
    <row r="169" spans="10:11" ht="15.95" customHeight="1" x14ac:dyDescent="0.25">
      <c r="J169" s="192"/>
      <c r="K169" s="192"/>
    </row>
    <row r="170" spans="10:11" ht="15.95" customHeight="1" x14ac:dyDescent="0.25">
      <c r="J170" s="192"/>
      <c r="K170" s="192"/>
    </row>
    <row r="171" spans="10:11" ht="15.95" customHeight="1" x14ac:dyDescent="0.25">
      <c r="J171" s="192"/>
      <c r="K171" s="192"/>
    </row>
    <row r="172" spans="10:11" ht="15.95" customHeight="1" x14ac:dyDescent="0.25">
      <c r="J172" s="192"/>
      <c r="K172" s="192"/>
    </row>
    <row r="173" spans="10:11" ht="15.95" customHeight="1" x14ac:dyDescent="0.25">
      <c r="J173" s="192"/>
      <c r="K173" s="192"/>
    </row>
    <row r="174" spans="10:11" ht="15.95" customHeight="1" x14ac:dyDescent="0.25">
      <c r="J174" s="192"/>
      <c r="K174" s="192"/>
    </row>
    <row r="175" spans="10:11" ht="15.95" customHeight="1" x14ac:dyDescent="0.25">
      <c r="J175" s="192"/>
      <c r="K175" s="192"/>
    </row>
    <row r="176" spans="10:11" ht="15.95" customHeight="1" x14ac:dyDescent="0.25">
      <c r="J176" s="192"/>
      <c r="K176" s="192"/>
    </row>
    <row r="177" spans="10:11" ht="15.95" customHeight="1" x14ac:dyDescent="0.25">
      <c r="J177" s="192"/>
      <c r="K177" s="192"/>
    </row>
    <row r="178" spans="10:11" ht="15.95" customHeight="1" x14ac:dyDescent="0.25">
      <c r="J178" s="192"/>
      <c r="K178" s="192"/>
    </row>
    <row r="179" spans="10:11" ht="15.95" customHeight="1" x14ac:dyDescent="0.25">
      <c r="J179" s="192"/>
      <c r="K179" s="192"/>
    </row>
    <row r="180" spans="10:11" ht="15.95" customHeight="1" x14ac:dyDescent="0.25">
      <c r="J180" s="192"/>
      <c r="K180" s="192"/>
    </row>
    <row r="181" spans="10:11" ht="15.95" customHeight="1" x14ac:dyDescent="0.25">
      <c r="J181" s="192"/>
      <c r="K181" s="192"/>
    </row>
    <row r="182" spans="10:11" ht="15.95" customHeight="1" x14ac:dyDescent="0.25">
      <c r="J182" s="192"/>
      <c r="K182" s="192"/>
    </row>
    <row r="183" spans="10:11" ht="15.95" customHeight="1" x14ac:dyDescent="0.25">
      <c r="J183" s="192"/>
      <c r="K183" s="192"/>
    </row>
    <row r="184" spans="10:11" ht="15.95" customHeight="1" x14ac:dyDescent="0.25">
      <c r="J184" s="192"/>
      <c r="K184" s="192"/>
    </row>
    <row r="185" spans="10:11" ht="15.95" customHeight="1" x14ac:dyDescent="0.25">
      <c r="J185" s="192"/>
      <c r="K185" s="192"/>
    </row>
    <row r="186" spans="10:11" ht="15.95" customHeight="1" x14ac:dyDescent="0.25">
      <c r="J186" s="192"/>
      <c r="K186" s="192"/>
    </row>
    <row r="187" spans="10:11" ht="15.95" customHeight="1" x14ac:dyDescent="0.25">
      <c r="J187" s="192"/>
      <c r="K187" s="192"/>
    </row>
    <row r="188" spans="10:11" ht="15.95" customHeight="1" x14ac:dyDescent="0.25">
      <c r="J188" s="192"/>
      <c r="K188" s="192"/>
    </row>
    <row r="189" spans="10:11" ht="15.95" customHeight="1" x14ac:dyDescent="0.25">
      <c r="J189" s="192"/>
      <c r="K189" s="192"/>
    </row>
    <row r="190" spans="10:11" ht="15.95" customHeight="1" x14ac:dyDescent="0.25">
      <c r="J190" s="192"/>
      <c r="K190" s="192"/>
    </row>
    <row r="191" spans="10:11" ht="15.95" customHeight="1" x14ac:dyDescent="0.25">
      <c r="J191" s="192"/>
      <c r="K191" s="192"/>
    </row>
    <row r="192" spans="10:11" ht="15.95" customHeight="1" x14ac:dyDescent="0.25">
      <c r="J192" s="192"/>
      <c r="K192" s="192"/>
    </row>
    <row r="193" spans="10:11" ht="15.95" customHeight="1" x14ac:dyDescent="0.25">
      <c r="J193" s="192"/>
      <c r="K193" s="192"/>
    </row>
    <row r="194" spans="10:11" ht="15.95" customHeight="1" x14ac:dyDescent="0.25">
      <c r="J194" s="192"/>
      <c r="K194" s="192"/>
    </row>
    <row r="195" spans="10:11" ht="15.95" customHeight="1" x14ac:dyDescent="0.25">
      <c r="J195" s="192"/>
      <c r="K195" s="192"/>
    </row>
    <row r="196" spans="10:11" ht="15.95" customHeight="1" x14ac:dyDescent="0.25">
      <c r="J196" s="192"/>
      <c r="K196" s="192"/>
    </row>
    <row r="197" spans="10:11" ht="15.95" customHeight="1" x14ac:dyDescent="0.25">
      <c r="J197" s="192"/>
      <c r="K197" s="192"/>
    </row>
    <row r="198" spans="10:11" ht="15.95" customHeight="1" x14ac:dyDescent="0.25">
      <c r="J198" s="192"/>
      <c r="K198" s="192"/>
    </row>
    <row r="199" spans="10:11" ht="15.95" customHeight="1" x14ac:dyDescent="0.25">
      <c r="J199" s="192"/>
      <c r="K199" s="192"/>
    </row>
    <row r="200" spans="10:11" ht="15.95" customHeight="1" x14ac:dyDescent="0.25">
      <c r="J200" s="192"/>
      <c r="K200" s="192"/>
    </row>
    <row r="201" spans="10:11" ht="15.95" customHeight="1" x14ac:dyDescent="0.25">
      <c r="J201" s="192"/>
      <c r="K201" s="192"/>
    </row>
    <row r="202" spans="10:11" ht="15.95" customHeight="1" x14ac:dyDescent="0.25">
      <c r="J202" s="192"/>
      <c r="K202" s="192"/>
    </row>
    <row r="203" spans="10:11" ht="15.95" customHeight="1" x14ac:dyDescent="0.25">
      <c r="J203" s="192"/>
      <c r="K203" s="192"/>
    </row>
    <row r="204" spans="10:11" ht="15.95" customHeight="1" x14ac:dyDescent="0.25">
      <c r="J204" s="192"/>
      <c r="K204" s="192"/>
    </row>
    <row r="205" spans="10:11" ht="15.95" customHeight="1" x14ac:dyDescent="0.25">
      <c r="J205" s="192"/>
      <c r="K205" s="192"/>
    </row>
    <row r="206" spans="10:11" ht="15.95" customHeight="1" x14ac:dyDescent="0.25">
      <c r="J206" s="192"/>
      <c r="K206" s="192"/>
    </row>
    <row r="207" spans="10:11" ht="15.95" customHeight="1" x14ac:dyDescent="0.25">
      <c r="J207" s="192"/>
      <c r="K207" s="192"/>
    </row>
    <row r="208" spans="10:11" ht="15.95" customHeight="1" x14ac:dyDescent="0.25">
      <c r="J208" s="192"/>
      <c r="K208" s="192"/>
    </row>
    <row r="209" spans="10:11" ht="15.95" customHeight="1" x14ac:dyDescent="0.25">
      <c r="J209" s="192"/>
      <c r="K209" s="192"/>
    </row>
    <row r="210" spans="10:11" ht="15.95" customHeight="1" x14ac:dyDescent="0.25">
      <c r="J210" s="192"/>
      <c r="K210" s="192"/>
    </row>
    <row r="211" spans="10:11" ht="15.95" customHeight="1" x14ac:dyDescent="0.25">
      <c r="J211" s="192"/>
      <c r="K211" s="192"/>
    </row>
    <row r="212" spans="10:11" ht="15.95" customHeight="1" x14ac:dyDescent="0.25">
      <c r="J212" s="192"/>
      <c r="K212" s="192"/>
    </row>
    <row r="213" spans="10:11" ht="15.95" customHeight="1" x14ac:dyDescent="0.25">
      <c r="J213" s="192"/>
      <c r="K213" s="192"/>
    </row>
    <row r="214" spans="10:11" ht="15.95" customHeight="1" x14ac:dyDescent="0.25">
      <c r="J214" s="192"/>
      <c r="K214" s="192"/>
    </row>
    <row r="215" spans="10:11" ht="15.95" customHeight="1" x14ac:dyDescent="0.25">
      <c r="J215" s="192"/>
      <c r="K215" s="192"/>
    </row>
    <row r="216" spans="10:11" ht="15.95" customHeight="1" x14ac:dyDescent="0.25">
      <c r="J216" s="192"/>
      <c r="K216" s="192"/>
    </row>
    <row r="217" spans="10:11" ht="15.95" customHeight="1" x14ac:dyDescent="0.25">
      <c r="J217" s="192"/>
      <c r="K217" s="192"/>
    </row>
    <row r="218" spans="10:11" ht="15.95" customHeight="1" x14ac:dyDescent="0.25">
      <c r="J218" s="192"/>
      <c r="K218" s="192"/>
    </row>
    <row r="219" spans="10:11" ht="15.95" customHeight="1" x14ac:dyDescent="0.25">
      <c r="J219" s="192"/>
      <c r="K219" s="192"/>
    </row>
    <row r="220" spans="10:11" ht="15.95" customHeight="1" x14ac:dyDescent="0.25">
      <c r="J220" s="192"/>
      <c r="K220" s="192"/>
    </row>
    <row r="221" spans="10:11" ht="15.95" customHeight="1" x14ac:dyDescent="0.25">
      <c r="J221" s="192"/>
      <c r="K221" s="192"/>
    </row>
    <row r="222" spans="10:11" ht="15.95" customHeight="1" x14ac:dyDescent="0.25">
      <c r="J222" s="192"/>
      <c r="K222" s="192"/>
    </row>
    <row r="223" spans="10:11" ht="15.95" customHeight="1" x14ac:dyDescent="0.25">
      <c r="J223" s="192"/>
      <c r="K223" s="192"/>
    </row>
    <row r="224" spans="10:11" ht="15.95" customHeight="1" x14ac:dyDescent="0.25">
      <c r="J224" s="192"/>
      <c r="K224" s="192"/>
    </row>
    <row r="225" spans="9:19" ht="15.95" customHeight="1" x14ac:dyDescent="0.25">
      <c r="J225" s="192"/>
      <c r="K225" s="192"/>
    </row>
    <row r="226" spans="9:19" ht="15.95" customHeight="1" x14ac:dyDescent="0.25">
      <c r="J226" s="192"/>
      <c r="K226" s="192"/>
    </row>
    <row r="227" spans="9:19" ht="15.95" customHeight="1" x14ac:dyDescent="0.25">
      <c r="J227" s="192"/>
      <c r="K227" s="192"/>
    </row>
    <row r="228" spans="9:19" ht="15.95" customHeight="1" x14ac:dyDescent="0.25">
      <c r="J228" s="192"/>
      <c r="K228" s="192"/>
    </row>
    <row r="229" spans="9:19" ht="15.95" customHeight="1" x14ac:dyDescent="0.25">
      <c r="J229" s="192"/>
      <c r="K229" s="192"/>
    </row>
    <row r="230" spans="9:19" ht="15.95" customHeight="1" x14ac:dyDescent="0.25">
      <c r="J230" s="192"/>
      <c r="K230" s="192"/>
    </row>
    <row r="231" spans="9:19" ht="15.95" customHeight="1" x14ac:dyDescent="0.25">
      <c r="J231" s="192"/>
      <c r="K231" s="192"/>
    </row>
    <row r="232" spans="9:19" ht="15.95" customHeight="1" x14ac:dyDescent="0.25">
      <c r="J232" s="192"/>
      <c r="K232" s="192"/>
    </row>
    <row r="233" spans="9:19" ht="15.95" customHeight="1" x14ac:dyDescent="0.25">
      <c r="J233" s="192"/>
      <c r="K233" s="192"/>
    </row>
    <row r="234" spans="9:19" ht="15.95" customHeight="1" x14ac:dyDescent="0.25">
      <c r="J234" s="192"/>
      <c r="K234" s="192"/>
    </row>
    <row r="235" spans="9:19" ht="15.95" customHeight="1" x14ac:dyDescent="0.25"/>
    <row r="236" spans="9:19" ht="15.95" customHeight="1" x14ac:dyDescent="0.25"/>
    <row r="237" spans="9:19" s="187" customFormat="1" ht="32.1" customHeight="1" x14ac:dyDescent="0.25">
      <c r="I237" s="184"/>
      <c r="J237" s="234" t="str">
        <f>ComparisonData!I2</f>
        <v>SECTION A: THE REASON FOR YOUR VISIT</v>
      </c>
      <c r="K237" s="234"/>
      <c r="L237" s="186"/>
      <c r="M237" s="186"/>
      <c r="N237" s="186"/>
      <c r="O237" s="186"/>
      <c r="P237" s="186"/>
      <c r="Q237" s="186"/>
      <c r="R237" s="186"/>
      <c r="S237" s="186"/>
    </row>
    <row r="238" spans="9:19" s="187" customFormat="1" ht="32.1" customHeight="1" x14ac:dyDescent="0.25">
      <c r="I238" s="184"/>
      <c r="J238" s="234" t="str">
        <f>ComparisonData!I3</f>
        <v>1. About your visit</v>
      </c>
      <c r="K238" s="234"/>
      <c r="L238" s="186"/>
      <c r="M238" s="186"/>
      <c r="N238" s="186"/>
      <c r="O238" s="186"/>
      <c r="P238" s="186"/>
      <c r="Q238" s="186"/>
      <c r="R238" s="186"/>
      <c r="S238" s="186"/>
    </row>
    <row r="239" spans="9:19" s="187" customFormat="1" ht="39.950000000000003" customHeight="1" x14ac:dyDescent="0.25">
      <c r="I239" s="184"/>
      <c r="J239" s="234" t="str">
        <f>ComparisonData!AG4</f>
        <v>(c) If Yes at (b) above, are you a regular user of this archive?</v>
      </c>
      <c r="K239" s="234"/>
      <c r="L239" s="186"/>
      <c r="M239" s="186"/>
      <c r="N239" s="186"/>
      <c r="O239" s="186"/>
      <c r="P239" s="186"/>
      <c r="Q239" s="186"/>
      <c r="R239" s="186"/>
      <c r="S239" s="186"/>
    </row>
    <row r="240" spans="9:19" ht="15.95" customHeight="1" x14ac:dyDescent="0.25">
      <c r="J240" s="189" t="str">
        <f>ComparisonData!AG5</f>
        <v>Yes</v>
      </c>
      <c r="K240" s="189" t="str">
        <f>ComparisonData!AH5</f>
        <v>No</v>
      </c>
    </row>
    <row r="241" spans="9:11" ht="15.95" customHeight="1" x14ac:dyDescent="0.25">
      <c r="I241" s="188" t="str" cm="1">
        <f t="array" aca="1" ref="I241" ca="1">c__If_Yes_at__b__above__are_you_a_regular_user_of_this_archive?_lbl</f>
        <v>TOTAL</v>
      </c>
      <c r="J241" s="192" cm="1">
        <f t="array" aca="1" ref="J241" ca="1">c__If_Yes_at__b__above__are_you_a_regular_user_of_this_archive?_y</f>
        <v>0.61368999999999996</v>
      </c>
      <c r="K241" s="192" cm="1">
        <f t="array" aca="1" ref="K241" ca="1">c__If_Yes_at__b__above__are_you_a_regular_user_of_this_archive?_n</f>
        <v>0.38630999999999999</v>
      </c>
    </row>
    <row r="242" spans="9:11" ht="15.95" customHeight="1" x14ac:dyDescent="0.25">
      <c r="J242" s="192"/>
      <c r="K242" s="192"/>
    </row>
    <row r="243" spans="9:11" ht="15.95" customHeight="1" x14ac:dyDescent="0.25">
      <c r="J243" s="192"/>
      <c r="K243" s="192"/>
    </row>
    <row r="244" spans="9:11" ht="15.95" customHeight="1" x14ac:dyDescent="0.25">
      <c r="J244" s="192"/>
      <c r="K244" s="192"/>
    </row>
    <row r="245" spans="9:11" ht="15.95" customHeight="1" x14ac:dyDescent="0.25">
      <c r="J245" s="192"/>
      <c r="K245" s="192"/>
    </row>
    <row r="246" spans="9:11" ht="15.95" customHeight="1" x14ac:dyDescent="0.25">
      <c r="J246" s="192"/>
      <c r="K246" s="192"/>
    </row>
    <row r="247" spans="9:11" ht="15.95" customHeight="1" x14ac:dyDescent="0.25">
      <c r="J247" s="192"/>
      <c r="K247" s="192"/>
    </row>
    <row r="248" spans="9:11" ht="15.95" customHeight="1" x14ac:dyDescent="0.25">
      <c r="J248" s="192"/>
      <c r="K248" s="192"/>
    </row>
    <row r="249" spans="9:11" ht="15.95" customHeight="1" x14ac:dyDescent="0.25">
      <c r="J249" s="192"/>
      <c r="K249" s="192"/>
    </row>
    <row r="250" spans="9:11" ht="15.95" customHeight="1" x14ac:dyDescent="0.25">
      <c r="J250" s="192"/>
      <c r="K250" s="192"/>
    </row>
    <row r="251" spans="9:11" ht="15.95" customHeight="1" x14ac:dyDescent="0.25">
      <c r="J251" s="192"/>
      <c r="K251" s="192"/>
    </row>
    <row r="252" spans="9:11" ht="15.95" customHeight="1" x14ac:dyDescent="0.25">
      <c r="J252" s="192"/>
      <c r="K252" s="192"/>
    </row>
    <row r="253" spans="9:11" ht="15.95" customHeight="1" x14ac:dyDescent="0.25">
      <c r="J253" s="192"/>
      <c r="K253" s="192"/>
    </row>
    <row r="254" spans="9:11" ht="15.95" customHeight="1" x14ac:dyDescent="0.25">
      <c r="J254" s="192"/>
      <c r="K254" s="192"/>
    </row>
    <row r="255" spans="9:11" ht="15.95" customHeight="1" x14ac:dyDescent="0.25">
      <c r="J255" s="192"/>
      <c r="K255" s="192"/>
    </row>
    <row r="256" spans="9:11" ht="15.95" customHeight="1" x14ac:dyDescent="0.25">
      <c r="J256" s="192"/>
      <c r="K256" s="192"/>
    </row>
    <row r="257" spans="10:11" ht="15.95" customHeight="1" x14ac:dyDescent="0.25">
      <c r="J257" s="192"/>
      <c r="K257" s="192"/>
    </row>
    <row r="258" spans="10:11" ht="15.95" customHeight="1" x14ac:dyDescent="0.25">
      <c r="J258" s="192"/>
      <c r="K258" s="192"/>
    </row>
    <row r="259" spans="10:11" ht="15.95" customHeight="1" x14ac:dyDescent="0.25">
      <c r="J259" s="192"/>
      <c r="K259" s="192"/>
    </row>
    <row r="260" spans="10:11" ht="15.95" customHeight="1" x14ac:dyDescent="0.25">
      <c r="J260" s="192"/>
      <c r="K260" s="192"/>
    </row>
    <row r="261" spans="10:11" ht="15.95" customHeight="1" x14ac:dyDescent="0.25">
      <c r="J261" s="192"/>
      <c r="K261" s="192"/>
    </row>
    <row r="262" spans="10:11" ht="15.95" customHeight="1" x14ac:dyDescent="0.25">
      <c r="J262" s="192"/>
      <c r="K262" s="192"/>
    </row>
    <row r="263" spans="10:11" ht="15.95" customHeight="1" x14ac:dyDescent="0.25">
      <c r="J263" s="192"/>
      <c r="K263" s="192"/>
    </row>
    <row r="264" spans="10:11" ht="15.95" customHeight="1" x14ac:dyDescent="0.25">
      <c r="J264" s="192"/>
      <c r="K264" s="192"/>
    </row>
    <row r="265" spans="10:11" ht="15.95" customHeight="1" x14ac:dyDescent="0.25">
      <c r="J265" s="192"/>
      <c r="K265" s="192"/>
    </row>
    <row r="266" spans="10:11" ht="15.95" customHeight="1" x14ac:dyDescent="0.25">
      <c r="J266" s="192"/>
      <c r="K266" s="192"/>
    </row>
    <row r="267" spans="10:11" ht="15.95" customHeight="1" x14ac:dyDescent="0.25">
      <c r="J267" s="192"/>
      <c r="K267" s="192"/>
    </row>
    <row r="268" spans="10:11" ht="15.95" customHeight="1" x14ac:dyDescent="0.25">
      <c r="J268" s="192"/>
      <c r="K268" s="192"/>
    </row>
    <row r="269" spans="10:11" ht="15.95" customHeight="1" x14ac:dyDescent="0.25">
      <c r="J269" s="192"/>
      <c r="K269" s="192"/>
    </row>
    <row r="270" spans="10:11" ht="15.95" customHeight="1" x14ac:dyDescent="0.25">
      <c r="J270" s="192"/>
      <c r="K270" s="192"/>
    </row>
    <row r="271" spans="10:11" ht="15.95" customHeight="1" x14ac:dyDescent="0.25">
      <c r="J271" s="192"/>
      <c r="K271" s="192"/>
    </row>
    <row r="272" spans="10:11" ht="15.95" customHeight="1" x14ac:dyDescent="0.25">
      <c r="J272" s="192"/>
      <c r="K272" s="192"/>
    </row>
    <row r="273" spans="10:11" ht="15.95" customHeight="1" x14ac:dyDescent="0.25">
      <c r="J273" s="192"/>
      <c r="K273" s="192"/>
    </row>
    <row r="274" spans="10:11" ht="15.95" customHeight="1" x14ac:dyDescent="0.25">
      <c r="J274" s="192"/>
      <c r="K274" s="192"/>
    </row>
    <row r="275" spans="10:11" ht="15.95" customHeight="1" x14ac:dyDescent="0.25">
      <c r="J275" s="192"/>
      <c r="K275" s="192"/>
    </row>
    <row r="276" spans="10:11" ht="15.95" customHeight="1" x14ac:dyDescent="0.25">
      <c r="J276" s="192"/>
      <c r="K276" s="192"/>
    </row>
    <row r="277" spans="10:11" ht="15.95" customHeight="1" x14ac:dyDescent="0.25">
      <c r="J277" s="192"/>
      <c r="K277" s="192"/>
    </row>
    <row r="278" spans="10:11" ht="15.95" customHeight="1" x14ac:dyDescent="0.25">
      <c r="J278" s="192"/>
      <c r="K278" s="192"/>
    </row>
    <row r="279" spans="10:11" ht="15.95" customHeight="1" x14ac:dyDescent="0.25">
      <c r="J279" s="192"/>
      <c r="K279" s="192"/>
    </row>
    <row r="280" spans="10:11" ht="15.95" customHeight="1" x14ac:dyDescent="0.25">
      <c r="J280" s="192"/>
      <c r="K280" s="192"/>
    </row>
    <row r="281" spans="10:11" ht="15.95" customHeight="1" x14ac:dyDescent="0.25">
      <c r="J281" s="192"/>
      <c r="K281" s="192"/>
    </row>
    <row r="282" spans="10:11" ht="15.95" customHeight="1" x14ac:dyDescent="0.25">
      <c r="J282" s="192"/>
      <c r="K282" s="192"/>
    </row>
    <row r="283" spans="10:11" ht="15.95" customHeight="1" x14ac:dyDescent="0.25">
      <c r="J283" s="192"/>
      <c r="K283" s="192"/>
    </row>
    <row r="284" spans="10:11" ht="15.95" customHeight="1" x14ac:dyDescent="0.25">
      <c r="J284" s="192"/>
      <c r="K284" s="192"/>
    </row>
    <row r="285" spans="10:11" ht="15.95" customHeight="1" x14ac:dyDescent="0.25">
      <c r="J285" s="192"/>
      <c r="K285" s="192"/>
    </row>
    <row r="286" spans="10:11" ht="15.95" customHeight="1" x14ac:dyDescent="0.25">
      <c r="J286" s="192"/>
      <c r="K286" s="192"/>
    </row>
    <row r="287" spans="10:11" ht="15.95" customHeight="1" x14ac:dyDescent="0.25">
      <c r="J287" s="192"/>
      <c r="K287" s="192"/>
    </row>
    <row r="288" spans="10:11" ht="15.95" customHeight="1" x14ac:dyDescent="0.25">
      <c r="J288" s="192"/>
      <c r="K288" s="192"/>
    </row>
    <row r="289" spans="10:11" ht="15.95" customHeight="1" x14ac:dyDescent="0.25">
      <c r="J289" s="192"/>
      <c r="K289" s="192"/>
    </row>
    <row r="290" spans="10:11" ht="15.95" customHeight="1" x14ac:dyDescent="0.25">
      <c r="J290" s="192"/>
      <c r="K290" s="192"/>
    </row>
    <row r="291" spans="10:11" ht="15.95" customHeight="1" x14ac:dyDescent="0.25">
      <c r="J291" s="192"/>
      <c r="K291" s="192"/>
    </row>
    <row r="292" spans="10:11" ht="15.95" customHeight="1" x14ac:dyDescent="0.25">
      <c r="J292" s="192"/>
      <c r="K292" s="192"/>
    </row>
    <row r="293" spans="10:11" ht="15.95" customHeight="1" x14ac:dyDescent="0.25">
      <c r="J293" s="192"/>
      <c r="K293" s="192"/>
    </row>
    <row r="294" spans="10:11" ht="15.95" customHeight="1" x14ac:dyDescent="0.25">
      <c r="J294" s="192"/>
      <c r="K294" s="192"/>
    </row>
    <row r="295" spans="10:11" ht="15.95" customHeight="1" x14ac:dyDescent="0.25">
      <c r="J295" s="192"/>
      <c r="K295" s="192"/>
    </row>
    <row r="296" spans="10:11" ht="15.95" customHeight="1" x14ac:dyDescent="0.25">
      <c r="J296" s="192"/>
      <c r="K296" s="192"/>
    </row>
    <row r="297" spans="10:11" ht="15.95" customHeight="1" x14ac:dyDescent="0.25">
      <c r="J297" s="192"/>
      <c r="K297" s="192"/>
    </row>
    <row r="298" spans="10:11" ht="15.95" customHeight="1" x14ac:dyDescent="0.25">
      <c r="J298" s="192"/>
      <c r="K298" s="192"/>
    </row>
    <row r="299" spans="10:11" ht="15.95" customHeight="1" x14ac:dyDescent="0.25">
      <c r="J299" s="192"/>
      <c r="K299" s="192"/>
    </row>
    <row r="300" spans="10:11" ht="15.95" customHeight="1" x14ac:dyDescent="0.25">
      <c r="J300" s="192"/>
      <c r="K300" s="192"/>
    </row>
    <row r="301" spans="10:11" ht="15.95" customHeight="1" x14ac:dyDescent="0.25">
      <c r="J301" s="192"/>
      <c r="K301" s="192"/>
    </row>
    <row r="302" spans="10:11" ht="15.95" customHeight="1" x14ac:dyDescent="0.25">
      <c r="J302" s="192"/>
      <c r="K302" s="192"/>
    </row>
    <row r="303" spans="10:11" ht="15.95" customHeight="1" x14ac:dyDescent="0.25">
      <c r="J303" s="192"/>
      <c r="K303" s="192"/>
    </row>
    <row r="304" spans="10:11" ht="15.95" customHeight="1" x14ac:dyDescent="0.25">
      <c r="J304" s="192"/>
      <c r="K304" s="192"/>
    </row>
    <row r="305" spans="10:11" ht="15.95" customHeight="1" x14ac:dyDescent="0.25">
      <c r="J305" s="192"/>
      <c r="K305" s="192"/>
    </row>
    <row r="306" spans="10:11" ht="15.95" customHeight="1" x14ac:dyDescent="0.25">
      <c r="J306" s="192"/>
      <c r="K306" s="192"/>
    </row>
    <row r="307" spans="10:11" ht="15.95" customHeight="1" x14ac:dyDescent="0.25">
      <c r="J307" s="192"/>
      <c r="K307" s="192"/>
    </row>
    <row r="308" spans="10:11" ht="15.95" customHeight="1" x14ac:dyDescent="0.25">
      <c r="J308" s="192"/>
      <c r="K308" s="192"/>
    </row>
    <row r="309" spans="10:11" ht="15.95" customHeight="1" x14ac:dyDescent="0.25">
      <c r="J309" s="192"/>
      <c r="K309" s="192"/>
    </row>
    <row r="310" spans="10:11" ht="15.95" customHeight="1" x14ac:dyDescent="0.25">
      <c r="J310" s="192"/>
      <c r="K310" s="192"/>
    </row>
    <row r="311" spans="10:11" ht="15.95" customHeight="1" x14ac:dyDescent="0.25">
      <c r="J311" s="192"/>
      <c r="K311" s="192"/>
    </row>
    <row r="312" spans="10:11" ht="15.95" customHeight="1" x14ac:dyDescent="0.25">
      <c r="J312" s="192"/>
      <c r="K312" s="192"/>
    </row>
    <row r="313" spans="10:11" ht="15.95" customHeight="1" x14ac:dyDescent="0.25">
      <c r="J313" s="192"/>
      <c r="K313" s="192"/>
    </row>
    <row r="314" spans="10:11" ht="15.95" customHeight="1" x14ac:dyDescent="0.25">
      <c r="J314" s="192"/>
      <c r="K314" s="192"/>
    </row>
    <row r="315" spans="10:11" ht="15.95" customHeight="1" x14ac:dyDescent="0.25">
      <c r="J315" s="192"/>
      <c r="K315" s="192"/>
    </row>
    <row r="316" spans="10:11" ht="15.95" customHeight="1" x14ac:dyDescent="0.25">
      <c r="J316" s="192"/>
      <c r="K316" s="192"/>
    </row>
    <row r="317" spans="10:11" ht="15.95" customHeight="1" x14ac:dyDescent="0.25">
      <c r="J317" s="192"/>
      <c r="K317" s="192"/>
    </row>
    <row r="318" spans="10:11" ht="15.95" customHeight="1" x14ac:dyDescent="0.25">
      <c r="J318" s="192"/>
      <c r="K318" s="192"/>
    </row>
    <row r="319" spans="10:11" ht="15.95" customHeight="1" x14ac:dyDescent="0.25">
      <c r="J319" s="192"/>
      <c r="K319" s="192"/>
    </row>
    <row r="320" spans="10:11" ht="15.95" customHeight="1" x14ac:dyDescent="0.25">
      <c r="J320" s="192"/>
      <c r="K320" s="192"/>
    </row>
    <row r="321" spans="10:11" ht="15.95" customHeight="1" x14ac:dyDescent="0.25">
      <c r="J321" s="192"/>
      <c r="K321" s="192"/>
    </row>
    <row r="322" spans="10:11" ht="15.95" customHeight="1" x14ac:dyDescent="0.25">
      <c r="J322" s="192"/>
      <c r="K322" s="192"/>
    </row>
    <row r="323" spans="10:11" ht="15.95" customHeight="1" x14ac:dyDescent="0.25">
      <c r="J323" s="192"/>
      <c r="K323" s="192"/>
    </row>
    <row r="324" spans="10:11" ht="15.95" customHeight="1" x14ac:dyDescent="0.25">
      <c r="J324" s="192"/>
      <c r="K324" s="192"/>
    </row>
    <row r="325" spans="10:11" ht="15.95" customHeight="1" x14ac:dyDescent="0.25">
      <c r="J325" s="192"/>
      <c r="K325" s="192"/>
    </row>
    <row r="326" spans="10:11" ht="15.95" customHeight="1" x14ac:dyDescent="0.25">
      <c r="J326" s="192"/>
      <c r="K326" s="192"/>
    </row>
    <row r="327" spans="10:11" ht="15.95" customHeight="1" x14ac:dyDescent="0.25">
      <c r="J327" s="192"/>
      <c r="K327" s="192"/>
    </row>
    <row r="328" spans="10:11" ht="15.95" customHeight="1" x14ac:dyDescent="0.25">
      <c r="J328" s="192"/>
      <c r="K328" s="192"/>
    </row>
    <row r="329" spans="10:11" ht="15.95" customHeight="1" x14ac:dyDescent="0.25">
      <c r="J329" s="192"/>
      <c r="K329" s="192"/>
    </row>
    <row r="330" spans="10:11" ht="15.95" customHeight="1" x14ac:dyDescent="0.25">
      <c r="J330" s="192"/>
      <c r="K330" s="192"/>
    </row>
    <row r="331" spans="10:11" ht="15.95" customHeight="1" x14ac:dyDescent="0.25">
      <c r="J331" s="192"/>
      <c r="K331" s="192"/>
    </row>
    <row r="332" spans="10:11" ht="15.95" customHeight="1" x14ac:dyDescent="0.25">
      <c r="J332" s="192"/>
      <c r="K332" s="192"/>
    </row>
    <row r="333" spans="10:11" ht="15.95" customHeight="1" x14ac:dyDescent="0.25">
      <c r="J333" s="192"/>
      <c r="K333" s="192"/>
    </row>
    <row r="334" spans="10:11" ht="15.95" customHeight="1" x14ac:dyDescent="0.25">
      <c r="J334" s="192"/>
      <c r="K334" s="192"/>
    </row>
    <row r="335" spans="10:11" ht="15.95" customHeight="1" x14ac:dyDescent="0.25">
      <c r="J335" s="192"/>
      <c r="K335" s="192"/>
    </row>
    <row r="336" spans="10:11" ht="15.95" customHeight="1" x14ac:dyDescent="0.25">
      <c r="J336" s="192"/>
      <c r="K336" s="192"/>
    </row>
    <row r="337" spans="10:19" ht="15.95" customHeight="1" x14ac:dyDescent="0.25">
      <c r="J337" s="192"/>
      <c r="K337" s="192"/>
    </row>
    <row r="338" spans="10:19" ht="15.95" customHeight="1" x14ac:dyDescent="0.25">
      <c r="J338" s="192"/>
      <c r="K338" s="192"/>
    </row>
    <row r="339" spans="10:19" ht="15.95" customHeight="1" x14ac:dyDescent="0.25">
      <c r="J339" s="192"/>
      <c r="K339" s="192"/>
    </row>
    <row r="340" spans="10:19" ht="15.95" customHeight="1" x14ac:dyDescent="0.25">
      <c r="J340" s="192"/>
      <c r="K340" s="192"/>
    </row>
    <row r="341" spans="10:19" ht="15.95" customHeight="1" x14ac:dyDescent="0.25">
      <c r="J341" s="192"/>
      <c r="K341" s="192"/>
    </row>
    <row r="342" spans="10:19" ht="15.95" customHeight="1" x14ac:dyDescent="0.25">
      <c r="J342" s="192"/>
      <c r="K342" s="192"/>
    </row>
    <row r="343" spans="10:19" ht="15.95" customHeight="1" x14ac:dyDescent="0.25">
      <c r="J343" s="192"/>
      <c r="K343" s="192"/>
    </row>
    <row r="344" spans="10:19" ht="15.95" customHeight="1" x14ac:dyDescent="0.25">
      <c r="J344" s="192"/>
      <c r="K344" s="192"/>
    </row>
    <row r="345" spans="10:19" ht="15.95" customHeight="1" x14ac:dyDescent="0.25">
      <c r="J345" s="192"/>
      <c r="K345" s="192"/>
    </row>
    <row r="346" spans="10:19" ht="15.95" customHeight="1" x14ac:dyDescent="0.25">
      <c r="J346" s="192"/>
      <c r="K346" s="192"/>
    </row>
    <row r="347" spans="10:19" ht="15.95" customHeight="1" x14ac:dyDescent="0.25">
      <c r="J347" s="192"/>
      <c r="K347" s="192"/>
    </row>
    <row r="348" spans="10:19" ht="15.95" customHeight="1" x14ac:dyDescent="0.25">
      <c r="J348" s="192"/>
      <c r="K348" s="192"/>
    </row>
    <row r="349" spans="10:19" ht="15.95" customHeight="1" x14ac:dyDescent="0.25"/>
    <row r="350" spans="10:19" ht="15.95" customHeight="1" x14ac:dyDescent="0.25"/>
    <row r="351" spans="10:19" ht="32.1" customHeight="1" x14ac:dyDescent="0.25">
      <c r="J351" s="238" t="str">
        <f>ComparisonData!AR2</f>
        <v>SECTION A: THE REASON FOR YOUR VISIT</v>
      </c>
      <c r="K351" s="239"/>
      <c r="L351" s="239"/>
      <c r="M351" s="239"/>
      <c r="N351" s="239"/>
      <c r="O351" s="239"/>
      <c r="P351" s="239"/>
      <c r="Q351" s="239"/>
      <c r="R351" s="239"/>
      <c r="S351" s="240"/>
    </row>
    <row r="352" spans="10:19" ht="32.1" customHeight="1" x14ac:dyDescent="0.25">
      <c r="J352" s="238" t="str">
        <f>ComparisonData!AR3</f>
        <v xml:space="preserve">2. (a) Why are you visiting this archive today? </v>
      </c>
      <c r="K352" s="239"/>
      <c r="L352" s="239"/>
      <c r="M352" s="239"/>
      <c r="N352" s="239"/>
      <c r="O352" s="239"/>
      <c r="P352" s="239"/>
      <c r="Q352" s="239"/>
      <c r="R352" s="239"/>
      <c r="S352" s="240"/>
    </row>
    <row r="353" spans="9:22" ht="104.1" customHeight="1" x14ac:dyDescent="0.25">
      <c r="J353" s="185" t="str">
        <f>ComparisonData!BD4</f>
        <v>Academic research</v>
      </c>
      <c r="K353" s="185" t="str">
        <f>ComparisonData!BE4</f>
        <v>Family history</v>
      </c>
      <c r="L353" s="185" t="str">
        <f>ComparisonData!BF4</f>
        <v>Local history</v>
      </c>
      <c r="M353" s="185" t="str">
        <f>ComparisonData!BG4</f>
        <v>To gather information for a talk / publication / presentation</v>
      </c>
      <c r="N353" s="185" t="str">
        <f>ComparisonData!BH4</f>
        <v>Architectural / building / site research</v>
      </c>
      <c r="O353" s="185" t="str">
        <f>ComparisonData!BI4</f>
        <v>To find information or evidence relating to my work or for the organisation I volunteer for</v>
      </c>
      <c r="P353" s="185" t="str">
        <f>ComparisonData!BJ4</f>
        <v>Military history</v>
      </c>
      <c r="Q353" s="185" t="str">
        <f>ComparisonData!BK4</f>
        <v>General browsing / familiarising myself with the archive</v>
      </c>
      <c r="R353" s="185" t="str">
        <f>ComparisonData!BL4</f>
        <v>To find evidence relating to rights and entitlements</v>
      </c>
      <c r="S353" s="185" t="str">
        <f>ComparisonData!BM4</f>
        <v>Other</v>
      </c>
      <c r="T353" s="186"/>
      <c r="U353" s="186"/>
      <c r="V353" s="186"/>
    </row>
    <row r="354" spans="9:22" ht="15.95" customHeight="1" x14ac:dyDescent="0.25">
      <c r="I354" s="188" t="str" cm="1">
        <f t="array" aca="1" ref="I354" ca="1">_2.__a__Why_are_you_visiting_this_archive_today?_lbl</f>
        <v>TOTAL</v>
      </c>
      <c r="J354" s="192" cm="1">
        <f t="array" aca="1" ref="J354" ca="1">_2.__a__Why_are_you_visiting_this_archive_today?_a</f>
        <v>0.36812</v>
      </c>
      <c r="K354" s="192" cm="1">
        <f t="array" aca="1" ref="K354" ca="1">_2.__a__Why_are_you_visiting_this_archive_today?_b</f>
        <v>0.27817999999999998</v>
      </c>
      <c r="L354" s="192" cm="1">
        <f t="array" aca="1" ref="L354" ca="1">_2.__a__Why_are_you_visiting_this_archive_today?_c</f>
        <v>0.24177000000000001</v>
      </c>
      <c r="M354" s="192" cm="1">
        <f t="array" aca="1" ref="M354" ca="1">_2.__a__Why_are_you_visiting_this_archive_today?_d</f>
        <v>0.12375</v>
      </c>
      <c r="N354" s="192" cm="1">
        <f t="array" aca="1" ref="N354" ca="1">_2.__a__Why_are_you_visiting_this_archive_today?_e</f>
        <v>0.1076</v>
      </c>
      <c r="O354" s="192" cm="1">
        <f t="array" aca="1" ref="O354" ca="1">_2.__a__Why_are_you_visiting_this_archive_today?_f</f>
        <v>0.10231</v>
      </c>
      <c r="P354" s="192" cm="1">
        <f t="array" aca="1" ref="P354" ca="1">_2.__a__Why_are_you_visiting_this_archive_today?_g</f>
        <v>9.2700000000000005E-2</v>
      </c>
      <c r="Q354" s="192" cm="1">
        <f t="array" aca="1" ref="Q354" ca="1">_2.__a__Why_are_you_visiting_this_archive_today?_h</f>
        <v>6.1120000000000001E-2</v>
      </c>
      <c r="R354" s="192" cm="1">
        <f t="array" aca="1" ref="R354" ca="1">_2.__a__Why_are_you_visiting_this_archive_today?_i</f>
        <v>2.3099999999999999E-2</v>
      </c>
      <c r="S354" s="192" cm="1">
        <f t="array" aca="1" ref="S354" ca="1">_2.__a__Why_are_you_visiting_this_archive_today?_j</f>
        <v>0.11119999999999999</v>
      </c>
    </row>
    <row r="355" spans="9:22" ht="15.95" customHeight="1" x14ac:dyDescent="0.25">
      <c r="J355" s="192"/>
      <c r="K355" s="192"/>
      <c r="L355" s="192"/>
      <c r="M355" s="192"/>
      <c r="N355" s="192"/>
      <c r="O355" s="192"/>
      <c r="P355" s="192"/>
      <c r="Q355" s="192"/>
      <c r="R355" s="192"/>
      <c r="S355" s="192"/>
    </row>
    <row r="356" spans="9:22" ht="15.95" customHeight="1" x14ac:dyDescent="0.25">
      <c r="J356" s="192"/>
      <c r="K356" s="192"/>
      <c r="L356" s="192"/>
      <c r="M356" s="192"/>
      <c r="N356" s="192"/>
      <c r="O356" s="192"/>
      <c r="P356" s="192"/>
      <c r="Q356" s="192"/>
      <c r="R356" s="192"/>
      <c r="S356" s="192"/>
    </row>
    <row r="357" spans="9:22" ht="15.95" customHeight="1" x14ac:dyDescent="0.25">
      <c r="J357" s="192"/>
      <c r="K357" s="192"/>
      <c r="L357" s="192"/>
      <c r="M357" s="192"/>
      <c r="N357" s="192"/>
      <c r="O357" s="192"/>
      <c r="P357" s="192"/>
      <c r="Q357" s="192"/>
      <c r="R357" s="192"/>
      <c r="S357" s="192"/>
    </row>
    <row r="358" spans="9:22" ht="15.95" customHeight="1" x14ac:dyDescent="0.25">
      <c r="J358" s="192"/>
      <c r="K358" s="192"/>
      <c r="L358" s="192"/>
      <c r="M358" s="192"/>
      <c r="N358" s="192"/>
      <c r="O358" s="192"/>
      <c r="P358" s="192"/>
      <c r="Q358" s="192"/>
      <c r="R358" s="192"/>
      <c r="S358" s="192"/>
    </row>
    <row r="359" spans="9:22" ht="15.95" customHeight="1" x14ac:dyDescent="0.25">
      <c r="J359" s="192"/>
      <c r="K359" s="192"/>
      <c r="L359" s="192"/>
      <c r="M359" s="192"/>
      <c r="N359" s="192"/>
      <c r="O359" s="192"/>
      <c r="P359" s="192"/>
      <c r="Q359" s="192"/>
      <c r="R359" s="192"/>
      <c r="S359" s="192"/>
    </row>
    <row r="360" spans="9:22" ht="15.95" customHeight="1" x14ac:dyDescent="0.25">
      <c r="J360" s="192"/>
      <c r="K360" s="192"/>
      <c r="L360" s="192"/>
      <c r="M360" s="192"/>
      <c r="N360" s="192"/>
      <c r="O360" s="192"/>
      <c r="P360" s="192"/>
      <c r="Q360" s="192"/>
      <c r="R360" s="192"/>
      <c r="S360" s="192"/>
    </row>
    <row r="361" spans="9:22" ht="15.95" customHeight="1" x14ac:dyDescent="0.25">
      <c r="J361" s="192"/>
      <c r="K361" s="192"/>
      <c r="L361" s="192"/>
      <c r="M361" s="192"/>
      <c r="N361" s="192"/>
      <c r="O361" s="192"/>
      <c r="P361" s="192"/>
      <c r="Q361" s="192"/>
      <c r="R361" s="192"/>
      <c r="S361" s="192"/>
    </row>
    <row r="362" spans="9:22" ht="15.95" customHeight="1" x14ac:dyDescent="0.25">
      <c r="J362" s="192"/>
      <c r="K362" s="192"/>
      <c r="L362" s="192"/>
      <c r="M362" s="192"/>
      <c r="N362" s="192"/>
      <c r="O362" s="192"/>
      <c r="P362" s="192"/>
      <c r="Q362" s="192"/>
      <c r="R362" s="192"/>
      <c r="S362" s="192"/>
    </row>
    <row r="363" spans="9:22" ht="15.95" customHeight="1" x14ac:dyDescent="0.25">
      <c r="J363" s="192"/>
      <c r="K363" s="192"/>
      <c r="L363" s="192"/>
      <c r="M363" s="192"/>
      <c r="N363" s="192"/>
      <c r="O363" s="192"/>
      <c r="P363" s="192"/>
      <c r="Q363" s="192"/>
      <c r="R363" s="192"/>
      <c r="S363" s="192"/>
    </row>
    <row r="364" spans="9:22" ht="15.95" customHeight="1" x14ac:dyDescent="0.25">
      <c r="J364" s="192"/>
      <c r="K364" s="192"/>
      <c r="L364" s="192"/>
      <c r="M364" s="192"/>
      <c r="N364" s="192"/>
      <c r="O364" s="192"/>
      <c r="P364" s="192"/>
      <c r="Q364" s="192"/>
      <c r="R364" s="192"/>
      <c r="S364" s="192"/>
    </row>
    <row r="365" spans="9:22" ht="15.95" customHeight="1" x14ac:dyDescent="0.25">
      <c r="J365" s="192"/>
      <c r="K365" s="192"/>
      <c r="L365" s="192"/>
      <c r="M365" s="192"/>
      <c r="N365" s="192"/>
      <c r="O365" s="192"/>
      <c r="P365" s="192"/>
      <c r="Q365" s="192"/>
      <c r="R365" s="192"/>
      <c r="S365" s="192"/>
    </row>
    <row r="366" spans="9:22" ht="15.95" customHeight="1" x14ac:dyDescent="0.25">
      <c r="J366" s="192"/>
      <c r="K366" s="192"/>
      <c r="L366" s="192"/>
      <c r="M366" s="192"/>
      <c r="N366" s="192"/>
      <c r="O366" s="192"/>
      <c r="P366" s="192"/>
      <c r="Q366" s="192"/>
      <c r="R366" s="192"/>
      <c r="S366" s="192"/>
    </row>
    <row r="367" spans="9:22" ht="15.95" customHeight="1" x14ac:dyDescent="0.25">
      <c r="J367" s="192"/>
      <c r="K367" s="192"/>
      <c r="L367" s="192"/>
      <c r="M367" s="192"/>
      <c r="N367" s="192"/>
      <c r="O367" s="192"/>
      <c r="P367" s="192"/>
      <c r="Q367" s="192"/>
      <c r="R367" s="192"/>
      <c r="S367" s="192"/>
    </row>
    <row r="368" spans="9:22" ht="15.95" customHeight="1" x14ac:dyDescent="0.25">
      <c r="J368" s="192"/>
      <c r="K368" s="192"/>
      <c r="L368" s="192"/>
      <c r="M368" s="192"/>
      <c r="N368" s="192"/>
      <c r="O368" s="192"/>
      <c r="P368" s="192"/>
      <c r="Q368" s="192"/>
      <c r="R368" s="192"/>
      <c r="S368" s="192"/>
    </row>
    <row r="369" spans="10:19" ht="15.95" customHeight="1" x14ac:dyDescent="0.25">
      <c r="J369" s="192"/>
      <c r="K369" s="192"/>
      <c r="L369" s="192"/>
      <c r="M369" s="192"/>
      <c r="N369" s="192"/>
      <c r="O369" s="192"/>
      <c r="P369" s="192"/>
      <c r="Q369" s="192"/>
      <c r="R369" s="192"/>
      <c r="S369" s="192"/>
    </row>
    <row r="370" spans="10:19" ht="15.95" customHeight="1" x14ac:dyDescent="0.25">
      <c r="J370" s="192"/>
      <c r="K370" s="192"/>
      <c r="L370" s="192"/>
      <c r="M370" s="192"/>
      <c r="N370" s="192"/>
      <c r="O370" s="192"/>
      <c r="P370" s="192"/>
      <c r="Q370" s="192"/>
      <c r="R370" s="192"/>
      <c r="S370" s="192"/>
    </row>
    <row r="371" spans="10:19" ht="15.95" customHeight="1" x14ac:dyDescent="0.25">
      <c r="J371" s="192"/>
      <c r="K371" s="192"/>
      <c r="L371" s="192"/>
      <c r="M371" s="192"/>
      <c r="N371" s="192"/>
      <c r="O371" s="192"/>
      <c r="P371" s="192"/>
      <c r="Q371" s="192"/>
      <c r="R371" s="192"/>
      <c r="S371" s="192"/>
    </row>
    <row r="372" spans="10:19" ht="15.95" customHeight="1" x14ac:dyDescent="0.25">
      <c r="J372" s="192"/>
      <c r="K372" s="192"/>
      <c r="L372" s="192"/>
      <c r="M372" s="192"/>
      <c r="N372" s="192"/>
      <c r="O372" s="192"/>
      <c r="P372" s="192"/>
      <c r="Q372" s="192"/>
      <c r="R372" s="192"/>
      <c r="S372" s="192"/>
    </row>
    <row r="373" spans="10:19" ht="15.95" customHeight="1" x14ac:dyDescent="0.25">
      <c r="J373" s="192"/>
      <c r="K373" s="192"/>
      <c r="L373" s="192"/>
      <c r="M373" s="192"/>
      <c r="N373" s="192"/>
      <c r="O373" s="192"/>
      <c r="P373" s="192"/>
      <c r="Q373" s="192"/>
      <c r="R373" s="192"/>
      <c r="S373" s="192"/>
    </row>
    <row r="374" spans="10:19" ht="15.95" customHeight="1" x14ac:dyDescent="0.25">
      <c r="J374" s="192"/>
      <c r="K374" s="192"/>
      <c r="L374" s="192"/>
      <c r="M374" s="192"/>
      <c r="N374" s="192"/>
      <c r="O374" s="192"/>
      <c r="P374" s="192"/>
      <c r="Q374" s="192"/>
      <c r="R374" s="192"/>
      <c r="S374" s="192"/>
    </row>
    <row r="375" spans="10:19" ht="15.95" customHeight="1" x14ac:dyDescent="0.25">
      <c r="J375" s="192"/>
      <c r="K375" s="192"/>
      <c r="L375" s="192"/>
      <c r="M375" s="192"/>
      <c r="N375" s="192"/>
      <c r="O375" s="192"/>
      <c r="P375" s="192"/>
      <c r="Q375" s="192"/>
      <c r="R375" s="192"/>
      <c r="S375" s="192"/>
    </row>
    <row r="376" spans="10:19" ht="15.95" customHeight="1" x14ac:dyDescent="0.25">
      <c r="J376" s="192"/>
      <c r="K376" s="192"/>
      <c r="L376" s="192"/>
      <c r="M376" s="192"/>
      <c r="N376" s="192"/>
      <c r="O376" s="192"/>
      <c r="P376" s="192"/>
      <c r="Q376" s="192"/>
      <c r="R376" s="192"/>
      <c r="S376" s="192"/>
    </row>
    <row r="377" spans="10:19" ht="15.95" customHeight="1" x14ac:dyDescent="0.25">
      <c r="J377" s="192"/>
      <c r="K377" s="192"/>
      <c r="L377" s="192"/>
      <c r="M377" s="192"/>
      <c r="N377" s="192"/>
      <c r="O377" s="192"/>
      <c r="P377" s="192"/>
      <c r="Q377" s="192"/>
      <c r="R377" s="192"/>
      <c r="S377" s="192"/>
    </row>
    <row r="378" spans="10:19" ht="15.95" customHeight="1" x14ac:dyDescent="0.25">
      <c r="J378" s="192"/>
      <c r="K378" s="192"/>
      <c r="L378" s="192"/>
      <c r="M378" s="192"/>
      <c r="N378" s="192"/>
      <c r="O378" s="192"/>
      <c r="P378" s="192"/>
      <c r="Q378" s="192"/>
      <c r="R378" s="192"/>
      <c r="S378" s="192"/>
    </row>
    <row r="379" spans="10:19" ht="15.95" customHeight="1" x14ac:dyDescent="0.25">
      <c r="J379" s="192"/>
      <c r="K379" s="192"/>
      <c r="L379" s="192"/>
      <c r="M379" s="192"/>
      <c r="N379" s="192"/>
      <c r="O379" s="192"/>
      <c r="P379" s="192"/>
      <c r="Q379" s="192"/>
      <c r="R379" s="192"/>
      <c r="S379" s="192"/>
    </row>
    <row r="380" spans="10:19" ht="15.95" customHeight="1" x14ac:dyDescent="0.25">
      <c r="J380" s="192"/>
      <c r="K380" s="192"/>
      <c r="L380" s="192"/>
      <c r="M380" s="192"/>
      <c r="N380" s="192"/>
      <c r="O380" s="192"/>
      <c r="P380" s="192"/>
      <c r="Q380" s="192"/>
      <c r="R380" s="192"/>
      <c r="S380" s="192"/>
    </row>
    <row r="381" spans="10:19" ht="15.95" customHeight="1" x14ac:dyDescent="0.25">
      <c r="J381" s="192"/>
      <c r="K381" s="192"/>
      <c r="L381" s="192"/>
      <c r="M381" s="192"/>
      <c r="N381" s="192"/>
      <c r="O381" s="192"/>
      <c r="P381" s="192"/>
      <c r="Q381" s="192"/>
      <c r="R381" s="192"/>
      <c r="S381" s="192"/>
    </row>
    <row r="382" spans="10:19" ht="15.95" customHeight="1" x14ac:dyDescent="0.25">
      <c r="J382" s="192"/>
      <c r="K382" s="192"/>
      <c r="L382" s="192"/>
      <c r="M382" s="192"/>
      <c r="N382" s="192"/>
      <c r="O382" s="192"/>
      <c r="P382" s="192"/>
      <c r="Q382" s="192"/>
      <c r="R382" s="192"/>
      <c r="S382" s="192"/>
    </row>
    <row r="383" spans="10:19" ht="15.95" customHeight="1" x14ac:dyDescent="0.25">
      <c r="J383" s="192"/>
      <c r="K383" s="192"/>
      <c r="L383" s="192"/>
      <c r="M383" s="192"/>
      <c r="N383" s="192"/>
      <c r="O383" s="192"/>
      <c r="P383" s="192"/>
      <c r="Q383" s="192"/>
      <c r="R383" s="192"/>
      <c r="S383" s="192"/>
    </row>
    <row r="384" spans="10:19" ht="15.95" customHeight="1" x14ac:dyDescent="0.25">
      <c r="J384" s="192"/>
      <c r="K384" s="192"/>
      <c r="L384" s="192"/>
      <c r="M384" s="192"/>
      <c r="N384" s="192"/>
      <c r="O384" s="192"/>
      <c r="P384" s="192"/>
      <c r="Q384" s="192"/>
      <c r="R384" s="192"/>
      <c r="S384" s="192"/>
    </row>
    <row r="385" spans="10:19" ht="15.95" customHeight="1" x14ac:dyDescent="0.25">
      <c r="J385" s="192"/>
      <c r="K385" s="192"/>
      <c r="L385" s="192"/>
      <c r="M385" s="192"/>
      <c r="N385" s="192"/>
      <c r="O385" s="192"/>
      <c r="P385" s="192"/>
      <c r="Q385" s="192"/>
      <c r="R385" s="192"/>
      <c r="S385" s="192"/>
    </row>
    <row r="386" spans="10:19" ht="15.95" customHeight="1" x14ac:dyDescent="0.25">
      <c r="J386" s="192"/>
      <c r="K386" s="192"/>
      <c r="L386" s="192"/>
      <c r="M386" s="192"/>
      <c r="N386" s="192"/>
      <c r="O386" s="192"/>
      <c r="P386" s="192"/>
      <c r="Q386" s="192"/>
      <c r="R386" s="192"/>
      <c r="S386" s="192"/>
    </row>
    <row r="387" spans="10:19" ht="15.95" customHeight="1" x14ac:dyDescent="0.25">
      <c r="J387" s="192"/>
      <c r="K387" s="192"/>
      <c r="L387" s="192"/>
      <c r="M387" s="192"/>
      <c r="N387" s="192"/>
      <c r="O387" s="192"/>
      <c r="P387" s="192"/>
      <c r="Q387" s="192"/>
      <c r="R387" s="192"/>
      <c r="S387" s="192"/>
    </row>
    <row r="388" spans="10:19" ht="15.95" customHeight="1" x14ac:dyDescent="0.25">
      <c r="J388" s="192"/>
      <c r="K388" s="192"/>
      <c r="L388" s="192"/>
      <c r="M388" s="192"/>
      <c r="N388" s="192"/>
      <c r="O388" s="192"/>
      <c r="P388" s="192"/>
      <c r="Q388" s="192"/>
      <c r="R388" s="192"/>
      <c r="S388" s="192"/>
    </row>
    <row r="389" spans="10:19" ht="15.95" customHeight="1" x14ac:dyDescent="0.25">
      <c r="J389" s="192"/>
      <c r="K389" s="192"/>
      <c r="L389" s="192"/>
      <c r="M389" s="192"/>
      <c r="N389" s="192"/>
      <c r="O389" s="192"/>
      <c r="P389" s="192"/>
      <c r="Q389" s="192"/>
      <c r="R389" s="192"/>
      <c r="S389" s="192"/>
    </row>
    <row r="390" spans="10:19" ht="15.95" customHeight="1" x14ac:dyDescent="0.25">
      <c r="J390" s="192"/>
      <c r="K390" s="192"/>
      <c r="L390" s="192"/>
      <c r="M390" s="192"/>
      <c r="N390" s="192"/>
      <c r="O390" s="192"/>
      <c r="P390" s="192"/>
      <c r="Q390" s="192"/>
      <c r="R390" s="192"/>
      <c r="S390" s="192"/>
    </row>
    <row r="391" spans="10:19" ht="15.95" customHeight="1" x14ac:dyDescent="0.25">
      <c r="J391" s="192"/>
      <c r="K391" s="192"/>
      <c r="L391" s="192"/>
      <c r="M391" s="192"/>
      <c r="N391" s="192"/>
      <c r="O391" s="192"/>
      <c r="P391" s="192"/>
      <c r="Q391" s="192"/>
      <c r="R391" s="192"/>
      <c r="S391" s="192"/>
    </row>
    <row r="392" spans="10:19" ht="15.95" customHeight="1" x14ac:dyDescent="0.25">
      <c r="J392" s="192"/>
      <c r="K392" s="192"/>
      <c r="L392" s="192"/>
      <c r="M392" s="192"/>
      <c r="N392" s="192"/>
      <c r="O392" s="192"/>
      <c r="P392" s="192"/>
      <c r="Q392" s="192"/>
      <c r="R392" s="192"/>
      <c r="S392" s="192"/>
    </row>
    <row r="393" spans="10:19" ht="15.95" customHeight="1" x14ac:dyDescent="0.25">
      <c r="J393" s="192"/>
      <c r="K393" s="192"/>
      <c r="L393" s="192"/>
      <c r="M393" s="192"/>
      <c r="N393" s="192"/>
      <c r="O393" s="192"/>
      <c r="P393" s="192"/>
      <c r="Q393" s="192"/>
      <c r="R393" s="192"/>
      <c r="S393" s="192"/>
    </row>
    <row r="394" spans="10:19" ht="15.95" customHeight="1" x14ac:dyDescent="0.25">
      <c r="J394" s="192"/>
      <c r="K394" s="192"/>
      <c r="L394" s="192"/>
      <c r="M394" s="192"/>
      <c r="N394" s="192"/>
      <c r="O394" s="192"/>
      <c r="P394" s="192"/>
      <c r="Q394" s="192"/>
      <c r="R394" s="192"/>
      <c r="S394" s="192"/>
    </row>
    <row r="395" spans="10:19" ht="15.95" customHeight="1" x14ac:dyDescent="0.25">
      <c r="J395" s="192"/>
      <c r="K395" s="192"/>
      <c r="L395" s="192"/>
      <c r="M395" s="192"/>
      <c r="N395" s="192"/>
      <c r="O395" s="192"/>
      <c r="P395" s="192"/>
      <c r="Q395" s="192"/>
      <c r="R395" s="192"/>
      <c r="S395" s="192"/>
    </row>
    <row r="396" spans="10:19" ht="15.95" customHeight="1" x14ac:dyDescent="0.25">
      <c r="J396" s="192"/>
      <c r="K396" s="192"/>
      <c r="L396" s="192"/>
      <c r="M396" s="192"/>
      <c r="N396" s="192"/>
      <c r="O396" s="192"/>
      <c r="P396" s="192"/>
      <c r="Q396" s="192"/>
      <c r="R396" s="192"/>
      <c r="S396" s="192"/>
    </row>
    <row r="397" spans="10:19" ht="15.95" customHeight="1" x14ac:dyDescent="0.25">
      <c r="J397" s="192"/>
      <c r="K397" s="192"/>
      <c r="L397" s="192"/>
      <c r="M397" s="192"/>
      <c r="N397" s="192"/>
      <c r="O397" s="192"/>
      <c r="P397" s="192"/>
      <c r="Q397" s="192"/>
      <c r="R397" s="192"/>
      <c r="S397" s="192"/>
    </row>
    <row r="398" spans="10:19" ht="15.95" customHeight="1" x14ac:dyDescent="0.25">
      <c r="J398" s="192"/>
      <c r="K398" s="192"/>
      <c r="L398" s="192"/>
      <c r="M398" s="192"/>
      <c r="N398" s="192"/>
      <c r="O398" s="192"/>
      <c r="P398" s="192"/>
      <c r="Q398" s="192"/>
      <c r="R398" s="192"/>
      <c r="S398" s="192"/>
    </row>
    <row r="399" spans="10:19" ht="15.95" customHeight="1" x14ac:dyDescent="0.25">
      <c r="J399" s="192"/>
      <c r="K399" s="192"/>
      <c r="L399" s="192"/>
      <c r="M399" s="192"/>
      <c r="N399" s="192"/>
      <c r="O399" s="192"/>
      <c r="P399" s="192"/>
      <c r="Q399" s="192"/>
      <c r="R399" s="192"/>
      <c r="S399" s="192"/>
    </row>
    <row r="400" spans="10:19" ht="15.95" customHeight="1" x14ac:dyDescent="0.25">
      <c r="J400" s="192"/>
      <c r="K400" s="192"/>
      <c r="L400" s="192"/>
      <c r="M400" s="192"/>
      <c r="N400" s="192"/>
      <c r="O400" s="192"/>
      <c r="P400" s="192"/>
      <c r="Q400" s="192"/>
      <c r="R400" s="192"/>
      <c r="S400" s="192"/>
    </row>
    <row r="401" spans="10:19" ht="15.95" customHeight="1" x14ac:dyDescent="0.25">
      <c r="J401" s="192"/>
      <c r="K401" s="192"/>
      <c r="L401" s="192"/>
      <c r="M401" s="192"/>
      <c r="N401" s="192"/>
      <c r="O401" s="192"/>
      <c r="P401" s="192"/>
      <c r="Q401" s="192"/>
      <c r="R401" s="192"/>
      <c r="S401" s="192"/>
    </row>
    <row r="402" spans="10:19" ht="15.95" customHeight="1" x14ac:dyDescent="0.25">
      <c r="J402" s="192"/>
      <c r="K402" s="192"/>
      <c r="L402" s="192"/>
      <c r="M402" s="192"/>
      <c r="N402" s="192"/>
      <c r="O402" s="192"/>
      <c r="P402" s="192"/>
      <c r="Q402" s="192"/>
      <c r="R402" s="192"/>
      <c r="S402" s="192"/>
    </row>
    <row r="403" spans="10:19" ht="15.95" customHeight="1" x14ac:dyDescent="0.25">
      <c r="J403" s="192"/>
      <c r="K403" s="192"/>
      <c r="L403" s="192"/>
      <c r="M403" s="192"/>
      <c r="N403" s="192"/>
      <c r="O403" s="192"/>
      <c r="P403" s="192"/>
      <c r="Q403" s="192"/>
      <c r="R403" s="192"/>
      <c r="S403" s="192"/>
    </row>
    <row r="404" spans="10:19" ht="15.95" customHeight="1" x14ac:dyDescent="0.25">
      <c r="J404" s="192"/>
      <c r="K404" s="192"/>
      <c r="L404" s="192"/>
      <c r="M404" s="192"/>
      <c r="N404" s="192"/>
      <c r="O404" s="192"/>
      <c r="P404" s="192"/>
      <c r="Q404" s="192"/>
      <c r="R404" s="192"/>
      <c r="S404" s="192"/>
    </row>
    <row r="405" spans="10:19" ht="15.95" customHeight="1" x14ac:dyDescent="0.25">
      <c r="J405" s="192"/>
      <c r="K405" s="192"/>
      <c r="L405" s="192"/>
      <c r="M405" s="192"/>
      <c r="N405" s="192"/>
      <c r="O405" s="192"/>
      <c r="P405" s="192"/>
      <c r="Q405" s="192"/>
      <c r="R405" s="192"/>
      <c r="S405" s="192"/>
    </row>
    <row r="406" spans="10:19" ht="15.95" customHeight="1" x14ac:dyDescent="0.25">
      <c r="J406" s="192"/>
      <c r="K406" s="192"/>
      <c r="L406" s="192"/>
      <c r="M406" s="192"/>
      <c r="N406" s="192"/>
      <c r="O406" s="192"/>
      <c r="P406" s="192"/>
      <c r="Q406" s="192"/>
      <c r="R406" s="192"/>
      <c r="S406" s="192"/>
    </row>
    <row r="407" spans="10:19" ht="15.95" customHeight="1" x14ac:dyDescent="0.25">
      <c r="J407" s="192"/>
      <c r="K407" s="192"/>
      <c r="L407" s="192"/>
      <c r="M407" s="192"/>
      <c r="N407" s="192"/>
      <c r="O407" s="192"/>
      <c r="P407" s="192"/>
      <c r="Q407" s="192"/>
      <c r="R407" s="192"/>
      <c r="S407" s="192"/>
    </row>
    <row r="408" spans="10:19" ht="15.95" customHeight="1" x14ac:dyDescent="0.25">
      <c r="J408" s="192"/>
      <c r="K408" s="192"/>
      <c r="L408" s="192"/>
      <c r="M408" s="192"/>
      <c r="N408" s="192"/>
      <c r="O408" s="192"/>
      <c r="P408" s="192"/>
      <c r="Q408" s="192"/>
      <c r="R408" s="192"/>
      <c r="S408" s="192"/>
    </row>
    <row r="409" spans="10:19" ht="15.95" customHeight="1" x14ac:dyDescent="0.25">
      <c r="J409" s="192"/>
      <c r="K409" s="192"/>
      <c r="L409" s="192"/>
      <c r="M409" s="192"/>
      <c r="N409" s="192"/>
      <c r="O409" s="192"/>
      <c r="P409" s="192"/>
      <c r="Q409" s="192"/>
      <c r="R409" s="192"/>
      <c r="S409" s="192"/>
    </row>
    <row r="410" spans="10:19" ht="15.95" customHeight="1" x14ac:dyDescent="0.25">
      <c r="J410" s="192"/>
      <c r="K410" s="192"/>
      <c r="L410" s="192"/>
      <c r="M410" s="192"/>
      <c r="N410" s="192"/>
      <c r="O410" s="192"/>
      <c r="P410" s="192"/>
      <c r="Q410" s="192"/>
      <c r="R410" s="192"/>
      <c r="S410" s="192"/>
    </row>
    <row r="411" spans="10:19" ht="15.95" customHeight="1" x14ac:dyDescent="0.25">
      <c r="J411" s="192"/>
      <c r="K411" s="192"/>
      <c r="L411" s="192"/>
      <c r="M411" s="192"/>
      <c r="N411" s="192"/>
      <c r="O411" s="192"/>
      <c r="P411" s="192"/>
      <c r="Q411" s="192"/>
      <c r="R411" s="192"/>
      <c r="S411" s="192"/>
    </row>
    <row r="412" spans="10:19" ht="15.95" customHeight="1" x14ac:dyDescent="0.25">
      <c r="J412" s="192"/>
      <c r="K412" s="192"/>
      <c r="L412" s="192"/>
      <c r="M412" s="192"/>
      <c r="N412" s="192"/>
      <c r="O412" s="192"/>
      <c r="P412" s="192"/>
      <c r="Q412" s="192"/>
      <c r="R412" s="192"/>
      <c r="S412" s="192"/>
    </row>
    <row r="413" spans="10:19" ht="15.95" customHeight="1" x14ac:dyDescent="0.25">
      <c r="J413" s="192"/>
      <c r="K413" s="192"/>
      <c r="L413" s="192"/>
      <c r="M413" s="192"/>
      <c r="N413" s="192"/>
      <c r="O413" s="192"/>
      <c r="P413" s="192"/>
      <c r="Q413" s="192"/>
      <c r="R413" s="192"/>
      <c r="S413" s="192"/>
    </row>
    <row r="414" spans="10:19" ht="15.95" customHeight="1" x14ac:dyDescent="0.25">
      <c r="J414" s="192"/>
      <c r="K414" s="192"/>
      <c r="L414" s="192"/>
      <c r="M414" s="192"/>
      <c r="N414" s="192"/>
      <c r="O414" s="192"/>
      <c r="P414" s="192"/>
      <c r="Q414" s="192"/>
      <c r="R414" s="192"/>
      <c r="S414" s="192"/>
    </row>
    <row r="415" spans="10:19" ht="15.95" customHeight="1" x14ac:dyDescent="0.25">
      <c r="J415" s="192"/>
      <c r="K415" s="192"/>
      <c r="L415" s="192"/>
      <c r="M415" s="192"/>
      <c r="N415" s="192"/>
      <c r="O415" s="192"/>
      <c r="P415" s="192"/>
      <c r="Q415" s="192"/>
      <c r="R415" s="192"/>
      <c r="S415" s="192"/>
    </row>
    <row r="416" spans="10:19" ht="15.95" customHeight="1" x14ac:dyDescent="0.25">
      <c r="J416" s="192"/>
      <c r="K416" s="192"/>
      <c r="L416" s="192"/>
      <c r="M416" s="192"/>
      <c r="N416" s="192"/>
      <c r="O416" s="192"/>
      <c r="P416" s="192"/>
      <c r="Q416" s="192"/>
      <c r="R416" s="192"/>
      <c r="S416" s="192"/>
    </row>
    <row r="417" spans="10:19" ht="15.95" customHeight="1" x14ac:dyDescent="0.25">
      <c r="J417" s="192"/>
      <c r="K417" s="192"/>
      <c r="L417" s="192"/>
      <c r="M417" s="192"/>
      <c r="N417" s="192"/>
      <c r="O417" s="192"/>
      <c r="P417" s="192"/>
      <c r="Q417" s="192"/>
      <c r="R417" s="192"/>
      <c r="S417" s="192"/>
    </row>
    <row r="418" spans="10:19" ht="15.95" customHeight="1" x14ac:dyDescent="0.25">
      <c r="J418" s="192"/>
      <c r="K418" s="192"/>
      <c r="L418" s="192"/>
      <c r="M418" s="192"/>
      <c r="N418" s="192"/>
      <c r="O418" s="192"/>
      <c r="P418" s="192"/>
      <c r="Q418" s="192"/>
      <c r="R418" s="192"/>
      <c r="S418" s="192"/>
    </row>
    <row r="419" spans="10:19" ht="15.95" customHeight="1" x14ac:dyDescent="0.25">
      <c r="J419" s="192"/>
      <c r="K419" s="192"/>
      <c r="L419" s="192"/>
      <c r="M419" s="192"/>
      <c r="N419" s="192"/>
      <c r="O419" s="192"/>
      <c r="P419" s="192"/>
      <c r="Q419" s="192"/>
      <c r="R419" s="192"/>
      <c r="S419" s="192"/>
    </row>
    <row r="420" spans="10:19" ht="15.95" customHeight="1" x14ac:dyDescent="0.25">
      <c r="J420" s="192"/>
      <c r="K420" s="192"/>
      <c r="L420" s="192"/>
      <c r="M420" s="192"/>
      <c r="N420" s="192"/>
      <c r="O420" s="192"/>
      <c r="P420" s="192"/>
      <c r="Q420" s="192"/>
      <c r="R420" s="192"/>
      <c r="S420" s="192"/>
    </row>
    <row r="421" spans="10:19" ht="15.95" customHeight="1" x14ac:dyDescent="0.25">
      <c r="J421" s="192"/>
      <c r="K421" s="192"/>
      <c r="L421" s="192"/>
      <c r="M421" s="192"/>
      <c r="N421" s="192"/>
      <c r="O421" s="192"/>
      <c r="P421" s="192"/>
      <c r="Q421" s="192"/>
      <c r="R421" s="192"/>
      <c r="S421" s="192"/>
    </row>
    <row r="422" spans="10:19" ht="15.95" customHeight="1" x14ac:dyDescent="0.25">
      <c r="J422" s="192"/>
      <c r="K422" s="192"/>
      <c r="L422" s="192"/>
      <c r="M422" s="192"/>
      <c r="N422" s="192"/>
      <c r="O422" s="192"/>
      <c r="P422" s="192"/>
      <c r="Q422" s="192"/>
      <c r="R422" s="192"/>
      <c r="S422" s="192"/>
    </row>
    <row r="423" spans="10:19" ht="15.95" customHeight="1" x14ac:dyDescent="0.25">
      <c r="J423" s="192"/>
      <c r="K423" s="192"/>
      <c r="L423" s="192"/>
      <c r="M423" s="192"/>
      <c r="N423" s="192"/>
      <c r="O423" s="192"/>
      <c r="P423" s="192"/>
      <c r="Q423" s="192"/>
      <c r="R423" s="192"/>
      <c r="S423" s="192"/>
    </row>
    <row r="424" spans="10:19" ht="15.95" customHeight="1" x14ac:dyDescent="0.25">
      <c r="J424" s="192"/>
      <c r="K424" s="192"/>
      <c r="L424" s="192"/>
      <c r="M424" s="192"/>
      <c r="N424" s="192"/>
      <c r="O424" s="192"/>
      <c r="P424" s="192"/>
      <c r="Q424" s="192"/>
      <c r="R424" s="192"/>
      <c r="S424" s="192"/>
    </row>
    <row r="425" spans="10:19" ht="15.95" customHeight="1" x14ac:dyDescent="0.25">
      <c r="J425" s="192"/>
      <c r="K425" s="192"/>
      <c r="L425" s="192"/>
      <c r="M425" s="192"/>
      <c r="N425" s="192"/>
      <c r="O425" s="192"/>
      <c r="P425" s="192"/>
      <c r="Q425" s="192"/>
      <c r="R425" s="192"/>
      <c r="S425" s="192"/>
    </row>
    <row r="426" spans="10:19" ht="15.95" customHeight="1" x14ac:dyDescent="0.25">
      <c r="J426" s="192"/>
      <c r="K426" s="192"/>
      <c r="L426" s="192"/>
      <c r="M426" s="192"/>
      <c r="N426" s="192"/>
      <c r="O426" s="192"/>
      <c r="P426" s="192"/>
      <c r="Q426" s="192"/>
      <c r="R426" s="192"/>
      <c r="S426" s="192"/>
    </row>
    <row r="427" spans="10:19" ht="15.95" customHeight="1" x14ac:dyDescent="0.25">
      <c r="J427" s="192"/>
      <c r="K427" s="192"/>
      <c r="L427" s="192"/>
      <c r="M427" s="192"/>
      <c r="N427" s="192"/>
      <c r="O427" s="192"/>
      <c r="P427" s="192"/>
      <c r="Q427" s="192"/>
      <c r="R427" s="192"/>
      <c r="S427" s="192"/>
    </row>
    <row r="428" spans="10:19" ht="15.95" customHeight="1" x14ac:dyDescent="0.25">
      <c r="J428" s="192"/>
      <c r="K428" s="192"/>
      <c r="L428" s="192"/>
      <c r="M428" s="192"/>
      <c r="N428" s="192"/>
      <c r="O428" s="192"/>
      <c r="P428" s="192"/>
      <c r="Q428" s="192"/>
      <c r="R428" s="192"/>
      <c r="S428" s="192"/>
    </row>
    <row r="429" spans="10:19" ht="15.95" customHeight="1" x14ac:dyDescent="0.25">
      <c r="J429" s="192"/>
      <c r="K429" s="192"/>
      <c r="L429" s="192"/>
      <c r="M429" s="192"/>
      <c r="N429" s="192"/>
      <c r="O429" s="192"/>
      <c r="P429" s="192"/>
      <c r="Q429" s="192"/>
      <c r="R429" s="192"/>
      <c r="S429" s="192"/>
    </row>
    <row r="430" spans="10:19" ht="15.95" customHeight="1" x14ac:dyDescent="0.25">
      <c r="J430" s="192"/>
      <c r="K430" s="192"/>
      <c r="L430" s="192"/>
      <c r="M430" s="192"/>
      <c r="N430" s="192"/>
      <c r="O430" s="192"/>
      <c r="P430" s="192"/>
      <c r="Q430" s="192"/>
      <c r="R430" s="192"/>
      <c r="S430" s="192"/>
    </row>
    <row r="431" spans="10:19" ht="15.95" customHeight="1" x14ac:dyDescent="0.25">
      <c r="J431" s="192"/>
      <c r="K431" s="192"/>
      <c r="L431" s="192"/>
      <c r="M431" s="192"/>
      <c r="N431" s="192"/>
      <c r="O431" s="192"/>
      <c r="P431" s="192"/>
      <c r="Q431" s="192"/>
      <c r="R431" s="192"/>
      <c r="S431" s="192"/>
    </row>
    <row r="432" spans="10:19" ht="15.95" customHeight="1" x14ac:dyDescent="0.25">
      <c r="J432" s="192"/>
      <c r="K432" s="192"/>
      <c r="L432" s="192"/>
      <c r="M432" s="192"/>
      <c r="N432" s="192"/>
      <c r="O432" s="192"/>
      <c r="P432" s="192"/>
      <c r="Q432" s="192"/>
      <c r="R432" s="192"/>
      <c r="S432" s="192"/>
    </row>
    <row r="433" spans="10:19" ht="15.95" customHeight="1" x14ac:dyDescent="0.25">
      <c r="J433" s="192"/>
      <c r="K433" s="192"/>
      <c r="L433" s="192"/>
      <c r="M433" s="192"/>
      <c r="N433" s="192"/>
      <c r="O433" s="192"/>
      <c r="P433" s="192"/>
      <c r="Q433" s="192"/>
      <c r="R433" s="192"/>
      <c r="S433" s="192"/>
    </row>
    <row r="434" spans="10:19" ht="15.95" customHeight="1" x14ac:dyDescent="0.25">
      <c r="J434" s="192"/>
      <c r="K434" s="192"/>
      <c r="L434" s="192"/>
      <c r="M434" s="192"/>
      <c r="N434" s="192"/>
      <c r="O434" s="192"/>
      <c r="P434" s="192"/>
      <c r="Q434" s="192"/>
      <c r="R434" s="192"/>
      <c r="S434" s="192"/>
    </row>
    <row r="435" spans="10:19" ht="15.95" customHeight="1" x14ac:dyDescent="0.25">
      <c r="J435" s="192"/>
      <c r="K435" s="192"/>
      <c r="L435" s="192"/>
      <c r="M435" s="192"/>
      <c r="N435" s="192"/>
      <c r="O435" s="192"/>
      <c r="P435" s="192"/>
      <c r="Q435" s="192"/>
      <c r="R435" s="192"/>
      <c r="S435" s="192"/>
    </row>
    <row r="436" spans="10:19" ht="15.95" customHeight="1" x14ac:dyDescent="0.25">
      <c r="J436" s="192"/>
      <c r="K436" s="192"/>
      <c r="L436" s="192"/>
      <c r="M436" s="192"/>
      <c r="N436" s="192"/>
      <c r="O436" s="192"/>
      <c r="P436" s="192"/>
      <c r="Q436" s="192"/>
      <c r="R436" s="192"/>
      <c r="S436" s="192"/>
    </row>
    <row r="437" spans="10:19" ht="15.95" customHeight="1" x14ac:dyDescent="0.25">
      <c r="J437" s="192"/>
      <c r="K437" s="192"/>
      <c r="L437" s="192"/>
      <c r="M437" s="192"/>
      <c r="N437" s="192"/>
      <c r="O437" s="192"/>
      <c r="P437" s="192"/>
      <c r="Q437" s="192"/>
      <c r="R437" s="192"/>
      <c r="S437" s="192"/>
    </row>
    <row r="438" spans="10:19" ht="15.95" customHeight="1" x14ac:dyDescent="0.25">
      <c r="J438" s="192"/>
      <c r="K438" s="192"/>
      <c r="L438" s="192"/>
      <c r="M438" s="192"/>
      <c r="N438" s="192"/>
      <c r="O438" s="192"/>
      <c r="P438" s="192"/>
      <c r="Q438" s="192"/>
      <c r="R438" s="192"/>
      <c r="S438" s="192"/>
    </row>
    <row r="439" spans="10:19" ht="15.95" customHeight="1" x14ac:dyDescent="0.25">
      <c r="J439" s="192"/>
      <c r="K439" s="192"/>
      <c r="L439" s="192"/>
      <c r="M439" s="192"/>
      <c r="N439" s="192"/>
      <c r="O439" s="192"/>
      <c r="P439" s="192"/>
      <c r="Q439" s="192"/>
      <c r="R439" s="192"/>
      <c r="S439" s="192"/>
    </row>
    <row r="440" spans="10:19" ht="15.95" customHeight="1" x14ac:dyDescent="0.25">
      <c r="J440" s="192"/>
      <c r="K440" s="192"/>
      <c r="L440" s="192"/>
      <c r="M440" s="192"/>
      <c r="N440" s="192"/>
      <c r="O440" s="192"/>
      <c r="P440" s="192"/>
      <c r="Q440" s="192"/>
      <c r="R440" s="192"/>
      <c r="S440" s="192"/>
    </row>
    <row r="441" spans="10:19" ht="15.95" customHeight="1" x14ac:dyDescent="0.25">
      <c r="J441" s="192"/>
      <c r="K441" s="192"/>
      <c r="L441" s="192"/>
      <c r="M441" s="192"/>
      <c r="N441" s="192"/>
      <c r="O441" s="192"/>
      <c r="P441" s="192"/>
      <c r="Q441" s="192"/>
      <c r="R441" s="192"/>
      <c r="S441" s="192"/>
    </row>
    <row r="442" spans="10:19" ht="15.95" customHeight="1" x14ac:dyDescent="0.25">
      <c r="J442" s="192"/>
      <c r="K442" s="192"/>
      <c r="L442" s="192"/>
      <c r="M442" s="192"/>
      <c r="N442" s="192"/>
      <c r="O442" s="192"/>
      <c r="P442" s="192"/>
      <c r="Q442" s="192"/>
      <c r="R442" s="192"/>
      <c r="S442" s="192"/>
    </row>
    <row r="443" spans="10:19" ht="15.95" customHeight="1" x14ac:dyDescent="0.25">
      <c r="J443" s="192"/>
      <c r="K443" s="192"/>
      <c r="L443" s="192"/>
      <c r="M443" s="192"/>
      <c r="N443" s="192"/>
      <c r="O443" s="192"/>
      <c r="P443" s="192"/>
      <c r="Q443" s="192"/>
      <c r="R443" s="192"/>
      <c r="S443" s="192"/>
    </row>
    <row r="444" spans="10:19" ht="15.95" customHeight="1" x14ac:dyDescent="0.25">
      <c r="J444" s="192"/>
      <c r="K444" s="192"/>
      <c r="L444" s="192"/>
      <c r="M444" s="192"/>
      <c r="N444" s="192"/>
      <c r="O444" s="192"/>
      <c r="P444" s="192"/>
      <c r="Q444" s="192"/>
      <c r="R444" s="192"/>
      <c r="S444" s="192"/>
    </row>
    <row r="445" spans="10:19" ht="15.95" customHeight="1" x14ac:dyDescent="0.25">
      <c r="J445" s="192"/>
      <c r="K445" s="192"/>
      <c r="L445" s="192"/>
      <c r="M445" s="192"/>
      <c r="N445" s="192"/>
      <c r="O445" s="192"/>
      <c r="P445" s="192"/>
      <c r="Q445" s="192"/>
      <c r="R445" s="192"/>
      <c r="S445" s="192"/>
    </row>
    <row r="446" spans="10:19" ht="15.95" customHeight="1" x14ac:dyDescent="0.25">
      <c r="J446" s="192"/>
      <c r="K446" s="192"/>
      <c r="L446" s="192"/>
      <c r="M446" s="192"/>
      <c r="N446" s="192"/>
      <c r="O446" s="192"/>
      <c r="P446" s="192"/>
      <c r="Q446" s="192"/>
      <c r="R446" s="192"/>
      <c r="S446" s="192"/>
    </row>
    <row r="447" spans="10:19" ht="15.95" customHeight="1" x14ac:dyDescent="0.25">
      <c r="J447" s="192"/>
      <c r="K447" s="192"/>
      <c r="L447" s="192"/>
      <c r="M447" s="192"/>
      <c r="N447" s="192"/>
      <c r="O447" s="192"/>
      <c r="P447" s="192"/>
      <c r="Q447" s="192"/>
      <c r="R447" s="192"/>
      <c r="S447" s="192"/>
    </row>
    <row r="448" spans="10:19" ht="15.95" customHeight="1" x14ac:dyDescent="0.25">
      <c r="J448" s="192"/>
      <c r="K448" s="192"/>
      <c r="L448" s="192"/>
      <c r="M448" s="192"/>
      <c r="N448" s="192"/>
      <c r="O448" s="192"/>
      <c r="P448" s="192"/>
      <c r="Q448" s="192"/>
      <c r="R448" s="192"/>
      <c r="S448" s="192"/>
    </row>
    <row r="449" spans="10:19" ht="15.95" customHeight="1" x14ac:dyDescent="0.25">
      <c r="J449" s="192"/>
      <c r="K449" s="192"/>
      <c r="L449" s="192"/>
      <c r="M449" s="192"/>
      <c r="N449" s="192"/>
      <c r="O449" s="192"/>
      <c r="P449" s="192"/>
      <c r="Q449" s="192"/>
      <c r="R449" s="192"/>
      <c r="S449" s="192"/>
    </row>
    <row r="450" spans="10:19" ht="15.95" customHeight="1" x14ac:dyDescent="0.25">
      <c r="J450" s="192"/>
      <c r="K450" s="192"/>
      <c r="L450" s="192"/>
      <c r="M450" s="192"/>
      <c r="N450" s="192"/>
      <c r="O450" s="192"/>
      <c r="P450" s="192"/>
      <c r="Q450" s="192"/>
      <c r="R450" s="192"/>
      <c r="S450" s="192"/>
    </row>
    <row r="451" spans="10:19" ht="15.95" customHeight="1" x14ac:dyDescent="0.25">
      <c r="J451" s="192"/>
      <c r="K451" s="192"/>
      <c r="L451" s="192"/>
      <c r="M451" s="192"/>
      <c r="N451" s="192"/>
      <c r="O451" s="192"/>
      <c r="P451" s="192"/>
      <c r="Q451" s="192"/>
      <c r="R451" s="192"/>
      <c r="S451" s="192"/>
    </row>
    <row r="452" spans="10:19" ht="15.95" customHeight="1" x14ac:dyDescent="0.25">
      <c r="J452" s="192"/>
      <c r="K452" s="192"/>
      <c r="L452" s="192"/>
      <c r="M452" s="192"/>
      <c r="N452" s="192"/>
      <c r="O452" s="192"/>
      <c r="P452" s="192"/>
      <c r="Q452" s="192"/>
      <c r="R452" s="192"/>
      <c r="S452" s="192"/>
    </row>
    <row r="453" spans="10:19" ht="15.95" customHeight="1" x14ac:dyDescent="0.25">
      <c r="J453" s="192"/>
      <c r="K453" s="192"/>
      <c r="L453" s="192"/>
      <c r="M453" s="192"/>
      <c r="N453" s="192"/>
      <c r="O453" s="192"/>
      <c r="P453" s="192"/>
      <c r="Q453" s="192"/>
      <c r="R453" s="192"/>
      <c r="S453" s="192"/>
    </row>
    <row r="454" spans="10:19" ht="15.95" customHeight="1" x14ac:dyDescent="0.25">
      <c r="J454" s="192"/>
      <c r="K454" s="192"/>
      <c r="L454" s="192"/>
      <c r="M454" s="192"/>
      <c r="N454" s="192"/>
      <c r="O454" s="192"/>
      <c r="P454" s="192"/>
      <c r="Q454" s="192"/>
      <c r="R454" s="192"/>
      <c r="S454" s="192"/>
    </row>
    <row r="455" spans="10:19" ht="15.95" customHeight="1" x14ac:dyDescent="0.25">
      <c r="J455" s="192"/>
      <c r="K455" s="192"/>
      <c r="L455" s="192"/>
      <c r="M455" s="192"/>
      <c r="N455" s="192"/>
      <c r="O455" s="192"/>
      <c r="P455" s="192"/>
      <c r="Q455" s="192"/>
      <c r="R455" s="192"/>
      <c r="S455" s="192"/>
    </row>
    <row r="456" spans="10:19" ht="15.95" customHeight="1" x14ac:dyDescent="0.25">
      <c r="J456" s="192"/>
      <c r="K456" s="192"/>
      <c r="L456" s="192"/>
      <c r="M456" s="192"/>
      <c r="N456" s="192"/>
      <c r="O456" s="192"/>
      <c r="P456" s="192"/>
      <c r="Q456" s="192"/>
      <c r="R456" s="192"/>
      <c r="S456" s="192"/>
    </row>
    <row r="457" spans="10:19" ht="15.95" customHeight="1" x14ac:dyDescent="0.25">
      <c r="J457" s="192"/>
      <c r="K457" s="192"/>
      <c r="L457" s="192"/>
      <c r="M457" s="192"/>
      <c r="N457" s="192"/>
      <c r="O457" s="192"/>
      <c r="P457" s="192"/>
      <c r="Q457" s="192"/>
      <c r="R457" s="192"/>
      <c r="S457" s="192"/>
    </row>
    <row r="458" spans="10:19" ht="15.95" customHeight="1" x14ac:dyDescent="0.25">
      <c r="J458" s="192"/>
      <c r="K458" s="192"/>
      <c r="L458" s="192"/>
      <c r="M458" s="192"/>
      <c r="N458" s="192"/>
      <c r="O458" s="192"/>
      <c r="P458" s="192"/>
      <c r="Q458" s="192"/>
      <c r="R458" s="192"/>
      <c r="S458" s="192"/>
    </row>
    <row r="459" spans="10:19" ht="15.95" customHeight="1" x14ac:dyDescent="0.25">
      <c r="J459" s="192"/>
      <c r="K459" s="192"/>
      <c r="L459" s="192"/>
      <c r="M459" s="192"/>
      <c r="N459" s="192"/>
      <c r="O459" s="192"/>
      <c r="P459" s="192"/>
      <c r="Q459" s="192"/>
      <c r="R459" s="192"/>
      <c r="S459" s="192"/>
    </row>
    <row r="460" spans="10:19" ht="15.95" customHeight="1" x14ac:dyDescent="0.25">
      <c r="J460" s="192"/>
      <c r="K460" s="192"/>
      <c r="L460" s="192"/>
      <c r="M460" s="192"/>
      <c r="N460" s="192"/>
      <c r="O460" s="192"/>
      <c r="P460" s="192"/>
      <c r="Q460" s="192"/>
      <c r="R460" s="192"/>
      <c r="S460" s="192"/>
    </row>
    <row r="461" spans="10:19" ht="15.95" customHeight="1" x14ac:dyDescent="0.25">
      <c r="J461" s="192"/>
      <c r="K461" s="192"/>
      <c r="L461" s="192"/>
      <c r="M461" s="192"/>
      <c r="N461" s="192"/>
      <c r="O461" s="192"/>
      <c r="P461" s="192"/>
      <c r="Q461" s="192"/>
      <c r="R461" s="192"/>
      <c r="S461" s="192"/>
    </row>
    <row r="462" spans="10:19" ht="15.95" customHeight="1" x14ac:dyDescent="0.25">
      <c r="J462" s="192"/>
      <c r="K462" s="192"/>
      <c r="L462" s="192"/>
      <c r="M462" s="192"/>
      <c r="N462" s="192"/>
      <c r="O462" s="192"/>
      <c r="P462" s="192"/>
      <c r="Q462" s="192"/>
      <c r="R462" s="192"/>
      <c r="S462" s="192"/>
    </row>
    <row r="463" spans="10:19" ht="15.95" customHeight="1" x14ac:dyDescent="0.25">
      <c r="J463" s="192"/>
      <c r="K463" s="192"/>
      <c r="L463" s="192"/>
      <c r="M463" s="192"/>
      <c r="N463" s="192"/>
      <c r="O463" s="192"/>
      <c r="P463" s="192"/>
      <c r="Q463" s="192"/>
      <c r="R463" s="192"/>
      <c r="S463" s="192"/>
    </row>
    <row r="464" spans="10:19" ht="15.95" customHeight="1" x14ac:dyDescent="0.25">
      <c r="J464" s="192"/>
      <c r="K464" s="192"/>
      <c r="L464" s="192"/>
      <c r="M464" s="192"/>
      <c r="N464" s="192"/>
      <c r="O464" s="192"/>
      <c r="P464" s="192"/>
      <c r="Q464" s="192"/>
      <c r="R464" s="192"/>
      <c r="S464" s="192"/>
    </row>
    <row r="465" spans="9:19" ht="15.95" customHeight="1" x14ac:dyDescent="0.25">
      <c r="J465" s="192"/>
      <c r="K465" s="192"/>
      <c r="L465" s="192"/>
      <c r="M465" s="192"/>
      <c r="N465" s="192"/>
      <c r="O465" s="192"/>
      <c r="P465" s="192"/>
      <c r="Q465" s="192"/>
      <c r="R465" s="192"/>
      <c r="S465" s="192"/>
    </row>
    <row r="466" spans="9:19" ht="15.95" customHeight="1" x14ac:dyDescent="0.25"/>
    <row r="467" spans="9:19" ht="15.95" customHeight="1" x14ac:dyDescent="0.25"/>
    <row r="468" spans="9:19" ht="32.1" customHeight="1" x14ac:dyDescent="0.25">
      <c r="J468" s="238" t="str">
        <f>ComparisonData!BS2</f>
        <v>SECTION A: THE REASON FOR YOUR VISIT</v>
      </c>
      <c r="K468" s="239"/>
      <c r="L468" s="239"/>
      <c r="M468" s="239"/>
      <c r="N468" s="239"/>
      <c r="O468" s="240"/>
    </row>
    <row r="469" spans="9:19" ht="32.1" customHeight="1" x14ac:dyDescent="0.25">
      <c r="J469" s="241" t="str">
        <f>ComparisonData!BS3</f>
        <v>3. What, if any, of the following did you do to prepare for your visit today?</v>
      </c>
      <c r="K469" s="242"/>
      <c r="L469" s="242"/>
      <c r="M469" s="242"/>
      <c r="N469" s="242"/>
      <c r="O469" s="243"/>
    </row>
    <row r="470" spans="9:19" ht="87.95" customHeight="1" x14ac:dyDescent="0.25">
      <c r="J470" s="185" t="str">
        <f>ComparisonData!CA4</f>
        <v>Went online to check archive opening times / find directions etc.</v>
      </c>
      <c r="K470" s="185" t="str">
        <f>ComparisonData!CB4</f>
        <v xml:space="preserve">Searched archive's online catalogue to find records </v>
      </c>
      <c r="L470" s="185" t="str">
        <f>ComparisonData!CC4</f>
        <v>Conducted online research / used the archive's online guides to resources</v>
      </c>
      <c r="M470" s="185" t="str">
        <f>ComparisonData!CD4</f>
        <v>Emailed / telephoned archive</v>
      </c>
      <c r="N470" s="185" t="str">
        <f>ComparisonData!CE4</f>
        <v>Visited another archive</v>
      </c>
      <c r="O470" s="185" t="str">
        <f>ComparisonData!CF4</f>
        <v>Other</v>
      </c>
    </row>
    <row r="471" spans="9:19" ht="15.95" customHeight="1" x14ac:dyDescent="0.25">
      <c r="I471" s="188" t="str" cm="1">
        <f t="array" aca="1" ref="I471" ca="1">_3._What__if_any__of_the_following_did_you_do_to_prepare_for_your_visit_today?_lbl</f>
        <v>TOTAL</v>
      </c>
      <c r="J471" s="192" cm="1">
        <f t="array" aca="1" ref="J471" ca="1">_3._What__if_any__of_the_following_did_you_do_to_prepare_for_your_visit_today?_a</f>
        <v>0.66725999999999996</v>
      </c>
      <c r="K471" s="192" cm="1">
        <f t="array" aca="1" ref="K471" ca="1">_3._What__if_any__of_the_following_did_you_do_to_prepare_for_your_visit_today?_b</f>
        <v>0.62524000000000002</v>
      </c>
      <c r="L471" s="192" cm="1">
        <f t="array" aca="1" ref="L471" ca="1">_3._What__if_any__of_the_following_did_you_do_to_prepare_for_your_visit_today?_c</f>
        <v>0.47197</v>
      </c>
      <c r="M471" s="192" cm="1">
        <f t="array" aca="1" ref="M471" ca="1">_3._What__if_any__of_the_following_did_you_do_to_prepare_for_your_visit_today?_d</f>
        <v>0.42454999999999998</v>
      </c>
      <c r="N471" s="192" cm="1">
        <f t="array" aca="1" ref="N471" ca="1">_3._What__if_any__of_the_following_did_you_do_to_prepare_for_your_visit_today?_e</f>
        <v>9.4619999999999996E-2</v>
      </c>
      <c r="O471" s="192" cm="1">
        <f t="array" aca="1" ref="O471" ca="1">_3._What__if_any__of_the_following_did_you_do_to_prepare_for_your_visit_today?_f</f>
        <v>0.12681999999999999</v>
      </c>
    </row>
    <row r="472" spans="9:19" ht="15.95" customHeight="1" x14ac:dyDescent="0.25">
      <c r="J472" s="192"/>
      <c r="K472" s="192"/>
      <c r="L472" s="192"/>
      <c r="M472" s="192"/>
      <c r="N472" s="192"/>
      <c r="O472" s="192"/>
    </row>
    <row r="473" spans="9:19" ht="15.95" customHeight="1" x14ac:dyDescent="0.25">
      <c r="J473" s="192"/>
      <c r="K473" s="192"/>
      <c r="L473" s="192"/>
      <c r="M473" s="192"/>
      <c r="N473" s="192"/>
      <c r="O473" s="192"/>
    </row>
    <row r="474" spans="9:19" ht="15.95" customHeight="1" x14ac:dyDescent="0.25">
      <c r="J474" s="192"/>
      <c r="K474" s="192"/>
      <c r="L474" s="192"/>
      <c r="M474" s="192"/>
      <c r="N474" s="192"/>
      <c r="O474" s="192"/>
    </row>
    <row r="475" spans="9:19" ht="15.95" customHeight="1" x14ac:dyDescent="0.25">
      <c r="J475" s="192"/>
      <c r="K475" s="192"/>
      <c r="L475" s="192"/>
      <c r="M475" s="192"/>
      <c r="N475" s="192"/>
      <c r="O475" s="192"/>
    </row>
    <row r="476" spans="9:19" ht="15.95" customHeight="1" x14ac:dyDescent="0.25">
      <c r="J476" s="192"/>
      <c r="K476" s="192"/>
      <c r="L476" s="192"/>
      <c r="M476" s="192"/>
      <c r="N476" s="192"/>
      <c r="O476" s="192"/>
    </row>
    <row r="477" spans="9:19" ht="15.95" customHeight="1" x14ac:dyDescent="0.25">
      <c r="J477" s="192"/>
      <c r="K477" s="192"/>
      <c r="L477" s="192"/>
      <c r="M477" s="192"/>
      <c r="N477" s="192"/>
      <c r="O477" s="192"/>
    </row>
    <row r="478" spans="9:19" ht="15.95" customHeight="1" x14ac:dyDescent="0.25">
      <c r="J478" s="192"/>
      <c r="K478" s="192"/>
      <c r="L478" s="192"/>
      <c r="M478" s="192"/>
      <c r="N478" s="192"/>
      <c r="O478" s="192"/>
    </row>
    <row r="479" spans="9:19" ht="15.95" customHeight="1" x14ac:dyDescent="0.25">
      <c r="J479" s="192"/>
      <c r="K479" s="192"/>
      <c r="L479" s="192"/>
      <c r="M479" s="192"/>
      <c r="N479" s="192"/>
      <c r="O479" s="192"/>
    </row>
    <row r="480" spans="9:19" ht="15.95" customHeight="1" x14ac:dyDescent="0.25">
      <c r="J480" s="192"/>
      <c r="K480" s="192"/>
      <c r="L480" s="192"/>
      <c r="M480" s="192"/>
      <c r="N480" s="192"/>
      <c r="O480" s="192"/>
    </row>
    <row r="481" spans="10:15" ht="15.95" customHeight="1" x14ac:dyDescent="0.25">
      <c r="J481" s="192"/>
      <c r="K481" s="192"/>
      <c r="L481" s="192"/>
      <c r="M481" s="192"/>
      <c r="N481" s="192"/>
      <c r="O481" s="192"/>
    </row>
    <row r="482" spans="10:15" ht="15.95" customHeight="1" x14ac:dyDescent="0.25">
      <c r="J482" s="192"/>
      <c r="K482" s="192"/>
      <c r="L482" s="192"/>
      <c r="M482" s="192"/>
      <c r="N482" s="192"/>
      <c r="O482" s="192"/>
    </row>
    <row r="483" spans="10:15" ht="15.95" customHeight="1" x14ac:dyDescent="0.25">
      <c r="J483" s="192"/>
      <c r="K483" s="192"/>
      <c r="L483" s="192"/>
      <c r="M483" s="192"/>
      <c r="N483" s="192"/>
      <c r="O483" s="192"/>
    </row>
    <row r="484" spans="10:15" ht="15.95" customHeight="1" x14ac:dyDescent="0.25">
      <c r="J484" s="192"/>
      <c r="K484" s="192"/>
      <c r="L484" s="192"/>
      <c r="M484" s="192"/>
      <c r="N484" s="192"/>
      <c r="O484" s="192"/>
    </row>
    <row r="485" spans="10:15" ht="15.95" customHeight="1" x14ac:dyDescent="0.25">
      <c r="J485" s="192"/>
      <c r="K485" s="192"/>
      <c r="L485" s="192"/>
      <c r="M485" s="192"/>
      <c r="N485" s="192"/>
      <c r="O485" s="192"/>
    </row>
    <row r="486" spans="10:15" ht="15.95" customHeight="1" x14ac:dyDescent="0.25">
      <c r="J486" s="192"/>
      <c r="K486" s="192"/>
      <c r="L486" s="192"/>
      <c r="M486" s="192"/>
      <c r="N486" s="192"/>
      <c r="O486" s="192"/>
    </row>
    <row r="487" spans="10:15" ht="15.95" customHeight="1" x14ac:dyDescent="0.25">
      <c r="J487" s="192"/>
      <c r="K487" s="192"/>
      <c r="L487" s="192"/>
      <c r="M487" s="192"/>
      <c r="N487" s="192"/>
      <c r="O487" s="192"/>
    </row>
    <row r="488" spans="10:15" ht="15.95" customHeight="1" x14ac:dyDescent="0.25">
      <c r="J488" s="192"/>
      <c r="K488" s="192"/>
      <c r="L488" s="192"/>
      <c r="M488" s="192"/>
      <c r="N488" s="192"/>
      <c r="O488" s="192"/>
    </row>
    <row r="489" spans="10:15" ht="15.95" customHeight="1" x14ac:dyDescent="0.25">
      <c r="J489" s="192"/>
      <c r="K489" s="192"/>
      <c r="L489" s="192"/>
      <c r="M489" s="192"/>
      <c r="N489" s="192"/>
      <c r="O489" s="192"/>
    </row>
    <row r="490" spans="10:15" ht="15.95" customHeight="1" x14ac:dyDescent="0.25">
      <c r="J490" s="192"/>
      <c r="K490" s="192"/>
      <c r="L490" s="192"/>
      <c r="M490" s="192"/>
      <c r="N490" s="192"/>
      <c r="O490" s="192"/>
    </row>
    <row r="491" spans="10:15" ht="15.95" customHeight="1" x14ac:dyDescent="0.25">
      <c r="J491" s="192"/>
      <c r="K491" s="192"/>
      <c r="L491" s="192"/>
      <c r="M491" s="192"/>
      <c r="N491" s="192"/>
      <c r="O491" s="192"/>
    </row>
    <row r="492" spans="10:15" ht="15.95" customHeight="1" x14ac:dyDescent="0.25">
      <c r="J492" s="192"/>
      <c r="K492" s="192"/>
      <c r="L492" s="192"/>
      <c r="M492" s="192"/>
      <c r="N492" s="192"/>
      <c r="O492" s="192"/>
    </row>
    <row r="493" spans="10:15" ht="15.95" customHeight="1" x14ac:dyDescent="0.25">
      <c r="J493" s="192"/>
      <c r="K493" s="192"/>
      <c r="L493" s="192"/>
      <c r="M493" s="192"/>
      <c r="N493" s="192"/>
      <c r="O493" s="192"/>
    </row>
    <row r="494" spans="10:15" ht="15.95" customHeight="1" x14ac:dyDescent="0.25">
      <c r="J494" s="192"/>
      <c r="K494" s="192"/>
      <c r="L494" s="192"/>
      <c r="M494" s="192"/>
      <c r="N494" s="192"/>
      <c r="O494" s="192"/>
    </row>
    <row r="495" spans="10:15" ht="15.95" customHeight="1" x14ac:dyDescent="0.25">
      <c r="J495" s="192"/>
      <c r="K495" s="192"/>
      <c r="L495" s="192"/>
      <c r="M495" s="192"/>
      <c r="N495" s="192"/>
      <c r="O495" s="192"/>
    </row>
    <row r="496" spans="10:15" ht="15.95" customHeight="1" x14ac:dyDescent="0.25">
      <c r="J496" s="192"/>
      <c r="K496" s="192"/>
      <c r="L496" s="192"/>
      <c r="M496" s="192"/>
      <c r="N496" s="192"/>
      <c r="O496" s="192"/>
    </row>
    <row r="497" spans="10:15" ht="15.95" customHeight="1" x14ac:dyDescent="0.25">
      <c r="J497" s="192"/>
      <c r="K497" s="192"/>
      <c r="L497" s="192"/>
      <c r="M497" s="192"/>
      <c r="N497" s="192"/>
      <c r="O497" s="192"/>
    </row>
    <row r="498" spans="10:15" ht="15.95" customHeight="1" x14ac:dyDescent="0.25">
      <c r="J498" s="192"/>
      <c r="K498" s="192"/>
      <c r="L498" s="192"/>
      <c r="M498" s="192"/>
      <c r="N498" s="192"/>
      <c r="O498" s="192"/>
    </row>
    <row r="499" spans="10:15" ht="15.95" customHeight="1" x14ac:dyDescent="0.25">
      <c r="J499" s="192"/>
      <c r="K499" s="192"/>
      <c r="L499" s="192"/>
      <c r="M499" s="192"/>
      <c r="N499" s="192"/>
      <c r="O499" s="192"/>
    </row>
    <row r="500" spans="10:15" ht="15.95" customHeight="1" x14ac:dyDescent="0.25">
      <c r="J500" s="192"/>
      <c r="K500" s="192"/>
      <c r="L500" s="192"/>
      <c r="M500" s="192"/>
      <c r="N500" s="192"/>
      <c r="O500" s="192"/>
    </row>
    <row r="501" spans="10:15" ht="15.95" customHeight="1" x14ac:dyDescent="0.25">
      <c r="J501" s="192"/>
      <c r="K501" s="192"/>
      <c r="L501" s="192"/>
      <c r="M501" s="192"/>
      <c r="N501" s="192"/>
      <c r="O501" s="192"/>
    </row>
    <row r="502" spans="10:15" ht="15.95" customHeight="1" x14ac:dyDescent="0.25">
      <c r="J502" s="192"/>
      <c r="K502" s="192"/>
      <c r="L502" s="192"/>
      <c r="M502" s="192"/>
      <c r="N502" s="192"/>
      <c r="O502" s="192"/>
    </row>
    <row r="503" spans="10:15" ht="15.95" customHeight="1" x14ac:dyDescent="0.25">
      <c r="J503" s="192"/>
      <c r="K503" s="192"/>
      <c r="L503" s="192"/>
      <c r="M503" s="192"/>
      <c r="N503" s="192"/>
      <c r="O503" s="192"/>
    </row>
    <row r="504" spans="10:15" ht="15.95" customHeight="1" x14ac:dyDescent="0.25">
      <c r="J504" s="192"/>
      <c r="K504" s="192"/>
      <c r="L504" s="192"/>
      <c r="M504" s="192"/>
      <c r="N504" s="192"/>
      <c r="O504" s="192"/>
    </row>
    <row r="505" spans="10:15" ht="15.95" customHeight="1" x14ac:dyDescent="0.25">
      <c r="J505" s="192"/>
      <c r="K505" s="192"/>
      <c r="L505" s="192"/>
      <c r="M505" s="192"/>
      <c r="N505" s="192"/>
      <c r="O505" s="192"/>
    </row>
    <row r="506" spans="10:15" ht="15.95" customHeight="1" x14ac:dyDescent="0.25">
      <c r="J506" s="192"/>
      <c r="K506" s="192"/>
      <c r="L506" s="192"/>
      <c r="M506" s="192"/>
      <c r="N506" s="192"/>
      <c r="O506" s="192"/>
    </row>
    <row r="507" spans="10:15" ht="15.95" customHeight="1" x14ac:dyDescent="0.25">
      <c r="J507" s="192"/>
      <c r="K507" s="192"/>
      <c r="L507" s="192"/>
      <c r="M507" s="192"/>
      <c r="N507" s="192"/>
      <c r="O507" s="192"/>
    </row>
    <row r="508" spans="10:15" ht="15.95" customHeight="1" x14ac:dyDescent="0.25">
      <c r="J508" s="192"/>
      <c r="K508" s="192"/>
      <c r="L508" s="192"/>
      <c r="M508" s="192"/>
      <c r="N508" s="192"/>
      <c r="O508" s="192"/>
    </row>
    <row r="509" spans="10:15" ht="15.95" customHeight="1" x14ac:dyDescent="0.25">
      <c r="J509" s="192"/>
      <c r="K509" s="192"/>
      <c r="L509" s="192"/>
      <c r="M509" s="192"/>
      <c r="N509" s="192"/>
      <c r="O509" s="192"/>
    </row>
    <row r="510" spans="10:15" ht="15.95" customHeight="1" x14ac:dyDescent="0.25">
      <c r="J510" s="192"/>
      <c r="K510" s="192"/>
      <c r="L510" s="192"/>
      <c r="M510" s="192"/>
      <c r="N510" s="192"/>
      <c r="O510" s="192"/>
    </row>
    <row r="511" spans="10:15" ht="15.95" customHeight="1" x14ac:dyDescent="0.25">
      <c r="J511" s="192"/>
      <c r="K511" s="192"/>
      <c r="L511" s="192"/>
      <c r="M511" s="192"/>
      <c r="N511" s="192"/>
      <c r="O511" s="192"/>
    </row>
    <row r="512" spans="10:15" ht="15.95" customHeight="1" x14ac:dyDescent="0.25">
      <c r="J512" s="192"/>
      <c r="K512" s="192"/>
      <c r="L512" s="192"/>
      <c r="M512" s="192"/>
      <c r="N512" s="192"/>
      <c r="O512" s="192"/>
    </row>
    <row r="513" spans="10:15" ht="15.95" customHeight="1" x14ac:dyDescent="0.25">
      <c r="J513" s="192"/>
      <c r="K513" s="192"/>
      <c r="L513" s="192"/>
      <c r="M513" s="192"/>
      <c r="N513" s="192"/>
      <c r="O513" s="192"/>
    </row>
    <row r="514" spans="10:15" ht="15.95" customHeight="1" x14ac:dyDescent="0.25">
      <c r="J514" s="192"/>
      <c r="K514" s="192"/>
      <c r="L514" s="192"/>
      <c r="M514" s="192"/>
      <c r="N514" s="192"/>
      <c r="O514" s="192"/>
    </row>
    <row r="515" spans="10:15" ht="15.95" customHeight="1" x14ac:dyDescent="0.25">
      <c r="J515" s="192"/>
      <c r="K515" s="192"/>
      <c r="L515" s="192"/>
      <c r="M515" s="192"/>
      <c r="N515" s="192"/>
      <c r="O515" s="192"/>
    </row>
    <row r="516" spans="10:15" ht="15.95" customHeight="1" x14ac:dyDescent="0.25">
      <c r="J516" s="192"/>
      <c r="K516" s="192"/>
      <c r="L516" s="192"/>
      <c r="M516" s="192"/>
      <c r="N516" s="192"/>
      <c r="O516" s="192"/>
    </row>
    <row r="517" spans="10:15" ht="15.95" customHeight="1" x14ac:dyDescent="0.25">
      <c r="J517" s="192"/>
      <c r="K517" s="192"/>
      <c r="L517" s="192"/>
      <c r="M517" s="192"/>
      <c r="N517" s="192"/>
      <c r="O517" s="192"/>
    </row>
    <row r="518" spans="10:15" ht="15.95" customHeight="1" x14ac:dyDescent="0.25">
      <c r="J518" s="192"/>
      <c r="K518" s="192"/>
      <c r="L518" s="192"/>
      <c r="M518" s="192"/>
      <c r="N518" s="192"/>
      <c r="O518" s="192"/>
    </row>
    <row r="519" spans="10:15" ht="15.95" customHeight="1" x14ac:dyDescent="0.25">
      <c r="J519" s="192"/>
      <c r="K519" s="192"/>
      <c r="L519" s="192"/>
      <c r="M519" s="192"/>
      <c r="N519" s="192"/>
      <c r="O519" s="192"/>
    </row>
    <row r="520" spans="10:15" ht="15.95" customHeight="1" x14ac:dyDescent="0.25">
      <c r="J520" s="192"/>
      <c r="K520" s="192"/>
      <c r="L520" s="192"/>
      <c r="M520" s="192"/>
      <c r="N520" s="192"/>
      <c r="O520" s="192"/>
    </row>
    <row r="521" spans="10:15" ht="15.95" customHeight="1" x14ac:dyDescent="0.25">
      <c r="J521" s="192"/>
      <c r="K521" s="192"/>
      <c r="L521" s="192"/>
      <c r="M521" s="192"/>
      <c r="N521" s="192"/>
      <c r="O521" s="192"/>
    </row>
    <row r="522" spans="10:15" ht="15.95" customHeight="1" x14ac:dyDescent="0.25">
      <c r="J522" s="192"/>
      <c r="K522" s="192"/>
      <c r="L522" s="192"/>
      <c r="M522" s="192"/>
      <c r="N522" s="192"/>
      <c r="O522" s="192"/>
    </row>
    <row r="523" spans="10:15" ht="15.95" customHeight="1" x14ac:dyDescent="0.25">
      <c r="J523" s="192"/>
      <c r="K523" s="192"/>
      <c r="L523" s="192"/>
      <c r="M523" s="192"/>
      <c r="N523" s="192"/>
      <c r="O523" s="192"/>
    </row>
    <row r="524" spans="10:15" ht="15.95" customHeight="1" x14ac:dyDescent="0.25">
      <c r="J524" s="192"/>
      <c r="K524" s="192"/>
      <c r="L524" s="192"/>
      <c r="M524" s="192"/>
      <c r="N524" s="192"/>
      <c r="O524" s="192"/>
    </row>
    <row r="525" spans="10:15" ht="15.95" customHeight="1" x14ac:dyDescent="0.25">
      <c r="J525" s="192"/>
      <c r="K525" s="192"/>
      <c r="L525" s="192"/>
      <c r="M525" s="192"/>
      <c r="N525" s="192"/>
      <c r="O525" s="192"/>
    </row>
    <row r="526" spans="10:15" ht="15.95" customHeight="1" x14ac:dyDescent="0.25">
      <c r="J526" s="192"/>
      <c r="K526" s="192"/>
      <c r="L526" s="192"/>
      <c r="M526" s="192"/>
      <c r="N526" s="192"/>
      <c r="O526" s="192"/>
    </row>
    <row r="527" spans="10:15" ht="15.95" customHeight="1" x14ac:dyDescent="0.25">
      <c r="J527" s="192"/>
      <c r="K527" s="192"/>
      <c r="L527" s="192"/>
      <c r="M527" s="192"/>
      <c r="N527" s="192"/>
      <c r="O527" s="192"/>
    </row>
    <row r="528" spans="10:15" ht="15.95" customHeight="1" x14ac:dyDescent="0.25">
      <c r="J528" s="192"/>
      <c r="K528" s="192"/>
      <c r="L528" s="192"/>
      <c r="M528" s="192"/>
      <c r="N528" s="192"/>
      <c r="O528" s="192"/>
    </row>
    <row r="529" spans="10:15" ht="15.95" customHeight="1" x14ac:dyDescent="0.25">
      <c r="J529" s="192"/>
      <c r="K529" s="192"/>
      <c r="L529" s="192"/>
      <c r="M529" s="192"/>
      <c r="N529" s="192"/>
      <c r="O529" s="192"/>
    </row>
    <row r="530" spans="10:15" ht="15.95" customHeight="1" x14ac:dyDescent="0.25">
      <c r="J530" s="192"/>
      <c r="K530" s="192"/>
      <c r="L530" s="192"/>
      <c r="M530" s="192"/>
      <c r="N530" s="192"/>
      <c r="O530" s="192"/>
    </row>
    <row r="531" spans="10:15" ht="15.95" customHeight="1" x14ac:dyDescent="0.25">
      <c r="J531" s="192"/>
      <c r="K531" s="192"/>
      <c r="L531" s="192"/>
      <c r="M531" s="192"/>
      <c r="N531" s="192"/>
      <c r="O531" s="192"/>
    </row>
    <row r="532" spans="10:15" ht="15.95" customHeight="1" x14ac:dyDescent="0.25">
      <c r="J532" s="192"/>
      <c r="K532" s="192"/>
      <c r="L532" s="192"/>
      <c r="M532" s="192"/>
      <c r="N532" s="192"/>
      <c r="O532" s="192"/>
    </row>
    <row r="533" spans="10:15" ht="15.95" customHeight="1" x14ac:dyDescent="0.25">
      <c r="J533" s="192"/>
      <c r="K533" s="192"/>
      <c r="L533" s="192"/>
      <c r="M533" s="192"/>
      <c r="N533" s="192"/>
      <c r="O533" s="192"/>
    </row>
    <row r="534" spans="10:15" ht="15.95" customHeight="1" x14ac:dyDescent="0.25">
      <c r="J534" s="192"/>
      <c r="K534" s="192"/>
      <c r="L534" s="192"/>
      <c r="M534" s="192"/>
      <c r="N534" s="192"/>
      <c r="O534" s="192"/>
    </row>
    <row r="535" spans="10:15" ht="15.95" customHeight="1" x14ac:dyDescent="0.25">
      <c r="J535" s="192"/>
      <c r="K535" s="192"/>
      <c r="L535" s="192"/>
      <c r="M535" s="192"/>
      <c r="N535" s="192"/>
      <c r="O535" s="192"/>
    </row>
    <row r="536" spans="10:15" ht="15.95" customHeight="1" x14ac:dyDescent="0.25">
      <c r="J536" s="192"/>
      <c r="K536" s="192"/>
      <c r="L536" s="192"/>
      <c r="M536" s="192"/>
      <c r="N536" s="192"/>
      <c r="O536" s="192"/>
    </row>
    <row r="537" spans="10:15" ht="15.95" customHeight="1" x14ac:dyDescent="0.25">
      <c r="J537" s="192"/>
      <c r="K537" s="192"/>
      <c r="L537" s="192"/>
      <c r="M537" s="192"/>
      <c r="N537" s="192"/>
      <c r="O537" s="192"/>
    </row>
    <row r="538" spans="10:15" ht="15.95" customHeight="1" x14ac:dyDescent="0.25">
      <c r="J538" s="192"/>
      <c r="K538" s="192"/>
      <c r="L538" s="192"/>
      <c r="M538" s="192"/>
      <c r="N538" s="192"/>
      <c r="O538" s="192"/>
    </row>
    <row r="539" spans="10:15" ht="15.95" customHeight="1" x14ac:dyDescent="0.25">
      <c r="J539" s="192"/>
      <c r="K539" s="192"/>
      <c r="L539" s="192"/>
      <c r="M539" s="192"/>
      <c r="N539" s="192"/>
      <c r="O539" s="192"/>
    </row>
    <row r="540" spans="10:15" ht="15.95" customHeight="1" x14ac:dyDescent="0.25">
      <c r="J540" s="192"/>
      <c r="K540" s="192"/>
      <c r="L540" s="192"/>
      <c r="M540" s="192"/>
      <c r="N540" s="192"/>
      <c r="O540" s="192"/>
    </row>
    <row r="541" spans="10:15" ht="15.95" customHeight="1" x14ac:dyDescent="0.25">
      <c r="J541" s="192"/>
      <c r="K541" s="192"/>
      <c r="L541" s="192"/>
      <c r="M541" s="192"/>
      <c r="N541" s="192"/>
      <c r="O541" s="192"/>
    </row>
    <row r="542" spans="10:15" ht="15.95" customHeight="1" x14ac:dyDescent="0.25">
      <c r="J542" s="192"/>
      <c r="K542" s="192"/>
      <c r="L542" s="192"/>
      <c r="M542" s="192"/>
      <c r="N542" s="192"/>
      <c r="O542" s="192"/>
    </row>
    <row r="543" spans="10:15" ht="15.95" customHeight="1" x14ac:dyDescent="0.25">
      <c r="J543" s="192"/>
      <c r="K543" s="192"/>
      <c r="L543" s="192"/>
      <c r="M543" s="192"/>
      <c r="N543" s="192"/>
      <c r="O543" s="192"/>
    </row>
    <row r="544" spans="10:15" ht="15.95" customHeight="1" x14ac:dyDescent="0.25">
      <c r="J544" s="192"/>
      <c r="K544" s="192"/>
      <c r="L544" s="192"/>
      <c r="M544" s="192"/>
      <c r="N544" s="192"/>
      <c r="O544" s="192"/>
    </row>
    <row r="545" spans="10:15" ht="15.95" customHeight="1" x14ac:dyDescent="0.25">
      <c r="J545" s="192"/>
      <c r="K545" s="192"/>
      <c r="L545" s="192"/>
      <c r="M545" s="192"/>
      <c r="N545" s="192"/>
      <c r="O545" s="192"/>
    </row>
    <row r="546" spans="10:15" ht="15.95" customHeight="1" x14ac:dyDescent="0.25">
      <c r="J546" s="192"/>
      <c r="K546" s="192"/>
      <c r="L546" s="192"/>
      <c r="M546" s="192"/>
      <c r="N546" s="192"/>
      <c r="O546" s="192"/>
    </row>
    <row r="547" spans="10:15" ht="15.95" customHeight="1" x14ac:dyDescent="0.25">
      <c r="J547" s="192"/>
      <c r="K547" s="192"/>
      <c r="L547" s="192"/>
      <c r="M547" s="192"/>
      <c r="N547" s="192"/>
      <c r="O547" s="192"/>
    </row>
    <row r="548" spans="10:15" ht="15.95" customHeight="1" x14ac:dyDescent="0.25">
      <c r="J548" s="192"/>
      <c r="K548" s="192"/>
      <c r="L548" s="192"/>
      <c r="M548" s="192"/>
      <c r="N548" s="192"/>
      <c r="O548" s="192"/>
    </row>
    <row r="549" spans="10:15" ht="15.95" customHeight="1" x14ac:dyDescent="0.25">
      <c r="J549" s="192"/>
      <c r="K549" s="192"/>
      <c r="L549" s="192"/>
      <c r="M549" s="192"/>
      <c r="N549" s="192"/>
      <c r="O549" s="192"/>
    </row>
    <row r="550" spans="10:15" ht="15.95" customHeight="1" x14ac:dyDescent="0.25">
      <c r="J550" s="192"/>
      <c r="K550" s="192"/>
      <c r="L550" s="192"/>
      <c r="M550" s="192"/>
      <c r="N550" s="192"/>
      <c r="O550" s="192"/>
    </row>
    <row r="551" spans="10:15" ht="15.95" customHeight="1" x14ac:dyDescent="0.25">
      <c r="J551" s="192"/>
      <c r="K551" s="192"/>
      <c r="L551" s="192"/>
      <c r="M551" s="192"/>
      <c r="N551" s="192"/>
      <c r="O551" s="192"/>
    </row>
    <row r="552" spans="10:15" ht="15.95" customHeight="1" x14ac:dyDescent="0.25">
      <c r="J552" s="192"/>
      <c r="K552" s="192"/>
      <c r="L552" s="192"/>
      <c r="M552" s="192"/>
      <c r="N552" s="192"/>
      <c r="O552" s="192"/>
    </row>
    <row r="553" spans="10:15" ht="15.95" customHeight="1" x14ac:dyDescent="0.25">
      <c r="J553" s="192"/>
      <c r="K553" s="192"/>
      <c r="L553" s="192"/>
      <c r="M553" s="192"/>
      <c r="N553" s="192"/>
      <c r="O553" s="192"/>
    </row>
    <row r="554" spans="10:15" ht="15.95" customHeight="1" x14ac:dyDescent="0.25">
      <c r="J554" s="192"/>
      <c r="K554" s="192"/>
      <c r="L554" s="192"/>
      <c r="M554" s="192"/>
      <c r="N554" s="192"/>
      <c r="O554" s="192"/>
    </row>
    <row r="555" spans="10:15" ht="15.95" customHeight="1" x14ac:dyDescent="0.25">
      <c r="J555" s="192"/>
      <c r="K555" s="192"/>
      <c r="L555" s="192"/>
      <c r="M555" s="192"/>
      <c r="N555" s="192"/>
      <c r="O555" s="192"/>
    </row>
    <row r="556" spans="10:15" ht="15.95" customHeight="1" x14ac:dyDescent="0.25">
      <c r="J556" s="192"/>
      <c r="K556" s="192"/>
      <c r="L556" s="192"/>
      <c r="M556" s="192"/>
      <c r="N556" s="192"/>
      <c r="O556" s="192"/>
    </row>
    <row r="557" spans="10:15" ht="15.95" customHeight="1" x14ac:dyDescent="0.25">
      <c r="J557" s="192"/>
      <c r="K557" s="192"/>
      <c r="L557" s="192"/>
      <c r="M557" s="192"/>
      <c r="N557" s="192"/>
      <c r="O557" s="192"/>
    </row>
    <row r="558" spans="10:15" ht="15.95" customHeight="1" x14ac:dyDescent="0.25">
      <c r="J558" s="192"/>
      <c r="K558" s="192"/>
      <c r="L558" s="192"/>
      <c r="M558" s="192"/>
      <c r="N558" s="192"/>
      <c r="O558" s="192"/>
    </row>
    <row r="559" spans="10:15" ht="15.95" customHeight="1" x14ac:dyDescent="0.25">
      <c r="J559" s="192"/>
      <c r="K559" s="192"/>
      <c r="L559" s="192"/>
      <c r="M559" s="192"/>
      <c r="N559" s="192"/>
      <c r="O559" s="192"/>
    </row>
    <row r="560" spans="10:15" ht="15.95" customHeight="1" x14ac:dyDescent="0.25">
      <c r="J560" s="192"/>
      <c r="K560" s="192"/>
      <c r="L560" s="192"/>
      <c r="M560" s="192"/>
      <c r="N560" s="192"/>
      <c r="O560" s="192"/>
    </row>
    <row r="561" spans="10:15" ht="15.95" customHeight="1" x14ac:dyDescent="0.25">
      <c r="J561" s="192"/>
      <c r="K561" s="192"/>
      <c r="L561" s="192"/>
      <c r="M561" s="192"/>
      <c r="N561" s="192"/>
      <c r="O561" s="192"/>
    </row>
    <row r="562" spans="10:15" ht="15.95" customHeight="1" x14ac:dyDescent="0.25">
      <c r="J562" s="192"/>
      <c r="K562" s="192"/>
      <c r="L562" s="192"/>
      <c r="M562" s="192"/>
      <c r="N562" s="192"/>
      <c r="O562" s="192"/>
    </row>
    <row r="563" spans="10:15" ht="15.95" customHeight="1" x14ac:dyDescent="0.25">
      <c r="J563" s="192"/>
      <c r="K563" s="192"/>
      <c r="L563" s="192"/>
      <c r="M563" s="192"/>
      <c r="N563" s="192"/>
      <c r="O563" s="192"/>
    </row>
    <row r="564" spans="10:15" ht="15.95" customHeight="1" x14ac:dyDescent="0.25">
      <c r="J564" s="192"/>
      <c r="K564" s="192"/>
      <c r="L564" s="192"/>
      <c r="M564" s="192"/>
      <c r="N564" s="192"/>
      <c r="O564" s="192"/>
    </row>
    <row r="565" spans="10:15" ht="15.95" customHeight="1" x14ac:dyDescent="0.25">
      <c r="J565" s="192"/>
      <c r="K565" s="192"/>
      <c r="L565" s="192"/>
      <c r="M565" s="192"/>
      <c r="N565" s="192"/>
      <c r="O565" s="192"/>
    </row>
    <row r="566" spans="10:15" ht="15.95" customHeight="1" x14ac:dyDescent="0.25">
      <c r="J566" s="192"/>
      <c r="K566" s="192"/>
      <c r="L566" s="192"/>
      <c r="M566" s="192"/>
      <c r="N566" s="192"/>
      <c r="O566" s="192"/>
    </row>
    <row r="567" spans="10:15" ht="15.95" customHeight="1" x14ac:dyDescent="0.25">
      <c r="J567" s="192"/>
      <c r="K567" s="192"/>
      <c r="L567" s="192"/>
      <c r="M567" s="192"/>
      <c r="N567" s="192"/>
      <c r="O567" s="192"/>
    </row>
    <row r="568" spans="10:15" ht="15.95" customHeight="1" x14ac:dyDescent="0.25">
      <c r="J568" s="192"/>
      <c r="K568" s="192"/>
      <c r="L568" s="192"/>
      <c r="M568" s="192"/>
      <c r="N568" s="192"/>
      <c r="O568" s="192"/>
    </row>
    <row r="569" spans="10:15" ht="15.95" customHeight="1" x14ac:dyDescent="0.25">
      <c r="J569" s="192"/>
      <c r="K569" s="192"/>
      <c r="L569" s="192"/>
      <c r="M569" s="192"/>
      <c r="N569" s="192"/>
      <c r="O569" s="192"/>
    </row>
    <row r="570" spans="10:15" ht="15.95" customHeight="1" x14ac:dyDescent="0.25">
      <c r="J570" s="192"/>
      <c r="K570" s="192"/>
      <c r="L570" s="192"/>
      <c r="M570" s="192"/>
      <c r="N570" s="192"/>
      <c r="O570" s="192"/>
    </row>
    <row r="571" spans="10:15" ht="15.95" customHeight="1" x14ac:dyDescent="0.25">
      <c r="J571" s="192"/>
      <c r="K571" s="192"/>
      <c r="L571" s="192"/>
      <c r="M571" s="192"/>
      <c r="N571" s="192"/>
      <c r="O571" s="192"/>
    </row>
    <row r="572" spans="10:15" ht="15.95" customHeight="1" x14ac:dyDescent="0.25">
      <c r="J572" s="192"/>
      <c r="K572" s="192"/>
      <c r="L572" s="192"/>
      <c r="M572" s="192"/>
      <c r="N572" s="192"/>
      <c r="O572" s="192"/>
    </row>
    <row r="573" spans="10:15" ht="15.95" customHeight="1" x14ac:dyDescent="0.25">
      <c r="J573" s="192"/>
      <c r="K573" s="192"/>
      <c r="L573" s="192"/>
      <c r="M573" s="192"/>
      <c r="N573" s="192"/>
      <c r="O573" s="192"/>
    </row>
    <row r="574" spans="10:15" ht="15.95" customHeight="1" x14ac:dyDescent="0.25">
      <c r="J574" s="192"/>
      <c r="K574" s="192"/>
      <c r="L574" s="192"/>
      <c r="M574" s="192"/>
      <c r="N574" s="192"/>
      <c r="O574" s="192"/>
    </row>
    <row r="575" spans="10:15" ht="15.95" customHeight="1" x14ac:dyDescent="0.25">
      <c r="J575" s="192"/>
      <c r="K575" s="192"/>
      <c r="L575" s="192"/>
      <c r="M575" s="192"/>
      <c r="N575" s="192"/>
      <c r="O575" s="192"/>
    </row>
    <row r="576" spans="10:15" ht="15.95" customHeight="1" x14ac:dyDescent="0.25">
      <c r="J576" s="192"/>
      <c r="K576" s="192"/>
      <c r="L576" s="192"/>
      <c r="M576" s="192"/>
      <c r="N576" s="192"/>
      <c r="O576" s="192"/>
    </row>
    <row r="577" spans="9:15" ht="15.95" customHeight="1" x14ac:dyDescent="0.25">
      <c r="J577" s="192"/>
      <c r="K577" s="192"/>
      <c r="L577" s="192"/>
      <c r="M577" s="192"/>
      <c r="N577" s="192"/>
      <c r="O577" s="192"/>
    </row>
    <row r="578" spans="9:15" ht="15.95" customHeight="1" x14ac:dyDescent="0.25">
      <c r="J578" s="192"/>
      <c r="K578" s="192"/>
      <c r="L578" s="192"/>
      <c r="M578" s="192"/>
      <c r="N578" s="192"/>
      <c r="O578" s="192"/>
    </row>
    <row r="579" spans="9:15" ht="15.95" customHeight="1" x14ac:dyDescent="0.25">
      <c r="J579" s="192"/>
      <c r="K579" s="192"/>
      <c r="L579" s="192"/>
      <c r="M579" s="192"/>
      <c r="N579" s="192"/>
      <c r="O579" s="192"/>
    </row>
    <row r="580" spans="9:15" ht="15.95" customHeight="1" x14ac:dyDescent="0.25">
      <c r="J580" s="192"/>
      <c r="K580" s="192"/>
      <c r="L580" s="192"/>
      <c r="M580" s="192"/>
      <c r="N580" s="192"/>
      <c r="O580" s="192"/>
    </row>
    <row r="581" spans="9:15" ht="15.95" customHeight="1" x14ac:dyDescent="0.25">
      <c r="J581" s="192"/>
      <c r="K581" s="192"/>
      <c r="L581" s="192"/>
      <c r="M581" s="192"/>
      <c r="N581" s="192"/>
      <c r="O581" s="192"/>
    </row>
    <row r="582" spans="9:15" ht="15.95" customHeight="1" x14ac:dyDescent="0.25">
      <c r="J582" s="192"/>
      <c r="K582" s="192"/>
      <c r="L582" s="192"/>
      <c r="M582" s="192"/>
      <c r="N582" s="192"/>
      <c r="O582" s="192"/>
    </row>
    <row r="583" spans="9:15" ht="15.95" customHeight="1" x14ac:dyDescent="0.25"/>
    <row r="584" spans="9:15" ht="15.95" customHeight="1" x14ac:dyDescent="0.25"/>
    <row r="585" spans="9:15" ht="72" customHeight="1" x14ac:dyDescent="0.25">
      <c r="J585" s="193" t="str">
        <f>ComparisonData!CH2</f>
        <v>SECTION B: OUR STAFF, SERVICES &amp; FACILITIES</v>
      </c>
    </row>
    <row r="586" spans="9:15" ht="72" customHeight="1" x14ac:dyDescent="0.25">
      <c r="J586" s="193" t="str">
        <f>ComparisonData!CH3</f>
        <v>4. Please mark our staff out of 10 for the following aspects</v>
      </c>
    </row>
    <row r="587" spans="9:15" ht="32.1" customHeight="1" x14ac:dyDescent="0.25">
      <c r="J587" s="193" t="str">
        <f>ComparisonData!CL4</f>
        <v>Availability of staff</v>
      </c>
    </row>
    <row r="588" spans="9:15" ht="15.95" customHeight="1" x14ac:dyDescent="0.25">
      <c r="I588" s="188" t="str" cm="1">
        <f t="array" aca="1" ref="I588" ca="1">Availability_of_staff_lbl</f>
        <v>TOTAL</v>
      </c>
      <c r="J588" s="194" cm="1">
        <f t="array" aca="1" ref="J588" ca="1">Availability_of_staff_avg</f>
        <v>9.7321399999999993</v>
      </c>
    </row>
    <row r="589" spans="9:15" ht="15.95" customHeight="1" x14ac:dyDescent="0.25">
      <c r="J589" s="194"/>
    </row>
    <row r="590" spans="9:15" ht="15.95" customHeight="1" x14ac:dyDescent="0.25">
      <c r="J590" s="194"/>
    </row>
    <row r="591" spans="9:15" ht="15.95" customHeight="1" x14ac:dyDescent="0.25">
      <c r="J591" s="194"/>
    </row>
    <row r="592" spans="9:15" ht="15.95" customHeight="1" x14ac:dyDescent="0.25">
      <c r="J592" s="194"/>
    </row>
    <row r="593" spans="10:10" ht="15.95" customHeight="1" x14ac:dyDescent="0.25">
      <c r="J593" s="194"/>
    </row>
    <row r="594" spans="10:10" ht="15.95" customHeight="1" x14ac:dyDescent="0.25">
      <c r="J594" s="194"/>
    </row>
    <row r="595" spans="10:10" ht="15.95" customHeight="1" x14ac:dyDescent="0.25">
      <c r="J595" s="194"/>
    </row>
    <row r="596" spans="10:10" ht="15.95" customHeight="1" x14ac:dyDescent="0.25">
      <c r="J596" s="194"/>
    </row>
    <row r="597" spans="10:10" ht="15.95" customHeight="1" x14ac:dyDescent="0.25">
      <c r="J597" s="194"/>
    </row>
    <row r="598" spans="10:10" ht="15.95" customHeight="1" x14ac:dyDescent="0.25">
      <c r="J598" s="194"/>
    </row>
    <row r="599" spans="10:10" ht="15.95" customHeight="1" x14ac:dyDescent="0.25">
      <c r="J599" s="194"/>
    </row>
    <row r="600" spans="10:10" ht="15.95" customHeight="1" x14ac:dyDescent="0.25">
      <c r="J600" s="194"/>
    </row>
    <row r="601" spans="10:10" ht="15.95" customHeight="1" x14ac:dyDescent="0.25">
      <c r="J601" s="194"/>
    </row>
    <row r="602" spans="10:10" ht="15.95" customHeight="1" x14ac:dyDescent="0.25">
      <c r="J602" s="194"/>
    </row>
    <row r="603" spans="10:10" ht="15.95" customHeight="1" x14ac:dyDescent="0.25">
      <c r="J603" s="194"/>
    </row>
    <row r="604" spans="10:10" ht="15.95" customHeight="1" x14ac:dyDescent="0.25">
      <c r="J604" s="194"/>
    </row>
    <row r="605" spans="10:10" ht="15.95" customHeight="1" x14ac:dyDescent="0.25">
      <c r="J605" s="194"/>
    </row>
    <row r="606" spans="10:10" ht="15.95" customHeight="1" x14ac:dyDescent="0.25">
      <c r="J606" s="194"/>
    </row>
    <row r="607" spans="10:10" ht="15.95" customHeight="1" x14ac:dyDescent="0.25">
      <c r="J607" s="194"/>
    </row>
    <row r="608" spans="10:10" ht="15.95" customHeight="1" x14ac:dyDescent="0.25">
      <c r="J608" s="194"/>
    </row>
    <row r="609" spans="10:10" ht="15.95" customHeight="1" x14ac:dyDescent="0.25">
      <c r="J609" s="194"/>
    </row>
    <row r="610" spans="10:10" ht="15.95" customHeight="1" x14ac:dyDescent="0.25">
      <c r="J610" s="194"/>
    </row>
    <row r="611" spans="10:10" ht="15.95" customHeight="1" x14ac:dyDescent="0.25">
      <c r="J611" s="194"/>
    </row>
    <row r="612" spans="10:10" ht="15.95" customHeight="1" x14ac:dyDescent="0.25">
      <c r="J612" s="194"/>
    </row>
    <row r="613" spans="10:10" ht="15.95" customHeight="1" x14ac:dyDescent="0.25">
      <c r="J613" s="194"/>
    </row>
    <row r="614" spans="10:10" ht="15.95" customHeight="1" x14ac:dyDescent="0.25">
      <c r="J614" s="194"/>
    </row>
    <row r="615" spans="10:10" ht="15.95" customHeight="1" x14ac:dyDescent="0.25">
      <c r="J615" s="194"/>
    </row>
    <row r="616" spans="10:10" ht="15.95" customHeight="1" x14ac:dyDescent="0.25">
      <c r="J616" s="194"/>
    </row>
    <row r="617" spans="10:10" ht="15.95" customHeight="1" x14ac:dyDescent="0.25">
      <c r="J617" s="194"/>
    </row>
    <row r="618" spans="10:10" ht="15.95" customHeight="1" x14ac:dyDescent="0.25">
      <c r="J618" s="194"/>
    </row>
    <row r="619" spans="10:10" ht="15.95" customHeight="1" x14ac:dyDescent="0.25">
      <c r="J619" s="194"/>
    </row>
    <row r="620" spans="10:10" ht="15.95" customHeight="1" x14ac:dyDescent="0.25">
      <c r="J620" s="194"/>
    </row>
    <row r="621" spans="10:10" ht="15.95" customHeight="1" x14ac:dyDescent="0.25">
      <c r="J621" s="194"/>
    </row>
    <row r="622" spans="10:10" ht="15.95" customHeight="1" x14ac:dyDescent="0.25">
      <c r="J622" s="194"/>
    </row>
    <row r="623" spans="10:10" ht="15.95" customHeight="1" x14ac:dyDescent="0.25">
      <c r="J623" s="194"/>
    </row>
    <row r="624" spans="10:10" ht="15.95" customHeight="1" x14ac:dyDescent="0.25">
      <c r="J624" s="194"/>
    </row>
    <row r="625" spans="10:10" ht="15.95" customHeight="1" x14ac:dyDescent="0.25">
      <c r="J625" s="194"/>
    </row>
    <row r="626" spans="10:10" ht="15.95" customHeight="1" x14ac:dyDescent="0.25">
      <c r="J626" s="194"/>
    </row>
    <row r="627" spans="10:10" ht="15.95" customHeight="1" x14ac:dyDescent="0.25">
      <c r="J627" s="194"/>
    </row>
    <row r="628" spans="10:10" ht="15.95" customHeight="1" x14ac:dyDescent="0.25">
      <c r="J628" s="194"/>
    </row>
    <row r="629" spans="10:10" ht="15.95" customHeight="1" x14ac:dyDescent="0.25">
      <c r="J629" s="194"/>
    </row>
    <row r="630" spans="10:10" ht="15.95" customHeight="1" x14ac:dyDescent="0.25">
      <c r="J630" s="194"/>
    </row>
    <row r="631" spans="10:10" ht="15.95" customHeight="1" x14ac:dyDescent="0.25">
      <c r="J631" s="194"/>
    </row>
    <row r="632" spans="10:10" ht="15.95" customHeight="1" x14ac:dyDescent="0.25">
      <c r="J632" s="194"/>
    </row>
    <row r="633" spans="10:10" ht="15.95" customHeight="1" x14ac:dyDescent="0.25">
      <c r="J633" s="194"/>
    </row>
    <row r="634" spans="10:10" ht="15.95" customHeight="1" x14ac:dyDescent="0.25">
      <c r="J634" s="194"/>
    </row>
    <row r="635" spans="10:10" ht="15.95" customHeight="1" x14ac:dyDescent="0.25">
      <c r="J635" s="194"/>
    </row>
    <row r="636" spans="10:10" ht="15.95" customHeight="1" x14ac:dyDescent="0.25">
      <c r="J636" s="194"/>
    </row>
    <row r="637" spans="10:10" ht="15.95" customHeight="1" x14ac:dyDescent="0.25">
      <c r="J637" s="194"/>
    </row>
    <row r="638" spans="10:10" ht="15.95" customHeight="1" x14ac:dyDescent="0.25">
      <c r="J638" s="194"/>
    </row>
    <row r="639" spans="10:10" ht="15.95" customHeight="1" x14ac:dyDescent="0.25">
      <c r="J639" s="194"/>
    </row>
    <row r="640" spans="10:10" ht="15.95" customHeight="1" x14ac:dyDescent="0.25">
      <c r="J640" s="194"/>
    </row>
    <row r="641" spans="10:10" ht="15.95" customHeight="1" x14ac:dyDescent="0.25">
      <c r="J641" s="194"/>
    </row>
    <row r="642" spans="10:10" ht="15.95" customHeight="1" x14ac:dyDescent="0.25">
      <c r="J642" s="194"/>
    </row>
    <row r="643" spans="10:10" ht="15.95" customHeight="1" x14ac:dyDescent="0.25">
      <c r="J643" s="194"/>
    </row>
    <row r="644" spans="10:10" ht="15.95" customHeight="1" x14ac:dyDescent="0.25">
      <c r="J644" s="194"/>
    </row>
    <row r="645" spans="10:10" ht="15.95" customHeight="1" x14ac:dyDescent="0.25">
      <c r="J645" s="194"/>
    </row>
    <row r="646" spans="10:10" ht="15.95" customHeight="1" x14ac:dyDescent="0.25">
      <c r="J646" s="194"/>
    </row>
    <row r="647" spans="10:10" ht="15.95" customHeight="1" x14ac:dyDescent="0.25">
      <c r="J647" s="194"/>
    </row>
    <row r="648" spans="10:10" ht="15.95" customHeight="1" x14ac:dyDescent="0.25">
      <c r="J648" s="194"/>
    </row>
    <row r="649" spans="10:10" ht="15.95" customHeight="1" x14ac:dyDescent="0.25">
      <c r="J649" s="194"/>
    </row>
    <row r="650" spans="10:10" ht="15.95" customHeight="1" x14ac:dyDescent="0.25">
      <c r="J650" s="194"/>
    </row>
    <row r="651" spans="10:10" ht="15.95" customHeight="1" x14ac:dyDescent="0.25">
      <c r="J651" s="194"/>
    </row>
    <row r="652" spans="10:10" ht="15.95" customHeight="1" x14ac:dyDescent="0.25">
      <c r="J652" s="194"/>
    </row>
    <row r="653" spans="10:10" ht="15.95" customHeight="1" x14ac:dyDescent="0.25">
      <c r="J653" s="194"/>
    </row>
    <row r="654" spans="10:10" ht="15.95" customHeight="1" x14ac:dyDescent="0.25">
      <c r="J654" s="194"/>
    </row>
    <row r="655" spans="10:10" ht="15.95" customHeight="1" x14ac:dyDescent="0.25">
      <c r="J655" s="194"/>
    </row>
    <row r="656" spans="10:10" ht="15.95" customHeight="1" x14ac:dyDescent="0.25">
      <c r="J656" s="194"/>
    </row>
    <row r="657" spans="10:10" ht="15.95" customHeight="1" x14ac:dyDescent="0.25">
      <c r="J657" s="194"/>
    </row>
    <row r="658" spans="10:10" ht="15.95" customHeight="1" x14ac:dyDescent="0.25">
      <c r="J658" s="194"/>
    </row>
    <row r="659" spans="10:10" ht="15.95" customHeight="1" x14ac:dyDescent="0.25">
      <c r="J659" s="194"/>
    </row>
    <row r="660" spans="10:10" ht="15.95" customHeight="1" x14ac:dyDescent="0.25">
      <c r="J660" s="194"/>
    </row>
    <row r="661" spans="10:10" ht="15.95" customHeight="1" x14ac:dyDescent="0.25">
      <c r="J661" s="194"/>
    </row>
    <row r="662" spans="10:10" ht="15.95" customHeight="1" x14ac:dyDescent="0.25">
      <c r="J662" s="194"/>
    </row>
    <row r="663" spans="10:10" ht="15.95" customHeight="1" x14ac:dyDescent="0.25">
      <c r="J663" s="194"/>
    </row>
    <row r="664" spans="10:10" ht="15.95" customHeight="1" x14ac:dyDescent="0.25">
      <c r="J664" s="194"/>
    </row>
    <row r="665" spans="10:10" ht="15.95" customHeight="1" x14ac:dyDescent="0.25">
      <c r="J665" s="194"/>
    </row>
    <row r="666" spans="10:10" ht="15.95" customHeight="1" x14ac:dyDescent="0.25">
      <c r="J666" s="194"/>
    </row>
    <row r="667" spans="10:10" ht="15.95" customHeight="1" x14ac:dyDescent="0.25">
      <c r="J667" s="194"/>
    </row>
    <row r="668" spans="10:10" ht="15.95" customHeight="1" x14ac:dyDescent="0.25">
      <c r="J668" s="194"/>
    </row>
    <row r="669" spans="10:10" ht="15.95" customHeight="1" x14ac:dyDescent="0.25">
      <c r="J669" s="194"/>
    </row>
    <row r="670" spans="10:10" ht="15.95" customHeight="1" x14ac:dyDescent="0.25">
      <c r="J670" s="194"/>
    </row>
    <row r="671" spans="10:10" ht="15.95" customHeight="1" x14ac:dyDescent="0.25">
      <c r="J671" s="194"/>
    </row>
    <row r="672" spans="10:10" ht="15.95" customHeight="1" x14ac:dyDescent="0.25">
      <c r="J672" s="194"/>
    </row>
    <row r="673" spans="10:10" ht="15.95" customHeight="1" x14ac:dyDescent="0.25">
      <c r="J673" s="194"/>
    </row>
    <row r="674" spans="10:10" ht="15.95" customHeight="1" x14ac:dyDescent="0.25">
      <c r="J674" s="194"/>
    </row>
    <row r="675" spans="10:10" ht="15.95" customHeight="1" x14ac:dyDescent="0.25">
      <c r="J675" s="194"/>
    </row>
    <row r="676" spans="10:10" ht="15.95" customHeight="1" x14ac:dyDescent="0.25">
      <c r="J676" s="194"/>
    </row>
    <row r="677" spans="10:10" ht="15.95" customHeight="1" x14ac:dyDescent="0.25">
      <c r="J677" s="194"/>
    </row>
    <row r="678" spans="10:10" ht="15.95" customHeight="1" x14ac:dyDescent="0.25">
      <c r="J678" s="194"/>
    </row>
    <row r="679" spans="10:10" ht="15.95" customHeight="1" x14ac:dyDescent="0.25">
      <c r="J679" s="194"/>
    </row>
    <row r="680" spans="10:10" ht="15.95" customHeight="1" x14ac:dyDescent="0.25">
      <c r="J680" s="194"/>
    </row>
    <row r="681" spans="10:10" ht="15.95" customHeight="1" x14ac:dyDescent="0.25">
      <c r="J681" s="194"/>
    </row>
    <row r="682" spans="10:10" ht="15.95" customHeight="1" x14ac:dyDescent="0.25">
      <c r="J682" s="194"/>
    </row>
    <row r="683" spans="10:10" ht="15.95" customHeight="1" x14ac:dyDescent="0.25">
      <c r="J683" s="194"/>
    </row>
    <row r="684" spans="10:10" ht="15.95" customHeight="1" x14ac:dyDescent="0.25">
      <c r="J684" s="194"/>
    </row>
    <row r="685" spans="10:10" ht="15.95" customHeight="1" x14ac:dyDescent="0.25">
      <c r="J685" s="194"/>
    </row>
    <row r="686" spans="10:10" ht="15.95" customHeight="1" x14ac:dyDescent="0.25">
      <c r="J686" s="194"/>
    </row>
    <row r="687" spans="10:10" ht="15.95" customHeight="1" x14ac:dyDescent="0.25">
      <c r="J687" s="194"/>
    </row>
    <row r="688" spans="10:10" ht="15.95" customHeight="1" x14ac:dyDescent="0.25">
      <c r="J688" s="194"/>
    </row>
    <row r="689" spans="10:10" ht="15.95" customHeight="1" x14ac:dyDescent="0.25">
      <c r="J689" s="194"/>
    </row>
    <row r="690" spans="10:10" ht="15.95" customHeight="1" x14ac:dyDescent="0.25">
      <c r="J690" s="194"/>
    </row>
    <row r="691" spans="10:10" ht="15.95" customHeight="1" x14ac:dyDescent="0.25">
      <c r="J691" s="194"/>
    </row>
    <row r="692" spans="10:10" ht="15.95" customHeight="1" x14ac:dyDescent="0.25">
      <c r="J692" s="194"/>
    </row>
    <row r="693" spans="10:10" ht="15.95" customHeight="1" x14ac:dyDescent="0.25">
      <c r="J693" s="194"/>
    </row>
    <row r="694" spans="10:10" ht="15.95" customHeight="1" x14ac:dyDescent="0.25">
      <c r="J694" s="194"/>
    </row>
    <row r="695" spans="10:10" ht="15.95" customHeight="1" x14ac:dyDescent="0.25">
      <c r="J695" s="194"/>
    </row>
    <row r="696" spans="10:10" ht="15.95" customHeight="1" x14ac:dyDescent="0.25">
      <c r="J696" s="194"/>
    </row>
    <row r="697" spans="10:10" ht="15.95" customHeight="1" x14ac:dyDescent="0.25">
      <c r="J697" s="194"/>
    </row>
    <row r="698" spans="10:10" ht="15.95" customHeight="1" x14ac:dyDescent="0.25">
      <c r="J698" s="194"/>
    </row>
    <row r="699" spans="10:10" ht="15.95" customHeight="1" x14ac:dyDescent="0.25">
      <c r="J699" s="194"/>
    </row>
    <row r="700" spans="10:10" ht="15.95" customHeight="1" x14ac:dyDescent="0.25"/>
    <row r="701" spans="10:10" ht="15.95" customHeight="1" x14ac:dyDescent="0.25"/>
    <row r="702" spans="10:10" ht="72" customHeight="1" x14ac:dyDescent="0.25">
      <c r="J702" s="193" t="str">
        <f>ComparisonData!CH2</f>
        <v>SECTION B: OUR STAFF, SERVICES &amp; FACILITIES</v>
      </c>
    </row>
    <row r="703" spans="10:10" ht="72" customHeight="1" x14ac:dyDescent="0.25">
      <c r="J703" s="193" t="str">
        <f>ComparisonData!CH3</f>
        <v>4. Please mark our staff out of 10 for the following aspects</v>
      </c>
    </row>
    <row r="704" spans="10:10" ht="32.1" customHeight="1" x14ac:dyDescent="0.25">
      <c r="J704" s="193" t="str">
        <f>ComparisonData!CU4</f>
        <v>Attitude of staff</v>
      </c>
    </row>
    <row r="705" spans="9:10" ht="15.95" customHeight="1" x14ac:dyDescent="0.25">
      <c r="I705" s="188" t="str" cm="1">
        <f t="array" aca="1" ref="I705" ca="1">Attitude_of_staff_lbl</f>
        <v>TOTAL</v>
      </c>
      <c r="J705" s="194" cm="1">
        <f t="array" aca="1" ref="J705" ca="1">Attitude_of_staff_avg</f>
        <v>9.7970400000000009</v>
      </c>
    </row>
    <row r="706" spans="9:10" ht="15.95" customHeight="1" x14ac:dyDescent="0.25">
      <c r="J706" s="194"/>
    </row>
    <row r="707" spans="9:10" ht="15.95" customHeight="1" x14ac:dyDescent="0.25">
      <c r="J707" s="194"/>
    </row>
    <row r="708" spans="9:10" ht="15.95" customHeight="1" x14ac:dyDescent="0.25">
      <c r="J708" s="194"/>
    </row>
    <row r="709" spans="9:10" ht="15.95" customHeight="1" x14ac:dyDescent="0.25">
      <c r="J709" s="194"/>
    </row>
    <row r="710" spans="9:10" ht="15.95" customHeight="1" x14ac:dyDescent="0.25">
      <c r="J710" s="194"/>
    </row>
    <row r="711" spans="9:10" ht="15.95" customHeight="1" x14ac:dyDescent="0.25">
      <c r="J711" s="194"/>
    </row>
    <row r="712" spans="9:10" ht="15.95" customHeight="1" x14ac:dyDescent="0.25">
      <c r="J712" s="194"/>
    </row>
    <row r="713" spans="9:10" ht="15.95" customHeight="1" x14ac:dyDescent="0.25">
      <c r="J713" s="194"/>
    </row>
    <row r="714" spans="9:10" ht="15.95" customHeight="1" x14ac:dyDescent="0.25">
      <c r="J714" s="194"/>
    </row>
    <row r="715" spans="9:10" ht="15.95" customHeight="1" x14ac:dyDescent="0.25">
      <c r="J715" s="194"/>
    </row>
    <row r="716" spans="9:10" ht="15.95" customHeight="1" x14ac:dyDescent="0.25">
      <c r="J716" s="194"/>
    </row>
    <row r="717" spans="9:10" ht="15.95" customHeight="1" x14ac:dyDescent="0.25">
      <c r="J717" s="194"/>
    </row>
    <row r="718" spans="9:10" ht="15.95" customHeight="1" x14ac:dyDescent="0.25">
      <c r="J718" s="194"/>
    </row>
    <row r="719" spans="9:10" ht="15.95" customHeight="1" x14ac:dyDescent="0.25">
      <c r="J719" s="194"/>
    </row>
    <row r="720" spans="9:10" ht="15.95" customHeight="1" x14ac:dyDescent="0.25">
      <c r="J720" s="194"/>
    </row>
    <row r="721" spans="10:10" ht="15.95" customHeight="1" x14ac:dyDescent="0.25">
      <c r="J721" s="194"/>
    </row>
    <row r="722" spans="10:10" ht="15.95" customHeight="1" x14ac:dyDescent="0.25">
      <c r="J722" s="194"/>
    </row>
    <row r="723" spans="10:10" ht="15.95" customHeight="1" x14ac:dyDescent="0.25">
      <c r="J723" s="194"/>
    </row>
    <row r="724" spans="10:10" ht="15.95" customHeight="1" x14ac:dyDescent="0.25">
      <c r="J724" s="194"/>
    </row>
    <row r="725" spans="10:10" ht="15.95" customHeight="1" x14ac:dyDescent="0.25">
      <c r="J725" s="194"/>
    </row>
    <row r="726" spans="10:10" ht="15.95" customHeight="1" x14ac:dyDescent="0.25">
      <c r="J726" s="194"/>
    </row>
    <row r="727" spans="10:10" ht="15.95" customHeight="1" x14ac:dyDescent="0.25">
      <c r="J727" s="194"/>
    </row>
    <row r="728" spans="10:10" ht="15.95" customHeight="1" x14ac:dyDescent="0.25">
      <c r="J728" s="194"/>
    </row>
    <row r="729" spans="10:10" ht="15.95" customHeight="1" x14ac:dyDescent="0.25">
      <c r="J729" s="194"/>
    </row>
    <row r="730" spans="10:10" ht="15.95" customHeight="1" x14ac:dyDescent="0.25">
      <c r="J730" s="194"/>
    </row>
    <row r="731" spans="10:10" ht="15.95" customHeight="1" x14ac:dyDescent="0.25">
      <c r="J731" s="194"/>
    </row>
    <row r="732" spans="10:10" ht="15.95" customHeight="1" x14ac:dyDescent="0.25">
      <c r="J732" s="194"/>
    </row>
    <row r="733" spans="10:10" ht="15.95" customHeight="1" x14ac:dyDescent="0.25">
      <c r="J733" s="194"/>
    </row>
    <row r="734" spans="10:10" ht="15.95" customHeight="1" x14ac:dyDescent="0.25">
      <c r="J734" s="194"/>
    </row>
    <row r="735" spans="10:10" ht="15.95" customHeight="1" x14ac:dyDescent="0.25">
      <c r="J735" s="194"/>
    </row>
    <row r="736" spans="10:10" ht="15.95" customHeight="1" x14ac:dyDescent="0.25">
      <c r="J736" s="194"/>
    </row>
    <row r="737" spans="10:10" ht="15.95" customHeight="1" x14ac:dyDescent="0.25">
      <c r="J737" s="194"/>
    </row>
    <row r="738" spans="10:10" ht="15.95" customHeight="1" x14ac:dyDescent="0.25">
      <c r="J738" s="194"/>
    </row>
    <row r="739" spans="10:10" ht="15.95" customHeight="1" x14ac:dyDescent="0.25">
      <c r="J739" s="194"/>
    </row>
    <row r="740" spans="10:10" ht="15.95" customHeight="1" x14ac:dyDescent="0.25">
      <c r="J740" s="194"/>
    </row>
    <row r="741" spans="10:10" ht="15.95" customHeight="1" x14ac:dyDescent="0.25">
      <c r="J741" s="194"/>
    </row>
    <row r="742" spans="10:10" ht="15.95" customHeight="1" x14ac:dyDescent="0.25">
      <c r="J742" s="194"/>
    </row>
    <row r="743" spans="10:10" ht="15.95" customHeight="1" x14ac:dyDescent="0.25">
      <c r="J743" s="194"/>
    </row>
    <row r="744" spans="10:10" ht="15.95" customHeight="1" x14ac:dyDescent="0.25">
      <c r="J744" s="194"/>
    </row>
    <row r="745" spans="10:10" ht="15.95" customHeight="1" x14ac:dyDescent="0.25">
      <c r="J745" s="194"/>
    </row>
    <row r="746" spans="10:10" ht="15.95" customHeight="1" x14ac:dyDescent="0.25">
      <c r="J746" s="194"/>
    </row>
    <row r="747" spans="10:10" ht="15.95" customHeight="1" x14ac:dyDescent="0.25">
      <c r="J747" s="194"/>
    </row>
    <row r="748" spans="10:10" ht="15.95" customHeight="1" x14ac:dyDescent="0.25">
      <c r="J748" s="194"/>
    </row>
    <row r="749" spans="10:10" ht="15.95" customHeight="1" x14ac:dyDescent="0.25">
      <c r="J749" s="194"/>
    </row>
    <row r="750" spans="10:10" ht="15.95" customHeight="1" x14ac:dyDescent="0.25">
      <c r="J750" s="194"/>
    </row>
    <row r="751" spans="10:10" ht="15.95" customHeight="1" x14ac:dyDescent="0.25">
      <c r="J751" s="194"/>
    </row>
    <row r="752" spans="10:10" ht="15.95" customHeight="1" x14ac:dyDescent="0.25">
      <c r="J752" s="194"/>
    </row>
    <row r="753" spans="10:10" ht="15.95" customHeight="1" x14ac:dyDescent="0.25">
      <c r="J753" s="194"/>
    </row>
    <row r="754" spans="10:10" ht="15.95" customHeight="1" x14ac:dyDescent="0.25">
      <c r="J754" s="194"/>
    </row>
    <row r="755" spans="10:10" ht="15.95" customHeight="1" x14ac:dyDescent="0.25">
      <c r="J755" s="194"/>
    </row>
    <row r="756" spans="10:10" ht="15.95" customHeight="1" x14ac:dyDescent="0.25">
      <c r="J756" s="194"/>
    </row>
    <row r="757" spans="10:10" ht="15.95" customHeight="1" x14ac:dyDescent="0.25">
      <c r="J757" s="194"/>
    </row>
    <row r="758" spans="10:10" ht="15.95" customHeight="1" x14ac:dyDescent="0.25">
      <c r="J758" s="194"/>
    </row>
    <row r="759" spans="10:10" ht="15.95" customHeight="1" x14ac:dyDescent="0.25">
      <c r="J759" s="194"/>
    </row>
    <row r="760" spans="10:10" ht="15.95" customHeight="1" x14ac:dyDescent="0.25">
      <c r="J760" s="194"/>
    </row>
    <row r="761" spans="10:10" ht="15.95" customHeight="1" x14ac:dyDescent="0.25">
      <c r="J761" s="194"/>
    </row>
    <row r="762" spans="10:10" ht="15.95" customHeight="1" x14ac:dyDescent="0.25">
      <c r="J762" s="194"/>
    </row>
    <row r="763" spans="10:10" ht="15.95" customHeight="1" x14ac:dyDescent="0.25">
      <c r="J763" s="194"/>
    </row>
    <row r="764" spans="10:10" ht="15.95" customHeight="1" x14ac:dyDescent="0.25">
      <c r="J764" s="194"/>
    </row>
    <row r="765" spans="10:10" ht="15.95" customHeight="1" x14ac:dyDescent="0.25">
      <c r="J765" s="194"/>
    </row>
    <row r="766" spans="10:10" ht="15.95" customHeight="1" x14ac:dyDescent="0.25">
      <c r="J766" s="194"/>
    </row>
    <row r="767" spans="10:10" ht="15.95" customHeight="1" x14ac:dyDescent="0.25">
      <c r="J767" s="194"/>
    </row>
    <row r="768" spans="10:10" ht="15.95" customHeight="1" x14ac:dyDescent="0.25">
      <c r="J768" s="194"/>
    </row>
    <row r="769" spans="10:10" ht="15.95" customHeight="1" x14ac:dyDescent="0.25">
      <c r="J769" s="194"/>
    </row>
    <row r="770" spans="10:10" ht="15.95" customHeight="1" x14ac:dyDescent="0.25">
      <c r="J770" s="194"/>
    </row>
    <row r="771" spans="10:10" ht="15.95" customHeight="1" x14ac:dyDescent="0.25">
      <c r="J771" s="194"/>
    </row>
    <row r="772" spans="10:10" ht="15.95" customHeight="1" x14ac:dyDescent="0.25">
      <c r="J772" s="194"/>
    </row>
    <row r="773" spans="10:10" ht="15.95" customHeight="1" x14ac:dyDescent="0.25">
      <c r="J773" s="194"/>
    </row>
    <row r="774" spans="10:10" ht="15.95" customHeight="1" x14ac:dyDescent="0.25">
      <c r="J774" s="194"/>
    </row>
    <row r="775" spans="10:10" ht="15.95" customHeight="1" x14ac:dyDescent="0.25">
      <c r="J775" s="194"/>
    </row>
    <row r="776" spans="10:10" ht="15.95" customHeight="1" x14ac:dyDescent="0.25">
      <c r="J776" s="194"/>
    </row>
    <row r="777" spans="10:10" ht="15.95" customHeight="1" x14ac:dyDescent="0.25">
      <c r="J777" s="194"/>
    </row>
    <row r="778" spans="10:10" ht="15.95" customHeight="1" x14ac:dyDescent="0.25">
      <c r="J778" s="194"/>
    </row>
    <row r="779" spans="10:10" ht="15.95" customHeight="1" x14ac:dyDescent="0.25">
      <c r="J779" s="194"/>
    </row>
    <row r="780" spans="10:10" ht="15.95" customHeight="1" x14ac:dyDescent="0.25">
      <c r="J780" s="194"/>
    </row>
    <row r="781" spans="10:10" ht="15.95" customHeight="1" x14ac:dyDescent="0.25">
      <c r="J781" s="194"/>
    </row>
    <row r="782" spans="10:10" ht="15.95" customHeight="1" x14ac:dyDescent="0.25">
      <c r="J782" s="194"/>
    </row>
    <row r="783" spans="10:10" ht="15.95" customHeight="1" x14ac:dyDescent="0.25">
      <c r="J783" s="194"/>
    </row>
    <row r="784" spans="10:10" ht="15.95" customHeight="1" x14ac:dyDescent="0.25">
      <c r="J784" s="194"/>
    </row>
    <row r="785" spans="10:10" ht="15.95" customHeight="1" x14ac:dyDescent="0.25">
      <c r="J785" s="194"/>
    </row>
    <row r="786" spans="10:10" ht="15.95" customHeight="1" x14ac:dyDescent="0.25">
      <c r="J786" s="194"/>
    </row>
    <row r="787" spans="10:10" ht="15.95" customHeight="1" x14ac:dyDescent="0.25">
      <c r="J787" s="194"/>
    </row>
    <row r="788" spans="10:10" ht="15.95" customHeight="1" x14ac:dyDescent="0.25">
      <c r="J788" s="194"/>
    </row>
    <row r="789" spans="10:10" ht="15.95" customHeight="1" x14ac:dyDescent="0.25">
      <c r="J789" s="194"/>
    </row>
    <row r="790" spans="10:10" ht="15.95" customHeight="1" x14ac:dyDescent="0.25">
      <c r="J790" s="194"/>
    </row>
    <row r="791" spans="10:10" ht="15.95" customHeight="1" x14ac:dyDescent="0.25">
      <c r="J791" s="194"/>
    </row>
    <row r="792" spans="10:10" ht="15.95" customHeight="1" x14ac:dyDescent="0.25">
      <c r="J792" s="194"/>
    </row>
    <row r="793" spans="10:10" ht="15.95" customHeight="1" x14ac:dyDescent="0.25">
      <c r="J793" s="194"/>
    </row>
    <row r="794" spans="10:10" ht="15.95" customHeight="1" x14ac:dyDescent="0.25">
      <c r="J794" s="194"/>
    </row>
    <row r="795" spans="10:10" ht="15.95" customHeight="1" x14ac:dyDescent="0.25">
      <c r="J795" s="194"/>
    </row>
    <row r="796" spans="10:10" ht="15.95" customHeight="1" x14ac:dyDescent="0.25">
      <c r="J796" s="194"/>
    </row>
    <row r="797" spans="10:10" ht="15.95" customHeight="1" x14ac:dyDescent="0.25">
      <c r="J797" s="194"/>
    </row>
    <row r="798" spans="10:10" ht="15.95" customHeight="1" x14ac:dyDescent="0.25">
      <c r="J798" s="194"/>
    </row>
    <row r="799" spans="10:10" ht="15.95" customHeight="1" x14ac:dyDescent="0.25">
      <c r="J799" s="194"/>
    </row>
    <row r="800" spans="10:10" ht="15.95" customHeight="1" x14ac:dyDescent="0.25">
      <c r="J800" s="194"/>
    </row>
    <row r="801" spans="10:10" ht="15.95" customHeight="1" x14ac:dyDescent="0.25">
      <c r="J801" s="194"/>
    </row>
    <row r="802" spans="10:10" ht="15.95" customHeight="1" x14ac:dyDescent="0.25">
      <c r="J802" s="194"/>
    </row>
    <row r="803" spans="10:10" ht="15.95" customHeight="1" x14ac:dyDescent="0.25">
      <c r="J803" s="194"/>
    </row>
    <row r="804" spans="10:10" ht="15.95" customHeight="1" x14ac:dyDescent="0.25">
      <c r="J804" s="194"/>
    </row>
    <row r="805" spans="10:10" ht="15.95" customHeight="1" x14ac:dyDescent="0.25">
      <c r="J805" s="194"/>
    </row>
    <row r="806" spans="10:10" ht="15.95" customHeight="1" x14ac:dyDescent="0.25">
      <c r="J806" s="194"/>
    </row>
    <row r="807" spans="10:10" ht="15.95" customHeight="1" x14ac:dyDescent="0.25">
      <c r="J807" s="194"/>
    </row>
    <row r="808" spans="10:10" ht="15.95" customHeight="1" x14ac:dyDescent="0.25">
      <c r="J808" s="194"/>
    </row>
    <row r="809" spans="10:10" ht="15.95" customHeight="1" x14ac:dyDescent="0.25">
      <c r="J809" s="194"/>
    </row>
    <row r="810" spans="10:10" ht="15.95" customHeight="1" x14ac:dyDescent="0.25">
      <c r="J810" s="194"/>
    </row>
    <row r="811" spans="10:10" ht="15.95" customHeight="1" x14ac:dyDescent="0.25">
      <c r="J811" s="194"/>
    </row>
    <row r="812" spans="10:10" ht="15.95" customHeight="1" x14ac:dyDescent="0.25">
      <c r="J812" s="194"/>
    </row>
    <row r="813" spans="10:10" ht="15.95" customHeight="1" x14ac:dyDescent="0.25">
      <c r="J813" s="194"/>
    </row>
    <row r="814" spans="10:10" ht="15.95" customHeight="1" x14ac:dyDescent="0.25">
      <c r="J814" s="194"/>
    </row>
    <row r="815" spans="10:10" ht="15.95" customHeight="1" x14ac:dyDescent="0.25">
      <c r="J815" s="194"/>
    </row>
    <row r="816" spans="10:10" ht="15.95" customHeight="1" x14ac:dyDescent="0.25">
      <c r="J816" s="194"/>
    </row>
    <row r="817" spans="9:10" ht="15.95" customHeight="1" x14ac:dyDescent="0.25"/>
    <row r="818" spans="9:10" ht="15.95" customHeight="1" x14ac:dyDescent="0.25"/>
    <row r="819" spans="9:10" ht="72" customHeight="1" x14ac:dyDescent="0.25">
      <c r="J819" s="193" t="str">
        <f>ComparisonData!CZ2</f>
        <v>SECTION B: OUR STAFF, SERVICES &amp; FACILITIES</v>
      </c>
    </row>
    <row r="820" spans="9:10" ht="72" customHeight="1" x14ac:dyDescent="0.25">
      <c r="J820" s="193" t="str">
        <f>ComparisonData!CZ3</f>
        <v>4. Please mark our staff out of 10 for the following aspects</v>
      </c>
    </row>
    <row r="821" spans="9:10" ht="56.1" customHeight="1" x14ac:dyDescent="0.25">
      <c r="J821" s="193" t="str">
        <f>ComparisonData!CZ4</f>
        <v>Quality and appropriateness of the staff's advice</v>
      </c>
    </row>
    <row r="822" spans="9:10" ht="15.95" customHeight="1" x14ac:dyDescent="0.25">
      <c r="I822" s="188" t="str" cm="1">
        <f t="array" aca="1" ref="I822" ca="1">Quality_and_appropriateness_of_the_staff_s_advice_lbl</f>
        <v>TOTAL</v>
      </c>
      <c r="J822" s="194" cm="1">
        <f t="array" aca="1" ref="J822" ca="1">Quality_and_appropriateness_of_the_staff_s_advice_avg</f>
        <v>9.7543100000000003</v>
      </c>
    </row>
    <row r="823" spans="9:10" ht="15.95" customHeight="1" x14ac:dyDescent="0.25">
      <c r="J823" s="194"/>
    </row>
    <row r="824" spans="9:10" ht="15.95" customHeight="1" x14ac:dyDescent="0.25">
      <c r="J824" s="194"/>
    </row>
    <row r="825" spans="9:10" ht="15.95" customHeight="1" x14ac:dyDescent="0.25">
      <c r="J825" s="194"/>
    </row>
    <row r="826" spans="9:10" ht="15.95" customHeight="1" x14ac:dyDescent="0.25">
      <c r="J826" s="194"/>
    </row>
    <row r="827" spans="9:10" ht="15.95" customHeight="1" x14ac:dyDescent="0.25">
      <c r="J827" s="194"/>
    </row>
    <row r="828" spans="9:10" ht="15.95" customHeight="1" x14ac:dyDescent="0.25">
      <c r="J828" s="194"/>
    </row>
    <row r="829" spans="9:10" ht="15.95" customHeight="1" x14ac:dyDescent="0.25">
      <c r="J829" s="194"/>
    </row>
    <row r="830" spans="9:10" ht="15.95" customHeight="1" x14ac:dyDescent="0.25">
      <c r="J830" s="194"/>
    </row>
    <row r="831" spans="9:10" ht="15.95" customHeight="1" x14ac:dyDescent="0.25">
      <c r="J831" s="194"/>
    </row>
    <row r="832" spans="9:10" ht="15.95" customHeight="1" x14ac:dyDescent="0.25">
      <c r="J832" s="194"/>
    </row>
    <row r="833" spans="10:10" ht="15.95" customHeight="1" x14ac:dyDescent="0.25">
      <c r="J833" s="194"/>
    </row>
    <row r="834" spans="10:10" ht="15.95" customHeight="1" x14ac:dyDescent="0.25">
      <c r="J834" s="194"/>
    </row>
    <row r="835" spans="10:10" ht="15.95" customHeight="1" x14ac:dyDescent="0.25">
      <c r="J835" s="194"/>
    </row>
    <row r="836" spans="10:10" ht="15.95" customHeight="1" x14ac:dyDescent="0.25">
      <c r="J836" s="194"/>
    </row>
    <row r="837" spans="10:10" ht="15.95" customHeight="1" x14ac:dyDescent="0.25">
      <c r="J837" s="194"/>
    </row>
    <row r="838" spans="10:10" ht="15.95" customHeight="1" x14ac:dyDescent="0.25">
      <c r="J838" s="194"/>
    </row>
    <row r="839" spans="10:10" ht="15.95" customHeight="1" x14ac:dyDescent="0.25">
      <c r="J839" s="194"/>
    </row>
    <row r="840" spans="10:10" ht="15.95" customHeight="1" x14ac:dyDescent="0.25">
      <c r="J840" s="194"/>
    </row>
    <row r="841" spans="10:10" ht="15.95" customHeight="1" x14ac:dyDescent="0.25">
      <c r="J841" s="194"/>
    </row>
    <row r="842" spans="10:10" ht="15.95" customHeight="1" x14ac:dyDescent="0.25">
      <c r="J842" s="194"/>
    </row>
    <row r="843" spans="10:10" ht="15.95" customHeight="1" x14ac:dyDescent="0.25">
      <c r="J843" s="194"/>
    </row>
    <row r="844" spans="10:10" ht="15.95" customHeight="1" x14ac:dyDescent="0.25">
      <c r="J844" s="194"/>
    </row>
    <row r="845" spans="10:10" ht="15.95" customHeight="1" x14ac:dyDescent="0.25">
      <c r="J845" s="194"/>
    </row>
    <row r="846" spans="10:10" ht="15.95" customHeight="1" x14ac:dyDescent="0.25">
      <c r="J846" s="194"/>
    </row>
    <row r="847" spans="10:10" ht="15.95" customHeight="1" x14ac:dyDescent="0.25">
      <c r="J847" s="194"/>
    </row>
    <row r="848" spans="10:10" ht="15.95" customHeight="1" x14ac:dyDescent="0.25">
      <c r="J848" s="194"/>
    </row>
    <row r="849" spans="10:10" ht="15.95" customHeight="1" x14ac:dyDescent="0.25">
      <c r="J849" s="194"/>
    </row>
    <row r="850" spans="10:10" ht="15.95" customHeight="1" x14ac:dyDescent="0.25">
      <c r="J850" s="194"/>
    </row>
    <row r="851" spans="10:10" ht="15.95" customHeight="1" x14ac:dyDescent="0.25">
      <c r="J851" s="194"/>
    </row>
    <row r="852" spans="10:10" ht="15.95" customHeight="1" x14ac:dyDescent="0.25">
      <c r="J852" s="194"/>
    </row>
    <row r="853" spans="10:10" ht="15.95" customHeight="1" x14ac:dyDescent="0.25">
      <c r="J853" s="194"/>
    </row>
    <row r="854" spans="10:10" ht="15.95" customHeight="1" x14ac:dyDescent="0.25">
      <c r="J854" s="194"/>
    </row>
    <row r="855" spans="10:10" ht="15.95" customHeight="1" x14ac:dyDescent="0.25">
      <c r="J855" s="194"/>
    </row>
    <row r="856" spans="10:10" ht="15.95" customHeight="1" x14ac:dyDescent="0.25">
      <c r="J856" s="194"/>
    </row>
    <row r="857" spans="10:10" ht="15.95" customHeight="1" x14ac:dyDescent="0.25">
      <c r="J857" s="194"/>
    </row>
    <row r="858" spans="10:10" ht="15.95" customHeight="1" x14ac:dyDescent="0.25">
      <c r="J858" s="194"/>
    </row>
    <row r="859" spans="10:10" ht="15.95" customHeight="1" x14ac:dyDescent="0.25">
      <c r="J859" s="194"/>
    </row>
    <row r="860" spans="10:10" ht="15.95" customHeight="1" x14ac:dyDescent="0.25">
      <c r="J860" s="194"/>
    </row>
    <row r="861" spans="10:10" ht="15.95" customHeight="1" x14ac:dyDescent="0.25">
      <c r="J861" s="194"/>
    </row>
    <row r="862" spans="10:10" ht="15.95" customHeight="1" x14ac:dyDescent="0.25">
      <c r="J862" s="194"/>
    </row>
    <row r="863" spans="10:10" ht="15.95" customHeight="1" x14ac:dyDescent="0.25">
      <c r="J863" s="194"/>
    </row>
    <row r="864" spans="10:10" ht="15.95" customHeight="1" x14ac:dyDescent="0.25">
      <c r="J864" s="194"/>
    </row>
    <row r="865" spans="10:10" ht="15.95" customHeight="1" x14ac:dyDescent="0.25">
      <c r="J865" s="194"/>
    </row>
    <row r="866" spans="10:10" ht="15.95" customHeight="1" x14ac:dyDescent="0.25">
      <c r="J866" s="194"/>
    </row>
    <row r="867" spans="10:10" ht="15.95" customHeight="1" x14ac:dyDescent="0.25">
      <c r="J867" s="194"/>
    </row>
    <row r="868" spans="10:10" ht="15.95" customHeight="1" x14ac:dyDescent="0.25">
      <c r="J868" s="194"/>
    </row>
    <row r="869" spans="10:10" ht="15.95" customHeight="1" x14ac:dyDescent="0.25">
      <c r="J869" s="194"/>
    </row>
    <row r="870" spans="10:10" ht="15.95" customHeight="1" x14ac:dyDescent="0.25">
      <c r="J870" s="194"/>
    </row>
    <row r="871" spans="10:10" ht="15.95" customHeight="1" x14ac:dyDescent="0.25">
      <c r="J871" s="194"/>
    </row>
    <row r="872" spans="10:10" ht="15.95" customHeight="1" x14ac:dyDescent="0.25">
      <c r="J872" s="194"/>
    </row>
    <row r="873" spans="10:10" ht="15.95" customHeight="1" x14ac:dyDescent="0.25">
      <c r="J873" s="194"/>
    </row>
    <row r="874" spans="10:10" ht="15.95" customHeight="1" x14ac:dyDescent="0.25">
      <c r="J874" s="194"/>
    </row>
    <row r="875" spans="10:10" ht="15.95" customHeight="1" x14ac:dyDescent="0.25">
      <c r="J875" s="194"/>
    </row>
    <row r="876" spans="10:10" ht="15.95" customHeight="1" x14ac:dyDescent="0.25">
      <c r="J876" s="194"/>
    </row>
    <row r="877" spans="10:10" ht="15.95" customHeight="1" x14ac:dyDescent="0.25">
      <c r="J877" s="194"/>
    </row>
    <row r="878" spans="10:10" ht="15.95" customHeight="1" x14ac:dyDescent="0.25">
      <c r="J878" s="194"/>
    </row>
    <row r="879" spans="10:10" ht="15.95" customHeight="1" x14ac:dyDescent="0.25">
      <c r="J879" s="194"/>
    </row>
    <row r="880" spans="10:10" ht="15.95" customHeight="1" x14ac:dyDescent="0.25">
      <c r="J880" s="194"/>
    </row>
    <row r="881" spans="10:10" ht="15.95" customHeight="1" x14ac:dyDescent="0.25">
      <c r="J881" s="194"/>
    </row>
    <row r="882" spans="10:10" ht="15.95" customHeight="1" x14ac:dyDescent="0.25">
      <c r="J882" s="194"/>
    </row>
    <row r="883" spans="10:10" ht="15.95" customHeight="1" x14ac:dyDescent="0.25">
      <c r="J883" s="194"/>
    </row>
    <row r="884" spans="10:10" ht="15.95" customHeight="1" x14ac:dyDescent="0.25">
      <c r="J884" s="194"/>
    </row>
    <row r="885" spans="10:10" ht="15.95" customHeight="1" x14ac:dyDescent="0.25">
      <c r="J885" s="194"/>
    </row>
    <row r="886" spans="10:10" ht="15.95" customHeight="1" x14ac:dyDescent="0.25">
      <c r="J886" s="194"/>
    </row>
    <row r="887" spans="10:10" ht="15.95" customHeight="1" x14ac:dyDescent="0.25">
      <c r="J887" s="194"/>
    </row>
    <row r="888" spans="10:10" ht="15.95" customHeight="1" x14ac:dyDescent="0.25">
      <c r="J888" s="194"/>
    </row>
    <row r="889" spans="10:10" ht="15.95" customHeight="1" x14ac:dyDescent="0.25">
      <c r="J889" s="194"/>
    </row>
    <row r="890" spans="10:10" ht="15.95" customHeight="1" x14ac:dyDescent="0.25">
      <c r="J890" s="194"/>
    </row>
    <row r="891" spans="10:10" ht="15.95" customHeight="1" x14ac:dyDescent="0.25">
      <c r="J891" s="194"/>
    </row>
    <row r="892" spans="10:10" ht="15.95" customHeight="1" x14ac:dyDescent="0.25">
      <c r="J892" s="194"/>
    </row>
    <row r="893" spans="10:10" ht="15.95" customHeight="1" x14ac:dyDescent="0.25">
      <c r="J893" s="194"/>
    </row>
    <row r="894" spans="10:10" ht="15.95" customHeight="1" x14ac:dyDescent="0.25">
      <c r="J894" s="194"/>
    </row>
    <row r="895" spans="10:10" ht="15.95" customHeight="1" x14ac:dyDescent="0.25">
      <c r="J895" s="194"/>
    </row>
    <row r="896" spans="10:10" ht="15.95" customHeight="1" x14ac:dyDescent="0.25">
      <c r="J896" s="194"/>
    </row>
    <row r="897" spans="10:10" ht="15.95" customHeight="1" x14ac:dyDescent="0.25">
      <c r="J897" s="194"/>
    </row>
    <row r="898" spans="10:10" ht="15.95" customHeight="1" x14ac:dyDescent="0.25">
      <c r="J898" s="194"/>
    </row>
    <row r="899" spans="10:10" ht="15.95" customHeight="1" x14ac:dyDescent="0.25">
      <c r="J899" s="194"/>
    </row>
    <row r="900" spans="10:10" ht="15.95" customHeight="1" x14ac:dyDescent="0.25">
      <c r="J900" s="194"/>
    </row>
    <row r="901" spans="10:10" ht="15.95" customHeight="1" x14ac:dyDescent="0.25">
      <c r="J901" s="194"/>
    </row>
    <row r="902" spans="10:10" ht="15.95" customHeight="1" x14ac:dyDescent="0.25">
      <c r="J902" s="194"/>
    </row>
    <row r="903" spans="10:10" ht="15.95" customHeight="1" x14ac:dyDescent="0.25">
      <c r="J903" s="194"/>
    </row>
    <row r="904" spans="10:10" ht="15.95" customHeight="1" x14ac:dyDescent="0.25">
      <c r="J904" s="194"/>
    </row>
    <row r="905" spans="10:10" ht="15.95" customHeight="1" x14ac:dyDescent="0.25">
      <c r="J905" s="194"/>
    </row>
    <row r="906" spans="10:10" ht="15.95" customHeight="1" x14ac:dyDescent="0.25">
      <c r="J906" s="194"/>
    </row>
    <row r="907" spans="10:10" ht="15.95" customHeight="1" x14ac:dyDescent="0.25">
      <c r="J907" s="194"/>
    </row>
    <row r="908" spans="10:10" ht="15.95" customHeight="1" x14ac:dyDescent="0.25">
      <c r="J908" s="194"/>
    </row>
    <row r="909" spans="10:10" ht="15.95" customHeight="1" x14ac:dyDescent="0.25">
      <c r="J909" s="194"/>
    </row>
    <row r="910" spans="10:10" ht="15.95" customHeight="1" x14ac:dyDescent="0.25">
      <c r="J910" s="194"/>
    </row>
    <row r="911" spans="10:10" ht="15.95" customHeight="1" x14ac:dyDescent="0.25">
      <c r="J911" s="194"/>
    </row>
    <row r="912" spans="10:10" ht="15.95" customHeight="1" x14ac:dyDescent="0.25">
      <c r="J912" s="194"/>
    </row>
    <row r="913" spans="10:10" ht="15.95" customHeight="1" x14ac:dyDescent="0.25">
      <c r="J913" s="194"/>
    </row>
    <row r="914" spans="10:10" ht="15.95" customHeight="1" x14ac:dyDescent="0.25">
      <c r="J914" s="194"/>
    </row>
    <row r="915" spans="10:10" ht="15.95" customHeight="1" x14ac:dyDescent="0.25">
      <c r="J915" s="194"/>
    </row>
    <row r="916" spans="10:10" ht="15.95" customHeight="1" x14ac:dyDescent="0.25">
      <c r="J916" s="194"/>
    </row>
    <row r="917" spans="10:10" ht="15.95" customHeight="1" x14ac:dyDescent="0.25">
      <c r="J917" s="194"/>
    </row>
    <row r="918" spans="10:10" ht="15.95" customHeight="1" x14ac:dyDescent="0.25">
      <c r="J918" s="194"/>
    </row>
    <row r="919" spans="10:10" ht="15.95" customHeight="1" x14ac:dyDescent="0.25">
      <c r="J919" s="194"/>
    </row>
    <row r="920" spans="10:10" ht="15.95" customHeight="1" x14ac:dyDescent="0.25">
      <c r="J920" s="194"/>
    </row>
    <row r="921" spans="10:10" ht="15.95" customHeight="1" x14ac:dyDescent="0.25">
      <c r="J921" s="194"/>
    </row>
    <row r="922" spans="10:10" ht="15.95" customHeight="1" x14ac:dyDescent="0.25">
      <c r="J922" s="194"/>
    </row>
    <row r="923" spans="10:10" ht="15.95" customHeight="1" x14ac:dyDescent="0.25">
      <c r="J923" s="194"/>
    </row>
    <row r="924" spans="10:10" ht="15.95" customHeight="1" x14ac:dyDescent="0.25">
      <c r="J924" s="194"/>
    </row>
    <row r="925" spans="10:10" ht="15.95" customHeight="1" x14ac:dyDescent="0.25">
      <c r="J925" s="194"/>
    </row>
    <row r="926" spans="10:10" ht="15.95" customHeight="1" x14ac:dyDescent="0.25">
      <c r="J926" s="194"/>
    </row>
    <row r="927" spans="10:10" ht="15.95" customHeight="1" x14ac:dyDescent="0.25">
      <c r="J927" s="194"/>
    </row>
    <row r="928" spans="10:10" ht="15.95" customHeight="1" x14ac:dyDescent="0.25">
      <c r="J928" s="194"/>
    </row>
    <row r="929" spans="9:14" ht="15.95" customHeight="1" x14ac:dyDescent="0.25">
      <c r="J929" s="194"/>
    </row>
    <row r="930" spans="9:14" ht="15.95" customHeight="1" x14ac:dyDescent="0.25">
      <c r="J930" s="194"/>
    </row>
    <row r="931" spans="9:14" ht="15.95" customHeight="1" x14ac:dyDescent="0.25">
      <c r="J931" s="194"/>
    </row>
    <row r="932" spans="9:14" ht="15.95" customHeight="1" x14ac:dyDescent="0.25">
      <c r="J932" s="194"/>
    </row>
    <row r="933" spans="9:14" ht="15.95" customHeight="1" x14ac:dyDescent="0.25">
      <c r="J933" s="194"/>
    </row>
    <row r="934" spans="9:14" ht="15.95" customHeight="1" x14ac:dyDescent="0.25"/>
    <row r="935" spans="9:14" ht="15.95" customHeight="1" x14ac:dyDescent="0.25"/>
    <row r="936" spans="9:14" ht="32.1" customHeight="1" x14ac:dyDescent="0.25">
      <c r="J936" s="238" t="str">
        <f>ComparisonData!DI2</f>
        <v>SECTION B: OUR STAFF, SERVICES &amp; FACILITIES</v>
      </c>
      <c r="K936" s="239"/>
      <c r="L936" s="239"/>
      <c r="M936" s="239"/>
      <c r="N936" s="240"/>
    </row>
    <row r="937" spans="9:14" ht="32.1" customHeight="1" x14ac:dyDescent="0.25">
      <c r="J937" s="238" t="str">
        <f>ComparisonData!DI3</f>
        <v>5. How satisfied are you with the following:</v>
      </c>
      <c r="K937" s="239"/>
      <c r="L937" s="239"/>
      <c r="M937" s="239"/>
      <c r="N937" s="240"/>
    </row>
    <row r="938" spans="9:14" ht="32.1" customHeight="1" x14ac:dyDescent="0.25">
      <c r="J938" s="238" t="str">
        <f>ComparisonData!DI4</f>
        <v>Opening hours</v>
      </c>
      <c r="K938" s="239"/>
      <c r="L938" s="239"/>
      <c r="M938" s="239"/>
      <c r="N938" s="240"/>
    </row>
    <row r="939" spans="9:14" ht="32.1" customHeight="1" x14ac:dyDescent="0.25">
      <c r="J939" s="185" t="str">
        <f>ComparisonData!DM5</f>
        <v>Very satisfied</v>
      </c>
      <c r="K939" s="185" t="str">
        <f>ComparisonData!DN5</f>
        <v>Satisfied</v>
      </c>
      <c r="L939" s="185" t="str">
        <f>ComparisonData!DO5</f>
        <v>Neither</v>
      </c>
      <c r="M939" s="185" t="str">
        <f>ComparisonData!DP5</f>
        <v>Not very satisfied</v>
      </c>
      <c r="N939" s="185" t="str">
        <f>ComparisonData!DQ5</f>
        <v>Not at all satisfied</v>
      </c>
    </row>
    <row r="940" spans="9:14" ht="15.95" customHeight="1" x14ac:dyDescent="0.25">
      <c r="I940" s="188" t="str" cm="1">
        <f t="array" aca="1" ref="I940" ca="1">Opening_hours_lbl</f>
        <v>TOTAL</v>
      </c>
      <c r="J940" s="192" cm="1">
        <f t="array" aca="1" ref="J940" ca="1">Opening_hours_1</f>
        <v>0.58443999999999996</v>
      </c>
      <c r="K940" s="192" cm="1">
        <f t="array" aca="1" ref="K940" ca="1">Opening_hours_2</f>
        <v>0.31924000000000002</v>
      </c>
      <c r="L940" s="192" cm="1">
        <f t="array" aca="1" ref="L940" ca="1">Opening_hours_3</f>
        <v>3.058E-2</v>
      </c>
      <c r="M940" s="192" cm="1">
        <f t="array" aca="1" ref="M940" ca="1">Opening_hours_4</f>
        <v>5.3539999999999997E-2</v>
      </c>
      <c r="N940" s="192" cm="1">
        <f t="array" aca="1" ref="N940" ca="1">Opening_hours_5</f>
        <v>1.2194064317467756E-2</v>
      </c>
    </row>
    <row r="941" spans="9:14" ht="15.95" customHeight="1" x14ac:dyDescent="0.25">
      <c r="J941" s="192"/>
      <c r="K941" s="192"/>
      <c r="L941" s="192"/>
      <c r="M941" s="192"/>
      <c r="N941" s="192"/>
    </row>
    <row r="942" spans="9:14" ht="15.95" customHeight="1" x14ac:dyDescent="0.25">
      <c r="J942" s="192"/>
      <c r="K942" s="192"/>
      <c r="L942" s="192"/>
      <c r="M942" s="192"/>
      <c r="N942" s="192"/>
    </row>
    <row r="943" spans="9:14" ht="15.95" customHeight="1" x14ac:dyDescent="0.25">
      <c r="J943" s="192"/>
      <c r="K943" s="192"/>
      <c r="L943" s="192"/>
      <c r="M943" s="192"/>
      <c r="N943" s="192"/>
    </row>
    <row r="944" spans="9:14" ht="15.95" customHeight="1" x14ac:dyDescent="0.25">
      <c r="J944" s="192"/>
      <c r="K944" s="192"/>
      <c r="L944" s="192"/>
      <c r="M944" s="192"/>
      <c r="N944" s="192"/>
    </row>
    <row r="945" spans="10:14" ht="15.95" customHeight="1" x14ac:dyDescent="0.25">
      <c r="J945" s="192"/>
      <c r="K945" s="192"/>
      <c r="L945" s="192"/>
      <c r="M945" s="192"/>
      <c r="N945" s="192"/>
    </row>
    <row r="946" spans="10:14" ht="15.95" customHeight="1" x14ac:dyDescent="0.25">
      <c r="J946" s="192"/>
      <c r="K946" s="192"/>
      <c r="L946" s="192"/>
      <c r="M946" s="192"/>
      <c r="N946" s="192"/>
    </row>
    <row r="947" spans="10:14" ht="15.95" customHeight="1" x14ac:dyDescent="0.25">
      <c r="J947" s="192"/>
      <c r="K947" s="192"/>
      <c r="L947" s="192"/>
      <c r="M947" s="192"/>
      <c r="N947" s="192"/>
    </row>
    <row r="948" spans="10:14" ht="15.95" customHeight="1" x14ac:dyDescent="0.25">
      <c r="J948" s="192"/>
      <c r="K948" s="192"/>
      <c r="L948" s="192"/>
      <c r="M948" s="192"/>
      <c r="N948" s="192"/>
    </row>
    <row r="949" spans="10:14" ht="15.95" customHeight="1" x14ac:dyDescent="0.25">
      <c r="J949" s="192"/>
      <c r="K949" s="192"/>
      <c r="L949" s="192"/>
      <c r="M949" s="192"/>
      <c r="N949" s="192"/>
    </row>
    <row r="950" spans="10:14" ht="15.95" customHeight="1" x14ac:dyDescent="0.25">
      <c r="J950" s="192"/>
      <c r="K950" s="192"/>
      <c r="L950" s="192"/>
      <c r="M950" s="192"/>
      <c r="N950" s="192"/>
    </row>
    <row r="951" spans="10:14" ht="15.95" customHeight="1" x14ac:dyDescent="0.25">
      <c r="J951" s="192"/>
      <c r="K951" s="192"/>
      <c r="L951" s="192"/>
      <c r="M951" s="192"/>
      <c r="N951" s="192"/>
    </row>
    <row r="952" spans="10:14" ht="15.95" customHeight="1" x14ac:dyDescent="0.25">
      <c r="J952" s="192"/>
      <c r="K952" s="192"/>
      <c r="L952" s="192"/>
      <c r="M952" s="192"/>
      <c r="N952" s="192"/>
    </row>
    <row r="953" spans="10:14" ht="15.95" customHeight="1" x14ac:dyDescent="0.25">
      <c r="J953" s="192"/>
      <c r="K953" s="192"/>
      <c r="L953" s="192"/>
      <c r="M953" s="192"/>
      <c r="N953" s="192"/>
    </row>
    <row r="954" spans="10:14" ht="15.95" customHeight="1" x14ac:dyDescent="0.25">
      <c r="J954" s="192"/>
      <c r="K954" s="192"/>
      <c r="L954" s="192"/>
      <c r="M954" s="192"/>
      <c r="N954" s="192"/>
    </row>
    <row r="955" spans="10:14" ht="15.95" customHeight="1" x14ac:dyDescent="0.25">
      <c r="J955" s="192"/>
      <c r="K955" s="192"/>
      <c r="L955" s="192"/>
      <c r="M955" s="192"/>
      <c r="N955" s="192"/>
    </row>
    <row r="956" spans="10:14" ht="15.95" customHeight="1" x14ac:dyDescent="0.25">
      <c r="J956" s="192"/>
      <c r="K956" s="192"/>
      <c r="L956" s="192"/>
      <c r="M956" s="192"/>
      <c r="N956" s="192"/>
    </row>
    <row r="957" spans="10:14" ht="15.95" customHeight="1" x14ac:dyDescent="0.25">
      <c r="J957" s="192"/>
      <c r="K957" s="192"/>
      <c r="L957" s="192"/>
      <c r="M957" s="192"/>
      <c r="N957" s="192"/>
    </row>
    <row r="958" spans="10:14" ht="15.95" customHeight="1" x14ac:dyDescent="0.25">
      <c r="J958" s="192"/>
      <c r="K958" s="192"/>
      <c r="L958" s="192"/>
      <c r="M958" s="192"/>
      <c r="N958" s="192"/>
    </row>
    <row r="959" spans="10:14" ht="15.95" customHeight="1" x14ac:dyDescent="0.25">
      <c r="J959" s="192"/>
      <c r="K959" s="192"/>
      <c r="L959" s="192"/>
      <c r="M959" s="192"/>
      <c r="N959" s="192"/>
    </row>
    <row r="960" spans="10:14" ht="15.95" customHeight="1" x14ac:dyDescent="0.25">
      <c r="J960" s="192"/>
      <c r="K960" s="192"/>
      <c r="L960" s="192"/>
      <c r="M960" s="192"/>
      <c r="N960" s="192"/>
    </row>
    <row r="961" spans="10:14" ht="15.95" customHeight="1" x14ac:dyDescent="0.25">
      <c r="J961" s="192"/>
      <c r="K961" s="192"/>
      <c r="L961" s="192"/>
      <c r="M961" s="192"/>
      <c r="N961" s="192"/>
    </row>
    <row r="962" spans="10:14" ht="15.95" customHeight="1" x14ac:dyDescent="0.25">
      <c r="J962" s="192"/>
      <c r="K962" s="192"/>
      <c r="L962" s="192"/>
      <c r="M962" s="192"/>
      <c r="N962" s="192"/>
    </row>
    <row r="963" spans="10:14" ht="15.95" customHeight="1" x14ac:dyDescent="0.25">
      <c r="J963" s="192"/>
      <c r="K963" s="192"/>
      <c r="L963" s="192"/>
      <c r="M963" s="192"/>
      <c r="N963" s="192"/>
    </row>
    <row r="964" spans="10:14" ht="15.95" customHeight="1" x14ac:dyDescent="0.25">
      <c r="J964" s="192"/>
      <c r="K964" s="192"/>
      <c r="L964" s="192"/>
      <c r="M964" s="192"/>
      <c r="N964" s="192"/>
    </row>
    <row r="965" spans="10:14" ht="15.95" customHeight="1" x14ac:dyDescent="0.25">
      <c r="J965" s="192"/>
      <c r="K965" s="192"/>
      <c r="L965" s="192"/>
      <c r="M965" s="192"/>
      <c r="N965" s="192"/>
    </row>
    <row r="966" spans="10:14" ht="15.95" customHeight="1" x14ac:dyDescent="0.25">
      <c r="J966" s="192"/>
      <c r="K966" s="192"/>
      <c r="L966" s="192"/>
      <c r="M966" s="192"/>
      <c r="N966" s="192"/>
    </row>
    <row r="967" spans="10:14" ht="15.95" customHeight="1" x14ac:dyDescent="0.25">
      <c r="J967" s="192"/>
      <c r="K967" s="192"/>
      <c r="L967" s="192"/>
      <c r="M967" s="192"/>
      <c r="N967" s="192"/>
    </row>
    <row r="968" spans="10:14" ht="15.95" customHeight="1" x14ac:dyDescent="0.25">
      <c r="J968" s="192"/>
      <c r="K968" s="192"/>
      <c r="L968" s="192"/>
      <c r="M968" s="192"/>
      <c r="N968" s="192"/>
    </row>
    <row r="969" spans="10:14" ht="15.95" customHeight="1" x14ac:dyDescent="0.25">
      <c r="J969" s="192"/>
      <c r="K969" s="192"/>
      <c r="L969" s="192"/>
      <c r="M969" s="192"/>
      <c r="N969" s="192"/>
    </row>
    <row r="970" spans="10:14" ht="15.95" customHeight="1" x14ac:dyDescent="0.25">
      <c r="J970" s="192"/>
      <c r="K970" s="192"/>
      <c r="L970" s="192"/>
      <c r="M970" s="192"/>
      <c r="N970" s="192"/>
    </row>
    <row r="971" spans="10:14" ht="15.95" customHeight="1" x14ac:dyDescent="0.25">
      <c r="J971" s="192"/>
      <c r="K971" s="192"/>
      <c r="L971" s="192"/>
      <c r="M971" s="192"/>
      <c r="N971" s="192"/>
    </row>
    <row r="972" spans="10:14" ht="15.95" customHeight="1" x14ac:dyDescent="0.25">
      <c r="J972" s="192"/>
      <c r="K972" s="192"/>
      <c r="L972" s="192"/>
      <c r="M972" s="192"/>
      <c r="N972" s="192"/>
    </row>
    <row r="973" spans="10:14" ht="15.95" customHeight="1" x14ac:dyDescent="0.25">
      <c r="J973" s="192"/>
      <c r="K973" s="192"/>
      <c r="L973" s="192"/>
      <c r="M973" s="192"/>
      <c r="N973" s="192"/>
    </row>
    <row r="974" spans="10:14" ht="15.95" customHeight="1" x14ac:dyDescent="0.25">
      <c r="J974" s="192"/>
      <c r="K974" s="192"/>
      <c r="L974" s="192"/>
      <c r="M974" s="192"/>
      <c r="N974" s="192"/>
    </row>
    <row r="975" spans="10:14" ht="15.95" customHeight="1" x14ac:dyDescent="0.25">
      <c r="J975" s="192"/>
      <c r="K975" s="192"/>
      <c r="L975" s="192"/>
      <c r="M975" s="192"/>
      <c r="N975" s="192"/>
    </row>
    <row r="976" spans="10:14" ht="15.95" customHeight="1" x14ac:dyDescent="0.25">
      <c r="J976" s="192"/>
      <c r="K976" s="192"/>
      <c r="L976" s="192"/>
      <c r="M976" s="192"/>
      <c r="N976" s="192"/>
    </row>
    <row r="977" spans="10:14" ht="15.95" customHeight="1" x14ac:dyDescent="0.25">
      <c r="J977" s="192"/>
      <c r="K977" s="192"/>
      <c r="L977" s="192"/>
      <c r="M977" s="192"/>
      <c r="N977" s="192"/>
    </row>
    <row r="978" spans="10:14" ht="15.95" customHeight="1" x14ac:dyDescent="0.25">
      <c r="J978" s="192"/>
      <c r="K978" s="192"/>
      <c r="L978" s="192"/>
      <c r="M978" s="192"/>
      <c r="N978" s="192"/>
    </row>
    <row r="979" spans="10:14" ht="15.95" customHeight="1" x14ac:dyDescent="0.25">
      <c r="J979" s="192"/>
      <c r="K979" s="192"/>
      <c r="L979" s="192"/>
      <c r="M979" s="192"/>
      <c r="N979" s="192"/>
    </row>
    <row r="980" spans="10:14" ht="15.95" customHeight="1" x14ac:dyDescent="0.25">
      <c r="J980" s="192"/>
      <c r="K980" s="192"/>
      <c r="L980" s="192"/>
      <c r="M980" s="192"/>
      <c r="N980" s="192"/>
    </row>
    <row r="981" spans="10:14" ht="15.95" customHeight="1" x14ac:dyDescent="0.25">
      <c r="J981" s="192"/>
      <c r="K981" s="192"/>
      <c r="L981" s="192"/>
      <c r="M981" s="192"/>
      <c r="N981" s="192"/>
    </row>
    <row r="982" spans="10:14" ht="15.95" customHeight="1" x14ac:dyDescent="0.25">
      <c r="J982" s="192"/>
      <c r="K982" s="192"/>
      <c r="L982" s="192"/>
      <c r="M982" s="192"/>
      <c r="N982" s="192"/>
    </row>
    <row r="983" spans="10:14" ht="15.95" customHeight="1" x14ac:dyDescent="0.25">
      <c r="J983" s="192"/>
      <c r="K983" s="192"/>
      <c r="L983" s="192"/>
      <c r="M983" s="192"/>
      <c r="N983" s="192"/>
    </row>
    <row r="984" spans="10:14" ht="15.95" customHeight="1" x14ac:dyDescent="0.25">
      <c r="J984" s="192"/>
      <c r="K984" s="192"/>
      <c r="L984" s="192"/>
      <c r="M984" s="192"/>
      <c r="N984" s="192"/>
    </row>
    <row r="985" spans="10:14" ht="15.95" customHeight="1" x14ac:dyDescent="0.25">
      <c r="J985" s="192"/>
      <c r="K985" s="192"/>
      <c r="L985" s="192"/>
      <c r="M985" s="192"/>
      <c r="N985" s="192"/>
    </row>
    <row r="986" spans="10:14" ht="15.95" customHeight="1" x14ac:dyDescent="0.25">
      <c r="J986" s="192"/>
      <c r="K986" s="192"/>
      <c r="L986" s="192"/>
      <c r="M986" s="192"/>
      <c r="N986" s="192"/>
    </row>
    <row r="987" spans="10:14" ht="15.95" customHeight="1" x14ac:dyDescent="0.25">
      <c r="J987" s="192"/>
      <c r="K987" s="192"/>
      <c r="L987" s="192"/>
      <c r="M987" s="192"/>
      <c r="N987" s="192"/>
    </row>
    <row r="988" spans="10:14" ht="15.95" customHeight="1" x14ac:dyDescent="0.25">
      <c r="J988" s="192"/>
      <c r="K988" s="192"/>
      <c r="L988" s="192"/>
      <c r="M988" s="192"/>
      <c r="N988" s="192"/>
    </row>
    <row r="989" spans="10:14" ht="15.95" customHeight="1" x14ac:dyDescent="0.25">
      <c r="J989" s="192"/>
      <c r="K989" s="192"/>
      <c r="L989" s="192"/>
      <c r="M989" s="192"/>
      <c r="N989" s="192"/>
    </row>
    <row r="990" spans="10:14" ht="15.95" customHeight="1" x14ac:dyDescent="0.25">
      <c r="J990" s="192"/>
      <c r="K990" s="192"/>
      <c r="L990" s="192"/>
      <c r="M990" s="192"/>
      <c r="N990" s="192"/>
    </row>
    <row r="991" spans="10:14" ht="15.95" customHeight="1" x14ac:dyDescent="0.25">
      <c r="J991" s="192"/>
      <c r="K991" s="192"/>
      <c r="L991" s="192"/>
      <c r="M991" s="192"/>
      <c r="N991" s="192"/>
    </row>
    <row r="992" spans="10:14" ht="15.95" customHeight="1" x14ac:dyDescent="0.25">
      <c r="J992" s="192"/>
      <c r="K992" s="192"/>
      <c r="L992" s="192"/>
      <c r="M992" s="192"/>
      <c r="N992" s="192"/>
    </row>
    <row r="993" spans="10:14" ht="15.95" customHeight="1" x14ac:dyDescent="0.25">
      <c r="J993" s="192"/>
      <c r="K993" s="192"/>
      <c r="L993" s="192"/>
      <c r="M993" s="192"/>
      <c r="N993" s="192"/>
    </row>
    <row r="994" spans="10:14" ht="15.95" customHeight="1" x14ac:dyDescent="0.25">
      <c r="J994" s="192"/>
      <c r="K994" s="192"/>
      <c r="L994" s="192"/>
      <c r="M994" s="192"/>
      <c r="N994" s="192"/>
    </row>
    <row r="995" spans="10:14" ht="15.95" customHeight="1" x14ac:dyDescent="0.25">
      <c r="J995" s="192"/>
      <c r="K995" s="192"/>
      <c r="L995" s="192"/>
      <c r="M995" s="192"/>
      <c r="N995" s="192"/>
    </row>
    <row r="996" spans="10:14" ht="15.95" customHeight="1" x14ac:dyDescent="0.25">
      <c r="J996" s="192"/>
      <c r="K996" s="192"/>
      <c r="L996" s="192"/>
      <c r="M996" s="192"/>
      <c r="N996" s="192"/>
    </row>
    <row r="997" spans="10:14" ht="15.95" customHeight="1" x14ac:dyDescent="0.25">
      <c r="J997" s="192"/>
      <c r="K997" s="192"/>
      <c r="L997" s="192"/>
      <c r="M997" s="192"/>
      <c r="N997" s="192"/>
    </row>
    <row r="998" spans="10:14" ht="15.95" customHeight="1" x14ac:dyDescent="0.25">
      <c r="J998" s="192"/>
      <c r="K998" s="192"/>
      <c r="L998" s="192"/>
      <c r="M998" s="192"/>
      <c r="N998" s="192"/>
    </row>
    <row r="999" spans="10:14" ht="15.95" customHeight="1" x14ac:dyDescent="0.25">
      <c r="J999" s="192"/>
      <c r="K999" s="192"/>
      <c r="L999" s="192"/>
      <c r="M999" s="192"/>
      <c r="N999" s="192"/>
    </row>
    <row r="1000" spans="10:14" ht="15.95" customHeight="1" x14ac:dyDescent="0.25">
      <c r="J1000" s="192"/>
      <c r="K1000" s="192"/>
      <c r="L1000" s="192"/>
      <c r="M1000" s="192"/>
      <c r="N1000" s="192"/>
    </row>
    <row r="1001" spans="10:14" ht="15.95" customHeight="1" x14ac:dyDescent="0.25">
      <c r="J1001" s="192"/>
      <c r="K1001" s="192"/>
      <c r="L1001" s="192"/>
      <c r="M1001" s="192"/>
      <c r="N1001" s="192"/>
    </row>
    <row r="1002" spans="10:14" ht="15.95" customHeight="1" x14ac:dyDescent="0.25">
      <c r="J1002" s="192"/>
      <c r="K1002" s="192"/>
      <c r="L1002" s="192"/>
      <c r="M1002" s="192"/>
      <c r="N1002" s="192"/>
    </row>
    <row r="1003" spans="10:14" ht="15.95" customHeight="1" x14ac:dyDescent="0.25">
      <c r="J1003" s="192"/>
      <c r="K1003" s="192"/>
      <c r="L1003" s="192"/>
      <c r="M1003" s="192"/>
      <c r="N1003" s="192"/>
    </row>
    <row r="1004" spans="10:14" ht="15.95" customHeight="1" x14ac:dyDescent="0.25">
      <c r="J1004" s="192"/>
      <c r="K1004" s="192"/>
      <c r="L1004" s="192"/>
      <c r="M1004" s="192"/>
      <c r="N1004" s="192"/>
    </row>
    <row r="1005" spans="10:14" ht="15.95" customHeight="1" x14ac:dyDescent="0.25">
      <c r="J1005" s="192"/>
      <c r="K1005" s="192"/>
      <c r="L1005" s="192"/>
      <c r="M1005" s="192"/>
      <c r="N1005" s="192"/>
    </row>
    <row r="1006" spans="10:14" ht="15.95" customHeight="1" x14ac:dyDescent="0.25">
      <c r="J1006" s="192"/>
      <c r="K1006" s="192"/>
      <c r="L1006" s="192"/>
      <c r="M1006" s="192"/>
      <c r="N1006" s="192"/>
    </row>
    <row r="1007" spans="10:14" ht="15.95" customHeight="1" x14ac:dyDescent="0.25">
      <c r="J1007" s="192"/>
      <c r="K1007" s="192"/>
      <c r="L1007" s="192"/>
      <c r="M1007" s="192"/>
      <c r="N1007" s="192"/>
    </row>
    <row r="1008" spans="10:14" ht="15.95" customHeight="1" x14ac:dyDescent="0.25">
      <c r="J1008" s="192"/>
      <c r="K1008" s="192"/>
      <c r="L1008" s="192"/>
      <c r="M1008" s="192"/>
      <c r="N1008" s="192"/>
    </row>
    <row r="1009" spans="10:14" ht="15.95" customHeight="1" x14ac:dyDescent="0.25">
      <c r="J1009" s="192"/>
      <c r="K1009" s="192"/>
      <c r="L1009" s="192"/>
      <c r="M1009" s="192"/>
      <c r="N1009" s="192"/>
    </row>
    <row r="1010" spans="10:14" ht="15.95" customHeight="1" x14ac:dyDescent="0.25">
      <c r="J1010" s="192"/>
      <c r="K1010" s="192"/>
      <c r="L1010" s="192"/>
      <c r="M1010" s="192"/>
      <c r="N1010" s="192"/>
    </row>
    <row r="1011" spans="10:14" ht="15.95" customHeight="1" x14ac:dyDescent="0.25">
      <c r="J1011" s="192"/>
      <c r="K1011" s="192"/>
      <c r="L1011" s="192"/>
      <c r="M1011" s="192"/>
      <c r="N1011" s="192"/>
    </row>
    <row r="1012" spans="10:14" ht="15.95" customHeight="1" x14ac:dyDescent="0.25">
      <c r="J1012" s="192"/>
      <c r="K1012" s="192"/>
      <c r="L1012" s="192"/>
      <c r="M1012" s="192"/>
      <c r="N1012" s="192"/>
    </row>
    <row r="1013" spans="10:14" ht="15.95" customHeight="1" x14ac:dyDescent="0.25">
      <c r="J1013" s="192"/>
      <c r="K1013" s="192"/>
      <c r="L1013" s="192"/>
      <c r="M1013" s="192"/>
      <c r="N1013" s="192"/>
    </row>
    <row r="1014" spans="10:14" ht="15.95" customHeight="1" x14ac:dyDescent="0.25">
      <c r="J1014" s="192"/>
      <c r="K1014" s="192"/>
      <c r="L1014" s="192"/>
      <c r="M1014" s="192"/>
      <c r="N1014" s="192"/>
    </row>
    <row r="1015" spans="10:14" ht="15.95" customHeight="1" x14ac:dyDescent="0.25">
      <c r="J1015" s="192"/>
      <c r="K1015" s="192"/>
      <c r="L1015" s="192"/>
      <c r="M1015" s="192"/>
      <c r="N1015" s="192"/>
    </row>
    <row r="1016" spans="10:14" ht="15.95" customHeight="1" x14ac:dyDescent="0.25">
      <c r="J1016" s="192"/>
      <c r="K1016" s="192"/>
      <c r="L1016" s="192"/>
      <c r="M1016" s="192"/>
      <c r="N1016" s="192"/>
    </row>
    <row r="1017" spans="10:14" ht="15.95" customHeight="1" x14ac:dyDescent="0.25">
      <c r="J1017" s="192"/>
      <c r="K1017" s="192"/>
      <c r="L1017" s="192"/>
      <c r="M1017" s="192"/>
      <c r="N1017" s="192"/>
    </row>
    <row r="1018" spans="10:14" ht="15.95" customHeight="1" x14ac:dyDescent="0.25">
      <c r="J1018" s="192"/>
      <c r="K1018" s="192"/>
      <c r="L1018" s="192"/>
      <c r="M1018" s="192"/>
      <c r="N1018" s="192"/>
    </row>
    <row r="1019" spans="10:14" ht="15.95" customHeight="1" x14ac:dyDescent="0.25">
      <c r="J1019" s="192"/>
      <c r="K1019" s="192"/>
      <c r="L1019" s="192"/>
      <c r="M1019" s="192"/>
      <c r="N1019" s="192"/>
    </row>
    <row r="1020" spans="10:14" ht="15.95" customHeight="1" x14ac:dyDescent="0.25">
      <c r="J1020" s="192"/>
      <c r="K1020" s="192"/>
      <c r="L1020" s="192"/>
      <c r="M1020" s="192"/>
      <c r="N1020" s="192"/>
    </row>
    <row r="1021" spans="10:14" ht="15.95" customHeight="1" x14ac:dyDescent="0.25">
      <c r="J1021" s="192"/>
      <c r="K1021" s="192"/>
      <c r="L1021" s="192"/>
      <c r="M1021" s="192"/>
      <c r="N1021" s="192"/>
    </row>
    <row r="1022" spans="10:14" ht="15.95" customHeight="1" x14ac:dyDescent="0.25">
      <c r="J1022" s="192"/>
      <c r="K1022" s="192"/>
      <c r="L1022" s="192"/>
      <c r="M1022" s="192"/>
      <c r="N1022" s="192"/>
    </row>
    <row r="1023" spans="10:14" ht="15.95" customHeight="1" x14ac:dyDescent="0.25">
      <c r="J1023" s="192"/>
      <c r="K1023" s="192"/>
      <c r="L1023" s="192"/>
      <c r="M1023" s="192"/>
      <c r="N1023" s="192"/>
    </row>
    <row r="1024" spans="10:14" ht="15.95" customHeight="1" x14ac:dyDescent="0.25">
      <c r="J1024" s="192"/>
      <c r="K1024" s="192"/>
      <c r="L1024" s="192"/>
      <c r="M1024" s="192"/>
      <c r="N1024" s="192"/>
    </row>
    <row r="1025" spans="10:14" ht="15.95" customHeight="1" x14ac:dyDescent="0.25">
      <c r="J1025" s="192"/>
      <c r="K1025" s="192"/>
      <c r="L1025" s="192"/>
      <c r="M1025" s="192"/>
      <c r="N1025" s="192"/>
    </row>
    <row r="1026" spans="10:14" ht="15.95" customHeight="1" x14ac:dyDescent="0.25">
      <c r="J1026" s="192"/>
      <c r="K1026" s="192"/>
      <c r="L1026" s="192"/>
      <c r="M1026" s="192"/>
      <c r="N1026" s="192"/>
    </row>
    <row r="1027" spans="10:14" ht="15.95" customHeight="1" x14ac:dyDescent="0.25">
      <c r="J1027" s="192"/>
      <c r="K1027" s="192"/>
      <c r="L1027" s="192"/>
      <c r="M1027" s="192"/>
      <c r="N1027" s="192"/>
    </row>
    <row r="1028" spans="10:14" ht="15.95" customHeight="1" x14ac:dyDescent="0.25">
      <c r="J1028" s="192"/>
      <c r="K1028" s="192"/>
      <c r="L1028" s="192"/>
      <c r="M1028" s="192"/>
      <c r="N1028" s="192"/>
    </row>
    <row r="1029" spans="10:14" ht="15.95" customHeight="1" x14ac:dyDescent="0.25">
      <c r="J1029" s="192"/>
      <c r="K1029" s="192"/>
      <c r="L1029" s="192"/>
      <c r="M1029" s="192"/>
      <c r="N1029" s="192"/>
    </row>
    <row r="1030" spans="10:14" ht="15.95" customHeight="1" x14ac:dyDescent="0.25">
      <c r="J1030" s="192"/>
      <c r="K1030" s="192"/>
      <c r="L1030" s="192"/>
      <c r="M1030" s="192"/>
      <c r="N1030" s="192"/>
    </row>
    <row r="1031" spans="10:14" ht="15.95" customHeight="1" x14ac:dyDescent="0.25">
      <c r="J1031" s="192"/>
      <c r="K1031" s="192"/>
      <c r="L1031" s="192"/>
      <c r="M1031" s="192"/>
      <c r="N1031" s="192"/>
    </row>
    <row r="1032" spans="10:14" ht="15.95" customHeight="1" x14ac:dyDescent="0.25">
      <c r="J1032" s="192"/>
      <c r="K1032" s="192"/>
      <c r="L1032" s="192"/>
      <c r="M1032" s="192"/>
      <c r="N1032" s="192"/>
    </row>
    <row r="1033" spans="10:14" ht="15.95" customHeight="1" x14ac:dyDescent="0.25">
      <c r="J1033" s="192"/>
      <c r="K1033" s="192"/>
      <c r="L1033" s="192"/>
      <c r="M1033" s="192"/>
      <c r="N1033" s="192"/>
    </row>
    <row r="1034" spans="10:14" ht="15.95" customHeight="1" x14ac:dyDescent="0.25">
      <c r="J1034" s="192"/>
      <c r="K1034" s="192"/>
      <c r="L1034" s="192"/>
      <c r="M1034" s="192"/>
      <c r="N1034" s="192"/>
    </row>
    <row r="1035" spans="10:14" ht="15.95" customHeight="1" x14ac:dyDescent="0.25">
      <c r="J1035" s="192"/>
      <c r="K1035" s="192"/>
      <c r="L1035" s="192"/>
      <c r="M1035" s="192"/>
      <c r="N1035" s="192"/>
    </row>
    <row r="1036" spans="10:14" ht="15.95" customHeight="1" x14ac:dyDescent="0.25">
      <c r="J1036" s="192"/>
      <c r="K1036" s="192"/>
      <c r="L1036" s="192"/>
      <c r="M1036" s="192"/>
      <c r="N1036" s="192"/>
    </row>
    <row r="1037" spans="10:14" ht="15.95" customHeight="1" x14ac:dyDescent="0.25">
      <c r="J1037" s="192"/>
      <c r="K1037" s="192"/>
      <c r="L1037" s="192"/>
      <c r="M1037" s="192"/>
      <c r="N1037" s="192"/>
    </row>
    <row r="1038" spans="10:14" ht="15.95" customHeight="1" x14ac:dyDescent="0.25">
      <c r="J1038" s="192"/>
      <c r="K1038" s="192"/>
      <c r="L1038" s="192"/>
      <c r="M1038" s="192"/>
      <c r="N1038" s="192"/>
    </row>
    <row r="1039" spans="10:14" ht="15.95" customHeight="1" x14ac:dyDescent="0.25">
      <c r="J1039" s="192"/>
      <c r="K1039" s="192"/>
      <c r="L1039" s="192"/>
      <c r="M1039" s="192"/>
      <c r="N1039" s="192"/>
    </row>
    <row r="1040" spans="10:14" ht="15.95" customHeight="1" x14ac:dyDescent="0.25">
      <c r="J1040" s="192"/>
      <c r="K1040" s="192"/>
      <c r="L1040" s="192"/>
      <c r="M1040" s="192"/>
      <c r="N1040" s="192"/>
    </row>
    <row r="1041" spans="10:14" ht="15.95" customHeight="1" x14ac:dyDescent="0.25">
      <c r="J1041" s="192"/>
      <c r="K1041" s="192"/>
      <c r="L1041" s="192"/>
      <c r="M1041" s="192"/>
      <c r="N1041" s="192"/>
    </row>
    <row r="1042" spans="10:14" ht="15.95" customHeight="1" x14ac:dyDescent="0.25">
      <c r="J1042" s="192"/>
      <c r="K1042" s="192"/>
      <c r="L1042" s="192"/>
      <c r="M1042" s="192"/>
      <c r="N1042" s="192"/>
    </row>
    <row r="1043" spans="10:14" ht="15.95" customHeight="1" x14ac:dyDescent="0.25">
      <c r="J1043" s="192"/>
      <c r="K1043" s="192"/>
      <c r="L1043" s="192"/>
      <c r="M1043" s="192"/>
      <c r="N1043" s="192"/>
    </row>
    <row r="1044" spans="10:14" ht="15.95" customHeight="1" x14ac:dyDescent="0.25">
      <c r="J1044" s="192"/>
      <c r="K1044" s="192"/>
      <c r="L1044" s="192"/>
      <c r="M1044" s="192"/>
      <c r="N1044" s="192"/>
    </row>
    <row r="1045" spans="10:14" ht="15.95" customHeight="1" x14ac:dyDescent="0.25">
      <c r="J1045" s="192"/>
      <c r="K1045" s="192"/>
      <c r="L1045" s="192"/>
      <c r="M1045" s="192"/>
      <c r="N1045" s="192"/>
    </row>
    <row r="1046" spans="10:14" ht="15.95" customHeight="1" x14ac:dyDescent="0.25">
      <c r="J1046" s="192"/>
      <c r="K1046" s="192"/>
      <c r="L1046" s="192"/>
      <c r="M1046" s="192"/>
      <c r="N1046" s="192"/>
    </row>
    <row r="1047" spans="10:14" ht="15.95" customHeight="1" x14ac:dyDescent="0.25">
      <c r="J1047" s="192"/>
      <c r="K1047" s="192"/>
      <c r="L1047" s="192"/>
      <c r="M1047" s="192"/>
      <c r="N1047" s="192"/>
    </row>
    <row r="1048" spans="10:14" ht="15.95" customHeight="1" x14ac:dyDescent="0.25">
      <c r="J1048" s="192"/>
      <c r="K1048" s="192"/>
      <c r="L1048" s="192"/>
      <c r="M1048" s="192"/>
      <c r="N1048" s="192"/>
    </row>
    <row r="1049" spans="10:14" ht="15.95" customHeight="1" x14ac:dyDescent="0.25">
      <c r="J1049" s="192"/>
      <c r="K1049" s="192"/>
      <c r="L1049" s="192"/>
      <c r="M1049" s="192"/>
      <c r="N1049" s="192"/>
    </row>
    <row r="1050" spans="10:14" ht="15.95" customHeight="1" x14ac:dyDescent="0.25">
      <c r="J1050" s="192"/>
      <c r="K1050" s="192"/>
      <c r="L1050" s="192"/>
      <c r="M1050" s="192"/>
      <c r="N1050" s="192"/>
    </row>
    <row r="1051" spans="10:14" ht="15.95" customHeight="1" x14ac:dyDescent="0.25">
      <c r="J1051" s="192"/>
      <c r="K1051" s="192"/>
      <c r="L1051" s="192"/>
      <c r="M1051" s="192"/>
      <c r="N1051" s="192"/>
    </row>
    <row r="1052" spans="10:14" ht="15.95" customHeight="1" x14ac:dyDescent="0.25"/>
    <row r="1053" spans="10:14" ht="15.95" customHeight="1" x14ac:dyDescent="0.25"/>
    <row r="1054" spans="10:14" ht="32.1" customHeight="1" x14ac:dyDescent="0.25">
      <c r="J1054" s="235" t="str">
        <f>ComparisonData!DZ2</f>
        <v>SECTION B: OUR STAFF, SERVICES &amp; FACILITIES</v>
      </c>
      <c r="K1054" s="236"/>
      <c r="L1054" s="236"/>
      <c r="M1054" s="236"/>
      <c r="N1054" s="237"/>
    </row>
    <row r="1055" spans="10:14" ht="32.1" customHeight="1" x14ac:dyDescent="0.25">
      <c r="J1055" s="235" t="str">
        <f>ComparisonData!DZ3</f>
        <v>5. How satisfied are you with the following:</v>
      </c>
      <c r="K1055" s="236"/>
      <c r="L1055" s="236"/>
      <c r="M1055" s="236"/>
      <c r="N1055" s="237"/>
    </row>
    <row r="1056" spans="10:14" ht="32.1" customHeight="1" x14ac:dyDescent="0.25">
      <c r="J1056" s="235" t="str">
        <f>ComparisonData!DZ4</f>
        <v>Ease with which you found us</v>
      </c>
      <c r="K1056" s="236"/>
      <c r="L1056" s="236"/>
      <c r="M1056" s="236"/>
      <c r="N1056" s="237"/>
    </row>
    <row r="1057" spans="9:14" ht="32.1" customHeight="1" x14ac:dyDescent="0.25">
      <c r="J1057" s="185" t="str">
        <f>ComparisonData!ED5</f>
        <v>Very satisfied</v>
      </c>
      <c r="K1057" s="185" t="str">
        <f>ComparisonData!EE5</f>
        <v>Satisfied</v>
      </c>
      <c r="L1057" s="185" t="str">
        <f>ComparisonData!EF5</f>
        <v>Neither</v>
      </c>
      <c r="M1057" s="185" t="str">
        <f>ComparisonData!EG5</f>
        <v>Not very satisfied</v>
      </c>
      <c r="N1057" s="185" t="str">
        <f>ComparisonData!EH5</f>
        <v>Not at all satisfied</v>
      </c>
    </row>
    <row r="1058" spans="9:14" ht="15.95" customHeight="1" x14ac:dyDescent="0.25">
      <c r="I1058" s="188" t="str" cm="1">
        <f t="array" aca="1" ref="I1058" ca="1">Ease_with_which_you_found_us_lbl</f>
        <v>TOTAL</v>
      </c>
      <c r="J1058" s="192" cm="1">
        <f t="array" aca="1" ref="J1058" ca="1">Ease_with_which_you_found_us_1</f>
        <v>0.83972000000000002</v>
      </c>
      <c r="K1058" s="192" cm="1">
        <f t="array" aca="1" ref="K1058" ca="1">Ease_with_which_you_found_us_2</f>
        <v>0.13768</v>
      </c>
      <c r="L1058" s="192" cm="1">
        <f t="array" aca="1" ref="L1058" ca="1">Ease_with_which_you_found_us_3</f>
        <v>1.417E-2</v>
      </c>
      <c r="M1058" s="192" cm="1">
        <f t="array" aca="1" ref="M1058" ca="1">Ease_with_which_you_found_us_4</f>
        <v>7.6800000000000002E-3</v>
      </c>
      <c r="N1058" s="192" cm="1">
        <f t="array" aca="1" ref="N1058" ca="1">Ease_with_which_you_found_us_5</f>
        <v>7.4641892651941088E-4</v>
      </c>
    </row>
    <row r="1059" spans="9:14" ht="15.95" customHeight="1" x14ac:dyDescent="0.25">
      <c r="J1059" s="192"/>
      <c r="K1059" s="192"/>
      <c r="L1059" s="192"/>
      <c r="M1059" s="192"/>
      <c r="N1059" s="192"/>
    </row>
    <row r="1060" spans="9:14" ht="15.95" customHeight="1" x14ac:dyDescent="0.25">
      <c r="J1060" s="192"/>
      <c r="K1060" s="192"/>
      <c r="L1060" s="192"/>
      <c r="M1060" s="192"/>
      <c r="N1060" s="192"/>
    </row>
    <row r="1061" spans="9:14" ht="15.95" customHeight="1" x14ac:dyDescent="0.25">
      <c r="J1061" s="192"/>
      <c r="K1061" s="192"/>
      <c r="L1061" s="192"/>
      <c r="M1061" s="192"/>
      <c r="N1061" s="192"/>
    </row>
    <row r="1062" spans="9:14" ht="15.95" customHeight="1" x14ac:dyDescent="0.25">
      <c r="J1062" s="192"/>
      <c r="K1062" s="192"/>
      <c r="L1062" s="192"/>
      <c r="M1062" s="192"/>
      <c r="N1062" s="192"/>
    </row>
    <row r="1063" spans="9:14" ht="15.95" customHeight="1" x14ac:dyDescent="0.25">
      <c r="J1063" s="192"/>
      <c r="K1063" s="192"/>
      <c r="L1063" s="192"/>
      <c r="M1063" s="192"/>
      <c r="N1063" s="192"/>
    </row>
    <row r="1064" spans="9:14" ht="15.95" customHeight="1" x14ac:dyDescent="0.25">
      <c r="J1064" s="192"/>
      <c r="K1064" s="192"/>
      <c r="L1064" s="192"/>
      <c r="M1064" s="192"/>
      <c r="N1064" s="192"/>
    </row>
    <row r="1065" spans="9:14" ht="15.95" customHeight="1" x14ac:dyDescent="0.25">
      <c r="J1065" s="192"/>
      <c r="K1065" s="192"/>
      <c r="L1065" s="192"/>
      <c r="M1065" s="192"/>
      <c r="N1065" s="192"/>
    </row>
    <row r="1066" spans="9:14" ht="15.95" customHeight="1" x14ac:dyDescent="0.25">
      <c r="J1066" s="192"/>
      <c r="K1066" s="192"/>
      <c r="L1066" s="192"/>
      <c r="M1066" s="192"/>
      <c r="N1066" s="192"/>
    </row>
    <row r="1067" spans="9:14" ht="15.95" customHeight="1" x14ac:dyDescent="0.25">
      <c r="J1067" s="192"/>
      <c r="K1067" s="192"/>
      <c r="L1067" s="192"/>
      <c r="M1067" s="192"/>
      <c r="N1067" s="192"/>
    </row>
    <row r="1068" spans="9:14" ht="15.95" customHeight="1" x14ac:dyDescent="0.25">
      <c r="J1068" s="192"/>
      <c r="K1068" s="192"/>
      <c r="L1068" s="192"/>
      <c r="M1068" s="192"/>
      <c r="N1068" s="192"/>
    </row>
    <row r="1069" spans="9:14" ht="15.95" customHeight="1" x14ac:dyDescent="0.25">
      <c r="J1069" s="192"/>
      <c r="K1069" s="192"/>
      <c r="L1069" s="192"/>
      <c r="M1069" s="192"/>
      <c r="N1069" s="192"/>
    </row>
    <row r="1070" spans="9:14" ht="15.95" customHeight="1" x14ac:dyDescent="0.25">
      <c r="J1070" s="192"/>
      <c r="K1070" s="192"/>
      <c r="L1070" s="192"/>
      <c r="M1070" s="192"/>
      <c r="N1070" s="192"/>
    </row>
    <row r="1071" spans="9:14" ht="15.95" customHeight="1" x14ac:dyDescent="0.25">
      <c r="J1071" s="192"/>
      <c r="K1071" s="192"/>
      <c r="L1071" s="192"/>
      <c r="M1071" s="192"/>
      <c r="N1071" s="192"/>
    </row>
    <row r="1072" spans="9:14" ht="15.95" customHeight="1" x14ac:dyDescent="0.25">
      <c r="J1072" s="192"/>
      <c r="K1072" s="192"/>
      <c r="L1072" s="192"/>
      <c r="M1072" s="192"/>
      <c r="N1072" s="192"/>
    </row>
    <row r="1073" spans="10:14" ht="15.95" customHeight="1" x14ac:dyDescent="0.25">
      <c r="J1073" s="192"/>
      <c r="K1073" s="192"/>
      <c r="L1073" s="192"/>
      <c r="M1073" s="192"/>
      <c r="N1073" s="192"/>
    </row>
    <row r="1074" spans="10:14" ht="15.95" customHeight="1" x14ac:dyDescent="0.25">
      <c r="J1074" s="192"/>
      <c r="K1074" s="192"/>
      <c r="L1074" s="192"/>
      <c r="M1074" s="192"/>
      <c r="N1074" s="192"/>
    </row>
    <row r="1075" spans="10:14" ht="15.95" customHeight="1" x14ac:dyDescent="0.25">
      <c r="J1075" s="192"/>
      <c r="K1075" s="192"/>
      <c r="L1075" s="192"/>
      <c r="M1075" s="192"/>
      <c r="N1075" s="192"/>
    </row>
    <row r="1076" spans="10:14" ht="15.95" customHeight="1" x14ac:dyDescent="0.25">
      <c r="J1076" s="192"/>
      <c r="K1076" s="192"/>
      <c r="L1076" s="192"/>
      <c r="M1076" s="192"/>
      <c r="N1076" s="192"/>
    </row>
    <row r="1077" spans="10:14" ht="15.95" customHeight="1" x14ac:dyDescent="0.25">
      <c r="J1077" s="192"/>
      <c r="K1077" s="192"/>
      <c r="L1077" s="192"/>
      <c r="M1077" s="192"/>
      <c r="N1077" s="192"/>
    </row>
    <row r="1078" spans="10:14" ht="15.95" customHeight="1" x14ac:dyDescent="0.25">
      <c r="J1078" s="192"/>
      <c r="K1078" s="192"/>
      <c r="L1078" s="192"/>
      <c r="M1078" s="192"/>
      <c r="N1078" s="192"/>
    </row>
    <row r="1079" spans="10:14" ht="15.95" customHeight="1" x14ac:dyDescent="0.25">
      <c r="J1079" s="192"/>
      <c r="K1079" s="192"/>
      <c r="L1079" s="192"/>
      <c r="M1079" s="192"/>
      <c r="N1079" s="192"/>
    </row>
    <row r="1080" spans="10:14" ht="15.95" customHeight="1" x14ac:dyDescent="0.25">
      <c r="J1080" s="192"/>
      <c r="K1080" s="192"/>
      <c r="L1080" s="192"/>
      <c r="M1080" s="192"/>
      <c r="N1080" s="192"/>
    </row>
    <row r="1081" spans="10:14" ht="15.95" customHeight="1" x14ac:dyDescent="0.25">
      <c r="J1081" s="192"/>
      <c r="K1081" s="192"/>
      <c r="L1081" s="192"/>
      <c r="M1081" s="192"/>
      <c r="N1081" s="192"/>
    </row>
    <row r="1082" spans="10:14" ht="15.95" customHeight="1" x14ac:dyDescent="0.25">
      <c r="J1082" s="192"/>
      <c r="K1082" s="192"/>
      <c r="L1082" s="192"/>
      <c r="M1082" s="192"/>
      <c r="N1082" s="192"/>
    </row>
    <row r="1083" spans="10:14" ht="15.95" customHeight="1" x14ac:dyDescent="0.25">
      <c r="J1083" s="192"/>
      <c r="K1083" s="192"/>
      <c r="L1083" s="192"/>
      <c r="M1083" s="192"/>
      <c r="N1083" s="192"/>
    </row>
    <row r="1084" spans="10:14" ht="15.95" customHeight="1" x14ac:dyDescent="0.25">
      <c r="J1084" s="192"/>
      <c r="K1084" s="192"/>
      <c r="L1084" s="192"/>
      <c r="M1084" s="192"/>
      <c r="N1084" s="192"/>
    </row>
    <row r="1085" spans="10:14" ht="15.95" customHeight="1" x14ac:dyDescent="0.25">
      <c r="J1085" s="192"/>
      <c r="K1085" s="192"/>
      <c r="L1085" s="192"/>
      <c r="M1085" s="192"/>
      <c r="N1085" s="192"/>
    </row>
    <row r="1086" spans="10:14" ht="15.95" customHeight="1" x14ac:dyDescent="0.25">
      <c r="J1086" s="192"/>
      <c r="K1086" s="192"/>
      <c r="L1086" s="192"/>
      <c r="M1086" s="192"/>
      <c r="N1086" s="192"/>
    </row>
    <row r="1087" spans="10:14" ht="15.95" customHeight="1" x14ac:dyDescent="0.25">
      <c r="J1087" s="192"/>
      <c r="K1087" s="192"/>
      <c r="L1087" s="192"/>
      <c r="M1087" s="192"/>
      <c r="N1087" s="192"/>
    </row>
    <row r="1088" spans="10:14" ht="15.95" customHeight="1" x14ac:dyDescent="0.25">
      <c r="J1088" s="192"/>
      <c r="K1088" s="192"/>
      <c r="L1088" s="192"/>
      <c r="M1088" s="192"/>
      <c r="N1088" s="192"/>
    </row>
    <row r="1089" spans="10:14" ht="15.95" customHeight="1" x14ac:dyDescent="0.25">
      <c r="J1089" s="192"/>
      <c r="K1089" s="192"/>
      <c r="L1089" s="192"/>
      <c r="M1089" s="192"/>
      <c r="N1089" s="192"/>
    </row>
    <row r="1090" spans="10:14" ht="15.95" customHeight="1" x14ac:dyDescent="0.25">
      <c r="J1090" s="192"/>
      <c r="K1090" s="192"/>
      <c r="L1090" s="192"/>
      <c r="M1090" s="192"/>
      <c r="N1090" s="192"/>
    </row>
    <row r="1091" spans="10:14" ht="15.95" customHeight="1" x14ac:dyDescent="0.25">
      <c r="J1091" s="192"/>
      <c r="K1091" s="192"/>
      <c r="L1091" s="192"/>
      <c r="M1091" s="192"/>
      <c r="N1091" s="192"/>
    </row>
    <row r="1092" spans="10:14" ht="15.95" customHeight="1" x14ac:dyDescent="0.25">
      <c r="J1092" s="192"/>
      <c r="K1092" s="192"/>
      <c r="L1092" s="192"/>
      <c r="M1092" s="192"/>
      <c r="N1092" s="192"/>
    </row>
    <row r="1093" spans="10:14" ht="15.95" customHeight="1" x14ac:dyDescent="0.25">
      <c r="J1093" s="192"/>
      <c r="K1093" s="192"/>
      <c r="L1093" s="192"/>
      <c r="M1093" s="192"/>
      <c r="N1093" s="192"/>
    </row>
    <row r="1094" spans="10:14" ht="15.95" customHeight="1" x14ac:dyDescent="0.25">
      <c r="J1094" s="192"/>
      <c r="K1094" s="192"/>
      <c r="L1094" s="192"/>
      <c r="M1094" s="192"/>
      <c r="N1094" s="192"/>
    </row>
    <row r="1095" spans="10:14" ht="15.95" customHeight="1" x14ac:dyDescent="0.25">
      <c r="J1095" s="192"/>
      <c r="K1095" s="192"/>
      <c r="L1095" s="192"/>
      <c r="M1095" s="192"/>
      <c r="N1095" s="192"/>
    </row>
    <row r="1096" spans="10:14" ht="15.95" customHeight="1" x14ac:dyDescent="0.25">
      <c r="J1096" s="192"/>
      <c r="K1096" s="192"/>
      <c r="L1096" s="192"/>
      <c r="M1096" s="192"/>
      <c r="N1096" s="192"/>
    </row>
    <row r="1097" spans="10:14" ht="15.95" customHeight="1" x14ac:dyDescent="0.25">
      <c r="J1097" s="192"/>
      <c r="K1097" s="192"/>
      <c r="L1097" s="192"/>
      <c r="M1097" s="192"/>
      <c r="N1097" s="192"/>
    </row>
    <row r="1098" spans="10:14" ht="15.95" customHeight="1" x14ac:dyDescent="0.25">
      <c r="J1098" s="192"/>
      <c r="K1098" s="192"/>
      <c r="L1098" s="192"/>
      <c r="M1098" s="192"/>
      <c r="N1098" s="192"/>
    </row>
    <row r="1099" spans="10:14" ht="15.95" customHeight="1" x14ac:dyDescent="0.25">
      <c r="J1099" s="192"/>
      <c r="K1099" s="192"/>
      <c r="L1099" s="192"/>
      <c r="M1099" s="192"/>
      <c r="N1099" s="192"/>
    </row>
    <row r="1100" spans="10:14" ht="15.95" customHeight="1" x14ac:dyDescent="0.25">
      <c r="J1100" s="192"/>
      <c r="K1100" s="192"/>
      <c r="L1100" s="192"/>
      <c r="M1100" s="192"/>
      <c r="N1100" s="192"/>
    </row>
    <row r="1101" spans="10:14" ht="15.95" customHeight="1" x14ac:dyDescent="0.25">
      <c r="J1101" s="192"/>
      <c r="K1101" s="192"/>
      <c r="L1101" s="192"/>
      <c r="M1101" s="192"/>
      <c r="N1101" s="192"/>
    </row>
    <row r="1102" spans="10:14" ht="15.95" customHeight="1" x14ac:dyDescent="0.25">
      <c r="J1102" s="192"/>
      <c r="K1102" s="192"/>
      <c r="L1102" s="192"/>
      <c r="M1102" s="192"/>
      <c r="N1102" s="192"/>
    </row>
    <row r="1103" spans="10:14" ht="15.95" customHeight="1" x14ac:dyDescent="0.25">
      <c r="J1103" s="192"/>
      <c r="K1103" s="192"/>
      <c r="L1103" s="192"/>
      <c r="M1103" s="192"/>
      <c r="N1103" s="192"/>
    </row>
    <row r="1104" spans="10:14" ht="15.95" customHeight="1" x14ac:dyDescent="0.25">
      <c r="J1104" s="192"/>
      <c r="K1104" s="192"/>
      <c r="L1104" s="192"/>
      <c r="M1104" s="192"/>
      <c r="N1104" s="192"/>
    </row>
    <row r="1105" spans="10:14" ht="15.95" customHeight="1" x14ac:dyDescent="0.25">
      <c r="J1105" s="192"/>
      <c r="K1105" s="192"/>
      <c r="L1105" s="192"/>
      <c r="M1105" s="192"/>
      <c r="N1105" s="192"/>
    </row>
    <row r="1106" spans="10:14" ht="15.95" customHeight="1" x14ac:dyDescent="0.25">
      <c r="J1106" s="192"/>
      <c r="K1106" s="192"/>
      <c r="L1106" s="192"/>
      <c r="M1106" s="192"/>
      <c r="N1106" s="192"/>
    </row>
    <row r="1107" spans="10:14" ht="15.95" customHeight="1" x14ac:dyDescent="0.25">
      <c r="J1107" s="192"/>
      <c r="K1107" s="192"/>
      <c r="L1107" s="192"/>
      <c r="M1107" s="192"/>
      <c r="N1107" s="192"/>
    </row>
    <row r="1108" spans="10:14" ht="15.95" customHeight="1" x14ac:dyDescent="0.25">
      <c r="J1108" s="192"/>
      <c r="K1108" s="192"/>
      <c r="L1108" s="192"/>
      <c r="M1108" s="192"/>
      <c r="N1108" s="192"/>
    </row>
    <row r="1109" spans="10:14" ht="15.95" customHeight="1" x14ac:dyDescent="0.25">
      <c r="J1109" s="192"/>
      <c r="K1109" s="192"/>
      <c r="L1109" s="192"/>
      <c r="M1109" s="192"/>
      <c r="N1109" s="192"/>
    </row>
    <row r="1110" spans="10:14" ht="15.95" customHeight="1" x14ac:dyDescent="0.25">
      <c r="J1110" s="192"/>
      <c r="K1110" s="192"/>
      <c r="L1110" s="192"/>
      <c r="M1110" s="192"/>
      <c r="N1110" s="192"/>
    </row>
    <row r="1111" spans="10:14" ht="15.95" customHeight="1" x14ac:dyDescent="0.25">
      <c r="J1111" s="192"/>
      <c r="K1111" s="192"/>
      <c r="L1111" s="192"/>
      <c r="M1111" s="192"/>
      <c r="N1111" s="192"/>
    </row>
    <row r="1112" spans="10:14" ht="15.95" customHeight="1" x14ac:dyDescent="0.25">
      <c r="J1112" s="192"/>
      <c r="K1112" s="192"/>
      <c r="L1112" s="192"/>
      <c r="M1112" s="192"/>
      <c r="N1112" s="192"/>
    </row>
    <row r="1113" spans="10:14" ht="15.95" customHeight="1" x14ac:dyDescent="0.25">
      <c r="J1113" s="192"/>
      <c r="K1113" s="192"/>
      <c r="L1113" s="192"/>
      <c r="M1113" s="192"/>
      <c r="N1113" s="192"/>
    </row>
    <row r="1114" spans="10:14" ht="15.95" customHeight="1" x14ac:dyDescent="0.25">
      <c r="J1114" s="192"/>
      <c r="K1114" s="192"/>
      <c r="L1114" s="192"/>
      <c r="M1114" s="192"/>
      <c r="N1114" s="192"/>
    </row>
    <row r="1115" spans="10:14" ht="15.95" customHeight="1" x14ac:dyDescent="0.25">
      <c r="J1115" s="192"/>
      <c r="K1115" s="192"/>
      <c r="L1115" s="192"/>
      <c r="M1115" s="192"/>
      <c r="N1115" s="192"/>
    </row>
    <row r="1116" spans="10:14" ht="15.95" customHeight="1" x14ac:dyDescent="0.25">
      <c r="J1116" s="192"/>
      <c r="K1116" s="192"/>
      <c r="L1116" s="192"/>
      <c r="M1116" s="192"/>
      <c r="N1116" s="192"/>
    </row>
    <row r="1117" spans="10:14" ht="15.95" customHeight="1" x14ac:dyDescent="0.25">
      <c r="J1117" s="192"/>
      <c r="K1117" s="192"/>
      <c r="L1117" s="192"/>
      <c r="M1117" s="192"/>
      <c r="N1117" s="192"/>
    </row>
    <row r="1118" spans="10:14" ht="15.95" customHeight="1" x14ac:dyDescent="0.25">
      <c r="J1118" s="192"/>
      <c r="K1118" s="192"/>
      <c r="L1118" s="192"/>
      <c r="M1118" s="192"/>
      <c r="N1118" s="192"/>
    </row>
    <row r="1119" spans="10:14" ht="15.95" customHeight="1" x14ac:dyDescent="0.25">
      <c r="J1119" s="192"/>
      <c r="K1119" s="192"/>
      <c r="L1119" s="192"/>
      <c r="M1119" s="192"/>
      <c r="N1119" s="192"/>
    </row>
    <row r="1120" spans="10:14" ht="15.95" customHeight="1" x14ac:dyDescent="0.25">
      <c r="J1120" s="192"/>
      <c r="K1120" s="192"/>
      <c r="L1120" s="192"/>
      <c r="M1120" s="192"/>
      <c r="N1120" s="192"/>
    </row>
    <row r="1121" spans="10:14" ht="15.95" customHeight="1" x14ac:dyDescent="0.25">
      <c r="J1121" s="192"/>
      <c r="K1121" s="192"/>
      <c r="L1121" s="192"/>
      <c r="M1121" s="192"/>
      <c r="N1121" s="192"/>
    </row>
    <row r="1122" spans="10:14" ht="15.95" customHeight="1" x14ac:dyDescent="0.25">
      <c r="J1122" s="192"/>
      <c r="K1122" s="192"/>
      <c r="L1122" s="192"/>
      <c r="M1122" s="192"/>
      <c r="N1122" s="192"/>
    </row>
    <row r="1123" spans="10:14" ht="15.95" customHeight="1" x14ac:dyDescent="0.25">
      <c r="J1123" s="192"/>
      <c r="K1123" s="192"/>
      <c r="L1123" s="192"/>
      <c r="M1123" s="192"/>
      <c r="N1123" s="192"/>
    </row>
    <row r="1124" spans="10:14" ht="15.95" customHeight="1" x14ac:dyDescent="0.25">
      <c r="J1124" s="192"/>
      <c r="K1124" s="192"/>
      <c r="L1124" s="192"/>
      <c r="M1124" s="192"/>
      <c r="N1124" s="192"/>
    </row>
    <row r="1125" spans="10:14" ht="15.95" customHeight="1" x14ac:dyDescent="0.25">
      <c r="J1125" s="192"/>
      <c r="K1125" s="192"/>
      <c r="L1125" s="192"/>
      <c r="M1125" s="192"/>
      <c r="N1125" s="192"/>
    </row>
    <row r="1126" spans="10:14" ht="15.95" customHeight="1" x14ac:dyDescent="0.25">
      <c r="J1126" s="192"/>
      <c r="K1126" s="192"/>
      <c r="L1126" s="192"/>
      <c r="M1126" s="192"/>
      <c r="N1126" s="192"/>
    </row>
    <row r="1127" spans="10:14" ht="15.95" customHeight="1" x14ac:dyDescent="0.25">
      <c r="J1127" s="192"/>
      <c r="K1127" s="192"/>
      <c r="L1127" s="192"/>
      <c r="M1127" s="192"/>
      <c r="N1127" s="192"/>
    </row>
    <row r="1128" spans="10:14" ht="15.95" customHeight="1" x14ac:dyDescent="0.25">
      <c r="J1128" s="192"/>
      <c r="K1128" s="192"/>
      <c r="L1128" s="192"/>
      <c r="M1128" s="192"/>
      <c r="N1128" s="192"/>
    </row>
    <row r="1129" spans="10:14" ht="15.95" customHeight="1" x14ac:dyDescent="0.25">
      <c r="J1129" s="192"/>
      <c r="K1129" s="192"/>
      <c r="L1129" s="192"/>
      <c r="M1129" s="192"/>
      <c r="N1129" s="192"/>
    </row>
    <row r="1130" spans="10:14" ht="15.95" customHeight="1" x14ac:dyDescent="0.25">
      <c r="J1130" s="192"/>
      <c r="K1130" s="192"/>
      <c r="L1130" s="192"/>
      <c r="M1130" s="192"/>
      <c r="N1130" s="192"/>
    </row>
    <row r="1131" spans="10:14" ht="15.95" customHeight="1" x14ac:dyDescent="0.25">
      <c r="J1131" s="192"/>
      <c r="K1131" s="192"/>
      <c r="L1131" s="192"/>
      <c r="M1131" s="192"/>
      <c r="N1131" s="192"/>
    </row>
    <row r="1132" spans="10:14" ht="15.95" customHeight="1" x14ac:dyDescent="0.25">
      <c r="J1132" s="192"/>
      <c r="K1132" s="192"/>
      <c r="L1132" s="192"/>
      <c r="M1132" s="192"/>
      <c r="N1132" s="192"/>
    </row>
    <row r="1133" spans="10:14" ht="15.95" customHeight="1" x14ac:dyDescent="0.25">
      <c r="J1133" s="192"/>
      <c r="K1133" s="192"/>
      <c r="L1133" s="192"/>
      <c r="M1133" s="192"/>
      <c r="N1133" s="192"/>
    </row>
    <row r="1134" spans="10:14" ht="15.95" customHeight="1" x14ac:dyDescent="0.25">
      <c r="J1134" s="192"/>
      <c r="K1134" s="192"/>
      <c r="L1134" s="192"/>
      <c r="M1134" s="192"/>
      <c r="N1134" s="192"/>
    </row>
    <row r="1135" spans="10:14" ht="15.95" customHeight="1" x14ac:dyDescent="0.25">
      <c r="J1135" s="192"/>
      <c r="K1135" s="192"/>
      <c r="L1135" s="192"/>
      <c r="M1135" s="192"/>
      <c r="N1135" s="192"/>
    </row>
    <row r="1136" spans="10:14" ht="15.95" customHeight="1" x14ac:dyDescent="0.25">
      <c r="J1136" s="192"/>
      <c r="K1136" s="192"/>
      <c r="L1136" s="192"/>
      <c r="M1136" s="192"/>
      <c r="N1136" s="192"/>
    </row>
    <row r="1137" spans="10:14" ht="15.95" customHeight="1" x14ac:dyDescent="0.25">
      <c r="J1137" s="192"/>
      <c r="K1137" s="192"/>
      <c r="L1137" s="192"/>
      <c r="M1137" s="192"/>
      <c r="N1137" s="192"/>
    </row>
    <row r="1138" spans="10:14" ht="15.95" customHeight="1" x14ac:dyDescent="0.25">
      <c r="J1138" s="192"/>
      <c r="K1138" s="192"/>
      <c r="L1138" s="192"/>
      <c r="M1138" s="192"/>
      <c r="N1138" s="192"/>
    </row>
    <row r="1139" spans="10:14" ht="15.95" customHeight="1" x14ac:dyDescent="0.25">
      <c r="J1139" s="192"/>
      <c r="K1139" s="192"/>
      <c r="L1139" s="192"/>
      <c r="M1139" s="192"/>
      <c r="N1139" s="192"/>
    </row>
    <row r="1140" spans="10:14" ht="15.95" customHeight="1" x14ac:dyDescent="0.25">
      <c r="J1140" s="192"/>
      <c r="K1140" s="192"/>
      <c r="L1140" s="192"/>
      <c r="M1140" s="192"/>
      <c r="N1140" s="192"/>
    </row>
    <row r="1141" spans="10:14" ht="15.95" customHeight="1" x14ac:dyDescent="0.25">
      <c r="J1141" s="192"/>
      <c r="K1141" s="192"/>
      <c r="L1141" s="192"/>
      <c r="M1141" s="192"/>
      <c r="N1141" s="192"/>
    </row>
    <row r="1142" spans="10:14" ht="15.95" customHeight="1" x14ac:dyDescent="0.25">
      <c r="J1142" s="192"/>
      <c r="K1142" s="192"/>
      <c r="L1142" s="192"/>
      <c r="M1142" s="192"/>
      <c r="N1142" s="192"/>
    </row>
    <row r="1143" spans="10:14" ht="15.95" customHeight="1" x14ac:dyDescent="0.25">
      <c r="J1143" s="192"/>
      <c r="K1143" s="192"/>
      <c r="L1143" s="192"/>
      <c r="M1143" s="192"/>
      <c r="N1143" s="192"/>
    </row>
    <row r="1144" spans="10:14" ht="15.95" customHeight="1" x14ac:dyDescent="0.25">
      <c r="J1144" s="192"/>
      <c r="K1144" s="192"/>
      <c r="L1144" s="192"/>
      <c r="M1144" s="192"/>
      <c r="N1144" s="192"/>
    </row>
    <row r="1145" spans="10:14" ht="15.95" customHeight="1" x14ac:dyDescent="0.25">
      <c r="J1145" s="192"/>
      <c r="K1145" s="192"/>
      <c r="L1145" s="192"/>
      <c r="M1145" s="192"/>
      <c r="N1145" s="192"/>
    </row>
    <row r="1146" spans="10:14" ht="15.95" customHeight="1" x14ac:dyDescent="0.25">
      <c r="J1146" s="192"/>
      <c r="K1146" s="192"/>
      <c r="L1146" s="192"/>
      <c r="M1146" s="192"/>
      <c r="N1146" s="192"/>
    </row>
    <row r="1147" spans="10:14" ht="15.95" customHeight="1" x14ac:dyDescent="0.25">
      <c r="J1147" s="192"/>
      <c r="K1147" s="192"/>
      <c r="L1147" s="192"/>
      <c r="M1147" s="192"/>
      <c r="N1147" s="192"/>
    </row>
    <row r="1148" spans="10:14" ht="15.95" customHeight="1" x14ac:dyDescent="0.25">
      <c r="J1148" s="192"/>
      <c r="K1148" s="192"/>
      <c r="L1148" s="192"/>
      <c r="M1148" s="192"/>
      <c r="N1148" s="192"/>
    </row>
    <row r="1149" spans="10:14" ht="15.95" customHeight="1" x14ac:dyDescent="0.25">
      <c r="J1149" s="192"/>
      <c r="K1149" s="192"/>
      <c r="L1149" s="192"/>
      <c r="M1149" s="192"/>
      <c r="N1149" s="192"/>
    </row>
    <row r="1150" spans="10:14" ht="15.95" customHeight="1" x14ac:dyDescent="0.25">
      <c r="J1150" s="192"/>
      <c r="K1150" s="192"/>
      <c r="L1150" s="192"/>
      <c r="M1150" s="192"/>
      <c r="N1150" s="192"/>
    </row>
    <row r="1151" spans="10:14" ht="15.95" customHeight="1" x14ac:dyDescent="0.25">
      <c r="J1151" s="192"/>
      <c r="K1151" s="192"/>
      <c r="L1151" s="192"/>
      <c r="M1151" s="192"/>
      <c r="N1151" s="192"/>
    </row>
    <row r="1152" spans="10:14" ht="15.95" customHeight="1" x14ac:dyDescent="0.25">
      <c r="J1152" s="192"/>
      <c r="K1152" s="192"/>
      <c r="L1152" s="192"/>
      <c r="M1152" s="192"/>
      <c r="N1152" s="192"/>
    </row>
    <row r="1153" spans="10:14" ht="15.95" customHeight="1" x14ac:dyDescent="0.25">
      <c r="J1153" s="192"/>
      <c r="K1153" s="192"/>
      <c r="L1153" s="192"/>
      <c r="M1153" s="192"/>
      <c r="N1153" s="192"/>
    </row>
    <row r="1154" spans="10:14" ht="15.95" customHeight="1" x14ac:dyDescent="0.25">
      <c r="J1154" s="192"/>
      <c r="K1154" s="192"/>
      <c r="L1154" s="192"/>
      <c r="M1154" s="192"/>
      <c r="N1154" s="192"/>
    </row>
    <row r="1155" spans="10:14" ht="15.95" customHeight="1" x14ac:dyDescent="0.25">
      <c r="J1155" s="192"/>
      <c r="K1155" s="192"/>
      <c r="L1155" s="192"/>
      <c r="M1155" s="192"/>
      <c r="N1155" s="192"/>
    </row>
    <row r="1156" spans="10:14" ht="15.95" customHeight="1" x14ac:dyDescent="0.25">
      <c r="J1156" s="192"/>
      <c r="K1156" s="192"/>
      <c r="L1156" s="192"/>
      <c r="M1156" s="192"/>
      <c r="N1156" s="192"/>
    </row>
    <row r="1157" spans="10:14" ht="15.95" customHeight="1" x14ac:dyDescent="0.25">
      <c r="J1157" s="192"/>
      <c r="K1157" s="192"/>
      <c r="L1157" s="192"/>
      <c r="M1157" s="192"/>
      <c r="N1157" s="192"/>
    </row>
    <row r="1158" spans="10:14" ht="15.95" customHeight="1" x14ac:dyDescent="0.25">
      <c r="J1158" s="192"/>
      <c r="K1158" s="192"/>
      <c r="L1158" s="192"/>
      <c r="M1158" s="192"/>
      <c r="N1158" s="192"/>
    </row>
    <row r="1159" spans="10:14" ht="15.95" customHeight="1" x14ac:dyDescent="0.25">
      <c r="J1159" s="192"/>
      <c r="K1159" s="192"/>
      <c r="L1159" s="192"/>
      <c r="M1159" s="192"/>
      <c r="N1159" s="192"/>
    </row>
    <row r="1160" spans="10:14" ht="15.95" customHeight="1" x14ac:dyDescent="0.25">
      <c r="J1160" s="192"/>
      <c r="K1160" s="192"/>
      <c r="L1160" s="192"/>
      <c r="M1160" s="192"/>
      <c r="N1160" s="192"/>
    </row>
    <row r="1161" spans="10:14" ht="15.95" customHeight="1" x14ac:dyDescent="0.25">
      <c r="J1161" s="192"/>
      <c r="K1161" s="192"/>
      <c r="L1161" s="192"/>
      <c r="M1161" s="192"/>
      <c r="N1161" s="192"/>
    </row>
    <row r="1162" spans="10:14" ht="15.95" customHeight="1" x14ac:dyDescent="0.25">
      <c r="J1162" s="192"/>
      <c r="K1162" s="192"/>
      <c r="L1162" s="192"/>
      <c r="M1162" s="192"/>
      <c r="N1162" s="192"/>
    </row>
    <row r="1163" spans="10:14" ht="15.95" customHeight="1" x14ac:dyDescent="0.25">
      <c r="J1163" s="192"/>
      <c r="K1163" s="192"/>
      <c r="L1163" s="192"/>
      <c r="M1163" s="192"/>
      <c r="N1163" s="192"/>
    </row>
    <row r="1164" spans="10:14" ht="15.95" customHeight="1" x14ac:dyDescent="0.25">
      <c r="J1164" s="192"/>
      <c r="K1164" s="192"/>
      <c r="L1164" s="192"/>
      <c r="M1164" s="192"/>
      <c r="N1164" s="192"/>
    </row>
    <row r="1165" spans="10:14" ht="15.95" customHeight="1" x14ac:dyDescent="0.25">
      <c r="J1165" s="192"/>
      <c r="K1165" s="192"/>
      <c r="L1165" s="192"/>
      <c r="M1165" s="192"/>
      <c r="N1165" s="192"/>
    </row>
    <row r="1166" spans="10:14" ht="15.95" customHeight="1" x14ac:dyDescent="0.25">
      <c r="J1166" s="192"/>
      <c r="K1166" s="192"/>
      <c r="L1166" s="192"/>
      <c r="M1166" s="192"/>
      <c r="N1166" s="192"/>
    </row>
    <row r="1167" spans="10:14" ht="15.95" customHeight="1" x14ac:dyDescent="0.25">
      <c r="J1167" s="192"/>
      <c r="K1167" s="192"/>
      <c r="L1167" s="192"/>
      <c r="M1167" s="192"/>
      <c r="N1167" s="192"/>
    </row>
    <row r="1168" spans="10:14" ht="15.95" customHeight="1" x14ac:dyDescent="0.25">
      <c r="J1168" s="192"/>
      <c r="K1168" s="192"/>
      <c r="L1168" s="192"/>
      <c r="M1168" s="192"/>
      <c r="N1168" s="192"/>
    </row>
    <row r="1169" spans="9:14" ht="15.95" customHeight="1" x14ac:dyDescent="0.25">
      <c r="J1169" s="192"/>
      <c r="K1169" s="192"/>
      <c r="L1169" s="192"/>
      <c r="M1169" s="192"/>
      <c r="N1169" s="192"/>
    </row>
    <row r="1170" spans="9:14" ht="15.95" customHeight="1" x14ac:dyDescent="0.25"/>
    <row r="1171" spans="9:14" ht="15.95" customHeight="1" x14ac:dyDescent="0.25"/>
    <row r="1172" spans="9:14" ht="32.1" customHeight="1" x14ac:dyDescent="0.25">
      <c r="J1172" s="235" t="str">
        <f>ComparisonData!EQ2</f>
        <v>SECTION B: OUR STAFF, SERVICES &amp; FACILITIES</v>
      </c>
      <c r="K1172" s="236"/>
      <c r="L1172" s="236"/>
      <c r="M1172" s="236"/>
      <c r="N1172" s="237"/>
    </row>
    <row r="1173" spans="9:14" ht="32.1" customHeight="1" x14ac:dyDescent="0.25">
      <c r="J1173" s="235" t="str">
        <f>ComparisonData!EQ3</f>
        <v>5. How satisfied are you with the following:</v>
      </c>
      <c r="K1173" s="236"/>
      <c r="L1173" s="236"/>
      <c r="M1173" s="236"/>
      <c r="N1173" s="237"/>
    </row>
    <row r="1174" spans="9:14" ht="32.1" customHeight="1" x14ac:dyDescent="0.25">
      <c r="J1174" s="235" t="str">
        <f>ComparisonData!EQ4</f>
        <v>Appearance / upkeep of the building</v>
      </c>
      <c r="K1174" s="236"/>
      <c r="L1174" s="236"/>
      <c r="M1174" s="236"/>
      <c r="N1174" s="237"/>
    </row>
    <row r="1175" spans="9:14" ht="32.1" customHeight="1" x14ac:dyDescent="0.25">
      <c r="J1175" s="185" t="str">
        <f>ComparisonData!EU5</f>
        <v>Very satisfied</v>
      </c>
      <c r="K1175" s="185" t="str">
        <f>ComparisonData!EV5</f>
        <v>Satisfied</v>
      </c>
      <c r="L1175" s="185" t="str">
        <f>ComparisonData!EW5</f>
        <v>Neither</v>
      </c>
      <c r="M1175" s="185" t="str">
        <f>ComparisonData!EX5</f>
        <v>Not very satisfied</v>
      </c>
      <c r="N1175" s="185" t="str">
        <f>ComparisonData!EY5</f>
        <v>Not at all satisfied</v>
      </c>
    </row>
    <row r="1176" spans="9:14" ht="15.95" customHeight="1" x14ac:dyDescent="0.25">
      <c r="I1176" s="188" t="str" cm="1">
        <f t="array" aca="1" ref="I1176" ca="1">Appearance___upkeep_of_the_building_lbl</f>
        <v>TOTAL</v>
      </c>
      <c r="J1176" s="192" cm="1">
        <f t="array" aca="1" ref="J1176" ca="1">Appearance___upkeep_of_the_building_1</f>
        <v>0.80511999999999995</v>
      </c>
      <c r="K1176" s="192" cm="1">
        <f t="array" aca="1" ref="K1176" ca="1">Appearance___upkeep_of_the_building_2</f>
        <v>0.16395999999999999</v>
      </c>
      <c r="L1176" s="192" cm="1">
        <f t="array" aca="1" ref="L1176" ca="1">Appearance___upkeep_of_the_building_3</f>
        <v>2.444E-2</v>
      </c>
      <c r="M1176" s="192" cm="1">
        <f t="array" aca="1" ref="M1176" ca="1">Appearance___upkeep_of_the_building_4</f>
        <v>4.6299999999999996E-3</v>
      </c>
      <c r="N1176" s="192" cm="1">
        <f t="array" aca="1" ref="N1176" ca="1">Appearance___upkeep_of_the_building_5</f>
        <v>1.8488321120624872E-3</v>
      </c>
    </row>
    <row r="1177" spans="9:14" ht="15.95" customHeight="1" x14ac:dyDescent="0.25">
      <c r="J1177" s="192"/>
      <c r="K1177" s="192"/>
      <c r="L1177" s="192"/>
      <c r="M1177" s="192"/>
      <c r="N1177" s="192"/>
    </row>
    <row r="1178" spans="9:14" ht="15.95" customHeight="1" x14ac:dyDescent="0.25">
      <c r="J1178" s="192"/>
      <c r="K1178" s="192"/>
      <c r="L1178" s="192"/>
      <c r="M1178" s="192"/>
      <c r="N1178" s="192"/>
    </row>
    <row r="1179" spans="9:14" ht="15.95" customHeight="1" x14ac:dyDescent="0.25">
      <c r="J1179" s="192"/>
      <c r="K1179" s="192"/>
      <c r="L1179" s="192"/>
      <c r="M1179" s="192"/>
      <c r="N1179" s="192"/>
    </row>
    <row r="1180" spans="9:14" ht="15.95" customHeight="1" x14ac:dyDescent="0.25">
      <c r="J1180" s="192"/>
      <c r="K1180" s="192"/>
      <c r="L1180" s="192"/>
      <c r="M1180" s="192"/>
      <c r="N1180" s="192"/>
    </row>
    <row r="1181" spans="9:14" ht="15.95" customHeight="1" x14ac:dyDescent="0.25">
      <c r="J1181" s="192"/>
      <c r="K1181" s="192"/>
      <c r="L1181" s="192"/>
      <c r="M1181" s="192"/>
      <c r="N1181" s="192"/>
    </row>
    <row r="1182" spans="9:14" ht="15.95" customHeight="1" x14ac:dyDescent="0.25">
      <c r="J1182" s="192"/>
      <c r="K1182" s="192"/>
      <c r="L1182" s="192"/>
      <c r="M1182" s="192"/>
      <c r="N1182" s="192"/>
    </row>
    <row r="1183" spans="9:14" ht="15.95" customHeight="1" x14ac:dyDescent="0.25">
      <c r="J1183" s="192"/>
      <c r="K1183" s="192"/>
      <c r="L1183" s="192"/>
      <c r="M1183" s="192"/>
      <c r="N1183" s="192"/>
    </row>
    <row r="1184" spans="9:14" ht="15.95" customHeight="1" x14ac:dyDescent="0.25">
      <c r="J1184" s="192"/>
      <c r="K1184" s="192"/>
      <c r="L1184" s="192"/>
      <c r="M1184" s="192"/>
      <c r="N1184" s="192"/>
    </row>
    <row r="1185" spans="10:14" ht="15.95" customHeight="1" x14ac:dyDescent="0.25">
      <c r="J1185" s="192"/>
      <c r="K1185" s="192"/>
      <c r="L1185" s="192"/>
      <c r="M1185" s="192"/>
      <c r="N1185" s="192"/>
    </row>
    <row r="1186" spans="10:14" ht="15.95" customHeight="1" x14ac:dyDescent="0.25">
      <c r="J1186" s="192"/>
      <c r="K1186" s="192"/>
      <c r="L1186" s="192"/>
      <c r="M1186" s="192"/>
      <c r="N1186" s="192"/>
    </row>
    <row r="1187" spans="10:14" ht="15.95" customHeight="1" x14ac:dyDescent="0.25">
      <c r="J1187" s="192"/>
      <c r="K1187" s="192"/>
      <c r="L1187" s="192"/>
      <c r="M1187" s="192"/>
      <c r="N1187" s="192"/>
    </row>
    <row r="1188" spans="10:14" ht="15.95" customHeight="1" x14ac:dyDescent="0.25">
      <c r="J1188" s="192"/>
      <c r="K1188" s="192"/>
      <c r="L1188" s="192"/>
      <c r="M1188" s="192"/>
      <c r="N1188" s="192"/>
    </row>
    <row r="1189" spans="10:14" ht="15.95" customHeight="1" x14ac:dyDescent="0.25">
      <c r="J1189" s="192"/>
      <c r="K1189" s="192"/>
      <c r="L1189" s="192"/>
      <c r="M1189" s="192"/>
      <c r="N1189" s="192"/>
    </row>
    <row r="1190" spans="10:14" ht="15.95" customHeight="1" x14ac:dyDescent="0.25">
      <c r="J1190" s="192"/>
      <c r="K1190" s="192"/>
      <c r="L1190" s="192"/>
      <c r="M1190" s="192"/>
      <c r="N1190" s="192"/>
    </row>
    <row r="1191" spans="10:14" ht="15.95" customHeight="1" x14ac:dyDescent="0.25">
      <c r="J1191" s="192"/>
      <c r="K1191" s="192"/>
      <c r="L1191" s="192"/>
      <c r="M1191" s="192"/>
      <c r="N1191" s="192"/>
    </row>
    <row r="1192" spans="10:14" ht="15.95" customHeight="1" x14ac:dyDescent="0.25">
      <c r="J1192" s="192"/>
      <c r="K1192" s="192"/>
      <c r="L1192" s="192"/>
      <c r="M1192" s="192"/>
      <c r="N1192" s="192"/>
    </row>
    <row r="1193" spans="10:14" ht="15.95" customHeight="1" x14ac:dyDescent="0.25">
      <c r="J1193" s="192"/>
      <c r="K1193" s="192"/>
      <c r="L1193" s="192"/>
      <c r="M1193" s="192"/>
      <c r="N1193" s="192"/>
    </row>
    <row r="1194" spans="10:14" ht="15.95" customHeight="1" x14ac:dyDescent="0.25">
      <c r="J1194" s="192"/>
      <c r="K1194" s="192"/>
      <c r="L1194" s="192"/>
      <c r="M1194" s="192"/>
      <c r="N1194" s="192"/>
    </row>
    <row r="1195" spans="10:14" ht="15.95" customHeight="1" x14ac:dyDescent="0.25">
      <c r="J1195" s="192"/>
      <c r="K1195" s="192"/>
      <c r="L1195" s="192"/>
      <c r="M1195" s="192"/>
      <c r="N1195" s="192"/>
    </row>
    <row r="1196" spans="10:14" ht="15.95" customHeight="1" x14ac:dyDescent="0.25">
      <c r="J1196" s="192"/>
      <c r="K1196" s="192"/>
      <c r="L1196" s="192"/>
      <c r="M1196" s="192"/>
      <c r="N1196" s="192"/>
    </row>
    <row r="1197" spans="10:14" ht="15.95" customHeight="1" x14ac:dyDescent="0.25">
      <c r="J1197" s="192"/>
      <c r="K1197" s="192"/>
      <c r="L1197" s="192"/>
      <c r="M1197" s="192"/>
      <c r="N1197" s="192"/>
    </row>
    <row r="1198" spans="10:14" ht="15.95" customHeight="1" x14ac:dyDescent="0.25">
      <c r="J1198" s="192"/>
      <c r="K1198" s="192"/>
      <c r="L1198" s="192"/>
      <c r="M1198" s="192"/>
      <c r="N1198" s="192"/>
    </row>
    <row r="1199" spans="10:14" ht="15.95" customHeight="1" x14ac:dyDescent="0.25">
      <c r="J1199" s="192"/>
      <c r="K1199" s="192"/>
      <c r="L1199" s="192"/>
      <c r="M1199" s="192"/>
      <c r="N1199" s="192"/>
    </row>
    <row r="1200" spans="10:14" ht="15.95" customHeight="1" x14ac:dyDescent="0.25">
      <c r="J1200" s="192"/>
      <c r="K1200" s="192"/>
      <c r="L1200" s="192"/>
      <c r="M1200" s="192"/>
      <c r="N1200" s="192"/>
    </row>
    <row r="1201" spans="10:14" ht="15.95" customHeight="1" x14ac:dyDescent="0.25">
      <c r="J1201" s="192"/>
      <c r="K1201" s="192"/>
      <c r="L1201" s="192"/>
      <c r="M1201" s="192"/>
      <c r="N1201" s="192"/>
    </row>
    <row r="1202" spans="10:14" ht="15.95" customHeight="1" x14ac:dyDescent="0.25">
      <c r="J1202" s="192"/>
      <c r="K1202" s="192"/>
      <c r="L1202" s="192"/>
      <c r="M1202" s="192"/>
      <c r="N1202" s="192"/>
    </row>
    <row r="1203" spans="10:14" ht="15.95" customHeight="1" x14ac:dyDescent="0.25">
      <c r="J1203" s="192"/>
      <c r="K1203" s="192"/>
      <c r="L1203" s="192"/>
      <c r="M1203" s="192"/>
      <c r="N1203" s="192"/>
    </row>
    <row r="1204" spans="10:14" ht="15.95" customHeight="1" x14ac:dyDescent="0.25">
      <c r="J1204" s="192"/>
      <c r="K1204" s="192"/>
      <c r="L1204" s="192"/>
      <c r="M1204" s="192"/>
      <c r="N1204" s="192"/>
    </row>
    <row r="1205" spans="10:14" ht="15.95" customHeight="1" x14ac:dyDescent="0.25">
      <c r="J1205" s="192"/>
      <c r="K1205" s="192"/>
      <c r="L1205" s="192"/>
      <c r="M1205" s="192"/>
      <c r="N1205" s="192"/>
    </row>
    <row r="1206" spans="10:14" ht="15.95" customHeight="1" x14ac:dyDescent="0.25">
      <c r="J1206" s="192"/>
      <c r="K1206" s="192"/>
      <c r="L1206" s="192"/>
      <c r="M1206" s="192"/>
      <c r="N1206" s="192"/>
    </row>
    <row r="1207" spans="10:14" ht="15.95" customHeight="1" x14ac:dyDescent="0.25">
      <c r="J1207" s="192"/>
      <c r="K1207" s="192"/>
      <c r="L1207" s="192"/>
      <c r="M1207" s="192"/>
      <c r="N1207" s="192"/>
    </row>
    <row r="1208" spans="10:14" ht="15.95" customHeight="1" x14ac:dyDescent="0.25">
      <c r="J1208" s="192"/>
      <c r="K1208" s="192"/>
      <c r="L1208" s="192"/>
      <c r="M1208" s="192"/>
      <c r="N1208" s="192"/>
    </row>
    <row r="1209" spans="10:14" ht="15.95" customHeight="1" x14ac:dyDescent="0.25">
      <c r="J1209" s="192"/>
      <c r="K1209" s="192"/>
      <c r="L1209" s="192"/>
      <c r="M1209" s="192"/>
      <c r="N1209" s="192"/>
    </row>
    <row r="1210" spans="10:14" ht="15.95" customHeight="1" x14ac:dyDescent="0.25">
      <c r="J1210" s="192"/>
      <c r="K1210" s="192"/>
      <c r="L1210" s="192"/>
      <c r="M1210" s="192"/>
      <c r="N1210" s="192"/>
    </row>
    <row r="1211" spans="10:14" ht="15.95" customHeight="1" x14ac:dyDescent="0.25">
      <c r="J1211" s="192"/>
      <c r="K1211" s="192"/>
      <c r="L1211" s="192"/>
      <c r="M1211" s="192"/>
      <c r="N1211" s="192"/>
    </row>
    <row r="1212" spans="10:14" ht="15.95" customHeight="1" x14ac:dyDescent="0.25">
      <c r="J1212" s="192"/>
      <c r="K1212" s="192"/>
      <c r="L1212" s="192"/>
      <c r="M1212" s="192"/>
      <c r="N1212" s="192"/>
    </row>
    <row r="1213" spans="10:14" ht="15.95" customHeight="1" x14ac:dyDescent="0.25">
      <c r="J1213" s="192"/>
      <c r="K1213" s="192"/>
      <c r="L1213" s="192"/>
      <c r="M1213" s="192"/>
      <c r="N1213" s="192"/>
    </row>
    <row r="1214" spans="10:14" ht="15.95" customHeight="1" x14ac:dyDescent="0.25">
      <c r="J1214" s="192"/>
      <c r="K1214" s="192"/>
      <c r="L1214" s="192"/>
      <c r="M1214" s="192"/>
      <c r="N1214" s="192"/>
    </row>
    <row r="1215" spans="10:14" ht="15.95" customHeight="1" x14ac:dyDescent="0.25">
      <c r="J1215" s="192"/>
      <c r="K1215" s="192"/>
      <c r="L1215" s="192"/>
      <c r="M1215" s="192"/>
      <c r="N1215" s="192"/>
    </row>
    <row r="1216" spans="10:14" ht="15.95" customHeight="1" x14ac:dyDescent="0.25">
      <c r="J1216" s="192"/>
      <c r="K1216" s="192"/>
      <c r="L1216" s="192"/>
      <c r="M1216" s="192"/>
      <c r="N1216" s="192"/>
    </row>
    <row r="1217" spans="10:14" ht="15.95" customHeight="1" x14ac:dyDescent="0.25">
      <c r="J1217" s="192"/>
      <c r="K1217" s="192"/>
      <c r="L1217" s="192"/>
      <c r="M1217" s="192"/>
      <c r="N1217" s="192"/>
    </row>
    <row r="1218" spans="10:14" ht="15.95" customHeight="1" x14ac:dyDescent="0.25">
      <c r="J1218" s="192"/>
      <c r="K1218" s="192"/>
      <c r="L1218" s="192"/>
      <c r="M1218" s="192"/>
      <c r="N1218" s="192"/>
    </row>
    <row r="1219" spans="10:14" ht="15.95" customHeight="1" x14ac:dyDescent="0.25">
      <c r="J1219" s="192"/>
      <c r="K1219" s="192"/>
      <c r="L1219" s="192"/>
      <c r="M1219" s="192"/>
      <c r="N1219" s="192"/>
    </row>
    <row r="1220" spans="10:14" ht="15.95" customHeight="1" x14ac:dyDescent="0.25">
      <c r="J1220" s="192"/>
      <c r="K1220" s="192"/>
      <c r="L1220" s="192"/>
      <c r="M1220" s="192"/>
      <c r="N1220" s="192"/>
    </row>
    <row r="1221" spans="10:14" ht="15.95" customHeight="1" x14ac:dyDescent="0.25">
      <c r="J1221" s="192"/>
      <c r="K1221" s="192"/>
      <c r="L1221" s="192"/>
      <c r="M1221" s="192"/>
      <c r="N1221" s="192"/>
    </row>
    <row r="1222" spans="10:14" ht="15.95" customHeight="1" x14ac:dyDescent="0.25">
      <c r="J1222" s="192"/>
      <c r="K1222" s="192"/>
      <c r="L1222" s="192"/>
      <c r="M1222" s="192"/>
      <c r="N1222" s="192"/>
    </row>
    <row r="1223" spans="10:14" ht="15.95" customHeight="1" x14ac:dyDescent="0.25">
      <c r="J1223" s="192"/>
      <c r="K1223" s="192"/>
      <c r="L1223" s="192"/>
      <c r="M1223" s="192"/>
      <c r="N1223" s="192"/>
    </row>
    <row r="1224" spans="10:14" ht="15.95" customHeight="1" x14ac:dyDescent="0.25">
      <c r="J1224" s="192"/>
      <c r="K1224" s="192"/>
      <c r="L1224" s="192"/>
      <c r="M1224" s="192"/>
      <c r="N1224" s="192"/>
    </row>
    <row r="1225" spans="10:14" ht="15.95" customHeight="1" x14ac:dyDescent="0.25">
      <c r="J1225" s="192"/>
      <c r="K1225" s="192"/>
      <c r="L1225" s="192"/>
      <c r="M1225" s="192"/>
      <c r="N1225" s="192"/>
    </row>
    <row r="1226" spans="10:14" ht="15.95" customHeight="1" x14ac:dyDescent="0.25">
      <c r="J1226" s="192"/>
      <c r="K1226" s="192"/>
      <c r="L1226" s="192"/>
      <c r="M1226" s="192"/>
      <c r="N1226" s="192"/>
    </row>
    <row r="1227" spans="10:14" ht="15.95" customHeight="1" x14ac:dyDescent="0.25">
      <c r="J1227" s="192"/>
      <c r="K1227" s="192"/>
      <c r="L1227" s="192"/>
      <c r="M1227" s="192"/>
      <c r="N1227" s="192"/>
    </row>
    <row r="1228" spans="10:14" ht="15.95" customHeight="1" x14ac:dyDescent="0.25">
      <c r="J1228" s="192"/>
      <c r="K1228" s="192"/>
      <c r="L1228" s="192"/>
      <c r="M1228" s="192"/>
      <c r="N1228" s="192"/>
    </row>
    <row r="1229" spans="10:14" ht="15.95" customHeight="1" x14ac:dyDescent="0.25">
      <c r="J1229" s="192"/>
      <c r="K1229" s="192"/>
      <c r="L1229" s="192"/>
      <c r="M1229" s="192"/>
      <c r="N1229" s="192"/>
    </row>
    <row r="1230" spans="10:14" ht="15.95" customHeight="1" x14ac:dyDescent="0.25">
      <c r="J1230" s="192"/>
      <c r="K1230" s="192"/>
      <c r="L1230" s="192"/>
      <c r="M1230" s="192"/>
      <c r="N1230" s="192"/>
    </row>
    <row r="1231" spans="10:14" ht="15.95" customHeight="1" x14ac:dyDescent="0.25">
      <c r="J1231" s="192"/>
      <c r="K1231" s="192"/>
      <c r="L1231" s="192"/>
      <c r="M1231" s="192"/>
      <c r="N1231" s="192"/>
    </row>
    <row r="1232" spans="10:14" ht="15.95" customHeight="1" x14ac:dyDescent="0.25">
      <c r="J1232" s="192"/>
      <c r="K1232" s="192"/>
      <c r="L1232" s="192"/>
      <c r="M1232" s="192"/>
      <c r="N1232" s="192"/>
    </row>
    <row r="1233" spans="10:14" ht="15.95" customHeight="1" x14ac:dyDescent="0.25">
      <c r="J1233" s="192"/>
      <c r="K1233" s="192"/>
      <c r="L1233" s="192"/>
      <c r="M1233" s="192"/>
      <c r="N1233" s="192"/>
    </row>
    <row r="1234" spans="10:14" ht="15.95" customHeight="1" x14ac:dyDescent="0.25">
      <c r="J1234" s="192"/>
      <c r="K1234" s="192"/>
      <c r="L1234" s="192"/>
      <c r="M1234" s="192"/>
      <c r="N1234" s="192"/>
    </row>
    <row r="1235" spans="10:14" ht="15.95" customHeight="1" x14ac:dyDescent="0.25">
      <c r="J1235" s="192"/>
      <c r="K1235" s="192"/>
      <c r="L1235" s="192"/>
      <c r="M1235" s="192"/>
      <c r="N1235" s="192"/>
    </row>
    <row r="1236" spans="10:14" ht="15.95" customHeight="1" x14ac:dyDescent="0.25">
      <c r="J1236" s="192"/>
      <c r="K1236" s="192"/>
      <c r="L1236" s="192"/>
      <c r="M1236" s="192"/>
      <c r="N1236" s="192"/>
    </row>
    <row r="1237" spans="10:14" ht="15.95" customHeight="1" x14ac:dyDescent="0.25">
      <c r="J1237" s="192"/>
      <c r="K1237" s="192"/>
      <c r="L1237" s="192"/>
      <c r="M1237" s="192"/>
      <c r="N1237" s="192"/>
    </row>
    <row r="1238" spans="10:14" ht="15.95" customHeight="1" x14ac:dyDescent="0.25">
      <c r="J1238" s="192"/>
      <c r="K1238" s="192"/>
      <c r="L1238" s="192"/>
      <c r="M1238" s="192"/>
      <c r="N1238" s="192"/>
    </row>
    <row r="1239" spans="10:14" ht="15.95" customHeight="1" x14ac:dyDescent="0.25">
      <c r="J1239" s="192"/>
      <c r="K1239" s="192"/>
      <c r="L1239" s="192"/>
      <c r="M1239" s="192"/>
      <c r="N1239" s="192"/>
    </row>
    <row r="1240" spans="10:14" ht="15.95" customHeight="1" x14ac:dyDescent="0.25">
      <c r="J1240" s="192"/>
      <c r="K1240" s="192"/>
      <c r="L1240" s="192"/>
      <c r="M1240" s="192"/>
      <c r="N1240" s="192"/>
    </row>
    <row r="1241" spans="10:14" ht="15.95" customHeight="1" x14ac:dyDescent="0.25">
      <c r="J1241" s="192"/>
      <c r="K1241" s="192"/>
      <c r="L1241" s="192"/>
      <c r="M1241" s="192"/>
      <c r="N1241" s="192"/>
    </row>
    <row r="1242" spans="10:14" ht="15.95" customHeight="1" x14ac:dyDescent="0.25">
      <c r="J1242" s="192"/>
      <c r="K1242" s="192"/>
      <c r="L1242" s="192"/>
      <c r="M1242" s="192"/>
      <c r="N1242" s="192"/>
    </row>
    <row r="1243" spans="10:14" ht="15.95" customHeight="1" x14ac:dyDescent="0.25">
      <c r="J1243" s="192"/>
      <c r="K1243" s="192"/>
      <c r="L1243" s="192"/>
      <c r="M1243" s="192"/>
      <c r="N1243" s="192"/>
    </row>
    <row r="1244" spans="10:14" ht="15.95" customHeight="1" x14ac:dyDescent="0.25">
      <c r="J1244" s="192"/>
      <c r="K1244" s="192"/>
      <c r="L1244" s="192"/>
      <c r="M1244" s="192"/>
      <c r="N1244" s="192"/>
    </row>
    <row r="1245" spans="10:14" ht="15.95" customHeight="1" x14ac:dyDescent="0.25">
      <c r="J1245" s="192"/>
      <c r="K1245" s="192"/>
      <c r="L1245" s="192"/>
      <c r="M1245" s="192"/>
      <c r="N1245" s="192"/>
    </row>
    <row r="1246" spans="10:14" ht="15.95" customHeight="1" x14ac:dyDescent="0.25">
      <c r="J1246" s="192"/>
      <c r="K1246" s="192"/>
      <c r="L1246" s="192"/>
      <c r="M1246" s="192"/>
      <c r="N1246" s="192"/>
    </row>
    <row r="1247" spans="10:14" ht="15.95" customHeight="1" x14ac:dyDescent="0.25">
      <c r="J1247" s="192"/>
      <c r="K1247" s="192"/>
      <c r="L1247" s="192"/>
      <c r="M1247" s="192"/>
      <c r="N1247" s="192"/>
    </row>
    <row r="1248" spans="10:14" ht="15.95" customHeight="1" x14ac:dyDescent="0.25">
      <c r="J1248" s="192"/>
      <c r="K1248" s="192"/>
      <c r="L1248" s="192"/>
      <c r="M1248" s="192"/>
      <c r="N1248" s="192"/>
    </row>
    <row r="1249" spans="10:14" ht="15.95" customHeight="1" x14ac:dyDescent="0.25">
      <c r="J1249" s="192"/>
      <c r="K1249" s="192"/>
      <c r="L1249" s="192"/>
      <c r="M1249" s="192"/>
      <c r="N1249" s="192"/>
    </row>
    <row r="1250" spans="10:14" ht="15.95" customHeight="1" x14ac:dyDescent="0.25">
      <c r="J1250" s="192"/>
      <c r="K1250" s="192"/>
      <c r="L1250" s="192"/>
      <c r="M1250" s="192"/>
      <c r="N1250" s="192"/>
    </row>
    <row r="1251" spans="10:14" ht="15.95" customHeight="1" x14ac:dyDescent="0.25">
      <c r="J1251" s="192"/>
      <c r="K1251" s="192"/>
      <c r="L1251" s="192"/>
      <c r="M1251" s="192"/>
      <c r="N1251" s="192"/>
    </row>
    <row r="1252" spans="10:14" ht="15.95" customHeight="1" x14ac:dyDescent="0.25">
      <c r="J1252" s="192"/>
      <c r="K1252" s="192"/>
      <c r="L1252" s="192"/>
      <c r="M1252" s="192"/>
      <c r="N1252" s="192"/>
    </row>
    <row r="1253" spans="10:14" ht="15.95" customHeight="1" x14ac:dyDescent="0.25">
      <c r="J1253" s="192"/>
      <c r="K1253" s="192"/>
      <c r="L1253" s="192"/>
      <c r="M1253" s="192"/>
      <c r="N1253" s="192"/>
    </row>
    <row r="1254" spans="10:14" ht="15.95" customHeight="1" x14ac:dyDescent="0.25">
      <c r="J1254" s="192"/>
      <c r="K1254" s="192"/>
      <c r="L1254" s="192"/>
      <c r="M1254" s="192"/>
      <c r="N1254" s="192"/>
    </row>
    <row r="1255" spans="10:14" ht="15.95" customHeight="1" x14ac:dyDescent="0.25">
      <c r="J1255" s="192"/>
      <c r="K1255" s="192"/>
      <c r="L1255" s="192"/>
      <c r="M1255" s="192"/>
      <c r="N1255" s="192"/>
    </row>
    <row r="1256" spans="10:14" ht="15.95" customHeight="1" x14ac:dyDescent="0.25">
      <c r="J1256" s="192"/>
      <c r="K1256" s="192"/>
      <c r="L1256" s="192"/>
      <c r="M1256" s="192"/>
      <c r="N1256" s="192"/>
    </row>
    <row r="1257" spans="10:14" ht="15.95" customHeight="1" x14ac:dyDescent="0.25">
      <c r="J1257" s="192"/>
      <c r="K1257" s="192"/>
      <c r="L1257" s="192"/>
      <c r="M1257" s="192"/>
      <c r="N1257" s="192"/>
    </row>
    <row r="1258" spans="10:14" ht="15.95" customHeight="1" x14ac:dyDescent="0.25">
      <c r="J1258" s="192"/>
      <c r="K1258" s="192"/>
      <c r="L1258" s="192"/>
      <c r="M1258" s="192"/>
      <c r="N1258" s="192"/>
    </row>
    <row r="1259" spans="10:14" ht="15.95" customHeight="1" x14ac:dyDescent="0.25">
      <c r="J1259" s="192"/>
      <c r="K1259" s="192"/>
      <c r="L1259" s="192"/>
      <c r="M1259" s="192"/>
      <c r="N1259" s="192"/>
    </row>
    <row r="1260" spans="10:14" ht="15.95" customHeight="1" x14ac:dyDescent="0.25">
      <c r="J1260" s="192"/>
      <c r="K1260" s="192"/>
      <c r="L1260" s="192"/>
      <c r="M1260" s="192"/>
      <c r="N1260" s="192"/>
    </row>
    <row r="1261" spans="10:14" ht="15.95" customHeight="1" x14ac:dyDescent="0.25">
      <c r="J1261" s="192"/>
      <c r="K1261" s="192"/>
      <c r="L1261" s="192"/>
      <c r="M1261" s="192"/>
      <c r="N1261" s="192"/>
    </row>
    <row r="1262" spans="10:14" ht="15.95" customHeight="1" x14ac:dyDescent="0.25">
      <c r="J1262" s="192"/>
      <c r="K1262" s="192"/>
      <c r="L1262" s="192"/>
      <c r="M1262" s="192"/>
      <c r="N1262" s="192"/>
    </row>
    <row r="1263" spans="10:14" ht="15.95" customHeight="1" x14ac:dyDescent="0.25">
      <c r="J1263" s="192"/>
      <c r="K1263" s="192"/>
      <c r="L1263" s="192"/>
      <c r="M1263" s="192"/>
      <c r="N1263" s="192"/>
    </row>
    <row r="1264" spans="10:14" ht="15.95" customHeight="1" x14ac:dyDescent="0.25">
      <c r="J1264" s="192"/>
      <c r="K1264" s="192"/>
      <c r="L1264" s="192"/>
      <c r="M1264" s="192"/>
      <c r="N1264" s="192"/>
    </row>
    <row r="1265" spans="10:14" ht="15.95" customHeight="1" x14ac:dyDescent="0.25">
      <c r="J1265" s="192"/>
      <c r="K1265" s="192"/>
      <c r="L1265" s="192"/>
      <c r="M1265" s="192"/>
      <c r="N1265" s="192"/>
    </row>
    <row r="1266" spans="10:14" ht="15.95" customHeight="1" x14ac:dyDescent="0.25">
      <c r="J1266" s="192"/>
      <c r="K1266" s="192"/>
      <c r="L1266" s="192"/>
      <c r="M1266" s="192"/>
      <c r="N1266" s="192"/>
    </row>
    <row r="1267" spans="10:14" ht="15.95" customHeight="1" x14ac:dyDescent="0.25">
      <c r="J1267" s="192"/>
      <c r="K1267" s="192"/>
      <c r="L1267" s="192"/>
      <c r="M1267" s="192"/>
      <c r="N1267" s="192"/>
    </row>
    <row r="1268" spans="10:14" ht="15.95" customHeight="1" x14ac:dyDescent="0.25">
      <c r="J1268" s="192"/>
      <c r="K1268" s="192"/>
      <c r="L1268" s="192"/>
      <c r="M1268" s="192"/>
      <c r="N1268" s="192"/>
    </row>
    <row r="1269" spans="10:14" ht="15.95" customHeight="1" x14ac:dyDescent="0.25">
      <c r="J1269" s="192"/>
      <c r="K1269" s="192"/>
      <c r="L1269" s="192"/>
      <c r="M1269" s="192"/>
      <c r="N1269" s="192"/>
    </row>
    <row r="1270" spans="10:14" ht="15.95" customHeight="1" x14ac:dyDescent="0.25">
      <c r="J1270" s="192"/>
      <c r="K1270" s="192"/>
      <c r="L1270" s="192"/>
      <c r="M1270" s="192"/>
      <c r="N1270" s="192"/>
    </row>
    <row r="1271" spans="10:14" ht="15.95" customHeight="1" x14ac:dyDescent="0.25">
      <c r="J1271" s="192"/>
      <c r="K1271" s="192"/>
      <c r="L1271" s="192"/>
      <c r="M1271" s="192"/>
      <c r="N1271" s="192"/>
    </row>
    <row r="1272" spans="10:14" ht="15.95" customHeight="1" x14ac:dyDescent="0.25">
      <c r="J1272" s="192"/>
      <c r="K1272" s="192"/>
      <c r="L1272" s="192"/>
      <c r="M1272" s="192"/>
      <c r="N1272" s="192"/>
    </row>
    <row r="1273" spans="10:14" ht="15.95" customHeight="1" x14ac:dyDescent="0.25">
      <c r="J1273" s="192"/>
      <c r="K1273" s="192"/>
      <c r="L1273" s="192"/>
      <c r="M1273" s="192"/>
      <c r="N1273" s="192"/>
    </row>
    <row r="1274" spans="10:14" ht="15.95" customHeight="1" x14ac:dyDescent="0.25">
      <c r="J1274" s="192"/>
      <c r="K1274" s="192"/>
      <c r="L1274" s="192"/>
      <c r="M1274" s="192"/>
      <c r="N1274" s="192"/>
    </row>
    <row r="1275" spans="10:14" ht="15.95" customHeight="1" x14ac:dyDescent="0.25">
      <c r="J1275" s="192"/>
      <c r="K1275" s="192"/>
      <c r="L1275" s="192"/>
      <c r="M1275" s="192"/>
      <c r="N1275" s="192"/>
    </row>
    <row r="1276" spans="10:14" ht="15.95" customHeight="1" x14ac:dyDescent="0.25">
      <c r="J1276" s="192"/>
      <c r="K1276" s="192"/>
      <c r="L1276" s="192"/>
      <c r="M1276" s="192"/>
      <c r="N1276" s="192"/>
    </row>
    <row r="1277" spans="10:14" ht="15.95" customHeight="1" x14ac:dyDescent="0.25">
      <c r="J1277" s="192"/>
      <c r="K1277" s="192"/>
      <c r="L1277" s="192"/>
      <c r="M1277" s="192"/>
      <c r="N1277" s="192"/>
    </row>
    <row r="1278" spans="10:14" ht="15.95" customHeight="1" x14ac:dyDescent="0.25">
      <c r="J1278" s="192"/>
      <c r="K1278" s="192"/>
      <c r="L1278" s="192"/>
      <c r="M1278" s="192"/>
      <c r="N1278" s="192"/>
    </row>
    <row r="1279" spans="10:14" ht="15.95" customHeight="1" x14ac:dyDescent="0.25">
      <c r="J1279" s="192"/>
      <c r="K1279" s="192"/>
      <c r="L1279" s="192"/>
      <c r="M1279" s="192"/>
      <c r="N1279" s="192"/>
    </row>
    <row r="1280" spans="10:14" ht="15.95" customHeight="1" x14ac:dyDescent="0.25">
      <c r="J1280" s="192"/>
      <c r="K1280" s="192"/>
      <c r="L1280" s="192"/>
      <c r="M1280" s="192"/>
      <c r="N1280" s="192"/>
    </row>
    <row r="1281" spans="9:14" ht="15.95" customHeight="1" x14ac:dyDescent="0.25">
      <c r="J1281" s="192"/>
      <c r="K1281" s="192"/>
      <c r="L1281" s="192"/>
      <c r="M1281" s="192"/>
      <c r="N1281" s="192"/>
    </row>
    <row r="1282" spans="9:14" ht="15.95" customHeight="1" x14ac:dyDescent="0.25">
      <c r="J1282" s="192"/>
      <c r="K1282" s="192"/>
      <c r="L1282" s="192"/>
      <c r="M1282" s="192"/>
      <c r="N1282" s="192"/>
    </row>
    <row r="1283" spans="9:14" ht="15.95" customHeight="1" x14ac:dyDescent="0.25">
      <c r="J1283" s="192"/>
      <c r="K1283" s="192"/>
      <c r="L1283" s="192"/>
      <c r="M1283" s="192"/>
      <c r="N1283" s="192"/>
    </row>
    <row r="1284" spans="9:14" ht="15.95" customHeight="1" x14ac:dyDescent="0.25">
      <c r="J1284" s="192"/>
      <c r="K1284" s="192"/>
      <c r="L1284" s="192"/>
      <c r="M1284" s="192"/>
      <c r="N1284" s="192"/>
    </row>
    <row r="1285" spans="9:14" ht="15.95" customHeight="1" x14ac:dyDescent="0.25">
      <c r="J1285" s="192"/>
      <c r="K1285" s="192"/>
      <c r="L1285" s="192"/>
      <c r="M1285" s="192"/>
      <c r="N1285" s="192"/>
    </row>
    <row r="1286" spans="9:14" ht="15.95" customHeight="1" x14ac:dyDescent="0.25">
      <c r="J1286" s="192"/>
      <c r="K1286" s="192"/>
      <c r="L1286" s="192"/>
      <c r="M1286" s="192"/>
      <c r="N1286" s="192"/>
    </row>
    <row r="1287" spans="9:14" ht="15.95" customHeight="1" x14ac:dyDescent="0.25">
      <c r="J1287" s="192"/>
      <c r="K1287" s="192"/>
      <c r="L1287" s="192"/>
      <c r="M1287" s="192"/>
      <c r="N1287" s="192"/>
    </row>
    <row r="1288" spans="9:14" ht="15.95" customHeight="1" x14ac:dyDescent="0.25"/>
    <row r="1289" spans="9:14" ht="15.95" customHeight="1" x14ac:dyDescent="0.25"/>
    <row r="1290" spans="9:14" ht="32.1" customHeight="1" x14ac:dyDescent="0.25">
      <c r="J1290" s="235" t="str">
        <f>ComparisonData!FH2</f>
        <v>SECTION B: OUR STAFF, SERVICES &amp; FACILITIES</v>
      </c>
      <c r="K1290" s="236"/>
      <c r="L1290" s="236"/>
      <c r="M1290" s="236"/>
      <c r="N1290" s="237"/>
    </row>
    <row r="1291" spans="9:14" ht="32.1" customHeight="1" x14ac:dyDescent="0.25">
      <c r="J1291" s="235" t="str">
        <f>ComparisonData!FH3</f>
        <v>5. How satisfied are you with the following:</v>
      </c>
      <c r="K1291" s="236"/>
      <c r="L1291" s="236"/>
      <c r="M1291" s="236"/>
      <c r="N1291" s="237"/>
    </row>
    <row r="1292" spans="9:14" ht="32.1" customHeight="1" x14ac:dyDescent="0.25">
      <c r="J1292" s="235" t="str">
        <f>ComparisonData!FH4</f>
        <v>Access to and in the building</v>
      </c>
      <c r="K1292" s="236"/>
      <c r="L1292" s="236"/>
      <c r="M1292" s="236"/>
      <c r="N1292" s="237"/>
    </row>
    <row r="1293" spans="9:14" ht="32.1" customHeight="1" x14ac:dyDescent="0.25">
      <c r="J1293" s="185" t="str">
        <f>ComparisonData!FL5</f>
        <v>Very satisfied</v>
      </c>
      <c r="K1293" s="185" t="str">
        <f>ComparisonData!FM5</f>
        <v>Satisfied</v>
      </c>
      <c r="L1293" s="185" t="str">
        <f>ComparisonData!FN5</f>
        <v>Neither</v>
      </c>
      <c r="M1293" s="185" t="str">
        <f>ComparisonData!FO5</f>
        <v>Not very satisfied</v>
      </c>
      <c r="N1293" s="185" t="str">
        <f>ComparisonData!FP5</f>
        <v>Not at all satisfied</v>
      </c>
    </row>
    <row r="1294" spans="9:14" ht="15.95" customHeight="1" x14ac:dyDescent="0.25">
      <c r="I1294" s="188" t="str" cm="1">
        <f t="array" aca="1" ref="I1294" ca="1">Access_to_and_in_the_building_lbl</f>
        <v>TOTAL</v>
      </c>
      <c r="J1294" s="192" cm="1">
        <f t="array" aca="1" ref="J1294" ca="1">Access_to_and_in_the_building_1</f>
        <v>0.85409000000000002</v>
      </c>
      <c r="K1294" s="192" cm="1">
        <f t="array" aca="1" ref="K1294" ca="1">Access_to_and_in_the_building_2</f>
        <v>0.12791</v>
      </c>
      <c r="L1294" s="192" cm="1">
        <f t="array" aca="1" ref="L1294" ca="1">Access_to_and_in_the_building_3</f>
        <v>1.2659999999999999E-2</v>
      </c>
      <c r="M1294" s="192" cm="1">
        <f t="array" aca="1" ref="M1294" ca="1">Access_to_and_in_the_building_4</f>
        <v>4.2399999999999998E-3</v>
      </c>
      <c r="N1294" s="192" cm="1">
        <f t="array" aca="1" ref="N1294" ca="1">Access_to_and_in_the_building_5</f>
        <v>1.0861417337088553E-3</v>
      </c>
    </row>
    <row r="1295" spans="9:14" ht="15.95" customHeight="1" x14ac:dyDescent="0.25">
      <c r="J1295" s="192"/>
      <c r="K1295" s="192"/>
      <c r="L1295" s="192"/>
      <c r="M1295" s="192"/>
      <c r="N1295" s="192"/>
    </row>
    <row r="1296" spans="9:14" ht="15.95" customHeight="1" x14ac:dyDescent="0.25">
      <c r="J1296" s="192"/>
      <c r="K1296" s="192"/>
      <c r="L1296" s="192"/>
      <c r="M1296" s="192"/>
      <c r="N1296" s="192"/>
    </row>
    <row r="1297" spans="10:14" ht="15.95" customHeight="1" x14ac:dyDescent="0.25">
      <c r="J1297" s="192"/>
      <c r="K1297" s="192"/>
      <c r="L1297" s="192"/>
      <c r="M1297" s="192"/>
      <c r="N1297" s="192"/>
    </row>
    <row r="1298" spans="10:14" ht="15.95" customHeight="1" x14ac:dyDescent="0.25">
      <c r="J1298" s="192"/>
      <c r="K1298" s="192"/>
      <c r="L1298" s="192"/>
      <c r="M1298" s="192"/>
      <c r="N1298" s="192"/>
    </row>
    <row r="1299" spans="10:14" ht="15.95" customHeight="1" x14ac:dyDescent="0.25">
      <c r="J1299" s="192"/>
      <c r="K1299" s="192"/>
      <c r="L1299" s="192"/>
      <c r="M1299" s="192"/>
      <c r="N1299" s="192"/>
    </row>
    <row r="1300" spans="10:14" ht="15.95" customHeight="1" x14ac:dyDescent="0.25">
      <c r="J1300" s="192"/>
      <c r="K1300" s="192"/>
      <c r="L1300" s="192"/>
      <c r="M1300" s="192"/>
      <c r="N1300" s="192"/>
    </row>
    <row r="1301" spans="10:14" ht="15.95" customHeight="1" x14ac:dyDescent="0.25">
      <c r="J1301" s="192"/>
      <c r="K1301" s="192"/>
      <c r="L1301" s="192"/>
      <c r="M1301" s="192"/>
      <c r="N1301" s="192"/>
    </row>
    <row r="1302" spans="10:14" ht="15.95" customHeight="1" x14ac:dyDescent="0.25">
      <c r="J1302" s="192"/>
      <c r="K1302" s="192"/>
      <c r="L1302" s="192"/>
      <c r="M1302" s="192"/>
      <c r="N1302" s="192"/>
    </row>
    <row r="1303" spans="10:14" ht="15.95" customHeight="1" x14ac:dyDescent="0.25">
      <c r="J1303" s="192"/>
      <c r="K1303" s="192"/>
      <c r="L1303" s="192"/>
      <c r="M1303" s="192"/>
      <c r="N1303" s="192"/>
    </row>
    <row r="1304" spans="10:14" ht="15.95" customHeight="1" x14ac:dyDescent="0.25">
      <c r="J1304" s="192"/>
      <c r="K1304" s="192"/>
      <c r="L1304" s="192"/>
      <c r="M1304" s="192"/>
      <c r="N1304" s="192"/>
    </row>
    <row r="1305" spans="10:14" ht="15.95" customHeight="1" x14ac:dyDescent="0.25">
      <c r="J1305" s="192"/>
      <c r="K1305" s="192"/>
      <c r="L1305" s="192"/>
      <c r="M1305" s="192"/>
      <c r="N1305" s="192"/>
    </row>
    <row r="1306" spans="10:14" ht="15.95" customHeight="1" x14ac:dyDescent="0.25">
      <c r="J1306" s="192"/>
      <c r="K1306" s="192"/>
      <c r="L1306" s="192"/>
      <c r="M1306" s="192"/>
      <c r="N1306" s="192"/>
    </row>
    <row r="1307" spans="10:14" ht="15.95" customHeight="1" x14ac:dyDescent="0.25">
      <c r="J1307" s="192"/>
      <c r="K1307" s="192"/>
      <c r="L1307" s="192"/>
      <c r="M1307" s="192"/>
      <c r="N1307" s="192"/>
    </row>
    <row r="1308" spans="10:14" ht="15.95" customHeight="1" x14ac:dyDescent="0.25">
      <c r="J1308" s="192"/>
      <c r="K1308" s="192"/>
      <c r="L1308" s="192"/>
      <c r="M1308" s="192"/>
      <c r="N1308" s="192"/>
    </row>
    <row r="1309" spans="10:14" ht="15.95" customHeight="1" x14ac:dyDescent="0.25">
      <c r="J1309" s="192"/>
      <c r="K1309" s="192"/>
      <c r="L1309" s="192"/>
      <c r="M1309" s="192"/>
      <c r="N1309" s="192"/>
    </row>
    <row r="1310" spans="10:14" ht="15.95" customHeight="1" x14ac:dyDescent="0.25">
      <c r="J1310" s="192"/>
      <c r="K1310" s="192"/>
      <c r="L1310" s="192"/>
      <c r="M1310" s="192"/>
      <c r="N1310" s="192"/>
    </row>
    <row r="1311" spans="10:14" ht="15.95" customHeight="1" x14ac:dyDescent="0.25">
      <c r="J1311" s="192"/>
      <c r="K1311" s="192"/>
      <c r="L1311" s="192"/>
      <c r="M1311" s="192"/>
      <c r="N1311" s="192"/>
    </row>
    <row r="1312" spans="10:14" ht="15.95" customHeight="1" x14ac:dyDescent="0.25">
      <c r="J1312" s="192"/>
      <c r="K1312" s="192"/>
      <c r="L1312" s="192"/>
      <c r="M1312" s="192"/>
      <c r="N1312" s="192"/>
    </row>
    <row r="1313" spans="10:14" ht="15.95" customHeight="1" x14ac:dyDescent="0.25">
      <c r="J1313" s="192"/>
      <c r="K1313" s="192"/>
      <c r="L1313" s="192"/>
      <c r="M1313" s="192"/>
      <c r="N1313" s="192"/>
    </row>
    <row r="1314" spans="10:14" ht="15.95" customHeight="1" x14ac:dyDescent="0.25">
      <c r="J1314" s="192"/>
      <c r="K1314" s="192"/>
      <c r="L1314" s="192"/>
      <c r="M1314" s="192"/>
      <c r="N1314" s="192"/>
    </row>
    <row r="1315" spans="10:14" ht="15.95" customHeight="1" x14ac:dyDescent="0.25">
      <c r="J1315" s="192"/>
      <c r="K1315" s="192"/>
      <c r="L1315" s="192"/>
      <c r="M1315" s="192"/>
      <c r="N1315" s="192"/>
    </row>
    <row r="1316" spans="10:14" ht="15.95" customHeight="1" x14ac:dyDescent="0.25">
      <c r="J1316" s="192"/>
      <c r="K1316" s="192"/>
      <c r="L1316" s="192"/>
      <c r="M1316" s="192"/>
      <c r="N1316" s="192"/>
    </row>
    <row r="1317" spans="10:14" ht="15.95" customHeight="1" x14ac:dyDescent="0.25">
      <c r="J1317" s="192"/>
      <c r="K1317" s="192"/>
      <c r="L1317" s="192"/>
      <c r="M1317" s="192"/>
      <c r="N1317" s="192"/>
    </row>
    <row r="1318" spans="10:14" ht="15.95" customHeight="1" x14ac:dyDescent="0.25">
      <c r="J1318" s="192"/>
      <c r="K1318" s="192"/>
      <c r="L1318" s="192"/>
      <c r="M1318" s="192"/>
      <c r="N1318" s="192"/>
    </row>
    <row r="1319" spans="10:14" ht="15.95" customHeight="1" x14ac:dyDescent="0.25">
      <c r="J1319" s="192"/>
      <c r="K1319" s="192"/>
      <c r="L1319" s="192"/>
      <c r="M1319" s="192"/>
      <c r="N1319" s="192"/>
    </row>
    <row r="1320" spans="10:14" ht="15.95" customHeight="1" x14ac:dyDescent="0.25">
      <c r="J1320" s="192"/>
      <c r="K1320" s="192"/>
      <c r="L1320" s="192"/>
      <c r="M1320" s="192"/>
      <c r="N1320" s="192"/>
    </row>
    <row r="1321" spans="10:14" ht="15.95" customHeight="1" x14ac:dyDescent="0.25">
      <c r="J1321" s="192"/>
      <c r="K1321" s="192"/>
      <c r="L1321" s="192"/>
      <c r="M1321" s="192"/>
      <c r="N1321" s="192"/>
    </row>
    <row r="1322" spans="10:14" ht="15.95" customHeight="1" x14ac:dyDescent="0.25">
      <c r="J1322" s="192"/>
      <c r="K1322" s="192"/>
      <c r="L1322" s="192"/>
      <c r="M1322" s="192"/>
      <c r="N1322" s="192"/>
    </row>
    <row r="1323" spans="10:14" ht="15.95" customHeight="1" x14ac:dyDescent="0.25">
      <c r="J1323" s="192"/>
      <c r="K1323" s="192"/>
      <c r="L1323" s="192"/>
      <c r="M1323" s="192"/>
      <c r="N1323" s="192"/>
    </row>
    <row r="1324" spans="10:14" ht="15.95" customHeight="1" x14ac:dyDescent="0.25">
      <c r="J1324" s="192"/>
      <c r="K1324" s="192"/>
      <c r="L1324" s="192"/>
      <c r="M1324" s="192"/>
      <c r="N1324" s="192"/>
    </row>
    <row r="1325" spans="10:14" ht="15.95" customHeight="1" x14ac:dyDescent="0.25">
      <c r="J1325" s="192"/>
      <c r="K1325" s="192"/>
      <c r="L1325" s="192"/>
      <c r="M1325" s="192"/>
      <c r="N1325" s="192"/>
    </row>
    <row r="1326" spans="10:14" ht="15.95" customHeight="1" x14ac:dyDescent="0.25">
      <c r="J1326" s="192"/>
      <c r="K1326" s="192"/>
      <c r="L1326" s="192"/>
      <c r="M1326" s="192"/>
      <c r="N1326" s="192"/>
    </row>
    <row r="1327" spans="10:14" ht="15.95" customHeight="1" x14ac:dyDescent="0.25">
      <c r="J1327" s="192"/>
      <c r="K1327" s="192"/>
      <c r="L1327" s="192"/>
      <c r="M1327" s="192"/>
      <c r="N1327" s="192"/>
    </row>
    <row r="1328" spans="10:14" ht="15.95" customHeight="1" x14ac:dyDescent="0.25">
      <c r="J1328" s="192"/>
      <c r="K1328" s="192"/>
      <c r="L1328" s="192"/>
      <c r="M1328" s="192"/>
      <c r="N1328" s="192"/>
    </row>
    <row r="1329" spans="10:14" ht="15.95" customHeight="1" x14ac:dyDescent="0.25">
      <c r="J1329" s="192"/>
      <c r="K1329" s="192"/>
      <c r="L1329" s="192"/>
      <c r="M1329" s="192"/>
      <c r="N1329" s="192"/>
    </row>
    <row r="1330" spans="10:14" ht="15.95" customHeight="1" x14ac:dyDescent="0.25">
      <c r="J1330" s="192"/>
      <c r="K1330" s="192"/>
      <c r="L1330" s="192"/>
      <c r="M1330" s="192"/>
      <c r="N1330" s="192"/>
    </row>
    <row r="1331" spans="10:14" ht="15.95" customHeight="1" x14ac:dyDescent="0.25">
      <c r="J1331" s="192"/>
      <c r="K1331" s="192"/>
      <c r="L1331" s="192"/>
      <c r="M1331" s="192"/>
      <c r="N1331" s="192"/>
    </row>
    <row r="1332" spans="10:14" ht="15.95" customHeight="1" x14ac:dyDescent="0.25">
      <c r="J1332" s="192"/>
      <c r="K1332" s="192"/>
      <c r="L1332" s="192"/>
      <c r="M1332" s="192"/>
      <c r="N1332" s="192"/>
    </row>
    <row r="1333" spans="10:14" ht="15.95" customHeight="1" x14ac:dyDescent="0.25">
      <c r="J1333" s="192"/>
      <c r="K1333" s="192"/>
      <c r="L1333" s="192"/>
      <c r="M1333" s="192"/>
      <c r="N1333" s="192"/>
    </row>
    <row r="1334" spans="10:14" ht="15.95" customHeight="1" x14ac:dyDescent="0.25">
      <c r="J1334" s="192"/>
      <c r="K1334" s="192"/>
      <c r="L1334" s="192"/>
      <c r="M1334" s="192"/>
      <c r="N1334" s="192"/>
    </row>
    <row r="1335" spans="10:14" ht="15.95" customHeight="1" x14ac:dyDescent="0.25">
      <c r="J1335" s="192"/>
      <c r="K1335" s="192"/>
      <c r="L1335" s="192"/>
      <c r="M1335" s="192"/>
      <c r="N1335" s="192"/>
    </row>
    <row r="1336" spans="10:14" ht="15.95" customHeight="1" x14ac:dyDescent="0.25">
      <c r="J1336" s="192"/>
      <c r="K1336" s="192"/>
      <c r="L1336" s="192"/>
      <c r="M1336" s="192"/>
      <c r="N1336" s="192"/>
    </row>
    <row r="1337" spans="10:14" ht="15.95" customHeight="1" x14ac:dyDescent="0.25">
      <c r="J1337" s="192"/>
      <c r="K1337" s="192"/>
      <c r="L1337" s="192"/>
      <c r="M1337" s="192"/>
      <c r="N1337" s="192"/>
    </row>
    <row r="1338" spans="10:14" ht="15.95" customHeight="1" x14ac:dyDescent="0.25">
      <c r="J1338" s="192"/>
      <c r="K1338" s="192"/>
      <c r="L1338" s="192"/>
      <c r="M1338" s="192"/>
      <c r="N1338" s="192"/>
    </row>
    <row r="1339" spans="10:14" ht="15.95" customHeight="1" x14ac:dyDescent="0.25">
      <c r="J1339" s="192"/>
      <c r="K1339" s="192"/>
      <c r="L1339" s="192"/>
      <c r="M1339" s="192"/>
      <c r="N1339" s="192"/>
    </row>
    <row r="1340" spans="10:14" ht="15.95" customHeight="1" x14ac:dyDescent="0.25">
      <c r="J1340" s="192"/>
      <c r="K1340" s="192"/>
      <c r="L1340" s="192"/>
      <c r="M1340" s="192"/>
      <c r="N1340" s="192"/>
    </row>
    <row r="1341" spans="10:14" ht="15.95" customHeight="1" x14ac:dyDescent="0.25">
      <c r="J1341" s="192"/>
      <c r="K1341" s="192"/>
      <c r="L1341" s="192"/>
      <c r="M1341" s="192"/>
      <c r="N1341" s="192"/>
    </row>
    <row r="1342" spans="10:14" ht="15.95" customHeight="1" x14ac:dyDescent="0.25">
      <c r="J1342" s="192"/>
      <c r="K1342" s="192"/>
      <c r="L1342" s="192"/>
      <c r="M1342" s="192"/>
      <c r="N1342" s="192"/>
    </row>
    <row r="1343" spans="10:14" ht="15.95" customHeight="1" x14ac:dyDescent="0.25">
      <c r="J1343" s="192"/>
      <c r="K1343" s="192"/>
      <c r="L1343" s="192"/>
      <c r="M1343" s="192"/>
      <c r="N1343" s="192"/>
    </row>
    <row r="1344" spans="10:14" ht="15.95" customHeight="1" x14ac:dyDescent="0.25">
      <c r="J1344" s="192"/>
      <c r="K1344" s="192"/>
      <c r="L1344" s="192"/>
      <c r="M1344" s="192"/>
      <c r="N1344" s="192"/>
    </row>
    <row r="1345" spans="10:14" ht="15.95" customHeight="1" x14ac:dyDescent="0.25">
      <c r="J1345" s="192"/>
      <c r="K1345" s="192"/>
      <c r="L1345" s="192"/>
      <c r="M1345" s="192"/>
      <c r="N1345" s="192"/>
    </row>
    <row r="1346" spans="10:14" ht="15.95" customHeight="1" x14ac:dyDescent="0.25">
      <c r="J1346" s="192"/>
      <c r="K1346" s="192"/>
      <c r="L1346" s="192"/>
      <c r="M1346" s="192"/>
      <c r="N1346" s="192"/>
    </row>
    <row r="1347" spans="10:14" ht="15.95" customHeight="1" x14ac:dyDescent="0.25">
      <c r="J1347" s="192"/>
      <c r="K1347" s="192"/>
      <c r="L1347" s="192"/>
      <c r="M1347" s="192"/>
      <c r="N1347" s="192"/>
    </row>
    <row r="1348" spans="10:14" ht="15.95" customHeight="1" x14ac:dyDescent="0.25">
      <c r="J1348" s="192"/>
      <c r="K1348" s="192"/>
      <c r="L1348" s="192"/>
      <c r="M1348" s="192"/>
      <c r="N1348" s="192"/>
    </row>
    <row r="1349" spans="10:14" ht="15.95" customHeight="1" x14ac:dyDescent="0.25">
      <c r="J1349" s="192"/>
      <c r="K1349" s="192"/>
      <c r="L1349" s="192"/>
      <c r="M1349" s="192"/>
      <c r="N1349" s="192"/>
    </row>
    <row r="1350" spans="10:14" ht="15.95" customHeight="1" x14ac:dyDescent="0.25">
      <c r="J1350" s="192"/>
      <c r="K1350" s="192"/>
      <c r="L1350" s="192"/>
      <c r="M1350" s="192"/>
      <c r="N1350" s="192"/>
    </row>
    <row r="1351" spans="10:14" ht="15.95" customHeight="1" x14ac:dyDescent="0.25">
      <c r="J1351" s="192"/>
      <c r="K1351" s="192"/>
      <c r="L1351" s="192"/>
      <c r="M1351" s="192"/>
      <c r="N1351" s="192"/>
    </row>
    <row r="1352" spans="10:14" ht="15.95" customHeight="1" x14ac:dyDescent="0.25">
      <c r="J1352" s="192"/>
      <c r="K1352" s="192"/>
      <c r="L1352" s="192"/>
      <c r="M1352" s="192"/>
      <c r="N1352" s="192"/>
    </row>
    <row r="1353" spans="10:14" ht="15.95" customHeight="1" x14ac:dyDescent="0.25">
      <c r="J1353" s="192"/>
      <c r="K1353" s="192"/>
      <c r="L1353" s="192"/>
      <c r="M1353" s="192"/>
      <c r="N1353" s="192"/>
    </row>
    <row r="1354" spans="10:14" ht="15.95" customHeight="1" x14ac:dyDescent="0.25">
      <c r="J1354" s="192"/>
      <c r="K1354" s="192"/>
      <c r="L1354" s="192"/>
      <c r="M1354" s="192"/>
      <c r="N1354" s="192"/>
    </row>
    <row r="1355" spans="10:14" ht="15.95" customHeight="1" x14ac:dyDescent="0.25">
      <c r="J1355" s="192"/>
      <c r="K1355" s="192"/>
      <c r="L1355" s="192"/>
      <c r="M1355" s="192"/>
      <c r="N1355" s="192"/>
    </row>
    <row r="1356" spans="10:14" ht="15.95" customHeight="1" x14ac:dyDescent="0.25">
      <c r="J1356" s="192"/>
      <c r="K1356" s="192"/>
      <c r="L1356" s="192"/>
      <c r="M1356" s="192"/>
      <c r="N1356" s="192"/>
    </row>
    <row r="1357" spans="10:14" ht="15.95" customHeight="1" x14ac:dyDescent="0.25">
      <c r="J1357" s="192"/>
      <c r="K1357" s="192"/>
      <c r="L1357" s="192"/>
      <c r="M1357" s="192"/>
      <c r="N1357" s="192"/>
    </row>
    <row r="1358" spans="10:14" ht="15.95" customHeight="1" x14ac:dyDescent="0.25">
      <c r="J1358" s="192"/>
      <c r="K1358" s="192"/>
      <c r="L1358" s="192"/>
      <c r="M1358" s="192"/>
      <c r="N1358" s="192"/>
    </row>
    <row r="1359" spans="10:14" ht="15.95" customHeight="1" x14ac:dyDescent="0.25">
      <c r="J1359" s="192"/>
      <c r="K1359" s="192"/>
      <c r="L1359" s="192"/>
      <c r="M1359" s="192"/>
      <c r="N1359" s="192"/>
    </row>
    <row r="1360" spans="10:14" ht="15.95" customHeight="1" x14ac:dyDescent="0.25">
      <c r="J1360" s="192"/>
      <c r="K1360" s="192"/>
      <c r="L1360" s="192"/>
      <c r="M1360" s="192"/>
      <c r="N1360" s="192"/>
    </row>
    <row r="1361" spans="10:14" ht="15.95" customHeight="1" x14ac:dyDescent="0.25">
      <c r="J1361" s="192"/>
      <c r="K1361" s="192"/>
      <c r="L1361" s="192"/>
      <c r="M1361" s="192"/>
      <c r="N1361" s="192"/>
    </row>
    <row r="1362" spans="10:14" ht="15.95" customHeight="1" x14ac:dyDescent="0.25">
      <c r="J1362" s="192"/>
      <c r="K1362" s="192"/>
      <c r="L1362" s="192"/>
      <c r="M1362" s="192"/>
      <c r="N1362" s="192"/>
    </row>
    <row r="1363" spans="10:14" ht="15.95" customHeight="1" x14ac:dyDescent="0.25">
      <c r="J1363" s="192"/>
      <c r="K1363" s="192"/>
      <c r="L1363" s="192"/>
      <c r="M1363" s="192"/>
      <c r="N1363" s="192"/>
    </row>
    <row r="1364" spans="10:14" ht="15.95" customHeight="1" x14ac:dyDescent="0.25">
      <c r="J1364" s="192"/>
      <c r="K1364" s="192"/>
      <c r="L1364" s="192"/>
      <c r="M1364" s="192"/>
      <c r="N1364" s="192"/>
    </row>
    <row r="1365" spans="10:14" ht="15.95" customHeight="1" x14ac:dyDescent="0.25">
      <c r="J1365" s="192"/>
      <c r="K1365" s="192"/>
      <c r="L1365" s="192"/>
      <c r="M1365" s="192"/>
      <c r="N1365" s="192"/>
    </row>
    <row r="1366" spans="10:14" ht="15.95" customHeight="1" x14ac:dyDescent="0.25">
      <c r="J1366" s="192"/>
      <c r="K1366" s="192"/>
      <c r="L1366" s="192"/>
      <c r="M1366" s="192"/>
      <c r="N1366" s="192"/>
    </row>
    <row r="1367" spans="10:14" ht="15.95" customHeight="1" x14ac:dyDescent="0.25">
      <c r="J1367" s="192"/>
      <c r="K1367" s="192"/>
      <c r="L1367" s="192"/>
      <c r="M1367" s="192"/>
      <c r="N1367" s="192"/>
    </row>
    <row r="1368" spans="10:14" ht="15.95" customHeight="1" x14ac:dyDescent="0.25">
      <c r="J1368" s="192"/>
      <c r="K1368" s="192"/>
      <c r="L1368" s="192"/>
      <c r="M1368" s="192"/>
      <c r="N1368" s="192"/>
    </row>
    <row r="1369" spans="10:14" ht="15.95" customHeight="1" x14ac:dyDescent="0.25">
      <c r="J1369" s="192"/>
      <c r="K1369" s="192"/>
      <c r="L1369" s="192"/>
      <c r="M1369" s="192"/>
      <c r="N1369" s="192"/>
    </row>
    <row r="1370" spans="10:14" ht="15.95" customHeight="1" x14ac:dyDescent="0.25">
      <c r="J1370" s="192"/>
      <c r="K1370" s="192"/>
      <c r="L1370" s="192"/>
      <c r="M1370" s="192"/>
      <c r="N1370" s="192"/>
    </row>
    <row r="1371" spans="10:14" ht="15.95" customHeight="1" x14ac:dyDescent="0.25">
      <c r="J1371" s="192"/>
      <c r="K1371" s="192"/>
      <c r="L1371" s="192"/>
      <c r="M1371" s="192"/>
      <c r="N1371" s="192"/>
    </row>
    <row r="1372" spans="10:14" ht="15.95" customHeight="1" x14ac:dyDescent="0.25">
      <c r="J1372" s="192"/>
      <c r="K1372" s="192"/>
      <c r="L1372" s="192"/>
      <c r="M1372" s="192"/>
      <c r="N1372" s="192"/>
    </row>
    <row r="1373" spans="10:14" ht="15.95" customHeight="1" x14ac:dyDescent="0.25">
      <c r="J1373" s="192"/>
      <c r="K1373" s="192"/>
      <c r="L1373" s="192"/>
      <c r="M1373" s="192"/>
      <c r="N1373" s="192"/>
    </row>
    <row r="1374" spans="10:14" ht="15.95" customHeight="1" x14ac:dyDescent="0.25">
      <c r="J1374" s="192"/>
      <c r="K1374" s="192"/>
      <c r="L1374" s="192"/>
      <c r="M1374" s="192"/>
      <c r="N1374" s="192"/>
    </row>
    <row r="1375" spans="10:14" ht="15.95" customHeight="1" x14ac:dyDescent="0.25">
      <c r="J1375" s="192"/>
      <c r="K1375" s="192"/>
      <c r="L1375" s="192"/>
      <c r="M1375" s="192"/>
      <c r="N1375" s="192"/>
    </row>
    <row r="1376" spans="10:14" ht="15.95" customHeight="1" x14ac:dyDescent="0.25">
      <c r="J1376" s="192"/>
      <c r="K1376" s="192"/>
      <c r="L1376" s="192"/>
      <c r="M1376" s="192"/>
      <c r="N1376" s="192"/>
    </row>
    <row r="1377" spans="10:14" ht="15.95" customHeight="1" x14ac:dyDescent="0.25">
      <c r="J1377" s="192"/>
      <c r="K1377" s="192"/>
      <c r="L1377" s="192"/>
      <c r="M1377" s="192"/>
      <c r="N1377" s="192"/>
    </row>
    <row r="1378" spans="10:14" ht="15.95" customHeight="1" x14ac:dyDescent="0.25">
      <c r="J1378" s="192"/>
      <c r="K1378" s="192"/>
      <c r="L1378" s="192"/>
      <c r="M1378" s="192"/>
      <c r="N1378" s="192"/>
    </row>
    <row r="1379" spans="10:14" ht="15.95" customHeight="1" x14ac:dyDescent="0.25">
      <c r="J1379" s="192"/>
      <c r="K1379" s="192"/>
      <c r="L1379" s="192"/>
      <c r="M1379" s="192"/>
      <c r="N1379" s="192"/>
    </row>
    <row r="1380" spans="10:14" ht="15.95" customHeight="1" x14ac:dyDescent="0.25">
      <c r="J1380" s="192"/>
      <c r="K1380" s="192"/>
      <c r="L1380" s="192"/>
      <c r="M1380" s="192"/>
      <c r="N1380" s="192"/>
    </row>
    <row r="1381" spans="10:14" ht="15.95" customHeight="1" x14ac:dyDescent="0.25">
      <c r="J1381" s="192"/>
      <c r="K1381" s="192"/>
      <c r="L1381" s="192"/>
      <c r="M1381" s="192"/>
      <c r="N1381" s="192"/>
    </row>
    <row r="1382" spans="10:14" ht="15.95" customHeight="1" x14ac:dyDescent="0.25">
      <c r="J1382" s="192"/>
      <c r="K1382" s="192"/>
      <c r="L1382" s="192"/>
      <c r="M1382" s="192"/>
      <c r="N1382" s="192"/>
    </row>
    <row r="1383" spans="10:14" ht="15.95" customHeight="1" x14ac:dyDescent="0.25">
      <c r="J1383" s="192"/>
      <c r="K1383" s="192"/>
      <c r="L1383" s="192"/>
      <c r="M1383" s="192"/>
      <c r="N1383" s="192"/>
    </row>
    <row r="1384" spans="10:14" ht="15.95" customHeight="1" x14ac:dyDescent="0.25">
      <c r="J1384" s="192"/>
      <c r="K1384" s="192"/>
      <c r="L1384" s="192"/>
      <c r="M1384" s="192"/>
      <c r="N1384" s="192"/>
    </row>
    <row r="1385" spans="10:14" ht="15.95" customHeight="1" x14ac:dyDescent="0.25">
      <c r="J1385" s="192"/>
      <c r="K1385" s="192"/>
      <c r="L1385" s="192"/>
      <c r="M1385" s="192"/>
      <c r="N1385" s="192"/>
    </row>
    <row r="1386" spans="10:14" ht="15.95" customHeight="1" x14ac:dyDescent="0.25">
      <c r="J1386" s="192"/>
      <c r="K1386" s="192"/>
      <c r="L1386" s="192"/>
      <c r="M1386" s="192"/>
      <c r="N1386" s="192"/>
    </row>
    <row r="1387" spans="10:14" ht="15.95" customHeight="1" x14ac:dyDescent="0.25">
      <c r="J1387" s="192"/>
      <c r="K1387" s="192"/>
      <c r="L1387" s="192"/>
      <c r="M1387" s="192"/>
      <c r="N1387" s="192"/>
    </row>
    <row r="1388" spans="10:14" ht="15.95" customHeight="1" x14ac:dyDescent="0.25">
      <c r="J1388" s="192"/>
      <c r="K1388" s="192"/>
      <c r="L1388" s="192"/>
      <c r="M1388" s="192"/>
      <c r="N1388" s="192"/>
    </row>
    <row r="1389" spans="10:14" ht="15.95" customHeight="1" x14ac:dyDescent="0.25">
      <c r="J1389" s="192"/>
      <c r="K1389" s="192"/>
      <c r="L1389" s="192"/>
      <c r="M1389" s="192"/>
      <c r="N1389" s="192"/>
    </row>
    <row r="1390" spans="10:14" ht="15.95" customHeight="1" x14ac:dyDescent="0.25">
      <c r="J1390" s="192"/>
      <c r="K1390" s="192"/>
      <c r="L1390" s="192"/>
      <c r="M1390" s="192"/>
      <c r="N1390" s="192"/>
    </row>
    <row r="1391" spans="10:14" ht="15.95" customHeight="1" x14ac:dyDescent="0.25">
      <c r="J1391" s="192"/>
      <c r="K1391" s="192"/>
      <c r="L1391" s="192"/>
      <c r="M1391" s="192"/>
      <c r="N1391" s="192"/>
    </row>
    <row r="1392" spans="10:14" ht="15.95" customHeight="1" x14ac:dyDescent="0.25">
      <c r="J1392" s="192"/>
      <c r="K1392" s="192"/>
      <c r="L1392" s="192"/>
      <c r="M1392" s="192"/>
      <c r="N1392" s="192"/>
    </row>
    <row r="1393" spans="10:14" ht="15.95" customHeight="1" x14ac:dyDescent="0.25">
      <c r="J1393" s="192"/>
      <c r="K1393" s="192"/>
      <c r="L1393" s="192"/>
      <c r="M1393" s="192"/>
      <c r="N1393" s="192"/>
    </row>
    <row r="1394" spans="10:14" ht="15.95" customHeight="1" x14ac:dyDescent="0.25">
      <c r="J1394" s="192"/>
      <c r="K1394" s="192"/>
      <c r="L1394" s="192"/>
      <c r="M1394" s="192"/>
      <c r="N1394" s="192"/>
    </row>
    <row r="1395" spans="10:14" ht="15.95" customHeight="1" x14ac:dyDescent="0.25">
      <c r="J1395" s="192"/>
      <c r="K1395" s="192"/>
      <c r="L1395" s="192"/>
      <c r="M1395" s="192"/>
      <c r="N1395" s="192"/>
    </row>
    <row r="1396" spans="10:14" ht="15.95" customHeight="1" x14ac:dyDescent="0.25">
      <c r="J1396" s="192"/>
      <c r="K1396" s="192"/>
      <c r="L1396" s="192"/>
      <c r="M1396" s="192"/>
      <c r="N1396" s="192"/>
    </row>
    <row r="1397" spans="10:14" ht="15.95" customHeight="1" x14ac:dyDescent="0.25">
      <c r="J1397" s="192"/>
      <c r="K1397" s="192"/>
      <c r="L1397" s="192"/>
      <c r="M1397" s="192"/>
      <c r="N1397" s="192"/>
    </row>
    <row r="1398" spans="10:14" ht="15.95" customHeight="1" x14ac:dyDescent="0.25">
      <c r="J1398" s="192"/>
      <c r="K1398" s="192"/>
      <c r="L1398" s="192"/>
      <c r="M1398" s="192"/>
      <c r="N1398" s="192"/>
    </row>
    <row r="1399" spans="10:14" ht="15.95" customHeight="1" x14ac:dyDescent="0.25">
      <c r="J1399" s="192"/>
      <c r="K1399" s="192"/>
      <c r="L1399" s="192"/>
      <c r="M1399" s="192"/>
      <c r="N1399" s="192"/>
    </row>
    <row r="1400" spans="10:14" ht="15.95" customHeight="1" x14ac:dyDescent="0.25">
      <c r="J1400" s="192"/>
      <c r="K1400" s="192"/>
      <c r="L1400" s="192"/>
      <c r="M1400" s="192"/>
      <c r="N1400" s="192"/>
    </row>
    <row r="1401" spans="10:14" ht="15.95" customHeight="1" x14ac:dyDescent="0.25">
      <c r="J1401" s="192"/>
      <c r="K1401" s="192"/>
      <c r="L1401" s="192"/>
      <c r="M1401" s="192"/>
      <c r="N1401" s="192"/>
    </row>
    <row r="1402" spans="10:14" ht="15.95" customHeight="1" x14ac:dyDescent="0.25">
      <c r="J1402" s="192"/>
      <c r="K1402" s="192"/>
      <c r="L1402" s="192"/>
      <c r="M1402" s="192"/>
      <c r="N1402" s="192"/>
    </row>
    <row r="1403" spans="10:14" ht="15.95" customHeight="1" x14ac:dyDescent="0.25">
      <c r="J1403" s="192"/>
      <c r="K1403" s="192"/>
      <c r="L1403" s="192"/>
      <c r="M1403" s="192"/>
      <c r="N1403" s="192"/>
    </row>
    <row r="1404" spans="10:14" ht="15.95" customHeight="1" x14ac:dyDescent="0.25">
      <c r="J1404" s="192"/>
      <c r="K1404" s="192"/>
      <c r="L1404" s="192"/>
      <c r="M1404" s="192"/>
      <c r="N1404" s="192"/>
    </row>
    <row r="1405" spans="10:14" ht="15.95" customHeight="1" x14ac:dyDescent="0.25">
      <c r="J1405" s="192"/>
      <c r="K1405" s="192"/>
      <c r="L1405" s="192"/>
      <c r="M1405" s="192"/>
      <c r="N1405" s="192"/>
    </row>
    <row r="1406" spans="10:14" ht="15.95" customHeight="1" x14ac:dyDescent="0.25"/>
    <row r="1407" spans="10:14" ht="15.95" customHeight="1" x14ac:dyDescent="0.25"/>
    <row r="1408" spans="10:14" ht="32.1" customHeight="1" x14ac:dyDescent="0.25">
      <c r="J1408" s="235" t="str">
        <f>ComparisonData!FY2</f>
        <v>SECTION B: OUR STAFF, SERVICES &amp; FACILITIES</v>
      </c>
      <c r="K1408" s="236"/>
      <c r="L1408" s="236"/>
      <c r="M1408" s="236"/>
      <c r="N1408" s="237"/>
    </row>
    <row r="1409" spans="9:14" ht="32.1" customHeight="1" x14ac:dyDescent="0.25">
      <c r="J1409" s="235" t="str">
        <f>ComparisonData!FY3</f>
        <v>5. How satisfied are you with the following:</v>
      </c>
      <c r="K1409" s="236"/>
      <c r="L1409" s="236"/>
      <c r="M1409" s="236"/>
      <c r="N1409" s="237"/>
    </row>
    <row r="1410" spans="9:14" ht="32.1" customHeight="1" x14ac:dyDescent="0.25">
      <c r="J1410" s="235" t="str">
        <f>ComparisonData!FY4</f>
        <v>Lockers / toilets / rest or refreshment area</v>
      </c>
      <c r="K1410" s="236"/>
      <c r="L1410" s="236"/>
      <c r="M1410" s="236"/>
      <c r="N1410" s="237"/>
    </row>
    <row r="1411" spans="9:14" ht="32.1" customHeight="1" x14ac:dyDescent="0.25">
      <c r="J1411" s="185" t="str">
        <f>ComparisonData!GC5</f>
        <v>Very satisfied</v>
      </c>
      <c r="K1411" s="185" t="str">
        <f>ComparisonData!GD5</f>
        <v>Satisfied</v>
      </c>
      <c r="L1411" s="185" t="str">
        <f>ComparisonData!GE5</f>
        <v>Neither</v>
      </c>
      <c r="M1411" s="185" t="str">
        <f>ComparisonData!GF5</f>
        <v>Not very satisfied</v>
      </c>
      <c r="N1411" s="185" t="str">
        <f>ComparisonData!GG5</f>
        <v>Not at all satisfied</v>
      </c>
    </row>
    <row r="1412" spans="9:14" ht="15.95" customHeight="1" x14ac:dyDescent="0.25">
      <c r="I1412" s="188" t="str" cm="1">
        <f t="array" aca="1" ref="I1412" ca="1">Lockers___toilets___rest_or_refreshment_area_lbl</f>
        <v>TOTAL</v>
      </c>
      <c r="J1412" s="192" cm="1">
        <f t="array" aca="1" ref="J1412" ca="1">Lockers___toilets___rest_or_refreshment_area_1</f>
        <v>0.74204999999999999</v>
      </c>
      <c r="K1412" s="192" cm="1">
        <f t="array" aca="1" ref="K1412" ca="1">Lockers___toilets___rest_or_refreshment_area_2</f>
        <v>0.20868</v>
      </c>
      <c r="L1412" s="192" cm="1">
        <f t="array" aca="1" ref="L1412" ca="1">Lockers___toilets___rest_or_refreshment_area_3</f>
        <v>2.563E-2</v>
      </c>
      <c r="M1412" s="192" cm="1">
        <f t="array" aca="1" ref="M1412" ca="1">Lockers___toilets___rest_or_refreshment_area_4</f>
        <v>1.788E-2</v>
      </c>
      <c r="N1412" s="192" cm="1">
        <f t="array" aca="1" ref="N1412" ca="1">Lockers___toilets___rest_or_refreshment_area_5</f>
        <v>5.7536071305144855E-3</v>
      </c>
    </row>
    <row r="1413" spans="9:14" ht="15.95" customHeight="1" x14ac:dyDescent="0.25">
      <c r="J1413" s="192"/>
      <c r="K1413" s="192"/>
      <c r="L1413" s="192"/>
      <c r="M1413" s="192"/>
      <c r="N1413" s="192"/>
    </row>
    <row r="1414" spans="9:14" ht="15.95" customHeight="1" x14ac:dyDescent="0.25">
      <c r="J1414" s="192"/>
      <c r="K1414" s="192"/>
      <c r="L1414" s="192"/>
      <c r="M1414" s="192"/>
      <c r="N1414" s="192"/>
    </row>
    <row r="1415" spans="9:14" ht="15.95" customHeight="1" x14ac:dyDescent="0.25">
      <c r="J1415" s="192"/>
      <c r="K1415" s="192"/>
      <c r="L1415" s="192"/>
      <c r="M1415" s="192"/>
      <c r="N1415" s="192"/>
    </row>
    <row r="1416" spans="9:14" ht="15.95" customHeight="1" x14ac:dyDescent="0.25">
      <c r="J1416" s="192"/>
      <c r="K1416" s="192"/>
      <c r="L1416" s="192"/>
      <c r="M1416" s="192"/>
      <c r="N1416" s="192"/>
    </row>
    <row r="1417" spans="9:14" ht="15.95" customHeight="1" x14ac:dyDescent="0.25">
      <c r="J1417" s="192"/>
      <c r="K1417" s="192"/>
      <c r="L1417" s="192"/>
      <c r="M1417" s="192"/>
      <c r="N1417" s="192"/>
    </row>
    <row r="1418" spans="9:14" ht="15.95" customHeight="1" x14ac:dyDescent="0.25">
      <c r="J1418" s="192"/>
      <c r="K1418" s="192"/>
      <c r="L1418" s="192"/>
      <c r="M1418" s="192"/>
      <c r="N1418" s="192"/>
    </row>
    <row r="1419" spans="9:14" ht="15.95" customHeight="1" x14ac:dyDescent="0.25">
      <c r="J1419" s="192"/>
      <c r="K1419" s="192"/>
      <c r="L1419" s="192"/>
      <c r="M1419" s="192"/>
      <c r="N1419" s="192"/>
    </row>
    <row r="1420" spans="9:14" ht="15.95" customHeight="1" x14ac:dyDescent="0.25">
      <c r="J1420" s="192"/>
      <c r="K1420" s="192"/>
      <c r="L1420" s="192"/>
      <c r="M1420" s="192"/>
      <c r="N1420" s="192"/>
    </row>
    <row r="1421" spans="9:14" ht="15.95" customHeight="1" x14ac:dyDescent="0.25">
      <c r="J1421" s="192"/>
      <c r="K1421" s="192"/>
      <c r="L1421" s="192"/>
      <c r="M1421" s="192"/>
      <c r="N1421" s="192"/>
    </row>
    <row r="1422" spans="9:14" ht="15.95" customHeight="1" x14ac:dyDescent="0.25">
      <c r="J1422" s="192"/>
      <c r="K1422" s="192"/>
      <c r="L1422" s="192"/>
      <c r="M1422" s="192"/>
      <c r="N1422" s="192"/>
    </row>
    <row r="1423" spans="9:14" ht="15.95" customHeight="1" x14ac:dyDescent="0.25">
      <c r="J1423" s="192"/>
      <c r="K1423" s="192"/>
      <c r="L1423" s="192"/>
      <c r="M1423" s="192"/>
      <c r="N1423" s="192"/>
    </row>
    <row r="1424" spans="9:14" ht="15.95" customHeight="1" x14ac:dyDescent="0.25">
      <c r="J1424" s="192"/>
      <c r="K1424" s="192"/>
      <c r="L1424" s="192"/>
      <c r="M1424" s="192"/>
      <c r="N1424" s="192"/>
    </row>
    <row r="1425" spans="10:14" ht="15.95" customHeight="1" x14ac:dyDescent="0.25">
      <c r="J1425" s="192"/>
      <c r="K1425" s="192"/>
      <c r="L1425" s="192"/>
      <c r="M1425" s="192"/>
      <c r="N1425" s="192"/>
    </row>
    <row r="1426" spans="10:14" ht="15.95" customHeight="1" x14ac:dyDescent="0.25">
      <c r="J1426" s="192"/>
      <c r="K1426" s="192"/>
      <c r="L1426" s="192"/>
      <c r="M1426" s="192"/>
      <c r="N1426" s="192"/>
    </row>
    <row r="1427" spans="10:14" ht="15.95" customHeight="1" x14ac:dyDescent="0.25">
      <c r="J1427" s="192"/>
      <c r="K1427" s="192"/>
      <c r="L1427" s="192"/>
      <c r="M1427" s="192"/>
      <c r="N1427" s="192"/>
    </row>
    <row r="1428" spans="10:14" ht="15.95" customHeight="1" x14ac:dyDescent="0.25">
      <c r="J1428" s="192"/>
      <c r="K1428" s="192"/>
      <c r="L1428" s="192"/>
      <c r="M1428" s="192"/>
      <c r="N1428" s="192"/>
    </row>
    <row r="1429" spans="10:14" ht="15.95" customHeight="1" x14ac:dyDescent="0.25">
      <c r="J1429" s="192"/>
      <c r="K1429" s="192"/>
      <c r="L1429" s="192"/>
      <c r="M1429" s="192"/>
      <c r="N1429" s="192"/>
    </row>
    <row r="1430" spans="10:14" ht="15.95" customHeight="1" x14ac:dyDescent="0.25">
      <c r="J1430" s="192"/>
      <c r="K1430" s="192"/>
      <c r="L1430" s="192"/>
      <c r="M1430" s="192"/>
      <c r="N1430" s="192"/>
    </row>
    <row r="1431" spans="10:14" ht="15.95" customHeight="1" x14ac:dyDescent="0.25">
      <c r="J1431" s="192"/>
      <c r="K1431" s="192"/>
      <c r="L1431" s="192"/>
      <c r="M1431" s="192"/>
      <c r="N1431" s="192"/>
    </row>
    <row r="1432" spans="10:14" ht="15.95" customHeight="1" x14ac:dyDescent="0.25">
      <c r="J1432" s="192"/>
      <c r="K1432" s="192"/>
      <c r="L1432" s="192"/>
      <c r="M1432" s="192"/>
      <c r="N1432" s="192"/>
    </row>
    <row r="1433" spans="10:14" ht="15.95" customHeight="1" x14ac:dyDescent="0.25">
      <c r="J1433" s="192"/>
      <c r="K1433" s="192"/>
      <c r="L1433" s="192"/>
      <c r="M1433" s="192"/>
      <c r="N1433" s="192"/>
    </row>
    <row r="1434" spans="10:14" ht="15.95" customHeight="1" x14ac:dyDescent="0.25">
      <c r="J1434" s="192"/>
      <c r="K1434" s="192"/>
      <c r="L1434" s="192"/>
      <c r="M1434" s="192"/>
      <c r="N1434" s="192"/>
    </row>
    <row r="1435" spans="10:14" ht="15.95" customHeight="1" x14ac:dyDescent="0.25">
      <c r="J1435" s="192"/>
      <c r="K1435" s="192"/>
      <c r="L1435" s="192"/>
      <c r="M1435" s="192"/>
      <c r="N1435" s="192"/>
    </row>
    <row r="1436" spans="10:14" ht="15.95" customHeight="1" x14ac:dyDescent="0.25">
      <c r="J1436" s="192"/>
      <c r="K1436" s="192"/>
      <c r="L1436" s="192"/>
      <c r="M1436" s="192"/>
      <c r="N1436" s="192"/>
    </row>
    <row r="1437" spans="10:14" ht="15.95" customHeight="1" x14ac:dyDescent="0.25">
      <c r="J1437" s="192"/>
      <c r="K1437" s="192"/>
      <c r="L1437" s="192"/>
      <c r="M1437" s="192"/>
      <c r="N1437" s="192"/>
    </row>
    <row r="1438" spans="10:14" ht="15.95" customHeight="1" x14ac:dyDescent="0.25">
      <c r="J1438" s="192"/>
      <c r="K1438" s="192"/>
      <c r="L1438" s="192"/>
      <c r="M1438" s="192"/>
      <c r="N1438" s="192"/>
    </row>
    <row r="1439" spans="10:14" ht="15.95" customHeight="1" x14ac:dyDescent="0.25">
      <c r="J1439" s="192"/>
      <c r="K1439" s="192"/>
      <c r="L1439" s="192"/>
      <c r="M1439" s="192"/>
      <c r="N1439" s="192"/>
    </row>
    <row r="1440" spans="10:14" ht="15.95" customHeight="1" x14ac:dyDescent="0.25">
      <c r="J1440" s="192"/>
      <c r="K1440" s="192"/>
      <c r="L1440" s="192"/>
      <c r="M1440" s="192"/>
      <c r="N1440" s="192"/>
    </row>
    <row r="1441" spans="10:14" ht="15.95" customHeight="1" x14ac:dyDescent="0.25">
      <c r="J1441" s="192"/>
      <c r="K1441" s="192"/>
      <c r="L1441" s="192"/>
      <c r="M1441" s="192"/>
      <c r="N1441" s="192"/>
    </row>
    <row r="1442" spans="10:14" ht="15.95" customHeight="1" x14ac:dyDescent="0.25">
      <c r="J1442" s="192"/>
      <c r="K1442" s="192"/>
      <c r="L1442" s="192"/>
      <c r="M1442" s="192"/>
      <c r="N1442" s="192"/>
    </row>
    <row r="1443" spans="10:14" ht="15.95" customHeight="1" x14ac:dyDescent="0.25">
      <c r="J1443" s="192"/>
      <c r="K1443" s="192"/>
      <c r="L1443" s="192"/>
      <c r="M1443" s="192"/>
      <c r="N1443" s="192"/>
    </row>
    <row r="1444" spans="10:14" ht="15.95" customHeight="1" x14ac:dyDescent="0.25">
      <c r="J1444" s="192"/>
      <c r="K1444" s="192"/>
      <c r="L1444" s="192"/>
      <c r="M1444" s="192"/>
      <c r="N1444" s="192"/>
    </row>
    <row r="1445" spans="10:14" ht="15.95" customHeight="1" x14ac:dyDescent="0.25">
      <c r="J1445" s="192"/>
      <c r="K1445" s="192"/>
      <c r="L1445" s="192"/>
      <c r="M1445" s="192"/>
      <c r="N1445" s="192"/>
    </row>
    <row r="1446" spans="10:14" ht="15.95" customHeight="1" x14ac:dyDescent="0.25">
      <c r="J1446" s="192"/>
      <c r="K1446" s="192"/>
      <c r="L1446" s="192"/>
      <c r="M1446" s="192"/>
      <c r="N1446" s="192"/>
    </row>
    <row r="1447" spans="10:14" ht="15.95" customHeight="1" x14ac:dyDescent="0.25">
      <c r="J1447" s="192"/>
      <c r="K1447" s="192"/>
      <c r="L1447" s="192"/>
      <c r="M1447" s="192"/>
      <c r="N1447" s="192"/>
    </row>
    <row r="1448" spans="10:14" ht="15.95" customHeight="1" x14ac:dyDescent="0.25">
      <c r="J1448" s="192"/>
      <c r="K1448" s="192"/>
      <c r="L1448" s="192"/>
      <c r="M1448" s="192"/>
      <c r="N1448" s="192"/>
    </row>
    <row r="1449" spans="10:14" ht="15.95" customHeight="1" x14ac:dyDescent="0.25">
      <c r="J1449" s="192"/>
      <c r="K1449" s="192"/>
      <c r="L1449" s="192"/>
      <c r="M1449" s="192"/>
      <c r="N1449" s="192"/>
    </row>
    <row r="1450" spans="10:14" ht="15.95" customHeight="1" x14ac:dyDescent="0.25">
      <c r="J1450" s="192"/>
      <c r="K1450" s="192"/>
      <c r="L1450" s="192"/>
      <c r="M1450" s="192"/>
      <c r="N1450" s="192"/>
    </row>
    <row r="1451" spans="10:14" ht="15.95" customHeight="1" x14ac:dyDescent="0.25">
      <c r="J1451" s="192"/>
      <c r="K1451" s="192"/>
      <c r="L1451" s="192"/>
      <c r="M1451" s="192"/>
      <c r="N1451" s="192"/>
    </row>
    <row r="1452" spans="10:14" ht="15.95" customHeight="1" x14ac:dyDescent="0.25">
      <c r="J1452" s="192"/>
      <c r="K1452" s="192"/>
      <c r="L1452" s="192"/>
      <c r="M1452" s="192"/>
      <c r="N1452" s="192"/>
    </row>
    <row r="1453" spans="10:14" ht="15.95" customHeight="1" x14ac:dyDescent="0.25">
      <c r="J1453" s="192"/>
      <c r="K1453" s="192"/>
      <c r="L1453" s="192"/>
      <c r="M1453" s="192"/>
      <c r="N1453" s="192"/>
    </row>
    <row r="1454" spans="10:14" ht="15.95" customHeight="1" x14ac:dyDescent="0.25">
      <c r="J1454" s="192"/>
      <c r="K1454" s="192"/>
      <c r="L1454" s="192"/>
      <c r="M1454" s="192"/>
      <c r="N1454" s="192"/>
    </row>
    <row r="1455" spans="10:14" ht="15.95" customHeight="1" x14ac:dyDescent="0.25">
      <c r="J1455" s="192"/>
      <c r="K1455" s="192"/>
      <c r="L1455" s="192"/>
      <c r="M1455" s="192"/>
      <c r="N1455" s="192"/>
    </row>
    <row r="1456" spans="10:14" ht="15.95" customHeight="1" x14ac:dyDescent="0.25">
      <c r="J1456" s="192"/>
      <c r="K1456" s="192"/>
      <c r="L1456" s="192"/>
      <c r="M1456" s="192"/>
      <c r="N1456" s="192"/>
    </row>
    <row r="1457" spans="10:14" ht="15.95" customHeight="1" x14ac:dyDescent="0.25">
      <c r="J1457" s="192"/>
      <c r="K1457" s="192"/>
      <c r="L1457" s="192"/>
      <c r="M1457" s="192"/>
      <c r="N1457" s="192"/>
    </row>
    <row r="1458" spans="10:14" ht="15.95" customHeight="1" x14ac:dyDescent="0.25">
      <c r="J1458" s="192"/>
      <c r="K1458" s="192"/>
      <c r="L1458" s="192"/>
      <c r="M1458" s="192"/>
      <c r="N1458" s="192"/>
    </row>
    <row r="1459" spans="10:14" ht="15.95" customHeight="1" x14ac:dyDescent="0.25">
      <c r="J1459" s="192"/>
      <c r="K1459" s="192"/>
      <c r="L1459" s="192"/>
      <c r="M1459" s="192"/>
      <c r="N1459" s="192"/>
    </row>
    <row r="1460" spans="10:14" ht="15.95" customHeight="1" x14ac:dyDescent="0.25">
      <c r="J1460" s="192"/>
      <c r="K1460" s="192"/>
      <c r="L1460" s="192"/>
      <c r="M1460" s="192"/>
      <c r="N1460" s="192"/>
    </row>
    <row r="1461" spans="10:14" ht="15.95" customHeight="1" x14ac:dyDescent="0.25">
      <c r="J1461" s="192"/>
      <c r="K1461" s="192"/>
      <c r="L1461" s="192"/>
      <c r="M1461" s="192"/>
      <c r="N1461" s="192"/>
    </row>
    <row r="1462" spans="10:14" ht="15.95" customHeight="1" x14ac:dyDescent="0.25">
      <c r="J1462" s="192"/>
      <c r="K1462" s="192"/>
      <c r="L1462" s="192"/>
      <c r="M1462" s="192"/>
      <c r="N1462" s="192"/>
    </row>
    <row r="1463" spans="10:14" ht="15.95" customHeight="1" x14ac:dyDescent="0.25">
      <c r="J1463" s="192"/>
      <c r="K1463" s="192"/>
      <c r="L1463" s="192"/>
      <c r="M1463" s="192"/>
      <c r="N1463" s="192"/>
    </row>
    <row r="1464" spans="10:14" ht="15.95" customHeight="1" x14ac:dyDescent="0.25">
      <c r="J1464" s="192"/>
      <c r="K1464" s="192"/>
      <c r="L1464" s="192"/>
      <c r="M1464" s="192"/>
      <c r="N1464" s="192"/>
    </row>
    <row r="1465" spans="10:14" ht="15.95" customHeight="1" x14ac:dyDescent="0.25">
      <c r="J1465" s="192"/>
      <c r="K1465" s="192"/>
      <c r="L1465" s="192"/>
      <c r="M1465" s="192"/>
      <c r="N1465" s="192"/>
    </row>
    <row r="1466" spans="10:14" ht="15.95" customHeight="1" x14ac:dyDescent="0.25">
      <c r="J1466" s="192"/>
      <c r="K1466" s="192"/>
      <c r="L1466" s="192"/>
      <c r="M1466" s="192"/>
      <c r="N1466" s="192"/>
    </row>
    <row r="1467" spans="10:14" ht="15.95" customHeight="1" x14ac:dyDescent="0.25">
      <c r="J1467" s="192"/>
      <c r="K1467" s="192"/>
      <c r="L1467" s="192"/>
      <c r="M1467" s="192"/>
      <c r="N1467" s="192"/>
    </row>
    <row r="1468" spans="10:14" ht="15.95" customHeight="1" x14ac:dyDescent="0.25">
      <c r="J1468" s="192"/>
      <c r="K1468" s="192"/>
      <c r="L1468" s="192"/>
      <c r="M1468" s="192"/>
      <c r="N1468" s="192"/>
    </row>
    <row r="1469" spans="10:14" ht="15.95" customHeight="1" x14ac:dyDescent="0.25">
      <c r="J1469" s="192"/>
      <c r="K1469" s="192"/>
      <c r="L1469" s="192"/>
      <c r="M1469" s="192"/>
      <c r="N1469" s="192"/>
    </row>
    <row r="1470" spans="10:14" ht="15.95" customHeight="1" x14ac:dyDescent="0.25">
      <c r="J1470" s="192"/>
      <c r="K1470" s="192"/>
      <c r="L1470" s="192"/>
      <c r="M1470" s="192"/>
      <c r="N1470" s="192"/>
    </row>
    <row r="1471" spans="10:14" ht="15.95" customHeight="1" x14ac:dyDescent="0.25">
      <c r="J1471" s="192"/>
      <c r="K1471" s="192"/>
      <c r="L1471" s="192"/>
      <c r="M1471" s="192"/>
      <c r="N1471" s="192"/>
    </row>
    <row r="1472" spans="10:14" ht="15.95" customHeight="1" x14ac:dyDescent="0.25">
      <c r="J1472" s="192"/>
      <c r="K1472" s="192"/>
      <c r="L1472" s="192"/>
      <c r="M1472" s="192"/>
      <c r="N1472" s="192"/>
    </row>
    <row r="1473" spans="10:14" ht="15.95" customHeight="1" x14ac:dyDescent="0.25">
      <c r="J1473" s="192"/>
      <c r="K1473" s="192"/>
      <c r="L1473" s="192"/>
      <c r="M1473" s="192"/>
      <c r="N1473" s="192"/>
    </row>
    <row r="1474" spans="10:14" ht="15.95" customHeight="1" x14ac:dyDescent="0.25">
      <c r="J1474" s="192"/>
      <c r="K1474" s="192"/>
      <c r="L1474" s="192"/>
      <c r="M1474" s="192"/>
      <c r="N1474" s="192"/>
    </row>
    <row r="1475" spans="10:14" ht="15.95" customHeight="1" x14ac:dyDescent="0.25">
      <c r="J1475" s="192"/>
      <c r="K1475" s="192"/>
      <c r="L1475" s="192"/>
      <c r="M1475" s="192"/>
      <c r="N1475" s="192"/>
    </row>
    <row r="1476" spans="10:14" ht="15.95" customHeight="1" x14ac:dyDescent="0.25">
      <c r="J1476" s="192"/>
      <c r="K1476" s="192"/>
      <c r="L1476" s="192"/>
      <c r="M1476" s="192"/>
      <c r="N1476" s="192"/>
    </row>
    <row r="1477" spans="10:14" ht="15.95" customHeight="1" x14ac:dyDescent="0.25">
      <c r="J1477" s="192"/>
      <c r="K1477" s="192"/>
      <c r="L1477" s="192"/>
      <c r="M1477" s="192"/>
      <c r="N1477" s="192"/>
    </row>
    <row r="1478" spans="10:14" ht="15.95" customHeight="1" x14ac:dyDescent="0.25">
      <c r="J1478" s="192"/>
      <c r="K1478" s="192"/>
      <c r="L1478" s="192"/>
      <c r="M1478" s="192"/>
      <c r="N1478" s="192"/>
    </row>
    <row r="1479" spans="10:14" ht="15.95" customHeight="1" x14ac:dyDescent="0.25">
      <c r="J1479" s="192"/>
      <c r="K1479" s="192"/>
      <c r="L1479" s="192"/>
      <c r="M1479" s="192"/>
      <c r="N1479" s="192"/>
    </row>
    <row r="1480" spans="10:14" ht="15.95" customHeight="1" x14ac:dyDescent="0.25">
      <c r="J1480" s="192"/>
      <c r="K1480" s="192"/>
      <c r="L1480" s="192"/>
      <c r="M1480" s="192"/>
      <c r="N1480" s="192"/>
    </row>
    <row r="1481" spans="10:14" ht="15.95" customHeight="1" x14ac:dyDescent="0.25">
      <c r="J1481" s="192"/>
      <c r="K1481" s="192"/>
      <c r="L1481" s="192"/>
      <c r="M1481" s="192"/>
      <c r="N1481" s="192"/>
    </row>
    <row r="1482" spans="10:14" ht="15.95" customHeight="1" x14ac:dyDescent="0.25">
      <c r="J1482" s="192"/>
      <c r="K1482" s="192"/>
      <c r="L1482" s="192"/>
      <c r="M1482" s="192"/>
      <c r="N1482" s="192"/>
    </row>
    <row r="1483" spans="10:14" ht="15.95" customHeight="1" x14ac:dyDescent="0.25">
      <c r="J1483" s="192"/>
      <c r="K1483" s="192"/>
      <c r="L1483" s="192"/>
      <c r="M1483" s="192"/>
      <c r="N1483" s="192"/>
    </row>
    <row r="1484" spans="10:14" ht="15.95" customHeight="1" x14ac:dyDescent="0.25">
      <c r="J1484" s="192"/>
      <c r="K1484" s="192"/>
      <c r="L1484" s="192"/>
      <c r="M1484" s="192"/>
      <c r="N1484" s="192"/>
    </row>
    <row r="1485" spans="10:14" ht="15.95" customHeight="1" x14ac:dyDescent="0.25">
      <c r="J1485" s="192"/>
      <c r="K1485" s="192"/>
      <c r="L1485" s="192"/>
      <c r="M1485" s="192"/>
      <c r="N1485" s="192"/>
    </row>
    <row r="1486" spans="10:14" ht="15.95" customHeight="1" x14ac:dyDescent="0.25">
      <c r="J1486" s="192"/>
      <c r="K1486" s="192"/>
      <c r="L1486" s="192"/>
      <c r="M1486" s="192"/>
      <c r="N1486" s="192"/>
    </row>
    <row r="1487" spans="10:14" ht="15.95" customHeight="1" x14ac:dyDescent="0.25">
      <c r="J1487" s="192"/>
      <c r="K1487" s="192"/>
      <c r="L1487" s="192"/>
      <c r="M1487" s="192"/>
      <c r="N1487" s="192"/>
    </row>
    <row r="1488" spans="10:14" ht="15.95" customHeight="1" x14ac:dyDescent="0.25">
      <c r="J1488" s="192"/>
      <c r="K1488" s="192"/>
      <c r="L1488" s="192"/>
      <c r="M1488" s="192"/>
      <c r="N1488" s="192"/>
    </row>
    <row r="1489" spans="10:14" ht="15.95" customHeight="1" x14ac:dyDescent="0.25">
      <c r="J1489" s="192"/>
      <c r="K1489" s="192"/>
      <c r="L1489" s="192"/>
      <c r="M1489" s="192"/>
      <c r="N1489" s="192"/>
    </row>
    <row r="1490" spans="10:14" ht="15.95" customHeight="1" x14ac:dyDescent="0.25">
      <c r="J1490" s="192"/>
      <c r="K1490" s="192"/>
      <c r="L1490" s="192"/>
      <c r="M1490" s="192"/>
      <c r="N1490" s="192"/>
    </row>
    <row r="1491" spans="10:14" ht="15.95" customHeight="1" x14ac:dyDescent="0.25">
      <c r="J1491" s="192"/>
      <c r="K1491" s="192"/>
      <c r="L1491" s="192"/>
      <c r="M1491" s="192"/>
      <c r="N1491" s="192"/>
    </row>
    <row r="1492" spans="10:14" ht="15.95" customHeight="1" x14ac:dyDescent="0.25">
      <c r="J1492" s="192"/>
      <c r="K1492" s="192"/>
      <c r="L1492" s="192"/>
      <c r="M1492" s="192"/>
      <c r="N1492" s="192"/>
    </row>
    <row r="1493" spans="10:14" ht="15.95" customHeight="1" x14ac:dyDescent="0.25">
      <c r="J1493" s="192"/>
      <c r="K1493" s="192"/>
      <c r="L1493" s="192"/>
      <c r="M1493" s="192"/>
      <c r="N1493" s="192"/>
    </row>
    <row r="1494" spans="10:14" ht="15.95" customHeight="1" x14ac:dyDescent="0.25">
      <c r="J1494" s="192"/>
      <c r="K1494" s="192"/>
      <c r="L1494" s="192"/>
      <c r="M1494" s="192"/>
      <c r="N1494" s="192"/>
    </row>
    <row r="1495" spans="10:14" ht="15.95" customHeight="1" x14ac:dyDescent="0.25">
      <c r="J1495" s="192"/>
      <c r="K1495" s="192"/>
      <c r="L1495" s="192"/>
      <c r="M1495" s="192"/>
      <c r="N1495" s="192"/>
    </row>
    <row r="1496" spans="10:14" ht="15.95" customHeight="1" x14ac:dyDescent="0.25">
      <c r="J1496" s="192"/>
      <c r="K1496" s="192"/>
      <c r="L1496" s="192"/>
      <c r="M1496" s="192"/>
      <c r="N1496" s="192"/>
    </row>
    <row r="1497" spans="10:14" ht="15.95" customHeight="1" x14ac:dyDescent="0.25">
      <c r="J1497" s="192"/>
      <c r="K1497" s="192"/>
      <c r="L1497" s="192"/>
      <c r="M1497" s="192"/>
      <c r="N1497" s="192"/>
    </row>
    <row r="1498" spans="10:14" ht="15.95" customHeight="1" x14ac:dyDescent="0.25">
      <c r="J1498" s="192"/>
      <c r="K1498" s="192"/>
      <c r="L1498" s="192"/>
      <c r="M1498" s="192"/>
      <c r="N1498" s="192"/>
    </row>
    <row r="1499" spans="10:14" ht="15.95" customHeight="1" x14ac:dyDescent="0.25">
      <c r="J1499" s="192"/>
      <c r="K1499" s="192"/>
      <c r="L1499" s="192"/>
      <c r="M1499" s="192"/>
      <c r="N1499" s="192"/>
    </row>
    <row r="1500" spans="10:14" ht="15.95" customHeight="1" x14ac:dyDescent="0.25">
      <c r="J1500" s="192"/>
      <c r="K1500" s="192"/>
      <c r="L1500" s="192"/>
      <c r="M1500" s="192"/>
      <c r="N1500" s="192"/>
    </row>
    <row r="1501" spans="10:14" ht="15.95" customHeight="1" x14ac:dyDescent="0.25">
      <c r="J1501" s="192"/>
      <c r="K1501" s="192"/>
      <c r="L1501" s="192"/>
      <c r="M1501" s="192"/>
      <c r="N1501" s="192"/>
    </row>
    <row r="1502" spans="10:14" ht="15.95" customHeight="1" x14ac:dyDescent="0.25">
      <c r="J1502" s="192"/>
      <c r="K1502" s="192"/>
      <c r="L1502" s="192"/>
      <c r="M1502" s="192"/>
      <c r="N1502" s="192"/>
    </row>
    <row r="1503" spans="10:14" ht="15.95" customHeight="1" x14ac:dyDescent="0.25">
      <c r="J1503" s="192"/>
      <c r="K1503" s="192"/>
      <c r="L1503" s="192"/>
      <c r="M1503" s="192"/>
      <c r="N1503" s="192"/>
    </row>
    <row r="1504" spans="10:14" ht="15.95" customHeight="1" x14ac:dyDescent="0.25">
      <c r="J1504" s="192"/>
      <c r="K1504" s="192"/>
      <c r="L1504" s="192"/>
      <c r="M1504" s="192"/>
      <c r="N1504" s="192"/>
    </row>
    <row r="1505" spans="10:14" ht="15.95" customHeight="1" x14ac:dyDescent="0.25">
      <c r="J1505" s="192"/>
      <c r="K1505" s="192"/>
      <c r="L1505" s="192"/>
      <c r="M1505" s="192"/>
      <c r="N1505" s="192"/>
    </row>
    <row r="1506" spans="10:14" ht="15.95" customHeight="1" x14ac:dyDescent="0.25">
      <c r="J1506" s="192"/>
      <c r="K1506" s="192"/>
      <c r="L1506" s="192"/>
      <c r="M1506" s="192"/>
      <c r="N1506" s="192"/>
    </row>
    <row r="1507" spans="10:14" ht="15.95" customHeight="1" x14ac:dyDescent="0.25">
      <c r="J1507" s="192"/>
      <c r="K1507" s="192"/>
      <c r="L1507" s="192"/>
      <c r="M1507" s="192"/>
      <c r="N1507" s="192"/>
    </row>
    <row r="1508" spans="10:14" ht="15.95" customHeight="1" x14ac:dyDescent="0.25">
      <c r="J1508" s="192"/>
      <c r="K1508" s="192"/>
      <c r="L1508" s="192"/>
      <c r="M1508" s="192"/>
      <c r="N1508" s="192"/>
    </row>
    <row r="1509" spans="10:14" ht="15.95" customHeight="1" x14ac:dyDescent="0.25">
      <c r="J1509" s="192"/>
      <c r="K1509" s="192"/>
      <c r="L1509" s="192"/>
      <c r="M1509" s="192"/>
      <c r="N1509" s="192"/>
    </row>
    <row r="1510" spans="10:14" ht="15.95" customHeight="1" x14ac:dyDescent="0.25">
      <c r="J1510" s="192"/>
      <c r="K1510" s="192"/>
      <c r="L1510" s="192"/>
      <c r="M1510" s="192"/>
      <c r="N1510" s="192"/>
    </row>
    <row r="1511" spans="10:14" ht="15.95" customHeight="1" x14ac:dyDescent="0.25">
      <c r="J1511" s="192"/>
      <c r="K1511" s="192"/>
      <c r="L1511" s="192"/>
      <c r="M1511" s="192"/>
      <c r="N1511" s="192"/>
    </row>
    <row r="1512" spans="10:14" ht="15.95" customHeight="1" x14ac:dyDescent="0.25">
      <c r="J1512" s="192"/>
      <c r="K1512" s="192"/>
      <c r="L1512" s="192"/>
      <c r="M1512" s="192"/>
      <c r="N1512" s="192"/>
    </row>
    <row r="1513" spans="10:14" ht="15.95" customHeight="1" x14ac:dyDescent="0.25">
      <c r="J1513" s="192"/>
      <c r="K1513" s="192"/>
      <c r="L1513" s="192"/>
      <c r="M1513" s="192"/>
      <c r="N1513" s="192"/>
    </row>
    <row r="1514" spans="10:14" ht="15.95" customHeight="1" x14ac:dyDescent="0.25">
      <c r="J1514" s="192"/>
      <c r="K1514" s="192"/>
      <c r="L1514" s="192"/>
      <c r="M1514" s="192"/>
      <c r="N1514" s="192"/>
    </row>
    <row r="1515" spans="10:14" ht="15.95" customHeight="1" x14ac:dyDescent="0.25">
      <c r="J1515" s="192"/>
      <c r="K1515" s="192"/>
      <c r="L1515" s="192"/>
      <c r="M1515" s="192"/>
      <c r="N1515" s="192"/>
    </row>
    <row r="1516" spans="10:14" ht="15.95" customHeight="1" x14ac:dyDescent="0.25">
      <c r="J1516" s="192"/>
      <c r="K1516" s="192"/>
      <c r="L1516" s="192"/>
      <c r="M1516" s="192"/>
      <c r="N1516" s="192"/>
    </row>
    <row r="1517" spans="10:14" ht="15.95" customHeight="1" x14ac:dyDescent="0.25">
      <c r="J1517" s="192"/>
      <c r="K1517" s="192"/>
      <c r="L1517" s="192"/>
      <c r="M1517" s="192"/>
      <c r="N1517" s="192"/>
    </row>
    <row r="1518" spans="10:14" ht="15.95" customHeight="1" x14ac:dyDescent="0.25">
      <c r="J1518" s="192"/>
      <c r="K1518" s="192"/>
      <c r="L1518" s="192"/>
      <c r="M1518" s="192"/>
      <c r="N1518" s="192"/>
    </row>
    <row r="1519" spans="10:14" ht="15.95" customHeight="1" x14ac:dyDescent="0.25">
      <c r="J1519" s="192"/>
      <c r="K1519" s="192"/>
      <c r="L1519" s="192"/>
      <c r="M1519" s="192"/>
      <c r="N1519" s="192"/>
    </row>
    <row r="1520" spans="10:14" ht="15.95" customHeight="1" x14ac:dyDescent="0.25">
      <c r="J1520" s="192"/>
      <c r="K1520" s="192"/>
      <c r="L1520" s="192"/>
      <c r="M1520" s="192"/>
      <c r="N1520" s="192"/>
    </row>
    <row r="1521" spans="9:14" ht="15.95" customHeight="1" x14ac:dyDescent="0.25">
      <c r="J1521" s="192"/>
      <c r="K1521" s="192"/>
      <c r="L1521" s="192"/>
      <c r="M1521" s="192"/>
      <c r="N1521" s="192"/>
    </row>
    <row r="1522" spans="9:14" ht="15.95" customHeight="1" x14ac:dyDescent="0.25">
      <c r="J1522" s="192"/>
      <c r="K1522" s="192"/>
      <c r="L1522" s="192"/>
      <c r="M1522" s="192"/>
      <c r="N1522" s="192"/>
    </row>
    <row r="1523" spans="9:14" ht="15.95" customHeight="1" x14ac:dyDescent="0.25">
      <c r="J1523" s="192"/>
      <c r="K1523" s="192"/>
      <c r="L1523" s="192"/>
      <c r="M1523" s="192"/>
      <c r="N1523" s="192"/>
    </row>
    <row r="1524" spans="9:14" ht="15.95" customHeight="1" x14ac:dyDescent="0.25"/>
    <row r="1525" spans="9:14" ht="15.95" customHeight="1" x14ac:dyDescent="0.25"/>
    <row r="1526" spans="9:14" ht="32.1" customHeight="1" x14ac:dyDescent="0.25">
      <c r="J1526" s="235" t="str">
        <f>ComparisonData!GP2</f>
        <v>SECTION B: OUR STAFF, SERVICES &amp; FACILITIES</v>
      </c>
      <c r="K1526" s="236"/>
      <c r="L1526" s="236"/>
      <c r="M1526" s="236"/>
      <c r="N1526" s="237"/>
    </row>
    <row r="1527" spans="9:14" ht="32.1" customHeight="1" x14ac:dyDescent="0.25">
      <c r="J1527" s="235" t="str">
        <f>ComparisonData!GP3</f>
        <v>5. How satisfied are you with the following:</v>
      </c>
      <c r="K1527" s="236"/>
      <c r="L1527" s="236"/>
      <c r="M1527" s="236"/>
      <c r="N1527" s="237"/>
    </row>
    <row r="1528" spans="9:14" ht="32.1" customHeight="1" x14ac:dyDescent="0.25">
      <c r="J1528" s="235" t="str">
        <f>ComparisonData!GP4</f>
        <v>Welcome / reception</v>
      </c>
      <c r="K1528" s="236"/>
      <c r="L1528" s="236"/>
      <c r="M1528" s="236"/>
      <c r="N1528" s="237"/>
    </row>
    <row r="1529" spans="9:14" ht="32.1" customHeight="1" x14ac:dyDescent="0.25">
      <c r="J1529" s="185" t="str">
        <f>ComparisonData!GT5</f>
        <v>Very satisfied</v>
      </c>
      <c r="K1529" s="185" t="str">
        <f>ComparisonData!GU5</f>
        <v>Satisfied</v>
      </c>
      <c r="L1529" s="185" t="str">
        <f>ComparisonData!GV5</f>
        <v>Neither</v>
      </c>
      <c r="M1529" s="185" t="str">
        <f>ComparisonData!GW5</f>
        <v>Not very satisfied</v>
      </c>
      <c r="N1529" s="185" t="str">
        <f>ComparisonData!GX5</f>
        <v>Not at all satisfied</v>
      </c>
    </row>
    <row r="1530" spans="9:14" ht="15.95" customHeight="1" x14ac:dyDescent="0.25">
      <c r="I1530" s="188" t="str" cm="1">
        <f t="array" aca="1" ref="I1530" ca="1">Welcome___reception_lbl</f>
        <v>TOTAL</v>
      </c>
      <c r="J1530" s="192" cm="1">
        <f t="array" aca="1" ref="J1530" ca="1">Welcome___reception_1</f>
        <v>0.84221999999999997</v>
      </c>
      <c r="K1530" s="192" cm="1">
        <f t="array" aca="1" ref="K1530" ca="1">Welcome___reception_2</f>
        <v>0.13314000000000001</v>
      </c>
      <c r="L1530" s="192" cm="1">
        <f t="array" aca="1" ref="L1530" ca="1">Welcome___reception_3</f>
        <v>1.77E-2</v>
      </c>
      <c r="M1530" s="192" cm="1">
        <f t="array" aca="1" ref="M1530" ca="1">Welcome___reception_4</f>
        <v>6.8500000000000002E-3</v>
      </c>
      <c r="N1530" s="192" cm="1">
        <f t="array" aca="1" ref="N1530" ca="1">Welcome___reception_5</f>
        <v>8.6741121813139601E-5</v>
      </c>
    </row>
    <row r="1531" spans="9:14" ht="15.95" customHeight="1" x14ac:dyDescent="0.25">
      <c r="J1531" s="192"/>
      <c r="K1531" s="192"/>
      <c r="L1531" s="192"/>
      <c r="M1531" s="192"/>
      <c r="N1531" s="192"/>
    </row>
    <row r="1532" spans="9:14" ht="15.95" customHeight="1" x14ac:dyDescent="0.25">
      <c r="J1532" s="192"/>
      <c r="K1532" s="192"/>
      <c r="L1532" s="192"/>
      <c r="M1532" s="192"/>
      <c r="N1532" s="192"/>
    </row>
    <row r="1533" spans="9:14" ht="15.95" customHeight="1" x14ac:dyDescent="0.25">
      <c r="J1533" s="192"/>
      <c r="K1533" s="192"/>
      <c r="L1533" s="192"/>
      <c r="M1533" s="192"/>
      <c r="N1533" s="192"/>
    </row>
    <row r="1534" spans="9:14" ht="15.95" customHeight="1" x14ac:dyDescent="0.25">
      <c r="J1534" s="192"/>
      <c r="K1534" s="192"/>
      <c r="L1534" s="192"/>
      <c r="M1534" s="192"/>
      <c r="N1534" s="192"/>
    </row>
    <row r="1535" spans="9:14" ht="15.95" customHeight="1" x14ac:dyDescent="0.25">
      <c r="J1535" s="192"/>
      <c r="K1535" s="192"/>
      <c r="L1535" s="192"/>
      <c r="M1535" s="192"/>
      <c r="N1535" s="192"/>
    </row>
    <row r="1536" spans="9:14" ht="15.95" customHeight="1" x14ac:dyDescent="0.25">
      <c r="J1536" s="192"/>
      <c r="K1536" s="192"/>
      <c r="L1536" s="192"/>
      <c r="M1536" s="192"/>
      <c r="N1536" s="192"/>
    </row>
    <row r="1537" spans="10:14" ht="15.95" customHeight="1" x14ac:dyDescent="0.25">
      <c r="J1537" s="192"/>
      <c r="K1537" s="192"/>
      <c r="L1537" s="192"/>
      <c r="M1537" s="192"/>
      <c r="N1537" s="192"/>
    </row>
    <row r="1538" spans="10:14" ht="15.95" customHeight="1" x14ac:dyDescent="0.25">
      <c r="J1538" s="192"/>
      <c r="K1538" s="192"/>
      <c r="L1538" s="192"/>
      <c r="M1538" s="192"/>
      <c r="N1538" s="192"/>
    </row>
    <row r="1539" spans="10:14" ht="15.95" customHeight="1" x14ac:dyDescent="0.25">
      <c r="J1539" s="192"/>
      <c r="K1539" s="192"/>
      <c r="L1539" s="192"/>
      <c r="M1539" s="192"/>
      <c r="N1539" s="192"/>
    </row>
    <row r="1540" spans="10:14" ht="15.95" customHeight="1" x14ac:dyDescent="0.25">
      <c r="J1540" s="192"/>
      <c r="K1540" s="192"/>
      <c r="L1540" s="192"/>
      <c r="M1540" s="192"/>
      <c r="N1540" s="192"/>
    </row>
    <row r="1541" spans="10:14" ht="15.95" customHeight="1" x14ac:dyDescent="0.25">
      <c r="J1541" s="192"/>
      <c r="K1541" s="192"/>
      <c r="L1541" s="192"/>
      <c r="M1541" s="192"/>
      <c r="N1541" s="192"/>
    </row>
    <row r="1542" spans="10:14" ht="15.95" customHeight="1" x14ac:dyDescent="0.25">
      <c r="J1542" s="192"/>
      <c r="K1542" s="192"/>
      <c r="L1542" s="192"/>
      <c r="M1542" s="192"/>
      <c r="N1542" s="192"/>
    </row>
    <row r="1543" spans="10:14" ht="15.95" customHeight="1" x14ac:dyDescent="0.25">
      <c r="J1543" s="192"/>
      <c r="K1543" s="192"/>
      <c r="L1543" s="192"/>
      <c r="M1543" s="192"/>
      <c r="N1543" s="192"/>
    </row>
    <row r="1544" spans="10:14" ht="15.95" customHeight="1" x14ac:dyDescent="0.25">
      <c r="J1544" s="192"/>
      <c r="K1544" s="192"/>
      <c r="L1544" s="192"/>
      <c r="M1544" s="192"/>
      <c r="N1544" s="192"/>
    </row>
    <row r="1545" spans="10:14" ht="15.95" customHeight="1" x14ac:dyDescent="0.25">
      <c r="J1545" s="192"/>
      <c r="K1545" s="192"/>
      <c r="L1545" s="192"/>
      <c r="M1545" s="192"/>
      <c r="N1545" s="192"/>
    </row>
    <row r="1546" spans="10:14" ht="15.95" customHeight="1" x14ac:dyDescent="0.25">
      <c r="J1546" s="192"/>
      <c r="K1546" s="192"/>
      <c r="L1546" s="192"/>
      <c r="M1546" s="192"/>
      <c r="N1546" s="192"/>
    </row>
    <row r="1547" spans="10:14" ht="15.95" customHeight="1" x14ac:dyDescent="0.25">
      <c r="J1547" s="192"/>
      <c r="K1547" s="192"/>
      <c r="L1547" s="192"/>
      <c r="M1547" s="192"/>
      <c r="N1547" s="192"/>
    </row>
    <row r="1548" spans="10:14" ht="15.95" customHeight="1" x14ac:dyDescent="0.25">
      <c r="J1548" s="192"/>
      <c r="K1548" s="192"/>
      <c r="L1548" s="192"/>
      <c r="M1548" s="192"/>
      <c r="N1548" s="192"/>
    </row>
    <row r="1549" spans="10:14" ht="15.95" customHeight="1" x14ac:dyDescent="0.25">
      <c r="J1549" s="192"/>
      <c r="K1549" s="192"/>
      <c r="L1549" s="192"/>
      <c r="M1549" s="192"/>
      <c r="N1549" s="192"/>
    </row>
    <row r="1550" spans="10:14" ht="15.95" customHeight="1" x14ac:dyDescent="0.25">
      <c r="J1550" s="192"/>
      <c r="K1550" s="192"/>
      <c r="L1550" s="192"/>
      <c r="M1550" s="192"/>
      <c r="N1550" s="192"/>
    </row>
    <row r="1551" spans="10:14" ht="15.95" customHeight="1" x14ac:dyDescent="0.25">
      <c r="J1551" s="192"/>
      <c r="K1551" s="192"/>
      <c r="L1551" s="192"/>
      <c r="M1551" s="192"/>
      <c r="N1551" s="192"/>
    </row>
    <row r="1552" spans="10:14" ht="15.95" customHeight="1" x14ac:dyDescent="0.25">
      <c r="J1552" s="192"/>
      <c r="K1552" s="192"/>
      <c r="L1552" s="192"/>
      <c r="M1552" s="192"/>
      <c r="N1552" s="192"/>
    </row>
    <row r="1553" spans="10:14" ht="15.95" customHeight="1" x14ac:dyDescent="0.25">
      <c r="J1553" s="192"/>
      <c r="K1553" s="192"/>
      <c r="L1553" s="192"/>
      <c r="M1553" s="192"/>
      <c r="N1553" s="192"/>
    </row>
    <row r="1554" spans="10:14" ht="15.95" customHeight="1" x14ac:dyDescent="0.25">
      <c r="J1554" s="192"/>
      <c r="K1554" s="192"/>
      <c r="L1554" s="192"/>
      <c r="M1554" s="192"/>
      <c r="N1554" s="192"/>
    </row>
    <row r="1555" spans="10:14" ht="15.95" customHeight="1" x14ac:dyDescent="0.25">
      <c r="J1555" s="192"/>
      <c r="K1555" s="192"/>
      <c r="L1555" s="192"/>
      <c r="M1555" s="192"/>
      <c r="N1555" s="192"/>
    </row>
    <row r="1556" spans="10:14" ht="15.95" customHeight="1" x14ac:dyDescent="0.25">
      <c r="J1556" s="192"/>
      <c r="K1556" s="192"/>
      <c r="L1556" s="192"/>
      <c r="M1556" s="192"/>
      <c r="N1556" s="192"/>
    </row>
    <row r="1557" spans="10:14" ht="15.95" customHeight="1" x14ac:dyDescent="0.25">
      <c r="J1557" s="192"/>
      <c r="K1557" s="192"/>
      <c r="L1557" s="192"/>
      <c r="M1557" s="192"/>
      <c r="N1557" s="192"/>
    </row>
    <row r="1558" spans="10:14" ht="15.95" customHeight="1" x14ac:dyDescent="0.25">
      <c r="J1558" s="192"/>
      <c r="K1558" s="192"/>
      <c r="L1558" s="192"/>
      <c r="M1558" s="192"/>
      <c r="N1558" s="192"/>
    </row>
    <row r="1559" spans="10:14" ht="15.95" customHeight="1" x14ac:dyDescent="0.25">
      <c r="J1559" s="192"/>
      <c r="K1559" s="192"/>
      <c r="L1559" s="192"/>
      <c r="M1559" s="192"/>
      <c r="N1559" s="192"/>
    </row>
    <row r="1560" spans="10:14" ht="15.95" customHeight="1" x14ac:dyDescent="0.25">
      <c r="J1560" s="192"/>
      <c r="K1560" s="192"/>
      <c r="L1560" s="192"/>
      <c r="M1560" s="192"/>
      <c r="N1560" s="192"/>
    </row>
    <row r="1561" spans="10:14" ht="15.95" customHeight="1" x14ac:dyDescent="0.25">
      <c r="J1561" s="192"/>
      <c r="K1561" s="192"/>
      <c r="L1561" s="192"/>
      <c r="M1561" s="192"/>
      <c r="N1561" s="192"/>
    </row>
    <row r="1562" spans="10:14" ht="15.95" customHeight="1" x14ac:dyDescent="0.25">
      <c r="J1562" s="192"/>
      <c r="K1562" s="192"/>
      <c r="L1562" s="192"/>
      <c r="M1562" s="192"/>
      <c r="N1562" s="192"/>
    </row>
    <row r="1563" spans="10:14" ht="15.95" customHeight="1" x14ac:dyDescent="0.25">
      <c r="J1563" s="192"/>
      <c r="K1563" s="192"/>
      <c r="L1563" s="192"/>
      <c r="M1563" s="192"/>
      <c r="N1563" s="192"/>
    </row>
    <row r="1564" spans="10:14" ht="15.95" customHeight="1" x14ac:dyDescent="0.25">
      <c r="J1564" s="192"/>
      <c r="K1564" s="192"/>
      <c r="L1564" s="192"/>
      <c r="M1564" s="192"/>
      <c r="N1564" s="192"/>
    </row>
    <row r="1565" spans="10:14" ht="15.95" customHeight="1" x14ac:dyDescent="0.25">
      <c r="J1565" s="192"/>
      <c r="K1565" s="192"/>
      <c r="L1565" s="192"/>
      <c r="M1565" s="192"/>
      <c r="N1565" s="192"/>
    </row>
    <row r="1566" spans="10:14" ht="15.95" customHeight="1" x14ac:dyDescent="0.25">
      <c r="J1566" s="192"/>
      <c r="K1566" s="192"/>
      <c r="L1566" s="192"/>
      <c r="M1566" s="192"/>
      <c r="N1566" s="192"/>
    </row>
    <row r="1567" spans="10:14" ht="15.95" customHeight="1" x14ac:dyDescent="0.25">
      <c r="J1567" s="192"/>
      <c r="K1567" s="192"/>
      <c r="L1567" s="192"/>
      <c r="M1567" s="192"/>
      <c r="N1567" s="192"/>
    </row>
    <row r="1568" spans="10:14" ht="15.95" customHeight="1" x14ac:dyDescent="0.25">
      <c r="J1568" s="192"/>
      <c r="K1568" s="192"/>
      <c r="L1568" s="192"/>
      <c r="M1568" s="192"/>
      <c r="N1568" s="192"/>
    </row>
    <row r="1569" spans="10:14" ht="15.95" customHeight="1" x14ac:dyDescent="0.25">
      <c r="J1569" s="192"/>
      <c r="K1569" s="192"/>
      <c r="L1569" s="192"/>
      <c r="M1569" s="192"/>
      <c r="N1569" s="192"/>
    </row>
    <row r="1570" spans="10:14" ht="15.95" customHeight="1" x14ac:dyDescent="0.25">
      <c r="J1570" s="192"/>
      <c r="K1570" s="192"/>
      <c r="L1570" s="192"/>
      <c r="M1570" s="192"/>
      <c r="N1570" s="192"/>
    </row>
    <row r="1571" spans="10:14" ht="15.95" customHeight="1" x14ac:dyDescent="0.25">
      <c r="J1571" s="192"/>
      <c r="K1571" s="192"/>
      <c r="L1571" s="192"/>
      <c r="M1571" s="192"/>
      <c r="N1571" s="192"/>
    </row>
    <row r="1572" spans="10:14" ht="15.95" customHeight="1" x14ac:dyDescent="0.25">
      <c r="J1572" s="192"/>
      <c r="K1572" s="192"/>
      <c r="L1572" s="192"/>
      <c r="M1572" s="192"/>
      <c r="N1572" s="192"/>
    </row>
    <row r="1573" spans="10:14" ht="15.95" customHeight="1" x14ac:dyDescent="0.25">
      <c r="J1573" s="192"/>
      <c r="K1573" s="192"/>
      <c r="L1573" s="192"/>
      <c r="M1573" s="192"/>
      <c r="N1573" s="192"/>
    </row>
    <row r="1574" spans="10:14" ht="15.95" customHeight="1" x14ac:dyDescent="0.25">
      <c r="J1574" s="192"/>
      <c r="K1574" s="192"/>
      <c r="L1574" s="192"/>
      <c r="M1574" s="192"/>
      <c r="N1574" s="192"/>
    </row>
    <row r="1575" spans="10:14" ht="15.95" customHeight="1" x14ac:dyDescent="0.25">
      <c r="J1575" s="192"/>
      <c r="K1575" s="192"/>
      <c r="L1575" s="192"/>
      <c r="M1575" s="192"/>
      <c r="N1575" s="192"/>
    </row>
    <row r="1576" spans="10:14" ht="15.95" customHeight="1" x14ac:dyDescent="0.25">
      <c r="J1576" s="192"/>
      <c r="K1576" s="192"/>
      <c r="L1576" s="192"/>
      <c r="M1576" s="192"/>
      <c r="N1576" s="192"/>
    </row>
    <row r="1577" spans="10:14" ht="15.95" customHeight="1" x14ac:dyDescent="0.25">
      <c r="J1577" s="192"/>
      <c r="K1577" s="192"/>
      <c r="L1577" s="192"/>
      <c r="M1577" s="192"/>
      <c r="N1577" s="192"/>
    </row>
    <row r="1578" spans="10:14" ht="15.95" customHeight="1" x14ac:dyDescent="0.25">
      <c r="J1578" s="192"/>
      <c r="K1578" s="192"/>
      <c r="L1578" s="192"/>
      <c r="M1578" s="192"/>
      <c r="N1578" s="192"/>
    </row>
    <row r="1579" spans="10:14" ht="15.95" customHeight="1" x14ac:dyDescent="0.25">
      <c r="J1579" s="192"/>
      <c r="K1579" s="192"/>
      <c r="L1579" s="192"/>
      <c r="M1579" s="192"/>
      <c r="N1579" s="192"/>
    </row>
    <row r="1580" spans="10:14" ht="15.95" customHeight="1" x14ac:dyDescent="0.25">
      <c r="J1580" s="192"/>
      <c r="K1580" s="192"/>
      <c r="L1580" s="192"/>
      <c r="M1580" s="192"/>
      <c r="N1580" s="192"/>
    </row>
    <row r="1581" spans="10:14" ht="15.95" customHeight="1" x14ac:dyDescent="0.25">
      <c r="J1581" s="192"/>
      <c r="K1581" s="192"/>
      <c r="L1581" s="192"/>
      <c r="M1581" s="192"/>
      <c r="N1581" s="192"/>
    </row>
    <row r="1582" spans="10:14" ht="15.95" customHeight="1" x14ac:dyDescent="0.25">
      <c r="J1582" s="192"/>
      <c r="K1582" s="192"/>
      <c r="L1582" s="192"/>
      <c r="M1582" s="192"/>
      <c r="N1582" s="192"/>
    </row>
    <row r="1583" spans="10:14" ht="15.95" customHeight="1" x14ac:dyDescent="0.25">
      <c r="J1583" s="192"/>
      <c r="K1583" s="192"/>
      <c r="L1583" s="192"/>
      <c r="M1583" s="192"/>
      <c r="N1583" s="192"/>
    </row>
    <row r="1584" spans="10:14" ht="15.95" customHeight="1" x14ac:dyDescent="0.25">
      <c r="J1584" s="192"/>
      <c r="K1584" s="192"/>
      <c r="L1584" s="192"/>
      <c r="M1584" s="192"/>
      <c r="N1584" s="192"/>
    </row>
    <row r="1585" spans="10:14" ht="15.95" customHeight="1" x14ac:dyDescent="0.25">
      <c r="J1585" s="192"/>
      <c r="K1585" s="192"/>
      <c r="L1585" s="192"/>
      <c r="M1585" s="192"/>
      <c r="N1585" s="192"/>
    </row>
    <row r="1586" spans="10:14" ht="15.95" customHeight="1" x14ac:dyDescent="0.25">
      <c r="J1586" s="192"/>
      <c r="K1586" s="192"/>
      <c r="L1586" s="192"/>
      <c r="M1586" s="192"/>
      <c r="N1586" s="192"/>
    </row>
    <row r="1587" spans="10:14" ht="15.95" customHeight="1" x14ac:dyDescent="0.25">
      <c r="J1587" s="192"/>
      <c r="K1587" s="192"/>
      <c r="L1587" s="192"/>
      <c r="M1587" s="192"/>
      <c r="N1587" s="192"/>
    </row>
    <row r="1588" spans="10:14" ht="15.95" customHeight="1" x14ac:dyDescent="0.25">
      <c r="J1588" s="192"/>
      <c r="K1588" s="192"/>
      <c r="L1588" s="192"/>
      <c r="M1588" s="192"/>
      <c r="N1588" s="192"/>
    </row>
    <row r="1589" spans="10:14" ht="15.95" customHeight="1" x14ac:dyDescent="0.25">
      <c r="J1589" s="192"/>
      <c r="K1589" s="192"/>
      <c r="L1589" s="192"/>
      <c r="M1589" s="192"/>
      <c r="N1589" s="192"/>
    </row>
    <row r="1590" spans="10:14" ht="15.95" customHeight="1" x14ac:dyDescent="0.25">
      <c r="J1590" s="192"/>
      <c r="K1590" s="192"/>
      <c r="L1590" s="192"/>
      <c r="M1590" s="192"/>
      <c r="N1590" s="192"/>
    </row>
    <row r="1591" spans="10:14" ht="15.95" customHeight="1" x14ac:dyDescent="0.25">
      <c r="J1591" s="192"/>
      <c r="K1591" s="192"/>
      <c r="L1591" s="192"/>
      <c r="M1591" s="192"/>
      <c r="N1591" s="192"/>
    </row>
    <row r="1592" spans="10:14" ht="15.95" customHeight="1" x14ac:dyDescent="0.25">
      <c r="J1592" s="192"/>
      <c r="K1592" s="192"/>
      <c r="L1592" s="192"/>
      <c r="M1592" s="192"/>
      <c r="N1592" s="192"/>
    </row>
    <row r="1593" spans="10:14" ht="15.95" customHeight="1" x14ac:dyDescent="0.25">
      <c r="J1593" s="192"/>
      <c r="K1593" s="192"/>
      <c r="L1593" s="192"/>
      <c r="M1593" s="192"/>
      <c r="N1593" s="192"/>
    </row>
    <row r="1594" spans="10:14" ht="15.95" customHeight="1" x14ac:dyDescent="0.25">
      <c r="J1594" s="192"/>
      <c r="K1594" s="192"/>
      <c r="L1594" s="192"/>
      <c r="M1594" s="192"/>
      <c r="N1594" s="192"/>
    </row>
    <row r="1595" spans="10:14" ht="15.95" customHeight="1" x14ac:dyDescent="0.25">
      <c r="J1595" s="192"/>
      <c r="K1595" s="192"/>
      <c r="L1595" s="192"/>
      <c r="M1595" s="192"/>
      <c r="N1595" s="192"/>
    </row>
    <row r="1596" spans="10:14" ht="15.95" customHeight="1" x14ac:dyDescent="0.25">
      <c r="J1596" s="192"/>
      <c r="K1596" s="192"/>
      <c r="L1596" s="192"/>
      <c r="M1596" s="192"/>
      <c r="N1596" s="192"/>
    </row>
    <row r="1597" spans="10:14" ht="15.95" customHeight="1" x14ac:dyDescent="0.25">
      <c r="J1597" s="192"/>
      <c r="K1597" s="192"/>
      <c r="L1597" s="192"/>
      <c r="M1597" s="192"/>
      <c r="N1597" s="192"/>
    </row>
    <row r="1598" spans="10:14" ht="15.95" customHeight="1" x14ac:dyDescent="0.25">
      <c r="J1598" s="192"/>
      <c r="K1598" s="192"/>
      <c r="L1598" s="192"/>
      <c r="M1598" s="192"/>
      <c r="N1598" s="192"/>
    </row>
    <row r="1599" spans="10:14" ht="15.95" customHeight="1" x14ac:dyDescent="0.25">
      <c r="J1599" s="192"/>
      <c r="K1599" s="192"/>
      <c r="L1599" s="192"/>
      <c r="M1599" s="192"/>
      <c r="N1599" s="192"/>
    </row>
    <row r="1600" spans="10:14" ht="15.95" customHeight="1" x14ac:dyDescent="0.25">
      <c r="J1600" s="192"/>
      <c r="K1600" s="192"/>
      <c r="L1600" s="192"/>
      <c r="M1600" s="192"/>
      <c r="N1600" s="192"/>
    </row>
    <row r="1601" spans="10:14" ht="15.95" customHeight="1" x14ac:dyDescent="0.25">
      <c r="J1601" s="192"/>
      <c r="K1601" s="192"/>
      <c r="L1601" s="192"/>
      <c r="M1601" s="192"/>
      <c r="N1601" s="192"/>
    </row>
    <row r="1602" spans="10:14" ht="15.95" customHeight="1" x14ac:dyDescent="0.25">
      <c r="J1602" s="192"/>
      <c r="K1602" s="192"/>
      <c r="L1602" s="192"/>
      <c r="M1602" s="192"/>
      <c r="N1602" s="192"/>
    </row>
    <row r="1603" spans="10:14" ht="15.95" customHeight="1" x14ac:dyDescent="0.25">
      <c r="J1603" s="192"/>
      <c r="K1603" s="192"/>
      <c r="L1603" s="192"/>
      <c r="M1603" s="192"/>
      <c r="N1603" s="192"/>
    </row>
    <row r="1604" spans="10:14" ht="15.95" customHeight="1" x14ac:dyDescent="0.25">
      <c r="J1604" s="192"/>
      <c r="K1604" s="192"/>
      <c r="L1604" s="192"/>
      <c r="M1604" s="192"/>
      <c r="N1604" s="192"/>
    </row>
    <row r="1605" spans="10:14" ht="15.95" customHeight="1" x14ac:dyDescent="0.25">
      <c r="J1605" s="192"/>
      <c r="K1605" s="192"/>
      <c r="L1605" s="192"/>
      <c r="M1605" s="192"/>
      <c r="N1605" s="192"/>
    </row>
    <row r="1606" spans="10:14" ht="15.95" customHeight="1" x14ac:dyDescent="0.25">
      <c r="J1606" s="192"/>
      <c r="K1606" s="192"/>
      <c r="L1606" s="192"/>
      <c r="M1606" s="192"/>
      <c r="N1606" s="192"/>
    </row>
    <row r="1607" spans="10:14" ht="15.95" customHeight="1" x14ac:dyDescent="0.25">
      <c r="J1607" s="192"/>
      <c r="K1607" s="192"/>
      <c r="L1607" s="192"/>
      <c r="M1607" s="192"/>
      <c r="N1607" s="192"/>
    </row>
    <row r="1608" spans="10:14" ht="15.95" customHeight="1" x14ac:dyDescent="0.25">
      <c r="J1608" s="192"/>
      <c r="K1608" s="192"/>
      <c r="L1608" s="192"/>
      <c r="M1608" s="192"/>
      <c r="N1608" s="192"/>
    </row>
    <row r="1609" spans="10:14" ht="15.95" customHeight="1" x14ac:dyDescent="0.25">
      <c r="J1609" s="192"/>
      <c r="K1609" s="192"/>
      <c r="L1609" s="192"/>
      <c r="M1609" s="192"/>
      <c r="N1609" s="192"/>
    </row>
    <row r="1610" spans="10:14" ht="15.95" customHeight="1" x14ac:dyDescent="0.25">
      <c r="J1610" s="192"/>
      <c r="K1610" s="192"/>
      <c r="L1610" s="192"/>
      <c r="M1610" s="192"/>
      <c r="N1610" s="192"/>
    </row>
    <row r="1611" spans="10:14" ht="15.95" customHeight="1" x14ac:dyDescent="0.25">
      <c r="J1611" s="192"/>
      <c r="K1611" s="192"/>
      <c r="L1611" s="192"/>
      <c r="M1611" s="192"/>
      <c r="N1611" s="192"/>
    </row>
    <row r="1612" spans="10:14" ht="15.95" customHeight="1" x14ac:dyDescent="0.25">
      <c r="J1612" s="192"/>
      <c r="K1612" s="192"/>
      <c r="L1612" s="192"/>
      <c r="M1612" s="192"/>
      <c r="N1612" s="192"/>
    </row>
    <row r="1613" spans="10:14" ht="15.95" customHeight="1" x14ac:dyDescent="0.25">
      <c r="J1613" s="192"/>
      <c r="K1613" s="192"/>
      <c r="L1613" s="192"/>
      <c r="M1613" s="192"/>
      <c r="N1613" s="192"/>
    </row>
    <row r="1614" spans="10:14" ht="15.95" customHeight="1" x14ac:dyDescent="0.25">
      <c r="J1614" s="192"/>
      <c r="K1614" s="192"/>
      <c r="L1614" s="192"/>
      <c r="M1614" s="192"/>
      <c r="N1614" s="192"/>
    </row>
    <row r="1615" spans="10:14" ht="15.95" customHeight="1" x14ac:dyDescent="0.25">
      <c r="J1615" s="192"/>
      <c r="K1615" s="192"/>
      <c r="L1615" s="192"/>
      <c r="M1615" s="192"/>
      <c r="N1615" s="192"/>
    </row>
    <row r="1616" spans="10:14" ht="15.95" customHeight="1" x14ac:dyDescent="0.25">
      <c r="J1616" s="192"/>
      <c r="K1616" s="192"/>
      <c r="L1616" s="192"/>
      <c r="M1616" s="192"/>
      <c r="N1616" s="192"/>
    </row>
    <row r="1617" spans="10:14" ht="15.95" customHeight="1" x14ac:dyDescent="0.25">
      <c r="J1617" s="192"/>
      <c r="K1617" s="192"/>
      <c r="L1617" s="192"/>
      <c r="M1617" s="192"/>
      <c r="N1617" s="192"/>
    </row>
    <row r="1618" spans="10:14" ht="15.95" customHeight="1" x14ac:dyDescent="0.25">
      <c r="J1618" s="192"/>
      <c r="K1618" s="192"/>
      <c r="L1618" s="192"/>
      <c r="M1618" s="192"/>
      <c r="N1618" s="192"/>
    </row>
    <row r="1619" spans="10:14" ht="15.95" customHeight="1" x14ac:dyDescent="0.25">
      <c r="J1619" s="192"/>
      <c r="K1619" s="192"/>
      <c r="L1619" s="192"/>
      <c r="M1619" s="192"/>
      <c r="N1619" s="192"/>
    </row>
    <row r="1620" spans="10:14" ht="15.95" customHeight="1" x14ac:dyDescent="0.25">
      <c r="J1620" s="192"/>
      <c r="K1620" s="192"/>
      <c r="L1620" s="192"/>
      <c r="M1620" s="192"/>
      <c r="N1620" s="192"/>
    </row>
    <row r="1621" spans="10:14" ht="15.95" customHeight="1" x14ac:dyDescent="0.25">
      <c r="J1621" s="192"/>
      <c r="K1621" s="192"/>
      <c r="L1621" s="192"/>
      <c r="M1621" s="192"/>
      <c r="N1621" s="192"/>
    </row>
    <row r="1622" spans="10:14" ht="15.95" customHeight="1" x14ac:dyDescent="0.25">
      <c r="J1622" s="192"/>
      <c r="K1622" s="192"/>
      <c r="L1622" s="192"/>
      <c r="M1622" s="192"/>
      <c r="N1622" s="192"/>
    </row>
    <row r="1623" spans="10:14" ht="15.95" customHeight="1" x14ac:dyDescent="0.25">
      <c r="J1623" s="192"/>
      <c r="K1623" s="192"/>
      <c r="L1623" s="192"/>
      <c r="M1623" s="192"/>
      <c r="N1623" s="192"/>
    </row>
    <row r="1624" spans="10:14" ht="15.95" customHeight="1" x14ac:dyDescent="0.25">
      <c r="J1624" s="192"/>
      <c r="K1624" s="192"/>
      <c r="L1624" s="192"/>
      <c r="M1624" s="192"/>
      <c r="N1624" s="192"/>
    </row>
    <row r="1625" spans="10:14" ht="15.95" customHeight="1" x14ac:dyDescent="0.25">
      <c r="J1625" s="192"/>
      <c r="K1625" s="192"/>
      <c r="L1625" s="192"/>
      <c r="M1625" s="192"/>
      <c r="N1625" s="192"/>
    </row>
    <row r="1626" spans="10:14" ht="15.95" customHeight="1" x14ac:dyDescent="0.25">
      <c r="J1626" s="192"/>
      <c r="K1626" s="192"/>
      <c r="L1626" s="192"/>
      <c r="M1626" s="192"/>
      <c r="N1626" s="192"/>
    </row>
    <row r="1627" spans="10:14" ht="15.95" customHeight="1" x14ac:dyDescent="0.25">
      <c r="J1627" s="192"/>
      <c r="K1627" s="192"/>
      <c r="L1627" s="192"/>
      <c r="M1627" s="192"/>
      <c r="N1627" s="192"/>
    </row>
    <row r="1628" spans="10:14" ht="15.95" customHeight="1" x14ac:dyDescent="0.25">
      <c r="J1628" s="192"/>
      <c r="K1628" s="192"/>
      <c r="L1628" s="192"/>
      <c r="M1628" s="192"/>
      <c r="N1628" s="192"/>
    </row>
    <row r="1629" spans="10:14" ht="15.95" customHeight="1" x14ac:dyDescent="0.25">
      <c r="J1629" s="192"/>
      <c r="K1629" s="192"/>
      <c r="L1629" s="192"/>
      <c r="M1629" s="192"/>
      <c r="N1629" s="192"/>
    </row>
    <row r="1630" spans="10:14" ht="15.95" customHeight="1" x14ac:dyDescent="0.25">
      <c r="J1630" s="192"/>
      <c r="K1630" s="192"/>
      <c r="L1630" s="192"/>
      <c r="M1630" s="192"/>
      <c r="N1630" s="192"/>
    </row>
    <row r="1631" spans="10:14" ht="15.95" customHeight="1" x14ac:dyDescent="0.25">
      <c r="J1631" s="192"/>
      <c r="K1631" s="192"/>
      <c r="L1631" s="192"/>
      <c r="M1631" s="192"/>
      <c r="N1631" s="192"/>
    </row>
    <row r="1632" spans="10:14" ht="15.95" customHeight="1" x14ac:dyDescent="0.25">
      <c r="J1632" s="192"/>
      <c r="K1632" s="192"/>
      <c r="L1632" s="192"/>
      <c r="M1632" s="192"/>
      <c r="N1632" s="192"/>
    </row>
    <row r="1633" spans="9:14" ht="15.95" customHeight="1" x14ac:dyDescent="0.25">
      <c r="J1633" s="192"/>
      <c r="K1633" s="192"/>
      <c r="L1633" s="192"/>
      <c r="M1633" s="192"/>
      <c r="N1633" s="192"/>
    </row>
    <row r="1634" spans="9:14" ht="15.95" customHeight="1" x14ac:dyDescent="0.25">
      <c r="J1634" s="192"/>
      <c r="K1634" s="192"/>
      <c r="L1634" s="192"/>
      <c r="M1634" s="192"/>
      <c r="N1634" s="192"/>
    </row>
    <row r="1635" spans="9:14" ht="15.95" customHeight="1" x14ac:dyDescent="0.25">
      <c r="J1635" s="192"/>
      <c r="K1635" s="192"/>
      <c r="L1635" s="192"/>
      <c r="M1635" s="192"/>
      <c r="N1635" s="192"/>
    </row>
    <row r="1636" spans="9:14" ht="15.95" customHeight="1" x14ac:dyDescent="0.25">
      <c r="J1636" s="192"/>
      <c r="K1636" s="192"/>
      <c r="L1636" s="192"/>
      <c r="M1636" s="192"/>
      <c r="N1636" s="192"/>
    </row>
    <row r="1637" spans="9:14" ht="15.95" customHeight="1" x14ac:dyDescent="0.25">
      <c r="J1637" s="192"/>
      <c r="K1637" s="192"/>
      <c r="L1637" s="192"/>
      <c r="M1637" s="192"/>
      <c r="N1637" s="192"/>
    </row>
    <row r="1638" spans="9:14" ht="15.95" customHeight="1" x14ac:dyDescent="0.25">
      <c r="J1638" s="192"/>
      <c r="K1638" s="192"/>
      <c r="L1638" s="192"/>
      <c r="M1638" s="192"/>
      <c r="N1638" s="192"/>
    </row>
    <row r="1639" spans="9:14" ht="15.95" customHeight="1" x14ac:dyDescent="0.25">
      <c r="J1639" s="192"/>
      <c r="K1639" s="192"/>
      <c r="L1639" s="192"/>
      <c r="M1639" s="192"/>
      <c r="N1639" s="192"/>
    </row>
    <row r="1640" spans="9:14" ht="15.95" customHeight="1" x14ac:dyDescent="0.25">
      <c r="J1640" s="192"/>
      <c r="K1640" s="192"/>
      <c r="L1640" s="192"/>
      <c r="M1640" s="192"/>
      <c r="N1640" s="192"/>
    </row>
    <row r="1641" spans="9:14" ht="15.95" customHeight="1" x14ac:dyDescent="0.25">
      <c r="J1641" s="192"/>
      <c r="K1641" s="192"/>
      <c r="L1641" s="192"/>
      <c r="M1641" s="192"/>
      <c r="N1641" s="192"/>
    </row>
    <row r="1642" spans="9:14" ht="15.95" customHeight="1" x14ac:dyDescent="0.25"/>
    <row r="1643" spans="9:14" ht="15.95" customHeight="1" x14ac:dyDescent="0.25"/>
    <row r="1644" spans="9:14" ht="32.1" customHeight="1" x14ac:dyDescent="0.25">
      <c r="J1644" s="235" t="str">
        <f>ComparisonData!HG2</f>
        <v>SECTION B: OUR STAFF, SERVICES &amp; FACILITIES</v>
      </c>
      <c r="K1644" s="236"/>
      <c r="L1644" s="236"/>
      <c r="M1644" s="236"/>
      <c r="N1644" s="237"/>
    </row>
    <row r="1645" spans="9:14" ht="32.1" customHeight="1" x14ac:dyDescent="0.25">
      <c r="J1645" s="235" t="str">
        <f>ComparisonData!HG3</f>
        <v>5. How satisfied are you with the following:</v>
      </c>
      <c r="K1645" s="236"/>
      <c r="L1645" s="236"/>
      <c r="M1645" s="236"/>
      <c r="N1645" s="237"/>
    </row>
    <row r="1646" spans="9:14" ht="32.1" customHeight="1" x14ac:dyDescent="0.25">
      <c r="J1646" s="235" t="str">
        <f>ComparisonData!HG4</f>
        <v>Appointment / online booking system (if applicable)</v>
      </c>
      <c r="K1646" s="236"/>
      <c r="L1646" s="236"/>
      <c r="M1646" s="236"/>
      <c r="N1646" s="237"/>
    </row>
    <row r="1647" spans="9:14" ht="32.1" customHeight="1" x14ac:dyDescent="0.25">
      <c r="J1647" s="185" t="str">
        <f>ComparisonData!HK5</f>
        <v>Very satisfied</v>
      </c>
      <c r="K1647" s="185" t="str">
        <f>ComparisonData!HL5</f>
        <v>Satisfied</v>
      </c>
      <c r="L1647" s="185" t="str">
        <f>ComparisonData!HM5</f>
        <v>Neither</v>
      </c>
      <c r="M1647" s="185" t="str">
        <f>ComparisonData!HN5</f>
        <v>Not very satisfied</v>
      </c>
      <c r="N1647" s="185" t="str">
        <f>ComparisonData!HO5</f>
        <v>Not at all satisfied</v>
      </c>
    </row>
    <row r="1648" spans="9:14" ht="15.95" customHeight="1" x14ac:dyDescent="0.25">
      <c r="I1648" s="188" t="str" cm="1">
        <f t="array" aca="1" ref="I1648" ca="1">Appointment___online_booking_system__if_applicable_lbl</f>
        <v>TOTAL</v>
      </c>
      <c r="J1648" s="192" cm="1">
        <f t="array" aca="1" ref="J1648" ca="1">Appointment___online_booking_system__if_applicable_1</f>
        <v>0.74123000000000006</v>
      </c>
      <c r="K1648" s="192" cm="1">
        <f t="array" aca="1" ref="K1648" ca="1">Appointment___online_booking_system__if_applicable_2</f>
        <v>0.17649000000000001</v>
      </c>
      <c r="L1648" s="192" cm="1">
        <f t="array" aca="1" ref="L1648" ca="1">Appointment___online_booking_system__if_applicable_3</f>
        <v>3.798E-2</v>
      </c>
      <c r="M1648" s="192" cm="1">
        <f t="array" aca="1" ref="M1648" ca="1">Appointment___online_booking_system__if_applicable_4</f>
        <v>3.2480000000000002E-2</v>
      </c>
      <c r="N1648" s="192" cm="1">
        <f t="array" aca="1" ref="N1648" ca="1">Appointment___online_booking_system__if_applicable_5</f>
        <v>1.1816717721876889E-2</v>
      </c>
    </row>
    <row r="1649" spans="10:14" ht="15.95" customHeight="1" x14ac:dyDescent="0.25">
      <c r="J1649" s="192"/>
      <c r="K1649" s="192"/>
      <c r="L1649" s="192"/>
      <c r="M1649" s="192"/>
      <c r="N1649" s="192"/>
    </row>
    <row r="1650" spans="10:14" ht="15.95" customHeight="1" x14ac:dyDescent="0.25">
      <c r="J1650" s="192"/>
      <c r="K1650" s="192"/>
      <c r="L1650" s="192"/>
      <c r="M1650" s="192"/>
      <c r="N1650" s="192"/>
    </row>
    <row r="1651" spans="10:14" ht="15.95" customHeight="1" x14ac:dyDescent="0.25">
      <c r="J1651" s="192"/>
      <c r="K1651" s="192"/>
      <c r="L1651" s="192"/>
      <c r="M1651" s="192"/>
      <c r="N1651" s="192"/>
    </row>
    <row r="1652" spans="10:14" ht="15.95" customHeight="1" x14ac:dyDescent="0.25">
      <c r="J1652" s="192"/>
      <c r="K1652" s="192"/>
      <c r="L1652" s="192"/>
      <c r="M1652" s="192"/>
      <c r="N1652" s="192"/>
    </row>
    <row r="1653" spans="10:14" ht="15.95" customHeight="1" x14ac:dyDescent="0.25">
      <c r="J1653" s="192"/>
      <c r="K1653" s="192"/>
      <c r="L1653" s="192"/>
      <c r="M1653" s="192"/>
      <c r="N1653" s="192"/>
    </row>
    <row r="1654" spans="10:14" ht="15.95" customHeight="1" x14ac:dyDescent="0.25">
      <c r="J1654" s="192"/>
      <c r="K1654" s="192"/>
      <c r="L1654" s="192"/>
      <c r="M1654" s="192"/>
      <c r="N1654" s="192"/>
    </row>
    <row r="1655" spans="10:14" ht="15.95" customHeight="1" x14ac:dyDescent="0.25">
      <c r="J1655" s="192"/>
      <c r="K1655" s="192"/>
      <c r="L1655" s="192"/>
      <c r="M1655" s="192"/>
      <c r="N1655" s="192"/>
    </row>
    <row r="1656" spans="10:14" ht="15.95" customHeight="1" x14ac:dyDescent="0.25">
      <c r="J1656" s="192"/>
      <c r="K1656" s="192"/>
      <c r="L1656" s="192"/>
      <c r="M1656" s="192"/>
      <c r="N1656" s="192"/>
    </row>
    <row r="1657" spans="10:14" ht="15.95" customHeight="1" x14ac:dyDescent="0.25">
      <c r="J1657" s="192"/>
      <c r="K1657" s="192"/>
      <c r="L1657" s="192"/>
      <c r="M1657" s="192"/>
      <c r="N1657" s="192"/>
    </row>
    <row r="1658" spans="10:14" ht="15.95" customHeight="1" x14ac:dyDescent="0.25">
      <c r="J1658" s="192"/>
      <c r="K1658" s="192"/>
      <c r="L1658" s="192"/>
      <c r="M1658" s="192"/>
      <c r="N1658" s="192"/>
    </row>
    <row r="1659" spans="10:14" ht="15.95" customHeight="1" x14ac:dyDescent="0.25">
      <c r="J1659" s="192"/>
      <c r="K1659" s="192"/>
      <c r="L1659" s="192"/>
      <c r="M1659" s="192"/>
      <c r="N1659" s="192"/>
    </row>
    <row r="1660" spans="10:14" ht="15.95" customHeight="1" x14ac:dyDescent="0.25">
      <c r="J1660" s="192"/>
      <c r="K1660" s="192"/>
      <c r="L1660" s="192"/>
      <c r="M1660" s="192"/>
      <c r="N1660" s="192"/>
    </row>
    <row r="1661" spans="10:14" ht="15.95" customHeight="1" x14ac:dyDescent="0.25">
      <c r="J1661" s="192"/>
      <c r="K1661" s="192"/>
      <c r="L1661" s="192"/>
      <c r="M1661" s="192"/>
      <c r="N1661" s="192"/>
    </row>
    <row r="1662" spans="10:14" ht="15.95" customHeight="1" x14ac:dyDescent="0.25">
      <c r="J1662" s="192"/>
      <c r="K1662" s="192"/>
      <c r="L1662" s="192"/>
      <c r="M1662" s="192"/>
      <c r="N1662" s="192"/>
    </row>
    <row r="1663" spans="10:14" ht="15.95" customHeight="1" x14ac:dyDescent="0.25">
      <c r="J1663" s="192"/>
      <c r="K1663" s="192"/>
      <c r="L1663" s="192"/>
      <c r="M1663" s="192"/>
      <c r="N1663" s="192"/>
    </row>
    <row r="1664" spans="10:14" ht="15.95" customHeight="1" x14ac:dyDescent="0.25">
      <c r="J1664" s="192"/>
      <c r="K1664" s="192"/>
      <c r="L1664" s="192"/>
      <c r="M1664" s="192"/>
      <c r="N1664" s="192"/>
    </row>
    <row r="1665" spans="10:14" ht="15.95" customHeight="1" x14ac:dyDescent="0.25">
      <c r="J1665" s="192"/>
      <c r="K1665" s="192"/>
      <c r="L1665" s="192"/>
      <c r="M1665" s="192"/>
      <c r="N1665" s="192"/>
    </row>
    <row r="1666" spans="10:14" ht="15.95" customHeight="1" x14ac:dyDescent="0.25">
      <c r="J1666" s="192"/>
      <c r="K1666" s="192"/>
      <c r="L1666" s="192"/>
      <c r="M1666" s="192"/>
      <c r="N1666" s="192"/>
    </row>
    <row r="1667" spans="10:14" ht="15.95" customHeight="1" x14ac:dyDescent="0.25">
      <c r="J1667" s="192"/>
      <c r="K1667" s="192"/>
      <c r="L1667" s="192"/>
      <c r="M1667" s="192"/>
      <c r="N1667" s="192"/>
    </row>
    <row r="1668" spans="10:14" ht="15.95" customHeight="1" x14ac:dyDescent="0.25">
      <c r="J1668" s="192"/>
      <c r="K1668" s="192"/>
      <c r="L1668" s="192"/>
      <c r="M1668" s="192"/>
      <c r="N1668" s="192"/>
    </row>
    <row r="1669" spans="10:14" ht="15.95" customHeight="1" x14ac:dyDescent="0.25">
      <c r="J1669" s="192"/>
      <c r="K1669" s="192"/>
      <c r="L1669" s="192"/>
      <c r="M1669" s="192"/>
      <c r="N1669" s="192"/>
    </row>
    <row r="1670" spans="10:14" ht="15.95" customHeight="1" x14ac:dyDescent="0.25">
      <c r="J1670" s="192"/>
      <c r="K1670" s="192"/>
      <c r="L1670" s="192"/>
      <c r="M1670" s="192"/>
      <c r="N1670" s="192"/>
    </row>
    <row r="1671" spans="10:14" ht="15.95" customHeight="1" x14ac:dyDescent="0.25">
      <c r="J1671" s="192"/>
      <c r="K1671" s="192"/>
      <c r="L1671" s="192"/>
      <c r="M1671" s="192"/>
      <c r="N1671" s="192"/>
    </row>
    <row r="1672" spans="10:14" ht="15.95" customHeight="1" x14ac:dyDescent="0.25">
      <c r="J1672" s="192"/>
      <c r="K1672" s="192"/>
      <c r="L1672" s="192"/>
      <c r="M1672" s="192"/>
      <c r="N1672" s="192"/>
    </row>
    <row r="1673" spans="10:14" ht="15.95" customHeight="1" x14ac:dyDescent="0.25">
      <c r="J1673" s="192"/>
      <c r="K1673" s="192"/>
      <c r="L1673" s="192"/>
      <c r="M1673" s="192"/>
      <c r="N1673" s="192"/>
    </row>
    <row r="1674" spans="10:14" ht="15.95" customHeight="1" x14ac:dyDescent="0.25">
      <c r="J1674" s="192"/>
      <c r="K1674" s="192"/>
      <c r="L1674" s="192"/>
      <c r="M1674" s="192"/>
      <c r="N1674" s="192"/>
    </row>
    <row r="1675" spans="10:14" ht="15.95" customHeight="1" x14ac:dyDescent="0.25">
      <c r="J1675" s="192"/>
      <c r="K1675" s="192"/>
      <c r="L1675" s="192"/>
      <c r="M1675" s="192"/>
      <c r="N1675" s="192"/>
    </row>
    <row r="1676" spans="10:14" ht="15.95" customHeight="1" x14ac:dyDescent="0.25">
      <c r="J1676" s="192"/>
      <c r="K1676" s="192"/>
      <c r="L1676" s="192"/>
      <c r="M1676" s="192"/>
      <c r="N1676" s="192"/>
    </row>
    <row r="1677" spans="10:14" ht="15.95" customHeight="1" x14ac:dyDescent="0.25">
      <c r="J1677" s="192"/>
      <c r="K1677" s="192"/>
      <c r="L1677" s="192"/>
      <c r="M1677" s="192"/>
      <c r="N1677" s="192"/>
    </row>
    <row r="1678" spans="10:14" ht="15.95" customHeight="1" x14ac:dyDescent="0.25">
      <c r="J1678" s="192"/>
      <c r="K1678" s="192"/>
      <c r="L1678" s="192"/>
      <c r="M1678" s="192"/>
      <c r="N1678" s="192"/>
    </row>
    <row r="1679" spans="10:14" ht="15.95" customHeight="1" x14ac:dyDescent="0.25">
      <c r="J1679" s="192"/>
      <c r="K1679" s="192"/>
      <c r="L1679" s="192"/>
      <c r="M1679" s="192"/>
      <c r="N1679" s="192"/>
    </row>
    <row r="1680" spans="10:14" ht="15.95" customHeight="1" x14ac:dyDescent="0.25">
      <c r="J1680" s="192"/>
      <c r="K1680" s="192"/>
      <c r="L1680" s="192"/>
      <c r="M1680" s="192"/>
      <c r="N1680" s="192"/>
    </row>
    <row r="1681" spans="10:14" ht="15.95" customHeight="1" x14ac:dyDescent="0.25">
      <c r="J1681" s="192"/>
      <c r="K1681" s="192"/>
      <c r="L1681" s="192"/>
      <c r="M1681" s="192"/>
      <c r="N1681" s="192"/>
    </row>
    <row r="1682" spans="10:14" ht="15.95" customHeight="1" x14ac:dyDescent="0.25">
      <c r="J1682" s="192"/>
      <c r="K1682" s="192"/>
      <c r="L1682" s="192"/>
      <c r="M1682" s="192"/>
      <c r="N1682" s="192"/>
    </row>
    <row r="1683" spans="10:14" ht="15.95" customHeight="1" x14ac:dyDescent="0.25">
      <c r="J1683" s="192"/>
      <c r="K1683" s="192"/>
      <c r="L1683" s="192"/>
      <c r="M1683" s="192"/>
      <c r="N1683" s="192"/>
    </row>
    <row r="1684" spans="10:14" ht="15.95" customHeight="1" x14ac:dyDescent="0.25">
      <c r="J1684" s="192"/>
      <c r="K1684" s="192"/>
      <c r="L1684" s="192"/>
      <c r="M1684" s="192"/>
      <c r="N1684" s="192"/>
    </row>
    <row r="1685" spans="10:14" ht="15.95" customHeight="1" x14ac:dyDescent="0.25">
      <c r="J1685" s="192"/>
      <c r="K1685" s="192"/>
      <c r="L1685" s="192"/>
      <c r="M1685" s="192"/>
      <c r="N1685" s="192"/>
    </row>
    <row r="1686" spans="10:14" ht="15.95" customHeight="1" x14ac:dyDescent="0.25">
      <c r="J1686" s="192"/>
      <c r="K1686" s="192"/>
      <c r="L1686" s="192"/>
      <c r="M1686" s="192"/>
      <c r="N1686" s="192"/>
    </row>
    <row r="1687" spans="10:14" ht="15.95" customHeight="1" x14ac:dyDescent="0.25">
      <c r="J1687" s="192"/>
      <c r="K1687" s="192"/>
      <c r="L1687" s="192"/>
      <c r="M1687" s="192"/>
      <c r="N1687" s="192"/>
    </row>
    <row r="1688" spans="10:14" ht="15.95" customHeight="1" x14ac:dyDescent="0.25">
      <c r="J1688" s="192"/>
      <c r="K1688" s="192"/>
      <c r="L1688" s="192"/>
      <c r="M1688" s="192"/>
      <c r="N1688" s="192"/>
    </row>
    <row r="1689" spans="10:14" ht="15.95" customHeight="1" x14ac:dyDescent="0.25">
      <c r="J1689" s="192"/>
      <c r="K1689" s="192"/>
      <c r="L1689" s="192"/>
      <c r="M1689" s="192"/>
      <c r="N1689" s="192"/>
    </row>
    <row r="1690" spans="10:14" ht="15.95" customHeight="1" x14ac:dyDescent="0.25">
      <c r="J1690" s="192"/>
      <c r="K1690" s="192"/>
      <c r="L1690" s="192"/>
      <c r="M1690" s="192"/>
      <c r="N1690" s="192"/>
    </row>
    <row r="1691" spans="10:14" ht="15.95" customHeight="1" x14ac:dyDescent="0.25">
      <c r="J1691" s="192"/>
      <c r="K1691" s="192"/>
      <c r="L1691" s="192"/>
      <c r="M1691" s="192"/>
      <c r="N1691" s="192"/>
    </row>
    <row r="1692" spans="10:14" ht="15.95" customHeight="1" x14ac:dyDescent="0.25">
      <c r="J1692" s="192"/>
      <c r="K1692" s="192"/>
      <c r="L1692" s="192"/>
      <c r="M1692" s="192"/>
      <c r="N1692" s="192"/>
    </row>
    <row r="1693" spans="10:14" ht="15.95" customHeight="1" x14ac:dyDescent="0.25">
      <c r="J1693" s="192"/>
      <c r="K1693" s="192"/>
      <c r="L1693" s="192"/>
      <c r="M1693" s="192"/>
      <c r="N1693" s="192"/>
    </row>
    <row r="1694" spans="10:14" ht="15.95" customHeight="1" x14ac:dyDescent="0.25">
      <c r="J1694" s="192"/>
      <c r="K1694" s="192"/>
      <c r="L1694" s="192"/>
      <c r="M1694" s="192"/>
      <c r="N1694" s="192"/>
    </row>
    <row r="1695" spans="10:14" ht="15.95" customHeight="1" x14ac:dyDescent="0.25">
      <c r="J1695" s="192"/>
      <c r="K1695" s="192"/>
      <c r="L1695" s="192"/>
      <c r="M1695" s="192"/>
      <c r="N1695" s="192"/>
    </row>
    <row r="1696" spans="10:14" ht="15.95" customHeight="1" x14ac:dyDescent="0.25">
      <c r="J1696" s="192"/>
      <c r="K1696" s="192"/>
      <c r="L1696" s="192"/>
      <c r="M1696" s="192"/>
      <c r="N1696" s="192"/>
    </row>
    <row r="1697" spans="10:14" ht="15.95" customHeight="1" x14ac:dyDescent="0.25">
      <c r="J1697" s="192"/>
      <c r="K1697" s="192"/>
      <c r="L1697" s="192"/>
      <c r="M1697" s="192"/>
      <c r="N1697" s="192"/>
    </row>
    <row r="1698" spans="10:14" ht="15.95" customHeight="1" x14ac:dyDescent="0.25">
      <c r="J1698" s="192"/>
      <c r="K1698" s="192"/>
      <c r="L1698" s="192"/>
      <c r="M1698" s="192"/>
      <c r="N1698" s="192"/>
    </row>
    <row r="1699" spans="10:14" ht="15.95" customHeight="1" x14ac:dyDescent="0.25">
      <c r="J1699" s="192"/>
      <c r="K1699" s="192"/>
      <c r="L1699" s="192"/>
      <c r="M1699" s="192"/>
      <c r="N1699" s="192"/>
    </row>
    <row r="1700" spans="10:14" ht="15.95" customHeight="1" x14ac:dyDescent="0.25">
      <c r="J1700" s="192"/>
      <c r="K1700" s="192"/>
      <c r="L1700" s="192"/>
      <c r="M1700" s="192"/>
      <c r="N1700" s="192"/>
    </row>
    <row r="1701" spans="10:14" ht="15.95" customHeight="1" x14ac:dyDescent="0.25">
      <c r="J1701" s="192"/>
      <c r="K1701" s="192"/>
      <c r="L1701" s="192"/>
      <c r="M1701" s="192"/>
      <c r="N1701" s="192"/>
    </row>
    <row r="1702" spans="10:14" ht="15.95" customHeight="1" x14ac:dyDescent="0.25">
      <c r="J1702" s="192"/>
      <c r="K1702" s="192"/>
      <c r="L1702" s="192"/>
      <c r="M1702" s="192"/>
      <c r="N1702" s="192"/>
    </row>
    <row r="1703" spans="10:14" ht="15.95" customHeight="1" x14ac:dyDescent="0.25">
      <c r="J1703" s="192"/>
      <c r="K1703" s="192"/>
      <c r="L1703" s="192"/>
      <c r="M1703" s="192"/>
      <c r="N1703" s="192"/>
    </row>
    <row r="1704" spans="10:14" ht="15.95" customHeight="1" x14ac:dyDescent="0.25">
      <c r="J1704" s="192"/>
      <c r="K1704" s="192"/>
      <c r="L1704" s="192"/>
      <c r="M1704" s="192"/>
      <c r="N1704" s="192"/>
    </row>
    <row r="1705" spans="10:14" ht="15.95" customHeight="1" x14ac:dyDescent="0.25">
      <c r="J1705" s="192"/>
      <c r="K1705" s="192"/>
      <c r="L1705" s="192"/>
      <c r="M1705" s="192"/>
      <c r="N1705" s="192"/>
    </row>
    <row r="1706" spans="10:14" ht="15.95" customHeight="1" x14ac:dyDescent="0.25">
      <c r="J1706" s="192"/>
      <c r="K1706" s="192"/>
      <c r="L1706" s="192"/>
      <c r="M1706" s="192"/>
      <c r="N1706" s="192"/>
    </row>
    <row r="1707" spans="10:14" ht="15.95" customHeight="1" x14ac:dyDescent="0.25">
      <c r="J1707" s="192"/>
      <c r="K1707" s="192"/>
      <c r="L1707" s="192"/>
      <c r="M1707" s="192"/>
      <c r="N1707" s="192"/>
    </row>
    <row r="1708" spans="10:14" ht="15.95" customHeight="1" x14ac:dyDescent="0.25">
      <c r="J1708" s="192"/>
      <c r="K1708" s="192"/>
      <c r="L1708" s="192"/>
      <c r="M1708" s="192"/>
      <c r="N1708" s="192"/>
    </row>
    <row r="1709" spans="10:14" ht="15.95" customHeight="1" x14ac:dyDescent="0.25">
      <c r="J1709" s="192"/>
      <c r="K1709" s="192"/>
      <c r="L1709" s="192"/>
      <c r="M1709" s="192"/>
      <c r="N1709" s="192"/>
    </row>
    <row r="1710" spans="10:14" ht="15.95" customHeight="1" x14ac:dyDescent="0.25">
      <c r="J1710" s="192"/>
      <c r="K1710" s="192"/>
      <c r="L1710" s="192"/>
      <c r="M1710" s="192"/>
      <c r="N1710" s="192"/>
    </row>
    <row r="1711" spans="10:14" ht="15.95" customHeight="1" x14ac:dyDescent="0.25">
      <c r="J1711" s="192"/>
      <c r="K1711" s="192"/>
      <c r="L1711" s="192"/>
      <c r="M1711" s="192"/>
      <c r="N1711" s="192"/>
    </row>
    <row r="1712" spans="10:14" ht="15.95" customHeight="1" x14ac:dyDescent="0.25">
      <c r="J1712" s="192"/>
      <c r="K1712" s="192"/>
      <c r="L1712" s="192"/>
      <c r="M1712" s="192"/>
      <c r="N1712" s="192"/>
    </row>
    <row r="1713" spans="10:14" ht="15.95" customHeight="1" x14ac:dyDescent="0.25">
      <c r="J1713" s="192"/>
      <c r="K1713" s="192"/>
      <c r="L1713" s="192"/>
      <c r="M1713" s="192"/>
      <c r="N1713" s="192"/>
    </row>
    <row r="1714" spans="10:14" ht="15.95" customHeight="1" x14ac:dyDescent="0.25">
      <c r="J1714" s="192"/>
      <c r="K1714" s="192"/>
      <c r="L1714" s="192"/>
      <c r="M1714" s="192"/>
      <c r="N1714" s="192"/>
    </row>
    <row r="1715" spans="10:14" ht="15.95" customHeight="1" x14ac:dyDescent="0.25">
      <c r="J1715" s="192"/>
      <c r="K1715" s="192"/>
      <c r="L1715" s="192"/>
      <c r="M1715" s="192"/>
      <c r="N1715" s="192"/>
    </row>
    <row r="1716" spans="10:14" ht="15.95" customHeight="1" x14ac:dyDescent="0.25">
      <c r="J1716" s="192"/>
      <c r="K1716" s="192"/>
      <c r="L1716" s="192"/>
      <c r="M1716" s="192"/>
      <c r="N1716" s="192"/>
    </row>
    <row r="1717" spans="10:14" ht="15.95" customHeight="1" x14ac:dyDescent="0.25">
      <c r="J1717" s="192"/>
      <c r="K1717" s="192"/>
      <c r="L1717" s="192"/>
      <c r="M1717" s="192"/>
      <c r="N1717" s="192"/>
    </row>
    <row r="1718" spans="10:14" ht="15.95" customHeight="1" x14ac:dyDescent="0.25">
      <c r="J1718" s="192"/>
      <c r="K1718" s="192"/>
      <c r="L1718" s="192"/>
      <c r="M1718" s="192"/>
      <c r="N1718" s="192"/>
    </row>
    <row r="1719" spans="10:14" ht="15.95" customHeight="1" x14ac:dyDescent="0.25">
      <c r="J1719" s="192"/>
      <c r="K1719" s="192"/>
      <c r="L1719" s="192"/>
      <c r="M1719" s="192"/>
      <c r="N1719" s="192"/>
    </row>
    <row r="1720" spans="10:14" ht="15.95" customHeight="1" x14ac:dyDescent="0.25">
      <c r="J1720" s="192"/>
      <c r="K1720" s="192"/>
      <c r="L1720" s="192"/>
      <c r="M1720" s="192"/>
      <c r="N1720" s="192"/>
    </row>
    <row r="1721" spans="10:14" ht="15.95" customHeight="1" x14ac:dyDescent="0.25">
      <c r="J1721" s="192"/>
      <c r="K1721" s="192"/>
      <c r="L1721" s="192"/>
      <c r="M1721" s="192"/>
      <c r="N1721" s="192"/>
    </row>
    <row r="1722" spans="10:14" ht="15.95" customHeight="1" x14ac:dyDescent="0.25">
      <c r="J1722" s="192"/>
      <c r="K1722" s="192"/>
      <c r="L1722" s="192"/>
      <c r="M1722" s="192"/>
      <c r="N1722" s="192"/>
    </row>
    <row r="1723" spans="10:14" ht="15.95" customHeight="1" x14ac:dyDescent="0.25">
      <c r="J1723" s="192"/>
      <c r="K1723" s="192"/>
      <c r="L1723" s="192"/>
      <c r="M1723" s="192"/>
      <c r="N1723" s="192"/>
    </row>
    <row r="1724" spans="10:14" ht="15.95" customHeight="1" x14ac:dyDescent="0.25">
      <c r="J1724" s="192"/>
      <c r="K1724" s="192"/>
      <c r="L1724" s="192"/>
      <c r="M1724" s="192"/>
      <c r="N1724" s="192"/>
    </row>
    <row r="1725" spans="10:14" ht="15.95" customHeight="1" x14ac:dyDescent="0.25">
      <c r="J1725" s="192"/>
      <c r="K1725" s="192"/>
      <c r="L1725" s="192"/>
      <c r="M1725" s="192"/>
      <c r="N1725" s="192"/>
    </row>
    <row r="1726" spans="10:14" ht="15.95" customHeight="1" x14ac:dyDescent="0.25">
      <c r="J1726" s="192"/>
      <c r="K1726" s="192"/>
      <c r="L1726" s="192"/>
      <c r="M1726" s="192"/>
      <c r="N1726" s="192"/>
    </row>
    <row r="1727" spans="10:14" ht="15.95" customHeight="1" x14ac:dyDescent="0.25">
      <c r="J1727" s="192"/>
      <c r="K1727" s="192"/>
      <c r="L1727" s="192"/>
      <c r="M1727" s="192"/>
      <c r="N1727" s="192"/>
    </row>
    <row r="1728" spans="10:14" ht="15.95" customHeight="1" x14ac:dyDescent="0.25">
      <c r="J1728" s="192"/>
      <c r="K1728" s="192"/>
      <c r="L1728" s="192"/>
      <c r="M1728" s="192"/>
      <c r="N1728" s="192"/>
    </row>
    <row r="1729" spans="10:14" ht="15.95" customHeight="1" x14ac:dyDescent="0.25">
      <c r="J1729" s="192"/>
      <c r="K1729" s="192"/>
      <c r="L1729" s="192"/>
      <c r="M1729" s="192"/>
      <c r="N1729" s="192"/>
    </row>
    <row r="1730" spans="10:14" ht="15.95" customHeight="1" x14ac:dyDescent="0.25">
      <c r="J1730" s="192"/>
      <c r="K1730" s="192"/>
      <c r="L1730" s="192"/>
      <c r="M1730" s="192"/>
      <c r="N1730" s="192"/>
    </row>
    <row r="1731" spans="10:14" ht="15.95" customHeight="1" x14ac:dyDescent="0.25">
      <c r="J1731" s="192"/>
      <c r="K1731" s="192"/>
      <c r="L1731" s="192"/>
      <c r="M1731" s="192"/>
      <c r="N1731" s="192"/>
    </row>
    <row r="1732" spans="10:14" ht="15.95" customHeight="1" x14ac:dyDescent="0.25">
      <c r="J1732" s="192"/>
      <c r="K1732" s="192"/>
      <c r="L1732" s="192"/>
      <c r="M1732" s="192"/>
      <c r="N1732" s="192"/>
    </row>
    <row r="1733" spans="10:14" ht="15.95" customHeight="1" x14ac:dyDescent="0.25">
      <c r="J1733" s="192"/>
      <c r="K1733" s="192"/>
      <c r="L1733" s="192"/>
      <c r="M1733" s="192"/>
      <c r="N1733" s="192"/>
    </row>
    <row r="1734" spans="10:14" ht="15.95" customHeight="1" x14ac:dyDescent="0.25">
      <c r="J1734" s="192"/>
      <c r="K1734" s="192"/>
      <c r="L1734" s="192"/>
      <c r="M1734" s="192"/>
      <c r="N1734" s="192"/>
    </row>
    <row r="1735" spans="10:14" ht="15.95" customHeight="1" x14ac:dyDescent="0.25">
      <c r="J1735" s="192"/>
      <c r="K1735" s="192"/>
      <c r="L1735" s="192"/>
      <c r="M1735" s="192"/>
      <c r="N1735" s="192"/>
    </row>
    <row r="1736" spans="10:14" ht="15.95" customHeight="1" x14ac:dyDescent="0.25">
      <c r="J1736" s="192"/>
      <c r="K1736" s="192"/>
      <c r="L1736" s="192"/>
      <c r="M1736" s="192"/>
      <c r="N1736" s="192"/>
    </row>
    <row r="1737" spans="10:14" ht="15.95" customHeight="1" x14ac:dyDescent="0.25">
      <c r="J1737" s="192"/>
      <c r="K1737" s="192"/>
      <c r="L1737" s="192"/>
      <c r="M1737" s="192"/>
      <c r="N1737" s="192"/>
    </row>
    <row r="1738" spans="10:14" ht="15.95" customHeight="1" x14ac:dyDescent="0.25">
      <c r="J1738" s="192"/>
      <c r="K1738" s="192"/>
      <c r="L1738" s="192"/>
      <c r="M1738" s="192"/>
      <c r="N1738" s="192"/>
    </row>
    <row r="1739" spans="10:14" ht="15.95" customHeight="1" x14ac:dyDescent="0.25">
      <c r="J1739" s="192"/>
      <c r="K1739" s="192"/>
      <c r="L1739" s="192"/>
      <c r="M1739" s="192"/>
      <c r="N1739" s="192"/>
    </row>
    <row r="1740" spans="10:14" ht="15.95" customHeight="1" x14ac:dyDescent="0.25">
      <c r="J1740" s="192"/>
      <c r="K1740" s="192"/>
      <c r="L1740" s="192"/>
      <c r="M1740" s="192"/>
      <c r="N1740" s="192"/>
    </row>
    <row r="1741" spans="10:14" ht="15.95" customHeight="1" x14ac:dyDescent="0.25">
      <c r="J1741" s="192"/>
      <c r="K1741" s="192"/>
      <c r="L1741" s="192"/>
      <c r="M1741" s="192"/>
      <c r="N1741" s="192"/>
    </row>
    <row r="1742" spans="10:14" ht="15.95" customHeight="1" x14ac:dyDescent="0.25">
      <c r="J1742" s="192"/>
      <c r="K1742" s="192"/>
      <c r="L1742" s="192"/>
      <c r="M1742" s="192"/>
      <c r="N1742" s="192"/>
    </row>
    <row r="1743" spans="10:14" ht="15.95" customHeight="1" x14ac:dyDescent="0.25">
      <c r="J1743" s="192"/>
      <c r="K1743" s="192"/>
      <c r="L1743" s="192"/>
      <c r="M1743" s="192"/>
      <c r="N1743" s="192"/>
    </row>
    <row r="1744" spans="10:14" ht="15.95" customHeight="1" x14ac:dyDescent="0.25">
      <c r="J1744" s="192"/>
      <c r="K1744" s="192"/>
      <c r="L1744" s="192"/>
      <c r="M1744" s="192"/>
      <c r="N1744" s="192"/>
    </row>
    <row r="1745" spans="10:14" ht="15.95" customHeight="1" x14ac:dyDescent="0.25">
      <c r="J1745" s="192"/>
      <c r="K1745" s="192"/>
      <c r="L1745" s="192"/>
      <c r="M1745" s="192"/>
      <c r="N1745" s="192"/>
    </row>
    <row r="1746" spans="10:14" ht="15.95" customHeight="1" x14ac:dyDescent="0.25">
      <c r="J1746" s="192"/>
      <c r="K1746" s="192"/>
      <c r="L1746" s="192"/>
      <c r="M1746" s="192"/>
      <c r="N1746" s="192"/>
    </row>
    <row r="1747" spans="10:14" ht="15.95" customHeight="1" x14ac:dyDescent="0.25">
      <c r="J1747" s="192"/>
      <c r="K1747" s="192"/>
      <c r="L1747" s="192"/>
      <c r="M1747" s="192"/>
      <c r="N1747" s="192"/>
    </row>
    <row r="1748" spans="10:14" ht="15.95" customHeight="1" x14ac:dyDescent="0.25">
      <c r="J1748" s="192"/>
      <c r="K1748" s="192"/>
      <c r="L1748" s="192"/>
      <c r="M1748" s="192"/>
      <c r="N1748" s="192"/>
    </row>
    <row r="1749" spans="10:14" ht="15.95" customHeight="1" x14ac:dyDescent="0.25">
      <c r="J1749" s="192"/>
      <c r="K1749" s="192"/>
      <c r="L1749" s="192"/>
      <c r="M1749" s="192"/>
      <c r="N1749" s="192"/>
    </row>
    <row r="1750" spans="10:14" ht="15.95" customHeight="1" x14ac:dyDescent="0.25">
      <c r="J1750" s="192"/>
      <c r="K1750" s="192"/>
      <c r="L1750" s="192"/>
      <c r="M1750" s="192"/>
      <c r="N1750" s="192"/>
    </row>
    <row r="1751" spans="10:14" ht="15.95" customHeight="1" x14ac:dyDescent="0.25">
      <c r="J1751" s="192"/>
      <c r="K1751" s="192"/>
      <c r="L1751" s="192"/>
      <c r="M1751" s="192"/>
      <c r="N1751" s="192"/>
    </row>
    <row r="1752" spans="10:14" ht="15.95" customHeight="1" x14ac:dyDescent="0.25">
      <c r="J1752" s="192"/>
      <c r="K1752" s="192"/>
      <c r="L1752" s="192"/>
      <c r="M1752" s="192"/>
      <c r="N1752" s="192"/>
    </row>
    <row r="1753" spans="10:14" ht="15.95" customHeight="1" x14ac:dyDescent="0.25">
      <c r="J1753" s="192"/>
      <c r="K1753" s="192"/>
      <c r="L1753" s="192"/>
      <c r="M1753" s="192"/>
      <c r="N1753" s="192"/>
    </row>
    <row r="1754" spans="10:14" ht="15.95" customHeight="1" x14ac:dyDescent="0.25">
      <c r="J1754" s="192"/>
      <c r="K1754" s="192"/>
      <c r="L1754" s="192"/>
      <c r="M1754" s="192"/>
      <c r="N1754" s="192"/>
    </row>
    <row r="1755" spans="10:14" ht="15.95" customHeight="1" x14ac:dyDescent="0.25">
      <c r="J1755" s="192"/>
      <c r="K1755" s="192"/>
      <c r="L1755" s="192"/>
      <c r="M1755" s="192"/>
      <c r="N1755" s="192"/>
    </row>
    <row r="1756" spans="10:14" ht="15.95" customHeight="1" x14ac:dyDescent="0.25">
      <c r="J1756" s="192"/>
      <c r="K1756" s="192"/>
      <c r="L1756" s="192"/>
      <c r="M1756" s="192"/>
      <c r="N1756" s="192"/>
    </row>
    <row r="1757" spans="10:14" ht="15.95" customHeight="1" x14ac:dyDescent="0.25">
      <c r="J1757" s="192"/>
      <c r="K1757" s="192"/>
      <c r="L1757" s="192"/>
      <c r="M1757" s="192"/>
      <c r="N1757" s="192"/>
    </row>
    <row r="1758" spans="10:14" ht="15.95" customHeight="1" x14ac:dyDescent="0.25">
      <c r="J1758" s="192"/>
      <c r="K1758" s="192"/>
      <c r="L1758" s="192"/>
      <c r="M1758" s="192"/>
      <c r="N1758" s="192"/>
    </row>
    <row r="1759" spans="10:14" ht="15.95" customHeight="1" x14ac:dyDescent="0.25">
      <c r="J1759" s="192"/>
      <c r="K1759" s="192"/>
      <c r="L1759" s="192"/>
      <c r="M1759" s="192"/>
      <c r="N1759" s="192"/>
    </row>
    <row r="1760" spans="10:14" ht="15.95" customHeight="1" x14ac:dyDescent="0.25"/>
    <row r="1761" spans="9:14" ht="15.95" customHeight="1" x14ac:dyDescent="0.25"/>
    <row r="1762" spans="9:14" ht="32.1" customHeight="1" x14ac:dyDescent="0.25">
      <c r="J1762" s="235" t="str">
        <f>ComparisonData!HX2</f>
        <v>SECTION B: OUR STAFF, SERVICES &amp; FACILITIES</v>
      </c>
      <c r="K1762" s="236"/>
      <c r="L1762" s="236"/>
      <c r="M1762" s="236"/>
      <c r="N1762" s="237"/>
    </row>
    <row r="1763" spans="9:14" ht="32.1" customHeight="1" x14ac:dyDescent="0.25">
      <c r="J1763" s="235" t="str">
        <f>ComparisonData!HX3</f>
        <v>6.  Please rate the following services used during your visit to this archive</v>
      </c>
      <c r="K1763" s="236"/>
      <c r="L1763" s="236"/>
      <c r="M1763" s="236"/>
      <c r="N1763" s="237"/>
    </row>
    <row r="1764" spans="9:14" ht="32.1" customHeight="1" x14ac:dyDescent="0.25">
      <c r="J1764" s="235" t="str">
        <f>ComparisonData!HX4</f>
        <v>Availability of our computers</v>
      </c>
      <c r="K1764" s="236"/>
      <c r="L1764" s="236"/>
      <c r="M1764" s="236"/>
      <c r="N1764" s="237"/>
    </row>
    <row r="1765" spans="9:14" ht="32.1" customHeight="1" x14ac:dyDescent="0.25">
      <c r="J1765" s="185" t="str">
        <f>ComparisonData!IC5</f>
        <v>Very good</v>
      </c>
      <c r="K1765" s="185" t="str">
        <f>ComparisonData!ID5</f>
        <v>Fairly good</v>
      </c>
      <c r="L1765" s="185" t="str">
        <f>ComparisonData!IE5</f>
        <v>Neither</v>
      </c>
      <c r="M1765" s="185" t="str">
        <f>ComparisonData!IF5</f>
        <v>Poor</v>
      </c>
      <c r="N1765" s="185" t="str">
        <f>ComparisonData!IG5</f>
        <v>Very poor</v>
      </c>
    </row>
    <row r="1766" spans="9:14" ht="15.95" customHeight="1" x14ac:dyDescent="0.25">
      <c r="I1766" s="188" t="str" cm="1">
        <f t="array" aca="1" ref="I1766" ca="1">Availability_of_our_computers_lbl</f>
        <v>TOTAL</v>
      </c>
      <c r="J1766" s="192" cm="1">
        <f t="array" aca="1" ref="J1766" ca="1">Availability_of_our_computers_1</f>
        <v>0.81316999999999995</v>
      </c>
      <c r="K1766" s="192" cm="1">
        <f t="array" aca="1" ref="K1766" ca="1">Availability_of_our_computers_2</f>
        <v>0.15622</v>
      </c>
      <c r="L1766" s="192" cm="1">
        <f t="array" aca="1" ref="L1766" ca="1">Availability_of_our_computers_3</f>
        <v>2.3900000000000001E-2</v>
      </c>
      <c r="M1766" s="192" cm="1">
        <f t="array" aca="1" ref="M1766" ca="1">Availability_of_our_computers_4</f>
        <v>5.4799999999999996E-3</v>
      </c>
      <c r="N1766" s="192" cm="1">
        <f t="array" aca="1" ref="N1766" ca="1">Availability_of_our_computers_5</f>
        <v>1.237790383125676E-3</v>
      </c>
    </row>
    <row r="1767" spans="9:14" ht="15.95" customHeight="1" x14ac:dyDescent="0.25">
      <c r="J1767" s="192"/>
      <c r="K1767" s="192"/>
      <c r="L1767" s="192"/>
      <c r="M1767" s="192"/>
      <c r="N1767" s="192"/>
    </row>
    <row r="1768" spans="9:14" ht="15.95" customHeight="1" x14ac:dyDescent="0.25">
      <c r="J1768" s="192"/>
      <c r="K1768" s="192"/>
      <c r="L1768" s="192"/>
      <c r="M1768" s="192"/>
      <c r="N1768" s="192"/>
    </row>
    <row r="1769" spans="9:14" ht="15.95" customHeight="1" x14ac:dyDescent="0.25">
      <c r="J1769" s="192"/>
      <c r="K1769" s="192"/>
      <c r="L1769" s="192"/>
      <c r="M1769" s="192"/>
      <c r="N1769" s="192"/>
    </row>
    <row r="1770" spans="9:14" ht="15.95" customHeight="1" x14ac:dyDescent="0.25">
      <c r="J1770" s="192"/>
      <c r="K1770" s="192"/>
      <c r="L1770" s="192"/>
      <c r="M1770" s="192"/>
      <c r="N1770" s="192"/>
    </row>
    <row r="1771" spans="9:14" ht="15.95" customHeight="1" x14ac:dyDescent="0.25">
      <c r="J1771" s="192"/>
      <c r="K1771" s="192"/>
      <c r="L1771" s="192"/>
      <c r="M1771" s="192"/>
      <c r="N1771" s="192"/>
    </row>
    <row r="1772" spans="9:14" ht="15.95" customHeight="1" x14ac:dyDescent="0.25">
      <c r="J1772" s="192"/>
      <c r="K1772" s="192"/>
      <c r="L1772" s="192"/>
      <c r="M1772" s="192"/>
      <c r="N1772" s="192"/>
    </row>
    <row r="1773" spans="9:14" ht="15.95" customHeight="1" x14ac:dyDescent="0.25">
      <c r="J1773" s="192"/>
      <c r="K1773" s="192"/>
      <c r="L1773" s="192"/>
      <c r="M1773" s="192"/>
      <c r="N1773" s="192"/>
    </row>
    <row r="1774" spans="9:14" ht="15.95" customHeight="1" x14ac:dyDescent="0.25">
      <c r="J1774" s="192"/>
      <c r="K1774" s="192"/>
      <c r="L1774" s="192"/>
      <c r="M1774" s="192"/>
      <c r="N1774" s="192"/>
    </row>
    <row r="1775" spans="9:14" ht="15.95" customHeight="1" x14ac:dyDescent="0.25">
      <c r="J1775" s="192"/>
      <c r="K1775" s="192"/>
      <c r="L1775" s="192"/>
      <c r="M1775" s="192"/>
      <c r="N1775" s="192"/>
    </row>
    <row r="1776" spans="9:14" ht="15.95" customHeight="1" x14ac:dyDescent="0.25">
      <c r="J1776" s="192"/>
      <c r="K1776" s="192"/>
      <c r="L1776" s="192"/>
      <c r="M1776" s="192"/>
      <c r="N1776" s="192"/>
    </row>
    <row r="1777" spans="10:14" ht="15.95" customHeight="1" x14ac:dyDescent="0.25">
      <c r="J1777" s="192"/>
      <c r="K1777" s="192"/>
      <c r="L1777" s="192"/>
      <c r="M1777" s="192"/>
      <c r="N1777" s="192"/>
    </row>
    <row r="1778" spans="10:14" ht="15.95" customHeight="1" x14ac:dyDescent="0.25">
      <c r="J1778" s="192"/>
      <c r="K1778" s="192"/>
      <c r="L1778" s="192"/>
      <c r="M1778" s="192"/>
      <c r="N1778" s="192"/>
    </row>
    <row r="1779" spans="10:14" ht="15.95" customHeight="1" x14ac:dyDescent="0.25">
      <c r="J1779" s="192"/>
      <c r="K1779" s="192"/>
      <c r="L1779" s="192"/>
      <c r="M1779" s="192"/>
      <c r="N1779" s="192"/>
    </row>
    <row r="1780" spans="10:14" ht="15.95" customHeight="1" x14ac:dyDescent="0.25">
      <c r="J1780" s="192"/>
      <c r="K1780" s="192"/>
      <c r="L1780" s="192"/>
      <c r="M1780" s="192"/>
      <c r="N1780" s="192"/>
    </row>
    <row r="1781" spans="10:14" ht="15.95" customHeight="1" x14ac:dyDescent="0.25">
      <c r="J1781" s="192"/>
      <c r="K1781" s="192"/>
      <c r="L1781" s="192"/>
      <c r="M1781" s="192"/>
      <c r="N1781" s="192"/>
    </row>
    <row r="1782" spans="10:14" ht="15.95" customHeight="1" x14ac:dyDescent="0.25">
      <c r="J1782" s="192"/>
      <c r="K1782" s="192"/>
      <c r="L1782" s="192"/>
      <c r="M1782" s="192"/>
      <c r="N1782" s="192"/>
    </row>
    <row r="1783" spans="10:14" ht="15.95" customHeight="1" x14ac:dyDescent="0.25">
      <c r="J1783" s="192"/>
      <c r="K1783" s="192"/>
      <c r="L1783" s="192"/>
      <c r="M1783" s="192"/>
      <c r="N1783" s="192"/>
    </row>
    <row r="1784" spans="10:14" ht="15.95" customHeight="1" x14ac:dyDescent="0.25">
      <c r="J1784" s="192"/>
      <c r="K1784" s="192"/>
      <c r="L1784" s="192"/>
      <c r="M1784" s="192"/>
      <c r="N1784" s="192"/>
    </row>
    <row r="1785" spans="10:14" ht="15.95" customHeight="1" x14ac:dyDescent="0.25">
      <c r="J1785" s="192"/>
      <c r="K1785" s="192"/>
      <c r="L1785" s="192"/>
      <c r="M1785" s="192"/>
      <c r="N1785" s="192"/>
    </row>
    <row r="1786" spans="10:14" ht="15.95" customHeight="1" x14ac:dyDescent="0.25">
      <c r="J1786" s="192"/>
      <c r="K1786" s="192"/>
      <c r="L1786" s="192"/>
      <c r="M1786" s="192"/>
      <c r="N1786" s="192"/>
    </row>
    <row r="1787" spans="10:14" ht="15.95" customHeight="1" x14ac:dyDescent="0.25">
      <c r="J1787" s="192"/>
      <c r="K1787" s="192"/>
      <c r="L1787" s="192"/>
      <c r="M1787" s="192"/>
      <c r="N1787" s="192"/>
    </row>
    <row r="1788" spans="10:14" ht="15.95" customHeight="1" x14ac:dyDescent="0.25">
      <c r="J1788" s="192"/>
      <c r="K1788" s="192"/>
      <c r="L1788" s="192"/>
      <c r="M1788" s="192"/>
      <c r="N1788" s="192"/>
    </row>
    <row r="1789" spans="10:14" ht="15.95" customHeight="1" x14ac:dyDescent="0.25">
      <c r="J1789" s="192"/>
      <c r="K1789" s="192"/>
      <c r="L1789" s="192"/>
      <c r="M1789" s="192"/>
      <c r="N1789" s="192"/>
    </row>
    <row r="1790" spans="10:14" ht="15.95" customHeight="1" x14ac:dyDescent="0.25">
      <c r="J1790" s="192"/>
      <c r="K1790" s="192"/>
      <c r="L1790" s="192"/>
      <c r="M1790" s="192"/>
      <c r="N1790" s="192"/>
    </row>
    <row r="1791" spans="10:14" ht="15.95" customHeight="1" x14ac:dyDescent="0.25">
      <c r="J1791" s="192"/>
      <c r="K1791" s="192"/>
      <c r="L1791" s="192"/>
      <c r="M1791" s="192"/>
      <c r="N1791" s="192"/>
    </row>
    <row r="1792" spans="10:14" ht="15.95" customHeight="1" x14ac:dyDescent="0.25">
      <c r="J1792" s="192"/>
      <c r="K1792" s="192"/>
      <c r="L1792" s="192"/>
      <c r="M1792" s="192"/>
      <c r="N1792" s="192"/>
    </row>
    <row r="1793" spans="10:14" ht="15.95" customHeight="1" x14ac:dyDescent="0.25">
      <c r="J1793" s="192"/>
      <c r="K1793" s="192"/>
      <c r="L1793" s="192"/>
      <c r="M1793" s="192"/>
      <c r="N1793" s="192"/>
    </row>
    <row r="1794" spans="10:14" ht="15.95" customHeight="1" x14ac:dyDescent="0.25">
      <c r="J1794" s="192"/>
      <c r="K1794" s="192"/>
      <c r="L1794" s="192"/>
      <c r="M1794" s="192"/>
      <c r="N1794" s="192"/>
    </row>
    <row r="1795" spans="10:14" ht="15.95" customHeight="1" x14ac:dyDescent="0.25">
      <c r="J1795" s="192"/>
      <c r="K1795" s="192"/>
      <c r="L1795" s="192"/>
      <c r="M1795" s="192"/>
      <c r="N1795" s="192"/>
    </row>
    <row r="1796" spans="10:14" ht="15.95" customHeight="1" x14ac:dyDescent="0.25">
      <c r="J1796" s="192"/>
      <c r="K1796" s="192"/>
      <c r="L1796" s="192"/>
      <c r="M1796" s="192"/>
      <c r="N1796" s="192"/>
    </row>
    <row r="1797" spans="10:14" ht="15.95" customHeight="1" x14ac:dyDescent="0.25">
      <c r="J1797" s="192"/>
      <c r="K1797" s="192"/>
      <c r="L1797" s="192"/>
      <c r="M1797" s="192"/>
      <c r="N1797" s="192"/>
    </row>
    <row r="1798" spans="10:14" ht="15.95" customHeight="1" x14ac:dyDescent="0.25">
      <c r="J1798" s="192"/>
      <c r="K1798" s="192"/>
      <c r="L1798" s="192"/>
      <c r="M1798" s="192"/>
      <c r="N1798" s="192"/>
    </row>
    <row r="1799" spans="10:14" ht="15.95" customHeight="1" x14ac:dyDescent="0.25">
      <c r="J1799" s="192"/>
      <c r="K1799" s="192"/>
      <c r="L1799" s="192"/>
      <c r="M1799" s="192"/>
      <c r="N1799" s="192"/>
    </row>
    <row r="1800" spans="10:14" ht="15.95" customHeight="1" x14ac:dyDescent="0.25">
      <c r="J1800" s="192"/>
      <c r="K1800" s="192"/>
      <c r="L1800" s="192"/>
      <c r="M1800" s="192"/>
      <c r="N1800" s="192"/>
    </row>
    <row r="1801" spans="10:14" ht="15.95" customHeight="1" x14ac:dyDescent="0.25">
      <c r="J1801" s="192"/>
      <c r="K1801" s="192"/>
      <c r="L1801" s="192"/>
      <c r="M1801" s="192"/>
      <c r="N1801" s="192"/>
    </row>
    <row r="1802" spans="10:14" ht="15.95" customHeight="1" x14ac:dyDescent="0.25">
      <c r="J1802" s="192"/>
      <c r="K1802" s="192"/>
      <c r="L1802" s="192"/>
      <c r="M1802" s="192"/>
      <c r="N1802" s="192"/>
    </row>
    <row r="1803" spans="10:14" ht="15.95" customHeight="1" x14ac:dyDescent="0.25">
      <c r="J1803" s="192"/>
      <c r="K1803" s="192"/>
      <c r="L1803" s="192"/>
      <c r="M1803" s="192"/>
      <c r="N1803" s="192"/>
    </row>
    <row r="1804" spans="10:14" ht="15.95" customHeight="1" x14ac:dyDescent="0.25">
      <c r="J1804" s="192"/>
      <c r="K1804" s="192"/>
      <c r="L1804" s="192"/>
      <c r="M1804" s="192"/>
      <c r="N1804" s="192"/>
    </row>
    <row r="1805" spans="10:14" ht="15.95" customHeight="1" x14ac:dyDescent="0.25">
      <c r="J1805" s="192"/>
      <c r="K1805" s="192"/>
      <c r="L1805" s="192"/>
      <c r="M1805" s="192"/>
      <c r="N1805" s="192"/>
    </row>
    <row r="1806" spans="10:14" ht="15.95" customHeight="1" x14ac:dyDescent="0.25">
      <c r="J1806" s="192"/>
      <c r="K1806" s="192"/>
      <c r="L1806" s="192"/>
      <c r="M1806" s="192"/>
      <c r="N1806" s="192"/>
    </row>
    <row r="1807" spans="10:14" ht="15.95" customHeight="1" x14ac:dyDescent="0.25">
      <c r="J1807" s="192"/>
      <c r="K1807" s="192"/>
      <c r="L1807" s="192"/>
      <c r="M1807" s="192"/>
      <c r="N1807" s="192"/>
    </row>
    <row r="1808" spans="10:14" ht="15.95" customHeight="1" x14ac:dyDescent="0.25">
      <c r="J1808" s="192"/>
      <c r="K1808" s="192"/>
      <c r="L1808" s="192"/>
      <c r="M1808" s="192"/>
      <c r="N1808" s="192"/>
    </row>
    <row r="1809" spans="10:14" ht="15.95" customHeight="1" x14ac:dyDescent="0.25">
      <c r="J1809" s="192"/>
      <c r="K1809" s="192"/>
      <c r="L1809" s="192"/>
      <c r="M1809" s="192"/>
      <c r="N1809" s="192"/>
    </row>
    <row r="1810" spans="10:14" ht="15.95" customHeight="1" x14ac:dyDescent="0.25">
      <c r="J1810" s="192"/>
      <c r="K1810" s="192"/>
      <c r="L1810" s="192"/>
      <c r="M1810" s="192"/>
      <c r="N1810" s="192"/>
    </row>
    <row r="1811" spans="10:14" ht="15.95" customHeight="1" x14ac:dyDescent="0.25">
      <c r="J1811" s="192"/>
      <c r="K1811" s="192"/>
      <c r="L1811" s="192"/>
      <c r="M1811" s="192"/>
      <c r="N1811" s="192"/>
    </row>
    <row r="1812" spans="10:14" ht="15.95" customHeight="1" x14ac:dyDescent="0.25">
      <c r="J1812" s="192"/>
      <c r="K1812" s="192"/>
      <c r="L1812" s="192"/>
      <c r="M1812" s="192"/>
      <c r="N1812" s="192"/>
    </row>
    <row r="1813" spans="10:14" ht="15.95" customHeight="1" x14ac:dyDescent="0.25">
      <c r="J1813" s="192"/>
      <c r="K1813" s="192"/>
      <c r="L1813" s="192"/>
      <c r="M1813" s="192"/>
      <c r="N1813" s="192"/>
    </row>
    <row r="1814" spans="10:14" ht="15.95" customHeight="1" x14ac:dyDescent="0.25">
      <c r="J1814" s="192"/>
      <c r="K1814" s="192"/>
      <c r="L1814" s="192"/>
      <c r="M1814" s="192"/>
      <c r="N1814" s="192"/>
    </row>
    <row r="1815" spans="10:14" ht="15.95" customHeight="1" x14ac:dyDescent="0.25">
      <c r="J1815" s="192"/>
      <c r="K1815" s="192"/>
      <c r="L1815" s="192"/>
      <c r="M1815" s="192"/>
      <c r="N1815" s="192"/>
    </row>
    <row r="1816" spans="10:14" ht="15.95" customHeight="1" x14ac:dyDescent="0.25">
      <c r="J1816" s="192"/>
      <c r="K1816" s="192"/>
      <c r="L1816" s="192"/>
      <c r="M1816" s="192"/>
      <c r="N1816" s="192"/>
    </row>
    <row r="1817" spans="10:14" ht="15.95" customHeight="1" x14ac:dyDescent="0.25">
      <c r="J1817" s="192"/>
      <c r="K1817" s="192"/>
      <c r="L1817" s="192"/>
      <c r="M1817" s="192"/>
      <c r="N1817" s="192"/>
    </row>
    <row r="1818" spans="10:14" ht="15.95" customHeight="1" x14ac:dyDescent="0.25">
      <c r="J1818" s="192"/>
      <c r="K1818" s="192"/>
      <c r="L1818" s="192"/>
      <c r="M1818" s="192"/>
      <c r="N1818" s="192"/>
    </row>
    <row r="1819" spans="10:14" ht="15.95" customHeight="1" x14ac:dyDescent="0.25">
      <c r="J1819" s="192"/>
      <c r="K1819" s="192"/>
      <c r="L1819" s="192"/>
      <c r="M1819" s="192"/>
      <c r="N1819" s="192"/>
    </row>
    <row r="1820" spans="10:14" ht="15.95" customHeight="1" x14ac:dyDescent="0.25">
      <c r="J1820" s="192"/>
      <c r="K1820" s="192"/>
      <c r="L1820" s="192"/>
      <c r="M1820" s="192"/>
      <c r="N1820" s="192"/>
    </row>
    <row r="1821" spans="10:14" ht="15.95" customHeight="1" x14ac:dyDescent="0.25">
      <c r="J1821" s="192"/>
      <c r="K1821" s="192"/>
      <c r="L1821" s="192"/>
      <c r="M1821" s="192"/>
      <c r="N1821" s="192"/>
    </row>
    <row r="1822" spans="10:14" ht="15.95" customHeight="1" x14ac:dyDescent="0.25">
      <c r="J1822" s="192"/>
      <c r="K1822" s="192"/>
      <c r="L1822" s="192"/>
      <c r="M1822" s="192"/>
      <c r="N1822" s="192"/>
    </row>
    <row r="1823" spans="10:14" ht="15.95" customHeight="1" x14ac:dyDescent="0.25">
      <c r="J1823" s="192"/>
      <c r="K1823" s="192"/>
      <c r="L1823" s="192"/>
      <c r="M1823" s="192"/>
      <c r="N1823" s="192"/>
    </row>
    <row r="1824" spans="10:14" ht="15.95" customHeight="1" x14ac:dyDescent="0.25">
      <c r="J1824" s="192"/>
      <c r="K1824" s="192"/>
      <c r="L1824" s="192"/>
      <c r="M1824" s="192"/>
      <c r="N1824" s="192"/>
    </row>
    <row r="1825" spans="10:14" ht="15.95" customHeight="1" x14ac:dyDescent="0.25">
      <c r="J1825" s="192"/>
      <c r="K1825" s="192"/>
      <c r="L1825" s="192"/>
      <c r="M1825" s="192"/>
      <c r="N1825" s="192"/>
    </row>
    <row r="1826" spans="10:14" ht="15.95" customHeight="1" x14ac:dyDescent="0.25">
      <c r="J1826" s="192"/>
      <c r="K1826" s="192"/>
      <c r="L1826" s="192"/>
      <c r="M1826" s="192"/>
      <c r="N1826" s="192"/>
    </row>
    <row r="1827" spans="10:14" ht="15.95" customHeight="1" x14ac:dyDescent="0.25">
      <c r="J1827" s="192"/>
      <c r="K1827" s="192"/>
      <c r="L1827" s="192"/>
      <c r="M1827" s="192"/>
      <c r="N1827" s="192"/>
    </row>
    <row r="1828" spans="10:14" ht="15.95" customHeight="1" x14ac:dyDescent="0.25">
      <c r="J1828" s="192"/>
      <c r="K1828" s="192"/>
      <c r="L1828" s="192"/>
      <c r="M1828" s="192"/>
      <c r="N1828" s="192"/>
    </row>
    <row r="1829" spans="10:14" ht="15.95" customHeight="1" x14ac:dyDescent="0.25">
      <c r="J1829" s="192"/>
      <c r="K1829" s="192"/>
      <c r="L1829" s="192"/>
      <c r="M1829" s="192"/>
      <c r="N1829" s="192"/>
    </row>
    <row r="1830" spans="10:14" ht="15.95" customHeight="1" x14ac:dyDescent="0.25">
      <c r="J1830" s="192"/>
      <c r="K1830" s="192"/>
      <c r="L1830" s="192"/>
      <c r="M1830" s="192"/>
      <c r="N1830" s="192"/>
    </row>
    <row r="1831" spans="10:14" ht="15.95" customHeight="1" x14ac:dyDescent="0.25">
      <c r="J1831" s="192"/>
      <c r="K1831" s="192"/>
      <c r="L1831" s="192"/>
      <c r="M1831" s="192"/>
      <c r="N1831" s="192"/>
    </row>
    <row r="1832" spans="10:14" ht="15.95" customHeight="1" x14ac:dyDescent="0.25">
      <c r="J1832" s="192"/>
      <c r="K1832" s="192"/>
      <c r="L1832" s="192"/>
      <c r="M1832" s="192"/>
      <c r="N1832" s="192"/>
    </row>
    <row r="1833" spans="10:14" ht="15.95" customHeight="1" x14ac:dyDescent="0.25">
      <c r="J1833" s="192"/>
      <c r="K1833" s="192"/>
      <c r="L1833" s="192"/>
      <c r="M1833" s="192"/>
      <c r="N1833" s="192"/>
    </row>
    <row r="1834" spans="10:14" ht="15.95" customHeight="1" x14ac:dyDescent="0.25">
      <c r="J1834" s="192"/>
      <c r="K1834" s="192"/>
      <c r="L1834" s="192"/>
      <c r="M1834" s="192"/>
      <c r="N1834" s="192"/>
    </row>
    <row r="1835" spans="10:14" ht="15.95" customHeight="1" x14ac:dyDescent="0.25">
      <c r="J1835" s="192"/>
      <c r="K1835" s="192"/>
      <c r="L1835" s="192"/>
      <c r="M1835" s="192"/>
      <c r="N1835" s="192"/>
    </row>
    <row r="1836" spans="10:14" ht="15.95" customHeight="1" x14ac:dyDescent="0.25">
      <c r="J1836" s="192"/>
      <c r="K1836" s="192"/>
      <c r="L1836" s="192"/>
      <c r="M1836" s="192"/>
      <c r="N1836" s="192"/>
    </row>
    <row r="1837" spans="10:14" ht="15.95" customHeight="1" x14ac:dyDescent="0.25">
      <c r="J1837" s="192"/>
      <c r="K1837" s="192"/>
      <c r="L1837" s="192"/>
      <c r="M1837" s="192"/>
      <c r="N1837" s="192"/>
    </row>
    <row r="1838" spans="10:14" ht="15.95" customHeight="1" x14ac:dyDescent="0.25">
      <c r="J1838" s="192"/>
      <c r="K1838" s="192"/>
      <c r="L1838" s="192"/>
      <c r="M1838" s="192"/>
      <c r="N1838" s="192"/>
    </row>
    <row r="1839" spans="10:14" ht="15.95" customHeight="1" x14ac:dyDescent="0.25">
      <c r="J1839" s="192"/>
      <c r="K1839" s="192"/>
      <c r="L1839" s="192"/>
      <c r="M1839" s="192"/>
      <c r="N1839" s="192"/>
    </row>
    <row r="1840" spans="10:14" ht="15.95" customHeight="1" x14ac:dyDescent="0.25">
      <c r="J1840" s="192"/>
      <c r="K1840" s="192"/>
      <c r="L1840" s="192"/>
      <c r="M1840" s="192"/>
      <c r="N1840" s="192"/>
    </row>
    <row r="1841" spans="10:14" ht="15.95" customHeight="1" x14ac:dyDescent="0.25">
      <c r="J1841" s="192"/>
      <c r="K1841" s="192"/>
      <c r="L1841" s="192"/>
      <c r="M1841" s="192"/>
      <c r="N1841" s="192"/>
    </row>
    <row r="1842" spans="10:14" ht="15.95" customHeight="1" x14ac:dyDescent="0.25">
      <c r="J1842" s="192"/>
      <c r="K1842" s="192"/>
      <c r="L1842" s="192"/>
      <c r="M1842" s="192"/>
      <c r="N1842" s="192"/>
    </row>
    <row r="1843" spans="10:14" ht="15.95" customHeight="1" x14ac:dyDescent="0.25">
      <c r="J1843" s="192"/>
      <c r="K1843" s="192"/>
      <c r="L1843" s="192"/>
      <c r="M1843" s="192"/>
      <c r="N1843" s="192"/>
    </row>
    <row r="1844" spans="10:14" ht="15.95" customHeight="1" x14ac:dyDescent="0.25">
      <c r="J1844" s="192"/>
      <c r="K1844" s="192"/>
      <c r="L1844" s="192"/>
      <c r="M1844" s="192"/>
      <c r="N1844" s="192"/>
    </row>
    <row r="1845" spans="10:14" ht="15.95" customHeight="1" x14ac:dyDescent="0.25">
      <c r="J1845" s="192"/>
      <c r="K1845" s="192"/>
      <c r="L1845" s="192"/>
      <c r="M1845" s="192"/>
      <c r="N1845" s="192"/>
    </row>
    <row r="1846" spans="10:14" ht="15.95" customHeight="1" x14ac:dyDescent="0.25">
      <c r="J1846" s="192"/>
      <c r="K1846" s="192"/>
      <c r="L1846" s="192"/>
      <c r="M1846" s="192"/>
      <c r="N1846" s="192"/>
    </row>
    <row r="1847" spans="10:14" ht="15.95" customHeight="1" x14ac:dyDescent="0.25">
      <c r="J1847" s="192"/>
      <c r="K1847" s="192"/>
      <c r="L1847" s="192"/>
      <c r="M1847" s="192"/>
      <c r="N1847" s="192"/>
    </row>
    <row r="1848" spans="10:14" ht="15.95" customHeight="1" x14ac:dyDescent="0.25">
      <c r="J1848" s="192"/>
      <c r="K1848" s="192"/>
      <c r="L1848" s="192"/>
      <c r="M1848" s="192"/>
      <c r="N1848" s="192"/>
    </row>
    <row r="1849" spans="10:14" ht="15.95" customHeight="1" x14ac:dyDescent="0.25">
      <c r="J1849" s="192"/>
      <c r="K1849" s="192"/>
      <c r="L1849" s="192"/>
      <c r="M1849" s="192"/>
      <c r="N1849" s="192"/>
    </row>
    <row r="1850" spans="10:14" ht="15.95" customHeight="1" x14ac:dyDescent="0.25">
      <c r="J1850" s="192"/>
      <c r="K1850" s="192"/>
      <c r="L1850" s="192"/>
      <c r="M1850" s="192"/>
      <c r="N1850" s="192"/>
    </row>
    <row r="1851" spans="10:14" ht="15.95" customHeight="1" x14ac:dyDescent="0.25">
      <c r="J1851" s="192"/>
      <c r="K1851" s="192"/>
      <c r="L1851" s="192"/>
      <c r="M1851" s="192"/>
      <c r="N1851" s="192"/>
    </row>
    <row r="1852" spans="10:14" ht="15.95" customHeight="1" x14ac:dyDescent="0.25">
      <c r="J1852" s="192"/>
      <c r="K1852" s="192"/>
      <c r="L1852" s="192"/>
      <c r="M1852" s="192"/>
      <c r="N1852" s="192"/>
    </row>
    <row r="1853" spans="10:14" ht="15.95" customHeight="1" x14ac:dyDescent="0.25">
      <c r="J1853" s="192"/>
      <c r="K1853" s="192"/>
      <c r="L1853" s="192"/>
      <c r="M1853" s="192"/>
      <c r="N1853" s="192"/>
    </row>
    <row r="1854" spans="10:14" ht="15.95" customHeight="1" x14ac:dyDescent="0.25">
      <c r="J1854" s="192"/>
      <c r="K1854" s="192"/>
      <c r="L1854" s="192"/>
      <c r="M1854" s="192"/>
      <c r="N1854" s="192"/>
    </row>
    <row r="1855" spans="10:14" ht="15.95" customHeight="1" x14ac:dyDescent="0.25">
      <c r="J1855" s="192"/>
      <c r="K1855" s="192"/>
      <c r="L1855" s="192"/>
      <c r="M1855" s="192"/>
      <c r="N1855" s="192"/>
    </row>
    <row r="1856" spans="10:14" ht="15.95" customHeight="1" x14ac:dyDescent="0.25">
      <c r="J1856" s="192"/>
      <c r="K1856" s="192"/>
      <c r="L1856" s="192"/>
      <c r="M1856" s="192"/>
      <c r="N1856" s="192"/>
    </row>
    <row r="1857" spans="10:14" ht="15.95" customHeight="1" x14ac:dyDescent="0.25">
      <c r="J1857" s="192"/>
      <c r="K1857" s="192"/>
      <c r="L1857" s="192"/>
      <c r="M1857" s="192"/>
      <c r="N1857" s="192"/>
    </row>
    <row r="1858" spans="10:14" ht="15.95" customHeight="1" x14ac:dyDescent="0.25">
      <c r="J1858" s="192"/>
      <c r="K1858" s="192"/>
      <c r="L1858" s="192"/>
      <c r="M1858" s="192"/>
      <c r="N1858" s="192"/>
    </row>
    <row r="1859" spans="10:14" ht="15.95" customHeight="1" x14ac:dyDescent="0.25">
      <c r="J1859" s="192"/>
      <c r="K1859" s="192"/>
      <c r="L1859" s="192"/>
      <c r="M1859" s="192"/>
      <c r="N1859" s="192"/>
    </row>
    <row r="1860" spans="10:14" ht="15.95" customHeight="1" x14ac:dyDescent="0.25">
      <c r="J1860" s="192"/>
      <c r="K1860" s="192"/>
      <c r="L1860" s="192"/>
      <c r="M1860" s="192"/>
      <c r="N1860" s="192"/>
    </row>
    <row r="1861" spans="10:14" ht="15.95" customHeight="1" x14ac:dyDescent="0.25">
      <c r="J1861" s="192"/>
      <c r="K1861" s="192"/>
      <c r="L1861" s="192"/>
      <c r="M1861" s="192"/>
      <c r="N1861" s="192"/>
    </row>
    <row r="1862" spans="10:14" ht="15.95" customHeight="1" x14ac:dyDescent="0.25">
      <c r="J1862" s="192"/>
      <c r="K1862" s="192"/>
      <c r="L1862" s="192"/>
      <c r="M1862" s="192"/>
      <c r="N1862" s="192"/>
    </row>
    <row r="1863" spans="10:14" ht="15.95" customHeight="1" x14ac:dyDescent="0.25">
      <c r="J1863" s="192"/>
      <c r="K1863" s="192"/>
      <c r="L1863" s="192"/>
      <c r="M1863" s="192"/>
      <c r="N1863" s="192"/>
    </row>
    <row r="1864" spans="10:14" ht="15.95" customHeight="1" x14ac:dyDescent="0.25">
      <c r="J1864" s="192"/>
      <c r="K1864" s="192"/>
      <c r="L1864" s="192"/>
      <c r="M1864" s="192"/>
      <c r="N1864" s="192"/>
    </row>
    <row r="1865" spans="10:14" ht="15.95" customHeight="1" x14ac:dyDescent="0.25">
      <c r="J1865" s="192"/>
      <c r="K1865" s="192"/>
      <c r="L1865" s="192"/>
      <c r="M1865" s="192"/>
      <c r="N1865" s="192"/>
    </row>
    <row r="1866" spans="10:14" ht="15.95" customHeight="1" x14ac:dyDescent="0.25">
      <c r="J1866" s="192"/>
      <c r="K1866" s="192"/>
      <c r="L1866" s="192"/>
      <c r="M1866" s="192"/>
      <c r="N1866" s="192"/>
    </row>
    <row r="1867" spans="10:14" ht="15.95" customHeight="1" x14ac:dyDescent="0.25">
      <c r="J1867" s="192"/>
      <c r="K1867" s="192"/>
      <c r="L1867" s="192"/>
      <c r="M1867" s="192"/>
      <c r="N1867" s="192"/>
    </row>
    <row r="1868" spans="10:14" ht="15.95" customHeight="1" x14ac:dyDescent="0.25">
      <c r="J1868" s="192"/>
      <c r="K1868" s="192"/>
      <c r="L1868" s="192"/>
      <c r="M1868" s="192"/>
      <c r="N1868" s="192"/>
    </row>
    <row r="1869" spans="10:14" ht="15.95" customHeight="1" x14ac:dyDescent="0.25"/>
    <row r="1870" spans="10:14" ht="15.95" customHeight="1" x14ac:dyDescent="0.25"/>
    <row r="1871" spans="10:14" ht="32.1" customHeight="1" x14ac:dyDescent="0.25">
      <c r="J1871" s="235" t="str">
        <f>ComparisonData!IP2</f>
        <v>SECTION B: OUR STAFF, SERVICES &amp; FACILITIES</v>
      </c>
      <c r="K1871" s="236"/>
      <c r="L1871" s="236"/>
      <c r="M1871" s="236"/>
      <c r="N1871" s="237"/>
    </row>
    <row r="1872" spans="10:14" ht="32.1" customHeight="1" x14ac:dyDescent="0.25">
      <c r="J1872" s="235" t="str">
        <f>ComparisonData!IP3</f>
        <v>6.  Please rate the following services used during your visit to this archive</v>
      </c>
      <c r="K1872" s="236"/>
      <c r="L1872" s="236"/>
      <c r="M1872" s="236"/>
      <c r="N1872" s="237"/>
    </row>
    <row r="1873" spans="9:14" ht="32.1" customHeight="1" x14ac:dyDescent="0.25">
      <c r="J1873" s="235" t="str">
        <f>ComparisonData!IP4</f>
        <v>Speed of our computers</v>
      </c>
      <c r="K1873" s="236"/>
      <c r="L1873" s="236"/>
      <c r="M1873" s="236"/>
      <c r="N1873" s="237"/>
    </row>
    <row r="1874" spans="9:14" ht="32.1" customHeight="1" x14ac:dyDescent="0.25">
      <c r="J1874" s="185" t="str">
        <f>ComparisonData!IU5</f>
        <v>Very good</v>
      </c>
      <c r="K1874" s="185" t="str">
        <f>ComparisonData!IV5</f>
        <v>Fairly good</v>
      </c>
      <c r="L1874" s="185" t="str">
        <f>ComparisonData!IW5</f>
        <v>Neither</v>
      </c>
      <c r="M1874" s="185" t="str">
        <f>ComparisonData!IX5</f>
        <v>Poor</v>
      </c>
      <c r="N1874" s="185" t="str">
        <f>ComparisonData!IY5</f>
        <v>Very poor</v>
      </c>
    </row>
    <row r="1875" spans="9:14" ht="15.95" customHeight="1" x14ac:dyDescent="0.25">
      <c r="I1875" s="188" t="str" cm="1">
        <f t="array" aca="1" ref="I1875" ca="1">Speed_of_our_computers_lbl</f>
        <v>TOTAL</v>
      </c>
      <c r="J1875" s="192" cm="1">
        <f t="array" aca="1" ref="J1875" ca="1">Speed_of_our_computers_1</f>
        <v>0.65446000000000004</v>
      </c>
      <c r="K1875" s="192" cm="1">
        <f t="array" aca="1" ref="K1875" ca="1">Speed_of_our_computers_2</f>
        <v>0.27461999999999998</v>
      </c>
      <c r="L1875" s="192" cm="1">
        <f t="array" aca="1" ref="L1875" ca="1">Speed_of_our_computers_3</f>
        <v>4.5109999999999997E-2</v>
      </c>
      <c r="M1875" s="192" cm="1">
        <f t="array" aca="1" ref="M1875" ca="1">Speed_of_our_computers_4</f>
        <v>2.1690000000000001E-2</v>
      </c>
      <c r="N1875" s="192" cm="1">
        <f t="array" aca="1" ref="N1875" ca="1">Speed_of_our_computers_5</f>
        <v>4.1208982349612714E-3</v>
      </c>
    </row>
    <row r="1876" spans="9:14" ht="15.95" customHeight="1" x14ac:dyDescent="0.25">
      <c r="J1876" s="192"/>
      <c r="K1876" s="192"/>
      <c r="L1876" s="192"/>
      <c r="M1876" s="192"/>
      <c r="N1876" s="192"/>
    </row>
    <row r="1877" spans="9:14" ht="15.95" customHeight="1" x14ac:dyDescent="0.25">
      <c r="J1877" s="192"/>
      <c r="K1877" s="192"/>
      <c r="L1877" s="192"/>
      <c r="M1877" s="192"/>
      <c r="N1877" s="192"/>
    </row>
    <row r="1878" spans="9:14" ht="15.95" customHeight="1" x14ac:dyDescent="0.25">
      <c r="J1878" s="192"/>
      <c r="K1878" s="192"/>
      <c r="L1878" s="192"/>
      <c r="M1878" s="192"/>
      <c r="N1878" s="192"/>
    </row>
    <row r="1879" spans="9:14" ht="15.95" customHeight="1" x14ac:dyDescent="0.25">
      <c r="J1879" s="192"/>
      <c r="K1879" s="192"/>
      <c r="L1879" s="192"/>
      <c r="M1879" s="192"/>
      <c r="N1879" s="192"/>
    </row>
    <row r="1880" spans="9:14" ht="15.95" customHeight="1" x14ac:dyDescent="0.25">
      <c r="J1880" s="192"/>
      <c r="K1880" s="192"/>
      <c r="L1880" s="192"/>
      <c r="M1880" s="192"/>
      <c r="N1880" s="192"/>
    </row>
    <row r="1881" spans="9:14" ht="15.95" customHeight="1" x14ac:dyDescent="0.25">
      <c r="J1881" s="192"/>
      <c r="K1881" s="192"/>
      <c r="L1881" s="192"/>
      <c r="M1881" s="192"/>
      <c r="N1881" s="192"/>
    </row>
    <row r="1882" spans="9:14" ht="15.95" customHeight="1" x14ac:dyDescent="0.25">
      <c r="J1882" s="192"/>
      <c r="K1882" s="192"/>
      <c r="L1882" s="192"/>
      <c r="M1882" s="192"/>
      <c r="N1882" s="192"/>
    </row>
    <row r="1883" spans="9:14" ht="15.95" customHeight="1" x14ac:dyDescent="0.25">
      <c r="J1883" s="192"/>
      <c r="K1883" s="192"/>
      <c r="L1883" s="192"/>
      <c r="M1883" s="192"/>
      <c r="N1883" s="192"/>
    </row>
    <row r="1884" spans="9:14" ht="15.95" customHeight="1" x14ac:dyDescent="0.25">
      <c r="J1884" s="192"/>
      <c r="K1884" s="192"/>
      <c r="L1884" s="192"/>
      <c r="M1884" s="192"/>
      <c r="N1884" s="192"/>
    </row>
    <row r="1885" spans="9:14" ht="15.95" customHeight="1" x14ac:dyDescent="0.25">
      <c r="J1885" s="192"/>
      <c r="K1885" s="192"/>
      <c r="L1885" s="192"/>
      <c r="M1885" s="192"/>
      <c r="N1885" s="192"/>
    </row>
    <row r="1886" spans="9:14" ht="15.95" customHeight="1" x14ac:dyDescent="0.25">
      <c r="J1886" s="192"/>
      <c r="K1886" s="192"/>
      <c r="L1886" s="192"/>
      <c r="M1886" s="192"/>
      <c r="N1886" s="192"/>
    </row>
    <row r="1887" spans="9:14" ht="15.95" customHeight="1" x14ac:dyDescent="0.25">
      <c r="J1887" s="192"/>
      <c r="K1887" s="192"/>
      <c r="L1887" s="192"/>
      <c r="M1887" s="192"/>
      <c r="N1887" s="192"/>
    </row>
    <row r="1888" spans="9:14" ht="15.95" customHeight="1" x14ac:dyDescent="0.25">
      <c r="J1888" s="192"/>
      <c r="K1888" s="192"/>
      <c r="L1888" s="192"/>
      <c r="M1888" s="192"/>
      <c r="N1888" s="192"/>
    </row>
    <row r="1889" spans="10:14" ht="15.95" customHeight="1" x14ac:dyDescent="0.25">
      <c r="J1889" s="192"/>
      <c r="K1889" s="192"/>
      <c r="L1889" s="192"/>
      <c r="M1889" s="192"/>
      <c r="N1889" s="192"/>
    </row>
    <row r="1890" spans="10:14" ht="15.95" customHeight="1" x14ac:dyDescent="0.25">
      <c r="J1890" s="192"/>
      <c r="K1890" s="192"/>
      <c r="L1890" s="192"/>
      <c r="M1890" s="192"/>
      <c r="N1890" s="192"/>
    </row>
    <row r="1891" spans="10:14" ht="15.95" customHeight="1" x14ac:dyDescent="0.25">
      <c r="J1891" s="192"/>
      <c r="K1891" s="192"/>
      <c r="L1891" s="192"/>
      <c r="M1891" s="192"/>
      <c r="N1891" s="192"/>
    </row>
    <row r="1892" spans="10:14" ht="15.95" customHeight="1" x14ac:dyDescent="0.25">
      <c r="J1892" s="192"/>
      <c r="K1892" s="192"/>
      <c r="L1892" s="192"/>
      <c r="M1892" s="192"/>
      <c r="N1892" s="192"/>
    </row>
    <row r="1893" spans="10:14" ht="15.95" customHeight="1" x14ac:dyDescent="0.25">
      <c r="J1893" s="192"/>
      <c r="K1893" s="192"/>
      <c r="L1893" s="192"/>
      <c r="M1893" s="192"/>
      <c r="N1893" s="192"/>
    </row>
    <row r="1894" spans="10:14" ht="15.95" customHeight="1" x14ac:dyDescent="0.25">
      <c r="J1894" s="192"/>
      <c r="K1894" s="192"/>
      <c r="L1894" s="192"/>
      <c r="M1894" s="192"/>
      <c r="N1894" s="192"/>
    </row>
    <row r="1895" spans="10:14" ht="15.95" customHeight="1" x14ac:dyDescent="0.25">
      <c r="J1895" s="192"/>
      <c r="K1895" s="192"/>
      <c r="L1895" s="192"/>
      <c r="M1895" s="192"/>
      <c r="N1895" s="192"/>
    </row>
    <row r="1896" spans="10:14" ht="15.95" customHeight="1" x14ac:dyDescent="0.25">
      <c r="J1896" s="192"/>
      <c r="K1896" s="192"/>
      <c r="L1896" s="192"/>
      <c r="M1896" s="192"/>
      <c r="N1896" s="192"/>
    </row>
    <row r="1897" spans="10:14" ht="15.95" customHeight="1" x14ac:dyDescent="0.25">
      <c r="J1897" s="192"/>
      <c r="K1897" s="192"/>
      <c r="L1897" s="192"/>
      <c r="M1897" s="192"/>
      <c r="N1897" s="192"/>
    </row>
    <row r="1898" spans="10:14" ht="15.95" customHeight="1" x14ac:dyDescent="0.25">
      <c r="J1898" s="192"/>
      <c r="K1898" s="192"/>
      <c r="L1898" s="192"/>
      <c r="M1898" s="192"/>
      <c r="N1898" s="192"/>
    </row>
    <row r="1899" spans="10:14" ht="15.95" customHeight="1" x14ac:dyDescent="0.25">
      <c r="J1899" s="192"/>
      <c r="K1899" s="192"/>
      <c r="L1899" s="192"/>
      <c r="M1899" s="192"/>
      <c r="N1899" s="192"/>
    </row>
    <row r="1900" spans="10:14" ht="15.95" customHeight="1" x14ac:dyDescent="0.25">
      <c r="J1900" s="192"/>
      <c r="K1900" s="192"/>
      <c r="L1900" s="192"/>
      <c r="M1900" s="192"/>
      <c r="N1900" s="192"/>
    </row>
    <row r="1901" spans="10:14" ht="15.95" customHeight="1" x14ac:dyDescent="0.25">
      <c r="J1901" s="192"/>
      <c r="K1901" s="192"/>
      <c r="L1901" s="192"/>
      <c r="M1901" s="192"/>
      <c r="N1901" s="192"/>
    </row>
    <row r="1902" spans="10:14" ht="15.95" customHeight="1" x14ac:dyDescent="0.25">
      <c r="J1902" s="192"/>
      <c r="K1902" s="192"/>
      <c r="L1902" s="192"/>
      <c r="M1902" s="192"/>
      <c r="N1902" s="192"/>
    </row>
    <row r="1903" spans="10:14" ht="15.95" customHeight="1" x14ac:dyDescent="0.25">
      <c r="J1903" s="192"/>
      <c r="K1903" s="192"/>
      <c r="L1903" s="192"/>
      <c r="M1903" s="192"/>
      <c r="N1903" s="192"/>
    </row>
    <row r="1904" spans="10:14" ht="15.95" customHeight="1" x14ac:dyDescent="0.25">
      <c r="J1904" s="192"/>
      <c r="K1904" s="192"/>
      <c r="L1904" s="192"/>
      <c r="M1904" s="192"/>
      <c r="N1904" s="192"/>
    </row>
    <row r="1905" spans="10:14" ht="15.95" customHeight="1" x14ac:dyDescent="0.25">
      <c r="J1905" s="192"/>
      <c r="K1905" s="192"/>
      <c r="L1905" s="192"/>
      <c r="M1905" s="192"/>
      <c r="N1905" s="192"/>
    </row>
    <row r="1906" spans="10:14" ht="15.95" customHeight="1" x14ac:dyDescent="0.25">
      <c r="J1906" s="192"/>
      <c r="K1906" s="192"/>
      <c r="L1906" s="192"/>
      <c r="M1906" s="192"/>
      <c r="N1906" s="192"/>
    </row>
    <row r="1907" spans="10:14" ht="15.95" customHeight="1" x14ac:dyDescent="0.25">
      <c r="J1907" s="192"/>
      <c r="K1907" s="192"/>
      <c r="L1907" s="192"/>
      <c r="M1907" s="192"/>
      <c r="N1907" s="192"/>
    </row>
    <row r="1908" spans="10:14" ht="15.95" customHeight="1" x14ac:dyDescent="0.25">
      <c r="J1908" s="192"/>
      <c r="K1908" s="192"/>
      <c r="L1908" s="192"/>
      <c r="M1908" s="192"/>
      <c r="N1908" s="192"/>
    </row>
    <row r="1909" spans="10:14" ht="15.95" customHeight="1" x14ac:dyDescent="0.25">
      <c r="J1909" s="192"/>
      <c r="K1909" s="192"/>
      <c r="L1909" s="192"/>
      <c r="M1909" s="192"/>
      <c r="N1909" s="192"/>
    </row>
    <row r="1910" spans="10:14" ht="15.95" customHeight="1" x14ac:dyDescent="0.25">
      <c r="J1910" s="192"/>
      <c r="K1910" s="192"/>
      <c r="L1910" s="192"/>
      <c r="M1910" s="192"/>
      <c r="N1910" s="192"/>
    </row>
    <row r="1911" spans="10:14" ht="15.95" customHeight="1" x14ac:dyDescent="0.25">
      <c r="J1911" s="192"/>
      <c r="K1911" s="192"/>
      <c r="L1911" s="192"/>
      <c r="M1911" s="192"/>
      <c r="N1911" s="192"/>
    </row>
    <row r="1912" spans="10:14" ht="15.95" customHeight="1" x14ac:dyDescent="0.25">
      <c r="J1912" s="192"/>
      <c r="K1912" s="192"/>
      <c r="L1912" s="192"/>
      <c r="M1912" s="192"/>
      <c r="N1912" s="192"/>
    </row>
    <row r="1913" spans="10:14" ht="15.95" customHeight="1" x14ac:dyDescent="0.25">
      <c r="J1913" s="192"/>
      <c r="K1913" s="192"/>
      <c r="L1913" s="192"/>
      <c r="M1913" s="192"/>
      <c r="N1913" s="192"/>
    </row>
    <row r="1914" spans="10:14" ht="15.95" customHeight="1" x14ac:dyDescent="0.25">
      <c r="J1914" s="192"/>
      <c r="K1914" s="192"/>
      <c r="L1914" s="192"/>
      <c r="M1914" s="192"/>
      <c r="N1914" s="192"/>
    </row>
    <row r="1915" spans="10:14" ht="15.95" customHeight="1" x14ac:dyDescent="0.25">
      <c r="J1915" s="192"/>
      <c r="K1915" s="192"/>
      <c r="L1915" s="192"/>
      <c r="M1915" s="192"/>
      <c r="N1915" s="192"/>
    </row>
    <row r="1916" spans="10:14" ht="15.95" customHeight="1" x14ac:dyDescent="0.25">
      <c r="J1916" s="192"/>
      <c r="K1916" s="192"/>
      <c r="L1916" s="192"/>
      <c r="M1916" s="192"/>
      <c r="N1916" s="192"/>
    </row>
    <row r="1917" spans="10:14" ht="15.95" customHeight="1" x14ac:dyDescent="0.25">
      <c r="J1917" s="192"/>
      <c r="K1917" s="192"/>
      <c r="L1917" s="192"/>
      <c r="M1917" s="192"/>
      <c r="N1917" s="192"/>
    </row>
    <row r="1918" spans="10:14" ht="15.95" customHeight="1" x14ac:dyDescent="0.25">
      <c r="J1918" s="192"/>
      <c r="K1918" s="192"/>
      <c r="L1918" s="192"/>
      <c r="M1918" s="192"/>
      <c r="N1918" s="192"/>
    </row>
    <row r="1919" spans="10:14" ht="15.95" customHeight="1" x14ac:dyDescent="0.25">
      <c r="J1919" s="192"/>
      <c r="K1919" s="192"/>
      <c r="L1919" s="192"/>
      <c r="M1919" s="192"/>
      <c r="N1919" s="192"/>
    </row>
    <row r="1920" spans="10:14" ht="15.95" customHeight="1" x14ac:dyDescent="0.25">
      <c r="J1920" s="192"/>
      <c r="K1920" s="192"/>
      <c r="L1920" s="192"/>
      <c r="M1920" s="192"/>
      <c r="N1920" s="192"/>
    </row>
    <row r="1921" spans="10:14" ht="15.95" customHeight="1" x14ac:dyDescent="0.25">
      <c r="J1921" s="192"/>
      <c r="K1921" s="192"/>
      <c r="L1921" s="192"/>
      <c r="M1921" s="192"/>
      <c r="N1921" s="192"/>
    </row>
    <row r="1922" spans="10:14" ht="15.95" customHeight="1" x14ac:dyDescent="0.25">
      <c r="J1922" s="192"/>
      <c r="K1922" s="192"/>
      <c r="L1922" s="192"/>
      <c r="M1922" s="192"/>
      <c r="N1922" s="192"/>
    </row>
    <row r="1923" spans="10:14" ht="15.95" customHeight="1" x14ac:dyDescent="0.25">
      <c r="J1923" s="192"/>
      <c r="K1923" s="192"/>
      <c r="L1923" s="192"/>
      <c r="M1923" s="192"/>
      <c r="N1923" s="192"/>
    </row>
    <row r="1924" spans="10:14" ht="15.95" customHeight="1" x14ac:dyDescent="0.25">
      <c r="J1924" s="192"/>
      <c r="K1924" s="192"/>
      <c r="L1924" s="192"/>
      <c r="M1924" s="192"/>
      <c r="N1924" s="192"/>
    </row>
    <row r="1925" spans="10:14" ht="15.95" customHeight="1" x14ac:dyDescent="0.25">
      <c r="J1925" s="192"/>
      <c r="K1925" s="192"/>
      <c r="L1925" s="192"/>
      <c r="M1925" s="192"/>
      <c r="N1925" s="192"/>
    </row>
    <row r="1926" spans="10:14" ht="15.95" customHeight="1" x14ac:dyDescent="0.25">
      <c r="J1926" s="192"/>
      <c r="K1926" s="192"/>
      <c r="L1926" s="192"/>
      <c r="M1926" s="192"/>
      <c r="N1926" s="192"/>
    </row>
    <row r="1927" spans="10:14" ht="15.95" customHeight="1" x14ac:dyDescent="0.25">
      <c r="J1927" s="192"/>
      <c r="K1927" s="192"/>
      <c r="L1927" s="192"/>
      <c r="M1927" s="192"/>
      <c r="N1927" s="192"/>
    </row>
    <row r="1928" spans="10:14" ht="15.95" customHeight="1" x14ac:dyDescent="0.25">
      <c r="J1928" s="192"/>
      <c r="K1928" s="192"/>
      <c r="L1928" s="192"/>
      <c r="M1928" s="192"/>
      <c r="N1928" s="192"/>
    </row>
    <row r="1929" spans="10:14" ht="15.95" customHeight="1" x14ac:dyDescent="0.25">
      <c r="J1929" s="192"/>
      <c r="K1929" s="192"/>
      <c r="L1929" s="192"/>
      <c r="M1929" s="192"/>
      <c r="N1929" s="192"/>
    </row>
    <row r="1930" spans="10:14" ht="15.95" customHeight="1" x14ac:dyDescent="0.25">
      <c r="J1930" s="192"/>
      <c r="K1930" s="192"/>
      <c r="L1930" s="192"/>
      <c r="M1930" s="192"/>
      <c r="N1930" s="192"/>
    </row>
    <row r="1931" spans="10:14" ht="15.95" customHeight="1" x14ac:dyDescent="0.25">
      <c r="J1931" s="192"/>
      <c r="K1931" s="192"/>
      <c r="L1931" s="192"/>
      <c r="M1931" s="192"/>
      <c r="N1931" s="192"/>
    </row>
    <row r="1932" spans="10:14" ht="15.95" customHeight="1" x14ac:dyDescent="0.25">
      <c r="J1932" s="192"/>
      <c r="K1932" s="192"/>
      <c r="L1932" s="192"/>
      <c r="M1932" s="192"/>
      <c r="N1932" s="192"/>
    </row>
    <row r="1933" spans="10:14" ht="15.95" customHeight="1" x14ac:dyDescent="0.25">
      <c r="J1933" s="192"/>
      <c r="K1933" s="192"/>
      <c r="L1933" s="192"/>
      <c r="M1933" s="192"/>
      <c r="N1933" s="192"/>
    </row>
    <row r="1934" spans="10:14" ht="15.95" customHeight="1" x14ac:dyDescent="0.25">
      <c r="J1934" s="192"/>
      <c r="K1934" s="192"/>
      <c r="L1934" s="192"/>
      <c r="M1934" s="192"/>
      <c r="N1934" s="192"/>
    </row>
    <row r="1935" spans="10:14" ht="15.95" customHeight="1" x14ac:dyDescent="0.25">
      <c r="J1935" s="192"/>
      <c r="K1935" s="192"/>
      <c r="L1935" s="192"/>
      <c r="M1935" s="192"/>
      <c r="N1935" s="192"/>
    </row>
    <row r="1936" spans="10:14" ht="15.95" customHeight="1" x14ac:dyDescent="0.25">
      <c r="J1936" s="192"/>
      <c r="K1936" s="192"/>
      <c r="L1936" s="192"/>
      <c r="M1936" s="192"/>
      <c r="N1936" s="192"/>
    </row>
    <row r="1937" spans="10:14" ht="15.95" customHeight="1" x14ac:dyDescent="0.25">
      <c r="J1937" s="192"/>
      <c r="K1937" s="192"/>
      <c r="L1937" s="192"/>
      <c r="M1937" s="192"/>
      <c r="N1937" s="192"/>
    </row>
    <row r="1938" spans="10:14" ht="15.95" customHeight="1" x14ac:dyDescent="0.25">
      <c r="J1938" s="192"/>
      <c r="K1938" s="192"/>
      <c r="L1938" s="192"/>
      <c r="M1938" s="192"/>
      <c r="N1938" s="192"/>
    </row>
    <row r="1939" spans="10:14" ht="15.95" customHeight="1" x14ac:dyDescent="0.25">
      <c r="J1939" s="192"/>
      <c r="K1939" s="192"/>
      <c r="L1939" s="192"/>
      <c r="M1939" s="192"/>
      <c r="N1939" s="192"/>
    </row>
    <row r="1940" spans="10:14" ht="15.95" customHeight="1" x14ac:dyDescent="0.25">
      <c r="J1940" s="192"/>
      <c r="K1940" s="192"/>
      <c r="L1940" s="192"/>
      <c r="M1940" s="192"/>
      <c r="N1940" s="192"/>
    </row>
    <row r="1941" spans="10:14" ht="15.95" customHeight="1" x14ac:dyDescent="0.25">
      <c r="J1941" s="192"/>
      <c r="K1941" s="192"/>
      <c r="L1941" s="192"/>
      <c r="M1941" s="192"/>
      <c r="N1941" s="192"/>
    </row>
    <row r="1942" spans="10:14" ht="15.95" customHeight="1" x14ac:dyDescent="0.25">
      <c r="J1942" s="192"/>
      <c r="K1942" s="192"/>
      <c r="L1942" s="192"/>
      <c r="M1942" s="192"/>
      <c r="N1942" s="192"/>
    </row>
    <row r="1943" spans="10:14" ht="15.95" customHeight="1" x14ac:dyDescent="0.25">
      <c r="J1943" s="192"/>
      <c r="K1943" s="192"/>
      <c r="L1943" s="192"/>
      <c r="M1943" s="192"/>
      <c r="N1943" s="192"/>
    </row>
    <row r="1944" spans="10:14" ht="15.95" customHeight="1" x14ac:dyDescent="0.25">
      <c r="J1944" s="192"/>
      <c r="K1944" s="192"/>
      <c r="L1944" s="192"/>
      <c r="M1944" s="192"/>
      <c r="N1944" s="192"/>
    </row>
    <row r="1945" spans="10:14" ht="15.95" customHeight="1" x14ac:dyDescent="0.25">
      <c r="J1945" s="192"/>
      <c r="K1945" s="192"/>
      <c r="L1945" s="192"/>
      <c r="M1945" s="192"/>
      <c r="N1945" s="192"/>
    </row>
    <row r="1946" spans="10:14" ht="15.95" customHeight="1" x14ac:dyDescent="0.25">
      <c r="J1946" s="192"/>
      <c r="K1946" s="192"/>
      <c r="L1946" s="192"/>
      <c r="M1946" s="192"/>
      <c r="N1946" s="192"/>
    </row>
    <row r="1947" spans="10:14" ht="15.95" customHeight="1" x14ac:dyDescent="0.25">
      <c r="J1947" s="192"/>
      <c r="K1947" s="192"/>
      <c r="L1947" s="192"/>
      <c r="M1947" s="192"/>
      <c r="N1947" s="192"/>
    </row>
    <row r="1948" spans="10:14" ht="15.95" customHeight="1" x14ac:dyDescent="0.25">
      <c r="J1948" s="192"/>
      <c r="K1948" s="192"/>
      <c r="L1948" s="192"/>
      <c r="M1948" s="192"/>
      <c r="N1948" s="192"/>
    </row>
    <row r="1949" spans="10:14" ht="15.95" customHeight="1" x14ac:dyDescent="0.25">
      <c r="J1949" s="192"/>
      <c r="K1949" s="192"/>
      <c r="L1949" s="192"/>
      <c r="M1949" s="192"/>
      <c r="N1949" s="192"/>
    </row>
    <row r="1950" spans="10:14" ht="15.95" customHeight="1" x14ac:dyDescent="0.25">
      <c r="J1950" s="192"/>
      <c r="K1950" s="192"/>
      <c r="L1950" s="192"/>
      <c r="M1950" s="192"/>
      <c r="N1950" s="192"/>
    </row>
    <row r="1951" spans="10:14" ht="15.95" customHeight="1" x14ac:dyDescent="0.25">
      <c r="J1951" s="192"/>
      <c r="K1951" s="192"/>
      <c r="L1951" s="192"/>
      <c r="M1951" s="192"/>
      <c r="N1951" s="192"/>
    </row>
    <row r="1952" spans="10:14" ht="15.95" customHeight="1" x14ac:dyDescent="0.25">
      <c r="J1952" s="192"/>
      <c r="K1952" s="192"/>
      <c r="L1952" s="192"/>
      <c r="M1952" s="192"/>
      <c r="N1952" s="192"/>
    </row>
    <row r="1953" spans="10:14" ht="15.95" customHeight="1" x14ac:dyDescent="0.25">
      <c r="J1953" s="192"/>
      <c r="K1953" s="192"/>
      <c r="L1953" s="192"/>
      <c r="M1953" s="192"/>
      <c r="N1953" s="192"/>
    </row>
    <row r="1954" spans="10:14" ht="15.95" customHeight="1" x14ac:dyDescent="0.25">
      <c r="J1954" s="192"/>
      <c r="K1954" s="192"/>
      <c r="L1954" s="192"/>
      <c r="M1954" s="192"/>
      <c r="N1954" s="192"/>
    </row>
    <row r="1955" spans="10:14" ht="15.95" customHeight="1" x14ac:dyDescent="0.25">
      <c r="J1955" s="192"/>
      <c r="K1955" s="192"/>
      <c r="L1955" s="192"/>
      <c r="M1955" s="192"/>
      <c r="N1955" s="192"/>
    </row>
    <row r="1956" spans="10:14" ht="15.95" customHeight="1" x14ac:dyDescent="0.25">
      <c r="J1956" s="192"/>
      <c r="K1956" s="192"/>
      <c r="L1956" s="192"/>
      <c r="M1956" s="192"/>
      <c r="N1956" s="192"/>
    </row>
    <row r="1957" spans="10:14" ht="15.95" customHeight="1" x14ac:dyDescent="0.25">
      <c r="J1957" s="192"/>
      <c r="K1957" s="192"/>
      <c r="L1957" s="192"/>
      <c r="M1957" s="192"/>
      <c r="N1957" s="192"/>
    </row>
    <row r="1958" spans="10:14" ht="15.95" customHeight="1" x14ac:dyDescent="0.25">
      <c r="J1958" s="192"/>
      <c r="K1958" s="192"/>
      <c r="L1958" s="192"/>
      <c r="M1958" s="192"/>
      <c r="N1958" s="192"/>
    </row>
    <row r="1959" spans="10:14" ht="15.95" customHeight="1" x14ac:dyDescent="0.25">
      <c r="J1959" s="192"/>
      <c r="K1959" s="192"/>
      <c r="L1959" s="192"/>
      <c r="M1959" s="192"/>
      <c r="N1959" s="192"/>
    </row>
    <row r="1960" spans="10:14" ht="15.95" customHeight="1" x14ac:dyDescent="0.25">
      <c r="J1960" s="192"/>
      <c r="K1960" s="192"/>
      <c r="L1960" s="192"/>
      <c r="M1960" s="192"/>
      <c r="N1960" s="192"/>
    </row>
    <row r="1961" spans="10:14" ht="15.95" customHeight="1" x14ac:dyDescent="0.25">
      <c r="J1961" s="192"/>
      <c r="K1961" s="192"/>
      <c r="L1961" s="192"/>
      <c r="M1961" s="192"/>
      <c r="N1961" s="192"/>
    </row>
    <row r="1962" spans="10:14" ht="15.95" customHeight="1" x14ac:dyDescent="0.25">
      <c r="J1962" s="192"/>
      <c r="K1962" s="192"/>
      <c r="L1962" s="192"/>
      <c r="M1962" s="192"/>
      <c r="N1962" s="192"/>
    </row>
    <row r="1963" spans="10:14" ht="15.95" customHeight="1" x14ac:dyDescent="0.25">
      <c r="J1963" s="192"/>
      <c r="K1963" s="192"/>
      <c r="L1963" s="192"/>
      <c r="M1963" s="192"/>
      <c r="N1963" s="192"/>
    </row>
    <row r="1964" spans="10:14" ht="15.95" customHeight="1" x14ac:dyDescent="0.25">
      <c r="J1964" s="192"/>
      <c r="K1964" s="192"/>
      <c r="L1964" s="192"/>
      <c r="M1964" s="192"/>
      <c r="N1964" s="192"/>
    </row>
    <row r="1965" spans="10:14" ht="15.95" customHeight="1" x14ac:dyDescent="0.25">
      <c r="J1965" s="192"/>
      <c r="K1965" s="192"/>
      <c r="L1965" s="192"/>
      <c r="M1965" s="192"/>
      <c r="N1965" s="192"/>
    </row>
    <row r="1966" spans="10:14" ht="15.95" customHeight="1" x14ac:dyDescent="0.25">
      <c r="J1966" s="192"/>
      <c r="K1966" s="192"/>
      <c r="L1966" s="192"/>
      <c r="M1966" s="192"/>
      <c r="N1966" s="192"/>
    </row>
    <row r="1967" spans="10:14" ht="15.95" customHeight="1" x14ac:dyDescent="0.25">
      <c r="J1967" s="192"/>
      <c r="K1967" s="192"/>
      <c r="L1967" s="192"/>
      <c r="M1967" s="192"/>
      <c r="N1967" s="192"/>
    </row>
    <row r="1968" spans="10:14" ht="15.95" customHeight="1" x14ac:dyDescent="0.25">
      <c r="J1968" s="192"/>
      <c r="K1968" s="192"/>
      <c r="L1968" s="192"/>
      <c r="M1968" s="192"/>
      <c r="N1968" s="192"/>
    </row>
    <row r="1969" spans="9:14" ht="15.95" customHeight="1" x14ac:dyDescent="0.25">
      <c r="J1969" s="192"/>
      <c r="K1969" s="192"/>
      <c r="L1969" s="192"/>
      <c r="M1969" s="192"/>
      <c r="N1969" s="192"/>
    </row>
    <row r="1970" spans="9:14" ht="15.95" customHeight="1" x14ac:dyDescent="0.25">
      <c r="J1970" s="192"/>
      <c r="K1970" s="192"/>
      <c r="L1970" s="192"/>
      <c r="M1970" s="192"/>
      <c r="N1970" s="192"/>
    </row>
    <row r="1971" spans="9:14" ht="15.95" customHeight="1" x14ac:dyDescent="0.25">
      <c r="J1971" s="192"/>
      <c r="K1971" s="192"/>
      <c r="L1971" s="192"/>
      <c r="M1971" s="192"/>
      <c r="N1971" s="192"/>
    </row>
    <row r="1972" spans="9:14" ht="15.95" customHeight="1" x14ac:dyDescent="0.25">
      <c r="J1972" s="192"/>
      <c r="K1972" s="192"/>
      <c r="L1972" s="192"/>
      <c r="M1972" s="192"/>
      <c r="N1972" s="192"/>
    </row>
    <row r="1973" spans="9:14" ht="15.95" customHeight="1" x14ac:dyDescent="0.25">
      <c r="J1973" s="192"/>
      <c r="K1973" s="192"/>
      <c r="L1973" s="192"/>
      <c r="M1973" s="192"/>
      <c r="N1973" s="192"/>
    </row>
    <row r="1974" spans="9:14" ht="15.95" customHeight="1" x14ac:dyDescent="0.25">
      <c r="J1974" s="192"/>
      <c r="K1974" s="192"/>
      <c r="L1974" s="192"/>
      <c r="M1974" s="192"/>
      <c r="N1974" s="192"/>
    </row>
    <row r="1975" spans="9:14" ht="15.95" customHeight="1" x14ac:dyDescent="0.25"/>
    <row r="1976" spans="9:14" ht="15.95" customHeight="1" x14ac:dyDescent="0.25"/>
    <row r="1977" spans="9:14" ht="32.1" customHeight="1" x14ac:dyDescent="0.25">
      <c r="J1977" s="235" t="str">
        <f>ComparisonData!JH2</f>
        <v>SECTION B: OUR STAFF, SERVICES &amp; FACILITIES</v>
      </c>
      <c r="K1977" s="236"/>
      <c r="L1977" s="236"/>
      <c r="M1977" s="236"/>
      <c r="N1977" s="237"/>
    </row>
    <row r="1978" spans="9:14" ht="32.1" customHeight="1" x14ac:dyDescent="0.25">
      <c r="J1978" s="235" t="str">
        <f>ComparisonData!JH3</f>
        <v>6.  Please rate the following services used during your visit to this archive</v>
      </c>
      <c r="K1978" s="236"/>
      <c r="L1978" s="236"/>
      <c r="M1978" s="236"/>
      <c r="N1978" s="237"/>
    </row>
    <row r="1979" spans="9:14" ht="32.1" customHeight="1" x14ac:dyDescent="0.25">
      <c r="J1979" s="235" t="str">
        <f>ComparisonData!JH4</f>
        <v>Usability of our online catalogue</v>
      </c>
      <c r="K1979" s="236"/>
      <c r="L1979" s="236"/>
      <c r="M1979" s="236"/>
      <c r="N1979" s="237"/>
    </row>
    <row r="1980" spans="9:14" ht="32.1" customHeight="1" x14ac:dyDescent="0.25">
      <c r="J1980" s="185" t="str">
        <f>ComparisonData!JM5</f>
        <v>Very good</v>
      </c>
      <c r="K1980" s="185" t="str">
        <f>ComparisonData!JN5</f>
        <v>Fairly good</v>
      </c>
      <c r="L1980" s="185" t="str">
        <f>ComparisonData!JO5</f>
        <v>Neither</v>
      </c>
      <c r="M1980" s="185" t="str">
        <f>ComparisonData!JP5</f>
        <v>Poor</v>
      </c>
      <c r="N1980" s="185" t="str">
        <f>ComparisonData!JQ5</f>
        <v>Very poor</v>
      </c>
    </row>
    <row r="1981" spans="9:14" ht="15.95" customHeight="1" x14ac:dyDescent="0.25">
      <c r="I1981" s="188" t="str" cm="1">
        <f t="array" aca="1" ref="I1981" ca="1">Usability_of_our_online_catalogue_lbl</f>
        <v>TOTAL</v>
      </c>
      <c r="J1981" s="192" cm="1">
        <f t="array" aca="1" ref="J1981" ca="1">Usability_of_our_online_catalogue_1</f>
        <v>0.52966000000000002</v>
      </c>
      <c r="K1981" s="192" cm="1">
        <f t="array" aca="1" ref="K1981" ca="1">Usability_of_our_online_catalogue_2</f>
        <v>0.35549999999999998</v>
      </c>
      <c r="L1981" s="192" cm="1">
        <f t="array" aca="1" ref="L1981" ca="1">Usability_of_our_online_catalogue_3</f>
        <v>6.8959999999999994E-2</v>
      </c>
      <c r="M1981" s="192" cm="1">
        <f t="array" aca="1" ref="M1981" ca="1">Usability_of_our_online_catalogue_4</f>
        <v>3.5700000000000003E-2</v>
      </c>
      <c r="N1981" s="192" cm="1">
        <f t="array" aca="1" ref="N1981" ca="1">Usability_of_our_online_catalogue_5</f>
        <v>1.0174292985251038E-2</v>
      </c>
    </row>
    <row r="1982" spans="9:14" ht="15.95" customHeight="1" x14ac:dyDescent="0.25">
      <c r="J1982" s="192"/>
      <c r="K1982" s="192"/>
      <c r="L1982" s="192"/>
      <c r="M1982" s="192"/>
      <c r="N1982" s="192"/>
    </row>
    <row r="1983" spans="9:14" ht="15.95" customHeight="1" x14ac:dyDescent="0.25">
      <c r="J1983" s="192"/>
      <c r="K1983" s="192"/>
      <c r="L1983" s="192"/>
      <c r="M1983" s="192"/>
      <c r="N1983" s="192"/>
    </row>
    <row r="1984" spans="9:14" ht="15.95" customHeight="1" x14ac:dyDescent="0.25">
      <c r="J1984" s="192"/>
      <c r="K1984" s="192"/>
      <c r="L1984" s="192"/>
      <c r="M1984" s="192"/>
      <c r="N1984" s="192"/>
    </row>
    <row r="1985" spans="10:14" ht="15.95" customHeight="1" x14ac:dyDescent="0.25">
      <c r="J1985" s="192"/>
      <c r="K1985" s="192"/>
      <c r="L1985" s="192"/>
      <c r="M1985" s="192"/>
      <c r="N1985" s="192"/>
    </row>
    <row r="1986" spans="10:14" ht="15.95" customHeight="1" x14ac:dyDescent="0.25">
      <c r="J1986" s="192"/>
      <c r="K1986" s="192"/>
      <c r="L1986" s="192"/>
      <c r="M1986" s="192"/>
      <c r="N1986" s="192"/>
    </row>
    <row r="1987" spans="10:14" ht="15.95" customHeight="1" x14ac:dyDescent="0.25">
      <c r="J1987" s="192"/>
      <c r="K1987" s="192"/>
      <c r="L1987" s="192"/>
      <c r="M1987" s="192"/>
      <c r="N1987" s="192"/>
    </row>
    <row r="1988" spans="10:14" ht="15.95" customHeight="1" x14ac:dyDescent="0.25">
      <c r="J1988" s="192"/>
      <c r="K1988" s="192"/>
      <c r="L1988" s="192"/>
      <c r="M1988" s="192"/>
      <c r="N1988" s="192"/>
    </row>
    <row r="1989" spans="10:14" ht="15.95" customHeight="1" x14ac:dyDescent="0.25">
      <c r="J1989" s="192"/>
      <c r="K1989" s="192"/>
      <c r="L1989" s="192"/>
      <c r="M1989" s="192"/>
      <c r="N1989" s="192"/>
    </row>
    <row r="1990" spans="10:14" ht="15.95" customHeight="1" x14ac:dyDescent="0.25">
      <c r="J1990" s="192"/>
      <c r="K1990" s="192"/>
      <c r="L1990" s="192"/>
      <c r="M1990" s="192"/>
      <c r="N1990" s="192"/>
    </row>
    <row r="1991" spans="10:14" ht="15.95" customHeight="1" x14ac:dyDescent="0.25">
      <c r="J1991" s="192"/>
      <c r="K1991" s="192"/>
      <c r="L1991" s="192"/>
      <c r="M1991" s="192"/>
      <c r="N1991" s="192"/>
    </row>
    <row r="1992" spans="10:14" ht="15.95" customHeight="1" x14ac:dyDescent="0.25">
      <c r="J1992" s="192"/>
      <c r="K1992" s="192"/>
      <c r="L1992" s="192"/>
      <c r="M1992" s="192"/>
      <c r="N1992" s="192"/>
    </row>
    <row r="1993" spans="10:14" ht="15.95" customHeight="1" x14ac:dyDescent="0.25">
      <c r="J1993" s="192"/>
      <c r="K1993" s="192"/>
      <c r="L1993" s="192"/>
      <c r="M1993" s="192"/>
      <c r="N1993" s="192"/>
    </row>
    <row r="1994" spans="10:14" ht="15.95" customHeight="1" x14ac:dyDescent="0.25">
      <c r="J1994" s="192"/>
      <c r="K1994" s="192"/>
      <c r="L1994" s="192"/>
      <c r="M1994" s="192"/>
      <c r="N1994" s="192"/>
    </row>
    <row r="1995" spans="10:14" ht="15.95" customHeight="1" x14ac:dyDescent="0.25">
      <c r="J1995" s="192"/>
      <c r="K1995" s="192"/>
      <c r="L1995" s="192"/>
      <c r="M1995" s="192"/>
      <c r="N1995" s="192"/>
    </row>
    <row r="1996" spans="10:14" ht="15.95" customHeight="1" x14ac:dyDescent="0.25">
      <c r="J1996" s="192"/>
      <c r="K1996" s="192"/>
      <c r="L1996" s="192"/>
      <c r="M1996" s="192"/>
      <c r="N1996" s="192"/>
    </row>
    <row r="1997" spans="10:14" ht="15.95" customHeight="1" x14ac:dyDescent="0.25">
      <c r="J1997" s="192"/>
      <c r="K1997" s="192"/>
      <c r="L1997" s="192"/>
      <c r="M1997" s="192"/>
      <c r="N1997" s="192"/>
    </row>
    <row r="1998" spans="10:14" ht="15.95" customHeight="1" x14ac:dyDescent="0.25">
      <c r="J1998" s="192"/>
      <c r="K1998" s="192"/>
      <c r="L1998" s="192"/>
      <c r="M1998" s="192"/>
      <c r="N1998" s="192"/>
    </row>
    <row r="1999" spans="10:14" ht="15.95" customHeight="1" x14ac:dyDescent="0.25">
      <c r="J1999" s="192"/>
      <c r="K1999" s="192"/>
      <c r="L1999" s="192"/>
      <c r="M1999" s="192"/>
      <c r="N1999" s="192"/>
    </row>
    <row r="2000" spans="10:14" ht="15.95" customHeight="1" x14ac:dyDescent="0.25">
      <c r="J2000" s="192"/>
      <c r="K2000" s="192"/>
      <c r="L2000" s="192"/>
      <c r="M2000" s="192"/>
      <c r="N2000" s="192"/>
    </row>
    <row r="2001" spans="10:14" ht="15.95" customHeight="1" x14ac:dyDescent="0.25">
      <c r="J2001" s="192"/>
      <c r="K2001" s="192"/>
      <c r="L2001" s="192"/>
      <c r="M2001" s="192"/>
      <c r="N2001" s="192"/>
    </row>
    <row r="2002" spans="10:14" ht="15.95" customHeight="1" x14ac:dyDescent="0.25">
      <c r="J2002" s="192"/>
      <c r="K2002" s="192"/>
      <c r="L2002" s="192"/>
      <c r="M2002" s="192"/>
      <c r="N2002" s="192"/>
    </row>
    <row r="2003" spans="10:14" ht="15.95" customHeight="1" x14ac:dyDescent="0.25">
      <c r="J2003" s="192"/>
      <c r="K2003" s="192"/>
      <c r="L2003" s="192"/>
      <c r="M2003" s="192"/>
      <c r="N2003" s="192"/>
    </row>
    <row r="2004" spans="10:14" ht="15.95" customHeight="1" x14ac:dyDescent="0.25">
      <c r="J2004" s="192"/>
      <c r="K2004" s="192"/>
      <c r="L2004" s="192"/>
      <c r="M2004" s="192"/>
      <c r="N2004" s="192"/>
    </row>
    <row r="2005" spans="10:14" ht="15.95" customHeight="1" x14ac:dyDescent="0.25">
      <c r="J2005" s="192"/>
      <c r="K2005" s="192"/>
      <c r="L2005" s="192"/>
      <c r="M2005" s="192"/>
      <c r="N2005" s="192"/>
    </row>
    <row r="2006" spans="10:14" ht="15.95" customHeight="1" x14ac:dyDescent="0.25">
      <c r="J2006" s="192"/>
      <c r="K2006" s="192"/>
      <c r="L2006" s="192"/>
      <c r="M2006" s="192"/>
      <c r="N2006" s="192"/>
    </row>
    <row r="2007" spans="10:14" ht="15.95" customHeight="1" x14ac:dyDescent="0.25">
      <c r="J2007" s="192"/>
      <c r="K2007" s="192"/>
      <c r="L2007" s="192"/>
      <c r="M2007" s="192"/>
      <c r="N2007" s="192"/>
    </row>
    <row r="2008" spans="10:14" ht="15.95" customHeight="1" x14ac:dyDescent="0.25">
      <c r="J2008" s="192"/>
      <c r="K2008" s="192"/>
      <c r="L2008" s="192"/>
      <c r="M2008" s="192"/>
      <c r="N2008" s="192"/>
    </row>
    <row r="2009" spans="10:14" ht="15.95" customHeight="1" x14ac:dyDescent="0.25">
      <c r="J2009" s="192"/>
      <c r="K2009" s="192"/>
      <c r="L2009" s="192"/>
      <c r="M2009" s="192"/>
      <c r="N2009" s="192"/>
    </row>
    <row r="2010" spans="10:14" ht="15.95" customHeight="1" x14ac:dyDescent="0.25">
      <c r="J2010" s="192"/>
      <c r="K2010" s="192"/>
      <c r="L2010" s="192"/>
      <c r="M2010" s="192"/>
      <c r="N2010" s="192"/>
    </row>
    <row r="2011" spans="10:14" ht="15.95" customHeight="1" x14ac:dyDescent="0.25">
      <c r="J2011" s="192"/>
      <c r="K2011" s="192"/>
      <c r="L2011" s="192"/>
      <c r="M2011" s="192"/>
      <c r="N2011" s="192"/>
    </row>
    <row r="2012" spans="10:14" ht="15.95" customHeight="1" x14ac:dyDescent="0.25">
      <c r="J2012" s="192"/>
      <c r="K2012" s="192"/>
      <c r="L2012" s="192"/>
      <c r="M2012" s="192"/>
      <c r="N2012" s="192"/>
    </row>
    <row r="2013" spans="10:14" ht="15.95" customHeight="1" x14ac:dyDescent="0.25">
      <c r="J2013" s="192"/>
      <c r="K2013" s="192"/>
      <c r="L2013" s="192"/>
      <c r="M2013" s="192"/>
      <c r="N2013" s="192"/>
    </row>
    <row r="2014" spans="10:14" ht="15.95" customHeight="1" x14ac:dyDescent="0.25">
      <c r="J2014" s="192"/>
      <c r="K2014" s="192"/>
      <c r="L2014" s="192"/>
      <c r="M2014" s="192"/>
      <c r="N2014" s="192"/>
    </row>
    <row r="2015" spans="10:14" ht="15.95" customHeight="1" x14ac:dyDescent="0.25">
      <c r="J2015" s="192"/>
      <c r="K2015" s="192"/>
      <c r="L2015" s="192"/>
      <c r="M2015" s="192"/>
      <c r="N2015" s="192"/>
    </row>
    <row r="2016" spans="10:14" ht="15.95" customHeight="1" x14ac:dyDescent="0.25">
      <c r="J2016" s="192"/>
      <c r="K2016" s="192"/>
      <c r="L2016" s="192"/>
      <c r="M2016" s="192"/>
      <c r="N2016" s="192"/>
    </row>
    <row r="2017" spans="10:14" ht="15.95" customHeight="1" x14ac:dyDescent="0.25">
      <c r="J2017" s="192"/>
      <c r="K2017" s="192"/>
      <c r="L2017" s="192"/>
      <c r="M2017" s="192"/>
      <c r="N2017" s="192"/>
    </row>
    <row r="2018" spans="10:14" ht="15.95" customHeight="1" x14ac:dyDescent="0.25">
      <c r="J2018" s="192"/>
      <c r="K2018" s="192"/>
      <c r="L2018" s="192"/>
      <c r="M2018" s="192"/>
      <c r="N2018" s="192"/>
    </row>
    <row r="2019" spans="10:14" ht="15.95" customHeight="1" x14ac:dyDescent="0.25">
      <c r="J2019" s="192"/>
      <c r="K2019" s="192"/>
      <c r="L2019" s="192"/>
      <c r="M2019" s="192"/>
      <c r="N2019" s="192"/>
    </row>
    <row r="2020" spans="10:14" ht="15.95" customHeight="1" x14ac:dyDescent="0.25">
      <c r="J2020" s="192"/>
      <c r="K2020" s="192"/>
      <c r="L2020" s="192"/>
      <c r="M2020" s="192"/>
      <c r="N2020" s="192"/>
    </row>
    <row r="2021" spans="10:14" ht="15.95" customHeight="1" x14ac:dyDescent="0.25">
      <c r="J2021" s="192"/>
      <c r="K2021" s="192"/>
      <c r="L2021" s="192"/>
      <c r="M2021" s="192"/>
      <c r="N2021" s="192"/>
    </row>
    <row r="2022" spans="10:14" ht="15.95" customHeight="1" x14ac:dyDescent="0.25">
      <c r="J2022" s="192"/>
      <c r="K2022" s="192"/>
      <c r="L2022" s="192"/>
      <c r="M2022" s="192"/>
      <c r="N2022" s="192"/>
    </row>
    <row r="2023" spans="10:14" ht="15.95" customHeight="1" x14ac:dyDescent="0.25">
      <c r="J2023" s="192"/>
      <c r="K2023" s="192"/>
      <c r="L2023" s="192"/>
      <c r="M2023" s="192"/>
      <c r="N2023" s="192"/>
    </row>
    <row r="2024" spans="10:14" ht="15.95" customHeight="1" x14ac:dyDescent="0.25">
      <c r="J2024" s="192"/>
      <c r="K2024" s="192"/>
      <c r="L2024" s="192"/>
      <c r="M2024" s="192"/>
      <c r="N2024" s="192"/>
    </row>
    <row r="2025" spans="10:14" ht="15.95" customHeight="1" x14ac:dyDescent="0.25">
      <c r="J2025" s="192"/>
      <c r="K2025" s="192"/>
      <c r="L2025" s="192"/>
      <c r="M2025" s="192"/>
      <c r="N2025" s="192"/>
    </row>
    <row r="2026" spans="10:14" ht="15.95" customHeight="1" x14ac:dyDescent="0.25">
      <c r="J2026" s="192"/>
      <c r="K2026" s="192"/>
      <c r="L2026" s="192"/>
      <c r="M2026" s="192"/>
      <c r="N2026" s="192"/>
    </row>
    <row r="2027" spans="10:14" ht="15.95" customHeight="1" x14ac:dyDescent="0.25">
      <c r="J2027" s="192"/>
      <c r="K2027" s="192"/>
      <c r="L2027" s="192"/>
      <c r="M2027" s="192"/>
      <c r="N2027" s="192"/>
    </row>
    <row r="2028" spans="10:14" ht="15.95" customHeight="1" x14ac:dyDescent="0.25">
      <c r="J2028" s="192"/>
      <c r="K2028" s="192"/>
      <c r="L2028" s="192"/>
      <c r="M2028" s="192"/>
      <c r="N2028" s="192"/>
    </row>
    <row r="2029" spans="10:14" ht="15.95" customHeight="1" x14ac:dyDescent="0.25">
      <c r="J2029" s="192"/>
      <c r="K2029" s="192"/>
      <c r="L2029" s="192"/>
      <c r="M2029" s="192"/>
      <c r="N2029" s="192"/>
    </row>
    <row r="2030" spans="10:14" ht="15.95" customHeight="1" x14ac:dyDescent="0.25">
      <c r="J2030" s="192"/>
      <c r="K2030" s="192"/>
      <c r="L2030" s="192"/>
      <c r="M2030" s="192"/>
      <c r="N2030" s="192"/>
    </row>
    <row r="2031" spans="10:14" ht="15.95" customHeight="1" x14ac:dyDescent="0.25">
      <c r="J2031" s="192"/>
      <c r="K2031" s="192"/>
      <c r="L2031" s="192"/>
      <c r="M2031" s="192"/>
      <c r="N2031" s="192"/>
    </row>
    <row r="2032" spans="10:14" ht="15.95" customHeight="1" x14ac:dyDescent="0.25">
      <c r="J2032" s="192"/>
      <c r="K2032" s="192"/>
      <c r="L2032" s="192"/>
      <c r="M2032" s="192"/>
      <c r="N2032" s="192"/>
    </row>
    <row r="2033" spans="10:14" ht="15.95" customHeight="1" x14ac:dyDescent="0.25">
      <c r="J2033" s="192"/>
      <c r="K2033" s="192"/>
      <c r="L2033" s="192"/>
      <c r="M2033" s="192"/>
      <c r="N2033" s="192"/>
    </row>
    <row r="2034" spans="10:14" ht="15.95" customHeight="1" x14ac:dyDescent="0.25">
      <c r="J2034" s="192"/>
      <c r="K2034" s="192"/>
      <c r="L2034" s="192"/>
      <c r="M2034" s="192"/>
      <c r="N2034" s="192"/>
    </row>
    <row r="2035" spans="10:14" ht="15.95" customHeight="1" x14ac:dyDescent="0.25">
      <c r="J2035" s="192"/>
      <c r="K2035" s="192"/>
      <c r="L2035" s="192"/>
      <c r="M2035" s="192"/>
      <c r="N2035" s="192"/>
    </row>
    <row r="2036" spans="10:14" ht="15.95" customHeight="1" x14ac:dyDescent="0.25">
      <c r="J2036" s="192"/>
      <c r="K2036" s="192"/>
      <c r="L2036" s="192"/>
      <c r="M2036" s="192"/>
      <c r="N2036" s="192"/>
    </row>
    <row r="2037" spans="10:14" ht="15.95" customHeight="1" x14ac:dyDescent="0.25">
      <c r="J2037" s="192"/>
      <c r="K2037" s="192"/>
      <c r="L2037" s="192"/>
      <c r="M2037" s="192"/>
      <c r="N2037" s="192"/>
    </row>
    <row r="2038" spans="10:14" ht="15.95" customHeight="1" x14ac:dyDescent="0.25">
      <c r="J2038" s="192"/>
      <c r="K2038" s="192"/>
      <c r="L2038" s="192"/>
      <c r="M2038" s="192"/>
      <c r="N2038" s="192"/>
    </row>
    <row r="2039" spans="10:14" ht="15.95" customHeight="1" x14ac:dyDescent="0.25">
      <c r="J2039" s="192"/>
      <c r="K2039" s="192"/>
      <c r="L2039" s="192"/>
      <c r="M2039" s="192"/>
      <c r="N2039" s="192"/>
    </row>
    <row r="2040" spans="10:14" ht="15.95" customHeight="1" x14ac:dyDescent="0.25">
      <c r="J2040" s="192"/>
      <c r="K2040" s="192"/>
      <c r="L2040" s="192"/>
      <c r="M2040" s="192"/>
      <c r="N2040" s="192"/>
    </row>
    <row r="2041" spans="10:14" ht="15.95" customHeight="1" x14ac:dyDescent="0.25">
      <c r="J2041" s="192"/>
      <c r="K2041" s="192"/>
      <c r="L2041" s="192"/>
      <c r="M2041" s="192"/>
      <c r="N2041" s="192"/>
    </row>
    <row r="2042" spans="10:14" ht="15.95" customHeight="1" x14ac:dyDescent="0.25">
      <c r="J2042" s="192"/>
      <c r="K2042" s="192"/>
      <c r="L2042" s="192"/>
      <c r="M2042" s="192"/>
      <c r="N2042" s="192"/>
    </row>
    <row r="2043" spans="10:14" ht="15.95" customHeight="1" x14ac:dyDescent="0.25">
      <c r="J2043" s="192"/>
      <c r="K2043" s="192"/>
      <c r="L2043" s="192"/>
      <c r="M2043" s="192"/>
      <c r="N2043" s="192"/>
    </row>
    <row r="2044" spans="10:14" ht="15.95" customHeight="1" x14ac:dyDescent="0.25">
      <c r="J2044" s="192"/>
      <c r="K2044" s="192"/>
      <c r="L2044" s="192"/>
      <c r="M2044" s="192"/>
      <c r="N2044" s="192"/>
    </row>
    <row r="2045" spans="10:14" ht="15.95" customHeight="1" x14ac:dyDescent="0.25">
      <c r="J2045" s="192"/>
      <c r="K2045" s="192"/>
      <c r="L2045" s="192"/>
      <c r="M2045" s="192"/>
      <c r="N2045" s="192"/>
    </row>
    <row r="2046" spans="10:14" ht="15.95" customHeight="1" x14ac:dyDescent="0.25">
      <c r="J2046" s="192"/>
      <c r="K2046" s="192"/>
      <c r="L2046" s="192"/>
      <c r="M2046" s="192"/>
      <c r="N2046" s="192"/>
    </row>
    <row r="2047" spans="10:14" ht="15.95" customHeight="1" x14ac:dyDescent="0.25">
      <c r="J2047" s="192"/>
      <c r="K2047" s="192"/>
      <c r="L2047" s="192"/>
      <c r="M2047" s="192"/>
      <c r="N2047" s="192"/>
    </row>
    <row r="2048" spans="10:14" ht="15.95" customHeight="1" x14ac:dyDescent="0.25">
      <c r="J2048" s="192"/>
      <c r="K2048" s="192"/>
      <c r="L2048" s="192"/>
      <c r="M2048" s="192"/>
      <c r="N2048" s="192"/>
    </row>
    <row r="2049" spans="10:14" ht="15.95" customHeight="1" x14ac:dyDescent="0.25">
      <c r="J2049" s="192"/>
      <c r="K2049" s="192"/>
      <c r="L2049" s="192"/>
      <c r="M2049" s="192"/>
      <c r="N2049" s="192"/>
    </row>
    <row r="2050" spans="10:14" ht="15.95" customHeight="1" x14ac:dyDescent="0.25">
      <c r="J2050" s="192"/>
      <c r="K2050" s="192"/>
      <c r="L2050" s="192"/>
      <c r="M2050" s="192"/>
      <c r="N2050" s="192"/>
    </row>
    <row r="2051" spans="10:14" ht="15.95" customHeight="1" x14ac:dyDescent="0.25">
      <c r="J2051" s="192"/>
      <c r="K2051" s="192"/>
      <c r="L2051" s="192"/>
      <c r="M2051" s="192"/>
      <c r="N2051" s="192"/>
    </row>
    <row r="2052" spans="10:14" ht="15.95" customHeight="1" x14ac:dyDescent="0.25">
      <c r="J2052" s="192"/>
      <c r="K2052" s="192"/>
      <c r="L2052" s="192"/>
      <c r="M2052" s="192"/>
      <c r="N2052" s="192"/>
    </row>
    <row r="2053" spans="10:14" ht="15.95" customHeight="1" x14ac:dyDescent="0.25">
      <c r="J2053" s="192"/>
      <c r="K2053" s="192"/>
      <c r="L2053" s="192"/>
      <c r="M2053" s="192"/>
      <c r="N2053" s="192"/>
    </row>
    <row r="2054" spans="10:14" ht="15.95" customHeight="1" x14ac:dyDescent="0.25">
      <c r="J2054" s="192"/>
      <c r="K2054" s="192"/>
      <c r="L2054" s="192"/>
      <c r="M2054" s="192"/>
      <c r="N2054" s="192"/>
    </row>
    <row r="2055" spans="10:14" ht="15.95" customHeight="1" x14ac:dyDescent="0.25">
      <c r="J2055" s="192"/>
      <c r="K2055" s="192"/>
      <c r="L2055" s="192"/>
      <c r="M2055" s="192"/>
      <c r="N2055" s="192"/>
    </row>
    <row r="2056" spans="10:14" ht="15.95" customHeight="1" x14ac:dyDescent="0.25">
      <c r="J2056" s="192"/>
      <c r="K2056" s="192"/>
      <c r="L2056" s="192"/>
      <c r="M2056" s="192"/>
      <c r="N2056" s="192"/>
    </row>
    <row r="2057" spans="10:14" ht="15.95" customHeight="1" x14ac:dyDescent="0.25">
      <c r="J2057" s="192"/>
      <c r="K2057" s="192"/>
      <c r="L2057" s="192"/>
      <c r="M2057" s="192"/>
      <c r="N2057" s="192"/>
    </row>
    <row r="2058" spans="10:14" ht="15.95" customHeight="1" x14ac:dyDescent="0.25">
      <c r="J2058" s="192"/>
      <c r="K2058" s="192"/>
      <c r="L2058" s="192"/>
      <c r="M2058" s="192"/>
      <c r="N2058" s="192"/>
    </row>
    <row r="2059" spans="10:14" ht="15.95" customHeight="1" x14ac:dyDescent="0.25">
      <c r="J2059" s="192"/>
      <c r="K2059" s="192"/>
      <c r="L2059" s="192"/>
      <c r="M2059" s="192"/>
      <c r="N2059" s="192"/>
    </row>
    <row r="2060" spans="10:14" ht="15.95" customHeight="1" x14ac:dyDescent="0.25">
      <c r="J2060" s="192"/>
      <c r="K2060" s="192"/>
      <c r="L2060" s="192"/>
      <c r="M2060" s="192"/>
      <c r="N2060" s="192"/>
    </row>
    <row r="2061" spans="10:14" ht="15.95" customHeight="1" x14ac:dyDescent="0.25">
      <c r="J2061" s="192"/>
      <c r="K2061" s="192"/>
      <c r="L2061" s="192"/>
      <c r="M2061" s="192"/>
      <c r="N2061" s="192"/>
    </row>
    <row r="2062" spans="10:14" ht="15.95" customHeight="1" x14ac:dyDescent="0.25">
      <c r="J2062" s="192"/>
      <c r="K2062" s="192"/>
      <c r="L2062" s="192"/>
      <c r="M2062" s="192"/>
      <c r="N2062" s="192"/>
    </row>
    <row r="2063" spans="10:14" ht="15.95" customHeight="1" x14ac:dyDescent="0.25">
      <c r="J2063" s="192"/>
      <c r="K2063" s="192"/>
      <c r="L2063" s="192"/>
      <c r="M2063" s="192"/>
      <c r="N2063" s="192"/>
    </row>
    <row r="2064" spans="10:14" ht="15.95" customHeight="1" x14ac:dyDescent="0.25">
      <c r="J2064" s="192"/>
      <c r="K2064" s="192"/>
      <c r="L2064" s="192"/>
      <c r="M2064" s="192"/>
      <c r="N2064" s="192"/>
    </row>
    <row r="2065" spans="10:14" ht="15.95" customHeight="1" x14ac:dyDescent="0.25">
      <c r="J2065" s="192"/>
      <c r="K2065" s="192"/>
      <c r="L2065" s="192"/>
      <c r="M2065" s="192"/>
      <c r="N2065" s="192"/>
    </row>
    <row r="2066" spans="10:14" ht="15.95" customHeight="1" x14ac:dyDescent="0.25">
      <c r="J2066" s="192"/>
      <c r="K2066" s="192"/>
      <c r="L2066" s="192"/>
      <c r="M2066" s="192"/>
      <c r="N2066" s="192"/>
    </row>
    <row r="2067" spans="10:14" ht="15.95" customHeight="1" x14ac:dyDescent="0.25">
      <c r="J2067" s="192"/>
      <c r="K2067" s="192"/>
      <c r="L2067" s="192"/>
      <c r="M2067" s="192"/>
      <c r="N2067" s="192"/>
    </row>
    <row r="2068" spans="10:14" ht="15.95" customHeight="1" x14ac:dyDescent="0.25">
      <c r="J2068" s="192"/>
      <c r="K2068" s="192"/>
      <c r="L2068" s="192"/>
      <c r="M2068" s="192"/>
      <c r="N2068" s="192"/>
    </row>
    <row r="2069" spans="10:14" ht="15.95" customHeight="1" x14ac:dyDescent="0.25">
      <c r="J2069" s="192"/>
      <c r="K2069" s="192"/>
      <c r="L2069" s="192"/>
      <c r="M2069" s="192"/>
      <c r="N2069" s="192"/>
    </row>
    <row r="2070" spans="10:14" ht="15.95" customHeight="1" x14ac:dyDescent="0.25">
      <c r="J2070" s="192"/>
      <c r="K2070" s="192"/>
      <c r="L2070" s="192"/>
      <c r="M2070" s="192"/>
      <c r="N2070" s="192"/>
    </row>
    <row r="2071" spans="10:14" ht="15.95" customHeight="1" x14ac:dyDescent="0.25">
      <c r="J2071" s="192"/>
      <c r="K2071" s="192"/>
      <c r="L2071" s="192"/>
      <c r="M2071" s="192"/>
      <c r="N2071" s="192"/>
    </row>
    <row r="2072" spans="10:14" ht="15.95" customHeight="1" x14ac:dyDescent="0.25">
      <c r="J2072" s="192"/>
      <c r="K2072" s="192"/>
      <c r="L2072" s="192"/>
      <c r="M2072" s="192"/>
      <c r="N2072" s="192"/>
    </row>
    <row r="2073" spans="10:14" ht="15.95" customHeight="1" x14ac:dyDescent="0.25">
      <c r="J2073" s="192"/>
      <c r="K2073" s="192"/>
      <c r="L2073" s="192"/>
      <c r="M2073" s="192"/>
      <c r="N2073" s="192"/>
    </row>
    <row r="2074" spans="10:14" ht="15.95" customHeight="1" x14ac:dyDescent="0.25">
      <c r="J2074" s="192"/>
      <c r="K2074" s="192"/>
      <c r="L2074" s="192"/>
      <c r="M2074" s="192"/>
      <c r="N2074" s="192"/>
    </row>
    <row r="2075" spans="10:14" ht="15.95" customHeight="1" x14ac:dyDescent="0.25">
      <c r="J2075" s="192"/>
      <c r="K2075" s="192"/>
      <c r="L2075" s="192"/>
      <c r="M2075" s="192"/>
      <c r="N2075" s="192"/>
    </row>
    <row r="2076" spans="10:14" ht="15.95" customHeight="1" x14ac:dyDescent="0.25">
      <c r="J2076" s="192"/>
      <c r="K2076" s="192"/>
      <c r="L2076" s="192"/>
      <c r="M2076" s="192"/>
      <c r="N2076" s="192"/>
    </row>
    <row r="2077" spans="10:14" ht="15.95" customHeight="1" x14ac:dyDescent="0.25">
      <c r="J2077" s="192"/>
      <c r="K2077" s="192"/>
      <c r="L2077" s="192"/>
      <c r="M2077" s="192"/>
      <c r="N2077" s="192"/>
    </row>
    <row r="2078" spans="10:14" ht="15.95" customHeight="1" x14ac:dyDescent="0.25">
      <c r="J2078" s="192"/>
      <c r="K2078" s="192"/>
      <c r="L2078" s="192"/>
      <c r="M2078" s="192"/>
      <c r="N2078" s="192"/>
    </row>
    <row r="2079" spans="10:14" ht="15.95" customHeight="1" x14ac:dyDescent="0.25">
      <c r="J2079" s="192"/>
      <c r="K2079" s="192"/>
      <c r="L2079" s="192"/>
      <c r="M2079" s="192"/>
      <c r="N2079" s="192"/>
    </row>
    <row r="2080" spans="10:14" ht="15.95" customHeight="1" x14ac:dyDescent="0.25">
      <c r="J2080" s="192"/>
      <c r="K2080" s="192"/>
      <c r="L2080" s="192"/>
      <c r="M2080" s="192"/>
      <c r="N2080" s="192"/>
    </row>
    <row r="2081" spans="10:14" ht="15.95" customHeight="1" x14ac:dyDescent="0.25">
      <c r="J2081" s="192"/>
      <c r="K2081" s="192"/>
      <c r="L2081" s="192"/>
      <c r="M2081" s="192"/>
      <c r="N2081" s="192"/>
    </row>
    <row r="2082" spans="10:14" ht="15.95" customHeight="1" x14ac:dyDescent="0.25">
      <c r="J2082" s="192"/>
      <c r="K2082" s="192"/>
      <c r="L2082" s="192"/>
      <c r="M2082" s="192"/>
      <c r="N2082" s="192"/>
    </row>
    <row r="2083" spans="10:14" ht="15.95" customHeight="1" x14ac:dyDescent="0.25">
      <c r="J2083" s="192"/>
      <c r="K2083" s="192"/>
      <c r="L2083" s="192"/>
      <c r="M2083" s="192"/>
      <c r="N2083" s="192"/>
    </row>
    <row r="2084" spans="10:14" ht="15.95" customHeight="1" x14ac:dyDescent="0.25">
      <c r="J2084" s="192"/>
      <c r="K2084" s="192"/>
      <c r="L2084" s="192"/>
      <c r="M2084" s="192"/>
      <c r="N2084" s="192"/>
    </row>
    <row r="2085" spans="10:14" ht="15.95" customHeight="1" x14ac:dyDescent="0.25">
      <c r="J2085" s="192"/>
      <c r="K2085" s="192"/>
      <c r="L2085" s="192"/>
      <c r="M2085" s="192"/>
      <c r="N2085" s="192"/>
    </row>
    <row r="2086" spans="10:14" ht="15.95" customHeight="1" x14ac:dyDescent="0.25">
      <c r="J2086" s="192"/>
      <c r="K2086" s="192"/>
      <c r="L2086" s="192"/>
      <c r="M2086" s="192"/>
      <c r="N2086" s="192"/>
    </row>
    <row r="2087" spans="10:14" ht="15.95" customHeight="1" x14ac:dyDescent="0.25">
      <c r="J2087" s="192"/>
      <c r="K2087" s="192"/>
      <c r="L2087" s="192"/>
      <c r="M2087" s="192"/>
      <c r="N2087" s="192"/>
    </row>
    <row r="2088" spans="10:14" ht="15.95" customHeight="1" x14ac:dyDescent="0.25">
      <c r="J2088" s="192"/>
      <c r="K2088" s="192"/>
      <c r="L2088" s="192"/>
      <c r="M2088" s="192"/>
      <c r="N2088" s="192"/>
    </row>
    <row r="2089" spans="10:14" ht="15.95" customHeight="1" x14ac:dyDescent="0.25">
      <c r="J2089" s="192"/>
      <c r="K2089" s="192"/>
      <c r="L2089" s="192"/>
      <c r="M2089" s="192"/>
      <c r="N2089" s="192"/>
    </row>
    <row r="2090" spans="10:14" ht="15.95" customHeight="1" x14ac:dyDescent="0.25">
      <c r="J2090" s="192"/>
      <c r="K2090" s="192"/>
      <c r="L2090" s="192"/>
      <c r="M2090" s="192"/>
      <c r="N2090" s="192"/>
    </row>
    <row r="2091" spans="10:14" ht="15.95" customHeight="1" x14ac:dyDescent="0.25">
      <c r="J2091" s="192"/>
      <c r="K2091" s="192"/>
      <c r="L2091" s="192"/>
      <c r="M2091" s="192"/>
      <c r="N2091" s="192"/>
    </row>
    <row r="2092" spans="10:14" ht="15.95" customHeight="1" x14ac:dyDescent="0.25">
      <c r="J2092" s="192"/>
      <c r="K2092" s="192"/>
      <c r="L2092" s="192"/>
      <c r="M2092" s="192"/>
      <c r="N2092" s="192"/>
    </row>
    <row r="2093" spans="10:14" ht="15.95" customHeight="1" x14ac:dyDescent="0.25"/>
    <row r="2094" spans="10:14" ht="15.95" customHeight="1" x14ac:dyDescent="0.25"/>
    <row r="2095" spans="10:14" ht="32.1" customHeight="1" x14ac:dyDescent="0.25">
      <c r="J2095" s="235" t="str">
        <f>ComparisonData!JZ2</f>
        <v>SECTION B: OUR STAFF, SERVICES &amp; FACILITIES</v>
      </c>
      <c r="K2095" s="236"/>
      <c r="L2095" s="236"/>
      <c r="M2095" s="236"/>
      <c r="N2095" s="237"/>
    </row>
    <row r="2096" spans="10:14" ht="32.1" customHeight="1" x14ac:dyDescent="0.25">
      <c r="J2096" s="235" t="str">
        <f>ComparisonData!JZ3</f>
        <v>6.  Please rate the following services used during your visit to this archive</v>
      </c>
      <c r="K2096" s="236"/>
      <c r="L2096" s="236"/>
      <c r="M2096" s="236"/>
      <c r="N2096" s="237"/>
    </row>
    <row r="2097" spans="9:14" ht="32.1" customHeight="1" x14ac:dyDescent="0.25">
      <c r="J2097" s="235" t="str">
        <f>ComparisonData!JZ4</f>
        <v>Quality of our online catalogue</v>
      </c>
      <c r="K2097" s="236"/>
      <c r="L2097" s="236"/>
      <c r="M2097" s="236"/>
      <c r="N2097" s="237"/>
    </row>
    <row r="2098" spans="9:14" ht="32.1" customHeight="1" x14ac:dyDescent="0.25">
      <c r="J2098" s="185" t="str">
        <f>ComparisonData!KE5</f>
        <v>Very good</v>
      </c>
      <c r="K2098" s="185" t="str">
        <f>ComparisonData!KF5</f>
        <v>Fairly good</v>
      </c>
      <c r="L2098" s="185" t="str">
        <f>ComparisonData!KG5</f>
        <v>Neither</v>
      </c>
      <c r="M2098" s="185" t="str">
        <f>ComparisonData!KH5</f>
        <v>Poor</v>
      </c>
      <c r="N2098" s="185" t="str">
        <f>ComparisonData!KI5</f>
        <v>Very poor</v>
      </c>
    </row>
    <row r="2099" spans="9:14" ht="15.95" customHeight="1" x14ac:dyDescent="0.25">
      <c r="I2099" s="188" t="str" cm="1">
        <f t="array" aca="1" ref="I2099" ca="1">Quality_of_our_online_catalogue_lbl</f>
        <v>TOTAL</v>
      </c>
      <c r="J2099" s="192" cm="1">
        <f t="array" aca="1" ref="J2099" ca="1">Quality_of_our_online_catalogue_1</f>
        <v>0.54774999999999996</v>
      </c>
      <c r="K2099" s="192" cm="1">
        <f t="array" aca="1" ref="K2099" ca="1">Quality_of_our_online_catalogue_2</f>
        <v>0.34059</v>
      </c>
      <c r="L2099" s="192" cm="1">
        <f t="array" aca="1" ref="L2099" ca="1">Quality_of_our_online_catalogue_3</f>
        <v>7.4560000000000001E-2</v>
      </c>
      <c r="M2099" s="192" cm="1">
        <f t="array" aca="1" ref="M2099" ca="1">Quality_of_our_online_catalogue_4</f>
        <v>2.9329999999999998E-2</v>
      </c>
      <c r="N2099" s="192" cm="1">
        <f t="array" aca="1" ref="N2099" ca="1">Quality_of_our_online_catalogue_5</f>
        <v>7.7751314782685621E-3</v>
      </c>
    </row>
    <row r="2100" spans="9:14" ht="15.95" customHeight="1" x14ac:dyDescent="0.25">
      <c r="J2100" s="192"/>
      <c r="K2100" s="192"/>
      <c r="L2100" s="192"/>
      <c r="M2100" s="192"/>
      <c r="N2100" s="192"/>
    </row>
    <row r="2101" spans="9:14" ht="15.95" customHeight="1" x14ac:dyDescent="0.25">
      <c r="J2101" s="192"/>
      <c r="K2101" s="192"/>
      <c r="L2101" s="192"/>
      <c r="M2101" s="192"/>
      <c r="N2101" s="192"/>
    </row>
    <row r="2102" spans="9:14" ht="15.95" customHeight="1" x14ac:dyDescent="0.25">
      <c r="J2102" s="192"/>
      <c r="K2102" s="192"/>
      <c r="L2102" s="192"/>
      <c r="M2102" s="192"/>
      <c r="N2102" s="192"/>
    </row>
    <row r="2103" spans="9:14" ht="15.95" customHeight="1" x14ac:dyDescent="0.25">
      <c r="J2103" s="192"/>
      <c r="K2103" s="192"/>
      <c r="L2103" s="192"/>
      <c r="M2103" s="192"/>
      <c r="N2103" s="192"/>
    </row>
    <row r="2104" spans="9:14" ht="15.95" customHeight="1" x14ac:dyDescent="0.25">
      <c r="J2104" s="192"/>
      <c r="K2104" s="192"/>
      <c r="L2104" s="192"/>
      <c r="M2104" s="192"/>
      <c r="N2104" s="192"/>
    </row>
    <row r="2105" spans="9:14" ht="15.95" customHeight="1" x14ac:dyDescent="0.25">
      <c r="J2105" s="192"/>
      <c r="K2105" s="192"/>
      <c r="L2105" s="192"/>
      <c r="M2105" s="192"/>
      <c r="N2105" s="192"/>
    </row>
    <row r="2106" spans="9:14" ht="15.95" customHeight="1" x14ac:dyDescent="0.25">
      <c r="J2106" s="192"/>
      <c r="K2106" s="192"/>
      <c r="L2106" s="192"/>
      <c r="M2106" s="192"/>
      <c r="N2106" s="192"/>
    </row>
    <row r="2107" spans="9:14" ht="15.95" customHeight="1" x14ac:dyDescent="0.25">
      <c r="J2107" s="192"/>
      <c r="K2107" s="192"/>
      <c r="L2107" s="192"/>
      <c r="M2107" s="192"/>
      <c r="N2107" s="192"/>
    </row>
    <row r="2108" spans="9:14" ht="15.95" customHeight="1" x14ac:dyDescent="0.25">
      <c r="J2108" s="192"/>
      <c r="K2108" s="192"/>
      <c r="L2108" s="192"/>
      <c r="M2108" s="192"/>
      <c r="N2108" s="192"/>
    </row>
    <row r="2109" spans="9:14" ht="15.95" customHeight="1" x14ac:dyDescent="0.25">
      <c r="J2109" s="192"/>
      <c r="K2109" s="192"/>
      <c r="L2109" s="192"/>
      <c r="M2109" s="192"/>
      <c r="N2109" s="192"/>
    </row>
    <row r="2110" spans="9:14" ht="15.95" customHeight="1" x14ac:dyDescent="0.25">
      <c r="J2110" s="192"/>
      <c r="K2110" s="192"/>
      <c r="L2110" s="192"/>
      <c r="M2110" s="192"/>
      <c r="N2110" s="192"/>
    </row>
    <row r="2111" spans="9:14" ht="15.95" customHeight="1" x14ac:dyDescent="0.25">
      <c r="J2111" s="192"/>
      <c r="K2111" s="192"/>
      <c r="L2111" s="192"/>
      <c r="M2111" s="192"/>
      <c r="N2111" s="192"/>
    </row>
    <row r="2112" spans="9:14" ht="15.95" customHeight="1" x14ac:dyDescent="0.25">
      <c r="J2112" s="192"/>
      <c r="K2112" s="192"/>
      <c r="L2112" s="192"/>
      <c r="M2112" s="192"/>
      <c r="N2112" s="192"/>
    </row>
    <row r="2113" spans="10:14" ht="15.95" customHeight="1" x14ac:dyDescent="0.25">
      <c r="J2113" s="192"/>
      <c r="K2113" s="192"/>
      <c r="L2113" s="192"/>
      <c r="M2113" s="192"/>
      <c r="N2113" s="192"/>
    </row>
    <row r="2114" spans="10:14" ht="15.95" customHeight="1" x14ac:dyDescent="0.25">
      <c r="J2114" s="192"/>
      <c r="K2114" s="192"/>
      <c r="L2114" s="192"/>
      <c r="M2114" s="192"/>
      <c r="N2114" s="192"/>
    </row>
    <row r="2115" spans="10:14" ht="15.95" customHeight="1" x14ac:dyDescent="0.25">
      <c r="J2115" s="192"/>
      <c r="K2115" s="192"/>
      <c r="L2115" s="192"/>
      <c r="M2115" s="192"/>
      <c r="N2115" s="192"/>
    </row>
    <row r="2116" spans="10:14" ht="15.95" customHeight="1" x14ac:dyDescent="0.25">
      <c r="J2116" s="192"/>
      <c r="K2116" s="192"/>
      <c r="L2116" s="192"/>
      <c r="M2116" s="192"/>
      <c r="N2116" s="192"/>
    </row>
    <row r="2117" spans="10:14" ht="15.95" customHeight="1" x14ac:dyDescent="0.25">
      <c r="J2117" s="192"/>
      <c r="K2117" s="192"/>
      <c r="L2117" s="192"/>
      <c r="M2117" s="192"/>
      <c r="N2117" s="192"/>
    </row>
    <row r="2118" spans="10:14" ht="15.95" customHeight="1" x14ac:dyDescent="0.25">
      <c r="J2118" s="192"/>
      <c r="K2118" s="192"/>
      <c r="L2118" s="192"/>
      <c r="M2118" s="192"/>
      <c r="N2118" s="192"/>
    </row>
    <row r="2119" spans="10:14" ht="15.95" customHeight="1" x14ac:dyDescent="0.25">
      <c r="J2119" s="192"/>
      <c r="K2119" s="192"/>
      <c r="L2119" s="192"/>
      <c r="M2119" s="192"/>
      <c r="N2119" s="192"/>
    </row>
    <row r="2120" spans="10:14" ht="15.95" customHeight="1" x14ac:dyDescent="0.25">
      <c r="J2120" s="192"/>
      <c r="K2120" s="192"/>
      <c r="L2120" s="192"/>
      <c r="M2120" s="192"/>
      <c r="N2120" s="192"/>
    </row>
    <row r="2121" spans="10:14" ht="15.95" customHeight="1" x14ac:dyDescent="0.25">
      <c r="J2121" s="192"/>
      <c r="K2121" s="192"/>
      <c r="L2121" s="192"/>
      <c r="M2121" s="192"/>
      <c r="N2121" s="192"/>
    </row>
    <row r="2122" spans="10:14" ht="15.95" customHeight="1" x14ac:dyDescent="0.25">
      <c r="J2122" s="192"/>
      <c r="K2122" s="192"/>
      <c r="L2122" s="192"/>
      <c r="M2122" s="192"/>
      <c r="N2122" s="192"/>
    </row>
    <row r="2123" spans="10:14" ht="15.95" customHeight="1" x14ac:dyDescent="0.25">
      <c r="J2123" s="192"/>
      <c r="K2123" s="192"/>
      <c r="L2123" s="192"/>
      <c r="M2123" s="192"/>
      <c r="N2123" s="192"/>
    </row>
    <row r="2124" spans="10:14" ht="15.95" customHeight="1" x14ac:dyDescent="0.25">
      <c r="J2124" s="192"/>
      <c r="K2124" s="192"/>
      <c r="L2124" s="192"/>
      <c r="M2124" s="192"/>
      <c r="N2124" s="192"/>
    </row>
    <row r="2125" spans="10:14" ht="15.95" customHeight="1" x14ac:dyDescent="0.25">
      <c r="J2125" s="192"/>
      <c r="K2125" s="192"/>
      <c r="L2125" s="192"/>
      <c r="M2125" s="192"/>
      <c r="N2125" s="192"/>
    </row>
    <row r="2126" spans="10:14" ht="15.95" customHeight="1" x14ac:dyDescent="0.25">
      <c r="J2126" s="192"/>
      <c r="K2126" s="192"/>
      <c r="L2126" s="192"/>
      <c r="M2126" s="192"/>
      <c r="N2126" s="192"/>
    </row>
    <row r="2127" spans="10:14" ht="15.95" customHeight="1" x14ac:dyDescent="0.25">
      <c r="J2127" s="192"/>
      <c r="K2127" s="192"/>
      <c r="L2127" s="192"/>
      <c r="M2127" s="192"/>
      <c r="N2127" s="192"/>
    </row>
    <row r="2128" spans="10:14" ht="15.95" customHeight="1" x14ac:dyDescent="0.25">
      <c r="J2128" s="192"/>
      <c r="K2128" s="192"/>
      <c r="L2128" s="192"/>
      <c r="M2128" s="192"/>
      <c r="N2128" s="192"/>
    </row>
    <row r="2129" spans="10:14" ht="15.95" customHeight="1" x14ac:dyDescent="0.25">
      <c r="J2129" s="192"/>
      <c r="K2129" s="192"/>
      <c r="L2129" s="192"/>
      <c r="M2129" s="192"/>
      <c r="N2129" s="192"/>
    </row>
    <row r="2130" spans="10:14" ht="15.95" customHeight="1" x14ac:dyDescent="0.25">
      <c r="J2130" s="192"/>
      <c r="K2130" s="192"/>
      <c r="L2130" s="192"/>
      <c r="M2130" s="192"/>
      <c r="N2130" s="192"/>
    </row>
    <row r="2131" spans="10:14" ht="15.95" customHeight="1" x14ac:dyDescent="0.25">
      <c r="J2131" s="192"/>
      <c r="K2131" s="192"/>
      <c r="L2131" s="192"/>
      <c r="M2131" s="192"/>
      <c r="N2131" s="192"/>
    </row>
    <row r="2132" spans="10:14" ht="15.95" customHeight="1" x14ac:dyDescent="0.25">
      <c r="J2132" s="192"/>
      <c r="K2132" s="192"/>
      <c r="L2132" s="192"/>
      <c r="M2132" s="192"/>
      <c r="N2132" s="192"/>
    </row>
    <row r="2133" spans="10:14" ht="15.95" customHeight="1" x14ac:dyDescent="0.25">
      <c r="J2133" s="192"/>
      <c r="K2133" s="192"/>
      <c r="L2133" s="192"/>
      <c r="M2133" s="192"/>
      <c r="N2133" s="192"/>
    </row>
    <row r="2134" spans="10:14" ht="15.95" customHeight="1" x14ac:dyDescent="0.25">
      <c r="J2134" s="192"/>
      <c r="K2134" s="192"/>
      <c r="L2134" s="192"/>
      <c r="M2134" s="192"/>
      <c r="N2134" s="192"/>
    </row>
    <row r="2135" spans="10:14" ht="15.95" customHeight="1" x14ac:dyDescent="0.25">
      <c r="J2135" s="192"/>
      <c r="K2135" s="192"/>
      <c r="L2135" s="192"/>
      <c r="M2135" s="192"/>
      <c r="N2135" s="192"/>
    </row>
    <row r="2136" spans="10:14" ht="15.95" customHeight="1" x14ac:dyDescent="0.25">
      <c r="J2136" s="192"/>
      <c r="K2136" s="192"/>
      <c r="L2136" s="192"/>
      <c r="M2136" s="192"/>
      <c r="N2136" s="192"/>
    </row>
    <row r="2137" spans="10:14" ht="15.95" customHeight="1" x14ac:dyDescent="0.25">
      <c r="J2137" s="192"/>
      <c r="K2137" s="192"/>
      <c r="L2137" s="192"/>
      <c r="M2137" s="192"/>
      <c r="N2137" s="192"/>
    </row>
    <row r="2138" spans="10:14" ht="15.95" customHeight="1" x14ac:dyDescent="0.25">
      <c r="J2138" s="192"/>
      <c r="K2138" s="192"/>
      <c r="L2138" s="192"/>
      <c r="M2138" s="192"/>
      <c r="N2138" s="192"/>
    </row>
    <row r="2139" spans="10:14" ht="15.95" customHeight="1" x14ac:dyDescent="0.25">
      <c r="J2139" s="192"/>
      <c r="K2139" s="192"/>
      <c r="L2139" s="192"/>
      <c r="M2139" s="192"/>
      <c r="N2139" s="192"/>
    </row>
    <row r="2140" spans="10:14" ht="15.95" customHeight="1" x14ac:dyDescent="0.25">
      <c r="J2140" s="192"/>
      <c r="K2140" s="192"/>
      <c r="L2140" s="192"/>
      <c r="M2140" s="192"/>
      <c r="N2140" s="192"/>
    </row>
    <row r="2141" spans="10:14" ht="15.95" customHeight="1" x14ac:dyDescent="0.25">
      <c r="J2141" s="192"/>
      <c r="K2141" s="192"/>
      <c r="L2141" s="192"/>
      <c r="M2141" s="192"/>
      <c r="N2141" s="192"/>
    </row>
    <row r="2142" spans="10:14" ht="15.95" customHeight="1" x14ac:dyDescent="0.25">
      <c r="J2142" s="192"/>
      <c r="K2142" s="192"/>
      <c r="L2142" s="192"/>
      <c r="M2142" s="192"/>
      <c r="N2142" s="192"/>
    </row>
    <row r="2143" spans="10:14" ht="15.95" customHeight="1" x14ac:dyDescent="0.25">
      <c r="J2143" s="192"/>
      <c r="K2143" s="192"/>
      <c r="L2143" s="192"/>
      <c r="M2143" s="192"/>
      <c r="N2143" s="192"/>
    </row>
    <row r="2144" spans="10:14" ht="15.95" customHeight="1" x14ac:dyDescent="0.25">
      <c r="J2144" s="192"/>
      <c r="K2144" s="192"/>
      <c r="L2144" s="192"/>
      <c r="M2144" s="192"/>
      <c r="N2144" s="192"/>
    </row>
    <row r="2145" spans="10:14" ht="15.95" customHeight="1" x14ac:dyDescent="0.25">
      <c r="J2145" s="192"/>
      <c r="K2145" s="192"/>
      <c r="L2145" s="192"/>
      <c r="M2145" s="192"/>
      <c r="N2145" s="192"/>
    </row>
    <row r="2146" spans="10:14" ht="15.95" customHeight="1" x14ac:dyDescent="0.25">
      <c r="J2146" s="192"/>
      <c r="K2146" s="192"/>
      <c r="L2146" s="192"/>
      <c r="M2146" s="192"/>
      <c r="N2146" s="192"/>
    </row>
    <row r="2147" spans="10:14" ht="15.95" customHeight="1" x14ac:dyDescent="0.25">
      <c r="J2147" s="192"/>
      <c r="K2147" s="192"/>
      <c r="L2147" s="192"/>
      <c r="M2147" s="192"/>
      <c r="N2147" s="192"/>
    </row>
    <row r="2148" spans="10:14" ht="15.95" customHeight="1" x14ac:dyDescent="0.25">
      <c r="J2148" s="192"/>
      <c r="K2148" s="192"/>
      <c r="L2148" s="192"/>
      <c r="M2148" s="192"/>
      <c r="N2148" s="192"/>
    </row>
    <row r="2149" spans="10:14" ht="15.95" customHeight="1" x14ac:dyDescent="0.25">
      <c r="J2149" s="192"/>
      <c r="K2149" s="192"/>
      <c r="L2149" s="192"/>
      <c r="M2149" s="192"/>
      <c r="N2149" s="192"/>
    </row>
    <row r="2150" spans="10:14" ht="15.95" customHeight="1" x14ac:dyDescent="0.25">
      <c r="J2150" s="192"/>
      <c r="K2150" s="192"/>
      <c r="L2150" s="192"/>
      <c r="M2150" s="192"/>
      <c r="N2150" s="192"/>
    </row>
    <row r="2151" spans="10:14" ht="15.95" customHeight="1" x14ac:dyDescent="0.25">
      <c r="J2151" s="192"/>
      <c r="K2151" s="192"/>
      <c r="L2151" s="192"/>
      <c r="M2151" s="192"/>
      <c r="N2151" s="192"/>
    </row>
    <row r="2152" spans="10:14" ht="15.95" customHeight="1" x14ac:dyDescent="0.25">
      <c r="J2152" s="192"/>
      <c r="K2152" s="192"/>
      <c r="L2152" s="192"/>
      <c r="M2152" s="192"/>
      <c r="N2152" s="192"/>
    </row>
    <row r="2153" spans="10:14" ht="15.95" customHeight="1" x14ac:dyDescent="0.25">
      <c r="J2153" s="192"/>
      <c r="K2153" s="192"/>
      <c r="L2153" s="192"/>
      <c r="M2153" s="192"/>
      <c r="N2153" s="192"/>
    </row>
    <row r="2154" spans="10:14" ht="15.95" customHeight="1" x14ac:dyDescent="0.25">
      <c r="J2154" s="192"/>
      <c r="K2154" s="192"/>
      <c r="L2154" s="192"/>
      <c r="M2154" s="192"/>
      <c r="N2154" s="192"/>
    </row>
    <row r="2155" spans="10:14" ht="15.95" customHeight="1" x14ac:dyDescent="0.25">
      <c r="J2155" s="192"/>
      <c r="K2155" s="192"/>
      <c r="L2155" s="192"/>
      <c r="M2155" s="192"/>
      <c r="N2155" s="192"/>
    </row>
    <row r="2156" spans="10:14" ht="15.95" customHeight="1" x14ac:dyDescent="0.25">
      <c r="J2156" s="192"/>
      <c r="K2156" s="192"/>
      <c r="L2156" s="192"/>
      <c r="M2156" s="192"/>
      <c r="N2156" s="192"/>
    </row>
    <row r="2157" spans="10:14" ht="15.95" customHeight="1" x14ac:dyDescent="0.25">
      <c r="J2157" s="192"/>
      <c r="K2157" s="192"/>
      <c r="L2157" s="192"/>
      <c r="M2157" s="192"/>
      <c r="N2157" s="192"/>
    </row>
    <row r="2158" spans="10:14" ht="15.95" customHeight="1" x14ac:dyDescent="0.25">
      <c r="J2158" s="192"/>
      <c r="K2158" s="192"/>
      <c r="L2158" s="192"/>
      <c r="M2158" s="192"/>
      <c r="N2158" s="192"/>
    </row>
    <row r="2159" spans="10:14" ht="15.95" customHeight="1" x14ac:dyDescent="0.25">
      <c r="J2159" s="192"/>
      <c r="K2159" s="192"/>
      <c r="L2159" s="192"/>
      <c r="M2159" s="192"/>
      <c r="N2159" s="192"/>
    </row>
    <row r="2160" spans="10:14" ht="15.95" customHeight="1" x14ac:dyDescent="0.25">
      <c r="J2160" s="192"/>
      <c r="K2160" s="192"/>
      <c r="L2160" s="192"/>
      <c r="M2160" s="192"/>
      <c r="N2160" s="192"/>
    </row>
    <row r="2161" spans="10:14" ht="15.95" customHeight="1" x14ac:dyDescent="0.25">
      <c r="J2161" s="192"/>
      <c r="K2161" s="192"/>
      <c r="L2161" s="192"/>
      <c r="M2161" s="192"/>
      <c r="N2161" s="192"/>
    </row>
    <row r="2162" spans="10:14" ht="15.95" customHeight="1" x14ac:dyDescent="0.25">
      <c r="J2162" s="192"/>
      <c r="K2162" s="192"/>
      <c r="L2162" s="192"/>
      <c r="M2162" s="192"/>
      <c r="N2162" s="192"/>
    </row>
    <row r="2163" spans="10:14" ht="15.95" customHeight="1" x14ac:dyDescent="0.25">
      <c r="J2163" s="192"/>
      <c r="K2163" s="192"/>
      <c r="L2163" s="192"/>
      <c r="M2163" s="192"/>
      <c r="N2163" s="192"/>
    </row>
    <row r="2164" spans="10:14" ht="15.95" customHeight="1" x14ac:dyDescent="0.25">
      <c r="J2164" s="192"/>
      <c r="K2164" s="192"/>
      <c r="L2164" s="192"/>
      <c r="M2164" s="192"/>
      <c r="N2164" s="192"/>
    </row>
    <row r="2165" spans="10:14" ht="15.95" customHeight="1" x14ac:dyDescent="0.25">
      <c r="J2165" s="192"/>
      <c r="K2165" s="192"/>
      <c r="L2165" s="192"/>
      <c r="M2165" s="192"/>
      <c r="N2165" s="192"/>
    </row>
    <row r="2166" spans="10:14" ht="15.95" customHeight="1" x14ac:dyDescent="0.25">
      <c r="J2166" s="192"/>
      <c r="K2166" s="192"/>
      <c r="L2166" s="192"/>
      <c r="M2166" s="192"/>
      <c r="N2166" s="192"/>
    </row>
    <row r="2167" spans="10:14" ht="15.95" customHeight="1" x14ac:dyDescent="0.25">
      <c r="J2167" s="192"/>
      <c r="K2167" s="192"/>
      <c r="L2167" s="192"/>
      <c r="M2167" s="192"/>
      <c r="N2167" s="192"/>
    </row>
    <row r="2168" spans="10:14" ht="15.95" customHeight="1" x14ac:dyDescent="0.25">
      <c r="J2168" s="192"/>
      <c r="K2168" s="192"/>
      <c r="L2168" s="192"/>
      <c r="M2168" s="192"/>
      <c r="N2168" s="192"/>
    </row>
    <row r="2169" spans="10:14" ht="15.95" customHeight="1" x14ac:dyDescent="0.25">
      <c r="J2169" s="192"/>
      <c r="K2169" s="192"/>
      <c r="L2169" s="192"/>
      <c r="M2169" s="192"/>
      <c r="N2169" s="192"/>
    </row>
    <row r="2170" spans="10:14" ht="15.95" customHeight="1" x14ac:dyDescent="0.25">
      <c r="J2170" s="192"/>
      <c r="K2170" s="192"/>
      <c r="L2170" s="192"/>
      <c r="M2170" s="192"/>
      <c r="N2170" s="192"/>
    </row>
    <row r="2171" spans="10:14" ht="15.95" customHeight="1" x14ac:dyDescent="0.25">
      <c r="J2171" s="192"/>
      <c r="K2171" s="192"/>
      <c r="L2171" s="192"/>
      <c r="M2171" s="192"/>
      <c r="N2171" s="192"/>
    </row>
    <row r="2172" spans="10:14" ht="15.95" customHeight="1" x14ac:dyDescent="0.25">
      <c r="J2172" s="192"/>
      <c r="K2172" s="192"/>
      <c r="L2172" s="192"/>
      <c r="M2172" s="192"/>
      <c r="N2172" s="192"/>
    </row>
    <row r="2173" spans="10:14" ht="15.95" customHeight="1" x14ac:dyDescent="0.25">
      <c r="J2173" s="192"/>
      <c r="K2173" s="192"/>
      <c r="L2173" s="192"/>
      <c r="M2173" s="192"/>
      <c r="N2173" s="192"/>
    </row>
    <row r="2174" spans="10:14" ht="15.95" customHeight="1" x14ac:dyDescent="0.25">
      <c r="J2174" s="192"/>
      <c r="K2174" s="192"/>
      <c r="L2174" s="192"/>
      <c r="M2174" s="192"/>
      <c r="N2174" s="192"/>
    </row>
    <row r="2175" spans="10:14" ht="15.95" customHeight="1" x14ac:dyDescent="0.25">
      <c r="J2175" s="192"/>
      <c r="K2175" s="192"/>
      <c r="L2175" s="192"/>
      <c r="M2175" s="192"/>
      <c r="N2175" s="192"/>
    </row>
    <row r="2176" spans="10:14" ht="15.95" customHeight="1" x14ac:dyDescent="0.25">
      <c r="J2176" s="192"/>
      <c r="K2176" s="192"/>
      <c r="L2176" s="192"/>
      <c r="M2176" s="192"/>
      <c r="N2176" s="192"/>
    </row>
    <row r="2177" spans="10:14" ht="15.95" customHeight="1" x14ac:dyDescent="0.25">
      <c r="J2177" s="192"/>
      <c r="K2177" s="192"/>
      <c r="L2177" s="192"/>
      <c r="M2177" s="192"/>
      <c r="N2177" s="192"/>
    </row>
    <row r="2178" spans="10:14" ht="15.95" customHeight="1" x14ac:dyDescent="0.25">
      <c r="J2178" s="192"/>
      <c r="K2178" s="192"/>
      <c r="L2178" s="192"/>
      <c r="M2178" s="192"/>
      <c r="N2178" s="192"/>
    </row>
    <row r="2179" spans="10:14" ht="15.95" customHeight="1" x14ac:dyDescent="0.25">
      <c r="J2179" s="192"/>
      <c r="K2179" s="192"/>
      <c r="L2179" s="192"/>
      <c r="M2179" s="192"/>
      <c r="N2179" s="192"/>
    </row>
    <row r="2180" spans="10:14" ht="15.95" customHeight="1" x14ac:dyDescent="0.25">
      <c r="J2180" s="192"/>
      <c r="K2180" s="192"/>
      <c r="L2180" s="192"/>
      <c r="M2180" s="192"/>
      <c r="N2180" s="192"/>
    </row>
    <row r="2181" spans="10:14" ht="15.95" customHeight="1" x14ac:dyDescent="0.25">
      <c r="J2181" s="192"/>
      <c r="K2181" s="192"/>
      <c r="L2181" s="192"/>
      <c r="M2181" s="192"/>
      <c r="N2181" s="192"/>
    </row>
    <row r="2182" spans="10:14" ht="15.95" customHeight="1" x14ac:dyDescent="0.25">
      <c r="J2182" s="192"/>
      <c r="K2182" s="192"/>
      <c r="L2182" s="192"/>
      <c r="M2182" s="192"/>
      <c r="N2182" s="192"/>
    </row>
    <row r="2183" spans="10:14" ht="15.95" customHeight="1" x14ac:dyDescent="0.25">
      <c r="J2183" s="192"/>
      <c r="K2183" s="192"/>
      <c r="L2183" s="192"/>
      <c r="M2183" s="192"/>
      <c r="N2183" s="192"/>
    </row>
    <row r="2184" spans="10:14" ht="15.95" customHeight="1" x14ac:dyDescent="0.25">
      <c r="J2184" s="192"/>
      <c r="K2184" s="192"/>
      <c r="L2184" s="192"/>
      <c r="M2184" s="192"/>
      <c r="N2184" s="192"/>
    </row>
    <row r="2185" spans="10:14" ht="15.95" customHeight="1" x14ac:dyDescent="0.25">
      <c r="J2185" s="192"/>
      <c r="K2185" s="192"/>
      <c r="L2185" s="192"/>
      <c r="M2185" s="192"/>
      <c r="N2185" s="192"/>
    </row>
    <row r="2186" spans="10:14" ht="15.95" customHeight="1" x14ac:dyDescent="0.25">
      <c r="J2186" s="192"/>
      <c r="K2186" s="192"/>
      <c r="L2186" s="192"/>
      <c r="M2186" s="192"/>
      <c r="N2186" s="192"/>
    </row>
    <row r="2187" spans="10:14" ht="15.95" customHeight="1" x14ac:dyDescent="0.25">
      <c r="J2187" s="192"/>
      <c r="K2187" s="192"/>
      <c r="L2187" s="192"/>
      <c r="M2187" s="192"/>
      <c r="N2187" s="192"/>
    </row>
    <row r="2188" spans="10:14" ht="15.95" customHeight="1" x14ac:dyDescent="0.25">
      <c r="J2188" s="192"/>
      <c r="K2188" s="192"/>
      <c r="L2188" s="192"/>
      <c r="M2188" s="192"/>
      <c r="N2188" s="192"/>
    </row>
    <row r="2189" spans="10:14" ht="15.95" customHeight="1" x14ac:dyDescent="0.25">
      <c r="J2189" s="192"/>
      <c r="K2189" s="192"/>
      <c r="L2189" s="192"/>
      <c r="M2189" s="192"/>
      <c r="N2189" s="192"/>
    </row>
    <row r="2190" spans="10:14" ht="15.95" customHeight="1" x14ac:dyDescent="0.25">
      <c r="J2190" s="192"/>
      <c r="K2190" s="192"/>
      <c r="L2190" s="192"/>
      <c r="M2190" s="192"/>
      <c r="N2190" s="192"/>
    </row>
    <row r="2191" spans="10:14" ht="15.95" customHeight="1" x14ac:dyDescent="0.25">
      <c r="J2191" s="192"/>
      <c r="K2191" s="192"/>
      <c r="L2191" s="192"/>
      <c r="M2191" s="192"/>
      <c r="N2191" s="192"/>
    </row>
    <row r="2192" spans="10:14" ht="15.95" customHeight="1" x14ac:dyDescent="0.25">
      <c r="J2192" s="192"/>
      <c r="K2192" s="192"/>
      <c r="L2192" s="192"/>
      <c r="M2192" s="192"/>
      <c r="N2192" s="192"/>
    </row>
    <row r="2193" spans="10:14" ht="15.95" customHeight="1" x14ac:dyDescent="0.25">
      <c r="J2193" s="192"/>
      <c r="K2193" s="192"/>
      <c r="L2193" s="192"/>
      <c r="M2193" s="192"/>
      <c r="N2193" s="192"/>
    </row>
    <row r="2194" spans="10:14" ht="15.95" customHeight="1" x14ac:dyDescent="0.25">
      <c r="J2194" s="192"/>
      <c r="K2194" s="192"/>
      <c r="L2194" s="192"/>
      <c r="M2194" s="192"/>
      <c r="N2194" s="192"/>
    </row>
    <row r="2195" spans="10:14" ht="15.95" customHeight="1" x14ac:dyDescent="0.25">
      <c r="J2195" s="192"/>
      <c r="K2195" s="192"/>
      <c r="L2195" s="192"/>
      <c r="M2195" s="192"/>
      <c r="N2195" s="192"/>
    </row>
    <row r="2196" spans="10:14" ht="15.95" customHeight="1" x14ac:dyDescent="0.25">
      <c r="J2196" s="192"/>
      <c r="K2196" s="192"/>
      <c r="L2196" s="192"/>
      <c r="M2196" s="192"/>
      <c r="N2196" s="192"/>
    </row>
    <row r="2197" spans="10:14" ht="15.95" customHeight="1" x14ac:dyDescent="0.25">
      <c r="J2197" s="192"/>
      <c r="K2197" s="192"/>
      <c r="L2197" s="192"/>
      <c r="M2197" s="192"/>
      <c r="N2197" s="192"/>
    </row>
    <row r="2198" spans="10:14" ht="15.95" customHeight="1" x14ac:dyDescent="0.25">
      <c r="J2198" s="192"/>
      <c r="K2198" s="192"/>
      <c r="L2198" s="192"/>
      <c r="M2198" s="192"/>
      <c r="N2198" s="192"/>
    </row>
    <row r="2199" spans="10:14" ht="15.95" customHeight="1" x14ac:dyDescent="0.25">
      <c r="J2199" s="192"/>
      <c r="K2199" s="192"/>
      <c r="L2199" s="192"/>
      <c r="M2199" s="192"/>
      <c r="N2199" s="192"/>
    </row>
    <row r="2200" spans="10:14" ht="15.95" customHeight="1" x14ac:dyDescent="0.25">
      <c r="J2200" s="192"/>
      <c r="K2200" s="192"/>
      <c r="L2200" s="192"/>
      <c r="M2200" s="192"/>
      <c r="N2200" s="192"/>
    </row>
    <row r="2201" spans="10:14" ht="15.95" customHeight="1" x14ac:dyDescent="0.25">
      <c r="J2201" s="192"/>
      <c r="K2201" s="192"/>
      <c r="L2201" s="192"/>
      <c r="M2201" s="192"/>
      <c r="N2201" s="192"/>
    </row>
    <row r="2202" spans="10:14" ht="15.95" customHeight="1" x14ac:dyDescent="0.25">
      <c r="J2202" s="192"/>
      <c r="K2202" s="192"/>
      <c r="L2202" s="192"/>
      <c r="M2202" s="192"/>
      <c r="N2202" s="192"/>
    </row>
    <row r="2203" spans="10:14" ht="15.95" customHeight="1" x14ac:dyDescent="0.25">
      <c r="J2203" s="192"/>
      <c r="K2203" s="192"/>
      <c r="L2203" s="192"/>
      <c r="M2203" s="192"/>
      <c r="N2203" s="192"/>
    </row>
    <row r="2204" spans="10:14" ht="15.95" customHeight="1" x14ac:dyDescent="0.25">
      <c r="J2204" s="192"/>
      <c r="K2204" s="192"/>
      <c r="L2204" s="192"/>
      <c r="M2204" s="192"/>
      <c r="N2204" s="192"/>
    </row>
    <row r="2205" spans="10:14" ht="15.95" customHeight="1" x14ac:dyDescent="0.25">
      <c r="J2205" s="192"/>
      <c r="K2205" s="192"/>
      <c r="L2205" s="192"/>
      <c r="M2205" s="192"/>
      <c r="N2205" s="192"/>
    </row>
    <row r="2206" spans="10:14" ht="15.95" customHeight="1" x14ac:dyDescent="0.25">
      <c r="J2206" s="192"/>
      <c r="K2206" s="192"/>
      <c r="L2206" s="192"/>
      <c r="M2206" s="192"/>
      <c r="N2206" s="192"/>
    </row>
    <row r="2207" spans="10:14" ht="15.95" customHeight="1" x14ac:dyDescent="0.25">
      <c r="J2207" s="192"/>
      <c r="K2207" s="192"/>
      <c r="L2207" s="192"/>
      <c r="M2207" s="192"/>
      <c r="N2207" s="192"/>
    </row>
    <row r="2208" spans="10:14" ht="15.95" customHeight="1" x14ac:dyDescent="0.25">
      <c r="J2208" s="192"/>
      <c r="K2208" s="192"/>
      <c r="L2208" s="192"/>
      <c r="M2208" s="192"/>
      <c r="N2208" s="192"/>
    </row>
    <row r="2209" spans="9:14" ht="15.95" customHeight="1" x14ac:dyDescent="0.25">
      <c r="J2209" s="192"/>
      <c r="K2209" s="192"/>
      <c r="L2209" s="192"/>
      <c r="M2209" s="192"/>
      <c r="N2209" s="192"/>
    </row>
    <row r="2210" spans="9:14" ht="15.95" customHeight="1" x14ac:dyDescent="0.25">
      <c r="J2210" s="192"/>
      <c r="K2210" s="192"/>
      <c r="L2210" s="192"/>
      <c r="M2210" s="192"/>
      <c r="N2210" s="192"/>
    </row>
    <row r="2211" spans="9:14" ht="15.95" customHeight="1" x14ac:dyDescent="0.25"/>
    <row r="2212" spans="9:14" ht="15.95" customHeight="1" x14ac:dyDescent="0.25"/>
    <row r="2213" spans="9:14" ht="32.1" customHeight="1" x14ac:dyDescent="0.25">
      <c r="J2213" s="235" t="str">
        <f>ComparisonData!KR2</f>
        <v>SECTION B: OUR STAFF, SERVICES &amp; FACILITIES</v>
      </c>
      <c r="K2213" s="236"/>
      <c r="L2213" s="236"/>
      <c r="M2213" s="236"/>
      <c r="N2213" s="237"/>
    </row>
    <row r="2214" spans="9:14" ht="32.1" customHeight="1" x14ac:dyDescent="0.25">
      <c r="J2214" s="235" t="str">
        <f>ComparisonData!KR3</f>
        <v>6.  Please rate the following services used during your visit to this archive</v>
      </c>
      <c r="K2214" s="236"/>
      <c r="L2214" s="236"/>
      <c r="M2214" s="236"/>
      <c r="N2214" s="237"/>
    </row>
    <row r="2215" spans="9:14" ht="32.1" customHeight="1" x14ac:dyDescent="0.25">
      <c r="J2215" s="235" t="str">
        <f>ComparisonData!KR4</f>
        <v>Quality of our other online resources</v>
      </c>
      <c r="K2215" s="236"/>
      <c r="L2215" s="236"/>
      <c r="M2215" s="236"/>
      <c r="N2215" s="237"/>
    </row>
    <row r="2216" spans="9:14" ht="32.1" customHeight="1" x14ac:dyDescent="0.25">
      <c r="J2216" s="185" t="str">
        <f>ComparisonData!KW5</f>
        <v>Very good</v>
      </c>
      <c r="K2216" s="185" t="str">
        <f>ComparisonData!KX5</f>
        <v>Fairly good</v>
      </c>
      <c r="L2216" s="185" t="str">
        <f>ComparisonData!KY5</f>
        <v>Neither</v>
      </c>
      <c r="M2216" s="185" t="str">
        <f>ComparisonData!KZ5</f>
        <v>Poor</v>
      </c>
      <c r="N2216" s="185" t="str">
        <f>ComparisonData!LA5</f>
        <v>Very poor</v>
      </c>
    </row>
    <row r="2217" spans="9:14" ht="15.95" customHeight="1" x14ac:dyDescent="0.25">
      <c r="I2217" s="188" t="str" cm="1">
        <f t="array" aca="1" ref="I2217" ca="1">Quality_of_our_other_online_resources_lbl</f>
        <v>TOTAL</v>
      </c>
      <c r="J2217" s="192" cm="1">
        <f t="array" aca="1" ref="J2217" ca="1">Quality_of_our_other_online_resources_1</f>
        <v>0.60001000000000004</v>
      </c>
      <c r="K2217" s="192" cm="1">
        <f t="array" aca="1" ref="K2217" ca="1">Quality_of_our_other_online_resources_2</f>
        <v>0.30358000000000002</v>
      </c>
      <c r="L2217" s="192" cm="1">
        <f t="array" aca="1" ref="L2217" ca="1">Quality_of_our_other_online_resources_3</f>
        <v>7.9560000000000006E-2</v>
      </c>
      <c r="M2217" s="192" cm="1">
        <f t="array" aca="1" ref="M2217" ca="1">Quality_of_our_other_online_resources_4</f>
        <v>1.453E-2</v>
      </c>
      <c r="N2217" s="192" cm="1">
        <f t="array" aca="1" ref="N2217" ca="1">Quality_of_our_other_online_resources_5</f>
        <v>2.3255468259591535E-3</v>
      </c>
    </row>
    <row r="2218" spans="9:14" ht="15.95" customHeight="1" x14ac:dyDescent="0.25">
      <c r="J2218" s="192"/>
      <c r="K2218" s="192"/>
      <c r="L2218" s="192"/>
      <c r="M2218" s="192"/>
      <c r="N2218" s="192"/>
    </row>
    <row r="2219" spans="9:14" ht="15.95" customHeight="1" x14ac:dyDescent="0.25">
      <c r="J2219" s="192"/>
      <c r="K2219" s="192"/>
      <c r="L2219" s="192"/>
      <c r="M2219" s="192"/>
      <c r="N2219" s="192"/>
    </row>
    <row r="2220" spans="9:14" ht="15.95" customHeight="1" x14ac:dyDescent="0.25">
      <c r="J2220" s="192"/>
      <c r="K2220" s="192"/>
      <c r="L2220" s="192"/>
      <c r="M2220" s="192"/>
      <c r="N2220" s="192"/>
    </row>
    <row r="2221" spans="9:14" ht="15.95" customHeight="1" x14ac:dyDescent="0.25">
      <c r="J2221" s="192"/>
      <c r="K2221" s="192"/>
      <c r="L2221" s="192"/>
      <c r="M2221" s="192"/>
      <c r="N2221" s="192"/>
    </row>
    <row r="2222" spans="9:14" ht="15.95" customHeight="1" x14ac:dyDescent="0.25">
      <c r="J2222" s="192"/>
      <c r="K2222" s="192"/>
      <c r="L2222" s="192"/>
      <c r="M2222" s="192"/>
      <c r="N2222" s="192"/>
    </row>
    <row r="2223" spans="9:14" ht="15.95" customHeight="1" x14ac:dyDescent="0.25">
      <c r="J2223" s="192"/>
      <c r="K2223" s="192"/>
      <c r="L2223" s="192"/>
      <c r="M2223" s="192"/>
      <c r="N2223" s="192"/>
    </row>
    <row r="2224" spans="9:14" ht="15.95" customHeight="1" x14ac:dyDescent="0.25">
      <c r="J2224" s="192"/>
      <c r="K2224" s="192"/>
      <c r="L2224" s="192"/>
      <c r="M2224" s="192"/>
      <c r="N2224" s="192"/>
    </row>
    <row r="2225" spans="10:14" ht="15.95" customHeight="1" x14ac:dyDescent="0.25">
      <c r="J2225" s="192"/>
      <c r="K2225" s="192"/>
      <c r="L2225" s="192"/>
      <c r="M2225" s="192"/>
      <c r="N2225" s="192"/>
    </row>
    <row r="2226" spans="10:14" ht="15.95" customHeight="1" x14ac:dyDescent="0.25">
      <c r="J2226" s="192"/>
      <c r="K2226" s="192"/>
      <c r="L2226" s="192"/>
      <c r="M2226" s="192"/>
      <c r="N2226" s="192"/>
    </row>
    <row r="2227" spans="10:14" ht="15.95" customHeight="1" x14ac:dyDescent="0.25">
      <c r="J2227" s="192"/>
      <c r="K2227" s="192"/>
      <c r="L2227" s="192"/>
      <c r="M2227" s="192"/>
      <c r="N2227" s="192"/>
    </row>
    <row r="2228" spans="10:14" ht="15.95" customHeight="1" x14ac:dyDescent="0.25">
      <c r="J2228" s="192"/>
      <c r="K2228" s="192"/>
      <c r="L2228" s="192"/>
      <c r="M2228" s="192"/>
      <c r="N2228" s="192"/>
    </row>
    <row r="2229" spans="10:14" ht="15.95" customHeight="1" x14ac:dyDescent="0.25">
      <c r="J2229" s="192"/>
      <c r="K2229" s="192"/>
      <c r="L2229" s="192"/>
      <c r="M2229" s="192"/>
      <c r="N2229" s="192"/>
    </row>
    <row r="2230" spans="10:14" ht="15.95" customHeight="1" x14ac:dyDescent="0.25">
      <c r="J2230" s="192"/>
      <c r="K2230" s="192"/>
      <c r="L2230" s="192"/>
      <c r="M2230" s="192"/>
      <c r="N2230" s="192"/>
    </row>
    <row r="2231" spans="10:14" ht="15.95" customHeight="1" x14ac:dyDescent="0.25">
      <c r="J2231" s="192"/>
      <c r="K2231" s="192"/>
      <c r="L2231" s="192"/>
      <c r="M2231" s="192"/>
      <c r="N2231" s="192"/>
    </row>
    <row r="2232" spans="10:14" ht="15.95" customHeight="1" x14ac:dyDescent="0.25">
      <c r="J2232" s="192"/>
      <c r="K2232" s="192"/>
      <c r="L2232" s="192"/>
      <c r="M2232" s="192"/>
      <c r="N2232" s="192"/>
    </row>
    <row r="2233" spans="10:14" ht="15.95" customHeight="1" x14ac:dyDescent="0.25">
      <c r="J2233" s="192"/>
      <c r="K2233" s="192"/>
      <c r="L2233" s="192"/>
      <c r="M2233" s="192"/>
      <c r="N2233" s="192"/>
    </row>
    <row r="2234" spans="10:14" ht="15.95" customHeight="1" x14ac:dyDescent="0.25">
      <c r="J2234" s="192"/>
      <c r="K2234" s="192"/>
      <c r="L2234" s="192"/>
      <c r="M2234" s="192"/>
      <c r="N2234" s="192"/>
    </row>
    <row r="2235" spans="10:14" ht="15.95" customHeight="1" x14ac:dyDescent="0.25">
      <c r="J2235" s="192"/>
      <c r="K2235" s="192"/>
      <c r="L2235" s="192"/>
      <c r="M2235" s="192"/>
      <c r="N2235" s="192"/>
    </row>
    <row r="2236" spans="10:14" ht="15.95" customHeight="1" x14ac:dyDescent="0.25">
      <c r="J2236" s="192"/>
      <c r="K2236" s="192"/>
      <c r="L2236" s="192"/>
      <c r="M2236" s="192"/>
      <c r="N2236" s="192"/>
    </row>
    <row r="2237" spans="10:14" ht="15.95" customHeight="1" x14ac:dyDescent="0.25">
      <c r="J2237" s="192"/>
      <c r="K2237" s="192"/>
      <c r="L2237" s="192"/>
      <c r="M2237" s="192"/>
      <c r="N2237" s="192"/>
    </row>
    <row r="2238" spans="10:14" ht="15.95" customHeight="1" x14ac:dyDescent="0.25">
      <c r="J2238" s="192"/>
      <c r="K2238" s="192"/>
      <c r="L2238" s="192"/>
      <c r="M2238" s="192"/>
      <c r="N2238" s="192"/>
    </row>
    <row r="2239" spans="10:14" ht="15.95" customHeight="1" x14ac:dyDescent="0.25">
      <c r="J2239" s="192"/>
      <c r="K2239" s="192"/>
      <c r="L2239" s="192"/>
      <c r="M2239" s="192"/>
      <c r="N2239" s="192"/>
    </row>
    <row r="2240" spans="10:14" ht="15.95" customHeight="1" x14ac:dyDescent="0.25">
      <c r="J2240" s="192"/>
      <c r="K2240" s="192"/>
      <c r="L2240" s="192"/>
      <c r="M2240" s="192"/>
      <c r="N2240" s="192"/>
    </row>
    <row r="2241" spans="10:14" ht="15.95" customHeight="1" x14ac:dyDescent="0.25">
      <c r="J2241" s="192"/>
      <c r="K2241" s="192"/>
      <c r="L2241" s="192"/>
      <c r="M2241" s="192"/>
      <c r="N2241" s="192"/>
    </row>
    <row r="2242" spans="10:14" ht="15.95" customHeight="1" x14ac:dyDescent="0.25">
      <c r="J2242" s="192"/>
      <c r="K2242" s="192"/>
      <c r="L2242" s="192"/>
      <c r="M2242" s="192"/>
      <c r="N2242" s="192"/>
    </row>
    <row r="2243" spans="10:14" ht="15.95" customHeight="1" x14ac:dyDescent="0.25">
      <c r="J2243" s="192"/>
      <c r="K2243" s="192"/>
      <c r="L2243" s="192"/>
      <c r="M2243" s="192"/>
      <c r="N2243" s="192"/>
    </row>
    <row r="2244" spans="10:14" ht="15.95" customHeight="1" x14ac:dyDescent="0.25">
      <c r="J2244" s="192"/>
      <c r="K2244" s="192"/>
      <c r="L2244" s="192"/>
      <c r="M2244" s="192"/>
      <c r="N2244" s="192"/>
    </row>
    <row r="2245" spans="10:14" ht="15.95" customHeight="1" x14ac:dyDescent="0.25">
      <c r="J2245" s="192"/>
      <c r="K2245" s="192"/>
      <c r="L2245" s="192"/>
      <c r="M2245" s="192"/>
      <c r="N2245" s="192"/>
    </row>
    <row r="2246" spans="10:14" ht="15.95" customHeight="1" x14ac:dyDescent="0.25">
      <c r="J2246" s="192"/>
      <c r="K2246" s="192"/>
      <c r="L2246" s="192"/>
      <c r="M2246" s="192"/>
      <c r="N2246" s="192"/>
    </row>
    <row r="2247" spans="10:14" ht="15.95" customHeight="1" x14ac:dyDescent="0.25">
      <c r="J2247" s="192"/>
      <c r="K2247" s="192"/>
      <c r="L2247" s="192"/>
      <c r="M2247" s="192"/>
      <c r="N2247" s="192"/>
    </row>
    <row r="2248" spans="10:14" ht="15.95" customHeight="1" x14ac:dyDescent="0.25">
      <c r="J2248" s="192"/>
      <c r="K2248" s="192"/>
      <c r="L2248" s="192"/>
      <c r="M2248" s="192"/>
      <c r="N2248" s="192"/>
    </row>
    <row r="2249" spans="10:14" ht="15.95" customHeight="1" x14ac:dyDescent="0.25">
      <c r="J2249" s="192"/>
      <c r="K2249" s="192"/>
      <c r="L2249" s="192"/>
      <c r="M2249" s="192"/>
      <c r="N2249" s="192"/>
    </row>
    <row r="2250" spans="10:14" ht="15.95" customHeight="1" x14ac:dyDescent="0.25">
      <c r="J2250" s="192"/>
      <c r="K2250" s="192"/>
      <c r="L2250" s="192"/>
      <c r="M2250" s="192"/>
      <c r="N2250" s="192"/>
    </row>
    <row r="2251" spans="10:14" ht="15.95" customHeight="1" x14ac:dyDescent="0.25">
      <c r="J2251" s="192"/>
      <c r="K2251" s="192"/>
      <c r="L2251" s="192"/>
      <c r="M2251" s="192"/>
      <c r="N2251" s="192"/>
    </row>
    <row r="2252" spans="10:14" ht="15.95" customHeight="1" x14ac:dyDescent="0.25">
      <c r="J2252" s="192"/>
      <c r="K2252" s="192"/>
      <c r="L2252" s="192"/>
      <c r="M2252" s="192"/>
      <c r="N2252" s="192"/>
    </row>
    <row r="2253" spans="10:14" ht="15.95" customHeight="1" x14ac:dyDescent="0.25">
      <c r="J2253" s="192"/>
      <c r="K2253" s="192"/>
      <c r="L2253" s="192"/>
      <c r="M2253" s="192"/>
      <c r="N2253" s="192"/>
    </row>
    <row r="2254" spans="10:14" ht="15.95" customHeight="1" x14ac:dyDescent="0.25">
      <c r="J2254" s="192"/>
      <c r="K2254" s="192"/>
      <c r="L2254" s="192"/>
      <c r="M2254" s="192"/>
      <c r="N2254" s="192"/>
    </row>
    <row r="2255" spans="10:14" ht="15.95" customHeight="1" x14ac:dyDescent="0.25">
      <c r="J2255" s="192"/>
      <c r="K2255" s="192"/>
      <c r="L2255" s="192"/>
      <c r="M2255" s="192"/>
      <c r="N2255" s="192"/>
    </row>
    <row r="2256" spans="10:14" ht="15.95" customHeight="1" x14ac:dyDescent="0.25">
      <c r="J2256" s="192"/>
      <c r="K2256" s="192"/>
      <c r="L2256" s="192"/>
      <c r="M2256" s="192"/>
      <c r="N2256" s="192"/>
    </row>
    <row r="2257" spans="10:14" ht="15.95" customHeight="1" x14ac:dyDescent="0.25">
      <c r="J2257" s="192"/>
      <c r="K2257" s="192"/>
      <c r="L2257" s="192"/>
      <c r="M2257" s="192"/>
      <c r="N2257" s="192"/>
    </row>
    <row r="2258" spans="10:14" ht="15.95" customHeight="1" x14ac:dyDescent="0.25">
      <c r="J2258" s="192"/>
      <c r="K2258" s="192"/>
      <c r="L2258" s="192"/>
      <c r="M2258" s="192"/>
      <c r="N2258" s="192"/>
    </row>
    <row r="2259" spans="10:14" ht="15.95" customHeight="1" x14ac:dyDescent="0.25">
      <c r="J2259" s="192"/>
      <c r="K2259" s="192"/>
      <c r="L2259" s="192"/>
      <c r="M2259" s="192"/>
      <c r="N2259" s="192"/>
    </row>
    <row r="2260" spans="10:14" ht="15.95" customHeight="1" x14ac:dyDescent="0.25">
      <c r="J2260" s="192"/>
      <c r="K2260" s="192"/>
      <c r="L2260" s="192"/>
      <c r="M2260" s="192"/>
      <c r="N2260" s="192"/>
    </row>
    <row r="2261" spans="10:14" ht="15.95" customHeight="1" x14ac:dyDescent="0.25">
      <c r="J2261" s="192"/>
      <c r="K2261" s="192"/>
      <c r="L2261" s="192"/>
      <c r="M2261" s="192"/>
      <c r="N2261" s="192"/>
    </row>
    <row r="2262" spans="10:14" ht="15.95" customHeight="1" x14ac:dyDescent="0.25">
      <c r="J2262" s="192"/>
      <c r="K2262" s="192"/>
      <c r="L2262" s="192"/>
      <c r="M2262" s="192"/>
      <c r="N2262" s="192"/>
    </row>
    <row r="2263" spans="10:14" ht="15.95" customHeight="1" x14ac:dyDescent="0.25">
      <c r="J2263" s="192"/>
      <c r="K2263" s="192"/>
      <c r="L2263" s="192"/>
      <c r="M2263" s="192"/>
      <c r="N2263" s="192"/>
    </row>
    <row r="2264" spans="10:14" ht="15.95" customHeight="1" x14ac:dyDescent="0.25">
      <c r="J2264" s="192"/>
      <c r="K2264" s="192"/>
      <c r="L2264" s="192"/>
      <c r="M2264" s="192"/>
      <c r="N2264" s="192"/>
    </row>
    <row r="2265" spans="10:14" ht="15.95" customHeight="1" x14ac:dyDescent="0.25">
      <c r="J2265" s="192"/>
      <c r="K2265" s="192"/>
      <c r="L2265" s="192"/>
      <c r="M2265" s="192"/>
      <c r="N2265" s="192"/>
    </row>
    <row r="2266" spans="10:14" ht="15.95" customHeight="1" x14ac:dyDescent="0.25">
      <c r="J2266" s="192"/>
      <c r="K2266" s="192"/>
      <c r="L2266" s="192"/>
      <c r="M2266" s="192"/>
      <c r="N2266" s="192"/>
    </row>
    <row r="2267" spans="10:14" ht="15.95" customHeight="1" x14ac:dyDescent="0.25">
      <c r="J2267" s="192"/>
      <c r="K2267" s="192"/>
      <c r="L2267" s="192"/>
      <c r="M2267" s="192"/>
      <c r="N2267" s="192"/>
    </row>
    <row r="2268" spans="10:14" ht="15.95" customHeight="1" x14ac:dyDescent="0.25">
      <c r="J2268" s="192"/>
      <c r="K2268" s="192"/>
      <c r="L2268" s="192"/>
      <c r="M2268" s="192"/>
      <c r="N2268" s="192"/>
    </row>
    <row r="2269" spans="10:14" ht="15.95" customHeight="1" x14ac:dyDescent="0.25">
      <c r="J2269" s="192"/>
      <c r="K2269" s="192"/>
      <c r="L2269" s="192"/>
      <c r="M2269" s="192"/>
      <c r="N2269" s="192"/>
    </row>
    <row r="2270" spans="10:14" ht="15.95" customHeight="1" x14ac:dyDescent="0.25">
      <c r="J2270" s="192"/>
      <c r="K2270" s="192"/>
      <c r="L2270" s="192"/>
      <c r="M2270" s="192"/>
      <c r="N2270" s="192"/>
    </row>
    <row r="2271" spans="10:14" ht="15.95" customHeight="1" x14ac:dyDescent="0.25">
      <c r="J2271" s="192"/>
      <c r="K2271" s="192"/>
      <c r="L2271" s="192"/>
      <c r="M2271" s="192"/>
      <c r="N2271" s="192"/>
    </row>
    <row r="2272" spans="10:14" ht="15.95" customHeight="1" x14ac:dyDescent="0.25">
      <c r="J2272" s="192"/>
      <c r="K2272" s="192"/>
      <c r="L2272" s="192"/>
      <c r="M2272" s="192"/>
      <c r="N2272" s="192"/>
    </row>
    <row r="2273" spans="10:14" ht="15.95" customHeight="1" x14ac:dyDescent="0.25">
      <c r="J2273" s="192"/>
      <c r="K2273" s="192"/>
      <c r="L2273" s="192"/>
      <c r="M2273" s="192"/>
      <c r="N2273" s="192"/>
    </row>
    <row r="2274" spans="10:14" ht="15.95" customHeight="1" x14ac:dyDescent="0.25">
      <c r="J2274" s="192"/>
      <c r="K2274" s="192"/>
      <c r="L2274" s="192"/>
      <c r="M2274" s="192"/>
      <c r="N2274" s="192"/>
    </row>
    <row r="2275" spans="10:14" ht="15.95" customHeight="1" x14ac:dyDescent="0.25">
      <c r="J2275" s="192"/>
      <c r="K2275" s="192"/>
      <c r="L2275" s="192"/>
      <c r="M2275" s="192"/>
      <c r="N2275" s="192"/>
    </row>
    <row r="2276" spans="10:14" ht="15.95" customHeight="1" x14ac:dyDescent="0.25">
      <c r="J2276" s="192"/>
      <c r="K2276" s="192"/>
      <c r="L2276" s="192"/>
      <c r="M2276" s="192"/>
      <c r="N2276" s="192"/>
    </row>
    <row r="2277" spans="10:14" ht="15.95" customHeight="1" x14ac:dyDescent="0.25">
      <c r="J2277" s="192"/>
      <c r="K2277" s="192"/>
      <c r="L2277" s="192"/>
      <c r="M2277" s="192"/>
      <c r="N2277" s="192"/>
    </row>
    <row r="2278" spans="10:14" ht="15.95" customHeight="1" x14ac:dyDescent="0.25">
      <c r="J2278" s="192"/>
      <c r="K2278" s="192"/>
      <c r="L2278" s="192"/>
      <c r="M2278" s="192"/>
      <c r="N2278" s="192"/>
    </row>
    <row r="2279" spans="10:14" ht="15.95" customHeight="1" x14ac:dyDescent="0.25">
      <c r="J2279" s="192"/>
      <c r="K2279" s="192"/>
      <c r="L2279" s="192"/>
      <c r="M2279" s="192"/>
      <c r="N2279" s="192"/>
    </row>
    <row r="2280" spans="10:14" ht="15.95" customHeight="1" x14ac:dyDescent="0.25">
      <c r="J2280" s="192"/>
      <c r="K2280" s="192"/>
      <c r="L2280" s="192"/>
      <c r="M2280" s="192"/>
      <c r="N2280" s="192"/>
    </row>
    <row r="2281" spans="10:14" ht="15.95" customHeight="1" x14ac:dyDescent="0.25">
      <c r="J2281" s="192"/>
      <c r="K2281" s="192"/>
      <c r="L2281" s="192"/>
      <c r="M2281" s="192"/>
      <c r="N2281" s="192"/>
    </row>
    <row r="2282" spans="10:14" ht="15.95" customHeight="1" x14ac:dyDescent="0.25">
      <c r="J2282" s="192"/>
      <c r="K2282" s="192"/>
      <c r="L2282" s="192"/>
      <c r="M2282" s="192"/>
      <c r="N2282" s="192"/>
    </row>
    <row r="2283" spans="10:14" ht="15.95" customHeight="1" x14ac:dyDescent="0.25">
      <c r="J2283" s="192"/>
      <c r="K2283" s="192"/>
      <c r="L2283" s="192"/>
      <c r="M2283" s="192"/>
      <c r="N2283" s="192"/>
    </row>
    <row r="2284" spans="10:14" ht="15.95" customHeight="1" x14ac:dyDescent="0.25">
      <c r="J2284" s="192"/>
      <c r="K2284" s="192"/>
      <c r="L2284" s="192"/>
      <c r="M2284" s="192"/>
      <c r="N2284" s="192"/>
    </row>
    <row r="2285" spans="10:14" ht="15.95" customHeight="1" x14ac:dyDescent="0.25">
      <c r="J2285" s="192"/>
      <c r="K2285" s="192"/>
      <c r="L2285" s="192"/>
      <c r="M2285" s="192"/>
      <c r="N2285" s="192"/>
    </row>
    <row r="2286" spans="10:14" ht="15.95" customHeight="1" x14ac:dyDescent="0.25">
      <c r="J2286" s="192"/>
      <c r="K2286" s="192"/>
      <c r="L2286" s="192"/>
      <c r="M2286" s="192"/>
      <c r="N2286" s="192"/>
    </row>
    <row r="2287" spans="10:14" ht="15.95" customHeight="1" x14ac:dyDescent="0.25">
      <c r="J2287" s="192"/>
      <c r="K2287" s="192"/>
      <c r="L2287" s="192"/>
      <c r="M2287" s="192"/>
      <c r="N2287" s="192"/>
    </row>
    <row r="2288" spans="10:14" ht="15.95" customHeight="1" x14ac:dyDescent="0.25">
      <c r="J2288" s="192"/>
      <c r="K2288" s="192"/>
      <c r="L2288" s="192"/>
      <c r="M2288" s="192"/>
      <c r="N2288" s="192"/>
    </row>
    <row r="2289" spans="10:14" ht="15.95" customHeight="1" x14ac:dyDescent="0.25">
      <c r="J2289" s="192"/>
      <c r="K2289" s="192"/>
      <c r="L2289" s="192"/>
      <c r="M2289" s="192"/>
      <c r="N2289" s="192"/>
    </row>
    <row r="2290" spans="10:14" ht="15.95" customHeight="1" x14ac:dyDescent="0.25">
      <c r="J2290" s="192"/>
      <c r="K2290" s="192"/>
      <c r="L2290" s="192"/>
      <c r="M2290" s="192"/>
      <c r="N2290" s="192"/>
    </row>
    <row r="2291" spans="10:14" ht="15.95" customHeight="1" x14ac:dyDescent="0.25">
      <c r="J2291" s="192"/>
      <c r="K2291" s="192"/>
      <c r="L2291" s="192"/>
      <c r="M2291" s="192"/>
      <c r="N2291" s="192"/>
    </row>
    <row r="2292" spans="10:14" ht="15.95" customHeight="1" x14ac:dyDescent="0.25">
      <c r="J2292" s="192"/>
      <c r="K2292" s="192"/>
      <c r="L2292" s="192"/>
      <c r="M2292" s="192"/>
      <c r="N2292" s="192"/>
    </row>
    <row r="2293" spans="10:14" ht="15.95" customHeight="1" x14ac:dyDescent="0.25">
      <c r="J2293" s="192"/>
      <c r="K2293" s="192"/>
      <c r="L2293" s="192"/>
      <c r="M2293" s="192"/>
      <c r="N2293" s="192"/>
    </row>
    <row r="2294" spans="10:14" ht="15.95" customHeight="1" x14ac:dyDescent="0.25">
      <c r="J2294" s="192"/>
      <c r="K2294" s="192"/>
      <c r="L2294" s="192"/>
      <c r="M2294" s="192"/>
      <c r="N2294" s="192"/>
    </row>
    <row r="2295" spans="10:14" ht="15.95" customHeight="1" x14ac:dyDescent="0.25">
      <c r="J2295" s="192"/>
      <c r="K2295" s="192"/>
      <c r="L2295" s="192"/>
      <c r="M2295" s="192"/>
      <c r="N2295" s="192"/>
    </row>
    <row r="2296" spans="10:14" ht="15.95" customHeight="1" x14ac:dyDescent="0.25">
      <c r="J2296" s="192"/>
      <c r="K2296" s="192"/>
      <c r="L2296" s="192"/>
      <c r="M2296" s="192"/>
      <c r="N2296" s="192"/>
    </row>
    <row r="2297" spans="10:14" ht="15.95" customHeight="1" x14ac:dyDescent="0.25">
      <c r="J2297" s="192"/>
      <c r="K2297" s="192"/>
      <c r="L2297" s="192"/>
      <c r="M2297" s="192"/>
      <c r="N2297" s="192"/>
    </row>
    <row r="2298" spans="10:14" ht="15.95" customHeight="1" x14ac:dyDescent="0.25">
      <c r="J2298" s="192"/>
      <c r="K2298" s="192"/>
      <c r="L2298" s="192"/>
      <c r="M2298" s="192"/>
      <c r="N2298" s="192"/>
    </row>
    <row r="2299" spans="10:14" ht="15.95" customHeight="1" x14ac:dyDescent="0.25">
      <c r="J2299" s="192"/>
      <c r="K2299" s="192"/>
      <c r="L2299" s="192"/>
      <c r="M2299" s="192"/>
      <c r="N2299" s="192"/>
    </row>
    <row r="2300" spans="10:14" ht="15.95" customHeight="1" x14ac:dyDescent="0.25">
      <c r="J2300" s="192"/>
      <c r="K2300" s="192"/>
      <c r="L2300" s="192"/>
      <c r="M2300" s="192"/>
      <c r="N2300" s="192"/>
    </row>
    <row r="2301" spans="10:14" ht="15.95" customHeight="1" x14ac:dyDescent="0.25">
      <c r="J2301" s="192"/>
      <c r="K2301" s="192"/>
      <c r="L2301" s="192"/>
      <c r="M2301" s="192"/>
      <c r="N2301" s="192"/>
    </row>
    <row r="2302" spans="10:14" ht="15.95" customHeight="1" x14ac:dyDescent="0.25">
      <c r="J2302" s="192"/>
      <c r="K2302" s="192"/>
      <c r="L2302" s="192"/>
      <c r="M2302" s="192"/>
      <c r="N2302" s="192"/>
    </row>
    <row r="2303" spans="10:14" ht="15.95" customHeight="1" x14ac:dyDescent="0.25">
      <c r="J2303" s="192"/>
      <c r="K2303" s="192"/>
      <c r="L2303" s="192"/>
      <c r="M2303" s="192"/>
      <c r="N2303" s="192"/>
    </row>
    <row r="2304" spans="10:14" ht="15.95" customHeight="1" x14ac:dyDescent="0.25">
      <c r="J2304" s="192"/>
      <c r="K2304" s="192"/>
      <c r="L2304" s="192"/>
      <c r="M2304" s="192"/>
      <c r="N2304" s="192"/>
    </row>
    <row r="2305" spans="10:14" ht="15.95" customHeight="1" x14ac:dyDescent="0.25">
      <c r="J2305" s="192"/>
      <c r="K2305" s="192"/>
      <c r="L2305" s="192"/>
      <c r="M2305" s="192"/>
      <c r="N2305" s="192"/>
    </row>
    <row r="2306" spans="10:14" ht="15.95" customHeight="1" x14ac:dyDescent="0.25">
      <c r="J2306" s="192"/>
      <c r="K2306" s="192"/>
      <c r="L2306" s="192"/>
      <c r="M2306" s="192"/>
      <c r="N2306" s="192"/>
    </row>
    <row r="2307" spans="10:14" ht="15.95" customHeight="1" x14ac:dyDescent="0.25">
      <c r="J2307" s="192"/>
      <c r="K2307" s="192"/>
      <c r="L2307" s="192"/>
      <c r="M2307" s="192"/>
      <c r="N2307" s="192"/>
    </row>
    <row r="2308" spans="10:14" ht="15.95" customHeight="1" x14ac:dyDescent="0.25">
      <c r="J2308" s="192"/>
      <c r="K2308" s="192"/>
      <c r="L2308" s="192"/>
      <c r="M2308" s="192"/>
      <c r="N2308" s="192"/>
    </row>
    <row r="2309" spans="10:14" ht="15.95" customHeight="1" x14ac:dyDescent="0.25">
      <c r="J2309" s="192"/>
      <c r="K2309" s="192"/>
      <c r="L2309" s="192"/>
      <c r="M2309" s="192"/>
      <c r="N2309" s="192"/>
    </row>
    <row r="2310" spans="10:14" ht="15.95" customHeight="1" x14ac:dyDescent="0.25">
      <c r="J2310" s="192"/>
      <c r="K2310" s="192"/>
      <c r="L2310" s="192"/>
      <c r="M2310" s="192"/>
      <c r="N2310" s="192"/>
    </row>
    <row r="2311" spans="10:14" ht="15.95" customHeight="1" x14ac:dyDescent="0.25">
      <c r="J2311" s="192"/>
      <c r="K2311" s="192"/>
      <c r="L2311" s="192"/>
      <c r="M2311" s="192"/>
      <c r="N2311" s="192"/>
    </row>
    <row r="2312" spans="10:14" ht="15.95" customHeight="1" x14ac:dyDescent="0.25">
      <c r="J2312" s="192"/>
      <c r="K2312" s="192"/>
      <c r="L2312" s="192"/>
      <c r="M2312" s="192"/>
      <c r="N2312" s="192"/>
    </row>
    <row r="2313" spans="10:14" ht="15.95" customHeight="1" x14ac:dyDescent="0.25">
      <c r="J2313" s="192"/>
      <c r="K2313" s="192"/>
      <c r="L2313" s="192"/>
      <c r="M2313" s="192"/>
      <c r="N2313" s="192"/>
    </row>
    <row r="2314" spans="10:14" ht="15.95" customHeight="1" x14ac:dyDescent="0.25">
      <c r="J2314" s="192"/>
      <c r="K2314" s="192"/>
      <c r="L2314" s="192"/>
      <c r="M2314" s="192"/>
      <c r="N2314" s="192"/>
    </row>
    <row r="2315" spans="10:14" ht="15.95" customHeight="1" x14ac:dyDescent="0.25">
      <c r="J2315" s="192"/>
      <c r="K2315" s="192"/>
      <c r="L2315" s="192"/>
      <c r="M2315" s="192"/>
      <c r="N2315" s="192"/>
    </row>
    <row r="2316" spans="10:14" ht="15.95" customHeight="1" x14ac:dyDescent="0.25">
      <c r="J2316" s="192"/>
      <c r="K2316" s="192"/>
      <c r="L2316" s="192"/>
      <c r="M2316" s="192"/>
      <c r="N2316" s="192"/>
    </row>
    <row r="2317" spans="10:14" ht="15.95" customHeight="1" x14ac:dyDescent="0.25">
      <c r="J2317" s="192"/>
      <c r="K2317" s="192"/>
      <c r="L2317" s="192"/>
      <c r="M2317" s="192"/>
      <c r="N2317" s="192"/>
    </row>
    <row r="2318" spans="10:14" ht="15.95" customHeight="1" x14ac:dyDescent="0.25">
      <c r="J2318" s="192"/>
      <c r="K2318" s="192"/>
      <c r="L2318" s="192"/>
      <c r="M2318" s="192"/>
      <c r="N2318" s="192"/>
    </row>
    <row r="2319" spans="10:14" ht="15.95" customHeight="1" x14ac:dyDescent="0.25">
      <c r="J2319" s="192"/>
      <c r="K2319" s="192"/>
      <c r="L2319" s="192"/>
      <c r="M2319" s="192"/>
      <c r="N2319" s="192"/>
    </row>
    <row r="2320" spans="10:14" ht="15.95" customHeight="1" x14ac:dyDescent="0.25">
      <c r="J2320" s="192"/>
      <c r="K2320" s="192"/>
      <c r="L2320" s="192"/>
      <c r="M2320" s="192"/>
      <c r="N2320" s="192"/>
    </row>
    <row r="2321" spans="9:14" ht="15.95" customHeight="1" x14ac:dyDescent="0.25">
      <c r="J2321" s="192"/>
      <c r="K2321" s="192"/>
      <c r="L2321" s="192"/>
      <c r="M2321" s="192"/>
      <c r="N2321" s="192"/>
    </row>
    <row r="2322" spans="9:14" ht="15.95" customHeight="1" x14ac:dyDescent="0.25">
      <c r="J2322" s="192"/>
      <c r="K2322" s="192"/>
      <c r="L2322" s="192"/>
      <c r="M2322" s="192"/>
      <c r="N2322" s="192"/>
    </row>
    <row r="2323" spans="9:14" ht="15.95" customHeight="1" x14ac:dyDescent="0.25">
      <c r="J2323" s="192"/>
      <c r="K2323" s="192"/>
      <c r="L2323" s="192"/>
      <c r="M2323" s="192"/>
      <c r="N2323" s="192"/>
    </row>
    <row r="2324" spans="9:14" ht="15.95" customHeight="1" x14ac:dyDescent="0.25">
      <c r="J2324" s="192"/>
      <c r="K2324" s="192"/>
      <c r="L2324" s="192"/>
      <c r="M2324" s="192"/>
      <c r="N2324" s="192"/>
    </row>
    <row r="2325" spans="9:14" ht="15.95" customHeight="1" x14ac:dyDescent="0.25">
      <c r="J2325" s="192"/>
      <c r="K2325" s="192"/>
      <c r="L2325" s="192"/>
      <c r="M2325" s="192"/>
      <c r="N2325" s="192"/>
    </row>
    <row r="2326" spans="9:14" ht="15.95" customHeight="1" x14ac:dyDescent="0.25">
      <c r="J2326" s="192"/>
      <c r="K2326" s="192"/>
      <c r="L2326" s="192"/>
      <c r="M2326" s="192"/>
      <c r="N2326" s="192"/>
    </row>
    <row r="2327" spans="9:14" ht="15.95" customHeight="1" x14ac:dyDescent="0.25">
      <c r="J2327" s="192"/>
      <c r="K2327" s="192"/>
      <c r="L2327" s="192"/>
      <c r="M2327" s="192"/>
      <c r="N2327" s="192"/>
    </row>
    <row r="2328" spans="9:14" ht="15.95" customHeight="1" x14ac:dyDescent="0.25"/>
    <row r="2329" spans="9:14" ht="15.95" customHeight="1" x14ac:dyDescent="0.25"/>
    <row r="2330" spans="9:14" ht="32.1" customHeight="1" x14ac:dyDescent="0.25">
      <c r="J2330" s="235" t="str">
        <f>ComparisonData!LJ2</f>
        <v>SECTION B: OUR STAFF, SERVICES &amp; FACILITIES</v>
      </c>
      <c r="K2330" s="236"/>
      <c r="L2330" s="236"/>
      <c r="M2330" s="236"/>
      <c r="N2330" s="237"/>
    </row>
    <row r="2331" spans="9:14" ht="32.1" customHeight="1" x14ac:dyDescent="0.25">
      <c r="J2331" s="235" t="str">
        <f>ComparisonData!LJ3</f>
        <v>6.  Please rate the following services used during your visit to this archive</v>
      </c>
      <c r="K2331" s="236"/>
      <c r="L2331" s="236"/>
      <c r="M2331" s="236"/>
      <c r="N2331" s="237"/>
    </row>
    <row r="2332" spans="9:14" ht="32.1" customHeight="1" x14ac:dyDescent="0.25">
      <c r="J2332" s="235" t="str">
        <f>ComparisonData!LJ4</f>
        <v>Access to other online resources</v>
      </c>
      <c r="K2332" s="236"/>
      <c r="L2332" s="236"/>
      <c r="M2332" s="236"/>
      <c r="N2332" s="237"/>
    </row>
    <row r="2333" spans="9:14" ht="32.1" customHeight="1" x14ac:dyDescent="0.25">
      <c r="J2333" s="185" t="str">
        <f>ComparisonData!LO5</f>
        <v>Very good</v>
      </c>
      <c r="K2333" s="185" t="str">
        <f>ComparisonData!LP5</f>
        <v>Fairly good</v>
      </c>
      <c r="L2333" s="185" t="str">
        <f>ComparisonData!LQ5</f>
        <v>Neither</v>
      </c>
      <c r="M2333" s="185" t="str">
        <f>ComparisonData!LR5</f>
        <v>Poor</v>
      </c>
      <c r="N2333" s="185" t="str">
        <f>ComparisonData!LS5</f>
        <v>Very poor</v>
      </c>
    </row>
    <row r="2334" spans="9:14" ht="15.95" customHeight="1" x14ac:dyDescent="0.25">
      <c r="I2334" s="188" t="str" cm="1">
        <f t="array" aca="1" ref="I2334" ca="1">Access_to_other_online_resources_lbl</f>
        <v>TOTAL</v>
      </c>
      <c r="J2334" s="192" cm="1">
        <f t="array" aca="1" ref="J2334" ca="1">Access_to_other_online_resources_1</f>
        <v>0.59543000000000001</v>
      </c>
      <c r="K2334" s="192" cm="1">
        <f t="array" aca="1" ref="K2334" ca="1">Access_to_other_online_resources_2</f>
        <v>0.29685</v>
      </c>
      <c r="L2334" s="192" cm="1">
        <f t="array" aca="1" ref="L2334" ca="1">Access_to_other_online_resources_3</f>
        <v>8.9990000000000001E-2</v>
      </c>
      <c r="M2334" s="192" cm="1">
        <f t="array" aca="1" ref="M2334" ca="1">Access_to_other_online_resources_4</f>
        <v>1.2670000000000001E-2</v>
      </c>
      <c r="N2334" s="192" cm="1">
        <f t="array" aca="1" ref="N2334" ca="1">Access_to_other_online_resources_5</f>
        <v>5.0683003819069327E-3</v>
      </c>
    </row>
    <row r="2335" spans="9:14" ht="15.95" customHeight="1" x14ac:dyDescent="0.25">
      <c r="J2335" s="192"/>
      <c r="K2335" s="192"/>
      <c r="L2335" s="192"/>
      <c r="M2335" s="192"/>
      <c r="N2335" s="192"/>
    </row>
    <row r="2336" spans="9:14" ht="15.95" customHeight="1" x14ac:dyDescent="0.25">
      <c r="J2336" s="192"/>
      <c r="K2336" s="192"/>
      <c r="L2336" s="192"/>
      <c r="M2336" s="192"/>
      <c r="N2336" s="192"/>
    </row>
    <row r="2337" spans="10:14" ht="15.95" customHeight="1" x14ac:dyDescent="0.25">
      <c r="J2337" s="192"/>
      <c r="K2337" s="192"/>
      <c r="L2337" s="192"/>
      <c r="M2337" s="192"/>
      <c r="N2337" s="192"/>
    </row>
    <row r="2338" spans="10:14" ht="15.95" customHeight="1" x14ac:dyDescent="0.25">
      <c r="J2338" s="192"/>
      <c r="K2338" s="192"/>
      <c r="L2338" s="192"/>
      <c r="M2338" s="192"/>
      <c r="N2338" s="192"/>
    </row>
    <row r="2339" spans="10:14" ht="15.95" customHeight="1" x14ac:dyDescent="0.25">
      <c r="J2339" s="192"/>
      <c r="K2339" s="192"/>
      <c r="L2339" s="192"/>
      <c r="M2339" s="192"/>
      <c r="N2339" s="192"/>
    </row>
    <row r="2340" spans="10:14" ht="15.95" customHeight="1" x14ac:dyDescent="0.25">
      <c r="J2340" s="192"/>
      <c r="K2340" s="192"/>
      <c r="L2340" s="192"/>
      <c r="M2340" s="192"/>
      <c r="N2340" s="192"/>
    </row>
    <row r="2341" spans="10:14" ht="15.95" customHeight="1" x14ac:dyDescent="0.25">
      <c r="J2341" s="192"/>
      <c r="K2341" s="192"/>
      <c r="L2341" s="192"/>
      <c r="M2341" s="192"/>
      <c r="N2341" s="192"/>
    </row>
    <row r="2342" spans="10:14" ht="15.95" customHeight="1" x14ac:dyDescent="0.25">
      <c r="J2342" s="192"/>
      <c r="K2342" s="192"/>
      <c r="L2342" s="192"/>
      <c r="M2342" s="192"/>
      <c r="N2342" s="192"/>
    </row>
    <row r="2343" spans="10:14" ht="15.95" customHeight="1" x14ac:dyDescent="0.25">
      <c r="J2343" s="192"/>
      <c r="K2343" s="192"/>
      <c r="L2343" s="192"/>
      <c r="M2343" s="192"/>
      <c r="N2343" s="192"/>
    </row>
    <row r="2344" spans="10:14" ht="15.95" customHeight="1" x14ac:dyDescent="0.25">
      <c r="J2344" s="192"/>
      <c r="K2344" s="192"/>
      <c r="L2344" s="192"/>
      <c r="M2344" s="192"/>
      <c r="N2344" s="192"/>
    </row>
    <row r="2345" spans="10:14" ht="15.95" customHeight="1" x14ac:dyDescent="0.25">
      <c r="J2345" s="192"/>
      <c r="K2345" s="192"/>
      <c r="L2345" s="192"/>
      <c r="M2345" s="192"/>
      <c r="N2345" s="192"/>
    </row>
    <row r="2346" spans="10:14" ht="15.95" customHeight="1" x14ac:dyDescent="0.25">
      <c r="J2346" s="192"/>
      <c r="K2346" s="192"/>
      <c r="L2346" s="192"/>
      <c r="M2346" s="192"/>
      <c r="N2346" s="192"/>
    </row>
    <row r="2347" spans="10:14" ht="15.95" customHeight="1" x14ac:dyDescent="0.25">
      <c r="J2347" s="192"/>
      <c r="K2347" s="192"/>
      <c r="L2347" s="192"/>
      <c r="M2347" s="192"/>
      <c r="N2347" s="192"/>
    </row>
    <row r="2348" spans="10:14" ht="15.95" customHeight="1" x14ac:dyDescent="0.25">
      <c r="J2348" s="192"/>
      <c r="K2348" s="192"/>
      <c r="L2348" s="192"/>
      <c r="M2348" s="192"/>
      <c r="N2348" s="192"/>
    </row>
    <row r="2349" spans="10:14" ht="15.95" customHeight="1" x14ac:dyDescent="0.25">
      <c r="J2349" s="192"/>
      <c r="K2349" s="192"/>
      <c r="L2349" s="192"/>
      <c r="M2349" s="192"/>
      <c r="N2349" s="192"/>
    </row>
    <row r="2350" spans="10:14" ht="15.95" customHeight="1" x14ac:dyDescent="0.25">
      <c r="J2350" s="192"/>
      <c r="K2350" s="192"/>
      <c r="L2350" s="192"/>
      <c r="M2350" s="192"/>
      <c r="N2350" s="192"/>
    </row>
    <row r="2351" spans="10:14" ht="15.95" customHeight="1" x14ac:dyDescent="0.25">
      <c r="J2351" s="192"/>
      <c r="K2351" s="192"/>
      <c r="L2351" s="192"/>
      <c r="M2351" s="192"/>
      <c r="N2351" s="192"/>
    </row>
    <row r="2352" spans="10:14" ht="15.95" customHeight="1" x14ac:dyDescent="0.25">
      <c r="J2352" s="192"/>
      <c r="K2352" s="192"/>
      <c r="L2352" s="192"/>
      <c r="M2352" s="192"/>
      <c r="N2352" s="192"/>
    </row>
    <row r="2353" spans="10:14" ht="15.95" customHeight="1" x14ac:dyDescent="0.25">
      <c r="J2353" s="192"/>
      <c r="K2353" s="192"/>
      <c r="L2353" s="192"/>
      <c r="M2353" s="192"/>
      <c r="N2353" s="192"/>
    </row>
    <row r="2354" spans="10:14" ht="15.95" customHeight="1" x14ac:dyDescent="0.25">
      <c r="J2354" s="192"/>
      <c r="K2354" s="192"/>
      <c r="L2354" s="192"/>
      <c r="M2354" s="192"/>
      <c r="N2354" s="192"/>
    </row>
    <row r="2355" spans="10:14" ht="15.95" customHeight="1" x14ac:dyDescent="0.25">
      <c r="J2355" s="192"/>
      <c r="K2355" s="192"/>
      <c r="L2355" s="192"/>
      <c r="M2355" s="192"/>
      <c r="N2355" s="192"/>
    </row>
    <row r="2356" spans="10:14" ht="15.95" customHeight="1" x14ac:dyDescent="0.25">
      <c r="J2356" s="192"/>
      <c r="K2356" s="192"/>
      <c r="L2356" s="192"/>
      <c r="M2356" s="192"/>
      <c r="N2356" s="192"/>
    </row>
    <row r="2357" spans="10:14" ht="15.95" customHeight="1" x14ac:dyDescent="0.25">
      <c r="J2357" s="192"/>
      <c r="K2357" s="192"/>
      <c r="L2357" s="192"/>
      <c r="M2357" s="192"/>
      <c r="N2357" s="192"/>
    </row>
    <row r="2358" spans="10:14" ht="15.95" customHeight="1" x14ac:dyDescent="0.25">
      <c r="J2358" s="192"/>
      <c r="K2358" s="192"/>
      <c r="L2358" s="192"/>
      <c r="M2358" s="192"/>
      <c r="N2358" s="192"/>
    </row>
    <row r="2359" spans="10:14" ht="15.95" customHeight="1" x14ac:dyDescent="0.25">
      <c r="J2359" s="192"/>
      <c r="K2359" s="192"/>
      <c r="L2359" s="192"/>
      <c r="M2359" s="192"/>
      <c r="N2359" s="192"/>
    </row>
    <row r="2360" spans="10:14" ht="15.95" customHeight="1" x14ac:dyDescent="0.25">
      <c r="J2360" s="192"/>
      <c r="K2360" s="192"/>
      <c r="L2360" s="192"/>
      <c r="M2360" s="192"/>
      <c r="N2360" s="192"/>
    </row>
    <row r="2361" spans="10:14" ht="15.95" customHeight="1" x14ac:dyDescent="0.25">
      <c r="J2361" s="192"/>
      <c r="K2361" s="192"/>
      <c r="L2361" s="192"/>
      <c r="M2361" s="192"/>
      <c r="N2361" s="192"/>
    </row>
    <row r="2362" spans="10:14" ht="15.95" customHeight="1" x14ac:dyDescent="0.25">
      <c r="J2362" s="192"/>
      <c r="K2362" s="192"/>
      <c r="L2362" s="192"/>
      <c r="M2362" s="192"/>
      <c r="N2362" s="192"/>
    </row>
    <row r="2363" spans="10:14" ht="15.95" customHeight="1" x14ac:dyDescent="0.25">
      <c r="J2363" s="192"/>
      <c r="K2363" s="192"/>
      <c r="L2363" s="192"/>
      <c r="M2363" s="192"/>
      <c r="N2363" s="192"/>
    </row>
    <row r="2364" spans="10:14" ht="15.95" customHeight="1" x14ac:dyDescent="0.25">
      <c r="J2364" s="192"/>
      <c r="K2364" s="192"/>
      <c r="L2364" s="192"/>
      <c r="M2364" s="192"/>
      <c r="N2364" s="192"/>
    </row>
    <row r="2365" spans="10:14" ht="15.95" customHeight="1" x14ac:dyDescent="0.25">
      <c r="J2365" s="192"/>
      <c r="K2365" s="192"/>
      <c r="L2365" s="192"/>
      <c r="M2365" s="192"/>
      <c r="N2365" s="192"/>
    </row>
    <row r="2366" spans="10:14" ht="15.95" customHeight="1" x14ac:dyDescent="0.25">
      <c r="J2366" s="192"/>
      <c r="K2366" s="192"/>
      <c r="L2366" s="192"/>
      <c r="M2366" s="192"/>
      <c r="N2366" s="192"/>
    </row>
    <row r="2367" spans="10:14" ht="15.95" customHeight="1" x14ac:dyDescent="0.25">
      <c r="J2367" s="192"/>
      <c r="K2367" s="192"/>
      <c r="L2367" s="192"/>
      <c r="M2367" s="192"/>
      <c r="N2367" s="192"/>
    </row>
    <row r="2368" spans="10:14" ht="15.95" customHeight="1" x14ac:dyDescent="0.25">
      <c r="J2368" s="192"/>
      <c r="K2368" s="192"/>
      <c r="L2368" s="192"/>
      <c r="M2368" s="192"/>
      <c r="N2368" s="192"/>
    </row>
    <row r="2369" spans="10:14" ht="15.95" customHeight="1" x14ac:dyDescent="0.25">
      <c r="J2369" s="192"/>
      <c r="K2369" s="192"/>
      <c r="L2369" s="192"/>
      <c r="M2369" s="192"/>
      <c r="N2369" s="192"/>
    </row>
    <row r="2370" spans="10:14" ht="15.95" customHeight="1" x14ac:dyDescent="0.25">
      <c r="J2370" s="192"/>
      <c r="K2370" s="192"/>
      <c r="L2370" s="192"/>
      <c r="M2370" s="192"/>
      <c r="N2370" s="192"/>
    </row>
    <row r="2371" spans="10:14" ht="15.95" customHeight="1" x14ac:dyDescent="0.25">
      <c r="J2371" s="192"/>
      <c r="K2371" s="192"/>
      <c r="L2371" s="192"/>
      <c r="M2371" s="192"/>
      <c r="N2371" s="192"/>
    </row>
    <row r="2372" spans="10:14" ht="15.95" customHeight="1" x14ac:dyDescent="0.25">
      <c r="J2372" s="192"/>
      <c r="K2372" s="192"/>
      <c r="L2372" s="192"/>
      <c r="M2372" s="192"/>
      <c r="N2372" s="192"/>
    </row>
    <row r="2373" spans="10:14" ht="15.95" customHeight="1" x14ac:dyDescent="0.25">
      <c r="J2373" s="192"/>
      <c r="K2373" s="192"/>
      <c r="L2373" s="192"/>
      <c r="M2373" s="192"/>
      <c r="N2373" s="192"/>
    </row>
    <row r="2374" spans="10:14" ht="15.95" customHeight="1" x14ac:dyDescent="0.25">
      <c r="J2374" s="192"/>
      <c r="K2374" s="192"/>
      <c r="L2374" s="192"/>
      <c r="M2374" s="192"/>
      <c r="N2374" s="192"/>
    </row>
    <row r="2375" spans="10:14" ht="15.95" customHeight="1" x14ac:dyDescent="0.25">
      <c r="J2375" s="192"/>
      <c r="K2375" s="192"/>
      <c r="L2375" s="192"/>
      <c r="M2375" s="192"/>
      <c r="N2375" s="192"/>
    </row>
    <row r="2376" spans="10:14" ht="15.95" customHeight="1" x14ac:dyDescent="0.25">
      <c r="J2376" s="192"/>
      <c r="K2376" s="192"/>
      <c r="L2376" s="192"/>
      <c r="M2376" s="192"/>
      <c r="N2376" s="192"/>
    </row>
    <row r="2377" spans="10:14" ht="15.95" customHeight="1" x14ac:dyDescent="0.25">
      <c r="J2377" s="192"/>
      <c r="K2377" s="192"/>
      <c r="L2377" s="192"/>
      <c r="M2377" s="192"/>
      <c r="N2377" s="192"/>
    </row>
    <row r="2378" spans="10:14" ht="15.95" customHeight="1" x14ac:dyDescent="0.25">
      <c r="J2378" s="192"/>
      <c r="K2378" s="192"/>
      <c r="L2378" s="192"/>
      <c r="M2378" s="192"/>
      <c r="N2378" s="192"/>
    </row>
    <row r="2379" spans="10:14" ht="15.95" customHeight="1" x14ac:dyDescent="0.25">
      <c r="J2379" s="192"/>
      <c r="K2379" s="192"/>
      <c r="L2379" s="192"/>
      <c r="M2379" s="192"/>
      <c r="N2379" s="192"/>
    </row>
    <row r="2380" spans="10:14" ht="15.95" customHeight="1" x14ac:dyDescent="0.25">
      <c r="J2380" s="192"/>
      <c r="K2380" s="192"/>
      <c r="L2380" s="192"/>
      <c r="M2380" s="192"/>
      <c r="N2380" s="192"/>
    </row>
    <row r="2381" spans="10:14" ht="15.95" customHeight="1" x14ac:dyDescent="0.25">
      <c r="J2381" s="192"/>
      <c r="K2381" s="192"/>
      <c r="L2381" s="192"/>
      <c r="M2381" s="192"/>
      <c r="N2381" s="192"/>
    </row>
    <row r="2382" spans="10:14" ht="15.95" customHeight="1" x14ac:dyDescent="0.25">
      <c r="J2382" s="192"/>
      <c r="K2382" s="192"/>
      <c r="L2382" s="192"/>
      <c r="M2382" s="192"/>
      <c r="N2382" s="192"/>
    </row>
    <row r="2383" spans="10:14" ht="15.95" customHeight="1" x14ac:dyDescent="0.25">
      <c r="J2383" s="192"/>
      <c r="K2383" s="192"/>
      <c r="L2383" s="192"/>
      <c r="M2383" s="192"/>
      <c r="N2383" s="192"/>
    </row>
    <row r="2384" spans="10:14" ht="15.95" customHeight="1" x14ac:dyDescent="0.25">
      <c r="J2384" s="192"/>
      <c r="K2384" s="192"/>
      <c r="L2384" s="192"/>
      <c r="M2384" s="192"/>
      <c r="N2384" s="192"/>
    </row>
    <row r="2385" spans="10:14" ht="15.95" customHeight="1" x14ac:dyDescent="0.25">
      <c r="J2385" s="192"/>
      <c r="K2385" s="192"/>
      <c r="L2385" s="192"/>
      <c r="M2385" s="192"/>
      <c r="N2385" s="192"/>
    </row>
    <row r="2386" spans="10:14" ht="15.95" customHeight="1" x14ac:dyDescent="0.25">
      <c r="J2386" s="192"/>
      <c r="K2386" s="192"/>
      <c r="L2386" s="192"/>
      <c r="M2386" s="192"/>
      <c r="N2386" s="192"/>
    </row>
    <row r="2387" spans="10:14" ht="15.95" customHeight="1" x14ac:dyDescent="0.25">
      <c r="J2387" s="192"/>
      <c r="K2387" s="192"/>
      <c r="L2387" s="192"/>
      <c r="M2387" s="192"/>
      <c r="N2387" s="192"/>
    </row>
    <row r="2388" spans="10:14" ht="15.95" customHeight="1" x14ac:dyDescent="0.25">
      <c r="J2388" s="192"/>
      <c r="K2388" s="192"/>
      <c r="L2388" s="192"/>
      <c r="M2388" s="192"/>
      <c r="N2388" s="192"/>
    </row>
    <row r="2389" spans="10:14" ht="15.95" customHeight="1" x14ac:dyDescent="0.25">
      <c r="J2389" s="192"/>
      <c r="K2389" s="192"/>
      <c r="L2389" s="192"/>
      <c r="M2389" s="192"/>
      <c r="N2389" s="192"/>
    </row>
    <row r="2390" spans="10:14" ht="15.95" customHeight="1" x14ac:dyDescent="0.25">
      <c r="J2390" s="192"/>
      <c r="K2390" s="192"/>
      <c r="L2390" s="192"/>
      <c r="M2390" s="192"/>
      <c r="N2390" s="192"/>
    </row>
    <row r="2391" spans="10:14" ht="15.95" customHeight="1" x14ac:dyDescent="0.25">
      <c r="J2391" s="192"/>
      <c r="K2391" s="192"/>
      <c r="L2391" s="192"/>
      <c r="M2391" s="192"/>
      <c r="N2391" s="192"/>
    </row>
    <row r="2392" spans="10:14" ht="15.95" customHeight="1" x14ac:dyDescent="0.25">
      <c r="J2392" s="192"/>
      <c r="K2392" s="192"/>
      <c r="L2392" s="192"/>
      <c r="M2392" s="192"/>
      <c r="N2392" s="192"/>
    </row>
    <row r="2393" spans="10:14" ht="15.95" customHeight="1" x14ac:dyDescent="0.25">
      <c r="J2393" s="192"/>
      <c r="K2393" s="192"/>
      <c r="L2393" s="192"/>
      <c r="M2393" s="192"/>
      <c r="N2393" s="192"/>
    </row>
    <row r="2394" spans="10:14" ht="15.95" customHeight="1" x14ac:dyDescent="0.25">
      <c r="J2394" s="192"/>
      <c r="K2394" s="192"/>
      <c r="L2394" s="192"/>
      <c r="M2394" s="192"/>
      <c r="N2394" s="192"/>
    </row>
    <row r="2395" spans="10:14" ht="15.95" customHeight="1" x14ac:dyDescent="0.25">
      <c r="J2395" s="192"/>
      <c r="K2395" s="192"/>
      <c r="L2395" s="192"/>
      <c r="M2395" s="192"/>
      <c r="N2395" s="192"/>
    </row>
    <row r="2396" spans="10:14" ht="15.95" customHeight="1" x14ac:dyDescent="0.25">
      <c r="J2396" s="192"/>
      <c r="K2396" s="192"/>
      <c r="L2396" s="192"/>
      <c r="M2396" s="192"/>
      <c r="N2396" s="192"/>
    </row>
    <row r="2397" spans="10:14" ht="15.95" customHeight="1" x14ac:dyDescent="0.25">
      <c r="J2397" s="192"/>
      <c r="K2397" s="192"/>
      <c r="L2397" s="192"/>
      <c r="M2397" s="192"/>
      <c r="N2397" s="192"/>
    </row>
    <row r="2398" spans="10:14" ht="15.95" customHeight="1" x14ac:dyDescent="0.25">
      <c r="J2398" s="192"/>
      <c r="K2398" s="192"/>
      <c r="L2398" s="192"/>
      <c r="M2398" s="192"/>
      <c r="N2398" s="192"/>
    </row>
    <row r="2399" spans="10:14" ht="15.95" customHeight="1" x14ac:dyDescent="0.25">
      <c r="J2399" s="192"/>
      <c r="K2399" s="192"/>
      <c r="L2399" s="192"/>
      <c r="M2399" s="192"/>
      <c r="N2399" s="192"/>
    </row>
    <row r="2400" spans="10:14" ht="15.95" customHeight="1" x14ac:dyDescent="0.25">
      <c r="J2400" s="192"/>
      <c r="K2400" s="192"/>
      <c r="L2400" s="192"/>
      <c r="M2400" s="192"/>
      <c r="N2400" s="192"/>
    </row>
    <row r="2401" spans="10:14" ht="15.95" customHeight="1" x14ac:dyDescent="0.25">
      <c r="J2401" s="192"/>
      <c r="K2401" s="192"/>
      <c r="L2401" s="192"/>
      <c r="M2401" s="192"/>
      <c r="N2401" s="192"/>
    </row>
    <row r="2402" spans="10:14" ht="15.95" customHeight="1" x14ac:dyDescent="0.25">
      <c r="J2402" s="192"/>
      <c r="K2402" s="192"/>
      <c r="L2402" s="192"/>
      <c r="M2402" s="192"/>
      <c r="N2402" s="192"/>
    </row>
    <row r="2403" spans="10:14" ht="15.95" customHeight="1" x14ac:dyDescent="0.25">
      <c r="J2403" s="192"/>
      <c r="K2403" s="192"/>
      <c r="L2403" s="192"/>
      <c r="M2403" s="192"/>
      <c r="N2403" s="192"/>
    </row>
    <row r="2404" spans="10:14" ht="15.95" customHeight="1" x14ac:dyDescent="0.25">
      <c r="J2404" s="192"/>
      <c r="K2404" s="192"/>
      <c r="L2404" s="192"/>
      <c r="M2404" s="192"/>
      <c r="N2404" s="192"/>
    </row>
    <row r="2405" spans="10:14" ht="15.95" customHeight="1" x14ac:dyDescent="0.25">
      <c r="J2405" s="192"/>
      <c r="K2405" s="192"/>
      <c r="L2405" s="192"/>
      <c r="M2405" s="192"/>
      <c r="N2405" s="192"/>
    </row>
    <row r="2406" spans="10:14" ht="15.95" customHeight="1" x14ac:dyDescent="0.25">
      <c r="J2406" s="192"/>
      <c r="K2406" s="192"/>
      <c r="L2406" s="192"/>
      <c r="M2406" s="192"/>
      <c r="N2406" s="192"/>
    </row>
    <row r="2407" spans="10:14" ht="15.95" customHeight="1" x14ac:dyDescent="0.25">
      <c r="J2407" s="192"/>
      <c r="K2407" s="192"/>
      <c r="L2407" s="192"/>
      <c r="M2407" s="192"/>
      <c r="N2407" s="192"/>
    </row>
    <row r="2408" spans="10:14" ht="15.95" customHeight="1" x14ac:dyDescent="0.25">
      <c r="J2408" s="192"/>
      <c r="K2408" s="192"/>
      <c r="L2408" s="192"/>
      <c r="M2408" s="192"/>
      <c r="N2408" s="192"/>
    </row>
    <row r="2409" spans="10:14" ht="15.95" customHeight="1" x14ac:dyDescent="0.25">
      <c r="J2409" s="192"/>
      <c r="K2409" s="192"/>
      <c r="L2409" s="192"/>
      <c r="M2409" s="192"/>
      <c r="N2409" s="192"/>
    </row>
    <row r="2410" spans="10:14" ht="15.95" customHeight="1" x14ac:dyDescent="0.25">
      <c r="J2410" s="192"/>
      <c r="K2410" s="192"/>
      <c r="L2410" s="192"/>
      <c r="M2410" s="192"/>
      <c r="N2410" s="192"/>
    </row>
    <row r="2411" spans="10:14" ht="15.95" customHeight="1" x14ac:dyDescent="0.25">
      <c r="J2411" s="192"/>
      <c r="K2411" s="192"/>
      <c r="L2411" s="192"/>
      <c r="M2411" s="192"/>
      <c r="N2411" s="192"/>
    </row>
    <row r="2412" spans="10:14" ht="15.95" customHeight="1" x14ac:dyDescent="0.25">
      <c r="J2412" s="192"/>
      <c r="K2412" s="192"/>
      <c r="L2412" s="192"/>
      <c r="M2412" s="192"/>
      <c r="N2412" s="192"/>
    </row>
    <row r="2413" spans="10:14" ht="15.95" customHeight="1" x14ac:dyDescent="0.25">
      <c r="J2413" s="192"/>
      <c r="K2413" s="192"/>
      <c r="L2413" s="192"/>
      <c r="M2413" s="192"/>
      <c r="N2413" s="192"/>
    </row>
    <row r="2414" spans="10:14" ht="15.95" customHeight="1" x14ac:dyDescent="0.25">
      <c r="J2414" s="192"/>
      <c r="K2414" s="192"/>
      <c r="L2414" s="192"/>
      <c r="M2414" s="192"/>
      <c r="N2414" s="192"/>
    </row>
    <row r="2415" spans="10:14" ht="15.95" customHeight="1" x14ac:dyDescent="0.25">
      <c r="J2415" s="192"/>
      <c r="K2415" s="192"/>
      <c r="L2415" s="192"/>
      <c r="M2415" s="192"/>
      <c r="N2415" s="192"/>
    </row>
    <row r="2416" spans="10:14" ht="15.95" customHeight="1" x14ac:dyDescent="0.25">
      <c r="J2416" s="192"/>
      <c r="K2416" s="192"/>
      <c r="L2416" s="192"/>
      <c r="M2416" s="192"/>
      <c r="N2416" s="192"/>
    </row>
    <row r="2417" spans="10:14" ht="15.95" customHeight="1" x14ac:dyDescent="0.25">
      <c r="J2417" s="192"/>
      <c r="K2417" s="192"/>
      <c r="L2417" s="192"/>
      <c r="M2417" s="192"/>
      <c r="N2417" s="192"/>
    </row>
    <row r="2418" spans="10:14" ht="15.95" customHeight="1" x14ac:dyDescent="0.25">
      <c r="J2418" s="192"/>
      <c r="K2418" s="192"/>
      <c r="L2418" s="192"/>
      <c r="M2418" s="192"/>
      <c r="N2418" s="192"/>
    </row>
    <row r="2419" spans="10:14" ht="15.95" customHeight="1" x14ac:dyDescent="0.25">
      <c r="J2419" s="192"/>
      <c r="K2419" s="192"/>
      <c r="L2419" s="192"/>
      <c r="M2419" s="192"/>
      <c r="N2419" s="192"/>
    </row>
    <row r="2420" spans="10:14" ht="15.95" customHeight="1" x14ac:dyDescent="0.25">
      <c r="J2420" s="192"/>
      <c r="K2420" s="192"/>
      <c r="L2420" s="192"/>
      <c r="M2420" s="192"/>
      <c r="N2420" s="192"/>
    </row>
    <row r="2421" spans="10:14" ht="15.95" customHeight="1" x14ac:dyDescent="0.25">
      <c r="J2421" s="192"/>
      <c r="K2421" s="192"/>
      <c r="L2421" s="192"/>
      <c r="M2421" s="192"/>
      <c r="N2421" s="192"/>
    </row>
    <row r="2422" spans="10:14" ht="15.95" customHeight="1" x14ac:dyDescent="0.25">
      <c r="J2422" s="192"/>
      <c r="K2422" s="192"/>
      <c r="L2422" s="192"/>
      <c r="M2422" s="192"/>
      <c r="N2422" s="192"/>
    </row>
    <row r="2423" spans="10:14" ht="15.95" customHeight="1" x14ac:dyDescent="0.25">
      <c r="J2423" s="192"/>
      <c r="K2423" s="192"/>
      <c r="L2423" s="192"/>
      <c r="M2423" s="192"/>
      <c r="N2423" s="192"/>
    </row>
    <row r="2424" spans="10:14" ht="15.95" customHeight="1" x14ac:dyDescent="0.25">
      <c r="J2424" s="192"/>
      <c r="K2424" s="192"/>
      <c r="L2424" s="192"/>
      <c r="M2424" s="192"/>
      <c r="N2424" s="192"/>
    </row>
    <row r="2425" spans="10:14" ht="15.95" customHeight="1" x14ac:dyDescent="0.25">
      <c r="J2425" s="192"/>
      <c r="K2425" s="192"/>
      <c r="L2425" s="192"/>
      <c r="M2425" s="192"/>
      <c r="N2425" s="192"/>
    </row>
    <row r="2426" spans="10:14" ht="15.95" customHeight="1" x14ac:dyDescent="0.25">
      <c r="J2426" s="192"/>
      <c r="K2426" s="192"/>
      <c r="L2426" s="192"/>
      <c r="M2426" s="192"/>
      <c r="N2426" s="192"/>
    </row>
    <row r="2427" spans="10:14" ht="15.95" customHeight="1" x14ac:dyDescent="0.25">
      <c r="J2427" s="192"/>
      <c r="K2427" s="192"/>
      <c r="L2427" s="192"/>
      <c r="M2427" s="192"/>
      <c r="N2427" s="192"/>
    </row>
    <row r="2428" spans="10:14" ht="15.95" customHeight="1" x14ac:dyDescent="0.25">
      <c r="J2428" s="192"/>
      <c r="K2428" s="192"/>
      <c r="L2428" s="192"/>
      <c r="M2428" s="192"/>
      <c r="N2428" s="192"/>
    </row>
    <row r="2429" spans="10:14" ht="15.95" customHeight="1" x14ac:dyDescent="0.25">
      <c r="J2429" s="192"/>
      <c r="K2429" s="192"/>
      <c r="L2429" s="192"/>
      <c r="M2429" s="192"/>
      <c r="N2429" s="192"/>
    </row>
    <row r="2430" spans="10:14" ht="15.95" customHeight="1" x14ac:dyDescent="0.25">
      <c r="J2430" s="192"/>
      <c r="K2430" s="192"/>
      <c r="L2430" s="192"/>
      <c r="M2430" s="192"/>
      <c r="N2430" s="192"/>
    </row>
    <row r="2431" spans="10:14" ht="15.95" customHeight="1" x14ac:dyDescent="0.25">
      <c r="J2431" s="192"/>
      <c r="K2431" s="192"/>
      <c r="L2431" s="192"/>
      <c r="M2431" s="192"/>
      <c r="N2431" s="192"/>
    </row>
    <row r="2432" spans="10:14" ht="15.95" customHeight="1" x14ac:dyDescent="0.25">
      <c r="J2432" s="192"/>
      <c r="K2432" s="192"/>
      <c r="L2432" s="192"/>
      <c r="M2432" s="192"/>
      <c r="N2432" s="192"/>
    </row>
    <row r="2433" spans="10:14" ht="15.95" customHeight="1" x14ac:dyDescent="0.25">
      <c r="J2433" s="192"/>
      <c r="K2433" s="192"/>
      <c r="L2433" s="192"/>
      <c r="M2433" s="192"/>
      <c r="N2433" s="192"/>
    </row>
    <row r="2434" spans="10:14" ht="15.95" customHeight="1" x14ac:dyDescent="0.25">
      <c r="J2434" s="192"/>
      <c r="K2434" s="192"/>
      <c r="L2434" s="192"/>
      <c r="M2434" s="192"/>
      <c r="N2434" s="192"/>
    </row>
    <row r="2435" spans="10:14" ht="15.95" customHeight="1" x14ac:dyDescent="0.25">
      <c r="J2435" s="192"/>
      <c r="K2435" s="192"/>
      <c r="L2435" s="192"/>
      <c r="M2435" s="192"/>
      <c r="N2435" s="192"/>
    </row>
    <row r="2436" spans="10:14" ht="15.95" customHeight="1" x14ac:dyDescent="0.25">
      <c r="J2436" s="192"/>
      <c r="K2436" s="192"/>
      <c r="L2436" s="192"/>
      <c r="M2436" s="192"/>
      <c r="N2436" s="192"/>
    </row>
    <row r="2437" spans="10:14" ht="15.95" customHeight="1" x14ac:dyDescent="0.25">
      <c r="J2437" s="192"/>
      <c r="K2437" s="192"/>
      <c r="L2437" s="192"/>
      <c r="M2437" s="192"/>
      <c r="N2437" s="192"/>
    </row>
    <row r="2438" spans="10:14" ht="15.95" customHeight="1" x14ac:dyDescent="0.25">
      <c r="J2438" s="192"/>
      <c r="K2438" s="192"/>
      <c r="L2438" s="192"/>
      <c r="M2438" s="192"/>
      <c r="N2438" s="192"/>
    </row>
    <row r="2439" spans="10:14" ht="15.95" customHeight="1" x14ac:dyDescent="0.25">
      <c r="J2439" s="192"/>
      <c r="K2439" s="192"/>
      <c r="L2439" s="192"/>
      <c r="M2439" s="192"/>
      <c r="N2439" s="192"/>
    </row>
    <row r="2440" spans="10:14" ht="15.95" customHeight="1" x14ac:dyDescent="0.25">
      <c r="J2440" s="192"/>
      <c r="K2440" s="192"/>
      <c r="L2440" s="192"/>
      <c r="M2440" s="192"/>
      <c r="N2440" s="192"/>
    </row>
    <row r="2441" spans="10:14" ht="15.95" customHeight="1" x14ac:dyDescent="0.25">
      <c r="J2441" s="192"/>
      <c r="K2441" s="192"/>
      <c r="L2441" s="192"/>
      <c r="M2441" s="192"/>
      <c r="N2441" s="192"/>
    </row>
    <row r="2442" spans="10:14" ht="15.95" customHeight="1" x14ac:dyDescent="0.25">
      <c r="J2442" s="192"/>
      <c r="K2442" s="192"/>
      <c r="L2442" s="192"/>
      <c r="M2442" s="192"/>
      <c r="N2442" s="192"/>
    </row>
    <row r="2443" spans="10:14" ht="15.95" customHeight="1" x14ac:dyDescent="0.25">
      <c r="J2443" s="192"/>
      <c r="K2443" s="192"/>
      <c r="L2443" s="192"/>
      <c r="M2443" s="192"/>
      <c r="N2443" s="192"/>
    </row>
    <row r="2444" spans="10:14" ht="15.95" customHeight="1" x14ac:dyDescent="0.25">
      <c r="J2444" s="192"/>
      <c r="K2444" s="192"/>
      <c r="L2444" s="192"/>
      <c r="M2444" s="192"/>
      <c r="N2444" s="192"/>
    </row>
    <row r="2445" spans="10:14" ht="15.95" customHeight="1" x14ac:dyDescent="0.25"/>
    <row r="2446" spans="10:14" ht="15.95" customHeight="1" x14ac:dyDescent="0.25"/>
    <row r="2447" spans="10:14" ht="32.1" customHeight="1" x14ac:dyDescent="0.25">
      <c r="J2447" s="235" t="str">
        <f>ComparisonData!MB2</f>
        <v>SECTION B: OUR STAFF, SERVICES &amp; FACILITIES</v>
      </c>
      <c r="K2447" s="236"/>
      <c r="L2447" s="236"/>
      <c r="M2447" s="236"/>
      <c r="N2447" s="237"/>
    </row>
    <row r="2448" spans="10:14" ht="32.1" customHeight="1" x14ac:dyDescent="0.25">
      <c r="J2448" s="235" t="str">
        <f>ComparisonData!MB3</f>
        <v>6.  Please rate the following services used during your visit to this archive</v>
      </c>
      <c r="K2448" s="236"/>
      <c r="L2448" s="236"/>
      <c r="M2448" s="236"/>
      <c r="N2448" s="237"/>
    </row>
    <row r="2449" spans="9:14" ht="32.1" customHeight="1" x14ac:dyDescent="0.25">
      <c r="J2449" s="235" t="str">
        <f>ComparisonData!MB4</f>
        <v>Access to wifi</v>
      </c>
      <c r="K2449" s="236"/>
      <c r="L2449" s="236"/>
      <c r="M2449" s="236"/>
      <c r="N2449" s="237"/>
    </row>
    <row r="2450" spans="9:14" ht="32.1" customHeight="1" x14ac:dyDescent="0.25">
      <c r="J2450" s="185" t="str">
        <f>ComparisonData!MG5</f>
        <v>Very good</v>
      </c>
      <c r="K2450" s="185" t="str">
        <f>ComparisonData!MH5</f>
        <v>Fairly good</v>
      </c>
      <c r="L2450" s="185" t="str">
        <f>ComparisonData!MI5</f>
        <v>Neither</v>
      </c>
      <c r="M2450" s="185" t="str">
        <f>ComparisonData!MJ5</f>
        <v>Poor</v>
      </c>
      <c r="N2450" s="185" t="str">
        <f>ComparisonData!MK5</f>
        <v>Very poor</v>
      </c>
    </row>
    <row r="2451" spans="9:14" ht="15.95" customHeight="1" x14ac:dyDescent="0.25">
      <c r="I2451" s="188" t="str" cm="1">
        <f t="array" aca="1" ref="I2451" ca="1">Access_to_wifi_lbl</f>
        <v>TOTAL</v>
      </c>
      <c r="J2451" s="192" cm="1">
        <f t="array" aca="1" ref="J2451" ca="1">Access_to_wifi_1</f>
        <v>0.67139000000000004</v>
      </c>
      <c r="K2451" s="192" cm="1">
        <f t="array" aca="1" ref="K2451" ca="1">Access_to_wifi_2</f>
        <v>0.21332999999999999</v>
      </c>
      <c r="L2451" s="192" cm="1">
        <f t="array" aca="1" ref="L2451" ca="1">Access_to_wifi_3</f>
        <v>5.9950000000000003E-2</v>
      </c>
      <c r="M2451" s="192" cm="1">
        <f t="array" aca="1" ref="M2451" ca="1">Access_to_wifi_4</f>
        <v>4.2540000000000001E-2</v>
      </c>
      <c r="N2451" s="192" cm="1">
        <f t="array" aca="1" ref="N2451" ca="1">Access_to_wifi_5</f>
        <v>1.2782677924626165E-2</v>
      </c>
    </row>
    <row r="2452" spans="9:14" ht="15.95" customHeight="1" x14ac:dyDescent="0.25">
      <c r="J2452" s="192"/>
      <c r="K2452" s="192"/>
      <c r="L2452" s="192"/>
      <c r="M2452" s="192"/>
      <c r="N2452" s="192"/>
    </row>
    <row r="2453" spans="9:14" ht="15.95" customHeight="1" x14ac:dyDescent="0.25">
      <c r="J2453" s="192"/>
      <c r="K2453" s="192"/>
      <c r="L2453" s="192"/>
      <c r="M2453" s="192"/>
      <c r="N2453" s="192"/>
    </row>
    <row r="2454" spans="9:14" ht="15.95" customHeight="1" x14ac:dyDescent="0.25">
      <c r="J2454" s="192"/>
      <c r="K2454" s="192"/>
      <c r="L2454" s="192"/>
      <c r="M2454" s="192"/>
      <c r="N2454" s="192"/>
    </row>
    <row r="2455" spans="9:14" ht="15.95" customHeight="1" x14ac:dyDescent="0.25">
      <c r="J2455" s="192"/>
      <c r="K2455" s="192"/>
      <c r="L2455" s="192"/>
      <c r="M2455" s="192"/>
      <c r="N2455" s="192"/>
    </row>
    <row r="2456" spans="9:14" ht="15.95" customHeight="1" x14ac:dyDescent="0.25">
      <c r="J2456" s="192"/>
      <c r="K2456" s="192"/>
      <c r="L2456" s="192"/>
      <c r="M2456" s="192"/>
      <c r="N2456" s="192"/>
    </row>
    <row r="2457" spans="9:14" ht="15.95" customHeight="1" x14ac:dyDescent="0.25">
      <c r="J2457" s="192"/>
      <c r="K2457" s="192"/>
      <c r="L2457" s="192"/>
      <c r="M2457" s="192"/>
      <c r="N2457" s="192"/>
    </row>
    <row r="2458" spans="9:14" ht="15.95" customHeight="1" x14ac:dyDescent="0.25">
      <c r="J2458" s="192"/>
      <c r="K2458" s="192"/>
      <c r="L2458" s="192"/>
      <c r="M2458" s="192"/>
      <c r="N2458" s="192"/>
    </row>
    <row r="2459" spans="9:14" ht="15.95" customHeight="1" x14ac:dyDescent="0.25">
      <c r="J2459" s="192"/>
      <c r="K2459" s="192"/>
      <c r="L2459" s="192"/>
      <c r="M2459" s="192"/>
      <c r="N2459" s="192"/>
    </row>
    <row r="2460" spans="9:14" ht="15.95" customHeight="1" x14ac:dyDescent="0.25">
      <c r="J2460" s="192"/>
      <c r="K2460" s="192"/>
      <c r="L2460" s="192"/>
      <c r="M2460" s="192"/>
      <c r="N2460" s="192"/>
    </row>
    <row r="2461" spans="9:14" ht="15.95" customHeight="1" x14ac:dyDescent="0.25">
      <c r="J2461" s="192"/>
      <c r="K2461" s="192"/>
      <c r="L2461" s="192"/>
      <c r="M2461" s="192"/>
      <c r="N2461" s="192"/>
    </row>
    <row r="2462" spans="9:14" ht="15.95" customHeight="1" x14ac:dyDescent="0.25">
      <c r="J2462" s="192"/>
      <c r="K2462" s="192"/>
      <c r="L2462" s="192"/>
      <c r="M2462" s="192"/>
      <c r="N2462" s="192"/>
    </row>
    <row r="2463" spans="9:14" ht="15.95" customHeight="1" x14ac:dyDescent="0.25">
      <c r="J2463" s="192"/>
      <c r="K2463" s="192"/>
      <c r="L2463" s="192"/>
      <c r="M2463" s="192"/>
      <c r="N2463" s="192"/>
    </row>
    <row r="2464" spans="9:14" ht="15.95" customHeight="1" x14ac:dyDescent="0.25">
      <c r="J2464" s="192"/>
      <c r="K2464" s="192"/>
      <c r="L2464" s="192"/>
      <c r="M2464" s="192"/>
      <c r="N2464" s="192"/>
    </row>
    <row r="2465" spans="10:14" ht="15.95" customHeight="1" x14ac:dyDescent="0.25">
      <c r="J2465" s="192"/>
      <c r="K2465" s="192"/>
      <c r="L2465" s="192"/>
      <c r="M2465" s="192"/>
      <c r="N2465" s="192"/>
    </row>
    <row r="2466" spans="10:14" ht="15.95" customHeight="1" x14ac:dyDescent="0.25">
      <c r="J2466" s="192"/>
      <c r="K2466" s="192"/>
      <c r="L2466" s="192"/>
      <c r="M2466" s="192"/>
      <c r="N2466" s="192"/>
    </row>
    <row r="2467" spans="10:14" ht="15.95" customHeight="1" x14ac:dyDescent="0.25">
      <c r="J2467" s="192"/>
      <c r="K2467" s="192"/>
      <c r="L2467" s="192"/>
      <c r="M2467" s="192"/>
      <c r="N2467" s="192"/>
    </row>
    <row r="2468" spans="10:14" ht="15.95" customHeight="1" x14ac:dyDescent="0.25">
      <c r="J2468" s="192"/>
      <c r="K2468" s="192"/>
      <c r="L2468" s="192"/>
      <c r="M2468" s="192"/>
      <c r="N2468" s="192"/>
    </row>
    <row r="2469" spans="10:14" ht="15.95" customHeight="1" x14ac:dyDescent="0.25">
      <c r="J2469" s="192"/>
      <c r="K2469" s="192"/>
      <c r="L2469" s="192"/>
      <c r="M2469" s="192"/>
      <c r="N2469" s="192"/>
    </row>
    <row r="2470" spans="10:14" ht="15.95" customHeight="1" x14ac:dyDescent="0.25">
      <c r="J2470" s="192"/>
      <c r="K2470" s="192"/>
      <c r="L2470" s="192"/>
      <c r="M2470" s="192"/>
      <c r="N2470" s="192"/>
    </row>
    <row r="2471" spans="10:14" ht="15.95" customHeight="1" x14ac:dyDescent="0.25">
      <c r="J2471" s="192"/>
      <c r="K2471" s="192"/>
      <c r="L2471" s="192"/>
      <c r="M2471" s="192"/>
      <c r="N2471" s="192"/>
    </row>
    <row r="2472" spans="10:14" ht="15.95" customHeight="1" x14ac:dyDescent="0.25">
      <c r="J2472" s="192"/>
      <c r="K2472" s="192"/>
      <c r="L2472" s="192"/>
      <c r="M2472" s="192"/>
      <c r="N2472" s="192"/>
    </row>
    <row r="2473" spans="10:14" ht="15.95" customHeight="1" x14ac:dyDescent="0.25">
      <c r="J2473" s="192"/>
      <c r="K2473" s="192"/>
      <c r="L2473" s="192"/>
      <c r="M2473" s="192"/>
      <c r="N2473" s="192"/>
    </row>
    <row r="2474" spans="10:14" ht="15.95" customHeight="1" x14ac:dyDescent="0.25">
      <c r="J2474" s="192"/>
      <c r="K2474" s="192"/>
      <c r="L2474" s="192"/>
      <c r="M2474" s="192"/>
      <c r="N2474" s="192"/>
    </row>
    <row r="2475" spans="10:14" ht="15.95" customHeight="1" x14ac:dyDescent="0.25">
      <c r="J2475" s="192"/>
      <c r="K2475" s="192"/>
      <c r="L2475" s="192"/>
      <c r="M2475" s="192"/>
      <c r="N2475" s="192"/>
    </row>
    <row r="2476" spans="10:14" ht="15.95" customHeight="1" x14ac:dyDescent="0.25">
      <c r="J2476" s="192"/>
      <c r="K2476" s="192"/>
      <c r="L2476" s="192"/>
      <c r="M2476" s="192"/>
      <c r="N2476" s="192"/>
    </row>
    <row r="2477" spans="10:14" ht="15.95" customHeight="1" x14ac:dyDescent="0.25">
      <c r="J2477" s="192"/>
      <c r="K2477" s="192"/>
      <c r="L2477" s="192"/>
      <c r="M2477" s="192"/>
      <c r="N2477" s="192"/>
    </row>
    <row r="2478" spans="10:14" ht="15.95" customHeight="1" x14ac:dyDescent="0.25">
      <c r="J2478" s="192"/>
      <c r="K2478" s="192"/>
      <c r="L2478" s="192"/>
      <c r="M2478" s="192"/>
      <c r="N2478" s="192"/>
    </row>
    <row r="2479" spans="10:14" ht="15.95" customHeight="1" x14ac:dyDescent="0.25">
      <c r="J2479" s="192"/>
      <c r="K2479" s="192"/>
      <c r="L2479" s="192"/>
      <c r="M2479" s="192"/>
      <c r="N2479" s="192"/>
    </row>
    <row r="2480" spans="10:14" ht="15.95" customHeight="1" x14ac:dyDescent="0.25">
      <c r="J2480" s="192"/>
      <c r="K2480" s="192"/>
      <c r="L2480" s="192"/>
      <c r="M2480" s="192"/>
      <c r="N2480" s="192"/>
    </row>
    <row r="2481" spans="10:14" ht="15.95" customHeight="1" x14ac:dyDescent="0.25">
      <c r="J2481" s="192"/>
      <c r="K2481" s="192"/>
      <c r="L2481" s="192"/>
      <c r="M2481" s="192"/>
      <c r="N2481" s="192"/>
    </row>
    <row r="2482" spans="10:14" ht="15.95" customHeight="1" x14ac:dyDescent="0.25">
      <c r="J2482" s="192"/>
      <c r="K2482" s="192"/>
      <c r="L2482" s="192"/>
      <c r="M2482" s="192"/>
      <c r="N2482" s="192"/>
    </row>
    <row r="2483" spans="10:14" ht="15.95" customHeight="1" x14ac:dyDescent="0.25">
      <c r="J2483" s="192"/>
      <c r="K2483" s="192"/>
      <c r="L2483" s="192"/>
      <c r="M2483" s="192"/>
      <c r="N2483" s="192"/>
    </row>
    <row r="2484" spans="10:14" ht="15.95" customHeight="1" x14ac:dyDescent="0.25">
      <c r="J2484" s="192"/>
      <c r="K2484" s="192"/>
      <c r="L2484" s="192"/>
      <c r="M2484" s="192"/>
      <c r="N2484" s="192"/>
    </row>
    <row r="2485" spans="10:14" ht="15.95" customHeight="1" x14ac:dyDescent="0.25">
      <c r="J2485" s="192"/>
      <c r="K2485" s="192"/>
      <c r="L2485" s="192"/>
      <c r="M2485" s="192"/>
      <c r="N2485" s="192"/>
    </row>
    <row r="2486" spans="10:14" ht="15.95" customHeight="1" x14ac:dyDescent="0.25">
      <c r="J2486" s="192"/>
      <c r="K2486" s="192"/>
      <c r="L2486" s="192"/>
      <c r="M2486" s="192"/>
      <c r="N2486" s="192"/>
    </row>
    <row r="2487" spans="10:14" ht="15.95" customHeight="1" x14ac:dyDescent="0.25">
      <c r="J2487" s="192"/>
      <c r="K2487" s="192"/>
      <c r="L2487" s="192"/>
      <c r="M2487" s="192"/>
      <c r="N2487" s="192"/>
    </row>
    <row r="2488" spans="10:14" ht="15.95" customHeight="1" x14ac:dyDescent="0.25">
      <c r="J2488" s="192"/>
      <c r="K2488" s="192"/>
      <c r="L2488" s="192"/>
      <c r="M2488" s="192"/>
      <c r="N2488" s="192"/>
    </row>
    <row r="2489" spans="10:14" ht="15.95" customHeight="1" x14ac:dyDescent="0.25">
      <c r="J2489" s="192"/>
      <c r="K2489" s="192"/>
      <c r="L2489" s="192"/>
      <c r="M2489" s="192"/>
      <c r="N2489" s="192"/>
    </row>
    <row r="2490" spans="10:14" ht="15.95" customHeight="1" x14ac:dyDescent="0.25">
      <c r="J2490" s="192"/>
      <c r="K2490" s="192"/>
      <c r="L2490" s="192"/>
      <c r="M2490" s="192"/>
      <c r="N2490" s="192"/>
    </row>
    <row r="2491" spans="10:14" ht="15.95" customHeight="1" x14ac:dyDescent="0.25">
      <c r="J2491" s="192"/>
      <c r="K2491" s="192"/>
      <c r="L2491" s="192"/>
      <c r="M2491" s="192"/>
      <c r="N2491" s="192"/>
    </row>
    <row r="2492" spans="10:14" ht="15.95" customHeight="1" x14ac:dyDescent="0.25">
      <c r="J2492" s="192"/>
      <c r="K2492" s="192"/>
      <c r="L2492" s="192"/>
      <c r="M2492" s="192"/>
      <c r="N2492" s="192"/>
    </row>
    <row r="2493" spans="10:14" ht="15.95" customHeight="1" x14ac:dyDescent="0.25">
      <c r="J2493" s="192"/>
      <c r="K2493" s="192"/>
      <c r="L2493" s="192"/>
      <c r="M2493" s="192"/>
      <c r="N2493" s="192"/>
    </row>
    <row r="2494" spans="10:14" ht="15.95" customHeight="1" x14ac:dyDescent="0.25">
      <c r="J2494" s="192"/>
      <c r="K2494" s="192"/>
      <c r="L2494" s="192"/>
      <c r="M2494" s="192"/>
      <c r="N2494" s="192"/>
    </row>
    <row r="2495" spans="10:14" ht="15.95" customHeight="1" x14ac:dyDescent="0.25">
      <c r="J2495" s="192"/>
      <c r="K2495" s="192"/>
      <c r="L2495" s="192"/>
      <c r="M2495" s="192"/>
      <c r="N2495" s="192"/>
    </row>
    <row r="2496" spans="10:14" ht="15.95" customHeight="1" x14ac:dyDescent="0.25">
      <c r="J2496" s="192"/>
      <c r="K2496" s="192"/>
      <c r="L2496" s="192"/>
      <c r="M2496" s="192"/>
      <c r="N2496" s="192"/>
    </row>
    <row r="2497" spans="10:14" ht="15.95" customHeight="1" x14ac:dyDescent="0.25">
      <c r="J2497" s="192"/>
      <c r="K2497" s="192"/>
      <c r="L2497" s="192"/>
      <c r="M2497" s="192"/>
      <c r="N2497" s="192"/>
    </row>
    <row r="2498" spans="10:14" ht="15.95" customHeight="1" x14ac:dyDescent="0.25">
      <c r="J2498" s="192"/>
      <c r="K2498" s="192"/>
      <c r="L2498" s="192"/>
      <c r="M2498" s="192"/>
      <c r="N2498" s="192"/>
    </row>
    <row r="2499" spans="10:14" ht="15.95" customHeight="1" x14ac:dyDescent="0.25">
      <c r="J2499" s="192"/>
      <c r="K2499" s="192"/>
      <c r="L2499" s="192"/>
      <c r="M2499" s="192"/>
      <c r="N2499" s="192"/>
    </row>
    <row r="2500" spans="10:14" ht="15.95" customHeight="1" x14ac:dyDescent="0.25">
      <c r="J2500" s="192"/>
      <c r="K2500" s="192"/>
      <c r="L2500" s="192"/>
      <c r="M2500" s="192"/>
      <c r="N2500" s="192"/>
    </row>
    <row r="2501" spans="10:14" ht="15.95" customHeight="1" x14ac:dyDescent="0.25">
      <c r="J2501" s="192"/>
      <c r="K2501" s="192"/>
      <c r="L2501" s="192"/>
      <c r="M2501" s="192"/>
      <c r="N2501" s="192"/>
    </row>
    <row r="2502" spans="10:14" ht="15.95" customHeight="1" x14ac:dyDescent="0.25">
      <c r="J2502" s="192"/>
      <c r="K2502" s="192"/>
      <c r="L2502" s="192"/>
      <c r="M2502" s="192"/>
      <c r="N2502" s="192"/>
    </row>
    <row r="2503" spans="10:14" ht="15.95" customHeight="1" x14ac:dyDescent="0.25">
      <c r="J2503" s="192"/>
      <c r="K2503" s="192"/>
      <c r="L2503" s="192"/>
      <c r="M2503" s="192"/>
      <c r="N2503" s="192"/>
    </row>
    <row r="2504" spans="10:14" ht="15.95" customHeight="1" x14ac:dyDescent="0.25">
      <c r="J2504" s="192"/>
      <c r="K2504" s="192"/>
      <c r="L2504" s="192"/>
      <c r="M2504" s="192"/>
      <c r="N2504" s="192"/>
    </row>
    <row r="2505" spans="10:14" ht="15.95" customHeight="1" x14ac:dyDescent="0.25">
      <c r="J2505" s="192"/>
      <c r="K2505" s="192"/>
      <c r="L2505" s="192"/>
      <c r="M2505" s="192"/>
      <c r="N2505" s="192"/>
    </row>
    <row r="2506" spans="10:14" ht="15.95" customHeight="1" x14ac:dyDescent="0.25">
      <c r="J2506" s="192"/>
      <c r="K2506" s="192"/>
      <c r="L2506" s="192"/>
      <c r="M2506" s="192"/>
      <c r="N2506" s="192"/>
    </row>
    <row r="2507" spans="10:14" ht="15.95" customHeight="1" x14ac:dyDescent="0.25">
      <c r="J2507" s="192"/>
      <c r="K2507" s="192"/>
      <c r="L2507" s="192"/>
      <c r="M2507" s="192"/>
      <c r="N2507" s="192"/>
    </row>
    <row r="2508" spans="10:14" ht="15.95" customHeight="1" x14ac:dyDescent="0.25">
      <c r="J2508" s="192"/>
      <c r="K2508" s="192"/>
      <c r="L2508" s="192"/>
      <c r="M2508" s="192"/>
      <c r="N2508" s="192"/>
    </row>
    <row r="2509" spans="10:14" ht="15.95" customHeight="1" x14ac:dyDescent="0.25">
      <c r="J2509" s="192"/>
      <c r="K2509" s="192"/>
      <c r="L2509" s="192"/>
      <c r="M2509" s="192"/>
      <c r="N2509" s="192"/>
    </row>
    <row r="2510" spans="10:14" ht="15.95" customHeight="1" x14ac:dyDescent="0.25">
      <c r="J2510" s="192"/>
      <c r="K2510" s="192"/>
      <c r="L2510" s="192"/>
      <c r="M2510" s="192"/>
      <c r="N2510" s="192"/>
    </row>
    <row r="2511" spans="10:14" ht="15.95" customHeight="1" x14ac:dyDescent="0.25">
      <c r="J2511" s="192"/>
      <c r="K2511" s="192"/>
      <c r="L2511" s="192"/>
      <c r="M2511" s="192"/>
      <c r="N2511" s="192"/>
    </row>
    <row r="2512" spans="10:14" ht="15.95" customHeight="1" x14ac:dyDescent="0.25">
      <c r="J2512" s="192"/>
      <c r="K2512" s="192"/>
      <c r="L2512" s="192"/>
      <c r="M2512" s="192"/>
      <c r="N2512" s="192"/>
    </row>
    <row r="2513" spans="10:14" ht="15.95" customHeight="1" x14ac:dyDescent="0.25">
      <c r="J2513" s="192"/>
      <c r="K2513" s="192"/>
      <c r="L2513" s="192"/>
      <c r="M2513" s="192"/>
      <c r="N2513" s="192"/>
    </row>
    <row r="2514" spans="10:14" ht="15.95" customHeight="1" x14ac:dyDescent="0.25">
      <c r="J2514" s="192"/>
      <c r="K2514" s="192"/>
      <c r="L2514" s="192"/>
      <c r="M2514" s="192"/>
      <c r="N2514" s="192"/>
    </row>
    <row r="2515" spans="10:14" ht="15.95" customHeight="1" x14ac:dyDescent="0.25">
      <c r="J2515" s="192"/>
      <c r="K2515" s="192"/>
      <c r="L2515" s="192"/>
      <c r="M2515" s="192"/>
      <c r="N2515" s="192"/>
    </row>
    <row r="2516" spans="10:14" ht="15.95" customHeight="1" x14ac:dyDescent="0.25">
      <c r="J2516" s="192"/>
      <c r="K2516" s="192"/>
      <c r="L2516" s="192"/>
      <c r="M2516" s="192"/>
      <c r="N2516" s="192"/>
    </row>
    <row r="2517" spans="10:14" ht="15.95" customHeight="1" x14ac:dyDescent="0.25">
      <c r="J2517" s="192"/>
      <c r="K2517" s="192"/>
      <c r="L2517" s="192"/>
      <c r="M2517" s="192"/>
      <c r="N2517" s="192"/>
    </row>
    <row r="2518" spans="10:14" ht="15.95" customHeight="1" x14ac:dyDescent="0.25">
      <c r="J2518" s="192"/>
      <c r="K2518" s="192"/>
      <c r="L2518" s="192"/>
      <c r="M2518" s="192"/>
      <c r="N2518" s="192"/>
    </row>
    <row r="2519" spans="10:14" ht="15.95" customHeight="1" x14ac:dyDescent="0.25">
      <c r="J2519" s="192"/>
      <c r="K2519" s="192"/>
      <c r="L2519" s="192"/>
      <c r="M2519" s="192"/>
      <c r="N2519" s="192"/>
    </row>
    <row r="2520" spans="10:14" ht="15.95" customHeight="1" x14ac:dyDescent="0.25">
      <c r="J2520" s="192"/>
      <c r="K2520" s="192"/>
      <c r="L2520" s="192"/>
      <c r="M2520" s="192"/>
      <c r="N2520" s="192"/>
    </row>
    <row r="2521" spans="10:14" ht="15.95" customHeight="1" x14ac:dyDescent="0.25">
      <c r="J2521" s="192"/>
      <c r="K2521" s="192"/>
      <c r="L2521" s="192"/>
      <c r="M2521" s="192"/>
      <c r="N2521" s="192"/>
    </row>
    <row r="2522" spans="10:14" ht="15.95" customHeight="1" x14ac:dyDescent="0.25">
      <c r="J2522" s="192"/>
      <c r="K2522" s="192"/>
      <c r="L2522" s="192"/>
      <c r="M2522" s="192"/>
      <c r="N2522" s="192"/>
    </row>
    <row r="2523" spans="10:14" ht="15.95" customHeight="1" x14ac:dyDescent="0.25">
      <c r="J2523" s="192"/>
      <c r="K2523" s="192"/>
      <c r="L2523" s="192"/>
      <c r="M2523" s="192"/>
      <c r="N2523" s="192"/>
    </row>
    <row r="2524" spans="10:14" ht="15.95" customHeight="1" x14ac:dyDescent="0.25">
      <c r="J2524" s="192"/>
      <c r="K2524" s="192"/>
      <c r="L2524" s="192"/>
      <c r="M2524" s="192"/>
      <c r="N2524" s="192"/>
    </row>
    <row r="2525" spans="10:14" ht="15.95" customHeight="1" x14ac:dyDescent="0.25">
      <c r="J2525" s="192"/>
      <c r="K2525" s="192"/>
      <c r="L2525" s="192"/>
      <c r="M2525" s="192"/>
      <c r="N2525" s="192"/>
    </row>
    <row r="2526" spans="10:14" ht="15.95" customHeight="1" x14ac:dyDescent="0.25">
      <c r="J2526" s="192"/>
      <c r="K2526" s="192"/>
      <c r="L2526" s="192"/>
      <c r="M2526" s="192"/>
      <c r="N2526" s="192"/>
    </row>
    <row r="2527" spans="10:14" ht="15.95" customHeight="1" x14ac:dyDescent="0.25">
      <c r="J2527" s="192"/>
      <c r="K2527" s="192"/>
      <c r="L2527" s="192"/>
      <c r="M2527" s="192"/>
      <c r="N2527" s="192"/>
    </row>
    <row r="2528" spans="10:14" ht="15.95" customHeight="1" x14ac:dyDescent="0.25">
      <c r="J2528" s="192"/>
      <c r="K2528" s="192"/>
      <c r="L2528" s="192"/>
      <c r="M2528" s="192"/>
      <c r="N2528" s="192"/>
    </row>
    <row r="2529" spans="10:14" ht="15.95" customHeight="1" x14ac:dyDescent="0.25">
      <c r="J2529" s="192"/>
      <c r="K2529" s="192"/>
      <c r="L2529" s="192"/>
      <c r="M2529" s="192"/>
      <c r="N2529" s="192"/>
    </row>
    <row r="2530" spans="10:14" ht="15.95" customHeight="1" x14ac:dyDescent="0.25">
      <c r="J2530" s="192"/>
      <c r="K2530" s="192"/>
      <c r="L2530" s="192"/>
      <c r="M2530" s="192"/>
      <c r="N2530" s="192"/>
    </row>
    <row r="2531" spans="10:14" ht="15.95" customHeight="1" x14ac:dyDescent="0.25">
      <c r="J2531" s="192"/>
      <c r="K2531" s="192"/>
      <c r="L2531" s="192"/>
      <c r="M2531" s="192"/>
      <c r="N2531" s="192"/>
    </row>
    <row r="2532" spans="10:14" ht="15.95" customHeight="1" x14ac:dyDescent="0.25">
      <c r="J2532" s="192"/>
      <c r="K2532" s="192"/>
      <c r="L2532" s="192"/>
      <c r="M2532" s="192"/>
      <c r="N2532" s="192"/>
    </row>
    <row r="2533" spans="10:14" ht="15.95" customHeight="1" x14ac:dyDescent="0.25">
      <c r="J2533" s="192"/>
      <c r="K2533" s="192"/>
      <c r="L2533" s="192"/>
      <c r="M2533" s="192"/>
      <c r="N2533" s="192"/>
    </row>
    <row r="2534" spans="10:14" ht="15.95" customHeight="1" x14ac:dyDescent="0.25">
      <c r="J2534" s="192"/>
      <c r="K2534" s="192"/>
      <c r="L2534" s="192"/>
      <c r="M2534" s="192"/>
      <c r="N2534" s="192"/>
    </row>
    <row r="2535" spans="10:14" ht="15.95" customHeight="1" x14ac:dyDescent="0.25">
      <c r="J2535" s="192"/>
      <c r="K2535" s="192"/>
      <c r="L2535" s="192"/>
      <c r="M2535" s="192"/>
      <c r="N2535" s="192"/>
    </row>
    <row r="2536" spans="10:14" ht="15.95" customHeight="1" x14ac:dyDescent="0.25">
      <c r="J2536" s="192"/>
      <c r="K2536" s="192"/>
      <c r="L2536" s="192"/>
      <c r="M2536" s="192"/>
      <c r="N2536" s="192"/>
    </row>
    <row r="2537" spans="10:14" ht="15.95" customHeight="1" x14ac:dyDescent="0.25">
      <c r="J2537" s="192"/>
      <c r="K2537" s="192"/>
      <c r="L2537" s="192"/>
      <c r="M2537" s="192"/>
      <c r="N2537" s="192"/>
    </row>
    <row r="2538" spans="10:14" ht="15.95" customHeight="1" x14ac:dyDescent="0.25">
      <c r="J2538" s="192"/>
      <c r="K2538" s="192"/>
      <c r="L2538" s="192"/>
      <c r="M2538" s="192"/>
      <c r="N2538" s="192"/>
    </row>
    <row r="2539" spans="10:14" ht="15.95" customHeight="1" x14ac:dyDescent="0.25">
      <c r="J2539" s="192"/>
      <c r="K2539" s="192"/>
      <c r="L2539" s="192"/>
      <c r="M2539" s="192"/>
      <c r="N2539" s="192"/>
    </row>
    <row r="2540" spans="10:14" ht="15.95" customHeight="1" x14ac:dyDescent="0.25">
      <c r="J2540" s="192"/>
      <c r="K2540" s="192"/>
      <c r="L2540" s="192"/>
      <c r="M2540" s="192"/>
      <c r="N2540" s="192"/>
    </row>
    <row r="2541" spans="10:14" ht="15.95" customHeight="1" x14ac:dyDescent="0.25">
      <c r="J2541" s="192"/>
      <c r="K2541" s="192"/>
      <c r="L2541" s="192"/>
      <c r="M2541" s="192"/>
      <c r="N2541" s="192"/>
    </row>
    <row r="2542" spans="10:14" ht="15.95" customHeight="1" x14ac:dyDescent="0.25">
      <c r="J2542" s="192"/>
      <c r="K2542" s="192"/>
      <c r="L2542" s="192"/>
      <c r="M2542" s="192"/>
      <c r="N2542" s="192"/>
    </row>
    <row r="2543" spans="10:14" ht="15.95" customHeight="1" x14ac:dyDescent="0.25">
      <c r="J2543" s="192"/>
      <c r="K2543" s="192"/>
      <c r="L2543" s="192"/>
      <c r="M2543" s="192"/>
      <c r="N2543" s="192"/>
    </row>
    <row r="2544" spans="10:14" ht="15.95" customHeight="1" x14ac:dyDescent="0.25">
      <c r="J2544" s="192"/>
      <c r="K2544" s="192"/>
      <c r="L2544" s="192"/>
      <c r="M2544" s="192"/>
      <c r="N2544" s="192"/>
    </row>
    <row r="2545" spans="10:14" ht="15.95" customHeight="1" x14ac:dyDescent="0.25">
      <c r="J2545" s="192"/>
      <c r="K2545" s="192"/>
      <c r="L2545" s="192"/>
      <c r="M2545" s="192"/>
      <c r="N2545" s="192"/>
    </row>
    <row r="2546" spans="10:14" ht="15.95" customHeight="1" x14ac:dyDescent="0.25">
      <c r="J2546" s="192"/>
      <c r="K2546" s="192"/>
      <c r="L2546" s="192"/>
      <c r="M2546" s="192"/>
      <c r="N2546" s="192"/>
    </row>
    <row r="2547" spans="10:14" ht="15.95" customHeight="1" x14ac:dyDescent="0.25">
      <c r="J2547" s="192"/>
      <c r="K2547" s="192"/>
      <c r="L2547" s="192"/>
      <c r="M2547" s="192"/>
      <c r="N2547" s="192"/>
    </row>
    <row r="2548" spans="10:14" ht="15.95" customHeight="1" x14ac:dyDescent="0.25">
      <c r="J2548" s="192"/>
      <c r="K2548" s="192"/>
      <c r="L2548" s="192"/>
      <c r="M2548" s="192"/>
      <c r="N2548" s="192"/>
    </row>
    <row r="2549" spans="10:14" ht="15.95" customHeight="1" x14ac:dyDescent="0.25">
      <c r="J2549" s="192"/>
      <c r="K2549" s="192"/>
      <c r="L2549" s="192"/>
      <c r="M2549" s="192"/>
      <c r="N2549" s="192"/>
    </row>
    <row r="2550" spans="10:14" ht="15.95" customHeight="1" x14ac:dyDescent="0.25">
      <c r="J2550" s="192"/>
      <c r="K2550" s="192"/>
      <c r="L2550" s="192"/>
      <c r="M2550" s="192"/>
      <c r="N2550" s="192"/>
    </row>
    <row r="2551" spans="10:14" ht="15.95" customHeight="1" x14ac:dyDescent="0.25">
      <c r="J2551" s="192"/>
      <c r="K2551" s="192"/>
      <c r="L2551" s="192"/>
      <c r="M2551" s="192"/>
      <c r="N2551" s="192"/>
    </row>
    <row r="2552" spans="10:14" ht="15.95" customHeight="1" x14ac:dyDescent="0.25">
      <c r="J2552" s="192"/>
      <c r="K2552" s="192"/>
      <c r="L2552" s="192"/>
      <c r="M2552" s="192"/>
      <c r="N2552" s="192"/>
    </row>
    <row r="2553" spans="10:14" ht="15.95" customHeight="1" x14ac:dyDescent="0.25">
      <c r="J2553" s="192"/>
      <c r="K2553" s="192"/>
      <c r="L2553" s="192"/>
      <c r="M2553" s="192"/>
      <c r="N2553" s="192"/>
    </row>
    <row r="2554" spans="10:14" ht="15.95" customHeight="1" x14ac:dyDescent="0.25">
      <c r="J2554" s="192"/>
      <c r="K2554" s="192"/>
      <c r="L2554" s="192"/>
      <c r="M2554" s="192"/>
      <c r="N2554" s="192"/>
    </row>
    <row r="2555" spans="10:14" ht="15.95" customHeight="1" x14ac:dyDescent="0.25">
      <c r="J2555" s="192"/>
      <c r="K2555" s="192"/>
      <c r="L2555" s="192"/>
      <c r="M2555" s="192"/>
      <c r="N2555" s="192"/>
    </row>
    <row r="2556" spans="10:14" ht="15.95" customHeight="1" x14ac:dyDescent="0.25">
      <c r="J2556" s="192"/>
      <c r="K2556" s="192"/>
      <c r="L2556" s="192"/>
      <c r="M2556" s="192"/>
      <c r="N2556" s="192"/>
    </row>
    <row r="2557" spans="10:14" ht="15.95" customHeight="1" x14ac:dyDescent="0.25">
      <c r="J2557" s="192"/>
      <c r="K2557" s="192"/>
      <c r="L2557" s="192"/>
      <c r="M2557" s="192"/>
      <c r="N2557" s="192"/>
    </row>
    <row r="2558" spans="10:14" ht="15.95" customHeight="1" x14ac:dyDescent="0.25">
      <c r="J2558" s="192"/>
      <c r="K2558" s="192"/>
      <c r="L2558" s="192"/>
      <c r="M2558" s="192"/>
      <c r="N2558" s="192"/>
    </row>
    <row r="2559" spans="10:14" ht="15.95" customHeight="1" x14ac:dyDescent="0.25">
      <c r="J2559" s="192"/>
      <c r="K2559" s="192"/>
      <c r="L2559" s="192"/>
      <c r="M2559" s="192"/>
      <c r="N2559" s="192"/>
    </row>
    <row r="2560" spans="10:14" ht="15.95" customHeight="1" x14ac:dyDescent="0.25">
      <c r="J2560" s="192"/>
      <c r="K2560" s="192"/>
      <c r="L2560" s="192"/>
      <c r="M2560" s="192"/>
      <c r="N2560" s="192"/>
    </row>
    <row r="2561" spans="9:14" ht="15.95" customHeight="1" x14ac:dyDescent="0.25">
      <c r="J2561" s="192"/>
      <c r="K2561" s="192"/>
      <c r="L2561" s="192"/>
      <c r="M2561" s="192"/>
      <c r="N2561" s="192"/>
    </row>
    <row r="2562" spans="9:14" ht="15.95" customHeight="1" x14ac:dyDescent="0.25">
      <c r="J2562" s="192"/>
      <c r="K2562" s="192"/>
      <c r="L2562" s="192"/>
      <c r="M2562" s="192"/>
      <c r="N2562" s="192"/>
    </row>
    <row r="2563" spans="9:14" ht="15.95" customHeight="1" x14ac:dyDescent="0.25"/>
    <row r="2564" spans="9:14" ht="15.95" customHeight="1" x14ac:dyDescent="0.25"/>
    <row r="2565" spans="9:14" ht="32.1" customHeight="1" x14ac:dyDescent="0.25">
      <c r="J2565" s="235" t="str">
        <f>ComparisonData!MT2</f>
        <v>SECTION B: OUR STAFF, SERVICES &amp; FACILITIES</v>
      </c>
      <c r="K2565" s="236"/>
      <c r="L2565" s="236"/>
      <c r="M2565" s="236"/>
      <c r="N2565" s="237"/>
    </row>
    <row r="2566" spans="9:14" ht="32.1" customHeight="1" x14ac:dyDescent="0.25">
      <c r="J2566" s="235" t="str">
        <f>ComparisonData!MT3</f>
        <v>6.  Please rate the following services used during your visit to this archive</v>
      </c>
      <c r="K2566" s="236"/>
      <c r="L2566" s="236"/>
      <c r="M2566" s="236"/>
      <c r="N2566" s="237"/>
    </row>
    <row r="2567" spans="9:14" ht="32.1" customHeight="1" x14ac:dyDescent="0.25">
      <c r="J2567" s="235" t="str">
        <f>ComparisonData!MT4</f>
        <v>Facilities to charge personal computing devices</v>
      </c>
      <c r="K2567" s="236"/>
      <c r="L2567" s="236"/>
      <c r="M2567" s="236"/>
      <c r="N2567" s="237"/>
    </row>
    <row r="2568" spans="9:14" ht="32.1" customHeight="1" x14ac:dyDescent="0.25">
      <c r="J2568" s="185" t="str">
        <f>ComparisonData!MY5</f>
        <v>Very good</v>
      </c>
      <c r="K2568" s="185" t="str">
        <f>ComparisonData!MZ5</f>
        <v>Fairly good</v>
      </c>
      <c r="L2568" s="185" t="str">
        <f>ComparisonData!NA5</f>
        <v>Neither</v>
      </c>
      <c r="M2568" s="185" t="str">
        <f>ComparisonData!NB5</f>
        <v>Poor</v>
      </c>
      <c r="N2568" s="185" t="str">
        <f>ComparisonData!NC5</f>
        <v>Very poor</v>
      </c>
    </row>
    <row r="2569" spans="9:14" ht="15.95" customHeight="1" x14ac:dyDescent="0.25">
      <c r="I2569" s="188" t="str" cm="1">
        <f t="array" aca="1" ref="I2569" ca="1">Facilities_to_charge_personal_computing_devices_lbl</f>
        <v>TOTAL</v>
      </c>
      <c r="J2569" s="192" cm="1">
        <f t="array" aca="1" ref="J2569" ca="1">Facilities_to_charge_personal_computing_devices_1</f>
        <v>0.71304999999999996</v>
      </c>
      <c r="K2569" s="192" cm="1">
        <f t="array" aca="1" ref="K2569" ca="1">Facilities_to_charge_personal_computing_devices_2</f>
        <v>0.18931999999999999</v>
      </c>
      <c r="L2569" s="192" cm="1">
        <f t="array" aca="1" ref="L2569" ca="1">Facilities_to_charge_personal_computing_devices_3</f>
        <v>6.0970000000000003E-2</v>
      </c>
      <c r="M2569" s="192" cm="1">
        <f t="array" aca="1" ref="M2569" ca="1">Facilities_to_charge_personal_computing_devices_4</f>
        <v>3.209E-2</v>
      </c>
      <c r="N2569" s="192" cm="1">
        <f t="array" aca="1" ref="N2569" ca="1">Facilities_to_charge_personal_computing_devices_5</f>
        <v>4.5694393269730595E-3</v>
      </c>
    </row>
    <row r="2570" spans="9:14" ht="15.95" customHeight="1" x14ac:dyDescent="0.25">
      <c r="J2570" s="192"/>
      <c r="K2570" s="192"/>
      <c r="L2570" s="192"/>
      <c r="M2570" s="192"/>
      <c r="N2570" s="192"/>
    </row>
    <row r="2571" spans="9:14" ht="15.95" customHeight="1" x14ac:dyDescent="0.25">
      <c r="J2571" s="192"/>
      <c r="K2571" s="192"/>
      <c r="L2571" s="192"/>
      <c r="M2571" s="192"/>
      <c r="N2571" s="192"/>
    </row>
    <row r="2572" spans="9:14" ht="15.95" customHeight="1" x14ac:dyDescent="0.25">
      <c r="J2572" s="192"/>
      <c r="K2572" s="192"/>
      <c r="L2572" s="192"/>
      <c r="M2572" s="192"/>
      <c r="N2572" s="192"/>
    </row>
    <row r="2573" spans="9:14" ht="15.95" customHeight="1" x14ac:dyDescent="0.25">
      <c r="J2573" s="192"/>
      <c r="K2573" s="192"/>
      <c r="L2573" s="192"/>
      <c r="M2573" s="192"/>
      <c r="N2573" s="192"/>
    </row>
    <row r="2574" spans="9:14" ht="15.95" customHeight="1" x14ac:dyDescent="0.25">
      <c r="J2574" s="192"/>
      <c r="K2574" s="192"/>
      <c r="L2574" s="192"/>
      <c r="M2574" s="192"/>
      <c r="N2574" s="192"/>
    </row>
    <row r="2575" spans="9:14" ht="15.95" customHeight="1" x14ac:dyDescent="0.25">
      <c r="J2575" s="192"/>
      <c r="K2575" s="192"/>
      <c r="L2575" s="192"/>
      <c r="M2575" s="192"/>
      <c r="N2575" s="192"/>
    </row>
    <row r="2576" spans="9:14" ht="15.95" customHeight="1" x14ac:dyDescent="0.25">
      <c r="J2576" s="192"/>
      <c r="K2576" s="192"/>
      <c r="L2576" s="192"/>
      <c r="M2576" s="192"/>
      <c r="N2576" s="192"/>
    </row>
    <row r="2577" spans="10:14" ht="15.95" customHeight="1" x14ac:dyDescent="0.25">
      <c r="J2577" s="192"/>
      <c r="K2577" s="192"/>
      <c r="L2577" s="192"/>
      <c r="M2577" s="192"/>
      <c r="N2577" s="192"/>
    </row>
    <row r="2578" spans="10:14" ht="15.95" customHeight="1" x14ac:dyDescent="0.25">
      <c r="J2578" s="192"/>
      <c r="K2578" s="192"/>
      <c r="L2578" s="192"/>
      <c r="M2578" s="192"/>
      <c r="N2578" s="192"/>
    </row>
    <row r="2579" spans="10:14" ht="15.95" customHeight="1" x14ac:dyDescent="0.25">
      <c r="J2579" s="192"/>
      <c r="K2579" s="192"/>
      <c r="L2579" s="192"/>
      <c r="M2579" s="192"/>
      <c r="N2579" s="192"/>
    </row>
    <row r="2580" spans="10:14" ht="15.95" customHeight="1" x14ac:dyDescent="0.25">
      <c r="J2580" s="192"/>
      <c r="K2580" s="192"/>
      <c r="L2580" s="192"/>
      <c r="M2580" s="192"/>
      <c r="N2580" s="192"/>
    </row>
    <row r="2581" spans="10:14" ht="15.95" customHeight="1" x14ac:dyDescent="0.25">
      <c r="J2581" s="192"/>
      <c r="K2581" s="192"/>
      <c r="L2581" s="192"/>
      <c r="M2581" s="192"/>
      <c r="N2581" s="192"/>
    </row>
    <row r="2582" spans="10:14" ht="15.95" customHeight="1" x14ac:dyDescent="0.25">
      <c r="J2582" s="192"/>
      <c r="K2582" s="192"/>
      <c r="L2582" s="192"/>
      <c r="M2582" s="192"/>
      <c r="N2582" s="192"/>
    </row>
    <row r="2583" spans="10:14" ht="15.95" customHeight="1" x14ac:dyDescent="0.25">
      <c r="J2583" s="192"/>
      <c r="K2583" s="192"/>
      <c r="L2583" s="192"/>
      <c r="M2583" s="192"/>
      <c r="N2583" s="192"/>
    </row>
    <row r="2584" spans="10:14" ht="15.95" customHeight="1" x14ac:dyDescent="0.25">
      <c r="J2584" s="192"/>
      <c r="K2584" s="192"/>
      <c r="L2584" s="192"/>
      <c r="M2584" s="192"/>
      <c r="N2584" s="192"/>
    </row>
    <row r="2585" spans="10:14" ht="15.95" customHeight="1" x14ac:dyDescent="0.25">
      <c r="J2585" s="192"/>
      <c r="K2585" s="192"/>
      <c r="L2585" s="192"/>
      <c r="M2585" s="192"/>
      <c r="N2585" s="192"/>
    </row>
    <row r="2586" spans="10:14" ht="15.95" customHeight="1" x14ac:dyDescent="0.25">
      <c r="J2586" s="192"/>
      <c r="K2586" s="192"/>
      <c r="L2586" s="192"/>
      <c r="M2586" s="192"/>
      <c r="N2586" s="192"/>
    </row>
    <row r="2587" spans="10:14" ht="15.95" customHeight="1" x14ac:dyDescent="0.25">
      <c r="J2587" s="192"/>
      <c r="K2587" s="192"/>
      <c r="L2587" s="192"/>
      <c r="M2587" s="192"/>
      <c r="N2587" s="192"/>
    </row>
    <row r="2588" spans="10:14" ht="15.95" customHeight="1" x14ac:dyDescent="0.25">
      <c r="J2588" s="192"/>
      <c r="K2588" s="192"/>
      <c r="L2588" s="192"/>
      <c r="M2588" s="192"/>
      <c r="N2588" s="192"/>
    </row>
    <row r="2589" spans="10:14" ht="15.95" customHeight="1" x14ac:dyDescent="0.25">
      <c r="J2589" s="192"/>
      <c r="K2589" s="192"/>
      <c r="L2589" s="192"/>
      <c r="M2589" s="192"/>
      <c r="N2589" s="192"/>
    </row>
    <row r="2590" spans="10:14" ht="15.95" customHeight="1" x14ac:dyDescent="0.25">
      <c r="J2590" s="192"/>
      <c r="K2590" s="192"/>
      <c r="L2590" s="192"/>
      <c r="M2590" s="192"/>
      <c r="N2590" s="192"/>
    </row>
    <row r="2591" spans="10:14" ht="15.95" customHeight="1" x14ac:dyDescent="0.25">
      <c r="J2591" s="192"/>
      <c r="K2591" s="192"/>
      <c r="L2591" s="192"/>
      <c r="M2591" s="192"/>
      <c r="N2591" s="192"/>
    </row>
    <row r="2592" spans="10:14" ht="15.95" customHeight="1" x14ac:dyDescent="0.25">
      <c r="J2592" s="192"/>
      <c r="K2592" s="192"/>
      <c r="L2592" s="192"/>
      <c r="M2592" s="192"/>
      <c r="N2592" s="192"/>
    </row>
    <row r="2593" spans="10:14" ht="15.95" customHeight="1" x14ac:dyDescent="0.25">
      <c r="J2593" s="192"/>
      <c r="K2593" s="192"/>
      <c r="L2593" s="192"/>
      <c r="M2593" s="192"/>
      <c r="N2593" s="192"/>
    </row>
    <row r="2594" spans="10:14" ht="15.95" customHeight="1" x14ac:dyDescent="0.25">
      <c r="J2594" s="192"/>
      <c r="K2594" s="192"/>
      <c r="L2594" s="192"/>
      <c r="M2594" s="192"/>
      <c r="N2594" s="192"/>
    </row>
    <row r="2595" spans="10:14" ht="15.95" customHeight="1" x14ac:dyDescent="0.25">
      <c r="J2595" s="192"/>
      <c r="K2595" s="192"/>
      <c r="L2595" s="192"/>
      <c r="M2595" s="192"/>
      <c r="N2595" s="192"/>
    </row>
    <row r="2596" spans="10:14" ht="15.95" customHeight="1" x14ac:dyDescent="0.25">
      <c r="J2596" s="192"/>
      <c r="K2596" s="192"/>
      <c r="L2596" s="192"/>
      <c r="M2596" s="192"/>
      <c r="N2596" s="192"/>
    </row>
    <row r="2597" spans="10:14" ht="15.95" customHeight="1" x14ac:dyDescent="0.25">
      <c r="J2597" s="192"/>
      <c r="K2597" s="192"/>
      <c r="L2597" s="192"/>
      <c r="M2597" s="192"/>
      <c r="N2597" s="192"/>
    </row>
    <row r="2598" spans="10:14" ht="15.95" customHeight="1" x14ac:dyDescent="0.25">
      <c r="J2598" s="192"/>
      <c r="K2598" s="192"/>
      <c r="L2598" s="192"/>
      <c r="M2598" s="192"/>
      <c r="N2598" s="192"/>
    </row>
    <row r="2599" spans="10:14" ht="15.95" customHeight="1" x14ac:dyDescent="0.25">
      <c r="J2599" s="192"/>
      <c r="K2599" s="192"/>
      <c r="L2599" s="192"/>
      <c r="M2599" s="192"/>
      <c r="N2599" s="192"/>
    </row>
    <row r="2600" spans="10:14" ht="15.95" customHeight="1" x14ac:dyDescent="0.25">
      <c r="J2600" s="192"/>
      <c r="K2600" s="192"/>
      <c r="L2600" s="192"/>
      <c r="M2600" s="192"/>
      <c r="N2600" s="192"/>
    </row>
    <row r="2601" spans="10:14" ht="15.95" customHeight="1" x14ac:dyDescent="0.25">
      <c r="J2601" s="192"/>
      <c r="K2601" s="192"/>
      <c r="L2601" s="192"/>
      <c r="M2601" s="192"/>
      <c r="N2601" s="192"/>
    </row>
    <row r="2602" spans="10:14" ht="15.95" customHeight="1" x14ac:dyDescent="0.25">
      <c r="J2602" s="192"/>
      <c r="K2602" s="192"/>
      <c r="L2602" s="192"/>
      <c r="M2602" s="192"/>
      <c r="N2602" s="192"/>
    </row>
    <row r="2603" spans="10:14" ht="15.95" customHeight="1" x14ac:dyDescent="0.25">
      <c r="J2603" s="192"/>
      <c r="K2603" s="192"/>
      <c r="L2603" s="192"/>
      <c r="M2603" s="192"/>
      <c r="N2603" s="192"/>
    </row>
    <row r="2604" spans="10:14" ht="15.95" customHeight="1" x14ac:dyDescent="0.25">
      <c r="J2604" s="192"/>
      <c r="K2604" s="192"/>
      <c r="L2604" s="192"/>
      <c r="M2604" s="192"/>
      <c r="N2604" s="192"/>
    </row>
    <row r="2605" spans="10:14" ht="15.95" customHeight="1" x14ac:dyDescent="0.25">
      <c r="J2605" s="192"/>
      <c r="K2605" s="192"/>
      <c r="L2605" s="192"/>
      <c r="M2605" s="192"/>
      <c r="N2605" s="192"/>
    </row>
    <row r="2606" spans="10:14" ht="15.95" customHeight="1" x14ac:dyDescent="0.25">
      <c r="J2606" s="192"/>
      <c r="K2606" s="192"/>
      <c r="L2606" s="192"/>
      <c r="M2606" s="192"/>
      <c r="N2606" s="192"/>
    </row>
    <row r="2607" spans="10:14" ht="15.95" customHeight="1" x14ac:dyDescent="0.25">
      <c r="J2607" s="192"/>
      <c r="K2607" s="192"/>
      <c r="L2607" s="192"/>
      <c r="M2607" s="192"/>
      <c r="N2607" s="192"/>
    </row>
    <row r="2608" spans="10:14" ht="15.95" customHeight="1" x14ac:dyDescent="0.25">
      <c r="J2608" s="192"/>
      <c r="K2608" s="192"/>
      <c r="L2608" s="192"/>
      <c r="M2608" s="192"/>
      <c r="N2608" s="192"/>
    </row>
    <row r="2609" spans="10:14" ht="15.95" customHeight="1" x14ac:dyDescent="0.25">
      <c r="J2609" s="192"/>
      <c r="K2609" s="192"/>
      <c r="L2609" s="192"/>
      <c r="M2609" s="192"/>
      <c r="N2609" s="192"/>
    </row>
    <row r="2610" spans="10:14" ht="15.95" customHeight="1" x14ac:dyDescent="0.25">
      <c r="J2610" s="192"/>
      <c r="K2610" s="192"/>
      <c r="L2610" s="192"/>
      <c r="M2610" s="192"/>
      <c r="N2610" s="192"/>
    </row>
    <row r="2611" spans="10:14" ht="15.95" customHeight="1" x14ac:dyDescent="0.25">
      <c r="J2611" s="192"/>
      <c r="K2611" s="192"/>
      <c r="L2611" s="192"/>
      <c r="M2611" s="192"/>
      <c r="N2611" s="192"/>
    </row>
    <row r="2612" spans="10:14" ht="15.95" customHeight="1" x14ac:dyDescent="0.25">
      <c r="J2612" s="192"/>
      <c r="K2612" s="192"/>
      <c r="L2612" s="192"/>
      <c r="M2612" s="192"/>
      <c r="N2612" s="192"/>
    </row>
    <row r="2613" spans="10:14" ht="15.95" customHeight="1" x14ac:dyDescent="0.25">
      <c r="J2613" s="192"/>
      <c r="K2613" s="192"/>
      <c r="L2613" s="192"/>
      <c r="M2613" s="192"/>
      <c r="N2613" s="192"/>
    </row>
    <row r="2614" spans="10:14" ht="15.95" customHeight="1" x14ac:dyDescent="0.25">
      <c r="J2614" s="192"/>
      <c r="K2614" s="192"/>
      <c r="L2614" s="192"/>
      <c r="M2614" s="192"/>
      <c r="N2614" s="192"/>
    </row>
    <row r="2615" spans="10:14" ht="15.95" customHeight="1" x14ac:dyDescent="0.25">
      <c r="J2615" s="192"/>
      <c r="K2615" s="192"/>
      <c r="L2615" s="192"/>
      <c r="M2615" s="192"/>
      <c r="N2615" s="192"/>
    </row>
    <row r="2616" spans="10:14" ht="15.95" customHeight="1" x14ac:dyDescent="0.25">
      <c r="J2616" s="192"/>
      <c r="K2616" s="192"/>
      <c r="L2616" s="192"/>
      <c r="M2616" s="192"/>
      <c r="N2616" s="192"/>
    </row>
    <row r="2617" spans="10:14" ht="15.95" customHeight="1" x14ac:dyDescent="0.25">
      <c r="J2617" s="192"/>
      <c r="K2617" s="192"/>
      <c r="L2617" s="192"/>
      <c r="M2617" s="192"/>
      <c r="N2617" s="192"/>
    </row>
    <row r="2618" spans="10:14" ht="15.95" customHeight="1" x14ac:dyDescent="0.25">
      <c r="J2618" s="192"/>
      <c r="K2618" s="192"/>
      <c r="L2618" s="192"/>
      <c r="M2618" s="192"/>
      <c r="N2618" s="192"/>
    </row>
    <row r="2619" spans="10:14" ht="15.95" customHeight="1" x14ac:dyDescent="0.25">
      <c r="J2619" s="192"/>
      <c r="K2619" s="192"/>
      <c r="L2619" s="192"/>
      <c r="M2619" s="192"/>
      <c r="N2619" s="192"/>
    </row>
    <row r="2620" spans="10:14" ht="15.95" customHeight="1" x14ac:dyDescent="0.25">
      <c r="J2620" s="192"/>
      <c r="K2620" s="192"/>
      <c r="L2620" s="192"/>
      <c r="M2620" s="192"/>
      <c r="N2620" s="192"/>
    </row>
    <row r="2621" spans="10:14" ht="15.95" customHeight="1" x14ac:dyDescent="0.25">
      <c r="J2621" s="192"/>
      <c r="K2621" s="192"/>
      <c r="L2621" s="192"/>
      <c r="M2621" s="192"/>
      <c r="N2621" s="192"/>
    </row>
    <row r="2622" spans="10:14" ht="15.95" customHeight="1" x14ac:dyDescent="0.25">
      <c r="J2622" s="192"/>
      <c r="K2622" s="192"/>
      <c r="L2622" s="192"/>
      <c r="M2622" s="192"/>
      <c r="N2622" s="192"/>
    </row>
    <row r="2623" spans="10:14" ht="15.95" customHeight="1" x14ac:dyDescent="0.25">
      <c r="J2623" s="192"/>
      <c r="K2623" s="192"/>
      <c r="L2623" s="192"/>
      <c r="M2623" s="192"/>
      <c r="N2623" s="192"/>
    </row>
    <row r="2624" spans="10:14" ht="15.95" customHeight="1" x14ac:dyDescent="0.25">
      <c r="J2624" s="192"/>
      <c r="K2624" s="192"/>
      <c r="L2624" s="192"/>
      <c r="M2624" s="192"/>
      <c r="N2624" s="192"/>
    </row>
    <row r="2625" spans="10:14" ht="15.95" customHeight="1" x14ac:dyDescent="0.25">
      <c r="J2625" s="192"/>
      <c r="K2625" s="192"/>
      <c r="L2625" s="192"/>
      <c r="M2625" s="192"/>
      <c r="N2625" s="192"/>
    </row>
    <row r="2626" spans="10:14" ht="15.95" customHeight="1" x14ac:dyDescent="0.25">
      <c r="J2626" s="192"/>
      <c r="K2626" s="192"/>
      <c r="L2626" s="192"/>
      <c r="M2626" s="192"/>
      <c r="N2626" s="192"/>
    </row>
    <row r="2627" spans="10:14" ht="15.95" customHeight="1" x14ac:dyDescent="0.25">
      <c r="J2627" s="192"/>
      <c r="K2627" s="192"/>
      <c r="L2627" s="192"/>
      <c r="M2627" s="192"/>
      <c r="N2627" s="192"/>
    </row>
    <row r="2628" spans="10:14" ht="15.95" customHeight="1" x14ac:dyDescent="0.25">
      <c r="J2628" s="192"/>
      <c r="K2628" s="192"/>
      <c r="L2628" s="192"/>
      <c r="M2628" s="192"/>
      <c r="N2628" s="192"/>
    </row>
    <row r="2629" spans="10:14" ht="15.95" customHeight="1" x14ac:dyDescent="0.25">
      <c r="J2629" s="192"/>
      <c r="K2629" s="192"/>
      <c r="L2629" s="192"/>
      <c r="M2629" s="192"/>
      <c r="N2629" s="192"/>
    </row>
    <row r="2630" spans="10:14" ht="15.95" customHeight="1" x14ac:dyDescent="0.25">
      <c r="J2630" s="192"/>
      <c r="K2630" s="192"/>
      <c r="L2630" s="192"/>
      <c r="M2630" s="192"/>
      <c r="N2630" s="192"/>
    </row>
    <row r="2631" spans="10:14" ht="15.95" customHeight="1" x14ac:dyDescent="0.25">
      <c r="J2631" s="192"/>
      <c r="K2631" s="192"/>
      <c r="L2631" s="192"/>
      <c r="M2631" s="192"/>
      <c r="N2631" s="192"/>
    </row>
    <row r="2632" spans="10:14" ht="15.95" customHeight="1" x14ac:dyDescent="0.25">
      <c r="J2632" s="192"/>
      <c r="K2632" s="192"/>
      <c r="L2632" s="192"/>
      <c r="M2632" s="192"/>
      <c r="N2632" s="192"/>
    </row>
    <row r="2633" spans="10:14" ht="15.95" customHeight="1" x14ac:dyDescent="0.25">
      <c r="J2633" s="192"/>
      <c r="K2633" s="192"/>
      <c r="L2633" s="192"/>
      <c r="M2633" s="192"/>
      <c r="N2633" s="192"/>
    </row>
    <row r="2634" spans="10:14" ht="15.95" customHeight="1" x14ac:dyDescent="0.25">
      <c r="J2634" s="192"/>
      <c r="K2634" s="192"/>
      <c r="L2634" s="192"/>
      <c r="M2634" s="192"/>
      <c r="N2634" s="192"/>
    </row>
    <row r="2635" spans="10:14" ht="15.95" customHeight="1" x14ac:dyDescent="0.25">
      <c r="J2635" s="192"/>
      <c r="K2635" s="192"/>
      <c r="L2635" s="192"/>
      <c r="M2635" s="192"/>
      <c r="N2635" s="192"/>
    </row>
    <row r="2636" spans="10:14" ht="15.95" customHeight="1" x14ac:dyDescent="0.25">
      <c r="J2636" s="192"/>
      <c r="K2636" s="192"/>
      <c r="L2636" s="192"/>
      <c r="M2636" s="192"/>
      <c r="N2636" s="192"/>
    </row>
    <row r="2637" spans="10:14" ht="15.95" customHeight="1" x14ac:dyDescent="0.25">
      <c r="J2637" s="192"/>
      <c r="K2637" s="192"/>
      <c r="L2637" s="192"/>
      <c r="M2637" s="192"/>
      <c r="N2637" s="192"/>
    </row>
    <row r="2638" spans="10:14" ht="15.95" customHeight="1" x14ac:dyDescent="0.25">
      <c r="J2638" s="192"/>
      <c r="K2638" s="192"/>
      <c r="L2638" s="192"/>
      <c r="M2638" s="192"/>
      <c r="N2638" s="192"/>
    </row>
    <row r="2639" spans="10:14" ht="15.95" customHeight="1" x14ac:dyDescent="0.25">
      <c r="J2639" s="192"/>
      <c r="K2639" s="192"/>
      <c r="L2639" s="192"/>
      <c r="M2639" s="192"/>
      <c r="N2639" s="192"/>
    </row>
    <row r="2640" spans="10:14" ht="15.95" customHeight="1" x14ac:dyDescent="0.25">
      <c r="J2640" s="192"/>
      <c r="K2640" s="192"/>
      <c r="L2640" s="192"/>
      <c r="M2640" s="192"/>
      <c r="N2640" s="192"/>
    </row>
    <row r="2641" spans="10:14" ht="15.95" customHeight="1" x14ac:dyDescent="0.25">
      <c r="J2641" s="192"/>
      <c r="K2641" s="192"/>
      <c r="L2641" s="192"/>
      <c r="M2641" s="192"/>
      <c r="N2641" s="192"/>
    </row>
    <row r="2642" spans="10:14" ht="15.95" customHeight="1" x14ac:dyDescent="0.25">
      <c r="J2642" s="192"/>
      <c r="K2642" s="192"/>
      <c r="L2642" s="192"/>
      <c r="M2642" s="192"/>
      <c r="N2642" s="192"/>
    </row>
    <row r="2643" spans="10:14" ht="15.95" customHeight="1" x14ac:dyDescent="0.25">
      <c r="J2643" s="192"/>
      <c r="K2643" s="192"/>
      <c r="L2643" s="192"/>
      <c r="M2643" s="192"/>
      <c r="N2643" s="192"/>
    </row>
    <row r="2644" spans="10:14" ht="15.95" customHeight="1" x14ac:dyDescent="0.25">
      <c r="J2644" s="192"/>
      <c r="K2644" s="192"/>
      <c r="L2644" s="192"/>
      <c r="M2644" s="192"/>
      <c r="N2644" s="192"/>
    </row>
    <row r="2645" spans="10:14" ht="15.95" customHeight="1" x14ac:dyDescent="0.25">
      <c r="J2645" s="192"/>
      <c r="K2645" s="192"/>
      <c r="L2645" s="192"/>
      <c r="M2645" s="192"/>
      <c r="N2645" s="192"/>
    </row>
    <row r="2646" spans="10:14" ht="15.95" customHeight="1" x14ac:dyDescent="0.25">
      <c r="J2646" s="192"/>
      <c r="K2646" s="192"/>
      <c r="L2646" s="192"/>
      <c r="M2646" s="192"/>
      <c r="N2646" s="192"/>
    </row>
    <row r="2647" spans="10:14" ht="15.95" customHeight="1" x14ac:dyDescent="0.25">
      <c r="J2647" s="192"/>
      <c r="K2647" s="192"/>
      <c r="L2647" s="192"/>
      <c r="M2647" s="192"/>
      <c r="N2647" s="192"/>
    </row>
    <row r="2648" spans="10:14" ht="15.95" customHeight="1" x14ac:dyDescent="0.25">
      <c r="J2648" s="192"/>
      <c r="K2648" s="192"/>
      <c r="L2648" s="192"/>
      <c r="M2648" s="192"/>
      <c r="N2648" s="192"/>
    </row>
    <row r="2649" spans="10:14" ht="15.95" customHeight="1" x14ac:dyDescent="0.25">
      <c r="J2649" s="192"/>
      <c r="K2649" s="192"/>
      <c r="L2649" s="192"/>
      <c r="M2649" s="192"/>
      <c r="N2649" s="192"/>
    </row>
    <row r="2650" spans="10:14" ht="15.95" customHeight="1" x14ac:dyDescent="0.25">
      <c r="J2650" s="192"/>
      <c r="K2650" s="192"/>
      <c r="L2650" s="192"/>
      <c r="M2650" s="192"/>
      <c r="N2650" s="192"/>
    </row>
    <row r="2651" spans="10:14" ht="15.95" customHeight="1" x14ac:dyDescent="0.25">
      <c r="J2651" s="192"/>
      <c r="K2651" s="192"/>
      <c r="L2651" s="192"/>
      <c r="M2651" s="192"/>
      <c r="N2651" s="192"/>
    </row>
    <row r="2652" spans="10:14" ht="15.95" customHeight="1" x14ac:dyDescent="0.25">
      <c r="J2652" s="192"/>
      <c r="K2652" s="192"/>
      <c r="L2652" s="192"/>
      <c r="M2652" s="192"/>
      <c r="N2652" s="192"/>
    </row>
    <row r="2653" spans="10:14" ht="15.95" customHeight="1" x14ac:dyDescent="0.25">
      <c r="J2653" s="192"/>
      <c r="K2653" s="192"/>
      <c r="L2653" s="192"/>
      <c r="M2653" s="192"/>
      <c r="N2653" s="192"/>
    </row>
    <row r="2654" spans="10:14" ht="15.95" customHeight="1" x14ac:dyDescent="0.25">
      <c r="J2654" s="192"/>
      <c r="K2654" s="192"/>
      <c r="L2654" s="192"/>
      <c r="M2654" s="192"/>
      <c r="N2654" s="192"/>
    </row>
    <row r="2655" spans="10:14" ht="15.95" customHeight="1" x14ac:dyDescent="0.25">
      <c r="J2655" s="192"/>
      <c r="K2655" s="192"/>
      <c r="L2655" s="192"/>
      <c r="M2655" s="192"/>
      <c r="N2655" s="192"/>
    </row>
    <row r="2656" spans="10:14" ht="15.95" customHeight="1" x14ac:dyDescent="0.25">
      <c r="J2656" s="192"/>
      <c r="K2656" s="192"/>
      <c r="L2656" s="192"/>
      <c r="M2656" s="192"/>
      <c r="N2656" s="192"/>
    </row>
    <row r="2657" spans="10:14" ht="15.95" customHeight="1" x14ac:dyDescent="0.25">
      <c r="J2657" s="192"/>
      <c r="K2657" s="192"/>
      <c r="L2657" s="192"/>
      <c r="M2657" s="192"/>
      <c r="N2657" s="192"/>
    </row>
    <row r="2658" spans="10:14" ht="15.95" customHeight="1" x14ac:dyDescent="0.25">
      <c r="J2658" s="192"/>
      <c r="K2658" s="192"/>
      <c r="L2658" s="192"/>
      <c r="M2658" s="192"/>
      <c r="N2658" s="192"/>
    </row>
    <row r="2659" spans="10:14" ht="15.95" customHeight="1" x14ac:dyDescent="0.25">
      <c r="J2659" s="192"/>
      <c r="K2659" s="192"/>
      <c r="L2659" s="192"/>
      <c r="M2659" s="192"/>
      <c r="N2659" s="192"/>
    </row>
    <row r="2660" spans="10:14" ht="15.95" customHeight="1" x14ac:dyDescent="0.25">
      <c r="J2660" s="192"/>
      <c r="K2660" s="192"/>
      <c r="L2660" s="192"/>
      <c r="M2660" s="192"/>
      <c r="N2660" s="192"/>
    </row>
    <row r="2661" spans="10:14" ht="15.95" customHeight="1" x14ac:dyDescent="0.25">
      <c r="J2661" s="192"/>
      <c r="K2661" s="192"/>
      <c r="L2661" s="192"/>
      <c r="M2661" s="192"/>
      <c r="N2661" s="192"/>
    </row>
    <row r="2662" spans="10:14" ht="15.95" customHeight="1" x14ac:dyDescent="0.25">
      <c r="J2662" s="192"/>
      <c r="K2662" s="192"/>
      <c r="L2662" s="192"/>
      <c r="M2662" s="192"/>
      <c r="N2662" s="192"/>
    </row>
    <row r="2663" spans="10:14" ht="15.95" customHeight="1" x14ac:dyDescent="0.25">
      <c r="J2663" s="192"/>
      <c r="K2663" s="192"/>
      <c r="L2663" s="192"/>
      <c r="M2663" s="192"/>
      <c r="N2663" s="192"/>
    </row>
    <row r="2664" spans="10:14" ht="15.95" customHeight="1" x14ac:dyDescent="0.25">
      <c r="J2664" s="192"/>
      <c r="K2664" s="192"/>
      <c r="L2664" s="192"/>
      <c r="M2664" s="192"/>
      <c r="N2664" s="192"/>
    </row>
    <row r="2665" spans="10:14" ht="15.95" customHeight="1" x14ac:dyDescent="0.25">
      <c r="J2665" s="192"/>
      <c r="K2665" s="192"/>
      <c r="L2665" s="192"/>
      <c r="M2665" s="192"/>
      <c r="N2665" s="192"/>
    </row>
    <row r="2666" spans="10:14" ht="15.95" customHeight="1" x14ac:dyDescent="0.25">
      <c r="J2666" s="192"/>
      <c r="K2666" s="192"/>
      <c r="L2666" s="192"/>
      <c r="M2666" s="192"/>
      <c r="N2666" s="192"/>
    </row>
    <row r="2667" spans="10:14" ht="15.95" customHeight="1" x14ac:dyDescent="0.25">
      <c r="J2667" s="192"/>
      <c r="K2667" s="192"/>
      <c r="L2667" s="192"/>
      <c r="M2667" s="192"/>
      <c r="N2667" s="192"/>
    </row>
    <row r="2668" spans="10:14" ht="15.95" customHeight="1" x14ac:dyDescent="0.25">
      <c r="J2668" s="192"/>
      <c r="K2668" s="192"/>
      <c r="L2668" s="192"/>
      <c r="M2668" s="192"/>
      <c r="N2668" s="192"/>
    </row>
    <row r="2669" spans="10:14" ht="15.95" customHeight="1" x14ac:dyDescent="0.25">
      <c r="J2669" s="192"/>
      <c r="K2669" s="192"/>
      <c r="L2669" s="192"/>
      <c r="M2669" s="192"/>
      <c r="N2669" s="192"/>
    </row>
    <row r="2670" spans="10:14" ht="15.95" customHeight="1" x14ac:dyDescent="0.25">
      <c r="J2670" s="192"/>
      <c r="K2670" s="192"/>
      <c r="L2670" s="192"/>
      <c r="M2670" s="192"/>
      <c r="N2670" s="192"/>
    </row>
    <row r="2671" spans="10:14" ht="15.95" customHeight="1" x14ac:dyDescent="0.25">
      <c r="J2671" s="192"/>
      <c r="K2671" s="192"/>
      <c r="L2671" s="192"/>
      <c r="M2671" s="192"/>
      <c r="N2671" s="192"/>
    </row>
    <row r="2672" spans="10:14" ht="15.95" customHeight="1" x14ac:dyDescent="0.25">
      <c r="J2672" s="192"/>
      <c r="K2672" s="192"/>
      <c r="L2672" s="192"/>
      <c r="M2672" s="192"/>
      <c r="N2672" s="192"/>
    </row>
    <row r="2673" spans="9:14" ht="15.95" customHeight="1" x14ac:dyDescent="0.25">
      <c r="J2673" s="192"/>
      <c r="K2673" s="192"/>
      <c r="L2673" s="192"/>
      <c r="M2673" s="192"/>
      <c r="N2673" s="192"/>
    </row>
    <row r="2674" spans="9:14" ht="15.95" customHeight="1" x14ac:dyDescent="0.25">
      <c r="J2674" s="192"/>
      <c r="K2674" s="192"/>
      <c r="L2674" s="192"/>
      <c r="M2674" s="192"/>
      <c r="N2674" s="192"/>
    </row>
    <row r="2675" spans="9:14" ht="15.95" customHeight="1" x14ac:dyDescent="0.25">
      <c r="J2675" s="192"/>
      <c r="K2675" s="192"/>
      <c r="L2675" s="192"/>
      <c r="M2675" s="192"/>
      <c r="N2675" s="192"/>
    </row>
    <row r="2676" spans="9:14" ht="15.95" customHeight="1" x14ac:dyDescent="0.25">
      <c r="J2676" s="192"/>
      <c r="K2676" s="192"/>
      <c r="L2676" s="192"/>
      <c r="M2676" s="192"/>
      <c r="N2676" s="192"/>
    </row>
    <row r="2677" spans="9:14" ht="15.95" customHeight="1" x14ac:dyDescent="0.25">
      <c r="J2677" s="192"/>
      <c r="K2677" s="192"/>
      <c r="L2677" s="192"/>
      <c r="M2677" s="192"/>
      <c r="N2677" s="192"/>
    </row>
    <row r="2678" spans="9:14" ht="15.95" customHeight="1" x14ac:dyDescent="0.25">
      <c r="J2678" s="192"/>
      <c r="K2678" s="192"/>
      <c r="L2678" s="192"/>
      <c r="M2678" s="192"/>
      <c r="N2678" s="192"/>
    </row>
    <row r="2679" spans="9:14" ht="15.95" customHeight="1" x14ac:dyDescent="0.25">
      <c r="J2679" s="192"/>
      <c r="K2679" s="192"/>
      <c r="L2679" s="192"/>
      <c r="M2679" s="192"/>
      <c r="N2679" s="192"/>
    </row>
    <row r="2680" spans="9:14" ht="15.95" customHeight="1" x14ac:dyDescent="0.25"/>
    <row r="2681" spans="9:14" ht="15.95" customHeight="1" x14ac:dyDescent="0.25"/>
    <row r="2682" spans="9:14" ht="32.1" customHeight="1" x14ac:dyDescent="0.25">
      <c r="J2682" s="235" t="str">
        <f>ComparisonData!NL2</f>
        <v>SECTION B: OUR STAFF, SERVICES &amp; FACILITIES</v>
      </c>
      <c r="K2682" s="236"/>
      <c r="L2682" s="236"/>
      <c r="M2682" s="236"/>
      <c r="N2682" s="237"/>
    </row>
    <row r="2683" spans="9:14" ht="32.1" customHeight="1" x14ac:dyDescent="0.25">
      <c r="J2683" s="235" t="str">
        <f>ComparisonData!NL3</f>
        <v>7 (a) Please rate how satisfied you are with the following services.</v>
      </c>
      <c r="K2683" s="236"/>
      <c r="L2683" s="236"/>
      <c r="M2683" s="236"/>
      <c r="N2683" s="237"/>
    </row>
    <row r="2684" spans="9:14" ht="32.1" customHeight="1" x14ac:dyDescent="0.25">
      <c r="J2684" s="235" t="str">
        <f>ComparisonData!NL4</f>
        <v>Availability of seating</v>
      </c>
      <c r="K2684" s="236"/>
      <c r="L2684" s="236"/>
      <c r="M2684" s="236"/>
      <c r="N2684" s="237"/>
    </row>
    <row r="2685" spans="9:14" ht="32.1" customHeight="1" x14ac:dyDescent="0.25">
      <c r="J2685" s="185" t="str">
        <f>ComparisonData!NP5</f>
        <v>Very satisfied</v>
      </c>
      <c r="K2685" s="185" t="str">
        <f>ComparisonData!NQ5</f>
        <v>Satisfied</v>
      </c>
      <c r="L2685" s="185" t="str">
        <f>ComparisonData!NR5</f>
        <v>Neither</v>
      </c>
      <c r="M2685" s="185" t="str">
        <f>ComparisonData!NS5</f>
        <v>Not very satisfied</v>
      </c>
      <c r="N2685" s="185" t="str">
        <f>ComparisonData!NT5</f>
        <v>Not at all satisfied</v>
      </c>
    </row>
    <row r="2686" spans="9:14" ht="15.95" customHeight="1" x14ac:dyDescent="0.25">
      <c r="I2686" s="188" t="str" cm="1">
        <f t="array" aca="1" ref="I2686" ca="1">Availability_of_seating_lbl</f>
        <v>TOTAL</v>
      </c>
      <c r="J2686" s="192" cm="1">
        <f t="array" aca="1" ref="J2686" ca="1">Availability_of_seating_1</f>
        <v>0.89205000000000001</v>
      </c>
      <c r="K2686" s="192" cm="1">
        <f t="array" aca="1" ref="K2686" ca="1">Availability_of_seating_2</f>
        <v>9.5939999999999998E-2</v>
      </c>
      <c r="L2686" s="192" cm="1">
        <f t="array" aca="1" ref="L2686" ca="1">Availability_of_seating_3</f>
        <v>7.5700000000000003E-3</v>
      </c>
      <c r="M2686" s="192" cm="1">
        <f t="array" aca="1" ref="M2686" ca="1">Availability_of_seating_4</f>
        <v>3.32E-3</v>
      </c>
      <c r="N2686" s="192" cm="1">
        <f t="array" aca="1" ref="N2686" ca="1">Availability_of_seating_5</f>
        <v>1.1268161465969239E-3</v>
      </c>
    </row>
    <row r="2687" spans="9:14" ht="15.95" customHeight="1" x14ac:dyDescent="0.25">
      <c r="J2687" s="192"/>
      <c r="K2687" s="192"/>
      <c r="L2687" s="192"/>
      <c r="M2687" s="192"/>
      <c r="N2687" s="192"/>
    </row>
    <row r="2688" spans="9:14" ht="15.95" customHeight="1" x14ac:dyDescent="0.25">
      <c r="J2688" s="192"/>
      <c r="K2688" s="192"/>
      <c r="L2688" s="192"/>
      <c r="M2688" s="192"/>
      <c r="N2688" s="192"/>
    </row>
    <row r="2689" spans="10:14" ht="15.95" customHeight="1" x14ac:dyDescent="0.25">
      <c r="J2689" s="192"/>
      <c r="K2689" s="192"/>
      <c r="L2689" s="192"/>
      <c r="M2689" s="192"/>
      <c r="N2689" s="192"/>
    </row>
    <row r="2690" spans="10:14" ht="15.95" customHeight="1" x14ac:dyDescent="0.25">
      <c r="J2690" s="192"/>
      <c r="K2690" s="192"/>
      <c r="L2690" s="192"/>
      <c r="M2690" s="192"/>
      <c r="N2690" s="192"/>
    </row>
    <row r="2691" spans="10:14" ht="15.95" customHeight="1" x14ac:dyDescent="0.25">
      <c r="J2691" s="192"/>
      <c r="K2691" s="192"/>
      <c r="L2691" s="192"/>
      <c r="M2691" s="192"/>
      <c r="N2691" s="192"/>
    </row>
    <row r="2692" spans="10:14" ht="15.95" customHeight="1" x14ac:dyDescent="0.25">
      <c r="J2692" s="192"/>
      <c r="K2692" s="192"/>
      <c r="L2692" s="192"/>
      <c r="M2692" s="192"/>
      <c r="N2692" s="192"/>
    </row>
    <row r="2693" spans="10:14" ht="15.95" customHeight="1" x14ac:dyDescent="0.25">
      <c r="J2693" s="192"/>
      <c r="K2693" s="192"/>
      <c r="L2693" s="192"/>
      <c r="M2693" s="192"/>
      <c r="N2693" s="192"/>
    </row>
    <row r="2694" spans="10:14" ht="15.95" customHeight="1" x14ac:dyDescent="0.25">
      <c r="J2694" s="192"/>
      <c r="K2694" s="192"/>
      <c r="L2694" s="192"/>
      <c r="M2694" s="192"/>
      <c r="N2694" s="192"/>
    </row>
    <row r="2695" spans="10:14" ht="15.95" customHeight="1" x14ac:dyDescent="0.25">
      <c r="J2695" s="192"/>
      <c r="K2695" s="192"/>
      <c r="L2695" s="192"/>
      <c r="M2695" s="192"/>
      <c r="N2695" s="192"/>
    </row>
    <row r="2696" spans="10:14" ht="15.95" customHeight="1" x14ac:dyDescent="0.25">
      <c r="J2696" s="192"/>
      <c r="K2696" s="192"/>
      <c r="L2696" s="192"/>
      <c r="M2696" s="192"/>
      <c r="N2696" s="192"/>
    </row>
    <row r="2697" spans="10:14" ht="15.95" customHeight="1" x14ac:dyDescent="0.25">
      <c r="J2697" s="192"/>
      <c r="K2697" s="192"/>
      <c r="L2697" s="192"/>
      <c r="M2697" s="192"/>
      <c r="N2697" s="192"/>
    </row>
    <row r="2698" spans="10:14" ht="15.95" customHeight="1" x14ac:dyDescent="0.25">
      <c r="J2698" s="192"/>
      <c r="K2698" s="192"/>
      <c r="L2698" s="192"/>
      <c r="M2698" s="192"/>
      <c r="N2698" s="192"/>
    </row>
    <row r="2699" spans="10:14" ht="15.95" customHeight="1" x14ac:dyDescent="0.25">
      <c r="J2699" s="192"/>
      <c r="K2699" s="192"/>
      <c r="L2699" s="192"/>
      <c r="M2699" s="192"/>
      <c r="N2699" s="192"/>
    </row>
    <row r="2700" spans="10:14" ht="15.95" customHeight="1" x14ac:dyDescent="0.25">
      <c r="J2700" s="192"/>
      <c r="K2700" s="192"/>
      <c r="L2700" s="192"/>
      <c r="M2700" s="192"/>
      <c r="N2700" s="192"/>
    </row>
    <row r="2701" spans="10:14" ht="15.95" customHeight="1" x14ac:dyDescent="0.25">
      <c r="J2701" s="192"/>
      <c r="K2701" s="192"/>
      <c r="L2701" s="192"/>
      <c r="M2701" s="192"/>
      <c r="N2701" s="192"/>
    </row>
    <row r="2702" spans="10:14" ht="15.95" customHeight="1" x14ac:dyDescent="0.25">
      <c r="J2702" s="192"/>
      <c r="K2702" s="192"/>
      <c r="L2702" s="192"/>
      <c r="M2702" s="192"/>
      <c r="N2702" s="192"/>
    </row>
    <row r="2703" spans="10:14" ht="15.95" customHeight="1" x14ac:dyDescent="0.25">
      <c r="J2703" s="192"/>
      <c r="K2703" s="192"/>
      <c r="L2703" s="192"/>
      <c r="M2703" s="192"/>
      <c r="N2703" s="192"/>
    </row>
    <row r="2704" spans="10:14" ht="15.95" customHeight="1" x14ac:dyDescent="0.25">
      <c r="J2704" s="192"/>
      <c r="K2704" s="192"/>
      <c r="L2704" s="192"/>
      <c r="M2704" s="192"/>
      <c r="N2704" s="192"/>
    </row>
    <row r="2705" spans="10:14" ht="15.95" customHeight="1" x14ac:dyDescent="0.25">
      <c r="J2705" s="192"/>
      <c r="K2705" s="192"/>
      <c r="L2705" s="192"/>
      <c r="M2705" s="192"/>
      <c r="N2705" s="192"/>
    </row>
    <row r="2706" spans="10:14" ht="15.95" customHeight="1" x14ac:dyDescent="0.25">
      <c r="J2706" s="192"/>
      <c r="K2706" s="192"/>
      <c r="L2706" s="192"/>
      <c r="M2706" s="192"/>
      <c r="N2706" s="192"/>
    </row>
    <row r="2707" spans="10:14" ht="15.95" customHeight="1" x14ac:dyDescent="0.25">
      <c r="J2707" s="192"/>
      <c r="K2707" s="192"/>
      <c r="L2707" s="192"/>
      <c r="M2707" s="192"/>
      <c r="N2707" s="192"/>
    </row>
    <row r="2708" spans="10:14" ht="15.95" customHeight="1" x14ac:dyDescent="0.25">
      <c r="J2708" s="192"/>
      <c r="K2708" s="192"/>
      <c r="L2708" s="192"/>
      <c r="M2708" s="192"/>
      <c r="N2708" s="192"/>
    </row>
    <row r="2709" spans="10:14" ht="15.95" customHeight="1" x14ac:dyDescent="0.25">
      <c r="J2709" s="192"/>
      <c r="K2709" s="192"/>
      <c r="L2709" s="192"/>
      <c r="M2709" s="192"/>
      <c r="N2709" s="192"/>
    </row>
    <row r="2710" spans="10:14" ht="15.95" customHeight="1" x14ac:dyDescent="0.25">
      <c r="J2710" s="192"/>
      <c r="K2710" s="192"/>
      <c r="L2710" s="192"/>
      <c r="M2710" s="192"/>
      <c r="N2710" s="192"/>
    </row>
    <row r="2711" spans="10:14" ht="15.95" customHeight="1" x14ac:dyDescent="0.25">
      <c r="J2711" s="192"/>
      <c r="K2711" s="192"/>
      <c r="L2711" s="192"/>
      <c r="M2711" s="192"/>
      <c r="N2711" s="192"/>
    </row>
    <row r="2712" spans="10:14" ht="15.95" customHeight="1" x14ac:dyDescent="0.25">
      <c r="J2712" s="192"/>
      <c r="K2712" s="192"/>
      <c r="L2712" s="192"/>
      <c r="M2712" s="192"/>
      <c r="N2712" s="192"/>
    </row>
    <row r="2713" spans="10:14" ht="15.95" customHeight="1" x14ac:dyDescent="0.25">
      <c r="J2713" s="192"/>
      <c r="K2713" s="192"/>
      <c r="L2713" s="192"/>
      <c r="M2713" s="192"/>
      <c r="N2713" s="192"/>
    </row>
    <row r="2714" spans="10:14" ht="15.95" customHeight="1" x14ac:dyDescent="0.25">
      <c r="J2714" s="192"/>
      <c r="K2714" s="192"/>
      <c r="L2714" s="192"/>
      <c r="M2714" s="192"/>
      <c r="N2714" s="192"/>
    </row>
    <row r="2715" spans="10:14" ht="15.95" customHeight="1" x14ac:dyDescent="0.25">
      <c r="J2715" s="192"/>
      <c r="K2715" s="192"/>
      <c r="L2715" s="192"/>
      <c r="M2715" s="192"/>
      <c r="N2715" s="192"/>
    </row>
    <row r="2716" spans="10:14" ht="15.95" customHeight="1" x14ac:dyDescent="0.25">
      <c r="J2716" s="192"/>
      <c r="K2716" s="192"/>
      <c r="L2716" s="192"/>
      <c r="M2716" s="192"/>
      <c r="N2716" s="192"/>
    </row>
    <row r="2717" spans="10:14" ht="15.95" customHeight="1" x14ac:dyDescent="0.25">
      <c r="J2717" s="192"/>
      <c r="K2717" s="192"/>
      <c r="L2717" s="192"/>
      <c r="M2717" s="192"/>
      <c r="N2717" s="192"/>
    </row>
    <row r="2718" spans="10:14" ht="15.95" customHeight="1" x14ac:dyDescent="0.25">
      <c r="J2718" s="192"/>
      <c r="K2718" s="192"/>
      <c r="L2718" s="192"/>
      <c r="M2718" s="192"/>
      <c r="N2718" s="192"/>
    </row>
    <row r="2719" spans="10:14" ht="15.95" customHeight="1" x14ac:dyDescent="0.25">
      <c r="J2719" s="192"/>
      <c r="K2719" s="192"/>
      <c r="L2719" s="192"/>
      <c r="M2719" s="192"/>
      <c r="N2719" s="192"/>
    </row>
    <row r="2720" spans="10:14" ht="15.95" customHeight="1" x14ac:dyDescent="0.25">
      <c r="J2720" s="192"/>
      <c r="K2720" s="192"/>
      <c r="L2720" s="192"/>
      <c r="M2720" s="192"/>
      <c r="N2720" s="192"/>
    </row>
    <row r="2721" spans="10:14" ht="15.95" customHeight="1" x14ac:dyDescent="0.25">
      <c r="J2721" s="192"/>
      <c r="K2721" s="192"/>
      <c r="L2721" s="192"/>
      <c r="M2721" s="192"/>
      <c r="N2721" s="192"/>
    </row>
    <row r="2722" spans="10:14" ht="15.95" customHeight="1" x14ac:dyDescent="0.25">
      <c r="J2722" s="192"/>
      <c r="K2722" s="192"/>
      <c r="L2722" s="192"/>
      <c r="M2722" s="192"/>
      <c r="N2722" s="192"/>
    </row>
    <row r="2723" spans="10:14" ht="15.95" customHeight="1" x14ac:dyDescent="0.25">
      <c r="J2723" s="192"/>
      <c r="K2723" s="192"/>
      <c r="L2723" s="192"/>
      <c r="M2723" s="192"/>
      <c r="N2723" s="192"/>
    </row>
    <row r="2724" spans="10:14" ht="15.95" customHeight="1" x14ac:dyDescent="0.25">
      <c r="J2724" s="192"/>
      <c r="K2724" s="192"/>
      <c r="L2724" s="192"/>
      <c r="M2724" s="192"/>
      <c r="N2724" s="192"/>
    </row>
    <row r="2725" spans="10:14" ht="15.95" customHeight="1" x14ac:dyDescent="0.25">
      <c r="J2725" s="192"/>
      <c r="K2725" s="192"/>
      <c r="L2725" s="192"/>
      <c r="M2725" s="192"/>
      <c r="N2725" s="192"/>
    </row>
    <row r="2726" spans="10:14" ht="15.95" customHeight="1" x14ac:dyDescent="0.25">
      <c r="J2726" s="192"/>
      <c r="K2726" s="192"/>
      <c r="L2726" s="192"/>
      <c r="M2726" s="192"/>
      <c r="N2726" s="192"/>
    </row>
    <row r="2727" spans="10:14" ht="15.95" customHeight="1" x14ac:dyDescent="0.25">
      <c r="J2727" s="192"/>
      <c r="K2727" s="192"/>
      <c r="L2727" s="192"/>
      <c r="M2727" s="192"/>
      <c r="N2727" s="192"/>
    </row>
    <row r="2728" spans="10:14" ht="15.95" customHeight="1" x14ac:dyDescent="0.25">
      <c r="J2728" s="192"/>
      <c r="K2728" s="192"/>
      <c r="L2728" s="192"/>
      <c r="M2728" s="192"/>
      <c r="N2728" s="192"/>
    </row>
    <row r="2729" spans="10:14" ht="15.95" customHeight="1" x14ac:dyDescent="0.25">
      <c r="J2729" s="192"/>
      <c r="K2729" s="192"/>
      <c r="L2729" s="192"/>
      <c r="M2729" s="192"/>
      <c r="N2729" s="192"/>
    </row>
    <row r="2730" spans="10:14" ht="15.95" customHeight="1" x14ac:dyDescent="0.25">
      <c r="J2730" s="192"/>
      <c r="K2730" s="192"/>
      <c r="L2730" s="192"/>
      <c r="M2730" s="192"/>
      <c r="N2730" s="192"/>
    </row>
    <row r="2731" spans="10:14" ht="15.95" customHeight="1" x14ac:dyDescent="0.25">
      <c r="J2731" s="192"/>
      <c r="K2731" s="192"/>
      <c r="L2731" s="192"/>
      <c r="M2731" s="192"/>
      <c r="N2731" s="192"/>
    </row>
    <row r="2732" spans="10:14" ht="15.95" customHeight="1" x14ac:dyDescent="0.25">
      <c r="J2732" s="192"/>
      <c r="K2732" s="192"/>
      <c r="L2732" s="192"/>
      <c r="M2732" s="192"/>
      <c r="N2732" s="192"/>
    </row>
    <row r="2733" spans="10:14" ht="15.95" customHeight="1" x14ac:dyDescent="0.25">
      <c r="J2733" s="192"/>
      <c r="K2733" s="192"/>
      <c r="L2733" s="192"/>
      <c r="M2733" s="192"/>
      <c r="N2733" s="192"/>
    </row>
    <row r="2734" spans="10:14" ht="15.95" customHeight="1" x14ac:dyDescent="0.25">
      <c r="J2734" s="192"/>
      <c r="K2734" s="192"/>
      <c r="L2734" s="192"/>
      <c r="M2734" s="192"/>
      <c r="N2734" s="192"/>
    </row>
    <row r="2735" spans="10:14" ht="15.95" customHeight="1" x14ac:dyDescent="0.25">
      <c r="J2735" s="192"/>
      <c r="K2735" s="192"/>
      <c r="L2735" s="192"/>
      <c r="M2735" s="192"/>
      <c r="N2735" s="192"/>
    </row>
    <row r="2736" spans="10:14" ht="15.95" customHeight="1" x14ac:dyDescent="0.25">
      <c r="J2736" s="192"/>
      <c r="K2736" s="192"/>
      <c r="L2736" s="192"/>
      <c r="M2736" s="192"/>
      <c r="N2736" s="192"/>
    </row>
    <row r="2737" spans="10:14" ht="15.95" customHeight="1" x14ac:dyDescent="0.25">
      <c r="J2737" s="192"/>
      <c r="K2737" s="192"/>
      <c r="L2737" s="192"/>
      <c r="M2737" s="192"/>
      <c r="N2737" s="192"/>
    </row>
    <row r="2738" spans="10:14" ht="15.95" customHeight="1" x14ac:dyDescent="0.25">
      <c r="J2738" s="192"/>
      <c r="K2738" s="192"/>
      <c r="L2738" s="192"/>
      <c r="M2738" s="192"/>
      <c r="N2738" s="192"/>
    </row>
    <row r="2739" spans="10:14" ht="15.95" customHeight="1" x14ac:dyDescent="0.25">
      <c r="J2739" s="192"/>
      <c r="K2739" s="192"/>
      <c r="L2739" s="192"/>
      <c r="M2739" s="192"/>
      <c r="N2739" s="192"/>
    </row>
    <row r="2740" spans="10:14" ht="15.95" customHeight="1" x14ac:dyDescent="0.25">
      <c r="J2740" s="192"/>
      <c r="K2740" s="192"/>
      <c r="L2740" s="192"/>
      <c r="M2740" s="192"/>
      <c r="N2740" s="192"/>
    </row>
    <row r="2741" spans="10:14" ht="15.95" customHeight="1" x14ac:dyDescent="0.25">
      <c r="J2741" s="192"/>
      <c r="K2741" s="192"/>
      <c r="L2741" s="192"/>
      <c r="M2741" s="192"/>
      <c r="N2741" s="192"/>
    </row>
    <row r="2742" spans="10:14" ht="15.95" customHeight="1" x14ac:dyDescent="0.25">
      <c r="J2742" s="192"/>
      <c r="K2742" s="192"/>
      <c r="L2742" s="192"/>
      <c r="M2742" s="192"/>
      <c r="N2742" s="192"/>
    </row>
    <row r="2743" spans="10:14" ht="15.95" customHeight="1" x14ac:dyDescent="0.25">
      <c r="J2743" s="192"/>
      <c r="K2743" s="192"/>
      <c r="L2743" s="192"/>
      <c r="M2743" s="192"/>
      <c r="N2743" s="192"/>
    </row>
    <row r="2744" spans="10:14" ht="15.95" customHeight="1" x14ac:dyDescent="0.25">
      <c r="J2744" s="192"/>
      <c r="K2744" s="192"/>
      <c r="L2744" s="192"/>
      <c r="M2744" s="192"/>
      <c r="N2744" s="192"/>
    </row>
    <row r="2745" spans="10:14" ht="15.95" customHeight="1" x14ac:dyDescent="0.25">
      <c r="J2745" s="192"/>
      <c r="K2745" s="192"/>
      <c r="L2745" s="192"/>
      <c r="M2745" s="192"/>
      <c r="N2745" s="192"/>
    </row>
    <row r="2746" spans="10:14" ht="15.95" customHeight="1" x14ac:dyDescent="0.25">
      <c r="J2746" s="192"/>
      <c r="K2746" s="192"/>
      <c r="L2746" s="192"/>
      <c r="M2746" s="192"/>
      <c r="N2746" s="192"/>
    </row>
    <row r="2747" spans="10:14" ht="15.95" customHeight="1" x14ac:dyDescent="0.25">
      <c r="J2747" s="192"/>
      <c r="K2747" s="192"/>
      <c r="L2747" s="192"/>
      <c r="M2747" s="192"/>
      <c r="N2747" s="192"/>
    </row>
    <row r="2748" spans="10:14" ht="15.95" customHeight="1" x14ac:dyDescent="0.25">
      <c r="J2748" s="192"/>
      <c r="K2748" s="192"/>
      <c r="L2748" s="192"/>
      <c r="M2748" s="192"/>
      <c r="N2748" s="192"/>
    </row>
    <row r="2749" spans="10:14" ht="15.95" customHeight="1" x14ac:dyDescent="0.25">
      <c r="J2749" s="192"/>
      <c r="K2749" s="192"/>
      <c r="L2749" s="192"/>
      <c r="M2749" s="192"/>
      <c r="N2749" s="192"/>
    </row>
    <row r="2750" spans="10:14" ht="15.95" customHeight="1" x14ac:dyDescent="0.25">
      <c r="J2750" s="192"/>
      <c r="K2750" s="192"/>
      <c r="L2750" s="192"/>
      <c r="M2750" s="192"/>
      <c r="N2750" s="192"/>
    </row>
    <row r="2751" spans="10:14" ht="15.95" customHeight="1" x14ac:dyDescent="0.25">
      <c r="J2751" s="192"/>
      <c r="K2751" s="192"/>
      <c r="L2751" s="192"/>
      <c r="M2751" s="192"/>
      <c r="N2751" s="192"/>
    </row>
    <row r="2752" spans="10:14" ht="15.95" customHeight="1" x14ac:dyDescent="0.25">
      <c r="J2752" s="192"/>
      <c r="K2752" s="192"/>
      <c r="L2752" s="192"/>
      <c r="M2752" s="192"/>
      <c r="N2752" s="192"/>
    </row>
    <row r="2753" spans="10:14" ht="15.95" customHeight="1" x14ac:dyDescent="0.25">
      <c r="J2753" s="192"/>
      <c r="K2753" s="192"/>
      <c r="L2753" s="192"/>
      <c r="M2753" s="192"/>
      <c r="N2753" s="192"/>
    </row>
    <row r="2754" spans="10:14" ht="15.95" customHeight="1" x14ac:dyDescent="0.25">
      <c r="J2754" s="192"/>
      <c r="K2754" s="192"/>
      <c r="L2754" s="192"/>
      <c r="M2754" s="192"/>
      <c r="N2754" s="192"/>
    </row>
    <row r="2755" spans="10:14" ht="15.95" customHeight="1" x14ac:dyDescent="0.25">
      <c r="J2755" s="192"/>
      <c r="K2755" s="192"/>
      <c r="L2755" s="192"/>
      <c r="M2755" s="192"/>
      <c r="N2755" s="192"/>
    </row>
    <row r="2756" spans="10:14" ht="15.95" customHeight="1" x14ac:dyDescent="0.25">
      <c r="J2756" s="192"/>
      <c r="K2756" s="192"/>
      <c r="L2756" s="192"/>
      <c r="M2756" s="192"/>
      <c r="N2756" s="192"/>
    </row>
    <row r="2757" spans="10:14" ht="15.95" customHeight="1" x14ac:dyDescent="0.25">
      <c r="J2757" s="192"/>
      <c r="K2757" s="192"/>
      <c r="L2757" s="192"/>
      <c r="M2757" s="192"/>
      <c r="N2757" s="192"/>
    </row>
    <row r="2758" spans="10:14" ht="15.95" customHeight="1" x14ac:dyDescent="0.25">
      <c r="J2758" s="192"/>
      <c r="K2758" s="192"/>
      <c r="L2758" s="192"/>
      <c r="M2758" s="192"/>
      <c r="N2758" s="192"/>
    </row>
    <row r="2759" spans="10:14" ht="15.95" customHeight="1" x14ac:dyDescent="0.25">
      <c r="J2759" s="192"/>
      <c r="K2759" s="192"/>
      <c r="L2759" s="192"/>
      <c r="M2759" s="192"/>
      <c r="N2759" s="192"/>
    </row>
    <row r="2760" spans="10:14" ht="15.95" customHeight="1" x14ac:dyDescent="0.25">
      <c r="J2760" s="192"/>
      <c r="K2760" s="192"/>
      <c r="L2760" s="192"/>
      <c r="M2760" s="192"/>
      <c r="N2760" s="192"/>
    </row>
    <row r="2761" spans="10:14" ht="15.95" customHeight="1" x14ac:dyDescent="0.25">
      <c r="J2761" s="192"/>
      <c r="K2761" s="192"/>
      <c r="L2761" s="192"/>
      <c r="M2761" s="192"/>
      <c r="N2761" s="192"/>
    </row>
    <row r="2762" spans="10:14" ht="15.95" customHeight="1" x14ac:dyDescent="0.25">
      <c r="J2762" s="192"/>
      <c r="K2762" s="192"/>
      <c r="L2762" s="192"/>
      <c r="M2762" s="192"/>
      <c r="N2762" s="192"/>
    </row>
    <row r="2763" spans="10:14" ht="15.95" customHeight="1" x14ac:dyDescent="0.25">
      <c r="J2763" s="192"/>
      <c r="K2763" s="192"/>
      <c r="L2763" s="192"/>
      <c r="M2763" s="192"/>
      <c r="N2763" s="192"/>
    </row>
    <row r="2764" spans="10:14" ht="15.95" customHeight="1" x14ac:dyDescent="0.25">
      <c r="J2764" s="192"/>
      <c r="K2764" s="192"/>
      <c r="L2764" s="192"/>
      <c r="M2764" s="192"/>
      <c r="N2764" s="192"/>
    </row>
    <row r="2765" spans="10:14" ht="15.95" customHeight="1" x14ac:dyDescent="0.25">
      <c r="J2765" s="192"/>
      <c r="K2765" s="192"/>
      <c r="L2765" s="192"/>
      <c r="M2765" s="192"/>
      <c r="N2765" s="192"/>
    </row>
    <row r="2766" spans="10:14" ht="15.95" customHeight="1" x14ac:dyDescent="0.25">
      <c r="J2766" s="192"/>
      <c r="K2766" s="192"/>
      <c r="L2766" s="192"/>
      <c r="M2766" s="192"/>
      <c r="N2766" s="192"/>
    </row>
    <row r="2767" spans="10:14" ht="15.95" customHeight="1" x14ac:dyDescent="0.25">
      <c r="J2767" s="192"/>
      <c r="K2767" s="192"/>
      <c r="L2767" s="192"/>
      <c r="M2767" s="192"/>
      <c r="N2767" s="192"/>
    </row>
    <row r="2768" spans="10:14" ht="15.95" customHeight="1" x14ac:dyDescent="0.25">
      <c r="J2768" s="192"/>
      <c r="K2768" s="192"/>
      <c r="L2768" s="192"/>
      <c r="M2768" s="192"/>
      <c r="N2768" s="192"/>
    </row>
    <row r="2769" spans="10:14" ht="15.95" customHeight="1" x14ac:dyDescent="0.25">
      <c r="J2769" s="192"/>
      <c r="K2769" s="192"/>
      <c r="L2769" s="192"/>
      <c r="M2769" s="192"/>
      <c r="N2769" s="192"/>
    </row>
    <row r="2770" spans="10:14" ht="15.95" customHeight="1" x14ac:dyDescent="0.25">
      <c r="J2770" s="192"/>
      <c r="K2770" s="192"/>
      <c r="L2770" s="192"/>
      <c r="M2770" s="192"/>
      <c r="N2770" s="192"/>
    </row>
    <row r="2771" spans="10:14" ht="15.95" customHeight="1" x14ac:dyDescent="0.25">
      <c r="J2771" s="192"/>
      <c r="K2771" s="192"/>
      <c r="L2771" s="192"/>
      <c r="M2771" s="192"/>
      <c r="N2771" s="192"/>
    </row>
    <row r="2772" spans="10:14" ht="15.95" customHeight="1" x14ac:dyDescent="0.25">
      <c r="J2772" s="192"/>
      <c r="K2772" s="192"/>
      <c r="L2772" s="192"/>
      <c r="M2772" s="192"/>
      <c r="N2772" s="192"/>
    </row>
    <row r="2773" spans="10:14" ht="15.95" customHeight="1" x14ac:dyDescent="0.25">
      <c r="J2773" s="192"/>
      <c r="K2773" s="192"/>
      <c r="L2773" s="192"/>
      <c r="M2773" s="192"/>
      <c r="N2773" s="192"/>
    </row>
    <row r="2774" spans="10:14" ht="15.95" customHeight="1" x14ac:dyDescent="0.25">
      <c r="J2774" s="192"/>
      <c r="K2774" s="192"/>
      <c r="L2774" s="192"/>
      <c r="M2774" s="192"/>
      <c r="N2774" s="192"/>
    </row>
    <row r="2775" spans="10:14" ht="15.95" customHeight="1" x14ac:dyDescent="0.25">
      <c r="J2775" s="192"/>
      <c r="K2775" s="192"/>
      <c r="L2775" s="192"/>
      <c r="M2775" s="192"/>
      <c r="N2775" s="192"/>
    </row>
    <row r="2776" spans="10:14" ht="15.95" customHeight="1" x14ac:dyDescent="0.25">
      <c r="J2776" s="192"/>
      <c r="K2776" s="192"/>
      <c r="L2776" s="192"/>
      <c r="M2776" s="192"/>
      <c r="N2776" s="192"/>
    </row>
    <row r="2777" spans="10:14" ht="15.95" customHeight="1" x14ac:dyDescent="0.25">
      <c r="J2777" s="192"/>
      <c r="K2777" s="192"/>
      <c r="L2777" s="192"/>
      <c r="M2777" s="192"/>
      <c r="N2777" s="192"/>
    </row>
    <row r="2778" spans="10:14" ht="15.95" customHeight="1" x14ac:dyDescent="0.25">
      <c r="J2778" s="192"/>
      <c r="K2778" s="192"/>
      <c r="L2778" s="192"/>
      <c r="M2778" s="192"/>
      <c r="N2778" s="192"/>
    </row>
    <row r="2779" spans="10:14" ht="15.95" customHeight="1" x14ac:dyDescent="0.25">
      <c r="J2779" s="192"/>
      <c r="K2779" s="192"/>
      <c r="L2779" s="192"/>
      <c r="M2779" s="192"/>
      <c r="N2779" s="192"/>
    </row>
    <row r="2780" spans="10:14" ht="15.95" customHeight="1" x14ac:dyDescent="0.25">
      <c r="J2780" s="192"/>
      <c r="K2780" s="192"/>
      <c r="L2780" s="192"/>
      <c r="M2780" s="192"/>
      <c r="N2780" s="192"/>
    </row>
    <row r="2781" spans="10:14" ht="15.95" customHeight="1" x14ac:dyDescent="0.25">
      <c r="J2781" s="192"/>
      <c r="K2781" s="192"/>
      <c r="L2781" s="192"/>
      <c r="M2781" s="192"/>
      <c r="N2781" s="192"/>
    </row>
    <row r="2782" spans="10:14" ht="15.95" customHeight="1" x14ac:dyDescent="0.25">
      <c r="J2782" s="192"/>
      <c r="K2782" s="192"/>
      <c r="L2782" s="192"/>
      <c r="M2782" s="192"/>
      <c r="N2782" s="192"/>
    </row>
    <row r="2783" spans="10:14" ht="15.95" customHeight="1" x14ac:dyDescent="0.25">
      <c r="J2783" s="192"/>
      <c r="K2783" s="192"/>
      <c r="L2783" s="192"/>
      <c r="M2783" s="192"/>
      <c r="N2783" s="192"/>
    </row>
    <row r="2784" spans="10:14" ht="15.95" customHeight="1" x14ac:dyDescent="0.25">
      <c r="J2784" s="192"/>
      <c r="K2784" s="192"/>
      <c r="L2784" s="192"/>
      <c r="M2784" s="192"/>
      <c r="N2784" s="192"/>
    </row>
    <row r="2785" spans="10:14" ht="15.95" customHeight="1" x14ac:dyDescent="0.25">
      <c r="J2785" s="192"/>
      <c r="K2785" s="192"/>
      <c r="L2785" s="192"/>
      <c r="M2785" s="192"/>
      <c r="N2785" s="192"/>
    </row>
    <row r="2786" spans="10:14" ht="15.95" customHeight="1" x14ac:dyDescent="0.25">
      <c r="J2786" s="192"/>
      <c r="K2786" s="192"/>
      <c r="L2786" s="192"/>
      <c r="M2786" s="192"/>
      <c r="N2786" s="192"/>
    </row>
    <row r="2787" spans="10:14" ht="15.95" customHeight="1" x14ac:dyDescent="0.25">
      <c r="J2787" s="192"/>
      <c r="K2787" s="192"/>
      <c r="L2787" s="192"/>
      <c r="M2787" s="192"/>
      <c r="N2787" s="192"/>
    </row>
    <row r="2788" spans="10:14" ht="15.95" customHeight="1" x14ac:dyDescent="0.25">
      <c r="J2788" s="192"/>
      <c r="K2788" s="192"/>
      <c r="L2788" s="192"/>
      <c r="M2788" s="192"/>
      <c r="N2788" s="192"/>
    </row>
    <row r="2789" spans="10:14" ht="15.95" customHeight="1" x14ac:dyDescent="0.25">
      <c r="J2789" s="192"/>
      <c r="K2789" s="192"/>
      <c r="L2789" s="192"/>
      <c r="M2789" s="192"/>
      <c r="N2789" s="192"/>
    </row>
    <row r="2790" spans="10:14" ht="15.95" customHeight="1" x14ac:dyDescent="0.25">
      <c r="J2790" s="192"/>
      <c r="K2790" s="192"/>
      <c r="L2790" s="192"/>
      <c r="M2790" s="192"/>
      <c r="N2790" s="192"/>
    </row>
    <row r="2791" spans="10:14" ht="15.95" customHeight="1" x14ac:dyDescent="0.25">
      <c r="J2791" s="192"/>
      <c r="K2791" s="192"/>
      <c r="L2791" s="192"/>
      <c r="M2791" s="192"/>
      <c r="N2791" s="192"/>
    </row>
    <row r="2792" spans="10:14" ht="15.95" customHeight="1" x14ac:dyDescent="0.25">
      <c r="J2792" s="192"/>
      <c r="K2792" s="192"/>
      <c r="L2792" s="192"/>
      <c r="M2792" s="192"/>
      <c r="N2792" s="192"/>
    </row>
    <row r="2793" spans="10:14" ht="15.95" customHeight="1" x14ac:dyDescent="0.25">
      <c r="J2793" s="192"/>
      <c r="K2793" s="192"/>
      <c r="L2793" s="192"/>
      <c r="M2793" s="192"/>
      <c r="N2793" s="192"/>
    </row>
    <row r="2794" spans="10:14" ht="15.95" customHeight="1" x14ac:dyDescent="0.25">
      <c r="J2794" s="192"/>
      <c r="K2794" s="192"/>
      <c r="L2794" s="192"/>
      <c r="M2794" s="192"/>
      <c r="N2794" s="192"/>
    </row>
    <row r="2795" spans="10:14" ht="15.95" customHeight="1" x14ac:dyDescent="0.25">
      <c r="J2795" s="192"/>
      <c r="K2795" s="192"/>
      <c r="L2795" s="192"/>
      <c r="M2795" s="192"/>
      <c r="N2795" s="192"/>
    </row>
    <row r="2796" spans="10:14" ht="15.95" customHeight="1" x14ac:dyDescent="0.25">
      <c r="J2796" s="192"/>
      <c r="K2796" s="192"/>
      <c r="L2796" s="192"/>
      <c r="M2796" s="192"/>
      <c r="N2796" s="192"/>
    </row>
    <row r="2797" spans="10:14" ht="15.95" customHeight="1" x14ac:dyDescent="0.25">
      <c r="J2797" s="192"/>
      <c r="K2797" s="192"/>
      <c r="L2797" s="192"/>
      <c r="M2797" s="192"/>
      <c r="N2797" s="192"/>
    </row>
    <row r="2798" spans="10:14" ht="15.95" customHeight="1" x14ac:dyDescent="0.25"/>
    <row r="2799" spans="10:14" ht="15.95" customHeight="1" x14ac:dyDescent="0.25"/>
    <row r="2800" spans="10:14" ht="32.1" customHeight="1" x14ac:dyDescent="0.25">
      <c r="J2800" s="235" t="str">
        <f>ComparisonData!OC2</f>
        <v>SECTION B: OUR STAFF, SERVICES &amp; FACILITIES</v>
      </c>
      <c r="K2800" s="236"/>
      <c r="L2800" s="236"/>
      <c r="M2800" s="236"/>
      <c r="N2800" s="237"/>
    </row>
    <row r="2801" spans="9:14" ht="32.1" customHeight="1" x14ac:dyDescent="0.25">
      <c r="J2801" s="235" t="str">
        <f>ComparisonData!OC3</f>
        <v>7 (a) Please rate how satisfied you are with the following services.</v>
      </c>
      <c r="K2801" s="236"/>
      <c r="L2801" s="236"/>
      <c r="M2801" s="236"/>
      <c r="N2801" s="237"/>
    </row>
    <row r="2802" spans="9:14" ht="32.1" customHeight="1" x14ac:dyDescent="0.25">
      <c r="J2802" s="235" t="str">
        <f>ComparisonData!OC4</f>
        <v>Quality of our paper catalogues</v>
      </c>
      <c r="K2802" s="236"/>
      <c r="L2802" s="236"/>
      <c r="M2802" s="236"/>
      <c r="N2802" s="237"/>
    </row>
    <row r="2803" spans="9:14" ht="32.1" customHeight="1" x14ac:dyDescent="0.25">
      <c r="J2803" s="185" t="str">
        <f>ComparisonData!OH5</f>
        <v>Very satisfied</v>
      </c>
      <c r="K2803" s="185" t="str">
        <f>ComparisonData!OI5</f>
        <v>Satisfied</v>
      </c>
      <c r="L2803" s="185" t="str">
        <f>ComparisonData!OJ5</f>
        <v>Neither</v>
      </c>
      <c r="M2803" s="185" t="str">
        <f>ComparisonData!OK5</f>
        <v>Not very satisfied</v>
      </c>
      <c r="N2803" s="185" t="str">
        <f>ComparisonData!OL5</f>
        <v>Not at all satisfied</v>
      </c>
    </row>
    <row r="2804" spans="9:14" ht="15.95" customHeight="1" x14ac:dyDescent="0.25">
      <c r="I2804" s="188" t="str" cm="1">
        <f t="array" aca="1" ref="I2804" ca="1">Quality_of_our_paper_catalogues_lbl</f>
        <v>TOTAL</v>
      </c>
      <c r="J2804" s="192" cm="1">
        <f t="array" aca="1" ref="J2804" ca="1">Quality_of_our_paper_catalogues_1</f>
        <v>0.73585</v>
      </c>
      <c r="K2804" s="192" cm="1">
        <f t="array" aca="1" ref="K2804" ca="1">Quality_of_our_paper_catalogues_2</f>
        <v>0.21784999999999999</v>
      </c>
      <c r="L2804" s="192" cm="1">
        <f t="array" aca="1" ref="L2804" ca="1">Quality_of_our_paper_catalogues_3</f>
        <v>3.0450000000000001E-2</v>
      </c>
      <c r="M2804" s="192" cm="1">
        <f t="array" aca="1" ref="M2804" ca="1">Quality_of_our_paper_catalogues_4</f>
        <v>1.3849999999999999E-2</v>
      </c>
      <c r="N2804" s="192" cm="1">
        <f t="array" aca="1" ref="N2804" ca="1">Quality_of_our_paper_catalogues_5</f>
        <v>2.0021400002681825E-3</v>
      </c>
    </row>
    <row r="2805" spans="9:14" ht="15.95" customHeight="1" x14ac:dyDescent="0.25">
      <c r="J2805" s="192"/>
      <c r="K2805" s="192"/>
      <c r="L2805" s="192"/>
      <c r="M2805" s="192"/>
      <c r="N2805" s="192"/>
    </row>
    <row r="2806" spans="9:14" ht="15.95" customHeight="1" x14ac:dyDescent="0.25">
      <c r="J2806" s="192"/>
      <c r="K2806" s="192"/>
      <c r="L2806" s="192"/>
      <c r="M2806" s="192"/>
      <c r="N2806" s="192"/>
    </row>
    <row r="2807" spans="9:14" ht="15.95" customHeight="1" x14ac:dyDescent="0.25">
      <c r="J2807" s="192"/>
      <c r="K2807" s="192"/>
      <c r="L2807" s="192"/>
      <c r="M2807" s="192"/>
      <c r="N2807" s="192"/>
    </row>
    <row r="2808" spans="9:14" ht="15.95" customHeight="1" x14ac:dyDescent="0.25">
      <c r="J2808" s="192"/>
      <c r="K2808" s="192"/>
      <c r="L2808" s="192"/>
      <c r="M2808" s="192"/>
      <c r="N2808" s="192"/>
    </row>
    <row r="2809" spans="9:14" ht="15.95" customHeight="1" x14ac:dyDescent="0.25">
      <c r="J2809" s="192"/>
      <c r="K2809" s="192"/>
      <c r="L2809" s="192"/>
      <c r="M2809" s="192"/>
      <c r="N2809" s="192"/>
    </row>
    <row r="2810" spans="9:14" ht="15.95" customHeight="1" x14ac:dyDescent="0.25">
      <c r="J2810" s="192"/>
      <c r="K2810" s="192"/>
      <c r="L2810" s="192"/>
      <c r="M2810" s="192"/>
      <c r="N2810" s="192"/>
    </row>
    <row r="2811" spans="9:14" ht="15.95" customHeight="1" x14ac:dyDescent="0.25">
      <c r="J2811" s="192"/>
      <c r="K2811" s="192"/>
      <c r="L2811" s="192"/>
      <c r="M2811" s="192"/>
      <c r="N2811" s="192"/>
    </row>
    <row r="2812" spans="9:14" ht="15.95" customHeight="1" x14ac:dyDescent="0.25">
      <c r="J2812" s="192"/>
      <c r="K2812" s="192"/>
      <c r="L2812" s="192"/>
      <c r="M2812" s="192"/>
      <c r="N2812" s="192"/>
    </row>
    <row r="2813" spans="9:14" ht="15.95" customHeight="1" x14ac:dyDescent="0.25">
      <c r="J2813" s="192"/>
      <c r="K2813" s="192"/>
      <c r="L2813" s="192"/>
      <c r="M2813" s="192"/>
      <c r="N2813" s="192"/>
    </row>
    <row r="2814" spans="9:14" ht="15.95" customHeight="1" x14ac:dyDescent="0.25">
      <c r="J2814" s="192"/>
      <c r="K2814" s="192"/>
      <c r="L2814" s="192"/>
      <c r="M2814" s="192"/>
      <c r="N2814" s="192"/>
    </row>
    <row r="2815" spans="9:14" ht="15.95" customHeight="1" x14ac:dyDescent="0.25">
      <c r="J2815" s="192"/>
      <c r="K2815" s="192"/>
      <c r="L2815" s="192"/>
      <c r="M2815" s="192"/>
      <c r="N2815" s="192"/>
    </row>
    <row r="2816" spans="9:14" ht="15.95" customHeight="1" x14ac:dyDescent="0.25">
      <c r="J2816" s="192"/>
      <c r="K2816" s="192"/>
      <c r="L2816" s="192"/>
      <c r="M2816" s="192"/>
      <c r="N2816" s="192"/>
    </row>
    <row r="2817" spans="10:14" ht="15.95" customHeight="1" x14ac:dyDescent="0.25">
      <c r="J2817" s="192"/>
      <c r="K2817" s="192"/>
      <c r="L2817" s="192"/>
      <c r="M2817" s="192"/>
      <c r="N2817" s="192"/>
    </row>
    <row r="2818" spans="10:14" ht="15.95" customHeight="1" x14ac:dyDescent="0.25">
      <c r="J2818" s="192"/>
      <c r="K2818" s="192"/>
      <c r="L2818" s="192"/>
      <c r="M2818" s="192"/>
      <c r="N2818" s="192"/>
    </row>
    <row r="2819" spans="10:14" ht="15.95" customHeight="1" x14ac:dyDescent="0.25">
      <c r="J2819" s="192"/>
      <c r="K2819" s="192"/>
      <c r="L2819" s="192"/>
      <c r="M2819" s="192"/>
      <c r="N2819" s="192"/>
    </row>
    <row r="2820" spans="10:14" ht="15.95" customHeight="1" x14ac:dyDescent="0.25">
      <c r="J2820" s="192"/>
      <c r="K2820" s="192"/>
      <c r="L2820" s="192"/>
      <c r="M2820" s="192"/>
      <c r="N2820" s="192"/>
    </row>
    <row r="2821" spans="10:14" ht="15.95" customHeight="1" x14ac:dyDescent="0.25">
      <c r="J2821" s="192"/>
      <c r="K2821" s="192"/>
      <c r="L2821" s="192"/>
      <c r="M2821" s="192"/>
      <c r="N2821" s="192"/>
    </row>
    <row r="2822" spans="10:14" ht="15.95" customHeight="1" x14ac:dyDescent="0.25">
      <c r="J2822" s="192"/>
      <c r="K2822" s="192"/>
      <c r="L2822" s="192"/>
      <c r="M2822" s="192"/>
      <c r="N2822" s="192"/>
    </row>
    <row r="2823" spans="10:14" ht="15.95" customHeight="1" x14ac:dyDescent="0.25">
      <c r="J2823" s="192"/>
      <c r="K2823" s="192"/>
      <c r="L2823" s="192"/>
      <c r="M2823" s="192"/>
      <c r="N2823" s="192"/>
    </row>
    <row r="2824" spans="10:14" ht="15.95" customHeight="1" x14ac:dyDescent="0.25">
      <c r="J2824" s="192"/>
      <c r="K2824" s="192"/>
      <c r="L2824" s="192"/>
      <c r="M2824" s="192"/>
      <c r="N2824" s="192"/>
    </row>
    <row r="2825" spans="10:14" ht="15.95" customHeight="1" x14ac:dyDescent="0.25">
      <c r="J2825" s="192"/>
      <c r="K2825" s="192"/>
      <c r="L2825" s="192"/>
      <c r="M2825" s="192"/>
      <c r="N2825" s="192"/>
    </row>
    <row r="2826" spans="10:14" ht="15.95" customHeight="1" x14ac:dyDescent="0.25">
      <c r="J2826" s="192"/>
      <c r="K2826" s="192"/>
      <c r="L2826" s="192"/>
      <c r="M2826" s="192"/>
      <c r="N2826" s="192"/>
    </row>
    <row r="2827" spans="10:14" ht="15.95" customHeight="1" x14ac:dyDescent="0.25">
      <c r="J2827" s="192"/>
      <c r="K2827" s="192"/>
      <c r="L2827" s="192"/>
      <c r="M2827" s="192"/>
      <c r="N2827" s="192"/>
    </row>
    <row r="2828" spans="10:14" ht="15.95" customHeight="1" x14ac:dyDescent="0.25">
      <c r="J2828" s="192"/>
      <c r="K2828" s="192"/>
      <c r="L2828" s="192"/>
      <c r="M2828" s="192"/>
      <c r="N2828" s="192"/>
    </row>
    <row r="2829" spans="10:14" ht="15.95" customHeight="1" x14ac:dyDescent="0.25">
      <c r="J2829" s="192"/>
      <c r="K2829" s="192"/>
      <c r="L2829" s="192"/>
      <c r="M2829" s="192"/>
      <c r="N2829" s="192"/>
    </row>
    <row r="2830" spans="10:14" ht="15.95" customHeight="1" x14ac:dyDescent="0.25">
      <c r="J2830" s="192"/>
      <c r="K2830" s="192"/>
      <c r="L2830" s="192"/>
      <c r="M2830" s="192"/>
      <c r="N2830" s="192"/>
    </row>
    <row r="2831" spans="10:14" ht="15.95" customHeight="1" x14ac:dyDescent="0.25">
      <c r="J2831" s="192"/>
      <c r="K2831" s="192"/>
      <c r="L2831" s="192"/>
      <c r="M2831" s="192"/>
      <c r="N2831" s="192"/>
    </row>
    <row r="2832" spans="10:14" ht="15.95" customHeight="1" x14ac:dyDescent="0.25">
      <c r="J2832" s="192"/>
      <c r="K2832" s="192"/>
      <c r="L2832" s="192"/>
      <c r="M2832" s="192"/>
      <c r="N2832" s="192"/>
    </row>
    <row r="2833" spans="10:14" ht="15.95" customHeight="1" x14ac:dyDescent="0.25">
      <c r="J2833" s="192"/>
      <c r="K2833" s="192"/>
      <c r="L2833" s="192"/>
      <c r="M2833" s="192"/>
      <c r="N2833" s="192"/>
    </row>
    <row r="2834" spans="10:14" ht="15.95" customHeight="1" x14ac:dyDescent="0.25">
      <c r="J2834" s="192"/>
      <c r="K2834" s="192"/>
      <c r="L2834" s="192"/>
      <c r="M2834" s="192"/>
      <c r="N2834" s="192"/>
    </row>
    <row r="2835" spans="10:14" ht="15.95" customHeight="1" x14ac:dyDescent="0.25">
      <c r="J2835" s="192"/>
      <c r="K2835" s="192"/>
      <c r="L2835" s="192"/>
      <c r="M2835" s="192"/>
      <c r="N2835" s="192"/>
    </row>
    <row r="2836" spans="10:14" ht="15.95" customHeight="1" x14ac:dyDescent="0.25">
      <c r="J2836" s="192"/>
      <c r="K2836" s="192"/>
      <c r="L2836" s="192"/>
      <c r="M2836" s="192"/>
      <c r="N2836" s="192"/>
    </row>
    <row r="2837" spans="10:14" ht="15.95" customHeight="1" x14ac:dyDescent="0.25">
      <c r="J2837" s="192"/>
      <c r="K2837" s="192"/>
      <c r="L2837" s="192"/>
      <c r="M2837" s="192"/>
      <c r="N2837" s="192"/>
    </row>
    <row r="2838" spans="10:14" ht="15.95" customHeight="1" x14ac:dyDescent="0.25">
      <c r="J2838" s="192"/>
      <c r="K2838" s="192"/>
      <c r="L2838" s="192"/>
      <c r="M2838" s="192"/>
      <c r="N2838" s="192"/>
    </row>
    <row r="2839" spans="10:14" ht="15.95" customHeight="1" x14ac:dyDescent="0.25">
      <c r="J2839" s="192"/>
      <c r="K2839" s="192"/>
      <c r="L2839" s="192"/>
      <c r="M2839" s="192"/>
      <c r="N2839" s="192"/>
    </row>
    <row r="2840" spans="10:14" ht="15.95" customHeight="1" x14ac:dyDescent="0.25">
      <c r="J2840" s="192"/>
      <c r="K2840" s="192"/>
      <c r="L2840" s="192"/>
      <c r="M2840" s="192"/>
      <c r="N2840" s="192"/>
    </row>
    <row r="2841" spans="10:14" ht="15.95" customHeight="1" x14ac:dyDescent="0.25">
      <c r="J2841" s="192"/>
      <c r="K2841" s="192"/>
      <c r="L2841" s="192"/>
      <c r="M2841" s="192"/>
      <c r="N2841" s="192"/>
    </row>
    <row r="2842" spans="10:14" ht="15.95" customHeight="1" x14ac:dyDescent="0.25">
      <c r="J2842" s="192"/>
      <c r="K2842" s="192"/>
      <c r="L2842" s="192"/>
      <c r="M2842" s="192"/>
      <c r="N2842" s="192"/>
    </row>
    <row r="2843" spans="10:14" ht="15.95" customHeight="1" x14ac:dyDescent="0.25">
      <c r="J2843" s="192"/>
      <c r="K2843" s="192"/>
      <c r="L2843" s="192"/>
      <c r="M2843" s="192"/>
      <c r="N2843" s="192"/>
    </row>
    <row r="2844" spans="10:14" ht="15.95" customHeight="1" x14ac:dyDescent="0.25">
      <c r="J2844" s="192"/>
      <c r="K2844" s="192"/>
      <c r="L2844" s="192"/>
      <c r="M2844" s="192"/>
      <c r="N2844" s="192"/>
    </row>
    <row r="2845" spans="10:14" ht="15.95" customHeight="1" x14ac:dyDescent="0.25">
      <c r="J2845" s="192"/>
      <c r="K2845" s="192"/>
      <c r="L2845" s="192"/>
      <c r="M2845" s="192"/>
      <c r="N2845" s="192"/>
    </row>
    <row r="2846" spans="10:14" ht="15.95" customHeight="1" x14ac:dyDescent="0.25">
      <c r="J2846" s="192"/>
      <c r="K2846" s="192"/>
      <c r="L2846" s="192"/>
      <c r="M2846" s="192"/>
      <c r="N2846" s="192"/>
    </row>
    <row r="2847" spans="10:14" ht="15.95" customHeight="1" x14ac:dyDescent="0.25">
      <c r="J2847" s="192"/>
      <c r="K2847" s="192"/>
      <c r="L2847" s="192"/>
      <c r="M2847" s="192"/>
      <c r="N2847" s="192"/>
    </row>
    <row r="2848" spans="10:14" ht="15.95" customHeight="1" x14ac:dyDescent="0.25">
      <c r="J2848" s="192"/>
      <c r="K2848" s="192"/>
      <c r="L2848" s="192"/>
      <c r="M2848" s="192"/>
      <c r="N2848" s="192"/>
    </row>
    <row r="2849" spans="10:14" ht="15.95" customHeight="1" x14ac:dyDescent="0.25">
      <c r="J2849" s="192"/>
      <c r="K2849" s="192"/>
      <c r="L2849" s="192"/>
      <c r="M2849" s="192"/>
      <c r="N2849" s="192"/>
    </row>
    <row r="2850" spans="10:14" ht="15.95" customHeight="1" x14ac:dyDescent="0.25">
      <c r="J2850" s="192"/>
      <c r="K2850" s="192"/>
      <c r="L2850" s="192"/>
      <c r="M2850" s="192"/>
      <c r="N2850" s="192"/>
    </row>
    <row r="2851" spans="10:14" ht="15.95" customHeight="1" x14ac:dyDescent="0.25">
      <c r="J2851" s="192"/>
      <c r="K2851" s="192"/>
      <c r="L2851" s="192"/>
      <c r="M2851" s="192"/>
      <c r="N2851" s="192"/>
    </row>
    <row r="2852" spans="10:14" ht="15.95" customHeight="1" x14ac:dyDescent="0.25">
      <c r="J2852" s="192"/>
      <c r="K2852" s="192"/>
      <c r="L2852" s="192"/>
      <c r="M2852" s="192"/>
      <c r="N2852" s="192"/>
    </row>
    <row r="2853" spans="10:14" ht="15.95" customHeight="1" x14ac:dyDescent="0.25">
      <c r="J2853" s="192"/>
      <c r="K2853" s="192"/>
      <c r="L2853" s="192"/>
      <c r="M2853" s="192"/>
      <c r="N2853" s="192"/>
    </row>
    <row r="2854" spans="10:14" ht="15.95" customHeight="1" x14ac:dyDescent="0.25">
      <c r="J2854" s="192"/>
      <c r="K2854" s="192"/>
      <c r="L2854" s="192"/>
      <c r="M2854" s="192"/>
      <c r="N2854" s="192"/>
    </row>
    <row r="2855" spans="10:14" ht="15.95" customHeight="1" x14ac:dyDescent="0.25">
      <c r="J2855" s="192"/>
      <c r="K2855" s="192"/>
      <c r="L2855" s="192"/>
      <c r="M2855" s="192"/>
      <c r="N2855" s="192"/>
    </row>
    <row r="2856" spans="10:14" ht="15.95" customHeight="1" x14ac:dyDescent="0.25">
      <c r="J2856" s="192"/>
      <c r="K2856" s="192"/>
      <c r="L2856" s="192"/>
      <c r="M2856" s="192"/>
      <c r="N2856" s="192"/>
    </row>
    <row r="2857" spans="10:14" ht="15.95" customHeight="1" x14ac:dyDescent="0.25">
      <c r="J2857" s="192"/>
      <c r="K2857" s="192"/>
      <c r="L2857" s="192"/>
      <c r="M2857" s="192"/>
      <c r="N2857" s="192"/>
    </row>
    <row r="2858" spans="10:14" ht="15.95" customHeight="1" x14ac:dyDescent="0.25">
      <c r="J2858" s="192"/>
      <c r="K2858" s="192"/>
      <c r="L2858" s="192"/>
      <c r="M2858" s="192"/>
      <c r="N2858" s="192"/>
    </row>
    <row r="2859" spans="10:14" ht="15.95" customHeight="1" x14ac:dyDescent="0.25">
      <c r="J2859" s="192"/>
      <c r="K2859" s="192"/>
      <c r="L2859" s="192"/>
      <c r="M2859" s="192"/>
      <c r="N2859" s="192"/>
    </row>
    <row r="2860" spans="10:14" ht="15.95" customHeight="1" x14ac:dyDescent="0.25">
      <c r="J2860" s="192"/>
      <c r="K2860" s="192"/>
      <c r="L2860" s="192"/>
      <c r="M2860" s="192"/>
      <c r="N2860" s="192"/>
    </row>
    <row r="2861" spans="10:14" ht="15.95" customHeight="1" x14ac:dyDescent="0.25">
      <c r="J2861" s="192"/>
      <c r="K2861" s="192"/>
      <c r="L2861" s="192"/>
      <c r="M2861" s="192"/>
      <c r="N2861" s="192"/>
    </row>
    <row r="2862" spans="10:14" ht="15.95" customHeight="1" x14ac:dyDescent="0.25">
      <c r="J2862" s="192"/>
      <c r="K2862" s="192"/>
      <c r="L2862" s="192"/>
      <c r="M2862" s="192"/>
      <c r="N2862" s="192"/>
    </row>
    <row r="2863" spans="10:14" ht="15.95" customHeight="1" x14ac:dyDescent="0.25">
      <c r="J2863" s="192"/>
      <c r="K2863" s="192"/>
      <c r="L2863" s="192"/>
      <c r="M2863" s="192"/>
      <c r="N2863" s="192"/>
    </row>
    <row r="2864" spans="10:14" ht="15.95" customHeight="1" x14ac:dyDescent="0.25">
      <c r="J2864" s="192"/>
      <c r="K2864" s="192"/>
      <c r="L2864" s="192"/>
      <c r="M2864" s="192"/>
      <c r="N2864" s="192"/>
    </row>
    <row r="2865" spans="10:14" ht="15.95" customHeight="1" x14ac:dyDescent="0.25">
      <c r="J2865" s="192"/>
      <c r="K2865" s="192"/>
      <c r="L2865" s="192"/>
      <c r="M2865" s="192"/>
      <c r="N2865" s="192"/>
    </row>
    <row r="2866" spans="10:14" ht="15.95" customHeight="1" x14ac:dyDescent="0.25">
      <c r="J2866" s="192"/>
      <c r="K2866" s="192"/>
      <c r="L2866" s="192"/>
      <c r="M2866" s="192"/>
      <c r="N2866" s="192"/>
    </row>
    <row r="2867" spans="10:14" ht="15.95" customHeight="1" x14ac:dyDescent="0.25">
      <c r="J2867" s="192"/>
      <c r="K2867" s="192"/>
      <c r="L2867" s="192"/>
      <c r="M2867" s="192"/>
      <c r="N2867" s="192"/>
    </row>
    <row r="2868" spans="10:14" ht="15.95" customHeight="1" x14ac:dyDescent="0.25">
      <c r="J2868" s="192"/>
      <c r="K2868" s="192"/>
      <c r="L2868" s="192"/>
      <c r="M2868" s="192"/>
      <c r="N2868" s="192"/>
    </row>
    <row r="2869" spans="10:14" ht="15.95" customHeight="1" x14ac:dyDescent="0.25">
      <c r="J2869" s="192"/>
      <c r="K2869" s="192"/>
      <c r="L2869" s="192"/>
      <c r="M2869" s="192"/>
      <c r="N2869" s="192"/>
    </row>
    <row r="2870" spans="10:14" ht="15.95" customHeight="1" x14ac:dyDescent="0.25">
      <c r="J2870" s="192"/>
      <c r="K2870" s="192"/>
      <c r="L2870" s="192"/>
      <c r="M2870" s="192"/>
      <c r="N2870" s="192"/>
    </row>
    <row r="2871" spans="10:14" ht="15.95" customHeight="1" x14ac:dyDescent="0.25">
      <c r="J2871" s="192"/>
      <c r="K2871" s="192"/>
      <c r="L2871" s="192"/>
      <c r="M2871" s="192"/>
      <c r="N2871" s="192"/>
    </row>
    <row r="2872" spans="10:14" ht="15.95" customHeight="1" x14ac:dyDescent="0.25">
      <c r="J2872" s="192"/>
      <c r="K2872" s="192"/>
      <c r="L2872" s="192"/>
      <c r="M2872" s="192"/>
      <c r="N2872" s="192"/>
    </row>
    <row r="2873" spans="10:14" ht="15.95" customHeight="1" x14ac:dyDescent="0.25">
      <c r="J2873" s="192"/>
      <c r="K2873" s="192"/>
      <c r="L2873" s="192"/>
      <c r="M2873" s="192"/>
      <c r="N2873" s="192"/>
    </row>
    <row r="2874" spans="10:14" ht="15.95" customHeight="1" x14ac:dyDescent="0.25">
      <c r="J2874" s="192"/>
      <c r="K2874" s="192"/>
      <c r="L2874" s="192"/>
      <c r="M2874" s="192"/>
      <c r="N2874" s="192"/>
    </row>
    <row r="2875" spans="10:14" ht="15.95" customHeight="1" x14ac:dyDescent="0.25">
      <c r="J2875" s="192"/>
      <c r="K2875" s="192"/>
      <c r="L2875" s="192"/>
      <c r="M2875" s="192"/>
      <c r="N2875" s="192"/>
    </row>
    <row r="2876" spans="10:14" ht="15.95" customHeight="1" x14ac:dyDescent="0.25">
      <c r="J2876" s="192"/>
      <c r="K2876" s="192"/>
      <c r="L2876" s="192"/>
      <c r="M2876" s="192"/>
      <c r="N2876" s="192"/>
    </row>
    <row r="2877" spans="10:14" ht="15.95" customHeight="1" x14ac:dyDescent="0.25">
      <c r="J2877" s="192"/>
      <c r="K2877" s="192"/>
      <c r="L2877" s="192"/>
      <c r="M2877" s="192"/>
      <c r="N2877" s="192"/>
    </row>
    <row r="2878" spans="10:14" ht="15.95" customHeight="1" x14ac:dyDescent="0.25">
      <c r="J2878" s="192"/>
      <c r="K2878" s="192"/>
      <c r="L2878" s="192"/>
      <c r="M2878" s="192"/>
      <c r="N2878" s="192"/>
    </row>
    <row r="2879" spans="10:14" ht="15.95" customHeight="1" x14ac:dyDescent="0.25">
      <c r="J2879" s="192"/>
      <c r="K2879" s="192"/>
      <c r="L2879" s="192"/>
      <c r="M2879" s="192"/>
      <c r="N2879" s="192"/>
    </row>
    <row r="2880" spans="10:14" ht="15.95" customHeight="1" x14ac:dyDescent="0.25">
      <c r="J2880" s="192"/>
      <c r="K2880" s="192"/>
      <c r="L2880" s="192"/>
      <c r="M2880" s="192"/>
      <c r="N2880" s="192"/>
    </row>
    <row r="2881" spans="10:14" ht="15.95" customHeight="1" x14ac:dyDescent="0.25">
      <c r="J2881" s="192"/>
      <c r="K2881" s="192"/>
      <c r="L2881" s="192"/>
      <c r="M2881" s="192"/>
      <c r="N2881" s="192"/>
    </row>
    <row r="2882" spans="10:14" ht="15.95" customHeight="1" x14ac:dyDescent="0.25">
      <c r="J2882" s="192"/>
      <c r="K2882" s="192"/>
      <c r="L2882" s="192"/>
      <c r="M2882" s="192"/>
      <c r="N2882" s="192"/>
    </row>
    <row r="2883" spans="10:14" ht="15.95" customHeight="1" x14ac:dyDescent="0.25">
      <c r="J2883" s="192"/>
      <c r="K2883" s="192"/>
      <c r="L2883" s="192"/>
      <c r="M2883" s="192"/>
      <c r="N2883" s="192"/>
    </row>
    <row r="2884" spans="10:14" ht="15.95" customHeight="1" x14ac:dyDescent="0.25">
      <c r="J2884" s="192"/>
      <c r="K2884" s="192"/>
      <c r="L2884" s="192"/>
      <c r="M2884" s="192"/>
      <c r="N2884" s="192"/>
    </row>
    <row r="2885" spans="10:14" ht="15.95" customHeight="1" x14ac:dyDescent="0.25">
      <c r="J2885" s="192"/>
      <c r="K2885" s="192"/>
      <c r="L2885" s="192"/>
      <c r="M2885" s="192"/>
      <c r="N2885" s="192"/>
    </row>
    <row r="2886" spans="10:14" ht="15.95" customHeight="1" x14ac:dyDescent="0.25">
      <c r="J2886" s="192"/>
      <c r="K2886" s="192"/>
      <c r="L2886" s="192"/>
      <c r="M2886" s="192"/>
      <c r="N2886" s="192"/>
    </row>
    <row r="2887" spans="10:14" ht="15.95" customHeight="1" x14ac:dyDescent="0.25">
      <c r="J2887" s="192"/>
      <c r="K2887" s="192"/>
      <c r="L2887" s="192"/>
      <c r="M2887" s="192"/>
      <c r="N2887" s="192"/>
    </row>
    <row r="2888" spans="10:14" ht="15.95" customHeight="1" x14ac:dyDescent="0.25">
      <c r="J2888" s="192"/>
      <c r="K2888" s="192"/>
      <c r="L2888" s="192"/>
      <c r="M2888" s="192"/>
      <c r="N2888" s="192"/>
    </row>
    <row r="2889" spans="10:14" ht="15.95" customHeight="1" x14ac:dyDescent="0.25">
      <c r="J2889" s="192"/>
      <c r="K2889" s="192"/>
      <c r="L2889" s="192"/>
      <c r="M2889" s="192"/>
      <c r="N2889" s="192"/>
    </row>
    <row r="2890" spans="10:14" ht="15.95" customHeight="1" x14ac:dyDescent="0.25">
      <c r="J2890" s="192"/>
      <c r="K2890" s="192"/>
      <c r="L2890" s="192"/>
      <c r="M2890" s="192"/>
      <c r="N2890" s="192"/>
    </row>
    <row r="2891" spans="10:14" ht="15.95" customHeight="1" x14ac:dyDescent="0.25">
      <c r="J2891" s="192"/>
      <c r="K2891" s="192"/>
      <c r="L2891" s="192"/>
      <c r="M2891" s="192"/>
      <c r="N2891" s="192"/>
    </row>
    <row r="2892" spans="10:14" ht="15.95" customHeight="1" x14ac:dyDescent="0.25">
      <c r="J2892" s="192"/>
      <c r="K2892" s="192"/>
      <c r="L2892" s="192"/>
      <c r="M2892" s="192"/>
      <c r="N2892" s="192"/>
    </row>
    <row r="2893" spans="10:14" ht="15.95" customHeight="1" x14ac:dyDescent="0.25">
      <c r="J2893" s="192"/>
      <c r="K2893" s="192"/>
      <c r="L2893" s="192"/>
      <c r="M2893" s="192"/>
      <c r="N2893" s="192"/>
    </row>
    <row r="2894" spans="10:14" ht="15.95" customHeight="1" x14ac:dyDescent="0.25">
      <c r="J2894" s="192"/>
      <c r="K2894" s="192"/>
      <c r="L2894" s="192"/>
      <c r="M2894" s="192"/>
      <c r="N2894" s="192"/>
    </row>
    <row r="2895" spans="10:14" ht="15.95" customHeight="1" x14ac:dyDescent="0.25">
      <c r="J2895" s="192"/>
      <c r="K2895" s="192"/>
      <c r="L2895" s="192"/>
      <c r="M2895" s="192"/>
      <c r="N2895" s="192"/>
    </row>
    <row r="2896" spans="10:14" ht="15.95" customHeight="1" x14ac:dyDescent="0.25">
      <c r="J2896" s="192"/>
      <c r="K2896" s="192"/>
      <c r="L2896" s="192"/>
      <c r="M2896" s="192"/>
      <c r="N2896" s="192"/>
    </row>
    <row r="2897" spans="10:14" ht="15.95" customHeight="1" x14ac:dyDescent="0.25">
      <c r="J2897" s="192"/>
      <c r="K2897" s="192"/>
      <c r="L2897" s="192"/>
      <c r="M2897" s="192"/>
      <c r="N2897" s="192"/>
    </row>
    <row r="2898" spans="10:14" ht="15.95" customHeight="1" x14ac:dyDescent="0.25">
      <c r="J2898" s="192"/>
      <c r="K2898" s="192"/>
      <c r="L2898" s="192"/>
      <c r="M2898" s="192"/>
      <c r="N2898" s="192"/>
    </row>
    <row r="2899" spans="10:14" ht="15.95" customHeight="1" x14ac:dyDescent="0.25">
      <c r="J2899" s="192"/>
      <c r="K2899" s="192"/>
      <c r="L2899" s="192"/>
      <c r="M2899" s="192"/>
      <c r="N2899" s="192"/>
    </row>
    <row r="2900" spans="10:14" ht="15.95" customHeight="1" x14ac:dyDescent="0.25">
      <c r="J2900" s="192"/>
      <c r="K2900" s="192"/>
      <c r="L2900" s="192"/>
      <c r="M2900" s="192"/>
      <c r="N2900" s="192"/>
    </row>
    <row r="2901" spans="10:14" ht="15.95" customHeight="1" x14ac:dyDescent="0.25">
      <c r="J2901" s="192"/>
      <c r="K2901" s="192"/>
      <c r="L2901" s="192"/>
      <c r="M2901" s="192"/>
      <c r="N2901" s="192"/>
    </row>
    <row r="2902" spans="10:14" ht="15.95" customHeight="1" x14ac:dyDescent="0.25">
      <c r="J2902" s="192"/>
      <c r="K2902" s="192"/>
      <c r="L2902" s="192"/>
      <c r="M2902" s="192"/>
      <c r="N2902" s="192"/>
    </row>
    <row r="2903" spans="10:14" ht="15.95" customHeight="1" x14ac:dyDescent="0.25">
      <c r="J2903" s="192"/>
      <c r="K2903" s="192"/>
      <c r="L2903" s="192"/>
      <c r="M2903" s="192"/>
      <c r="N2903" s="192"/>
    </row>
    <row r="2904" spans="10:14" ht="15.95" customHeight="1" x14ac:dyDescent="0.25">
      <c r="J2904" s="192"/>
      <c r="K2904" s="192"/>
      <c r="L2904" s="192"/>
      <c r="M2904" s="192"/>
      <c r="N2904" s="192"/>
    </row>
    <row r="2905" spans="10:14" ht="15.95" customHeight="1" x14ac:dyDescent="0.25">
      <c r="J2905" s="192"/>
      <c r="K2905" s="192"/>
      <c r="L2905" s="192"/>
      <c r="M2905" s="192"/>
      <c r="N2905" s="192"/>
    </row>
    <row r="2906" spans="10:14" ht="15.95" customHeight="1" x14ac:dyDescent="0.25">
      <c r="J2906" s="192"/>
      <c r="K2906" s="192"/>
      <c r="L2906" s="192"/>
      <c r="M2906" s="192"/>
      <c r="N2906" s="192"/>
    </row>
    <row r="2907" spans="10:14" ht="15.95" customHeight="1" x14ac:dyDescent="0.25">
      <c r="J2907" s="192"/>
      <c r="K2907" s="192"/>
      <c r="L2907" s="192"/>
      <c r="M2907" s="192"/>
      <c r="N2907" s="192"/>
    </row>
    <row r="2908" spans="10:14" ht="15.95" customHeight="1" x14ac:dyDescent="0.25">
      <c r="J2908" s="192"/>
      <c r="K2908" s="192"/>
      <c r="L2908" s="192"/>
      <c r="M2908" s="192"/>
      <c r="N2908" s="192"/>
    </row>
    <row r="2909" spans="10:14" ht="15.95" customHeight="1" x14ac:dyDescent="0.25">
      <c r="J2909" s="192"/>
      <c r="K2909" s="192"/>
      <c r="L2909" s="192"/>
      <c r="M2909" s="192"/>
      <c r="N2909" s="192"/>
    </row>
    <row r="2910" spans="10:14" ht="15.95" customHeight="1" x14ac:dyDescent="0.25">
      <c r="J2910" s="192"/>
      <c r="K2910" s="192"/>
      <c r="L2910" s="192"/>
      <c r="M2910" s="192"/>
      <c r="N2910" s="192"/>
    </row>
    <row r="2911" spans="10:14" ht="15.95" customHeight="1" x14ac:dyDescent="0.25">
      <c r="J2911" s="192"/>
      <c r="K2911" s="192"/>
      <c r="L2911" s="192"/>
      <c r="M2911" s="192"/>
      <c r="N2911" s="192"/>
    </row>
    <row r="2912" spans="10:14" ht="15.95" customHeight="1" x14ac:dyDescent="0.25"/>
    <row r="2913" spans="9:14" ht="15.95" customHeight="1" x14ac:dyDescent="0.25"/>
    <row r="2914" spans="9:14" ht="32.1" customHeight="1" x14ac:dyDescent="0.25">
      <c r="J2914" s="235" t="str">
        <f>ComparisonData!OU2</f>
        <v>SECTION B: OUR STAFF, SERVICES &amp; FACILITIES</v>
      </c>
      <c r="K2914" s="236"/>
      <c r="L2914" s="236"/>
      <c r="M2914" s="236"/>
      <c r="N2914" s="237"/>
    </row>
    <row r="2915" spans="9:14" ht="32.1" customHeight="1" x14ac:dyDescent="0.25">
      <c r="J2915" s="235" t="str">
        <f>ComparisonData!OU3</f>
        <v>7 (a) Please rate how satisfied you are with the following services.</v>
      </c>
      <c r="K2915" s="236"/>
      <c r="L2915" s="236"/>
      <c r="M2915" s="236"/>
      <c r="N2915" s="237"/>
    </row>
    <row r="2916" spans="9:14" ht="32.1" customHeight="1" x14ac:dyDescent="0.25">
      <c r="J2916" s="235" t="str">
        <f>ComparisonData!OU4</f>
        <v>Quality of our other paper resources</v>
      </c>
      <c r="K2916" s="236"/>
      <c r="L2916" s="236"/>
      <c r="M2916" s="236"/>
      <c r="N2916" s="237"/>
    </row>
    <row r="2917" spans="9:14" ht="32.1" customHeight="1" x14ac:dyDescent="0.25">
      <c r="J2917" s="185" t="str">
        <f>ComparisonData!OZ5</f>
        <v>Very satisfied</v>
      </c>
      <c r="K2917" s="185" t="str">
        <f>ComparisonData!PA5</f>
        <v>Satisfied</v>
      </c>
      <c r="L2917" s="185" t="str">
        <f>ComparisonData!PB5</f>
        <v>Neither</v>
      </c>
      <c r="M2917" s="185" t="str">
        <f>ComparisonData!PC5</f>
        <v>Not very satisfied</v>
      </c>
      <c r="N2917" s="185" t="str">
        <f>ComparisonData!PD5</f>
        <v>Not at all satisfied</v>
      </c>
    </row>
    <row r="2918" spans="9:14" ht="15.95" customHeight="1" x14ac:dyDescent="0.25">
      <c r="I2918" s="188" t="str" cm="1">
        <f t="array" aca="1" ref="I2918" ca="1">Quality_of_our_other_paper_resources_lbl</f>
        <v>TOTAL</v>
      </c>
      <c r="J2918" s="192" cm="1">
        <f t="array" aca="1" ref="J2918" ca="1">Quality_of_our_other_paper_resources_1</f>
        <v>0.74673</v>
      </c>
      <c r="K2918" s="192" cm="1">
        <f t="array" aca="1" ref="K2918" ca="1">Quality_of_our_other_paper_resources_2</f>
        <v>0.20773</v>
      </c>
      <c r="L2918" s="192" cm="1">
        <f t="array" aca="1" ref="L2918" ca="1">Quality_of_our_other_paper_resources_3</f>
        <v>4.1270000000000001E-2</v>
      </c>
      <c r="M2918" s="192" cm="1">
        <f t="array" aca="1" ref="M2918" ca="1">Quality_of_our_other_paper_resources_4</f>
        <v>4.0000000000000001E-3</v>
      </c>
      <c r="N2918" s="192" cm="1">
        <f t="array" aca="1" ref="N2918" ca="1">Quality_of_our_other_paper_resources_5</f>
        <v>2.7608512898112528E-4</v>
      </c>
    </row>
    <row r="2919" spans="9:14" ht="15.95" customHeight="1" x14ac:dyDescent="0.25">
      <c r="J2919" s="192"/>
      <c r="K2919" s="192"/>
      <c r="L2919" s="192"/>
      <c r="M2919" s="192"/>
      <c r="N2919" s="192"/>
    </row>
    <row r="2920" spans="9:14" ht="15.95" customHeight="1" x14ac:dyDescent="0.25">
      <c r="J2920" s="192"/>
      <c r="K2920" s="192"/>
      <c r="L2920" s="192"/>
      <c r="M2920" s="192"/>
      <c r="N2920" s="192"/>
    </row>
    <row r="2921" spans="9:14" ht="15.95" customHeight="1" x14ac:dyDescent="0.25">
      <c r="J2921" s="192"/>
      <c r="K2921" s="192"/>
      <c r="L2921" s="192"/>
      <c r="M2921" s="192"/>
      <c r="N2921" s="192"/>
    </row>
    <row r="2922" spans="9:14" ht="15.95" customHeight="1" x14ac:dyDescent="0.25">
      <c r="J2922" s="192"/>
      <c r="K2922" s="192"/>
      <c r="L2922" s="192"/>
      <c r="M2922" s="192"/>
      <c r="N2922" s="192"/>
    </row>
    <row r="2923" spans="9:14" ht="15.95" customHeight="1" x14ac:dyDescent="0.25">
      <c r="J2923" s="192"/>
      <c r="K2923" s="192"/>
      <c r="L2923" s="192"/>
      <c r="M2923" s="192"/>
      <c r="N2923" s="192"/>
    </row>
    <row r="2924" spans="9:14" ht="15.95" customHeight="1" x14ac:dyDescent="0.25">
      <c r="J2924" s="192"/>
      <c r="K2924" s="192"/>
      <c r="L2924" s="192"/>
      <c r="M2924" s="192"/>
      <c r="N2924" s="192"/>
    </row>
    <row r="2925" spans="9:14" ht="15.95" customHeight="1" x14ac:dyDescent="0.25">
      <c r="J2925" s="192"/>
      <c r="K2925" s="192"/>
      <c r="L2925" s="192"/>
      <c r="M2925" s="192"/>
      <c r="N2925" s="192"/>
    </row>
    <row r="2926" spans="9:14" ht="15.95" customHeight="1" x14ac:dyDescent="0.25">
      <c r="J2926" s="192"/>
      <c r="K2926" s="192"/>
      <c r="L2926" s="192"/>
      <c r="M2926" s="192"/>
      <c r="N2926" s="192"/>
    </row>
    <row r="2927" spans="9:14" ht="15.95" customHeight="1" x14ac:dyDescent="0.25">
      <c r="J2927" s="192"/>
      <c r="K2927" s="192"/>
      <c r="L2927" s="192"/>
      <c r="M2927" s="192"/>
      <c r="N2927" s="192"/>
    </row>
    <row r="2928" spans="9:14" ht="15.95" customHeight="1" x14ac:dyDescent="0.25">
      <c r="J2928" s="192"/>
      <c r="K2928" s="192"/>
      <c r="L2928" s="192"/>
      <c r="M2928" s="192"/>
      <c r="N2928" s="192"/>
    </row>
    <row r="2929" spans="10:14" ht="15.95" customHeight="1" x14ac:dyDescent="0.25">
      <c r="J2929" s="192"/>
      <c r="K2929" s="192"/>
      <c r="L2929" s="192"/>
      <c r="M2929" s="192"/>
      <c r="N2929" s="192"/>
    </row>
    <row r="2930" spans="10:14" ht="15.95" customHeight="1" x14ac:dyDescent="0.25">
      <c r="J2930" s="192"/>
      <c r="K2930" s="192"/>
      <c r="L2930" s="192"/>
      <c r="M2930" s="192"/>
      <c r="N2930" s="192"/>
    </row>
    <row r="2931" spans="10:14" ht="15.95" customHeight="1" x14ac:dyDescent="0.25">
      <c r="J2931" s="192"/>
      <c r="K2931" s="192"/>
      <c r="L2931" s="192"/>
      <c r="M2931" s="192"/>
      <c r="N2931" s="192"/>
    </row>
    <row r="2932" spans="10:14" ht="15.95" customHeight="1" x14ac:dyDescent="0.25">
      <c r="J2932" s="192"/>
      <c r="K2932" s="192"/>
      <c r="L2932" s="192"/>
      <c r="M2932" s="192"/>
      <c r="N2932" s="192"/>
    </row>
    <row r="2933" spans="10:14" ht="15.95" customHeight="1" x14ac:dyDescent="0.25">
      <c r="J2933" s="192"/>
      <c r="K2933" s="192"/>
      <c r="L2933" s="192"/>
      <c r="M2933" s="192"/>
      <c r="N2933" s="192"/>
    </row>
    <row r="2934" spans="10:14" ht="15.95" customHeight="1" x14ac:dyDescent="0.25">
      <c r="J2934" s="192"/>
      <c r="K2934" s="192"/>
      <c r="L2934" s="192"/>
      <c r="M2934" s="192"/>
      <c r="N2934" s="192"/>
    </row>
    <row r="2935" spans="10:14" ht="15.95" customHeight="1" x14ac:dyDescent="0.25">
      <c r="J2935" s="192"/>
      <c r="K2935" s="192"/>
      <c r="L2935" s="192"/>
      <c r="M2935" s="192"/>
      <c r="N2935" s="192"/>
    </row>
    <row r="2936" spans="10:14" ht="15.95" customHeight="1" x14ac:dyDescent="0.25">
      <c r="J2936" s="192"/>
      <c r="K2936" s="192"/>
      <c r="L2936" s="192"/>
      <c r="M2936" s="192"/>
      <c r="N2936" s="192"/>
    </row>
    <row r="2937" spans="10:14" ht="15.95" customHeight="1" x14ac:dyDescent="0.25">
      <c r="J2937" s="192"/>
      <c r="K2937" s="192"/>
      <c r="L2937" s="192"/>
      <c r="M2937" s="192"/>
      <c r="N2937" s="192"/>
    </row>
    <row r="2938" spans="10:14" ht="15.95" customHeight="1" x14ac:dyDescent="0.25">
      <c r="J2938" s="192"/>
      <c r="K2938" s="192"/>
      <c r="L2938" s="192"/>
      <c r="M2938" s="192"/>
      <c r="N2938" s="192"/>
    </row>
    <row r="2939" spans="10:14" ht="15.95" customHeight="1" x14ac:dyDescent="0.25">
      <c r="J2939" s="192"/>
      <c r="K2939" s="192"/>
      <c r="L2939" s="192"/>
      <c r="M2939" s="192"/>
      <c r="N2939" s="192"/>
    </row>
    <row r="2940" spans="10:14" ht="15.95" customHeight="1" x14ac:dyDescent="0.25">
      <c r="J2940" s="192"/>
      <c r="K2940" s="192"/>
      <c r="L2940" s="192"/>
      <c r="M2940" s="192"/>
      <c r="N2940" s="192"/>
    </row>
    <row r="2941" spans="10:14" ht="15.95" customHeight="1" x14ac:dyDescent="0.25">
      <c r="J2941" s="192"/>
      <c r="K2941" s="192"/>
      <c r="L2941" s="192"/>
      <c r="M2941" s="192"/>
      <c r="N2941" s="192"/>
    </row>
    <row r="2942" spans="10:14" ht="15.95" customHeight="1" x14ac:dyDescent="0.25">
      <c r="J2942" s="192"/>
      <c r="K2942" s="192"/>
      <c r="L2942" s="192"/>
      <c r="M2942" s="192"/>
      <c r="N2942" s="192"/>
    </row>
    <row r="2943" spans="10:14" ht="15.95" customHeight="1" x14ac:dyDescent="0.25">
      <c r="J2943" s="192"/>
      <c r="K2943" s="192"/>
      <c r="L2943" s="192"/>
      <c r="M2943" s="192"/>
      <c r="N2943" s="192"/>
    </row>
    <row r="2944" spans="10:14" ht="15.95" customHeight="1" x14ac:dyDescent="0.25">
      <c r="J2944" s="192"/>
      <c r="K2944" s="192"/>
      <c r="L2944" s="192"/>
      <c r="M2944" s="192"/>
      <c r="N2944" s="192"/>
    </row>
    <row r="2945" spans="10:14" ht="15.95" customHeight="1" x14ac:dyDescent="0.25">
      <c r="J2945" s="192"/>
      <c r="K2945" s="192"/>
      <c r="L2945" s="192"/>
      <c r="M2945" s="192"/>
      <c r="N2945" s="192"/>
    </row>
    <row r="2946" spans="10:14" ht="15.95" customHeight="1" x14ac:dyDescent="0.25">
      <c r="J2946" s="192"/>
      <c r="K2946" s="192"/>
      <c r="L2946" s="192"/>
      <c r="M2946" s="192"/>
      <c r="N2946" s="192"/>
    </row>
    <row r="2947" spans="10:14" ht="15.95" customHeight="1" x14ac:dyDescent="0.25">
      <c r="J2947" s="192"/>
      <c r="K2947" s="192"/>
      <c r="L2947" s="192"/>
      <c r="M2947" s="192"/>
      <c r="N2947" s="192"/>
    </row>
    <row r="2948" spans="10:14" ht="15.95" customHeight="1" x14ac:dyDescent="0.25">
      <c r="J2948" s="192"/>
      <c r="K2948" s="192"/>
      <c r="L2948" s="192"/>
      <c r="M2948" s="192"/>
      <c r="N2948" s="192"/>
    </row>
    <row r="2949" spans="10:14" ht="15.95" customHeight="1" x14ac:dyDescent="0.25">
      <c r="J2949" s="192"/>
      <c r="K2949" s="192"/>
      <c r="L2949" s="192"/>
      <c r="M2949" s="192"/>
      <c r="N2949" s="192"/>
    </row>
    <row r="2950" spans="10:14" ht="15.95" customHeight="1" x14ac:dyDescent="0.25">
      <c r="J2950" s="192"/>
      <c r="K2950" s="192"/>
      <c r="L2950" s="192"/>
      <c r="M2950" s="192"/>
      <c r="N2950" s="192"/>
    </row>
    <row r="2951" spans="10:14" ht="15.95" customHeight="1" x14ac:dyDescent="0.25">
      <c r="J2951" s="192"/>
      <c r="K2951" s="192"/>
      <c r="L2951" s="192"/>
      <c r="M2951" s="192"/>
      <c r="N2951" s="192"/>
    </row>
    <row r="2952" spans="10:14" ht="15.95" customHeight="1" x14ac:dyDescent="0.25">
      <c r="J2952" s="192"/>
      <c r="K2952" s="192"/>
      <c r="L2952" s="192"/>
      <c r="M2952" s="192"/>
      <c r="N2952" s="192"/>
    </row>
    <row r="2953" spans="10:14" ht="15.95" customHeight="1" x14ac:dyDescent="0.25">
      <c r="J2953" s="192"/>
      <c r="K2953" s="192"/>
      <c r="L2953" s="192"/>
      <c r="M2953" s="192"/>
      <c r="N2953" s="192"/>
    </row>
    <row r="2954" spans="10:14" ht="15.95" customHeight="1" x14ac:dyDescent="0.25">
      <c r="J2954" s="192"/>
      <c r="K2954" s="192"/>
      <c r="L2954" s="192"/>
      <c r="M2954" s="192"/>
      <c r="N2954" s="192"/>
    </row>
    <row r="2955" spans="10:14" ht="15.95" customHeight="1" x14ac:dyDescent="0.25">
      <c r="J2955" s="192"/>
      <c r="K2955" s="192"/>
      <c r="L2955" s="192"/>
      <c r="M2955" s="192"/>
      <c r="N2955" s="192"/>
    </row>
    <row r="2956" spans="10:14" ht="15.95" customHeight="1" x14ac:dyDescent="0.25">
      <c r="J2956" s="192"/>
      <c r="K2956" s="192"/>
      <c r="L2956" s="192"/>
      <c r="M2956" s="192"/>
      <c r="N2956" s="192"/>
    </row>
    <row r="2957" spans="10:14" ht="15.95" customHeight="1" x14ac:dyDescent="0.25">
      <c r="J2957" s="192"/>
      <c r="K2957" s="192"/>
      <c r="L2957" s="192"/>
      <c r="M2957" s="192"/>
      <c r="N2957" s="192"/>
    </row>
    <row r="2958" spans="10:14" ht="15.95" customHeight="1" x14ac:dyDescent="0.25">
      <c r="J2958" s="192"/>
      <c r="K2958" s="192"/>
      <c r="L2958" s="192"/>
      <c r="M2958" s="192"/>
      <c r="N2958" s="192"/>
    </row>
    <row r="2959" spans="10:14" ht="15.95" customHeight="1" x14ac:dyDescent="0.25">
      <c r="J2959" s="192"/>
      <c r="K2959" s="192"/>
      <c r="L2959" s="192"/>
      <c r="M2959" s="192"/>
      <c r="N2959" s="192"/>
    </row>
    <row r="2960" spans="10:14" ht="15.95" customHeight="1" x14ac:dyDescent="0.25">
      <c r="J2960" s="192"/>
      <c r="K2960" s="192"/>
      <c r="L2960" s="192"/>
      <c r="M2960" s="192"/>
      <c r="N2960" s="192"/>
    </row>
    <row r="2961" spans="10:14" ht="15.95" customHeight="1" x14ac:dyDescent="0.25">
      <c r="J2961" s="192"/>
      <c r="K2961" s="192"/>
      <c r="L2961" s="192"/>
      <c r="M2961" s="192"/>
      <c r="N2961" s="192"/>
    </row>
    <row r="2962" spans="10:14" ht="15.95" customHeight="1" x14ac:dyDescent="0.25">
      <c r="J2962" s="192"/>
      <c r="K2962" s="192"/>
      <c r="L2962" s="192"/>
      <c r="M2962" s="192"/>
      <c r="N2962" s="192"/>
    </row>
    <row r="2963" spans="10:14" ht="15.95" customHeight="1" x14ac:dyDescent="0.25">
      <c r="J2963" s="192"/>
      <c r="K2963" s="192"/>
      <c r="L2963" s="192"/>
      <c r="M2963" s="192"/>
      <c r="N2963" s="192"/>
    </row>
    <row r="2964" spans="10:14" ht="15.95" customHeight="1" x14ac:dyDescent="0.25">
      <c r="J2964" s="192"/>
      <c r="K2964" s="192"/>
      <c r="L2964" s="192"/>
      <c r="M2964" s="192"/>
      <c r="N2964" s="192"/>
    </row>
    <row r="2965" spans="10:14" ht="15.95" customHeight="1" x14ac:dyDescent="0.25">
      <c r="J2965" s="192"/>
      <c r="K2965" s="192"/>
      <c r="L2965" s="192"/>
      <c r="M2965" s="192"/>
      <c r="N2965" s="192"/>
    </row>
    <row r="2966" spans="10:14" ht="15.95" customHeight="1" x14ac:dyDescent="0.25">
      <c r="J2966" s="192"/>
      <c r="K2966" s="192"/>
      <c r="L2966" s="192"/>
      <c r="M2966" s="192"/>
      <c r="N2966" s="192"/>
    </row>
    <row r="2967" spans="10:14" ht="15.95" customHeight="1" x14ac:dyDescent="0.25">
      <c r="J2967" s="192"/>
      <c r="K2967" s="192"/>
      <c r="L2967" s="192"/>
      <c r="M2967" s="192"/>
      <c r="N2967" s="192"/>
    </row>
    <row r="2968" spans="10:14" ht="15.95" customHeight="1" x14ac:dyDescent="0.25">
      <c r="J2968" s="192"/>
      <c r="K2968" s="192"/>
      <c r="L2968" s="192"/>
      <c r="M2968" s="192"/>
      <c r="N2968" s="192"/>
    </row>
    <row r="2969" spans="10:14" ht="15.95" customHeight="1" x14ac:dyDescent="0.25">
      <c r="J2969" s="192"/>
      <c r="K2969" s="192"/>
      <c r="L2969" s="192"/>
      <c r="M2969" s="192"/>
      <c r="N2969" s="192"/>
    </row>
    <row r="2970" spans="10:14" ht="15.95" customHeight="1" x14ac:dyDescent="0.25">
      <c r="J2970" s="192"/>
      <c r="K2970" s="192"/>
      <c r="L2970" s="192"/>
      <c r="M2970" s="192"/>
      <c r="N2970" s="192"/>
    </row>
    <row r="2971" spans="10:14" ht="15.95" customHeight="1" x14ac:dyDescent="0.25">
      <c r="J2971" s="192"/>
      <c r="K2971" s="192"/>
      <c r="L2971" s="192"/>
      <c r="M2971" s="192"/>
      <c r="N2971" s="192"/>
    </row>
    <row r="2972" spans="10:14" ht="15.95" customHeight="1" x14ac:dyDescent="0.25">
      <c r="J2972" s="192"/>
      <c r="K2972" s="192"/>
      <c r="L2972" s="192"/>
      <c r="M2972" s="192"/>
      <c r="N2972" s="192"/>
    </row>
    <row r="2973" spans="10:14" ht="15.95" customHeight="1" x14ac:dyDescent="0.25">
      <c r="J2973" s="192"/>
      <c r="K2973" s="192"/>
      <c r="L2973" s="192"/>
      <c r="M2973" s="192"/>
      <c r="N2973" s="192"/>
    </row>
    <row r="2974" spans="10:14" ht="15.95" customHeight="1" x14ac:dyDescent="0.25">
      <c r="J2974" s="192"/>
      <c r="K2974" s="192"/>
      <c r="L2974" s="192"/>
      <c r="M2974" s="192"/>
      <c r="N2974" s="192"/>
    </row>
    <row r="2975" spans="10:14" ht="15.95" customHeight="1" x14ac:dyDescent="0.25">
      <c r="J2975" s="192"/>
      <c r="K2975" s="192"/>
      <c r="L2975" s="192"/>
      <c r="M2975" s="192"/>
      <c r="N2975" s="192"/>
    </row>
    <row r="2976" spans="10:14" ht="15.95" customHeight="1" x14ac:dyDescent="0.25">
      <c r="J2976" s="192"/>
      <c r="K2976" s="192"/>
      <c r="L2976" s="192"/>
      <c r="M2976" s="192"/>
      <c r="N2976" s="192"/>
    </row>
    <row r="2977" spans="10:14" ht="15.95" customHeight="1" x14ac:dyDescent="0.25">
      <c r="J2977" s="192"/>
      <c r="K2977" s="192"/>
      <c r="L2977" s="192"/>
      <c r="M2977" s="192"/>
      <c r="N2977" s="192"/>
    </row>
    <row r="2978" spans="10:14" ht="15.95" customHeight="1" x14ac:dyDescent="0.25">
      <c r="J2978" s="192"/>
      <c r="K2978" s="192"/>
      <c r="L2978" s="192"/>
      <c r="M2978" s="192"/>
      <c r="N2978" s="192"/>
    </row>
    <row r="2979" spans="10:14" ht="15.95" customHeight="1" x14ac:dyDescent="0.25">
      <c r="J2979" s="192"/>
      <c r="K2979" s="192"/>
      <c r="L2979" s="192"/>
      <c r="M2979" s="192"/>
      <c r="N2979" s="192"/>
    </row>
    <row r="2980" spans="10:14" ht="15.95" customHeight="1" x14ac:dyDescent="0.25">
      <c r="J2980" s="192"/>
      <c r="K2980" s="192"/>
      <c r="L2980" s="192"/>
      <c r="M2980" s="192"/>
      <c r="N2980" s="192"/>
    </row>
    <row r="2981" spans="10:14" ht="15.95" customHeight="1" x14ac:dyDescent="0.25">
      <c r="J2981" s="192"/>
      <c r="K2981" s="192"/>
      <c r="L2981" s="192"/>
      <c r="M2981" s="192"/>
      <c r="N2981" s="192"/>
    </row>
    <row r="2982" spans="10:14" ht="15.95" customHeight="1" x14ac:dyDescent="0.25">
      <c r="J2982" s="192"/>
      <c r="K2982" s="192"/>
      <c r="L2982" s="192"/>
      <c r="M2982" s="192"/>
      <c r="N2982" s="192"/>
    </row>
    <row r="2983" spans="10:14" ht="15.95" customHeight="1" x14ac:dyDescent="0.25">
      <c r="J2983" s="192"/>
      <c r="K2983" s="192"/>
      <c r="L2983" s="192"/>
      <c r="M2983" s="192"/>
      <c r="N2983" s="192"/>
    </row>
    <row r="2984" spans="10:14" ht="15.95" customHeight="1" x14ac:dyDescent="0.25">
      <c r="J2984" s="192"/>
      <c r="K2984" s="192"/>
      <c r="L2984" s="192"/>
      <c r="M2984" s="192"/>
      <c r="N2984" s="192"/>
    </row>
    <row r="2985" spans="10:14" ht="15.95" customHeight="1" x14ac:dyDescent="0.25">
      <c r="J2985" s="192"/>
      <c r="K2985" s="192"/>
      <c r="L2985" s="192"/>
      <c r="M2985" s="192"/>
      <c r="N2985" s="192"/>
    </row>
    <row r="2986" spans="10:14" ht="15.95" customHeight="1" x14ac:dyDescent="0.25">
      <c r="J2986" s="192"/>
      <c r="K2986" s="192"/>
      <c r="L2986" s="192"/>
      <c r="M2986" s="192"/>
      <c r="N2986" s="192"/>
    </row>
    <row r="2987" spans="10:14" ht="15.95" customHeight="1" x14ac:dyDescent="0.25">
      <c r="J2987" s="192"/>
      <c r="K2987" s="192"/>
      <c r="L2987" s="192"/>
      <c r="M2987" s="192"/>
      <c r="N2987" s="192"/>
    </row>
    <row r="2988" spans="10:14" ht="15.95" customHeight="1" x14ac:dyDescent="0.25">
      <c r="J2988" s="192"/>
      <c r="K2988" s="192"/>
      <c r="L2988" s="192"/>
      <c r="M2988" s="192"/>
      <c r="N2988" s="192"/>
    </row>
    <row r="2989" spans="10:14" ht="15.95" customHeight="1" x14ac:dyDescent="0.25">
      <c r="J2989" s="192"/>
      <c r="K2989" s="192"/>
      <c r="L2989" s="192"/>
      <c r="M2989" s="192"/>
      <c r="N2989" s="192"/>
    </row>
    <row r="2990" spans="10:14" ht="15.95" customHeight="1" x14ac:dyDescent="0.25">
      <c r="J2990" s="192"/>
      <c r="K2990" s="192"/>
      <c r="L2990" s="192"/>
      <c r="M2990" s="192"/>
      <c r="N2990" s="192"/>
    </row>
    <row r="2991" spans="10:14" ht="15.95" customHeight="1" x14ac:dyDescent="0.25">
      <c r="J2991" s="192"/>
      <c r="K2991" s="192"/>
      <c r="L2991" s="192"/>
      <c r="M2991" s="192"/>
      <c r="N2991" s="192"/>
    </row>
    <row r="2992" spans="10:14" ht="15.95" customHeight="1" x14ac:dyDescent="0.25">
      <c r="J2992" s="192"/>
      <c r="K2992" s="192"/>
      <c r="L2992" s="192"/>
      <c r="M2992" s="192"/>
      <c r="N2992" s="192"/>
    </row>
    <row r="2993" spans="10:14" ht="15.95" customHeight="1" x14ac:dyDescent="0.25">
      <c r="J2993" s="192"/>
      <c r="K2993" s="192"/>
      <c r="L2993" s="192"/>
      <c r="M2993" s="192"/>
      <c r="N2993" s="192"/>
    </row>
    <row r="2994" spans="10:14" ht="15.95" customHeight="1" x14ac:dyDescent="0.25">
      <c r="J2994" s="192"/>
      <c r="K2994" s="192"/>
      <c r="L2994" s="192"/>
      <c r="M2994" s="192"/>
      <c r="N2994" s="192"/>
    </row>
    <row r="2995" spans="10:14" ht="15.95" customHeight="1" x14ac:dyDescent="0.25">
      <c r="J2995" s="192"/>
      <c r="K2995" s="192"/>
      <c r="L2995" s="192"/>
      <c r="M2995" s="192"/>
      <c r="N2995" s="192"/>
    </row>
    <row r="2996" spans="10:14" ht="15.95" customHeight="1" x14ac:dyDescent="0.25">
      <c r="J2996" s="192"/>
      <c r="K2996" s="192"/>
      <c r="L2996" s="192"/>
      <c r="M2996" s="192"/>
      <c r="N2996" s="192"/>
    </row>
    <row r="2997" spans="10:14" ht="15.95" customHeight="1" x14ac:dyDescent="0.25">
      <c r="J2997" s="192"/>
      <c r="K2997" s="192"/>
      <c r="L2997" s="192"/>
      <c r="M2997" s="192"/>
      <c r="N2997" s="192"/>
    </row>
    <row r="2998" spans="10:14" ht="15.95" customHeight="1" x14ac:dyDescent="0.25">
      <c r="J2998" s="192"/>
      <c r="K2998" s="192"/>
      <c r="L2998" s="192"/>
      <c r="M2998" s="192"/>
      <c r="N2998" s="192"/>
    </row>
    <row r="2999" spans="10:14" ht="15.95" customHeight="1" x14ac:dyDescent="0.25">
      <c r="J2999" s="192"/>
      <c r="K2999" s="192"/>
      <c r="L2999" s="192"/>
      <c r="M2999" s="192"/>
      <c r="N2999" s="192"/>
    </row>
    <row r="3000" spans="10:14" ht="15.95" customHeight="1" x14ac:dyDescent="0.25">
      <c r="J3000" s="192"/>
      <c r="K3000" s="192"/>
      <c r="L3000" s="192"/>
      <c r="M3000" s="192"/>
      <c r="N3000" s="192"/>
    </row>
    <row r="3001" spans="10:14" ht="15.95" customHeight="1" x14ac:dyDescent="0.25">
      <c r="J3001" s="192"/>
      <c r="K3001" s="192"/>
      <c r="L3001" s="192"/>
      <c r="M3001" s="192"/>
      <c r="N3001" s="192"/>
    </row>
    <row r="3002" spans="10:14" ht="15.95" customHeight="1" x14ac:dyDescent="0.25">
      <c r="J3002" s="192"/>
      <c r="K3002" s="192"/>
      <c r="L3002" s="192"/>
      <c r="M3002" s="192"/>
      <c r="N3002" s="192"/>
    </row>
    <row r="3003" spans="10:14" ht="15.95" customHeight="1" x14ac:dyDescent="0.25">
      <c r="J3003" s="192"/>
      <c r="K3003" s="192"/>
      <c r="L3003" s="192"/>
      <c r="M3003" s="192"/>
      <c r="N3003" s="192"/>
    </row>
    <row r="3004" spans="10:14" ht="15.95" customHeight="1" x14ac:dyDescent="0.25">
      <c r="J3004" s="192"/>
      <c r="K3004" s="192"/>
      <c r="L3004" s="192"/>
      <c r="M3004" s="192"/>
      <c r="N3004" s="192"/>
    </row>
    <row r="3005" spans="10:14" ht="15.95" customHeight="1" x14ac:dyDescent="0.25">
      <c r="J3005" s="192"/>
      <c r="K3005" s="192"/>
      <c r="L3005" s="192"/>
      <c r="M3005" s="192"/>
      <c r="N3005" s="192"/>
    </row>
    <row r="3006" spans="10:14" ht="15.95" customHeight="1" x14ac:dyDescent="0.25">
      <c r="J3006" s="192"/>
      <c r="K3006" s="192"/>
      <c r="L3006" s="192"/>
      <c r="M3006" s="192"/>
      <c r="N3006" s="192"/>
    </row>
    <row r="3007" spans="10:14" ht="15.95" customHeight="1" x14ac:dyDescent="0.25">
      <c r="J3007" s="192"/>
      <c r="K3007" s="192"/>
      <c r="L3007" s="192"/>
      <c r="M3007" s="192"/>
      <c r="N3007" s="192"/>
    </row>
    <row r="3008" spans="10:14" ht="15.95" customHeight="1" x14ac:dyDescent="0.25">
      <c r="J3008" s="192"/>
      <c r="K3008" s="192"/>
      <c r="L3008" s="192"/>
      <c r="M3008" s="192"/>
      <c r="N3008" s="192"/>
    </row>
    <row r="3009" spans="10:14" ht="15.95" customHeight="1" x14ac:dyDescent="0.25">
      <c r="J3009" s="192"/>
      <c r="K3009" s="192"/>
      <c r="L3009" s="192"/>
      <c r="M3009" s="192"/>
      <c r="N3009" s="192"/>
    </row>
    <row r="3010" spans="10:14" ht="15.95" customHeight="1" x14ac:dyDescent="0.25">
      <c r="J3010" s="192"/>
      <c r="K3010" s="192"/>
      <c r="L3010" s="192"/>
      <c r="M3010" s="192"/>
      <c r="N3010" s="192"/>
    </row>
    <row r="3011" spans="10:14" ht="15.95" customHeight="1" x14ac:dyDescent="0.25">
      <c r="J3011" s="192"/>
      <c r="K3011" s="192"/>
      <c r="L3011" s="192"/>
      <c r="M3011" s="192"/>
      <c r="N3011" s="192"/>
    </row>
    <row r="3012" spans="10:14" ht="15.95" customHeight="1" x14ac:dyDescent="0.25">
      <c r="J3012" s="192"/>
      <c r="K3012" s="192"/>
      <c r="L3012" s="192"/>
      <c r="M3012" s="192"/>
      <c r="N3012" s="192"/>
    </row>
    <row r="3013" spans="10:14" ht="15.95" customHeight="1" x14ac:dyDescent="0.25">
      <c r="J3013" s="192"/>
      <c r="K3013" s="192"/>
      <c r="L3013" s="192"/>
      <c r="M3013" s="192"/>
      <c r="N3013" s="192"/>
    </row>
    <row r="3014" spans="10:14" ht="15.95" customHeight="1" x14ac:dyDescent="0.25">
      <c r="J3014" s="192"/>
      <c r="K3014" s="192"/>
      <c r="L3014" s="192"/>
      <c r="M3014" s="192"/>
      <c r="N3014" s="192"/>
    </row>
    <row r="3015" spans="10:14" ht="15.95" customHeight="1" x14ac:dyDescent="0.25">
      <c r="J3015" s="192"/>
      <c r="K3015" s="192"/>
      <c r="L3015" s="192"/>
      <c r="M3015" s="192"/>
      <c r="N3015" s="192"/>
    </row>
    <row r="3016" spans="10:14" ht="15.95" customHeight="1" x14ac:dyDescent="0.25">
      <c r="J3016" s="192"/>
      <c r="K3016" s="192"/>
      <c r="L3016" s="192"/>
      <c r="M3016" s="192"/>
      <c r="N3016" s="192"/>
    </row>
    <row r="3017" spans="10:14" ht="15.95" customHeight="1" x14ac:dyDescent="0.25">
      <c r="J3017" s="192"/>
      <c r="K3017" s="192"/>
      <c r="L3017" s="192"/>
      <c r="M3017" s="192"/>
      <c r="N3017" s="192"/>
    </row>
    <row r="3018" spans="10:14" ht="15.95" customHeight="1" x14ac:dyDescent="0.25">
      <c r="J3018" s="192"/>
      <c r="K3018" s="192"/>
      <c r="L3018" s="192"/>
      <c r="M3018" s="192"/>
      <c r="N3018" s="192"/>
    </row>
    <row r="3019" spans="10:14" ht="15.95" customHeight="1" x14ac:dyDescent="0.25">
      <c r="J3019" s="192"/>
      <c r="K3019" s="192"/>
      <c r="L3019" s="192"/>
      <c r="M3019" s="192"/>
      <c r="N3019" s="192"/>
    </row>
    <row r="3020" spans="10:14" ht="15.95" customHeight="1" x14ac:dyDescent="0.25">
      <c r="J3020" s="192"/>
      <c r="K3020" s="192"/>
      <c r="L3020" s="192"/>
      <c r="M3020" s="192"/>
      <c r="N3020" s="192"/>
    </row>
    <row r="3021" spans="10:14" ht="15.95" customHeight="1" x14ac:dyDescent="0.25">
      <c r="J3021" s="192"/>
      <c r="K3021" s="192"/>
      <c r="L3021" s="192"/>
      <c r="M3021" s="192"/>
      <c r="N3021" s="192"/>
    </row>
    <row r="3022" spans="10:14" ht="15.95" customHeight="1" x14ac:dyDescent="0.25">
      <c r="J3022" s="192"/>
      <c r="K3022" s="192"/>
      <c r="L3022" s="192"/>
      <c r="M3022" s="192"/>
      <c r="N3022" s="192"/>
    </row>
    <row r="3023" spans="10:14" ht="15.95" customHeight="1" x14ac:dyDescent="0.25">
      <c r="J3023" s="192"/>
      <c r="K3023" s="192"/>
      <c r="L3023" s="192"/>
      <c r="M3023" s="192"/>
      <c r="N3023" s="192"/>
    </row>
    <row r="3024" spans="10:14" ht="15.95" customHeight="1" x14ac:dyDescent="0.25">
      <c r="J3024" s="192"/>
      <c r="K3024" s="192"/>
      <c r="L3024" s="192"/>
      <c r="M3024" s="192"/>
      <c r="N3024" s="192"/>
    </row>
    <row r="3025" spans="9:14" ht="15.95" customHeight="1" x14ac:dyDescent="0.25">
      <c r="J3025" s="192"/>
      <c r="K3025" s="192"/>
      <c r="L3025" s="192"/>
      <c r="M3025" s="192"/>
      <c r="N3025" s="192"/>
    </row>
    <row r="3026" spans="9:14" ht="15.95" customHeight="1" x14ac:dyDescent="0.25">
      <c r="J3026" s="192"/>
      <c r="K3026" s="192"/>
      <c r="L3026" s="192"/>
      <c r="M3026" s="192"/>
      <c r="N3026" s="192"/>
    </row>
    <row r="3027" spans="9:14" ht="15.95" customHeight="1" x14ac:dyDescent="0.25">
      <c r="J3027" s="192"/>
      <c r="K3027" s="192"/>
      <c r="L3027" s="192"/>
      <c r="M3027" s="192"/>
      <c r="N3027" s="192"/>
    </row>
    <row r="3028" spans="9:14" ht="15.95" customHeight="1" x14ac:dyDescent="0.25"/>
    <row r="3029" spans="9:14" ht="15.95" customHeight="1" x14ac:dyDescent="0.25"/>
    <row r="3030" spans="9:14" ht="32.1" customHeight="1" x14ac:dyDescent="0.25">
      <c r="J3030" s="235" t="str">
        <f>ComparisonData!PM2</f>
        <v>SECTION B: OUR STAFF, SERVICES &amp; FACILITIES</v>
      </c>
      <c r="K3030" s="236"/>
      <c r="L3030" s="236"/>
      <c r="M3030" s="236"/>
      <c r="N3030" s="237"/>
    </row>
    <row r="3031" spans="9:14" ht="32.1" customHeight="1" x14ac:dyDescent="0.25">
      <c r="J3031" s="235" t="str">
        <f>ComparisonData!PM3</f>
        <v>7 (a) Please rate how satisfied you are with the following services.</v>
      </c>
      <c r="K3031" s="236"/>
      <c r="L3031" s="236"/>
      <c r="M3031" s="236"/>
      <c r="N3031" s="237"/>
    </row>
    <row r="3032" spans="9:14" ht="32.1" customHeight="1" x14ac:dyDescent="0.25">
      <c r="J3032" s="235" t="str">
        <f>ComparisonData!PM4</f>
        <v>Document ordering system</v>
      </c>
      <c r="K3032" s="236"/>
      <c r="L3032" s="236"/>
      <c r="M3032" s="236"/>
      <c r="N3032" s="237"/>
    </row>
    <row r="3033" spans="9:14" ht="32.1" customHeight="1" x14ac:dyDescent="0.25">
      <c r="J3033" s="185" t="str">
        <f>ComparisonData!PR5</f>
        <v>Very satisfied</v>
      </c>
      <c r="K3033" s="185" t="str">
        <f>ComparisonData!PS5</f>
        <v>Satisfied</v>
      </c>
      <c r="L3033" s="185" t="str">
        <f>ComparisonData!PT5</f>
        <v>Neither</v>
      </c>
      <c r="M3033" s="185" t="str">
        <f>ComparisonData!PU5</f>
        <v>Not very satisfied</v>
      </c>
      <c r="N3033" s="185" t="str">
        <f>ComparisonData!PV5</f>
        <v>Not at all satisfied</v>
      </c>
    </row>
    <row r="3034" spans="9:14" ht="15.95" customHeight="1" x14ac:dyDescent="0.25">
      <c r="I3034" s="188" t="str" cm="1">
        <f t="array" aca="1" ref="I3034" ca="1">Document_ordering_system_lbl</f>
        <v>TOTAL</v>
      </c>
      <c r="J3034" s="192" cm="1">
        <f t="array" aca="1" ref="J3034" ca="1">Document_ordering_system_1</f>
        <v>0.74504999999999999</v>
      </c>
      <c r="K3034" s="192" cm="1">
        <f t="array" aca="1" ref="K3034" ca="1">Document_ordering_system_2</f>
        <v>0.20102999999999999</v>
      </c>
      <c r="L3034" s="192" cm="1">
        <f t="array" aca="1" ref="L3034" ca="1">Document_ordering_system_3</f>
        <v>2.741E-2</v>
      </c>
      <c r="M3034" s="192" cm="1">
        <f t="array" aca="1" ref="M3034" ca="1">Document_ordering_system_4</f>
        <v>1.72E-2</v>
      </c>
      <c r="N3034" s="192" cm="1">
        <f t="array" aca="1" ref="N3034" ca="1">Document_ordering_system_5</f>
        <v>9.316451233584596E-3</v>
      </c>
    </row>
    <row r="3035" spans="9:14" ht="15.95" customHeight="1" x14ac:dyDescent="0.25">
      <c r="J3035" s="192"/>
      <c r="K3035" s="192"/>
      <c r="L3035" s="192"/>
      <c r="M3035" s="192"/>
      <c r="N3035" s="192"/>
    </row>
    <row r="3036" spans="9:14" ht="15.95" customHeight="1" x14ac:dyDescent="0.25">
      <c r="J3036" s="192"/>
      <c r="K3036" s="192"/>
      <c r="L3036" s="192"/>
      <c r="M3036" s="192"/>
      <c r="N3036" s="192"/>
    </row>
    <row r="3037" spans="9:14" ht="15.95" customHeight="1" x14ac:dyDescent="0.25">
      <c r="J3037" s="192"/>
      <c r="K3037" s="192"/>
      <c r="L3037" s="192"/>
      <c r="M3037" s="192"/>
      <c r="N3037" s="192"/>
    </row>
    <row r="3038" spans="9:14" ht="15.95" customHeight="1" x14ac:dyDescent="0.25">
      <c r="J3038" s="192"/>
      <c r="K3038" s="192"/>
      <c r="L3038" s="192"/>
      <c r="M3038" s="192"/>
      <c r="N3038" s="192"/>
    </row>
    <row r="3039" spans="9:14" ht="15.95" customHeight="1" x14ac:dyDescent="0.25">
      <c r="J3039" s="192"/>
      <c r="K3039" s="192"/>
      <c r="L3039" s="192"/>
      <c r="M3039" s="192"/>
      <c r="N3039" s="192"/>
    </row>
    <row r="3040" spans="9:14" ht="15.95" customHeight="1" x14ac:dyDescent="0.25">
      <c r="J3040" s="192"/>
      <c r="K3040" s="192"/>
      <c r="L3040" s="192"/>
      <c r="M3040" s="192"/>
      <c r="N3040" s="192"/>
    </row>
    <row r="3041" spans="10:14" ht="15.95" customHeight="1" x14ac:dyDescent="0.25">
      <c r="J3041" s="192"/>
      <c r="K3041" s="192"/>
      <c r="L3041" s="192"/>
      <c r="M3041" s="192"/>
      <c r="N3041" s="192"/>
    </row>
    <row r="3042" spans="10:14" ht="15.95" customHeight="1" x14ac:dyDescent="0.25">
      <c r="J3042" s="192"/>
      <c r="K3042" s="192"/>
      <c r="L3042" s="192"/>
      <c r="M3042" s="192"/>
      <c r="N3042" s="192"/>
    </row>
    <row r="3043" spans="10:14" ht="15.95" customHeight="1" x14ac:dyDescent="0.25">
      <c r="J3043" s="192"/>
      <c r="K3043" s="192"/>
      <c r="L3043" s="192"/>
      <c r="M3043" s="192"/>
      <c r="N3043" s="192"/>
    </row>
    <row r="3044" spans="10:14" ht="15.95" customHeight="1" x14ac:dyDescent="0.25">
      <c r="J3044" s="192"/>
      <c r="K3044" s="192"/>
      <c r="L3044" s="192"/>
      <c r="M3044" s="192"/>
      <c r="N3044" s="192"/>
    </row>
    <row r="3045" spans="10:14" ht="15.95" customHeight="1" x14ac:dyDescent="0.25">
      <c r="J3045" s="192"/>
      <c r="K3045" s="192"/>
      <c r="L3045" s="192"/>
      <c r="M3045" s="192"/>
      <c r="N3045" s="192"/>
    </row>
    <row r="3046" spans="10:14" ht="15.95" customHeight="1" x14ac:dyDescent="0.25">
      <c r="J3046" s="192"/>
      <c r="K3046" s="192"/>
      <c r="L3046" s="192"/>
      <c r="M3046" s="192"/>
      <c r="N3046" s="192"/>
    </row>
    <row r="3047" spans="10:14" ht="15.95" customHeight="1" x14ac:dyDescent="0.25">
      <c r="J3047" s="192"/>
      <c r="K3047" s="192"/>
      <c r="L3047" s="192"/>
      <c r="M3047" s="192"/>
      <c r="N3047" s="192"/>
    </row>
    <row r="3048" spans="10:14" ht="15.95" customHeight="1" x14ac:dyDescent="0.25">
      <c r="J3048" s="192"/>
      <c r="K3048" s="192"/>
      <c r="L3048" s="192"/>
      <c r="M3048" s="192"/>
      <c r="N3048" s="192"/>
    </row>
    <row r="3049" spans="10:14" ht="15.95" customHeight="1" x14ac:dyDescent="0.25">
      <c r="J3049" s="192"/>
      <c r="K3049" s="192"/>
      <c r="L3049" s="192"/>
      <c r="M3049" s="192"/>
      <c r="N3049" s="192"/>
    </row>
    <row r="3050" spans="10:14" ht="15.95" customHeight="1" x14ac:dyDescent="0.25">
      <c r="J3050" s="192"/>
      <c r="K3050" s="192"/>
      <c r="L3050" s="192"/>
      <c r="M3050" s="192"/>
      <c r="N3050" s="192"/>
    </row>
    <row r="3051" spans="10:14" ht="15.95" customHeight="1" x14ac:dyDescent="0.25">
      <c r="J3051" s="192"/>
      <c r="K3051" s="192"/>
      <c r="L3051" s="192"/>
      <c r="M3051" s="192"/>
      <c r="N3051" s="192"/>
    </row>
    <row r="3052" spans="10:14" ht="15.95" customHeight="1" x14ac:dyDescent="0.25">
      <c r="J3052" s="192"/>
      <c r="K3052" s="192"/>
      <c r="L3052" s="192"/>
      <c r="M3052" s="192"/>
      <c r="N3052" s="192"/>
    </row>
    <row r="3053" spans="10:14" ht="15.95" customHeight="1" x14ac:dyDescent="0.25">
      <c r="J3053" s="192"/>
      <c r="K3053" s="192"/>
      <c r="L3053" s="192"/>
      <c r="M3053" s="192"/>
      <c r="N3053" s="192"/>
    </row>
    <row r="3054" spans="10:14" ht="15.95" customHeight="1" x14ac:dyDescent="0.25">
      <c r="J3054" s="192"/>
      <c r="K3054" s="192"/>
      <c r="L3054" s="192"/>
      <c r="M3054" s="192"/>
      <c r="N3054" s="192"/>
    </row>
    <row r="3055" spans="10:14" ht="15.95" customHeight="1" x14ac:dyDescent="0.25">
      <c r="J3055" s="192"/>
      <c r="K3055" s="192"/>
      <c r="L3055" s="192"/>
      <c r="M3055" s="192"/>
      <c r="N3055" s="192"/>
    </row>
    <row r="3056" spans="10:14" ht="15.95" customHeight="1" x14ac:dyDescent="0.25">
      <c r="J3056" s="192"/>
      <c r="K3056" s="192"/>
      <c r="L3056" s="192"/>
      <c r="M3056" s="192"/>
      <c r="N3056" s="192"/>
    </row>
    <row r="3057" spans="10:14" ht="15.95" customHeight="1" x14ac:dyDescent="0.25">
      <c r="J3057" s="192"/>
      <c r="K3057" s="192"/>
      <c r="L3057" s="192"/>
      <c r="M3057" s="192"/>
      <c r="N3057" s="192"/>
    </row>
    <row r="3058" spans="10:14" ht="15.95" customHeight="1" x14ac:dyDescent="0.25">
      <c r="J3058" s="192"/>
      <c r="K3058" s="192"/>
      <c r="L3058" s="192"/>
      <c r="M3058" s="192"/>
      <c r="N3058" s="192"/>
    </row>
    <row r="3059" spans="10:14" ht="15.95" customHeight="1" x14ac:dyDescent="0.25">
      <c r="J3059" s="192"/>
      <c r="K3059" s="192"/>
      <c r="L3059" s="192"/>
      <c r="M3059" s="192"/>
      <c r="N3059" s="192"/>
    </row>
    <row r="3060" spans="10:14" ht="15.95" customHeight="1" x14ac:dyDescent="0.25">
      <c r="J3060" s="192"/>
      <c r="K3060" s="192"/>
      <c r="L3060" s="192"/>
      <c r="M3060" s="192"/>
      <c r="N3060" s="192"/>
    </row>
    <row r="3061" spans="10:14" ht="15.95" customHeight="1" x14ac:dyDescent="0.25">
      <c r="J3061" s="192"/>
      <c r="K3061" s="192"/>
      <c r="L3061" s="192"/>
      <c r="M3061" s="192"/>
      <c r="N3061" s="192"/>
    </row>
    <row r="3062" spans="10:14" ht="15.95" customHeight="1" x14ac:dyDescent="0.25">
      <c r="J3062" s="192"/>
      <c r="K3062" s="192"/>
      <c r="L3062" s="192"/>
      <c r="M3062" s="192"/>
      <c r="N3062" s="192"/>
    </row>
    <row r="3063" spans="10:14" ht="15.95" customHeight="1" x14ac:dyDescent="0.25">
      <c r="J3063" s="192"/>
      <c r="K3063" s="192"/>
      <c r="L3063" s="192"/>
      <c r="M3063" s="192"/>
      <c r="N3063" s="192"/>
    </row>
    <row r="3064" spans="10:14" ht="15.95" customHeight="1" x14ac:dyDescent="0.25">
      <c r="J3064" s="192"/>
      <c r="K3064" s="192"/>
      <c r="L3064" s="192"/>
      <c r="M3064" s="192"/>
      <c r="N3064" s="192"/>
    </row>
    <row r="3065" spans="10:14" ht="15.95" customHeight="1" x14ac:dyDescent="0.25">
      <c r="J3065" s="192"/>
      <c r="K3065" s="192"/>
      <c r="L3065" s="192"/>
      <c r="M3065" s="192"/>
      <c r="N3065" s="192"/>
    </row>
    <row r="3066" spans="10:14" ht="15.95" customHeight="1" x14ac:dyDescent="0.25">
      <c r="J3066" s="192"/>
      <c r="K3066" s="192"/>
      <c r="L3066" s="192"/>
      <c r="M3066" s="192"/>
      <c r="N3066" s="192"/>
    </row>
    <row r="3067" spans="10:14" ht="15.95" customHeight="1" x14ac:dyDescent="0.25">
      <c r="J3067" s="192"/>
      <c r="K3067" s="192"/>
      <c r="L3067" s="192"/>
      <c r="M3067" s="192"/>
      <c r="N3067" s="192"/>
    </row>
    <row r="3068" spans="10:14" ht="15.95" customHeight="1" x14ac:dyDescent="0.25">
      <c r="J3068" s="192"/>
      <c r="K3068" s="192"/>
      <c r="L3068" s="192"/>
      <c r="M3068" s="192"/>
      <c r="N3068" s="192"/>
    </row>
    <row r="3069" spans="10:14" ht="15.95" customHeight="1" x14ac:dyDescent="0.25">
      <c r="J3069" s="192"/>
      <c r="K3069" s="192"/>
      <c r="L3069" s="192"/>
      <c r="M3069" s="192"/>
      <c r="N3069" s="192"/>
    </row>
    <row r="3070" spans="10:14" ht="15.95" customHeight="1" x14ac:dyDescent="0.25">
      <c r="J3070" s="192"/>
      <c r="K3070" s="192"/>
      <c r="L3070" s="192"/>
      <c r="M3070" s="192"/>
      <c r="N3070" s="192"/>
    </row>
    <row r="3071" spans="10:14" ht="15.95" customHeight="1" x14ac:dyDescent="0.25">
      <c r="J3071" s="192"/>
      <c r="K3071" s="192"/>
      <c r="L3071" s="192"/>
      <c r="M3071" s="192"/>
      <c r="N3071" s="192"/>
    </row>
    <row r="3072" spans="10:14" ht="15.95" customHeight="1" x14ac:dyDescent="0.25">
      <c r="J3072" s="192"/>
      <c r="K3072" s="192"/>
      <c r="L3072" s="192"/>
      <c r="M3072" s="192"/>
      <c r="N3072" s="192"/>
    </row>
    <row r="3073" spans="10:14" ht="15.95" customHeight="1" x14ac:dyDescent="0.25">
      <c r="J3073" s="192"/>
      <c r="K3073" s="192"/>
      <c r="L3073" s="192"/>
      <c r="M3073" s="192"/>
      <c r="N3073" s="192"/>
    </row>
    <row r="3074" spans="10:14" ht="15.95" customHeight="1" x14ac:dyDescent="0.25">
      <c r="J3074" s="192"/>
      <c r="K3074" s="192"/>
      <c r="L3074" s="192"/>
      <c r="M3074" s="192"/>
      <c r="N3074" s="192"/>
    </row>
    <row r="3075" spans="10:14" ht="15.95" customHeight="1" x14ac:dyDescent="0.25">
      <c r="J3075" s="192"/>
      <c r="K3075" s="192"/>
      <c r="L3075" s="192"/>
      <c r="M3075" s="192"/>
      <c r="N3075" s="192"/>
    </row>
    <row r="3076" spans="10:14" ht="15.95" customHeight="1" x14ac:dyDescent="0.25">
      <c r="J3076" s="192"/>
      <c r="K3076" s="192"/>
      <c r="L3076" s="192"/>
      <c r="M3076" s="192"/>
      <c r="N3076" s="192"/>
    </row>
    <row r="3077" spans="10:14" ht="15.95" customHeight="1" x14ac:dyDescent="0.25">
      <c r="J3077" s="192"/>
      <c r="K3077" s="192"/>
      <c r="L3077" s="192"/>
      <c r="M3077" s="192"/>
      <c r="N3077" s="192"/>
    </row>
    <row r="3078" spans="10:14" ht="15.95" customHeight="1" x14ac:dyDescent="0.25">
      <c r="J3078" s="192"/>
      <c r="K3078" s="192"/>
      <c r="L3078" s="192"/>
      <c r="M3078" s="192"/>
      <c r="N3078" s="192"/>
    </row>
    <row r="3079" spans="10:14" ht="15.95" customHeight="1" x14ac:dyDescent="0.25">
      <c r="J3079" s="192"/>
      <c r="K3079" s="192"/>
      <c r="L3079" s="192"/>
      <c r="M3079" s="192"/>
      <c r="N3079" s="192"/>
    </row>
    <row r="3080" spans="10:14" ht="15.95" customHeight="1" x14ac:dyDescent="0.25">
      <c r="J3080" s="192"/>
      <c r="K3080" s="192"/>
      <c r="L3080" s="192"/>
      <c r="M3080" s="192"/>
      <c r="N3080" s="192"/>
    </row>
    <row r="3081" spans="10:14" ht="15.95" customHeight="1" x14ac:dyDescent="0.25">
      <c r="J3081" s="192"/>
      <c r="K3081" s="192"/>
      <c r="L3081" s="192"/>
      <c r="M3081" s="192"/>
      <c r="N3081" s="192"/>
    </row>
    <row r="3082" spans="10:14" ht="15.95" customHeight="1" x14ac:dyDescent="0.25">
      <c r="J3082" s="192"/>
      <c r="K3082" s="192"/>
      <c r="L3082" s="192"/>
      <c r="M3082" s="192"/>
      <c r="N3082" s="192"/>
    </row>
    <row r="3083" spans="10:14" ht="15.95" customHeight="1" x14ac:dyDescent="0.25">
      <c r="J3083" s="192"/>
      <c r="K3083" s="192"/>
      <c r="L3083" s="192"/>
      <c r="M3083" s="192"/>
      <c r="N3083" s="192"/>
    </row>
    <row r="3084" spans="10:14" ht="15.95" customHeight="1" x14ac:dyDescent="0.25">
      <c r="J3084" s="192"/>
      <c r="K3084" s="192"/>
      <c r="L3084" s="192"/>
      <c r="M3084" s="192"/>
      <c r="N3084" s="192"/>
    </row>
    <row r="3085" spans="10:14" ht="15.95" customHeight="1" x14ac:dyDescent="0.25">
      <c r="J3085" s="192"/>
      <c r="K3085" s="192"/>
      <c r="L3085" s="192"/>
      <c r="M3085" s="192"/>
      <c r="N3085" s="192"/>
    </row>
    <row r="3086" spans="10:14" ht="15.95" customHeight="1" x14ac:dyDescent="0.25">
      <c r="J3086" s="192"/>
      <c r="K3086" s="192"/>
      <c r="L3086" s="192"/>
      <c r="M3086" s="192"/>
      <c r="N3086" s="192"/>
    </row>
    <row r="3087" spans="10:14" ht="15.95" customHeight="1" x14ac:dyDescent="0.25">
      <c r="J3087" s="192"/>
      <c r="K3087" s="192"/>
      <c r="L3087" s="192"/>
      <c r="M3087" s="192"/>
      <c r="N3087" s="192"/>
    </row>
    <row r="3088" spans="10:14" ht="15.95" customHeight="1" x14ac:dyDescent="0.25">
      <c r="J3088" s="192"/>
      <c r="K3088" s="192"/>
      <c r="L3088" s="192"/>
      <c r="M3088" s="192"/>
      <c r="N3088" s="192"/>
    </row>
    <row r="3089" spans="10:14" ht="15.95" customHeight="1" x14ac:dyDescent="0.25">
      <c r="J3089" s="192"/>
      <c r="K3089" s="192"/>
      <c r="L3089" s="192"/>
      <c r="M3089" s="192"/>
      <c r="N3089" s="192"/>
    </row>
    <row r="3090" spans="10:14" ht="15.95" customHeight="1" x14ac:dyDescent="0.25">
      <c r="J3090" s="192"/>
      <c r="K3090" s="192"/>
      <c r="L3090" s="192"/>
      <c r="M3090" s="192"/>
      <c r="N3090" s="192"/>
    </row>
    <row r="3091" spans="10:14" ht="15.95" customHeight="1" x14ac:dyDescent="0.25">
      <c r="J3091" s="192"/>
      <c r="K3091" s="192"/>
      <c r="L3091" s="192"/>
      <c r="M3091" s="192"/>
      <c r="N3091" s="192"/>
    </row>
    <row r="3092" spans="10:14" ht="15.95" customHeight="1" x14ac:dyDescent="0.25">
      <c r="J3092" s="192"/>
      <c r="K3092" s="192"/>
      <c r="L3092" s="192"/>
      <c r="M3092" s="192"/>
      <c r="N3092" s="192"/>
    </row>
    <row r="3093" spans="10:14" ht="15.95" customHeight="1" x14ac:dyDescent="0.25">
      <c r="J3093" s="192"/>
      <c r="K3093" s="192"/>
      <c r="L3093" s="192"/>
      <c r="M3093" s="192"/>
      <c r="N3093" s="192"/>
    </row>
    <row r="3094" spans="10:14" ht="15.95" customHeight="1" x14ac:dyDescent="0.25">
      <c r="J3094" s="192"/>
      <c r="K3094" s="192"/>
      <c r="L3094" s="192"/>
      <c r="M3094" s="192"/>
      <c r="N3094" s="192"/>
    </row>
    <row r="3095" spans="10:14" ht="15.95" customHeight="1" x14ac:dyDescent="0.25">
      <c r="J3095" s="192"/>
      <c r="K3095" s="192"/>
      <c r="L3095" s="192"/>
      <c r="M3095" s="192"/>
      <c r="N3095" s="192"/>
    </row>
    <row r="3096" spans="10:14" ht="15.95" customHeight="1" x14ac:dyDescent="0.25">
      <c r="J3096" s="192"/>
      <c r="K3096" s="192"/>
      <c r="L3096" s="192"/>
      <c r="M3096" s="192"/>
      <c r="N3096" s="192"/>
    </row>
    <row r="3097" spans="10:14" ht="15.95" customHeight="1" x14ac:dyDescent="0.25">
      <c r="J3097" s="192"/>
      <c r="K3097" s="192"/>
      <c r="L3097" s="192"/>
      <c r="M3097" s="192"/>
      <c r="N3097" s="192"/>
    </row>
    <row r="3098" spans="10:14" ht="15.95" customHeight="1" x14ac:dyDescent="0.25">
      <c r="J3098" s="192"/>
      <c r="K3098" s="192"/>
      <c r="L3098" s="192"/>
      <c r="M3098" s="192"/>
      <c r="N3098" s="192"/>
    </row>
    <row r="3099" spans="10:14" ht="15.95" customHeight="1" x14ac:dyDescent="0.25">
      <c r="J3099" s="192"/>
      <c r="K3099" s="192"/>
      <c r="L3099" s="192"/>
      <c r="M3099" s="192"/>
      <c r="N3099" s="192"/>
    </row>
    <row r="3100" spans="10:14" ht="15.95" customHeight="1" x14ac:dyDescent="0.25">
      <c r="J3100" s="192"/>
      <c r="K3100" s="192"/>
      <c r="L3100" s="192"/>
      <c r="M3100" s="192"/>
      <c r="N3100" s="192"/>
    </row>
    <row r="3101" spans="10:14" ht="15.95" customHeight="1" x14ac:dyDescent="0.25">
      <c r="J3101" s="192"/>
      <c r="K3101" s="192"/>
      <c r="L3101" s="192"/>
      <c r="M3101" s="192"/>
      <c r="N3101" s="192"/>
    </row>
    <row r="3102" spans="10:14" ht="15.95" customHeight="1" x14ac:dyDescent="0.25">
      <c r="J3102" s="192"/>
      <c r="K3102" s="192"/>
      <c r="L3102" s="192"/>
      <c r="M3102" s="192"/>
      <c r="N3102" s="192"/>
    </row>
    <row r="3103" spans="10:14" ht="15.95" customHeight="1" x14ac:dyDescent="0.25">
      <c r="J3103" s="192"/>
      <c r="K3103" s="192"/>
      <c r="L3103" s="192"/>
      <c r="M3103" s="192"/>
      <c r="N3103" s="192"/>
    </row>
    <row r="3104" spans="10:14" ht="15.95" customHeight="1" x14ac:dyDescent="0.25">
      <c r="J3104" s="192"/>
      <c r="K3104" s="192"/>
      <c r="L3104" s="192"/>
      <c r="M3104" s="192"/>
      <c r="N3104" s="192"/>
    </row>
    <row r="3105" spans="10:14" ht="15.95" customHeight="1" x14ac:dyDescent="0.25">
      <c r="J3105" s="192"/>
      <c r="K3105" s="192"/>
      <c r="L3105" s="192"/>
      <c r="M3105" s="192"/>
      <c r="N3105" s="192"/>
    </row>
    <row r="3106" spans="10:14" ht="15.95" customHeight="1" x14ac:dyDescent="0.25">
      <c r="J3106" s="192"/>
      <c r="K3106" s="192"/>
      <c r="L3106" s="192"/>
      <c r="M3106" s="192"/>
      <c r="N3106" s="192"/>
    </row>
    <row r="3107" spans="10:14" ht="15.95" customHeight="1" x14ac:dyDescent="0.25">
      <c r="J3107" s="192"/>
      <c r="K3107" s="192"/>
      <c r="L3107" s="192"/>
      <c r="M3107" s="192"/>
      <c r="N3107" s="192"/>
    </row>
    <row r="3108" spans="10:14" ht="15.95" customHeight="1" x14ac:dyDescent="0.25">
      <c r="J3108" s="192"/>
      <c r="K3108" s="192"/>
      <c r="L3108" s="192"/>
      <c r="M3108" s="192"/>
      <c r="N3108" s="192"/>
    </row>
    <row r="3109" spans="10:14" ht="15.95" customHeight="1" x14ac:dyDescent="0.25">
      <c r="J3109" s="192"/>
      <c r="K3109" s="192"/>
      <c r="L3109" s="192"/>
      <c r="M3109" s="192"/>
      <c r="N3109" s="192"/>
    </row>
    <row r="3110" spans="10:14" ht="15.95" customHeight="1" x14ac:dyDescent="0.25">
      <c r="J3110" s="192"/>
      <c r="K3110" s="192"/>
      <c r="L3110" s="192"/>
      <c r="M3110" s="192"/>
      <c r="N3110" s="192"/>
    </row>
    <row r="3111" spans="10:14" ht="15.95" customHeight="1" x14ac:dyDescent="0.25">
      <c r="J3111" s="192"/>
      <c r="K3111" s="192"/>
      <c r="L3111" s="192"/>
      <c r="M3111" s="192"/>
      <c r="N3111" s="192"/>
    </row>
    <row r="3112" spans="10:14" ht="15.95" customHeight="1" x14ac:dyDescent="0.25">
      <c r="J3112" s="192"/>
      <c r="K3112" s="192"/>
      <c r="L3112" s="192"/>
      <c r="M3112" s="192"/>
      <c r="N3112" s="192"/>
    </row>
    <row r="3113" spans="10:14" ht="15.95" customHeight="1" x14ac:dyDescent="0.25">
      <c r="J3113" s="192"/>
      <c r="K3113" s="192"/>
      <c r="L3113" s="192"/>
      <c r="M3113" s="192"/>
      <c r="N3113" s="192"/>
    </row>
    <row r="3114" spans="10:14" ht="15.95" customHeight="1" x14ac:dyDescent="0.25">
      <c r="J3114" s="192"/>
      <c r="K3114" s="192"/>
      <c r="L3114" s="192"/>
      <c r="M3114" s="192"/>
      <c r="N3114" s="192"/>
    </row>
    <row r="3115" spans="10:14" ht="15.95" customHeight="1" x14ac:dyDescent="0.25">
      <c r="J3115" s="192"/>
      <c r="K3115" s="192"/>
      <c r="L3115" s="192"/>
      <c r="M3115" s="192"/>
      <c r="N3115" s="192"/>
    </row>
    <row r="3116" spans="10:14" ht="15.95" customHeight="1" x14ac:dyDescent="0.25">
      <c r="J3116" s="192"/>
      <c r="K3116" s="192"/>
      <c r="L3116" s="192"/>
      <c r="M3116" s="192"/>
      <c r="N3116" s="192"/>
    </row>
    <row r="3117" spans="10:14" ht="15.95" customHeight="1" x14ac:dyDescent="0.25">
      <c r="J3117" s="192"/>
      <c r="K3117" s="192"/>
      <c r="L3117" s="192"/>
      <c r="M3117" s="192"/>
      <c r="N3117" s="192"/>
    </row>
    <row r="3118" spans="10:14" ht="15.95" customHeight="1" x14ac:dyDescent="0.25">
      <c r="J3118" s="192"/>
      <c r="K3118" s="192"/>
      <c r="L3118" s="192"/>
      <c r="M3118" s="192"/>
      <c r="N3118" s="192"/>
    </row>
    <row r="3119" spans="10:14" ht="15.95" customHeight="1" x14ac:dyDescent="0.25">
      <c r="J3119" s="192"/>
      <c r="K3119" s="192"/>
      <c r="L3119" s="192"/>
      <c r="M3119" s="192"/>
      <c r="N3119" s="192"/>
    </row>
    <row r="3120" spans="10:14" ht="15.95" customHeight="1" x14ac:dyDescent="0.25">
      <c r="J3120" s="192"/>
      <c r="K3120" s="192"/>
      <c r="L3120" s="192"/>
      <c r="M3120" s="192"/>
      <c r="N3120" s="192"/>
    </row>
    <row r="3121" spans="10:14" ht="15.95" customHeight="1" x14ac:dyDescent="0.25">
      <c r="J3121" s="192"/>
      <c r="K3121" s="192"/>
      <c r="L3121" s="192"/>
      <c r="M3121" s="192"/>
      <c r="N3121" s="192"/>
    </row>
    <row r="3122" spans="10:14" ht="15.95" customHeight="1" x14ac:dyDescent="0.25">
      <c r="J3122" s="192"/>
      <c r="K3122" s="192"/>
      <c r="L3122" s="192"/>
      <c r="M3122" s="192"/>
      <c r="N3122" s="192"/>
    </row>
    <row r="3123" spans="10:14" ht="15.95" customHeight="1" x14ac:dyDescent="0.25">
      <c r="J3123" s="192"/>
      <c r="K3123" s="192"/>
      <c r="L3123" s="192"/>
      <c r="M3123" s="192"/>
      <c r="N3123" s="192"/>
    </row>
    <row r="3124" spans="10:14" ht="15.95" customHeight="1" x14ac:dyDescent="0.25">
      <c r="J3124" s="192"/>
      <c r="K3124" s="192"/>
      <c r="L3124" s="192"/>
      <c r="M3124" s="192"/>
      <c r="N3124" s="192"/>
    </row>
    <row r="3125" spans="10:14" ht="15.95" customHeight="1" x14ac:dyDescent="0.25">
      <c r="J3125" s="192"/>
      <c r="K3125" s="192"/>
      <c r="L3125" s="192"/>
      <c r="M3125" s="192"/>
      <c r="N3125" s="192"/>
    </row>
    <row r="3126" spans="10:14" ht="15.95" customHeight="1" x14ac:dyDescent="0.25">
      <c r="J3126" s="192"/>
      <c r="K3126" s="192"/>
      <c r="L3126" s="192"/>
      <c r="M3126" s="192"/>
      <c r="N3126" s="192"/>
    </row>
    <row r="3127" spans="10:14" ht="15.95" customHeight="1" x14ac:dyDescent="0.25">
      <c r="J3127" s="192"/>
      <c r="K3127" s="192"/>
      <c r="L3127" s="192"/>
      <c r="M3127" s="192"/>
      <c r="N3127" s="192"/>
    </row>
    <row r="3128" spans="10:14" ht="15.95" customHeight="1" x14ac:dyDescent="0.25">
      <c r="J3128" s="192"/>
      <c r="K3128" s="192"/>
      <c r="L3128" s="192"/>
      <c r="M3128" s="192"/>
      <c r="N3128" s="192"/>
    </row>
    <row r="3129" spans="10:14" ht="15.95" customHeight="1" x14ac:dyDescent="0.25">
      <c r="J3129" s="192"/>
      <c r="K3129" s="192"/>
      <c r="L3129" s="192"/>
      <c r="M3129" s="192"/>
      <c r="N3129" s="192"/>
    </row>
    <row r="3130" spans="10:14" ht="15.95" customHeight="1" x14ac:dyDescent="0.25">
      <c r="J3130" s="192"/>
      <c r="K3130" s="192"/>
      <c r="L3130" s="192"/>
      <c r="M3130" s="192"/>
      <c r="N3130" s="192"/>
    </row>
    <row r="3131" spans="10:14" ht="15.95" customHeight="1" x14ac:dyDescent="0.25">
      <c r="J3131" s="192"/>
      <c r="K3131" s="192"/>
      <c r="L3131" s="192"/>
      <c r="M3131" s="192"/>
      <c r="N3131" s="192"/>
    </row>
    <row r="3132" spans="10:14" ht="15.95" customHeight="1" x14ac:dyDescent="0.25">
      <c r="J3132" s="192"/>
      <c r="K3132" s="192"/>
      <c r="L3132" s="192"/>
      <c r="M3132" s="192"/>
      <c r="N3132" s="192"/>
    </row>
    <row r="3133" spans="10:14" ht="15.95" customHeight="1" x14ac:dyDescent="0.25">
      <c r="J3133" s="192"/>
      <c r="K3133" s="192"/>
      <c r="L3133" s="192"/>
      <c r="M3133" s="192"/>
      <c r="N3133" s="192"/>
    </row>
    <row r="3134" spans="10:14" ht="15.95" customHeight="1" x14ac:dyDescent="0.25">
      <c r="J3134" s="192"/>
      <c r="K3134" s="192"/>
      <c r="L3134" s="192"/>
      <c r="M3134" s="192"/>
      <c r="N3134" s="192"/>
    </row>
    <row r="3135" spans="10:14" ht="15.95" customHeight="1" x14ac:dyDescent="0.25">
      <c r="J3135" s="192"/>
      <c r="K3135" s="192"/>
      <c r="L3135" s="192"/>
      <c r="M3135" s="192"/>
      <c r="N3135" s="192"/>
    </row>
    <row r="3136" spans="10:14" ht="15.95" customHeight="1" x14ac:dyDescent="0.25">
      <c r="J3136" s="192"/>
      <c r="K3136" s="192"/>
      <c r="L3136" s="192"/>
      <c r="M3136" s="192"/>
      <c r="N3136" s="192"/>
    </row>
    <row r="3137" spans="9:14" ht="15.95" customHeight="1" x14ac:dyDescent="0.25">
      <c r="J3137" s="192"/>
      <c r="K3137" s="192"/>
      <c r="L3137" s="192"/>
      <c r="M3137" s="192"/>
      <c r="N3137" s="192"/>
    </row>
    <row r="3138" spans="9:14" ht="15.95" customHeight="1" x14ac:dyDescent="0.25">
      <c r="J3138" s="192"/>
      <c r="K3138" s="192"/>
      <c r="L3138" s="192"/>
      <c r="M3138" s="192"/>
      <c r="N3138" s="192"/>
    </row>
    <row r="3139" spans="9:14" ht="15.95" customHeight="1" x14ac:dyDescent="0.25">
      <c r="J3139" s="192"/>
      <c r="K3139" s="192"/>
      <c r="L3139" s="192"/>
      <c r="M3139" s="192"/>
      <c r="N3139" s="192"/>
    </row>
    <row r="3140" spans="9:14" ht="15.95" customHeight="1" x14ac:dyDescent="0.25">
      <c r="J3140" s="192"/>
      <c r="K3140" s="192"/>
      <c r="L3140" s="192"/>
      <c r="M3140" s="192"/>
      <c r="N3140" s="192"/>
    </row>
    <row r="3141" spans="9:14" ht="15.95" customHeight="1" x14ac:dyDescent="0.25">
      <c r="J3141" s="192"/>
      <c r="K3141" s="192"/>
      <c r="L3141" s="192"/>
      <c r="M3141" s="192"/>
      <c r="N3141" s="192"/>
    </row>
    <row r="3142" spans="9:14" ht="15.95" customHeight="1" x14ac:dyDescent="0.25">
      <c r="J3142" s="192"/>
      <c r="K3142" s="192"/>
      <c r="L3142" s="192"/>
      <c r="M3142" s="192"/>
      <c r="N3142" s="192"/>
    </row>
    <row r="3143" spans="9:14" ht="15.95" customHeight="1" x14ac:dyDescent="0.25">
      <c r="J3143" s="192"/>
      <c r="K3143" s="192"/>
      <c r="L3143" s="192"/>
      <c r="M3143" s="192"/>
      <c r="N3143" s="192"/>
    </row>
    <row r="3144" spans="9:14" ht="15.95" customHeight="1" x14ac:dyDescent="0.25">
      <c r="J3144" s="192"/>
      <c r="K3144" s="192"/>
      <c r="L3144" s="192"/>
      <c r="M3144" s="192"/>
      <c r="N3144" s="192"/>
    </row>
    <row r="3145" spans="9:14" ht="15.95" customHeight="1" x14ac:dyDescent="0.25">
      <c r="J3145" s="192"/>
      <c r="K3145" s="192"/>
      <c r="L3145" s="192"/>
      <c r="M3145" s="192"/>
      <c r="N3145" s="192"/>
    </row>
    <row r="3146" spans="9:14" ht="15.95" customHeight="1" x14ac:dyDescent="0.25"/>
    <row r="3147" spans="9:14" ht="15.95" customHeight="1" x14ac:dyDescent="0.25"/>
    <row r="3148" spans="9:14" ht="32.1" customHeight="1" x14ac:dyDescent="0.25">
      <c r="J3148" s="235" t="str">
        <f>ComparisonData!QE2</f>
        <v>SECTION B: OUR STAFF, SERVICES &amp; FACILITIES</v>
      </c>
      <c r="K3148" s="236"/>
      <c r="L3148" s="236"/>
      <c r="M3148" s="236"/>
      <c r="N3148" s="237"/>
    </row>
    <row r="3149" spans="9:14" ht="32.1" customHeight="1" x14ac:dyDescent="0.25">
      <c r="J3149" s="235" t="str">
        <f>ComparisonData!QE3</f>
        <v>7 (a) Please rate how satisfied you are with the following services.</v>
      </c>
      <c r="K3149" s="236"/>
      <c r="L3149" s="236"/>
      <c r="M3149" s="236"/>
      <c r="N3149" s="237"/>
    </row>
    <row r="3150" spans="9:14" ht="32.1" customHeight="1" x14ac:dyDescent="0.25">
      <c r="J3150" s="235" t="str">
        <f>ComparisonData!QE4</f>
        <v>Document delivery system</v>
      </c>
      <c r="K3150" s="236"/>
      <c r="L3150" s="236"/>
      <c r="M3150" s="236"/>
      <c r="N3150" s="237"/>
    </row>
    <row r="3151" spans="9:14" ht="32.1" customHeight="1" x14ac:dyDescent="0.25">
      <c r="J3151" s="185" t="str">
        <f>ComparisonData!QJ5</f>
        <v>Very satisfied</v>
      </c>
      <c r="K3151" s="185" t="str">
        <f>ComparisonData!QK5</f>
        <v>Satisfied</v>
      </c>
      <c r="L3151" s="185" t="str">
        <f>ComparisonData!QL5</f>
        <v>Neither</v>
      </c>
      <c r="M3151" s="185" t="str">
        <f>ComparisonData!QM5</f>
        <v>Not very satisfied</v>
      </c>
      <c r="N3151" s="185" t="str">
        <f>ComparisonData!QN5</f>
        <v>Not at all satisfied</v>
      </c>
    </row>
    <row r="3152" spans="9:14" ht="15.95" customHeight="1" x14ac:dyDescent="0.25">
      <c r="I3152" s="188" t="str" cm="1">
        <f t="array" aca="1" ref="I3152" ca="1">Document_delivery_system_lbl</f>
        <v>TOTAL</v>
      </c>
      <c r="J3152" s="192" cm="1">
        <f t="array" aca="1" ref="J3152" ca="1">Document_delivery_system_1</f>
        <v>0.82020000000000004</v>
      </c>
      <c r="K3152" s="192" cm="1">
        <f t="array" aca="1" ref="K3152" ca="1">Document_delivery_system_2</f>
        <v>0.14695</v>
      </c>
      <c r="L3152" s="192" cm="1">
        <f t="array" aca="1" ref="L3152" ca="1">Document_delivery_system_3</f>
        <v>1.831E-2</v>
      </c>
      <c r="M3152" s="192" cm="1">
        <f t="array" aca="1" ref="M3152" ca="1">Document_delivery_system_4</f>
        <v>8.3700000000000007E-3</v>
      </c>
      <c r="N3152" s="192" cm="1">
        <f t="array" aca="1" ref="N3152" ca="1">Document_delivery_system_5</f>
        <v>6.1790679747836209E-3</v>
      </c>
    </row>
    <row r="3153" spans="10:14" ht="15.95" customHeight="1" x14ac:dyDescent="0.25">
      <c r="J3153" s="192"/>
      <c r="K3153" s="192"/>
      <c r="L3153" s="192"/>
      <c r="M3153" s="192"/>
      <c r="N3153" s="192"/>
    </row>
    <row r="3154" spans="10:14" ht="15.95" customHeight="1" x14ac:dyDescent="0.25">
      <c r="J3154" s="192"/>
      <c r="K3154" s="192"/>
      <c r="L3154" s="192"/>
      <c r="M3154" s="192"/>
      <c r="N3154" s="192"/>
    </row>
    <row r="3155" spans="10:14" ht="15.95" customHeight="1" x14ac:dyDescent="0.25">
      <c r="J3155" s="192"/>
      <c r="K3155" s="192"/>
      <c r="L3155" s="192"/>
      <c r="M3155" s="192"/>
      <c r="N3155" s="192"/>
    </row>
    <row r="3156" spans="10:14" ht="15.95" customHeight="1" x14ac:dyDescent="0.25">
      <c r="J3156" s="192"/>
      <c r="K3156" s="192"/>
      <c r="L3156" s="192"/>
      <c r="M3156" s="192"/>
      <c r="N3156" s="192"/>
    </row>
    <row r="3157" spans="10:14" ht="15.95" customHeight="1" x14ac:dyDescent="0.25">
      <c r="J3157" s="192"/>
      <c r="K3157" s="192"/>
      <c r="L3157" s="192"/>
      <c r="M3157" s="192"/>
      <c r="N3157" s="192"/>
    </row>
    <row r="3158" spans="10:14" ht="15.95" customHeight="1" x14ac:dyDescent="0.25">
      <c r="J3158" s="192"/>
      <c r="K3158" s="192"/>
      <c r="L3158" s="192"/>
      <c r="M3158" s="192"/>
      <c r="N3158" s="192"/>
    </row>
    <row r="3159" spans="10:14" ht="15.95" customHeight="1" x14ac:dyDescent="0.25">
      <c r="J3159" s="192"/>
      <c r="K3159" s="192"/>
      <c r="L3159" s="192"/>
      <c r="M3159" s="192"/>
      <c r="N3159" s="192"/>
    </row>
    <row r="3160" spans="10:14" ht="15.95" customHeight="1" x14ac:dyDescent="0.25">
      <c r="J3160" s="192"/>
      <c r="K3160" s="192"/>
      <c r="L3160" s="192"/>
      <c r="M3160" s="192"/>
      <c r="N3160" s="192"/>
    </row>
    <row r="3161" spans="10:14" ht="15.95" customHeight="1" x14ac:dyDescent="0.25">
      <c r="J3161" s="192"/>
      <c r="K3161" s="192"/>
      <c r="L3161" s="192"/>
      <c r="M3161" s="192"/>
      <c r="N3161" s="192"/>
    </row>
    <row r="3162" spans="10:14" ht="15.95" customHeight="1" x14ac:dyDescent="0.25">
      <c r="J3162" s="192"/>
      <c r="K3162" s="192"/>
      <c r="L3162" s="192"/>
      <c r="M3162" s="192"/>
      <c r="N3162" s="192"/>
    </row>
    <row r="3163" spans="10:14" ht="15.95" customHeight="1" x14ac:dyDescent="0.25">
      <c r="J3163" s="192"/>
      <c r="K3163" s="192"/>
      <c r="L3163" s="192"/>
      <c r="M3163" s="192"/>
      <c r="N3163" s="192"/>
    </row>
    <row r="3164" spans="10:14" ht="15.95" customHeight="1" x14ac:dyDescent="0.25">
      <c r="J3164" s="192"/>
      <c r="K3164" s="192"/>
      <c r="L3164" s="192"/>
      <c r="M3164" s="192"/>
      <c r="N3164" s="192"/>
    </row>
    <row r="3165" spans="10:14" ht="15.95" customHeight="1" x14ac:dyDescent="0.25">
      <c r="J3165" s="192"/>
      <c r="K3165" s="192"/>
      <c r="L3165" s="192"/>
      <c r="M3165" s="192"/>
      <c r="N3165" s="192"/>
    </row>
    <row r="3166" spans="10:14" ht="15.95" customHeight="1" x14ac:dyDescent="0.25">
      <c r="J3166" s="192"/>
      <c r="K3166" s="192"/>
      <c r="L3166" s="192"/>
      <c r="M3166" s="192"/>
      <c r="N3166" s="192"/>
    </row>
    <row r="3167" spans="10:14" ht="15.95" customHeight="1" x14ac:dyDescent="0.25">
      <c r="J3167" s="192"/>
      <c r="K3167" s="192"/>
      <c r="L3167" s="192"/>
      <c r="M3167" s="192"/>
      <c r="N3167" s="192"/>
    </row>
    <row r="3168" spans="10:14" ht="15.95" customHeight="1" x14ac:dyDescent="0.25">
      <c r="J3168" s="192"/>
      <c r="K3168" s="192"/>
      <c r="L3168" s="192"/>
      <c r="M3168" s="192"/>
      <c r="N3168" s="192"/>
    </row>
    <row r="3169" spans="10:14" ht="15.95" customHeight="1" x14ac:dyDescent="0.25">
      <c r="J3169" s="192"/>
      <c r="K3169" s="192"/>
      <c r="L3169" s="192"/>
      <c r="M3169" s="192"/>
      <c r="N3169" s="192"/>
    </row>
    <row r="3170" spans="10:14" ht="15.95" customHeight="1" x14ac:dyDescent="0.25">
      <c r="J3170" s="192"/>
      <c r="K3170" s="192"/>
      <c r="L3170" s="192"/>
      <c r="M3170" s="192"/>
      <c r="N3170" s="192"/>
    </row>
    <row r="3171" spans="10:14" ht="15.95" customHeight="1" x14ac:dyDescent="0.25">
      <c r="J3171" s="192"/>
      <c r="K3171" s="192"/>
      <c r="L3171" s="192"/>
      <c r="M3171" s="192"/>
      <c r="N3171" s="192"/>
    </row>
    <row r="3172" spans="10:14" ht="15.95" customHeight="1" x14ac:dyDescent="0.25">
      <c r="J3172" s="192"/>
      <c r="K3172" s="192"/>
      <c r="L3172" s="192"/>
      <c r="M3172" s="192"/>
      <c r="N3172" s="192"/>
    </row>
    <row r="3173" spans="10:14" ht="15.95" customHeight="1" x14ac:dyDescent="0.25">
      <c r="J3173" s="192"/>
      <c r="K3173" s="192"/>
      <c r="L3173" s="192"/>
      <c r="M3173" s="192"/>
      <c r="N3173" s="192"/>
    </row>
    <row r="3174" spans="10:14" ht="15.95" customHeight="1" x14ac:dyDescent="0.25">
      <c r="J3174" s="192"/>
      <c r="K3174" s="192"/>
      <c r="L3174" s="192"/>
      <c r="M3174" s="192"/>
      <c r="N3174" s="192"/>
    </row>
    <row r="3175" spans="10:14" ht="15.95" customHeight="1" x14ac:dyDescent="0.25">
      <c r="J3175" s="192"/>
      <c r="K3175" s="192"/>
      <c r="L3175" s="192"/>
      <c r="M3175" s="192"/>
      <c r="N3175" s="192"/>
    </row>
    <row r="3176" spans="10:14" ht="15.95" customHeight="1" x14ac:dyDescent="0.25">
      <c r="J3176" s="192"/>
      <c r="K3176" s="192"/>
      <c r="L3176" s="192"/>
      <c r="M3176" s="192"/>
      <c r="N3176" s="192"/>
    </row>
    <row r="3177" spans="10:14" ht="15.95" customHeight="1" x14ac:dyDescent="0.25">
      <c r="J3177" s="192"/>
      <c r="K3177" s="192"/>
      <c r="L3177" s="192"/>
      <c r="M3177" s="192"/>
      <c r="N3177" s="192"/>
    </row>
    <row r="3178" spans="10:14" ht="15.95" customHeight="1" x14ac:dyDescent="0.25">
      <c r="J3178" s="192"/>
      <c r="K3178" s="192"/>
      <c r="L3178" s="192"/>
      <c r="M3178" s="192"/>
      <c r="N3178" s="192"/>
    </row>
    <row r="3179" spans="10:14" ht="15.95" customHeight="1" x14ac:dyDescent="0.25">
      <c r="J3179" s="192"/>
      <c r="K3179" s="192"/>
      <c r="L3179" s="192"/>
      <c r="M3179" s="192"/>
      <c r="N3179" s="192"/>
    </row>
    <row r="3180" spans="10:14" ht="15.95" customHeight="1" x14ac:dyDescent="0.25">
      <c r="J3180" s="192"/>
      <c r="K3180" s="192"/>
      <c r="L3180" s="192"/>
      <c r="M3180" s="192"/>
      <c r="N3180" s="192"/>
    </row>
    <row r="3181" spans="10:14" ht="15.95" customHeight="1" x14ac:dyDescent="0.25">
      <c r="J3181" s="192"/>
      <c r="K3181" s="192"/>
      <c r="L3181" s="192"/>
      <c r="M3181" s="192"/>
      <c r="N3181" s="192"/>
    </row>
    <row r="3182" spans="10:14" ht="15.95" customHeight="1" x14ac:dyDescent="0.25">
      <c r="J3182" s="192"/>
      <c r="K3182" s="192"/>
      <c r="L3182" s="192"/>
      <c r="M3182" s="192"/>
      <c r="N3182" s="192"/>
    </row>
    <row r="3183" spans="10:14" ht="15.95" customHeight="1" x14ac:dyDescent="0.25">
      <c r="J3183" s="192"/>
      <c r="K3183" s="192"/>
      <c r="L3183" s="192"/>
      <c r="M3183" s="192"/>
      <c r="N3183" s="192"/>
    </row>
    <row r="3184" spans="10:14" ht="15.95" customHeight="1" x14ac:dyDescent="0.25">
      <c r="J3184" s="192"/>
      <c r="K3184" s="192"/>
      <c r="L3184" s="192"/>
      <c r="M3184" s="192"/>
      <c r="N3184" s="192"/>
    </row>
    <row r="3185" spans="10:14" ht="15.95" customHeight="1" x14ac:dyDescent="0.25">
      <c r="J3185" s="192"/>
      <c r="K3185" s="192"/>
      <c r="L3185" s="192"/>
      <c r="M3185" s="192"/>
      <c r="N3185" s="192"/>
    </row>
    <row r="3186" spans="10:14" ht="15.95" customHeight="1" x14ac:dyDescent="0.25">
      <c r="J3186" s="192"/>
      <c r="K3186" s="192"/>
      <c r="L3186" s="192"/>
      <c r="M3186" s="192"/>
      <c r="N3186" s="192"/>
    </row>
    <row r="3187" spans="10:14" ht="15.95" customHeight="1" x14ac:dyDescent="0.25">
      <c r="J3187" s="192"/>
      <c r="K3187" s="192"/>
      <c r="L3187" s="192"/>
      <c r="M3187" s="192"/>
      <c r="N3187" s="192"/>
    </row>
    <row r="3188" spans="10:14" ht="15.95" customHeight="1" x14ac:dyDescent="0.25">
      <c r="J3188" s="192"/>
      <c r="K3188" s="192"/>
      <c r="L3188" s="192"/>
      <c r="M3188" s="192"/>
      <c r="N3188" s="192"/>
    </row>
    <row r="3189" spans="10:14" ht="15.95" customHeight="1" x14ac:dyDescent="0.25">
      <c r="J3189" s="192"/>
      <c r="K3189" s="192"/>
      <c r="L3189" s="192"/>
      <c r="M3189" s="192"/>
      <c r="N3189" s="192"/>
    </row>
    <row r="3190" spans="10:14" ht="15.95" customHeight="1" x14ac:dyDescent="0.25">
      <c r="J3190" s="192"/>
      <c r="K3190" s="192"/>
      <c r="L3190" s="192"/>
      <c r="M3190" s="192"/>
      <c r="N3190" s="192"/>
    </row>
    <row r="3191" spans="10:14" ht="15.95" customHeight="1" x14ac:dyDescent="0.25">
      <c r="J3191" s="192"/>
      <c r="K3191" s="192"/>
      <c r="L3191" s="192"/>
      <c r="M3191" s="192"/>
      <c r="N3191" s="192"/>
    </row>
    <row r="3192" spans="10:14" ht="15.95" customHeight="1" x14ac:dyDescent="0.25">
      <c r="J3192" s="192"/>
      <c r="K3192" s="192"/>
      <c r="L3192" s="192"/>
      <c r="M3192" s="192"/>
      <c r="N3192" s="192"/>
    </row>
    <row r="3193" spans="10:14" ht="15.95" customHeight="1" x14ac:dyDescent="0.25">
      <c r="J3193" s="192"/>
      <c r="K3193" s="192"/>
      <c r="L3193" s="192"/>
      <c r="M3193" s="192"/>
      <c r="N3193" s="192"/>
    </row>
    <row r="3194" spans="10:14" ht="15.95" customHeight="1" x14ac:dyDescent="0.25">
      <c r="J3194" s="192"/>
      <c r="K3194" s="192"/>
      <c r="L3194" s="192"/>
      <c r="M3194" s="192"/>
      <c r="N3194" s="192"/>
    </row>
    <row r="3195" spans="10:14" ht="15.95" customHeight="1" x14ac:dyDescent="0.25">
      <c r="J3195" s="192"/>
      <c r="K3195" s="192"/>
      <c r="L3195" s="192"/>
      <c r="M3195" s="192"/>
      <c r="N3195" s="192"/>
    </row>
    <row r="3196" spans="10:14" ht="15.95" customHeight="1" x14ac:dyDescent="0.25">
      <c r="J3196" s="192"/>
      <c r="K3196" s="192"/>
      <c r="L3196" s="192"/>
      <c r="M3196" s="192"/>
      <c r="N3196" s="192"/>
    </row>
    <row r="3197" spans="10:14" ht="15.95" customHeight="1" x14ac:dyDescent="0.25">
      <c r="J3197" s="192"/>
      <c r="K3197" s="192"/>
      <c r="L3197" s="192"/>
      <c r="M3197" s="192"/>
      <c r="N3197" s="192"/>
    </row>
    <row r="3198" spans="10:14" ht="15.95" customHeight="1" x14ac:dyDescent="0.25">
      <c r="J3198" s="192"/>
      <c r="K3198" s="192"/>
      <c r="L3198" s="192"/>
      <c r="M3198" s="192"/>
      <c r="N3198" s="192"/>
    </row>
    <row r="3199" spans="10:14" ht="15.95" customHeight="1" x14ac:dyDescent="0.25">
      <c r="J3199" s="192"/>
      <c r="K3199" s="192"/>
      <c r="L3199" s="192"/>
      <c r="M3199" s="192"/>
      <c r="N3199" s="192"/>
    </row>
    <row r="3200" spans="10:14" ht="15.95" customHeight="1" x14ac:dyDescent="0.25">
      <c r="J3200" s="192"/>
      <c r="K3200" s="192"/>
      <c r="L3200" s="192"/>
      <c r="M3200" s="192"/>
      <c r="N3200" s="192"/>
    </row>
    <row r="3201" spans="10:14" ht="15.95" customHeight="1" x14ac:dyDescent="0.25">
      <c r="J3201" s="192"/>
      <c r="K3201" s="192"/>
      <c r="L3201" s="192"/>
      <c r="M3201" s="192"/>
      <c r="N3201" s="192"/>
    </row>
    <row r="3202" spans="10:14" ht="15.95" customHeight="1" x14ac:dyDescent="0.25">
      <c r="J3202" s="192"/>
      <c r="K3202" s="192"/>
      <c r="L3202" s="192"/>
      <c r="M3202" s="192"/>
      <c r="N3202" s="192"/>
    </row>
    <row r="3203" spans="10:14" ht="15.95" customHeight="1" x14ac:dyDescent="0.25">
      <c r="J3203" s="192"/>
      <c r="K3203" s="192"/>
      <c r="L3203" s="192"/>
      <c r="M3203" s="192"/>
      <c r="N3203" s="192"/>
    </row>
    <row r="3204" spans="10:14" ht="15.95" customHeight="1" x14ac:dyDescent="0.25">
      <c r="J3204" s="192"/>
      <c r="K3204" s="192"/>
      <c r="L3204" s="192"/>
      <c r="M3204" s="192"/>
      <c r="N3204" s="192"/>
    </row>
    <row r="3205" spans="10:14" ht="15.95" customHeight="1" x14ac:dyDescent="0.25">
      <c r="J3205" s="192"/>
      <c r="K3205" s="192"/>
      <c r="L3205" s="192"/>
      <c r="M3205" s="192"/>
      <c r="N3205" s="192"/>
    </row>
    <row r="3206" spans="10:14" ht="15.95" customHeight="1" x14ac:dyDescent="0.25">
      <c r="J3206" s="192"/>
      <c r="K3206" s="192"/>
      <c r="L3206" s="192"/>
      <c r="M3206" s="192"/>
      <c r="N3206" s="192"/>
    </row>
    <row r="3207" spans="10:14" ht="15.95" customHeight="1" x14ac:dyDescent="0.25">
      <c r="J3207" s="192"/>
      <c r="K3207" s="192"/>
      <c r="L3207" s="192"/>
      <c r="M3207" s="192"/>
      <c r="N3207" s="192"/>
    </row>
    <row r="3208" spans="10:14" ht="15.95" customHeight="1" x14ac:dyDescent="0.25">
      <c r="J3208" s="192"/>
      <c r="K3208" s="192"/>
      <c r="L3208" s="192"/>
      <c r="M3208" s="192"/>
      <c r="N3208" s="192"/>
    </row>
    <row r="3209" spans="10:14" ht="15.95" customHeight="1" x14ac:dyDescent="0.25">
      <c r="J3209" s="192"/>
      <c r="K3209" s="192"/>
      <c r="L3209" s="192"/>
      <c r="M3209" s="192"/>
      <c r="N3209" s="192"/>
    </row>
    <row r="3210" spans="10:14" ht="15.95" customHeight="1" x14ac:dyDescent="0.25">
      <c r="J3210" s="192"/>
      <c r="K3210" s="192"/>
      <c r="L3210" s="192"/>
      <c r="M3210" s="192"/>
      <c r="N3210" s="192"/>
    </row>
    <row r="3211" spans="10:14" ht="15.95" customHeight="1" x14ac:dyDescent="0.25">
      <c r="J3211" s="192"/>
      <c r="K3211" s="192"/>
      <c r="L3211" s="192"/>
      <c r="M3211" s="192"/>
      <c r="N3211" s="192"/>
    </row>
    <row r="3212" spans="10:14" ht="15.95" customHeight="1" x14ac:dyDescent="0.25">
      <c r="J3212" s="192"/>
      <c r="K3212" s="192"/>
      <c r="L3212" s="192"/>
      <c r="M3212" s="192"/>
      <c r="N3212" s="192"/>
    </row>
    <row r="3213" spans="10:14" ht="15.95" customHeight="1" x14ac:dyDescent="0.25">
      <c r="J3213" s="192"/>
      <c r="K3213" s="192"/>
      <c r="L3213" s="192"/>
      <c r="M3213" s="192"/>
      <c r="N3213" s="192"/>
    </row>
    <row r="3214" spans="10:14" ht="15.95" customHeight="1" x14ac:dyDescent="0.25">
      <c r="J3214" s="192"/>
      <c r="K3214" s="192"/>
      <c r="L3214" s="192"/>
      <c r="M3214" s="192"/>
      <c r="N3214" s="192"/>
    </row>
    <row r="3215" spans="10:14" ht="15.95" customHeight="1" x14ac:dyDescent="0.25">
      <c r="J3215" s="192"/>
      <c r="K3215" s="192"/>
      <c r="L3215" s="192"/>
      <c r="M3215" s="192"/>
      <c r="N3215" s="192"/>
    </row>
    <row r="3216" spans="10:14" ht="15.95" customHeight="1" x14ac:dyDescent="0.25">
      <c r="J3216" s="192"/>
      <c r="K3216" s="192"/>
      <c r="L3216" s="192"/>
      <c r="M3216" s="192"/>
      <c r="N3216" s="192"/>
    </row>
    <row r="3217" spans="10:14" ht="15.95" customHeight="1" x14ac:dyDescent="0.25">
      <c r="J3217" s="192"/>
      <c r="K3217" s="192"/>
      <c r="L3217" s="192"/>
      <c r="M3217" s="192"/>
      <c r="N3217" s="192"/>
    </row>
    <row r="3218" spans="10:14" ht="15.95" customHeight="1" x14ac:dyDescent="0.25">
      <c r="J3218" s="192"/>
      <c r="K3218" s="192"/>
      <c r="L3218" s="192"/>
      <c r="M3218" s="192"/>
      <c r="N3218" s="192"/>
    </row>
    <row r="3219" spans="10:14" ht="15.95" customHeight="1" x14ac:dyDescent="0.25">
      <c r="J3219" s="192"/>
      <c r="K3219" s="192"/>
      <c r="L3219" s="192"/>
      <c r="M3219" s="192"/>
      <c r="N3219" s="192"/>
    </row>
    <row r="3220" spans="10:14" ht="15.95" customHeight="1" x14ac:dyDescent="0.25">
      <c r="J3220" s="192"/>
      <c r="K3220" s="192"/>
      <c r="L3220" s="192"/>
      <c r="M3220" s="192"/>
      <c r="N3220" s="192"/>
    </row>
    <row r="3221" spans="10:14" ht="15.95" customHeight="1" x14ac:dyDescent="0.25">
      <c r="J3221" s="192"/>
      <c r="K3221" s="192"/>
      <c r="L3221" s="192"/>
      <c r="M3221" s="192"/>
      <c r="N3221" s="192"/>
    </row>
    <row r="3222" spans="10:14" ht="15.95" customHeight="1" x14ac:dyDescent="0.25">
      <c r="J3222" s="192"/>
      <c r="K3222" s="192"/>
      <c r="L3222" s="192"/>
      <c r="M3222" s="192"/>
      <c r="N3222" s="192"/>
    </row>
    <row r="3223" spans="10:14" ht="15.95" customHeight="1" x14ac:dyDescent="0.25">
      <c r="J3223" s="192"/>
      <c r="K3223" s="192"/>
      <c r="L3223" s="192"/>
      <c r="M3223" s="192"/>
      <c r="N3223" s="192"/>
    </row>
    <row r="3224" spans="10:14" ht="15.95" customHeight="1" x14ac:dyDescent="0.25">
      <c r="J3224" s="192"/>
      <c r="K3224" s="192"/>
      <c r="L3224" s="192"/>
      <c r="M3224" s="192"/>
      <c r="N3224" s="192"/>
    </row>
    <row r="3225" spans="10:14" ht="15.95" customHeight="1" x14ac:dyDescent="0.25">
      <c r="J3225" s="192"/>
      <c r="K3225" s="192"/>
      <c r="L3225" s="192"/>
      <c r="M3225" s="192"/>
      <c r="N3225" s="192"/>
    </row>
    <row r="3226" spans="10:14" ht="15.95" customHeight="1" x14ac:dyDescent="0.25">
      <c r="J3226" s="192"/>
      <c r="K3226" s="192"/>
      <c r="L3226" s="192"/>
      <c r="M3226" s="192"/>
      <c r="N3226" s="192"/>
    </row>
    <row r="3227" spans="10:14" ht="15.95" customHeight="1" x14ac:dyDescent="0.25">
      <c r="J3227" s="192"/>
      <c r="K3227" s="192"/>
      <c r="L3227" s="192"/>
      <c r="M3227" s="192"/>
      <c r="N3227" s="192"/>
    </row>
    <row r="3228" spans="10:14" ht="15.95" customHeight="1" x14ac:dyDescent="0.25">
      <c r="J3228" s="192"/>
      <c r="K3228" s="192"/>
      <c r="L3228" s="192"/>
      <c r="M3228" s="192"/>
      <c r="N3228" s="192"/>
    </row>
    <row r="3229" spans="10:14" ht="15.95" customHeight="1" x14ac:dyDescent="0.25">
      <c r="J3229" s="192"/>
      <c r="K3229" s="192"/>
      <c r="L3229" s="192"/>
      <c r="M3229" s="192"/>
      <c r="N3229" s="192"/>
    </row>
    <row r="3230" spans="10:14" ht="15.95" customHeight="1" x14ac:dyDescent="0.25">
      <c r="J3230" s="192"/>
      <c r="K3230" s="192"/>
      <c r="L3230" s="192"/>
      <c r="M3230" s="192"/>
      <c r="N3230" s="192"/>
    </row>
    <row r="3231" spans="10:14" ht="15.95" customHeight="1" x14ac:dyDescent="0.25">
      <c r="J3231" s="192"/>
      <c r="K3231" s="192"/>
      <c r="L3231" s="192"/>
      <c r="M3231" s="192"/>
      <c r="N3231" s="192"/>
    </row>
    <row r="3232" spans="10:14" ht="15.95" customHeight="1" x14ac:dyDescent="0.25">
      <c r="J3232" s="192"/>
      <c r="K3232" s="192"/>
      <c r="L3232" s="192"/>
      <c r="M3232" s="192"/>
      <c r="N3232" s="192"/>
    </row>
    <row r="3233" spans="10:14" ht="15.95" customHeight="1" x14ac:dyDescent="0.25">
      <c r="J3233" s="192"/>
      <c r="K3233" s="192"/>
      <c r="L3233" s="192"/>
      <c r="M3233" s="192"/>
      <c r="N3233" s="192"/>
    </row>
    <row r="3234" spans="10:14" ht="15.95" customHeight="1" x14ac:dyDescent="0.25">
      <c r="J3234" s="192"/>
      <c r="K3234" s="192"/>
      <c r="L3234" s="192"/>
      <c r="M3234" s="192"/>
      <c r="N3234" s="192"/>
    </row>
    <row r="3235" spans="10:14" ht="15.95" customHeight="1" x14ac:dyDescent="0.25">
      <c r="J3235" s="192"/>
      <c r="K3235" s="192"/>
      <c r="L3235" s="192"/>
      <c r="M3235" s="192"/>
      <c r="N3235" s="192"/>
    </row>
    <row r="3236" spans="10:14" ht="15.95" customHeight="1" x14ac:dyDescent="0.25">
      <c r="J3236" s="192"/>
      <c r="K3236" s="192"/>
      <c r="L3236" s="192"/>
      <c r="M3236" s="192"/>
      <c r="N3236" s="192"/>
    </row>
    <row r="3237" spans="10:14" ht="15.95" customHeight="1" x14ac:dyDescent="0.25">
      <c r="J3237" s="192"/>
      <c r="K3237" s="192"/>
      <c r="L3237" s="192"/>
      <c r="M3237" s="192"/>
      <c r="N3237" s="192"/>
    </row>
    <row r="3238" spans="10:14" ht="15.95" customHeight="1" x14ac:dyDescent="0.25">
      <c r="J3238" s="192"/>
      <c r="K3238" s="192"/>
      <c r="L3238" s="192"/>
      <c r="M3238" s="192"/>
      <c r="N3238" s="192"/>
    </row>
    <row r="3239" spans="10:14" ht="15.95" customHeight="1" x14ac:dyDescent="0.25">
      <c r="J3239" s="192"/>
      <c r="K3239" s="192"/>
      <c r="L3239" s="192"/>
      <c r="M3239" s="192"/>
      <c r="N3239" s="192"/>
    </row>
    <row r="3240" spans="10:14" ht="15.95" customHeight="1" x14ac:dyDescent="0.25">
      <c r="J3240" s="192"/>
      <c r="K3240" s="192"/>
      <c r="L3240" s="192"/>
      <c r="M3240" s="192"/>
      <c r="N3240" s="192"/>
    </row>
    <row r="3241" spans="10:14" ht="15.95" customHeight="1" x14ac:dyDescent="0.25">
      <c r="J3241" s="192"/>
      <c r="K3241" s="192"/>
      <c r="L3241" s="192"/>
      <c r="M3241" s="192"/>
      <c r="N3241" s="192"/>
    </row>
    <row r="3242" spans="10:14" ht="15.95" customHeight="1" x14ac:dyDescent="0.25">
      <c r="J3242" s="192"/>
      <c r="K3242" s="192"/>
      <c r="L3242" s="192"/>
      <c r="M3242" s="192"/>
      <c r="N3242" s="192"/>
    </row>
    <row r="3243" spans="10:14" ht="15.95" customHeight="1" x14ac:dyDescent="0.25">
      <c r="J3243" s="192"/>
      <c r="K3243" s="192"/>
      <c r="L3243" s="192"/>
      <c r="M3243" s="192"/>
      <c r="N3243" s="192"/>
    </row>
    <row r="3244" spans="10:14" ht="15.95" customHeight="1" x14ac:dyDescent="0.25">
      <c r="J3244" s="192"/>
      <c r="K3244" s="192"/>
      <c r="L3244" s="192"/>
      <c r="M3244" s="192"/>
      <c r="N3244" s="192"/>
    </row>
    <row r="3245" spans="10:14" ht="15.95" customHeight="1" x14ac:dyDescent="0.25">
      <c r="J3245" s="192"/>
      <c r="K3245" s="192"/>
      <c r="L3245" s="192"/>
      <c r="M3245" s="192"/>
      <c r="N3245" s="192"/>
    </row>
    <row r="3246" spans="10:14" ht="15.95" customHeight="1" x14ac:dyDescent="0.25">
      <c r="J3246" s="192"/>
      <c r="K3246" s="192"/>
      <c r="L3246" s="192"/>
      <c r="M3246" s="192"/>
      <c r="N3246" s="192"/>
    </row>
    <row r="3247" spans="10:14" ht="15.95" customHeight="1" x14ac:dyDescent="0.25">
      <c r="J3247" s="192"/>
      <c r="K3247" s="192"/>
      <c r="L3247" s="192"/>
      <c r="M3247" s="192"/>
      <c r="N3247" s="192"/>
    </row>
    <row r="3248" spans="10:14" ht="15.95" customHeight="1" x14ac:dyDescent="0.25">
      <c r="J3248" s="192"/>
      <c r="K3248" s="192"/>
      <c r="L3248" s="192"/>
      <c r="M3248" s="192"/>
      <c r="N3248" s="192"/>
    </row>
    <row r="3249" spans="10:14" ht="15.95" customHeight="1" x14ac:dyDescent="0.25">
      <c r="J3249" s="192"/>
      <c r="K3249" s="192"/>
      <c r="L3249" s="192"/>
      <c r="M3249" s="192"/>
      <c r="N3249" s="192"/>
    </row>
    <row r="3250" spans="10:14" ht="15.95" customHeight="1" x14ac:dyDescent="0.25">
      <c r="J3250" s="192"/>
      <c r="K3250" s="192"/>
      <c r="L3250" s="192"/>
      <c r="M3250" s="192"/>
      <c r="N3250" s="192"/>
    </row>
    <row r="3251" spans="10:14" ht="15.95" customHeight="1" x14ac:dyDescent="0.25">
      <c r="J3251" s="192"/>
      <c r="K3251" s="192"/>
      <c r="L3251" s="192"/>
      <c r="M3251" s="192"/>
      <c r="N3251" s="192"/>
    </row>
    <row r="3252" spans="10:14" ht="15.95" customHeight="1" x14ac:dyDescent="0.25">
      <c r="J3252" s="192"/>
      <c r="K3252" s="192"/>
      <c r="L3252" s="192"/>
      <c r="M3252" s="192"/>
      <c r="N3252" s="192"/>
    </row>
    <row r="3253" spans="10:14" ht="15.95" customHeight="1" x14ac:dyDescent="0.25">
      <c r="J3253" s="192"/>
      <c r="K3253" s="192"/>
      <c r="L3253" s="192"/>
      <c r="M3253" s="192"/>
      <c r="N3253" s="192"/>
    </row>
    <row r="3254" spans="10:14" ht="15.95" customHeight="1" x14ac:dyDescent="0.25">
      <c r="J3254" s="192"/>
      <c r="K3254" s="192"/>
      <c r="L3254" s="192"/>
      <c r="M3254" s="192"/>
      <c r="N3254" s="192"/>
    </row>
    <row r="3255" spans="10:14" ht="15.95" customHeight="1" x14ac:dyDescent="0.25">
      <c r="J3255" s="192"/>
      <c r="K3255" s="192"/>
      <c r="L3255" s="192"/>
      <c r="M3255" s="192"/>
      <c r="N3255" s="192"/>
    </row>
    <row r="3256" spans="10:14" ht="15.95" customHeight="1" x14ac:dyDescent="0.25">
      <c r="J3256" s="192"/>
      <c r="K3256" s="192"/>
      <c r="L3256" s="192"/>
      <c r="M3256" s="192"/>
      <c r="N3256" s="192"/>
    </row>
    <row r="3257" spans="10:14" ht="15.95" customHeight="1" x14ac:dyDescent="0.25">
      <c r="J3257" s="192"/>
      <c r="K3257" s="192"/>
      <c r="L3257" s="192"/>
      <c r="M3257" s="192"/>
      <c r="N3257" s="192"/>
    </row>
    <row r="3258" spans="10:14" ht="15.95" customHeight="1" x14ac:dyDescent="0.25">
      <c r="J3258" s="192"/>
      <c r="K3258" s="192"/>
      <c r="L3258" s="192"/>
      <c r="M3258" s="192"/>
      <c r="N3258" s="192"/>
    </row>
    <row r="3259" spans="10:14" ht="15.95" customHeight="1" x14ac:dyDescent="0.25">
      <c r="J3259" s="192"/>
      <c r="K3259" s="192"/>
      <c r="L3259" s="192"/>
      <c r="M3259" s="192"/>
      <c r="N3259" s="192"/>
    </row>
    <row r="3260" spans="10:14" ht="15.95" customHeight="1" x14ac:dyDescent="0.25">
      <c r="J3260" s="192"/>
      <c r="K3260" s="192"/>
      <c r="L3260" s="192"/>
      <c r="M3260" s="192"/>
      <c r="N3260" s="192"/>
    </row>
    <row r="3261" spans="10:14" ht="15.95" customHeight="1" x14ac:dyDescent="0.25">
      <c r="J3261" s="192"/>
      <c r="K3261" s="192"/>
      <c r="L3261" s="192"/>
      <c r="M3261" s="192"/>
      <c r="N3261" s="192"/>
    </row>
    <row r="3262" spans="10:14" ht="15.95" customHeight="1" x14ac:dyDescent="0.25"/>
    <row r="3263" spans="10:14" ht="15.95" customHeight="1" x14ac:dyDescent="0.25"/>
    <row r="3264" spans="10:14" ht="32.1" customHeight="1" x14ac:dyDescent="0.25">
      <c r="J3264" s="235" t="str">
        <f>ComparisonData!QW2</f>
        <v>SECTION B: OUR STAFF, SERVICES &amp; FACILITIES</v>
      </c>
      <c r="K3264" s="236"/>
      <c r="L3264" s="236"/>
      <c r="M3264" s="236"/>
      <c r="N3264" s="237"/>
    </row>
    <row r="3265" spans="9:14" ht="32.1" customHeight="1" x14ac:dyDescent="0.25">
      <c r="J3265" s="235" t="str">
        <f>ComparisonData!QW3</f>
        <v>7 (a) Please rate how satisfied you are with the following services.</v>
      </c>
      <c r="K3265" s="236"/>
      <c r="L3265" s="236"/>
      <c r="M3265" s="236"/>
      <c r="N3265" s="237"/>
    </row>
    <row r="3266" spans="9:14" ht="32.1" customHeight="1" x14ac:dyDescent="0.25">
      <c r="J3266" s="235" t="str">
        <f>ComparisonData!QW4</f>
        <v>Microfilm and microfiche facilities</v>
      </c>
      <c r="K3266" s="236"/>
      <c r="L3266" s="236"/>
      <c r="M3266" s="236"/>
      <c r="N3266" s="237"/>
    </row>
    <row r="3267" spans="9:14" ht="32.1" customHeight="1" x14ac:dyDescent="0.25">
      <c r="J3267" s="185" t="str">
        <f>ComparisonData!RB5</f>
        <v>Very satisfied</v>
      </c>
      <c r="K3267" s="185" t="str">
        <f>ComparisonData!RC5</f>
        <v>Satisfied</v>
      </c>
      <c r="L3267" s="185" t="str">
        <f>ComparisonData!RD5</f>
        <v>Neither</v>
      </c>
      <c r="M3267" s="185" t="str">
        <f>ComparisonData!RE5</f>
        <v>Not very satisfied</v>
      </c>
      <c r="N3267" s="185" t="str">
        <f>ComparisonData!RF5</f>
        <v>Not at all satisfied</v>
      </c>
    </row>
    <row r="3268" spans="9:14" ht="15.95" customHeight="1" x14ac:dyDescent="0.25">
      <c r="I3268" s="188" t="str" cm="1">
        <f t="array" aca="1" ref="I3268" ca="1">Microfilm_and_microfiche_facilities_lbl</f>
        <v>TOTAL</v>
      </c>
      <c r="J3268" s="192" cm="1">
        <f t="array" aca="1" ref="J3268" ca="1">Microfilm_and_microfiche_facilities_1</f>
        <v>0.60207999999999995</v>
      </c>
      <c r="K3268" s="192" cm="1">
        <f t="array" aca="1" ref="K3268" ca="1">Microfilm_and_microfiche_facilities_2</f>
        <v>0.25142999999999999</v>
      </c>
      <c r="L3268" s="192" cm="1">
        <f t="array" aca="1" ref="L3268" ca="1">Microfilm_and_microfiche_facilities_3</f>
        <v>8.7279999999999996E-2</v>
      </c>
      <c r="M3268" s="192" cm="1">
        <f t="array" aca="1" ref="M3268" ca="1">Microfilm_and_microfiche_facilities_4</f>
        <v>4.1079999999999998E-2</v>
      </c>
      <c r="N3268" s="192" cm="1">
        <f t="array" aca="1" ref="N3268" ca="1">Microfilm_and_microfiche_facilities_5</f>
        <v>1.8127144493384352E-2</v>
      </c>
    </row>
    <row r="3269" spans="9:14" ht="15.95" customHeight="1" x14ac:dyDescent="0.25">
      <c r="J3269" s="192"/>
      <c r="K3269" s="192"/>
      <c r="L3269" s="192"/>
      <c r="M3269" s="192"/>
      <c r="N3269" s="192"/>
    </row>
    <row r="3270" spans="9:14" ht="15.95" customHeight="1" x14ac:dyDescent="0.25">
      <c r="J3270" s="192"/>
      <c r="K3270" s="192"/>
      <c r="L3270" s="192"/>
      <c r="M3270" s="192"/>
      <c r="N3270" s="192"/>
    </row>
    <row r="3271" spans="9:14" ht="15.95" customHeight="1" x14ac:dyDescent="0.25">
      <c r="J3271" s="192"/>
      <c r="K3271" s="192"/>
      <c r="L3271" s="192"/>
      <c r="M3271" s="192"/>
      <c r="N3271" s="192"/>
    </row>
    <row r="3272" spans="9:14" ht="15.95" customHeight="1" x14ac:dyDescent="0.25">
      <c r="J3272" s="192"/>
      <c r="K3272" s="192"/>
      <c r="L3272" s="192"/>
      <c r="M3272" s="192"/>
      <c r="N3272" s="192"/>
    </row>
    <row r="3273" spans="9:14" ht="15.95" customHeight="1" x14ac:dyDescent="0.25">
      <c r="J3273" s="192"/>
      <c r="K3273" s="192"/>
      <c r="L3273" s="192"/>
      <c r="M3273" s="192"/>
      <c r="N3273" s="192"/>
    </row>
    <row r="3274" spans="9:14" ht="15.95" customHeight="1" x14ac:dyDescent="0.25">
      <c r="J3274" s="192"/>
      <c r="K3274" s="192"/>
      <c r="L3274" s="192"/>
      <c r="M3274" s="192"/>
      <c r="N3274" s="192"/>
    </row>
    <row r="3275" spans="9:14" ht="15.95" customHeight="1" x14ac:dyDescent="0.25">
      <c r="J3275" s="192"/>
      <c r="K3275" s="192"/>
      <c r="L3275" s="192"/>
      <c r="M3275" s="192"/>
      <c r="N3275" s="192"/>
    </row>
    <row r="3276" spans="9:14" ht="15.95" customHeight="1" x14ac:dyDescent="0.25">
      <c r="J3276" s="192"/>
      <c r="K3276" s="192"/>
      <c r="L3276" s="192"/>
      <c r="M3276" s="192"/>
      <c r="N3276" s="192"/>
    </row>
    <row r="3277" spans="9:14" ht="15.95" customHeight="1" x14ac:dyDescent="0.25">
      <c r="J3277" s="192"/>
      <c r="K3277" s="192"/>
      <c r="L3277" s="192"/>
      <c r="M3277" s="192"/>
      <c r="N3277" s="192"/>
    </row>
    <row r="3278" spans="9:14" ht="15.95" customHeight="1" x14ac:dyDescent="0.25">
      <c r="J3278" s="192"/>
      <c r="K3278" s="192"/>
      <c r="L3278" s="192"/>
      <c r="M3278" s="192"/>
      <c r="N3278" s="192"/>
    </row>
    <row r="3279" spans="9:14" ht="15.95" customHeight="1" x14ac:dyDescent="0.25">
      <c r="J3279" s="192"/>
      <c r="K3279" s="192"/>
      <c r="L3279" s="192"/>
      <c r="M3279" s="192"/>
      <c r="N3279" s="192"/>
    </row>
    <row r="3280" spans="9:14" ht="15.95" customHeight="1" x14ac:dyDescent="0.25">
      <c r="J3280" s="192"/>
      <c r="K3280" s="192"/>
      <c r="L3280" s="192"/>
      <c r="M3280" s="192"/>
      <c r="N3280" s="192"/>
    </row>
    <row r="3281" spans="10:14" ht="15.95" customHeight="1" x14ac:dyDescent="0.25">
      <c r="J3281" s="192"/>
      <c r="K3281" s="192"/>
      <c r="L3281" s="192"/>
      <c r="M3281" s="192"/>
      <c r="N3281" s="192"/>
    </row>
    <row r="3282" spans="10:14" ht="15.95" customHeight="1" x14ac:dyDescent="0.25">
      <c r="J3282" s="192"/>
      <c r="K3282" s="192"/>
      <c r="L3282" s="192"/>
      <c r="M3282" s="192"/>
      <c r="N3282" s="192"/>
    </row>
    <row r="3283" spans="10:14" ht="15.95" customHeight="1" x14ac:dyDescent="0.25">
      <c r="J3283" s="192"/>
      <c r="K3283" s="192"/>
      <c r="L3283" s="192"/>
      <c r="M3283" s="192"/>
      <c r="N3283" s="192"/>
    </row>
    <row r="3284" spans="10:14" ht="15.95" customHeight="1" x14ac:dyDescent="0.25">
      <c r="J3284" s="192"/>
      <c r="K3284" s="192"/>
      <c r="L3284" s="192"/>
      <c r="M3284" s="192"/>
      <c r="N3284" s="192"/>
    </row>
    <row r="3285" spans="10:14" ht="15.95" customHeight="1" x14ac:dyDescent="0.25">
      <c r="J3285" s="192"/>
      <c r="K3285" s="192"/>
      <c r="L3285" s="192"/>
      <c r="M3285" s="192"/>
      <c r="N3285" s="192"/>
    </row>
    <row r="3286" spans="10:14" ht="15.95" customHeight="1" x14ac:dyDescent="0.25">
      <c r="J3286" s="192"/>
      <c r="K3286" s="192"/>
      <c r="L3286" s="192"/>
      <c r="M3286" s="192"/>
      <c r="N3286" s="192"/>
    </row>
    <row r="3287" spans="10:14" ht="15.95" customHeight="1" x14ac:dyDescent="0.25">
      <c r="J3287" s="192"/>
      <c r="K3287" s="192"/>
      <c r="L3287" s="192"/>
      <c r="M3287" s="192"/>
      <c r="N3287" s="192"/>
    </row>
    <row r="3288" spans="10:14" ht="15.95" customHeight="1" x14ac:dyDescent="0.25">
      <c r="J3288" s="192"/>
      <c r="K3288" s="192"/>
      <c r="L3288" s="192"/>
      <c r="M3288" s="192"/>
      <c r="N3288" s="192"/>
    </row>
    <row r="3289" spans="10:14" ht="15.95" customHeight="1" x14ac:dyDescent="0.25">
      <c r="J3289" s="192"/>
      <c r="K3289" s="192"/>
      <c r="L3289" s="192"/>
      <c r="M3289" s="192"/>
      <c r="N3289" s="192"/>
    </row>
    <row r="3290" spans="10:14" ht="15.95" customHeight="1" x14ac:dyDescent="0.25">
      <c r="J3290" s="192"/>
      <c r="K3290" s="192"/>
      <c r="L3290" s="192"/>
      <c r="M3290" s="192"/>
      <c r="N3290" s="192"/>
    </row>
    <row r="3291" spans="10:14" ht="15.95" customHeight="1" x14ac:dyDescent="0.25">
      <c r="J3291" s="192"/>
      <c r="K3291" s="192"/>
      <c r="L3291" s="192"/>
      <c r="M3291" s="192"/>
      <c r="N3291" s="192"/>
    </row>
    <row r="3292" spans="10:14" ht="15.95" customHeight="1" x14ac:dyDescent="0.25">
      <c r="J3292" s="192"/>
      <c r="K3292" s="192"/>
      <c r="L3292" s="192"/>
      <c r="M3292" s="192"/>
      <c r="N3292" s="192"/>
    </row>
    <row r="3293" spans="10:14" ht="15.95" customHeight="1" x14ac:dyDescent="0.25">
      <c r="J3293" s="192"/>
      <c r="K3293" s="192"/>
      <c r="L3293" s="192"/>
      <c r="M3293" s="192"/>
      <c r="N3293" s="192"/>
    </row>
    <row r="3294" spans="10:14" ht="15.95" customHeight="1" x14ac:dyDescent="0.25">
      <c r="J3294" s="192"/>
      <c r="K3294" s="192"/>
      <c r="L3294" s="192"/>
      <c r="M3294" s="192"/>
      <c r="N3294" s="192"/>
    </row>
    <row r="3295" spans="10:14" ht="15.95" customHeight="1" x14ac:dyDescent="0.25">
      <c r="J3295" s="192"/>
      <c r="K3295" s="192"/>
      <c r="L3295" s="192"/>
      <c r="M3295" s="192"/>
      <c r="N3295" s="192"/>
    </row>
    <row r="3296" spans="10:14" ht="15.95" customHeight="1" x14ac:dyDescent="0.25">
      <c r="J3296" s="192"/>
      <c r="K3296" s="192"/>
      <c r="L3296" s="192"/>
      <c r="M3296" s="192"/>
      <c r="N3296" s="192"/>
    </row>
    <row r="3297" spans="10:14" ht="15.95" customHeight="1" x14ac:dyDescent="0.25">
      <c r="J3297" s="192"/>
      <c r="K3297" s="192"/>
      <c r="L3297" s="192"/>
      <c r="M3297" s="192"/>
      <c r="N3297" s="192"/>
    </row>
    <row r="3298" spans="10:14" ht="15.95" customHeight="1" x14ac:dyDescent="0.25">
      <c r="J3298" s="192"/>
      <c r="K3298" s="192"/>
      <c r="L3298" s="192"/>
      <c r="M3298" s="192"/>
      <c r="N3298" s="192"/>
    </row>
    <row r="3299" spans="10:14" ht="15.95" customHeight="1" x14ac:dyDescent="0.25">
      <c r="J3299" s="192"/>
      <c r="K3299" s="192"/>
      <c r="L3299" s="192"/>
      <c r="M3299" s="192"/>
      <c r="N3299" s="192"/>
    </row>
    <row r="3300" spans="10:14" ht="15.95" customHeight="1" x14ac:dyDescent="0.25">
      <c r="J3300" s="192"/>
      <c r="K3300" s="192"/>
      <c r="L3300" s="192"/>
      <c r="M3300" s="192"/>
      <c r="N3300" s="192"/>
    </row>
    <row r="3301" spans="10:14" ht="15.95" customHeight="1" x14ac:dyDescent="0.25">
      <c r="J3301" s="192"/>
      <c r="K3301" s="192"/>
      <c r="L3301" s="192"/>
      <c r="M3301" s="192"/>
      <c r="N3301" s="192"/>
    </row>
    <row r="3302" spans="10:14" ht="15.95" customHeight="1" x14ac:dyDescent="0.25">
      <c r="J3302" s="192"/>
      <c r="K3302" s="192"/>
      <c r="L3302" s="192"/>
      <c r="M3302" s="192"/>
      <c r="N3302" s="192"/>
    </row>
    <row r="3303" spans="10:14" ht="15.95" customHeight="1" x14ac:dyDescent="0.25">
      <c r="J3303" s="192"/>
      <c r="K3303" s="192"/>
      <c r="L3303" s="192"/>
      <c r="M3303" s="192"/>
      <c r="N3303" s="192"/>
    </row>
    <row r="3304" spans="10:14" ht="15.95" customHeight="1" x14ac:dyDescent="0.25">
      <c r="J3304" s="192"/>
      <c r="K3304" s="192"/>
      <c r="L3304" s="192"/>
      <c r="M3304" s="192"/>
      <c r="N3304" s="192"/>
    </row>
    <row r="3305" spans="10:14" ht="15.95" customHeight="1" x14ac:dyDescent="0.25">
      <c r="J3305" s="192"/>
      <c r="K3305" s="192"/>
      <c r="L3305" s="192"/>
      <c r="M3305" s="192"/>
      <c r="N3305" s="192"/>
    </row>
    <row r="3306" spans="10:14" ht="15.95" customHeight="1" x14ac:dyDescent="0.25">
      <c r="J3306" s="192"/>
      <c r="K3306" s="192"/>
      <c r="L3306" s="192"/>
      <c r="M3306" s="192"/>
      <c r="N3306" s="192"/>
    </row>
    <row r="3307" spans="10:14" ht="15.95" customHeight="1" x14ac:dyDescent="0.25">
      <c r="J3307" s="192"/>
      <c r="K3307" s="192"/>
      <c r="L3307" s="192"/>
      <c r="M3307" s="192"/>
      <c r="N3307" s="192"/>
    </row>
    <row r="3308" spans="10:14" ht="15.95" customHeight="1" x14ac:dyDescent="0.25">
      <c r="J3308" s="192"/>
      <c r="K3308" s="192"/>
      <c r="L3308" s="192"/>
      <c r="M3308" s="192"/>
      <c r="N3308" s="192"/>
    </row>
    <row r="3309" spans="10:14" ht="15.95" customHeight="1" x14ac:dyDescent="0.25">
      <c r="J3309" s="192"/>
      <c r="K3309" s="192"/>
      <c r="L3309" s="192"/>
      <c r="M3309" s="192"/>
      <c r="N3309" s="192"/>
    </row>
    <row r="3310" spans="10:14" ht="15.95" customHeight="1" x14ac:dyDescent="0.25">
      <c r="J3310" s="192"/>
      <c r="K3310" s="192"/>
      <c r="L3310" s="192"/>
      <c r="M3310" s="192"/>
      <c r="N3310" s="192"/>
    </row>
    <row r="3311" spans="10:14" ht="15.95" customHeight="1" x14ac:dyDescent="0.25">
      <c r="J3311" s="192"/>
      <c r="K3311" s="192"/>
      <c r="L3311" s="192"/>
      <c r="M3311" s="192"/>
      <c r="N3311" s="192"/>
    </row>
    <row r="3312" spans="10:14" ht="15.95" customHeight="1" x14ac:dyDescent="0.25">
      <c r="J3312" s="192"/>
      <c r="K3312" s="192"/>
      <c r="L3312" s="192"/>
      <c r="M3312" s="192"/>
      <c r="N3312" s="192"/>
    </row>
    <row r="3313" spans="10:14" ht="15.95" customHeight="1" x14ac:dyDescent="0.25">
      <c r="J3313" s="192"/>
      <c r="K3313" s="192"/>
      <c r="L3313" s="192"/>
      <c r="M3313" s="192"/>
      <c r="N3313" s="192"/>
    </row>
    <row r="3314" spans="10:14" ht="15.95" customHeight="1" x14ac:dyDescent="0.25">
      <c r="J3314" s="192"/>
      <c r="K3314" s="192"/>
      <c r="L3314" s="192"/>
      <c r="M3314" s="192"/>
      <c r="N3314" s="192"/>
    </row>
    <row r="3315" spans="10:14" ht="15.95" customHeight="1" x14ac:dyDescent="0.25">
      <c r="J3315" s="192"/>
      <c r="K3315" s="192"/>
      <c r="L3315" s="192"/>
      <c r="M3315" s="192"/>
      <c r="N3315" s="192"/>
    </row>
    <row r="3316" spans="10:14" ht="15.95" customHeight="1" x14ac:dyDescent="0.25">
      <c r="J3316" s="192"/>
      <c r="K3316" s="192"/>
      <c r="L3316" s="192"/>
      <c r="M3316" s="192"/>
      <c r="N3316" s="192"/>
    </row>
    <row r="3317" spans="10:14" ht="15.95" customHeight="1" x14ac:dyDescent="0.25">
      <c r="J3317" s="192"/>
      <c r="K3317" s="192"/>
      <c r="L3317" s="192"/>
      <c r="M3317" s="192"/>
      <c r="N3317" s="192"/>
    </row>
    <row r="3318" spans="10:14" ht="15.95" customHeight="1" x14ac:dyDescent="0.25">
      <c r="J3318" s="192"/>
      <c r="K3318" s="192"/>
      <c r="L3318" s="192"/>
      <c r="M3318" s="192"/>
      <c r="N3318" s="192"/>
    </row>
    <row r="3319" spans="10:14" ht="15.95" customHeight="1" x14ac:dyDescent="0.25">
      <c r="J3319" s="192"/>
      <c r="K3319" s="192"/>
      <c r="L3319" s="192"/>
      <c r="M3319" s="192"/>
      <c r="N3319" s="192"/>
    </row>
    <row r="3320" spans="10:14" ht="15.95" customHeight="1" x14ac:dyDescent="0.25">
      <c r="J3320" s="192"/>
      <c r="K3320" s="192"/>
      <c r="L3320" s="192"/>
      <c r="M3320" s="192"/>
      <c r="N3320" s="192"/>
    </row>
    <row r="3321" spans="10:14" ht="15.95" customHeight="1" x14ac:dyDescent="0.25">
      <c r="J3321" s="192"/>
      <c r="K3321" s="192"/>
      <c r="L3321" s="192"/>
      <c r="M3321" s="192"/>
      <c r="N3321" s="192"/>
    </row>
    <row r="3322" spans="10:14" ht="15.95" customHeight="1" x14ac:dyDescent="0.25">
      <c r="J3322" s="192"/>
      <c r="K3322" s="192"/>
      <c r="L3322" s="192"/>
      <c r="M3322" s="192"/>
      <c r="N3322" s="192"/>
    </row>
    <row r="3323" spans="10:14" ht="15.95" customHeight="1" x14ac:dyDescent="0.25">
      <c r="J3323" s="192"/>
      <c r="K3323" s="192"/>
      <c r="L3323" s="192"/>
      <c r="M3323" s="192"/>
      <c r="N3323" s="192"/>
    </row>
    <row r="3324" spans="10:14" ht="15.95" customHeight="1" x14ac:dyDescent="0.25">
      <c r="J3324" s="192"/>
      <c r="K3324" s="192"/>
      <c r="L3324" s="192"/>
      <c r="M3324" s="192"/>
      <c r="N3324" s="192"/>
    </row>
    <row r="3325" spans="10:14" ht="15.95" customHeight="1" x14ac:dyDescent="0.25">
      <c r="J3325" s="192"/>
      <c r="K3325" s="192"/>
      <c r="L3325" s="192"/>
      <c r="M3325" s="192"/>
      <c r="N3325" s="192"/>
    </row>
    <row r="3326" spans="10:14" ht="15.95" customHeight="1" x14ac:dyDescent="0.25">
      <c r="J3326" s="192"/>
      <c r="K3326" s="192"/>
      <c r="L3326" s="192"/>
      <c r="M3326" s="192"/>
      <c r="N3326" s="192"/>
    </row>
    <row r="3327" spans="10:14" ht="15.95" customHeight="1" x14ac:dyDescent="0.25">
      <c r="J3327" s="192"/>
      <c r="K3327" s="192"/>
      <c r="L3327" s="192"/>
      <c r="M3327" s="192"/>
      <c r="N3327" s="192"/>
    </row>
    <row r="3328" spans="10:14" ht="15.95" customHeight="1" x14ac:dyDescent="0.25">
      <c r="J3328" s="192"/>
      <c r="K3328" s="192"/>
      <c r="L3328" s="192"/>
      <c r="M3328" s="192"/>
      <c r="N3328" s="192"/>
    </row>
    <row r="3329" spans="10:14" ht="15.95" customHeight="1" x14ac:dyDescent="0.25">
      <c r="J3329" s="192"/>
      <c r="K3329" s="192"/>
      <c r="L3329" s="192"/>
      <c r="M3329" s="192"/>
      <c r="N3329" s="192"/>
    </row>
    <row r="3330" spans="10:14" ht="15.95" customHeight="1" x14ac:dyDescent="0.25">
      <c r="J3330" s="192"/>
      <c r="K3330" s="192"/>
      <c r="L3330" s="192"/>
      <c r="M3330" s="192"/>
      <c r="N3330" s="192"/>
    </row>
    <row r="3331" spans="10:14" ht="15.95" customHeight="1" x14ac:dyDescent="0.25">
      <c r="J3331" s="192"/>
      <c r="K3331" s="192"/>
      <c r="L3331" s="192"/>
      <c r="M3331" s="192"/>
      <c r="N3331" s="192"/>
    </row>
    <row r="3332" spans="10:14" ht="15.95" customHeight="1" x14ac:dyDescent="0.25">
      <c r="J3332" s="192"/>
      <c r="K3332" s="192"/>
      <c r="L3332" s="192"/>
      <c r="M3332" s="192"/>
      <c r="N3332" s="192"/>
    </row>
    <row r="3333" spans="10:14" ht="15.95" customHeight="1" x14ac:dyDescent="0.25">
      <c r="J3333" s="192"/>
      <c r="K3333" s="192"/>
      <c r="L3333" s="192"/>
      <c r="M3333" s="192"/>
      <c r="N3333" s="192"/>
    </row>
    <row r="3334" spans="10:14" ht="15.95" customHeight="1" x14ac:dyDescent="0.25">
      <c r="J3334" s="192"/>
      <c r="K3334" s="192"/>
      <c r="L3334" s="192"/>
      <c r="M3334" s="192"/>
      <c r="N3334" s="192"/>
    </row>
    <row r="3335" spans="10:14" ht="15.95" customHeight="1" x14ac:dyDescent="0.25">
      <c r="J3335" s="192"/>
      <c r="K3335" s="192"/>
      <c r="L3335" s="192"/>
      <c r="M3335" s="192"/>
      <c r="N3335" s="192"/>
    </row>
    <row r="3336" spans="10:14" ht="15.95" customHeight="1" x14ac:dyDescent="0.25">
      <c r="J3336" s="192"/>
      <c r="K3336" s="192"/>
      <c r="L3336" s="192"/>
      <c r="M3336" s="192"/>
      <c r="N3336" s="192"/>
    </row>
    <row r="3337" spans="10:14" ht="15.95" customHeight="1" x14ac:dyDescent="0.25">
      <c r="J3337" s="192"/>
      <c r="K3337" s="192"/>
      <c r="L3337" s="192"/>
      <c r="M3337" s="192"/>
      <c r="N3337" s="192"/>
    </row>
    <row r="3338" spans="10:14" ht="15.95" customHeight="1" x14ac:dyDescent="0.25">
      <c r="J3338" s="192"/>
      <c r="K3338" s="192"/>
      <c r="L3338" s="192"/>
      <c r="M3338" s="192"/>
      <c r="N3338" s="192"/>
    </row>
    <row r="3339" spans="10:14" ht="15.95" customHeight="1" x14ac:dyDescent="0.25">
      <c r="J3339" s="192"/>
      <c r="K3339" s="192"/>
      <c r="L3339" s="192"/>
      <c r="M3339" s="192"/>
      <c r="N3339" s="192"/>
    </row>
    <row r="3340" spans="10:14" ht="15.95" customHeight="1" x14ac:dyDescent="0.25">
      <c r="J3340" s="192"/>
      <c r="K3340" s="192"/>
      <c r="L3340" s="192"/>
      <c r="M3340" s="192"/>
      <c r="N3340" s="192"/>
    </row>
    <row r="3341" spans="10:14" ht="15.95" customHeight="1" x14ac:dyDescent="0.25">
      <c r="J3341" s="192"/>
      <c r="K3341" s="192"/>
      <c r="L3341" s="192"/>
      <c r="M3341" s="192"/>
      <c r="N3341" s="192"/>
    </row>
    <row r="3342" spans="10:14" ht="15.95" customHeight="1" x14ac:dyDescent="0.25">
      <c r="J3342" s="192"/>
      <c r="K3342" s="192"/>
      <c r="L3342" s="192"/>
      <c r="M3342" s="192"/>
      <c r="N3342" s="192"/>
    </row>
    <row r="3343" spans="10:14" ht="15.95" customHeight="1" x14ac:dyDescent="0.25">
      <c r="J3343" s="192"/>
      <c r="K3343" s="192"/>
      <c r="L3343" s="192"/>
      <c r="M3343" s="192"/>
      <c r="N3343" s="192"/>
    </row>
    <row r="3344" spans="10:14" ht="15.95" customHeight="1" x14ac:dyDescent="0.25">
      <c r="J3344" s="192"/>
      <c r="K3344" s="192"/>
      <c r="L3344" s="192"/>
      <c r="M3344" s="192"/>
      <c r="N3344" s="192"/>
    </row>
    <row r="3345" spans="10:14" ht="15.95" customHeight="1" x14ac:dyDescent="0.25">
      <c r="J3345" s="192"/>
      <c r="K3345" s="192"/>
      <c r="L3345" s="192"/>
      <c r="M3345" s="192"/>
      <c r="N3345" s="192"/>
    </row>
    <row r="3346" spans="10:14" ht="15.95" customHeight="1" x14ac:dyDescent="0.25">
      <c r="J3346" s="192"/>
      <c r="K3346" s="192"/>
      <c r="L3346" s="192"/>
      <c r="M3346" s="192"/>
      <c r="N3346" s="192"/>
    </row>
    <row r="3347" spans="10:14" ht="15.95" customHeight="1" x14ac:dyDescent="0.25">
      <c r="J3347" s="192"/>
      <c r="K3347" s="192"/>
      <c r="L3347" s="192"/>
      <c r="M3347" s="192"/>
      <c r="N3347" s="192"/>
    </row>
    <row r="3348" spans="10:14" ht="15.95" customHeight="1" x14ac:dyDescent="0.25">
      <c r="J3348" s="192"/>
      <c r="K3348" s="192"/>
      <c r="L3348" s="192"/>
      <c r="M3348" s="192"/>
      <c r="N3348" s="192"/>
    </row>
    <row r="3349" spans="10:14" ht="15.95" customHeight="1" x14ac:dyDescent="0.25">
      <c r="J3349" s="192"/>
      <c r="K3349" s="192"/>
      <c r="L3349" s="192"/>
      <c r="M3349" s="192"/>
      <c r="N3349" s="192"/>
    </row>
    <row r="3350" spans="10:14" ht="15.95" customHeight="1" x14ac:dyDescent="0.25">
      <c r="J3350" s="192"/>
      <c r="K3350" s="192"/>
      <c r="L3350" s="192"/>
      <c r="M3350" s="192"/>
      <c r="N3350" s="192"/>
    </row>
    <row r="3351" spans="10:14" ht="15.95" customHeight="1" x14ac:dyDescent="0.25">
      <c r="J3351" s="192"/>
      <c r="K3351" s="192"/>
      <c r="L3351" s="192"/>
      <c r="M3351" s="192"/>
      <c r="N3351" s="192"/>
    </row>
    <row r="3352" spans="10:14" ht="15.95" customHeight="1" x14ac:dyDescent="0.25">
      <c r="J3352" s="192"/>
      <c r="K3352" s="192"/>
      <c r="L3352" s="192"/>
      <c r="M3352" s="192"/>
      <c r="N3352" s="192"/>
    </row>
    <row r="3353" spans="10:14" ht="15.95" customHeight="1" x14ac:dyDescent="0.25">
      <c r="J3353" s="192"/>
      <c r="K3353" s="192"/>
      <c r="L3353" s="192"/>
      <c r="M3353" s="192"/>
      <c r="N3353" s="192"/>
    </row>
    <row r="3354" spans="10:14" ht="15.95" customHeight="1" x14ac:dyDescent="0.25">
      <c r="J3354" s="192"/>
      <c r="K3354" s="192"/>
      <c r="L3354" s="192"/>
      <c r="M3354" s="192"/>
      <c r="N3354" s="192"/>
    </row>
    <row r="3355" spans="10:14" ht="15.95" customHeight="1" x14ac:dyDescent="0.25">
      <c r="J3355" s="192"/>
      <c r="K3355" s="192"/>
      <c r="L3355" s="192"/>
      <c r="M3355" s="192"/>
      <c r="N3355" s="192"/>
    </row>
    <row r="3356" spans="10:14" ht="15.95" customHeight="1" x14ac:dyDescent="0.25">
      <c r="J3356" s="192"/>
      <c r="K3356" s="192"/>
      <c r="L3356" s="192"/>
      <c r="M3356" s="192"/>
      <c r="N3356" s="192"/>
    </row>
    <row r="3357" spans="10:14" ht="15.95" customHeight="1" x14ac:dyDescent="0.25">
      <c r="J3357" s="192"/>
      <c r="K3357" s="192"/>
      <c r="L3357" s="192"/>
      <c r="M3357" s="192"/>
      <c r="N3357" s="192"/>
    </row>
    <row r="3358" spans="10:14" ht="15.95" customHeight="1" x14ac:dyDescent="0.25">
      <c r="J3358" s="192"/>
      <c r="K3358" s="192"/>
      <c r="L3358" s="192"/>
      <c r="M3358" s="192"/>
      <c r="N3358" s="192"/>
    </row>
    <row r="3359" spans="10:14" ht="15.95" customHeight="1" x14ac:dyDescent="0.25">
      <c r="J3359" s="192"/>
      <c r="K3359" s="192"/>
      <c r="L3359" s="192"/>
      <c r="M3359" s="192"/>
      <c r="N3359" s="192"/>
    </row>
    <row r="3360" spans="10:14" ht="15.95" customHeight="1" x14ac:dyDescent="0.25">
      <c r="J3360" s="192"/>
      <c r="K3360" s="192"/>
      <c r="L3360" s="192"/>
      <c r="M3360" s="192"/>
      <c r="N3360" s="192"/>
    </row>
    <row r="3361" spans="9:14" ht="15.95" customHeight="1" x14ac:dyDescent="0.25">
      <c r="J3361" s="192"/>
      <c r="K3361" s="192"/>
      <c r="L3361" s="192"/>
      <c r="M3361" s="192"/>
      <c r="N3361" s="192"/>
    </row>
    <row r="3362" spans="9:14" ht="15.95" customHeight="1" x14ac:dyDescent="0.25">
      <c r="J3362" s="192"/>
      <c r="K3362" s="192"/>
      <c r="L3362" s="192"/>
      <c r="M3362" s="192"/>
      <c r="N3362" s="192"/>
    </row>
    <row r="3363" spans="9:14" ht="15.95" customHeight="1" x14ac:dyDescent="0.25">
      <c r="J3363" s="192"/>
      <c r="K3363" s="192"/>
      <c r="L3363" s="192"/>
      <c r="M3363" s="192"/>
      <c r="N3363" s="192"/>
    </row>
    <row r="3364" spans="9:14" ht="15.95" customHeight="1" x14ac:dyDescent="0.25">
      <c r="J3364" s="192"/>
      <c r="K3364" s="192"/>
      <c r="L3364" s="192"/>
      <c r="M3364" s="192"/>
      <c r="N3364" s="192"/>
    </row>
    <row r="3365" spans="9:14" ht="15.95" customHeight="1" x14ac:dyDescent="0.25">
      <c r="J3365" s="192"/>
      <c r="K3365" s="192"/>
      <c r="L3365" s="192"/>
      <c r="M3365" s="192"/>
      <c r="N3365" s="192"/>
    </row>
    <row r="3366" spans="9:14" ht="15.95" customHeight="1" x14ac:dyDescent="0.25">
      <c r="J3366" s="192"/>
      <c r="K3366" s="192"/>
      <c r="L3366" s="192"/>
      <c r="M3366" s="192"/>
      <c r="N3366" s="192"/>
    </row>
    <row r="3367" spans="9:14" ht="15.95" customHeight="1" x14ac:dyDescent="0.25">
      <c r="J3367" s="192"/>
      <c r="K3367" s="192"/>
      <c r="L3367" s="192"/>
      <c r="M3367" s="192"/>
      <c r="N3367" s="192"/>
    </row>
    <row r="3368" spans="9:14" ht="15.95" customHeight="1" x14ac:dyDescent="0.25"/>
    <row r="3369" spans="9:14" ht="15.95" customHeight="1" x14ac:dyDescent="0.25"/>
    <row r="3370" spans="9:14" ht="32.1" customHeight="1" x14ac:dyDescent="0.25">
      <c r="J3370" s="235" t="str">
        <f>ComparisonData!RO2</f>
        <v>SECTION B: OUR STAFF, SERVICES &amp; FACILITIES</v>
      </c>
      <c r="K3370" s="236"/>
      <c r="L3370" s="236"/>
      <c r="M3370" s="236"/>
      <c r="N3370" s="237"/>
    </row>
    <row r="3371" spans="9:14" ht="32.1" customHeight="1" x14ac:dyDescent="0.25">
      <c r="J3371" s="235" t="str">
        <f>ComparisonData!RO3</f>
        <v>7 (a) Please rate how satisfied you are with the following services.</v>
      </c>
      <c r="K3371" s="236"/>
      <c r="L3371" s="236"/>
      <c r="M3371" s="236"/>
      <c r="N3371" s="237"/>
    </row>
    <row r="3372" spans="9:14" ht="32.1" customHeight="1" x14ac:dyDescent="0.25">
      <c r="J3372" s="235" t="str">
        <f>ComparisonData!RO4</f>
        <v>Our copy services</v>
      </c>
      <c r="K3372" s="236"/>
      <c r="L3372" s="236"/>
      <c r="M3372" s="236"/>
      <c r="N3372" s="237"/>
    </row>
    <row r="3373" spans="9:14" ht="32.1" customHeight="1" x14ac:dyDescent="0.25">
      <c r="J3373" s="185" t="str">
        <f>ComparisonData!RT5</f>
        <v>Very satisfied</v>
      </c>
      <c r="K3373" s="185" t="str">
        <f>ComparisonData!RU5</f>
        <v>Satisfied</v>
      </c>
      <c r="L3373" s="185" t="str">
        <f>ComparisonData!RV5</f>
        <v>Neither</v>
      </c>
      <c r="M3373" s="185" t="str">
        <f>ComparisonData!RW5</f>
        <v>Not very satisfied</v>
      </c>
      <c r="N3373" s="185" t="str">
        <f>ComparisonData!RX5</f>
        <v>Not at all satisfied</v>
      </c>
    </row>
    <row r="3374" spans="9:14" ht="15.95" customHeight="1" x14ac:dyDescent="0.25">
      <c r="I3374" s="188" t="str" cm="1">
        <f t="array" aca="1" ref="I3374" ca="1">Our_copy_services_lbl</f>
        <v>TOTAL</v>
      </c>
      <c r="J3374" s="192" cm="1">
        <f t="array" aca="1" ref="J3374" ca="1">Our_copy_services_1</f>
        <v>0.68491999999999997</v>
      </c>
      <c r="K3374" s="192" cm="1">
        <f t="array" aca="1" ref="K3374" ca="1">Our_copy_services_2</f>
        <v>0.15828</v>
      </c>
      <c r="L3374" s="192" cm="1">
        <f t="array" aca="1" ref="L3374" ca="1">Our_copy_services_3</f>
        <v>7.5359999999999996E-2</v>
      </c>
      <c r="M3374" s="192" cm="1">
        <f t="array" aca="1" ref="M3374" ca="1">Our_copy_services_4</f>
        <v>3.7859999999999998E-2</v>
      </c>
      <c r="N3374" s="192" cm="1">
        <f t="array" aca="1" ref="N3374" ca="1">Our_copy_services_5</f>
        <v>4.3585958572584717E-2</v>
      </c>
    </row>
    <row r="3375" spans="9:14" ht="15.95" customHeight="1" x14ac:dyDescent="0.25">
      <c r="J3375" s="192"/>
      <c r="K3375" s="192"/>
      <c r="L3375" s="192"/>
      <c r="M3375" s="192"/>
      <c r="N3375" s="192"/>
    </row>
    <row r="3376" spans="9:14" ht="15.95" customHeight="1" x14ac:dyDescent="0.25">
      <c r="J3376" s="192"/>
      <c r="K3376" s="192"/>
      <c r="L3376" s="192"/>
      <c r="M3376" s="192"/>
      <c r="N3376" s="192"/>
    </row>
    <row r="3377" spans="10:14" ht="15.95" customHeight="1" x14ac:dyDescent="0.25">
      <c r="J3377" s="192"/>
      <c r="K3377" s="192"/>
      <c r="L3377" s="192"/>
      <c r="M3377" s="192"/>
      <c r="N3377" s="192"/>
    </row>
    <row r="3378" spans="10:14" ht="15.95" customHeight="1" x14ac:dyDescent="0.25">
      <c r="J3378" s="192"/>
      <c r="K3378" s="192"/>
      <c r="L3378" s="192"/>
      <c r="M3378" s="192"/>
      <c r="N3378" s="192"/>
    </row>
    <row r="3379" spans="10:14" ht="15.95" customHeight="1" x14ac:dyDescent="0.25">
      <c r="J3379" s="192"/>
      <c r="K3379" s="192"/>
      <c r="L3379" s="192"/>
      <c r="M3379" s="192"/>
      <c r="N3379" s="192"/>
    </row>
    <row r="3380" spans="10:14" ht="15.95" customHeight="1" x14ac:dyDescent="0.25">
      <c r="J3380" s="192"/>
      <c r="K3380" s="192"/>
      <c r="L3380" s="192"/>
      <c r="M3380" s="192"/>
      <c r="N3380" s="192"/>
    </row>
    <row r="3381" spans="10:14" ht="15.95" customHeight="1" x14ac:dyDescent="0.25">
      <c r="J3381" s="192"/>
      <c r="K3381" s="192"/>
      <c r="L3381" s="192"/>
      <c r="M3381" s="192"/>
      <c r="N3381" s="192"/>
    </row>
    <row r="3382" spans="10:14" ht="15.95" customHeight="1" x14ac:dyDescent="0.25">
      <c r="J3382" s="192"/>
      <c r="K3382" s="192"/>
      <c r="L3382" s="192"/>
      <c r="M3382" s="192"/>
      <c r="N3382" s="192"/>
    </row>
    <row r="3383" spans="10:14" ht="15.95" customHeight="1" x14ac:dyDescent="0.25">
      <c r="J3383" s="192"/>
      <c r="K3383" s="192"/>
      <c r="L3383" s="192"/>
      <c r="M3383" s="192"/>
      <c r="N3383" s="192"/>
    </row>
    <row r="3384" spans="10:14" ht="15.95" customHeight="1" x14ac:dyDescent="0.25">
      <c r="J3384" s="192"/>
      <c r="K3384" s="192"/>
      <c r="L3384" s="192"/>
      <c r="M3384" s="192"/>
      <c r="N3384" s="192"/>
    </row>
    <row r="3385" spans="10:14" ht="15.95" customHeight="1" x14ac:dyDescent="0.25">
      <c r="J3385" s="192"/>
      <c r="K3385" s="192"/>
      <c r="L3385" s="192"/>
      <c r="M3385" s="192"/>
      <c r="N3385" s="192"/>
    </row>
    <row r="3386" spans="10:14" ht="15.95" customHeight="1" x14ac:dyDescent="0.25">
      <c r="J3386" s="192"/>
      <c r="K3386" s="192"/>
      <c r="L3386" s="192"/>
      <c r="M3386" s="192"/>
      <c r="N3386" s="192"/>
    </row>
    <row r="3387" spans="10:14" ht="15.95" customHeight="1" x14ac:dyDescent="0.25">
      <c r="J3387" s="192"/>
      <c r="K3387" s="192"/>
      <c r="L3387" s="192"/>
      <c r="M3387" s="192"/>
      <c r="N3387" s="192"/>
    </row>
    <row r="3388" spans="10:14" ht="15.95" customHeight="1" x14ac:dyDescent="0.25">
      <c r="J3388" s="192"/>
      <c r="K3388" s="192"/>
      <c r="L3388" s="192"/>
      <c r="M3388" s="192"/>
      <c r="N3388" s="192"/>
    </row>
    <row r="3389" spans="10:14" ht="15.95" customHeight="1" x14ac:dyDescent="0.25">
      <c r="J3389" s="192"/>
      <c r="K3389" s="192"/>
      <c r="L3389" s="192"/>
      <c r="M3389" s="192"/>
      <c r="N3389" s="192"/>
    </row>
    <row r="3390" spans="10:14" ht="15.95" customHeight="1" x14ac:dyDescent="0.25">
      <c r="J3390" s="192"/>
      <c r="K3390" s="192"/>
      <c r="L3390" s="192"/>
      <c r="M3390" s="192"/>
      <c r="N3390" s="192"/>
    </row>
    <row r="3391" spans="10:14" ht="15.95" customHeight="1" x14ac:dyDescent="0.25">
      <c r="J3391" s="192"/>
      <c r="K3391" s="192"/>
      <c r="L3391" s="192"/>
      <c r="M3391" s="192"/>
      <c r="N3391" s="192"/>
    </row>
    <row r="3392" spans="10:14" ht="15.95" customHeight="1" x14ac:dyDescent="0.25">
      <c r="J3392" s="192"/>
      <c r="K3392" s="192"/>
      <c r="L3392" s="192"/>
      <c r="M3392" s="192"/>
      <c r="N3392" s="192"/>
    </row>
    <row r="3393" spans="10:14" ht="15.95" customHeight="1" x14ac:dyDescent="0.25">
      <c r="J3393" s="192"/>
      <c r="K3393" s="192"/>
      <c r="L3393" s="192"/>
      <c r="M3393" s="192"/>
      <c r="N3393" s="192"/>
    </row>
    <row r="3394" spans="10:14" ht="15.95" customHeight="1" x14ac:dyDescent="0.25">
      <c r="J3394" s="192"/>
      <c r="K3394" s="192"/>
      <c r="L3394" s="192"/>
      <c r="M3394" s="192"/>
      <c r="N3394" s="192"/>
    </row>
    <row r="3395" spans="10:14" ht="15.95" customHeight="1" x14ac:dyDescent="0.25">
      <c r="J3395" s="192"/>
      <c r="K3395" s="192"/>
      <c r="L3395" s="192"/>
      <c r="M3395" s="192"/>
      <c r="N3395" s="192"/>
    </row>
    <row r="3396" spans="10:14" ht="15.95" customHeight="1" x14ac:dyDescent="0.25">
      <c r="J3396" s="192"/>
      <c r="K3396" s="192"/>
      <c r="L3396" s="192"/>
      <c r="M3396" s="192"/>
      <c r="N3396" s="192"/>
    </row>
    <row r="3397" spans="10:14" ht="15.95" customHeight="1" x14ac:dyDescent="0.25">
      <c r="J3397" s="192"/>
      <c r="K3397" s="192"/>
      <c r="L3397" s="192"/>
      <c r="M3397" s="192"/>
      <c r="N3397" s="192"/>
    </row>
    <row r="3398" spans="10:14" ht="15.95" customHeight="1" x14ac:dyDescent="0.25">
      <c r="J3398" s="192"/>
      <c r="K3398" s="192"/>
      <c r="L3398" s="192"/>
      <c r="M3398" s="192"/>
      <c r="N3398" s="192"/>
    </row>
    <row r="3399" spans="10:14" ht="15.95" customHeight="1" x14ac:dyDescent="0.25">
      <c r="J3399" s="192"/>
      <c r="K3399" s="192"/>
      <c r="L3399" s="192"/>
      <c r="M3399" s="192"/>
      <c r="N3399" s="192"/>
    </row>
    <row r="3400" spans="10:14" ht="15.95" customHeight="1" x14ac:dyDescent="0.25">
      <c r="J3400" s="192"/>
      <c r="K3400" s="192"/>
      <c r="L3400" s="192"/>
      <c r="M3400" s="192"/>
      <c r="N3400" s="192"/>
    </row>
    <row r="3401" spans="10:14" ht="15.95" customHeight="1" x14ac:dyDescent="0.25">
      <c r="J3401" s="192"/>
      <c r="K3401" s="192"/>
      <c r="L3401" s="192"/>
      <c r="M3401" s="192"/>
      <c r="N3401" s="192"/>
    </row>
    <row r="3402" spans="10:14" ht="15.95" customHeight="1" x14ac:dyDescent="0.25">
      <c r="J3402" s="192"/>
      <c r="K3402" s="192"/>
      <c r="L3402" s="192"/>
      <c r="M3402" s="192"/>
      <c r="N3402" s="192"/>
    </row>
    <row r="3403" spans="10:14" ht="15.95" customHeight="1" x14ac:dyDescent="0.25">
      <c r="J3403" s="192"/>
      <c r="K3403" s="192"/>
      <c r="L3403" s="192"/>
      <c r="M3403" s="192"/>
      <c r="N3403" s="192"/>
    </row>
    <row r="3404" spans="10:14" ht="15.95" customHeight="1" x14ac:dyDescent="0.25">
      <c r="J3404" s="192"/>
      <c r="K3404" s="192"/>
      <c r="L3404" s="192"/>
      <c r="M3404" s="192"/>
      <c r="N3404" s="192"/>
    </row>
    <row r="3405" spans="10:14" ht="15.95" customHeight="1" x14ac:dyDescent="0.25">
      <c r="J3405" s="192"/>
      <c r="K3405" s="192"/>
      <c r="L3405" s="192"/>
      <c r="M3405" s="192"/>
      <c r="N3405" s="192"/>
    </row>
    <row r="3406" spans="10:14" ht="15.95" customHeight="1" x14ac:dyDescent="0.25">
      <c r="J3406" s="192"/>
      <c r="K3406" s="192"/>
      <c r="L3406" s="192"/>
      <c r="M3406" s="192"/>
      <c r="N3406" s="192"/>
    </row>
    <row r="3407" spans="10:14" ht="15.95" customHeight="1" x14ac:dyDescent="0.25">
      <c r="J3407" s="192"/>
      <c r="K3407" s="192"/>
      <c r="L3407" s="192"/>
      <c r="M3407" s="192"/>
      <c r="N3407" s="192"/>
    </row>
    <row r="3408" spans="10:14" ht="15.95" customHeight="1" x14ac:dyDescent="0.25">
      <c r="J3408" s="192"/>
      <c r="K3408" s="192"/>
      <c r="L3408" s="192"/>
      <c r="M3408" s="192"/>
      <c r="N3408" s="192"/>
    </row>
    <row r="3409" spans="10:14" ht="15.95" customHeight="1" x14ac:dyDescent="0.25">
      <c r="J3409" s="192"/>
      <c r="K3409" s="192"/>
      <c r="L3409" s="192"/>
      <c r="M3409" s="192"/>
      <c r="N3409" s="192"/>
    </row>
    <row r="3410" spans="10:14" ht="15.95" customHeight="1" x14ac:dyDescent="0.25">
      <c r="J3410" s="192"/>
      <c r="K3410" s="192"/>
      <c r="L3410" s="192"/>
      <c r="M3410" s="192"/>
      <c r="N3410" s="192"/>
    </row>
    <row r="3411" spans="10:14" ht="15.95" customHeight="1" x14ac:dyDescent="0.25">
      <c r="J3411" s="192"/>
      <c r="K3411" s="192"/>
      <c r="L3411" s="192"/>
      <c r="M3411" s="192"/>
      <c r="N3411" s="192"/>
    </row>
    <row r="3412" spans="10:14" ht="15.95" customHeight="1" x14ac:dyDescent="0.25">
      <c r="J3412" s="192"/>
      <c r="K3412" s="192"/>
      <c r="L3412" s="192"/>
      <c r="M3412" s="192"/>
      <c r="N3412" s="192"/>
    </row>
    <row r="3413" spans="10:14" ht="15.95" customHeight="1" x14ac:dyDescent="0.25">
      <c r="J3413" s="192"/>
      <c r="K3413" s="192"/>
      <c r="L3413" s="192"/>
      <c r="M3413" s="192"/>
      <c r="N3413" s="192"/>
    </row>
    <row r="3414" spans="10:14" ht="15.95" customHeight="1" x14ac:dyDescent="0.25">
      <c r="J3414" s="192"/>
      <c r="K3414" s="192"/>
      <c r="L3414" s="192"/>
      <c r="M3414" s="192"/>
      <c r="N3414" s="192"/>
    </row>
    <row r="3415" spans="10:14" ht="15.95" customHeight="1" x14ac:dyDescent="0.25">
      <c r="J3415" s="192"/>
      <c r="K3415" s="192"/>
      <c r="L3415" s="192"/>
      <c r="M3415" s="192"/>
      <c r="N3415" s="192"/>
    </row>
    <row r="3416" spans="10:14" ht="15.95" customHeight="1" x14ac:dyDescent="0.25">
      <c r="J3416" s="192"/>
      <c r="K3416" s="192"/>
      <c r="L3416" s="192"/>
      <c r="M3416" s="192"/>
      <c r="N3416" s="192"/>
    </row>
    <row r="3417" spans="10:14" ht="15.95" customHeight="1" x14ac:dyDescent="0.25">
      <c r="J3417" s="192"/>
      <c r="K3417" s="192"/>
      <c r="L3417" s="192"/>
      <c r="M3417" s="192"/>
      <c r="N3417" s="192"/>
    </row>
    <row r="3418" spans="10:14" ht="15.95" customHeight="1" x14ac:dyDescent="0.25">
      <c r="J3418" s="192"/>
      <c r="K3418" s="192"/>
      <c r="L3418" s="192"/>
      <c r="M3418" s="192"/>
      <c r="N3418" s="192"/>
    </row>
    <row r="3419" spans="10:14" ht="15.95" customHeight="1" x14ac:dyDescent="0.25">
      <c r="J3419" s="192"/>
      <c r="K3419" s="192"/>
      <c r="L3419" s="192"/>
      <c r="M3419" s="192"/>
      <c r="N3419" s="192"/>
    </row>
    <row r="3420" spans="10:14" ht="15.95" customHeight="1" x14ac:dyDescent="0.25">
      <c r="J3420" s="192"/>
      <c r="K3420" s="192"/>
      <c r="L3420" s="192"/>
      <c r="M3420" s="192"/>
      <c r="N3420" s="192"/>
    </row>
    <row r="3421" spans="10:14" ht="15.95" customHeight="1" x14ac:dyDescent="0.25">
      <c r="J3421" s="192"/>
      <c r="K3421" s="192"/>
      <c r="L3421" s="192"/>
      <c r="M3421" s="192"/>
      <c r="N3421" s="192"/>
    </row>
    <row r="3422" spans="10:14" ht="15.95" customHeight="1" x14ac:dyDescent="0.25">
      <c r="J3422" s="192"/>
      <c r="K3422" s="192"/>
      <c r="L3422" s="192"/>
      <c r="M3422" s="192"/>
      <c r="N3422" s="192"/>
    </row>
    <row r="3423" spans="10:14" ht="15.95" customHeight="1" x14ac:dyDescent="0.25">
      <c r="J3423" s="192"/>
      <c r="K3423" s="192"/>
      <c r="L3423" s="192"/>
      <c r="M3423" s="192"/>
      <c r="N3423" s="192"/>
    </row>
    <row r="3424" spans="10:14" ht="15.95" customHeight="1" x14ac:dyDescent="0.25">
      <c r="J3424" s="192"/>
      <c r="K3424" s="192"/>
      <c r="L3424" s="192"/>
      <c r="M3424" s="192"/>
      <c r="N3424" s="192"/>
    </row>
    <row r="3425" spans="10:14" ht="15.95" customHeight="1" x14ac:dyDescent="0.25">
      <c r="J3425" s="192"/>
      <c r="K3425" s="192"/>
      <c r="L3425" s="192"/>
      <c r="M3425" s="192"/>
      <c r="N3425" s="192"/>
    </row>
    <row r="3426" spans="10:14" ht="15.95" customHeight="1" x14ac:dyDescent="0.25">
      <c r="J3426" s="192"/>
      <c r="K3426" s="192"/>
      <c r="L3426" s="192"/>
      <c r="M3426" s="192"/>
      <c r="N3426" s="192"/>
    </row>
    <row r="3427" spans="10:14" ht="15.95" customHeight="1" x14ac:dyDescent="0.25">
      <c r="J3427" s="192"/>
      <c r="K3427" s="192"/>
      <c r="L3427" s="192"/>
      <c r="M3427" s="192"/>
      <c r="N3427" s="192"/>
    </row>
    <row r="3428" spans="10:14" ht="15.95" customHeight="1" x14ac:dyDescent="0.25">
      <c r="J3428" s="192"/>
      <c r="K3428" s="192"/>
      <c r="L3428" s="192"/>
      <c r="M3428" s="192"/>
      <c r="N3428" s="192"/>
    </row>
    <row r="3429" spans="10:14" ht="15.95" customHeight="1" x14ac:dyDescent="0.25">
      <c r="J3429" s="192"/>
      <c r="K3429" s="192"/>
      <c r="L3429" s="192"/>
      <c r="M3429" s="192"/>
      <c r="N3429" s="192"/>
    </row>
    <row r="3430" spans="10:14" ht="15.95" customHeight="1" x14ac:dyDescent="0.25">
      <c r="J3430" s="192"/>
      <c r="K3430" s="192"/>
      <c r="L3430" s="192"/>
      <c r="M3430" s="192"/>
      <c r="N3430" s="192"/>
    </row>
    <row r="3431" spans="10:14" ht="15.95" customHeight="1" x14ac:dyDescent="0.25">
      <c r="J3431" s="192"/>
      <c r="K3431" s="192"/>
      <c r="L3431" s="192"/>
      <c r="M3431" s="192"/>
      <c r="N3431" s="192"/>
    </row>
    <row r="3432" spans="10:14" ht="15.95" customHeight="1" x14ac:dyDescent="0.25">
      <c r="J3432" s="192"/>
      <c r="K3432" s="192"/>
      <c r="L3432" s="192"/>
      <c r="M3432" s="192"/>
      <c r="N3432" s="192"/>
    </row>
    <row r="3433" spans="10:14" ht="15.95" customHeight="1" x14ac:dyDescent="0.25">
      <c r="J3433" s="192"/>
      <c r="K3433" s="192"/>
      <c r="L3433" s="192"/>
      <c r="M3433" s="192"/>
      <c r="N3433" s="192"/>
    </row>
    <row r="3434" spans="10:14" ht="15.95" customHeight="1" x14ac:dyDescent="0.25">
      <c r="J3434" s="192"/>
      <c r="K3434" s="192"/>
      <c r="L3434" s="192"/>
      <c r="M3434" s="192"/>
      <c r="N3434" s="192"/>
    </row>
    <row r="3435" spans="10:14" ht="15.95" customHeight="1" x14ac:dyDescent="0.25">
      <c r="J3435" s="192"/>
      <c r="K3435" s="192"/>
      <c r="L3435" s="192"/>
      <c r="M3435" s="192"/>
      <c r="N3435" s="192"/>
    </row>
    <row r="3436" spans="10:14" ht="15.95" customHeight="1" x14ac:dyDescent="0.25">
      <c r="J3436" s="192"/>
      <c r="K3436" s="192"/>
      <c r="L3436" s="192"/>
      <c r="M3436" s="192"/>
      <c r="N3436" s="192"/>
    </row>
    <row r="3437" spans="10:14" ht="15.95" customHeight="1" x14ac:dyDescent="0.25">
      <c r="J3437" s="192"/>
      <c r="K3437" s="192"/>
      <c r="L3437" s="192"/>
      <c r="M3437" s="192"/>
      <c r="N3437" s="192"/>
    </row>
    <row r="3438" spans="10:14" ht="15.95" customHeight="1" x14ac:dyDescent="0.25">
      <c r="J3438" s="192"/>
      <c r="K3438" s="192"/>
      <c r="L3438" s="192"/>
      <c r="M3438" s="192"/>
      <c r="N3438" s="192"/>
    </row>
    <row r="3439" spans="10:14" ht="15.95" customHeight="1" x14ac:dyDescent="0.25">
      <c r="J3439" s="192"/>
      <c r="K3439" s="192"/>
      <c r="L3439" s="192"/>
      <c r="M3439" s="192"/>
      <c r="N3439" s="192"/>
    </row>
    <row r="3440" spans="10:14" ht="15.95" customHeight="1" x14ac:dyDescent="0.25">
      <c r="J3440" s="192"/>
      <c r="K3440" s="192"/>
      <c r="L3440" s="192"/>
      <c r="M3440" s="192"/>
      <c r="N3440" s="192"/>
    </row>
    <row r="3441" spans="10:14" ht="15.95" customHeight="1" x14ac:dyDescent="0.25">
      <c r="J3441" s="192"/>
      <c r="K3441" s="192"/>
      <c r="L3441" s="192"/>
      <c r="M3441" s="192"/>
      <c r="N3441" s="192"/>
    </row>
    <row r="3442" spans="10:14" ht="15.95" customHeight="1" x14ac:dyDescent="0.25">
      <c r="J3442" s="192"/>
      <c r="K3442" s="192"/>
      <c r="L3442" s="192"/>
      <c r="M3442" s="192"/>
      <c r="N3442" s="192"/>
    </row>
    <row r="3443" spans="10:14" ht="15.95" customHeight="1" x14ac:dyDescent="0.25">
      <c r="J3443" s="192"/>
      <c r="K3443" s="192"/>
      <c r="L3443" s="192"/>
      <c r="M3443" s="192"/>
      <c r="N3443" s="192"/>
    </row>
    <row r="3444" spans="10:14" ht="15.95" customHeight="1" x14ac:dyDescent="0.25">
      <c r="J3444" s="192"/>
      <c r="K3444" s="192"/>
      <c r="L3444" s="192"/>
      <c r="M3444" s="192"/>
      <c r="N3444" s="192"/>
    </row>
    <row r="3445" spans="10:14" ht="15.95" customHeight="1" x14ac:dyDescent="0.25">
      <c r="J3445" s="192"/>
      <c r="K3445" s="192"/>
      <c r="L3445" s="192"/>
      <c r="M3445" s="192"/>
      <c r="N3445" s="192"/>
    </row>
    <row r="3446" spans="10:14" ht="15.95" customHeight="1" x14ac:dyDescent="0.25">
      <c r="J3446" s="192"/>
      <c r="K3446" s="192"/>
      <c r="L3446" s="192"/>
      <c r="M3446" s="192"/>
      <c r="N3446" s="192"/>
    </row>
    <row r="3447" spans="10:14" ht="15.95" customHeight="1" x14ac:dyDescent="0.25">
      <c r="J3447" s="192"/>
      <c r="K3447" s="192"/>
      <c r="L3447" s="192"/>
      <c r="M3447" s="192"/>
      <c r="N3447" s="192"/>
    </row>
    <row r="3448" spans="10:14" ht="15.95" customHeight="1" x14ac:dyDescent="0.25">
      <c r="J3448" s="192"/>
      <c r="K3448" s="192"/>
      <c r="L3448" s="192"/>
      <c r="M3448" s="192"/>
      <c r="N3448" s="192"/>
    </row>
    <row r="3449" spans="10:14" ht="15.95" customHeight="1" x14ac:dyDescent="0.25">
      <c r="J3449" s="192"/>
      <c r="K3449" s="192"/>
      <c r="L3449" s="192"/>
      <c r="M3449" s="192"/>
      <c r="N3449" s="192"/>
    </row>
    <row r="3450" spans="10:14" ht="15.95" customHeight="1" x14ac:dyDescent="0.25">
      <c r="J3450" s="192"/>
      <c r="K3450" s="192"/>
      <c r="L3450" s="192"/>
      <c r="M3450" s="192"/>
      <c r="N3450" s="192"/>
    </row>
    <row r="3451" spans="10:14" ht="15.95" customHeight="1" x14ac:dyDescent="0.25">
      <c r="J3451" s="192"/>
      <c r="K3451" s="192"/>
      <c r="L3451" s="192"/>
      <c r="M3451" s="192"/>
      <c r="N3451" s="192"/>
    </row>
    <row r="3452" spans="10:14" ht="15.95" customHeight="1" x14ac:dyDescent="0.25">
      <c r="J3452" s="192"/>
      <c r="K3452" s="192"/>
      <c r="L3452" s="192"/>
      <c r="M3452" s="192"/>
      <c r="N3452" s="192"/>
    </row>
    <row r="3453" spans="10:14" ht="15.95" customHeight="1" x14ac:dyDescent="0.25">
      <c r="J3453" s="192"/>
      <c r="K3453" s="192"/>
      <c r="L3453" s="192"/>
      <c r="M3453" s="192"/>
      <c r="N3453" s="192"/>
    </row>
    <row r="3454" spans="10:14" ht="15.95" customHeight="1" x14ac:dyDescent="0.25">
      <c r="J3454" s="192"/>
      <c r="K3454" s="192"/>
      <c r="L3454" s="192"/>
      <c r="M3454" s="192"/>
      <c r="N3454" s="192"/>
    </row>
    <row r="3455" spans="10:14" ht="15.95" customHeight="1" x14ac:dyDescent="0.25">
      <c r="J3455" s="192"/>
      <c r="K3455" s="192"/>
      <c r="L3455" s="192"/>
      <c r="M3455" s="192"/>
      <c r="N3455" s="192"/>
    </row>
    <row r="3456" spans="10:14" ht="15.95" customHeight="1" x14ac:dyDescent="0.25">
      <c r="J3456" s="192"/>
      <c r="K3456" s="192"/>
      <c r="L3456" s="192"/>
      <c r="M3456" s="192"/>
      <c r="N3456" s="192"/>
    </row>
    <row r="3457" spans="10:14" ht="15.95" customHeight="1" x14ac:dyDescent="0.25">
      <c r="J3457" s="192"/>
      <c r="K3457" s="192"/>
      <c r="L3457" s="192"/>
      <c r="M3457" s="192"/>
      <c r="N3457" s="192"/>
    </row>
    <row r="3458" spans="10:14" ht="15.95" customHeight="1" x14ac:dyDescent="0.25">
      <c r="J3458" s="192"/>
      <c r="K3458" s="192"/>
      <c r="L3458" s="192"/>
      <c r="M3458" s="192"/>
      <c r="N3458" s="192"/>
    </row>
    <row r="3459" spans="10:14" ht="15.95" customHeight="1" x14ac:dyDescent="0.25">
      <c r="J3459" s="192"/>
      <c r="K3459" s="192"/>
      <c r="L3459" s="192"/>
      <c r="M3459" s="192"/>
      <c r="N3459" s="192"/>
    </row>
    <row r="3460" spans="10:14" ht="15.95" customHeight="1" x14ac:dyDescent="0.25">
      <c r="J3460" s="192"/>
      <c r="K3460" s="192"/>
      <c r="L3460" s="192"/>
      <c r="M3460" s="192"/>
      <c r="N3460" s="192"/>
    </row>
    <row r="3461" spans="10:14" ht="15.95" customHeight="1" x14ac:dyDescent="0.25">
      <c r="J3461" s="192"/>
      <c r="K3461" s="192"/>
      <c r="L3461" s="192"/>
      <c r="M3461" s="192"/>
      <c r="N3461" s="192"/>
    </row>
    <row r="3462" spans="10:14" ht="15.95" customHeight="1" x14ac:dyDescent="0.25">
      <c r="J3462" s="192"/>
      <c r="K3462" s="192"/>
      <c r="L3462" s="192"/>
      <c r="M3462" s="192"/>
      <c r="N3462" s="192"/>
    </row>
    <row r="3463" spans="10:14" ht="15.95" customHeight="1" x14ac:dyDescent="0.25">
      <c r="J3463" s="192"/>
      <c r="K3463" s="192"/>
      <c r="L3463" s="192"/>
      <c r="M3463" s="192"/>
      <c r="N3463" s="192"/>
    </row>
    <row r="3464" spans="10:14" ht="15.95" customHeight="1" x14ac:dyDescent="0.25">
      <c r="J3464" s="192"/>
      <c r="K3464" s="192"/>
      <c r="L3464" s="192"/>
      <c r="M3464" s="192"/>
      <c r="N3464" s="192"/>
    </row>
    <row r="3465" spans="10:14" ht="15.95" customHeight="1" x14ac:dyDescent="0.25">
      <c r="J3465" s="192"/>
      <c r="K3465" s="192"/>
      <c r="L3465" s="192"/>
      <c r="M3465" s="192"/>
      <c r="N3465" s="192"/>
    </row>
    <row r="3466" spans="10:14" ht="15.95" customHeight="1" x14ac:dyDescent="0.25">
      <c r="J3466" s="192"/>
      <c r="K3466" s="192"/>
      <c r="L3466" s="192"/>
      <c r="M3466" s="192"/>
      <c r="N3466" s="192"/>
    </row>
    <row r="3467" spans="10:14" ht="15.95" customHeight="1" x14ac:dyDescent="0.25">
      <c r="J3467" s="192"/>
      <c r="K3467" s="192"/>
      <c r="L3467" s="192"/>
      <c r="M3467" s="192"/>
      <c r="N3467" s="192"/>
    </row>
    <row r="3468" spans="10:14" ht="15.95" customHeight="1" x14ac:dyDescent="0.25">
      <c r="J3468" s="192"/>
      <c r="K3468" s="192"/>
      <c r="L3468" s="192"/>
      <c r="M3468" s="192"/>
      <c r="N3468" s="192"/>
    </row>
    <row r="3469" spans="10:14" ht="15.95" customHeight="1" x14ac:dyDescent="0.25">
      <c r="J3469" s="192"/>
      <c r="K3469" s="192"/>
      <c r="L3469" s="192"/>
      <c r="M3469" s="192"/>
      <c r="N3469" s="192"/>
    </row>
    <row r="3470" spans="10:14" ht="15.95" customHeight="1" x14ac:dyDescent="0.25">
      <c r="J3470" s="192"/>
      <c r="K3470" s="192"/>
      <c r="L3470" s="192"/>
      <c r="M3470" s="192"/>
      <c r="N3470" s="192"/>
    </row>
    <row r="3471" spans="10:14" ht="15.95" customHeight="1" x14ac:dyDescent="0.25">
      <c r="J3471" s="192"/>
      <c r="K3471" s="192"/>
      <c r="L3471" s="192"/>
      <c r="M3471" s="192"/>
      <c r="N3471" s="192"/>
    </row>
    <row r="3472" spans="10:14" ht="15.95" customHeight="1" x14ac:dyDescent="0.25">
      <c r="J3472" s="192"/>
      <c r="K3472" s="192"/>
      <c r="L3472" s="192"/>
      <c r="M3472" s="192"/>
      <c r="N3472" s="192"/>
    </row>
    <row r="3473" spans="9:14" ht="15.95" customHeight="1" x14ac:dyDescent="0.25">
      <c r="J3473" s="192"/>
      <c r="K3473" s="192"/>
      <c r="L3473" s="192"/>
      <c r="M3473" s="192"/>
      <c r="N3473" s="192"/>
    </row>
    <row r="3474" spans="9:14" ht="15.95" customHeight="1" x14ac:dyDescent="0.25">
      <c r="J3474" s="192"/>
      <c r="K3474" s="192"/>
      <c r="L3474" s="192"/>
      <c r="M3474" s="192"/>
      <c r="N3474" s="192"/>
    </row>
    <row r="3475" spans="9:14" ht="15.95" customHeight="1" x14ac:dyDescent="0.25">
      <c r="J3475" s="192"/>
      <c r="K3475" s="192"/>
      <c r="L3475" s="192"/>
      <c r="M3475" s="192"/>
      <c r="N3475" s="192"/>
    </row>
    <row r="3476" spans="9:14" ht="15.95" customHeight="1" x14ac:dyDescent="0.25"/>
    <row r="3477" spans="9:14" ht="15.95" customHeight="1" x14ac:dyDescent="0.25"/>
    <row r="3478" spans="9:14" ht="32.1" customHeight="1" x14ac:dyDescent="0.25">
      <c r="J3478" s="235" t="str">
        <f>ComparisonData!SG2</f>
        <v>SECTION B: OUR STAFF, SERVICES &amp; FACILITIES</v>
      </c>
      <c r="K3478" s="236"/>
      <c r="L3478" s="236"/>
      <c r="M3478" s="236"/>
      <c r="N3478" s="237"/>
    </row>
    <row r="3479" spans="9:14" ht="32.1" customHeight="1" x14ac:dyDescent="0.25">
      <c r="J3479" s="235" t="str">
        <f>ComparisonData!SG3</f>
        <v>(b) Regarding Welsh language provision, how satisfied are you with the following services? [For users of Welsh archives only]</v>
      </c>
      <c r="K3479" s="236"/>
      <c r="L3479" s="236"/>
      <c r="M3479" s="236"/>
      <c r="N3479" s="237"/>
    </row>
    <row r="3480" spans="9:14" ht="32.1" customHeight="1" x14ac:dyDescent="0.25">
      <c r="J3480" s="235" t="str">
        <f>ComparisonData!SG4</f>
        <v>Verbal communication</v>
      </c>
      <c r="K3480" s="236"/>
      <c r="L3480" s="236"/>
      <c r="M3480" s="236"/>
      <c r="N3480" s="237"/>
    </row>
    <row r="3481" spans="9:14" ht="32.1" customHeight="1" x14ac:dyDescent="0.25">
      <c r="J3481" s="185" t="str">
        <f>ComparisonData!SL5</f>
        <v>Very satisfied</v>
      </c>
      <c r="K3481" s="185" t="str">
        <f>ComparisonData!SM5</f>
        <v>Satisfied</v>
      </c>
      <c r="L3481" s="185" t="str">
        <f>ComparisonData!SN5</f>
        <v>Neither</v>
      </c>
      <c r="M3481" s="185" t="str">
        <f>ComparisonData!SO5</f>
        <v>Not very satisfied</v>
      </c>
      <c r="N3481" s="185" t="str">
        <f>ComparisonData!SP5</f>
        <v>Not at all satisfied</v>
      </c>
    </row>
    <row r="3482" spans="9:14" ht="15.95" customHeight="1" x14ac:dyDescent="0.25">
      <c r="I3482" s="188" t="str" cm="1">
        <f t="array" aca="1" ref="I3482" ca="1">Verbal_communication_lbl</f>
        <v>TOTAL</v>
      </c>
      <c r="J3482" s="192" cm="1">
        <f t="array" aca="1" ref="J3482" ca="1">Verbal_communication_1</f>
        <v>0.87960000000000005</v>
      </c>
      <c r="K3482" s="192" cm="1">
        <f t="array" aca="1" ref="K3482" ca="1">Verbal_communication_2</f>
        <v>7.213E-2</v>
      </c>
      <c r="L3482" s="192" cm="1">
        <f t="array" aca="1" ref="L3482" ca="1">Verbal_communication_3</f>
        <v>4.2569999999999997E-2</v>
      </c>
      <c r="M3482" s="192" cm="1">
        <f t="array" aca="1" ref="M3482" ca="1">Verbal_communication_4</f>
        <v>5.7000000000000002E-3</v>
      </c>
      <c r="N3482" s="192" cm="1">
        <f t="array" aca="1" ref="N3482" ca="1">Verbal_communication_5</f>
        <v>0</v>
      </c>
    </row>
    <row r="3483" spans="9:14" ht="15.95" customHeight="1" x14ac:dyDescent="0.25">
      <c r="J3483" s="192"/>
      <c r="K3483" s="192"/>
      <c r="L3483" s="192"/>
      <c r="M3483" s="192"/>
      <c r="N3483" s="192"/>
    </row>
    <row r="3484" spans="9:14" ht="15.95" customHeight="1" x14ac:dyDescent="0.25">
      <c r="J3484" s="192"/>
      <c r="K3484" s="192"/>
      <c r="L3484" s="192"/>
      <c r="M3484" s="192"/>
      <c r="N3484" s="192"/>
    </row>
    <row r="3485" spans="9:14" ht="15.95" customHeight="1" x14ac:dyDescent="0.25">
      <c r="J3485" s="192"/>
      <c r="K3485" s="192"/>
      <c r="L3485" s="192"/>
      <c r="M3485" s="192"/>
      <c r="N3485" s="192"/>
    </row>
    <row r="3486" spans="9:14" ht="15.95" customHeight="1" x14ac:dyDescent="0.25">
      <c r="J3486" s="192"/>
      <c r="K3486" s="192"/>
      <c r="L3486" s="192"/>
      <c r="M3486" s="192"/>
      <c r="N3486" s="192"/>
    </row>
    <row r="3487" spans="9:14" ht="15.95" customHeight="1" x14ac:dyDescent="0.25">
      <c r="J3487" s="192"/>
      <c r="K3487" s="192"/>
      <c r="L3487" s="192"/>
      <c r="M3487" s="192"/>
      <c r="N3487" s="192"/>
    </row>
    <row r="3488" spans="9:14" ht="15.95" customHeight="1" x14ac:dyDescent="0.25">
      <c r="J3488" s="192"/>
      <c r="K3488" s="192"/>
      <c r="L3488" s="192"/>
      <c r="M3488" s="192"/>
      <c r="N3488" s="192"/>
    </row>
    <row r="3489" spans="9:14" ht="15.95" customHeight="1" x14ac:dyDescent="0.25">
      <c r="J3489" s="192"/>
      <c r="K3489" s="192"/>
      <c r="L3489" s="192"/>
      <c r="M3489" s="192"/>
      <c r="N3489" s="192"/>
    </row>
    <row r="3490" spans="9:14" ht="15.95" customHeight="1" x14ac:dyDescent="0.25">
      <c r="J3490" s="192"/>
      <c r="K3490" s="192"/>
      <c r="L3490" s="192"/>
      <c r="M3490" s="192"/>
      <c r="N3490" s="192"/>
    </row>
    <row r="3491" spans="9:14" ht="15.95" customHeight="1" x14ac:dyDescent="0.25">
      <c r="J3491" s="192"/>
      <c r="K3491" s="192"/>
      <c r="L3491" s="192"/>
      <c r="M3491" s="192"/>
      <c r="N3491" s="192"/>
    </row>
    <row r="3492" spans="9:14" ht="15.95" customHeight="1" x14ac:dyDescent="0.25">
      <c r="J3492" s="192"/>
      <c r="K3492" s="192"/>
      <c r="L3492" s="192"/>
      <c r="M3492" s="192"/>
      <c r="N3492" s="192"/>
    </row>
    <row r="3493" spans="9:14" ht="15.95" customHeight="1" x14ac:dyDescent="0.25">
      <c r="J3493" s="192"/>
      <c r="K3493" s="192"/>
      <c r="L3493" s="192"/>
      <c r="M3493" s="192"/>
      <c r="N3493" s="192"/>
    </row>
    <row r="3494" spans="9:14" ht="15.95" customHeight="1" x14ac:dyDescent="0.25">
      <c r="J3494" s="192"/>
      <c r="K3494" s="192"/>
      <c r="L3494" s="192"/>
      <c r="M3494" s="192"/>
      <c r="N3494" s="192"/>
    </row>
    <row r="3495" spans="9:14" ht="15.95" customHeight="1" x14ac:dyDescent="0.25">
      <c r="J3495" s="192"/>
      <c r="K3495" s="192"/>
      <c r="L3495" s="192"/>
      <c r="M3495" s="192"/>
      <c r="N3495" s="192"/>
    </row>
    <row r="3496" spans="9:14" ht="15.95" customHeight="1" x14ac:dyDescent="0.25">
      <c r="J3496" s="192"/>
      <c r="K3496" s="192"/>
      <c r="L3496" s="192"/>
      <c r="M3496" s="192"/>
      <c r="N3496" s="192"/>
    </row>
    <row r="3497" spans="9:14" ht="15.95" customHeight="1" x14ac:dyDescent="0.25"/>
    <row r="3498" spans="9:14" ht="15.95" customHeight="1" x14ac:dyDescent="0.25"/>
    <row r="3499" spans="9:14" ht="32.1" customHeight="1" x14ac:dyDescent="0.25">
      <c r="J3499" s="235" t="str">
        <f>ComparisonData!SY2</f>
        <v>SECTION B: OUR STAFF, SERVICES &amp; FACILITIES</v>
      </c>
      <c r="K3499" s="236"/>
      <c r="L3499" s="236"/>
      <c r="M3499" s="236"/>
      <c r="N3499" s="237"/>
    </row>
    <row r="3500" spans="9:14" ht="32.1" customHeight="1" x14ac:dyDescent="0.25">
      <c r="J3500" s="235" t="str">
        <f>ComparisonData!SY3</f>
        <v>(b) Regarding Welsh language provision, how satisfied are you with the following services? [For users of Welsh archives only]</v>
      </c>
      <c r="K3500" s="236"/>
      <c r="L3500" s="236"/>
      <c r="M3500" s="236"/>
      <c r="N3500" s="237"/>
    </row>
    <row r="3501" spans="9:14" ht="32.1" customHeight="1" x14ac:dyDescent="0.25">
      <c r="J3501" s="235" t="str">
        <f>ComparisonData!SY4</f>
        <v>Printed catalogues or resources</v>
      </c>
      <c r="K3501" s="236"/>
      <c r="L3501" s="236"/>
      <c r="M3501" s="236"/>
      <c r="N3501" s="237"/>
    </row>
    <row r="3502" spans="9:14" ht="32.1" customHeight="1" x14ac:dyDescent="0.25">
      <c r="J3502" s="185" t="str">
        <f>ComparisonData!TD5</f>
        <v>Very satisfied</v>
      </c>
      <c r="K3502" s="185" t="str">
        <f>ComparisonData!TE5</f>
        <v>Satisfied</v>
      </c>
      <c r="L3502" s="185" t="str">
        <f>ComparisonData!TF5</f>
        <v>Neither</v>
      </c>
      <c r="M3502" s="185" t="str">
        <f>ComparisonData!TG5</f>
        <v>Not very satisfied</v>
      </c>
      <c r="N3502" s="185" t="str">
        <f>ComparisonData!TH5</f>
        <v>Not at all satisfied</v>
      </c>
    </row>
    <row r="3503" spans="9:14" ht="15.95" customHeight="1" x14ac:dyDescent="0.25">
      <c r="I3503" s="188" t="str" cm="1">
        <f t="array" aca="1" ref="I3503" ca="1">Printed_catalogues_or_resources_lbl</f>
        <v>TOTAL</v>
      </c>
      <c r="J3503" s="192" cm="1">
        <f t="array" aca="1" ref="J3503" ca="1">Printed_catalogues_or_resources_1</f>
        <v>0.75073999999999996</v>
      </c>
      <c r="K3503" s="192" cm="1">
        <f t="array" aca="1" ref="K3503" ca="1">Printed_catalogues_or_resources_2</f>
        <v>0.19216</v>
      </c>
      <c r="L3503" s="192" cm="1">
        <f t="array" aca="1" ref="L3503" ca="1">Printed_catalogues_or_resources_3</f>
        <v>5.7090000000000002E-2</v>
      </c>
      <c r="M3503" s="192" cm="1">
        <f t="array" aca="1" ref="M3503" ca="1">Printed_catalogues_or_resources_4</f>
        <v>0</v>
      </c>
      <c r="N3503" s="192" cm="1">
        <f t="array" aca="1" ref="N3503" ca="1">Printed_catalogues_or_resources_5</f>
        <v>0</v>
      </c>
    </row>
    <row r="3504" spans="9:14" ht="15.95" customHeight="1" x14ac:dyDescent="0.25">
      <c r="J3504" s="192"/>
      <c r="K3504" s="192"/>
      <c r="L3504" s="192"/>
      <c r="M3504" s="192"/>
      <c r="N3504" s="192"/>
    </row>
    <row r="3505" spans="10:14" ht="15.95" customHeight="1" x14ac:dyDescent="0.25">
      <c r="J3505" s="192"/>
      <c r="K3505" s="192"/>
      <c r="L3505" s="192"/>
      <c r="M3505" s="192"/>
      <c r="N3505" s="192"/>
    </row>
    <row r="3506" spans="10:14" ht="15.95" customHeight="1" x14ac:dyDescent="0.25">
      <c r="J3506" s="192"/>
      <c r="K3506" s="192"/>
      <c r="L3506" s="192"/>
      <c r="M3506" s="192"/>
      <c r="N3506" s="192"/>
    </row>
    <row r="3507" spans="10:14" ht="15.95" customHeight="1" x14ac:dyDescent="0.25">
      <c r="J3507" s="192"/>
      <c r="K3507" s="192"/>
      <c r="L3507" s="192"/>
      <c r="M3507" s="192"/>
      <c r="N3507" s="192"/>
    </row>
    <row r="3508" spans="10:14" ht="15.95" customHeight="1" x14ac:dyDescent="0.25">
      <c r="J3508" s="192"/>
      <c r="K3508" s="192"/>
      <c r="L3508" s="192"/>
      <c r="M3508" s="192"/>
      <c r="N3508" s="192"/>
    </row>
    <row r="3509" spans="10:14" ht="15.95" customHeight="1" x14ac:dyDescent="0.25">
      <c r="J3509" s="192"/>
      <c r="K3509" s="192"/>
      <c r="L3509" s="192"/>
      <c r="M3509" s="192"/>
      <c r="N3509" s="192"/>
    </row>
    <row r="3510" spans="10:14" ht="15.95" customHeight="1" x14ac:dyDescent="0.25">
      <c r="J3510" s="192"/>
      <c r="K3510" s="192"/>
      <c r="L3510" s="192"/>
      <c r="M3510" s="192"/>
      <c r="N3510" s="192"/>
    </row>
    <row r="3511" spans="10:14" ht="15.95" customHeight="1" x14ac:dyDescent="0.25">
      <c r="J3511" s="192"/>
      <c r="K3511" s="192"/>
      <c r="L3511" s="192"/>
      <c r="M3511" s="192"/>
      <c r="N3511" s="192"/>
    </row>
    <row r="3512" spans="10:14" ht="15.95" customHeight="1" x14ac:dyDescent="0.25">
      <c r="J3512" s="192"/>
      <c r="K3512" s="192"/>
      <c r="L3512" s="192"/>
      <c r="M3512" s="192"/>
      <c r="N3512" s="192"/>
    </row>
    <row r="3513" spans="10:14" ht="15.95" customHeight="1" x14ac:dyDescent="0.25">
      <c r="J3513" s="192"/>
      <c r="K3513" s="192"/>
      <c r="L3513" s="192"/>
      <c r="M3513" s="192"/>
      <c r="N3513" s="192"/>
    </row>
    <row r="3514" spans="10:14" ht="15.95" customHeight="1" x14ac:dyDescent="0.25">
      <c r="J3514" s="192"/>
      <c r="K3514" s="192"/>
      <c r="L3514" s="192"/>
      <c r="M3514" s="192"/>
      <c r="N3514" s="192"/>
    </row>
    <row r="3515" spans="10:14" ht="15.95" customHeight="1" x14ac:dyDescent="0.25">
      <c r="J3515" s="192"/>
      <c r="K3515" s="192"/>
      <c r="L3515" s="192"/>
      <c r="M3515" s="192"/>
      <c r="N3515" s="192"/>
    </row>
    <row r="3516" spans="10:14" ht="15.95" customHeight="1" x14ac:dyDescent="0.25">
      <c r="J3516" s="192"/>
      <c r="K3516" s="192"/>
      <c r="L3516" s="192"/>
      <c r="M3516" s="192"/>
      <c r="N3516" s="192"/>
    </row>
    <row r="3517" spans="10:14" ht="15.95" customHeight="1" x14ac:dyDescent="0.25">
      <c r="J3517" s="192"/>
      <c r="K3517" s="192"/>
      <c r="L3517" s="192"/>
      <c r="M3517" s="192"/>
      <c r="N3517" s="192"/>
    </row>
    <row r="3518" spans="10:14" ht="15.95" customHeight="1" x14ac:dyDescent="0.25"/>
    <row r="3519" spans="10:14" ht="15.95" customHeight="1" x14ac:dyDescent="0.25"/>
    <row r="3520" spans="10:14" ht="32.1" customHeight="1" x14ac:dyDescent="0.25">
      <c r="J3520" s="235" t="str">
        <f>ComparisonData!TQ2</f>
        <v>SECTION B: OUR STAFF, SERVICES &amp; FACILITIES</v>
      </c>
      <c r="K3520" s="236"/>
      <c r="L3520" s="236"/>
      <c r="M3520" s="236"/>
      <c r="N3520" s="237"/>
    </row>
    <row r="3521" spans="9:14" ht="32.1" customHeight="1" x14ac:dyDescent="0.25">
      <c r="J3521" s="235" t="str">
        <f>ComparisonData!TQ3</f>
        <v>(b) Regarding Welsh language provision, how satisfied are you with the following services? [For users of Welsh archives only]</v>
      </c>
      <c r="K3521" s="236"/>
      <c r="L3521" s="236"/>
      <c r="M3521" s="236"/>
      <c r="N3521" s="237"/>
    </row>
    <row r="3522" spans="9:14" ht="32.1" customHeight="1" x14ac:dyDescent="0.25">
      <c r="J3522" s="235" t="str">
        <f>ComparisonData!TQ4</f>
        <v>Online catalogue or resources</v>
      </c>
      <c r="K3522" s="236"/>
      <c r="L3522" s="236"/>
      <c r="M3522" s="236"/>
      <c r="N3522" s="237"/>
    </row>
    <row r="3523" spans="9:14" ht="32.1" customHeight="1" x14ac:dyDescent="0.25">
      <c r="J3523" s="185" t="str">
        <f>ComparisonData!TV5</f>
        <v>Very satisfied</v>
      </c>
      <c r="K3523" s="185" t="str">
        <f>ComparisonData!TW5</f>
        <v>Satisfied</v>
      </c>
      <c r="L3523" s="185" t="str">
        <f>ComparisonData!TX5</f>
        <v>Neither</v>
      </c>
      <c r="M3523" s="185" t="str">
        <f>ComparisonData!TY5</f>
        <v>Not very satisfied</v>
      </c>
      <c r="N3523" s="185" t="str">
        <f>ComparisonData!TZ5</f>
        <v>Not at all satisfied</v>
      </c>
    </row>
    <row r="3524" spans="9:14" ht="15.95" customHeight="1" x14ac:dyDescent="0.25">
      <c r="I3524" s="188" t="str" cm="1">
        <f t="array" aca="1" ref="I3524" ca="1">Online_catalogue_or_resources_lbl</f>
        <v>TOTAL</v>
      </c>
      <c r="J3524" s="192" cm="1">
        <f t="array" aca="1" ref="J3524" ca="1">Online_catalogue_or_resources_1</f>
        <v>0.71926999999999996</v>
      </c>
      <c r="K3524" s="192" cm="1">
        <f t="array" aca="1" ref="K3524" ca="1">Online_catalogue_or_resources_2</f>
        <v>0.21410999999999999</v>
      </c>
      <c r="L3524" s="192" cm="1">
        <f t="array" aca="1" ref="L3524" ca="1">Online_catalogue_or_resources_3</f>
        <v>6.0100000000000001E-2</v>
      </c>
      <c r="M3524" s="192" cm="1">
        <f t="array" aca="1" ref="M3524" ca="1">Online_catalogue_or_resources_4</f>
        <v>6.5199999999999998E-3</v>
      </c>
      <c r="N3524" s="192" cm="1">
        <f t="array" aca="1" ref="N3524" ca="1">Online_catalogue_or_resources_5</f>
        <v>0</v>
      </c>
    </row>
    <row r="3525" spans="9:14" ht="15.95" customHeight="1" x14ac:dyDescent="0.25">
      <c r="J3525" s="192"/>
      <c r="K3525" s="192"/>
      <c r="L3525" s="192"/>
      <c r="M3525" s="192"/>
      <c r="N3525" s="192"/>
    </row>
    <row r="3526" spans="9:14" ht="15.95" customHeight="1" x14ac:dyDescent="0.25">
      <c r="J3526" s="192"/>
      <c r="K3526" s="192"/>
      <c r="L3526" s="192"/>
      <c r="M3526" s="192"/>
      <c r="N3526" s="192"/>
    </row>
    <row r="3527" spans="9:14" ht="15.95" customHeight="1" x14ac:dyDescent="0.25">
      <c r="J3527" s="192"/>
      <c r="K3527" s="192"/>
      <c r="L3527" s="192"/>
      <c r="M3527" s="192"/>
      <c r="N3527" s="192"/>
    </row>
    <row r="3528" spans="9:14" ht="15.95" customHeight="1" x14ac:dyDescent="0.25">
      <c r="J3528" s="192"/>
      <c r="K3528" s="192"/>
      <c r="L3528" s="192"/>
      <c r="M3528" s="192"/>
      <c r="N3528" s="192"/>
    </row>
    <row r="3529" spans="9:14" ht="15.95" customHeight="1" x14ac:dyDescent="0.25">
      <c r="J3529" s="192"/>
      <c r="K3529" s="192"/>
      <c r="L3529" s="192"/>
      <c r="M3529" s="192"/>
      <c r="N3529" s="192"/>
    </row>
    <row r="3530" spans="9:14" ht="15.95" customHeight="1" x14ac:dyDescent="0.25">
      <c r="J3530" s="192"/>
      <c r="K3530" s="192"/>
      <c r="L3530" s="192"/>
      <c r="M3530" s="192"/>
      <c r="N3530" s="192"/>
    </row>
    <row r="3531" spans="9:14" ht="15.95" customHeight="1" x14ac:dyDescent="0.25">
      <c r="J3531" s="192"/>
      <c r="K3531" s="192"/>
      <c r="L3531" s="192"/>
      <c r="M3531" s="192"/>
      <c r="N3531" s="192"/>
    </row>
    <row r="3532" spans="9:14" ht="15.95" customHeight="1" x14ac:dyDescent="0.25">
      <c r="J3532" s="192"/>
      <c r="K3532" s="192"/>
      <c r="L3532" s="192"/>
      <c r="M3532" s="192"/>
      <c r="N3532" s="192"/>
    </row>
    <row r="3533" spans="9:14" ht="15.95" customHeight="1" x14ac:dyDescent="0.25">
      <c r="J3533" s="192"/>
      <c r="K3533" s="192"/>
      <c r="L3533" s="192"/>
      <c r="M3533" s="192"/>
      <c r="N3533" s="192"/>
    </row>
    <row r="3534" spans="9:14" ht="15.95" customHeight="1" x14ac:dyDescent="0.25">
      <c r="J3534" s="192"/>
      <c r="K3534" s="192"/>
      <c r="L3534" s="192"/>
      <c r="M3534" s="192"/>
      <c r="N3534" s="192"/>
    </row>
    <row r="3535" spans="9:14" ht="15.95" customHeight="1" x14ac:dyDescent="0.25">
      <c r="J3535" s="192"/>
      <c r="K3535" s="192"/>
      <c r="L3535" s="192"/>
      <c r="M3535" s="192"/>
      <c r="N3535" s="192"/>
    </row>
    <row r="3536" spans="9:14" ht="15.95" customHeight="1" x14ac:dyDescent="0.25">
      <c r="J3536" s="192"/>
      <c r="K3536" s="192"/>
      <c r="L3536" s="192"/>
      <c r="M3536" s="192"/>
      <c r="N3536" s="192"/>
    </row>
    <row r="3537" spans="9:14" ht="15.95" customHeight="1" x14ac:dyDescent="0.25">
      <c r="J3537" s="192"/>
      <c r="K3537" s="192"/>
      <c r="L3537" s="192"/>
      <c r="M3537" s="192"/>
      <c r="N3537" s="192"/>
    </row>
    <row r="3538" spans="9:14" ht="15.95" customHeight="1" x14ac:dyDescent="0.25">
      <c r="J3538" s="192"/>
      <c r="K3538" s="192"/>
      <c r="L3538" s="192"/>
      <c r="M3538" s="192"/>
      <c r="N3538" s="192"/>
    </row>
    <row r="3539" spans="9:14" ht="15.95" customHeight="1" x14ac:dyDescent="0.25"/>
    <row r="3540" spans="9:14" ht="15.95" customHeight="1" x14ac:dyDescent="0.25"/>
    <row r="3541" spans="9:14" ht="56.1" customHeight="1" x14ac:dyDescent="0.25">
      <c r="J3541" s="185" t="str">
        <f>ComparisonData!UI2</f>
        <v>SECTION B: OUR STAFF, SERVICES &amp; FACILITIES</v>
      </c>
    </row>
    <row r="3542" spans="9:14" ht="56.1" customHeight="1" x14ac:dyDescent="0.25">
      <c r="J3542" s="185" t="str">
        <f>ComparisonData!UI3</f>
        <v>8. Please mark the archive overall out of 10</v>
      </c>
    </row>
    <row r="3543" spans="9:14" ht="56.1" customHeight="1" x14ac:dyDescent="0.25">
      <c r="J3543" s="185" t="str">
        <f>ComparisonData!UI4</f>
        <v>Overall, how do you rate this archive?</v>
      </c>
    </row>
    <row r="3544" spans="9:14" ht="15.95" customHeight="1" x14ac:dyDescent="0.25">
      <c r="J3544" s="189" t="str">
        <f>ComparisonData!UM5</f>
        <v>Average</v>
      </c>
    </row>
    <row r="3545" spans="9:14" ht="15.95" customHeight="1" x14ac:dyDescent="0.25">
      <c r="I3545" s="188" t="str" cm="1">
        <f t="array" aca="1" ref="I3545" ca="1">Overall__how_do_you_rate_this_archive?_lbl</f>
        <v>TOTAL</v>
      </c>
      <c r="J3545" s="195" cm="1">
        <f t="array" aca="1" ref="J3545" ca="1">Overall__how_do_you_rate_this_archive?_avg</f>
        <v>9.3738700000000001</v>
      </c>
    </row>
    <row r="3546" spans="9:14" ht="15.95" customHeight="1" x14ac:dyDescent="0.25">
      <c r="J3546" s="195"/>
    </row>
    <row r="3547" spans="9:14" ht="15.95" customHeight="1" x14ac:dyDescent="0.25">
      <c r="J3547" s="195"/>
    </row>
    <row r="3548" spans="9:14" ht="15.95" customHeight="1" x14ac:dyDescent="0.25">
      <c r="J3548" s="195"/>
    </row>
    <row r="3549" spans="9:14" ht="15.95" customHeight="1" x14ac:dyDescent="0.25">
      <c r="J3549" s="195"/>
    </row>
    <row r="3550" spans="9:14" ht="15.95" customHeight="1" x14ac:dyDescent="0.25">
      <c r="J3550" s="195"/>
    </row>
    <row r="3551" spans="9:14" ht="15.95" customHeight="1" x14ac:dyDescent="0.25">
      <c r="J3551" s="195"/>
    </row>
    <row r="3552" spans="9:14" ht="15.95" customHeight="1" x14ac:dyDescent="0.25">
      <c r="J3552" s="195"/>
    </row>
    <row r="3553" spans="10:10" ht="15.95" customHeight="1" x14ac:dyDescent="0.25">
      <c r="J3553" s="195"/>
    </row>
    <row r="3554" spans="10:10" ht="15.95" customHeight="1" x14ac:dyDescent="0.25">
      <c r="J3554" s="195"/>
    </row>
    <row r="3555" spans="10:10" ht="15.95" customHeight="1" x14ac:dyDescent="0.25">
      <c r="J3555" s="195"/>
    </row>
    <row r="3556" spans="10:10" ht="15.95" customHeight="1" x14ac:dyDescent="0.25">
      <c r="J3556" s="195"/>
    </row>
    <row r="3557" spans="10:10" ht="15.95" customHeight="1" x14ac:dyDescent="0.25">
      <c r="J3557" s="195"/>
    </row>
    <row r="3558" spans="10:10" ht="15.95" customHeight="1" x14ac:dyDescent="0.25">
      <c r="J3558" s="195"/>
    </row>
    <row r="3559" spans="10:10" ht="15.95" customHeight="1" x14ac:dyDescent="0.25">
      <c r="J3559" s="195"/>
    </row>
    <row r="3560" spans="10:10" ht="15.95" customHeight="1" x14ac:dyDescent="0.25">
      <c r="J3560" s="195"/>
    </row>
    <row r="3561" spans="10:10" ht="15.95" customHeight="1" x14ac:dyDescent="0.25">
      <c r="J3561" s="195"/>
    </row>
    <row r="3562" spans="10:10" ht="15.95" customHeight="1" x14ac:dyDescent="0.25">
      <c r="J3562" s="195"/>
    </row>
    <row r="3563" spans="10:10" ht="15.95" customHeight="1" x14ac:dyDescent="0.25">
      <c r="J3563" s="195"/>
    </row>
    <row r="3564" spans="10:10" ht="15.95" customHeight="1" x14ac:dyDescent="0.25">
      <c r="J3564" s="195"/>
    </row>
    <row r="3565" spans="10:10" ht="15.95" customHeight="1" x14ac:dyDescent="0.25">
      <c r="J3565" s="195"/>
    </row>
    <row r="3566" spans="10:10" ht="15.95" customHeight="1" x14ac:dyDescent="0.25">
      <c r="J3566" s="195"/>
    </row>
    <row r="3567" spans="10:10" ht="15.95" customHeight="1" x14ac:dyDescent="0.25">
      <c r="J3567" s="195"/>
    </row>
    <row r="3568" spans="10:10" ht="15.95" customHeight="1" x14ac:dyDescent="0.25">
      <c r="J3568" s="195"/>
    </row>
    <row r="3569" spans="10:10" ht="15.95" customHeight="1" x14ac:dyDescent="0.25">
      <c r="J3569" s="195"/>
    </row>
    <row r="3570" spans="10:10" ht="15.95" customHeight="1" x14ac:dyDescent="0.25">
      <c r="J3570" s="195"/>
    </row>
    <row r="3571" spans="10:10" ht="15.95" customHeight="1" x14ac:dyDescent="0.25">
      <c r="J3571" s="195"/>
    </row>
    <row r="3572" spans="10:10" ht="15.95" customHeight="1" x14ac:dyDescent="0.25">
      <c r="J3572" s="195"/>
    </row>
    <row r="3573" spans="10:10" ht="15.95" customHeight="1" x14ac:dyDescent="0.25">
      <c r="J3573" s="195"/>
    </row>
    <row r="3574" spans="10:10" ht="15.95" customHeight="1" x14ac:dyDescent="0.25">
      <c r="J3574" s="195"/>
    </row>
    <row r="3575" spans="10:10" ht="15.95" customHeight="1" x14ac:dyDescent="0.25">
      <c r="J3575" s="195"/>
    </row>
    <row r="3576" spans="10:10" ht="15.95" customHeight="1" x14ac:dyDescent="0.25">
      <c r="J3576" s="195"/>
    </row>
    <row r="3577" spans="10:10" ht="15.95" customHeight="1" x14ac:dyDescent="0.25">
      <c r="J3577" s="195"/>
    </row>
    <row r="3578" spans="10:10" ht="15.95" customHeight="1" x14ac:dyDescent="0.25">
      <c r="J3578" s="195"/>
    </row>
    <row r="3579" spans="10:10" ht="15.95" customHeight="1" x14ac:dyDescent="0.25">
      <c r="J3579" s="195"/>
    </row>
    <row r="3580" spans="10:10" ht="15.95" customHeight="1" x14ac:dyDescent="0.25">
      <c r="J3580" s="195"/>
    </row>
    <row r="3581" spans="10:10" ht="15.95" customHeight="1" x14ac:dyDescent="0.25">
      <c r="J3581" s="195"/>
    </row>
    <row r="3582" spans="10:10" ht="15.95" customHeight="1" x14ac:dyDescent="0.25">
      <c r="J3582" s="195"/>
    </row>
    <row r="3583" spans="10:10" ht="15.95" customHeight="1" x14ac:dyDescent="0.25">
      <c r="J3583" s="195"/>
    </row>
    <row r="3584" spans="10:10" ht="15.95" customHeight="1" x14ac:dyDescent="0.25">
      <c r="J3584" s="195"/>
    </row>
    <row r="3585" spans="10:10" ht="15.95" customHeight="1" x14ac:dyDescent="0.25">
      <c r="J3585" s="195"/>
    </row>
    <row r="3586" spans="10:10" ht="15.95" customHeight="1" x14ac:dyDescent="0.25">
      <c r="J3586" s="195"/>
    </row>
    <row r="3587" spans="10:10" ht="15.95" customHeight="1" x14ac:dyDescent="0.25">
      <c r="J3587" s="195"/>
    </row>
    <row r="3588" spans="10:10" ht="15.95" customHeight="1" x14ac:dyDescent="0.25">
      <c r="J3588" s="195"/>
    </row>
    <row r="3589" spans="10:10" ht="15.95" customHeight="1" x14ac:dyDescent="0.25">
      <c r="J3589" s="195"/>
    </row>
    <row r="3590" spans="10:10" ht="15.95" customHeight="1" x14ac:dyDescent="0.25">
      <c r="J3590" s="195"/>
    </row>
    <row r="3591" spans="10:10" ht="15.95" customHeight="1" x14ac:dyDescent="0.25">
      <c r="J3591" s="195"/>
    </row>
    <row r="3592" spans="10:10" ht="15.95" customHeight="1" x14ac:dyDescent="0.25">
      <c r="J3592" s="195"/>
    </row>
    <row r="3593" spans="10:10" ht="15.95" customHeight="1" x14ac:dyDescent="0.25">
      <c r="J3593" s="195"/>
    </row>
    <row r="3594" spans="10:10" ht="15.95" customHeight="1" x14ac:dyDescent="0.25">
      <c r="J3594" s="195"/>
    </row>
    <row r="3595" spans="10:10" ht="15.95" customHeight="1" x14ac:dyDescent="0.25">
      <c r="J3595" s="195"/>
    </row>
    <row r="3596" spans="10:10" ht="15.95" customHeight="1" x14ac:dyDescent="0.25">
      <c r="J3596" s="195"/>
    </row>
    <row r="3597" spans="10:10" ht="15.95" customHeight="1" x14ac:dyDescent="0.25">
      <c r="J3597" s="195"/>
    </row>
    <row r="3598" spans="10:10" ht="15.95" customHeight="1" x14ac:dyDescent="0.25">
      <c r="J3598" s="195"/>
    </row>
    <row r="3599" spans="10:10" ht="15.95" customHeight="1" x14ac:dyDescent="0.25">
      <c r="J3599" s="195"/>
    </row>
    <row r="3600" spans="10:10" ht="15.95" customHeight="1" x14ac:dyDescent="0.25">
      <c r="J3600" s="195"/>
    </row>
    <row r="3601" spans="10:10" ht="15.95" customHeight="1" x14ac:dyDescent="0.25">
      <c r="J3601" s="195"/>
    </row>
    <row r="3602" spans="10:10" ht="15.95" customHeight="1" x14ac:dyDescent="0.25">
      <c r="J3602" s="195"/>
    </row>
    <row r="3603" spans="10:10" ht="15.95" customHeight="1" x14ac:dyDescent="0.25">
      <c r="J3603" s="195"/>
    </row>
    <row r="3604" spans="10:10" ht="15.95" customHeight="1" x14ac:dyDescent="0.25">
      <c r="J3604" s="195"/>
    </row>
    <row r="3605" spans="10:10" ht="15.95" customHeight="1" x14ac:dyDescent="0.25">
      <c r="J3605" s="195"/>
    </row>
    <row r="3606" spans="10:10" ht="15.95" customHeight="1" x14ac:dyDescent="0.25">
      <c r="J3606" s="195"/>
    </row>
    <row r="3607" spans="10:10" ht="15.95" customHeight="1" x14ac:dyDescent="0.25">
      <c r="J3607" s="195"/>
    </row>
    <row r="3608" spans="10:10" ht="15.95" customHeight="1" x14ac:dyDescent="0.25">
      <c r="J3608" s="195"/>
    </row>
    <row r="3609" spans="10:10" ht="15.95" customHeight="1" x14ac:dyDescent="0.25">
      <c r="J3609" s="195"/>
    </row>
    <row r="3610" spans="10:10" ht="15.95" customHeight="1" x14ac:dyDescent="0.25">
      <c r="J3610" s="195"/>
    </row>
    <row r="3611" spans="10:10" ht="15.95" customHeight="1" x14ac:dyDescent="0.25">
      <c r="J3611" s="195"/>
    </row>
    <row r="3612" spans="10:10" ht="15.95" customHeight="1" x14ac:dyDescent="0.25">
      <c r="J3612" s="195"/>
    </row>
    <row r="3613" spans="10:10" ht="15.95" customHeight="1" x14ac:dyDescent="0.25">
      <c r="J3613" s="195"/>
    </row>
    <row r="3614" spans="10:10" ht="15.95" customHeight="1" x14ac:dyDescent="0.25">
      <c r="J3614" s="195"/>
    </row>
    <row r="3615" spans="10:10" ht="15.95" customHeight="1" x14ac:dyDescent="0.25">
      <c r="J3615" s="195"/>
    </row>
    <row r="3616" spans="10:10" ht="15.95" customHeight="1" x14ac:dyDescent="0.25">
      <c r="J3616" s="195"/>
    </row>
    <row r="3617" spans="10:10" ht="15.95" customHeight="1" x14ac:dyDescent="0.25">
      <c r="J3617" s="195"/>
    </row>
    <row r="3618" spans="10:10" ht="15.95" customHeight="1" x14ac:dyDescent="0.25">
      <c r="J3618" s="195"/>
    </row>
    <row r="3619" spans="10:10" ht="15.95" customHeight="1" x14ac:dyDescent="0.25">
      <c r="J3619" s="195"/>
    </row>
    <row r="3620" spans="10:10" ht="15.95" customHeight="1" x14ac:dyDescent="0.25">
      <c r="J3620" s="195"/>
    </row>
    <row r="3621" spans="10:10" ht="15.95" customHeight="1" x14ac:dyDescent="0.25">
      <c r="J3621" s="195"/>
    </row>
    <row r="3622" spans="10:10" ht="15.95" customHeight="1" x14ac:dyDescent="0.25">
      <c r="J3622" s="195"/>
    </row>
    <row r="3623" spans="10:10" ht="15.95" customHeight="1" x14ac:dyDescent="0.25">
      <c r="J3623" s="195"/>
    </row>
    <row r="3624" spans="10:10" ht="15.95" customHeight="1" x14ac:dyDescent="0.25">
      <c r="J3624" s="195"/>
    </row>
    <row r="3625" spans="10:10" ht="15.95" customHeight="1" x14ac:dyDescent="0.25">
      <c r="J3625" s="195"/>
    </row>
    <row r="3626" spans="10:10" ht="15.95" customHeight="1" x14ac:dyDescent="0.25">
      <c r="J3626" s="195"/>
    </row>
    <row r="3627" spans="10:10" ht="15.95" customHeight="1" x14ac:dyDescent="0.25">
      <c r="J3627" s="195"/>
    </row>
    <row r="3628" spans="10:10" ht="15.95" customHeight="1" x14ac:dyDescent="0.25">
      <c r="J3628" s="195"/>
    </row>
    <row r="3629" spans="10:10" ht="15.95" customHeight="1" x14ac:dyDescent="0.25">
      <c r="J3629" s="195"/>
    </row>
    <row r="3630" spans="10:10" ht="15.95" customHeight="1" x14ac:dyDescent="0.25">
      <c r="J3630" s="195"/>
    </row>
    <row r="3631" spans="10:10" ht="15.95" customHeight="1" x14ac:dyDescent="0.25">
      <c r="J3631" s="195"/>
    </row>
    <row r="3632" spans="10:10" ht="15.95" customHeight="1" x14ac:dyDescent="0.25">
      <c r="J3632" s="195"/>
    </row>
    <row r="3633" spans="10:10" ht="15.95" customHeight="1" x14ac:dyDescent="0.25">
      <c r="J3633" s="195"/>
    </row>
    <row r="3634" spans="10:10" ht="15.95" customHeight="1" x14ac:dyDescent="0.25">
      <c r="J3634" s="195"/>
    </row>
    <row r="3635" spans="10:10" ht="15.95" customHeight="1" x14ac:dyDescent="0.25">
      <c r="J3635" s="195"/>
    </row>
    <row r="3636" spans="10:10" ht="15.95" customHeight="1" x14ac:dyDescent="0.25">
      <c r="J3636" s="195"/>
    </row>
    <row r="3637" spans="10:10" ht="15.95" customHeight="1" x14ac:dyDescent="0.25">
      <c r="J3637" s="195"/>
    </row>
    <row r="3638" spans="10:10" ht="15.95" customHeight="1" x14ac:dyDescent="0.25">
      <c r="J3638" s="195"/>
    </row>
    <row r="3639" spans="10:10" ht="15.95" customHeight="1" x14ac:dyDescent="0.25">
      <c r="J3639" s="195"/>
    </row>
    <row r="3640" spans="10:10" ht="15.95" customHeight="1" x14ac:dyDescent="0.25">
      <c r="J3640" s="195"/>
    </row>
    <row r="3641" spans="10:10" ht="15.95" customHeight="1" x14ac:dyDescent="0.25">
      <c r="J3641" s="195"/>
    </row>
    <row r="3642" spans="10:10" ht="15.95" customHeight="1" x14ac:dyDescent="0.25">
      <c r="J3642" s="195"/>
    </row>
    <row r="3643" spans="10:10" ht="15.95" customHeight="1" x14ac:dyDescent="0.25">
      <c r="J3643" s="195"/>
    </row>
    <row r="3644" spans="10:10" ht="15.95" customHeight="1" x14ac:dyDescent="0.25">
      <c r="J3644" s="195"/>
    </row>
    <row r="3645" spans="10:10" ht="15.95" customHeight="1" x14ac:dyDescent="0.25">
      <c r="J3645" s="195"/>
    </row>
    <row r="3646" spans="10:10" ht="15.95" customHeight="1" x14ac:dyDescent="0.25">
      <c r="J3646" s="195"/>
    </row>
    <row r="3647" spans="10:10" ht="15.95" customHeight="1" x14ac:dyDescent="0.25">
      <c r="J3647" s="195"/>
    </row>
    <row r="3648" spans="10:10" ht="15.95" customHeight="1" x14ac:dyDescent="0.25">
      <c r="J3648" s="195"/>
    </row>
    <row r="3649" spans="9:14" ht="15.95" customHeight="1" x14ac:dyDescent="0.25">
      <c r="J3649" s="195"/>
    </row>
    <row r="3650" spans="9:14" ht="15.95" customHeight="1" x14ac:dyDescent="0.25">
      <c r="J3650" s="195"/>
    </row>
    <row r="3651" spans="9:14" ht="15.95" customHeight="1" x14ac:dyDescent="0.25">
      <c r="J3651" s="195"/>
    </row>
    <row r="3652" spans="9:14" ht="15.95" customHeight="1" x14ac:dyDescent="0.25">
      <c r="J3652" s="195"/>
    </row>
    <row r="3653" spans="9:14" ht="15.95" customHeight="1" x14ac:dyDescent="0.25">
      <c r="J3653" s="195"/>
    </row>
    <row r="3654" spans="9:14" ht="15.95" customHeight="1" x14ac:dyDescent="0.25">
      <c r="J3654" s="195"/>
    </row>
    <row r="3655" spans="9:14" ht="15.95" customHeight="1" x14ac:dyDescent="0.25">
      <c r="J3655" s="195"/>
    </row>
    <row r="3656" spans="9:14" ht="15.95" customHeight="1" x14ac:dyDescent="0.25">
      <c r="J3656" s="195"/>
    </row>
    <row r="3657" spans="9:14" ht="15.95" customHeight="1" x14ac:dyDescent="0.25"/>
    <row r="3658" spans="9:14" ht="15.95" customHeight="1" x14ac:dyDescent="0.25"/>
    <row r="3659" spans="9:14" ht="32.1" customHeight="1" x14ac:dyDescent="0.25">
      <c r="J3659" s="235" t="str">
        <f>ComparisonData!UR2</f>
        <v>SECTION C: YOUR VISIT</v>
      </c>
      <c r="K3659" s="236"/>
      <c r="L3659" s="236"/>
      <c r="M3659" s="236"/>
      <c r="N3659" s="237"/>
    </row>
    <row r="3660" spans="9:14" ht="32.1" customHeight="1" x14ac:dyDescent="0.25">
      <c r="J3660" s="235" t="str">
        <f>ComparisonData!UR3</f>
        <v>9. What was your primary method of travel to this area / archive today?</v>
      </c>
      <c r="K3660" s="236"/>
      <c r="L3660" s="236"/>
      <c r="M3660" s="236"/>
      <c r="N3660" s="237"/>
    </row>
    <row r="3661" spans="9:14" ht="56.1" customHeight="1" x14ac:dyDescent="0.25">
      <c r="J3661" s="185" t="str">
        <f>ComparisonData!VD4</f>
        <v>Private transport, e.g. car, motorbike</v>
      </c>
      <c r="K3661" s="185" t="str">
        <f>ComparisonData!VE4</f>
        <v>Public transport, e.g. bus, train, metro / tram</v>
      </c>
      <c r="L3661" s="185" t="str">
        <f>ComparisonData!VF4</f>
        <v>On foot</v>
      </c>
      <c r="M3661" s="185" t="str">
        <f>ComparisonData!VG4</f>
        <v>Bicycle</v>
      </c>
      <c r="N3661" s="185" t="str">
        <f>ComparisonData!VH4</f>
        <v>Other</v>
      </c>
    </row>
    <row r="3662" spans="9:14" ht="15.95" customHeight="1" x14ac:dyDescent="0.25">
      <c r="I3662" s="188" t="str" cm="1">
        <f t="array" aca="1" ref="I3662" ca="1">_9._What_was_your_primary_method_of_travel_to_this_area___archive_today?_lbl</f>
        <v>TOTAL</v>
      </c>
      <c r="J3662" s="192" cm="1">
        <f t="array" aca="1" ref="J3662" ca="1">_9._What_was_your_primary_method_of_travel_to_this_area___archive_today?_1</f>
        <v>0.42669000000000001</v>
      </c>
      <c r="K3662" s="192" cm="1">
        <f t="array" aca="1" ref="K3662" ca="1">_9._What_was_your_primary_method_of_travel_to_this_area___archive_today?_2</f>
        <v>0.40654000000000001</v>
      </c>
      <c r="L3662" s="192" cm="1">
        <f t="array" aca="1" ref="L3662" ca="1">_9._What_was_your_primary_method_of_travel_to_this_area___archive_today?_3</f>
        <v>0.12698999999999999</v>
      </c>
      <c r="M3662" s="192" cm="1">
        <f t="array" aca="1" ref="M3662" ca="1">_9._What_was_your_primary_method_of_travel_to_this_area___archive_today?_4</f>
        <v>1.5339999999999999E-2</v>
      </c>
      <c r="N3662" s="192" cm="1">
        <f t="array" aca="1" ref="N3662" ca="1">_9._What_was_your_primary_method_of_travel_to_this_area___archive_today?_5</f>
        <v>2.444E-2</v>
      </c>
    </row>
    <row r="3663" spans="9:14" ht="15.95" customHeight="1" x14ac:dyDescent="0.25">
      <c r="J3663" s="192"/>
      <c r="K3663" s="192"/>
      <c r="L3663" s="192"/>
      <c r="M3663" s="192"/>
      <c r="N3663" s="192"/>
    </row>
    <row r="3664" spans="9:14" ht="15.95" customHeight="1" x14ac:dyDescent="0.25">
      <c r="J3664" s="192"/>
      <c r="K3664" s="192"/>
      <c r="L3664" s="192"/>
      <c r="M3664" s="192"/>
      <c r="N3664" s="192"/>
    </row>
    <row r="3665" spans="10:14" ht="15.95" customHeight="1" x14ac:dyDescent="0.25">
      <c r="J3665" s="192"/>
      <c r="K3665" s="192"/>
      <c r="L3665" s="192"/>
      <c r="M3665" s="192"/>
      <c r="N3665" s="192"/>
    </row>
    <row r="3666" spans="10:14" ht="15.95" customHeight="1" x14ac:dyDescent="0.25">
      <c r="J3666" s="192"/>
      <c r="K3666" s="192"/>
      <c r="L3666" s="192"/>
      <c r="M3666" s="192"/>
      <c r="N3666" s="192"/>
    </row>
    <row r="3667" spans="10:14" ht="15.95" customHeight="1" x14ac:dyDescent="0.25">
      <c r="J3667" s="192"/>
      <c r="K3667" s="192"/>
      <c r="L3667" s="192"/>
      <c r="M3667" s="192"/>
      <c r="N3667" s="192"/>
    </row>
    <row r="3668" spans="10:14" ht="15.95" customHeight="1" x14ac:dyDescent="0.25">
      <c r="J3668" s="192"/>
      <c r="K3668" s="192"/>
      <c r="L3668" s="192"/>
      <c r="M3668" s="192"/>
      <c r="N3668" s="192"/>
    </row>
    <row r="3669" spans="10:14" ht="15.95" customHeight="1" x14ac:dyDescent="0.25">
      <c r="J3669" s="192"/>
      <c r="K3669" s="192"/>
      <c r="L3669" s="192"/>
      <c r="M3669" s="192"/>
      <c r="N3669" s="192"/>
    </row>
    <row r="3670" spans="10:14" ht="15.95" customHeight="1" x14ac:dyDescent="0.25">
      <c r="J3670" s="192"/>
      <c r="K3670" s="192"/>
      <c r="L3670" s="192"/>
      <c r="M3670" s="192"/>
      <c r="N3670" s="192"/>
    </row>
    <row r="3671" spans="10:14" ht="15.95" customHeight="1" x14ac:dyDescent="0.25">
      <c r="J3671" s="192"/>
      <c r="K3671" s="192"/>
      <c r="L3671" s="192"/>
      <c r="M3671" s="192"/>
      <c r="N3671" s="192"/>
    </row>
    <row r="3672" spans="10:14" ht="15.95" customHeight="1" x14ac:dyDescent="0.25">
      <c r="J3672" s="192"/>
      <c r="K3672" s="192"/>
      <c r="L3672" s="192"/>
      <c r="M3672" s="192"/>
      <c r="N3672" s="192"/>
    </row>
    <row r="3673" spans="10:14" ht="15.95" customHeight="1" x14ac:dyDescent="0.25">
      <c r="J3673" s="192"/>
      <c r="K3673" s="192"/>
      <c r="L3673" s="192"/>
      <c r="M3673" s="192"/>
      <c r="N3673" s="192"/>
    </row>
    <row r="3674" spans="10:14" ht="15.95" customHeight="1" x14ac:dyDescent="0.25">
      <c r="J3674" s="192"/>
      <c r="K3674" s="192"/>
      <c r="L3674" s="192"/>
      <c r="M3674" s="192"/>
      <c r="N3674" s="192"/>
    </row>
    <row r="3675" spans="10:14" ht="15.95" customHeight="1" x14ac:dyDescent="0.25">
      <c r="J3675" s="192"/>
      <c r="K3675" s="192"/>
      <c r="L3675" s="192"/>
      <c r="M3675" s="192"/>
      <c r="N3675" s="192"/>
    </row>
    <row r="3676" spans="10:14" ht="15.95" customHeight="1" x14ac:dyDescent="0.25">
      <c r="J3676" s="192"/>
      <c r="K3676" s="192"/>
      <c r="L3676" s="192"/>
      <c r="M3676" s="192"/>
      <c r="N3676" s="192"/>
    </row>
    <row r="3677" spans="10:14" ht="15.95" customHeight="1" x14ac:dyDescent="0.25">
      <c r="J3677" s="192"/>
      <c r="K3677" s="192"/>
      <c r="L3677" s="192"/>
      <c r="M3677" s="192"/>
      <c r="N3677" s="192"/>
    </row>
    <row r="3678" spans="10:14" ht="15.95" customHeight="1" x14ac:dyDescent="0.25">
      <c r="J3678" s="192"/>
      <c r="K3678" s="192"/>
      <c r="L3678" s="192"/>
      <c r="M3678" s="192"/>
      <c r="N3678" s="192"/>
    </row>
    <row r="3679" spans="10:14" ht="15.95" customHeight="1" x14ac:dyDescent="0.25">
      <c r="J3679" s="192"/>
      <c r="K3679" s="192"/>
      <c r="L3679" s="192"/>
      <c r="M3679" s="192"/>
      <c r="N3679" s="192"/>
    </row>
    <row r="3680" spans="10:14" ht="15.95" customHeight="1" x14ac:dyDescent="0.25">
      <c r="J3680" s="192"/>
      <c r="K3680" s="192"/>
      <c r="L3680" s="192"/>
      <c r="M3680" s="192"/>
      <c r="N3680" s="192"/>
    </row>
    <row r="3681" spans="10:14" ht="15.95" customHeight="1" x14ac:dyDescent="0.25">
      <c r="J3681" s="192"/>
      <c r="K3681" s="192"/>
      <c r="L3681" s="192"/>
      <c r="M3681" s="192"/>
      <c r="N3681" s="192"/>
    </row>
    <row r="3682" spans="10:14" ht="15.95" customHeight="1" x14ac:dyDescent="0.25">
      <c r="J3682" s="192"/>
      <c r="K3682" s="192"/>
      <c r="L3682" s="192"/>
      <c r="M3682" s="192"/>
      <c r="N3682" s="192"/>
    </row>
    <row r="3683" spans="10:14" ht="15.95" customHeight="1" x14ac:dyDescent="0.25">
      <c r="J3683" s="192"/>
      <c r="K3683" s="192"/>
      <c r="L3683" s="192"/>
      <c r="M3683" s="192"/>
      <c r="N3683" s="192"/>
    </row>
    <row r="3684" spans="10:14" ht="15.95" customHeight="1" x14ac:dyDescent="0.25">
      <c r="J3684" s="192"/>
      <c r="K3684" s="192"/>
      <c r="L3684" s="192"/>
      <c r="M3684" s="192"/>
      <c r="N3684" s="192"/>
    </row>
    <row r="3685" spans="10:14" ht="15.95" customHeight="1" x14ac:dyDescent="0.25">
      <c r="J3685" s="192"/>
      <c r="K3685" s="192"/>
      <c r="L3685" s="192"/>
      <c r="M3685" s="192"/>
      <c r="N3685" s="192"/>
    </row>
    <row r="3686" spans="10:14" ht="15.95" customHeight="1" x14ac:dyDescent="0.25">
      <c r="J3686" s="192"/>
      <c r="K3686" s="192"/>
      <c r="L3686" s="192"/>
      <c r="M3686" s="192"/>
      <c r="N3686" s="192"/>
    </row>
    <row r="3687" spans="10:14" ht="15.95" customHeight="1" x14ac:dyDescent="0.25">
      <c r="J3687" s="192"/>
      <c r="K3687" s="192"/>
      <c r="L3687" s="192"/>
      <c r="M3687" s="192"/>
      <c r="N3687" s="192"/>
    </row>
    <row r="3688" spans="10:14" ht="15.95" customHeight="1" x14ac:dyDescent="0.25">
      <c r="J3688" s="192"/>
      <c r="K3688" s="192"/>
      <c r="L3688" s="192"/>
      <c r="M3688" s="192"/>
      <c r="N3688" s="192"/>
    </row>
    <row r="3689" spans="10:14" ht="15.95" customHeight="1" x14ac:dyDescent="0.25">
      <c r="J3689" s="192"/>
      <c r="K3689" s="192"/>
      <c r="L3689" s="192"/>
      <c r="M3689" s="192"/>
      <c r="N3689" s="192"/>
    </row>
    <row r="3690" spans="10:14" ht="15.95" customHeight="1" x14ac:dyDescent="0.25">
      <c r="J3690" s="192"/>
      <c r="K3690" s="192"/>
      <c r="L3690" s="192"/>
      <c r="M3690" s="192"/>
      <c r="N3690" s="192"/>
    </row>
    <row r="3691" spans="10:14" ht="15.95" customHeight="1" x14ac:dyDescent="0.25">
      <c r="J3691" s="192"/>
      <c r="K3691" s="192"/>
      <c r="L3691" s="192"/>
      <c r="M3691" s="192"/>
      <c r="N3691" s="192"/>
    </row>
    <row r="3692" spans="10:14" ht="15.95" customHeight="1" x14ac:dyDescent="0.25">
      <c r="J3692" s="192"/>
      <c r="K3692" s="192"/>
      <c r="L3692" s="192"/>
      <c r="M3692" s="192"/>
      <c r="N3692" s="192"/>
    </row>
    <row r="3693" spans="10:14" ht="15.95" customHeight="1" x14ac:dyDescent="0.25">
      <c r="J3693" s="192"/>
      <c r="K3693" s="192"/>
      <c r="L3693" s="192"/>
      <c r="M3693" s="192"/>
      <c r="N3693" s="192"/>
    </row>
    <row r="3694" spans="10:14" ht="15.95" customHeight="1" x14ac:dyDescent="0.25">
      <c r="J3694" s="192"/>
      <c r="K3694" s="192"/>
      <c r="L3694" s="192"/>
      <c r="M3694" s="192"/>
      <c r="N3694" s="192"/>
    </row>
    <row r="3695" spans="10:14" ht="15.95" customHeight="1" x14ac:dyDescent="0.25">
      <c r="J3695" s="192"/>
      <c r="K3695" s="192"/>
      <c r="L3695" s="192"/>
      <c r="M3695" s="192"/>
      <c r="N3695" s="192"/>
    </row>
    <row r="3696" spans="10:14" ht="15.95" customHeight="1" x14ac:dyDescent="0.25">
      <c r="J3696" s="192"/>
      <c r="K3696" s="192"/>
      <c r="L3696" s="192"/>
      <c r="M3696" s="192"/>
      <c r="N3696" s="192"/>
    </row>
    <row r="3697" spans="10:14" ht="15.95" customHeight="1" x14ac:dyDescent="0.25">
      <c r="J3697" s="192"/>
      <c r="K3697" s="192"/>
      <c r="L3697" s="192"/>
      <c r="M3697" s="192"/>
      <c r="N3697" s="192"/>
    </row>
    <row r="3698" spans="10:14" ht="15.95" customHeight="1" x14ac:dyDescent="0.25">
      <c r="J3698" s="192"/>
      <c r="K3698" s="192"/>
      <c r="L3698" s="192"/>
      <c r="M3698" s="192"/>
      <c r="N3698" s="192"/>
    </row>
    <row r="3699" spans="10:14" ht="15.95" customHeight="1" x14ac:dyDescent="0.25">
      <c r="J3699" s="192"/>
      <c r="K3699" s="192"/>
      <c r="L3699" s="192"/>
      <c r="M3699" s="192"/>
      <c r="N3699" s="192"/>
    </row>
    <row r="3700" spans="10:14" ht="15.95" customHeight="1" x14ac:dyDescent="0.25">
      <c r="J3700" s="192"/>
      <c r="K3700" s="192"/>
      <c r="L3700" s="192"/>
      <c r="M3700" s="192"/>
      <c r="N3700" s="192"/>
    </row>
    <row r="3701" spans="10:14" ht="15.95" customHeight="1" x14ac:dyDescent="0.25">
      <c r="J3701" s="192"/>
      <c r="K3701" s="192"/>
      <c r="L3701" s="192"/>
      <c r="M3701" s="192"/>
      <c r="N3701" s="192"/>
    </row>
    <row r="3702" spans="10:14" ht="15.95" customHeight="1" x14ac:dyDescent="0.25">
      <c r="J3702" s="192"/>
      <c r="K3702" s="192"/>
      <c r="L3702" s="192"/>
      <c r="M3702" s="192"/>
      <c r="N3702" s="192"/>
    </row>
    <row r="3703" spans="10:14" ht="15.95" customHeight="1" x14ac:dyDescent="0.25">
      <c r="J3703" s="192"/>
      <c r="K3703" s="192"/>
      <c r="L3703" s="192"/>
      <c r="M3703" s="192"/>
      <c r="N3703" s="192"/>
    </row>
    <row r="3704" spans="10:14" ht="15.95" customHeight="1" x14ac:dyDescent="0.25">
      <c r="J3704" s="192"/>
      <c r="K3704" s="192"/>
      <c r="L3704" s="192"/>
      <c r="M3704" s="192"/>
      <c r="N3704" s="192"/>
    </row>
    <row r="3705" spans="10:14" ht="15.95" customHeight="1" x14ac:dyDescent="0.25">
      <c r="J3705" s="192"/>
      <c r="K3705" s="192"/>
      <c r="L3705" s="192"/>
      <c r="M3705" s="192"/>
      <c r="N3705" s="192"/>
    </row>
    <row r="3706" spans="10:14" ht="15.95" customHeight="1" x14ac:dyDescent="0.25">
      <c r="J3706" s="192"/>
      <c r="K3706" s="192"/>
      <c r="L3706" s="192"/>
      <c r="M3706" s="192"/>
      <c r="N3706" s="192"/>
    </row>
    <row r="3707" spans="10:14" ht="15.95" customHeight="1" x14ac:dyDescent="0.25">
      <c r="J3707" s="192"/>
      <c r="K3707" s="192"/>
      <c r="L3707" s="192"/>
      <c r="M3707" s="192"/>
      <c r="N3707" s="192"/>
    </row>
    <row r="3708" spans="10:14" ht="15.95" customHeight="1" x14ac:dyDescent="0.25">
      <c r="J3708" s="192"/>
      <c r="K3708" s="192"/>
      <c r="L3708" s="192"/>
      <c r="M3708" s="192"/>
      <c r="N3708" s="192"/>
    </row>
    <row r="3709" spans="10:14" ht="15.95" customHeight="1" x14ac:dyDescent="0.25">
      <c r="J3709" s="192"/>
      <c r="K3709" s="192"/>
      <c r="L3709" s="192"/>
      <c r="M3709" s="192"/>
      <c r="N3709" s="192"/>
    </row>
    <row r="3710" spans="10:14" ht="15.95" customHeight="1" x14ac:dyDescent="0.25">
      <c r="J3710" s="192"/>
      <c r="K3710" s="192"/>
      <c r="L3710" s="192"/>
      <c r="M3710" s="192"/>
      <c r="N3710" s="192"/>
    </row>
    <row r="3711" spans="10:14" ht="15.95" customHeight="1" x14ac:dyDescent="0.25">
      <c r="J3711" s="192"/>
      <c r="K3711" s="192"/>
      <c r="L3711" s="192"/>
      <c r="M3711" s="192"/>
      <c r="N3711" s="192"/>
    </row>
    <row r="3712" spans="10:14" ht="15.95" customHeight="1" x14ac:dyDescent="0.25">
      <c r="J3712" s="192"/>
      <c r="K3712" s="192"/>
      <c r="L3712" s="192"/>
      <c r="M3712" s="192"/>
      <c r="N3712" s="192"/>
    </row>
    <row r="3713" spans="10:14" ht="15.95" customHeight="1" x14ac:dyDescent="0.25">
      <c r="J3713" s="192"/>
      <c r="K3713" s="192"/>
      <c r="L3713" s="192"/>
      <c r="M3713" s="192"/>
      <c r="N3713" s="192"/>
    </row>
    <row r="3714" spans="10:14" ht="15.95" customHeight="1" x14ac:dyDescent="0.25">
      <c r="J3714" s="192"/>
      <c r="K3714" s="192"/>
      <c r="L3714" s="192"/>
      <c r="M3714" s="192"/>
      <c r="N3714" s="192"/>
    </row>
    <row r="3715" spans="10:14" ht="15.95" customHeight="1" x14ac:dyDescent="0.25">
      <c r="J3715" s="192"/>
      <c r="K3715" s="192"/>
      <c r="L3715" s="192"/>
      <c r="M3715" s="192"/>
      <c r="N3715" s="192"/>
    </row>
    <row r="3716" spans="10:14" ht="15.95" customHeight="1" x14ac:dyDescent="0.25">
      <c r="J3716" s="192"/>
      <c r="K3716" s="192"/>
      <c r="L3716" s="192"/>
      <c r="M3716" s="192"/>
      <c r="N3716" s="192"/>
    </row>
    <row r="3717" spans="10:14" ht="15.95" customHeight="1" x14ac:dyDescent="0.25">
      <c r="J3717" s="192"/>
      <c r="K3717" s="192"/>
      <c r="L3717" s="192"/>
      <c r="M3717" s="192"/>
      <c r="N3717" s="192"/>
    </row>
    <row r="3718" spans="10:14" ht="15.95" customHeight="1" x14ac:dyDescent="0.25">
      <c r="J3718" s="192"/>
      <c r="K3718" s="192"/>
      <c r="L3718" s="192"/>
      <c r="M3718" s="192"/>
      <c r="N3718" s="192"/>
    </row>
    <row r="3719" spans="10:14" ht="15.95" customHeight="1" x14ac:dyDescent="0.25">
      <c r="J3719" s="192"/>
      <c r="K3719" s="192"/>
      <c r="L3719" s="192"/>
      <c r="M3719" s="192"/>
      <c r="N3719" s="192"/>
    </row>
    <row r="3720" spans="10:14" ht="15.95" customHeight="1" x14ac:dyDescent="0.25">
      <c r="J3720" s="192"/>
      <c r="K3720" s="192"/>
      <c r="L3720" s="192"/>
      <c r="M3720" s="192"/>
      <c r="N3720" s="192"/>
    </row>
    <row r="3721" spans="10:14" ht="15.95" customHeight="1" x14ac:dyDescent="0.25">
      <c r="J3721" s="192"/>
      <c r="K3721" s="192"/>
      <c r="L3721" s="192"/>
      <c r="M3721" s="192"/>
      <c r="N3721" s="192"/>
    </row>
    <row r="3722" spans="10:14" ht="15.95" customHeight="1" x14ac:dyDescent="0.25">
      <c r="J3722" s="192"/>
      <c r="K3722" s="192"/>
      <c r="L3722" s="192"/>
      <c r="M3722" s="192"/>
      <c r="N3722" s="192"/>
    </row>
    <row r="3723" spans="10:14" ht="15.95" customHeight="1" x14ac:dyDescent="0.25">
      <c r="J3723" s="192"/>
      <c r="K3723" s="192"/>
      <c r="L3723" s="192"/>
      <c r="M3723" s="192"/>
      <c r="N3723" s="192"/>
    </row>
    <row r="3724" spans="10:14" ht="15.95" customHeight="1" x14ac:dyDescent="0.25">
      <c r="J3724" s="192"/>
      <c r="K3724" s="192"/>
      <c r="L3724" s="192"/>
      <c r="M3724" s="192"/>
      <c r="N3724" s="192"/>
    </row>
    <row r="3725" spans="10:14" ht="15.95" customHeight="1" x14ac:dyDescent="0.25">
      <c r="J3725" s="192"/>
      <c r="K3725" s="192"/>
      <c r="L3725" s="192"/>
      <c r="M3725" s="192"/>
      <c r="N3725" s="192"/>
    </row>
    <row r="3726" spans="10:14" ht="15.95" customHeight="1" x14ac:dyDescent="0.25">
      <c r="J3726" s="192"/>
      <c r="K3726" s="192"/>
      <c r="L3726" s="192"/>
      <c r="M3726" s="192"/>
      <c r="N3726" s="192"/>
    </row>
    <row r="3727" spans="10:14" ht="15.95" customHeight="1" x14ac:dyDescent="0.25">
      <c r="J3727" s="192"/>
      <c r="K3727" s="192"/>
      <c r="L3727" s="192"/>
      <c r="M3727" s="192"/>
      <c r="N3727" s="192"/>
    </row>
    <row r="3728" spans="10:14" ht="15.95" customHeight="1" x14ac:dyDescent="0.25">
      <c r="J3728" s="192"/>
      <c r="K3728" s="192"/>
      <c r="L3728" s="192"/>
      <c r="M3728" s="192"/>
      <c r="N3728" s="192"/>
    </row>
    <row r="3729" spans="10:14" ht="15.95" customHeight="1" x14ac:dyDescent="0.25">
      <c r="J3729" s="192"/>
      <c r="K3729" s="192"/>
      <c r="L3729" s="192"/>
      <c r="M3729" s="192"/>
      <c r="N3729" s="192"/>
    </row>
    <row r="3730" spans="10:14" ht="15.95" customHeight="1" x14ac:dyDescent="0.25">
      <c r="J3730" s="192"/>
      <c r="K3730" s="192"/>
      <c r="L3730" s="192"/>
      <c r="M3730" s="192"/>
      <c r="N3730" s="192"/>
    </row>
    <row r="3731" spans="10:14" ht="15.95" customHeight="1" x14ac:dyDescent="0.25">
      <c r="J3731" s="192"/>
      <c r="K3731" s="192"/>
      <c r="L3731" s="192"/>
      <c r="M3731" s="192"/>
      <c r="N3731" s="192"/>
    </row>
    <row r="3732" spans="10:14" ht="15.95" customHeight="1" x14ac:dyDescent="0.25">
      <c r="J3732" s="192"/>
      <c r="K3732" s="192"/>
      <c r="L3732" s="192"/>
      <c r="M3732" s="192"/>
      <c r="N3732" s="192"/>
    </row>
    <row r="3733" spans="10:14" ht="15.95" customHeight="1" x14ac:dyDescent="0.25">
      <c r="J3733" s="192"/>
      <c r="K3733" s="192"/>
      <c r="L3733" s="192"/>
      <c r="M3733" s="192"/>
      <c r="N3733" s="192"/>
    </row>
    <row r="3734" spans="10:14" ht="15.95" customHeight="1" x14ac:dyDescent="0.25">
      <c r="J3734" s="192"/>
      <c r="K3734" s="192"/>
      <c r="L3734" s="192"/>
      <c r="M3734" s="192"/>
      <c r="N3734" s="192"/>
    </row>
    <row r="3735" spans="10:14" ht="15.95" customHeight="1" x14ac:dyDescent="0.25">
      <c r="J3735" s="192"/>
      <c r="K3735" s="192"/>
      <c r="L3735" s="192"/>
      <c r="M3735" s="192"/>
      <c r="N3735" s="192"/>
    </row>
    <row r="3736" spans="10:14" ht="15.95" customHeight="1" x14ac:dyDescent="0.25">
      <c r="J3736" s="192"/>
      <c r="K3736" s="192"/>
      <c r="L3736" s="192"/>
      <c r="M3736" s="192"/>
      <c r="N3736" s="192"/>
    </row>
    <row r="3737" spans="10:14" ht="15.95" customHeight="1" x14ac:dyDescent="0.25">
      <c r="J3737" s="192"/>
      <c r="K3737" s="192"/>
      <c r="L3737" s="192"/>
      <c r="M3737" s="192"/>
      <c r="N3737" s="192"/>
    </row>
    <row r="3738" spans="10:14" ht="15.95" customHeight="1" x14ac:dyDescent="0.25">
      <c r="J3738" s="192"/>
      <c r="K3738" s="192"/>
      <c r="L3738" s="192"/>
      <c r="M3738" s="192"/>
      <c r="N3738" s="192"/>
    </row>
    <row r="3739" spans="10:14" ht="15.95" customHeight="1" x14ac:dyDescent="0.25">
      <c r="J3739" s="192"/>
      <c r="K3739" s="192"/>
      <c r="L3739" s="192"/>
      <c r="M3739" s="192"/>
      <c r="N3739" s="192"/>
    </row>
    <row r="3740" spans="10:14" ht="15.95" customHeight="1" x14ac:dyDescent="0.25">
      <c r="J3740" s="192"/>
      <c r="K3740" s="192"/>
      <c r="L3740" s="192"/>
      <c r="M3740" s="192"/>
      <c r="N3740" s="192"/>
    </row>
    <row r="3741" spans="10:14" ht="15.95" customHeight="1" x14ac:dyDescent="0.25">
      <c r="J3741" s="192"/>
      <c r="K3741" s="192"/>
      <c r="L3741" s="192"/>
      <c r="M3741" s="192"/>
      <c r="N3741" s="192"/>
    </row>
    <row r="3742" spans="10:14" ht="15.95" customHeight="1" x14ac:dyDescent="0.25">
      <c r="J3742" s="192"/>
      <c r="K3742" s="192"/>
      <c r="L3742" s="192"/>
      <c r="M3742" s="192"/>
      <c r="N3742" s="192"/>
    </row>
    <row r="3743" spans="10:14" ht="15.95" customHeight="1" x14ac:dyDescent="0.25">
      <c r="J3743" s="192"/>
      <c r="K3743" s="192"/>
      <c r="L3743" s="192"/>
      <c r="M3743" s="192"/>
      <c r="N3743" s="192"/>
    </row>
    <row r="3744" spans="10:14" ht="15.95" customHeight="1" x14ac:dyDescent="0.25">
      <c r="J3744" s="192"/>
      <c r="K3744" s="192"/>
      <c r="L3744" s="192"/>
      <c r="M3744" s="192"/>
      <c r="N3744" s="192"/>
    </row>
    <row r="3745" spans="10:14" ht="15.95" customHeight="1" x14ac:dyDescent="0.25">
      <c r="J3745" s="192"/>
      <c r="K3745" s="192"/>
      <c r="L3745" s="192"/>
      <c r="M3745" s="192"/>
      <c r="N3745" s="192"/>
    </row>
    <row r="3746" spans="10:14" ht="15.95" customHeight="1" x14ac:dyDescent="0.25">
      <c r="J3746" s="192"/>
      <c r="K3746" s="192"/>
      <c r="L3746" s="192"/>
      <c r="M3746" s="192"/>
      <c r="N3746" s="192"/>
    </row>
    <row r="3747" spans="10:14" ht="15.95" customHeight="1" x14ac:dyDescent="0.25">
      <c r="J3747" s="192"/>
      <c r="K3747" s="192"/>
      <c r="L3747" s="192"/>
      <c r="M3747" s="192"/>
      <c r="N3747" s="192"/>
    </row>
    <row r="3748" spans="10:14" ht="15.95" customHeight="1" x14ac:dyDescent="0.25">
      <c r="J3748" s="192"/>
      <c r="K3748" s="192"/>
      <c r="L3748" s="192"/>
      <c r="M3748" s="192"/>
      <c r="N3748" s="192"/>
    </row>
    <row r="3749" spans="10:14" ht="15.95" customHeight="1" x14ac:dyDescent="0.25">
      <c r="J3749" s="192"/>
      <c r="K3749" s="192"/>
      <c r="L3749" s="192"/>
      <c r="M3749" s="192"/>
      <c r="N3749" s="192"/>
    </row>
    <row r="3750" spans="10:14" ht="15.95" customHeight="1" x14ac:dyDescent="0.25">
      <c r="J3750" s="192"/>
      <c r="K3750" s="192"/>
      <c r="L3750" s="192"/>
      <c r="M3750" s="192"/>
      <c r="N3750" s="192"/>
    </row>
    <row r="3751" spans="10:14" ht="15.95" customHeight="1" x14ac:dyDescent="0.25">
      <c r="J3751" s="192"/>
      <c r="K3751" s="192"/>
      <c r="L3751" s="192"/>
      <c r="M3751" s="192"/>
      <c r="N3751" s="192"/>
    </row>
    <row r="3752" spans="10:14" ht="15.95" customHeight="1" x14ac:dyDescent="0.25">
      <c r="J3752" s="192"/>
      <c r="K3752" s="192"/>
      <c r="L3752" s="192"/>
      <c r="M3752" s="192"/>
      <c r="N3752" s="192"/>
    </row>
    <row r="3753" spans="10:14" ht="15.95" customHeight="1" x14ac:dyDescent="0.25">
      <c r="J3753" s="192"/>
      <c r="K3753" s="192"/>
      <c r="L3753" s="192"/>
      <c r="M3753" s="192"/>
      <c r="N3753" s="192"/>
    </row>
    <row r="3754" spans="10:14" ht="15.95" customHeight="1" x14ac:dyDescent="0.25">
      <c r="J3754" s="192"/>
      <c r="K3754" s="192"/>
      <c r="L3754" s="192"/>
      <c r="M3754" s="192"/>
      <c r="N3754" s="192"/>
    </row>
    <row r="3755" spans="10:14" ht="15.95" customHeight="1" x14ac:dyDescent="0.25">
      <c r="J3755" s="192"/>
      <c r="K3755" s="192"/>
      <c r="L3755" s="192"/>
      <c r="M3755" s="192"/>
      <c r="N3755" s="192"/>
    </row>
    <row r="3756" spans="10:14" ht="15.95" customHeight="1" x14ac:dyDescent="0.25">
      <c r="J3756" s="192"/>
      <c r="K3756" s="192"/>
      <c r="L3756" s="192"/>
      <c r="M3756" s="192"/>
      <c r="N3756" s="192"/>
    </row>
    <row r="3757" spans="10:14" ht="15.95" customHeight="1" x14ac:dyDescent="0.25">
      <c r="J3757" s="192"/>
      <c r="K3757" s="192"/>
      <c r="L3757" s="192"/>
      <c r="M3757" s="192"/>
      <c r="N3757" s="192"/>
    </row>
    <row r="3758" spans="10:14" ht="15.95" customHeight="1" x14ac:dyDescent="0.25">
      <c r="J3758" s="192"/>
      <c r="K3758" s="192"/>
      <c r="L3758" s="192"/>
      <c r="M3758" s="192"/>
      <c r="N3758" s="192"/>
    </row>
    <row r="3759" spans="10:14" ht="15.95" customHeight="1" x14ac:dyDescent="0.25">
      <c r="J3759" s="192"/>
      <c r="K3759" s="192"/>
      <c r="L3759" s="192"/>
      <c r="M3759" s="192"/>
      <c r="N3759" s="192"/>
    </row>
    <row r="3760" spans="10:14" ht="15.95" customHeight="1" x14ac:dyDescent="0.25">
      <c r="J3760" s="192"/>
      <c r="K3760" s="192"/>
      <c r="L3760" s="192"/>
      <c r="M3760" s="192"/>
      <c r="N3760" s="192"/>
    </row>
    <row r="3761" spans="10:14" ht="15.95" customHeight="1" x14ac:dyDescent="0.25">
      <c r="J3761" s="192"/>
      <c r="K3761" s="192"/>
      <c r="L3761" s="192"/>
      <c r="M3761" s="192"/>
      <c r="N3761" s="192"/>
    </row>
    <row r="3762" spans="10:14" ht="15.95" customHeight="1" x14ac:dyDescent="0.25">
      <c r="J3762" s="192"/>
      <c r="K3762" s="192"/>
      <c r="L3762" s="192"/>
      <c r="M3762" s="192"/>
      <c r="N3762" s="192"/>
    </row>
    <row r="3763" spans="10:14" ht="15.95" customHeight="1" x14ac:dyDescent="0.25">
      <c r="J3763" s="192"/>
      <c r="K3763" s="192"/>
      <c r="L3763" s="192"/>
      <c r="M3763" s="192"/>
      <c r="N3763" s="192"/>
    </row>
    <row r="3764" spans="10:14" ht="15.95" customHeight="1" x14ac:dyDescent="0.25">
      <c r="J3764" s="192"/>
      <c r="K3764" s="192"/>
      <c r="L3764" s="192"/>
      <c r="M3764" s="192"/>
      <c r="N3764" s="192"/>
    </row>
    <row r="3765" spans="10:14" ht="15.95" customHeight="1" x14ac:dyDescent="0.25">
      <c r="J3765" s="192"/>
      <c r="K3765" s="192"/>
      <c r="L3765" s="192"/>
      <c r="M3765" s="192"/>
      <c r="N3765" s="192"/>
    </row>
    <row r="3766" spans="10:14" ht="15.95" customHeight="1" x14ac:dyDescent="0.25">
      <c r="J3766" s="192"/>
      <c r="K3766" s="192"/>
      <c r="L3766" s="192"/>
      <c r="M3766" s="192"/>
      <c r="N3766" s="192"/>
    </row>
    <row r="3767" spans="10:14" ht="15.95" customHeight="1" x14ac:dyDescent="0.25">
      <c r="J3767" s="192"/>
      <c r="K3767" s="192"/>
      <c r="L3767" s="192"/>
      <c r="M3767" s="192"/>
      <c r="N3767" s="192"/>
    </row>
    <row r="3768" spans="10:14" ht="15.95" customHeight="1" x14ac:dyDescent="0.25">
      <c r="J3768" s="192"/>
      <c r="K3768" s="192"/>
      <c r="L3768" s="192"/>
      <c r="M3768" s="192"/>
      <c r="N3768" s="192"/>
    </row>
    <row r="3769" spans="10:14" ht="15.95" customHeight="1" x14ac:dyDescent="0.25">
      <c r="J3769" s="192"/>
      <c r="K3769" s="192"/>
      <c r="L3769" s="192"/>
      <c r="M3769" s="192"/>
      <c r="N3769" s="192"/>
    </row>
    <row r="3770" spans="10:14" ht="15.95" customHeight="1" x14ac:dyDescent="0.25">
      <c r="J3770" s="192"/>
      <c r="K3770" s="192"/>
      <c r="L3770" s="192"/>
      <c r="M3770" s="192"/>
      <c r="N3770" s="192"/>
    </row>
    <row r="3771" spans="10:14" ht="15.95" customHeight="1" x14ac:dyDescent="0.25">
      <c r="J3771" s="192"/>
      <c r="K3771" s="192"/>
      <c r="L3771" s="192"/>
      <c r="M3771" s="192"/>
      <c r="N3771" s="192"/>
    </row>
    <row r="3772" spans="10:14" ht="15.95" customHeight="1" x14ac:dyDescent="0.25">
      <c r="J3772" s="192"/>
      <c r="K3772" s="192"/>
      <c r="L3772" s="192"/>
      <c r="M3772" s="192"/>
      <c r="N3772" s="192"/>
    </row>
    <row r="3773" spans="10:14" ht="15.95" customHeight="1" x14ac:dyDescent="0.25">
      <c r="J3773" s="192"/>
      <c r="K3773" s="192"/>
      <c r="L3773" s="192"/>
      <c r="M3773" s="192"/>
      <c r="N3773" s="192"/>
    </row>
    <row r="3774" spans="10:14" ht="15.95" customHeight="1" x14ac:dyDescent="0.25"/>
    <row r="3775" spans="10:14" ht="15.95" customHeight="1" x14ac:dyDescent="0.25"/>
    <row r="3776" spans="10:14" ht="32.1" customHeight="1" x14ac:dyDescent="0.25">
      <c r="J3776" s="238" t="str">
        <f>ComparisonData!VJ2</f>
        <v>SECTION C: YOUR VISIT</v>
      </c>
      <c r="K3776" s="239"/>
      <c r="L3776" s="239"/>
      <c r="M3776" s="240"/>
    </row>
    <row r="3777" spans="9:13" ht="32.1" customHeight="1" x14ac:dyDescent="0.25">
      <c r="J3777" s="235" t="str">
        <f>ComparisonData!VJ3</f>
        <v>10. What else are you doing in the area today, in addition to visiting this archive?</v>
      </c>
      <c r="K3777" s="236"/>
      <c r="L3777" s="236"/>
      <c r="M3777" s="237"/>
    </row>
    <row r="3778" spans="9:13" ht="63.95" customHeight="1" x14ac:dyDescent="0.25">
      <c r="J3778" s="185" t="str">
        <f>ComparisonData!VT4</f>
        <v>Nothing else</v>
      </c>
      <c r="K3778" s="185" t="str">
        <f>ComparisonData!VU4</f>
        <v xml:space="preserve">Using local hospitality, retail and / or transport facilities </v>
      </c>
      <c r="L3778" s="185" t="str">
        <f>ComparisonData!VV4</f>
        <v>Visiting other places of interest</v>
      </c>
      <c r="M3778" s="185" t="str">
        <f>ComparisonData!VW4</f>
        <v>Other</v>
      </c>
    </row>
    <row r="3779" spans="9:13" ht="15.95" customHeight="1" x14ac:dyDescent="0.25">
      <c r="I3779" s="188" t="str" cm="1">
        <f t="array" aca="1" ref="I3779" ca="1">_10._What_else_are_you_doing_in_the_area_today__in_addition_to_visiting_this_archive?_lbl</f>
        <v>TOTAL</v>
      </c>
      <c r="J3779" s="192" cm="1">
        <f t="array" aca="1" ref="J3779" ca="1">_10._What_else_are_you_doing_in_the_area_today__in_addition_to_visiting_this_archive?_a</f>
        <v>0.58757999999999999</v>
      </c>
      <c r="K3779" s="192" cm="1">
        <f t="array" aca="1" ref="K3779" ca="1">_10._What_else_are_you_doing_in_the_area_today__in_addition_to_visiting_this_archive?_b</f>
        <v>0.2311</v>
      </c>
      <c r="L3779" s="192" cm="1">
        <f t="array" aca="1" ref="L3779" ca="1">_10._What_else_are_you_doing_in_the_area_today__in_addition_to_visiting_this_archive?_c</f>
        <v>0.10961</v>
      </c>
      <c r="M3779" s="192" cm="1">
        <f t="array" aca="1" ref="M3779" ca="1">_10._What_else_are_you_doing_in_the_area_today__in_addition_to_visiting_this_archive?_d</f>
        <v>0.15481</v>
      </c>
    </row>
    <row r="3780" spans="9:13" ht="15.95" customHeight="1" x14ac:dyDescent="0.25">
      <c r="J3780" s="192"/>
      <c r="K3780" s="192"/>
      <c r="L3780" s="192"/>
      <c r="M3780" s="192"/>
    </row>
    <row r="3781" spans="9:13" ht="15.95" customHeight="1" x14ac:dyDescent="0.25">
      <c r="J3781" s="192"/>
      <c r="K3781" s="192"/>
      <c r="L3781" s="192"/>
      <c r="M3781" s="192"/>
    </row>
    <row r="3782" spans="9:13" ht="15.95" customHeight="1" x14ac:dyDescent="0.25">
      <c r="J3782" s="192"/>
      <c r="K3782" s="192"/>
      <c r="L3782" s="192"/>
      <c r="M3782" s="192"/>
    </row>
    <row r="3783" spans="9:13" ht="15.95" customHeight="1" x14ac:dyDescent="0.25">
      <c r="J3783" s="192"/>
      <c r="K3783" s="192"/>
      <c r="L3783" s="192"/>
      <c r="M3783" s="192"/>
    </row>
    <row r="3784" spans="9:13" ht="15.95" customHeight="1" x14ac:dyDescent="0.25">
      <c r="J3784" s="192"/>
      <c r="K3784" s="192"/>
      <c r="L3784" s="192"/>
      <c r="M3784" s="192"/>
    </row>
    <row r="3785" spans="9:13" ht="15.95" customHeight="1" x14ac:dyDescent="0.25">
      <c r="J3785" s="192"/>
      <c r="K3785" s="192"/>
      <c r="L3785" s="192"/>
      <c r="M3785" s="192"/>
    </row>
    <row r="3786" spans="9:13" ht="15.95" customHeight="1" x14ac:dyDescent="0.25">
      <c r="J3786" s="192"/>
      <c r="K3786" s="192"/>
      <c r="L3786" s="192"/>
      <c r="M3786" s="192"/>
    </row>
    <row r="3787" spans="9:13" ht="15.95" customHeight="1" x14ac:dyDescent="0.25">
      <c r="J3787" s="192"/>
      <c r="K3787" s="192"/>
      <c r="L3787" s="192"/>
      <c r="M3787" s="192"/>
    </row>
    <row r="3788" spans="9:13" ht="15.95" customHeight="1" x14ac:dyDescent="0.25">
      <c r="J3788" s="192"/>
      <c r="K3788" s="192"/>
      <c r="L3788" s="192"/>
      <c r="M3788" s="192"/>
    </row>
    <row r="3789" spans="9:13" ht="15.95" customHeight="1" x14ac:dyDescent="0.25">
      <c r="J3789" s="192"/>
      <c r="K3789" s="192"/>
      <c r="L3789" s="192"/>
      <c r="M3789" s="192"/>
    </row>
    <row r="3790" spans="9:13" ht="15.95" customHeight="1" x14ac:dyDescent="0.25">
      <c r="J3790" s="192"/>
      <c r="K3790" s="192"/>
      <c r="L3790" s="192"/>
      <c r="M3790" s="192"/>
    </row>
    <row r="3791" spans="9:13" ht="15.95" customHeight="1" x14ac:dyDescent="0.25">
      <c r="J3791" s="192"/>
      <c r="K3791" s="192"/>
      <c r="L3791" s="192"/>
      <c r="M3791" s="192"/>
    </row>
    <row r="3792" spans="9:13" ht="15.95" customHeight="1" x14ac:dyDescent="0.25">
      <c r="J3792" s="192"/>
      <c r="K3792" s="192"/>
      <c r="L3792" s="192"/>
      <c r="M3792" s="192"/>
    </row>
    <row r="3793" spans="10:13" ht="15.95" customHeight="1" x14ac:dyDescent="0.25">
      <c r="J3793" s="192"/>
      <c r="K3793" s="192"/>
      <c r="L3793" s="192"/>
      <c r="M3793" s="192"/>
    </row>
    <row r="3794" spans="10:13" ht="15.95" customHeight="1" x14ac:dyDescent="0.25">
      <c r="J3794" s="192"/>
      <c r="K3794" s="192"/>
      <c r="L3794" s="192"/>
      <c r="M3794" s="192"/>
    </row>
    <row r="3795" spans="10:13" ht="15.95" customHeight="1" x14ac:dyDescent="0.25">
      <c r="J3795" s="192"/>
      <c r="K3795" s="192"/>
      <c r="L3795" s="192"/>
      <c r="M3795" s="192"/>
    </row>
    <row r="3796" spans="10:13" ht="15.95" customHeight="1" x14ac:dyDescent="0.25">
      <c r="J3796" s="192"/>
      <c r="K3796" s="192"/>
      <c r="L3796" s="192"/>
      <c r="M3796" s="192"/>
    </row>
    <row r="3797" spans="10:13" ht="15.95" customHeight="1" x14ac:dyDescent="0.25">
      <c r="J3797" s="192"/>
      <c r="K3797" s="192"/>
      <c r="L3797" s="192"/>
      <c r="M3797" s="192"/>
    </row>
    <row r="3798" spans="10:13" ht="15.95" customHeight="1" x14ac:dyDescent="0.25">
      <c r="J3798" s="192"/>
      <c r="K3798" s="192"/>
      <c r="L3798" s="192"/>
      <c r="M3798" s="192"/>
    </row>
    <row r="3799" spans="10:13" ht="15.95" customHeight="1" x14ac:dyDescent="0.25">
      <c r="J3799" s="192"/>
      <c r="K3799" s="192"/>
      <c r="L3799" s="192"/>
      <c r="M3799" s="192"/>
    </row>
    <row r="3800" spans="10:13" ht="15.95" customHeight="1" x14ac:dyDescent="0.25">
      <c r="J3800" s="192"/>
      <c r="K3800" s="192"/>
      <c r="L3800" s="192"/>
      <c r="M3800" s="192"/>
    </row>
    <row r="3801" spans="10:13" ht="15.95" customHeight="1" x14ac:dyDescent="0.25">
      <c r="J3801" s="192"/>
      <c r="K3801" s="192"/>
      <c r="L3801" s="192"/>
      <c r="M3801" s="192"/>
    </row>
    <row r="3802" spans="10:13" ht="15.95" customHeight="1" x14ac:dyDescent="0.25">
      <c r="J3802" s="192"/>
      <c r="K3802" s="192"/>
      <c r="L3802" s="192"/>
      <c r="M3802" s="192"/>
    </row>
    <row r="3803" spans="10:13" ht="15.95" customHeight="1" x14ac:dyDescent="0.25">
      <c r="J3803" s="192"/>
      <c r="K3803" s="192"/>
      <c r="L3803" s="192"/>
      <c r="M3803" s="192"/>
    </row>
    <row r="3804" spans="10:13" ht="15.95" customHeight="1" x14ac:dyDescent="0.25">
      <c r="J3804" s="192"/>
      <c r="K3804" s="192"/>
      <c r="L3804" s="192"/>
      <c r="M3804" s="192"/>
    </row>
    <row r="3805" spans="10:13" ht="15.95" customHeight="1" x14ac:dyDescent="0.25">
      <c r="J3805" s="192"/>
      <c r="K3805" s="192"/>
      <c r="L3805" s="192"/>
      <c r="M3805" s="192"/>
    </row>
    <row r="3806" spans="10:13" ht="15.95" customHeight="1" x14ac:dyDescent="0.25">
      <c r="J3806" s="192"/>
      <c r="K3806" s="192"/>
      <c r="L3806" s="192"/>
      <c r="M3806" s="192"/>
    </row>
    <row r="3807" spans="10:13" ht="15.95" customHeight="1" x14ac:dyDescent="0.25">
      <c r="J3807" s="192"/>
      <c r="K3807" s="192"/>
      <c r="L3807" s="192"/>
      <c r="M3807" s="192"/>
    </row>
    <row r="3808" spans="10:13" ht="15.95" customHeight="1" x14ac:dyDescent="0.25">
      <c r="J3808" s="192"/>
      <c r="K3808" s="192"/>
      <c r="L3808" s="192"/>
      <c r="M3808" s="192"/>
    </row>
    <row r="3809" spans="10:13" ht="15.95" customHeight="1" x14ac:dyDescent="0.25">
      <c r="J3809" s="192"/>
      <c r="K3809" s="192"/>
      <c r="L3809" s="192"/>
      <c r="M3809" s="192"/>
    </row>
    <row r="3810" spans="10:13" ht="15.95" customHeight="1" x14ac:dyDescent="0.25">
      <c r="J3810" s="192"/>
      <c r="K3810" s="192"/>
      <c r="L3810" s="192"/>
      <c r="M3810" s="192"/>
    </row>
    <row r="3811" spans="10:13" ht="15.95" customHeight="1" x14ac:dyDescent="0.25">
      <c r="J3811" s="192"/>
      <c r="K3811" s="192"/>
      <c r="L3811" s="192"/>
      <c r="M3811" s="192"/>
    </row>
    <row r="3812" spans="10:13" ht="15.95" customHeight="1" x14ac:dyDescent="0.25">
      <c r="J3812" s="192"/>
      <c r="K3812" s="192"/>
      <c r="L3812" s="192"/>
      <c r="M3812" s="192"/>
    </row>
    <row r="3813" spans="10:13" ht="15.95" customHeight="1" x14ac:dyDescent="0.25">
      <c r="J3813" s="192"/>
      <c r="K3813" s="192"/>
      <c r="L3813" s="192"/>
      <c r="M3813" s="192"/>
    </row>
    <row r="3814" spans="10:13" ht="15.95" customHeight="1" x14ac:dyDescent="0.25">
      <c r="J3814" s="192"/>
      <c r="K3814" s="192"/>
      <c r="L3814" s="192"/>
      <c r="M3814" s="192"/>
    </row>
    <row r="3815" spans="10:13" ht="15.95" customHeight="1" x14ac:dyDescent="0.25">
      <c r="J3815" s="192"/>
      <c r="K3815" s="192"/>
      <c r="L3815" s="192"/>
      <c r="M3815" s="192"/>
    </row>
    <row r="3816" spans="10:13" ht="15.95" customHeight="1" x14ac:dyDescent="0.25">
      <c r="J3816" s="192"/>
      <c r="K3816" s="192"/>
      <c r="L3816" s="192"/>
      <c r="M3816" s="192"/>
    </row>
    <row r="3817" spans="10:13" ht="15.95" customHeight="1" x14ac:dyDescent="0.25">
      <c r="J3817" s="192"/>
      <c r="K3817" s="192"/>
      <c r="L3817" s="192"/>
      <c r="M3817" s="192"/>
    </row>
    <row r="3818" spans="10:13" ht="15.95" customHeight="1" x14ac:dyDescent="0.25">
      <c r="J3818" s="192"/>
      <c r="K3818" s="192"/>
      <c r="L3818" s="192"/>
      <c r="M3818" s="192"/>
    </row>
    <row r="3819" spans="10:13" ht="15.95" customHeight="1" x14ac:dyDescent="0.25">
      <c r="J3819" s="192"/>
      <c r="K3819" s="192"/>
      <c r="L3819" s="192"/>
      <c r="M3819" s="192"/>
    </row>
    <row r="3820" spans="10:13" ht="15.95" customHeight="1" x14ac:dyDescent="0.25">
      <c r="J3820" s="192"/>
      <c r="K3820" s="192"/>
      <c r="L3820" s="192"/>
      <c r="M3820" s="192"/>
    </row>
    <row r="3821" spans="10:13" ht="15.95" customHeight="1" x14ac:dyDescent="0.25">
      <c r="J3821" s="192"/>
      <c r="K3821" s="192"/>
      <c r="L3821" s="192"/>
      <c r="M3821" s="192"/>
    </row>
    <row r="3822" spans="10:13" ht="15.95" customHeight="1" x14ac:dyDescent="0.25">
      <c r="J3822" s="192"/>
      <c r="K3822" s="192"/>
      <c r="L3822" s="192"/>
      <c r="M3822" s="192"/>
    </row>
    <row r="3823" spans="10:13" ht="15.95" customHeight="1" x14ac:dyDescent="0.25">
      <c r="J3823" s="192"/>
      <c r="K3823" s="192"/>
      <c r="L3823" s="192"/>
      <c r="M3823" s="192"/>
    </row>
    <row r="3824" spans="10:13" ht="15.95" customHeight="1" x14ac:dyDescent="0.25">
      <c r="J3824" s="192"/>
      <c r="K3824" s="192"/>
      <c r="L3824" s="192"/>
      <c r="M3824" s="192"/>
    </row>
    <row r="3825" spans="10:13" ht="15.95" customHeight="1" x14ac:dyDescent="0.25">
      <c r="J3825" s="192"/>
      <c r="K3825" s="192"/>
      <c r="L3825" s="192"/>
      <c r="M3825" s="192"/>
    </row>
    <row r="3826" spans="10:13" ht="15.95" customHeight="1" x14ac:dyDescent="0.25">
      <c r="J3826" s="192"/>
      <c r="K3826" s="192"/>
      <c r="L3826" s="192"/>
      <c r="M3826" s="192"/>
    </row>
    <row r="3827" spans="10:13" ht="15.95" customHeight="1" x14ac:dyDescent="0.25">
      <c r="J3827" s="192"/>
      <c r="K3827" s="192"/>
      <c r="L3827" s="192"/>
      <c r="M3827" s="192"/>
    </row>
    <row r="3828" spans="10:13" ht="15.95" customHeight="1" x14ac:dyDescent="0.25">
      <c r="J3828" s="192"/>
      <c r="K3828" s="192"/>
      <c r="L3828" s="192"/>
      <c r="M3828" s="192"/>
    </row>
    <row r="3829" spans="10:13" ht="15.95" customHeight="1" x14ac:dyDescent="0.25">
      <c r="J3829" s="192"/>
      <c r="K3829" s="192"/>
      <c r="L3829" s="192"/>
      <c r="M3829" s="192"/>
    </row>
    <row r="3830" spans="10:13" ht="15.95" customHeight="1" x14ac:dyDescent="0.25">
      <c r="J3830" s="192"/>
      <c r="K3830" s="192"/>
      <c r="L3830" s="192"/>
      <c r="M3830" s="192"/>
    </row>
    <row r="3831" spans="10:13" ht="15.95" customHeight="1" x14ac:dyDescent="0.25">
      <c r="J3831" s="192"/>
      <c r="K3831" s="192"/>
      <c r="L3831" s="192"/>
      <c r="M3831" s="192"/>
    </row>
    <row r="3832" spans="10:13" ht="15.95" customHeight="1" x14ac:dyDescent="0.25">
      <c r="J3832" s="192"/>
      <c r="K3832" s="192"/>
      <c r="L3832" s="192"/>
      <c r="M3832" s="192"/>
    </row>
    <row r="3833" spans="10:13" ht="15.95" customHeight="1" x14ac:dyDescent="0.25">
      <c r="J3833" s="192"/>
      <c r="K3833" s="192"/>
      <c r="L3833" s="192"/>
      <c r="M3833" s="192"/>
    </row>
    <row r="3834" spans="10:13" ht="15.95" customHeight="1" x14ac:dyDescent="0.25">
      <c r="J3834" s="192"/>
      <c r="K3834" s="192"/>
      <c r="L3834" s="192"/>
      <c r="M3834" s="192"/>
    </row>
    <row r="3835" spans="10:13" ht="15.95" customHeight="1" x14ac:dyDescent="0.25">
      <c r="J3835" s="192"/>
      <c r="K3835" s="192"/>
      <c r="L3835" s="192"/>
      <c r="M3835" s="192"/>
    </row>
    <row r="3836" spans="10:13" ht="15.95" customHeight="1" x14ac:dyDescent="0.25">
      <c r="J3836" s="192"/>
      <c r="K3836" s="192"/>
      <c r="L3836" s="192"/>
      <c r="M3836" s="192"/>
    </row>
    <row r="3837" spans="10:13" ht="15.95" customHeight="1" x14ac:dyDescent="0.25">
      <c r="J3837" s="192"/>
      <c r="K3837" s="192"/>
      <c r="L3837" s="192"/>
      <c r="M3837" s="192"/>
    </row>
    <row r="3838" spans="10:13" ht="15.95" customHeight="1" x14ac:dyDescent="0.25">
      <c r="J3838" s="192"/>
      <c r="K3838" s="192"/>
      <c r="L3838" s="192"/>
      <c r="M3838" s="192"/>
    </row>
    <row r="3839" spans="10:13" ht="15.95" customHeight="1" x14ac:dyDescent="0.25">
      <c r="J3839" s="192"/>
      <c r="K3839" s="192"/>
      <c r="L3839" s="192"/>
      <c r="M3839" s="192"/>
    </row>
    <row r="3840" spans="10:13" ht="15.95" customHeight="1" x14ac:dyDescent="0.25">
      <c r="J3840" s="192"/>
      <c r="K3840" s="192"/>
      <c r="L3840" s="192"/>
      <c r="M3840" s="192"/>
    </row>
    <row r="3841" spans="10:13" ht="15.95" customHeight="1" x14ac:dyDescent="0.25">
      <c r="J3841" s="192"/>
      <c r="K3841" s="192"/>
      <c r="L3841" s="192"/>
      <c r="M3841" s="192"/>
    </row>
    <row r="3842" spans="10:13" ht="15.95" customHeight="1" x14ac:dyDescent="0.25">
      <c r="J3842" s="192"/>
      <c r="K3842" s="192"/>
      <c r="L3842" s="192"/>
      <c r="M3842" s="192"/>
    </row>
    <row r="3843" spans="10:13" ht="15.95" customHeight="1" x14ac:dyDescent="0.25">
      <c r="J3843" s="192"/>
      <c r="K3843" s="192"/>
      <c r="L3843" s="192"/>
      <c r="M3843" s="192"/>
    </row>
    <row r="3844" spans="10:13" ht="15.95" customHeight="1" x14ac:dyDescent="0.25">
      <c r="J3844" s="192"/>
      <c r="K3844" s="192"/>
      <c r="L3844" s="192"/>
      <c r="M3844" s="192"/>
    </row>
    <row r="3845" spans="10:13" ht="15.95" customHeight="1" x14ac:dyDescent="0.25">
      <c r="J3845" s="192"/>
      <c r="K3845" s="192"/>
      <c r="L3845" s="192"/>
      <c r="M3845" s="192"/>
    </row>
    <row r="3846" spans="10:13" ht="15.95" customHeight="1" x14ac:dyDescent="0.25">
      <c r="J3846" s="192"/>
      <c r="K3846" s="192"/>
      <c r="L3846" s="192"/>
      <c r="M3846" s="192"/>
    </row>
    <row r="3847" spans="10:13" ht="15.95" customHeight="1" x14ac:dyDescent="0.25">
      <c r="J3847" s="192"/>
      <c r="K3847" s="192"/>
      <c r="L3847" s="192"/>
      <c r="M3847" s="192"/>
    </row>
    <row r="3848" spans="10:13" ht="15.95" customHeight="1" x14ac:dyDescent="0.25">
      <c r="J3848" s="192"/>
      <c r="K3848" s="192"/>
      <c r="L3848" s="192"/>
      <c r="M3848" s="192"/>
    </row>
    <row r="3849" spans="10:13" ht="15.95" customHeight="1" x14ac:dyDescent="0.25">
      <c r="J3849" s="192"/>
      <c r="K3849" s="192"/>
      <c r="L3849" s="192"/>
      <c r="M3849" s="192"/>
    </row>
    <row r="3850" spans="10:13" ht="15.95" customHeight="1" x14ac:dyDescent="0.25">
      <c r="J3850" s="192"/>
      <c r="K3850" s="192"/>
      <c r="L3850" s="192"/>
      <c r="M3850" s="192"/>
    </row>
    <row r="3851" spans="10:13" ht="15.95" customHeight="1" x14ac:dyDescent="0.25">
      <c r="J3851" s="192"/>
      <c r="K3851" s="192"/>
      <c r="L3851" s="192"/>
      <c r="M3851" s="192"/>
    </row>
    <row r="3852" spans="10:13" ht="15.95" customHeight="1" x14ac:dyDescent="0.25">
      <c r="J3852" s="192"/>
      <c r="K3852" s="192"/>
      <c r="L3852" s="192"/>
      <c r="M3852" s="192"/>
    </row>
    <row r="3853" spans="10:13" ht="15.95" customHeight="1" x14ac:dyDescent="0.25">
      <c r="J3853" s="192"/>
      <c r="K3853" s="192"/>
      <c r="L3853" s="192"/>
      <c r="M3853" s="192"/>
    </row>
    <row r="3854" spans="10:13" ht="15.95" customHeight="1" x14ac:dyDescent="0.25">
      <c r="J3854" s="192"/>
      <c r="K3854" s="192"/>
      <c r="L3854" s="192"/>
      <c r="M3854" s="192"/>
    </row>
    <row r="3855" spans="10:13" ht="15.95" customHeight="1" x14ac:dyDescent="0.25">
      <c r="J3855" s="192"/>
      <c r="K3855" s="192"/>
      <c r="L3855" s="192"/>
      <c r="M3855" s="192"/>
    </row>
    <row r="3856" spans="10:13" ht="15.95" customHeight="1" x14ac:dyDescent="0.25">
      <c r="J3856" s="192"/>
      <c r="K3856" s="192"/>
      <c r="L3856" s="192"/>
      <c r="M3856" s="192"/>
    </row>
    <row r="3857" spans="10:13" ht="15.95" customHeight="1" x14ac:dyDescent="0.25">
      <c r="J3857" s="192"/>
      <c r="K3857" s="192"/>
      <c r="L3857" s="192"/>
      <c r="M3857" s="192"/>
    </row>
    <row r="3858" spans="10:13" ht="15.95" customHeight="1" x14ac:dyDescent="0.25">
      <c r="J3858" s="192"/>
      <c r="K3858" s="192"/>
      <c r="L3858" s="192"/>
      <c r="M3858" s="192"/>
    </row>
    <row r="3859" spans="10:13" ht="15.95" customHeight="1" x14ac:dyDescent="0.25">
      <c r="J3859" s="192"/>
      <c r="K3859" s="192"/>
      <c r="L3859" s="192"/>
      <c r="M3859" s="192"/>
    </row>
    <row r="3860" spans="10:13" ht="15.95" customHeight="1" x14ac:dyDescent="0.25">
      <c r="J3860" s="192"/>
      <c r="K3860" s="192"/>
      <c r="L3860" s="192"/>
      <c r="M3860" s="192"/>
    </row>
    <row r="3861" spans="10:13" ht="15.95" customHeight="1" x14ac:dyDescent="0.25">
      <c r="J3861" s="192"/>
      <c r="K3861" s="192"/>
      <c r="L3861" s="192"/>
      <c r="M3861" s="192"/>
    </row>
    <row r="3862" spans="10:13" ht="15.95" customHeight="1" x14ac:dyDescent="0.25">
      <c r="J3862" s="192"/>
      <c r="K3862" s="192"/>
      <c r="L3862" s="192"/>
      <c r="M3862" s="192"/>
    </row>
    <row r="3863" spans="10:13" ht="15.95" customHeight="1" x14ac:dyDescent="0.25">
      <c r="J3863" s="192"/>
      <c r="K3863" s="192"/>
      <c r="L3863" s="192"/>
      <c r="M3863" s="192"/>
    </row>
    <row r="3864" spans="10:13" ht="15.95" customHeight="1" x14ac:dyDescent="0.25">
      <c r="J3864" s="192"/>
      <c r="K3864" s="192"/>
      <c r="L3864" s="192"/>
      <c r="M3864" s="192"/>
    </row>
    <row r="3865" spans="10:13" ht="15.95" customHeight="1" x14ac:dyDescent="0.25">
      <c r="J3865" s="192"/>
      <c r="K3865" s="192"/>
      <c r="L3865" s="192"/>
      <c r="M3865" s="192"/>
    </row>
    <row r="3866" spans="10:13" ht="15.95" customHeight="1" x14ac:dyDescent="0.25">
      <c r="J3866" s="192"/>
      <c r="K3866" s="192"/>
      <c r="L3866" s="192"/>
      <c r="M3866" s="192"/>
    </row>
    <row r="3867" spans="10:13" ht="15.95" customHeight="1" x14ac:dyDescent="0.25">
      <c r="J3867" s="192"/>
      <c r="K3867" s="192"/>
      <c r="L3867" s="192"/>
      <c r="M3867" s="192"/>
    </row>
    <row r="3868" spans="10:13" ht="15.95" customHeight="1" x14ac:dyDescent="0.25">
      <c r="J3868" s="192"/>
      <c r="K3868" s="192"/>
      <c r="L3868" s="192"/>
      <c r="M3868" s="192"/>
    </row>
    <row r="3869" spans="10:13" ht="15.95" customHeight="1" x14ac:dyDescent="0.25">
      <c r="J3869" s="192"/>
      <c r="K3869" s="192"/>
      <c r="L3869" s="192"/>
      <c r="M3869" s="192"/>
    </row>
    <row r="3870" spans="10:13" ht="15.95" customHeight="1" x14ac:dyDescent="0.25">
      <c r="J3870" s="192"/>
      <c r="K3870" s="192"/>
      <c r="L3870" s="192"/>
      <c r="M3870" s="192"/>
    </row>
    <row r="3871" spans="10:13" ht="15.95" customHeight="1" x14ac:dyDescent="0.25">
      <c r="J3871" s="192"/>
      <c r="K3871" s="192"/>
      <c r="L3871" s="192"/>
      <c r="M3871" s="192"/>
    </row>
    <row r="3872" spans="10:13" ht="15.95" customHeight="1" x14ac:dyDescent="0.25">
      <c r="J3872" s="192"/>
      <c r="K3872" s="192"/>
      <c r="L3872" s="192"/>
      <c r="M3872" s="192"/>
    </row>
    <row r="3873" spans="10:13" ht="15.95" customHeight="1" x14ac:dyDescent="0.25">
      <c r="J3873" s="192"/>
      <c r="K3873" s="192"/>
      <c r="L3873" s="192"/>
      <c r="M3873" s="192"/>
    </row>
    <row r="3874" spans="10:13" ht="15.95" customHeight="1" x14ac:dyDescent="0.25">
      <c r="J3874" s="192"/>
      <c r="K3874" s="192"/>
      <c r="L3874" s="192"/>
      <c r="M3874" s="192"/>
    </row>
    <row r="3875" spans="10:13" ht="15.95" customHeight="1" x14ac:dyDescent="0.25">
      <c r="J3875" s="192"/>
      <c r="K3875" s="192"/>
      <c r="L3875" s="192"/>
      <c r="M3875" s="192"/>
    </row>
    <row r="3876" spans="10:13" ht="15.95" customHeight="1" x14ac:dyDescent="0.25">
      <c r="J3876" s="192"/>
      <c r="K3876" s="192"/>
      <c r="L3876" s="192"/>
      <c r="M3876" s="192"/>
    </row>
    <row r="3877" spans="10:13" ht="15.95" customHeight="1" x14ac:dyDescent="0.25">
      <c r="J3877" s="192"/>
      <c r="K3877" s="192"/>
      <c r="L3877" s="192"/>
      <c r="M3877" s="192"/>
    </row>
    <row r="3878" spans="10:13" ht="15.95" customHeight="1" x14ac:dyDescent="0.25">
      <c r="J3878" s="192"/>
      <c r="K3878" s="192"/>
      <c r="L3878" s="192"/>
      <c r="M3878" s="192"/>
    </row>
    <row r="3879" spans="10:13" ht="15.95" customHeight="1" x14ac:dyDescent="0.25">
      <c r="J3879" s="192"/>
      <c r="K3879" s="192"/>
      <c r="L3879" s="192"/>
      <c r="M3879" s="192"/>
    </row>
    <row r="3880" spans="10:13" ht="15.95" customHeight="1" x14ac:dyDescent="0.25">
      <c r="J3880" s="192"/>
      <c r="K3880" s="192"/>
      <c r="L3880" s="192"/>
      <c r="M3880" s="192"/>
    </row>
    <row r="3881" spans="10:13" ht="15.95" customHeight="1" x14ac:dyDescent="0.25">
      <c r="J3881" s="192"/>
      <c r="K3881" s="192"/>
      <c r="L3881" s="192"/>
      <c r="M3881" s="192"/>
    </row>
    <row r="3882" spans="10:13" ht="15.95" customHeight="1" x14ac:dyDescent="0.25">
      <c r="J3882" s="192"/>
      <c r="K3882" s="192"/>
      <c r="L3882" s="192"/>
      <c r="M3882" s="192"/>
    </row>
    <row r="3883" spans="10:13" ht="15.95" customHeight="1" x14ac:dyDescent="0.25">
      <c r="J3883" s="192"/>
      <c r="K3883" s="192"/>
      <c r="L3883" s="192"/>
      <c r="M3883" s="192"/>
    </row>
    <row r="3884" spans="10:13" ht="15.95" customHeight="1" x14ac:dyDescent="0.25">
      <c r="J3884" s="192"/>
      <c r="K3884" s="192"/>
      <c r="L3884" s="192"/>
      <c r="M3884" s="192"/>
    </row>
    <row r="3885" spans="10:13" ht="15.95" customHeight="1" x14ac:dyDescent="0.25">
      <c r="J3885" s="192"/>
      <c r="K3885" s="192"/>
      <c r="L3885" s="192"/>
      <c r="M3885" s="192"/>
    </row>
    <row r="3886" spans="10:13" ht="15.95" customHeight="1" x14ac:dyDescent="0.25">
      <c r="J3886" s="192"/>
      <c r="K3886" s="192"/>
      <c r="L3886" s="192"/>
      <c r="M3886" s="192"/>
    </row>
    <row r="3887" spans="10:13" ht="15.95" customHeight="1" x14ac:dyDescent="0.25">
      <c r="J3887" s="192"/>
      <c r="K3887" s="192"/>
      <c r="L3887" s="192"/>
      <c r="M3887" s="192"/>
    </row>
    <row r="3888" spans="10:13" ht="15.95" customHeight="1" x14ac:dyDescent="0.25">
      <c r="J3888" s="192"/>
      <c r="K3888" s="192"/>
      <c r="L3888" s="192"/>
      <c r="M3888" s="192"/>
    </row>
    <row r="3889" spans="9:13" ht="15.95" customHeight="1" x14ac:dyDescent="0.25">
      <c r="J3889" s="192"/>
      <c r="K3889" s="192"/>
      <c r="L3889" s="192"/>
      <c r="M3889" s="192"/>
    </row>
    <row r="3890" spans="9:13" ht="15.95" customHeight="1" x14ac:dyDescent="0.25">
      <c r="J3890" s="192"/>
      <c r="K3890" s="192"/>
      <c r="L3890" s="192"/>
      <c r="M3890" s="192"/>
    </row>
    <row r="3891" spans="9:13" ht="15.95" customHeight="1" x14ac:dyDescent="0.25"/>
    <row r="3892" spans="9:13" ht="15.95" customHeight="1" x14ac:dyDescent="0.25"/>
    <row r="3893" spans="9:13" ht="32.1" customHeight="1" x14ac:dyDescent="0.25">
      <c r="J3893" s="185" t="str">
        <f>ComparisonData!VY2</f>
        <v>SECTION C: YOUR VISIT</v>
      </c>
    </row>
    <row r="3894" spans="9:13" ht="87.95" customHeight="1" x14ac:dyDescent="0.25">
      <c r="J3894" s="185" t="str">
        <f>ComparisonData!VY3</f>
        <v>11. Approximately how many hours have you spent at this archive today?</v>
      </c>
    </row>
    <row r="3895" spans="9:13" ht="32.1" customHeight="1" x14ac:dyDescent="0.25">
      <c r="J3895" s="185" t="str">
        <f>ComparisonData!VY4</f>
        <v>Average</v>
      </c>
    </row>
    <row r="3896" spans="9:13" ht="15.95" customHeight="1" x14ac:dyDescent="0.25">
      <c r="I3896" s="188" t="str" cm="1">
        <f t="array" aca="1" ref="I3896" ca="1">_11._Approximately_how_many_hours_have_you_spent_at_this_archive_today?_lbl</f>
        <v>TOTAL</v>
      </c>
      <c r="J3896" s="194" cm="1">
        <f t="array" aca="1" ref="J3896" ca="1">_11._Approximately_how_many_hours_have_you_spent_at_this_archive_today?_avg</f>
        <v>3.65524</v>
      </c>
    </row>
    <row r="3897" spans="9:13" ht="15.95" customHeight="1" x14ac:dyDescent="0.25">
      <c r="J3897" s="194"/>
    </row>
    <row r="3898" spans="9:13" ht="15.95" customHeight="1" x14ac:dyDescent="0.25">
      <c r="J3898" s="194"/>
    </row>
    <row r="3899" spans="9:13" ht="15.95" customHeight="1" x14ac:dyDescent="0.25">
      <c r="J3899" s="194"/>
    </row>
    <row r="3900" spans="9:13" ht="15.95" customHeight="1" x14ac:dyDescent="0.25">
      <c r="J3900" s="194"/>
    </row>
    <row r="3901" spans="9:13" ht="15.95" customHeight="1" x14ac:dyDescent="0.25">
      <c r="J3901" s="194"/>
    </row>
    <row r="3902" spans="9:13" ht="15.95" customHeight="1" x14ac:dyDescent="0.25">
      <c r="J3902" s="194"/>
    </row>
    <row r="3903" spans="9:13" ht="15.95" customHeight="1" x14ac:dyDescent="0.25">
      <c r="J3903" s="194"/>
    </row>
    <row r="3904" spans="9:13" ht="15.95" customHeight="1" x14ac:dyDescent="0.25">
      <c r="J3904" s="194"/>
    </row>
    <row r="3905" spans="10:10" ht="15.95" customHeight="1" x14ac:dyDescent="0.25">
      <c r="J3905" s="194"/>
    </row>
    <row r="3906" spans="10:10" ht="15.95" customHeight="1" x14ac:dyDescent="0.25">
      <c r="J3906" s="194"/>
    </row>
    <row r="3907" spans="10:10" ht="15.95" customHeight="1" x14ac:dyDescent="0.25">
      <c r="J3907" s="194"/>
    </row>
    <row r="3908" spans="10:10" ht="15.95" customHeight="1" x14ac:dyDescent="0.25">
      <c r="J3908" s="194"/>
    </row>
    <row r="3909" spans="10:10" ht="15.95" customHeight="1" x14ac:dyDescent="0.25">
      <c r="J3909" s="194"/>
    </row>
    <row r="3910" spans="10:10" ht="15.95" customHeight="1" x14ac:dyDescent="0.25">
      <c r="J3910" s="194"/>
    </row>
    <row r="3911" spans="10:10" ht="15.95" customHeight="1" x14ac:dyDescent="0.25">
      <c r="J3911" s="194"/>
    </row>
    <row r="3912" spans="10:10" ht="15.95" customHeight="1" x14ac:dyDescent="0.25">
      <c r="J3912" s="194"/>
    </row>
    <row r="3913" spans="10:10" ht="15.95" customHeight="1" x14ac:dyDescent="0.25">
      <c r="J3913" s="194"/>
    </row>
    <row r="3914" spans="10:10" ht="15.95" customHeight="1" x14ac:dyDescent="0.25">
      <c r="J3914" s="194"/>
    </row>
    <row r="3915" spans="10:10" ht="15.95" customHeight="1" x14ac:dyDescent="0.25">
      <c r="J3915" s="194"/>
    </row>
    <row r="3916" spans="10:10" ht="15.95" customHeight="1" x14ac:dyDescent="0.25">
      <c r="J3916" s="194"/>
    </row>
    <row r="3917" spans="10:10" ht="15.95" customHeight="1" x14ac:dyDescent="0.25">
      <c r="J3917" s="194"/>
    </row>
    <row r="3918" spans="10:10" ht="15.95" customHeight="1" x14ac:dyDescent="0.25">
      <c r="J3918" s="194"/>
    </row>
    <row r="3919" spans="10:10" ht="15.95" customHeight="1" x14ac:dyDescent="0.25">
      <c r="J3919" s="194"/>
    </row>
    <row r="3920" spans="10:10" ht="15.95" customHeight="1" x14ac:dyDescent="0.25">
      <c r="J3920" s="194"/>
    </row>
    <row r="3921" spans="10:10" ht="15.95" customHeight="1" x14ac:dyDescent="0.25">
      <c r="J3921" s="194"/>
    </row>
    <row r="3922" spans="10:10" ht="15.95" customHeight="1" x14ac:dyDescent="0.25">
      <c r="J3922" s="194"/>
    </row>
    <row r="3923" spans="10:10" ht="15.95" customHeight="1" x14ac:dyDescent="0.25">
      <c r="J3923" s="194"/>
    </row>
    <row r="3924" spans="10:10" ht="15.95" customHeight="1" x14ac:dyDescent="0.25">
      <c r="J3924" s="194"/>
    </row>
    <row r="3925" spans="10:10" ht="15.95" customHeight="1" x14ac:dyDescent="0.25">
      <c r="J3925" s="194"/>
    </row>
    <row r="3926" spans="10:10" ht="15.95" customHeight="1" x14ac:dyDescent="0.25">
      <c r="J3926" s="194"/>
    </row>
    <row r="3927" spans="10:10" ht="15.95" customHeight="1" x14ac:dyDescent="0.25">
      <c r="J3927" s="194"/>
    </row>
    <row r="3928" spans="10:10" ht="15.95" customHeight="1" x14ac:dyDescent="0.25">
      <c r="J3928" s="194"/>
    </row>
    <row r="3929" spans="10:10" ht="15.95" customHeight="1" x14ac:dyDescent="0.25">
      <c r="J3929" s="194"/>
    </row>
    <row r="3930" spans="10:10" ht="15.95" customHeight="1" x14ac:dyDescent="0.25">
      <c r="J3930" s="194"/>
    </row>
    <row r="3931" spans="10:10" ht="15.95" customHeight="1" x14ac:dyDescent="0.25">
      <c r="J3931" s="194"/>
    </row>
    <row r="3932" spans="10:10" ht="15.95" customHeight="1" x14ac:dyDescent="0.25">
      <c r="J3932" s="194"/>
    </row>
    <row r="3933" spans="10:10" ht="15.95" customHeight="1" x14ac:dyDescent="0.25">
      <c r="J3933" s="194"/>
    </row>
    <row r="3934" spans="10:10" ht="15.95" customHeight="1" x14ac:dyDescent="0.25">
      <c r="J3934" s="194"/>
    </row>
    <row r="3935" spans="10:10" ht="15.95" customHeight="1" x14ac:dyDescent="0.25">
      <c r="J3935" s="194"/>
    </row>
    <row r="3936" spans="10:10" ht="15.95" customHeight="1" x14ac:dyDescent="0.25">
      <c r="J3936" s="194"/>
    </row>
    <row r="3937" spans="10:10" ht="15.95" customHeight="1" x14ac:dyDescent="0.25">
      <c r="J3937" s="194"/>
    </row>
    <row r="3938" spans="10:10" ht="15.95" customHeight="1" x14ac:dyDescent="0.25">
      <c r="J3938" s="194"/>
    </row>
    <row r="3939" spans="10:10" ht="15.95" customHeight="1" x14ac:dyDescent="0.25">
      <c r="J3939" s="194"/>
    </row>
    <row r="3940" spans="10:10" ht="15.95" customHeight="1" x14ac:dyDescent="0.25">
      <c r="J3940" s="194"/>
    </row>
    <row r="3941" spans="10:10" ht="15.95" customHeight="1" x14ac:dyDescent="0.25">
      <c r="J3941" s="194"/>
    </row>
    <row r="3942" spans="10:10" ht="15.95" customHeight="1" x14ac:dyDescent="0.25">
      <c r="J3942" s="194"/>
    </row>
    <row r="3943" spans="10:10" ht="15.95" customHeight="1" x14ac:dyDescent="0.25">
      <c r="J3943" s="194"/>
    </row>
    <row r="3944" spans="10:10" ht="15.95" customHeight="1" x14ac:dyDescent="0.25">
      <c r="J3944" s="194"/>
    </row>
    <row r="3945" spans="10:10" ht="15.95" customHeight="1" x14ac:dyDescent="0.25">
      <c r="J3945" s="194"/>
    </row>
    <row r="3946" spans="10:10" ht="15.95" customHeight="1" x14ac:dyDescent="0.25">
      <c r="J3946" s="194"/>
    </row>
    <row r="3947" spans="10:10" ht="15.95" customHeight="1" x14ac:dyDescent="0.25">
      <c r="J3947" s="194"/>
    </row>
    <row r="3948" spans="10:10" ht="15.95" customHeight="1" x14ac:dyDescent="0.25">
      <c r="J3948" s="194"/>
    </row>
    <row r="3949" spans="10:10" ht="15.95" customHeight="1" x14ac:dyDescent="0.25">
      <c r="J3949" s="194"/>
    </row>
    <row r="3950" spans="10:10" ht="15.95" customHeight="1" x14ac:dyDescent="0.25">
      <c r="J3950" s="194"/>
    </row>
    <row r="3951" spans="10:10" ht="15.95" customHeight="1" x14ac:dyDescent="0.25">
      <c r="J3951" s="194"/>
    </row>
    <row r="3952" spans="10:10" ht="15.95" customHeight="1" x14ac:dyDescent="0.25">
      <c r="J3952" s="194"/>
    </row>
    <row r="3953" spans="10:10" ht="15.95" customHeight="1" x14ac:dyDescent="0.25">
      <c r="J3953" s="194"/>
    </row>
    <row r="3954" spans="10:10" ht="15.95" customHeight="1" x14ac:dyDescent="0.25">
      <c r="J3954" s="194"/>
    </row>
    <row r="3955" spans="10:10" ht="15.95" customHeight="1" x14ac:dyDescent="0.25">
      <c r="J3955" s="194"/>
    </row>
    <row r="3956" spans="10:10" ht="15.95" customHeight="1" x14ac:dyDescent="0.25">
      <c r="J3956" s="194"/>
    </row>
    <row r="3957" spans="10:10" ht="15.95" customHeight="1" x14ac:dyDescent="0.25">
      <c r="J3957" s="194"/>
    </row>
    <row r="3958" spans="10:10" ht="15.95" customHeight="1" x14ac:dyDescent="0.25">
      <c r="J3958" s="194"/>
    </row>
    <row r="3959" spans="10:10" ht="15.95" customHeight="1" x14ac:dyDescent="0.25">
      <c r="J3959" s="194"/>
    </row>
    <row r="3960" spans="10:10" ht="15.95" customHeight="1" x14ac:dyDescent="0.25">
      <c r="J3960" s="194"/>
    </row>
    <row r="3961" spans="10:10" ht="15.95" customHeight="1" x14ac:dyDescent="0.25">
      <c r="J3961" s="194"/>
    </row>
    <row r="3962" spans="10:10" ht="15.95" customHeight="1" x14ac:dyDescent="0.25">
      <c r="J3962" s="194"/>
    </row>
    <row r="3963" spans="10:10" ht="15.95" customHeight="1" x14ac:dyDescent="0.25">
      <c r="J3963" s="194"/>
    </row>
    <row r="3964" spans="10:10" ht="15.95" customHeight="1" x14ac:dyDescent="0.25">
      <c r="J3964" s="194"/>
    </row>
    <row r="3965" spans="10:10" ht="15.95" customHeight="1" x14ac:dyDescent="0.25">
      <c r="J3965" s="194"/>
    </row>
    <row r="3966" spans="10:10" ht="15.95" customHeight="1" x14ac:dyDescent="0.25">
      <c r="J3966" s="194"/>
    </row>
    <row r="3967" spans="10:10" ht="15.95" customHeight="1" x14ac:dyDescent="0.25">
      <c r="J3967" s="194"/>
    </row>
    <row r="3968" spans="10:10" ht="15.95" customHeight="1" x14ac:dyDescent="0.25">
      <c r="J3968" s="194"/>
    </row>
    <row r="3969" spans="10:10" ht="15.95" customHeight="1" x14ac:dyDescent="0.25">
      <c r="J3969" s="194"/>
    </row>
    <row r="3970" spans="10:10" ht="15.95" customHeight="1" x14ac:dyDescent="0.25">
      <c r="J3970" s="194"/>
    </row>
    <row r="3971" spans="10:10" ht="15.95" customHeight="1" x14ac:dyDescent="0.25">
      <c r="J3971" s="194"/>
    </row>
    <row r="3972" spans="10:10" ht="15.95" customHeight="1" x14ac:dyDescent="0.25">
      <c r="J3972" s="194"/>
    </row>
    <row r="3973" spans="10:10" ht="15.95" customHeight="1" x14ac:dyDescent="0.25">
      <c r="J3973" s="194"/>
    </row>
    <row r="3974" spans="10:10" ht="15.95" customHeight="1" x14ac:dyDescent="0.25">
      <c r="J3974" s="194"/>
    </row>
    <row r="3975" spans="10:10" ht="15.95" customHeight="1" x14ac:dyDescent="0.25">
      <c r="J3975" s="194"/>
    </row>
    <row r="3976" spans="10:10" ht="15.95" customHeight="1" x14ac:dyDescent="0.25">
      <c r="J3976" s="194"/>
    </row>
    <row r="3977" spans="10:10" ht="15.95" customHeight="1" x14ac:dyDescent="0.25">
      <c r="J3977" s="194"/>
    </row>
    <row r="3978" spans="10:10" ht="15.95" customHeight="1" x14ac:dyDescent="0.25">
      <c r="J3978" s="194"/>
    </row>
    <row r="3979" spans="10:10" ht="15.95" customHeight="1" x14ac:dyDescent="0.25">
      <c r="J3979" s="194"/>
    </row>
    <row r="3980" spans="10:10" ht="15.95" customHeight="1" x14ac:dyDescent="0.25">
      <c r="J3980" s="194"/>
    </row>
    <row r="3981" spans="10:10" ht="15.95" customHeight="1" x14ac:dyDescent="0.25">
      <c r="J3981" s="194"/>
    </row>
    <row r="3982" spans="10:10" ht="15.95" customHeight="1" x14ac:dyDescent="0.25">
      <c r="J3982" s="194"/>
    </row>
    <row r="3983" spans="10:10" ht="15.95" customHeight="1" x14ac:dyDescent="0.25">
      <c r="J3983" s="194"/>
    </row>
    <row r="3984" spans="10:10" ht="15.95" customHeight="1" x14ac:dyDescent="0.25">
      <c r="J3984" s="194"/>
    </row>
    <row r="3985" spans="10:10" ht="15.95" customHeight="1" x14ac:dyDescent="0.25">
      <c r="J3985" s="194"/>
    </row>
    <row r="3986" spans="10:10" ht="15.95" customHeight="1" x14ac:dyDescent="0.25">
      <c r="J3986" s="194"/>
    </row>
    <row r="3987" spans="10:10" ht="15.95" customHeight="1" x14ac:dyDescent="0.25">
      <c r="J3987" s="194"/>
    </row>
    <row r="3988" spans="10:10" ht="15.95" customHeight="1" x14ac:dyDescent="0.25">
      <c r="J3988" s="194"/>
    </row>
    <row r="3989" spans="10:10" ht="15.95" customHeight="1" x14ac:dyDescent="0.25">
      <c r="J3989" s="194"/>
    </row>
    <row r="3990" spans="10:10" ht="15.95" customHeight="1" x14ac:dyDescent="0.25">
      <c r="J3990" s="194"/>
    </row>
    <row r="3991" spans="10:10" ht="15.95" customHeight="1" x14ac:dyDescent="0.25">
      <c r="J3991" s="194"/>
    </row>
    <row r="3992" spans="10:10" ht="15.95" customHeight="1" x14ac:dyDescent="0.25">
      <c r="J3992" s="194"/>
    </row>
    <row r="3993" spans="10:10" ht="15.95" customHeight="1" x14ac:dyDescent="0.25">
      <c r="J3993" s="194"/>
    </row>
    <row r="3994" spans="10:10" ht="15.95" customHeight="1" x14ac:dyDescent="0.25">
      <c r="J3994" s="194"/>
    </row>
    <row r="3995" spans="10:10" ht="15.95" customHeight="1" x14ac:dyDescent="0.25">
      <c r="J3995" s="194"/>
    </row>
    <row r="3996" spans="10:10" ht="15.95" customHeight="1" x14ac:dyDescent="0.25">
      <c r="J3996" s="194"/>
    </row>
    <row r="3997" spans="10:10" ht="15.95" customHeight="1" x14ac:dyDescent="0.25">
      <c r="J3997" s="194"/>
    </row>
    <row r="3998" spans="10:10" ht="15.95" customHeight="1" x14ac:dyDescent="0.25">
      <c r="J3998" s="194"/>
    </row>
    <row r="3999" spans="10:10" ht="15.95" customHeight="1" x14ac:dyDescent="0.25">
      <c r="J3999" s="194"/>
    </row>
    <row r="4000" spans="10:10" ht="15.95" customHeight="1" x14ac:dyDescent="0.25">
      <c r="J4000" s="194"/>
    </row>
    <row r="4001" spans="9:11" ht="15.95" customHeight="1" x14ac:dyDescent="0.25">
      <c r="J4001" s="194"/>
    </row>
    <row r="4002" spans="9:11" ht="15.95" customHeight="1" x14ac:dyDescent="0.25">
      <c r="J4002" s="194"/>
    </row>
    <row r="4003" spans="9:11" ht="15.95" customHeight="1" x14ac:dyDescent="0.25">
      <c r="J4003" s="194"/>
    </row>
    <row r="4004" spans="9:11" ht="15.95" customHeight="1" x14ac:dyDescent="0.25">
      <c r="J4004" s="194"/>
    </row>
    <row r="4005" spans="9:11" ht="15.95" customHeight="1" x14ac:dyDescent="0.25">
      <c r="J4005" s="194"/>
    </row>
    <row r="4006" spans="9:11" ht="15.95" customHeight="1" x14ac:dyDescent="0.25">
      <c r="J4006" s="194"/>
    </row>
    <row r="4007" spans="9:11" ht="15.95" customHeight="1" x14ac:dyDescent="0.25">
      <c r="J4007" s="194"/>
    </row>
    <row r="4008" spans="9:11" ht="15.95" customHeight="1" x14ac:dyDescent="0.25"/>
    <row r="4009" spans="9:11" ht="15.95" customHeight="1" x14ac:dyDescent="0.25"/>
    <row r="4010" spans="9:11" ht="32.1" customHeight="1" x14ac:dyDescent="0.25">
      <c r="J4010" s="235" t="str">
        <f>ComparisonData!WH2</f>
        <v>SECTION D: OUTCOMES</v>
      </c>
      <c r="K4010" s="237"/>
    </row>
    <row r="4011" spans="9:11" ht="48" customHeight="1" x14ac:dyDescent="0.25">
      <c r="J4011" s="235" t="str">
        <f>ComparisonData!WH3</f>
        <v xml:space="preserve">13. What benefits have you experienced from using archives?  </v>
      </c>
      <c r="K4011" s="237"/>
    </row>
    <row r="4012" spans="9:11" ht="48" customHeight="1" x14ac:dyDescent="0.25">
      <c r="J4012" s="235" t="str">
        <f>ComparisonData!WH4</f>
        <v>I developed new skills or improved existing skills (in research, use of ICT, etc.)</v>
      </c>
      <c r="K4012" s="237"/>
    </row>
    <row r="4013" spans="9:11" ht="32.1" customHeight="1" x14ac:dyDescent="0.25">
      <c r="J4013" s="189" t="str">
        <f>ComparisonData!WL5</f>
        <v>Agree</v>
      </c>
      <c r="K4013" s="189" t="str">
        <f>ComparisonData!WM5</f>
        <v>Disagree</v>
      </c>
    </row>
    <row r="4014" spans="9:11" ht="15.95" customHeight="1" x14ac:dyDescent="0.25">
      <c r="I4014" s="188" t="str" cm="1">
        <f t="array" aca="1" ref="I4014" ca="1">I_developed_new_skills_or_improved_existing_skills__in_research__use_of_ICT__etc._lbl</f>
        <v>TOTAL</v>
      </c>
      <c r="J4014" s="192" cm="1">
        <f t="array" aca="1" ref="J4014" ca="1">I_developed_new_skills_or_improved_existing_skills__in_research__use_of_ICT__etc._1</f>
        <v>0.89287000000000005</v>
      </c>
      <c r="K4014" s="192" cm="1">
        <f t="array" aca="1" ref="K4014" ca="1">I_developed_new_skills_or_improved_existing_skills__in_research__use_of_ICT__etc._2</f>
        <v>0.10713104207991776</v>
      </c>
    </row>
    <row r="4015" spans="9:11" ht="15.95" customHeight="1" x14ac:dyDescent="0.25">
      <c r="J4015" s="192"/>
      <c r="K4015" s="192"/>
    </row>
    <row r="4016" spans="9:11" ht="15.95" customHeight="1" x14ac:dyDescent="0.25">
      <c r="J4016" s="192"/>
      <c r="K4016" s="192"/>
    </row>
    <row r="4017" spans="10:11" ht="15.95" customHeight="1" x14ac:dyDescent="0.25">
      <c r="J4017" s="192"/>
      <c r="K4017" s="192"/>
    </row>
    <row r="4018" spans="10:11" ht="15.95" customHeight="1" x14ac:dyDescent="0.25">
      <c r="J4018" s="192"/>
      <c r="K4018" s="192"/>
    </row>
    <row r="4019" spans="10:11" ht="15.95" customHeight="1" x14ac:dyDescent="0.25">
      <c r="J4019" s="192"/>
      <c r="K4019" s="192"/>
    </row>
    <row r="4020" spans="10:11" ht="15.95" customHeight="1" x14ac:dyDescent="0.25">
      <c r="J4020" s="192"/>
      <c r="K4020" s="192"/>
    </row>
    <row r="4021" spans="10:11" ht="15.95" customHeight="1" x14ac:dyDescent="0.25">
      <c r="J4021" s="192"/>
      <c r="K4021" s="192"/>
    </row>
    <row r="4022" spans="10:11" ht="15.95" customHeight="1" x14ac:dyDescent="0.25">
      <c r="J4022" s="192"/>
      <c r="K4022" s="192"/>
    </row>
    <row r="4023" spans="10:11" ht="15.95" customHeight="1" x14ac:dyDescent="0.25">
      <c r="J4023" s="192"/>
      <c r="K4023" s="192"/>
    </row>
    <row r="4024" spans="10:11" ht="15.95" customHeight="1" x14ac:dyDescent="0.25">
      <c r="J4024" s="192"/>
      <c r="K4024" s="192"/>
    </row>
    <row r="4025" spans="10:11" ht="15.95" customHeight="1" x14ac:dyDescent="0.25">
      <c r="J4025" s="192"/>
      <c r="K4025" s="192"/>
    </row>
    <row r="4026" spans="10:11" ht="15.95" customHeight="1" x14ac:dyDescent="0.25">
      <c r="J4026" s="192"/>
      <c r="K4026" s="192"/>
    </row>
    <row r="4027" spans="10:11" ht="15.95" customHeight="1" x14ac:dyDescent="0.25">
      <c r="J4027" s="192"/>
      <c r="K4027" s="192"/>
    </row>
    <row r="4028" spans="10:11" ht="15.95" customHeight="1" x14ac:dyDescent="0.25">
      <c r="J4028" s="192"/>
      <c r="K4028" s="192"/>
    </row>
    <row r="4029" spans="10:11" ht="15.95" customHeight="1" x14ac:dyDescent="0.25">
      <c r="J4029" s="192"/>
      <c r="K4029" s="192"/>
    </row>
    <row r="4030" spans="10:11" ht="15.95" customHeight="1" x14ac:dyDescent="0.25">
      <c r="J4030" s="192"/>
      <c r="K4030" s="192"/>
    </row>
    <row r="4031" spans="10:11" ht="15.95" customHeight="1" x14ac:dyDescent="0.25">
      <c r="J4031" s="192"/>
      <c r="K4031" s="192"/>
    </row>
    <row r="4032" spans="10:11" ht="15.95" customHeight="1" x14ac:dyDescent="0.25">
      <c r="J4032" s="192"/>
      <c r="K4032" s="192"/>
    </row>
    <row r="4033" spans="10:11" ht="15.95" customHeight="1" x14ac:dyDescent="0.25">
      <c r="J4033" s="192"/>
      <c r="K4033" s="192"/>
    </row>
    <row r="4034" spans="10:11" ht="15.95" customHeight="1" x14ac:dyDescent="0.25">
      <c r="J4034" s="192"/>
      <c r="K4034" s="192"/>
    </row>
    <row r="4035" spans="10:11" ht="15.95" customHeight="1" x14ac:dyDescent="0.25">
      <c r="J4035" s="192"/>
      <c r="K4035" s="192"/>
    </row>
    <row r="4036" spans="10:11" ht="15.95" customHeight="1" x14ac:dyDescent="0.25">
      <c r="J4036" s="192"/>
      <c r="K4036" s="192"/>
    </row>
    <row r="4037" spans="10:11" ht="15.95" customHeight="1" x14ac:dyDescent="0.25">
      <c r="J4037" s="192"/>
      <c r="K4037" s="192"/>
    </row>
    <row r="4038" spans="10:11" ht="15.95" customHeight="1" x14ac:dyDescent="0.25">
      <c r="J4038" s="192"/>
      <c r="K4038" s="192"/>
    </row>
    <row r="4039" spans="10:11" ht="15.95" customHeight="1" x14ac:dyDescent="0.25">
      <c r="J4039" s="192"/>
      <c r="K4039" s="192"/>
    </row>
    <row r="4040" spans="10:11" ht="15.95" customHeight="1" x14ac:dyDescent="0.25">
      <c r="J4040" s="192"/>
      <c r="K4040" s="192"/>
    </row>
    <row r="4041" spans="10:11" ht="15.95" customHeight="1" x14ac:dyDescent="0.25">
      <c r="J4041" s="192"/>
      <c r="K4041" s="192"/>
    </row>
    <row r="4042" spans="10:11" ht="15.95" customHeight="1" x14ac:dyDescent="0.25">
      <c r="J4042" s="192"/>
      <c r="K4042" s="192"/>
    </row>
    <row r="4043" spans="10:11" ht="15.95" customHeight="1" x14ac:dyDescent="0.25">
      <c r="J4043" s="192"/>
      <c r="K4043" s="192"/>
    </row>
    <row r="4044" spans="10:11" ht="15.95" customHeight="1" x14ac:dyDescent="0.25">
      <c r="J4044" s="192"/>
      <c r="K4044" s="192"/>
    </row>
    <row r="4045" spans="10:11" ht="15.95" customHeight="1" x14ac:dyDescent="0.25">
      <c r="J4045" s="192"/>
      <c r="K4045" s="192"/>
    </row>
    <row r="4046" spans="10:11" ht="15.95" customHeight="1" x14ac:dyDescent="0.25">
      <c r="J4046" s="192"/>
      <c r="K4046" s="192"/>
    </row>
    <row r="4047" spans="10:11" ht="15.95" customHeight="1" x14ac:dyDescent="0.25">
      <c r="J4047" s="192"/>
      <c r="K4047" s="192"/>
    </row>
    <row r="4048" spans="10:11" ht="15.95" customHeight="1" x14ac:dyDescent="0.25">
      <c r="J4048" s="192"/>
      <c r="K4048" s="192"/>
    </row>
    <row r="4049" spans="10:11" ht="15.95" customHeight="1" x14ac:dyDescent="0.25">
      <c r="J4049" s="192"/>
      <c r="K4049" s="192"/>
    </row>
    <row r="4050" spans="10:11" ht="15.95" customHeight="1" x14ac:dyDescent="0.25">
      <c r="J4050" s="192"/>
      <c r="K4050" s="192"/>
    </row>
    <row r="4051" spans="10:11" ht="15.95" customHeight="1" x14ac:dyDescent="0.25">
      <c r="J4051" s="192"/>
      <c r="K4051" s="192"/>
    </row>
    <row r="4052" spans="10:11" ht="15.95" customHeight="1" x14ac:dyDescent="0.25">
      <c r="J4052" s="192"/>
      <c r="K4052" s="192"/>
    </row>
    <row r="4053" spans="10:11" ht="15.95" customHeight="1" x14ac:dyDescent="0.25">
      <c r="J4053" s="192"/>
      <c r="K4053" s="192"/>
    </row>
    <row r="4054" spans="10:11" ht="15.95" customHeight="1" x14ac:dyDescent="0.25">
      <c r="J4054" s="192"/>
      <c r="K4054" s="192"/>
    </row>
    <row r="4055" spans="10:11" ht="15.95" customHeight="1" x14ac:dyDescent="0.25">
      <c r="J4055" s="192"/>
      <c r="K4055" s="192"/>
    </row>
    <row r="4056" spans="10:11" ht="15.95" customHeight="1" x14ac:dyDescent="0.25">
      <c r="J4056" s="192"/>
      <c r="K4056" s="192"/>
    </row>
    <row r="4057" spans="10:11" ht="15.95" customHeight="1" x14ac:dyDescent="0.25">
      <c r="J4057" s="192"/>
      <c r="K4057" s="192"/>
    </row>
    <row r="4058" spans="10:11" ht="15.95" customHeight="1" x14ac:dyDescent="0.25">
      <c r="J4058" s="192"/>
      <c r="K4058" s="192"/>
    </row>
    <row r="4059" spans="10:11" ht="15.95" customHeight="1" x14ac:dyDescent="0.25">
      <c r="J4059" s="192"/>
      <c r="K4059" s="192"/>
    </row>
    <row r="4060" spans="10:11" ht="15.95" customHeight="1" x14ac:dyDescent="0.25">
      <c r="J4060" s="192"/>
      <c r="K4060" s="192"/>
    </row>
    <row r="4061" spans="10:11" ht="15.95" customHeight="1" x14ac:dyDescent="0.25">
      <c r="J4061" s="192"/>
      <c r="K4061" s="192"/>
    </row>
    <row r="4062" spans="10:11" ht="15.95" customHeight="1" x14ac:dyDescent="0.25">
      <c r="J4062" s="192"/>
      <c r="K4062" s="192"/>
    </row>
    <row r="4063" spans="10:11" ht="15.95" customHeight="1" x14ac:dyDescent="0.25">
      <c r="J4063" s="192"/>
      <c r="K4063" s="192"/>
    </row>
    <row r="4064" spans="10:11" ht="15.95" customHeight="1" x14ac:dyDescent="0.25">
      <c r="J4064" s="192"/>
      <c r="K4064" s="192"/>
    </row>
    <row r="4065" spans="10:11" ht="15.95" customHeight="1" x14ac:dyDescent="0.25">
      <c r="J4065" s="192"/>
      <c r="K4065" s="192"/>
    </row>
    <row r="4066" spans="10:11" ht="15.95" customHeight="1" x14ac:dyDescent="0.25">
      <c r="J4066" s="192"/>
      <c r="K4066" s="192"/>
    </row>
    <row r="4067" spans="10:11" ht="15.95" customHeight="1" x14ac:dyDescent="0.25">
      <c r="J4067" s="192"/>
      <c r="K4067" s="192"/>
    </row>
    <row r="4068" spans="10:11" ht="15.95" customHeight="1" x14ac:dyDescent="0.25">
      <c r="J4068" s="192"/>
      <c r="K4068" s="192"/>
    </row>
    <row r="4069" spans="10:11" ht="15.95" customHeight="1" x14ac:dyDescent="0.25">
      <c r="J4069" s="192"/>
      <c r="K4069" s="192"/>
    </row>
    <row r="4070" spans="10:11" ht="15.95" customHeight="1" x14ac:dyDescent="0.25">
      <c r="J4070" s="192"/>
      <c r="K4070" s="192"/>
    </row>
    <row r="4071" spans="10:11" ht="15.95" customHeight="1" x14ac:dyDescent="0.25">
      <c r="J4071" s="192"/>
      <c r="K4071" s="192"/>
    </row>
    <row r="4072" spans="10:11" ht="15.95" customHeight="1" x14ac:dyDescent="0.25">
      <c r="J4072" s="192"/>
      <c r="K4072" s="192"/>
    </row>
    <row r="4073" spans="10:11" ht="15.95" customHeight="1" x14ac:dyDescent="0.25">
      <c r="J4073" s="192"/>
      <c r="K4073" s="192"/>
    </row>
    <row r="4074" spans="10:11" ht="15.95" customHeight="1" x14ac:dyDescent="0.25">
      <c r="J4074" s="192"/>
      <c r="K4074" s="192"/>
    </row>
    <row r="4075" spans="10:11" ht="15.95" customHeight="1" x14ac:dyDescent="0.25">
      <c r="J4075" s="192"/>
      <c r="K4075" s="192"/>
    </row>
    <row r="4076" spans="10:11" ht="15.95" customHeight="1" x14ac:dyDescent="0.25">
      <c r="J4076" s="192"/>
      <c r="K4076" s="192"/>
    </row>
    <row r="4077" spans="10:11" ht="15.95" customHeight="1" x14ac:dyDescent="0.25">
      <c r="J4077" s="192"/>
      <c r="K4077" s="192"/>
    </row>
    <row r="4078" spans="10:11" ht="15.95" customHeight="1" x14ac:dyDescent="0.25">
      <c r="J4078" s="192"/>
      <c r="K4078" s="192"/>
    </row>
    <row r="4079" spans="10:11" ht="15.95" customHeight="1" x14ac:dyDescent="0.25">
      <c r="J4079" s="192"/>
      <c r="K4079" s="192"/>
    </row>
    <row r="4080" spans="10:11" ht="15.95" customHeight="1" x14ac:dyDescent="0.25">
      <c r="J4080" s="192"/>
      <c r="K4080" s="192"/>
    </row>
    <row r="4081" spans="10:11" ht="15.95" customHeight="1" x14ac:dyDescent="0.25">
      <c r="J4081" s="192"/>
      <c r="K4081" s="192"/>
    </row>
    <row r="4082" spans="10:11" ht="15.95" customHeight="1" x14ac:dyDescent="0.25">
      <c r="J4082" s="192"/>
      <c r="K4082" s="192"/>
    </row>
    <row r="4083" spans="10:11" ht="15.95" customHeight="1" x14ac:dyDescent="0.25">
      <c r="J4083" s="192"/>
      <c r="K4083" s="192"/>
    </row>
    <row r="4084" spans="10:11" ht="15.95" customHeight="1" x14ac:dyDescent="0.25">
      <c r="J4084" s="192"/>
      <c r="K4084" s="192"/>
    </row>
    <row r="4085" spans="10:11" ht="15.95" customHeight="1" x14ac:dyDescent="0.25">
      <c r="J4085" s="192"/>
      <c r="K4085" s="192"/>
    </row>
    <row r="4086" spans="10:11" ht="15.95" customHeight="1" x14ac:dyDescent="0.25">
      <c r="J4086" s="192"/>
      <c r="K4086" s="192"/>
    </row>
    <row r="4087" spans="10:11" ht="15.95" customHeight="1" x14ac:dyDescent="0.25">
      <c r="J4087" s="192"/>
      <c r="K4087" s="192"/>
    </row>
    <row r="4088" spans="10:11" ht="15.95" customHeight="1" x14ac:dyDescent="0.25">
      <c r="J4088" s="192"/>
      <c r="K4088" s="192"/>
    </row>
    <row r="4089" spans="10:11" ht="15.95" customHeight="1" x14ac:dyDescent="0.25">
      <c r="J4089" s="192"/>
      <c r="K4089" s="192"/>
    </row>
    <row r="4090" spans="10:11" ht="15.95" customHeight="1" x14ac:dyDescent="0.25">
      <c r="J4090" s="192"/>
      <c r="K4090" s="192"/>
    </row>
    <row r="4091" spans="10:11" ht="15.95" customHeight="1" x14ac:dyDescent="0.25">
      <c r="J4091" s="192"/>
      <c r="K4091" s="192"/>
    </row>
    <row r="4092" spans="10:11" ht="15.95" customHeight="1" x14ac:dyDescent="0.25">
      <c r="J4092" s="192"/>
      <c r="K4092" s="192"/>
    </row>
    <row r="4093" spans="10:11" ht="15.95" customHeight="1" x14ac:dyDescent="0.25">
      <c r="J4093" s="192"/>
      <c r="K4093" s="192"/>
    </row>
    <row r="4094" spans="10:11" ht="15.95" customHeight="1" x14ac:dyDescent="0.25">
      <c r="J4094" s="192"/>
      <c r="K4094" s="192"/>
    </row>
    <row r="4095" spans="10:11" ht="15.95" customHeight="1" x14ac:dyDescent="0.25">
      <c r="J4095" s="192"/>
      <c r="K4095" s="192"/>
    </row>
    <row r="4096" spans="10:11" ht="15.95" customHeight="1" x14ac:dyDescent="0.25">
      <c r="J4096" s="192"/>
      <c r="K4096" s="192"/>
    </row>
    <row r="4097" spans="10:11" ht="15.95" customHeight="1" x14ac:dyDescent="0.25">
      <c r="J4097" s="192"/>
      <c r="K4097" s="192"/>
    </row>
    <row r="4098" spans="10:11" ht="15.95" customHeight="1" x14ac:dyDescent="0.25">
      <c r="J4098" s="192"/>
      <c r="K4098" s="192"/>
    </row>
    <row r="4099" spans="10:11" ht="15.95" customHeight="1" x14ac:dyDescent="0.25">
      <c r="J4099" s="192"/>
      <c r="K4099" s="192"/>
    </row>
    <row r="4100" spans="10:11" ht="15.95" customHeight="1" x14ac:dyDescent="0.25">
      <c r="J4100" s="192"/>
      <c r="K4100" s="192"/>
    </row>
    <row r="4101" spans="10:11" ht="15.95" customHeight="1" x14ac:dyDescent="0.25">
      <c r="J4101" s="192"/>
      <c r="K4101" s="192"/>
    </row>
    <row r="4102" spans="10:11" ht="15.95" customHeight="1" x14ac:dyDescent="0.25">
      <c r="J4102" s="192"/>
      <c r="K4102" s="192"/>
    </row>
    <row r="4103" spans="10:11" ht="15.95" customHeight="1" x14ac:dyDescent="0.25">
      <c r="J4103" s="192"/>
      <c r="K4103" s="192"/>
    </row>
    <row r="4104" spans="10:11" ht="15.95" customHeight="1" x14ac:dyDescent="0.25">
      <c r="J4104" s="192"/>
      <c r="K4104" s="192"/>
    </row>
    <row r="4105" spans="10:11" ht="15.95" customHeight="1" x14ac:dyDescent="0.25">
      <c r="J4105" s="192"/>
      <c r="K4105" s="192"/>
    </row>
    <row r="4106" spans="10:11" ht="15.95" customHeight="1" x14ac:dyDescent="0.25">
      <c r="J4106" s="192"/>
      <c r="K4106" s="192"/>
    </row>
    <row r="4107" spans="10:11" ht="15.95" customHeight="1" x14ac:dyDescent="0.25">
      <c r="J4107" s="192"/>
      <c r="K4107" s="192"/>
    </row>
    <row r="4108" spans="10:11" ht="15.95" customHeight="1" x14ac:dyDescent="0.25">
      <c r="J4108" s="192"/>
      <c r="K4108" s="192"/>
    </row>
    <row r="4109" spans="10:11" ht="15.95" customHeight="1" x14ac:dyDescent="0.25">
      <c r="J4109" s="192"/>
      <c r="K4109" s="192"/>
    </row>
    <row r="4110" spans="10:11" ht="15.95" customHeight="1" x14ac:dyDescent="0.25">
      <c r="J4110" s="192"/>
      <c r="K4110" s="192"/>
    </row>
    <row r="4111" spans="10:11" ht="15.95" customHeight="1" x14ac:dyDescent="0.25">
      <c r="J4111" s="192"/>
      <c r="K4111" s="192"/>
    </row>
    <row r="4112" spans="10:11" ht="15.95" customHeight="1" x14ac:dyDescent="0.25">
      <c r="J4112" s="192"/>
      <c r="K4112" s="192"/>
    </row>
    <row r="4113" spans="10:11" ht="15.95" customHeight="1" x14ac:dyDescent="0.25">
      <c r="J4113" s="192"/>
      <c r="K4113" s="192"/>
    </row>
    <row r="4114" spans="10:11" ht="15.95" customHeight="1" x14ac:dyDescent="0.25">
      <c r="J4114" s="192"/>
      <c r="K4114" s="192"/>
    </row>
    <row r="4115" spans="10:11" ht="15.95" customHeight="1" x14ac:dyDescent="0.25">
      <c r="J4115" s="192"/>
      <c r="K4115" s="192"/>
    </row>
    <row r="4116" spans="10:11" ht="15.95" customHeight="1" x14ac:dyDescent="0.25">
      <c r="J4116" s="192"/>
      <c r="K4116" s="192"/>
    </row>
    <row r="4117" spans="10:11" ht="15.95" customHeight="1" x14ac:dyDescent="0.25">
      <c r="J4117" s="192"/>
      <c r="K4117" s="192"/>
    </row>
    <row r="4118" spans="10:11" ht="15.95" customHeight="1" x14ac:dyDescent="0.25">
      <c r="J4118" s="192"/>
      <c r="K4118" s="192"/>
    </row>
    <row r="4119" spans="10:11" ht="15.95" customHeight="1" x14ac:dyDescent="0.25">
      <c r="J4119" s="192"/>
      <c r="K4119" s="192"/>
    </row>
    <row r="4120" spans="10:11" ht="15.95" customHeight="1" x14ac:dyDescent="0.25">
      <c r="J4120" s="192"/>
      <c r="K4120" s="192"/>
    </row>
    <row r="4121" spans="10:11" ht="15.95" customHeight="1" x14ac:dyDescent="0.25">
      <c r="J4121" s="192"/>
      <c r="K4121" s="192"/>
    </row>
    <row r="4122" spans="10:11" ht="15.95" customHeight="1" x14ac:dyDescent="0.25">
      <c r="J4122" s="192"/>
      <c r="K4122" s="192"/>
    </row>
    <row r="4123" spans="10:11" ht="15.95" customHeight="1" x14ac:dyDescent="0.25">
      <c r="J4123" s="192"/>
      <c r="K4123" s="192"/>
    </row>
    <row r="4124" spans="10:11" ht="15.95" customHeight="1" x14ac:dyDescent="0.25">
      <c r="J4124" s="192"/>
      <c r="K4124" s="192"/>
    </row>
    <row r="4125" spans="10:11" ht="15.95" customHeight="1" x14ac:dyDescent="0.25"/>
    <row r="4126" spans="10:11" ht="15.95" customHeight="1" x14ac:dyDescent="0.25"/>
    <row r="4127" spans="10:11" ht="32.1" customHeight="1" x14ac:dyDescent="0.25">
      <c r="J4127" s="235" t="str">
        <f>ComparisonData!WS2</f>
        <v>SECTION D: OUTCOMES</v>
      </c>
      <c r="K4127" s="237"/>
    </row>
    <row r="4128" spans="10:11" ht="48" customHeight="1" x14ac:dyDescent="0.25">
      <c r="J4128" s="235" t="str">
        <f>ComparisonData!WS3</f>
        <v xml:space="preserve">13. What benefits have you experienced from using archives?  </v>
      </c>
      <c r="K4128" s="237"/>
    </row>
    <row r="4129" spans="9:11" ht="48" customHeight="1" x14ac:dyDescent="0.25">
      <c r="J4129" s="235" t="str">
        <f>ComparisonData!WS4</f>
        <v>I have a greater understanding of my community, its history and people</v>
      </c>
      <c r="K4129" s="237"/>
    </row>
    <row r="4130" spans="9:11" ht="32.1" customHeight="1" x14ac:dyDescent="0.25">
      <c r="J4130" s="189" t="str">
        <f>ComparisonData!WW5</f>
        <v>Agree</v>
      </c>
      <c r="K4130" s="189" t="str">
        <f>ComparisonData!WX5</f>
        <v>Disagree</v>
      </c>
    </row>
    <row r="4131" spans="9:11" ht="15.95" customHeight="1" x14ac:dyDescent="0.25">
      <c r="I4131" s="188" t="str" cm="1">
        <f t="array" aca="1" ref="I4131" ca="1">I_have_a_greater_understanding_of_my_community__its_history_and_people_lbl</f>
        <v>TOTAL</v>
      </c>
      <c r="J4131" s="192" cm="1">
        <f t="array" aca="1" ref="J4131" ca="1">I_have_a_greater_understanding_of_my_community__its_history_and_people_1</f>
        <v>0.95504</v>
      </c>
      <c r="K4131" s="192" cm="1">
        <f t="array" aca="1" ref="K4131" ca="1">I_have_a_greater_understanding_of_my_community__its_history_and_people_2</f>
        <v>4.496E-2</v>
      </c>
    </row>
    <row r="4132" spans="9:11" ht="15.95" customHeight="1" x14ac:dyDescent="0.25">
      <c r="J4132" s="192"/>
      <c r="K4132" s="192"/>
    </row>
    <row r="4133" spans="9:11" ht="15.95" customHeight="1" x14ac:dyDescent="0.25">
      <c r="J4133" s="192"/>
      <c r="K4133" s="192"/>
    </row>
    <row r="4134" spans="9:11" ht="15.95" customHeight="1" x14ac:dyDescent="0.25">
      <c r="J4134" s="192"/>
      <c r="K4134" s="192"/>
    </row>
    <row r="4135" spans="9:11" ht="15.95" customHeight="1" x14ac:dyDescent="0.25">
      <c r="J4135" s="192"/>
      <c r="K4135" s="192"/>
    </row>
    <row r="4136" spans="9:11" ht="15.95" customHeight="1" x14ac:dyDescent="0.25">
      <c r="J4136" s="192"/>
      <c r="K4136" s="192"/>
    </row>
    <row r="4137" spans="9:11" ht="15.95" customHeight="1" x14ac:dyDescent="0.25">
      <c r="J4137" s="192"/>
      <c r="K4137" s="192"/>
    </row>
    <row r="4138" spans="9:11" ht="15.95" customHeight="1" x14ac:dyDescent="0.25">
      <c r="J4138" s="192"/>
      <c r="K4138" s="192"/>
    </row>
    <row r="4139" spans="9:11" ht="15.95" customHeight="1" x14ac:dyDescent="0.25">
      <c r="J4139" s="192"/>
      <c r="K4139" s="192"/>
    </row>
    <row r="4140" spans="9:11" ht="15.95" customHeight="1" x14ac:dyDescent="0.25">
      <c r="J4140" s="192"/>
      <c r="K4140" s="192"/>
    </row>
    <row r="4141" spans="9:11" ht="15.95" customHeight="1" x14ac:dyDescent="0.25">
      <c r="J4141" s="192"/>
      <c r="K4141" s="192"/>
    </row>
    <row r="4142" spans="9:11" ht="15.95" customHeight="1" x14ac:dyDescent="0.25">
      <c r="J4142" s="192"/>
      <c r="K4142" s="192"/>
    </row>
    <row r="4143" spans="9:11" ht="15.95" customHeight="1" x14ac:dyDescent="0.25">
      <c r="J4143" s="192"/>
      <c r="K4143" s="192"/>
    </row>
    <row r="4144" spans="9:11" ht="15.95" customHeight="1" x14ac:dyDescent="0.25">
      <c r="J4144" s="192"/>
      <c r="K4144" s="192"/>
    </row>
    <row r="4145" spans="10:11" ht="15.95" customHeight="1" x14ac:dyDescent="0.25">
      <c r="J4145" s="192"/>
      <c r="K4145" s="192"/>
    </row>
    <row r="4146" spans="10:11" ht="15.95" customHeight="1" x14ac:dyDescent="0.25">
      <c r="J4146" s="192"/>
      <c r="K4146" s="192"/>
    </row>
    <row r="4147" spans="10:11" ht="15.95" customHeight="1" x14ac:dyDescent="0.25">
      <c r="J4147" s="192"/>
      <c r="K4147" s="192"/>
    </row>
    <row r="4148" spans="10:11" ht="15.95" customHeight="1" x14ac:dyDescent="0.25">
      <c r="J4148" s="192"/>
      <c r="K4148" s="192"/>
    </row>
    <row r="4149" spans="10:11" ht="15.95" customHeight="1" x14ac:dyDescent="0.25">
      <c r="J4149" s="192"/>
      <c r="K4149" s="192"/>
    </row>
    <row r="4150" spans="10:11" ht="15.95" customHeight="1" x14ac:dyDescent="0.25">
      <c r="J4150" s="192"/>
      <c r="K4150" s="192"/>
    </row>
    <row r="4151" spans="10:11" ht="15.95" customHeight="1" x14ac:dyDescent="0.25">
      <c r="J4151" s="192"/>
      <c r="K4151" s="192"/>
    </row>
    <row r="4152" spans="10:11" ht="15.95" customHeight="1" x14ac:dyDescent="0.25">
      <c r="J4152" s="192"/>
      <c r="K4152" s="192"/>
    </row>
    <row r="4153" spans="10:11" ht="15.95" customHeight="1" x14ac:dyDescent="0.25">
      <c r="J4153" s="192"/>
      <c r="K4153" s="192"/>
    </row>
    <row r="4154" spans="10:11" ht="15.95" customHeight="1" x14ac:dyDescent="0.25">
      <c r="J4154" s="192"/>
      <c r="K4154" s="192"/>
    </row>
    <row r="4155" spans="10:11" ht="15.95" customHeight="1" x14ac:dyDescent="0.25">
      <c r="J4155" s="192"/>
      <c r="K4155" s="192"/>
    </row>
    <row r="4156" spans="10:11" ht="15.95" customHeight="1" x14ac:dyDescent="0.25">
      <c r="J4156" s="192"/>
      <c r="K4156" s="192"/>
    </row>
    <row r="4157" spans="10:11" ht="15.95" customHeight="1" x14ac:dyDescent="0.25">
      <c r="J4157" s="192"/>
      <c r="K4157" s="192"/>
    </row>
    <row r="4158" spans="10:11" ht="15.95" customHeight="1" x14ac:dyDescent="0.25">
      <c r="J4158" s="192"/>
      <c r="K4158" s="192"/>
    </row>
    <row r="4159" spans="10:11" ht="15.95" customHeight="1" x14ac:dyDescent="0.25">
      <c r="J4159" s="192"/>
      <c r="K4159" s="192"/>
    </row>
    <row r="4160" spans="10:11" ht="15.95" customHeight="1" x14ac:dyDescent="0.25">
      <c r="J4160" s="192"/>
      <c r="K4160" s="192"/>
    </row>
    <row r="4161" spans="10:11" ht="15.95" customHeight="1" x14ac:dyDescent="0.25">
      <c r="J4161" s="192"/>
      <c r="K4161" s="192"/>
    </row>
    <row r="4162" spans="10:11" ht="15.95" customHeight="1" x14ac:dyDescent="0.25">
      <c r="J4162" s="192"/>
      <c r="K4162" s="192"/>
    </row>
    <row r="4163" spans="10:11" ht="15.95" customHeight="1" x14ac:dyDescent="0.25">
      <c r="J4163" s="192"/>
      <c r="K4163" s="192"/>
    </row>
    <row r="4164" spans="10:11" ht="15.95" customHeight="1" x14ac:dyDescent="0.25">
      <c r="J4164" s="192"/>
      <c r="K4164" s="192"/>
    </row>
    <row r="4165" spans="10:11" ht="15.95" customHeight="1" x14ac:dyDescent="0.25">
      <c r="J4165" s="192"/>
      <c r="K4165" s="192"/>
    </row>
    <row r="4166" spans="10:11" ht="15.95" customHeight="1" x14ac:dyDescent="0.25">
      <c r="J4166" s="192"/>
      <c r="K4166" s="192"/>
    </row>
    <row r="4167" spans="10:11" ht="15.95" customHeight="1" x14ac:dyDescent="0.25">
      <c r="J4167" s="192"/>
      <c r="K4167" s="192"/>
    </row>
    <row r="4168" spans="10:11" ht="15.95" customHeight="1" x14ac:dyDescent="0.25">
      <c r="J4168" s="192"/>
      <c r="K4168" s="192"/>
    </row>
    <row r="4169" spans="10:11" ht="15.95" customHeight="1" x14ac:dyDescent="0.25">
      <c r="J4169" s="192"/>
      <c r="K4169" s="192"/>
    </row>
    <row r="4170" spans="10:11" ht="15.95" customHeight="1" x14ac:dyDescent="0.25">
      <c r="J4170" s="192"/>
      <c r="K4170" s="192"/>
    </row>
    <row r="4171" spans="10:11" ht="15.95" customHeight="1" x14ac:dyDescent="0.25">
      <c r="J4171" s="192"/>
      <c r="K4171" s="192"/>
    </row>
    <row r="4172" spans="10:11" ht="15.95" customHeight="1" x14ac:dyDescent="0.25">
      <c r="J4172" s="192"/>
      <c r="K4172" s="192"/>
    </row>
    <row r="4173" spans="10:11" ht="15.95" customHeight="1" x14ac:dyDescent="0.25">
      <c r="J4173" s="192"/>
      <c r="K4173" s="192"/>
    </row>
    <row r="4174" spans="10:11" ht="15.95" customHeight="1" x14ac:dyDescent="0.25">
      <c r="J4174" s="192"/>
      <c r="K4174" s="192"/>
    </row>
    <row r="4175" spans="10:11" ht="15.95" customHeight="1" x14ac:dyDescent="0.25">
      <c r="J4175" s="192"/>
      <c r="K4175" s="192"/>
    </row>
    <row r="4176" spans="10:11" ht="15.95" customHeight="1" x14ac:dyDescent="0.25">
      <c r="J4176" s="192"/>
      <c r="K4176" s="192"/>
    </row>
    <row r="4177" spans="10:11" ht="15.95" customHeight="1" x14ac:dyDescent="0.25">
      <c r="J4177" s="192"/>
      <c r="K4177" s="192"/>
    </row>
    <row r="4178" spans="10:11" ht="15.95" customHeight="1" x14ac:dyDescent="0.25">
      <c r="J4178" s="192"/>
      <c r="K4178" s="192"/>
    </row>
    <row r="4179" spans="10:11" ht="15.95" customHeight="1" x14ac:dyDescent="0.25">
      <c r="J4179" s="192"/>
      <c r="K4179" s="192"/>
    </row>
    <row r="4180" spans="10:11" ht="15.95" customHeight="1" x14ac:dyDescent="0.25">
      <c r="J4180" s="192"/>
      <c r="K4180" s="192"/>
    </row>
    <row r="4181" spans="10:11" ht="15.95" customHeight="1" x14ac:dyDescent="0.25">
      <c r="J4181" s="192"/>
      <c r="K4181" s="192"/>
    </row>
    <row r="4182" spans="10:11" ht="15.95" customHeight="1" x14ac:dyDescent="0.25">
      <c r="J4182" s="192"/>
      <c r="K4182" s="192"/>
    </row>
    <row r="4183" spans="10:11" ht="15.95" customHeight="1" x14ac:dyDescent="0.25">
      <c r="J4183" s="192"/>
      <c r="K4183" s="192"/>
    </row>
    <row r="4184" spans="10:11" ht="15.95" customHeight="1" x14ac:dyDescent="0.25">
      <c r="J4184" s="192"/>
      <c r="K4184" s="192"/>
    </row>
    <row r="4185" spans="10:11" ht="15.95" customHeight="1" x14ac:dyDescent="0.25">
      <c r="J4185" s="192"/>
      <c r="K4185" s="192"/>
    </row>
    <row r="4186" spans="10:11" ht="15.95" customHeight="1" x14ac:dyDescent="0.25">
      <c r="J4186" s="192"/>
      <c r="K4186" s="192"/>
    </row>
    <row r="4187" spans="10:11" ht="15.95" customHeight="1" x14ac:dyDescent="0.25">
      <c r="J4187" s="192"/>
      <c r="K4187" s="192"/>
    </row>
    <row r="4188" spans="10:11" ht="15.95" customHeight="1" x14ac:dyDescent="0.25">
      <c r="J4188" s="192"/>
      <c r="K4188" s="192"/>
    </row>
    <row r="4189" spans="10:11" ht="15.95" customHeight="1" x14ac:dyDescent="0.25">
      <c r="J4189" s="192"/>
      <c r="K4189" s="192"/>
    </row>
    <row r="4190" spans="10:11" ht="15.95" customHeight="1" x14ac:dyDescent="0.25">
      <c r="J4190" s="192"/>
      <c r="K4190" s="192"/>
    </row>
    <row r="4191" spans="10:11" ht="15.95" customHeight="1" x14ac:dyDescent="0.25">
      <c r="J4191" s="192"/>
      <c r="K4191" s="192"/>
    </row>
    <row r="4192" spans="10:11" ht="15.95" customHeight="1" x14ac:dyDescent="0.25">
      <c r="J4192" s="192"/>
      <c r="K4192" s="192"/>
    </row>
    <row r="4193" spans="10:11" ht="15.95" customHeight="1" x14ac:dyDescent="0.25">
      <c r="J4193" s="192"/>
      <c r="K4193" s="192"/>
    </row>
    <row r="4194" spans="10:11" ht="15.95" customHeight="1" x14ac:dyDescent="0.25">
      <c r="J4194" s="192"/>
      <c r="K4194" s="192"/>
    </row>
    <row r="4195" spans="10:11" ht="15.95" customHeight="1" x14ac:dyDescent="0.25">
      <c r="J4195" s="192"/>
      <c r="K4195" s="192"/>
    </row>
    <row r="4196" spans="10:11" ht="15.95" customHeight="1" x14ac:dyDescent="0.25">
      <c r="J4196" s="192"/>
      <c r="K4196" s="192"/>
    </row>
    <row r="4197" spans="10:11" ht="15.95" customHeight="1" x14ac:dyDescent="0.25">
      <c r="J4197" s="192"/>
      <c r="K4197" s="192"/>
    </row>
    <row r="4198" spans="10:11" ht="15.95" customHeight="1" x14ac:dyDescent="0.25">
      <c r="J4198" s="192"/>
      <c r="K4198" s="192"/>
    </row>
    <row r="4199" spans="10:11" ht="15.95" customHeight="1" x14ac:dyDescent="0.25">
      <c r="J4199" s="192"/>
      <c r="K4199" s="192"/>
    </row>
    <row r="4200" spans="10:11" ht="15.95" customHeight="1" x14ac:dyDescent="0.25">
      <c r="J4200" s="192"/>
      <c r="K4200" s="192"/>
    </row>
    <row r="4201" spans="10:11" ht="15.95" customHeight="1" x14ac:dyDescent="0.25">
      <c r="J4201" s="192"/>
      <c r="K4201" s="192"/>
    </row>
    <row r="4202" spans="10:11" ht="15.95" customHeight="1" x14ac:dyDescent="0.25">
      <c r="J4202" s="192"/>
      <c r="K4202" s="192"/>
    </row>
    <row r="4203" spans="10:11" ht="15.95" customHeight="1" x14ac:dyDescent="0.25">
      <c r="J4203" s="192"/>
      <c r="K4203" s="192"/>
    </row>
    <row r="4204" spans="10:11" ht="15.95" customHeight="1" x14ac:dyDescent="0.25">
      <c r="J4204" s="192"/>
      <c r="K4204" s="192"/>
    </row>
    <row r="4205" spans="10:11" ht="15.95" customHeight="1" x14ac:dyDescent="0.25">
      <c r="J4205" s="192"/>
      <c r="K4205" s="192"/>
    </row>
    <row r="4206" spans="10:11" ht="15.95" customHeight="1" x14ac:dyDescent="0.25">
      <c r="J4206" s="192"/>
      <c r="K4206" s="192"/>
    </row>
    <row r="4207" spans="10:11" ht="15.95" customHeight="1" x14ac:dyDescent="0.25">
      <c r="J4207" s="192"/>
      <c r="K4207" s="192"/>
    </row>
    <row r="4208" spans="10:11" ht="15.95" customHeight="1" x14ac:dyDescent="0.25">
      <c r="J4208" s="192"/>
      <c r="K4208" s="192"/>
    </row>
    <row r="4209" spans="10:11" ht="15.95" customHeight="1" x14ac:dyDescent="0.25">
      <c r="J4209" s="192"/>
      <c r="K4209" s="192"/>
    </row>
    <row r="4210" spans="10:11" ht="15.95" customHeight="1" x14ac:dyDescent="0.25">
      <c r="J4210" s="192"/>
      <c r="K4210" s="192"/>
    </row>
    <row r="4211" spans="10:11" ht="15.95" customHeight="1" x14ac:dyDescent="0.25">
      <c r="J4211" s="192"/>
      <c r="K4211" s="192"/>
    </row>
    <row r="4212" spans="10:11" ht="15.95" customHeight="1" x14ac:dyDescent="0.25">
      <c r="J4212" s="192"/>
      <c r="K4212" s="192"/>
    </row>
    <row r="4213" spans="10:11" ht="15.95" customHeight="1" x14ac:dyDescent="0.25">
      <c r="J4213" s="192"/>
      <c r="K4213" s="192"/>
    </row>
    <row r="4214" spans="10:11" ht="15.95" customHeight="1" x14ac:dyDescent="0.25">
      <c r="J4214" s="192"/>
      <c r="K4214" s="192"/>
    </row>
    <row r="4215" spans="10:11" ht="15.95" customHeight="1" x14ac:dyDescent="0.25">
      <c r="J4215" s="192"/>
      <c r="K4215" s="192"/>
    </row>
    <row r="4216" spans="10:11" ht="15.95" customHeight="1" x14ac:dyDescent="0.25">
      <c r="J4216" s="192"/>
      <c r="K4216" s="192"/>
    </row>
    <row r="4217" spans="10:11" ht="15.95" customHeight="1" x14ac:dyDescent="0.25">
      <c r="J4217" s="192"/>
      <c r="K4217" s="192"/>
    </row>
    <row r="4218" spans="10:11" ht="15.95" customHeight="1" x14ac:dyDescent="0.25">
      <c r="J4218" s="192"/>
      <c r="K4218" s="192"/>
    </row>
    <row r="4219" spans="10:11" ht="15.95" customHeight="1" x14ac:dyDescent="0.25">
      <c r="J4219" s="192"/>
      <c r="K4219" s="192"/>
    </row>
    <row r="4220" spans="10:11" ht="15.95" customHeight="1" x14ac:dyDescent="0.25">
      <c r="J4220" s="192"/>
      <c r="K4220" s="192"/>
    </row>
    <row r="4221" spans="10:11" ht="15.95" customHeight="1" x14ac:dyDescent="0.25">
      <c r="J4221" s="192"/>
      <c r="K4221" s="192"/>
    </row>
    <row r="4222" spans="10:11" ht="15.95" customHeight="1" x14ac:dyDescent="0.25">
      <c r="J4222" s="192"/>
      <c r="K4222" s="192"/>
    </row>
    <row r="4223" spans="10:11" ht="15.95" customHeight="1" x14ac:dyDescent="0.25">
      <c r="J4223" s="192"/>
      <c r="K4223" s="192"/>
    </row>
    <row r="4224" spans="10:11" ht="15.95" customHeight="1" x14ac:dyDescent="0.25">
      <c r="J4224" s="192"/>
      <c r="K4224" s="192"/>
    </row>
    <row r="4225" spans="10:11" ht="15.95" customHeight="1" x14ac:dyDescent="0.25">
      <c r="J4225" s="192"/>
      <c r="K4225" s="192"/>
    </row>
    <row r="4226" spans="10:11" ht="15.95" customHeight="1" x14ac:dyDescent="0.25">
      <c r="J4226" s="192"/>
      <c r="K4226" s="192"/>
    </row>
    <row r="4227" spans="10:11" ht="15.95" customHeight="1" x14ac:dyDescent="0.25">
      <c r="J4227" s="192"/>
      <c r="K4227" s="192"/>
    </row>
    <row r="4228" spans="10:11" ht="15.95" customHeight="1" x14ac:dyDescent="0.25">
      <c r="J4228" s="192"/>
      <c r="K4228" s="192"/>
    </row>
    <row r="4229" spans="10:11" ht="15.95" customHeight="1" x14ac:dyDescent="0.25">
      <c r="J4229" s="192"/>
      <c r="K4229" s="192"/>
    </row>
    <row r="4230" spans="10:11" ht="15.95" customHeight="1" x14ac:dyDescent="0.25">
      <c r="J4230" s="192"/>
      <c r="K4230" s="192"/>
    </row>
    <row r="4231" spans="10:11" ht="15.95" customHeight="1" x14ac:dyDescent="0.25">
      <c r="J4231" s="192"/>
      <c r="K4231" s="192"/>
    </row>
    <row r="4232" spans="10:11" ht="15.95" customHeight="1" x14ac:dyDescent="0.25">
      <c r="J4232" s="192"/>
      <c r="K4232" s="192"/>
    </row>
    <row r="4233" spans="10:11" ht="15.95" customHeight="1" x14ac:dyDescent="0.25">
      <c r="J4233" s="192"/>
      <c r="K4233" s="192"/>
    </row>
    <row r="4234" spans="10:11" ht="15.95" customHeight="1" x14ac:dyDescent="0.25">
      <c r="J4234" s="192"/>
      <c r="K4234" s="192"/>
    </row>
    <row r="4235" spans="10:11" ht="15.95" customHeight="1" x14ac:dyDescent="0.25">
      <c r="J4235" s="192"/>
      <c r="K4235" s="192"/>
    </row>
    <row r="4236" spans="10:11" ht="15.95" customHeight="1" x14ac:dyDescent="0.25">
      <c r="J4236" s="192"/>
      <c r="K4236" s="192"/>
    </row>
    <row r="4237" spans="10:11" ht="15.95" customHeight="1" x14ac:dyDescent="0.25">
      <c r="J4237" s="192"/>
      <c r="K4237" s="192"/>
    </row>
    <row r="4238" spans="10:11" ht="15.95" customHeight="1" x14ac:dyDescent="0.25">
      <c r="J4238" s="192"/>
      <c r="K4238" s="192"/>
    </row>
    <row r="4239" spans="10:11" ht="15.95" customHeight="1" x14ac:dyDescent="0.25">
      <c r="J4239" s="192"/>
      <c r="K4239" s="192"/>
    </row>
    <row r="4240" spans="10:11" ht="15.95" customHeight="1" x14ac:dyDescent="0.25">
      <c r="J4240" s="192"/>
      <c r="K4240" s="192"/>
    </row>
    <row r="4241" spans="9:11" ht="15.95" customHeight="1" x14ac:dyDescent="0.25">
      <c r="J4241" s="192"/>
      <c r="K4241" s="192"/>
    </row>
    <row r="4242" spans="9:11" ht="15.95" customHeight="1" x14ac:dyDescent="0.25"/>
    <row r="4243" spans="9:11" ht="15.95" customHeight="1" x14ac:dyDescent="0.25"/>
    <row r="4244" spans="9:11" ht="32.1" customHeight="1" x14ac:dyDescent="0.25">
      <c r="J4244" s="235" t="str">
        <f>ComparisonData!XD2</f>
        <v>SECTION D: OUTCOMES</v>
      </c>
      <c r="K4244" s="237"/>
    </row>
    <row r="4245" spans="9:11" ht="48" customHeight="1" x14ac:dyDescent="0.25">
      <c r="J4245" s="235" t="str">
        <f>ComparisonData!XD3</f>
        <v xml:space="preserve">13. What benefits have you experienced from using archives?  </v>
      </c>
      <c r="K4245" s="237"/>
    </row>
    <row r="4246" spans="9:11" ht="48" customHeight="1" x14ac:dyDescent="0.25">
      <c r="J4246" s="235" t="str">
        <f>ComparisonData!XD4</f>
        <v>Found the evidence I was looking for</v>
      </c>
      <c r="K4246" s="237"/>
    </row>
    <row r="4247" spans="9:11" ht="32.1" customHeight="1" x14ac:dyDescent="0.25">
      <c r="J4247" s="189" t="str">
        <f>ComparisonData!XH5</f>
        <v>Agree</v>
      </c>
      <c r="K4247" s="189" t="str">
        <f>ComparisonData!XI5</f>
        <v>Disagree</v>
      </c>
    </row>
    <row r="4248" spans="9:11" ht="15.95" customHeight="1" x14ac:dyDescent="0.25">
      <c r="I4248" s="188" t="str" cm="1">
        <f t="array" aca="1" ref="I4248" ca="1">Found_the_evidence_I_was_looking_for_lbl</f>
        <v>TOTAL</v>
      </c>
      <c r="J4248" s="192" cm="1">
        <f t="array" aca="1" ref="J4248" ca="1">Found_the_evidence_I_was_looking_for_1</f>
        <v>0.94994999999999996</v>
      </c>
      <c r="K4248" s="192" cm="1">
        <f t="array" aca="1" ref="K4248" ca="1">Found_the_evidence_I_was_looking_for_2</f>
        <v>5.0049999999999997E-2</v>
      </c>
    </row>
    <row r="4249" spans="9:11" ht="15.95" customHeight="1" x14ac:dyDescent="0.25">
      <c r="J4249" s="192"/>
      <c r="K4249" s="192"/>
    </row>
    <row r="4250" spans="9:11" ht="15.95" customHeight="1" x14ac:dyDescent="0.25">
      <c r="J4250" s="192"/>
      <c r="K4250" s="192"/>
    </row>
    <row r="4251" spans="9:11" ht="15.95" customHeight="1" x14ac:dyDescent="0.25">
      <c r="J4251" s="192"/>
      <c r="K4251" s="192"/>
    </row>
    <row r="4252" spans="9:11" ht="15.95" customHeight="1" x14ac:dyDescent="0.25">
      <c r="J4252" s="192"/>
      <c r="K4252" s="192"/>
    </row>
    <row r="4253" spans="9:11" ht="15.95" customHeight="1" x14ac:dyDescent="0.25">
      <c r="J4253" s="192"/>
      <c r="K4253" s="192"/>
    </row>
    <row r="4254" spans="9:11" ht="15.95" customHeight="1" x14ac:dyDescent="0.25">
      <c r="J4254" s="192"/>
      <c r="K4254" s="192"/>
    </row>
    <row r="4255" spans="9:11" ht="15.95" customHeight="1" x14ac:dyDescent="0.25">
      <c r="J4255" s="192"/>
      <c r="K4255" s="192"/>
    </row>
    <row r="4256" spans="9:11" ht="15.95" customHeight="1" x14ac:dyDescent="0.25">
      <c r="J4256" s="192"/>
      <c r="K4256" s="192"/>
    </row>
    <row r="4257" spans="10:11" ht="15.95" customHeight="1" x14ac:dyDescent="0.25">
      <c r="J4257" s="192"/>
      <c r="K4257" s="192"/>
    </row>
    <row r="4258" spans="10:11" ht="15.95" customHeight="1" x14ac:dyDescent="0.25">
      <c r="J4258" s="192"/>
      <c r="K4258" s="192"/>
    </row>
    <row r="4259" spans="10:11" ht="15.95" customHeight="1" x14ac:dyDescent="0.25">
      <c r="J4259" s="192"/>
      <c r="K4259" s="192"/>
    </row>
    <row r="4260" spans="10:11" ht="15.95" customHeight="1" x14ac:dyDescent="0.25">
      <c r="J4260" s="192"/>
      <c r="K4260" s="192"/>
    </row>
    <row r="4261" spans="10:11" ht="15.95" customHeight="1" x14ac:dyDescent="0.25">
      <c r="J4261" s="192"/>
      <c r="K4261" s="192"/>
    </row>
    <row r="4262" spans="10:11" ht="15.95" customHeight="1" x14ac:dyDescent="0.25">
      <c r="J4262" s="192"/>
      <c r="K4262" s="192"/>
    </row>
    <row r="4263" spans="10:11" ht="15.95" customHeight="1" x14ac:dyDescent="0.25">
      <c r="J4263" s="192"/>
      <c r="K4263" s="192"/>
    </row>
    <row r="4264" spans="10:11" ht="15.95" customHeight="1" x14ac:dyDescent="0.25">
      <c r="J4264" s="192"/>
      <c r="K4264" s="192"/>
    </row>
    <row r="4265" spans="10:11" ht="15.95" customHeight="1" x14ac:dyDescent="0.25">
      <c r="J4265" s="192"/>
      <c r="K4265" s="192"/>
    </row>
    <row r="4266" spans="10:11" ht="15.95" customHeight="1" x14ac:dyDescent="0.25">
      <c r="J4266" s="192"/>
      <c r="K4266" s="192"/>
    </row>
    <row r="4267" spans="10:11" ht="15.95" customHeight="1" x14ac:dyDescent="0.25">
      <c r="J4267" s="192"/>
      <c r="K4267" s="192"/>
    </row>
    <row r="4268" spans="10:11" ht="15.95" customHeight="1" x14ac:dyDescent="0.25">
      <c r="J4268" s="192"/>
      <c r="K4268" s="192"/>
    </row>
    <row r="4269" spans="10:11" ht="15.95" customHeight="1" x14ac:dyDescent="0.25">
      <c r="J4269" s="192"/>
      <c r="K4269" s="192"/>
    </row>
    <row r="4270" spans="10:11" ht="15.95" customHeight="1" x14ac:dyDescent="0.25">
      <c r="J4270" s="192"/>
      <c r="K4270" s="192"/>
    </row>
    <row r="4271" spans="10:11" ht="15.95" customHeight="1" x14ac:dyDescent="0.25">
      <c r="J4271" s="192"/>
      <c r="K4271" s="192"/>
    </row>
    <row r="4272" spans="10:11" ht="15.95" customHeight="1" x14ac:dyDescent="0.25">
      <c r="J4272" s="192"/>
      <c r="K4272" s="192"/>
    </row>
    <row r="4273" spans="10:11" ht="15.95" customHeight="1" x14ac:dyDescent="0.25">
      <c r="J4273" s="192"/>
      <c r="K4273" s="192"/>
    </row>
    <row r="4274" spans="10:11" ht="15.95" customHeight="1" x14ac:dyDescent="0.25">
      <c r="J4274" s="192"/>
      <c r="K4274" s="192"/>
    </row>
    <row r="4275" spans="10:11" ht="15.95" customHeight="1" x14ac:dyDescent="0.25">
      <c r="J4275" s="192"/>
      <c r="K4275" s="192"/>
    </row>
    <row r="4276" spans="10:11" ht="15.95" customHeight="1" x14ac:dyDescent="0.25">
      <c r="J4276" s="192"/>
      <c r="K4276" s="192"/>
    </row>
    <row r="4277" spans="10:11" ht="15.95" customHeight="1" x14ac:dyDescent="0.25">
      <c r="J4277" s="192"/>
      <c r="K4277" s="192"/>
    </row>
    <row r="4278" spans="10:11" ht="15.95" customHeight="1" x14ac:dyDescent="0.25">
      <c r="J4278" s="192"/>
      <c r="K4278" s="192"/>
    </row>
    <row r="4279" spans="10:11" ht="15.95" customHeight="1" x14ac:dyDescent="0.25">
      <c r="J4279" s="192"/>
      <c r="K4279" s="192"/>
    </row>
    <row r="4280" spans="10:11" ht="15.95" customHeight="1" x14ac:dyDescent="0.25">
      <c r="J4280" s="192"/>
      <c r="K4280" s="192"/>
    </row>
    <row r="4281" spans="10:11" ht="15.95" customHeight="1" x14ac:dyDescent="0.25">
      <c r="J4281" s="192"/>
      <c r="K4281" s="192"/>
    </row>
    <row r="4282" spans="10:11" ht="15.95" customHeight="1" x14ac:dyDescent="0.25">
      <c r="J4282" s="192"/>
      <c r="K4282" s="192"/>
    </row>
    <row r="4283" spans="10:11" ht="15.95" customHeight="1" x14ac:dyDescent="0.25">
      <c r="J4283" s="192"/>
      <c r="K4283" s="192"/>
    </row>
    <row r="4284" spans="10:11" ht="15.95" customHeight="1" x14ac:dyDescent="0.25">
      <c r="J4284" s="192"/>
      <c r="K4284" s="192"/>
    </row>
    <row r="4285" spans="10:11" ht="15.95" customHeight="1" x14ac:dyDescent="0.25">
      <c r="J4285" s="192"/>
      <c r="K4285" s="192"/>
    </row>
    <row r="4286" spans="10:11" ht="15.95" customHeight="1" x14ac:dyDescent="0.25">
      <c r="J4286" s="192"/>
      <c r="K4286" s="192"/>
    </row>
    <row r="4287" spans="10:11" ht="15.95" customHeight="1" x14ac:dyDescent="0.25">
      <c r="J4287" s="192"/>
      <c r="K4287" s="192"/>
    </row>
    <row r="4288" spans="10:11" ht="15.95" customHeight="1" x14ac:dyDescent="0.25">
      <c r="J4288" s="192"/>
      <c r="K4288" s="192"/>
    </row>
    <row r="4289" spans="10:11" ht="15.95" customHeight="1" x14ac:dyDescent="0.25">
      <c r="J4289" s="192"/>
      <c r="K4289" s="192"/>
    </row>
    <row r="4290" spans="10:11" ht="15.95" customHeight="1" x14ac:dyDescent="0.25">
      <c r="J4290" s="192"/>
      <c r="K4290" s="192"/>
    </row>
    <row r="4291" spans="10:11" ht="15.95" customHeight="1" x14ac:dyDescent="0.25">
      <c r="J4291" s="192"/>
      <c r="K4291" s="192"/>
    </row>
    <row r="4292" spans="10:11" ht="15.95" customHeight="1" x14ac:dyDescent="0.25">
      <c r="J4292" s="192"/>
      <c r="K4292" s="192"/>
    </row>
    <row r="4293" spans="10:11" ht="15.95" customHeight="1" x14ac:dyDescent="0.25">
      <c r="J4293" s="192"/>
      <c r="K4293" s="192"/>
    </row>
    <row r="4294" spans="10:11" ht="15.95" customHeight="1" x14ac:dyDescent="0.25">
      <c r="J4294" s="192"/>
      <c r="K4294" s="192"/>
    </row>
    <row r="4295" spans="10:11" ht="15.95" customHeight="1" x14ac:dyDescent="0.25">
      <c r="J4295" s="192"/>
      <c r="K4295" s="192"/>
    </row>
    <row r="4296" spans="10:11" ht="15.95" customHeight="1" x14ac:dyDescent="0.25">
      <c r="J4296" s="192"/>
      <c r="K4296" s="192"/>
    </row>
    <row r="4297" spans="10:11" ht="15.95" customHeight="1" x14ac:dyDescent="0.25">
      <c r="J4297" s="192"/>
      <c r="K4297" s="192"/>
    </row>
    <row r="4298" spans="10:11" ht="15.95" customHeight="1" x14ac:dyDescent="0.25">
      <c r="J4298" s="192"/>
      <c r="K4298" s="192"/>
    </row>
    <row r="4299" spans="10:11" ht="15.95" customHeight="1" x14ac:dyDescent="0.25">
      <c r="J4299" s="192"/>
      <c r="K4299" s="192"/>
    </row>
    <row r="4300" spans="10:11" ht="15.95" customHeight="1" x14ac:dyDescent="0.25">
      <c r="J4300" s="192"/>
      <c r="K4300" s="192"/>
    </row>
    <row r="4301" spans="10:11" ht="15.95" customHeight="1" x14ac:dyDescent="0.25">
      <c r="J4301" s="192"/>
      <c r="K4301" s="192"/>
    </row>
    <row r="4302" spans="10:11" ht="15.95" customHeight="1" x14ac:dyDescent="0.25">
      <c r="J4302" s="192"/>
      <c r="K4302" s="192"/>
    </row>
    <row r="4303" spans="10:11" ht="15.95" customHeight="1" x14ac:dyDescent="0.25">
      <c r="J4303" s="192"/>
      <c r="K4303" s="192"/>
    </row>
    <row r="4304" spans="10:11" ht="15.95" customHeight="1" x14ac:dyDescent="0.25">
      <c r="J4304" s="192"/>
      <c r="K4304" s="192"/>
    </row>
    <row r="4305" spans="10:11" ht="15.95" customHeight="1" x14ac:dyDescent="0.25">
      <c r="J4305" s="192"/>
      <c r="K4305" s="192"/>
    </row>
    <row r="4306" spans="10:11" ht="15.95" customHeight="1" x14ac:dyDescent="0.25">
      <c r="J4306" s="192"/>
      <c r="K4306" s="192"/>
    </row>
    <row r="4307" spans="10:11" ht="15.95" customHeight="1" x14ac:dyDescent="0.25">
      <c r="J4307" s="192"/>
      <c r="K4307" s="192"/>
    </row>
    <row r="4308" spans="10:11" ht="15.95" customHeight="1" x14ac:dyDescent="0.25">
      <c r="J4308" s="192"/>
      <c r="K4308" s="192"/>
    </row>
    <row r="4309" spans="10:11" ht="15.95" customHeight="1" x14ac:dyDescent="0.25">
      <c r="J4309" s="192"/>
      <c r="K4309" s="192"/>
    </row>
    <row r="4310" spans="10:11" ht="15.95" customHeight="1" x14ac:dyDescent="0.25">
      <c r="J4310" s="192"/>
      <c r="K4310" s="192"/>
    </row>
    <row r="4311" spans="10:11" ht="15.95" customHeight="1" x14ac:dyDescent="0.25">
      <c r="J4311" s="192"/>
      <c r="K4311" s="192"/>
    </row>
    <row r="4312" spans="10:11" ht="15.95" customHeight="1" x14ac:dyDescent="0.25">
      <c r="J4312" s="192"/>
      <c r="K4312" s="192"/>
    </row>
    <row r="4313" spans="10:11" ht="15.95" customHeight="1" x14ac:dyDescent="0.25">
      <c r="J4313" s="192"/>
      <c r="K4313" s="192"/>
    </row>
    <row r="4314" spans="10:11" ht="15.95" customHeight="1" x14ac:dyDescent="0.25">
      <c r="J4314" s="192"/>
      <c r="K4314" s="192"/>
    </row>
    <row r="4315" spans="10:11" ht="15.95" customHeight="1" x14ac:dyDescent="0.25">
      <c r="J4315" s="192"/>
      <c r="K4315" s="192"/>
    </row>
    <row r="4316" spans="10:11" ht="15.95" customHeight="1" x14ac:dyDescent="0.25">
      <c r="J4316" s="192"/>
      <c r="K4316" s="192"/>
    </row>
    <row r="4317" spans="10:11" ht="15.95" customHeight="1" x14ac:dyDescent="0.25">
      <c r="J4317" s="192"/>
      <c r="K4317" s="192"/>
    </row>
    <row r="4318" spans="10:11" ht="15.95" customHeight="1" x14ac:dyDescent="0.25">
      <c r="J4318" s="192"/>
      <c r="K4318" s="192"/>
    </row>
    <row r="4319" spans="10:11" ht="15.95" customHeight="1" x14ac:dyDescent="0.25">
      <c r="J4319" s="192"/>
      <c r="K4319" s="192"/>
    </row>
    <row r="4320" spans="10:11" ht="15.95" customHeight="1" x14ac:dyDescent="0.25">
      <c r="J4320" s="192"/>
      <c r="K4320" s="192"/>
    </row>
    <row r="4321" spans="10:11" ht="15.95" customHeight="1" x14ac:dyDescent="0.25">
      <c r="J4321" s="192"/>
      <c r="K4321" s="192"/>
    </row>
    <row r="4322" spans="10:11" ht="15.95" customHeight="1" x14ac:dyDescent="0.25">
      <c r="J4322" s="192"/>
      <c r="K4322" s="192"/>
    </row>
    <row r="4323" spans="10:11" ht="15.95" customHeight="1" x14ac:dyDescent="0.25">
      <c r="J4323" s="192"/>
      <c r="K4323" s="192"/>
    </row>
    <row r="4324" spans="10:11" ht="15.95" customHeight="1" x14ac:dyDescent="0.25">
      <c r="J4324" s="192"/>
      <c r="K4324" s="192"/>
    </row>
    <row r="4325" spans="10:11" ht="15.95" customHeight="1" x14ac:dyDescent="0.25">
      <c r="J4325" s="192"/>
      <c r="K4325" s="192"/>
    </row>
    <row r="4326" spans="10:11" ht="15.95" customHeight="1" x14ac:dyDescent="0.25">
      <c r="J4326" s="192"/>
      <c r="K4326" s="192"/>
    </row>
    <row r="4327" spans="10:11" ht="15.95" customHeight="1" x14ac:dyDescent="0.25">
      <c r="J4327" s="192"/>
      <c r="K4327" s="192"/>
    </row>
    <row r="4328" spans="10:11" ht="15.95" customHeight="1" x14ac:dyDescent="0.25">
      <c r="J4328" s="192"/>
      <c r="K4328" s="192"/>
    </row>
    <row r="4329" spans="10:11" ht="15.95" customHeight="1" x14ac:dyDescent="0.25">
      <c r="J4329" s="192"/>
      <c r="K4329" s="192"/>
    </row>
    <row r="4330" spans="10:11" ht="15.95" customHeight="1" x14ac:dyDescent="0.25">
      <c r="J4330" s="192"/>
      <c r="K4330" s="192"/>
    </row>
    <row r="4331" spans="10:11" ht="15.95" customHeight="1" x14ac:dyDescent="0.25">
      <c r="J4331" s="192"/>
      <c r="K4331" s="192"/>
    </row>
    <row r="4332" spans="10:11" ht="15.95" customHeight="1" x14ac:dyDescent="0.25">
      <c r="J4332" s="192"/>
      <c r="K4332" s="192"/>
    </row>
    <row r="4333" spans="10:11" ht="15.95" customHeight="1" x14ac:dyDescent="0.25">
      <c r="J4333" s="192"/>
      <c r="K4333" s="192"/>
    </row>
    <row r="4334" spans="10:11" ht="15.95" customHeight="1" x14ac:dyDescent="0.25">
      <c r="J4334" s="192"/>
      <c r="K4334" s="192"/>
    </row>
    <row r="4335" spans="10:11" ht="15.95" customHeight="1" x14ac:dyDescent="0.25">
      <c r="J4335" s="192"/>
      <c r="K4335" s="192"/>
    </row>
    <row r="4336" spans="10:11" ht="15.95" customHeight="1" x14ac:dyDescent="0.25">
      <c r="J4336" s="192"/>
      <c r="K4336" s="192"/>
    </row>
    <row r="4337" spans="10:11" ht="15.95" customHeight="1" x14ac:dyDescent="0.25">
      <c r="J4337" s="192"/>
      <c r="K4337" s="192"/>
    </row>
    <row r="4338" spans="10:11" ht="15.95" customHeight="1" x14ac:dyDescent="0.25">
      <c r="J4338" s="192"/>
      <c r="K4338" s="192"/>
    </row>
    <row r="4339" spans="10:11" ht="15.95" customHeight="1" x14ac:dyDescent="0.25">
      <c r="J4339" s="192"/>
      <c r="K4339" s="192"/>
    </row>
    <row r="4340" spans="10:11" ht="15.95" customHeight="1" x14ac:dyDescent="0.25">
      <c r="J4340" s="192"/>
      <c r="K4340" s="192"/>
    </row>
    <row r="4341" spans="10:11" ht="15.95" customHeight="1" x14ac:dyDescent="0.25">
      <c r="J4341" s="192"/>
      <c r="K4341" s="192"/>
    </row>
    <row r="4342" spans="10:11" ht="15.95" customHeight="1" x14ac:dyDescent="0.25">
      <c r="J4342" s="192"/>
      <c r="K4342" s="192"/>
    </row>
    <row r="4343" spans="10:11" ht="15.95" customHeight="1" x14ac:dyDescent="0.25">
      <c r="J4343" s="192"/>
      <c r="K4343" s="192"/>
    </row>
    <row r="4344" spans="10:11" ht="15.95" customHeight="1" x14ac:dyDescent="0.25">
      <c r="J4344" s="192"/>
      <c r="K4344" s="192"/>
    </row>
    <row r="4345" spans="10:11" ht="15.95" customHeight="1" x14ac:dyDescent="0.25">
      <c r="J4345" s="192"/>
      <c r="K4345" s="192"/>
    </row>
    <row r="4346" spans="10:11" ht="15.95" customHeight="1" x14ac:dyDescent="0.25">
      <c r="J4346" s="192"/>
      <c r="K4346" s="192"/>
    </row>
    <row r="4347" spans="10:11" ht="15.95" customHeight="1" x14ac:dyDescent="0.25">
      <c r="J4347" s="192"/>
      <c r="K4347" s="192"/>
    </row>
    <row r="4348" spans="10:11" ht="15.95" customHeight="1" x14ac:dyDescent="0.25">
      <c r="J4348" s="192"/>
      <c r="K4348" s="192"/>
    </row>
    <row r="4349" spans="10:11" ht="15.95" customHeight="1" x14ac:dyDescent="0.25">
      <c r="J4349" s="192"/>
      <c r="K4349" s="192"/>
    </row>
    <row r="4350" spans="10:11" ht="15.95" customHeight="1" x14ac:dyDescent="0.25">
      <c r="J4350" s="192"/>
      <c r="K4350" s="192"/>
    </row>
    <row r="4351" spans="10:11" ht="15.95" customHeight="1" x14ac:dyDescent="0.25">
      <c r="J4351" s="192"/>
      <c r="K4351" s="192"/>
    </row>
    <row r="4352" spans="10:11" ht="15.95" customHeight="1" x14ac:dyDescent="0.25">
      <c r="J4352" s="192"/>
      <c r="K4352" s="192"/>
    </row>
    <row r="4353" spans="9:11" ht="15.95" customHeight="1" x14ac:dyDescent="0.25">
      <c r="J4353" s="192"/>
      <c r="K4353" s="192"/>
    </row>
    <row r="4354" spans="9:11" ht="15.95" customHeight="1" x14ac:dyDescent="0.25">
      <c r="J4354" s="192"/>
      <c r="K4354" s="192"/>
    </row>
    <row r="4355" spans="9:11" ht="15.95" customHeight="1" x14ac:dyDescent="0.25">
      <c r="J4355" s="192"/>
      <c r="K4355" s="192"/>
    </row>
    <row r="4356" spans="9:11" ht="15.95" customHeight="1" x14ac:dyDescent="0.25">
      <c r="J4356" s="192"/>
      <c r="K4356" s="192"/>
    </row>
    <row r="4357" spans="9:11" ht="15.95" customHeight="1" x14ac:dyDescent="0.25">
      <c r="J4357" s="192"/>
      <c r="K4357" s="192"/>
    </row>
    <row r="4358" spans="9:11" ht="15.95" customHeight="1" x14ac:dyDescent="0.25">
      <c r="J4358" s="192"/>
      <c r="K4358" s="192"/>
    </row>
    <row r="4359" spans="9:11" ht="15.95" customHeight="1" x14ac:dyDescent="0.25">
      <c r="J4359" s="192"/>
      <c r="K4359" s="192"/>
    </row>
    <row r="4360" spans="9:11" ht="15.95" customHeight="1" x14ac:dyDescent="0.25"/>
    <row r="4361" spans="9:11" ht="15.95" customHeight="1" x14ac:dyDescent="0.25"/>
    <row r="4362" spans="9:11" ht="32.1" customHeight="1" x14ac:dyDescent="0.25">
      <c r="J4362" s="235" t="str">
        <f>ComparisonData!XO2</f>
        <v>SECTION D: OUTCOMES</v>
      </c>
      <c r="K4362" s="237"/>
    </row>
    <row r="4363" spans="9:11" ht="48" customHeight="1" x14ac:dyDescent="0.25">
      <c r="J4363" s="235" t="str">
        <f>ComparisonData!XO3</f>
        <v xml:space="preserve">13. What benefits have you experienced from using archives?  </v>
      </c>
      <c r="K4363" s="237"/>
    </row>
    <row r="4364" spans="9:11" ht="48" customHeight="1" x14ac:dyDescent="0.25">
      <c r="J4364" s="235" t="str">
        <f>ComparisonData!XO4</f>
        <v>Learnt something unexpected</v>
      </c>
      <c r="K4364" s="237"/>
    </row>
    <row r="4365" spans="9:11" ht="32.1" customHeight="1" x14ac:dyDescent="0.25">
      <c r="J4365" s="189" t="str">
        <f>ComparisonData!XS5</f>
        <v>Agree</v>
      </c>
      <c r="K4365" s="189" t="str">
        <f>ComparisonData!XT5</f>
        <v>Disagree</v>
      </c>
    </row>
    <row r="4366" spans="9:11" ht="15.95" customHeight="1" x14ac:dyDescent="0.25">
      <c r="I4366" s="188" t="str" cm="1">
        <f t="array" aca="1" ref="I4366" ca="1">Learnt_something_unexpected_lbl</f>
        <v>TOTAL</v>
      </c>
      <c r="J4366" s="192" cm="1">
        <f t="array" aca="1" ref="J4366" ca="1">Learnt_something_unexpected_1</f>
        <v>0.91598000000000002</v>
      </c>
      <c r="K4366" s="192" cm="1">
        <f t="array" aca="1" ref="K4366" ca="1">Learnt_something_unexpected_2</f>
        <v>8.4019999999999997E-2</v>
      </c>
    </row>
    <row r="4367" spans="9:11" ht="15.95" customHeight="1" x14ac:dyDescent="0.25">
      <c r="J4367" s="192"/>
      <c r="K4367" s="192"/>
    </row>
    <row r="4368" spans="9:11" ht="15.95" customHeight="1" x14ac:dyDescent="0.25">
      <c r="J4368" s="192"/>
      <c r="K4368" s="192"/>
    </row>
    <row r="4369" spans="10:11" ht="15.95" customHeight="1" x14ac:dyDescent="0.25">
      <c r="J4369" s="192"/>
      <c r="K4369" s="192"/>
    </row>
    <row r="4370" spans="10:11" ht="15.95" customHeight="1" x14ac:dyDescent="0.25">
      <c r="J4370" s="192"/>
      <c r="K4370" s="192"/>
    </row>
    <row r="4371" spans="10:11" ht="15.95" customHeight="1" x14ac:dyDescent="0.25">
      <c r="J4371" s="192"/>
      <c r="K4371" s="192"/>
    </row>
    <row r="4372" spans="10:11" ht="15.95" customHeight="1" x14ac:dyDescent="0.25">
      <c r="J4372" s="192"/>
      <c r="K4372" s="192"/>
    </row>
    <row r="4373" spans="10:11" ht="15.95" customHeight="1" x14ac:dyDescent="0.25">
      <c r="J4373" s="192"/>
      <c r="K4373" s="192"/>
    </row>
    <row r="4374" spans="10:11" ht="15.95" customHeight="1" x14ac:dyDescent="0.25">
      <c r="J4374" s="192"/>
      <c r="K4374" s="192"/>
    </row>
    <row r="4375" spans="10:11" ht="15.95" customHeight="1" x14ac:dyDescent="0.25">
      <c r="J4375" s="192"/>
      <c r="K4375" s="192"/>
    </row>
    <row r="4376" spans="10:11" ht="15.95" customHeight="1" x14ac:dyDescent="0.25">
      <c r="J4376" s="192"/>
      <c r="K4376" s="192"/>
    </row>
    <row r="4377" spans="10:11" ht="15.95" customHeight="1" x14ac:dyDescent="0.25">
      <c r="J4377" s="192"/>
      <c r="K4377" s="192"/>
    </row>
    <row r="4378" spans="10:11" ht="15.95" customHeight="1" x14ac:dyDescent="0.25">
      <c r="J4378" s="192"/>
      <c r="K4378" s="192"/>
    </row>
    <row r="4379" spans="10:11" ht="15.95" customHeight="1" x14ac:dyDescent="0.25">
      <c r="J4379" s="192"/>
      <c r="K4379" s="192"/>
    </row>
    <row r="4380" spans="10:11" ht="15.95" customHeight="1" x14ac:dyDescent="0.25">
      <c r="J4380" s="192"/>
      <c r="K4380" s="192"/>
    </row>
    <row r="4381" spans="10:11" ht="15.95" customHeight="1" x14ac:dyDescent="0.25">
      <c r="J4381" s="192"/>
      <c r="K4381" s="192"/>
    </row>
    <row r="4382" spans="10:11" ht="15.95" customHeight="1" x14ac:dyDescent="0.25">
      <c r="J4382" s="192"/>
      <c r="K4382" s="192"/>
    </row>
    <row r="4383" spans="10:11" ht="15.95" customHeight="1" x14ac:dyDescent="0.25">
      <c r="J4383" s="192"/>
      <c r="K4383" s="192"/>
    </row>
    <row r="4384" spans="10:11" ht="15.95" customHeight="1" x14ac:dyDescent="0.25">
      <c r="J4384" s="192"/>
      <c r="K4384" s="192"/>
    </row>
    <row r="4385" spans="10:11" ht="15.95" customHeight="1" x14ac:dyDescent="0.25">
      <c r="J4385" s="192"/>
      <c r="K4385" s="192"/>
    </row>
    <row r="4386" spans="10:11" ht="15.95" customHeight="1" x14ac:dyDescent="0.25">
      <c r="J4386" s="192"/>
      <c r="K4386" s="192"/>
    </row>
    <row r="4387" spans="10:11" ht="15.95" customHeight="1" x14ac:dyDescent="0.25">
      <c r="J4387" s="192"/>
      <c r="K4387" s="192"/>
    </row>
    <row r="4388" spans="10:11" ht="15.95" customHeight="1" x14ac:dyDescent="0.25">
      <c r="J4388" s="192"/>
      <c r="K4388" s="192"/>
    </row>
    <row r="4389" spans="10:11" ht="15.95" customHeight="1" x14ac:dyDescent="0.25">
      <c r="J4389" s="192"/>
      <c r="K4389" s="192"/>
    </row>
    <row r="4390" spans="10:11" ht="15.95" customHeight="1" x14ac:dyDescent="0.25">
      <c r="J4390" s="192"/>
      <c r="K4390" s="192"/>
    </row>
    <row r="4391" spans="10:11" ht="15.95" customHeight="1" x14ac:dyDescent="0.25">
      <c r="J4391" s="192"/>
      <c r="K4391" s="192"/>
    </row>
    <row r="4392" spans="10:11" ht="15.95" customHeight="1" x14ac:dyDescent="0.25">
      <c r="J4392" s="192"/>
      <c r="K4392" s="192"/>
    </row>
    <row r="4393" spans="10:11" ht="15.95" customHeight="1" x14ac:dyDescent="0.25">
      <c r="J4393" s="192"/>
      <c r="K4393" s="192"/>
    </row>
    <row r="4394" spans="10:11" ht="15.95" customHeight="1" x14ac:dyDescent="0.25">
      <c r="J4394" s="192"/>
      <c r="K4394" s="192"/>
    </row>
    <row r="4395" spans="10:11" ht="15.95" customHeight="1" x14ac:dyDescent="0.25">
      <c r="J4395" s="192"/>
      <c r="K4395" s="192"/>
    </row>
    <row r="4396" spans="10:11" ht="15.95" customHeight="1" x14ac:dyDescent="0.25">
      <c r="J4396" s="192"/>
      <c r="K4396" s="192"/>
    </row>
    <row r="4397" spans="10:11" ht="15.95" customHeight="1" x14ac:dyDescent="0.25">
      <c r="J4397" s="192"/>
      <c r="K4397" s="192"/>
    </row>
    <row r="4398" spans="10:11" ht="15.95" customHeight="1" x14ac:dyDescent="0.25">
      <c r="J4398" s="192"/>
      <c r="K4398" s="192"/>
    </row>
    <row r="4399" spans="10:11" ht="15.95" customHeight="1" x14ac:dyDescent="0.25">
      <c r="J4399" s="192"/>
      <c r="K4399" s="192"/>
    </row>
    <row r="4400" spans="10:11" ht="15.95" customHeight="1" x14ac:dyDescent="0.25">
      <c r="J4400" s="192"/>
      <c r="K4400" s="192"/>
    </row>
    <row r="4401" spans="10:11" ht="15.95" customHeight="1" x14ac:dyDescent="0.25">
      <c r="J4401" s="192"/>
      <c r="K4401" s="192"/>
    </row>
    <row r="4402" spans="10:11" ht="15.95" customHeight="1" x14ac:dyDescent="0.25">
      <c r="J4402" s="192"/>
      <c r="K4402" s="192"/>
    </row>
    <row r="4403" spans="10:11" ht="15.95" customHeight="1" x14ac:dyDescent="0.25">
      <c r="J4403" s="192"/>
      <c r="K4403" s="192"/>
    </row>
    <row r="4404" spans="10:11" ht="15.95" customHeight="1" x14ac:dyDescent="0.25">
      <c r="J4404" s="192"/>
      <c r="K4404" s="192"/>
    </row>
    <row r="4405" spans="10:11" ht="15.95" customHeight="1" x14ac:dyDescent="0.25">
      <c r="J4405" s="192"/>
      <c r="K4405" s="192"/>
    </row>
    <row r="4406" spans="10:11" ht="15.95" customHeight="1" x14ac:dyDescent="0.25">
      <c r="J4406" s="192"/>
      <c r="K4406" s="192"/>
    </row>
    <row r="4407" spans="10:11" ht="15.95" customHeight="1" x14ac:dyDescent="0.25">
      <c r="J4407" s="192"/>
      <c r="K4407" s="192"/>
    </row>
    <row r="4408" spans="10:11" ht="15.95" customHeight="1" x14ac:dyDescent="0.25">
      <c r="J4408" s="192"/>
      <c r="K4408" s="192"/>
    </row>
    <row r="4409" spans="10:11" ht="15.95" customHeight="1" x14ac:dyDescent="0.25">
      <c r="J4409" s="192"/>
      <c r="K4409" s="192"/>
    </row>
    <row r="4410" spans="10:11" ht="15.95" customHeight="1" x14ac:dyDescent="0.25">
      <c r="J4410" s="192"/>
      <c r="K4410" s="192"/>
    </row>
    <row r="4411" spans="10:11" ht="15.95" customHeight="1" x14ac:dyDescent="0.25">
      <c r="J4411" s="192"/>
      <c r="K4411" s="192"/>
    </row>
    <row r="4412" spans="10:11" ht="15.95" customHeight="1" x14ac:dyDescent="0.25">
      <c r="J4412" s="192"/>
      <c r="K4412" s="192"/>
    </row>
    <row r="4413" spans="10:11" ht="15.95" customHeight="1" x14ac:dyDescent="0.25">
      <c r="J4413" s="192"/>
      <c r="K4413" s="192"/>
    </row>
    <row r="4414" spans="10:11" ht="15.95" customHeight="1" x14ac:dyDescent="0.25">
      <c r="J4414" s="192"/>
      <c r="K4414" s="192"/>
    </row>
    <row r="4415" spans="10:11" ht="15.95" customHeight="1" x14ac:dyDescent="0.25">
      <c r="J4415" s="192"/>
      <c r="K4415" s="192"/>
    </row>
    <row r="4416" spans="10:11" ht="15.95" customHeight="1" x14ac:dyDescent="0.25">
      <c r="J4416" s="192"/>
      <c r="K4416" s="192"/>
    </row>
    <row r="4417" spans="10:11" ht="15.95" customHeight="1" x14ac:dyDescent="0.25">
      <c r="J4417" s="192"/>
      <c r="K4417" s="192"/>
    </row>
    <row r="4418" spans="10:11" ht="15.95" customHeight="1" x14ac:dyDescent="0.25">
      <c r="J4418" s="192"/>
      <c r="K4418" s="192"/>
    </row>
    <row r="4419" spans="10:11" ht="15.95" customHeight="1" x14ac:dyDescent="0.25">
      <c r="J4419" s="192"/>
      <c r="K4419" s="192"/>
    </row>
    <row r="4420" spans="10:11" ht="15.95" customHeight="1" x14ac:dyDescent="0.25">
      <c r="J4420" s="192"/>
      <c r="K4420" s="192"/>
    </row>
    <row r="4421" spans="10:11" ht="15.95" customHeight="1" x14ac:dyDescent="0.25">
      <c r="J4421" s="192"/>
      <c r="K4421" s="192"/>
    </row>
    <row r="4422" spans="10:11" ht="15.95" customHeight="1" x14ac:dyDescent="0.25">
      <c r="J4422" s="192"/>
      <c r="K4422" s="192"/>
    </row>
    <row r="4423" spans="10:11" ht="15.95" customHeight="1" x14ac:dyDescent="0.25">
      <c r="J4423" s="192"/>
      <c r="K4423" s="192"/>
    </row>
    <row r="4424" spans="10:11" ht="15.95" customHeight="1" x14ac:dyDescent="0.25">
      <c r="J4424" s="192"/>
      <c r="K4424" s="192"/>
    </row>
    <row r="4425" spans="10:11" ht="15.95" customHeight="1" x14ac:dyDescent="0.25">
      <c r="J4425" s="192"/>
      <c r="K4425" s="192"/>
    </row>
    <row r="4426" spans="10:11" ht="15.95" customHeight="1" x14ac:dyDescent="0.25">
      <c r="J4426" s="192"/>
      <c r="K4426" s="192"/>
    </row>
    <row r="4427" spans="10:11" ht="15.95" customHeight="1" x14ac:dyDescent="0.25">
      <c r="J4427" s="192"/>
      <c r="K4427" s="192"/>
    </row>
    <row r="4428" spans="10:11" ht="15.95" customHeight="1" x14ac:dyDescent="0.25">
      <c r="J4428" s="192"/>
      <c r="K4428" s="192"/>
    </row>
    <row r="4429" spans="10:11" ht="15.95" customHeight="1" x14ac:dyDescent="0.25">
      <c r="J4429" s="192"/>
      <c r="K4429" s="192"/>
    </row>
    <row r="4430" spans="10:11" ht="15.95" customHeight="1" x14ac:dyDescent="0.25">
      <c r="J4430" s="192"/>
      <c r="K4430" s="192"/>
    </row>
    <row r="4431" spans="10:11" ht="15.95" customHeight="1" x14ac:dyDescent="0.25">
      <c r="J4431" s="192"/>
      <c r="K4431" s="192"/>
    </row>
    <row r="4432" spans="10:11" ht="15.95" customHeight="1" x14ac:dyDescent="0.25">
      <c r="J4432" s="192"/>
      <c r="K4432" s="192"/>
    </row>
    <row r="4433" spans="10:11" ht="15.95" customHeight="1" x14ac:dyDescent="0.25">
      <c r="J4433" s="192"/>
      <c r="K4433" s="192"/>
    </row>
    <row r="4434" spans="10:11" ht="15.95" customHeight="1" x14ac:dyDescent="0.25">
      <c r="J4434" s="192"/>
      <c r="K4434" s="192"/>
    </row>
    <row r="4435" spans="10:11" ht="15.95" customHeight="1" x14ac:dyDescent="0.25">
      <c r="J4435" s="192"/>
      <c r="K4435" s="192"/>
    </row>
    <row r="4436" spans="10:11" ht="15.95" customHeight="1" x14ac:dyDescent="0.25">
      <c r="J4436" s="192"/>
      <c r="K4436" s="192"/>
    </row>
    <row r="4437" spans="10:11" ht="15.95" customHeight="1" x14ac:dyDescent="0.25">
      <c r="J4437" s="192"/>
      <c r="K4437" s="192"/>
    </row>
    <row r="4438" spans="10:11" ht="15.95" customHeight="1" x14ac:dyDescent="0.25">
      <c r="J4438" s="192"/>
      <c r="K4438" s="192"/>
    </row>
    <row r="4439" spans="10:11" ht="15.95" customHeight="1" x14ac:dyDescent="0.25">
      <c r="J4439" s="192"/>
      <c r="K4439" s="192"/>
    </row>
    <row r="4440" spans="10:11" ht="15.95" customHeight="1" x14ac:dyDescent="0.25">
      <c r="J4440" s="192"/>
      <c r="K4440" s="192"/>
    </row>
    <row r="4441" spans="10:11" ht="15.95" customHeight="1" x14ac:dyDescent="0.25">
      <c r="J4441" s="192"/>
      <c r="K4441" s="192"/>
    </row>
    <row r="4442" spans="10:11" ht="15.95" customHeight="1" x14ac:dyDescent="0.25">
      <c r="J4442" s="192"/>
      <c r="K4442" s="192"/>
    </row>
    <row r="4443" spans="10:11" ht="15.95" customHeight="1" x14ac:dyDescent="0.25">
      <c r="J4443" s="192"/>
      <c r="K4443" s="192"/>
    </row>
    <row r="4444" spans="10:11" ht="15.95" customHeight="1" x14ac:dyDescent="0.25">
      <c r="J4444" s="192"/>
      <c r="K4444" s="192"/>
    </row>
    <row r="4445" spans="10:11" ht="15.95" customHeight="1" x14ac:dyDescent="0.25">
      <c r="J4445" s="192"/>
      <c r="K4445" s="192"/>
    </row>
    <row r="4446" spans="10:11" ht="15.95" customHeight="1" x14ac:dyDescent="0.25">
      <c r="J4446" s="192"/>
      <c r="K4446" s="192"/>
    </row>
    <row r="4447" spans="10:11" ht="15.95" customHeight="1" x14ac:dyDescent="0.25">
      <c r="J4447" s="192"/>
      <c r="K4447" s="192"/>
    </row>
    <row r="4448" spans="10:11" ht="15.95" customHeight="1" x14ac:dyDescent="0.25">
      <c r="J4448" s="192"/>
      <c r="K4448" s="192"/>
    </row>
    <row r="4449" spans="10:11" ht="15.95" customHeight="1" x14ac:dyDescent="0.25">
      <c r="J4449" s="192"/>
      <c r="K4449" s="192"/>
    </row>
    <row r="4450" spans="10:11" ht="15.95" customHeight="1" x14ac:dyDescent="0.25">
      <c r="J4450" s="192"/>
      <c r="K4450" s="192"/>
    </row>
    <row r="4451" spans="10:11" ht="15.95" customHeight="1" x14ac:dyDescent="0.25">
      <c r="J4451" s="192"/>
      <c r="K4451" s="192"/>
    </row>
    <row r="4452" spans="10:11" ht="15.95" customHeight="1" x14ac:dyDescent="0.25">
      <c r="J4452" s="192"/>
      <c r="K4452" s="192"/>
    </row>
    <row r="4453" spans="10:11" ht="15.95" customHeight="1" x14ac:dyDescent="0.25">
      <c r="J4453" s="192"/>
      <c r="K4453" s="192"/>
    </row>
    <row r="4454" spans="10:11" ht="15.95" customHeight="1" x14ac:dyDescent="0.25">
      <c r="J4454" s="192"/>
      <c r="K4454" s="192"/>
    </row>
    <row r="4455" spans="10:11" ht="15.95" customHeight="1" x14ac:dyDescent="0.25">
      <c r="J4455" s="192"/>
      <c r="K4455" s="192"/>
    </row>
    <row r="4456" spans="10:11" ht="15.95" customHeight="1" x14ac:dyDescent="0.25">
      <c r="J4456" s="192"/>
      <c r="K4456" s="192"/>
    </row>
    <row r="4457" spans="10:11" ht="15.95" customHeight="1" x14ac:dyDescent="0.25">
      <c r="J4457" s="192"/>
      <c r="K4457" s="192"/>
    </row>
    <row r="4458" spans="10:11" ht="15.95" customHeight="1" x14ac:dyDescent="0.25">
      <c r="J4458" s="192"/>
      <c r="K4458" s="192"/>
    </row>
    <row r="4459" spans="10:11" ht="15.95" customHeight="1" x14ac:dyDescent="0.25">
      <c r="J4459" s="192"/>
      <c r="K4459" s="192"/>
    </row>
    <row r="4460" spans="10:11" ht="15.95" customHeight="1" x14ac:dyDescent="0.25">
      <c r="J4460" s="192"/>
      <c r="K4460" s="192"/>
    </row>
    <row r="4461" spans="10:11" ht="15.95" customHeight="1" x14ac:dyDescent="0.25">
      <c r="J4461" s="192"/>
      <c r="K4461" s="192"/>
    </row>
    <row r="4462" spans="10:11" ht="15.95" customHeight="1" x14ac:dyDescent="0.25">
      <c r="J4462" s="192"/>
      <c r="K4462" s="192"/>
    </row>
    <row r="4463" spans="10:11" ht="15.95" customHeight="1" x14ac:dyDescent="0.25">
      <c r="J4463" s="192"/>
      <c r="K4463" s="192"/>
    </row>
    <row r="4464" spans="10:11" ht="15.95" customHeight="1" x14ac:dyDescent="0.25">
      <c r="J4464" s="192"/>
      <c r="K4464" s="192"/>
    </row>
    <row r="4465" spans="10:11" ht="15.95" customHeight="1" x14ac:dyDescent="0.25">
      <c r="J4465" s="192"/>
      <c r="K4465" s="192"/>
    </row>
    <row r="4466" spans="10:11" ht="15.95" customHeight="1" x14ac:dyDescent="0.25">
      <c r="J4466" s="192"/>
      <c r="K4466" s="192"/>
    </row>
    <row r="4467" spans="10:11" ht="15.95" customHeight="1" x14ac:dyDescent="0.25">
      <c r="J4467" s="192"/>
      <c r="K4467" s="192"/>
    </row>
    <row r="4468" spans="10:11" ht="15.95" customHeight="1" x14ac:dyDescent="0.25">
      <c r="J4468" s="192"/>
      <c r="K4468" s="192"/>
    </row>
    <row r="4469" spans="10:11" ht="15.95" customHeight="1" x14ac:dyDescent="0.25">
      <c r="J4469" s="192"/>
      <c r="K4469" s="192"/>
    </row>
    <row r="4470" spans="10:11" ht="15.95" customHeight="1" x14ac:dyDescent="0.25">
      <c r="J4470" s="192"/>
      <c r="K4470" s="192"/>
    </row>
    <row r="4471" spans="10:11" ht="15.95" customHeight="1" x14ac:dyDescent="0.25">
      <c r="J4471" s="192"/>
      <c r="K4471" s="192"/>
    </row>
    <row r="4472" spans="10:11" ht="15.95" customHeight="1" x14ac:dyDescent="0.25">
      <c r="J4472" s="192"/>
      <c r="K4472" s="192"/>
    </row>
    <row r="4473" spans="10:11" ht="15.95" customHeight="1" x14ac:dyDescent="0.25">
      <c r="J4473" s="192"/>
      <c r="K4473" s="192"/>
    </row>
    <row r="4474" spans="10:11" ht="15.95" customHeight="1" x14ac:dyDescent="0.25">
      <c r="J4474" s="192"/>
      <c r="K4474" s="192"/>
    </row>
    <row r="4475" spans="10:11" ht="15.95" customHeight="1" x14ac:dyDescent="0.25">
      <c r="J4475" s="192"/>
      <c r="K4475" s="192"/>
    </row>
    <row r="4476" spans="10:11" ht="15.95" customHeight="1" x14ac:dyDescent="0.25">
      <c r="J4476" s="192"/>
      <c r="K4476" s="192"/>
    </row>
    <row r="4477" spans="10:11" ht="15.95" customHeight="1" x14ac:dyDescent="0.25">
      <c r="J4477" s="192"/>
      <c r="K4477" s="192"/>
    </row>
    <row r="4478" spans="10:11" ht="15.95" customHeight="1" x14ac:dyDescent="0.25"/>
    <row r="4479" spans="10:11" ht="15.95" customHeight="1" x14ac:dyDescent="0.25"/>
    <row r="4480" spans="10:11" ht="48" customHeight="1" x14ac:dyDescent="0.25">
      <c r="J4480" s="235" t="str">
        <f>ComparisonData!XZ2</f>
        <v>SECTION E: ABOUT YOU</v>
      </c>
      <c r="K4480" s="237"/>
    </row>
    <row r="4481" spans="9:11" ht="48" customHeight="1" x14ac:dyDescent="0.25">
      <c r="J4481" s="235" t="str">
        <f>ComparisonData!XZ3</f>
        <v>15. What is your sex?</v>
      </c>
      <c r="K4481" s="237"/>
    </row>
    <row r="4482" spans="9:11" ht="32.1" customHeight="1" x14ac:dyDescent="0.25">
      <c r="J4482" s="189" t="str">
        <f>ComparisonData!YD4</f>
        <v>Female</v>
      </c>
      <c r="K4482" s="189" t="str">
        <f>ComparisonData!YE4</f>
        <v>Male</v>
      </c>
    </row>
    <row r="4483" spans="9:11" ht="15.95" customHeight="1" x14ac:dyDescent="0.25">
      <c r="I4483" s="188" t="str" cm="1">
        <f t="array" aca="1" ref="I4483" ca="1">_15._What_is_your_sex?_lbl</f>
        <v>TOTAL</v>
      </c>
      <c r="J4483" s="192" cm="1">
        <f t="array" aca="1" ref="J4483" ca="1">_15._What_is_your_sex?_1</f>
        <v>0.46636</v>
      </c>
      <c r="K4483" s="192" cm="1">
        <f t="array" aca="1" ref="K4483" ca="1">_15._What_is_your_sex?_2</f>
        <v>0.53364</v>
      </c>
    </row>
    <row r="4484" spans="9:11" ht="15.95" customHeight="1" x14ac:dyDescent="0.25">
      <c r="J4484" s="192"/>
      <c r="K4484" s="192"/>
    </row>
    <row r="4485" spans="9:11" ht="15.95" customHeight="1" x14ac:dyDescent="0.25">
      <c r="J4485" s="192"/>
      <c r="K4485" s="192"/>
    </row>
    <row r="4486" spans="9:11" ht="15.95" customHeight="1" x14ac:dyDescent="0.25">
      <c r="J4486" s="192"/>
      <c r="K4486" s="192"/>
    </row>
    <row r="4487" spans="9:11" ht="15.95" customHeight="1" x14ac:dyDescent="0.25">
      <c r="J4487" s="192"/>
      <c r="K4487" s="192"/>
    </row>
    <row r="4488" spans="9:11" ht="15.95" customHeight="1" x14ac:dyDescent="0.25">
      <c r="J4488" s="192"/>
      <c r="K4488" s="192"/>
    </row>
    <row r="4489" spans="9:11" ht="15.95" customHeight="1" x14ac:dyDescent="0.25">
      <c r="J4489" s="192"/>
      <c r="K4489" s="192"/>
    </row>
    <row r="4490" spans="9:11" ht="15.95" customHeight="1" x14ac:dyDescent="0.25">
      <c r="J4490" s="192"/>
      <c r="K4490" s="192"/>
    </row>
    <row r="4491" spans="9:11" ht="15.95" customHeight="1" x14ac:dyDescent="0.25">
      <c r="J4491" s="192"/>
      <c r="K4491" s="192"/>
    </row>
    <row r="4492" spans="9:11" ht="15.95" customHeight="1" x14ac:dyDescent="0.25">
      <c r="J4492" s="192"/>
      <c r="K4492" s="192"/>
    </row>
    <row r="4493" spans="9:11" ht="15.95" customHeight="1" x14ac:dyDescent="0.25">
      <c r="J4493" s="192"/>
      <c r="K4493" s="192"/>
    </row>
    <row r="4494" spans="9:11" ht="15.95" customHeight="1" x14ac:dyDescent="0.25">
      <c r="J4494" s="192"/>
      <c r="K4494" s="192"/>
    </row>
    <row r="4495" spans="9:11" ht="15.95" customHeight="1" x14ac:dyDescent="0.25">
      <c r="J4495" s="192"/>
      <c r="K4495" s="192"/>
    </row>
    <row r="4496" spans="9:11" ht="15.95" customHeight="1" x14ac:dyDescent="0.25">
      <c r="J4496" s="192"/>
      <c r="K4496" s="192"/>
    </row>
    <row r="4497" spans="10:11" ht="15.95" customHeight="1" x14ac:dyDescent="0.25">
      <c r="J4497" s="192"/>
      <c r="K4497" s="192"/>
    </row>
    <row r="4498" spans="10:11" ht="15.95" customHeight="1" x14ac:dyDescent="0.25">
      <c r="J4498" s="192"/>
      <c r="K4498" s="192"/>
    </row>
    <row r="4499" spans="10:11" ht="15.95" customHeight="1" x14ac:dyDescent="0.25">
      <c r="J4499" s="192"/>
      <c r="K4499" s="192"/>
    </row>
    <row r="4500" spans="10:11" ht="15.95" customHeight="1" x14ac:dyDescent="0.25">
      <c r="J4500" s="192"/>
      <c r="K4500" s="192"/>
    </row>
    <row r="4501" spans="10:11" ht="15.95" customHeight="1" x14ac:dyDescent="0.25">
      <c r="J4501" s="192"/>
      <c r="K4501" s="192"/>
    </row>
    <row r="4502" spans="10:11" ht="15.95" customHeight="1" x14ac:dyDescent="0.25">
      <c r="J4502" s="192"/>
      <c r="K4502" s="192"/>
    </row>
    <row r="4503" spans="10:11" ht="15.95" customHeight="1" x14ac:dyDescent="0.25">
      <c r="J4503" s="192"/>
      <c r="K4503" s="192"/>
    </row>
    <row r="4504" spans="10:11" ht="15.95" customHeight="1" x14ac:dyDescent="0.25">
      <c r="J4504" s="192"/>
      <c r="K4504" s="192"/>
    </row>
    <row r="4505" spans="10:11" ht="15.95" customHeight="1" x14ac:dyDescent="0.25">
      <c r="J4505" s="192"/>
      <c r="K4505" s="192"/>
    </row>
    <row r="4506" spans="10:11" ht="15.95" customHeight="1" x14ac:dyDescent="0.25">
      <c r="J4506" s="192"/>
      <c r="K4506" s="192"/>
    </row>
    <row r="4507" spans="10:11" ht="15.95" customHeight="1" x14ac:dyDescent="0.25">
      <c r="J4507" s="192"/>
      <c r="K4507" s="192"/>
    </row>
    <row r="4508" spans="10:11" ht="15.95" customHeight="1" x14ac:dyDescent="0.25">
      <c r="J4508" s="192"/>
      <c r="K4508" s="192"/>
    </row>
    <row r="4509" spans="10:11" ht="15.95" customHeight="1" x14ac:dyDescent="0.25">
      <c r="J4509" s="192"/>
      <c r="K4509" s="192"/>
    </row>
    <row r="4510" spans="10:11" ht="15.95" customHeight="1" x14ac:dyDescent="0.25">
      <c r="J4510" s="192"/>
      <c r="K4510" s="192"/>
    </row>
    <row r="4511" spans="10:11" ht="15.95" customHeight="1" x14ac:dyDescent="0.25">
      <c r="J4511" s="192"/>
      <c r="K4511" s="192"/>
    </row>
    <row r="4512" spans="10:11" ht="15.95" customHeight="1" x14ac:dyDescent="0.25">
      <c r="J4512" s="192"/>
      <c r="K4512" s="192"/>
    </row>
    <row r="4513" spans="10:11" ht="15.95" customHeight="1" x14ac:dyDescent="0.25">
      <c r="J4513" s="192"/>
      <c r="K4513" s="192"/>
    </row>
    <row r="4514" spans="10:11" ht="15.95" customHeight="1" x14ac:dyDescent="0.25">
      <c r="J4514" s="192"/>
      <c r="K4514" s="192"/>
    </row>
    <row r="4515" spans="10:11" ht="15.95" customHeight="1" x14ac:dyDescent="0.25">
      <c r="J4515" s="192"/>
      <c r="K4515" s="192"/>
    </row>
    <row r="4516" spans="10:11" ht="15.95" customHeight="1" x14ac:dyDescent="0.25">
      <c r="J4516" s="192"/>
      <c r="K4516" s="192"/>
    </row>
    <row r="4517" spans="10:11" ht="15.95" customHeight="1" x14ac:dyDescent="0.25">
      <c r="J4517" s="192"/>
      <c r="K4517" s="192"/>
    </row>
    <row r="4518" spans="10:11" ht="15.95" customHeight="1" x14ac:dyDescent="0.25">
      <c r="J4518" s="192"/>
      <c r="K4518" s="192"/>
    </row>
    <row r="4519" spans="10:11" ht="15.95" customHeight="1" x14ac:dyDescent="0.25">
      <c r="J4519" s="192"/>
      <c r="K4519" s="192"/>
    </row>
    <row r="4520" spans="10:11" ht="15.95" customHeight="1" x14ac:dyDescent="0.25">
      <c r="J4520" s="192"/>
      <c r="K4520" s="192"/>
    </row>
    <row r="4521" spans="10:11" ht="15.95" customHeight="1" x14ac:dyDescent="0.25">
      <c r="J4521" s="192"/>
      <c r="K4521" s="192"/>
    </row>
    <row r="4522" spans="10:11" ht="15.95" customHeight="1" x14ac:dyDescent="0.25">
      <c r="J4522" s="192"/>
      <c r="K4522" s="192"/>
    </row>
    <row r="4523" spans="10:11" ht="15.95" customHeight="1" x14ac:dyDescent="0.25">
      <c r="J4523" s="192"/>
      <c r="K4523" s="192"/>
    </row>
    <row r="4524" spans="10:11" ht="15.95" customHeight="1" x14ac:dyDescent="0.25">
      <c r="J4524" s="192"/>
      <c r="K4524" s="192"/>
    </row>
    <row r="4525" spans="10:11" ht="15.95" customHeight="1" x14ac:dyDescent="0.25">
      <c r="J4525" s="192"/>
      <c r="K4525" s="192"/>
    </row>
    <row r="4526" spans="10:11" ht="15.95" customHeight="1" x14ac:dyDescent="0.25">
      <c r="J4526" s="192"/>
      <c r="K4526" s="192"/>
    </row>
    <row r="4527" spans="10:11" ht="15.95" customHeight="1" x14ac:dyDescent="0.25">
      <c r="J4527" s="192"/>
      <c r="K4527" s="192"/>
    </row>
    <row r="4528" spans="10:11" ht="15.95" customHeight="1" x14ac:dyDescent="0.25">
      <c r="J4528" s="192"/>
      <c r="K4528" s="192"/>
    </row>
    <row r="4529" spans="10:11" ht="15.95" customHeight="1" x14ac:dyDescent="0.25">
      <c r="J4529" s="192"/>
      <c r="K4529" s="192"/>
    </row>
    <row r="4530" spans="10:11" ht="15.95" customHeight="1" x14ac:dyDescent="0.25">
      <c r="J4530" s="192"/>
      <c r="K4530" s="192"/>
    </row>
    <row r="4531" spans="10:11" ht="15.95" customHeight="1" x14ac:dyDescent="0.25">
      <c r="J4531" s="192"/>
      <c r="K4531" s="192"/>
    </row>
    <row r="4532" spans="10:11" ht="15.95" customHeight="1" x14ac:dyDescent="0.25">
      <c r="J4532" s="192"/>
      <c r="K4532" s="192"/>
    </row>
    <row r="4533" spans="10:11" ht="15.95" customHeight="1" x14ac:dyDescent="0.25">
      <c r="J4533" s="192"/>
      <c r="K4533" s="192"/>
    </row>
    <row r="4534" spans="10:11" ht="15.95" customHeight="1" x14ac:dyDescent="0.25">
      <c r="J4534" s="192"/>
      <c r="K4534" s="192"/>
    </row>
    <row r="4535" spans="10:11" ht="15.95" customHeight="1" x14ac:dyDescent="0.25">
      <c r="J4535" s="192"/>
      <c r="K4535" s="192"/>
    </row>
    <row r="4536" spans="10:11" ht="15.95" customHeight="1" x14ac:dyDescent="0.25">
      <c r="J4536" s="192"/>
      <c r="K4536" s="192"/>
    </row>
    <row r="4537" spans="10:11" ht="15.95" customHeight="1" x14ac:dyDescent="0.25">
      <c r="J4537" s="192"/>
      <c r="K4537" s="192"/>
    </row>
    <row r="4538" spans="10:11" ht="15.95" customHeight="1" x14ac:dyDescent="0.25">
      <c r="J4538" s="192"/>
      <c r="K4538" s="192"/>
    </row>
    <row r="4539" spans="10:11" ht="15.95" customHeight="1" x14ac:dyDescent="0.25">
      <c r="J4539" s="192"/>
      <c r="K4539" s="192"/>
    </row>
    <row r="4540" spans="10:11" ht="15.95" customHeight="1" x14ac:dyDescent="0.25">
      <c r="J4540" s="192"/>
      <c r="K4540" s="192"/>
    </row>
    <row r="4541" spans="10:11" ht="15.95" customHeight="1" x14ac:dyDescent="0.25">
      <c r="J4541" s="192"/>
      <c r="K4541" s="192"/>
    </row>
    <row r="4542" spans="10:11" ht="15.95" customHeight="1" x14ac:dyDescent="0.25">
      <c r="J4542" s="192"/>
      <c r="K4542" s="192"/>
    </row>
    <row r="4543" spans="10:11" ht="15.95" customHeight="1" x14ac:dyDescent="0.25">
      <c r="J4543" s="192"/>
      <c r="K4543" s="192"/>
    </row>
    <row r="4544" spans="10:11" ht="15.95" customHeight="1" x14ac:dyDescent="0.25">
      <c r="J4544" s="192"/>
      <c r="K4544" s="192"/>
    </row>
    <row r="4545" spans="10:11" ht="15.95" customHeight="1" x14ac:dyDescent="0.25">
      <c r="J4545" s="192"/>
      <c r="K4545" s="192"/>
    </row>
    <row r="4546" spans="10:11" ht="15.95" customHeight="1" x14ac:dyDescent="0.25">
      <c r="J4546" s="192"/>
      <c r="K4546" s="192"/>
    </row>
    <row r="4547" spans="10:11" ht="15.95" customHeight="1" x14ac:dyDescent="0.25">
      <c r="J4547" s="192"/>
      <c r="K4547" s="192"/>
    </row>
    <row r="4548" spans="10:11" ht="15.95" customHeight="1" x14ac:dyDescent="0.25">
      <c r="J4548" s="192"/>
      <c r="K4548" s="192"/>
    </row>
    <row r="4549" spans="10:11" ht="15.95" customHeight="1" x14ac:dyDescent="0.25">
      <c r="J4549" s="192"/>
      <c r="K4549" s="192"/>
    </row>
    <row r="4550" spans="10:11" ht="15.95" customHeight="1" x14ac:dyDescent="0.25">
      <c r="J4550" s="192"/>
      <c r="K4550" s="192"/>
    </row>
    <row r="4551" spans="10:11" ht="15.95" customHeight="1" x14ac:dyDescent="0.25">
      <c r="J4551" s="192"/>
      <c r="K4551" s="192"/>
    </row>
    <row r="4552" spans="10:11" ht="15.95" customHeight="1" x14ac:dyDescent="0.25">
      <c r="J4552" s="192"/>
      <c r="K4552" s="192"/>
    </row>
    <row r="4553" spans="10:11" ht="15.95" customHeight="1" x14ac:dyDescent="0.25">
      <c r="J4553" s="192"/>
      <c r="K4553" s="192"/>
    </row>
    <row r="4554" spans="10:11" ht="15.95" customHeight="1" x14ac:dyDescent="0.25">
      <c r="J4554" s="192"/>
      <c r="K4554" s="192"/>
    </row>
    <row r="4555" spans="10:11" ht="15.95" customHeight="1" x14ac:dyDescent="0.25">
      <c r="J4555" s="192"/>
      <c r="K4555" s="192"/>
    </row>
    <row r="4556" spans="10:11" ht="15.95" customHeight="1" x14ac:dyDescent="0.25">
      <c r="J4556" s="192"/>
      <c r="K4556" s="192"/>
    </row>
    <row r="4557" spans="10:11" ht="15.95" customHeight="1" x14ac:dyDescent="0.25">
      <c r="J4557" s="192"/>
      <c r="K4557" s="192"/>
    </row>
    <row r="4558" spans="10:11" ht="15.95" customHeight="1" x14ac:dyDescent="0.25">
      <c r="J4558" s="192"/>
      <c r="K4558" s="192"/>
    </row>
    <row r="4559" spans="10:11" ht="15.95" customHeight="1" x14ac:dyDescent="0.25">
      <c r="J4559" s="192"/>
      <c r="K4559" s="192"/>
    </row>
    <row r="4560" spans="10:11" ht="15.95" customHeight="1" x14ac:dyDescent="0.25">
      <c r="J4560" s="192"/>
      <c r="K4560" s="192"/>
    </row>
    <row r="4561" spans="10:11" ht="15.95" customHeight="1" x14ac:dyDescent="0.25">
      <c r="J4561" s="192"/>
      <c r="K4561" s="192"/>
    </row>
    <row r="4562" spans="10:11" ht="15.95" customHeight="1" x14ac:dyDescent="0.25">
      <c r="J4562" s="192"/>
      <c r="K4562" s="192"/>
    </row>
    <row r="4563" spans="10:11" ht="15.95" customHeight="1" x14ac:dyDescent="0.25">
      <c r="J4563" s="192"/>
      <c r="K4563" s="192"/>
    </row>
    <row r="4564" spans="10:11" ht="15.95" customHeight="1" x14ac:dyDescent="0.25">
      <c r="J4564" s="192"/>
      <c r="K4564" s="192"/>
    </row>
    <row r="4565" spans="10:11" ht="15.95" customHeight="1" x14ac:dyDescent="0.25">
      <c r="J4565" s="192"/>
      <c r="K4565" s="192"/>
    </row>
    <row r="4566" spans="10:11" ht="15.95" customHeight="1" x14ac:dyDescent="0.25">
      <c r="J4566" s="192"/>
      <c r="K4566" s="192"/>
    </row>
    <row r="4567" spans="10:11" ht="15.95" customHeight="1" x14ac:dyDescent="0.25">
      <c r="J4567" s="192"/>
      <c r="K4567" s="192"/>
    </row>
    <row r="4568" spans="10:11" ht="15.95" customHeight="1" x14ac:dyDescent="0.25">
      <c r="J4568" s="192"/>
      <c r="K4568" s="192"/>
    </row>
    <row r="4569" spans="10:11" ht="15.95" customHeight="1" x14ac:dyDescent="0.25">
      <c r="J4569" s="192"/>
      <c r="K4569" s="192"/>
    </row>
    <row r="4570" spans="10:11" ht="15.95" customHeight="1" x14ac:dyDescent="0.25">
      <c r="J4570" s="192"/>
      <c r="K4570" s="192"/>
    </row>
    <row r="4571" spans="10:11" ht="15.95" customHeight="1" x14ac:dyDescent="0.25">
      <c r="J4571" s="192"/>
      <c r="K4571" s="192"/>
    </row>
    <row r="4572" spans="10:11" ht="15.95" customHeight="1" x14ac:dyDescent="0.25">
      <c r="J4572" s="192"/>
      <c r="K4572" s="192"/>
    </row>
    <row r="4573" spans="10:11" ht="15.95" customHeight="1" x14ac:dyDescent="0.25">
      <c r="J4573" s="192"/>
      <c r="K4573" s="192"/>
    </row>
    <row r="4574" spans="10:11" ht="15.95" customHeight="1" x14ac:dyDescent="0.25">
      <c r="J4574" s="192"/>
      <c r="K4574" s="192"/>
    </row>
    <row r="4575" spans="10:11" ht="15.95" customHeight="1" x14ac:dyDescent="0.25">
      <c r="J4575" s="192"/>
      <c r="K4575" s="192"/>
    </row>
    <row r="4576" spans="10:11" ht="15.95" customHeight="1" x14ac:dyDescent="0.25">
      <c r="J4576" s="192"/>
      <c r="K4576" s="192"/>
    </row>
    <row r="4577" spans="10:11" ht="15.95" customHeight="1" x14ac:dyDescent="0.25">
      <c r="J4577" s="192"/>
      <c r="K4577" s="192"/>
    </row>
    <row r="4578" spans="10:11" ht="15.95" customHeight="1" x14ac:dyDescent="0.25">
      <c r="J4578" s="192"/>
      <c r="K4578" s="192"/>
    </row>
    <row r="4579" spans="10:11" ht="15.95" customHeight="1" x14ac:dyDescent="0.25">
      <c r="J4579" s="192"/>
      <c r="K4579" s="192"/>
    </row>
    <row r="4580" spans="10:11" ht="15.95" customHeight="1" x14ac:dyDescent="0.25">
      <c r="J4580" s="192"/>
      <c r="K4580" s="192"/>
    </row>
    <row r="4581" spans="10:11" ht="15.95" customHeight="1" x14ac:dyDescent="0.25">
      <c r="J4581" s="192"/>
      <c r="K4581" s="192"/>
    </row>
    <row r="4582" spans="10:11" ht="15.95" customHeight="1" x14ac:dyDescent="0.25">
      <c r="J4582" s="192"/>
      <c r="K4582" s="192"/>
    </row>
    <row r="4583" spans="10:11" ht="15.95" customHeight="1" x14ac:dyDescent="0.25">
      <c r="J4583" s="192"/>
      <c r="K4583" s="192"/>
    </row>
    <row r="4584" spans="10:11" ht="15.95" customHeight="1" x14ac:dyDescent="0.25">
      <c r="J4584" s="192"/>
      <c r="K4584" s="192"/>
    </row>
    <row r="4585" spans="10:11" ht="15.95" customHeight="1" x14ac:dyDescent="0.25">
      <c r="J4585" s="192"/>
      <c r="K4585" s="192"/>
    </row>
    <row r="4586" spans="10:11" ht="15.95" customHeight="1" x14ac:dyDescent="0.25">
      <c r="J4586" s="192"/>
      <c r="K4586" s="192"/>
    </row>
    <row r="4587" spans="10:11" ht="15.95" customHeight="1" x14ac:dyDescent="0.25">
      <c r="J4587" s="192"/>
      <c r="K4587" s="192"/>
    </row>
    <row r="4588" spans="10:11" ht="15.95" customHeight="1" x14ac:dyDescent="0.25">
      <c r="J4588" s="192"/>
      <c r="K4588" s="192"/>
    </row>
    <row r="4589" spans="10:11" ht="15.95" customHeight="1" x14ac:dyDescent="0.25">
      <c r="J4589" s="192"/>
      <c r="K4589" s="192"/>
    </row>
    <row r="4590" spans="10:11" ht="15.95" customHeight="1" x14ac:dyDescent="0.25">
      <c r="J4590" s="192"/>
      <c r="K4590" s="192"/>
    </row>
    <row r="4591" spans="10:11" ht="15.95" customHeight="1" x14ac:dyDescent="0.25">
      <c r="J4591" s="192"/>
      <c r="K4591" s="192"/>
    </row>
    <row r="4592" spans="10:11" ht="15.95" customHeight="1" x14ac:dyDescent="0.25">
      <c r="J4592" s="192"/>
      <c r="K4592" s="192"/>
    </row>
    <row r="4593" spans="9:11" ht="15.95" customHeight="1" x14ac:dyDescent="0.25">
      <c r="J4593" s="192"/>
      <c r="K4593" s="192"/>
    </row>
    <row r="4594" spans="9:11" ht="15.95" customHeight="1" x14ac:dyDescent="0.25">
      <c r="J4594" s="192"/>
      <c r="K4594" s="192"/>
    </row>
    <row r="4595" spans="9:11" ht="15.95" customHeight="1" x14ac:dyDescent="0.25"/>
    <row r="4596" spans="9:11" ht="15.95" customHeight="1" x14ac:dyDescent="0.25"/>
    <row r="4597" spans="9:11" ht="48" customHeight="1" x14ac:dyDescent="0.25">
      <c r="J4597" s="235" t="str">
        <f>ComparisonData!YK2</f>
        <v>SECTION E: ABOUT YOU</v>
      </c>
      <c r="K4597" s="237"/>
    </row>
    <row r="4598" spans="9:11" ht="48" customHeight="1" x14ac:dyDescent="0.25">
      <c r="J4598" s="235" t="str">
        <f>ComparisonData!YK3</f>
        <v>16. Is the gender you identify with the same as your sex registered at birth?</v>
      </c>
      <c r="K4598" s="237"/>
    </row>
    <row r="4599" spans="9:11" ht="32.1" customHeight="1" x14ac:dyDescent="0.25">
      <c r="J4599" s="189" t="str">
        <f>ComparisonData!YO4</f>
        <v>Yes</v>
      </c>
      <c r="K4599" s="189" t="str">
        <f>ComparisonData!YP4</f>
        <v>No</v>
      </c>
    </row>
    <row r="4600" spans="9:11" ht="15.95" customHeight="1" x14ac:dyDescent="0.25">
      <c r="I4600" s="188" t="str" cm="1">
        <f t="array" aca="1" ref="I4600" ca="1">_16._Is_the_gender_you_identify_with_the_same_as_your_sex_registered_at_birth?_lbl</f>
        <v>TOTAL</v>
      </c>
      <c r="J4600" s="192" cm="1">
        <f t="array" aca="1" ref="J4600" ca="1">_16._Is_the_gender_you_identify_with_the_same_as_your_sex_registered_at_birth?_1</f>
        <v>0.99678999999999995</v>
      </c>
      <c r="K4600" s="192" cm="1">
        <f t="array" aca="1" ref="K4600" ca="1">_16._Is_the_gender_you_identify_with_the_same_as_your_sex_registered_at_birth?_2</f>
        <v>3.2100000000000002E-3</v>
      </c>
    </row>
    <row r="4601" spans="9:11" ht="15.95" customHeight="1" x14ac:dyDescent="0.25">
      <c r="J4601" s="192"/>
      <c r="K4601" s="192"/>
    </row>
    <row r="4602" spans="9:11" ht="15.95" customHeight="1" x14ac:dyDescent="0.25">
      <c r="J4602" s="192"/>
      <c r="K4602" s="192"/>
    </row>
    <row r="4603" spans="9:11" ht="15.95" customHeight="1" x14ac:dyDescent="0.25">
      <c r="J4603" s="192"/>
      <c r="K4603" s="192"/>
    </row>
    <row r="4604" spans="9:11" ht="15.95" customHeight="1" x14ac:dyDescent="0.25">
      <c r="J4604" s="192"/>
      <c r="K4604" s="192"/>
    </row>
    <row r="4605" spans="9:11" ht="15.95" customHeight="1" x14ac:dyDescent="0.25">
      <c r="J4605" s="192"/>
      <c r="K4605" s="192"/>
    </row>
    <row r="4606" spans="9:11" ht="15.95" customHeight="1" x14ac:dyDescent="0.25">
      <c r="J4606" s="192"/>
      <c r="K4606" s="192"/>
    </row>
    <row r="4607" spans="9:11" ht="15.95" customHeight="1" x14ac:dyDescent="0.25">
      <c r="J4607" s="192"/>
      <c r="K4607" s="192"/>
    </row>
    <row r="4608" spans="9:11" ht="15.95" customHeight="1" x14ac:dyDescent="0.25">
      <c r="J4608" s="192"/>
      <c r="K4608" s="192"/>
    </row>
    <row r="4609" spans="10:11" ht="15.95" customHeight="1" x14ac:dyDescent="0.25">
      <c r="J4609" s="192"/>
      <c r="K4609" s="192"/>
    </row>
    <row r="4610" spans="10:11" ht="15.95" customHeight="1" x14ac:dyDescent="0.25">
      <c r="J4610" s="192"/>
      <c r="K4610" s="192"/>
    </row>
    <row r="4611" spans="10:11" ht="15.95" customHeight="1" x14ac:dyDescent="0.25">
      <c r="J4611" s="192"/>
      <c r="K4611" s="192"/>
    </row>
    <row r="4612" spans="10:11" ht="15.95" customHeight="1" x14ac:dyDescent="0.25">
      <c r="J4612" s="192"/>
      <c r="K4612" s="192"/>
    </row>
    <row r="4613" spans="10:11" ht="15.95" customHeight="1" x14ac:dyDescent="0.25">
      <c r="J4613" s="192"/>
      <c r="K4613" s="192"/>
    </row>
    <row r="4614" spans="10:11" ht="15.95" customHeight="1" x14ac:dyDescent="0.25">
      <c r="J4614" s="192"/>
      <c r="K4614" s="192"/>
    </row>
    <row r="4615" spans="10:11" ht="15.95" customHeight="1" x14ac:dyDescent="0.25">
      <c r="J4615" s="192"/>
      <c r="K4615" s="192"/>
    </row>
    <row r="4616" spans="10:11" ht="15.95" customHeight="1" x14ac:dyDescent="0.25">
      <c r="J4616" s="192"/>
      <c r="K4616" s="192"/>
    </row>
    <row r="4617" spans="10:11" ht="15.95" customHeight="1" x14ac:dyDescent="0.25">
      <c r="J4617" s="192"/>
      <c r="K4617" s="192"/>
    </row>
    <row r="4618" spans="10:11" ht="15.95" customHeight="1" x14ac:dyDescent="0.25">
      <c r="J4618" s="192"/>
      <c r="K4618" s="192"/>
    </row>
    <row r="4619" spans="10:11" ht="15.95" customHeight="1" x14ac:dyDescent="0.25">
      <c r="J4619" s="192"/>
      <c r="K4619" s="192"/>
    </row>
    <row r="4620" spans="10:11" ht="15.95" customHeight="1" x14ac:dyDescent="0.25">
      <c r="J4620" s="192"/>
      <c r="K4620" s="192"/>
    </row>
    <row r="4621" spans="10:11" ht="15.95" customHeight="1" x14ac:dyDescent="0.25">
      <c r="J4621" s="192"/>
      <c r="K4621" s="192"/>
    </row>
    <row r="4622" spans="10:11" ht="15.95" customHeight="1" x14ac:dyDescent="0.25">
      <c r="J4622" s="192"/>
      <c r="K4622" s="192"/>
    </row>
    <row r="4623" spans="10:11" ht="15.95" customHeight="1" x14ac:dyDescent="0.25">
      <c r="J4623" s="192"/>
      <c r="K4623" s="192"/>
    </row>
    <row r="4624" spans="10:11" ht="15.95" customHeight="1" x14ac:dyDescent="0.25">
      <c r="J4624" s="192"/>
      <c r="K4624" s="192"/>
    </row>
    <row r="4625" spans="10:11" ht="15.95" customHeight="1" x14ac:dyDescent="0.25">
      <c r="J4625" s="192"/>
      <c r="K4625" s="192"/>
    </row>
    <row r="4626" spans="10:11" ht="15.95" customHeight="1" x14ac:dyDescent="0.25">
      <c r="J4626" s="192"/>
      <c r="K4626" s="192"/>
    </row>
    <row r="4627" spans="10:11" ht="15.95" customHeight="1" x14ac:dyDescent="0.25">
      <c r="J4627" s="192"/>
      <c r="K4627" s="192"/>
    </row>
    <row r="4628" spans="10:11" ht="15.95" customHeight="1" x14ac:dyDescent="0.25">
      <c r="J4628" s="192"/>
      <c r="K4628" s="192"/>
    </row>
    <row r="4629" spans="10:11" ht="15.95" customHeight="1" x14ac:dyDescent="0.25">
      <c r="J4629" s="192"/>
      <c r="K4629" s="192"/>
    </row>
    <row r="4630" spans="10:11" ht="15.95" customHeight="1" x14ac:dyDescent="0.25">
      <c r="J4630" s="192"/>
      <c r="K4630" s="192"/>
    </row>
    <row r="4631" spans="10:11" ht="15.95" customHeight="1" x14ac:dyDescent="0.25">
      <c r="J4631" s="192"/>
      <c r="K4631" s="192"/>
    </row>
    <row r="4632" spans="10:11" ht="15.95" customHeight="1" x14ac:dyDescent="0.25">
      <c r="J4632" s="192"/>
      <c r="K4632" s="192"/>
    </row>
    <row r="4633" spans="10:11" ht="15.95" customHeight="1" x14ac:dyDescent="0.25">
      <c r="J4633" s="192"/>
      <c r="K4633" s="192"/>
    </row>
    <row r="4634" spans="10:11" ht="15.95" customHeight="1" x14ac:dyDescent="0.25">
      <c r="J4634" s="192"/>
      <c r="K4634" s="192"/>
    </row>
    <row r="4635" spans="10:11" ht="15.95" customHeight="1" x14ac:dyDescent="0.25">
      <c r="J4635" s="192"/>
      <c r="K4635" s="192"/>
    </row>
    <row r="4636" spans="10:11" ht="15.95" customHeight="1" x14ac:dyDescent="0.25">
      <c r="J4636" s="192"/>
      <c r="K4636" s="192"/>
    </row>
    <row r="4637" spans="10:11" ht="15.95" customHeight="1" x14ac:dyDescent="0.25">
      <c r="J4637" s="192"/>
      <c r="K4637" s="192"/>
    </row>
    <row r="4638" spans="10:11" ht="15.95" customHeight="1" x14ac:dyDescent="0.25">
      <c r="J4638" s="192"/>
      <c r="K4638" s="192"/>
    </row>
    <row r="4639" spans="10:11" ht="15.95" customHeight="1" x14ac:dyDescent="0.25">
      <c r="J4639" s="192"/>
      <c r="K4639" s="192"/>
    </row>
    <row r="4640" spans="10:11" ht="15.95" customHeight="1" x14ac:dyDescent="0.25">
      <c r="J4640" s="192"/>
      <c r="K4640" s="192"/>
    </row>
    <row r="4641" spans="10:11" ht="15.95" customHeight="1" x14ac:dyDescent="0.25">
      <c r="J4641" s="192"/>
      <c r="K4641" s="192"/>
    </row>
    <row r="4642" spans="10:11" ht="15.95" customHeight="1" x14ac:dyDescent="0.25">
      <c r="J4642" s="192"/>
      <c r="K4642" s="192"/>
    </row>
    <row r="4643" spans="10:11" ht="15.95" customHeight="1" x14ac:dyDescent="0.25">
      <c r="J4643" s="192"/>
      <c r="K4643" s="192"/>
    </row>
    <row r="4644" spans="10:11" ht="15.95" customHeight="1" x14ac:dyDescent="0.25">
      <c r="J4644" s="192"/>
      <c r="K4644" s="192"/>
    </row>
    <row r="4645" spans="10:11" ht="15.95" customHeight="1" x14ac:dyDescent="0.25">
      <c r="J4645" s="192"/>
      <c r="K4645" s="192"/>
    </row>
    <row r="4646" spans="10:11" ht="15.95" customHeight="1" x14ac:dyDescent="0.25">
      <c r="J4646" s="192"/>
      <c r="K4646" s="192"/>
    </row>
    <row r="4647" spans="10:11" ht="15.95" customHeight="1" x14ac:dyDescent="0.25">
      <c r="J4647" s="192"/>
      <c r="K4647" s="192"/>
    </row>
    <row r="4648" spans="10:11" ht="15.95" customHeight="1" x14ac:dyDescent="0.25">
      <c r="J4648" s="192"/>
      <c r="K4648" s="192"/>
    </row>
    <row r="4649" spans="10:11" ht="15.95" customHeight="1" x14ac:dyDescent="0.25">
      <c r="J4649" s="192"/>
      <c r="K4649" s="192"/>
    </row>
    <row r="4650" spans="10:11" ht="15.95" customHeight="1" x14ac:dyDescent="0.25">
      <c r="J4650" s="192"/>
      <c r="K4650" s="192"/>
    </row>
    <row r="4651" spans="10:11" ht="15.95" customHeight="1" x14ac:dyDescent="0.25">
      <c r="J4651" s="192"/>
      <c r="K4651" s="192"/>
    </row>
    <row r="4652" spans="10:11" ht="15.95" customHeight="1" x14ac:dyDescent="0.25">
      <c r="J4652" s="192"/>
      <c r="K4652" s="192"/>
    </row>
    <row r="4653" spans="10:11" ht="15.95" customHeight="1" x14ac:dyDescent="0.25">
      <c r="J4653" s="192"/>
      <c r="K4653" s="192"/>
    </row>
    <row r="4654" spans="10:11" ht="15.95" customHeight="1" x14ac:dyDescent="0.25">
      <c r="J4654" s="192"/>
      <c r="K4654" s="192"/>
    </row>
    <row r="4655" spans="10:11" ht="15.95" customHeight="1" x14ac:dyDescent="0.25">
      <c r="J4655" s="192"/>
      <c r="K4655" s="192"/>
    </row>
    <row r="4656" spans="10:11" ht="15.95" customHeight="1" x14ac:dyDescent="0.25">
      <c r="J4656" s="192"/>
      <c r="K4656" s="192"/>
    </row>
    <row r="4657" spans="10:11" ht="15.95" customHeight="1" x14ac:dyDescent="0.25">
      <c r="J4657" s="192"/>
      <c r="K4657" s="192"/>
    </row>
    <row r="4658" spans="10:11" ht="15.95" customHeight="1" x14ac:dyDescent="0.25">
      <c r="J4658" s="192"/>
      <c r="K4658" s="192"/>
    </row>
    <row r="4659" spans="10:11" ht="15.95" customHeight="1" x14ac:dyDescent="0.25">
      <c r="J4659" s="192"/>
      <c r="K4659" s="192"/>
    </row>
    <row r="4660" spans="10:11" ht="15.95" customHeight="1" x14ac:dyDescent="0.25">
      <c r="J4660" s="192"/>
      <c r="K4660" s="192"/>
    </row>
    <row r="4661" spans="10:11" ht="15.95" customHeight="1" x14ac:dyDescent="0.25">
      <c r="J4661" s="192"/>
      <c r="K4661" s="192"/>
    </row>
    <row r="4662" spans="10:11" ht="15.95" customHeight="1" x14ac:dyDescent="0.25">
      <c r="J4662" s="192"/>
      <c r="K4662" s="192"/>
    </row>
    <row r="4663" spans="10:11" ht="15.95" customHeight="1" x14ac:dyDescent="0.25">
      <c r="J4663" s="192"/>
      <c r="K4663" s="192"/>
    </row>
    <row r="4664" spans="10:11" ht="15.95" customHeight="1" x14ac:dyDescent="0.25">
      <c r="J4664" s="192"/>
      <c r="K4664" s="192"/>
    </row>
    <row r="4665" spans="10:11" ht="15.95" customHeight="1" x14ac:dyDescent="0.25">
      <c r="J4665" s="192"/>
      <c r="K4665" s="192"/>
    </row>
    <row r="4666" spans="10:11" ht="15.95" customHeight="1" x14ac:dyDescent="0.25">
      <c r="J4666" s="192"/>
      <c r="K4666" s="192"/>
    </row>
    <row r="4667" spans="10:11" ht="15.95" customHeight="1" x14ac:dyDescent="0.25">
      <c r="J4667" s="192"/>
      <c r="K4667" s="192"/>
    </row>
    <row r="4668" spans="10:11" ht="15.95" customHeight="1" x14ac:dyDescent="0.25">
      <c r="J4668" s="192"/>
      <c r="K4668" s="192"/>
    </row>
    <row r="4669" spans="10:11" ht="15.95" customHeight="1" x14ac:dyDescent="0.25">
      <c r="J4669" s="192"/>
      <c r="K4669" s="192"/>
    </row>
    <row r="4670" spans="10:11" ht="15.95" customHeight="1" x14ac:dyDescent="0.25">
      <c r="J4670" s="192"/>
      <c r="K4670" s="192"/>
    </row>
    <row r="4671" spans="10:11" ht="15.95" customHeight="1" x14ac:dyDescent="0.25">
      <c r="J4671" s="192"/>
      <c r="K4671" s="192"/>
    </row>
    <row r="4672" spans="10:11" ht="15.95" customHeight="1" x14ac:dyDescent="0.25">
      <c r="J4672" s="192"/>
      <c r="K4672" s="192"/>
    </row>
    <row r="4673" spans="10:11" ht="15.95" customHeight="1" x14ac:dyDescent="0.25">
      <c r="J4673" s="192"/>
      <c r="K4673" s="192"/>
    </row>
    <row r="4674" spans="10:11" ht="15.95" customHeight="1" x14ac:dyDescent="0.25">
      <c r="J4674" s="192"/>
      <c r="K4674" s="192"/>
    </row>
    <row r="4675" spans="10:11" ht="15.95" customHeight="1" x14ac:dyDescent="0.25">
      <c r="J4675" s="192"/>
      <c r="K4675" s="192"/>
    </row>
    <row r="4676" spans="10:11" ht="15.95" customHeight="1" x14ac:dyDescent="0.25">
      <c r="J4676" s="192"/>
      <c r="K4676" s="192"/>
    </row>
    <row r="4677" spans="10:11" ht="15.95" customHeight="1" x14ac:dyDescent="0.25">
      <c r="J4677" s="192"/>
      <c r="K4677" s="192"/>
    </row>
    <row r="4678" spans="10:11" ht="15.95" customHeight="1" x14ac:dyDescent="0.25">
      <c r="J4678" s="192"/>
      <c r="K4678" s="192"/>
    </row>
    <row r="4679" spans="10:11" ht="15.95" customHeight="1" x14ac:dyDescent="0.25">
      <c r="J4679" s="192"/>
      <c r="K4679" s="192"/>
    </row>
    <row r="4680" spans="10:11" ht="15.95" customHeight="1" x14ac:dyDescent="0.25">
      <c r="J4680" s="192"/>
      <c r="K4680" s="192"/>
    </row>
    <row r="4681" spans="10:11" ht="15.95" customHeight="1" x14ac:dyDescent="0.25">
      <c r="J4681" s="192"/>
      <c r="K4681" s="192"/>
    </row>
    <row r="4682" spans="10:11" ht="15.95" customHeight="1" x14ac:dyDescent="0.25">
      <c r="J4682" s="192"/>
      <c r="K4682" s="192"/>
    </row>
    <row r="4683" spans="10:11" ht="15.95" customHeight="1" x14ac:dyDescent="0.25">
      <c r="J4683" s="192"/>
      <c r="K4683" s="192"/>
    </row>
    <row r="4684" spans="10:11" ht="15.95" customHeight="1" x14ac:dyDescent="0.25">
      <c r="J4684" s="192"/>
      <c r="K4684" s="192"/>
    </row>
    <row r="4685" spans="10:11" ht="15.95" customHeight="1" x14ac:dyDescent="0.25">
      <c r="J4685" s="192"/>
      <c r="K4685" s="192"/>
    </row>
    <row r="4686" spans="10:11" ht="15.95" customHeight="1" x14ac:dyDescent="0.25">
      <c r="J4686" s="192"/>
      <c r="K4686" s="192"/>
    </row>
    <row r="4687" spans="10:11" ht="15.95" customHeight="1" x14ac:dyDescent="0.25">
      <c r="J4687" s="192"/>
      <c r="K4687" s="192"/>
    </row>
    <row r="4688" spans="10:11" ht="15.95" customHeight="1" x14ac:dyDescent="0.25">
      <c r="J4688" s="192"/>
      <c r="K4688" s="192"/>
    </row>
    <row r="4689" spans="10:11" ht="15.95" customHeight="1" x14ac:dyDescent="0.25">
      <c r="J4689" s="192"/>
      <c r="K4689" s="192"/>
    </row>
    <row r="4690" spans="10:11" ht="15.95" customHeight="1" x14ac:dyDescent="0.25">
      <c r="J4690" s="192"/>
      <c r="K4690" s="192"/>
    </row>
    <row r="4691" spans="10:11" ht="15.95" customHeight="1" x14ac:dyDescent="0.25">
      <c r="J4691" s="192"/>
      <c r="K4691" s="192"/>
    </row>
    <row r="4692" spans="10:11" ht="15.95" customHeight="1" x14ac:dyDescent="0.25">
      <c r="J4692" s="192"/>
      <c r="K4692" s="192"/>
    </row>
    <row r="4693" spans="10:11" ht="15.95" customHeight="1" x14ac:dyDescent="0.25">
      <c r="J4693" s="192"/>
      <c r="K4693" s="192"/>
    </row>
    <row r="4694" spans="10:11" ht="15.95" customHeight="1" x14ac:dyDescent="0.25">
      <c r="J4694" s="192"/>
      <c r="K4694" s="192"/>
    </row>
    <row r="4695" spans="10:11" ht="15.95" customHeight="1" x14ac:dyDescent="0.25">
      <c r="J4695" s="192"/>
      <c r="K4695" s="192"/>
    </row>
    <row r="4696" spans="10:11" ht="15.95" customHeight="1" x14ac:dyDescent="0.25">
      <c r="J4696" s="192"/>
      <c r="K4696" s="192"/>
    </row>
    <row r="4697" spans="10:11" ht="15.95" customHeight="1" x14ac:dyDescent="0.25">
      <c r="J4697" s="192"/>
      <c r="K4697" s="192"/>
    </row>
    <row r="4698" spans="10:11" ht="15.95" customHeight="1" x14ac:dyDescent="0.25">
      <c r="J4698" s="192"/>
      <c r="K4698" s="192"/>
    </row>
    <row r="4699" spans="10:11" ht="15.95" customHeight="1" x14ac:dyDescent="0.25">
      <c r="J4699" s="192"/>
      <c r="K4699" s="192"/>
    </row>
    <row r="4700" spans="10:11" ht="15.95" customHeight="1" x14ac:dyDescent="0.25">
      <c r="J4700" s="192"/>
      <c r="K4700" s="192"/>
    </row>
    <row r="4701" spans="10:11" ht="15.95" customHeight="1" x14ac:dyDescent="0.25">
      <c r="J4701" s="192"/>
      <c r="K4701" s="192"/>
    </row>
    <row r="4702" spans="10:11" ht="15.95" customHeight="1" x14ac:dyDescent="0.25">
      <c r="J4702" s="192"/>
      <c r="K4702" s="192"/>
    </row>
    <row r="4703" spans="10:11" ht="15.95" customHeight="1" x14ac:dyDescent="0.25">
      <c r="J4703" s="192"/>
      <c r="K4703" s="192"/>
    </row>
    <row r="4704" spans="10:11" ht="15.95" customHeight="1" x14ac:dyDescent="0.25">
      <c r="J4704" s="192"/>
      <c r="K4704" s="192"/>
    </row>
    <row r="4705" spans="9:14" ht="15.95" customHeight="1" x14ac:dyDescent="0.25">
      <c r="J4705" s="192"/>
      <c r="K4705" s="192"/>
    </row>
    <row r="4706" spans="9:14" ht="15.95" customHeight="1" x14ac:dyDescent="0.25">
      <c r="J4706" s="192"/>
      <c r="K4706" s="192"/>
    </row>
    <row r="4707" spans="9:14" ht="15.95" customHeight="1" x14ac:dyDescent="0.25">
      <c r="J4707" s="192"/>
      <c r="K4707" s="192"/>
    </row>
    <row r="4708" spans="9:14" ht="15.95" customHeight="1" x14ac:dyDescent="0.25">
      <c r="J4708" s="192"/>
      <c r="K4708" s="192"/>
    </row>
    <row r="4709" spans="9:14" ht="15.95" customHeight="1" x14ac:dyDescent="0.25">
      <c r="J4709" s="192"/>
      <c r="K4709" s="192"/>
    </row>
    <row r="4710" spans="9:14" ht="15.95" customHeight="1" x14ac:dyDescent="0.25">
      <c r="J4710" s="192"/>
      <c r="K4710" s="192"/>
    </row>
    <row r="4711" spans="9:14" ht="15.95" customHeight="1" x14ac:dyDescent="0.25">
      <c r="J4711" s="192"/>
      <c r="K4711" s="192"/>
    </row>
    <row r="4712" spans="9:14" ht="15.95" customHeight="1" x14ac:dyDescent="0.25"/>
    <row r="4713" spans="9:14" ht="15.95" customHeight="1" x14ac:dyDescent="0.25"/>
    <row r="4714" spans="9:14" ht="32.1" customHeight="1" x14ac:dyDescent="0.25">
      <c r="J4714" s="235" t="str">
        <f>ComparisonData!YV2</f>
        <v>SECTION E: ABOUT YOU</v>
      </c>
      <c r="K4714" s="236"/>
      <c r="L4714" s="236"/>
      <c r="M4714" s="236"/>
      <c r="N4714" s="237"/>
    </row>
    <row r="4715" spans="9:14" ht="32.1" customHeight="1" x14ac:dyDescent="0.25">
      <c r="J4715" s="235" t="str">
        <f>ComparisonData!YV3</f>
        <v>17. Your age?</v>
      </c>
      <c r="K4715" s="236"/>
      <c r="L4715" s="236"/>
      <c r="M4715" s="236"/>
      <c r="N4715" s="237"/>
    </row>
    <row r="4716" spans="9:14" ht="56.1" customHeight="1" x14ac:dyDescent="0.25">
      <c r="J4716" s="185" t="str">
        <f>ComparisonData!ZH4</f>
        <v>Under 25</v>
      </c>
      <c r="K4716" s="185" t="str">
        <f>ComparisonData!ZI4</f>
        <v>25 to 44</v>
      </c>
      <c r="L4716" s="185" t="str">
        <f>ComparisonData!ZJ4</f>
        <v>45 to 64</v>
      </c>
      <c r="M4716" s="185" t="str">
        <f>ComparisonData!ZK4</f>
        <v>65 to 74</v>
      </c>
      <c r="N4716" s="185" t="str">
        <f>ComparisonData!ZL4</f>
        <v>75 or over</v>
      </c>
    </row>
    <row r="4717" spans="9:14" ht="15.95" customHeight="1" x14ac:dyDescent="0.25">
      <c r="I4717" s="188" t="str" cm="1">
        <f t="array" aca="1" ref="I4717" ca="1">_17._Your_age?_lbl</f>
        <v>TOTAL</v>
      </c>
      <c r="J4717" s="192" cm="1">
        <f t="array" aca="1" ref="J4717" ca="1">_17._Your_age?_1</f>
        <v>8.3659999999999998E-2</v>
      </c>
      <c r="K4717" s="192" cm="1">
        <f t="array" aca="1" ref="K4717" ca="1">_17._Your_age?_2</f>
        <v>0.17005000000000001</v>
      </c>
      <c r="L4717" s="192" cm="1">
        <f t="array" aca="1" ref="L4717" ca="1">_17._Your_age?_3</f>
        <v>0.31152000000000002</v>
      </c>
      <c r="M4717" s="192" cm="1">
        <f t="array" aca="1" ref="M4717" ca="1">_17._Your_age?_4</f>
        <v>0.30287999999999998</v>
      </c>
      <c r="N4717" s="192" cm="1">
        <f t="array" aca="1" ref="N4717" ca="1">_17._Your_age?_5</f>
        <v>0.13186999999999999</v>
      </c>
    </row>
    <row r="4718" spans="9:14" ht="15.95" customHeight="1" x14ac:dyDescent="0.25">
      <c r="J4718" s="192"/>
      <c r="K4718" s="192"/>
      <c r="L4718" s="192"/>
      <c r="M4718" s="192"/>
      <c r="N4718" s="192"/>
    </row>
    <row r="4719" spans="9:14" ht="15.95" customHeight="1" x14ac:dyDescent="0.25">
      <c r="J4719" s="192"/>
      <c r="K4719" s="192"/>
      <c r="L4719" s="192"/>
      <c r="M4719" s="192"/>
      <c r="N4719" s="192"/>
    </row>
    <row r="4720" spans="9:14" ht="15.95" customHeight="1" x14ac:dyDescent="0.25">
      <c r="J4720" s="192"/>
      <c r="K4720" s="192"/>
      <c r="L4720" s="192"/>
      <c r="M4720" s="192"/>
      <c r="N4720" s="192"/>
    </row>
    <row r="4721" spans="10:14" ht="15.95" customHeight="1" x14ac:dyDescent="0.25">
      <c r="J4721" s="192"/>
      <c r="K4721" s="192"/>
      <c r="L4721" s="192"/>
      <c r="M4721" s="192"/>
      <c r="N4721" s="192"/>
    </row>
    <row r="4722" spans="10:14" ht="15.95" customHeight="1" x14ac:dyDescent="0.25">
      <c r="J4722" s="192"/>
      <c r="K4722" s="192"/>
      <c r="L4722" s="192"/>
      <c r="M4722" s="192"/>
      <c r="N4722" s="192"/>
    </row>
    <row r="4723" spans="10:14" ht="15.95" customHeight="1" x14ac:dyDescent="0.25">
      <c r="J4723" s="192"/>
      <c r="K4723" s="192"/>
      <c r="L4723" s="192"/>
      <c r="M4723" s="192"/>
      <c r="N4723" s="192"/>
    </row>
    <row r="4724" spans="10:14" ht="15.95" customHeight="1" x14ac:dyDescent="0.25">
      <c r="J4724" s="192"/>
      <c r="K4724" s="192"/>
      <c r="L4724" s="192"/>
      <c r="M4724" s="192"/>
      <c r="N4724" s="192"/>
    </row>
    <row r="4725" spans="10:14" ht="15.95" customHeight="1" x14ac:dyDescent="0.25">
      <c r="J4725" s="192"/>
      <c r="K4725" s="192"/>
      <c r="L4725" s="192"/>
      <c r="M4725" s="192"/>
      <c r="N4725" s="192"/>
    </row>
    <row r="4726" spans="10:14" ht="15.95" customHeight="1" x14ac:dyDescent="0.25">
      <c r="J4726" s="192"/>
      <c r="K4726" s="192"/>
      <c r="L4726" s="192"/>
      <c r="M4726" s="192"/>
      <c r="N4726" s="192"/>
    </row>
    <row r="4727" spans="10:14" ht="15.95" customHeight="1" x14ac:dyDescent="0.25">
      <c r="J4727" s="192"/>
      <c r="K4727" s="192"/>
      <c r="L4727" s="192"/>
      <c r="M4727" s="192"/>
      <c r="N4727" s="192"/>
    </row>
    <row r="4728" spans="10:14" ht="15.95" customHeight="1" x14ac:dyDescent="0.25">
      <c r="J4728" s="192"/>
      <c r="K4728" s="192"/>
      <c r="L4728" s="192"/>
      <c r="M4728" s="192"/>
      <c r="N4728" s="192"/>
    </row>
    <row r="4729" spans="10:14" ht="15.95" customHeight="1" x14ac:dyDescent="0.25">
      <c r="J4729" s="192"/>
      <c r="K4729" s="192"/>
      <c r="L4729" s="192"/>
      <c r="M4729" s="192"/>
      <c r="N4729" s="192"/>
    </row>
    <row r="4730" spans="10:14" ht="15.95" customHeight="1" x14ac:dyDescent="0.25">
      <c r="J4730" s="192"/>
      <c r="K4730" s="192"/>
      <c r="L4730" s="192"/>
      <c r="M4730" s="192"/>
      <c r="N4730" s="192"/>
    </row>
    <row r="4731" spans="10:14" ht="15.95" customHeight="1" x14ac:dyDescent="0.25">
      <c r="J4731" s="192"/>
      <c r="K4731" s="192"/>
      <c r="L4731" s="192"/>
      <c r="M4731" s="192"/>
      <c r="N4731" s="192"/>
    </row>
    <row r="4732" spans="10:14" ht="15.95" customHeight="1" x14ac:dyDescent="0.25">
      <c r="J4732" s="192"/>
      <c r="K4732" s="192"/>
      <c r="L4732" s="192"/>
      <c r="M4732" s="192"/>
      <c r="N4732" s="192"/>
    </row>
    <row r="4733" spans="10:14" ht="15.95" customHeight="1" x14ac:dyDescent="0.25">
      <c r="J4733" s="192"/>
      <c r="K4733" s="192"/>
      <c r="L4733" s="192"/>
      <c r="M4733" s="192"/>
      <c r="N4733" s="192"/>
    </row>
    <row r="4734" spans="10:14" ht="15.95" customHeight="1" x14ac:dyDescent="0.25">
      <c r="J4734" s="192"/>
      <c r="K4734" s="192"/>
      <c r="L4734" s="192"/>
      <c r="M4734" s="192"/>
      <c r="N4734" s="192"/>
    </row>
    <row r="4735" spans="10:14" ht="15.95" customHeight="1" x14ac:dyDescent="0.25">
      <c r="J4735" s="192"/>
      <c r="K4735" s="192"/>
      <c r="L4735" s="192"/>
      <c r="M4735" s="192"/>
      <c r="N4735" s="192"/>
    </row>
    <row r="4736" spans="10:14" ht="15.95" customHeight="1" x14ac:dyDescent="0.25">
      <c r="J4736" s="192"/>
      <c r="K4736" s="192"/>
      <c r="L4736" s="192"/>
      <c r="M4736" s="192"/>
      <c r="N4736" s="192"/>
    </row>
    <row r="4737" spans="10:14" ht="15.95" customHeight="1" x14ac:dyDescent="0.25">
      <c r="J4737" s="192"/>
      <c r="K4737" s="192"/>
      <c r="L4737" s="192"/>
      <c r="M4737" s="192"/>
      <c r="N4737" s="192"/>
    </row>
    <row r="4738" spans="10:14" ht="15.95" customHeight="1" x14ac:dyDescent="0.25">
      <c r="J4738" s="192"/>
      <c r="K4738" s="192"/>
      <c r="L4738" s="192"/>
      <c r="M4738" s="192"/>
      <c r="N4738" s="192"/>
    </row>
    <row r="4739" spans="10:14" ht="15.95" customHeight="1" x14ac:dyDescent="0.25">
      <c r="J4739" s="192"/>
      <c r="K4739" s="192"/>
      <c r="L4739" s="192"/>
      <c r="M4739" s="192"/>
      <c r="N4739" s="192"/>
    </row>
    <row r="4740" spans="10:14" ht="15.95" customHeight="1" x14ac:dyDescent="0.25">
      <c r="J4740" s="192"/>
      <c r="K4740" s="192"/>
      <c r="L4740" s="192"/>
      <c r="M4740" s="192"/>
      <c r="N4740" s="192"/>
    </row>
    <row r="4741" spans="10:14" ht="15.95" customHeight="1" x14ac:dyDescent="0.25">
      <c r="J4741" s="192"/>
      <c r="K4741" s="192"/>
      <c r="L4741" s="192"/>
      <c r="M4741" s="192"/>
      <c r="N4741" s="192"/>
    </row>
    <row r="4742" spans="10:14" ht="15.95" customHeight="1" x14ac:dyDescent="0.25">
      <c r="J4742" s="192"/>
      <c r="K4742" s="192"/>
      <c r="L4742" s="192"/>
      <c r="M4742" s="192"/>
      <c r="N4742" s="192"/>
    </row>
    <row r="4743" spans="10:14" ht="15.95" customHeight="1" x14ac:dyDescent="0.25">
      <c r="J4743" s="192"/>
      <c r="K4743" s="192"/>
      <c r="L4743" s="192"/>
      <c r="M4743" s="192"/>
      <c r="N4743" s="192"/>
    </row>
    <row r="4744" spans="10:14" ht="15.95" customHeight="1" x14ac:dyDescent="0.25">
      <c r="J4744" s="192"/>
      <c r="K4744" s="192"/>
      <c r="L4744" s="192"/>
      <c r="M4744" s="192"/>
      <c r="N4744" s="192"/>
    </row>
    <row r="4745" spans="10:14" ht="15.95" customHeight="1" x14ac:dyDescent="0.25">
      <c r="J4745" s="192"/>
      <c r="K4745" s="192"/>
      <c r="L4745" s="192"/>
      <c r="M4745" s="192"/>
      <c r="N4745" s="192"/>
    </row>
    <row r="4746" spans="10:14" ht="15.95" customHeight="1" x14ac:dyDescent="0.25">
      <c r="J4746" s="192"/>
      <c r="K4746" s="192"/>
      <c r="L4746" s="192"/>
      <c r="M4746" s="192"/>
      <c r="N4746" s="192"/>
    </row>
    <row r="4747" spans="10:14" ht="15.95" customHeight="1" x14ac:dyDescent="0.25">
      <c r="J4747" s="192"/>
      <c r="K4747" s="192"/>
      <c r="L4747" s="192"/>
      <c r="M4747" s="192"/>
      <c r="N4747" s="192"/>
    </row>
    <row r="4748" spans="10:14" ht="15.95" customHeight="1" x14ac:dyDescent="0.25">
      <c r="J4748" s="192"/>
      <c r="K4748" s="192"/>
      <c r="L4748" s="192"/>
      <c r="M4748" s="192"/>
      <c r="N4748" s="192"/>
    </row>
    <row r="4749" spans="10:14" ht="15.95" customHeight="1" x14ac:dyDescent="0.25">
      <c r="J4749" s="192"/>
      <c r="K4749" s="192"/>
      <c r="L4749" s="192"/>
      <c r="M4749" s="192"/>
      <c r="N4749" s="192"/>
    </row>
    <row r="4750" spans="10:14" ht="15.95" customHeight="1" x14ac:dyDescent="0.25">
      <c r="J4750" s="192"/>
      <c r="K4750" s="192"/>
      <c r="L4750" s="192"/>
      <c r="M4750" s="192"/>
      <c r="N4750" s="192"/>
    </row>
    <row r="4751" spans="10:14" ht="15.95" customHeight="1" x14ac:dyDescent="0.25">
      <c r="J4751" s="192"/>
      <c r="K4751" s="192"/>
      <c r="L4751" s="192"/>
      <c r="M4751" s="192"/>
      <c r="N4751" s="192"/>
    </row>
    <row r="4752" spans="10:14" ht="15.95" customHeight="1" x14ac:dyDescent="0.25">
      <c r="J4752" s="192"/>
      <c r="K4752" s="192"/>
      <c r="L4752" s="192"/>
      <c r="M4752" s="192"/>
      <c r="N4752" s="192"/>
    </row>
    <row r="4753" spans="10:14" ht="15.95" customHeight="1" x14ac:dyDescent="0.25">
      <c r="J4753" s="192"/>
      <c r="K4753" s="192"/>
      <c r="L4753" s="192"/>
      <c r="M4753" s="192"/>
      <c r="N4753" s="192"/>
    </row>
    <row r="4754" spans="10:14" ht="15.95" customHeight="1" x14ac:dyDescent="0.25">
      <c r="J4754" s="192"/>
      <c r="K4754" s="192"/>
      <c r="L4754" s="192"/>
      <c r="M4754" s="192"/>
      <c r="N4754" s="192"/>
    </row>
    <row r="4755" spans="10:14" ht="15.95" customHeight="1" x14ac:dyDescent="0.25">
      <c r="J4755" s="192"/>
      <c r="K4755" s="192"/>
      <c r="L4755" s="192"/>
      <c r="M4755" s="192"/>
      <c r="N4755" s="192"/>
    </row>
    <row r="4756" spans="10:14" ht="15.95" customHeight="1" x14ac:dyDescent="0.25">
      <c r="J4756" s="192"/>
      <c r="K4756" s="192"/>
      <c r="L4756" s="192"/>
      <c r="M4756" s="192"/>
      <c r="N4756" s="192"/>
    </row>
    <row r="4757" spans="10:14" ht="15.95" customHeight="1" x14ac:dyDescent="0.25">
      <c r="J4757" s="192"/>
      <c r="K4757" s="192"/>
      <c r="L4757" s="192"/>
      <c r="M4757" s="192"/>
      <c r="N4757" s="192"/>
    </row>
    <row r="4758" spans="10:14" ht="15.95" customHeight="1" x14ac:dyDescent="0.25">
      <c r="J4758" s="192"/>
      <c r="K4758" s="192"/>
      <c r="L4758" s="192"/>
      <c r="M4758" s="192"/>
      <c r="N4758" s="192"/>
    </row>
    <row r="4759" spans="10:14" ht="15.95" customHeight="1" x14ac:dyDescent="0.25">
      <c r="J4759" s="192"/>
      <c r="K4759" s="192"/>
      <c r="L4759" s="192"/>
      <c r="M4759" s="192"/>
      <c r="N4759" s="192"/>
    </row>
    <row r="4760" spans="10:14" ht="15.95" customHeight="1" x14ac:dyDescent="0.25">
      <c r="J4760" s="192"/>
      <c r="K4760" s="192"/>
      <c r="L4760" s="192"/>
      <c r="M4760" s="192"/>
      <c r="N4760" s="192"/>
    </row>
    <row r="4761" spans="10:14" ht="15.95" customHeight="1" x14ac:dyDescent="0.25">
      <c r="J4761" s="192"/>
      <c r="K4761" s="192"/>
      <c r="L4761" s="192"/>
      <c r="M4761" s="192"/>
      <c r="N4761" s="192"/>
    </row>
    <row r="4762" spans="10:14" ht="15.95" customHeight="1" x14ac:dyDescent="0.25">
      <c r="J4762" s="192"/>
      <c r="K4762" s="192"/>
      <c r="L4762" s="192"/>
      <c r="M4762" s="192"/>
      <c r="N4762" s="192"/>
    </row>
    <row r="4763" spans="10:14" ht="15.95" customHeight="1" x14ac:dyDescent="0.25">
      <c r="J4763" s="192"/>
      <c r="K4763" s="192"/>
      <c r="L4763" s="192"/>
      <c r="M4763" s="192"/>
      <c r="N4763" s="192"/>
    </row>
    <row r="4764" spans="10:14" ht="15.95" customHeight="1" x14ac:dyDescent="0.25">
      <c r="J4764" s="192"/>
      <c r="K4764" s="192"/>
      <c r="L4764" s="192"/>
      <c r="M4764" s="192"/>
      <c r="N4764" s="192"/>
    </row>
    <row r="4765" spans="10:14" ht="15.95" customHeight="1" x14ac:dyDescent="0.25">
      <c r="J4765" s="192"/>
      <c r="K4765" s="192"/>
      <c r="L4765" s="192"/>
      <c r="M4765" s="192"/>
      <c r="N4765" s="192"/>
    </row>
    <row r="4766" spans="10:14" ht="15.95" customHeight="1" x14ac:dyDescent="0.25">
      <c r="J4766" s="192"/>
      <c r="K4766" s="192"/>
      <c r="L4766" s="192"/>
      <c r="M4766" s="192"/>
      <c r="N4766" s="192"/>
    </row>
    <row r="4767" spans="10:14" ht="15.95" customHeight="1" x14ac:dyDescent="0.25">
      <c r="J4767" s="192"/>
      <c r="K4767" s="192"/>
      <c r="L4767" s="192"/>
      <c r="M4767" s="192"/>
      <c r="N4767" s="192"/>
    </row>
    <row r="4768" spans="10:14" ht="15.95" customHeight="1" x14ac:dyDescent="0.25">
      <c r="J4768" s="192"/>
      <c r="K4768" s="192"/>
      <c r="L4768" s="192"/>
      <c r="M4768" s="192"/>
      <c r="N4768" s="192"/>
    </row>
    <row r="4769" spans="10:14" ht="15.95" customHeight="1" x14ac:dyDescent="0.25">
      <c r="J4769" s="192"/>
      <c r="K4769" s="192"/>
      <c r="L4769" s="192"/>
      <c r="M4769" s="192"/>
      <c r="N4769" s="192"/>
    </row>
    <row r="4770" spans="10:14" ht="15.95" customHeight="1" x14ac:dyDescent="0.25">
      <c r="J4770" s="192"/>
      <c r="K4770" s="192"/>
      <c r="L4770" s="192"/>
      <c r="M4770" s="192"/>
      <c r="N4770" s="192"/>
    </row>
    <row r="4771" spans="10:14" ht="15.95" customHeight="1" x14ac:dyDescent="0.25">
      <c r="J4771" s="192"/>
      <c r="K4771" s="192"/>
      <c r="L4771" s="192"/>
      <c r="M4771" s="192"/>
      <c r="N4771" s="192"/>
    </row>
    <row r="4772" spans="10:14" ht="15.95" customHeight="1" x14ac:dyDescent="0.25">
      <c r="J4772" s="192"/>
      <c r="K4772" s="192"/>
      <c r="L4772" s="192"/>
      <c r="M4772" s="192"/>
      <c r="N4772" s="192"/>
    </row>
    <row r="4773" spans="10:14" ht="15.95" customHeight="1" x14ac:dyDescent="0.25">
      <c r="J4773" s="192"/>
      <c r="K4773" s="192"/>
      <c r="L4773" s="192"/>
      <c r="M4773" s="192"/>
      <c r="N4773" s="192"/>
    </row>
    <row r="4774" spans="10:14" ht="15.95" customHeight="1" x14ac:dyDescent="0.25">
      <c r="J4774" s="192"/>
      <c r="K4774" s="192"/>
      <c r="L4774" s="192"/>
      <c r="M4774" s="192"/>
      <c r="N4774" s="192"/>
    </row>
    <row r="4775" spans="10:14" ht="15.95" customHeight="1" x14ac:dyDescent="0.25">
      <c r="J4775" s="192"/>
      <c r="K4775" s="192"/>
      <c r="L4775" s="192"/>
      <c r="M4775" s="192"/>
      <c r="N4775" s="192"/>
    </row>
    <row r="4776" spans="10:14" ht="15.95" customHeight="1" x14ac:dyDescent="0.25">
      <c r="J4776" s="192"/>
      <c r="K4776" s="192"/>
      <c r="L4776" s="192"/>
      <c r="M4776" s="192"/>
      <c r="N4776" s="192"/>
    </row>
    <row r="4777" spans="10:14" ht="15.95" customHeight="1" x14ac:dyDescent="0.25">
      <c r="J4777" s="192"/>
      <c r="K4777" s="192"/>
      <c r="L4777" s="192"/>
      <c r="M4777" s="192"/>
      <c r="N4777" s="192"/>
    </row>
    <row r="4778" spans="10:14" ht="15.95" customHeight="1" x14ac:dyDescent="0.25">
      <c r="J4778" s="192"/>
      <c r="K4778" s="192"/>
      <c r="L4778" s="192"/>
      <c r="M4778" s="192"/>
      <c r="N4778" s="192"/>
    </row>
    <row r="4779" spans="10:14" ht="15.95" customHeight="1" x14ac:dyDescent="0.25">
      <c r="J4779" s="192"/>
      <c r="K4779" s="192"/>
      <c r="L4779" s="192"/>
      <c r="M4779" s="192"/>
      <c r="N4779" s="192"/>
    </row>
    <row r="4780" spans="10:14" ht="15.95" customHeight="1" x14ac:dyDescent="0.25">
      <c r="J4780" s="192"/>
      <c r="K4780" s="192"/>
      <c r="L4780" s="192"/>
      <c r="M4780" s="192"/>
      <c r="N4780" s="192"/>
    </row>
    <row r="4781" spans="10:14" ht="15.95" customHeight="1" x14ac:dyDescent="0.25">
      <c r="J4781" s="192"/>
      <c r="K4781" s="192"/>
      <c r="L4781" s="192"/>
      <c r="M4781" s="192"/>
      <c r="N4781" s="192"/>
    </row>
    <row r="4782" spans="10:14" ht="15.95" customHeight="1" x14ac:dyDescent="0.25">
      <c r="J4782" s="192"/>
      <c r="K4782" s="192"/>
      <c r="L4782" s="192"/>
      <c r="M4782" s="192"/>
      <c r="N4782" s="192"/>
    </row>
    <row r="4783" spans="10:14" ht="15.95" customHeight="1" x14ac:dyDescent="0.25">
      <c r="J4783" s="192"/>
      <c r="K4783" s="192"/>
      <c r="L4783" s="192"/>
      <c r="M4783" s="192"/>
      <c r="N4783" s="192"/>
    </row>
    <row r="4784" spans="10:14" ht="15.95" customHeight="1" x14ac:dyDescent="0.25">
      <c r="J4784" s="192"/>
      <c r="K4784" s="192"/>
      <c r="L4784" s="192"/>
      <c r="M4784" s="192"/>
      <c r="N4784" s="192"/>
    </row>
    <row r="4785" spans="10:14" ht="15.95" customHeight="1" x14ac:dyDescent="0.25">
      <c r="J4785" s="192"/>
      <c r="K4785" s="192"/>
      <c r="L4785" s="192"/>
      <c r="M4785" s="192"/>
      <c r="N4785" s="192"/>
    </row>
    <row r="4786" spans="10:14" ht="15.95" customHeight="1" x14ac:dyDescent="0.25">
      <c r="J4786" s="192"/>
      <c r="K4786" s="192"/>
      <c r="L4786" s="192"/>
      <c r="M4786" s="192"/>
      <c r="N4786" s="192"/>
    </row>
    <row r="4787" spans="10:14" ht="15.95" customHeight="1" x14ac:dyDescent="0.25">
      <c r="J4787" s="192"/>
      <c r="K4787" s="192"/>
      <c r="L4787" s="192"/>
      <c r="M4787" s="192"/>
      <c r="N4787" s="192"/>
    </row>
    <row r="4788" spans="10:14" ht="15.95" customHeight="1" x14ac:dyDescent="0.25">
      <c r="J4788" s="192"/>
      <c r="K4788" s="192"/>
      <c r="L4788" s="192"/>
      <c r="M4788" s="192"/>
      <c r="N4788" s="192"/>
    </row>
    <row r="4789" spans="10:14" ht="15.95" customHeight="1" x14ac:dyDescent="0.25">
      <c r="J4789" s="192"/>
      <c r="K4789" s="192"/>
      <c r="L4789" s="192"/>
      <c r="M4789" s="192"/>
      <c r="N4789" s="192"/>
    </row>
    <row r="4790" spans="10:14" ht="15.95" customHeight="1" x14ac:dyDescent="0.25">
      <c r="J4790" s="192"/>
      <c r="K4790" s="192"/>
      <c r="L4790" s="192"/>
      <c r="M4790" s="192"/>
      <c r="N4790" s="192"/>
    </row>
    <row r="4791" spans="10:14" ht="15.95" customHeight="1" x14ac:dyDescent="0.25">
      <c r="J4791" s="192"/>
      <c r="K4791" s="192"/>
      <c r="L4791" s="192"/>
      <c r="M4791" s="192"/>
      <c r="N4791" s="192"/>
    </row>
    <row r="4792" spans="10:14" ht="15.95" customHeight="1" x14ac:dyDescent="0.25">
      <c r="J4792" s="192"/>
      <c r="K4792" s="192"/>
      <c r="L4792" s="192"/>
      <c r="M4792" s="192"/>
      <c r="N4792" s="192"/>
    </row>
    <row r="4793" spans="10:14" ht="15.95" customHeight="1" x14ac:dyDescent="0.25">
      <c r="J4793" s="192"/>
      <c r="K4793" s="192"/>
      <c r="L4793" s="192"/>
      <c r="M4793" s="192"/>
      <c r="N4793" s="192"/>
    </row>
    <row r="4794" spans="10:14" ht="15.95" customHeight="1" x14ac:dyDescent="0.25">
      <c r="J4794" s="192"/>
      <c r="K4794" s="192"/>
      <c r="L4794" s="192"/>
      <c r="M4794" s="192"/>
      <c r="N4794" s="192"/>
    </row>
    <row r="4795" spans="10:14" ht="15.95" customHeight="1" x14ac:dyDescent="0.25">
      <c r="J4795" s="192"/>
      <c r="K4795" s="192"/>
      <c r="L4795" s="192"/>
      <c r="M4795" s="192"/>
      <c r="N4795" s="192"/>
    </row>
    <row r="4796" spans="10:14" ht="15.95" customHeight="1" x14ac:dyDescent="0.25">
      <c r="J4796" s="192"/>
      <c r="K4796" s="192"/>
      <c r="L4796" s="192"/>
      <c r="M4796" s="192"/>
      <c r="N4796" s="192"/>
    </row>
    <row r="4797" spans="10:14" ht="15.95" customHeight="1" x14ac:dyDescent="0.25">
      <c r="J4797" s="192"/>
      <c r="K4797" s="192"/>
      <c r="L4797" s="192"/>
      <c r="M4797" s="192"/>
      <c r="N4797" s="192"/>
    </row>
    <row r="4798" spans="10:14" ht="15.95" customHeight="1" x14ac:dyDescent="0.25">
      <c r="J4798" s="192"/>
      <c r="K4798" s="192"/>
      <c r="L4798" s="192"/>
      <c r="M4798" s="192"/>
      <c r="N4798" s="192"/>
    </row>
    <row r="4799" spans="10:14" ht="15.95" customHeight="1" x14ac:dyDescent="0.25">
      <c r="J4799" s="192"/>
      <c r="K4799" s="192"/>
      <c r="L4799" s="192"/>
      <c r="M4799" s="192"/>
      <c r="N4799" s="192"/>
    </row>
    <row r="4800" spans="10:14" ht="15.95" customHeight="1" x14ac:dyDescent="0.25">
      <c r="J4800" s="192"/>
      <c r="K4800" s="192"/>
      <c r="L4800" s="192"/>
      <c r="M4800" s="192"/>
      <c r="N4800" s="192"/>
    </row>
    <row r="4801" spans="10:14" ht="15.95" customHeight="1" x14ac:dyDescent="0.25">
      <c r="J4801" s="192"/>
      <c r="K4801" s="192"/>
      <c r="L4801" s="192"/>
      <c r="M4801" s="192"/>
      <c r="N4801" s="192"/>
    </row>
    <row r="4802" spans="10:14" ht="15.95" customHeight="1" x14ac:dyDescent="0.25">
      <c r="J4802" s="192"/>
      <c r="K4802" s="192"/>
      <c r="L4802" s="192"/>
      <c r="M4802" s="192"/>
      <c r="N4802" s="192"/>
    </row>
    <row r="4803" spans="10:14" ht="15.95" customHeight="1" x14ac:dyDescent="0.25">
      <c r="J4803" s="192"/>
      <c r="K4803" s="192"/>
      <c r="L4803" s="192"/>
      <c r="M4803" s="192"/>
      <c r="N4803" s="192"/>
    </row>
    <row r="4804" spans="10:14" ht="15.95" customHeight="1" x14ac:dyDescent="0.25">
      <c r="J4804" s="192"/>
      <c r="K4804" s="192"/>
      <c r="L4804" s="192"/>
      <c r="M4804" s="192"/>
      <c r="N4804" s="192"/>
    </row>
    <row r="4805" spans="10:14" ht="15.95" customHeight="1" x14ac:dyDescent="0.25">
      <c r="J4805" s="192"/>
      <c r="K4805" s="192"/>
      <c r="L4805" s="192"/>
      <c r="M4805" s="192"/>
      <c r="N4805" s="192"/>
    </row>
    <row r="4806" spans="10:14" ht="15.95" customHeight="1" x14ac:dyDescent="0.25">
      <c r="J4806" s="192"/>
      <c r="K4806" s="192"/>
      <c r="L4806" s="192"/>
      <c r="M4806" s="192"/>
      <c r="N4806" s="192"/>
    </row>
    <row r="4807" spans="10:14" ht="15.95" customHeight="1" x14ac:dyDescent="0.25">
      <c r="J4807" s="192"/>
      <c r="K4807" s="192"/>
      <c r="L4807" s="192"/>
      <c r="M4807" s="192"/>
      <c r="N4807" s="192"/>
    </row>
    <row r="4808" spans="10:14" ht="15.95" customHeight="1" x14ac:dyDescent="0.25">
      <c r="J4808" s="192"/>
      <c r="K4808" s="192"/>
      <c r="L4808" s="192"/>
      <c r="M4808" s="192"/>
      <c r="N4808" s="192"/>
    </row>
    <row r="4809" spans="10:14" ht="15.95" customHeight="1" x14ac:dyDescent="0.25">
      <c r="J4809" s="192"/>
      <c r="K4809" s="192"/>
      <c r="L4809" s="192"/>
      <c r="M4809" s="192"/>
      <c r="N4809" s="192"/>
    </row>
    <row r="4810" spans="10:14" ht="15.95" customHeight="1" x14ac:dyDescent="0.25">
      <c r="J4810" s="192"/>
      <c r="K4810" s="192"/>
      <c r="L4810" s="192"/>
      <c r="M4810" s="192"/>
      <c r="N4810" s="192"/>
    </row>
    <row r="4811" spans="10:14" ht="15.95" customHeight="1" x14ac:dyDescent="0.25">
      <c r="J4811" s="192"/>
      <c r="K4811" s="192"/>
      <c r="L4811" s="192"/>
      <c r="M4811" s="192"/>
      <c r="N4811" s="192"/>
    </row>
    <row r="4812" spans="10:14" ht="15.95" customHeight="1" x14ac:dyDescent="0.25">
      <c r="J4812" s="192"/>
      <c r="K4812" s="192"/>
      <c r="L4812" s="192"/>
      <c r="M4812" s="192"/>
      <c r="N4812" s="192"/>
    </row>
    <row r="4813" spans="10:14" ht="15.95" customHeight="1" x14ac:dyDescent="0.25">
      <c r="J4813" s="192"/>
      <c r="K4813" s="192"/>
      <c r="L4813" s="192"/>
      <c r="M4813" s="192"/>
      <c r="N4813" s="192"/>
    </row>
    <row r="4814" spans="10:14" ht="15.95" customHeight="1" x14ac:dyDescent="0.25">
      <c r="J4814" s="192"/>
      <c r="K4814" s="192"/>
      <c r="L4814" s="192"/>
      <c r="M4814" s="192"/>
      <c r="N4814" s="192"/>
    </row>
    <row r="4815" spans="10:14" ht="15.95" customHeight="1" x14ac:dyDescent="0.25">
      <c r="J4815" s="192"/>
      <c r="K4815" s="192"/>
      <c r="L4815" s="192"/>
      <c r="M4815" s="192"/>
      <c r="N4815" s="192"/>
    </row>
    <row r="4816" spans="10:14" ht="15.95" customHeight="1" x14ac:dyDescent="0.25">
      <c r="J4816" s="192"/>
      <c r="K4816" s="192"/>
      <c r="L4816" s="192"/>
      <c r="M4816" s="192"/>
      <c r="N4816" s="192"/>
    </row>
    <row r="4817" spans="10:14" ht="15.95" customHeight="1" x14ac:dyDescent="0.25">
      <c r="J4817" s="192"/>
      <c r="K4817" s="192"/>
      <c r="L4817" s="192"/>
      <c r="M4817" s="192"/>
      <c r="N4817" s="192"/>
    </row>
    <row r="4818" spans="10:14" ht="15.95" customHeight="1" x14ac:dyDescent="0.25">
      <c r="J4818" s="192"/>
      <c r="K4818" s="192"/>
      <c r="L4818" s="192"/>
      <c r="M4818" s="192"/>
      <c r="N4818" s="192"/>
    </row>
    <row r="4819" spans="10:14" ht="15.95" customHeight="1" x14ac:dyDescent="0.25">
      <c r="J4819" s="192"/>
      <c r="K4819" s="192"/>
      <c r="L4819" s="192"/>
      <c r="M4819" s="192"/>
      <c r="N4819" s="192"/>
    </row>
    <row r="4820" spans="10:14" ht="15.95" customHeight="1" x14ac:dyDescent="0.25">
      <c r="J4820" s="192"/>
      <c r="K4820" s="192"/>
      <c r="L4820" s="192"/>
      <c r="M4820" s="192"/>
      <c r="N4820" s="192"/>
    </row>
    <row r="4821" spans="10:14" ht="15.95" customHeight="1" x14ac:dyDescent="0.25">
      <c r="J4821" s="192"/>
      <c r="K4821" s="192"/>
      <c r="L4821" s="192"/>
      <c r="M4821" s="192"/>
      <c r="N4821" s="192"/>
    </row>
    <row r="4822" spans="10:14" ht="15.95" customHeight="1" x14ac:dyDescent="0.25">
      <c r="J4822" s="192"/>
      <c r="K4822" s="192"/>
      <c r="L4822" s="192"/>
      <c r="M4822" s="192"/>
      <c r="N4822" s="192"/>
    </row>
    <row r="4823" spans="10:14" ht="15.95" customHeight="1" x14ac:dyDescent="0.25">
      <c r="J4823" s="192"/>
      <c r="K4823" s="192"/>
      <c r="L4823" s="192"/>
      <c r="M4823" s="192"/>
      <c r="N4823" s="192"/>
    </row>
    <row r="4824" spans="10:14" ht="15.95" customHeight="1" x14ac:dyDescent="0.25">
      <c r="J4824" s="192"/>
      <c r="K4824" s="192"/>
      <c r="L4824" s="192"/>
      <c r="M4824" s="192"/>
      <c r="N4824" s="192"/>
    </row>
    <row r="4825" spans="10:14" ht="15.95" customHeight="1" x14ac:dyDescent="0.25">
      <c r="J4825" s="192"/>
      <c r="K4825" s="192"/>
      <c r="L4825" s="192"/>
      <c r="M4825" s="192"/>
      <c r="N4825" s="192"/>
    </row>
    <row r="4826" spans="10:14" ht="15.95" customHeight="1" x14ac:dyDescent="0.25">
      <c r="J4826" s="192"/>
      <c r="K4826" s="192"/>
      <c r="L4826" s="192"/>
      <c r="M4826" s="192"/>
      <c r="N4826" s="192"/>
    </row>
    <row r="4827" spans="10:14" ht="15.95" customHeight="1" x14ac:dyDescent="0.25">
      <c r="J4827" s="192"/>
      <c r="K4827" s="192"/>
      <c r="L4827" s="192"/>
      <c r="M4827" s="192"/>
      <c r="N4827" s="192"/>
    </row>
    <row r="4828" spans="10:14" ht="15.95" customHeight="1" x14ac:dyDescent="0.25">
      <c r="J4828" s="192"/>
      <c r="K4828" s="192"/>
      <c r="L4828" s="192"/>
      <c r="M4828" s="192"/>
      <c r="N4828" s="192"/>
    </row>
    <row r="4829" spans="10:14" ht="15.95" customHeight="1" x14ac:dyDescent="0.25"/>
    <row r="4830" spans="10:14" ht="15.95" customHeight="1" x14ac:dyDescent="0.25"/>
    <row r="4831" spans="10:14" ht="32.1" customHeight="1" x14ac:dyDescent="0.25">
      <c r="J4831" s="185" t="str">
        <f>ComparisonData!ZN2</f>
        <v>SECTION E: ABOUT YOU</v>
      </c>
    </row>
    <row r="4832" spans="10:14" ht="24" customHeight="1" x14ac:dyDescent="0.25">
      <c r="J4832" s="185" t="str">
        <f>ComparisonData!ZN3</f>
        <v>17. Your age?</v>
      </c>
    </row>
    <row r="4833" spans="9:10" ht="24" customHeight="1" x14ac:dyDescent="0.25">
      <c r="J4833" s="185" t="str">
        <f>ComparisonData!ZN4</f>
        <v>Average age</v>
      </c>
    </row>
    <row r="4834" spans="9:10" ht="15.95" customHeight="1" x14ac:dyDescent="0.25">
      <c r="I4834" s="188" t="str" cm="1">
        <f t="array" aca="1" ref="I4834" ca="1">Average_age_lbl</f>
        <v>TOTAL</v>
      </c>
      <c r="J4834" s="195" cm="1">
        <f t="array" aca="1" ref="J4834" ca="1">Average_age_avg</f>
        <v>56.569119999999998</v>
      </c>
    </row>
    <row r="4835" spans="9:10" ht="15.95" customHeight="1" x14ac:dyDescent="0.25">
      <c r="J4835" s="195"/>
    </row>
    <row r="4836" spans="9:10" ht="15.95" customHeight="1" x14ac:dyDescent="0.25">
      <c r="J4836" s="195"/>
    </row>
    <row r="4837" spans="9:10" ht="15.95" customHeight="1" x14ac:dyDescent="0.25">
      <c r="J4837" s="195"/>
    </row>
    <row r="4838" spans="9:10" ht="15.95" customHeight="1" x14ac:dyDescent="0.25">
      <c r="J4838" s="195"/>
    </row>
    <row r="4839" spans="9:10" ht="15.95" customHeight="1" x14ac:dyDescent="0.25">
      <c r="J4839" s="195"/>
    </row>
    <row r="4840" spans="9:10" ht="15.95" customHeight="1" x14ac:dyDescent="0.25">
      <c r="J4840" s="195"/>
    </row>
    <row r="4841" spans="9:10" ht="15.95" customHeight="1" x14ac:dyDescent="0.25">
      <c r="J4841" s="195"/>
    </row>
    <row r="4842" spans="9:10" ht="15.95" customHeight="1" x14ac:dyDescent="0.25">
      <c r="J4842" s="195"/>
    </row>
    <row r="4843" spans="9:10" ht="15.95" customHeight="1" x14ac:dyDescent="0.25">
      <c r="J4843" s="195"/>
    </row>
    <row r="4844" spans="9:10" ht="15.95" customHeight="1" x14ac:dyDescent="0.25">
      <c r="J4844" s="195"/>
    </row>
    <row r="4845" spans="9:10" ht="15.95" customHeight="1" x14ac:dyDescent="0.25">
      <c r="J4845" s="195"/>
    </row>
    <row r="4846" spans="9:10" ht="15.95" customHeight="1" x14ac:dyDescent="0.25">
      <c r="J4846" s="195"/>
    </row>
    <row r="4847" spans="9:10" ht="15.95" customHeight="1" x14ac:dyDescent="0.25">
      <c r="J4847" s="195"/>
    </row>
    <row r="4848" spans="9:10" ht="15.95" customHeight="1" x14ac:dyDescent="0.25">
      <c r="J4848" s="195"/>
    </row>
    <row r="4849" spans="10:10" ht="15.95" customHeight="1" x14ac:dyDescent="0.25">
      <c r="J4849" s="195"/>
    </row>
    <row r="4850" spans="10:10" ht="15.95" customHeight="1" x14ac:dyDescent="0.25">
      <c r="J4850" s="195"/>
    </row>
    <row r="4851" spans="10:10" ht="15.95" customHeight="1" x14ac:dyDescent="0.25">
      <c r="J4851" s="195"/>
    </row>
    <row r="4852" spans="10:10" ht="15.95" customHeight="1" x14ac:dyDescent="0.25">
      <c r="J4852" s="195"/>
    </row>
    <row r="4853" spans="10:10" ht="15.95" customHeight="1" x14ac:dyDescent="0.25">
      <c r="J4853" s="195"/>
    </row>
    <row r="4854" spans="10:10" ht="15.95" customHeight="1" x14ac:dyDescent="0.25">
      <c r="J4854" s="195"/>
    </row>
    <row r="4855" spans="10:10" ht="15.95" customHeight="1" x14ac:dyDescent="0.25">
      <c r="J4855" s="195"/>
    </row>
    <row r="4856" spans="10:10" ht="15.95" customHeight="1" x14ac:dyDescent="0.25">
      <c r="J4856" s="195"/>
    </row>
    <row r="4857" spans="10:10" ht="15.95" customHeight="1" x14ac:dyDescent="0.25">
      <c r="J4857" s="195"/>
    </row>
    <row r="4858" spans="10:10" ht="15.95" customHeight="1" x14ac:dyDescent="0.25">
      <c r="J4858" s="195"/>
    </row>
    <row r="4859" spans="10:10" ht="15.95" customHeight="1" x14ac:dyDescent="0.25">
      <c r="J4859" s="195"/>
    </row>
    <row r="4860" spans="10:10" ht="15.95" customHeight="1" x14ac:dyDescent="0.25">
      <c r="J4860" s="195"/>
    </row>
    <row r="4861" spans="10:10" ht="15.95" customHeight="1" x14ac:dyDescent="0.25">
      <c r="J4861" s="195"/>
    </row>
    <row r="4862" spans="10:10" ht="15.95" customHeight="1" x14ac:dyDescent="0.25">
      <c r="J4862" s="195"/>
    </row>
    <row r="4863" spans="10:10" ht="15.95" customHeight="1" x14ac:dyDescent="0.25">
      <c r="J4863" s="195"/>
    </row>
    <row r="4864" spans="10:10" ht="15.95" customHeight="1" x14ac:dyDescent="0.25">
      <c r="J4864" s="195"/>
    </row>
    <row r="4865" spans="10:10" ht="15.95" customHeight="1" x14ac:dyDescent="0.25">
      <c r="J4865" s="195"/>
    </row>
    <row r="4866" spans="10:10" ht="15.95" customHeight="1" x14ac:dyDescent="0.25">
      <c r="J4866" s="195"/>
    </row>
    <row r="4867" spans="10:10" ht="15.95" customHeight="1" x14ac:dyDescent="0.25">
      <c r="J4867" s="195"/>
    </row>
    <row r="4868" spans="10:10" ht="15.95" customHeight="1" x14ac:dyDescent="0.25">
      <c r="J4868" s="195"/>
    </row>
    <row r="4869" spans="10:10" ht="15.95" customHeight="1" x14ac:dyDescent="0.25">
      <c r="J4869" s="195"/>
    </row>
    <row r="4870" spans="10:10" ht="15.95" customHeight="1" x14ac:dyDescent="0.25">
      <c r="J4870" s="195"/>
    </row>
    <row r="4871" spans="10:10" ht="15.95" customHeight="1" x14ac:dyDescent="0.25">
      <c r="J4871" s="195"/>
    </row>
    <row r="4872" spans="10:10" ht="15.95" customHeight="1" x14ac:dyDescent="0.25">
      <c r="J4872" s="195"/>
    </row>
    <row r="4873" spans="10:10" ht="15.95" customHeight="1" x14ac:dyDescent="0.25">
      <c r="J4873" s="195"/>
    </row>
    <row r="4874" spans="10:10" ht="15.95" customHeight="1" x14ac:dyDescent="0.25">
      <c r="J4874" s="195"/>
    </row>
    <row r="4875" spans="10:10" ht="15.95" customHeight="1" x14ac:dyDescent="0.25">
      <c r="J4875" s="195"/>
    </row>
    <row r="4876" spans="10:10" ht="15.95" customHeight="1" x14ac:dyDescent="0.25">
      <c r="J4876" s="195"/>
    </row>
    <row r="4877" spans="10:10" ht="15.95" customHeight="1" x14ac:dyDescent="0.25">
      <c r="J4877" s="195"/>
    </row>
    <row r="4878" spans="10:10" ht="15.95" customHeight="1" x14ac:dyDescent="0.25">
      <c r="J4878" s="195"/>
    </row>
    <row r="4879" spans="10:10" ht="15.95" customHeight="1" x14ac:dyDescent="0.25">
      <c r="J4879" s="195"/>
    </row>
    <row r="4880" spans="10:10" ht="15.95" customHeight="1" x14ac:dyDescent="0.25">
      <c r="J4880" s="195"/>
    </row>
    <row r="4881" spans="10:10" ht="15.95" customHeight="1" x14ac:dyDescent="0.25">
      <c r="J4881" s="195"/>
    </row>
    <row r="4882" spans="10:10" ht="15.95" customHeight="1" x14ac:dyDescent="0.25">
      <c r="J4882" s="195"/>
    </row>
    <row r="4883" spans="10:10" ht="15.95" customHeight="1" x14ac:dyDescent="0.25">
      <c r="J4883" s="195"/>
    </row>
    <row r="4884" spans="10:10" ht="15.95" customHeight="1" x14ac:dyDescent="0.25">
      <c r="J4884" s="195"/>
    </row>
    <row r="4885" spans="10:10" ht="15.95" customHeight="1" x14ac:dyDescent="0.25">
      <c r="J4885" s="195"/>
    </row>
    <row r="4886" spans="10:10" ht="15.95" customHeight="1" x14ac:dyDescent="0.25">
      <c r="J4886" s="195"/>
    </row>
    <row r="4887" spans="10:10" ht="15.95" customHeight="1" x14ac:dyDescent="0.25">
      <c r="J4887" s="195"/>
    </row>
    <row r="4888" spans="10:10" ht="15.95" customHeight="1" x14ac:dyDescent="0.25">
      <c r="J4888" s="195"/>
    </row>
    <row r="4889" spans="10:10" ht="15.95" customHeight="1" x14ac:dyDescent="0.25">
      <c r="J4889" s="195"/>
    </row>
    <row r="4890" spans="10:10" ht="15.95" customHeight="1" x14ac:dyDescent="0.25">
      <c r="J4890" s="195"/>
    </row>
    <row r="4891" spans="10:10" ht="15.95" customHeight="1" x14ac:dyDescent="0.25">
      <c r="J4891" s="195"/>
    </row>
    <row r="4892" spans="10:10" ht="15.95" customHeight="1" x14ac:dyDescent="0.25">
      <c r="J4892" s="195"/>
    </row>
    <row r="4893" spans="10:10" ht="15.95" customHeight="1" x14ac:dyDescent="0.25">
      <c r="J4893" s="195"/>
    </row>
    <row r="4894" spans="10:10" ht="15.95" customHeight="1" x14ac:dyDescent="0.25">
      <c r="J4894" s="195"/>
    </row>
    <row r="4895" spans="10:10" ht="15.95" customHeight="1" x14ac:dyDescent="0.25">
      <c r="J4895" s="195"/>
    </row>
    <row r="4896" spans="10:10" ht="15.95" customHeight="1" x14ac:dyDescent="0.25">
      <c r="J4896" s="195"/>
    </row>
    <row r="4897" spans="10:10" ht="15.95" customHeight="1" x14ac:dyDescent="0.25">
      <c r="J4897" s="195"/>
    </row>
    <row r="4898" spans="10:10" ht="15.95" customHeight="1" x14ac:dyDescent="0.25">
      <c r="J4898" s="195"/>
    </row>
    <row r="4899" spans="10:10" ht="15.95" customHeight="1" x14ac:dyDescent="0.25">
      <c r="J4899" s="195"/>
    </row>
    <row r="4900" spans="10:10" ht="15.95" customHeight="1" x14ac:dyDescent="0.25">
      <c r="J4900" s="195"/>
    </row>
    <row r="4901" spans="10:10" ht="15.95" customHeight="1" x14ac:dyDescent="0.25">
      <c r="J4901" s="195"/>
    </row>
    <row r="4902" spans="10:10" ht="15.95" customHeight="1" x14ac:dyDescent="0.25">
      <c r="J4902" s="195"/>
    </row>
    <row r="4903" spans="10:10" ht="15.95" customHeight="1" x14ac:dyDescent="0.25">
      <c r="J4903" s="195"/>
    </row>
    <row r="4904" spans="10:10" ht="15.95" customHeight="1" x14ac:dyDescent="0.25">
      <c r="J4904" s="195"/>
    </row>
    <row r="4905" spans="10:10" ht="15.95" customHeight="1" x14ac:dyDescent="0.25">
      <c r="J4905" s="195"/>
    </row>
    <row r="4906" spans="10:10" ht="15.95" customHeight="1" x14ac:dyDescent="0.25">
      <c r="J4906" s="195"/>
    </row>
    <row r="4907" spans="10:10" ht="15.95" customHeight="1" x14ac:dyDescent="0.25">
      <c r="J4907" s="195"/>
    </row>
    <row r="4908" spans="10:10" ht="15.95" customHeight="1" x14ac:dyDescent="0.25">
      <c r="J4908" s="195"/>
    </row>
    <row r="4909" spans="10:10" ht="15.95" customHeight="1" x14ac:dyDescent="0.25">
      <c r="J4909" s="195"/>
    </row>
    <row r="4910" spans="10:10" ht="15.95" customHeight="1" x14ac:dyDescent="0.25">
      <c r="J4910" s="195"/>
    </row>
    <row r="4911" spans="10:10" ht="15.95" customHeight="1" x14ac:dyDescent="0.25">
      <c r="J4911" s="195"/>
    </row>
    <row r="4912" spans="10:10" ht="15.95" customHeight="1" x14ac:dyDescent="0.25">
      <c r="J4912" s="195"/>
    </row>
    <row r="4913" spans="10:10" ht="15.95" customHeight="1" x14ac:dyDescent="0.25">
      <c r="J4913" s="195"/>
    </row>
    <row r="4914" spans="10:10" ht="15.95" customHeight="1" x14ac:dyDescent="0.25">
      <c r="J4914" s="195"/>
    </row>
    <row r="4915" spans="10:10" ht="15.95" customHeight="1" x14ac:dyDescent="0.25">
      <c r="J4915" s="195"/>
    </row>
    <row r="4916" spans="10:10" ht="15.95" customHeight="1" x14ac:dyDescent="0.25">
      <c r="J4916" s="195"/>
    </row>
    <row r="4917" spans="10:10" ht="15.95" customHeight="1" x14ac:dyDescent="0.25">
      <c r="J4917" s="195"/>
    </row>
    <row r="4918" spans="10:10" ht="15.95" customHeight="1" x14ac:dyDescent="0.25">
      <c r="J4918" s="195"/>
    </row>
    <row r="4919" spans="10:10" ht="15.95" customHeight="1" x14ac:dyDescent="0.25">
      <c r="J4919" s="195"/>
    </row>
    <row r="4920" spans="10:10" ht="15.95" customHeight="1" x14ac:dyDescent="0.25">
      <c r="J4920" s="195"/>
    </row>
    <row r="4921" spans="10:10" ht="15.95" customHeight="1" x14ac:dyDescent="0.25">
      <c r="J4921" s="195"/>
    </row>
    <row r="4922" spans="10:10" ht="15.95" customHeight="1" x14ac:dyDescent="0.25">
      <c r="J4922" s="195"/>
    </row>
    <row r="4923" spans="10:10" ht="15.95" customHeight="1" x14ac:dyDescent="0.25">
      <c r="J4923" s="195"/>
    </row>
    <row r="4924" spans="10:10" ht="15.95" customHeight="1" x14ac:dyDescent="0.25">
      <c r="J4924" s="195"/>
    </row>
    <row r="4925" spans="10:10" ht="15.95" customHeight="1" x14ac:dyDescent="0.25">
      <c r="J4925" s="195"/>
    </row>
    <row r="4926" spans="10:10" ht="15.95" customHeight="1" x14ac:dyDescent="0.25">
      <c r="J4926" s="195"/>
    </row>
    <row r="4927" spans="10:10" ht="15.95" customHeight="1" x14ac:dyDescent="0.25">
      <c r="J4927" s="195"/>
    </row>
    <row r="4928" spans="10:10" ht="15.95" customHeight="1" x14ac:dyDescent="0.25">
      <c r="J4928" s="195"/>
    </row>
    <row r="4929" spans="10:10" ht="15.95" customHeight="1" x14ac:dyDescent="0.25">
      <c r="J4929" s="195"/>
    </row>
    <row r="4930" spans="10:10" ht="15.95" customHeight="1" x14ac:dyDescent="0.25">
      <c r="J4930" s="195"/>
    </row>
    <row r="4931" spans="10:10" ht="15.95" customHeight="1" x14ac:dyDescent="0.25">
      <c r="J4931" s="195"/>
    </row>
    <row r="4932" spans="10:10" ht="15.95" customHeight="1" x14ac:dyDescent="0.25">
      <c r="J4932" s="195"/>
    </row>
    <row r="4933" spans="10:10" ht="15.95" customHeight="1" x14ac:dyDescent="0.25">
      <c r="J4933" s="195"/>
    </row>
    <row r="4934" spans="10:10" ht="15.95" customHeight="1" x14ac:dyDescent="0.25">
      <c r="J4934" s="195"/>
    </row>
    <row r="4935" spans="10:10" ht="15.95" customHeight="1" x14ac:dyDescent="0.25">
      <c r="J4935" s="195"/>
    </row>
    <row r="4936" spans="10:10" ht="15.95" customHeight="1" x14ac:dyDescent="0.25">
      <c r="J4936" s="195"/>
    </row>
    <row r="4937" spans="10:10" ht="15.95" customHeight="1" x14ac:dyDescent="0.25">
      <c r="J4937" s="195"/>
    </row>
    <row r="4938" spans="10:10" ht="15.95" customHeight="1" x14ac:dyDescent="0.25">
      <c r="J4938" s="195"/>
    </row>
    <row r="4939" spans="10:10" ht="15.95" customHeight="1" x14ac:dyDescent="0.25">
      <c r="J4939" s="195"/>
    </row>
    <row r="4940" spans="10:10" ht="15.95" customHeight="1" x14ac:dyDescent="0.25">
      <c r="J4940" s="195"/>
    </row>
    <row r="4941" spans="10:10" ht="15.95" customHeight="1" x14ac:dyDescent="0.25">
      <c r="J4941" s="195"/>
    </row>
    <row r="4942" spans="10:10" ht="15.95" customHeight="1" x14ac:dyDescent="0.25">
      <c r="J4942" s="195"/>
    </row>
    <row r="4943" spans="10:10" ht="15.95" customHeight="1" x14ac:dyDescent="0.25">
      <c r="J4943" s="195"/>
    </row>
    <row r="4944" spans="10:10" ht="15.95" customHeight="1" x14ac:dyDescent="0.25">
      <c r="J4944" s="195"/>
    </row>
    <row r="4945" spans="9:14" ht="15.95" customHeight="1" x14ac:dyDescent="0.25">
      <c r="J4945" s="195"/>
    </row>
    <row r="4946" spans="9:14" ht="15.95" customHeight="1" x14ac:dyDescent="0.25"/>
    <row r="4947" spans="9:14" ht="15.95" customHeight="1" x14ac:dyDescent="0.25"/>
    <row r="4948" spans="9:14" ht="32.1" customHeight="1" x14ac:dyDescent="0.25">
      <c r="J4948" s="235" t="str">
        <f>ComparisonData!ZW2</f>
        <v>SECTION E: ABOUT YOU</v>
      </c>
      <c r="K4948" s="236"/>
      <c r="L4948" s="236"/>
      <c r="M4948" s="236"/>
      <c r="N4948" s="237"/>
    </row>
    <row r="4949" spans="9:14" ht="32.1" customHeight="1" x14ac:dyDescent="0.25">
      <c r="J4949" s="235" t="str">
        <f>ComparisonData!ZW3</f>
        <v>18. (a) If you are a UK resident, what is your postcode? By Index of Multiple Deprivation (IMD)</v>
      </c>
      <c r="K4949" s="236"/>
      <c r="L4949" s="236"/>
      <c r="M4949" s="236"/>
      <c r="N4949" s="237"/>
    </row>
    <row r="4950" spans="9:14" ht="56.1" customHeight="1" x14ac:dyDescent="0.25">
      <c r="J4950" s="185" t="str">
        <f>ComparisonData!AAS4</f>
        <v>1st quintile (most deprived)</v>
      </c>
      <c r="K4950" s="185" t="str">
        <f>ComparisonData!AAT4</f>
        <v>2nd quintile</v>
      </c>
      <c r="L4950" s="185" t="str">
        <f>ComparisonData!AAU4</f>
        <v>3rd quintile</v>
      </c>
      <c r="M4950" s="185" t="str">
        <f>ComparisonData!AAV4</f>
        <v>4th quintile</v>
      </c>
      <c r="N4950" s="185" t="str">
        <f>ComparisonData!AAW4</f>
        <v>5th quintile (least deprived)</v>
      </c>
    </row>
    <row r="4951" spans="9:14" ht="15.95" customHeight="1" x14ac:dyDescent="0.25">
      <c r="I4951" s="188" t="str" cm="1">
        <f t="array" aca="1" ref="I4951" ca="1">_18.__a__If_you_are_a_UK_resident__what_is_your_postcode?___By_Index_of_Multiple_Deprivation__IMD_lbl</f>
        <v>TOTAL</v>
      </c>
      <c r="J4951" s="192" cm="1">
        <f t="array" aca="1" ref="J4951" ca="1">_18.__a__If_you_are_a_UK_resident__what_is_your_postcode?___By_Index_of_Multiple_Deprivation__IMD_1</f>
        <v>6.3210000000000002E-2</v>
      </c>
      <c r="K4951" s="192" cm="1">
        <f t="array" aca="1" ref="K4951" ca="1">_18.__a__If_you_are_a_UK_resident__what_is_your_postcode?___By_Index_of_Multiple_Deprivation__IMD_2</f>
        <v>0.13089999999999999</v>
      </c>
      <c r="L4951" s="192" cm="1">
        <f t="array" aca="1" ref="L4951" ca="1">_18.__a__If_you_are_a_UK_resident__what_is_your_postcode?___By_Index_of_Multiple_Deprivation__IMD_3</f>
        <v>0.22957</v>
      </c>
      <c r="M4951" s="192" cm="1">
        <f t="array" aca="1" ref="M4951" ca="1">_18.__a__If_you_are_a_UK_resident__what_is_your_postcode?___By_Index_of_Multiple_Deprivation__IMD_4</f>
        <v>0.25594</v>
      </c>
      <c r="N4951" s="192" cm="1">
        <f t="array" aca="1" ref="N4951" ca="1">_18.__a__If_you_are_a_UK_resident__what_is_your_postcode?___By_Index_of_Multiple_Deprivation__IMD_5</f>
        <v>0.32036999999999999</v>
      </c>
    </row>
    <row r="4952" spans="9:14" ht="15.95" customHeight="1" x14ac:dyDescent="0.25">
      <c r="J4952" s="192"/>
      <c r="K4952" s="192"/>
      <c r="L4952" s="192"/>
      <c r="M4952" s="192"/>
      <c r="N4952" s="192"/>
    </row>
    <row r="4953" spans="9:14" ht="15.95" customHeight="1" x14ac:dyDescent="0.25">
      <c r="J4953" s="192"/>
      <c r="K4953" s="192"/>
      <c r="L4953" s="192"/>
      <c r="M4953" s="192"/>
      <c r="N4953" s="192"/>
    </row>
    <row r="4954" spans="9:14" ht="15.95" customHeight="1" x14ac:dyDescent="0.25">
      <c r="J4954" s="192"/>
      <c r="K4954" s="192"/>
      <c r="L4954" s="192"/>
      <c r="M4954" s="192"/>
      <c r="N4954" s="192"/>
    </row>
    <row r="4955" spans="9:14" ht="15.95" customHeight="1" x14ac:dyDescent="0.25">
      <c r="J4955" s="192"/>
      <c r="K4955" s="192"/>
      <c r="L4955" s="192"/>
      <c r="M4955" s="192"/>
      <c r="N4955" s="192"/>
    </row>
    <row r="4956" spans="9:14" ht="15.95" customHeight="1" x14ac:dyDescent="0.25">
      <c r="J4956" s="192"/>
      <c r="K4956" s="192"/>
      <c r="L4956" s="192"/>
      <c r="M4956" s="192"/>
      <c r="N4956" s="192"/>
    </row>
    <row r="4957" spans="9:14" ht="15.95" customHeight="1" x14ac:dyDescent="0.25">
      <c r="J4957" s="192"/>
      <c r="K4957" s="192"/>
      <c r="L4957" s="192"/>
      <c r="M4957" s="192"/>
      <c r="N4957" s="192"/>
    </row>
    <row r="4958" spans="9:14" ht="15.95" customHeight="1" x14ac:dyDescent="0.25">
      <c r="J4958" s="192"/>
      <c r="K4958" s="192"/>
      <c r="L4958" s="192"/>
      <c r="M4958" s="192"/>
      <c r="N4958" s="192"/>
    </row>
    <row r="4959" spans="9:14" ht="15.95" customHeight="1" x14ac:dyDescent="0.25">
      <c r="J4959" s="192"/>
      <c r="K4959" s="192"/>
      <c r="L4959" s="192"/>
      <c r="M4959" s="192"/>
      <c r="N4959" s="192"/>
    </row>
    <row r="4960" spans="9:14" ht="15.95" customHeight="1" x14ac:dyDescent="0.25">
      <c r="J4960" s="192"/>
      <c r="K4960" s="192"/>
      <c r="L4960" s="192"/>
      <c r="M4960" s="192"/>
      <c r="N4960" s="192"/>
    </row>
    <row r="4961" spans="10:14" ht="15.95" customHeight="1" x14ac:dyDescent="0.25">
      <c r="J4961" s="192"/>
      <c r="K4961" s="192"/>
      <c r="L4961" s="192"/>
      <c r="M4961" s="192"/>
      <c r="N4961" s="192"/>
    </row>
    <row r="4962" spans="10:14" ht="15.95" customHeight="1" x14ac:dyDescent="0.25">
      <c r="J4962" s="192"/>
      <c r="K4962" s="192"/>
      <c r="L4962" s="192"/>
      <c r="M4962" s="192"/>
      <c r="N4962" s="192"/>
    </row>
    <row r="4963" spans="10:14" ht="15.95" customHeight="1" x14ac:dyDescent="0.25">
      <c r="J4963" s="192"/>
      <c r="K4963" s="192"/>
      <c r="L4963" s="192"/>
      <c r="M4963" s="192"/>
      <c r="N4963" s="192"/>
    </row>
    <row r="4964" spans="10:14" ht="15.95" customHeight="1" x14ac:dyDescent="0.25">
      <c r="J4964" s="192"/>
      <c r="K4964" s="192"/>
      <c r="L4964" s="192"/>
      <c r="M4964" s="192"/>
      <c r="N4964" s="192"/>
    </row>
    <row r="4965" spans="10:14" ht="15.95" customHeight="1" x14ac:dyDescent="0.25">
      <c r="J4965" s="192"/>
      <c r="K4965" s="192"/>
      <c r="L4965" s="192"/>
      <c r="M4965" s="192"/>
      <c r="N4965" s="192"/>
    </row>
    <row r="4966" spans="10:14" ht="15.95" customHeight="1" x14ac:dyDescent="0.25">
      <c r="J4966" s="192"/>
      <c r="K4966" s="192"/>
      <c r="L4966" s="192"/>
      <c r="M4966" s="192"/>
      <c r="N4966" s="192"/>
    </row>
    <row r="4967" spans="10:14" ht="15.95" customHeight="1" x14ac:dyDescent="0.25">
      <c r="J4967" s="192"/>
      <c r="K4967" s="192"/>
      <c r="L4967" s="192"/>
      <c r="M4967" s="192"/>
      <c r="N4967" s="192"/>
    </row>
    <row r="4968" spans="10:14" ht="15.95" customHeight="1" x14ac:dyDescent="0.25">
      <c r="J4968" s="192"/>
      <c r="K4968" s="192"/>
      <c r="L4968" s="192"/>
      <c r="M4968" s="192"/>
      <c r="N4968" s="192"/>
    </row>
    <row r="4969" spans="10:14" ht="15.95" customHeight="1" x14ac:dyDescent="0.25">
      <c r="J4969" s="192"/>
      <c r="K4969" s="192"/>
      <c r="L4969" s="192"/>
      <c r="M4969" s="192"/>
      <c r="N4969" s="192"/>
    </row>
    <row r="4970" spans="10:14" ht="15.95" customHeight="1" x14ac:dyDescent="0.25">
      <c r="J4970" s="192"/>
      <c r="K4970" s="192"/>
      <c r="L4970" s="192"/>
      <c r="M4970" s="192"/>
      <c r="N4970" s="192"/>
    </row>
    <row r="4971" spans="10:14" ht="15.95" customHeight="1" x14ac:dyDescent="0.25">
      <c r="J4971" s="192"/>
      <c r="K4971" s="192"/>
      <c r="L4971" s="192"/>
      <c r="M4971" s="192"/>
      <c r="N4971" s="192"/>
    </row>
    <row r="4972" spans="10:14" ht="15.95" customHeight="1" x14ac:dyDescent="0.25">
      <c r="J4972" s="192"/>
      <c r="K4972" s="192"/>
      <c r="L4972" s="192"/>
      <c r="M4972" s="192"/>
      <c r="N4972" s="192"/>
    </row>
    <row r="4973" spans="10:14" ht="15.95" customHeight="1" x14ac:dyDescent="0.25">
      <c r="J4973" s="192"/>
      <c r="K4973" s="192"/>
      <c r="L4973" s="192"/>
      <c r="M4973" s="192"/>
      <c r="N4973" s="192"/>
    </row>
    <row r="4974" spans="10:14" ht="15.95" customHeight="1" x14ac:dyDescent="0.25">
      <c r="J4974" s="192"/>
      <c r="K4974" s="192"/>
      <c r="L4974" s="192"/>
      <c r="M4974" s="192"/>
      <c r="N4974" s="192"/>
    </row>
    <row r="4975" spans="10:14" ht="15.95" customHeight="1" x14ac:dyDescent="0.25">
      <c r="J4975" s="192"/>
      <c r="K4975" s="192"/>
      <c r="L4975" s="192"/>
      <c r="M4975" s="192"/>
      <c r="N4975" s="192"/>
    </row>
    <row r="4976" spans="10:14" ht="15.95" customHeight="1" x14ac:dyDescent="0.25">
      <c r="J4976" s="192"/>
      <c r="K4976" s="192"/>
      <c r="L4976" s="192"/>
      <c r="M4976" s="192"/>
      <c r="N4976" s="192"/>
    </row>
    <row r="4977" spans="10:14" ht="15.95" customHeight="1" x14ac:dyDescent="0.25">
      <c r="J4977" s="192"/>
      <c r="K4977" s="192"/>
      <c r="L4977" s="192"/>
      <c r="M4977" s="192"/>
      <c r="N4977" s="192"/>
    </row>
    <row r="4978" spans="10:14" ht="15.95" customHeight="1" x14ac:dyDescent="0.25">
      <c r="J4978" s="192"/>
      <c r="K4978" s="192"/>
      <c r="L4978" s="192"/>
      <c r="M4978" s="192"/>
      <c r="N4978" s="192"/>
    </row>
    <row r="4979" spans="10:14" ht="15.95" customHeight="1" x14ac:dyDescent="0.25">
      <c r="J4979" s="192"/>
      <c r="K4979" s="192"/>
      <c r="L4979" s="192"/>
      <c r="M4979" s="192"/>
      <c r="N4979" s="192"/>
    </row>
    <row r="4980" spans="10:14" ht="15.95" customHeight="1" x14ac:dyDescent="0.25">
      <c r="J4980" s="192"/>
      <c r="K4980" s="192"/>
      <c r="L4980" s="192"/>
      <c r="M4980" s="192"/>
      <c r="N4980" s="192"/>
    </row>
    <row r="4981" spans="10:14" ht="15.95" customHeight="1" x14ac:dyDescent="0.25">
      <c r="J4981" s="192"/>
      <c r="K4981" s="192"/>
      <c r="L4981" s="192"/>
      <c r="M4981" s="192"/>
      <c r="N4981" s="192"/>
    </row>
    <row r="4982" spans="10:14" ht="15.95" customHeight="1" x14ac:dyDescent="0.25">
      <c r="J4982" s="192"/>
      <c r="K4982" s="192"/>
      <c r="L4982" s="192"/>
      <c r="M4982" s="192"/>
      <c r="N4982" s="192"/>
    </row>
    <row r="4983" spans="10:14" ht="15.95" customHeight="1" x14ac:dyDescent="0.25">
      <c r="J4983" s="192"/>
      <c r="K4983" s="192"/>
      <c r="L4983" s="192"/>
      <c r="M4983" s="192"/>
      <c r="N4983" s="192"/>
    </row>
    <row r="4984" spans="10:14" ht="15.95" customHeight="1" x14ac:dyDescent="0.25">
      <c r="J4984" s="192"/>
      <c r="K4984" s="192"/>
      <c r="L4984" s="192"/>
      <c r="M4984" s="192"/>
      <c r="N4984" s="192"/>
    </row>
    <row r="4985" spans="10:14" ht="15.95" customHeight="1" x14ac:dyDescent="0.25">
      <c r="J4985" s="192"/>
      <c r="K4985" s="192"/>
      <c r="L4985" s="192"/>
      <c r="M4985" s="192"/>
      <c r="N4985" s="192"/>
    </row>
    <row r="4986" spans="10:14" ht="15.95" customHeight="1" x14ac:dyDescent="0.25">
      <c r="J4986" s="192"/>
      <c r="K4986" s="192"/>
      <c r="L4986" s="192"/>
      <c r="M4986" s="192"/>
      <c r="N4986" s="192"/>
    </row>
    <row r="4987" spans="10:14" ht="15.95" customHeight="1" x14ac:dyDescent="0.25">
      <c r="J4987" s="192"/>
      <c r="K4987" s="192"/>
      <c r="L4987" s="192"/>
      <c r="M4987" s="192"/>
      <c r="N4987" s="192"/>
    </row>
    <row r="4988" spans="10:14" ht="15.95" customHeight="1" x14ac:dyDescent="0.25">
      <c r="J4988" s="192"/>
      <c r="K4988" s="192"/>
      <c r="L4988" s="192"/>
      <c r="M4988" s="192"/>
      <c r="N4988" s="192"/>
    </row>
    <row r="4989" spans="10:14" ht="15.95" customHeight="1" x14ac:dyDescent="0.25">
      <c r="J4989" s="192"/>
      <c r="K4989" s="192"/>
      <c r="L4989" s="192"/>
      <c r="M4989" s="192"/>
      <c r="N4989" s="192"/>
    </row>
    <row r="4990" spans="10:14" ht="15.95" customHeight="1" x14ac:dyDescent="0.25">
      <c r="J4990" s="192"/>
      <c r="K4990" s="192"/>
      <c r="L4990" s="192"/>
      <c r="M4990" s="192"/>
      <c r="N4990" s="192"/>
    </row>
    <row r="4991" spans="10:14" ht="15.95" customHeight="1" x14ac:dyDescent="0.25">
      <c r="J4991" s="192"/>
      <c r="K4991" s="192"/>
      <c r="L4991" s="192"/>
      <c r="M4991" s="192"/>
      <c r="N4991" s="192"/>
    </row>
    <row r="4992" spans="10:14" ht="15.95" customHeight="1" x14ac:dyDescent="0.25">
      <c r="J4992" s="192"/>
      <c r="K4992" s="192"/>
      <c r="L4992" s="192"/>
      <c r="M4992" s="192"/>
      <c r="N4992" s="192"/>
    </row>
    <row r="4993" spans="10:14" ht="15.95" customHeight="1" x14ac:dyDescent="0.25">
      <c r="J4993" s="192"/>
      <c r="K4993" s="192"/>
      <c r="L4993" s="192"/>
      <c r="M4993" s="192"/>
      <c r="N4993" s="192"/>
    </row>
    <row r="4994" spans="10:14" ht="15.95" customHeight="1" x14ac:dyDescent="0.25">
      <c r="J4994" s="192"/>
      <c r="K4994" s="192"/>
      <c r="L4994" s="192"/>
      <c r="M4994" s="192"/>
      <c r="N4994" s="192"/>
    </row>
    <row r="4995" spans="10:14" ht="15.95" customHeight="1" x14ac:dyDescent="0.25">
      <c r="J4995" s="192"/>
      <c r="K4995" s="192"/>
      <c r="L4995" s="192"/>
      <c r="M4995" s="192"/>
      <c r="N4995" s="192"/>
    </row>
    <row r="4996" spans="10:14" ht="15.95" customHeight="1" x14ac:dyDescent="0.25">
      <c r="J4996" s="192"/>
      <c r="K4996" s="192"/>
      <c r="L4996" s="192"/>
      <c r="M4996" s="192"/>
      <c r="N4996" s="192"/>
    </row>
    <row r="4997" spans="10:14" ht="15.95" customHeight="1" x14ac:dyDescent="0.25">
      <c r="J4997" s="192"/>
      <c r="K4997" s="192"/>
      <c r="L4997" s="192"/>
      <c r="M4997" s="192"/>
      <c r="N4997" s="192"/>
    </row>
    <row r="4998" spans="10:14" ht="15.95" customHeight="1" x14ac:dyDescent="0.25">
      <c r="J4998" s="192"/>
      <c r="K4998" s="192"/>
      <c r="L4998" s="192"/>
      <c r="M4998" s="192"/>
      <c r="N4998" s="192"/>
    </row>
    <row r="4999" spans="10:14" ht="15.95" customHeight="1" x14ac:dyDescent="0.25">
      <c r="J4999" s="192"/>
      <c r="K4999" s="192"/>
      <c r="L4999" s="192"/>
      <c r="M4999" s="192"/>
      <c r="N4999" s="192"/>
    </row>
    <row r="5000" spans="10:14" ht="15.95" customHeight="1" x14ac:dyDescent="0.25">
      <c r="J5000" s="192"/>
      <c r="K5000" s="192"/>
      <c r="L5000" s="192"/>
      <c r="M5000" s="192"/>
      <c r="N5000" s="192"/>
    </row>
    <row r="5001" spans="10:14" ht="15.95" customHeight="1" x14ac:dyDescent="0.25">
      <c r="J5001" s="192"/>
      <c r="K5001" s="192"/>
      <c r="L5001" s="192"/>
      <c r="M5001" s="192"/>
      <c r="N5001" s="192"/>
    </row>
    <row r="5002" spans="10:14" ht="15.95" customHeight="1" x14ac:dyDescent="0.25">
      <c r="J5002" s="192"/>
      <c r="K5002" s="192"/>
      <c r="L5002" s="192"/>
      <c r="M5002" s="192"/>
      <c r="N5002" s="192"/>
    </row>
    <row r="5003" spans="10:14" ht="15.95" customHeight="1" x14ac:dyDescent="0.25">
      <c r="J5003" s="192"/>
      <c r="K5003" s="192"/>
      <c r="L5003" s="192"/>
      <c r="M5003" s="192"/>
      <c r="N5003" s="192"/>
    </row>
    <row r="5004" spans="10:14" ht="15.95" customHeight="1" x14ac:dyDescent="0.25">
      <c r="J5004" s="192"/>
      <c r="K5004" s="192"/>
      <c r="L5004" s="192"/>
      <c r="M5004" s="192"/>
      <c r="N5004" s="192"/>
    </row>
    <row r="5005" spans="10:14" ht="15.95" customHeight="1" x14ac:dyDescent="0.25">
      <c r="J5005" s="192"/>
      <c r="K5005" s="192"/>
      <c r="L5005" s="192"/>
      <c r="M5005" s="192"/>
      <c r="N5005" s="192"/>
    </row>
    <row r="5006" spans="10:14" ht="15.95" customHeight="1" x14ac:dyDescent="0.25">
      <c r="J5006" s="192"/>
      <c r="K5006" s="192"/>
      <c r="L5006" s="192"/>
      <c r="M5006" s="192"/>
      <c r="N5006" s="192"/>
    </row>
    <row r="5007" spans="10:14" ht="15.95" customHeight="1" x14ac:dyDescent="0.25">
      <c r="J5007" s="192"/>
      <c r="K5007" s="192"/>
      <c r="L5007" s="192"/>
      <c r="M5007" s="192"/>
      <c r="N5007" s="192"/>
    </row>
    <row r="5008" spans="10:14" ht="15.95" customHeight="1" x14ac:dyDescent="0.25">
      <c r="J5008" s="192"/>
      <c r="K5008" s="192"/>
      <c r="L5008" s="192"/>
      <c r="M5008" s="192"/>
      <c r="N5008" s="192"/>
    </row>
    <row r="5009" spans="10:14" ht="15.95" customHeight="1" x14ac:dyDescent="0.25">
      <c r="J5009" s="192"/>
      <c r="K5009" s="192"/>
      <c r="L5009" s="192"/>
      <c r="M5009" s="192"/>
      <c r="N5009" s="192"/>
    </row>
    <row r="5010" spans="10:14" ht="15.95" customHeight="1" x14ac:dyDescent="0.25">
      <c r="J5010" s="192"/>
      <c r="K5010" s="192"/>
      <c r="L5010" s="192"/>
      <c r="M5010" s="192"/>
      <c r="N5010" s="192"/>
    </row>
    <row r="5011" spans="10:14" ht="15.95" customHeight="1" x14ac:dyDescent="0.25">
      <c r="J5011" s="192"/>
      <c r="K5011" s="192"/>
      <c r="L5011" s="192"/>
      <c r="M5011" s="192"/>
      <c r="N5011" s="192"/>
    </row>
    <row r="5012" spans="10:14" ht="15.95" customHeight="1" x14ac:dyDescent="0.25">
      <c r="J5012" s="192"/>
      <c r="K5012" s="192"/>
      <c r="L5012" s="192"/>
      <c r="M5012" s="192"/>
      <c r="N5012" s="192"/>
    </row>
    <row r="5013" spans="10:14" ht="15.95" customHeight="1" x14ac:dyDescent="0.25">
      <c r="J5013" s="192"/>
      <c r="K5013" s="192"/>
      <c r="L5013" s="192"/>
      <c r="M5013" s="192"/>
      <c r="N5013" s="192"/>
    </row>
    <row r="5014" spans="10:14" ht="15.95" customHeight="1" x14ac:dyDescent="0.25">
      <c r="J5014" s="192"/>
      <c r="K5014" s="192"/>
      <c r="L5014" s="192"/>
      <c r="M5014" s="192"/>
      <c r="N5014" s="192"/>
    </row>
    <row r="5015" spans="10:14" ht="15.95" customHeight="1" x14ac:dyDescent="0.25">
      <c r="J5015" s="192"/>
      <c r="K5015" s="192"/>
      <c r="L5015" s="192"/>
      <c r="M5015" s="192"/>
      <c r="N5015" s="192"/>
    </row>
    <row r="5016" spans="10:14" ht="15.95" customHeight="1" x14ac:dyDescent="0.25">
      <c r="J5016" s="192"/>
      <c r="K5016" s="192"/>
      <c r="L5016" s="192"/>
      <c r="M5016" s="192"/>
      <c r="N5016" s="192"/>
    </row>
    <row r="5017" spans="10:14" ht="15.95" customHeight="1" x14ac:dyDescent="0.25">
      <c r="J5017" s="192"/>
      <c r="K5017" s="192"/>
      <c r="L5017" s="192"/>
      <c r="M5017" s="192"/>
      <c r="N5017" s="192"/>
    </row>
    <row r="5018" spans="10:14" ht="15.95" customHeight="1" x14ac:dyDescent="0.25">
      <c r="J5018" s="192"/>
      <c r="K5018" s="192"/>
      <c r="L5018" s="192"/>
      <c r="M5018" s="192"/>
      <c r="N5018" s="192"/>
    </row>
    <row r="5019" spans="10:14" ht="15.95" customHeight="1" x14ac:dyDescent="0.25">
      <c r="J5019" s="192"/>
      <c r="K5019" s="192"/>
      <c r="L5019" s="192"/>
      <c r="M5019" s="192"/>
      <c r="N5019" s="192"/>
    </row>
    <row r="5020" spans="10:14" ht="15.95" customHeight="1" x14ac:dyDescent="0.25">
      <c r="J5020" s="192"/>
      <c r="K5020" s="192"/>
      <c r="L5020" s="192"/>
      <c r="M5020" s="192"/>
      <c r="N5020" s="192"/>
    </row>
    <row r="5021" spans="10:14" ht="15.95" customHeight="1" x14ac:dyDescent="0.25">
      <c r="J5021" s="192"/>
      <c r="K5021" s="192"/>
      <c r="L5021" s="192"/>
      <c r="M5021" s="192"/>
      <c r="N5021" s="192"/>
    </row>
    <row r="5022" spans="10:14" ht="15.95" customHeight="1" x14ac:dyDescent="0.25">
      <c r="J5022" s="192"/>
      <c r="K5022" s="192"/>
      <c r="L5022" s="192"/>
      <c r="M5022" s="192"/>
      <c r="N5022" s="192"/>
    </row>
    <row r="5023" spans="10:14" ht="15.95" customHeight="1" x14ac:dyDescent="0.25">
      <c r="J5023" s="192"/>
      <c r="K5023" s="192"/>
      <c r="L5023" s="192"/>
      <c r="M5023" s="192"/>
      <c r="N5023" s="192"/>
    </row>
    <row r="5024" spans="10:14" ht="15.95" customHeight="1" x14ac:dyDescent="0.25">
      <c r="J5024" s="192"/>
      <c r="K5024" s="192"/>
      <c r="L5024" s="192"/>
      <c r="M5024" s="192"/>
      <c r="N5024" s="192"/>
    </row>
    <row r="5025" spans="10:14" ht="15.95" customHeight="1" x14ac:dyDescent="0.25">
      <c r="J5025" s="192"/>
      <c r="K5025" s="192"/>
      <c r="L5025" s="192"/>
      <c r="M5025" s="192"/>
      <c r="N5025" s="192"/>
    </row>
    <row r="5026" spans="10:14" ht="15.95" customHeight="1" x14ac:dyDescent="0.25">
      <c r="J5026" s="192"/>
      <c r="K5026" s="192"/>
      <c r="L5026" s="192"/>
      <c r="M5026" s="192"/>
      <c r="N5026" s="192"/>
    </row>
    <row r="5027" spans="10:14" ht="15.95" customHeight="1" x14ac:dyDescent="0.25">
      <c r="J5027" s="192"/>
      <c r="K5027" s="192"/>
      <c r="L5027" s="192"/>
      <c r="M5027" s="192"/>
      <c r="N5027" s="192"/>
    </row>
    <row r="5028" spans="10:14" ht="15.95" customHeight="1" x14ac:dyDescent="0.25">
      <c r="J5028" s="192"/>
      <c r="K5028" s="192"/>
      <c r="L5028" s="192"/>
      <c r="M5028" s="192"/>
      <c r="N5028" s="192"/>
    </row>
    <row r="5029" spans="10:14" ht="15.95" customHeight="1" x14ac:dyDescent="0.25">
      <c r="J5029" s="192"/>
      <c r="K5029" s="192"/>
      <c r="L5029" s="192"/>
      <c r="M5029" s="192"/>
      <c r="N5029" s="192"/>
    </row>
    <row r="5030" spans="10:14" ht="15.95" customHeight="1" x14ac:dyDescent="0.25">
      <c r="J5030" s="192"/>
      <c r="K5030" s="192"/>
      <c r="L5030" s="192"/>
      <c r="M5030" s="192"/>
      <c r="N5030" s="192"/>
    </row>
    <row r="5031" spans="10:14" ht="15.95" customHeight="1" x14ac:dyDescent="0.25">
      <c r="J5031" s="192"/>
      <c r="K5031" s="192"/>
      <c r="L5031" s="192"/>
      <c r="M5031" s="192"/>
      <c r="N5031" s="192"/>
    </row>
    <row r="5032" spans="10:14" ht="15.95" customHeight="1" x14ac:dyDescent="0.25">
      <c r="J5032" s="192"/>
      <c r="K5032" s="192"/>
      <c r="L5032" s="192"/>
      <c r="M5032" s="192"/>
      <c r="N5032" s="192"/>
    </row>
    <row r="5033" spans="10:14" ht="15.95" customHeight="1" x14ac:dyDescent="0.25">
      <c r="J5033" s="192"/>
      <c r="K5033" s="192"/>
      <c r="L5033" s="192"/>
      <c r="M5033" s="192"/>
      <c r="N5033" s="192"/>
    </row>
    <row r="5034" spans="10:14" ht="15.95" customHeight="1" x14ac:dyDescent="0.25">
      <c r="J5034" s="192"/>
      <c r="K5034" s="192"/>
      <c r="L5034" s="192"/>
      <c r="M5034" s="192"/>
      <c r="N5034" s="192"/>
    </row>
    <row r="5035" spans="10:14" ht="15.95" customHeight="1" x14ac:dyDescent="0.25">
      <c r="J5035" s="192"/>
      <c r="K5035" s="192"/>
      <c r="L5035" s="192"/>
      <c r="M5035" s="192"/>
      <c r="N5035" s="192"/>
    </row>
    <row r="5036" spans="10:14" ht="15.95" customHeight="1" x14ac:dyDescent="0.25">
      <c r="J5036" s="192"/>
      <c r="K5036" s="192"/>
      <c r="L5036" s="192"/>
      <c r="M5036" s="192"/>
      <c r="N5036" s="192"/>
    </row>
    <row r="5037" spans="10:14" ht="15.95" customHeight="1" x14ac:dyDescent="0.25">
      <c r="J5037" s="192"/>
      <c r="K5037" s="192"/>
      <c r="L5037" s="192"/>
      <c r="M5037" s="192"/>
      <c r="N5037" s="192"/>
    </row>
    <row r="5038" spans="10:14" ht="15.95" customHeight="1" x14ac:dyDescent="0.25">
      <c r="J5038" s="192"/>
      <c r="K5038" s="192"/>
      <c r="L5038" s="192"/>
      <c r="M5038" s="192"/>
      <c r="N5038" s="192"/>
    </row>
    <row r="5039" spans="10:14" ht="15.95" customHeight="1" x14ac:dyDescent="0.25">
      <c r="J5039" s="192"/>
      <c r="K5039" s="192"/>
      <c r="L5039" s="192"/>
      <c r="M5039" s="192"/>
      <c r="N5039" s="192"/>
    </row>
    <row r="5040" spans="10:14" ht="15.95" customHeight="1" x14ac:dyDescent="0.25">
      <c r="J5040" s="192"/>
      <c r="K5040" s="192"/>
      <c r="L5040" s="192"/>
      <c r="M5040" s="192"/>
      <c r="N5040" s="192"/>
    </row>
    <row r="5041" spans="10:14" ht="15.95" customHeight="1" x14ac:dyDescent="0.25">
      <c r="J5041" s="192"/>
      <c r="K5041" s="192"/>
      <c r="L5041" s="192"/>
      <c r="M5041" s="192"/>
      <c r="N5041" s="192"/>
    </row>
    <row r="5042" spans="10:14" ht="15.95" customHeight="1" x14ac:dyDescent="0.25">
      <c r="J5042" s="192"/>
      <c r="K5042" s="192"/>
      <c r="L5042" s="192"/>
      <c r="M5042" s="192"/>
      <c r="N5042" s="192"/>
    </row>
    <row r="5043" spans="10:14" ht="15.95" customHeight="1" x14ac:dyDescent="0.25">
      <c r="J5043" s="192"/>
      <c r="K5043" s="192"/>
      <c r="L5043" s="192"/>
      <c r="M5043" s="192"/>
      <c r="N5043" s="192"/>
    </row>
    <row r="5044" spans="10:14" ht="15.95" customHeight="1" x14ac:dyDescent="0.25">
      <c r="J5044" s="192"/>
      <c r="K5044" s="192"/>
      <c r="L5044" s="192"/>
      <c r="M5044" s="192"/>
      <c r="N5044" s="192"/>
    </row>
    <row r="5045" spans="10:14" ht="15.95" customHeight="1" x14ac:dyDescent="0.25">
      <c r="J5045" s="192"/>
      <c r="K5045" s="192"/>
      <c r="L5045" s="192"/>
      <c r="M5045" s="192"/>
      <c r="N5045" s="192"/>
    </row>
    <row r="5046" spans="10:14" ht="15.95" customHeight="1" x14ac:dyDescent="0.25">
      <c r="J5046" s="192"/>
      <c r="K5046" s="192"/>
      <c r="L5046" s="192"/>
      <c r="M5046" s="192"/>
      <c r="N5046" s="192"/>
    </row>
    <row r="5047" spans="10:14" ht="15.95" customHeight="1" x14ac:dyDescent="0.25">
      <c r="J5047" s="192"/>
      <c r="K5047" s="192"/>
      <c r="L5047" s="192"/>
      <c r="M5047" s="192"/>
      <c r="N5047" s="192"/>
    </row>
    <row r="5048" spans="10:14" ht="15.95" customHeight="1" x14ac:dyDescent="0.25">
      <c r="J5048" s="192"/>
      <c r="K5048" s="192"/>
      <c r="L5048" s="192"/>
      <c r="M5048" s="192"/>
      <c r="N5048" s="192"/>
    </row>
    <row r="5049" spans="10:14" ht="15.95" customHeight="1" x14ac:dyDescent="0.25">
      <c r="J5049" s="192"/>
      <c r="K5049" s="192"/>
      <c r="L5049" s="192"/>
      <c r="M5049" s="192"/>
      <c r="N5049" s="192"/>
    </row>
    <row r="5050" spans="10:14" ht="15.95" customHeight="1" x14ac:dyDescent="0.25">
      <c r="J5050" s="192"/>
      <c r="K5050" s="192"/>
      <c r="L5050" s="192"/>
      <c r="M5050" s="192"/>
      <c r="N5050" s="192"/>
    </row>
    <row r="5051" spans="10:14" ht="15.95" customHeight="1" x14ac:dyDescent="0.25">
      <c r="J5051" s="192"/>
      <c r="K5051" s="192"/>
      <c r="L5051" s="192"/>
      <c r="M5051" s="192"/>
      <c r="N5051" s="192"/>
    </row>
    <row r="5052" spans="10:14" ht="15.95" customHeight="1" x14ac:dyDescent="0.25">
      <c r="J5052" s="192"/>
      <c r="K5052" s="192"/>
      <c r="L5052" s="192"/>
      <c r="M5052" s="192"/>
      <c r="N5052" s="192"/>
    </row>
    <row r="5053" spans="10:14" ht="15.95" customHeight="1" x14ac:dyDescent="0.25">
      <c r="J5053" s="192"/>
      <c r="K5053" s="192"/>
      <c r="L5053" s="192"/>
      <c r="M5053" s="192"/>
      <c r="N5053" s="192"/>
    </row>
    <row r="5054" spans="10:14" ht="15.95" customHeight="1" x14ac:dyDescent="0.25">
      <c r="J5054" s="192"/>
      <c r="K5054" s="192"/>
      <c r="L5054" s="192"/>
      <c r="M5054" s="192"/>
      <c r="N5054" s="192"/>
    </row>
    <row r="5055" spans="10:14" ht="15.95" customHeight="1" x14ac:dyDescent="0.25">
      <c r="J5055" s="192"/>
      <c r="K5055" s="192"/>
      <c r="L5055" s="192"/>
      <c r="M5055" s="192"/>
      <c r="N5055" s="192"/>
    </row>
    <row r="5056" spans="10:14" ht="15.95" customHeight="1" x14ac:dyDescent="0.25">
      <c r="J5056" s="192"/>
      <c r="K5056" s="192"/>
      <c r="L5056" s="192"/>
      <c r="M5056" s="192"/>
      <c r="N5056" s="192"/>
    </row>
    <row r="5057" spans="9:14" ht="15.95" customHeight="1" x14ac:dyDescent="0.25">
      <c r="J5057" s="192"/>
      <c r="K5057" s="192"/>
      <c r="L5057" s="192"/>
      <c r="M5057" s="192"/>
      <c r="N5057" s="192"/>
    </row>
    <row r="5058" spans="9:14" ht="15.95" customHeight="1" x14ac:dyDescent="0.25">
      <c r="J5058" s="192"/>
      <c r="K5058" s="192"/>
      <c r="L5058" s="192"/>
      <c r="M5058" s="192"/>
      <c r="N5058" s="192"/>
    </row>
    <row r="5059" spans="9:14" ht="15.95" customHeight="1" x14ac:dyDescent="0.25"/>
    <row r="5060" spans="9:14" ht="15.95" customHeight="1" x14ac:dyDescent="0.25"/>
    <row r="5061" spans="9:14" ht="32.1" customHeight="1" x14ac:dyDescent="0.25">
      <c r="J5061" s="235" t="str">
        <f>ComparisonData!AAY2</f>
        <v>SECTION E: ABOUT YOU</v>
      </c>
      <c r="K5061" s="236"/>
      <c r="L5061" s="236"/>
      <c r="M5061" s="236"/>
      <c r="N5061" s="237"/>
    </row>
    <row r="5062" spans="9:14" ht="32.1" customHeight="1" x14ac:dyDescent="0.25">
      <c r="J5062" s="235" t="str">
        <f>ComparisonData!AAY3</f>
        <v>(b) If not a UK resident, what is your country of residence? By region</v>
      </c>
      <c r="K5062" s="236"/>
      <c r="L5062" s="236"/>
      <c r="M5062" s="236"/>
      <c r="N5062" s="237"/>
    </row>
    <row r="5063" spans="9:14" ht="56.1" customHeight="1" x14ac:dyDescent="0.25">
      <c r="J5063" s="185" t="str">
        <f>ComparisonData!ABK4</f>
        <v>Americas</v>
      </c>
      <c r="K5063" s="185" t="str">
        <f>ComparisonData!ABL4</f>
        <v>Europe</v>
      </c>
      <c r="L5063" s="185" t="str">
        <f>ComparisonData!ABM4</f>
        <v>Oceania</v>
      </c>
      <c r="M5063" s="185" t="str">
        <f>ComparisonData!ABN4</f>
        <v>Asia</v>
      </c>
      <c r="N5063" s="185" t="str">
        <f>ComparisonData!ABO4</f>
        <v>Africa</v>
      </c>
    </row>
    <row r="5064" spans="9:14" ht="15.95" customHeight="1" x14ac:dyDescent="0.25">
      <c r="I5064" s="188" t="str" cm="1">
        <f t="array" aca="1" ref="I5064" ca="1">b__If_not_a_UK_resident__what_is_your_country_of_residence?___By_region_lbl</f>
        <v>TOTAL</v>
      </c>
      <c r="J5064" s="192" cm="1">
        <f t="array" aca="1" ref="J5064" ca="1">b__If_not_a_UK_resident__what_is_your_country_of_residence?___By_region_1</f>
        <v>0.40045999999999998</v>
      </c>
      <c r="K5064" s="192" cm="1">
        <f t="array" aca="1" ref="K5064" ca="1">b__If_not_a_UK_resident__what_is_your_country_of_residence?___By_region_2</f>
        <v>0.33523999999999998</v>
      </c>
      <c r="L5064" s="192" cm="1">
        <f t="array" aca="1" ref="L5064" ca="1">b__If_not_a_UK_resident__what_is_your_country_of_residence?___By_region_3</f>
        <v>0.13241</v>
      </c>
      <c r="M5064" s="192" cm="1">
        <f t="array" aca="1" ref="M5064" ca="1">b__If_not_a_UK_resident__what_is_your_country_of_residence?___By_region_4</f>
        <v>9.4920000000000004E-2</v>
      </c>
      <c r="N5064" s="192" cm="1">
        <f t="array" aca="1" ref="N5064" ca="1">b__If_not_a_UK_resident__what_is_your_country_of_residence?___By_region_5</f>
        <v>3.696E-2</v>
      </c>
    </row>
    <row r="5065" spans="9:14" ht="15.95" customHeight="1" x14ac:dyDescent="0.25">
      <c r="J5065" s="192"/>
      <c r="K5065" s="192"/>
      <c r="L5065" s="192"/>
      <c r="M5065" s="192"/>
      <c r="N5065" s="192"/>
    </row>
    <row r="5066" spans="9:14" ht="15.95" customHeight="1" x14ac:dyDescent="0.25">
      <c r="J5066" s="192"/>
      <c r="K5066" s="192"/>
      <c r="L5066" s="192"/>
      <c r="M5066" s="192"/>
      <c r="N5066" s="192"/>
    </row>
    <row r="5067" spans="9:14" ht="15.95" customHeight="1" x14ac:dyDescent="0.25">
      <c r="J5067" s="192"/>
      <c r="K5067" s="192"/>
      <c r="L5067" s="192"/>
      <c r="M5067" s="192"/>
      <c r="N5067" s="192"/>
    </row>
    <row r="5068" spans="9:14" ht="15.95" customHeight="1" x14ac:dyDescent="0.25">
      <c r="J5068" s="192"/>
      <c r="K5068" s="192"/>
      <c r="L5068" s="192"/>
      <c r="M5068" s="192"/>
      <c r="N5068" s="192"/>
    </row>
    <row r="5069" spans="9:14" ht="15.95" customHeight="1" x14ac:dyDescent="0.25">
      <c r="J5069" s="192"/>
      <c r="K5069" s="192"/>
      <c r="L5069" s="192"/>
      <c r="M5069" s="192"/>
      <c r="N5069" s="192"/>
    </row>
    <row r="5070" spans="9:14" ht="15.95" customHeight="1" x14ac:dyDescent="0.25">
      <c r="J5070" s="192"/>
      <c r="K5070" s="192"/>
      <c r="L5070" s="192"/>
      <c r="M5070" s="192"/>
      <c r="N5070" s="192"/>
    </row>
    <row r="5071" spans="9:14" ht="15.95" customHeight="1" x14ac:dyDescent="0.25">
      <c r="J5071" s="192"/>
      <c r="K5071" s="192"/>
      <c r="L5071" s="192"/>
      <c r="M5071" s="192"/>
      <c r="N5071" s="192"/>
    </row>
    <row r="5072" spans="9:14" ht="15.95" customHeight="1" x14ac:dyDescent="0.25">
      <c r="J5072" s="192"/>
      <c r="K5072" s="192"/>
      <c r="L5072" s="192"/>
      <c r="M5072" s="192"/>
      <c r="N5072" s="192"/>
    </row>
    <row r="5073" spans="10:14" ht="15.95" customHeight="1" x14ac:dyDescent="0.25">
      <c r="J5073" s="192"/>
      <c r="K5073" s="192"/>
      <c r="L5073" s="192"/>
      <c r="M5073" s="192"/>
      <c r="N5073" s="192"/>
    </row>
    <row r="5074" spans="10:14" ht="15.95" customHeight="1" x14ac:dyDescent="0.25">
      <c r="J5074" s="192"/>
      <c r="K5074" s="192"/>
      <c r="L5074" s="192"/>
      <c r="M5074" s="192"/>
      <c r="N5074" s="192"/>
    </row>
    <row r="5075" spans="10:14" ht="15.95" customHeight="1" x14ac:dyDescent="0.25">
      <c r="J5075" s="192"/>
      <c r="K5075" s="192"/>
      <c r="L5075" s="192"/>
      <c r="M5075" s="192"/>
      <c r="N5075" s="192"/>
    </row>
    <row r="5076" spans="10:14" ht="15.95" customHeight="1" x14ac:dyDescent="0.25">
      <c r="J5076" s="192"/>
      <c r="K5076" s="192"/>
      <c r="L5076" s="192"/>
      <c r="M5076" s="192"/>
      <c r="N5076" s="192"/>
    </row>
    <row r="5077" spans="10:14" ht="15.95" customHeight="1" x14ac:dyDescent="0.25">
      <c r="J5077" s="192"/>
      <c r="K5077" s="192"/>
      <c r="L5077" s="192"/>
      <c r="M5077" s="192"/>
      <c r="N5077" s="192"/>
    </row>
    <row r="5078" spans="10:14" ht="15.95" customHeight="1" x14ac:dyDescent="0.25">
      <c r="J5078" s="192"/>
      <c r="K5078" s="192"/>
      <c r="L5078" s="192"/>
      <c r="M5078" s="192"/>
      <c r="N5078" s="192"/>
    </row>
    <row r="5079" spans="10:14" ht="15.95" customHeight="1" x14ac:dyDescent="0.25">
      <c r="J5079" s="192"/>
      <c r="K5079" s="192"/>
      <c r="L5079" s="192"/>
      <c r="M5079" s="192"/>
      <c r="N5079" s="192"/>
    </row>
    <row r="5080" spans="10:14" ht="15.95" customHeight="1" x14ac:dyDescent="0.25">
      <c r="J5080" s="192"/>
      <c r="K5080" s="192"/>
      <c r="L5080" s="192"/>
      <c r="M5080" s="192"/>
      <c r="N5080" s="192"/>
    </row>
    <row r="5081" spans="10:14" ht="15.95" customHeight="1" x14ac:dyDescent="0.25">
      <c r="J5081" s="192"/>
      <c r="K5081" s="192"/>
      <c r="L5081" s="192"/>
      <c r="M5081" s="192"/>
      <c r="N5081" s="192"/>
    </row>
    <row r="5082" spans="10:14" ht="15.95" customHeight="1" x14ac:dyDescent="0.25">
      <c r="J5082" s="192"/>
      <c r="K5082" s="192"/>
      <c r="L5082" s="192"/>
      <c r="M5082" s="192"/>
      <c r="N5082" s="192"/>
    </row>
    <row r="5083" spans="10:14" ht="15.95" customHeight="1" x14ac:dyDescent="0.25">
      <c r="J5083" s="192"/>
      <c r="K5083" s="192"/>
      <c r="L5083" s="192"/>
      <c r="M5083" s="192"/>
      <c r="N5083" s="192"/>
    </row>
    <row r="5084" spans="10:14" ht="15.95" customHeight="1" x14ac:dyDescent="0.25">
      <c r="J5084" s="192"/>
      <c r="K5084" s="192"/>
      <c r="L5084" s="192"/>
      <c r="M5084" s="192"/>
      <c r="N5084" s="192"/>
    </row>
    <row r="5085" spans="10:14" ht="15.95" customHeight="1" x14ac:dyDescent="0.25">
      <c r="J5085" s="192"/>
      <c r="K5085" s="192"/>
      <c r="L5085" s="192"/>
      <c r="M5085" s="192"/>
      <c r="N5085" s="192"/>
    </row>
    <row r="5086" spans="10:14" ht="15.95" customHeight="1" x14ac:dyDescent="0.25">
      <c r="J5086" s="192"/>
      <c r="K5086" s="192"/>
      <c r="L5086" s="192"/>
      <c r="M5086" s="192"/>
      <c r="N5086" s="192"/>
    </row>
    <row r="5087" spans="10:14" ht="15.95" customHeight="1" x14ac:dyDescent="0.25">
      <c r="J5087" s="192"/>
      <c r="K5087" s="192"/>
      <c r="L5087" s="192"/>
      <c r="M5087" s="192"/>
      <c r="N5087" s="192"/>
    </row>
    <row r="5088" spans="10:14" ht="15.95" customHeight="1" x14ac:dyDescent="0.25">
      <c r="J5088" s="192"/>
      <c r="K5088" s="192"/>
      <c r="L5088" s="192"/>
      <c r="M5088" s="192"/>
      <c r="N5088" s="192"/>
    </row>
    <row r="5089" spans="10:14" ht="15.95" customHeight="1" x14ac:dyDescent="0.25">
      <c r="J5089" s="192"/>
      <c r="K5089" s="192"/>
      <c r="L5089" s="192"/>
      <c r="M5089" s="192"/>
      <c r="N5089" s="192"/>
    </row>
    <row r="5090" spans="10:14" ht="15.95" customHeight="1" x14ac:dyDescent="0.25">
      <c r="J5090" s="192"/>
      <c r="K5090" s="192"/>
      <c r="L5090" s="192"/>
      <c r="M5090" s="192"/>
      <c r="N5090" s="192"/>
    </row>
    <row r="5091" spans="10:14" ht="15.95" customHeight="1" x14ac:dyDescent="0.25">
      <c r="J5091" s="192"/>
      <c r="K5091" s="192"/>
      <c r="L5091" s="192"/>
      <c r="M5091" s="192"/>
      <c r="N5091" s="192"/>
    </row>
    <row r="5092" spans="10:14" ht="15.95" customHeight="1" x14ac:dyDescent="0.25">
      <c r="J5092" s="192"/>
      <c r="K5092" s="192"/>
      <c r="L5092" s="192"/>
      <c r="M5092" s="192"/>
      <c r="N5092" s="192"/>
    </row>
    <row r="5093" spans="10:14" ht="15.95" customHeight="1" x14ac:dyDescent="0.25">
      <c r="J5093" s="192"/>
      <c r="K5093" s="192"/>
      <c r="L5093" s="192"/>
      <c r="M5093" s="192"/>
      <c r="N5093" s="192"/>
    </row>
    <row r="5094" spans="10:14" ht="15.95" customHeight="1" x14ac:dyDescent="0.25">
      <c r="J5094" s="192"/>
      <c r="K5094" s="192"/>
      <c r="L5094" s="192"/>
      <c r="M5094" s="192"/>
      <c r="N5094" s="192"/>
    </row>
    <row r="5095" spans="10:14" ht="15.95" customHeight="1" x14ac:dyDescent="0.25">
      <c r="J5095" s="192"/>
      <c r="K5095" s="192"/>
      <c r="L5095" s="192"/>
      <c r="M5095" s="192"/>
      <c r="N5095" s="192"/>
    </row>
    <row r="5096" spans="10:14" ht="15.95" customHeight="1" x14ac:dyDescent="0.25">
      <c r="J5096" s="192"/>
      <c r="K5096" s="192"/>
      <c r="L5096" s="192"/>
      <c r="M5096" s="192"/>
      <c r="N5096" s="192"/>
    </row>
    <row r="5097" spans="10:14" ht="15.95" customHeight="1" x14ac:dyDescent="0.25">
      <c r="J5097" s="192"/>
      <c r="K5097" s="192"/>
      <c r="L5097" s="192"/>
      <c r="M5097" s="192"/>
      <c r="N5097" s="192"/>
    </row>
    <row r="5098" spans="10:14" ht="15.95" customHeight="1" x14ac:dyDescent="0.25">
      <c r="J5098" s="192"/>
      <c r="K5098" s="192"/>
      <c r="L5098" s="192"/>
      <c r="M5098" s="192"/>
      <c r="N5098" s="192"/>
    </row>
    <row r="5099" spans="10:14" ht="15.95" customHeight="1" x14ac:dyDescent="0.25">
      <c r="J5099" s="192"/>
      <c r="K5099" s="192"/>
      <c r="L5099" s="192"/>
      <c r="M5099" s="192"/>
      <c r="N5099" s="192"/>
    </row>
    <row r="5100" spans="10:14" ht="15.95" customHeight="1" x14ac:dyDescent="0.25">
      <c r="J5100" s="192"/>
      <c r="K5100" s="192"/>
      <c r="L5100" s="192"/>
      <c r="M5100" s="192"/>
      <c r="N5100" s="192"/>
    </row>
    <row r="5101" spans="10:14" ht="15.95" customHeight="1" x14ac:dyDescent="0.25">
      <c r="J5101" s="192"/>
      <c r="K5101" s="192"/>
      <c r="L5101" s="192"/>
      <c r="M5101" s="192"/>
      <c r="N5101" s="192"/>
    </row>
    <row r="5102" spans="10:14" ht="15.95" customHeight="1" x14ac:dyDescent="0.25">
      <c r="J5102" s="192"/>
      <c r="K5102" s="192"/>
      <c r="L5102" s="192"/>
      <c r="M5102" s="192"/>
      <c r="N5102" s="192"/>
    </row>
    <row r="5103" spans="10:14" ht="15.95" customHeight="1" x14ac:dyDescent="0.25">
      <c r="J5103" s="192"/>
      <c r="K5103" s="192"/>
      <c r="L5103" s="192"/>
      <c r="M5103" s="192"/>
      <c r="N5103" s="192"/>
    </row>
    <row r="5104" spans="10:14" ht="15.95" customHeight="1" x14ac:dyDescent="0.25">
      <c r="J5104" s="192"/>
      <c r="K5104" s="192"/>
      <c r="L5104" s="192"/>
      <c r="M5104" s="192"/>
      <c r="N5104" s="192"/>
    </row>
    <row r="5105" spans="10:14" ht="15.95" customHeight="1" x14ac:dyDescent="0.25">
      <c r="J5105" s="192"/>
      <c r="K5105" s="192"/>
      <c r="L5105" s="192"/>
      <c r="M5105" s="192"/>
      <c r="N5105" s="192"/>
    </row>
    <row r="5106" spans="10:14" ht="15.95" customHeight="1" x14ac:dyDescent="0.25">
      <c r="J5106" s="192"/>
      <c r="K5106" s="192"/>
      <c r="L5106" s="192"/>
      <c r="M5106" s="192"/>
      <c r="N5106" s="192"/>
    </row>
    <row r="5107" spans="10:14" ht="15.95" customHeight="1" x14ac:dyDescent="0.25">
      <c r="J5107" s="192"/>
      <c r="K5107" s="192"/>
      <c r="L5107" s="192"/>
      <c r="M5107" s="192"/>
      <c r="N5107" s="192"/>
    </row>
    <row r="5108" spans="10:14" ht="15.95" customHeight="1" x14ac:dyDescent="0.25">
      <c r="J5108" s="192"/>
      <c r="K5108" s="192"/>
      <c r="L5108" s="192"/>
      <c r="M5108" s="192"/>
      <c r="N5108" s="192"/>
    </row>
    <row r="5109" spans="10:14" ht="15.95" customHeight="1" x14ac:dyDescent="0.25">
      <c r="J5109" s="192"/>
      <c r="K5109" s="192"/>
      <c r="L5109" s="192"/>
      <c r="M5109" s="192"/>
      <c r="N5109" s="192"/>
    </row>
    <row r="5110" spans="10:14" ht="15.95" customHeight="1" x14ac:dyDescent="0.25">
      <c r="J5110" s="192"/>
      <c r="K5110" s="192"/>
      <c r="L5110" s="192"/>
      <c r="M5110" s="192"/>
      <c r="N5110" s="192"/>
    </row>
    <row r="5111" spans="10:14" ht="15.95" customHeight="1" x14ac:dyDescent="0.25">
      <c r="J5111" s="192"/>
      <c r="K5111" s="192"/>
      <c r="L5111" s="192"/>
      <c r="M5111" s="192"/>
      <c r="N5111" s="192"/>
    </row>
    <row r="5112" spans="10:14" ht="15.95" customHeight="1" x14ac:dyDescent="0.25">
      <c r="J5112" s="192"/>
      <c r="K5112" s="192"/>
      <c r="L5112" s="192"/>
      <c r="M5112" s="192"/>
      <c r="N5112" s="192"/>
    </row>
    <row r="5113" spans="10:14" ht="15.95" customHeight="1" x14ac:dyDescent="0.25">
      <c r="J5113" s="192"/>
      <c r="K5113" s="192"/>
      <c r="L5113" s="192"/>
      <c r="M5113" s="192"/>
      <c r="N5113" s="192"/>
    </row>
    <row r="5114" spans="10:14" ht="15.95" customHeight="1" x14ac:dyDescent="0.25">
      <c r="J5114" s="192"/>
      <c r="K5114" s="192"/>
      <c r="L5114" s="192"/>
      <c r="M5114" s="192"/>
      <c r="N5114" s="192"/>
    </row>
    <row r="5115" spans="10:14" ht="15.95" customHeight="1" x14ac:dyDescent="0.25">
      <c r="J5115" s="192"/>
      <c r="K5115" s="192"/>
      <c r="L5115" s="192"/>
      <c r="M5115" s="192"/>
      <c r="N5115" s="192"/>
    </row>
    <row r="5116" spans="10:14" ht="15.95" customHeight="1" x14ac:dyDescent="0.25">
      <c r="J5116" s="192"/>
      <c r="K5116" s="192"/>
      <c r="L5116" s="192"/>
      <c r="M5116" s="192"/>
      <c r="N5116" s="192"/>
    </row>
    <row r="5117" spans="10:14" ht="15.95" customHeight="1" x14ac:dyDescent="0.25">
      <c r="J5117" s="192"/>
      <c r="K5117" s="192"/>
      <c r="L5117" s="192"/>
      <c r="M5117" s="192"/>
      <c r="N5117" s="192"/>
    </row>
    <row r="5118" spans="10:14" ht="15.95" customHeight="1" x14ac:dyDescent="0.25">
      <c r="J5118" s="192"/>
      <c r="K5118" s="192"/>
      <c r="L5118" s="192"/>
      <c r="M5118" s="192"/>
      <c r="N5118" s="192"/>
    </row>
    <row r="5119" spans="10:14" ht="15.95" customHeight="1" x14ac:dyDescent="0.25">
      <c r="J5119" s="192"/>
      <c r="K5119" s="192"/>
      <c r="L5119" s="192"/>
      <c r="M5119" s="192"/>
      <c r="N5119" s="192"/>
    </row>
    <row r="5120" spans="10:14" ht="15.95" customHeight="1" x14ac:dyDescent="0.25">
      <c r="J5120" s="192"/>
      <c r="K5120" s="192"/>
      <c r="L5120" s="192"/>
      <c r="M5120" s="192"/>
      <c r="N5120" s="192"/>
    </row>
    <row r="5121" spans="10:14" ht="15.95" customHeight="1" x14ac:dyDescent="0.25">
      <c r="J5121" s="192"/>
      <c r="K5121" s="192"/>
      <c r="L5121" s="192"/>
      <c r="M5121" s="192"/>
      <c r="N5121" s="192"/>
    </row>
    <row r="5122" spans="10:14" ht="15.95" customHeight="1" x14ac:dyDescent="0.25">
      <c r="J5122" s="192"/>
      <c r="K5122" s="192"/>
      <c r="L5122" s="192"/>
      <c r="M5122" s="192"/>
      <c r="N5122" s="192"/>
    </row>
    <row r="5123" spans="10:14" ht="15.95" customHeight="1" x14ac:dyDescent="0.25">
      <c r="J5123" s="192"/>
      <c r="K5123" s="192"/>
      <c r="L5123" s="192"/>
      <c r="M5123" s="192"/>
      <c r="N5123" s="192"/>
    </row>
    <row r="5124" spans="10:14" ht="15.95" customHeight="1" x14ac:dyDescent="0.25">
      <c r="J5124" s="192"/>
      <c r="K5124" s="192"/>
      <c r="L5124" s="192"/>
      <c r="M5124" s="192"/>
      <c r="N5124" s="192"/>
    </row>
    <row r="5125" spans="10:14" ht="15.95" customHeight="1" x14ac:dyDescent="0.25">
      <c r="J5125" s="192"/>
      <c r="K5125" s="192"/>
      <c r="L5125" s="192"/>
      <c r="M5125" s="192"/>
      <c r="N5125" s="192"/>
    </row>
    <row r="5126" spans="10:14" ht="15.95" customHeight="1" x14ac:dyDescent="0.25">
      <c r="J5126" s="192"/>
      <c r="K5126" s="192"/>
      <c r="L5126" s="192"/>
      <c r="M5126" s="192"/>
      <c r="N5126" s="192"/>
    </row>
    <row r="5127" spans="10:14" ht="15.95" customHeight="1" x14ac:dyDescent="0.25">
      <c r="J5127" s="192"/>
      <c r="K5127" s="192"/>
      <c r="L5127" s="192"/>
      <c r="M5127" s="192"/>
      <c r="N5127" s="192"/>
    </row>
    <row r="5128" spans="10:14" ht="15.95" customHeight="1" x14ac:dyDescent="0.25">
      <c r="J5128" s="192"/>
      <c r="K5128" s="192"/>
      <c r="L5128" s="192"/>
      <c r="M5128" s="192"/>
      <c r="N5128" s="192"/>
    </row>
    <row r="5129" spans="10:14" ht="15.95" customHeight="1" x14ac:dyDescent="0.25">
      <c r="J5129" s="192"/>
      <c r="K5129" s="192"/>
      <c r="L5129" s="192"/>
      <c r="M5129" s="192"/>
      <c r="N5129" s="192"/>
    </row>
    <row r="5130" spans="10:14" ht="15.95" customHeight="1" x14ac:dyDescent="0.25">
      <c r="J5130" s="192"/>
      <c r="K5130" s="192"/>
      <c r="L5130" s="192"/>
      <c r="M5130" s="192"/>
      <c r="N5130" s="192"/>
    </row>
    <row r="5131" spans="10:14" ht="15.95" customHeight="1" x14ac:dyDescent="0.25">
      <c r="J5131" s="192"/>
      <c r="K5131" s="192"/>
      <c r="L5131" s="192"/>
      <c r="M5131" s="192"/>
      <c r="N5131" s="192"/>
    </row>
    <row r="5132" spans="10:14" ht="15.95" customHeight="1" x14ac:dyDescent="0.25">
      <c r="J5132" s="192"/>
      <c r="K5132" s="192"/>
      <c r="L5132" s="192"/>
      <c r="M5132" s="192"/>
      <c r="N5132" s="192"/>
    </row>
    <row r="5133" spans="10:14" ht="15.95" customHeight="1" x14ac:dyDescent="0.25">
      <c r="J5133" s="192"/>
      <c r="K5133" s="192"/>
      <c r="L5133" s="192"/>
      <c r="M5133" s="192"/>
      <c r="N5133" s="192"/>
    </row>
    <row r="5134" spans="10:14" ht="15.95" customHeight="1" x14ac:dyDescent="0.25">
      <c r="J5134" s="192"/>
      <c r="K5134" s="192"/>
      <c r="L5134" s="192"/>
      <c r="M5134" s="192"/>
      <c r="N5134" s="192"/>
    </row>
    <row r="5135" spans="10:14" ht="15.95" customHeight="1" x14ac:dyDescent="0.25">
      <c r="J5135" s="192"/>
      <c r="K5135" s="192"/>
      <c r="L5135" s="192"/>
      <c r="M5135" s="192"/>
      <c r="N5135" s="192"/>
    </row>
    <row r="5136" spans="10:14" ht="15.95" customHeight="1" x14ac:dyDescent="0.25">
      <c r="J5136" s="192"/>
      <c r="K5136" s="192"/>
      <c r="L5136" s="192"/>
      <c r="M5136" s="192"/>
      <c r="N5136" s="192"/>
    </row>
    <row r="5137" spans="9:14" ht="15.95" customHeight="1" x14ac:dyDescent="0.25"/>
    <row r="5138" spans="9:14" ht="15.95" customHeight="1" x14ac:dyDescent="0.25"/>
    <row r="5139" spans="9:14" ht="32.1" customHeight="1" x14ac:dyDescent="0.25">
      <c r="J5139" s="235" t="str">
        <f>ComparisonData!ABQ2</f>
        <v>SECTION E: ABOUT YOU</v>
      </c>
      <c r="K5139" s="236"/>
      <c r="L5139" s="236"/>
      <c r="M5139" s="236"/>
      <c r="N5139" s="237"/>
    </row>
    <row r="5140" spans="9:14" ht="32.1" customHeight="1" x14ac:dyDescent="0.25">
      <c r="J5140" s="235" t="str">
        <f>ComparisonData!ABQ3</f>
        <v xml:space="preserve">19. What is your ethnic group? </v>
      </c>
      <c r="K5140" s="236"/>
      <c r="L5140" s="236"/>
      <c r="M5140" s="236"/>
      <c r="N5140" s="237"/>
    </row>
    <row r="5141" spans="9:14" ht="56.1" customHeight="1" x14ac:dyDescent="0.25">
      <c r="J5141" s="185" t="str">
        <f>ComparisonData!ACB4</f>
        <v>White</v>
      </c>
      <c r="K5141" s="185" t="str">
        <f>ComparisonData!ACC4</f>
        <v>Asian</v>
      </c>
      <c r="L5141" s="185" t="str">
        <f>ComparisonData!ACD4</f>
        <v>Mixed</v>
      </c>
      <c r="M5141" s="185" t="str">
        <f>ComparisonData!ACE4</f>
        <v>Black</v>
      </c>
      <c r="N5141" s="185" t="str">
        <f>ComparisonData!ACF4</f>
        <v>Other</v>
      </c>
    </row>
    <row r="5142" spans="9:14" ht="15.95" customHeight="1" x14ac:dyDescent="0.25">
      <c r="I5142" s="188" t="str" cm="1">
        <f t="array" aca="1" ref="I5142" ca="1">_19._What_is_your_ethnic_group?_lbl</f>
        <v>TOTAL</v>
      </c>
      <c r="J5142" s="192" cm="1">
        <f t="array" aca="1" ref="J5142" ca="1">_19._What_is_your_ethnic_group?_1</f>
        <v>0.93405000000000005</v>
      </c>
      <c r="K5142" s="192" cm="1">
        <f t="array" aca="1" ref="K5142" ca="1">_19._What_is_your_ethnic_group?_2</f>
        <v>2.6079999999999999E-2</v>
      </c>
      <c r="L5142" s="192" cm="1">
        <f t="array" aca="1" ref="L5142" ca="1">_19._What_is_your_ethnic_group?_3</f>
        <v>1.653E-2</v>
      </c>
      <c r="M5142" s="192" cm="1">
        <f t="array" aca="1" ref="M5142" ca="1">_19._What_is_your_ethnic_group?_4</f>
        <v>8.7899999999999992E-3</v>
      </c>
      <c r="N5142" s="192" cm="1">
        <f t="array" aca="1" ref="N5142" ca="1">_19._What_is_your_ethnic_group?_5</f>
        <v>1.653E-2</v>
      </c>
    </row>
    <row r="5143" spans="9:14" ht="15.95" customHeight="1" x14ac:dyDescent="0.25">
      <c r="J5143" s="192"/>
      <c r="K5143" s="192"/>
      <c r="L5143" s="192"/>
      <c r="M5143" s="192"/>
      <c r="N5143" s="192"/>
    </row>
    <row r="5144" spans="9:14" ht="15.95" customHeight="1" x14ac:dyDescent="0.25">
      <c r="J5144" s="192"/>
      <c r="K5144" s="192"/>
      <c r="L5144" s="192"/>
      <c r="M5144" s="192"/>
      <c r="N5144" s="192"/>
    </row>
    <row r="5145" spans="9:14" ht="15.95" customHeight="1" x14ac:dyDescent="0.25">
      <c r="J5145" s="192"/>
      <c r="K5145" s="192"/>
      <c r="L5145" s="192"/>
      <c r="M5145" s="192"/>
      <c r="N5145" s="192"/>
    </row>
    <row r="5146" spans="9:14" ht="15.95" customHeight="1" x14ac:dyDescent="0.25">
      <c r="J5146" s="192"/>
      <c r="K5146" s="192"/>
      <c r="L5146" s="192"/>
      <c r="M5146" s="192"/>
      <c r="N5146" s="192"/>
    </row>
    <row r="5147" spans="9:14" ht="15.95" customHeight="1" x14ac:dyDescent="0.25">
      <c r="J5147" s="192"/>
      <c r="K5147" s="192"/>
      <c r="L5147" s="192"/>
      <c r="M5147" s="192"/>
      <c r="N5147" s="192"/>
    </row>
    <row r="5148" spans="9:14" ht="15.95" customHeight="1" x14ac:dyDescent="0.25">
      <c r="J5148" s="192"/>
      <c r="K5148" s="192"/>
      <c r="L5148" s="192"/>
      <c r="M5148" s="192"/>
      <c r="N5148" s="192"/>
    </row>
    <row r="5149" spans="9:14" ht="15.95" customHeight="1" x14ac:dyDescent="0.25">
      <c r="J5149" s="192"/>
      <c r="K5149" s="192"/>
      <c r="L5149" s="192"/>
      <c r="M5149" s="192"/>
      <c r="N5149" s="192"/>
    </row>
    <row r="5150" spans="9:14" ht="15.95" customHeight="1" x14ac:dyDescent="0.25">
      <c r="J5150" s="192"/>
      <c r="K5150" s="192"/>
      <c r="L5150" s="192"/>
      <c r="M5150" s="192"/>
      <c r="N5150" s="192"/>
    </row>
    <row r="5151" spans="9:14" ht="15.95" customHeight="1" x14ac:dyDescent="0.25">
      <c r="J5151" s="192"/>
      <c r="K5151" s="192"/>
      <c r="L5151" s="192"/>
      <c r="M5151" s="192"/>
      <c r="N5151" s="192"/>
    </row>
    <row r="5152" spans="9:14" ht="15.95" customHeight="1" x14ac:dyDescent="0.25">
      <c r="J5152" s="192"/>
      <c r="K5152" s="192"/>
      <c r="L5152" s="192"/>
      <c r="M5152" s="192"/>
      <c r="N5152" s="192"/>
    </row>
    <row r="5153" spans="10:14" ht="15.95" customHeight="1" x14ac:dyDescent="0.25">
      <c r="J5153" s="192"/>
      <c r="K5153" s="192"/>
      <c r="L5153" s="192"/>
      <c r="M5153" s="192"/>
      <c r="N5153" s="192"/>
    </row>
    <row r="5154" spans="10:14" ht="15.95" customHeight="1" x14ac:dyDescent="0.25">
      <c r="J5154" s="192"/>
      <c r="K5154" s="192"/>
      <c r="L5154" s="192"/>
      <c r="M5154" s="192"/>
      <c r="N5154" s="192"/>
    </row>
    <row r="5155" spans="10:14" ht="15.95" customHeight="1" x14ac:dyDescent="0.25">
      <c r="J5155" s="192"/>
      <c r="K5155" s="192"/>
      <c r="L5155" s="192"/>
      <c r="M5155" s="192"/>
      <c r="N5155" s="192"/>
    </row>
    <row r="5156" spans="10:14" ht="15.95" customHeight="1" x14ac:dyDescent="0.25">
      <c r="J5156" s="192"/>
      <c r="K5156" s="192"/>
      <c r="L5156" s="192"/>
      <c r="M5156" s="192"/>
      <c r="N5156" s="192"/>
    </row>
    <row r="5157" spans="10:14" ht="15.95" customHeight="1" x14ac:dyDescent="0.25">
      <c r="J5157" s="192"/>
      <c r="K5157" s="192"/>
      <c r="L5157" s="192"/>
      <c r="M5157" s="192"/>
      <c r="N5157" s="192"/>
    </row>
    <row r="5158" spans="10:14" ht="15.95" customHeight="1" x14ac:dyDescent="0.25">
      <c r="J5158" s="192"/>
      <c r="K5158" s="192"/>
      <c r="L5158" s="192"/>
      <c r="M5158" s="192"/>
      <c r="N5158" s="192"/>
    </row>
    <row r="5159" spans="10:14" ht="15.95" customHeight="1" x14ac:dyDescent="0.25">
      <c r="J5159" s="192"/>
      <c r="K5159" s="192"/>
      <c r="L5159" s="192"/>
      <c r="M5159" s="192"/>
      <c r="N5159" s="192"/>
    </row>
    <row r="5160" spans="10:14" ht="15.95" customHeight="1" x14ac:dyDescent="0.25">
      <c r="J5160" s="192"/>
      <c r="K5160" s="192"/>
      <c r="L5160" s="192"/>
      <c r="M5160" s="192"/>
      <c r="N5160" s="192"/>
    </row>
    <row r="5161" spans="10:14" ht="15.95" customHeight="1" x14ac:dyDescent="0.25">
      <c r="J5161" s="192"/>
      <c r="K5161" s="192"/>
      <c r="L5161" s="192"/>
      <c r="M5161" s="192"/>
      <c r="N5161" s="192"/>
    </row>
    <row r="5162" spans="10:14" ht="15.95" customHeight="1" x14ac:dyDescent="0.25">
      <c r="J5162" s="192"/>
      <c r="K5162" s="192"/>
      <c r="L5162" s="192"/>
      <c r="M5162" s="192"/>
      <c r="N5162" s="192"/>
    </row>
    <row r="5163" spans="10:14" ht="15.95" customHeight="1" x14ac:dyDescent="0.25">
      <c r="J5163" s="192"/>
      <c r="K5163" s="192"/>
      <c r="L5163" s="192"/>
      <c r="M5163" s="192"/>
      <c r="N5163" s="192"/>
    </row>
    <row r="5164" spans="10:14" ht="15.95" customHeight="1" x14ac:dyDescent="0.25">
      <c r="J5164" s="192"/>
      <c r="K5164" s="192"/>
      <c r="L5164" s="192"/>
      <c r="M5164" s="192"/>
      <c r="N5164" s="192"/>
    </row>
    <row r="5165" spans="10:14" ht="15.95" customHeight="1" x14ac:dyDescent="0.25">
      <c r="J5165" s="192"/>
      <c r="K5165" s="192"/>
      <c r="L5165" s="192"/>
      <c r="M5165" s="192"/>
      <c r="N5165" s="192"/>
    </row>
    <row r="5166" spans="10:14" ht="15.95" customHeight="1" x14ac:dyDescent="0.25">
      <c r="J5166" s="192"/>
      <c r="K5166" s="192"/>
      <c r="L5166" s="192"/>
      <c r="M5166" s="192"/>
      <c r="N5166" s="192"/>
    </row>
    <row r="5167" spans="10:14" ht="15.95" customHeight="1" x14ac:dyDescent="0.25">
      <c r="J5167" s="192"/>
      <c r="K5167" s="192"/>
      <c r="L5167" s="192"/>
      <c r="M5167" s="192"/>
      <c r="N5167" s="192"/>
    </row>
    <row r="5168" spans="10:14" ht="15.95" customHeight="1" x14ac:dyDescent="0.25">
      <c r="J5168" s="192"/>
      <c r="K5168" s="192"/>
      <c r="L5168" s="192"/>
      <c r="M5168" s="192"/>
      <c r="N5168" s="192"/>
    </row>
    <row r="5169" spans="10:14" ht="15.95" customHeight="1" x14ac:dyDescent="0.25">
      <c r="J5169" s="192"/>
      <c r="K5169" s="192"/>
      <c r="L5169" s="192"/>
      <c r="M5169" s="192"/>
      <c r="N5169" s="192"/>
    </row>
    <row r="5170" spans="10:14" ht="15.95" customHeight="1" x14ac:dyDescent="0.25">
      <c r="J5170" s="192"/>
      <c r="K5170" s="192"/>
      <c r="L5170" s="192"/>
      <c r="M5170" s="192"/>
      <c r="N5170" s="192"/>
    </row>
    <row r="5171" spans="10:14" ht="15.95" customHeight="1" x14ac:dyDescent="0.25">
      <c r="J5171" s="192"/>
      <c r="K5171" s="192"/>
      <c r="L5171" s="192"/>
      <c r="M5171" s="192"/>
      <c r="N5171" s="192"/>
    </row>
    <row r="5172" spans="10:14" ht="15.95" customHeight="1" x14ac:dyDescent="0.25">
      <c r="J5172" s="192"/>
      <c r="K5172" s="192"/>
      <c r="L5172" s="192"/>
      <c r="M5172" s="192"/>
      <c r="N5172" s="192"/>
    </row>
    <row r="5173" spans="10:14" ht="15.95" customHeight="1" x14ac:dyDescent="0.25">
      <c r="J5173" s="192"/>
      <c r="K5173" s="192"/>
      <c r="L5173" s="192"/>
      <c r="M5173" s="192"/>
      <c r="N5173" s="192"/>
    </row>
    <row r="5174" spans="10:14" ht="15.95" customHeight="1" x14ac:dyDescent="0.25">
      <c r="J5174" s="192"/>
      <c r="K5174" s="192"/>
      <c r="L5174" s="192"/>
      <c r="M5174" s="192"/>
      <c r="N5174" s="192"/>
    </row>
    <row r="5175" spans="10:14" ht="15.95" customHeight="1" x14ac:dyDescent="0.25">
      <c r="J5175" s="192"/>
      <c r="K5175" s="192"/>
      <c r="L5175" s="192"/>
      <c r="M5175" s="192"/>
      <c r="N5175" s="192"/>
    </row>
    <row r="5176" spans="10:14" ht="15.95" customHeight="1" x14ac:dyDescent="0.25">
      <c r="J5176" s="192"/>
      <c r="K5176" s="192"/>
      <c r="L5176" s="192"/>
      <c r="M5176" s="192"/>
      <c r="N5176" s="192"/>
    </row>
    <row r="5177" spans="10:14" ht="15.95" customHeight="1" x14ac:dyDescent="0.25">
      <c r="J5177" s="192"/>
      <c r="K5177" s="192"/>
      <c r="L5177" s="192"/>
      <c r="M5177" s="192"/>
      <c r="N5177" s="192"/>
    </row>
    <row r="5178" spans="10:14" ht="15.95" customHeight="1" x14ac:dyDescent="0.25">
      <c r="J5178" s="192"/>
      <c r="K5178" s="192"/>
      <c r="L5178" s="192"/>
      <c r="M5178" s="192"/>
      <c r="N5178" s="192"/>
    </row>
    <row r="5179" spans="10:14" ht="15.95" customHeight="1" x14ac:dyDescent="0.25">
      <c r="J5179" s="192"/>
      <c r="K5179" s="192"/>
      <c r="L5179" s="192"/>
      <c r="M5179" s="192"/>
      <c r="N5179" s="192"/>
    </row>
    <row r="5180" spans="10:14" ht="15.95" customHeight="1" x14ac:dyDescent="0.25">
      <c r="J5180" s="192"/>
      <c r="K5180" s="192"/>
      <c r="L5180" s="192"/>
      <c r="M5180" s="192"/>
      <c r="N5180" s="192"/>
    </row>
    <row r="5181" spans="10:14" ht="15.95" customHeight="1" x14ac:dyDescent="0.25">
      <c r="J5181" s="192"/>
      <c r="K5181" s="192"/>
      <c r="L5181" s="192"/>
      <c r="M5181" s="192"/>
      <c r="N5181" s="192"/>
    </row>
    <row r="5182" spans="10:14" ht="15.95" customHeight="1" x14ac:dyDescent="0.25">
      <c r="J5182" s="192"/>
      <c r="K5182" s="192"/>
      <c r="L5182" s="192"/>
      <c r="M5182" s="192"/>
      <c r="N5182" s="192"/>
    </row>
    <row r="5183" spans="10:14" ht="15.95" customHeight="1" x14ac:dyDescent="0.25">
      <c r="J5183" s="192"/>
      <c r="K5183" s="192"/>
      <c r="L5183" s="192"/>
      <c r="M5183" s="192"/>
      <c r="N5183" s="192"/>
    </row>
    <row r="5184" spans="10:14" ht="15.95" customHeight="1" x14ac:dyDescent="0.25">
      <c r="J5184" s="192"/>
      <c r="K5184" s="192"/>
      <c r="L5184" s="192"/>
      <c r="M5184" s="192"/>
      <c r="N5184" s="192"/>
    </row>
    <row r="5185" spans="10:14" ht="15.95" customHeight="1" x14ac:dyDescent="0.25">
      <c r="J5185" s="192"/>
      <c r="K5185" s="192"/>
      <c r="L5185" s="192"/>
      <c r="M5185" s="192"/>
      <c r="N5185" s="192"/>
    </row>
    <row r="5186" spans="10:14" ht="15.95" customHeight="1" x14ac:dyDescent="0.25">
      <c r="J5186" s="192"/>
      <c r="K5186" s="192"/>
      <c r="L5186" s="192"/>
      <c r="M5186" s="192"/>
      <c r="N5186" s="192"/>
    </row>
    <row r="5187" spans="10:14" ht="15.95" customHeight="1" x14ac:dyDescent="0.25">
      <c r="J5187" s="192"/>
      <c r="K5187" s="192"/>
      <c r="L5187" s="192"/>
      <c r="M5187" s="192"/>
      <c r="N5187" s="192"/>
    </row>
    <row r="5188" spans="10:14" ht="15.95" customHeight="1" x14ac:dyDescent="0.25">
      <c r="J5188" s="192"/>
      <c r="K5188" s="192"/>
      <c r="L5188" s="192"/>
      <c r="M5188" s="192"/>
      <c r="N5188" s="192"/>
    </row>
    <row r="5189" spans="10:14" ht="15.95" customHeight="1" x14ac:dyDescent="0.25">
      <c r="J5189" s="192"/>
      <c r="K5189" s="192"/>
      <c r="L5189" s="192"/>
      <c r="M5189" s="192"/>
      <c r="N5189" s="192"/>
    </row>
    <row r="5190" spans="10:14" ht="15.95" customHeight="1" x14ac:dyDescent="0.25">
      <c r="J5190" s="192"/>
      <c r="K5190" s="192"/>
      <c r="L5190" s="192"/>
      <c r="M5190" s="192"/>
      <c r="N5190" s="192"/>
    </row>
    <row r="5191" spans="10:14" ht="15.95" customHeight="1" x14ac:dyDescent="0.25">
      <c r="J5191" s="192"/>
      <c r="K5191" s="192"/>
      <c r="L5191" s="192"/>
      <c r="M5191" s="192"/>
      <c r="N5191" s="192"/>
    </row>
    <row r="5192" spans="10:14" ht="15.95" customHeight="1" x14ac:dyDescent="0.25">
      <c r="J5192" s="192"/>
      <c r="K5192" s="192"/>
      <c r="L5192" s="192"/>
      <c r="M5192" s="192"/>
      <c r="N5192" s="192"/>
    </row>
    <row r="5193" spans="10:14" ht="15.95" customHeight="1" x14ac:dyDescent="0.25">
      <c r="J5193" s="192"/>
      <c r="K5193" s="192"/>
      <c r="L5193" s="192"/>
      <c r="M5193" s="192"/>
      <c r="N5193" s="192"/>
    </row>
    <row r="5194" spans="10:14" ht="15.95" customHeight="1" x14ac:dyDescent="0.25">
      <c r="J5194" s="192"/>
      <c r="K5194" s="192"/>
      <c r="L5194" s="192"/>
      <c r="M5194" s="192"/>
      <c r="N5194" s="192"/>
    </row>
    <row r="5195" spans="10:14" ht="15.95" customHeight="1" x14ac:dyDescent="0.25">
      <c r="J5195" s="192"/>
      <c r="K5195" s="192"/>
      <c r="L5195" s="192"/>
      <c r="M5195" s="192"/>
      <c r="N5195" s="192"/>
    </row>
    <row r="5196" spans="10:14" ht="15.95" customHeight="1" x14ac:dyDescent="0.25">
      <c r="J5196" s="192"/>
      <c r="K5196" s="192"/>
      <c r="L5196" s="192"/>
      <c r="M5196" s="192"/>
      <c r="N5196" s="192"/>
    </row>
    <row r="5197" spans="10:14" ht="15.95" customHeight="1" x14ac:dyDescent="0.25">
      <c r="J5197" s="192"/>
      <c r="K5197" s="192"/>
      <c r="L5197" s="192"/>
      <c r="M5197" s="192"/>
      <c r="N5197" s="192"/>
    </row>
    <row r="5198" spans="10:14" ht="15.95" customHeight="1" x14ac:dyDescent="0.25">
      <c r="J5198" s="192"/>
      <c r="K5198" s="192"/>
      <c r="L5198" s="192"/>
      <c r="M5198" s="192"/>
      <c r="N5198" s="192"/>
    </row>
    <row r="5199" spans="10:14" ht="15.95" customHeight="1" x14ac:dyDescent="0.25">
      <c r="J5199" s="192"/>
      <c r="K5199" s="192"/>
      <c r="L5199" s="192"/>
      <c r="M5199" s="192"/>
      <c r="N5199" s="192"/>
    </row>
    <row r="5200" spans="10:14" ht="15.95" customHeight="1" x14ac:dyDescent="0.25">
      <c r="J5200" s="192"/>
      <c r="K5200" s="192"/>
      <c r="L5200" s="192"/>
      <c r="M5200" s="192"/>
      <c r="N5200" s="192"/>
    </row>
    <row r="5201" spans="10:14" ht="15.95" customHeight="1" x14ac:dyDescent="0.25">
      <c r="J5201" s="192"/>
      <c r="K5201" s="192"/>
      <c r="L5201" s="192"/>
      <c r="M5201" s="192"/>
      <c r="N5201" s="192"/>
    </row>
    <row r="5202" spans="10:14" ht="15.95" customHeight="1" x14ac:dyDescent="0.25">
      <c r="J5202" s="192"/>
      <c r="K5202" s="192"/>
      <c r="L5202" s="192"/>
      <c r="M5202" s="192"/>
      <c r="N5202" s="192"/>
    </row>
    <row r="5203" spans="10:14" ht="15.95" customHeight="1" x14ac:dyDescent="0.25">
      <c r="J5203" s="192"/>
      <c r="K5203" s="192"/>
      <c r="L5203" s="192"/>
      <c r="M5203" s="192"/>
      <c r="N5203" s="192"/>
    </row>
    <row r="5204" spans="10:14" ht="15.95" customHeight="1" x14ac:dyDescent="0.25">
      <c r="J5204" s="192"/>
      <c r="K5204" s="192"/>
      <c r="L5204" s="192"/>
      <c r="M5204" s="192"/>
      <c r="N5204" s="192"/>
    </row>
    <row r="5205" spans="10:14" ht="15.95" customHeight="1" x14ac:dyDescent="0.25">
      <c r="J5205" s="192"/>
      <c r="K5205" s="192"/>
      <c r="L5205" s="192"/>
      <c r="M5205" s="192"/>
      <c r="N5205" s="192"/>
    </row>
    <row r="5206" spans="10:14" ht="15.95" customHeight="1" x14ac:dyDescent="0.25">
      <c r="J5206" s="192"/>
      <c r="K5206" s="192"/>
      <c r="L5206" s="192"/>
      <c r="M5206" s="192"/>
      <c r="N5206" s="192"/>
    </row>
    <row r="5207" spans="10:14" ht="15.95" customHeight="1" x14ac:dyDescent="0.25">
      <c r="J5207" s="192"/>
      <c r="K5207" s="192"/>
      <c r="L5207" s="192"/>
      <c r="M5207" s="192"/>
      <c r="N5207" s="192"/>
    </row>
    <row r="5208" spans="10:14" ht="15.95" customHeight="1" x14ac:dyDescent="0.25">
      <c r="J5208" s="192"/>
      <c r="K5208" s="192"/>
      <c r="L5208" s="192"/>
      <c r="M5208" s="192"/>
      <c r="N5208" s="192"/>
    </row>
    <row r="5209" spans="10:14" ht="15.95" customHeight="1" x14ac:dyDescent="0.25">
      <c r="J5209" s="192"/>
      <c r="K5209" s="192"/>
      <c r="L5209" s="192"/>
      <c r="M5209" s="192"/>
      <c r="N5209" s="192"/>
    </row>
    <row r="5210" spans="10:14" ht="15.95" customHeight="1" x14ac:dyDescent="0.25">
      <c r="J5210" s="192"/>
      <c r="K5210" s="192"/>
      <c r="L5210" s="192"/>
      <c r="M5210" s="192"/>
      <c r="N5210" s="192"/>
    </row>
    <row r="5211" spans="10:14" ht="15.95" customHeight="1" x14ac:dyDescent="0.25">
      <c r="J5211" s="192"/>
      <c r="K5211" s="192"/>
      <c r="L5211" s="192"/>
      <c r="M5211" s="192"/>
      <c r="N5211" s="192"/>
    </row>
    <row r="5212" spans="10:14" ht="15.95" customHeight="1" x14ac:dyDescent="0.25">
      <c r="J5212" s="192"/>
      <c r="K5212" s="192"/>
      <c r="L5212" s="192"/>
      <c r="M5212" s="192"/>
      <c r="N5212" s="192"/>
    </row>
    <row r="5213" spans="10:14" ht="15.95" customHeight="1" x14ac:dyDescent="0.25">
      <c r="J5213" s="192"/>
      <c r="K5213" s="192"/>
      <c r="L5213" s="192"/>
      <c r="M5213" s="192"/>
      <c r="N5213" s="192"/>
    </row>
    <row r="5214" spans="10:14" ht="15.95" customHeight="1" x14ac:dyDescent="0.25">
      <c r="J5214" s="192"/>
      <c r="K5214" s="192"/>
      <c r="L5214" s="192"/>
      <c r="M5214" s="192"/>
      <c r="N5214" s="192"/>
    </row>
    <row r="5215" spans="10:14" ht="15.95" customHeight="1" x14ac:dyDescent="0.25">
      <c r="J5215" s="192"/>
      <c r="K5215" s="192"/>
      <c r="L5215" s="192"/>
      <c r="M5215" s="192"/>
      <c r="N5215" s="192"/>
    </row>
    <row r="5216" spans="10:14" ht="15.95" customHeight="1" x14ac:dyDescent="0.25">
      <c r="J5216" s="192"/>
      <c r="K5216" s="192"/>
      <c r="L5216" s="192"/>
      <c r="M5216" s="192"/>
      <c r="N5216" s="192"/>
    </row>
    <row r="5217" spans="10:14" ht="15.95" customHeight="1" x14ac:dyDescent="0.25">
      <c r="J5217" s="192"/>
      <c r="K5217" s="192"/>
      <c r="L5217" s="192"/>
      <c r="M5217" s="192"/>
      <c r="N5217" s="192"/>
    </row>
    <row r="5218" spans="10:14" ht="15.95" customHeight="1" x14ac:dyDescent="0.25">
      <c r="J5218" s="192"/>
      <c r="K5218" s="192"/>
      <c r="L5218" s="192"/>
      <c r="M5218" s="192"/>
      <c r="N5218" s="192"/>
    </row>
    <row r="5219" spans="10:14" ht="15.95" customHeight="1" x14ac:dyDescent="0.25">
      <c r="J5219" s="192"/>
      <c r="K5219" s="192"/>
      <c r="L5219" s="192"/>
      <c r="M5219" s="192"/>
      <c r="N5219" s="192"/>
    </row>
    <row r="5220" spans="10:14" ht="15.95" customHeight="1" x14ac:dyDescent="0.25">
      <c r="J5220" s="192"/>
      <c r="K5220" s="192"/>
      <c r="L5220" s="192"/>
      <c r="M5220" s="192"/>
      <c r="N5220" s="192"/>
    </row>
    <row r="5221" spans="10:14" ht="15.95" customHeight="1" x14ac:dyDescent="0.25">
      <c r="J5221" s="192"/>
      <c r="K5221" s="192"/>
      <c r="L5221" s="192"/>
      <c r="M5221" s="192"/>
      <c r="N5221" s="192"/>
    </row>
    <row r="5222" spans="10:14" ht="15.95" customHeight="1" x14ac:dyDescent="0.25">
      <c r="J5222" s="192"/>
      <c r="K5222" s="192"/>
      <c r="L5222" s="192"/>
      <c r="M5222" s="192"/>
      <c r="N5222" s="192"/>
    </row>
    <row r="5223" spans="10:14" ht="15.95" customHeight="1" x14ac:dyDescent="0.25">
      <c r="J5223" s="192"/>
      <c r="K5223" s="192"/>
      <c r="L5223" s="192"/>
      <c r="M5223" s="192"/>
      <c r="N5223" s="192"/>
    </row>
    <row r="5224" spans="10:14" ht="15.95" customHeight="1" x14ac:dyDescent="0.25">
      <c r="J5224" s="192"/>
      <c r="K5224" s="192"/>
      <c r="L5224" s="192"/>
      <c r="M5224" s="192"/>
      <c r="N5224" s="192"/>
    </row>
    <row r="5225" spans="10:14" ht="15.95" customHeight="1" x14ac:dyDescent="0.25">
      <c r="J5225" s="192"/>
      <c r="K5225" s="192"/>
      <c r="L5225" s="192"/>
      <c r="M5225" s="192"/>
      <c r="N5225" s="192"/>
    </row>
    <row r="5226" spans="10:14" ht="15.95" customHeight="1" x14ac:dyDescent="0.25">
      <c r="J5226" s="192"/>
      <c r="K5226" s="192"/>
      <c r="L5226" s="192"/>
      <c r="M5226" s="192"/>
      <c r="N5226" s="192"/>
    </row>
    <row r="5227" spans="10:14" ht="15.95" customHeight="1" x14ac:dyDescent="0.25">
      <c r="J5227" s="192"/>
      <c r="K5227" s="192"/>
      <c r="L5227" s="192"/>
      <c r="M5227" s="192"/>
      <c r="N5227" s="192"/>
    </row>
    <row r="5228" spans="10:14" ht="15.95" customHeight="1" x14ac:dyDescent="0.25">
      <c r="J5228" s="192"/>
      <c r="K5228" s="192"/>
      <c r="L5228" s="192"/>
      <c r="M5228" s="192"/>
      <c r="N5228" s="192"/>
    </row>
    <row r="5229" spans="10:14" ht="15.95" customHeight="1" x14ac:dyDescent="0.25">
      <c r="J5229" s="192"/>
      <c r="K5229" s="192"/>
      <c r="L5229" s="192"/>
      <c r="M5229" s="192"/>
      <c r="N5229" s="192"/>
    </row>
    <row r="5230" spans="10:14" ht="15.95" customHeight="1" x14ac:dyDescent="0.25">
      <c r="J5230" s="192"/>
      <c r="K5230" s="192"/>
      <c r="L5230" s="192"/>
      <c r="M5230" s="192"/>
      <c r="N5230" s="192"/>
    </row>
    <row r="5231" spans="10:14" ht="15.95" customHeight="1" x14ac:dyDescent="0.25">
      <c r="J5231" s="192"/>
      <c r="K5231" s="192"/>
      <c r="L5231" s="192"/>
      <c r="M5231" s="192"/>
      <c r="N5231" s="192"/>
    </row>
    <row r="5232" spans="10:14" ht="15.95" customHeight="1" x14ac:dyDescent="0.25">
      <c r="J5232" s="192"/>
      <c r="K5232" s="192"/>
      <c r="L5232" s="192"/>
      <c r="M5232" s="192"/>
      <c r="N5232" s="192"/>
    </row>
    <row r="5233" spans="10:14" ht="15.95" customHeight="1" x14ac:dyDescent="0.25">
      <c r="J5233" s="192"/>
      <c r="K5233" s="192"/>
      <c r="L5233" s="192"/>
      <c r="M5233" s="192"/>
      <c r="N5233" s="192"/>
    </row>
    <row r="5234" spans="10:14" ht="15.95" customHeight="1" x14ac:dyDescent="0.25">
      <c r="J5234" s="192"/>
      <c r="K5234" s="192"/>
      <c r="L5234" s="192"/>
      <c r="M5234" s="192"/>
      <c r="N5234" s="192"/>
    </row>
    <row r="5235" spans="10:14" ht="15.95" customHeight="1" x14ac:dyDescent="0.25">
      <c r="J5235" s="192"/>
      <c r="K5235" s="192"/>
      <c r="L5235" s="192"/>
      <c r="M5235" s="192"/>
      <c r="N5235" s="192"/>
    </row>
    <row r="5236" spans="10:14" ht="15.95" customHeight="1" x14ac:dyDescent="0.25">
      <c r="J5236" s="192"/>
      <c r="K5236" s="192"/>
      <c r="L5236" s="192"/>
      <c r="M5236" s="192"/>
      <c r="N5236" s="192"/>
    </row>
    <row r="5237" spans="10:14" ht="15.95" customHeight="1" x14ac:dyDescent="0.25">
      <c r="J5237" s="192"/>
      <c r="K5237" s="192"/>
      <c r="L5237" s="192"/>
      <c r="M5237" s="192"/>
      <c r="N5237" s="192"/>
    </row>
    <row r="5238" spans="10:14" ht="15.95" customHeight="1" x14ac:dyDescent="0.25">
      <c r="J5238" s="192"/>
      <c r="K5238" s="192"/>
      <c r="L5238" s="192"/>
      <c r="M5238" s="192"/>
      <c r="N5238" s="192"/>
    </row>
    <row r="5239" spans="10:14" ht="15.95" customHeight="1" x14ac:dyDescent="0.25">
      <c r="J5239" s="192"/>
      <c r="K5239" s="192"/>
      <c r="L5239" s="192"/>
      <c r="M5239" s="192"/>
      <c r="N5239" s="192"/>
    </row>
    <row r="5240" spans="10:14" ht="15.95" customHeight="1" x14ac:dyDescent="0.25">
      <c r="J5240" s="192"/>
      <c r="K5240" s="192"/>
      <c r="L5240" s="192"/>
      <c r="M5240" s="192"/>
      <c r="N5240" s="192"/>
    </row>
    <row r="5241" spans="10:14" ht="15.95" customHeight="1" x14ac:dyDescent="0.25">
      <c r="J5241" s="192"/>
      <c r="K5241" s="192"/>
      <c r="L5241" s="192"/>
      <c r="M5241" s="192"/>
      <c r="N5241" s="192"/>
    </row>
    <row r="5242" spans="10:14" ht="15.95" customHeight="1" x14ac:dyDescent="0.25">
      <c r="J5242" s="192"/>
      <c r="K5242" s="192"/>
      <c r="L5242" s="192"/>
      <c r="M5242" s="192"/>
      <c r="N5242" s="192"/>
    </row>
    <row r="5243" spans="10:14" ht="15.95" customHeight="1" x14ac:dyDescent="0.25">
      <c r="J5243" s="192"/>
      <c r="K5243" s="192"/>
      <c r="L5243" s="192"/>
      <c r="M5243" s="192"/>
      <c r="N5243" s="192"/>
    </row>
    <row r="5244" spans="10:14" ht="15.95" customHeight="1" x14ac:dyDescent="0.25">
      <c r="J5244" s="192"/>
      <c r="K5244" s="192"/>
      <c r="L5244" s="192"/>
      <c r="M5244" s="192"/>
      <c r="N5244" s="192"/>
    </row>
    <row r="5245" spans="10:14" ht="15.95" customHeight="1" x14ac:dyDescent="0.25">
      <c r="J5245" s="192"/>
      <c r="K5245" s="192"/>
      <c r="L5245" s="192"/>
      <c r="M5245" s="192"/>
      <c r="N5245" s="192"/>
    </row>
    <row r="5246" spans="10:14" ht="15.95" customHeight="1" x14ac:dyDescent="0.25">
      <c r="J5246" s="192"/>
      <c r="K5246" s="192"/>
      <c r="L5246" s="192"/>
      <c r="M5246" s="192"/>
      <c r="N5246" s="192"/>
    </row>
    <row r="5247" spans="10:14" ht="15.95" customHeight="1" x14ac:dyDescent="0.25">
      <c r="J5247" s="192"/>
      <c r="K5247" s="192"/>
      <c r="L5247" s="192"/>
      <c r="M5247" s="192"/>
      <c r="N5247" s="192"/>
    </row>
    <row r="5248" spans="10:14" ht="15.95" customHeight="1" x14ac:dyDescent="0.25">
      <c r="J5248" s="192"/>
      <c r="K5248" s="192"/>
      <c r="L5248" s="192"/>
      <c r="M5248" s="192"/>
      <c r="N5248" s="192"/>
    </row>
    <row r="5249" spans="9:14" ht="15.95" customHeight="1" x14ac:dyDescent="0.25">
      <c r="J5249" s="192"/>
      <c r="K5249" s="192"/>
      <c r="L5249" s="192"/>
      <c r="M5249" s="192"/>
      <c r="N5249" s="192"/>
    </row>
    <row r="5250" spans="9:14" ht="15.95" customHeight="1" x14ac:dyDescent="0.25">
      <c r="J5250" s="192"/>
      <c r="K5250" s="192"/>
      <c r="L5250" s="192"/>
      <c r="M5250" s="192"/>
      <c r="N5250" s="192"/>
    </row>
    <row r="5251" spans="9:14" ht="15.95" customHeight="1" x14ac:dyDescent="0.25">
      <c r="J5251" s="192"/>
      <c r="K5251" s="192"/>
      <c r="L5251" s="192"/>
      <c r="M5251" s="192"/>
      <c r="N5251" s="192"/>
    </row>
    <row r="5252" spans="9:14" ht="15.95" customHeight="1" x14ac:dyDescent="0.25">
      <c r="J5252" s="192"/>
      <c r="K5252" s="192"/>
      <c r="L5252" s="192"/>
      <c r="M5252" s="192"/>
      <c r="N5252" s="192"/>
    </row>
    <row r="5253" spans="9:14" ht="15.95" customHeight="1" x14ac:dyDescent="0.25">
      <c r="J5253" s="192"/>
      <c r="K5253" s="192"/>
      <c r="L5253" s="192"/>
      <c r="M5253" s="192"/>
      <c r="N5253" s="192"/>
    </row>
    <row r="5254" spans="9:14" ht="15.95" customHeight="1" x14ac:dyDescent="0.25"/>
    <row r="5255" spans="9:14" ht="15.95" customHeight="1" x14ac:dyDescent="0.25"/>
    <row r="5256" spans="9:14" ht="48" customHeight="1" x14ac:dyDescent="0.25">
      <c r="J5256" s="235" t="str">
        <f>ComparisonData!ACH2</f>
        <v>SECTION E: ABOUT YOU</v>
      </c>
      <c r="K5256" s="237"/>
    </row>
    <row r="5257" spans="9:14" ht="48" customHeight="1" x14ac:dyDescent="0.25">
      <c r="J5257" s="235" t="str">
        <f>ComparisonData!ACH3</f>
        <v>20. (a) Do you have any long-lasting physical or mental health conditions?</v>
      </c>
      <c r="K5257" s="237"/>
    </row>
    <row r="5258" spans="9:14" ht="32.1" customHeight="1" x14ac:dyDescent="0.25">
      <c r="J5258" s="189" t="str">
        <f>ComparisonData!ACM4</f>
        <v>Yes</v>
      </c>
      <c r="K5258" s="189" t="str">
        <f>ComparisonData!ACN4</f>
        <v>No</v>
      </c>
    </row>
    <row r="5259" spans="9:14" ht="15.95" customHeight="1" x14ac:dyDescent="0.25">
      <c r="I5259" s="188" t="str" cm="1">
        <f t="array" aca="1" ref="I5259" ca="1">_20.__a__Do_you_have_any_long_lasting_physical_or_mental_health_conditions?_lbl</f>
        <v>TOTAL</v>
      </c>
      <c r="J5259" s="192" cm="1">
        <f t="array" aca="1" ref="J5259" ca="1">_20.__a__Do_you_have_any_long_lasting_physical_or_mental_health_conditions?_1</f>
        <v>0.12058000000000001</v>
      </c>
      <c r="K5259" s="192" cm="1">
        <f t="array" aca="1" ref="K5259" ca="1">_20.__a__Do_you_have_any_long_lasting_physical_or_mental_health_conditions?_2</f>
        <v>0.87941999999999998</v>
      </c>
    </row>
    <row r="5260" spans="9:14" ht="15.95" customHeight="1" x14ac:dyDescent="0.25">
      <c r="J5260" s="192"/>
      <c r="K5260" s="192"/>
    </row>
    <row r="5261" spans="9:14" ht="15.95" customHeight="1" x14ac:dyDescent="0.25">
      <c r="J5261" s="192"/>
      <c r="K5261" s="192"/>
    </row>
    <row r="5262" spans="9:14" ht="15.95" customHeight="1" x14ac:dyDescent="0.25">
      <c r="J5262" s="192"/>
      <c r="K5262" s="192"/>
    </row>
    <row r="5263" spans="9:14" ht="15.95" customHeight="1" x14ac:dyDescent="0.25">
      <c r="J5263" s="192"/>
      <c r="K5263" s="192"/>
    </row>
    <row r="5264" spans="9:14" ht="15.95" customHeight="1" x14ac:dyDescent="0.25">
      <c r="J5264" s="192"/>
      <c r="K5264" s="192"/>
    </row>
    <row r="5265" spans="10:11" ht="15.95" customHeight="1" x14ac:dyDescent="0.25">
      <c r="J5265" s="192"/>
      <c r="K5265" s="192"/>
    </row>
    <row r="5266" spans="10:11" ht="15.95" customHeight="1" x14ac:dyDescent="0.25">
      <c r="J5266" s="192"/>
      <c r="K5266" s="192"/>
    </row>
    <row r="5267" spans="10:11" ht="15.95" customHeight="1" x14ac:dyDescent="0.25">
      <c r="J5267" s="192"/>
      <c r="K5267" s="192"/>
    </row>
    <row r="5268" spans="10:11" ht="15.95" customHeight="1" x14ac:dyDescent="0.25">
      <c r="J5268" s="192"/>
      <c r="K5268" s="192"/>
    </row>
    <row r="5269" spans="10:11" ht="15.95" customHeight="1" x14ac:dyDescent="0.25">
      <c r="J5269" s="192"/>
      <c r="K5269" s="192"/>
    </row>
    <row r="5270" spans="10:11" ht="15.95" customHeight="1" x14ac:dyDescent="0.25">
      <c r="J5270" s="192"/>
      <c r="K5270" s="192"/>
    </row>
    <row r="5271" spans="10:11" ht="15.95" customHeight="1" x14ac:dyDescent="0.25">
      <c r="J5271" s="192"/>
      <c r="K5271" s="192"/>
    </row>
    <row r="5272" spans="10:11" ht="15.95" customHeight="1" x14ac:dyDescent="0.25">
      <c r="J5272" s="192"/>
      <c r="K5272" s="192"/>
    </row>
    <row r="5273" spans="10:11" ht="15.95" customHeight="1" x14ac:dyDescent="0.25">
      <c r="J5273" s="192"/>
      <c r="K5273" s="192"/>
    </row>
    <row r="5274" spans="10:11" ht="15.95" customHeight="1" x14ac:dyDescent="0.25">
      <c r="J5274" s="192"/>
      <c r="K5274" s="192"/>
    </row>
    <row r="5275" spans="10:11" ht="15.95" customHeight="1" x14ac:dyDescent="0.25">
      <c r="J5275" s="192"/>
      <c r="K5275" s="192"/>
    </row>
    <row r="5276" spans="10:11" ht="15.95" customHeight="1" x14ac:dyDescent="0.25">
      <c r="J5276" s="192"/>
      <c r="K5276" s="192"/>
    </row>
    <row r="5277" spans="10:11" ht="15.95" customHeight="1" x14ac:dyDescent="0.25">
      <c r="J5277" s="192"/>
      <c r="K5277" s="192"/>
    </row>
    <row r="5278" spans="10:11" ht="15.95" customHeight="1" x14ac:dyDescent="0.25">
      <c r="J5278" s="192"/>
      <c r="K5278" s="192"/>
    </row>
    <row r="5279" spans="10:11" ht="15.95" customHeight="1" x14ac:dyDescent="0.25">
      <c r="J5279" s="192"/>
      <c r="K5279" s="192"/>
    </row>
    <row r="5280" spans="10:11" ht="15.95" customHeight="1" x14ac:dyDescent="0.25">
      <c r="J5280" s="192"/>
      <c r="K5280" s="192"/>
    </row>
    <row r="5281" spans="10:11" ht="15.95" customHeight="1" x14ac:dyDescent="0.25">
      <c r="J5281" s="192"/>
      <c r="K5281" s="192"/>
    </row>
    <row r="5282" spans="10:11" ht="15.95" customHeight="1" x14ac:dyDescent="0.25">
      <c r="J5282" s="192"/>
      <c r="K5282" s="192"/>
    </row>
    <row r="5283" spans="10:11" ht="15.95" customHeight="1" x14ac:dyDescent="0.25">
      <c r="J5283" s="192"/>
      <c r="K5283" s="192"/>
    </row>
    <row r="5284" spans="10:11" ht="15.95" customHeight="1" x14ac:dyDescent="0.25">
      <c r="J5284" s="192"/>
      <c r="K5284" s="192"/>
    </row>
    <row r="5285" spans="10:11" ht="15.95" customHeight="1" x14ac:dyDescent="0.25">
      <c r="J5285" s="192"/>
      <c r="K5285" s="192"/>
    </row>
    <row r="5286" spans="10:11" ht="15.95" customHeight="1" x14ac:dyDescent="0.25">
      <c r="J5286" s="192"/>
      <c r="K5286" s="192"/>
    </row>
    <row r="5287" spans="10:11" ht="15.95" customHeight="1" x14ac:dyDescent="0.25">
      <c r="J5287" s="192"/>
      <c r="K5287" s="192"/>
    </row>
    <row r="5288" spans="10:11" ht="15.95" customHeight="1" x14ac:dyDescent="0.25">
      <c r="J5288" s="192"/>
      <c r="K5288" s="192"/>
    </row>
    <row r="5289" spans="10:11" ht="15.95" customHeight="1" x14ac:dyDescent="0.25">
      <c r="J5289" s="192"/>
      <c r="K5289" s="192"/>
    </row>
    <row r="5290" spans="10:11" ht="15.95" customHeight="1" x14ac:dyDescent="0.25">
      <c r="J5290" s="192"/>
      <c r="K5290" s="192"/>
    </row>
    <row r="5291" spans="10:11" ht="15.95" customHeight="1" x14ac:dyDescent="0.25">
      <c r="J5291" s="192"/>
      <c r="K5291" s="192"/>
    </row>
    <row r="5292" spans="10:11" ht="15.95" customHeight="1" x14ac:dyDescent="0.25">
      <c r="J5292" s="192"/>
      <c r="K5292" s="192"/>
    </row>
    <row r="5293" spans="10:11" ht="15.95" customHeight="1" x14ac:dyDescent="0.25">
      <c r="J5293" s="192"/>
      <c r="K5293" s="192"/>
    </row>
    <row r="5294" spans="10:11" ht="15.95" customHeight="1" x14ac:dyDescent="0.25">
      <c r="J5294" s="192"/>
      <c r="K5294" s="192"/>
    </row>
    <row r="5295" spans="10:11" ht="15.95" customHeight="1" x14ac:dyDescent="0.25">
      <c r="J5295" s="192"/>
      <c r="K5295" s="192"/>
    </row>
    <row r="5296" spans="10:11" ht="15.95" customHeight="1" x14ac:dyDescent="0.25">
      <c r="J5296" s="192"/>
      <c r="K5296" s="192"/>
    </row>
    <row r="5297" spans="10:11" ht="15.95" customHeight="1" x14ac:dyDescent="0.25">
      <c r="J5297" s="192"/>
      <c r="K5297" s="192"/>
    </row>
    <row r="5298" spans="10:11" ht="15.95" customHeight="1" x14ac:dyDescent="0.25">
      <c r="J5298" s="192"/>
      <c r="K5298" s="192"/>
    </row>
    <row r="5299" spans="10:11" ht="15.95" customHeight="1" x14ac:dyDescent="0.25">
      <c r="J5299" s="192"/>
      <c r="K5299" s="192"/>
    </row>
    <row r="5300" spans="10:11" ht="15.95" customHeight="1" x14ac:dyDescent="0.25">
      <c r="J5300" s="192"/>
      <c r="K5300" s="192"/>
    </row>
    <row r="5301" spans="10:11" ht="15.95" customHeight="1" x14ac:dyDescent="0.25">
      <c r="J5301" s="192"/>
      <c r="K5301" s="192"/>
    </row>
    <row r="5302" spans="10:11" ht="15.95" customHeight="1" x14ac:dyDescent="0.25">
      <c r="J5302" s="192"/>
      <c r="K5302" s="192"/>
    </row>
    <row r="5303" spans="10:11" ht="15.95" customHeight="1" x14ac:dyDescent="0.25">
      <c r="J5303" s="192"/>
      <c r="K5303" s="192"/>
    </row>
    <row r="5304" spans="10:11" ht="15.95" customHeight="1" x14ac:dyDescent="0.25">
      <c r="J5304" s="192"/>
      <c r="K5304" s="192"/>
    </row>
    <row r="5305" spans="10:11" ht="15.95" customHeight="1" x14ac:dyDescent="0.25">
      <c r="J5305" s="192"/>
      <c r="K5305" s="192"/>
    </row>
    <row r="5306" spans="10:11" ht="15.95" customHeight="1" x14ac:dyDescent="0.25">
      <c r="J5306" s="192"/>
      <c r="K5306" s="192"/>
    </row>
    <row r="5307" spans="10:11" ht="15.95" customHeight="1" x14ac:dyDescent="0.25">
      <c r="J5307" s="192"/>
      <c r="K5307" s="192"/>
    </row>
    <row r="5308" spans="10:11" ht="15.95" customHeight="1" x14ac:dyDescent="0.25">
      <c r="J5308" s="192"/>
      <c r="K5308" s="192"/>
    </row>
    <row r="5309" spans="10:11" ht="15.95" customHeight="1" x14ac:dyDescent="0.25">
      <c r="J5309" s="192"/>
      <c r="K5309" s="192"/>
    </row>
    <row r="5310" spans="10:11" ht="15.95" customHeight="1" x14ac:dyDescent="0.25">
      <c r="J5310" s="192"/>
      <c r="K5310" s="192"/>
    </row>
    <row r="5311" spans="10:11" ht="15.95" customHeight="1" x14ac:dyDescent="0.25">
      <c r="J5311" s="192"/>
      <c r="K5311" s="192"/>
    </row>
    <row r="5312" spans="10:11" ht="15.95" customHeight="1" x14ac:dyDescent="0.25">
      <c r="J5312" s="192"/>
      <c r="K5312" s="192"/>
    </row>
    <row r="5313" spans="10:11" ht="15.95" customHeight="1" x14ac:dyDescent="0.25">
      <c r="J5313" s="192"/>
      <c r="K5313" s="192"/>
    </row>
    <row r="5314" spans="10:11" ht="15.95" customHeight="1" x14ac:dyDescent="0.25">
      <c r="J5314" s="192"/>
      <c r="K5314" s="192"/>
    </row>
    <row r="5315" spans="10:11" ht="15.95" customHeight="1" x14ac:dyDescent="0.25">
      <c r="J5315" s="192"/>
      <c r="K5315" s="192"/>
    </row>
    <row r="5316" spans="10:11" ht="15.95" customHeight="1" x14ac:dyDescent="0.25">
      <c r="J5316" s="192"/>
      <c r="K5316" s="192"/>
    </row>
    <row r="5317" spans="10:11" ht="15.95" customHeight="1" x14ac:dyDescent="0.25">
      <c r="J5317" s="192"/>
      <c r="K5317" s="192"/>
    </row>
    <row r="5318" spans="10:11" ht="15.95" customHeight="1" x14ac:dyDescent="0.25">
      <c r="J5318" s="192"/>
      <c r="K5318" s="192"/>
    </row>
    <row r="5319" spans="10:11" ht="15.95" customHeight="1" x14ac:dyDescent="0.25">
      <c r="J5319" s="192"/>
      <c r="K5319" s="192"/>
    </row>
    <row r="5320" spans="10:11" ht="15.95" customHeight="1" x14ac:dyDescent="0.25">
      <c r="J5320" s="192"/>
      <c r="K5320" s="192"/>
    </row>
    <row r="5321" spans="10:11" ht="15.95" customHeight="1" x14ac:dyDescent="0.25">
      <c r="J5321" s="192"/>
      <c r="K5321" s="192"/>
    </row>
    <row r="5322" spans="10:11" ht="15.95" customHeight="1" x14ac:dyDescent="0.25">
      <c r="J5322" s="192"/>
      <c r="K5322" s="192"/>
    </row>
    <row r="5323" spans="10:11" ht="15.95" customHeight="1" x14ac:dyDescent="0.25">
      <c r="J5323" s="192"/>
      <c r="K5323" s="192"/>
    </row>
    <row r="5324" spans="10:11" ht="15.95" customHeight="1" x14ac:dyDescent="0.25">
      <c r="J5324" s="192"/>
      <c r="K5324" s="192"/>
    </row>
    <row r="5325" spans="10:11" ht="15.95" customHeight="1" x14ac:dyDescent="0.25">
      <c r="J5325" s="192"/>
      <c r="K5325" s="192"/>
    </row>
    <row r="5326" spans="10:11" ht="15.95" customHeight="1" x14ac:dyDescent="0.25">
      <c r="J5326" s="192"/>
      <c r="K5326" s="192"/>
    </row>
    <row r="5327" spans="10:11" ht="15.95" customHeight="1" x14ac:dyDescent="0.25">
      <c r="J5327" s="192"/>
      <c r="K5327" s="192"/>
    </row>
    <row r="5328" spans="10:11" ht="15.95" customHeight="1" x14ac:dyDescent="0.25">
      <c r="J5328" s="192"/>
      <c r="K5328" s="192"/>
    </row>
    <row r="5329" spans="10:11" ht="15.95" customHeight="1" x14ac:dyDescent="0.25">
      <c r="J5329" s="192"/>
      <c r="K5329" s="192"/>
    </row>
    <row r="5330" spans="10:11" ht="15.95" customHeight="1" x14ac:dyDescent="0.25">
      <c r="J5330" s="192"/>
      <c r="K5330" s="192"/>
    </row>
    <row r="5331" spans="10:11" ht="15.95" customHeight="1" x14ac:dyDescent="0.25">
      <c r="J5331" s="192"/>
      <c r="K5331" s="192"/>
    </row>
    <row r="5332" spans="10:11" ht="15.95" customHeight="1" x14ac:dyDescent="0.25">
      <c r="J5332" s="192"/>
      <c r="K5332" s="192"/>
    </row>
    <row r="5333" spans="10:11" ht="15.95" customHeight="1" x14ac:dyDescent="0.25">
      <c r="J5333" s="192"/>
      <c r="K5333" s="192"/>
    </row>
    <row r="5334" spans="10:11" ht="15.95" customHeight="1" x14ac:dyDescent="0.25">
      <c r="J5334" s="192"/>
      <c r="K5334" s="192"/>
    </row>
    <row r="5335" spans="10:11" ht="15.95" customHeight="1" x14ac:dyDescent="0.25">
      <c r="J5335" s="192"/>
      <c r="K5335" s="192"/>
    </row>
    <row r="5336" spans="10:11" ht="15.95" customHeight="1" x14ac:dyDescent="0.25">
      <c r="J5336" s="192"/>
      <c r="K5336" s="192"/>
    </row>
    <row r="5337" spans="10:11" ht="15.95" customHeight="1" x14ac:dyDescent="0.25">
      <c r="J5337" s="192"/>
      <c r="K5337" s="192"/>
    </row>
    <row r="5338" spans="10:11" ht="15.95" customHeight="1" x14ac:dyDescent="0.25">
      <c r="J5338" s="192"/>
      <c r="K5338" s="192"/>
    </row>
    <row r="5339" spans="10:11" ht="15.95" customHeight="1" x14ac:dyDescent="0.25">
      <c r="J5339" s="192"/>
      <c r="K5339" s="192"/>
    </row>
    <row r="5340" spans="10:11" ht="15.95" customHeight="1" x14ac:dyDescent="0.25">
      <c r="J5340" s="192"/>
      <c r="K5340" s="192"/>
    </row>
    <row r="5341" spans="10:11" ht="15.95" customHeight="1" x14ac:dyDescent="0.25">
      <c r="J5341" s="192"/>
      <c r="K5341" s="192"/>
    </row>
    <row r="5342" spans="10:11" ht="15.95" customHeight="1" x14ac:dyDescent="0.25">
      <c r="J5342" s="192"/>
      <c r="K5342" s="192"/>
    </row>
    <row r="5343" spans="10:11" ht="15.95" customHeight="1" x14ac:dyDescent="0.25">
      <c r="J5343" s="192"/>
      <c r="K5343" s="192"/>
    </row>
    <row r="5344" spans="10:11" ht="15.95" customHeight="1" x14ac:dyDescent="0.25">
      <c r="J5344" s="192"/>
      <c r="K5344" s="192"/>
    </row>
    <row r="5345" spans="10:11" ht="15.95" customHeight="1" x14ac:dyDescent="0.25">
      <c r="J5345" s="192"/>
      <c r="K5345" s="192"/>
    </row>
    <row r="5346" spans="10:11" ht="15.95" customHeight="1" x14ac:dyDescent="0.25">
      <c r="J5346" s="192"/>
      <c r="K5346" s="192"/>
    </row>
    <row r="5347" spans="10:11" ht="15.95" customHeight="1" x14ac:dyDescent="0.25">
      <c r="J5347" s="192"/>
      <c r="K5347" s="192"/>
    </row>
    <row r="5348" spans="10:11" ht="15.95" customHeight="1" x14ac:dyDescent="0.25">
      <c r="J5348" s="192"/>
      <c r="K5348" s="192"/>
    </row>
    <row r="5349" spans="10:11" ht="15.95" customHeight="1" x14ac:dyDescent="0.25">
      <c r="J5349" s="192"/>
      <c r="K5349" s="192"/>
    </row>
    <row r="5350" spans="10:11" ht="15.95" customHeight="1" x14ac:dyDescent="0.25">
      <c r="J5350" s="192"/>
      <c r="K5350" s="192"/>
    </row>
    <row r="5351" spans="10:11" ht="15.95" customHeight="1" x14ac:dyDescent="0.25">
      <c r="J5351" s="192"/>
      <c r="K5351" s="192"/>
    </row>
    <row r="5352" spans="10:11" ht="15.95" customHeight="1" x14ac:dyDescent="0.25">
      <c r="J5352" s="192"/>
      <c r="K5352" s="192"/>
    </row>
    <row r="5353" spans="10:11" ht="15.95" customHeight="1" x14ac:dyDescent="0.25">
      <c r="J5353" s="192"/>
      <c r="K5353" s="192"/>
    </row>
    <row r="5354" spans="10:11" ht="15.95" customHeight="1" x14ac:dyDescent="0.25">
      <c r="J5354" s="192"/>
      <c r="K5354" s="192"/>
    </row>
    <row r="5355" spans="10:11" ht="15.95" customHeight="1" x14ac:dyDescent="0.25">
      <c r="J5355" s="192"/>
      <c r="K5355" s="192"/>
    </row>
    <row r="5356" spans="10:11" ht="15.95" customHeight="1" x14ac:dyDescent="0.25">
      <c r="J5356" s="192"/>
      <c r="K5356" s="192"/>
    </row>
    <row r="5357" spans="10:11" ht="15.95" customHeight="1" x14ac:dyDescent="0.25">
      <c r="J5357" s="192"/>
      <c r="K5357" s="192"/>
    </row>
    <row r="5358" spans="10:11" ht="15.95" customHeight="1" x14ac:dyDescent="0.25">
      <c r="J5358" s="192"/>
      <c r="K5358" s="192"/>
    </row>
    <row r="5359" spans="10:11" ht="15.95" customHeight="1" x14ac:dyDescent="0.25">
      <c r="J5359" s="192"/>
      <c r="K5359" s="192"/>
    </row>
    <row r="5360" spans="10:11" ht="15.95" customHeight="1" x14ac:dyDescent="0.25">
      <c r="J5360" s="192"/>
      <c r="K5360" s="192"/>
    </row>
    <row r="5361" spans="9:12" ht="15.95" customHeight="1" x14ac:dyDescent="0.25">
      <c r="J5361" s="192"/>
      <c r="K5361" s="192"/>
    </row>
    <row r="5362" spans="9:12" ht="15.95" customHeight="1" x14ac:dyDescent="0.25">
      <c r="J5362" s="192"/>
      <c r="K5362" s="192"/>
    </row>
    <row r="5363" spans="9:12" ht="15.95" customHeight="1" x14ac:dyDescent="0.25">
      <c r="J5363" s="192"/>
      <c r="K5363" s="192"/>
    </row>
    <row r="5364" spans="9:12" ht="15.95" customHeight="1" x14ac:dyDescent="0.25">
      <c r="J5364" s="192"/>
      <c r="K5364" s="192"/>
    </row>
    <row r="5365" spans="9:12" ht="15.95" customHeight="1" x14ac:dyDescent="0.25">
      <c r="J5365" s="192"/>
      <c r="K5365" s="192"/>
    </row>
    <row r="5366" spans="9:12" ht="15.95" customHeight="1" x14ac:dyDescent="0.25">
      <c r="J5366" s="192"/>
      <c r="K5366" s="192"/>
    </row>
    <row r="5367" spans="9:12" ht="15.95" customHeight="1" x14ac:dyDescent="0.25">
      <c r="J5367" s="192"/>
      <c r="K5367" s="192"/>
    </row>
    <row r="5368" spans="9:12" ht="15.95" customHeight="1" x14ac:dyDescent="0.25">
      <c r="J5368" s="192"/>
      <c r="K5368" s="192"/>
    </row>
    <row r="5369" spans="9:12" ht="15.95" customHeight="1" x14ac:dyDescent="0.25">
      <c r="J5369" s="192"/>
      <c r="K5369" s="192"/>
    </row>
    <row r="5370" spans="9:12" ht="15.95" customHeight="1" x14ac:dyDescent="0.25">
      <c r="J5370" s="192"/>
      <c r="K5370" s="192"/>
    </row>
    <row r="5371" spans="9:12" ht="15.95" customHeight="1" x14ac:dyDescent="0.25"/>
    <row r="5372" spans="9:12" ht="15.95" customHeight="1" x14ac:dyDescent="0.25"/>
    <row r="5373" spans="9:12" ht="24" customHeight="1" x14ac:dyDescent="0.25">
      <c r="J5373" s="235" t="str">
        <f>ComparisonData!ACT2</f>
        <v>SECTION E: ABOUT YOU</v>
      </c>
      <c r="K5373" s="236"/>
      <c r="L5373" s="237"/>
    </row>
    <row r="5374" spans="9:12" ht="32.1" customHeight="1" x14ac:dyDescent="0.25">
      <c r="J5374" s="235" t="str">
        <f>ComparisonData!ACT3</f>
        <v>(b) If yes, have you experienced any barriers to accessing this service?</v>
      </c>
      <c r="K5374" s="236"/>
      <c r="L5374" s="237"/>
    </row>
    <row r="5375" spans="9:12" ht="24" customHeight="1" x14ac:dyDescent="0.25">
      <c r="J5375" s="189" t="str">
        <f>ComparisonData!ACY4</f>
        <v>A lot</v>
      </c>
      <c r="K5375" s="189" t="str">
        <f>ComparisonData!ACZ4</f>
        <v>A little</v>
      </c>
      <c r="L5375" s="189" t="str">
        <f>ComparisonData!ADA4</f>
        <v>None at all</v>
      </c>
    </row>
    <row r="5376" spans="9:12" ht="15.95" customHeight="1" x14ac:dyDescent="0.25">
      <c r="I5376" s="188" t="str" cm="1">
        <f t="array" aca="1" ref="I5376" ca="1">b__If_yes__have_you_experienced_any_barriers_to_accessing_this_service?_lbl</f>
        <v>TOTAL</v>
      </c>
      <c r="J5376" s="192" cm="1">
        <f t="array" aca="1" ref="J5376" ca="1">b__If_yes__have_you_experienced_any_barriers_to_accessing_this_service?_1</f>
        <v>9.2300000000000004E-3</v>
      </c>
      <c r="K5376" s="192" cm="1">
        <f t="array" aca="1" ref="K5376" ca="1">b__If_yes__have_you_experienced_any_barriers_to_accessing_this_service?_2</f>
        <v>0.11876</v>
      </c>
      <c r="L5376" s="192" cm="1">
        <f t="array" aca="1" ref="L5376" ca="1">b__If_yes__have_you_experienced_any_barriers_to_accessing_this_service?_3</f>
        <v>0.872</v>
      </c>
    </row>
    <row r="5377" spans="10:12" ht="15.95" customHeight="1" x14ac:dyDescent="0.25">
      <c r="J5377" s="192"/>
      <c r="K5377" s="192"/>
      <c r="L5377" s="192"/>
    </row>
    <row r="5378" spans="10:12" ht="15.95" customHeight="1" x14ac:dyDescent="0.25">
      <c r="J5378" s="192"/>
      <c r="K5378" s="192"/>
      <c r="L5378" s="192"/>
    </row>
    <row r="5379" spans="10:12" ht="15.95" customHeight="1" x14ac:dyDescent="0.25">
      <c r="J5379" s="192"/>
      <c r="K5379" s="192"/>
      <c r="L5379" s="192"/>
    </row>
    <row r="5380" spans="10:12" ht="15.95" customHeight="1" x14ac:dyDescent="0.25">
      <c r="J5380" s="192"/>
      <c r="K5380" s="192"/>
      <c r="L5380" s="192"/>
    </row>
    <row r="5381" spans="10:12" ht="15.95" customHeight="1" x14ac:dyDescent="0.25">
      <c r="J5381" s="192"/>
      <c r="K5381" s="192"/>
      <c r="L5381" s="192"/>
    </row>
    <row r="5382" spans="10:12" ht="15.95" customHeight="1" x14ac:dyDescent="0.25">
      <c r="J5382" s="192"/>
      <c r="K5382" s="192"/>
      <c r="L5382" s="192"/>
    </row>
    <row r="5383" spans="10:12" ht="15.95" customHeight="1" x14ac:dyDescent="0.25">
      <c r="J5383" s="192"/>
      <c r="K5383" s="192"/>
      <c r="L5383" s="192"/>
    </row>
    <row r="5384" spans="10:12" ht="15.95" customHeight="1" x14ac:dyDescent="0.25">
      <c r="J5384" s="192"/>
      <c r="K5384" s="192"/>
      <c r="L5384" s="192"/>
    </row>
    <row r="5385" spans="10:12" ht="15.95" customHeight="1" x14ac:dyDescent="0.25">
      <c r="J5385" s="192"/>
      <c r="K5385" s="192"/>
      <c r="L5385" s="192"/>
    </row>
    <row r="5386" spans="10:12" ht="15.95" customHeight="1" x14ac:dyDescent="0.25">
      <c r="J5386" s="192"/>
      <c r="K5386" s="192"/>
      <c r="L5386" s="192"/>
    </row>
    <row r="5387" spans="10:12" ht="15.95" customHeight="1" x14ac:dyDescent="0.25">
      <c r="J5387" s="192"/>
      <c r="K5387" s="192"/>
      <c r="L5387" s="192"/>
    </row>
    <row r="5388" spans="10:12" ht="15.95" customHeight="1" x14ac:dyDescent="0.25">
      <c r="J5388" s="192"/>
      <c r="K5388" s="192"/>
      <c r="L5388" s="192"/>
    </row>
    <row r="5389" spans="10:12" ht="15.95" customHeight="1" x14ac:dyDescent="0.25">
      <c r="J5389" s="192"/>
      <c r="K5389" s="192"/>
      <c r="L5389" s="192"/>
    </row>
    <row r="5390" spans="10:12" ht="15.95" customHeight="1" x14ac:dyDescent="0.25">
      <c r="J5390" s="192"/>
      <c r="K5390" s="192"/>
      <c r="L5390" s="192"/>
    </row>
    <row r="5391" spans="10:12" ht="15.95" customHeight="1" x14ac:dyDescent="0.25">
      <c r="J5391" s="192"/>
      <c r="K5391" s="192"/>
      <c r="L5391" s="192"/>
    </row>
    <row r="5392" spans="10:12" ht="15.95" customHeight="1" x14ac:dyDescent="0.25">
      <c r="J5392" s="192"/>
      <c r="K5392" s="192"/>
      <c r="L5392" s="192"/>
    </row>
    <row r="5393" spans="10:12" ht="15.95" customHeight="1" x14ac:dyDescent="0.25">
      <c r="J5393" s="192"/>
      <c r="K5393" s="192"/>
      <c r="L5393" s="192"/>
    </row>
    <row r="5394" spans="10:12" ht="15.95" customHeight="1" x14ac:dyDescent="0.25">
      <c r="J5394" s="192"/>
      <c r="K5394" s="192"/>
      <c r="L5394" s="192"/>
    </row>
    <row r="5395" spans="10:12" ht="15.95" customHeight="1" x14ac:dyDescent="0.25">
      <c r="J5395" s="192"/>
      <c r="K5395" s="192"/>
      <c r="L5395" s="192"/>
    </row>
    <row r="5396" spans="10:12" ht="15.95" customHeight="1" x14ac:dyDescent="0.25">
      <c r="J5396" s="192"/>
      <c r="K5396" s="192"/>
      <c r="L5396" s="192"/>
    </row>
    <row r="5397" spans="10:12" ht="15.95" customHeight="1" x14ac:dyDescent="0.25">
      <c r="J5397" s="192"/>
      <c r="K5397" s="192"/>
      <c r="L5397" s="192"/>
    </row>
    <row r="5398" spans="10:12" ht="15.95" customHeight="1" x14ac:dyDescent="0.25">
      <c r="J5398" s="192"/>
      <c r="K5398" s="192"/>
      <c r="L5398" s="192"/>
    </row>
    <row r="5399" spans="10:12" ht="15.95" customHeight="1" x14ac:dyDescent="0.25">
      <c r="J5399" s="192"/>
      <c r="K5399" s="192"/>
      <c r="L5399" s="192"/>
    </row>
    <row r="5400" spans="10:12" ht="15.95" customHeight="1" x14ac:dyDescent="0.25">
      <c r="J5400" s="192"/>
      <c r="K5400" s="192"/>
      <c r="L5400" s="192"/>
    </row>
    <row r="5401" spans="10:12" ht="15.95" customHeight="1" x14ac:dyDescent="0.25">
      <c r="J5401" s="192"/>
      <c r="K5401" s="192"/>
      <c r="L5401" s="192"/>
    </row>
    <row r="5402" spans="10:12" ht="15.95" customHeight="1" x14ac:dyDescent="0.25">
      <c r="J5402" s="192"/>
      <c r="K5402" s="192"/>
      <c r="L5402" s="192"/>
    </row>
    <row r="5403" spans="10:12" ht="15.95" customHeight="1" x14ac:dyDescent="0.25">
      <c r="J5403" s="192"/>
      <c r="K5403" s="192"/>
      <c r="L5403" s="192"/>
    </row>
    <row r="5404" spans="10:12" ht="15.95" customHeight="1" x14ac:dyDescent="0.25">
      <c r="J5404" s="192"/>
      <c r="K5404" s="192"/>
      <c r="L5404" s="192"/>
    </row>
    <row r="5405" spans="10:12" ht="15.95" customHeight="1" x14ac:dyDescent="0.25">
      <c r="J5405" s="192"/>
      <c r="K5405" s="192"/>
      <c r="L5405" s="192"/>
    </row>
    <row r="5406" spans="10:12" ht="15.95" customHeight="1" x14ac:dyDescent="0.25">
      <c r="J5406" s="192"/>
      <c r="K5406" s="192"/>
      <c r="L5406" s="192"/>
    </row>
    <row r="5407" spans="10:12" ht="15.95" customHeight="1" x14ac:dyDescent="0.25">
      <c r="J5407" s="192"/>
      <c r="K5407" s="192"/>
      <c r="L5407" s="192"/>
    </row>
    <row r="5408" spans="10:12" ht="15.95" customHeight="1" x14ac:dyDescent="0.25">
      <c r="J5408" s="192"/>
      <c r="K5408" s="192"/>
      <c r="L5408" s="192"/>
    </row>
    <row r="5409" spans="10:12" ht="15.95" customHeight="1" x14ac:dyDescent="0.25">
      <c r="J5409" s="192"/>
      <c r="K5409" s="192"/>
      <c r="L5409" s="192"/>
    </row>
    <row r="5410" spans="10:12" ht="15.95" customHeight="1" x14ac:dyDescent="0.25">
      <c r="J5410" s="192"/>
      <c r="K5410" s="192"/>
      <c r="L5410" s="192"/>
    </row>
    <row r="5411" spans="10:12" ht="15.95" customHeight="1" x14ac:dyDescent="0.25">
      <c r="J5411" s="192"/>
      <c r="K5411" s="192"/>
      <c r="L5411" s="192"/>
    </row>
    <row r="5412" spans="10:12" ht="15.95" customHeight="1" x14ac:dyDescent="0.25">
      <c r="J5412" s="192"/>
      <c r="K5412" s="192"/>
      <c r="L5412" s="192"/>
    </row>
    <row r="5413" spans="10:12" ht="15.95" customHeight="1" x14ac:dyDescent="0.25">
      <c r="J5413" s="192"/>
      <c r="K5413" s="192"/>
      <c r="L5413" s="192"/>
    </row>
    <row r="5414" spans="10:12" ht="15.95" customHeight="1" x14ac:dyDescent="0.25">
      <c r="J5414" s="192"/>
      <c r="K5414" s="192"/>
      <c r="L5414" s="192"/>
    </row>
    <row r="5415" spans="10:12" ht="15.95" customHeight="1" x14ac:dyDescent="0.25">
      <c r="J5415" s="192"/>
      <c r="K5415" s="192"/>
      <c r="L5415" s="192"/>
    </row>
    <row r="5416" spans="10:12" ht="15.95" customHeight="1" x14ac:dyDescent="0.25">
      <c r="J5416" s="192"/>
      <c r="K5416" s="192"/>
      <c r="L5416" s="192"/>
    </row>
    <row r="5417" spans="10:12" ht="15.95" customHeight="1" x14ac:dyDescent="0.25">
      <c r="J5417" s="192"/>
      <c r="K5417" s="192"/>
      <c r="L5417" s="192"/>
    </row>
    <row r="5418" spans="10:12" ht="15.95" customHeight="1" x14ac:dyDescent="0.25">
      <c r="J5418" s="192"/>
      <c r="K5418" s="192"/>
      <c r="L5418" s="192"/>
    </row>
    <row r="5419" spans="10:12" ht="15.95" customHeight="1" x14ac:dyDescent="0.25">
      <c r="J5419" s="192"/>
      <c r="K5419" s="192"/>
      <c r="L5419" s="192"/>
    </row>
    <row r="5420" spans="10:12" ht="15.95" customHeight="1" x14ac:dyDescent="0.25">
      <c r="J5420" s="192"/>
      <c r="K5420" s="192"/>
      <c r="L5420" s="192"/>
    </row>
    <row r="5421" spans="10:12" ht="15.95" customHeight="1" x14ac:dyDescent="0.25">
      <c r="J5421" s="192"/>
      <c r="K5421" s="192"/>
      <c r="L5421" s="192"/>
    </row>
    <row r="5422" spans="10:12" ht="15.95" customHeight="1" x14ac:dyDescent="0.25">
      <c r="J5422" s="192"/>
      <c r="K5422" s="192"/>
      <c r="L5422" s="192"/>
    </row>
    <row r="5423" spans="10:12" ht="15.95" customHeight="1" x14ac:dyDescent="0.25">
      <c r="J5423" s="192"/>
      <c r="K5423" s="192"/>
      <c r="L5423" s="192"/>
    </row>
    <row r="5424" spans="10:12" ht="15.95" customHeight="1" x14ac:dyDescent="0.25">
      <c r="J5424" s="192"/>
      <c r="K5424" s="192"/>
      <c r="L5424" s="192"/>
    </row>
    <row r="5425" spans="10:12" ht="15.95" customHeight="1" x14ac:dyDescent="0.25">
      <c r="J5425" s="192"/>
      <c r="K5425" s="192"/>
      <c r="L5425" s="192"/>
    </row>
    <row r="5426" spans="10:12" ht="15.95" customHeight="1" x14ac:dyDescent="0.25">
      <c r="J5426" s="192"/>
      <c r="K5426" s="192"/>
      <c r="L5426" s="192"/>
    </row>
    <row r="5427" spans="10:12" ht="15.95" customHeight="1" x14ac:dyDescent="0.25">
      <c r="J5427" s="192"/>
      <c r="K5427" s="192"/>
      <c r="L5427" s="192"/>
    </row>
    <row r="5428" spans="10:12" ht="15.95" customHeight="1" x14ac:dyDescent="0.25">
      <c r="J5428" s="192"/>
      <c r="K5428" s="192"/>
      <c r="L5428" s="192"/>
    </row>
    <row r="5429" spans="10:12" ht="15.95" customHeight="1" x14ac:dyDescent="0.25">
      <c r="J5429" s="192"/>
      <c r="K5429" s="192"/>
      <c r="L5429" s="192"/>
    </row>
    <row r="5430" spans="10:12" ht="15.95" customHeight="1" x14ac:dyDescent="0.25">
      <c r="J5430" s="192"/>
      <c r="K5430" s="192"/>
      <c r="L5430" s="192"/>
    </row>
    <row r="5431" spans="10:12" ht="15.95" customHeight="1" x14ac:dyDescent="0.25">
      <c r="J5431" s="192"/>
      <c r="K5431" s="192"/>
      <c r="L5431" s="192"/>
    </row>
    <row r="5432" spans="10:12" ht="15.95" customHeight="1" x14ac:dyDescent="0.25">
      <c r="J5432" s="192"/>
      <c r="K5432" s="192"/>
      <c r="L5432" s="192"/>
    </row>
    <row r="5433" spans="10:12" ht="15.95" customHeight="1" x14ac:dyDescent="0.25">
      <c r="J5433" s="192"/>
      <c r="K5433" s="192"/>
      <c r="L5433" s="192"/>
    </row>
    <row r="5434" spans="10:12" ht="15.95" customHeight="1" x14ac:dyDescent="0.25">
      <c r="J5434" s="192"/>
      <c r="K5434" s="192"/>
      <c r="L5434" s="192"/>
    </row>
    <row r="5435" spans="10:12" ht="15.95" customHeight="1" x14ac:dyDescent="0.25">
      <c r="J5435" s="192"/>
      <c r="K5435" s="192"/>
      <c r="L5435" s="192"/>
    </row>
    <row r="5436" spans="10:12" ht="15.95" customHeight="1" x14ac:dyDescent="0.25">
      <c r="J5436" s="192"/>
      <c r="K5436" s="192"/>
      <c r="L5436" s="192"/>
    </row>
    <row r="5437" spans="10:12" ht="15.95" customHeight="1" x14ac:dyDescent="0.25">
      <c r="J5437" s="192"/>
      <c r="K5437" s="192"/>
      <c r="L5437" s="192"/>
    </row>
    <row r="5438" spans="10:12" ht="15.95" customHeight="1" x14ac:dyDescent="0.25">
      <c r="J5438" s="192"/>
      <c r="K5438" s="192"/>
      <c r="L5438" s="192"/>
    </row>
    <row r="5439" spans="10:12" ht="15.95" customHeight="1" x14ac:dyDescent="0.25">
      <c r="J5439" s="192"/>
      <c r="K5439" s="192"/>
      <c r="L5439" s="192"/>
    </row>
    <row r="5440" spans="10:12" ht="15.95" customHeight="1" x14ac:dyDescent="0.25">
      <c r="J5440" s="192"/>
      <c r="K5440" s="192"/>
      <c r="L5440" s="192"/>
    </row>
    <row r="5441" spans="10:12" ht="15.95" customHeight="1" x14ac:dyDescent="0.25">
      <c r="J5441" s="192"/>
      <c r="K5441" s="192"/>
      <c r="L5441" s="192"/>
    </row>
    <row r="5442" spans="10:12" ht="15.95" customHeight="1" x14ac:dyDescent="0.25">
      <c r="J5442" s="192"/>
      <c r="K5442" s="192"/>
      <c r="L5442" s="192"/>
    </row>
    <row r="5443" spans="10:12" ht="15.95" customHeight="1" x14ac:dyDescent="0.25">
      <c r="J5443" s="192"/>
      <c r="K5443" s="192"/>
      <c r="L5443" s="192"/>
    </row>
    <row r="5444" spans="10:12" ht="15.95" customHeight="1" x14ac:dyDescent="0.25">
      <c r="J5444" s="192"/>
      <c r="K5444" s="192"/>
      <c r="L5444" s="192"/>
    </row>
    <row r="5445" spans="10:12" ht="15.95" customHeight="1" x14ac:dyDescent="0.25">
      <c r="J5445" s="192"/>
      <c r="K5445" s="192"/>
      <c r="L5445" s="192"/>
    </row>
    <row r="5446" spans="10:12" ht="15.95" customHeight="1" x14ac:dyDescent="0.25">
      <c r="J5446" s="192"/>
      <c r="K5446" s="192"/>
      <c r="L5446" s="192"/>
    </row>
    <row r="5447" spans="10:12" ht="15.95" customHeight="1" x14ac:dyDescent="0.25">
      <c r="J5447" s="192"/>
      <c r="K5447" s="192"/>
      <c r="L5447" s="192"/>
    </row>
    <row r="5448" spans="10:12" ht="15.95" customHeight="1" x14ac:dyDescent="0.25">
      <c r="J5448" s="192"/>
      <c r="K5448" s="192"/>
      <c r="L5448" s="192"/>
    </row>
    <row r="5449" spans="10:12" ht="15.95" customHeight="1" x14ac:dyDescent="0.25">
      <c r="J5449" s="192"/>
      <c r="K5449" s="192"/>
      <c r="L5449" s="192"/>
    </row>
    <row r="5450" spans="10:12" ht="15.95" customHeight="1" x14ac:dyDescent="0.25">
      <c r="J5450" s="192"/>
      <c r="K5450" s="192"/>
      <c r="L5450" s="192"/>
    </row>
    <row r="5451" spans="10:12" ht="15.95" customHeight="1" x14ac:dyDescent="0.25">
      <c r="J5451" s="192"/>
      <c r="K5451" s="192"/>
      <c r="L5451" s="192"/>
    </row>
    <row r="5452" spans="10:12" ht="15.95" customHeight="1" x14ac:dyDescent="0.25">
      <c r="J5452" s="192"/>
      <c r="K5452" s="192"/>
      <c r="L5452" s="192"/>
    </row>
    <row r="5453" spans="10:12" ht="15.95" customHeight="1" x14ac:dyDescent="0.25">
      <c r="J5453" s="192"/>
      <c r="K5453" s="192"/>
      <c r="L5453" s="192"/>
    </row>
    <row r="5454" spans="10:12" ht="15.95" customHeight="1" x14ac:dyDescent="0.25">
      <c r="J5454" s="192"/>
      <c r="K5454" s="192"/>
      <c r="L5454" s="192"/>
    </row>
    <row r="5455" spans="10:12" ht="15.95" customHeight="1" x14ac:dyDescent="0.25">
      <c r="J5455" s="192"/>
      <c r="K5455" s="192"/>
      <c r="L5455" s="192"/>
    </row>
    <row r="5456" spans="10:12" ht="15.95" customHeight="1" x14ac:dyDescent="0.25">
      <c r="J5456" s="192"/>
      <c r="K5456" s="192"/>
      <c r="L5456" s="192"/>
    </row>
    <row r="5457" spans="10:12" ht="15.95" customHeight="1" x14ac:dyDescent="0.25">
      <c r="J5457" s="192"/>
      <c r="K5457" s="192"/>
      <c r="L5457" s="192"/>
    </row>
    <row r="5458" spans="10:12" ht="15.95" customHeight="1" x14ac:dyDescent="0.25">
      <c r="J5458" s="192"/>
      <c r="K5458" s="192"/>
      <c r="L5458" s="192"/>
    </row>
    <row r="5459" spans="10:12" ht="15.95" customHeight="1" x14ac:dyDescent="0.25">
      <c r="J5459" s="192"/>
      <c r="K5459" s="192"/>
      <c r="L5459" s="192"/>
    </row>
    <row r="5460" spans="10:12" ht="15.95" customHeight="1" x14ac:dyDescent="0.25">
      <c r="J5460" s="192"/>
      <c r="K5460" s="192"/>
      <c r="L5460" s="192"/>
    </row>
    <row r="5461" spans="10:12" ht="15.95" customHeight="1" x14ac:dyDescent="0.25">
      <c r="J5461" s="192"/>
      <c r="K5461" s="192"/>
      <c r="L5461" s="192"/>
    </row>
    <row r="5462" spans="10:12" ht="15.95" customHeight="1" x14ac:dyDescent="0.25">
      <c r="J5462" s="192"/>
      <c r="K5462" s="192"/>
      <c r="L5462" s="192"/>
    </row>
    <row r="5463" spans="10:12" ht="15.95" customHeight="1" x14ac:dyDescent="0.25">
      <c r="J5463" s="192"/>
      <c r="K5463" s="192"/>
      <c r="L5463" s="192"/>
    </row>
    <row r="5464" spans="10:12" ht="15.95" customHeight="1" x14ac:dyDescent="0.25">
      <c r="J5464" s="192"/>
      <c r="K5464" s="192"/>
      <c r="L5464" s="192"/>
    </row>
    <row r="5465" spans="10:12" ht="15.95" customHeight="1" x14ac:dyDescent="0.25">
      <c r="J5465" s="192"/>
      <c r="K5465" s="192"/>
      <c r="L5465" s="192"/>
    </row>
    <row r="5466" spans="10:12" ht="15.95" customHeight="1" x14ac:dyDescent="0.25">
      <c r="J5466" s="192"/>
      <c r="K5466" s="192"/>
      <c r="L5466" s="192"/>
    </row>
    <row r="5467" spans="10:12" ht="15.95" customHeight="1" x14ac:dyDescent="0.25">
      <c r="J5467" s="192"/>
      <c r="K5467" s="192"/>
      <c r="L5467" s="192"/>
    </row>
    <row r="5468" spans="10:12" ht="15.95" customHeight="1" x14ac:dyDescent="0.25">
      <c r="J5468" s="192"/>
      <c r="K5468" s="192"/>
      <c r="L5468" s="192"/>
    </row>
    <row r="5469" spans="10:12" ht="15.95" customHeight="1" x14ac:dyDescent="0.25">
      <c r="J5469" s="192"/>
      <c r="K5469" s="192"/>
      <c r="L5469" s="192"/>
    </row>
    <row r="5470" spans="10:12" ht="15.95" customHeight="1" x14ac:dyDescent="0.25">
      <c r="J5470" s="192"/>
      <c r="K5470" s="192"/>
      <c r="L5470" s="192"/>
    </row>
    <row r="5471" spans="10:12" ht="15.95" customHeight="1" x14ac:dyDescent="0.25">
      <c r="J5471" s="192"/>
      <c r="K5471" s="192"/>
      <c r="L5471" s="192"/>
    </row>
    <row r="5472" spans="10:12" ht="15.95" customHeight="1" x14ac:dyDescent="0.25">
      <c r="J5472" s="192"/>
      <c r="K5472" s="192"/>
      <c r="L5472" s="192"/>
    </row>
    <row r="5473" spans="10:12" ht="15.95" customHeight="1" x14ac:dyDescent="0.25">
      <c r="J5473" s="192"/>
      <c r="K5473" s="192"/>
      <c r="L5473" s="192"/>
    </row>
    <row r="5474" spans="10:12" ht="15.95" customHeight="1" x14ac:dyDescent="0.25">
      <c r="J5474" s="192"/>
      <c r="K5474" s="192"/>
      <c r="L5474" s="192"/>
    </row>
    <row r="5475" spans="10:12" ht="15.95" customHeight="1" x14ac:dyDescent="0.25">
      <c r="J5475" s="192"/>
      <c r="K5475" s="192"/>
      <c r="L5475" s="192"/>
    </row>
    <row r="5476" spans="10:12" ht="15.95" customHeight="1" x14ac:dyDescent="0.25"/>
    <row r="5477" spans="10:12" ht="15.95" customHeight="1" x14ac:dyDescent="0.25"/>
  </sheetData>
  <sheetProtection algorithmName="SHA-512" hashValue="WaFhY+xr2YDoZN4Z8umOVaaVlhEbyGxXDzIsdaEEkxkldyJ2fbbMhaYuO0/H4bgysz7Lxz0MLXyZ4U1yXiolWQ==" saltValue="Rhwxq4w0w5l24iRhHgRSAQ==" spinCount="100000" sheet="1" scenarios="1" formatCells="0" formatColumns="0" formatRows="0"/>
  <mergeCells count="120">
    <mergeCell ref="J5140:N5140"/>
    <mergeCell ref="J5256:K5256"/>
    <mergeCell ref="J5257:K5257"/>
    <mergeCell ref="J5374:L5374"/>
    <mergeCell ref="J5373:L5373"/>
    <mergeCell ref="J4948:N4948"/>
    <mergeCell ref="J4949:N4949"/>
    <mergeCell ref="J5061:N5061"/>
    <mergeCell ref="J5062:N5062"/>
    <mergeCell ref="J5139:N5139"/>
    <mergeCell ref="J4481:K4481"/>
    <mergeCell ref="J4597:K4597"/>
    <mergeCell ref="J4598:K4598"/>
    <mergeCell ref="J4714:N4714"/>
    <mergeCell ref="J4715:N4715"/>
    <mergeCell ref="J4246:K4246"/>
    <mergeCell ref="J4362:K4362"/>
    <mergeCell ref="J4363:K4363"/>
    <mergeCell ref="J4364:K4364"/>
    <mergeCell ref="J4480:K4480"/>
    <mergeCell ref="J4127:K4127"/>
    <mergeCell ref="J4128:K4128"/>
    <mergeCell ref="J4129:K4129"/>
    <mergeCell ref="J4244:K4244"/>
    <mergeCell ref="J4245:K4245"/>
    <mergeCell ref="J3659:N3659"/>
    <mergeCell ref="J3660:N3660"/>
    <mergeCell ref="J3777:M3777"/>
    <mergeCell ref="J3776:M3776"/>
    <mergeCell ref="J4012:K4012"/>
    <mergeCell ref="J4011:K4011"/>
    <mergeCell ref="J4010:K4010"/>
    <mergeCell ref="J3500:N3500"/>
    <mergeCell ref="J3501:N3501"/>
    <mergeCell ref="J3520:N3520"/>
    <mergeCell ref="J3521:N3521"/>
    <mergeCell ref="J3522:N3522"/>
    <mergeCell ref="J3372:N3372"/>
    <mergeCell ref="J3478:N3478"/>
    <mergeCell ref="J3479:N3479"/>
    <mergeCell ref="J3480:N3480"/>
    <mergeCell ref="J3499:N3499"/>
    <mergeCell ref="J3264:N3264"/>
    <mergeCell ref="J3265:N3265"/>
    <mergeCell ref="J3266:N3266"/>
    <mergeCell ref="J3370:N3370"/>
    <mergeCell ref="J3371:N3371"/>
    <mergeCell ref="J3031:N3031"/>
    <mergeCell ref="J3032:N3032"/>
    <mergeCell ref="J3148:N3148"/>
    <mergeCell ref="J3149:N3149"/>
    <mergeCell ref="J3150:N3150"/>
    <mergeCell ref="J2802:N2802"/>
    <mergeCell ref="J2914:N2914"/>
    <mergeCell ref="J2915:N2915"/>
    <mergeCell ref="J2916:N2916"/>
    <mergeCell ref="J3030:N3030"/>
    <mergeCell ref="J2682:N2682"/>
    <mergeCell ref="J2683:N2683"/>
    <mergeCell ref="J2684:N2684"/>
    <mergeCell ref="J2800:N2800"/>
    <mergeCell ref="J2801:N2801"/>
    <mergeCell ref="J2448:N2448"/>
    <mergeCell ref="J2449:N2449"/>
    <mergeCell ref="J2565:N2565"/>
    <mergeCell ref="J2566:N2566"/>
    <mergeCell ref="J2567:N2567"/>
    <mergeCell ref="J2215:N2215"/>
    <mergeCell ref="J2330:N2330"/>
    <mergeCell ref="J2331:N2331"/>
    <mergeCell ref="J2332:N2332"/>
    <mergeCell ref="J2447:N2447"/>
    <mergeCell ref="J2095:N2095"/>
    <mergeCell ref="J2096:N2096"/>
    <mergeCell ref="J2097:N2097"/>
    <mergeCell ref="J2213:N2213"/>
    <mergeCell ref="J2214:N2214"/>
    <mergeCell ref="J1872:N1872"/>
    <mergeCell ref="J1873:N1873"/>
    <mergeCell ref="J1977:N1977"/>
    <mergeCell ref="J1978:N1978"/>
    <mergeCell ref="J1979:N1979"/>
    <mergeCell ref="J1646:N1646"/>
    <mergeCell ref="J1762:N1762"/>
    <mergeCell ref="J1763:N1763"/>
    <mergeCell ref="J1764:N1764"/>
    <mergeCell ref="J1871:N1871"/>
    <mergeCell ref="J1526:N1526"/>
    <mergeCell ref="J1527:N1527"/>
    <mergeCell ref="J1528:N1528"/>
    <mergeCell ref="J1644:N1644"/>
    <mergeCell ref="J1645:N1645"/>
    <mergeCell ref="J1291:N1291"/>
    <mergeCell ref="J1292:N1292"/>
    <mergeCell ref="J1408:N1408"/>
    <mergeCell ref="J1409:N1409"/>
    <mergeCell ref="J1410:N1410"/>
    <mergeCell ref="J1172:N1172"/>
    <mergeCell ref="J1173:N1173"/>
    <mergeCell ref="J1174:N1174"/>
    <mergeCell ref="J1290:N1290"/>
    <mergeCell ref="J1056:N1056"/>
    <mergeCell ref="J1055:N1055"/>
    <mergeCell ref="J1054:N1054"/>
    <mergeCell ref="J352:S352"/>
    <mergeCell ref="J351:S351"/>
    <mergeCell ref="J469:O469"/>
    <mergeCell ref="J468:O468"/>
    <mergeCell ref="J938:N938"/>
    <mergeCell ref="J936:N936"/>
    <mergeCell ref="J937:N937"/>
    <mergeCell ref="J1:K1"/>
    <mergeCell ref="J2:K2"/>
    <mergeCell ref="J3:K3"/>
    <mergeCell ref="J119:K119"/>
    <mergeCell ref="J120:K120"/>
    <mergeCell ref="J121:K121"/>
    <mergeCell ref="J237:K237"/>
    <mergeCell ref="J238:K238"/>
    <mergeCell ref="J239:K239"/>
  </mergeCells>
  <conditionalFormatting sqref="A351:J352 T351:XFD352 A353:XFD467 A468:J469 P468:XFD469 O936:XFD938 A936:J938 A470:XFD935 A939:XFD1053 A1054:J1056 O1054:XFD1056 A1057:XFD1171 A1172:J1174 O1172:XFD1174 A1175:XFD1289 A1290:J1292 O1290:XFD1292 A1293:XFD1407 A1408:J1410 O1408:XFD1410 A1411:XFD1525 A1526:J1528 O1526:XFD1528 A1529:XFD1643 A1644:J1646 O1644:XFD1646 A1647:XFD1761 A1762:J1764 O1762:XFD1764 A1765:XFD1870 A1871:J1873 O1871:XFD1873 A1874:XFD1976 A1977:J1979 O1977:XFD1979 A1980:XFD2094 A2095:J2097 O2095:XFD2097 A2098:XFD2212 A2213:J2215 O2213:XFD2215 A2216:XFD2329 A2330:J2332 O2330:XFD2332 A2333:XFD2446 A2447:J2449 O2447:XFD2449 A2450:XFD2564 A2565:J2567 O2565:XFD2567 A2568:XFD2681 A2682:J2684 O2682:XFD2684 A2685:XFD2799 A2800:J2802 O2800:XFD2802 A2803:XFD2913 A2914:J2916 O2914:XFD2916 A2917:XFD3029 A3030:J3032 O3030:XFD3032 A3033:XFD3147 A3148:J3150 O3148:XFD3150 A3151:XFD3263 A3264:J3266 O3264:XFD3266 A3267:XFD3369 A3370:J3372 O3370:XFD3372 A3373:XFD3477 A3478:J3480 O3478:XFD3480 A3481:XFD3498 A3499:J3501 O3499:XFD3501 A3502:XFD3519 A3520:J3522 O3520:XFD3522 A3523:XFD3658 A3659:J3660 O3659:XFD3660 A3661:XFD3775 A3776:J3777 N3776:XFD3777 A3778:XFD4009 A4010:J4012 L4010:XFD4012 A4013:XFD4126 A4127:J4129 L4127:XFD4129 A4130:XFD4243 A4244:J4246 L4244:XFD4246 A4247:XFD4361 A4362:J4364 L4362:XFD4364 A4365:XFD4479 A4480:J4481 L4480:XFD4481 A4482:XFD4596 A4597:J4598 L4597:XFD4598 A4599:XFD4713 A4714:J4715 O4714:XFD4715 A4716:XFD4947 A4948:J4949 O4948:XFD4949 A4950:XFD5060 A5061:J5062 O5061:XFD5062 A5063:XFD5138 A5139:J5140 O5139:XFD5140 A5141:XFD5255 A5256:J5257 L5256:XFD5257 A5258:XFD5372 A5375:XFD1048576 A5373:J5374 M5373:XFD5374 A350:H350 J350:XFD350 A1:XFD349">
    <cfRule type="notContainsBlanks" dxfId="0" priority="1">
      <formula>LEN(TRIM(A1))&gt;0</formula>
    </cfRule>
  </conditionalFormatting>
  <pageMargins left="0.7" right="0.7" top="0.75" bottom="0.75"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AggregatedData</vt:lpstr>
      <vt:lpstr>CoverPage</vt:lpstr>
      <vt:lpstr>ReadMe</vt:lpstr>
      <vt:lpstr>ArchiveResults</vt:lpstr>
      <vt:lpstr>Sheet1</vt:lpstr>
      <vt:lpstr>IndividualReport</vt:lpstr>
      <vt:lpstr>ComparisonSelection</vt:lpstr>
      <vt:lpstr>ComparisonData</vt:lpstr>
      <vt:lpstr>ComparisonReport</vt:lpstr>
      <vt:lpstr>Sheet2</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Gordon, Jon</cp:lastModifiedBy>
  <dcterms:created xsi:type="dcterms:W3CDTF">2011-08-01T14:22:18Z</dcterms:created>
  <dcterms:modified xsi:type="dcterms:W3CDTF">2023-05-16T12:34:02Z</dcterms:modified>
</cp:coreProperties>
</file>